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mc:AlternateContent xmlns:mc="http://schemas.openxmlformats.org/markup-compatibility/2006">
    <mc:Choice Requires="x15">
      <x15ac:absPath xmlns:x15ac="http://schemas.microsoft.com/office/spreadsheetml/2010/11/ac" url="F:\GAF\Suprimentos\Licitação\Licitações 2026\Pregão Eletrônico 42_2026 - Reforma e Manutenção civil\Edital e Anexos\"/>
    </mc:Choice>
  </mc:AlternateContent>
  <xr:revisionPtr revIDLastSave="0" documentId="13_ncr:1_{EFF3E11A-5DB4-4100-9A89-E22E78A44D5E}" xr6:coauthVersionLast="41" xr6:coauthVersionMax="47" xr10:uidLastSave="{00000000-0000-0000-0000-000000000000}"/>
  <bookViews>
    <workbookView xWindow="-120" yWindow="-120" windowWidth="29040" windowHeight="15720" tabRatio="798" xr2:uid="{00000000-000D-0000-FFFF-FFFF00000000}"/>
  </bookViews>
  <sheets>
    <sheet name="PREENCHIMENTO" sheetId="25" r:id="rId1"/>
    <sheet name="IV.A" sheetId="1" r:id="rId2"/>
    <sheet name="V.A" sheetId="2" r:id="rId3"/>
    <sheet name="VI.A" sheetId="5" r:id="rId4"/>
    <sheet name="VII.A" sheetId="6" r:id="rId5"/>
    <sheet name="VIII.A" sheetId="24" r:id="rId6"/>
    <sheet name="IX.A" sheetId="4" r:id="rId7"/>
  </sheets>
  <externalReferences>
    <externalReference r:id="rId8"/>
    <externalReference r:id="rId9"/>
    <externalReference r:id="rId10"/>
    <externalReference r:id="rId11"/>
    <externalReference r:id="rId12"/>
    <externalReference r:id="rId13"/>
    <externalReference r:id="rId14"/>
    <externalReference r:id="rId15"/>
  </externalReferences>
  <definedNames>
    <definedName name="_1Excel_BuiltIn_Print_Area_1_1_1_1">IV.A!$B$25:$B$173</definedName>
    <definedName name="_xlnm._FilterDatabase" localSheetId="1" hidden="1">IV.A!$A$11:$O$172</definedName>
    <definedName name="_xlnm._FilterDatabase" localSheetId="3" hidden="1">VI.A!$A$12:$AD$5961</definedName>
    <definedName name="_xlnm._FilterDatabase" localSheetId="4" hidden="1">VII.A!$A$9:$IM$131</definedName>
    <definedName name="_xlnm.Print_Area" localSheetId="1">IV.A!$A$1:$M$212</definedName>
    <definedName name="_xlnm.Print_Area" localSheetId="6">IX.A!$A$1:$D$50</definedName>
    <definedName name="_xlnm.Print_Area" localSheetId="2">V.A!$B$1:$W$157</definedName>
    <definedName name="_xlnm.Print_Area" localSheetId="3">VI.A!$A$1:$F$5961</definedName>
    <definedName name="_xlnm.Print_Area" localSheetId="4">VII.A!$A$1:$G$201</definedName>
    <definedName name="_xlnm.Print_Area" localSheetId="5">VIII.A!$A$1:$C$33</definedName>
    <definedName name="CONC">[1]Dados!$K$2:$K$40</definedName>
    <definedName name="Database">#REF!</definedName>
    <definedName name="ÉServiço" localSheetId="5">[2]II.3!$E1&lt;&gt;""</definedName>
    <definedName name="ÉServiço">[3]II.3!$E1&lt;&gt;""</definedName>
    <definedName name="Excel_BuiltIn_Print_Area_1_1_1">IV.A!$B$16:$C$156</definedName>
    <definedName name="Excel_BuiltIn_Print_Area_1_1_1_1">IV.A!$A$1:$M$181</definedName>
    <definedName name="Excel_BuiltIn_Print_Area_1_1_1_1_1" localSheetId="5">'[4]Anexo II'!$A$12:$M$287,'[4]Anexo II'!$K$286</definedName>
    <definedName name="Excel_BuiltIn_Print_Area_1_1_1_1_1">IV.A!$A$10:$M$176,IV.A!$K$175</definedName>
    <definedName name="Excel_BuiltIn_Print_Area_1_1_1_1_1_1">IV.A!$A$16:$B$156</definedName>
    <definedName name="Excel_BuiltIn_Print_Area_3_1">V.A!$A$10:$V$84</definedName>
    <definedName name="Excel_BuiltIn_Print_Area_6_1">VI.A!$A$1:$F$105</definedName>
    <definedName name="Excel_BuiltIn_Print_Area_7_1">VII.A!$B$141:$D$169</definedName>
    <definedName name="RegimeExecucao">IF([5]DADOS!$A$32="Empreitada por Preço Global ou Integral","Global","Unitário")</definedName>
    <definedName name="_xlnm.Print_Titles" localSheetId="1">IV.A!$1:$12</definedName>
    <definedName name="_xlnm.Print_Titles" localSheetId="2">V.A!$1:$10</definedName>
    <definedName name="_xlnm.Print_Titles" localSheetId="3">VI.A!$1:$9</definedName>
    <definedName name="_xlnm.Print_Titles" localSheetId="4">VII.A!$1:$8</definedName>
    <definedName name="VALAS">[1]Dados!$L$2:$P$40</definedName>
    <definedName name="Z_6D07A3BF_0D13_4DB8_B57D_B992E436750A_.wvu.PrintArea" localSheetId="5" hidden="1">VIII.A!$A$1:$C$37</definedName>
  </definedNames>
  <calcPr calcId="191029"/>
</workbook>
</file>

<file path=xl/calcChain.xml><?xml version="1.0" encoding="utf-8"?>
<calcChain xmlns="http://schemas.openxmlformats.org/spreadsheetml/2006/main">
  <c r="A1" i="4" l="1"/>
  <c r="A1" i="24"/>
  <c r="A1" i="6"/>
  <c r="A1" i="5"/>
  <c r="B1" i="2"/>
  <c r="A4463" i="5" l="1"/>
  <c r="A4464" i="5"/>
  <c r="D4464" i="5" s="1"/>
  <c r="B4464" i="5" l="1"/>
  <c r="C1089" i="5" l="1"/>
  <c r="L8" i="1"/>
  <c r="E1024" i="5"/>
  <c r="D1024" i="5"/>
  <c r="B1024" i="5"/>
  <c r="A1024" i="5"/>
  <c r="E1023" i="5"/>
  <c r="D1023" i="5"/>
  <c r="B1023" i="5"/>
  <c r="A1023" i="5"/>
  <c r="G131" i="6"/>
  <c r="G182" i="6" l="1"/>
  <c r="G183" i="6"/>
  <c r="G184" i="6"/>
  <c r="G185" i="6"/>
  <c r="G186" i="6"/>
  <c r="G187" i="6"/>
  <c r="G188" i="6"/>
  <c r="G189" i="6"/>
  <c r="G190" i="6"/>
  <c r="G191" i="6"/>
  <c r="G192" i="6"/>
  <c r="G193" i="6"/>
  <c r="G194" i="6"/>
  <c r="G195" i="6"/>
  <c r="G196" i="6"/>
  <c r="G197" i="6"/>
  <c r="G198" i="6"/>
  <c r="G199" i="6"/>
  <c r="G200" i="6"/>
  <c r="G181" i="6"/>
  <c r="G144" i="6"/>
  <c r="G145" i="6"/>
  <c r="G146" i="6"/>
  <c r="G147" i="6"/>
  <c r="G148" i="6"/>
  <c r="G149" i="6"/>
  <c r="G150" i="6"/>
  <c r="G151" i="6"/>
  <c r="G152" i="6"/>
  <c r="G153" i="6"/>
  <c r="G154" i="6"/>
  <c r="G155" i="6"/>
  <c r="G156" i="6"/>
  <c r="G157" i="6"/>
  <c r="G158" i="6"/>
  <c r="G159" i="6"/>
  <c r="G160" i="6"/>
  <c r="G161" i="6"/>
  <c r="G162" i="6"/>
  <c r="G163" i="6"/>
  <c r="G164" i="6"/>
  <c r="G165" i="6"/>
  <c r="G166" i="6"/>
  <c r="G167" i="6"/>
  <c r="G168" i="6"/>
  <c r="G169" i="6"/>
  <c r="G170" i="6"/>
  <c r="G171" i="6"/>
  <c r="G172" i="6"/>
  <c r="G173" i="6"/>
  <c r="G174" i="6"/>
  <c r="G175" i="6"/>
  <c r="G176" i="6"/>
  <c r="G177" i="6"/>
  <c r="G178" i="6"/>
  <c r="G143" i="6"/>
  <c r="G11" i="6"/>
  <c r="G12" i="6"/>
  <c r="G13" i="6"/>
  <c r="G14" i="6"/>
  <c r="G15" i="6"/>
  <c r="G16" i="6"/>
  <c r="G17" i="6"/>
  <c r="G18" i="6"/>
  <c r="G19" i="6"/>
  <c r="G20" i="6"/>
  <c r="G21"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105" i="6"/>
  <c r="G106" i="6"/>
  <c r="G107" i="6"/>
  <c r="G108" i="6"/>
  <c r="G109" i="6"/>
  <c r="G110" i="6"/>
  <c r="G111" i="6"/>
  <c r="G112" i="6"/>
  <c r="G113" i="6"/>
  <c r="G114" i="6"/>
  <c r="G115" i="6"/>
  <c r="G116" i="6"/>
  <c r="G117" i="6"/>
  <c r="G118" i="6"/>
  <c r="G119" i="6"/>
  <c r="G120" i="6"/>
  <c r="G121" i="6"/>
  <c r="G122" i="6"/>
  <c r="G123" i="6"/>
  <c r="G124" i="6"/>
  <c r="G125" i="6"/>
  <c r="G126" i="6"/>
  <c r="G127" i="6"/>
  <c r="G128" i="6"/>
  <c r="G129" i="6"/>
  <c r="G130" i="6"/>
  <c r="G10" i="6"/>
  <c r="K114" i="6"/>
  <c r="L114" i="6" s="1"/>
  <c r="K173" i="6"/>
  <c r="K172" i="6"/>
  <c r="K103" i="6"/>
  <c r="L103" i="6" s="1"/>
  <c r="K89" i="6"/>
  <c r="L89" i="6" s="1"/>
  <c r="K60" i="6"/>
  <c r="L60" i="6" s="1"/>
  <c r="L52" i="6"/>
  <c r="K152" i="6"/>
  <c r="L152" i="6" s="1"/>
  <c r="K153" i="6"/>
  <c r="L153" i="6" s="1"/>
  <c r="K160" i="6"/>
  <c r="L160" i="6" s="1"/>
  <c r="K161" i="6"/>
  <c r="L161" i="6" s="1"/>
  <c r="K168" i="6"/>
  <c r="L168" i="6" s="1"/>
  <c r="K171" i="6"/>
  <c r="L171" i="6" s="1"/>
  <c r="K174" i="6"/>
  <c r="L174" i="6" s="1"/>
  <c r="K176" i="6"/>
  <c r="L176" i="6" s="1"/>
  <c r="K177" i="6"/>
  <c r="L177" i="6" s="1"/>
  <c r="K178" i="6"/>
  <c r="L178" i="6" s="1"/>
  <c r="K144" i="6"/>
  <c r="L144" i="6" s="1"/>
  <c r="K143" i="6"/>
  <c r="L143" i="6" s="1"/>
  <c r="K85" i="6"/>
  <c r="L85" i="6" s="1"/>
  <c r="K86" i="6"/>
  <c r="L86" i="6" s="1"/>
  <c r="K87" i="6"/>
  <c r="L87" i="6" s="1"/>
  <c r="K88" i="6"/>
  <c r="L88" i="6" s="1"/>
  <c r="K90" i="6"/>
  <c r="L90" i="6" s="1"/>
  <c r="K91" i="6"/>
  <c r="L91" i="6" s="1"/>
  <c r="K92" i="6"/>
  <c r="L92" i="6" s="1"/>
  <c r="K93" i="6"/>
  <c r="L93" i="6" s="1"/>
  <c r="K94" i="6"/>
  <c r="L94" i="6" s="1"/>
  <c r="K95" i="6"/>
  <c r="L95" i="6" s="1"/>
  <c r="K96" i="6"/>
  <c r="L96" i="6" s="1"/>
  <c r="K97" i="6"/>
  <c r="L97" i="6" s="1"/>
  <c r="K98" i="6"/>
  <c r="L98" i="6" s="1"/>
  <c r="K99" i="6"/>
  <c r="L99" i="6" s="1"/>
  <c r="K100" i="6"/>
  <c r="L100" i="6" s="1"/>
  <c r="K101" i="6"/>
  <c r="L101" i="6" s="1"/>
  <c r="K102" i="6"/>
  <c r="L102" i="6" s="1"/>
  <c r="K104" i="6"/>
  <c r="L104" i="6" s="1"/>
  <c r="K105" i="6"/>
  <c r="L105" i="6" s="1"/>
  <c r="K106" i="6"/>
  <c r="L106" i="6" s="1"/>
  <c r="K107" i="6"/>
  <c r="L107" i="6" s="1"/>
  <c r="K108" i="6"/>
  <c r="L108" i="6" s="1"/>
  <c r="K109" i="6"/>
  <c r="L109" i="6" s="1"/>
  <c r="K110" i="6"/>
  <c r="L110" i="6" s="1"/>
  <c r="K111" i="6"/>
  <c r="L111" i="6" s="1"/>
  <c r="K112" i="6"/>
  <c r="L112" i="6" s="1"/>
  <c r="K113" i="6"/>
  <c r="L113" i="6" s="1"/>
  <c r="K115" i="6"/>
  <c r="L115" i="6" s="1"/>
  <c r="K116" i="6"/>
  <c r="L116" i="6" s="1"/>
  <c r="K117" i="6"/>
  <c r="L117" i="6" s="1"/>
  <c r="K118" i="6"/>
  <c r="L118" i="6" s="1"/>
  <c r="K119" i="6"/>
  <c r="L119" i="6" s="1"/>
  <c r="K120" i="6"/>
  <c r="L120" i="6" s="1"/>
  <c r="K121" i="6"/>
  <c r="L121" i="6" s="1"/>
  <c r="K122" i="6"/>
  <c r="L122" i="6" s="1"/>
  <c r="K123" i="6"/>
  <c r="L123" i="6" s="1"/>
  <c r="K124" i="6"/>
  <c r="L124" i="6" s="1"/>
  <c r="K125" i="6"/>
  <c r="L125" i="6" s="1"/>
  <c r="K126" i="6"/>
  <c r="L126" i="6" s="1"/>
  <c r="K127" i="6"/>
  <c r="L127" i="6" s="1"/>
  <c r="K128" i="6"/>
  <c r="L128" i="6" s="1"/>
  <c r="K129" i="6"/>
  <c r="L129" i="6" s="1"/>
  <c r="K130" i="6"/>
  <c r="L130" i="6" s="1"/>
  <c r="K131" i="6"/>
  <c r="K132" i="6"/>
  <c r="L132" i="6" s="1"/>
  <c r="K133" i="6"/>
  <c r="L133" i="6" s="1"/>
  <c r="K134" i="6"/>
  <c r="L134" i="6" s="1"/>
  <c r="K135" i="6"/>
  <c r="L135" i="6" s="1"/>
  <c r="K136" i="6"/>
  <c r="L136" i="6" s="1"/>
  <c r="K137" i="6"/>
  <c r="L137" i="6" s="1"/>
  <c r="K138" i="6"/>
  <c r="L138" i="6" s="1"/>
  <c r="K139" i="6"/>
  <c r="L139" i="6" s="1"/>
  <c r="K140" i="6"/>
  <c r="L140" i="6" s="1"/>
  <c r="K141" i="6"/>
  <c r="L141" i="6" s="1"/>
  <c r="K142" i="6"/>
  <c r="L142" i="6" s="1"/>
  <c r="K145" i="6"/>
  <c r="L145" i="6" s="1"/>
  <c r="K146" i="6"/>
  <c r="L146" i="6" s="1"/>
  <c r="K147" i="6"/>
  <c r="L147" i="6" s="1"/>
  <c r="K84" i="6"/>
  <c r="L84" i="6" s="1"/>
  <c r="K19" i="6"/>
  <c r="L19" i="6" s="1"/>
  <c r="K20" i="6"/>
  <c r="L20" i="6" s="1"/>
  <c r="K21" i="6"/>
  <c r="L21" i="6" s="1"/>
  <c r="L22" i="6"/>
  <c r="K23" i="6"/>
  <c r="L23" i="6" s="1"/>
  <c r="K24" i="6"/>
  <c r="L24" i="6" s="1"/>
  <c r="K25" i="6"/>
  <c r="L25" i="6" s="1"/>
  <c r="K26" i="6"/>
  <c r="L26" i="6" s="1"/>
  <c r="K27" i="6"/>
  <c r="L27" i="6" s="1"/>
  <c r="K28" i="6"/>
  <c r="L28" i="6" s="1"/>
  <c r="K29" i="6"/>
  <c r="L29" i="6" s="1"/>
  <c r="K30" i="6"/>
  <c r="L30" i="6" s="1"/>
  <c r="K31" i="6"/>
  <c r="L31" i="6" s="1"/>
  <c r="K32" i="6"/>
  <c r="L32" i="6" s="1"/>
  <c r="K33" i="6"/>
  <c r="L33" i="6" s="1"/>
  <c r="K34" i="6"/>
  <c r="L34" i="6" s="1"/>
  <c r="K35" i="6"/>
  <c r="L35" i="6" s="1"/>
  <c r="K36" i="6"/>
  <c r="L36" i="6" s="1"/>
  <c r="K37" i="6"/>
  <c r="L37" i="6" s="1"/>
  <c r="K38" i="6"/>
  <c r="L38" i="6" s="1"/>
  <c r="K39" i="6"/>
  <c r="L39" i="6" s="1"/>
  <c r="K40" i="6"/>
  <c r="L40" i="6" s="1"/>
  <c r="K41" i="6"/>
  <c r="L41" i="6" s="1"/>
  <c r="K42" i="6"/>
  <c r="L42" i="6" s="1"/>
  <c r="K43" i="6"/>
  <c r="L43" i="6" s="1"/>
  <c r="K44" i="6"/>
  <c r="L44" i="6" s="1"/>
  <c r="K45" i="6"/>
  <c r="L45" i="6" s="1"/>
  <c r="K46" i="6"/>
  <c r="L46" i="6" s="1"/>
  <c r="K47" i="6"/>
  <c r="L47" i="6" s="1"/>
  <c r="K48" i="6"/>
  <c r="L48" i="6" s="1"/>
  <c r="K49" i="6"/>
  <c r="L49" i="6" s="1"/>
  <c r="K50" i="6"/>
  <c r="L50" i="6" s="1"/>
  <c r="K51" i="6"/>
  <c r="L51" i="6" s="1"/>
  <c r="K53" i="6"/>
  <c r="L53" i="6" s="1"/>
  <c r="K54" i="6"/>
  <c r="L54" i="6" s="1"/>
  <c r="K55" i="6"/>
  <c r="L55" i="6" s="1"/>
  <c r="K56" i="6"/>
  <c r="L56" i="6" s="1"/>
  <c r="K57" i="6"/>
  <c r="L57" i="6" s="1"/>
  <c r="K58" i="6"/>
  <c r="L58" i="6" s="1"/>
  <c r="K59" i="6"/>
  <c r="L59" i="6" s="1"/>
  <c r="K61" i="6"/>
  <c r="L61" i="6" s="1"/>
  <c r="K62" i="6"/>
  <c r="L62" i="6" s="1"/>
  <c r="K63" i="6"/>
  <c r="L63" i="6" s="1"/>
  <c r="K64" i="6"/>
  <c r="L64" i="6" s="1"/>
  <c r="K65" i="6"/>
  <c r="L65" i="6" s="1"/>
  <c r="K66" i="6"/>
  <c r="L66" i="6" s="1"/>
  <c r="K67" i="6"/>
  <c r="L67" i="6" s="1"/>
  <c r="K68" i="6"/>
  <c r="L68" i="6" s="1"/>
  <c r="K69" i="6"/>
  <c r="L69" i="6" s="1"/>
  <c r="K70" i="6"/>
  <c r="L70" i="6" s="1"/>
  <c r="K71" i="6"/>
  <c r="L71" i="6" s="1"/>
  <c r="K72" i="6"/>
  <c r="L72" i="6" s="1"/>
  <c r="K73" i="6"/>
  <c r="L73" i="6" s="1"/>
  <c r="K74" i="6"/>
  <c r="L74" i="6" s="1"/>
  <c r="K75" i="6"/>
  <c r="L75" i="6" s="1"/>
  <c r="K76" i="6"/>
  <c r="L76" i="6" s="1"/>
  <c r="K77" i="6"/>
  <c r="L77" i="6" s="1"/>
  <c r="K78" i="6"/>
  <c r="L78" i="6" s="1"/>
  <c r="K79" i="6"/>
  <c r="L79" i="6" s="1"/>
  <c r="K80" i="6"/>
  <c r="L80" i="6" s="1"/>
  <c r="K81" i="6"/>
  <c r="L81" i="6" s="1"/>
  <c r="K82" i="6"/>
  <c r="L82" i="6" s="1"/>
  <c r="K13" i="6"/>
  <c r="L13" i="6" s="1"/>
  <c r="K14" i="6"/>
  <c r="L14" i="6" s="1"/>
  <c r="K15" i="6"/>
  <c r="L15" i="6" s="1"/>
  <c r="K16" i="6"/>
  <c r="L16" i="6" s="1"/>
  <c r="K17" i="6"/>
  <c r="L17" i="6" s="1"/>
  <c r="K18" i="6"/>
  <c r="L18" i="6" s="1"/>
  <c r="K10" i="6"/>
  <c r="L10" i="6" s="1"/>
  <c r="K11" i="6"/>
  <c r="L11" i="6" s="1"/>
  <c r="K12" i="6"/>
  <c r="L12" i="6" s="1"/>
  <c r="L131" i="6" l="1"/>
  <c r="M131" i="6"/>
  <c r="K182" i="6" a="1"/>
  <c r="K182" i="6" s="1"/>
  <c r="K183" i="6" a="1"/>
  <c r="K183" i="6" s="1"/>
  <c r="K184" i="6" a="1"/>
  <c r="K184" i="6" s="1"/>
  <c r="K185" i="6" a="1"/>
  <c r="K185" i="6" s="1"/>
  <c r="K186" i="6" a="1"/>
  <c r="K186" i="6" s="1"/>
  <c r="K187" i="6" a="1"/>
  <c r="K187" i="6" s="1"/>
  <c r="K188" i="6" a="1"/>
  <c r="K188" i="6" s="1"/>
  <c r="K189" i="6" a="1"/>
  <c r="K189" i="6" s="1"/>
  <c r="K181" i="6" a="1"/>
  <c r="K181" i="6" s="1"/>
  <c r="K149" i="6" l="1"/>
  <c r="L149" i="6" s="1"/>
  <c r="K157" i="6"/>
  <c r="L157" i="6" s="1"/>
  <c r="K165" i="6"/>
  <c r="L165" i="6" s="1"/>
  <c r="K169" i="6"/>
  <c r="L169" i="6" s="1"/>
  <c r="L173" i="6"/>
  <c r="K150" i="6"/>
  <c r="L150" i="6" s="1"/>
  <c r="K154" i="6"/>
  <c r="L154" i="6" s="1"/>
  <c r="K158" i="6"/>
  <c r="L158" i="6" s="1"/>
  <c r="K162" i="6"/>
  <c r="L162" i="6" s="1"/>
  <c r="K166" i="6"/>
  <c r="L166" i="6" s="1"/>
  <c r="K170" i="6"/>
  <c r="L170" i="6" s="1"/>
  <c r="K156" i="6"/>
  <c r="L156" i="6" s="1"/>
  <c r="K164" i="6"/>
  <c r="L164" i="6" s="1"/>
  <c r="L172" i="6"/>
  <c r="K151" i="6"/>
  <c r="L151" i="6" s="1"/>
  <c r="K155" i="6"/>
  <c r="L155" i="6" s="1"/>
  <c r="K159" i="6"/>
  <c r="L159" i="6" s="1"/>
  <c r="K163" i="6"/>
  <c r="L163" i="6" s="1"/>
  <c r="K167" i="6"/>
  <c r="L167" i="6" s="1"/>
  <c r="K175" i="6"/>
  <c r="L175" i="6" s="1"/>
  <c r="K148" i="6"/>
  <c r="L148" i="6" s="1"/>
  <c r="M181" i="6"/>
  <c r="N11" i="6"/>
  <c r="K190" i="6" a="1"/>
  <c r="K190" i="6" s="1"/>
  <c r="K191" i="6" a="1"/>
  <c r="K191" i="6" s="1"/>
  <c r="K192" i="6" a="1"/>
  <c r="K192" i="6" s="1"/>
  <c r="K193" i="6" a="1"/>
  <c r="K193" i="6" s="1"/>
  <c r="K194" i="6" a="1"/>
  <c r="K194" i="6" s="1"/>
  <c r="K195" i="6" a="1"/>
  <c r="K195" i="6" s="1"/>
  <c r="K196" i="6" a="1"/>
  <c r="K196" i="6" s="1"/>
  <c r="K197" i="6" a="1"/>
  <c r="K197" i="6" s="1"/>
  <c r="K198" i="6" a="1"/>
  <c r="K198" i="6" s="1"/>
  <c r="K199" i="6" a="1"/>
  <c r="K199" i="6" s="1"/>
  <c r="K200" i="6" a="1"/>
  <c r="K200" i="6" s="1"/>
  <c r="M10" i="6"/>
  <c r="M11" i="6" l="1"/>
  <c r="A5937" i="5"/>
  <c r="A5917" i="5"/>
  <c r="A5823" i="5"/>
  <c r="A5776" i="5"/>
  <c r="A5775" i="5"/>
  <c r="A5774" i="5"/>
  <c r="A5773" i="5"/>
  <c r="A5745" i="5"/>
  <c r="A5728" i="5"/>
  <c r="A5727" i="5"/>
  <c r="A5726" i="5"/>
  <c r="A5725" i="5"/>
  <c r="A5723" i="5"/>
  <c r="A5697" i="5"/>
  <c r="A5649" i="5"/>
  <c r="A5601" i="5"/>
  <c r="A5437" i="5"/>
  <c r="A5389" i="5"/>
  <c r="A5341" i="5"/>
  <c r="A5293" i="5"/>
  <c r="A5245" i="5"/>
  <c r="A5197" i="5"/>
  <c r="A5150" i="5"/>
  <c r="A5149" i="5"/>
  <c r="A5054" i="5"/>
  <c r="A5006" i="5"/>
  <c r="A4958" i="5"/>
  <c r="A4957" i="5"/>
  <c r="A4955" i="5"/>
  <c r="A4862" i="5"/>
  <c r="A4816" i="5"/>
  <c r="A4814" i="5"/>
  <c r="A4768" i="5"/>
  <c r="A4766" i="5"/>
  <c r="A4718" i="5"/>
  <c r="A4690" i="5"/>
  <c r="A4670" i="5"/>
  <c r="A4642" i="5"/>
  <c r="A4641" i="5"/>
  <c r="A4624" i="5"/>
  <c r="A4623" i="5"/>
  <c r="A4622" i="5"/>
  <c r="A4621" i="5"/>
  <c r="A4574" i="5"/>
  <c r="A4527" i="5"/>
  <c r="A4526" i="5"/>
  <c r="A4525" i="5"/>
  <c r="A4478" i="5"/>
  <c r="A4477" i="5"/>
  <c r="A4401" i="5"/>
  <c r="A4353" i="5"/>
  <c r="A4285" i="5"/>
  <c r="A4257" i="5"/>
  <c r="A4189" i="5"/>
  <c r="A4098" i="5"/>
  <c r="A4097" i="5"/>
  <c r="A4096" i="5"/>
  <c r="A4095" i="5"/>
  <c r="A4094" i="5"/>
  <c r="A4093" i="5"/>
  <c r="A4047" i="5"/>
  <c r="A4046" i="5"/>
  <c r="A4045" i="5"/>
  <c r="A4000" i="5"/>
  <c r="A3999" i="5"/>
  <c r="A3998" i="5"/>
  <c r="A3997" i="5"/>
  <c r="A3952" i="5"/>
  <c r="A3951" i="5"/>
  <c r="A3950" i="5"/>
  <c r="A3949" i="5"/>
  <c r="A3442" i="5"/>
  <c r="A3441" i="5"/>
  <c r="A3298" i="5"/>
  <c r="A3297" i="5"/>
  <c r="A2976" i="5"/>
  <c r="A2817" i="5"/>
  <c r="A2625" i="5"/>
  <c r="A2338" i="5"/>
  <c r="A2337" i="5"/>
  <c r="A1617" i="5"/>
  <c r="A1473" i="5"/>
  <c r="A827" i="5"/>
  <c r="A753" i="5"/>
  <c r="A38" i="5"/>
  <c r="A37" i="5"/>
  <c r="A36" i="5"/>
  <c r="A35" i="5"/>
  <c r="A1886" i="5"/>
  <c r="A47" i="5"/>
  <c r="A3902" i="5"/>
  <c r="A3901" i="5"/>
  <c r="A3856" i="5"/>
  <c r="A3855" i="5"/>
  <c r="A3854" i="5"/>
  <c r="A3853" i="5"/>
  <c r="A3808" i="5"/>
  <c r="A3807" i="5"/>
  <c r="A3806" i="5"/>
  <c r="A3805" i="5"/>
  <c r="A3760" i="5"/>
  <c r="A3759" i="5"/>
  <c r="A3758" i="5"/>
  <c r="A3757" i="5"/>
  <c r="A3712" i="5"/>
  <c r="A3711" i="5"/>
  <c r="A3710" i="5"/>
  <c r="A3709" i="5"/>
  <c r="A3664" i="5"/>
  <c r="A3663" i="5"/>
  <c r="A3662" i="5"/>
  <c r="A3661" i="5"/>
  <c r="A3615" i="5"/>
  <c r="A3614" i="5"/>
  <c r="A3613" i="5"/>
  <c r="A3518" i="5"/>
  <c r="A3517" i="5"/>
  <c r="A3470" i="5"/>
  <c r="A3467" i="5"/>
  <c r="A3425" i="5"/>
  <c r="A3424" i="5"/>
  <c r="A3423" i="5"/>
  <c r="A3422" i="5"/>
  <c r="A3421" i="5"/>
  <c r="A3377" i="5"/>
  <c r="A3376" i="5"/>
  <c r="A3375" i="5"/>
  <c r="A3374" i="5"/>
  <c r="A3373" i="5"/>
  <c r="A3326" i="5"/>
  <c r="A3325" i="5"/>
  <c r="A3279" i="5"/>
  <c r="A3278" i="5"/>
  <c r="A3277" i="5"/>
  <c r="A3230" i="5"/>
  <c r="A3229" i="5"/>
  <c r="A3185" i="5"/>
  <c r="A3184" i="5"/>
  <c r="A3183" i="5"/>
  <c r="A3182" i="5"/>
  <c r="A3181" i="5"/>
  <c r="A3136" i="5"/>
  <c r="A3135" i="5"/>
  <c r="A3134" i="5"/>
  <c r="A3133" i="5"/>
  <c r="A3038" i="5"/>
  <c r="A3037" i="5"/>
  <c r="A2942" i="5"/>
  <c r="A2941" i="5"/>
  <c r="A2895" i="5"/>
  <c r="A2894" i="5"/>
  <c r="A2893" i="5"/>
  <c r="A2846" i="5"/>
  <c r="A2845" i="5"/>
  <c r="A2800" i="5"/>
  <c r="A2799" i="5"/>
  <c r="A2798" i="5"/>
  <c r="A2797" i="5"/>
  <c r="A2750" i="5"/>
  <c r="A2749" i="5"/>
  <c r="A2702" i="5"/>
  <c r="A2701" i="5"/>
  <c r="A2606" i="5"/>
  <c r="A2557" i="5"/>
  <c r="A2513" i="5"/>
  <c r="A2512" i="5"/>
  <c r="A2511" i="5"/>
  <c r="A2510" i="5"/>
  <c r="A2509" i="5"/>
  <c r="A2466" i="5"/>
  <c r="A2365" i="5"/>
  <c r="A2317" i="5"/>
  <c r="A1889" i="5"/>
  <c r="A1841" i="5"/>
  <c r="A1793" i="5"/>
  <c r="A1647" i="5"/>
  <c r="A1646" i="5"/>
  <c r="A1645" i="5"/>
  <c r="A1599" i="5"/>
  <c r="A1598" i="5"/>
  <c r="A1597" i="5"/>
  <c r="A1552" i="5"/>
  <c r="A1551" i="5"/>
  <c r="A1550" i="5"/>
  <c r="A1549" i="5"/>
  <c r="A1501" i="5"/>
  <c r="A1456" i="5"/>
  <c r="A1455" i="5"/>
  <c r="A1454" i="5"/>
  <c r="A1453" i="5"/>
  <c r="A1071" i="5"/>
  <c r="A1070" i="5"/>
  <c r="A5855" i="5"/>
  <c r="A5808" i="5"/>
  <c r="A5807" i="5"/>
  <c r="A5472" i="5"/>
  <c r="A5424" i="5"/>
  <c r="A5376" i="5"/>
  <c r="A5328" i="5"/>
  <c r="A5280" i="5"/>
  <c r="A4175" i="5"/>
  <c r="A4128" i="5"/>
  <c r="A4080" i="5"/>
  <c r="A4032" i="5"/>
  <c r="A3984" i="5"/>
  <c r="A3936" i="5"/>
  <c r="A3888" i="5"/>
  <c r="A3840" i="5"/>
  <c r="A3792" i="5"/>
  <c r="A3744" i="5"/>
  <c r="A3696" i="5"/>
  <c r="A3648" i="5"/>
  <c r="A3456" i="5"/>
  <c r="A3408" i="5"/>
  <c r="A3360" i="5"/>
  <c r="A3359" i="5"/>
  <c r="A3312" i="5"/>
  <c r="A3264" i="5"/>
  <c r="A3263" i="5"/>
  <c r="A3216" i="5"/>
  <c r="A3215" i="5"/>
  <c r="A2843" i="5"/>
  <c r="A2784" i="5"/>
  <c r="A2736" i="5"/>
  <c r="A2688" i="5"/>
  <c r="A2687" i="5"/>
  <c r="A2640" i="5"/>
  <c r="A2545" i="5"/>
  <c r="A2497" i="5"/>
  <c r="A2016" i="5"/>
  <c r="A1583" i="5"/>
  <c r="A1547" i="5"/>
  <c r="A1536" i="5"/>
  <c r="A1487" i="5"/>
  <c r="A1391" i="5"/>
  <c r="A1355" i="5"/>
  <c r="A1307" i="5"/>
  <c r="A1211" i="5"/>
  <c r="A1163" i="5"/>
  <c r="A1103" i="5"/>
  <c r="A1067" i="5"/>
  <c r="A1019" i="5"/>
  <c r="A875" i="5"/>
  <c r="A5567" i="5"/>
  <c r="A5471" i="5"/>
  <c r="A5423" i="5"/>
  <c r="A5375" i="5"/>
  <c r="A5327" i="5"/>
  <c r="A5279" i="5"/>
  <c r="A5231" i="5"/>
  <c r="A5183" i="5"/>
  <c r="A4991" i="5"/>
  <c r="A4703" i="5"/>
  <c r="A4559" i="5"/>
  <c r="A4512" i="5"/>
  <c r="A4511" i="5"/>
  <c r="A4319" i="5"/>
  <c r="A4223" i="5"/>
  <c r="A4127" i="5"/>
  <c r="A4079" i="5"/>
  <c r="A4031" i="5"/>
  <c r="A3983" i="5"/>
  <c r="A3935" i="5"/>
  <c r="A3887" i="5"/>
  <c r="A3839" i="5"/>
  <c r="A3791" i="5"/>
  <c r="A3743" i="5"/>
  <c r="A3695" i="5"/>
  <c r="A3647" i="5"/>
  <c r="A3563" i="5"/>
  <c r="A3515" i="5"/>
  <c r="A3455" i="5"/>
  <c r="A3419" i="5"/>
  <c r="A3371" i="5"/>
  <c r="A3323" i="5"/>
  <c r="A3227" i="5"/>
  <c r="A3217" i="5"/>
  <c r="A3168" i="5"/>
  <c r="A3071" i="5"/>
  <c r="A2975" i="5"/>
  <c r="A2831" i="5"/>
  <c r="A2880" i="5"/>
  <c r="A2352" i="5"/>
  <c r="A2065" i="5"/>
  <c r="D2065" i="5" s="1"/>
  <c r="A1633" i="5"/>
  <c r="A1632" i="5"/>
  <c r="A1631" i="5"/>
  <c r="C2069" i="5"/>
  <c r="A2069" i="5"/>
  <c r="D2069" i="5" s="1"/>
  <c r="C2068" i="5"/>
  <c r="A2068" i="5"/>
  <c r="B2068" i="5" s="1"/>
  <c r="C2067" i="5"/>
  <c r="A2067" i="5"/>
  <c r="D2067" i="5" s="1"/>
  <c r="C2066" i="5"/>
  <c r="A2066" i="5"/>
  <c r="B2066" i="5" s="1"/>
  <c r="C2065" i="5"/>
  <c r="C2064" i="5"/>
  <c r="A2064" i="5"/>
  <c r="B2064" i="5" s="1"/>
  <c r="F2059" i="5"/>
  <c r="F2056" i="5"/>
  <c r="C2055" i="5"/>
  <c r="A2055" i="5"/>
  <c r="B2055" i="5" s="1"/>
  <c r="C2054" i="5"/>
  <c r="A2054" i="5"/>
  <c r="D2054" i="5" s="1"/>
  <c r="C2047" i="5"/>
  <c r="L2047" i="5" s="1"/>
  <c r="A2047" i="5"/>
  <c r="C2046" i="5"/>
  <c r="L2046" i="5" s="1"/>
  <c r="A2046" i="5"/>
  <c r="C2045" i="5"/>
  <c r="L2045" i="5" s="1"/>
  <c r="A2045" i="5"/>
  <c r="C2044" i="5"/>
  <c r="A2044" i="5"/>
  <c r="D2044" i="5" s="1"/>
  <c r="C2043" i="5"/>
  <c r="A2043" i="5"/>
  <c r="B2043" i="5" s="1"/>
  <c r="C2042" i="5"/>
  <c r="A2042" i="5"/>
  <c r="D2042" i="5" s="1"/>
  <c r="C2041" i="5"/>
  <c r="A2041" i="5"/>
  <c r="B2041" i="5" s="1"/>
  <c r="C2040" i="5"/>
  <c r="A2040" i="5"/>
  <c r="D2040" i="5" s="1"/>
  <c r="C2039" i="5"/>
  <c r="A2039" i="5"/>
  <c r="B2039" i="5" s="1"/>
  <c r="C2038" i="5"/>
  <c r="A2038" i="5"/>
  <c r="D2038" i="5" s="1"/>
  <c r="C2037" i="5"/>
  <c r="A2037" i="5"/>
  <c r="B2037" i="5" s="1"/>
  <c r="C2036" i="5"/>
  <c r="A2036" i="5"/>
  <c r="D2036" i="5" s="1"/>
  <c r="C2035" i="5"/>
  <c r="A2035" i="5"/>
  <c r="B2035" i="5" s="1"/>
  <c r="C2034" i="5"/>
  <c r="A2034" i="5"/>
  <c r="D2034" i="5" s="1"/>
  <c r="C2033" i="5"/>
  <c r="A2033" i="5"/>
  <c r="B2033" i="5" s="1"/>
  <c r="C2032" i="5"/>
  <c r="A2032" i="5"/>
  <c r="D2032" i="5" s="1"/>
  <c r="C2031" i="5"/>
  <c r="A2031" i="5"/>
  <c r="B2031" i="5" s="1"/>
  <c r="C2030" i="5"/>
  <c r="A2030" i="5"/>
  <c r="D2030" i="5" s="1"/>
  <c r="C2029" i="5"/>
  <c r="A2029" i="5"/>
  <c r="B2029" i="5" s="1"/>
  <c r="E2027" i="5"/>
  <c r="B2027" i="5"/>
  <c r="A2027" i="5"/>
  <c r="A2075" i="5"/>
  <c r="B2075" i="5"/>
  <c r="E2075" i="5"/>
  <c r="F2021" i="5"/>
  <c r="F2020" i="5"/>
  <c r="F2019" i="5"/>
  <c r="C2018" i="5"/>
  <c r="A2018" i="5"/>
  <c r="J2018" i="5" s="1"/>
  <c r="C2017" i="5"/>
  <c r="A2017" i="5"/>
  <c r="B2017" i="5" s="1"/>
  <c r="C2016" i="5"/>
  <c r="C2015" i="5"/>
  <c r="A2015" i="5"/>
  <c r="F2010" i="5"/>
  <c r="F2009" i="5"/>
  <c r="F2008" i="5"/>
  <c r="F2007" i="5"/>
  <c r="F2006" i="5"/>
  <c r="F2005" i="5"/>
  <c r="F2004" i="5"/>
  <c r="C2003" i="5"/>
  <c r="A2003" i="5"/>
  <c r="B2003" i="5" s="1"/>
  <c r="C2002" i="5"/>
  <c r="A2002" i="5"/>
  <c r="D2002" i="5" s="1"/>
  <c r="C2001" i="5"/>
  <c r="A2001" i="5"/>
  <c r="B2001" i="5" s="1"/>
  <c r="F1996" i="5"/>
  <c r="F1995" i="5"/>
  <c r="F1994" i="5"/>
  <c r="F1993" i="5"/>
  <c r="F1992" i="5"/>
  <c r="C1991" i="5"/>
  <c r="A1991" i="5"/>
  <c r="E1991" i="5" s="1"/>
  <c r="C1990" i="5"/>
  <c r="A1990" i="5"/>
  <c r="H1990" i="5" s="1"/>
  <c r="C1989" i="5"/>
  <c r="A1989" i="5"/>
  <c r="E1989" i="5" s="1"/>
  <c r="C1988" i="5"/>
  <c r="A1988" i="5"/>
  <c r="J1988" i="5" s="1"/>
  <c r="C1987" i="5"/>
  <c r="A1987" i="5"/>
  <c r="E1987" i="5" s="1"/>
  <c r="C1986" i="5"/>
  <c r="A1986" i="5"/>
  <c r="H1986" i="5" s="1"/>
  <c r="C1985" i="5"/>
  <c r="A1985" i="5"/>
  <c r="E1985" i="5" s="1"/>
  <c r="C1984" i="5"/>
  <c r="A1984" i="5"/>
  <c r="B1984" i="5" s="1"/>
  <c r="C1983" i="5"/>
  <c r="A1983" i="5"/>
  <c r="E1983" i="5" s="1"/>
  <c r="C1982" i="5"/>
  <c r="A1982" i="5"/>
  <c r="B1982" i="5" s="1"/>
  <c r="C1981" i="5"/>
  <c r="A1981" i="5"/>
  <c r="E1981" i="5" s="1"/>
  <c r="E1979" i="5"/>
  <c r="B1979" i="5"/>
  <c r="A1979" i="5"/>
  <c r="O1979" i="5" s="1"/>
  <c r="H2049" i="5"/>
  <c r="I2049" i="5"/>
  <c r="J2049" i="5"/>
  <c r="K2049" i="5"/>
  <c r="M2049" i="5"/>
  <c r="N2049" i="5" s="1"/>
  <c r="H2050" i="5"/>
  <c r="I2050" i="5"/>
  <c r="J2050" i="5"/>
  <c r="K2050" i="5"/>
  <c r="L2050" i="5"/>
  <c r="M2050" i="5"/>
  <c r="H2051" i="5"/>
  <c r="I2051" i="5"/>
  <c r="J2051" i="5"/>
  <c r="K2051" i="5"/>
  <c r="M2051" i="5"/>
  <c r="H2052" i="5"/>
  <c r="J2052" i="5"/>
  <c r="M2054" i="5"/>
  <c r="H2056" i="5"/>
  <c r="I2056" i="5"/>
  <c r="J2056" i="5"/>
  <c r="K2056" i="5"/>
  <c r="L2056" i="5"/>
  <c r="M2056" i="5"/>
  <c r="N2056" i="5"/>
  <c r="H2057" i="5"/>
  <c r="I2057" i="5"/>
  <c r="J2057" i="5"/>
  <c r="K2057" i="5"/>
  <c r="L2057" i="5"/>
  <c r="M2057" i="5"/>
  <c r="N2057" i="5"/>
  <c r="H2058" i="5"/>
  <c r="I2058" i="5"/>
  <c r="J2058" i="5"/>
  <c r="K2058" i="5"/>
  <c r="L2058" i="5"/>
  <c r="M2058" i="5"/>
  <c r="N2058" i="5"/>
  <c r="H1992" i="5"/>
  <c r="I1992" i="5"/>
  <c r="J1992" i="5"/>
  <c r="K1992" i="5"/>
  <c r="L1992" i="5"/>
  <c r="M1992" i="5"/>
  <c r="N1992" i="5"/>
  <c r="H1993" i="5"/>
  <c r="I1993" i="5"/>
  <c r="J1993" i="5"/>
  <c r="K1993" i="5"/>
  <c r="L1993" i="5"/>
  <c r="M1993" i="5"/>
  <c r="N1993" i="5"/>
  <c r="H1994" i="5"/>
  <c r="I1994" i="5"/>
  <c r="J1994" i="5"/>
  <c r="K1994" i="5"/>
  <c r="L1994" i="5"/>
  <c r="M1994" i="5"/>
  <c r="N1994" i="5"/>
  <c r="H1995" i="5"/>
  <c r="I1995" i="5"/>
  <c r="J1995" i="5"/>
  <c r="K1995" i="5"/>
  <c r="L1995" i="5"/>
  <c r="M1995" i="5"/>
  <c r="N1995" i="5"/>
  <c r="H1996" i="5"/>
  <c r="I1996" i="5"/>
  <c r="J1996" i="5"/>
  <c r="K1996" i="5"/>
  <c r="L1996" i="5"/>
  <c r="M1996" i="5"/>
  <c r="N1996" i="5"/>
  <c r="H2004" i="5"/>
  <c r="I2004" i="5"/>
  <c r="J2004" i="5"/>
  <c r="K2004" i="5"/>
  <c r="L2004" i="5"/>
  <c r="M2004" i="5"/>
  <c r="N2004" i="5"/>
  <c r="H2005" i="5"/>
  <c r="I2005" i="5"/>
  <c r="J2005" i="5"/>
  <c r="K2005" i="5"/>
  <c r="L2005" i="5"/>
  <c r="M2005" i="5"/>
  <c r="N2005" i="5"/>
  <c r="H2006" i="5"/>
  <c r="I2006" i="5"/>
  <c r="J2006" i="5"/>
  <c r="K2006" i="5"/>
  <c r="L2006" i="5"/>
  <c r="M2006" i="5"/>
  <c r="N2006" i="5"/>
  <c r="H2007" i="5"/>
  <c r="I2007" i="5"/>
  <c r="J2007" i="5"/>
  <c r="K2007" i="5"/>
  <c r="L2007" i="5"/>
  <c r="M2007" i="5"/>
  <c r="N2007" i="5"/>
  <c r="H2008" i="5"/>
  <c r="I2008" i="5"/>
  <c r="J2008" i="5"/>
  <c r="K2008" i="5"/>
  <c r="L2008" i="5"/>
  <c r="M2008" i="5"/>
  <c r="N2008" i="5"/>
  <c r="H2009" i="5"/>
  <c r="I2009" i="5"/>
  <c r="J2009" i="5"/>
  <c r="K2009" i="5"/>
  <c r="L2009" i="5"/>
  <c r="M2009" i="5"/>
  <c r="N2009" i="5"/>
  <c r="H2010" i="5"/>
  <c r="I2010" i="5"/>
  <c r="J2010" i="5"/>
  <c r="K2010" i="5"/>
  <c r="L2010" i="5"/>
  <c r="M2010" i="5"/>
  <c r="N2010" i="5"/>
  <c r="J2017" i="5"/>
  <c r="H2019" i="5"/>
  <c r="I2019" i="5"/>
  <c r="J2019" i="5"/>
  <c r="K2019" i="5"/>
  <c r="L2019" i="5"/>
  <c r="M2019" i="5"/>
  <c r="N2019" i="5"/>
  <c r="H2020" i="5"/>
  <c r="I2020" i="5"/>
  <c r="J2020" i="5"/>
  <c r="K2020" i="5"/>
  <c r="L2020" i="5"/>
  <c r="M2020" i="5"/>
  <c r="N2020" i="5"/>
  <c r="H2021" i="5"/>
  <c r="I2021" i="5"/>
  <c r="J2021" i="5"/>
  <c r="K2021" i="5"/>
  <c r="L2021" i="5"/>
  <c r="M2021" i="5"/>
  <c r="N2021" i="5"/>
  <c r="M2040" i="5" l="1"/>
  <c r="D2046" i="5"/>
  <c r="M2046" i="5"/>
  <c r="H2046" i="5"/>
  <c r="J2046" i="5"/>
  <c r="B2045" i="5"/>
  <c r="M2045" i="5"/>
  <c r="H2045" i="5"/>
  <c r="J2045" i="5"/>
  <c r="B2047" i="5"/>
  <c r="M2047" i="5"/>
  <c r="H2047" i="5"/>
  <c r="J2047" i="5"/>
  <c r="M2017" i="5"/>
  <c r="N2017" i="5" s="1"/>
  <c r="M2055" i="5"/>
  <c r="N2055" i="5" s="1"/>
  <c r="J2043" i="5"/>
  <c r="H2037" i="5"/>
  <c r="J2035" i="5"/>
  <c r="M2069" i="5"/>
  <c r="M2067" i="5"/>
  <c r="J1990" i="5"/>
  <c r="H1988" i="5"/>
  <c r="M2068" i="5"/>
  <c r="N2068" i="5" s="1"/>
  <c r="M2066" i="5"/>
  <c r="N2066" i="5" s="1"/>
  <c r="J2068" i="5"/>
  <c r="J2066" i="5"/>
  <c r="J1986" i="5"/>
  <c r="J2055" i="5"/>
  <c r="H1991" i="5"/>
  <c r="I1991" i="5" s="1"/>
  <c r="M1985" i="5"/>
  <c r="H2055" i="5"/>
  <c r="J2065" i="5"/>
  <c r="K2065" i="5" s="1"/>
  <c r="H2054" i="5"/>
  <c r="M2044" i="5"/>
  <c r="M2038" i="5"/>
  <c r="M2034" i="5"/>
  <c r="D2029" i="5"/>
  <c r="B2030" i="5"/>
  <c r="D2031" i="5"/>
  <c r="B2032" i="5"/>
  <c r="D2033" i="5"/>
  <c r="B2034" i="5"/>
  <c r="D2035" i="5"/>
  <c r="B2036" i="5"/>
  <c r="D2037" i="5"/>
  <c r="B2038" i="5"/>
  <c r="D2039" i="5"/>
  <c r="B2040" i="5"/>
  <c r="N2040" i="5" s="1"/>
  <c r="D2041" i="5"/>
  <c r="B2042" i="5"/>
  <c r="D2043" i="5"/>
  <c r="B2044" i="5"/>
  <c r="D2045" i="5"/>
  <c r="K2045" i="5" s="1"/>
  <c r="B2046" i="5"/>
  <c r="N2046" i="5" s="1"/>
  <c r="D2047" i="5"/>
  <c r="B2054" i="5"/>
  <c r="N2054" i="5" s="1"/>
  <c r="D2055" i="5"/>
  <c r="D2064" i="5"/>
  <c r="B2065" i="5"/>
  <c r="D2066" i="5"/>
  <c r="B2067" i="5"/>
  <c r="D2068" i="5"/>
  <c r="B2069" i="5"/>
  <c r="E2032" i="5"/>
  <c r="F2032" i="5" s="1"/>
  <c r="E2040" i="5"/>
  <c r="F2040" i="5" s="1"/>
  <c r="E2044" i="5"/>
  <c r="F2044" i="5" s="1"/>
  <c r="E2046" i="5"/>
  <c r="E2054" i="5"/>
  <c r="J2067" i="5"/>
  <c r="K2067" i="5" s="1"/>
  <c r="E2029" i="5"/>
  <c r="F2029" i="5" s="1"/>
  <c r="E2031" i="5"/>
  <c r="F2031" i="5" s="1"/>
  <c r="E2033" i="5"/>
  <c r="F2033" i="5" s="1"/>
  <c r="E2035" i="5"/>
  <c r="F2035" i="5" s="1"/>
  <c r="E2037" i="5"/>
  <c r="F2037" i="5" s="1"/>
  <c r="E2039" i="5"/>
  <c r="F2039" i="5" s="1"/>
  <c r="E2041" i="5"/>
  <c r="E2043" i="5"/>
  <c r="F2043" i="5" s="1"/>
  <c r="E2045" i="5"/>
  <c r="E2047" i="5"/>
  <c r="E2055" i="5"/>
  <c r="E2034" i="5"/>
  <c r="F2034" i="5" s="1"/>
  <c r="E2036" i="5"/>
  <c r="F2036" i="5" s="1"/>
  <c r="E2038" i="5"/>
  <c r="E2042" i="5"/>
  <c r="F2042" i="5" s="1"/>
  <c r="J2069" i="5"/>
  <c r="K2069" i="5" s="1"/>
  <c r="M2065" i="5"/>
  <c r="J2054" i="5"/>
  <c r="K2054" i="5" s="1"/>
  <c r="M2042" i="5"/>
  <c r="M2036" i="5"/>
  <c r="J2003" i="5"/>
  <c r="H2003" i="5"/>
  <c r="J1985" i="5"/>
  <c r="D1985" i="5"/>
  <c r="H1985" i="5"/>
  <c r="I1985" i="5" s="1"/>
  <c r="D2015" i="5"/>
  <c r="J2064" i="5"/>
  <c r="F1981" i="5"/>
  <c r="F1983" i="5"/>
  <c r="M2001" i="5"/>
  <c r="N2001" i="5" s="1"/>
  <c r="M1989" i="5"/>
  <c r="M1987" i="5"/>
  <c r="J2001" i="5"/>
  <c r="J1989" i="5"/>
  <c r="D1989" i="5"/>
  <c r="D2001" i="5"/>
  <c r="H2001" i="5"/>
  <c r="H1989" i="5"/>
  <c r="I1989" i="5" s="1"/>
  <c r="D1986" i="5"/>
  <c r="H1987" i="5"/>
  <c r="I1987" i="5" s="1"/>
  <c r="D1988" i="5"/>
  <c r="K1988" i="5" s="1"/>
  <c r="D2003" i="5"/>
  <c r="D2017" i="5"/>
  <c r="K2017" i="5" s="1"/>
  <c r="D1981" i="5"/>
  <c r="B1985" i="5"/>
  <c r="D1987" i="5"/>
  <c r="D2016" i="5"/>
  <c r="M1991" i="5"/>
  <c r="B1983" i="5"/>
  <c r="B1991" i="5"/>
  <c r="B1981" i="5"/>
  <c r="D1984" i="5"/>
  <c r="B1989" i="5"/>
  <c r="J1991" i="5"/>
  <c r="M1988" i="5"/>
  <c r="J1987" i="5"/>
  <c r="D1982" i="5"/>
  <c r="D1983" i="5"/>
  <c r="B1987" i="5"/>
  <c r="D1990" i="5"/>
  <c r="D1991" i="5"/>
  <c r="B2015" i="5"/>
  <c r="D2018" i="5"/>
  <c r="K2018" i="5" s="1"/>
  <c r="M2064" i="5"/>
  <c r="N2064" i="5" s="1"/>
  <c r="H2039" i="5"/>
  <c r="M2039" i="5"/>
  <c r="N2039" i="5" s="1"/>
  <c r="G2027" i="5"/>
  <c r="L2038" i="5" s="1"/>
  <c r="O2027" i="5"/>
  <c r="P2027" i="5" s="1"/>
  <c r="M2033" i="5"/>
  <c r="J2033" i="5"/>
  <c r="M2041" i="5"/>
  <c r="N2041" i="5" s="1"/>
  <c r="J2041" i="5"/>
  <c r="H2035" i="5"/>
  <c r="M2035" i="5"/>
  <c r="H2043" i="5"/>
  <c r="M2043" i="5"/>
  <c r="N2043" i="5" s="1"/>
  <c r="L2052" i="5"/>
  <c r="H2041" i="5"/>
  <c r="J2039" i="5"/>
  <c r="H2033" i="5"/>
  <c r="M2037" i="5"/>
  <c r="J2037" i="5"/>
  <c r="M2052" i="5"/>
  <c r="J2044" i="5"/>
  <c r="H2042" i="5"/>
  <c r="J2040" i="5"/>
  <c r="H2038" i="5"/>
  <c r="J2036" i="5"/>
  <c r="K2036" i="5" s="1"/>
  <c r="H2034" i="5"/>
  <c r="K2052" i="5"/>
  <c r="H2044" i="5"/>
  <c r="J2042" i="5"/>
  <c r="K2042" i="5" s="1"/>
  <c r="H2040" i="5"/>
  <c r="J2038" i="5"/>
  <c r="K2038" i="5" s="1"/>
  <c r="H2036" i="5"/>
  <c r="J2034" i="5"/>
  <c r="K2034" i="5" s="1"/>
  <c r="F1989" i="5"/>
  <c r="F1987" i="5"/>
  <c r="F1985" i="5"/>
  <c r="F1991" i="5"/>
  <c r="J2002" i="5"/>
  <c r="K2002" i="5" s="1"/>
  <c r="E1988" i="5"/>
  <c r="E1990" i="5"/>
  <c r="F1990" i="5" s="1"/>
  <c r="B2002" i="5"/>
  <c r="M1990" i="5"/>
  <c r="B1986" i="5"/>
  <c r="E2001" i="5"/>
  <c r="E2003" i="5"/>
  <c r="F2003" i="5" s="1"/>
  <c r="B2016" i="5"/>
  <c r="B2018" i="5"/>
  <c r="E2002" i="5"/>
  <c r="F2002" i="5" s="1"/>
  <c r="E1982" i="5"/>
  <c r="F1982" i="5" s="1"/>
  <c r="E1984" i="5"/>
  <c r="F1984" i="5" s="1"/>
  <c r="E1986" i="5"/>
  <c r="F1986" i="5" s="1"/>
  <c r="M2018" i="5"/>
  <c r="M2002" i="5"/>
  <c r="M1986" i="5"/>
  <c r="B1988" i="5"/>
  <c r="B1990" i="5"/>
  <c r="M2003" i="5"/>
  <c r="N2003" i="5" s="1"/>
  <c r="H2002" i="5"/>
  <c r="P1979" i="5"/>
  <c r="G1979" i="5"/>
  <c r="L2017" i="5" s="1"/>
  <c r="J2032" i="5"/>
  <c r="J2031" i="5"/>
  <c r="J2030" i="5"/>
  <c r="J2029" i="5"/>
  <c r="M2032" i="5"/>
  <c r="M2031" i="5"/>
  <c r="M2030" i="5"/>
  <c r="M2029" i="5"/>
  <c r="N2029" i="5" s="1"/>
  <c r="H2032" i="5"/>
  <c r="H2031" i="5"/>
  <c r="H2029" i="5"/>
  <c r="J2015" i="5"/>
  <c r="J1983" i="5"/>
  <c r="J1982" i="5"/>
  <c r="J2016" i="5"/>
  <c r="M2015" i="5"/>
  <c r="M1984" i="5"/>
  <c r="N1984" i="5" s="1"/>
  <c r="M1983" i="5"/>
  <c r="M1982" i="5"/>
  <c r="N1982" i="5" s="1"/>
  <c r="M1981" i="5"/>
  <c r="J1984" i="5"/>
  <c r="J1981" i="5"/>
  <c r="M2016" i="5"/>
  <c r="H1984" i="5"/>
  <c r="H1983" i="5"/>
  <c r="I1983" i="5" s="1"/>
  <c r="H1982" i="5"/>
  <c r="H1981" i="5"/>
  <c r="I1981" i="5" s="1"/>
  <c r="K2041" i="5" l="1"/>
  <c r="K2047" i="5"/>
  <c r="N2069" i="5"/>
  <c r="N2047" i="5"/>
  <c r="N2045" i="5"/>
  <c r="K2046" i="5"/>
  <c r="K2043" i="5"/>
  <c r="K1986" i="5"/>
  <c r="K1990" i="5"/>
  <c r="F2047" i="5"/>
  <c r="I2047" i="5"/>
  <c r="F2046" i="5"/>
  <c r="I2046" i="5"/>
  <c r="F2045" i="5"/>
  <c r="I2045" i="5"/>
  <c r="N2067" i="5"/>
  <c r="K2035" i="5"/>
  <c r="K2068" i="5"/>
  <c r="N1985" i="5"/>
  <c r="K2033" i="5"/>
  <c r="K2003" i="5"/>
  <c r="K2066" i="5"/>
  <c r="I2031" i="5"/>
  <c r="I2032" i="5"/>
  <c r="N2032" i="5"/>
  <c r="I2039" i="5"/>
  <c r="K2055" i="5"/>
  <c r="N2038" i="5"/>
  <c r="L2030" i="5"/>
  <c r="I2034" i="5"/>
  <c r="N2042" i="5"/>
  <c r="I2002" i="5"/>
  <c r="N2015" i="5"/>
  <c r="I2042" i="5"/>
  <c r="K2039" i="5"/>
  <c r="K2064" i="5"/>
  <c r="N1988" i="5"/>
  <c r="I2043" i="5"/>
  <c r="I2035" i="5"/>
  <c r="K1985" i="5"/>
  <c r="N2044" i="5"/>
  <c r="N2034" i="5"/>
  <c r="I2037" i="5"/>
  <c r="N1987" i="5"/>
  <c r="I2054" i="5"/>
  <c r="I2038" i="5"/>
  <c r="I2055" i="5"/>
  <c r="I2041" i="5"/>
  <c r="I2029" i="5"/>
  <c r="K2037" i="5"/>
  <c r="N2036" i="5"/>
  <c r="L2032" i="5"/>
  <c r="L2054" i="5"/>
  <c r="N2065" i="5"/>
  <c r="F2038" i="5"/>
  <c r="F2055" i="5"/>
  <c r="F2041" i="5"/>
  <c r="L2036" i="5"/>
  <c r="L2055" i="5"/>
  <c r="F2054" i="5"/>
  <c r="L2044" i="5"/>
  <c r="L2042" i="5"/>
  <c r="I1990" i="5"/>
  <c r="K1984" i="5"/>
  <c r="K1989" i="5"/>
  <c r="K1987" i="5"/>
  <c r="K2001" i="5"/>
  <c r="N1989" i="5"/>
  <c r="I2003" i="5"/>
  <c r="I1982" i="5"/>
  <c r="I2001" i="5"/>
  <c r="N1991" i="5"/>
  <c r="N2031" i="5"/>
  <c r="K1991" i="5"/>
  <c r="N1981" i="5"/>
  <c r="N1990" i="5"/>
  <c r="N2016" i="5"/>
  <c r="K2016" i="5"/>
  <c r="N2030" i="5"/>
  <c r="N1983" i="5"/>
  <c r="I1986" i="5"/>
  <c r="K2032" i="5"/>
  <c r="I1984" i="5"/>
  <c r="L2040" i="5"/>
  <c r="K2044" i="5"/>
  <c r="I2033" i="5"/>
  <c r="I2044" i="5"/>
  <c r="I2036" i="5"/>
  <c r="I2052" i="5"/>
  <c r="N2033" i="5"/>
  <c r="L2049" i="5"/>
  <c r="L2065" i="5"/>
  <c r="L2069" i="5"/>
  <c r="L2035" i="5"/>
  <c r="L2043" i="5"/>
  <c r="L2031" i="5"/>
  <c r="L2039" i="5"/>
  <c r="L2064" i="5"/>
  <c r="L2067" i="5"/>
  <c r="L2066" i="5"/>
  <c r="L2029" i="5"/>
  <c r="L2033" i="5"/>
  <c r="L2037" i="5"/>
  <c r="L2041" i="5"/>
  <c r="L2068" i="5"/>
  <c r="K2040" i="5"/>
  <c r="N2037" i="5"/>
  <c r="N2035" i="5"/>
  <c r="L2034" i="5"/>
  <c r="I2040" i="5"/>
  <c r="F1988" i="5"/>
  <c r="W1979" i="5" s="1"/>
  <c r="I1988" i="5"/>
  <c r="F2001" i="5"/>
  <c r="L2002" i="5"/>
  <c r="L2001" i="5"/>
  <c r="L1989" i="5"/>
  <c r="N2002" i="5"/>
  <c r="L1986" i="5"/>
  <c r="L1990" i="5"/>
  <c r="L2018" i="5"/>
  <c r="L1987" i="5"/>
  <c r="L1988" i="5"/>
  <c r="L2003" i="5"/>
  <c r="L1991" i="5"/>
  <c r="N2018" i="5"/>
  <c r="N1986" i="5"/>
  <c r="L1985" i="5"/>
  <c r="K2029" i="5"/>
  <c r="K1981" i="5"/>
  <c r="K2030" i="5"/>
  <c r="K2031" i="5"/>
  <c r="L2015" i="5"/>
  <c r="L2016" i="5"/>
  <c r="L1981" i="5"/>
  <c r="L1982" i="5"/>
  <c r="L1983" i="5"/>
  <c r="L1984" i="5"/>
  <c r="U1979" i="5"/>
  <c r="K1983" i="5"/>
  <c r="K2015" i="5"/>
  <c r="K1982" i="5"/>
  <c r="F2060" i="5" l="1"/>
  <c r="F2011" i="5"/>
  <c r="X1979" i="5"/>
  <c r="T1979" i="5"/>
  <c r="V1979" i="5" s="1"/>
  <c r="F1997" i="5"/>
  <c r="F7" i="5" l="1"/>
  <c r="B47" i="2"/>
  <c r="C143" i="2" l="1"/>
  <c r="B143" i="2"/>
  <c r="C140" i="2"/>
  <c r="B140" i="2"/>
  <c r="C137" i="2"/>
  <c r="B137" i="2"/>
  <c r="C134" i="2"/>
  <c r="B134" i="2"/>
  <c r="C131" i="2"/>
  <c r="B131" i="2"/>
  <c r="C128" i="2"/>
  <c r="B128" i="2"/>
  <c r="C125" i="2"/>
  <c r="B125" i="2"/>
  <c r="C106" i="2"/>
  <c r="B106" i="2"/>
  <c r="C103" i="2"/>
  <c r="B103" i="2"/>
  <c r="C100" i="2"/>
  <c r="B100" i="2"/>
  <c r="C97" i="2"/>
  <c r="B97" i="2"/>
  <c r="C94" i="2"/>
  <c r="B94" i="2"/>
  <c r="C91" i="2"/>
  <c r="B91" i="2"/>
  <c r="C88" i="2"/>
  <c r="B88" i="2"/>
  <c r="B7" i="2" l="1"/>
  <c r="B14" i="2"/>
  <c r="C14" i="2"/>
  <c r="B17" i="2"/>
  <c r="C17" i="2"/>
  <c r="B20" i="2"/>
  <c r="C20" i="2"/>
  <c r="B23" i="2"/>
  <c r="C23" i="2"/>
  <c r="B26" i="2"/>
  <c r="C26" i="2"/>
  <c r="B29" i="2"/>
  <c r="C29" i="2"/>
  <c r="B32" i="2"/>
  <c r="C32" i="2"/>
  <c r="B51" i="2"/>
  <c r="C51" i="2"/>
  <c r="B54" i="2"/>
  <c r="C54" i="2"/>
  <c r="B57" i="2"/>
  <c r="C57" i="2"/>
  <c r="B60" i="2"/>
  <c r="C60" i="2"/>
  <c r="B63" i="2"/>
  <c r="C63" i="2"/>
  <c r="B66" i="2"/>
  <c r="C66" i="2"/>
  <c r="B69" i="2"/>
  <c r="C69" i="2"/>
  <c r="C48" i="5" l="1"/>
  <c r="C47" i="5"/>
  <c r="C38" i="5" l="1"/>
  <c r="C37" i="5"/>
  <c r="C33" i="5"/>
  <c r="C34" i="5"/>
  <c r="C336" i="5"/>
  <c r="A336" i="5"/>
  <c r="D336" i="5" s="1"/>
  <c r="C335" i="5"/>
  <c r="C321" i="5"/>
  <c r="C322" i="5"/>
  <c r="C288" i="5"/>
  <c r="C287" i="5"/>
  <c r="C36" i="5"/>
  <c r="C35" i="5"/>
  <c r="C4561" i="5"/>
  <c r="C4562" i="5"/>
  <c r="C2832" i="5" l="1"/>
  <c r="C2831" i="5"/>
  <c r="C1823" i="5"/>
  <c r="N12" i="6" l="1"/>
  <c r="N13" i="6"/>
  <c r="N14" i="6"/>
  <c r="N15" i="6"/>
  <c r="N16" i="6"/>
  <c r="N17" i="6"/>
  <c r="N18" i="6"/>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0" i="6"/>
  <c r="N171" i="6"/>
  <c r="N172" i="6"/>
  <c r="N173" i="6"/>
  <c r="N174" i="6"/>
  <c r="N175" i="6"/>
  <c r="N176" i="6"/>
  <c r="N177" i="6"/>
  <c r="N178" i="6"/>
  <c r="N181" i="6"/>
  <c r="N182" i="6"/>
  <c r="N183" i="6"/>
  <c r="N184" i="6"/>
  <c r="N185" i="6"/>
  <c r="N186" i="6"/>
  <c r="N187" i="6"/>
  <c r="N188" i="6"/>
  <c r="N189" i="6"/>
  <c r="N190" i="6"/>
  <c r="N191" i="6"/>
  <c r="N192" i="6"/>
  <c r="N193" i="6"/>
  <c r="N194" i="6"/>
  <c r="N195" i="6"/>
  <c r="N196" i="6"/>
  <c r="N197" i="6"/>
  <c r="N198" i="6"/>
  <c r="N199" i="6"/>
  <c r="N200" i="6"/>
  <c r="N10" i="6"/>
  <c r="M12" i="6"/>
  <c r="M13" i="6"/>
  <c r="M14" i="6"/>
  <c r="M15" i="6"/>
  <c r="M16" i="6"/>
  <c r="M17" i="6"/>
  <c r="M18" i="6"/>
  <c r="M19" i="6"/>
  <c r="M20" i="6"/>
  <c r="M21" i="6"/>
  <c r="M22" i="6"/>
  <c r="M23" i="6"/>
  <c r="M24" i="6"/>
  <c r="M25" i="6"/>
  <c r="M26" i="6"/>
  <c r="M27"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5" i="6"/>
  <c r="M116" i="6"/>
  <c r="M117" i="6"/>
  <c r="M118" i="6"/>
  <c r="M119" i="6"/>
  <c r="M120" i="6"/>
  <c r="M121" i="6"/>
  <c r="M122" i="6"/>
  <c r="M123" i="6"/>
  <c r="M124" i="6"/>
  <c r="M125" i="6"/>
  <c r="M126" i="6"/>
  <c r="M127" i="6"/>
  <c r="M128" i="6"/>
  <c r="M129" i="6"/>
  <c r="M130"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E38" i="5" l="1"/>
  <c r="E37" i="5"/>
  <c r="D38" i="5"/>
  <c r="B37" i="5"/>
  <c r="H753" i="5"/>
  <c r="E731" i="5"/>
  <c r="B731" i="5"/>
  <c r="A731" i="5"/>
  <c r="O731" i="5" s="1"/>
  <c r="N773" i="5"/>
  <c r="M773" i="5"/>
  <c r="L773" i="5"/>
  <c r="K773" i="5"/>
  <c r="J773" i="5"/>
  <c r="I773" i="5"/>
  <c r="H773" i="5"/>
  <c r="F773" i="5"/>
  <c r="N772" i="5"/>
  <c r="M772" i="5"/>
  <c r="L772" i="5"/>
  <c r="K772" i="5"/>
  <c r="J772" i="5"/>
  <c r="I772" i="5"/>
  <c r="H772" i="5"/>
  <c r="F772" i="5"/>
  <c r="N771" i="5"/>
  <c r="M771" i="5"/>
  <c r="L771" i="5"/>
  <c r="K771" i="5"/>
  <c r="J771" i="5"/>
  <c r="I771" i="5"/>
  <c r="H771" i="5"/>
  <c r="F771" i="5"/>
  <c r="N770" i="5"/>
  <c r="M770" i="5"/>
  <c r="L770" i="5"/>
  <c r="K770" i="5"/>
  <c r="J770" i="5"/>
  <c r="I770" i="5"/>
  <c r="H770" i="5"/>
  <c r="F770" i="5"/>
  <c r="N769" i="5"/>
  <c r="M769" i="5"/>
  <c r="L769" i="5"/>
  <c r="K769" i="5"/>
  <c r="J769" i="5"/>
  <c r="I769" i="5"/>
  <c r="H769" i="5"/>
  <c r="F769" i="5"/>
  <c r="N768" i="5"/>
  <c r="M768" i="5"/>
  <c r="L768" i="5"/>
  <c r="K768" i="5"/>
  <c r="J768" i="5"/>
  <c r="I768" i="5"/>
  <c r="H768" i="5"/>
  <c r="F768" i="5"/>
  <c r="N767" i="5"/>
  <c r="M767" i="5"/>
  <c r="L767" i="5"/>
  <c r="K767" i="5"/>
  <c r="J767" i="5"/>
  <c r="I767" i="5"/>
  <c r="H767" i="5"/>
  <c r="F767" i="5"/>
  <c r="F774" i="5" s="1"/>
  <c r="N762" i="5"/>
  <c r="M762" i="5"/>
  <c r="L762" i="5"/>
  <c r="K762" i="5"/>
  <c r="J762" i="5"/>
  <c r="I762" i="5"/>
  <c r="H762" i="5"/>
  <c r="F762" i="5"/>
  <c r="N761" i="5"/>
  <c r="M761" i="5"/>
  <c r="L761" i="5"/>
  <c r="K761" i="5"/>
  <c r="J761" i="5"/>
  <c r="I761" i="5"/>
  <c r="H761" i="5"/>
  <c r="F761" i="5"/>
  <c r="N760" i="5"/>
  <c r="M760" i="5"/>
  <c r="L760" i="5"/>
  <c r="K760" i="5"/>
  <c r="J760" i="5"/>
  <c r="I760" i="5"/>
  <c r="H760" i="5"/>
  <c r="F760" i="5"/>
  <c r="N759" i="5"/>
  <c r="M759" i="5"/>
  <c r="L759" i="5"/>
  <c r="K759" i="5"/>
  <c r="J759" i="5"/>
  <c r="I759" i="5"/>
  <c r="H759" i="5"/>
  <c r="F759" i="5"/>
  <c r="N758" i="5"/>
  <c r="M758" i="5"/>
  <c r="L758" i="5"/>
  <c r="K758" i="5"/>
  <c r="J758" i="5"/>
  <c r="I758" i="5"/>
  <c r="H758" i="5"/>
  <c r="F758" i="5"/>
  <c r="N757" i="5"/>
  <c r="M757" i="5"/>
  <c r="L757" i="5"/>
  <c r="K757" i="5"/>
  <c r="J757" i="5"/>
  <c r="I757" i="5"/>
  <c r="H757" i="5"/>
  <c r="F757" i="5"/>
  <c r="N756" i="5"/>
  <c r="M756" i="5"/>
  <c r="L756" i="5"/>
  <c r="K756" i="5"/>
  <c r="J756" i="5"/>
  <c r="I756" i="5"/>
  <c r="H756" i="5"/>
  <c r="F756" i="5"/>
  <c r="N755" i="5"/>
  <c r="M755" i="5"/>
  <c r="L755" i="5"/>
  <c r="K755" i="5"/>
  <c r="J755" i="5"/>
  <c r="I755" i="5"/>
  <c r="H755" i="5"/>
  <c r="F755" i="5"/>
  <c r="E753" i="5"/>
  <c r="F753" i="5" s="1"/>
  <c r="M754" i="5"/>
  <c r="J754" i="5"/>
  <c r="K754" i="5" s="1"/>
  <c r="I754" i="5"/>
  <c r="H754" i="5"/>
  <c r="F754" i="5"/>
  <c r="N754" i="5"/>
  <c r="N748" i="5"/>
  <c r="M748" i="5"/>
  <c r="L748" i="5"/>
  <c r="K748" i="5"/>
  <c r="J748" i="5"/>
  <c r="I748" i="5"/>
  <c r="H748" i="5"/>
  <c r="F748" i="5"/>
  <c r="N747" i="5"/>
  <c r="M747" i="5"/>
  <c r="L747" i="5"/>
  <c r="K747" i="5"/>
  <c r="J747" i="5"/>
  <c r="I747" i="5"/>
  <c r="H747" i="5"/>
  <c r="F747" i="5"/>
  <c r="N746" i="5"/>
  <c r="M746" i="5"/>
  <c r="L746" i="5"/>
  <c r="K746" i="5"/>
  <c r="J746" i="5"/>
  <c r="I746" i="5"/>
  <c r="H746" i="5"/>
  <c r="F746" i="5"/>
  <c r="N745" i="5"/>
  <c r="M745" i="5"/>
  <c r="L745" i="5"/>
  <c r="K745" i="5"/>
  <c r="J745" i="5"/>
  <c r="I745" i="5"/>
  <c r="H745" i="5"/>
  <c r="F745" i="5"/>
  <c r="N744" i="5"/>
  <c r="M744" i="5"/>
  <c r="L744" i="5"/>
  <c r="K744" i="5"/>
  <c r="J744" i="5"/>
  <c r="I744" i="5"/>
  <c r="H744" i="5"/>
  <c r="F744" i="5"/>
  <c r="N743" i="5"/>
  <c r="M743" i="5"/>
  <c r="L743" i="5"/>
  <c r="K743" i="5"/>
  <c r="J743" i="5"/>
  <c r="I743" i="5"/>
  <c r="H743" i="5"/>
  <c r="F743" i="5"/>
  <c r="N742" i="5"/>
  <c r="M742" i="5"/>
  <c r="L742" i="5"/>
  <c r="K742" i="5"/>
  <c r="J742" i="5"/>
  <c r="I742" i="5"/>
  <c r="H742" i="5"/>
  <c r="F742" i="5"/>
  <c r="N741" i="5"/>
  <c r="M741" i="5"/>
  <c r="L741" i="5"/>
  <c r="K741" i="5"/>
  <c r="J741" i="5"/>
  <c r="I741" i="5"/>
  <c r="H741" i="5"/>
  <c r="F741" i="5"/>
  <c r="N740" i="5"/>
  <c r="M740" i="5"/>
  <c r="L740" i="5"/>
  <c r="K740" i="5"/>
  <c r="J740" i="5"/>
  <c r="I740" i="5"/>
  <c r="H740" i="5"/>
  <c r="F740" i="5"/>
  <c r="N739" i="5"/>
  <c r="M739" i="5"/>
  <c r="L739" i="5"/>
  <c r="K739" i="5"/>
  <c r="J739" i="5"/>
  <c r="I739" i="5"/>
  <c r="H739" i="5"/>
  <c r="F739" i="5"/>
  <c r="N738" i="5"/>
  <c r="M738" i="5"/>
  <c r="L738" i="5"/>
  <c r="K738" i="5"/>
  <c r="J738" i="5"/>
  <c r="I738" i="5"/>
  <c r="H738" i="5"/>
  <c r="F738" i="5"/>
  <c r="N737" i="5"/>
  <c r="M737" i="5"/>
  <c r="L737" i="5"/>
  <c r="K737" i="5"/>
  <c r="J737" i="5"/>
  <c r="I737" i="5"/>
  <c r="H737" i="5"/>
  <c r="F737" i="5"/>
  <c r="N736" i="5"/>
  <c r="M736" i="5"/>
  <c r="L736" i="5"/>
  <c r="K736" i="5"/>
  <c r="J736" i="5"/>
  <c r="I736" i="5"/>
  <c r="H736" i="5"/>
  <c r="F736" i="5"/>
  <c r="N735" i="5"/>
  <c r="M735" i="5"/>
  <c r="L735" i="5"/>
  <c r="K735" i="5"/>
  <c r="J735" i="5"/>
  <c r="I735" i="5"/>
  <c r="H735" i="5"/>
  <c r="F735" i="5"/>
  <c r="N734" i="5"/>
  <c r="M734" i="5"/>
  <c r="L734" i="5"/>
  <c r="K734" i="5"/>
  <c r="J734" i="5"/>
  <c r="I734" i="5"/>
  <c r="H734" i="5"/>
  <c r="F734" i="5"/>
  <c r="N733" i="5"/>
  <c r="M733" i="5"/>
  <c r="L733" i="5"/>
  <c r="K733" i="5"/>
  <c r="J733" i="5"/>
  <c r="I733" i="5"/>
  <c r="H733" i="5"/>
  <c r="F733" i="5"/>
  <c r="F749" i="5" s="1"/>
  <c r="I753" i="5" l="1"/>
  <c r="Y731" i="5"/>
  <c r="X731" i="5"/>
  <c r="J753" i="5"/>
  <c r="B38" i="5"/>
  <c r="D37" i="5"/>
  <c r="F763" i="5"/>
  <c r="W731" i="5"/>
  <c r="B753" i="5"/>
  <c r="M753" i="5"/>
  <c r="D753" i="5"/>
  <c r="P731" i="5"/>
  <c r="K753" i="5" l="1"/>
  <c r="N753" i="5"/>
  <c r="F37" i="5" l="1"/>
  <c r="H1855" i="5"/>
  <c r="N1866" i="5"/>
  <c r="M1866" i="5"/>
  <c r="L1866" i="5"/>
  <c r="K1866" i="5"/>
  <c r="J1866" i="5"/>
  <c r="I1866" i="5"/>
  <c r="H1866" i="5"/>
  <c r="N1865" i="5"/>
  <c r="M1865" i="5"/>
  <c r="L1865" i="5"/>
  <c r="K1865" i="5"/>
  <c r="J1865" i="5"/>
  <c r="I1865" i="5"/>
  <c r="H1865" i="5"/>
  <c r="N1864" i="5"/>
  <c r="M1864" i="5"/>
  <c r="L1864" i="5"/>
  <c r="K1864" i="5"/>
  <c r="J1864" i="5"/>
  <c r="I1864" i="5"/>
  <c r="H1864" i="5"/>
  <c r="N1863" i="5"/>
  <c r="M1863" i="5"/>
  <c r="L1863" i="5"/>
  <c r="K1863" i="5"/>
  <c r="J1863" i="5"/>
  <c r="I1863" i="5"/>
  <c r="H1863" i="5"/>
  <c r="N1862" i="5"/>
  <c r="M1862" i="5"/>
  <c r="L1862" i="5"/>
  <c r="K1862" i="5"/>
  <c r="J1862" i="5"/>
  <c r="I1862" i="5"/>
  <c r="H1862" i="5"/>
  <c r="N1861" i="5"/>
  <c r="M1861" i="5"/>
  <c r="K1861" i="5"/>
  <c r="J1861" i="5"/>
  <c r="I1861" i="5"/>
  <c r="H1861" i="5"/>
  <c r="N1860" i="5"/>
  <c r="M1860" i="5"/>
  <c r="K1860" i="5"/>
  <c r="J1860" i="5"/>
  <c r="I1860" i="5"/>
  <c r="H1860" i="5"/>
  <c r="N1859" i="5"/>
  <c r="M1859" i="5"/>
  <c r="L1859" i="5"/>
  <c r="K1859" i="5"/>
  <c r="J1859" i="5"/>
  <c r="I1859" i="5"/>
  <c r="H1859" i="5"/>
  <c r="N1858" i="5"/>
  <c r="M1858" i="5"/>
  <c r="L1858" i="5"/>
  <c r="K1858" i="5"/>
  <c r="J1858" i="5"/>
  <c r="I1858" i="5"/>
  <c r="H1858" i="5"/>
  <c r="M1857" i="5"/>
  <c r="J1857" i="5"/>
  <c r="K1857" i="5" s="1"/>
  <c r="H1857" i="5"/>
  <c r="I1857" i="5" s="1"/>
  <c r="N1962" i="5"/>
  <c r="M1962" i="5"/>
  <c r="L1962" i="5"/>
  <c r="K1962" i="5"/>
  <c r="J1962" i="5"/>
  <c r="I1962" i="5"/>
  <c r="H1962" i="5"/>
  <c r="N1961" i="5"/>
  <c r="M1961" i="5"/>
  <c r="L1961" i="5"/>
  <c r="K1961" i="5"/>
  <c r="J1961" i="5"/>
  <c r="I1961" i="5"/>
  <c r="H1961" i="5"/>
  <c r="N1960" i="5"/>
  <c r="M1960" i="5"/>
  <c r="L1960" i="5"/>
  <c r="K1960" i="5"/>
  <c r="J1960" i="5"/>
  <c r="I1960" i="5"/>
  <c r="H1960" i="5"/>
  <c r="N1959" i="5"/>
  <c r="M1959" i="5"/>
  <c r="L1959" i="5"/>
  <c r="K1959" i="5"/>
  <c r="J1959" i="5"/>
  <c r="I1959" i="5"/>
  <c r="H1959" i="5"/>
  <c r="N1958" i="5"/>
  <c r="M1958" i="5"/>
  <c r="L1958" i="5"/>
  <c r="K1958" i="5"/>
  <c r="J1958" i="5"/>
  <c r="I1958" i="5"/>
  <c r="H1958" i="5"/>
  <c r="N1957" i="5"/>
  <c r="M1957" i="5"/>
  <c r="L1957" i="5"/>
  <c r="K1957" i="5"/>
  <c r="J1957" i="5"/>
  <c r="I1957" i="5"/>
  <c r="H1957" i="5"/>
  <c r="N1956" i="5"/>
  <c r="M1956" i="5"/>
  <c r="L1956" i="5"/>
  <c r="K1956" i="5"/>
  <c r="J1956" i="5"/>
  <c r="I1956" i="5"/>
  <c r="H1956" i="5"/>
  <c r="N1955" i="5"/>
  <c r="M1955" i="5"/>
  <c r="L1955" i="5"/>
  <c r="K1955" i="5"/>
  <c r="J1955" i="5"/>
  <c r="I1955" i="5"/>
  <c r="H1955" i="5"/>
  <c r="N1954" i="5"/>
  <c r="M1954" i="5"/>
  <c r="L1954" i="5"/>
  <c r="K1954" i="5"/>
  <c r="J1954" i="5"/>
  <c r="I1954" i="5"/>
  <c r="H1954" i="5"/>
  <c r="N1953" i="5"/>
  <c r="M1953" i="5"/>
  <c r="L1953" i="5"/>
  <c r="K1953" i="5"/>
  <c r="J1953" i="5"/>
  <c r="I1953" i="5"/>
  <c r="H1953" i="5"/>
  <c r="H1906" i="5"/>
  <c r="I1906" i="5"/>
  <c r="J1906" i="5"/>
  <c r="K1906" i="5"/>
  <c r="L1906" i="5"/>
  <c r="M1906" i="5"/>
  <c r="N1906" i="5"/>
  <c r="H1907" i="5"/>
  <c r="I1907" i="5"/>
  <c r="J1907" i="5"/>
  <c r="K1907" i="5"/>
  <c r="L1907" i="5"/>
  <c r="M1907" i="5"/>
  <c r="N1907" i="5"/>
  <c r="H1908" i="5"/>
  <c r="I1908" i="5"/>
  <c r="J1908" i="5"/>
  <c r="K1908" i="5"/>
  <c r="L1908" i="5"/>
  <c r="M1908" i="5"/>
  <c r="N1908" i="5"/>
  <c r="H1909" i="5"/>
  <c r="I1909" i="5"/>
  <c r="J1909" i="5"/>
  <c r="K1909" i="5"/>
  <c r="L1909" i="5"/>
  <c r="M1909" i="5"/>
  <c r="N1909" i="5"/>
  <c r="H1910" i="5"/>
  <c r="I1910" i="5"/>
  <c r="J1910" i="5"/>
  <c r="K1910" i="5"/>
  <c r="L1910" i="5"/>
  <c r="M1910" i="5"/>
  <c r="N1910" i="5"/>
  <c r="H1911" i="5"/>
  <c r="I1911" i="5"/>
  <c r="J1911" i="5"/>
  <c r="K1911" i="5"/>
  <c r="L1911" i="5"/>
  <c r="M1911" i="5"/>
  <c r="N1911" i="5"/>
  <c r="H1912" i="5"/>
  <c r="I1912" i="5"/>
  <c r="J1912" i="5"/>
  <c r="K1912" i="5"/>
  <c r="L1912" i="5"/>
  <c r="M1912" i="5"/>
  <c r="N1912" i="5"/>
  <c r="H1913" i="5"/>
  <c r="I1913" i="5"/>
  <c r="J1913" i="5"/>
  <c r="K1913" i="5"/>
  <c r="L1913" i="5"/>
  <c r="M1913" i="5"/>
  <c r="N1913" i="5"/>
  <c r="H1914" i="5"/>
  <c r="I1914" i="5"/>
  <c r="J1914" i="5"/>
  <c r="K1914" i="5"/>
  <c r="L1914" i="5"/>
  <c r="M1914" i="5"/>
  <c r="N1914" i="5"/>
  <c r="M1905" i="5"/>
  <c r="J1905" i="5"/>
  <c r="K1905" i="5" s="1"/>
  <c r="H1905" i="5"/>
  <c r="I1905" i="5" s="1"/>
  <c r="E5920" i="5" l="1"/>
  <c r="E5919" i="5"/>
  <c r="E36" i="5"/>
  <c r="E35" i="5"/>
  <c r="C5649" i="5"/>
  <c r="B5650" i="5"/>
  <c r="H2030" i="5" l="1"/>
  <c r="E2030" i="5"/>
  <c r="F2030" i="5" s="1"/>
  <c r="M114" i="6"/>
  <c r="M28" i="6"/>
  <c r="I2030" i="5" l="1"/>
  <c r="F2050" i="5"/>
  <c r="W2027" i="5"/>
  <c r="N1905" i="5"/>
  <c r="F36" i="5" l="1"/>
  <c r="F35" i="5"/>
  <c r="D5697" i="5" l="1"/>
  <c r="B5677" i="5"/>
  <c r="F5711" i="5"/>
  <c r="E5711" i="5"/>
  <c r="D5711" i="5"/>
  <c r="B5711" i="5"/>
  <c r="F5663" i="5"/>
  <c r="E5663" i="5"/>
  <c r="D5663" i="5"/>
  <c r="B5663" i="5"/>
  <c r="E5649" i="5"/>
  <c r="F5649" i="5" s="1"/>
  <c r="D5649" i="5"/>
  <c r="B5649" i="5"/>
  <c r="F5629" i="5"/>
  <c r="E5629" i="5"/>
  <c r="D5629" i="5"/>
  <c r="B5629" i="5"/>
  <c r="E4257" i="5"/>
  <c r="B4272" i="5"/>
  <c r="N4272" i="5" s="1"/>
  <c r="D4272" i="5"/>
  <c r="E4272" i="5"/>
  <c r="F4272" i="5"/>
  <c r="B4273" i="5"/>
  <c r="N4273" i="5" s="1"/>
  <c r="D4273" i="5"/>
  <c r="E4273" i="5"/>
  <c r="F4273" i="5"/>
  <c r="B4274" i="5"/>
  <c r="N4274" i="5" s="1"/>
  <c r="D4274" i="5"/>
  <c r="E4274" i="5"/>
  <c r="F4274" i="5"/>
  <c r="B4275" i="5"/>
  <c r="N4275" i="5" s="1"/>
  <c r="D4275" i="5"/>
  <c r="E4275" i="5"/>
  <c r="F4275" i="5"/>
  <c r="B4276" i="5"/>
  <c r="N4276" i="5" s="1"/>
  <c r="D4276" i="5"/>
  <c r="E4276" i="5"/>
  <c r="F4276" i="5"/>
  <c r="B4277" i="5"/>
  <c r="N4277" i="5" s="1"/>
  <c r="D4277" i="5"/>
  <c r="E4277" i="5"/>
  <c r="F4277" i="5"/>
  <c r="B4258" i="5"/>
  <c r="N4258" i="5" s="1"/>
  <c r="D4258" i="5"/>
  <c r="E4258" i="5"/>
  <c r="F4258" i="5"/>
  <c r="B4259" i="5"/>
  <c r="N4259" i="5" s="1"/>
  <c r="D4259" i="5"/>
  <c r="E4259" i="5"/>
  <c r="F4259" i="5"/>
  <c r="B4260" i="5"/>
  <c r="N4260" i="5" s="1"/>
  <c r="D4260" i="5"/>
  <c r="E4260" i="5"/>
  <c r="F4260" i="5"/>
  <c r="B4261" i="5"/>
  <c r="N4261" i="5" s="1"/>
  <c r="D4261" i="5"/>
  <c r="E4261" i="5"/>
  <c r="F4261" i="5"/>
  <c r="B4262" i="5"/>
  <c r="N4262" i="5" s="1"/>
  <c r="D4262" i="5"/>
  <c r="E4262" i="5"/>
  <c r="F4262" i="5"/>
  <c r="B4263" i="5"/>
  <c r="N4263" i="5" s="1"/>
  <c r="D4263" i="5"/>
  <c r="E4263" i="5"/>
  <c r="F4263" i="5"/>
  <c r="B4264" i="5"/>
  <c r="N4264" i="5" s="1"/>
  <c r="D4264" i="5"/>
  <c r="E4264" i="5"/>
  <c r="F4264" i="5"/>
  <c r="B4265" i="5"/>
  <c r="N4265" i="5" s="1"/>
  <c r="D4265" i="5"/>
  <c r="E4265" i="5"/>
  <c r="F4265" i="5"/>
  <c r="B4266" i="5"/>
  <c r="N4266" i="5" s="1"/>
  <c r="D4266" i="5"/>
  <c r="E4266" i="5"/>
  <c r="F4266" i="5"/>
  <c r="B4238" i="5"/>
  <c r="N4238" i="5" s="1"/>
  <c r="D4238" i="5"/>
  <c r="E4238" i="5"/>
  <c r="F4238" i="5"/>
  <c r="B4239" i="5"/>
  <c r="N4239" i="5" s="1"/>
  <c r="D4239" i="5"/>
  <c r="E4239" i="5"/>
  <c r="F4239" i="5"/>
  <c r="B4240" i="5"/>
  <c r="N4240" i="5" s="1"/>
  <c r="D4240" i="5"/>
  <c r="E4240" i="5"/>
  <c r="F4240" i="5"/>
  <c r="B4241" i="5"/>
  <c r="N4241" i="5" s="1"/>
  <c r="D4241" i="5"/>
  <c r="E4241" i="5"/>
  <c r="F4241" i="5"/>
  <c r="B4242" i="5"/>
  <c r="N4242" i="5" s="1"/>
  <c r="D4242" i="5"/>
  <c r="E4242" i="5"/>
  <c r="F4242" i="5"/>
  <c r="B4243" i="5"/>
  <c r="N4243" i="5" s="1"/>
  <c r="D4243" i="5"/>
  <c r="E4243" i="5"/>
  <c r="F4243" i="5"/>
  <c r="B4244" i="5"/>
  <c r="N4244" i="5" s="1"/>
  <c r="D4244" i="5"/>
  <c r="E4244" i="5"/>
  <c r="F4244" i="5"/>
  <c r="B4245" i="5"/>
  <c r="N4245" i="5" s="1"/>
  <c r="D4245" i="5"/>
  <c r="E4245" i="5"/>
  <c r="F4245" i="5"/>
  <c r="B4246" i="5"/>
  <c r="D4246" i="5"/>
  <c r="E4246" i="5"/>
  <c r="F4246" i="5"/>
  <c r="B4247" i="5"/>
  <c r="N4247" i="5" s="1"/>
  <c r="D4247" i="5"/>
  <c r="E4247" i="5"/>
  <c r="F4247" i="5"/>
  <c r="B4248" i="5"/>
  <c r="N4248" i="5" s="1"/>
  <c r="D4248" i="5"/>
  <c r="E4248" i="5"/>
  <c r="F4248" i="5"/>
  <c r="B4249" i="5"/>
  <c r="N4249" i="5" s="1"/>
  <c r="D4249" i="5"/>
  <c r="E4249" i="5"/>
  <c r="F4249" i="5"/>
  <c r="B4250" i="5"/>
  <c r="N4250" i="5" s="1"/>
  <c r="D4250" i="5"/>
  <c r="E4250" i="5"/>
  <c r="F4250" i="5"/>
  <c r="B4251" i="5"/>
  <c r="N4251" i="5" s="1"/>
  <c r="D4251" i="5"/>
  <c r="E4251" i="5"/>
  <c r="F4251" i="5"/>
  <c r="B4252" i="5"/>
  <c r="N4252" i="5" s="1"/>
  <c r="D4252" i="5"/>
  <c r="E4252" i="5"/>
  <c r="F4252" i="5"/>
  <c r="E4271" i="5"/>
  <c r="F4271" i="5" s="1"/>
  <c r="D4271" i="5"/>
  <c r="B4271" i="5"/>
  <c r="N4271" i="5" s="1"/>
  <c r="E4237" i="5"/>
  <c r="F4237" i="5" s="1"/>
  <c r="D4237" i="5"/>
  <c r="B4237" i="5"/>
  <c r="N4237" i="5" s="1"/>
  <c r="E4235" i="5"/>
  <c r="B4235" i="5"/>
  <c r="A4235" i="5"/>
  <c r="O4235" i="5" s="1"/>
  <c r="M4277" i="5"/>
  <c r="L4277" i="5"/>
  <c r="K4277" i="5"/>
  <c r="J4277" i="5"/>
  <c r="I4277" i="5"/>
  <c r="H4277" i="5"/>
  <c r="M4276" i="5"/>
  <c r="L4276" i="5"/>
  <c r="K4276" i="5"/>
  <c r="J4276" i="5"/>
  <c r="I4276" i="5"/>
  <c r="H4276" i="5"/>
  <c r="M4275" i="5"/>
  <c r="L4275" i="5"/>
  <c r="K4275" i="5"/>
  <c r="J4275" i="5"/>
  <c r="I4275" i="5"/>
  <c r="H4275" i="5"/>
  <c r="M4274" i="5"/>
  <c r="L4274" i="5"/>
  <c r="K4274" i="5"/>
  <c r="J4274" i="5"/>
  <c r="I4274" i="5"/>
  <c r="H4274" i="5"/>
  <c r="M4273" i="5"/>
  <c r="L4273" i="5"/>
  <c r="K4273" i="5"/>
  <c r="J4273" i="5"/>
  <c r="I4273" i="5"/>
  <c r="H4273" i="5"/>
  <c r="M4272" i="5"/>
  <c r="H4272" i="5"/>
  <c r="I4272" i="5" s="1"/>
  <c r="M4271" i="5"/>
  <c r="H4271" i="5"/>
  <c r="I4271" i="5" s="1"/>
  <c r="M4266" i="5"/>
  <c r="L4266" i="5"/>
  <c r="K4266" i="5"/>
  <c r="J4266" i="5"/>
  <c r="I4266" i="5"/>
  <c r="H4266" i="5"/>
  <c r="M4265" i="5"/>
  <c r="L4265" i="5"/>
  <c r="K4265" i="5"/>
  <c r="J4265" i="5"/>
  <c r="I4265" i="5"/>
  <c r="H4265" i="5"/>
  <c r="M4264" i="5"/>
  <c r="L4264" i="5"/>
  <c r="K4264" i="5"/>
  <c r="J4264" i="5"/>
  <c r="I4264" i="5"/>
  <c r="H4264" i="5"/>
  <c r="M4263" i="5"/>
  <c r="L4263" i="5"/>
  <c r="K4263" i="5"/>
  <c r="J4263" i="5"/>
  <c r="I4263" i="5"/>
  <c r="H4263" i="5"/>
  <c r="M4262" i="5"/>
  <c r="L4262" i="5"/>
  <c r="K4262" i="5"/>
  <c r="J4262" i="5"/>
  <c r="I4262" i="5"/>
  <c r="H4262" i="5"/>
  <c r="M4261" i="5"/>
  <c r="L4261" i="5"/>
  <c r="K4261" i="5"/>
  <c r="J4261" i="5"/>
  <c r="I4261" i="5"/>
  <c r="H4261" i="5"/>
  <c r="M4260" i="5"/>
  <c r="L4260" i="5"/>
  <c r="K4260" i="5"/>
  <c r="J4260" i="5"/>
  <c r="I4260" i="5"/>
  <c r="H4260" i="5"/>
  <c r="M4259" i="5"/>
  <c r="L4259" i="5"/>
  <c r="K4259" i="5"/>
  <c r="J4259" i="5"/>
  <c r="I4259" i="5"/>
  <c r="H4259" i="5"/>
  <c r="M4258" i="5"/>
  <c r="L4258" i="5"/>
  <c r="K4258" i="5"/>
  <c r="J4258" i="5"/>
  <c r="I4258" i="5"/>
  <c r="H4258" i="5"/>
  <c r="M4252" i="5"/>
  <c r="L4252" i="5"/>
  <c r="K4252" i="5"/>
  <c r="J4252" i="5"/>
  <c r="I4252" i="5"/>
  <c r="H4252" i="5"/>
  <c r="M4251" i="5"/>
  <c r="L4251" i="5"/>
  <c r="K4251" i="5"/>
  <c r="J4251" i="5"/>
  <c r="I4251" i="5"/>
  <c r="H4251" i="5"/>
  <c r="M4250" i="5"/>
  <c r="L4250" i="5"/>
  <c r="K4250" i="5"/>
  <c r="J4250" i="5"/>
  <c r="I4250" i="5"/>
  <c r="H4250" i="5"/>
  <c r="M4249" i="5"/>
  <c r="L4249" i="5"/>
  <c r="K4249" i="5"/>
  <c r="J4249" i="5"/>
  <c r="I4249" i="5"/>
  <c r="H4249" i="5"/>
  <c r="M4248" i="5"/>
  <c r="L4248" i="5"/>
  <c r="K4248" i="5"/>
  <c r="J4248" i="5"/>
  <c r="I4248" i="5"/>
  <c r="H4248" i="5"/>
  <c r="M4247" i="5"/>
  <c r="L4247" i="5"/>
  <c r="K4247" i="5"/>
  <c r="J4247" i="5"/>
  <c r="I4247" i="5"/>
  <c r="H4247" i="5"/>
  <c r="M4245" i="5"/>
  <c r="L4245" i="5"/>
  <c r="K4245" i="5"/>
  <c r="J4245" i="5"/>
  <c r="I4245" i="5"/>
  <c r="H4245" i="5"/>
  <c r="M4244" i="5"/>
  <c r="L4244" i="5"/>
  <c r="K4244" i="5"/>
  <c r="J4244" i="5"/>
  <c r="I4244" i="5"/>
  <c r="H4244" i="5"/>
  <c r="M4243" i="5"/>
  <c r="L4243" i="5"/>
  <c r="K4243" i="5"/>
  <c r="J4243" i="5"/>
  <c r="I4243" i="5"/>
  <c r="H4243" i="5"/>
  <c r="M4242" i="5"/>
  <c r="L4242" i="5"/>
  <c r="K4242" i="5"/>
  <c r="J4242" i="5"/>
  <c r="I4242" i="5"/>
  <c r="H4242" i="5"/>
  <c r="M4241" i="5"/>
  <c r="L4241" i="5"/>
  <c r="K4241" i="5"/>
  <c r="J4241" i="5"/>
  <c r="I4241" i="5"/>
  <c r="H4241" i="5"/>
  <c r="M4240" i="5"/>
  <c r="L4240" i="5"/>
  <c r="K4240" i="5"/>
  <c r="J4240" i="5"/>
  <c r="I4240" i="5"/>
  <c r="H4240" i="5"/>
  <c r="M4239" i="5"/>
  <c r="L4239" i="5"/>
  <c r="K4239" i="5"/>
  <c r="J4239" i="5"/>
  <c r="I4239" i="5"/>
  <c r="H4239" i="5"/>
  <c r="M4238" i="5"/>
  <c r="L4238" i="5"/>
  <c r="K4238" i="5"/>
  <c r="J4238" i="5"/>
  <c r="I4238" i="5"/>
  <c r="H4238" i="5"/>
  <c r="M4237" i="5"/>
  <c r="I4237" i="5"/>
  <c r="H4237" i="5"/>
  <c r="E5697" i="5" l="1"/>
  <c r="F5697" i="5" s="1"/>
  <c r="B5697" i="5"/>
  <c r="D5677" i="5"/>
  <c r="E5677" i="5"/>
  <c r="F5677" i="5" s="1"/>
  <c r="H4257" i="5"/>
  <c r="I4257" i="5" s="1"/>
  <c r="B4257" i="5"/>
  <c r="F4257" i="5"/>
  <c r="F4267" i="5" s="1"/>
  <c r="M4257" i="5"/>
  <c r="D4257" i="5"/>
  <c r="J4257" i="5"/>
  <c r="P4235" i="5"/>
  <c r="F4278" i="5"/>
  <c r="Y4235" i="5"/>
  <c r="W4235" i="5"/>
  <c r="F4253" i="5"/>
  <c r="J4237" i="5"/>
  <c r="K4237" i="5" s="1"/>
  <c r="J4271" i="5"/>
  <c r="K4271" i="5" s="1"/>
  <c r="J4272" i="5"/>
  <c r="K4272" i="5" s="1"/>
  <c r="G4235" i="5"/>
  <c r="L4257" i="5" s="1"/>
  <c r="X4235" i="5" l="1"/>
  <c r="K4257" i="5"/>
  <c r="N4257" i="5"/>
  <c r="L4272" i="5"/>
  <c r="L4271" i="5"/>
  <c r="L4237" i="5"/>
  <c r="U4235" i="5"/>
  <c r="T4235" i="5" l="1"/>
  <c r="V4235" i="5" s="1"/>
  <c r="A5531" i="5" l="1"/>
  <c r="B5698" i="5"/>
  <c r="N5698" i="5" s="1"/>
  <c r="D5698" i="5"/>
  <c r="E5698" i="5"/>
  <c r="F5698" i="5"/>
  <c r="B5699" i="5"/>
  <c r="N5699" i="5" s="1"/>
  <c r="D5699" i="5"/>
  <c r="E5699" i="5"/>
  <c r="F5699" i="5"/>
  <c r="B5700" i="5"/>
  <c r="N5700" i="5" s="1"/>
  <c r="D5700" i="5"/>
  <c r="E5700" i="5"/>
  <c r="F5700" i="5"/>
  <c r="B5701" i="5"/>
  <c r="N5701" i="5" s="1"/>
  <c r="D5701" i="5"/>
  <c r="E5701" i="5"/>
  <c r="F5701" i="5"/>
  <c r="B5702" i="5"/>
  <c r="N5702" i="5" s="1"/>
  <c r="D5702" i="5"/>
  <c r="E5702" i="5"/>
  <c r="F5702" i="5"/>
  <c r="B5703" i="5"/>
  <c r="N5703" i="5" s="1"/>
  <c r="D5703" i="5"/>
  <c r="E5703" i="5"/>
  <c r="F5703" i="5"/>
  <c r="B5704" i="5"/>
  <c r="N5704" i="5" s="1"/>
  <c r="D5704" i="5"/>
  <c r="E5704" i="5"/>
  <c r="F5704" i="5"/>
  <c r="B5705" i="5"/>
  <c r="N5705" i="5" s="1"/>
  <c r="D5705" i="5"/>
  <c r="E5705" i="5"/>
  <c r="F5705" i="5"/>
  <c r="B5706" i="5"/>
  <c r="N5706" i="5" s="1"/>
  <c r="D5706" i="5"/>
  <c r="E5706" i="5"/>
  <c r="F5706" i="5"/>
  <c r="B5678" i="5"/>
  <c r="D5678" i="5"/>
  <c r="E5678" i="5"/>
  <c r="F5678" i="5"/>
  <c r="B5679" i="5"/>
  <c r="D5679" i="5"/>
  <c r="E5679" i="5"/>
  <c r="F5679" i="5"/>
  <c r="B5680" i="5"/>
  <c r="D5680" i="5"/>
  <c r="E5680" i="5"/>
  <c r="F5680" i="5"/>
  <c r="B5681" i="5"/>
  <c r="N5681" i="5" s="1"/>
  <c r="D5681" i="5"/>
  <c r="E5681" i="5"/>
  <c r="F5681" i="5"/>
  <c r="B5682" i="5"/>
  <c r="N5682" i="5" s="1"/>
  <c r="D5682" i="5"/>
  <c r="E5682" i="5"/>
  <c r="F5682" i="5"/>
  <c r="B5683" i="5"/>
  <c r="N5683" i="5" s="1"/>
  <c r="D5683" i="5"/>
  <c r="E5683" i="5"/>
  <c r="F5683" i="5"/>
  <c r="B5684" i="5"/>
  <c r="N5684" i="5" s="1"/>
  <c r="D5684" i="5"/>
  <c r="E5684" i="5"/>
  <c r="F5684" i="5"/>
  <c r="B5685" i="5"/>
  <c r="N5685" i="5" s="1"/>
  <c r="D5685" i="5"/>
  <c r="E5685" i="5"/>
  <c r="F5685" i="5"/>
  <c r="B5686" i="5"/>
  <c r="N5686" i="5" s="1"/>
  <c r="D5686" i="5"/>
  <c r="E5686" i="5"/>
  <c r="F5686" i="5"/>
  <c r="B5687" i="5"/>
  <c r="N5687" i="5" s="1"/>
  <c r="D5687" i="5"/>
  <c r="E5687" i="5"/>
  <c r="F5687" i="5"/>
  <c r="B5688" i="5"/>
  <c r="N5688" i="5" s="1"/>
  <c r="D5688" i="5"/>
  <c r="E5688" i="5"/>
  <c r="F5688" i="5"/>
  <c r="B5689" i="5"/>
  <c r="N5689" i="5" s="1"/>
  <c r="D5689" i="5"/>
  <c r="E5689" i="5"/>
  <c r="F5689" i="5"/>
  <c r="B5690" i="5"/>
  <c r="N5690" i="5" s="1"/>
  <c r="D5690" i="5"/>
  <c r="E5690" i="5"/>
  <c r="F5690" i="5"/>
  <c r="B5691" i="5"/>
  <c r="N5691" i="5" s="1"/>
  <c r="D5691" i="5"/>
  <c r="E5691" i="5"/>
  <c r="F5691" i="5"/>
  <c r="B5692" i="5"/>
  <c r="N5692" i="5" s="1"/>
  <c r="D5692" i="5"/>
  <c r="E5692" i="5"/>
  <c r="F5692" i="5"/>
  <c r="D5664" i="5"/>
  <c r="E5664" i="5"/>
  <c r="F5664" i="5"/>
  <c r="D5665" i="5"/>
  <c r="E5665" i="5"/>
  <c r="F5665" i="5"/>
  <c r="D5666" i="5"/>
  <c r="E5666" i="5"/>
  <c r="F5666" i="5"/>
  <c r="D5667" i="5"/>
  <c r="E5667" i="5"/>
  <c r="F5667" i="5"/>
  <c r="D5668" i="5"/>
  <c r="E5668" i="5"/>
  <c r="F5668" i="5"/>
  <c r="D5669" i="5"/>
  <c r="E5669" i="5"/>
  <c r="F5669" i="5"/>
  <c r="D5650" i="5"/>
  <c r="E5650" i="5"/>
  <c r="F5650" i="5"/>
  <c r="D5651" i="5"/>
  <c r="E5651" i="5"/>
  <c r="F5651" i="5"/>
  <c r="D5652" i="5"/>
  <c r="E5652" i="5"/>
  <c r="F5652" i="5"/>
  <c r="D5653" i="5"/>
  <c r="E5653" i="5"/>
  <c r="F5653" i="5"/>
  <c r="D5654" i="5"/>
  <c r="E5654" i="5"/>
  <c r="F5654" i="5"/>
  <c r="D5655" i="5"/>
  <c r="E5655" i="5"/>
  <c r="F5655" i="5"/>
  <c r="D5656" i="5"/>
  <c r="E5656" i="5"/>
  <c r="F5656" i="5"/>
  <c r="D5657" i="5"/>
  <c r="E5657" i="5"/>
  <c r="F5657" i="5"/>
  <c r="D5658" i="5"/>
  <c r="E5658" i="5"/>
  <c r="F5658" i="5"/>
  <c r="F5630" i="5"/>
  <c r="F5631" i="5"/>
  <c r="F5632" i="5"/>
  <c r="F5633" i="5"/>
  <c r="F5634" i="5"/>
  <c r="F5635" i="5"/>
  <c r="F5636" i="5"/>
  <c r="F5637" i="5"/>
  <c r="F5638" i="5"/>
  <c r="F5639" i="5"/>
  <c r="F5640" i="5"/>
  <c r="F5641" i="5"/>
  <c r="F5642" i="5"/>
  <c r="F5643" i="5"/>
  <c r="F5644" i="5"/>
  <c r="E5630" i="5"/>
  <c r="E5631" i="5"/>
  <c r="E5632" i="5"/>
  <c r="E5633" i="5"/>
  <c r="E5634" i="5"/>
  <c r="E5635" i="5"/>
  <c r="E5636" i="5"/>
  <c r="E5637" i="5"/>
  <c r="E5638" i="5"/>
  <c r="E5639" i="5"/>
  <c r="E5640" i="5"/>
  <c r="E5641" i="5"/>
  <c r="E5642" i="5"/>
  <c r="E5643" i="5"/>
  <c r="E5644" i="5"/>
  <c r="D5630" i="5"/>
  <c r="D5631" i="5"/>
  <c r="D5632" i="5"/>
  <c r="D5633" i="5"/>
  <c r="D5634" i="5"/>
  <c r="D5635" i="5"/>
  <c r="D5636" i="5"/>
  <c r="D5637" i="5"/>
  <c r="D5638" i="5"/>
  <c r="D5639" i="5"/>
  <c r="D5640" i="5"/>
  <c r="D5641" i="5"/>
  <c r="D5642" i="5"/>
  <c r="D5643" i="5"/>
  <c r="E5627" i="5"/>
  <c r="B5627" i="5"/>
  <c r="A5627" i="5"/>
  <c r="O5627" i="5" s="1"/>
  <c r="B5675" i="5"/>
  <c r="E5675" i="5"/>
  <c r="A5675" i="5"/>
  <c r="O5675" i="5" s="1"/>
  <c r="N5669" i="5"/>
  <c r="M5669" i="5"/>
  <c r="L5669" i="5"/>
  <c r="K5669" i="5"/>
  <c r="J5669" i="5"/>
  <c r="I5669" i="5"/>
  <c r="H5669" i="5"/>
  <c r="N5668" i="5"/>
  <c r="M5668" i="5"/>
  <c r="L5668" i="5"/>
  <c r="K5668" i="5"/>
  <c r="J5668" i="5"/>
  <c r="I5668" i="5"/>
  <c r="H5668" i="5"/>
  <c r="N5667" i="5"/>
  <c r="M5667" i="5"/>
  <c r="L5667" i="5"/>
  <c r="K5667" i="5"/>
  <c r="J5667" i="5"/>
  <c r="I5667" i="5"/>
  <c r="H5667" i="5"/>
  <c r="N5666" i="5"/>
  <c r="M5666" i="5"/>
  <c r="L5666" i="5"/>
  <c r="K5666" i="5"/>
  <c r="J5666" i="5"/>
  <c r="I5666" i="5"/>
  <c r="H5666" i="5"/>
  <c r="N5665" i="5"/>
  <c r="M5665" i="5"/>
  <c r="L5665" i="5"/>
  <c r="K5665" i="5"/>
  <c r="J5665" i="5"/>
  <c r="I5665" i="5"/>
  <c r="H5665" i="5"/>
  <c r="N5664" i="5"/>
  <c r="M5664" i="5"/>
  <c r="L5664" i="5"/>
  <c r="K5664" i="5"/>
  <c r="J5664" i="5"/>
  <c r="I5664" i="5"/>
  <c r="H5664" i="5"/>
  <c r="M5663" i="5"/>
  <c r="H5663" i="5"/>
  <c r="N5658" i="5"/>
  <c r="M5658" i="5"/>
  <c r="L5658" i="5"/>
  <c r="K5658" i="5"/>
  <c r="J5658" i="5"/>
  <c r="I5658" i="5"/>
  <c r="H5658" i="5"/>
  <c r="N5657" i="5"/>
  <c r="M5657" i="5"/>
  <c r="L5657" i="5"/>
  <c r="K5657" i="5"/>
  <c r="J5657" i="5"/>
  <c r="I5657" i="5"/>
  <c r="H5657" i="5"/>
  <c r="N5656" i="5"/>
  <c r="M5656" i="5"/>
  <c r="L5656" i="5"/>
  <c r="K5656" i="5"/>
  <c r="J5656" i="5"/>
  <c r="I5656" i="5"/>
  <c r="H5656" i="5"/>
  <c r="N5655" i="5"/>
  <c r="M5655" i="5"/>
  <c r="L5655" i="5"/>
  <c r="K5655" i="5"/>
  <c r="J5655" i="5"/>
  <c r="I5655" i="5"/>
  <c r="H5655" i="5"/>
  <c r="N5654" i="5"/>
  <c r="M5654" i="5"/>
  <c r="L5654" i="5"/>
  <c r="K5654" i="5"/>
  <c r="J5654" i="5"/>
  <c r="I5654" i="5"/>
  <c r="H5654" i="5"/>
  <c r="N5653" i="5"/>
  <c r="M5653" i="5"/>
  <c r="L5653" i="5"/>
  <c r="K5653" i="5"/>
  <c r="J5653" i="5"/>
  <c r="I5653" i="5"/>
  <c r="H5653" i="5"/>
  <c r="N5652" i="5"/>
  <c r="M5652" i="5"/>
  <c r="L5652" i="5"/>
  <c r="K5652" i="5"/>
  <c r="J5652" i="5"/>
  <c r="I5652" i="5"/>
  <c r="H5652" i="5"/>
  <c r="N5651" i="5"/>
  <c r="M5651" i="5"/>
  <c r="L5651" i="5"/>
  <c r="K5651" i="5"/>
  <c r="J5651" i="5"/>
  <c r="I5651" i="5"/>
  <c r="H5651" i="5"/>
  <c r="N5650" i="5"/>
  <c r="M5650" i="5"/>
  <c r="J5650" i="5"/>
  <c r="K5650" i="5" s="1"/>
  <c r="H5650" i="5"/>
  <c r="M5649" i="5"/>
  <c r="H5649" i="5"/>
  <c r="N5644" i="5"/>
  <c r="M5644" i="5"/>
  <c r="L5644" i="5"/>
  <c r="K5644" i="5"/>
  <c r="J5644" i="5"/>
  <c r="I5644" i="5"/>
  <c r="H5644" i="5"/>
  <c r="N5643" i="5"/>
  <c r="M5643" i="5"/>
  <c r="L5643" i="5"/>
  <c r="K5643" i="5"/>
  <c r="J5643" i="5"/>
  <c r="I5643" i="5"/>
  <c r="H5643" i="5"/>
  <c r="N5642" i="5"/>
  <c r="M5642" i="5"/>
  <c r="L5642" i="5"/>
  <c r="K5642" i="5"/>
  <c r="J5642" i="5"/>
  <c r="I5642" i="5"/>
  <c r="H5642" i="5"/>
  <c r="N5641" i="5"/>
  <c r="M5641" i="5"/>
  <c r="L5641" i="5"/>
  <c r="K5641" i="5"/>
  <c r="J5641" i="5"/>
  <c r="I5641" i="5"/>
  <c r="H5641" i="5"/>
  <c r="N5640" i="5"/>
  <c r="M5640" i="5"/>
  <c r="L5640" i="5"/>
  <c r="K5640" i="5"/>
  <c r="J5640" i="5"/>
  <c r="I5640" i="5"/>
  <c r="H5640" i="5"/>
  <c r="N5639" i="5"/>
  <c r="M5639" i="5"/>
  <c r="L5639" i="5"/>
  <c r="K5639" i="5"/>
  <c r="J5639" i="5"/>
  <c r="I5639" i="5"/>
  <c r="H5639" i="5"/>
  <c r="N5638" i="5"/>
  <c r="M5638" i="5"/>
  <c r="L5638" i="5"/>
  <c r="K5638" i="5"/>
  <c r="J5638" i="5"/>
  <c r="I5638" i="5"/>
  <c r="H5638" i="5"/>
  <c r="N5637" i="5"/>
  <c r="M5637" i="5"/>
  <c r="L5637" i="5"/>
  <c r="K5637" i="5"/>
  <c r="J5637" i="5"/>
  <c r="I5637" i="5"/>
  <c r="H5637" i="5"/>
  <c r="N5636" i="5"/>
  <c r="M5636" i="5"/>
  <c r="L5636" i="5"/>
  <c r="K5636" i="5"/>
  <c r="J5636" i="5"/>
  <c r="I5636" i="5"/>
  <c r="H5636" i="5"/>
  <c r="N5635" i="5"/>
  <c r="M5635" i="5"/>
  <c r="L5635" i="5"/>
  <c r="K5635" i="5"/>
  <c r="J5635" i="5"/>
  <c r="I5635" i="5"/>
  <c r="H5635" i="5"/>
  <c r="N5634" i="5"/>
  <c r="M5634" i="5"/>
  <c r="L5634" i="5"/>
  <c r="K5634" i="5"/>
  <c r="J5634" i="5"/>
  <c r="I5634" i="5"/>
  <c r="H5634" i="5"/>
  <c r="N5633" i="5"/>
  <c r="M5633" i="5"/>
  <c r="L5633" i="5"/>
  <c r="K5633" i="5"/>
  <c r="J5633" i="5"/>
  <c r="I5633" i="5"/>
  <c r="H5633" i="5"/>
  <c r="M5632" i="5"/>
  <c r="I5632" i="5"/>
  <c r="H5632" i="5"/>
  <c r="M5631" i="5"/>
  <c r="I5631" i="5"/>
  <c r="H5631" i="5"/>
  <c r="M5630" i="5"/>
  <c r="I5630" i="5"/>
  <c r="H5630" i="5"/>
  <c r="M5629" i="5"/>
  <c r="I5629" i="5"/>
  <c r="H5629" i="5"/>
  <c r="N5717" i="5"/>
  <c r="M5717" i="5"/>
  <c r="L5717" i="5"/>
  <c r="K5717" i="5"/>
  <c r="J5717" i="5"/>
  <c r="I5717" i="5"/>
  <c r="H5717" i="5"/>
  <c r="F5717" i="5"/>
  <c r="N5716" i="5"/>
  <c r="M5716" i="5"/>
  <c r="L5716" i="5"/>
  <c r="K5716" i="5"/>
  <c r="J5716" i="5"/>
  <c r="I5716" i="5"/>
  <c r="H5716" i="5"/>
  <c r="F5716" i="5"/>
  <c r="N5715" i="5"/>
  <c r="M5715" i="5"/>
  <c r="L5715" i="5"/>
  <c r="K5715" i="5"/>
  <c r="J5715" i="5"/>
  <c r="I5715" i="5"/>
  <c r="H5715" i="5"/>
  <c r="F5715" i="5"/>
  <c r="N5714" i="5"/>
  <c r="M5714" i="5"/>
  <c r="L5714" i="5"/>
  <c r="K5714" i="5"/>
  <c r="J5714" i="5"/>
  <c r="I5714" i="5"/>
  <c r="H5714" i="5"/>
  <c r="F5714" i="5"/>
  <c r="N5713" i="5"/>
  <c r="M5713" i="5"/>
  <c r="L5713" i="5"/>
  <c r="K5713" i="5"/>
  <c r="J5713" i="5"/>
  <c r="I5713" i="5"/>
  <c r="H5713" i="5"/>
  <c r="F5713" i="5"/>
  <c r="N5712" i="5"/>
  <c r="M5712" i="5"/>
  <c r="L5712" i="5"/>
  <c r="K5712" i="5"/>
  <c r="J5712" i="5"/>
  <c r="I5712" i="5"/>
  <c r="H5712" i="5"/>
  <c r="F5712" i="5"/>
  <c r="M5706" i="5"/>
  <c r="L5706" i="5"/>
  <c r="K5706" i="5"/>
  <c r="J5706" i="5"/>
  <c r="I5706" i="5"/>
  <c r="H5706" i="5"/>
  <c r="M5705" i="5"/>
  <c r="L5705" i="5"/>
  <c r="K5705" i="5"/>
  <c r="J5705" i="5"/>
  <c r="I5705" i="5"/>
  <c r="H5705" i="5"/>
  <c r="M5704" i="5"/>
  <c r="L5704" i="5"/>
  <c r="K5704" i="5"/>
  <c r="J5704" i="5"/>
  <c r="I5704" i="5"/>
  <c r="H5704" i="5"/>
  <c r="M5703" i="5"/>
  <c r="L5703" i="5"/>
  <c r="K5703" i="5"/>
  <c r="J5703" i="5"/>
  <c r="I5703" i="5"/>
  <c r="H5703" i="5"/>
  <c r="M5702" i="5"/>
  <c r="L5702" i="5"/>
  <c r="K5702" i="5"/>
  <c r="J5702" i="5"/>
  <c r="I5702" i="5"/>
  <c r="H5702" i="5"/>
  <c r="M5701" i="5"/>
  <c r="L5701" i="5"/>
  <c r="K5701" i="5"/>
  <c r="J5701" i="5"/>
  <c r="I5701" i="5"/>
  <c r="H5701" i="5"/>
  <c r="M5700" i="5"/>
  <c r="L5700" i="5"/>
  <c r="K5700" i="5"/>
  <c r="J5700" i="5"/>
  <c r="I5700" i="5"/>
  <c r="H5700" i="5"/>
  <c r="M5699" i="5"/>
  <c r="L5699" i="5"/>
  <c r="K5699" i="5"/>
  <c r="J5699" i="5"/>
  <c r="I5699" i="5"/>
  <c r="H5699" i="5"/>
  <c r="M5698" i="5"/>
  <c r="L5698" i="5"/>
  <c r="K5698" i="5"/>
  <c r="J5698" i="5"/>
  <c r="I5698" i="5"/>
  <c r="H5698" i="5"/>
  <c r="H5697" i="5"/>
  <c r="M5692" i="5"/>
  <c r="L5692" i="5"/>
  <c r="K5692" i="5"/>
  <c r="J5692" i="5"/>
  <c r="I5692" i="5"/>
  <c r="H5692" i="5"/>
  <c r="M5691" i="5"/>
  <c r="L5691" i="5"/>
  <c r="K5691" i="5"/>
  <c r="J5691" i="5"/>
  <c r="I5691" i="5"/>
  <c r="H5691" i="5"/>
  <c r="M5690" i="5"/>
  <c r="L5690" i="5"/>
  <c r="K5690" i="5"/>
  <c r="J5690" i="5"/>
  <c r="I5690" i="5"/>
  <c r="H5690" i="5"/>
  <c r="M5689" i="5"/>
  <c r="L5689" i="5"/>
  <c r="K5689" i="5"/>
  <c r="J5689" i="5"/>
  <c r="I5689" i="5"/>
  <c r="H5689" i="5"/>
  <c r="M5688" i="5"/>
  <c r="L5688" i="5"/>
  <c r="K5688" i="5"/>
  <c r="J5688" i="5"/>
  <c r="I5688" i="5"/>
  <c r="H5688" i="5"/>
  <c r="M5687" i="5"/>
  <c r="L5687" i="5"/>
  <c r="K5687" i="5"/>
  <c r="J5687" i="5"/>
  <c r="I5687" i="5"/>
  <c r="H5687" i="5"/>
  <c r="M5686" i="5"/>
  <c r="L5686" i="5"/>
  <c r="K5686" i="5"/>
  <c r="J5686" i="5"/>
  <c r="I5686" i="5"/>
  <c r="H5686" i="5"/>
  <c r="M5685" i="5"/>
  <c r="L5685" i="5"/>
  <c r="K5685" i="5"/>
  <c r="J5685" i="5"/>
  <c r="I5685" i="5"/>
  <c r="H5685" i="5"/>
  <c r="M5684" i="5"/>
  <c r="L5684" i="5"/>
  <c r="K5684" i="5"/>
  <c r="J5684" i="5"/>
  <c r="I5684" i="5"/>
  <c r="H5684" i="5"/>
  <c r="M5683" i="5"/>
  <c r="L5683" i="5"/>
  <c r="K5683" i="5"/>
  <c r="J5683" i="5"/>
  <c r="I5683" i="5"/>
  <c r="H5683" i="5"/>
  <c r="M5682" i="5"/>
  <c r="L5682" i="5"/>
  <c r="K5682" i="5"/>
  <c r="J5682" i="5"/>
  <c r="I5682" i="5"/>
  <c r="H5682" i="5"/>
  <c r="M5681" i="5"/>
  <c r="L5681" i="5"/>
  <c r="K5681" i="5"/>
  <c r="J5681" i="5"/>
  <c r="I5681" i="5"/>
  <c r="H5681" i="5"/>
  <c r="M5680" i="5"/>
  <c r="H5680" i="5"/>
  <c r="M5679" i="5"/>
  <c r="I5679" i="5"/>
  <c r="H5679" i="5"/>
  <c r="M5678" i="5"/>
  <c r="I5678" i="5"/>
  <c r="H5678" i="5"/>
  <c r="M5677" i="5"/>
  <c r="H5677" i="5"/>
  <c r="I5677" i="5" s="1"/>
  <c r="I5650" i="5" l="1"/>
  <c r="P5627" i="5"/>
  <c r="M5711" i="5"/>
  <c r="J5629" i="5"/>
  <c r="J5630" i="5"/>
  <c r="J5631" i="5"/>
  <c r="J5632" i="5"/>
  <c r="J5649" i="5"/>
  <c r="K5649" i="5" s="1"/>
  <c r="J5663" i="5"/>
  <c r="P5675" i="5"/>
  <c r="M5697" i="5"/>
  <c r="K5629" i="5"/>
  <c r="K5630" i="5"/>
  <c r="K5631" i="5"/>
  <c r="K5632" i="5"/>
  <c r="K5663" i="5"/>
  <c r="G5627" i="5"/>
  <c r="L5650" i="5" s="1"/>
  <c r="N5629" i="5"/>
  <c r="N5630" i="5"/>
  <c r="N5631" i="5"/>
  <c r="N5632" i="5"/>
  <c r="N5649" i="5"/>
  <c r="N5663" i="5"/>
  <c r="J5677" i="5"/>
  <c r="K5677" i="5" s="1"/>
  <c r="J5678" i="5"/>
  <c r="J5679" i="5"/>
  <c r="J5680" i="5"/>
  <c r="K5680" i="5" s="1"/>
  <c r="J5697" i="5"/>
  <c r="K5697" i="5" s="1"/>
  <c r="J5711" i="5"/>
  <c r="K5679" i="5"/>
  <c r="K5678" i="5"/>
  <c r="G5675" i="5"/>
  <c r="N5677" i="5"/>
  <c r="N5678" i="5"/>
  <c r="N5679" i="5"/>
  <c r="N5680" i="5"/>
  <c r="A4449" i="5"/>
  <c r="H4449" i="5" s="1"/>
  <c r="E4427" i="5"/>
  <c r="B4427" i="5"/>
  <c r="A4427" i="5"/>
  <c r="O4427" i="5" s="1"/>
  <c r="N4469" i="5"/>
  <c r="M4469" i="5"/>
  <c r="L4469" i="5"/>
  <c r="K4469" i="5"/>
  <c r="J4469" i="5"/>
  <c r="I4469" i="5"/>
  <c r="H4469" i="5"/>
  <c r="F4469" i="5"/>
  <c r="N4468" i="5"/>
  <c r="M4468" i="5"/>
  <c r="L4468" i="5"/>
  <c r="K4468" i="5"/>
  <c r="J4468" i="5"/>
  <c r="I4468" i="5"/>
  <c r="H4468" i="5"/>
  <c r="F4468" i="5"/>
  <c r="N4467" i="5"/>
  <c r="M4467" i="5"/>
  <c r="L4467" i="5"/>
  <c r="K4467" i="5"/>
  <c r="J4467" i="5"/>
  <c r="I4467" i="5"/>
  <c r="H4467" i="5"/>
  <c r="F4467" i="5"/>
  <c r="N4466" i="5"/>
  <c r="M4466" i="5"/>
  <c r="L4466" i="5"/>
  <c r="K4466" i="5"/>
  <c r="J4466" i="5"/>
  <c r="I4466" i="5"/>
  <c r="H4466" i="5"/>
  <c r="F4466" i="5"/>
  <c r="N4465" i="5"/>
  <c r="M4465" i="5"/>
  <c r="L4465" i="5"/>
  <c r="K4465" i="5"/>
  <c r="J4465" i="5"/>
  <c r="I4465" i="5"/>
  <c r="H4465" i="5"/>
  <c r="F4465" i="5"/>
  <c r="N4458" i="5"/>
  <c r="M4458" i="5"/>
  <c r="L4458" i="5"/>
  <c r="K4458" i="5"/>
  <c r="J4458" i="5"/>
  <c r="I4458" i="5"/>
  <c r="H4458" i="5"/>
  <c r="F4458" i="5"/>
  <c r="N4457" i="5"/>
  <c r="M4457" i="5"/>
  <c r="L4457" i="5"/>
  <c r="K4457" i="5"/>
  <c r="J4457" i="5"/>
  <c r="I4457" i="5"/>
  <c r="H4457" i="5"/>
  <c r="F4457" i="5"/>
  <c r="N4456" i="5"/>
  <c r="M4456" i="5"/>
  <c r="L4456" i="5"/>
  <c r="K4456" i="5"/>
  <c r="J4456" i="5"/>
  <c r="I4456" i="5"/>
  <c r="H4456" i="5"/>
  <c r="F4456" i="5"/>
  <c r="N4455" i="5"/>
  <c r="M4455" i="5"/>
  <c r="L4455" i="5"/>
  <c r="K4455" i="5"/>
  <c r="J4455" i="5"/>
  <c r="I4455" i="5"/>
  <c r="H4455" i="5"/>
  <c r="F4455" i="5"/>
  <c r="N4454" i="5"/>
  <c r="M4454" i="5"/>
  <c r="L4454" i="5"/>
  <c r="K4454" i="5"/>
  <c r="J4454" i="5"/>
  <c r="I4454" i="5"/>
  <c r="H4454" i="5"/>
  <c r="F4454" i="5"/>
  <c r="N4453" i="5"/>
  <c r="M4453" i="5"/>
  <c r="L4453" i="5"/>
  <c r="K4453" i="5"/>
  <c r="J4453" i="5"/>
  <c r="I4453" i="5"/>
  <c r="H4453" i="5"/>
  <c r="F4453" i="5"/>
  <c r="N4452" i="5"/>
  <c r="M4452" i="5"/>
  <c r="L4452" i="5"/>
  <c r="K4452" i="5"/>
  <c r="J4452" i="5"/>
  <c r="I4452" i="5"/>
  <c r="H4452" i="5"/>
  <c r="F4452" i="5"/>
  <c r="N4451" i="5"/>
  <c r="M4451" i="5"/>
  <c r="L4451" i="5"/>
  <c r="K4451" i="5"/>
  <c r="J4451" i="5"/>
  <c r="I4451" i="5"/>
  <c r="H4451" i="5"/>
  <c r="F4451" i="5"/>
  <c r="N4450" i="5"/>
  <c r="M4450" i="5"/>
  <c r="L4450" i="5"/>
  <c r="K4450" i="5"/>
  <c r="J4450" i="5"/>
  <c r="I4450" i="5"/>
  <c r="H4450" i="5"/>
  <c r="F4450" i="5"/>
  <c r="N4444" i="5"/>
  <c r="M4444" i="5"/>
  <c r="L4444" i="5"/>
  <c r="K4444" i="5"/>
  <c r="J4444" i="5"/>
  <c r="I4444" i="5"/>
  <c r="H4444" i="5"/>
  <c r="F4444" i="5"/>
  <c r="N4443" i="5"/>
  <c r="M4443" i="5"/>
  <c r="L4443" i="5"/>
  <c r="K4443" i="5"/>
  <c r="J4443" i="5"/>
  <c r="I4443" i="5"/>
  <c r="H4443" i="5"/>
  <c r="F4443" i="5"/>
  <c r="N4442" i="5"/>
  <c r="M4442" i="5"/>
  <c r="L4442" i="5"/>
  <c r="K4442" i="5"/>
  <c r="J4442" i="5"/>
  <c r="I4442" i="5"/>
  <c r="H4442" i="5"/>
  <c r="F4442" i="5"/>
  <c r="N4441" i="5"/>
  <c r="M4441" i="5"/>
  <c r="L4441" i="5"/>
  <c r="K4441" i="5"/>
  <c r="J4441" i="5"/>
  <c r="I4441" i="5"/>
  <c r="H4441" i="5"/>
  <c r="F4441" i="5"/>
  <c r="N4440" i="5"/>
  <c r="M4440" i="5"/>
  <c r="L4440" i="5"/>
  <c r="K4440" i="5"/>
  <c r="J4440" i="5"/>
  <c r="I4440" i="5"/>
  <c r="H4440" i="5"/>
  <c r="F4440" i="5"/>
  <c r="N4439" i="5"/>
  <c r="M4439" i="5"/>
  <c r="L4439" i="5"/>
  <c r="K4439" i="5"/>
  <c r="J4439" i="5"/>
  <c r="I4439" i="5"/>
  <c r="H4439" i="5"/>
  <c r="F4439" i="5"/>
  <c r="N4438" i="5"/>
  <c r="M4438" i="5"/>
  <c r="L4438" i="5"/>
  <c r="K4438" i="5"/>
  <c r="J4438" i="5"/>
  <c r="I4438" i="5"/>
  <c r="H4438" i="5"/>
  <c r="F4438" i="5"/>
  <c r="N4437" i="5"/>
  <c r="M4437" i="5"/>
  <c r="L4437" i="5"/>
  <c r="K4437" i="5"/>
  <c r="J4437" i="5"/>
  <c r="I4437" i="5"/>
  <c r="H4437" i="5"/>
  <c r="F4437" i="5"/>
  <c r="N4436" i="5"/>
  <c r="M4436" i="5"/>
  <c r="L4436" i="5"/>
  <c r="K4436" i="5"/>
  <c r="J4436" i="5"/>
  <c r="I4436" i="5"/>
  <c r="H4436" i="5"/>
  <c r="F4436" i="5"/>
  <c r="N4435" i="5"/>
  <c r="M4435" i="5"/>
  <c r="L4435" i="5"/>
  <c r="K4435" i="5"/>
  <c r="J4435" i="5"/>
  <c r="I4435" i="5"/>
  <c r="H4435" i="5"/>
  <c r="F4435" i="5"/>
  <c r="N4434" i="5"/>
  <c r="M4434" i="5"/>
  <c r="L4434" i="5"/>
  <c r="K4434" i="5"/>
  <c r="J4434" i="5"/>
  <c r="I4434" i="5"/>
  <c r="H4434" i="5"/>
  <c r="F4434" i="5"/>
  <c r="N4433" i="5"/>
  <c r="M4433" i="5"/>
  <c r="L4433" i="5"/>
  <c r="K4433" i="5"/>
  <c r="J4433" i="5"/>
  <c r="I4433" i="5"/>
  <c r="H4433" i="5"/>
  <c r="F4433" i="5"/>
  <c r="N4432" i="5"/>
  <c r="M4432" i="5"/>
  <c r="L4432" i="5"/>
  <c r="K4432" i="5"/>
  <c r="J4432" i="5"/>
  <c r="I4432" i="5"/>
  <c r="H4432" i="5"/>
  <c r="F4432" i="5"/>
  <c r="N4431" i="5"/>
  <c r="M4431" i="5"/>
  <c r="L4431" i="5"/>
  <c r="K4431" i="5"/>
  <c r="J4431" i="5"/>
  <c r="I4431" i="5"/>
  <c r="H4431" i="5"/>
  <c r="F4431" i="5"/>
  <c r="N4430" i="5"/>
  <c r="M4430" i="5"/>
  <c r="L4430" i="5"/>
  <c r="K4430" i="5"/>
  <c r="J4430" i="5"/>
  <c r="I4430" i="5"/>
  <c r="H4430" i="5"/>
  <c r="F4430" i="5"/>
  <c r="N4429" i="5"/>
  <c r="M4429" i="5"/>
  <c r="L4429" i="5"/>
  <c r="K4429" i="5"/>
  <c r="J4429" i="5"/>
  <c r="I4429" i="5"/>
  <c r="H4429" i="5"/>
  <c r="F4429" i="5"/>
  <c r="E4379" i="5"/>
  <c r="B4379" i="5"/>
  <c r="A4379" i="5"/>
  <c r="W4427" i="5" l="1"/>
  <c r="N5711" i="5"/>
  <c r="K5711" i="5"/>
  <c r="N5697" i="5"/>
  <c r="L5663" i="5"/>
  <c r="L5649" i="5"/>
  <c r="L5632" i="5"/>
  <c r="L5631" i="5"/>
  <c r="L5630" i="5"/>
  <c r="L5629" i="5"/>
  <c r="U5627" i="5"/>
  <c r="I5649" i="5"/>
  <c r="W5627" i="5"/>
  <c r="F5645" i="5"/>
  <c r="I5663" i="5"/>
  <c r="I5680" i="5"/>
  <c r="L5711" i="5"/>
  <c r="L5697" i="5"/>
  <c r="L5680" i="5"/>
  <c r="L5679" i="5"/>
  <c r="L5678" i="5"/>
  <c r="L5677" i="5"/>
  <c r="U5675" i="5"/>
  <c r="I5697" i="5"/>
  <c r="W5675" i="5"/>
  <c r="F5693" i="5"/>
  <c r="E4449" i="5"/>
  <c r="F4449" i="5" s="1"/>
  <c r="F4459" i="5" s="1"/>
  <c r="D4463" i="5"/>
  <c r="B4463" i="5"/>
  <c r="J4464" i="5"/>
  <c r="M4464" i="5"/>
  <c r="J4463" i="5"/>
  <c r="M4463" i="5"/>
  <c r="D4449" i="5"/>
  <c r="M4449" i="5"/>
  <c r="P4427" i="5"/>
  <c r="J4449" i="5"/>
  <c r="F4445" i="5"/>
  <c r="B4449" i="5"/>
  <c r="K4464" i="5" l="1"/>
  <c r="N4463" i="5"/>
  <c r="X4427" i="5"/>
  <c r="F5659" i="5"/>
  <c r="X5627" i="5"/>
  <c r="T5627" i="5"/>
  <c r="V5627" i="5" s="1"/>
  <c r="F5670" i="5"/>
  <c r="Y5627" i="5"/>
  <c r="K4463" i="5"/>
  <c r="T5675" i="5"/>
  <c r="V5675" i="5" s="1"/>
  <c r="X5675" i="5"/>
  <c r="F5707" i="5"/>
  <c r="I4449" i="5"/>
  <c r="N4464" i="5"/>
  <c r="N4449" i="5"/>
  <c r="K4449" i="5"/>
  <c r="N1857" i="5" l="1"/>
  <c r="F246" i="5" l="1"/>
  <c r="F221" i="5"/>
  <c r="A225" i="5"/>
  <c r="B225" i="5" s="1"/>
  <c r="E225" i="5"/>
  <c r="F225" i="5" s="1"/>
  <c r="F235" i="5" s="1"/>
  <c r="F198" i="5"/>
  <c r="F173" i="5"/>
  <c r="F139" i="5"/>
  <c r="F125" i="5"/>
  <c r="E203" i="5"/>
  <c r="B203" i="5"/>
  <c r="A203" i="5"/>
  <c r="N245" i="5"/>
  <c r="M245" i="5"/>
  <c r="L245" i="5"/>
  <c r="K245" i="5"/>
  <c r="J245" i="5"/>
  <c r="I245" i="5"/>
  <c r="H245" i="5"/>
  <c r="N244" i="5"/>
  <c r="M244" i="5"/>
  <c r="L244" i="5"/>
  <c r="K244" i="5"/>
  <c r="J244" i="5"/>
  <c r="I244" i="5"/>
  <c r="H244" i="5"/>
  <c r="N243" i="5"/>
  <c r="M243" i="5"/>
  <c r="L243" i="5"/>
  <c r="K243" i="5"/>
  <c r="J243" i="5"/>
  <c r="I243" i="5"/>
  <c r="H243" i="5"/>
  <c r="N242" i="5"/>
  <c r="M242" i="5"/>
  <c r="L242" i="5"/>
  <c r="K242" i="5"/>
  <c r="J242" i="5"/>
  <c r="I242" i="5"/>
  <c r="H242" i="5"/>
  <c r="N241" i="5"/>
  <c r="M241" i="5"/>
  <c r="L241" i="5"/>
  <c r="K241" i="5"/>
  <c r="J241" i="5"/>
  <c r="I241" i="5"/>
  <c r="H241" i="5"/>
  <c r="N240" i="5"/>
  <c r="M240" i="5"/>
  <c r="L240" i="5"/>
  <c r="K240" i="5"/>
  <c r="J240" i="5"/>
  <c r="I240" i="5"/>
  <c r="H240" i="5"/>
  <c r="N239" i="5"/>
  <c r="M239" i="5"/>
  <c r="L239" i="5"/>
  <c r="K239" i="5"/>
  <c r="J239" i="5"/>
  <c r="I239" i="5"/>
  <c r="H239" i="5"/>
  <c r="N234" i="5"/>
  <c r="M234" i="5"/>
  <c r="L234" i="5"/>
  <c r="K234" i="5"/>
  <c r="J234" i="5"/>
  <c r="I234" i="5"/>
  <c r="H234" i="5"/>
  <c r="N233" i="5"/>
  <c r="M233" i="5"/>
  <c r="L233" i="5"/>
  <c r="K233" i="5"/>
  <c r="J233" i="5"/>
  <c r="I233" i="5"/>
  <c r="H233" i="5"/>
  <c r="N232" i="5"/>
  <c r="M232" i="5"/>
  <c r="L232" i="5"/>
  <c r="K232" i="5"/>
  <c r="J232" i="5"/>
  <c r="I232" i="5"/>
  <c r="H232" i="5"/>
  <c r="N231" i="5"/>
  <c r="M231" i="5"/>
  <c r="L231" i="5"/>
  <c r="K231" i="5"/>
  <c r="J231" i="5"/>
  <c r="I231" i="5"/>
  <c r="H231" i="5"/>
  <c r="N230" i="5"/>
  <c r="M230" i="5"/>
  <c r="L230" i="5"/>
  <c r="K230" i="5"/>
  <c r="J230" i="5"/>
  <c r="I230" i="5"/>
  <c r="H230" i="5"/>
  <c r="N229" i="5"/>
  <c r="M229" i="5"/>
  <c r="L229" i="5"/>
  <c r="K229" i="5"/>
  <c r="J229" i="5"/>
  <c r="I229" i="5"/>
  <c r="H229" i="5"/>
  <c r="N228" i="5"/>
  <c r="M228" i="5"/>
  <c r="L228" i="5"/>
  <c r="K228" i="5"/>
  <c r="J228" i="5"/>
  <c r="I228" i="5"/>
  <c r="H228" i="5"/>
  <c r="N227" i="5"/>
  <c r="M227" i="5"/>
  <c r="L227" i="5"/>
  <c r="K227" i="5"/>
  <c r="J227" i="5"/>
  <c r="I227" i="5"/>
  <c r="H227" i="5"/>
  <c r="N226" i="5"/>
  <c r="M226" i="5"/>
  <c r="L226" i="5"/>
  <c r="K226" i="5"/>
  <c r="J226" i="5"/>
  <c r="I226" i="5"/>
  <c r="H226" i="5"/>
  <c r="N220" i="5"/>
  <c r="M220" i="5"/>
  <c r="L220" i="5"/>
  <c r="K220" i="5"/>
  <c r="J220" i="5"/>
  <c r="I220" i="5"/>
  <c r="H220" i="5"/>
  <c r="N219" i="5"/>
  <c r="M219" i="5"/>
  <c r="L219" i="5"/>
  <c r="K219" i="5"/>
  <c r="J219" i="5"/>
  <c r="I219" i="5"/>
  <c r="H219" i="5"/>
  <c r="N218" i="5"/>
  <c r="M218" i="5"/>
  <c r="L218" i="5"/>
  <c r="K218" i="5"/>
  <c r="J218" i="5"/>
  <c r="I218" i="5"/>
  <c r="H218" i="5"/>
  <c r="N217" i="5"/>
  <c r="M217" i="5"/>
  <c r="L217" i="5"/>
  <c r="K217" i="5"/>
  <c r="J217" i="5"/>
  <c r="I217" i="5"/>
  <c r="H217" i="5"/>
  <c r="N216" i="5"/>
  <c r="M216" i="5"/>
  <c r="L216" i="5"/>
  <c r="K216" i="5"/>
  <c r="J216" i="5"/>
  <c r="I216" i="5"/>
  <c r="H216" i="5"/>
  <c r="N215" i="5"/>
  <c r="M215" i="5"/>
  <c r="L215" i="5"/>
  <c r="K215" i="5"/>
  <c r="J215" i="5"/>
  <c r="I215" i="5"/>
  <c r="H215" i="5"/>
  <c r="N214" i="5"/>
  <c r="M214" i="5"/>
  <c r="L214" i="5"/>
  <c r="K214" i="5"/>
  <c r="J214" i="5"/>
  <c r="I214" i="5"/>
  <c r="H214" i="5"/>
  <c r="N213" i="5"/>
  <c r="M213" i="5"/>
  <c r="L213" i="5"/>
  <c r="K213" i="5"/>
  <c r="J213" i="5"/>
  <c r="I213" i="5"/>
  <c r="H213" i="5"/>
  <c r="N212" i="5"/>
  <c r="M212" i="5"/>
  <c r="L212" i="5"/>
  <c r="K212" i="5"/>
  <c r="J212" i="5"/>
  <c r="I212" i="5"/>
  <c r="H212" i="5"/>
  <c r="N211" i="5"/>
  <c r="M211" i="5"/>
  <c r="L211" i="5"/>
  <c r="K211" i="5"/>
  <c r="J211" i="5"/>
  <c r="I211" i="5"/>
  <c r="H211" i="5"/>
  <c r="N210" i="5"/>
  <c r="M210" i="5"/>
  <c r="L210" i="5"/>
  <c r="K210" i="5"/>
  <c r="J210" i="5"/>
  <c r="I210" i="5"/>
  <c r="H210" i="5"/>
  <c r="N209" i="5"/>
  <c r="M209" i="5"/>
  <c r="L209" i="5"/>
  <c r="K209" i="5"/>
  <c r="J209" i="5"/>
  <c r="I209" i="5"/>
  <c r="H209" i="5"/>
  <c r="N208" i="5"/>
  <c r="M208" i="5"/>
  <c r="L208" i="5"/>
  <c r="K208" i="5"/>
  <c r="J208" i="5"/>
  <c r="I208" i="5"/>
  <c r="H208" i="5"/>
  <c r="N207" i="5"/>
  <c r="M207" i="5"/>
  <c r="L207" i="5"/>
  <c r="K207" i="5"/>
  <c r="J207" i="5"/>
  <c r="I207" i="5"/>
  <c r="H207" i="5"/>
  <c r="N206" i="5"/>
  <c r="M206" i="5"/>
  <c r="L206" i="5"/>
  <c r="K206" i="5"/>
  <c r="J206" i="5"/>
  <c r="I206" i="5"/>
  <c r="H206" i="5"/>
  <c r="N205" i="5"/>
  <c r="M205" i="5"/>
  <c r="L205" i="5"/>
  <c r="K205" i="5"/>
  <c r="J205" i="5"/>
  <c r="I205" i="5"/>
  <c r="H205" i="5"/>
  <c r="Y203" i="5"/>
  <c r="W203" i="5"/>
  <c r="N197" i="5"/>
  <c r="M197" i="5"/>
  <c r="L197" i="5"/>
  <c r="K197" i="5"/>
  <c r="J197" i="5"/>
  <c r="I197" i="5"/>
  <c r="H197" i="5"/>
  <c r="N196" i="5"/>
  <c r="M196" i="5"/>
  <c r="L196" i="5"/>
  <c r="K196" i="5"/>
  <c r="J196" i="5"/>
  <c r="I196" i="5"/>
  <c r="H196" i="5"/>
  <c r="N195" i="5"/>
  <c r="M195" i="5"/>
  <c r="L195" i="5"/>
  <c r="K195" i="5"/>
  <c r="J195" i="5"/>
  <c r="I195" i="5"/>
  <c r="H195" i="5"/>
  <c r="N194" i="5"/>
  <c r="M194" i="5"/>
  <c r="L194" i="5"/>
  <c r="K194" i="5"/>
  <c r="J194" i="5"/>
  <c r="I194" i="5"/>
  <c r="H194" i="5"/>
  <c r="N193" i="5"/>
  <c r="M193" i="5"/>
  <c r="L193" i="5"/>
  <c r="K193" i="5"/>
  <c r="J193" i="5"/>
  <c r="I193" i="5"/>
  <c r="H193" i="5"/>
  <c r="N192" i="5"/>
  <c r="M192" i="5"/>
  <c r="L192" i="5"/>
  <c r="K192" i="5"/>
  <c r="J192" i="5"/>
  <c r="I192" i="5"/>
  <c r="H192" i="5"/>
  <c r="N191" i="5"/>
  <c r="M191" i="5"/>
  <c r="L191" i="5"/>
  <c r="K191" i="5"/>
  <c r="J191" i="5"/>
  <c r="I191" i="5"/>
  <c r="H191" i="5"/>
  <c r="N186" i="5"/>
  <c r="M186" i="5"/>
  <c r="L186" i="5"/>
  <c r="K186" i="5"/>
  <c r="J186" i="5"/>
  <c r="I186" i="5"/>
  <c r="H186" i="5"/>
  <c r="N185" i="5"/>
  <c r="M185" i="5"/>
  <c r="L185" i="5"/>
  <c r="K185" i="5"/>
  <c r="J185" i="5"/>
  <c r="I185" i="5"/>
  <c r="H185" i="5"/>
  <c r="N184" i="5"/>
  <c r="M184" i="5"/>
  <c r="L184" i="5"/>
  <c r="K184" i="5"/>
  <c r="J184" i="5"/>
  <c r="I184" i="5"/>
  <c r="H184" i="5"/>
  <c r="N183" i="5"/>
  <c r="M183" i="5"/>
  <c r="L183" i="5"/>
  <c r="K183" i="5"/>
  <c r="J183" i="5"/>
  <c r="I183" i="5"/>
  <c r="H183" i="5"/>
  <c r="N182" i="5"/>
  <c r="M182" i="5"/>
  <c r="L182" i="5"/>
  <c r="K182" i="5"/>
  <c r="J182" i="5"/>
  <c r="I182" i="5"/>
  <c r="H182" i="5"/>
  <c r="N181" i="5"/>
  <c r="M181" i="5"/>
  <c r="L181" i="5"/>
  <c r="K181" i="5"/>
  <c r="J181" i="5"/>
  <c r="I181" i="5"/>
  <c r="H181" i="5"/>
  <c r="N180" i="5"/>
  <c r="M180" i="5"/>
  <c r="L180" i="5"/>
  <c r="K180" i="5"/>
  <c r="J180" i="5"/>
  <c r="I180" i="5"/>
  <c r="H180" i="5"/>
  <c r="N179" i="5"/>
  <c r="M179" i="5"/>
  <c r="L179" i="5"/>
  <c r="K179" i="5"/>
  <c r="J179" i="5"/>
  <c r="I179" i="5"/>
  <c r="H179" i="5"/>
  <c r="N178" i="5"/>
  <c r="M178" i="5"/>
  <c r="L178" i="5"/>
  <c r="K178" i="5"/>
  <c r="J178" i="5"/>
  <c r="I178" i="5"/>
  <c r="H178" i="5"/>
  <c r="N172" i="5"/>
  <c r="M172" i="5"/>
  <c r="L172" i="5"/>
  <c r="K172" i="5"/>
  <c r="J172" i="5"/>
  <c r="I172" i="5"/>
  <c r="H172" i="5"/>
  <c r="N171" i="5"/>
  <c r="M171" i="5"/>
  <c r="L171" i="5"/>
  <c r="K171" i="5"/>
  <c r="J171" i="5"/>
  <c r="I171" i="5"/>
  <c r="H171" i="5"/>
  <c r="N170" i="5"/>
  <c r="M170" i="5"/>
  <c r="L170" i="5"/>
  <c r="K170" i="5"/>
  <c r="J170" i="5"/>
  <c r="I170" i="5"/>
  <c r="H170" i="5"/>
  <c r="N169" i="5"/>
  <c r="M169" i="5"/>
  <c r="L169" i="5"/>
  <c r="K169" i="5"/>
  <c r="J169" i="5"/>
  <c r="I169" i="5"/>
  <c r="H169" i="5"/>
  <c r="N168" i="5"/>
  <c r="M168" i="5"/>
  <c r="L168" i="5"/>
  <c r="K168" i="5"/>
  <c r="J168" i="5"/>
  <c r="I168" i="5"/>
  <c r="H168" i="5"/>
  <c r="N167" i="5"/>
  <c r="M167" i="5"/>
  <c r="L167" i="5"/>
  <c r="K167" i="5"/>
  <c r="J167" i="5"/>
  <c r="I167" i="5"/>
  <c r="H167" i="5"/>
  <c r="N166" i="5"/>
  <c r="M166" i="5"/>
  <c r="L166" i="5"/>
  <c r="K166" i="5"/>
  <c r="J166" i="5"/>
  <c r="I166" i="5"/>
  <c r="H166" i="5"/>
  <c r="N165" i="5"/>
  <c r="M165" i="5"/>
  <c r="L165" i="5"/>
  <c r="K165" i="5"/>
  <c r="J165" i="5"/>
  <c r="I165" i="5"/>
  <c r="H165" i="5"/>
  <c r="N164" i="5"/>
  <c r="M164" i="5"/>
  <c r="L164" i="5"/>
  <c r="K164" i="5"/>
  <c r="J164" i="5"/>
  <c r="I164" i="5"/>
  <c r="H164" i="5"/>
  <c r="N163" i="5"/>
  <c r="M163" i="5"/>
  <c r="L163" i="5"/>
  <c r="K163" i="5"/>
  <c r="J163" i="5"/>
  <c r="I163" i="5"/>
  <c r="H163" i="5"/>
  <c r="N162" i="5"/>
  <c r="M162" i="5"/>
  <c r="L162" i="5"/>
  <c r="K162" i="5"/>
  <c r="J162" i="5"/>
  <c r="I162" i="5"/>
  <c r="H162" i="5"/>
  <c r="N161" i="5"/>
  <c r="M161" i="5"/>
  <c r="L161" i="5"/>
  <c r="K161" i="5"/>
  <c r="J161" i="5"/>
  <c r="I161" i="5"/>
  <c r="H161" i="5"/>
  <c r="N160" i="5"/>
  <c r="M160" i="5"/>
  <c r="L160" i="5"/>
  <c r="K160" i="5"/>
  <c r="J160" i="5"/>
  <c r="I160" i="5"/>
  <c r="H160" i="5"/>
  <c r="N159" i="5"/>
  <c r="M159" i="5"/>
  <c r="L159" i="5"/>
  <c r="K159" i="5"/>
  <c r="J159" i="5"/>
  <c r="I159" i="5"/>
  <c r="H159" i="5"/>
  <c r="N158" i="5"/>
  <c r="M158" i="5"/>
  <c r="L158" i="5"/>
  <c r="K158" i="5"/>
  <c r="J158" i="5"/>
  <c r="I158" i="5"/>
  <c r="H158" i="5"/>
  <c r="N157" i="5"/>
  <c r="M157" i="5"/>
  <c r="L157" i="5"/>
  <c r="K157" i="5"/>
  <c r="J157" i="5"/>
  <c r="I157" i="5"/>
  <c r="H157" i="5"/>
  <c r="Y155" i="5"/>
  <c r="W155" i="5"/>
  <c r="N149" i="5"/>
  <c r="M149" i="5"/>
  <c r="L149" i="5"/>
  <c r="K149" i="5"/>
  <c r="J149" i="5"/>
  <c r="I149" i="5"/>
  <c r="H149" i="5"/>
  <c r="N148" i="5"/>
  <c r="M148" i="5"/>
  <c r="L148" i="5"/>
  <c r="K148" i="5"/>
  <c r="J148" i="5"/>
  <c r="I148" i="5"/>
  <c r="H148" i="5"/>
  <c r="N147" i="5"/>
  <c r="M147" i="5"/>
  <c r="L147" i="5"/>
  <c r="K147" i="5"/>
  <c r="J147" i="5"/>
  <c r="I147" i="5"/>
  <c r="H147" i="5"/>
  <c r="N146" i="5"/>
  <c r="M146" i="5"/>
  <c r="L146" i="5"/>
  <c r="K146" i="5"/>
  <c r="J146" i="5"/>
  <c r="I146" i="5"/>
  <c r="H146" i="5"/>
  <c r="N145" i="5"/>
  <c r="M145" i="5"/>
  <c r="L145" i="5"/>
  <c r="K145" i="5"/>
  <c r="J145" i="5"/>
  <c r="I145" i="5"/>
  <c r="H145" i="5"/>
  <c r="N144" i="5"/>
  <c r="M144" i="5"/>
  <c r="L144" i="5"/>
  <c r="K144" i="5"/>
  <c r="J144" i="5"/>
  <c r="I144" i="5"/>
  <c r="H144" i="5"/>
  <c r="N138" i="5"/>
  <c r="M138" i="5"/>
  <c r="L138" i="5"/>
  <c r="K138" i="5"/>
  <c r="J138" i="5"/>
  <c r="I138" i="5"/>
  <c r="H138" i="5"/>
  <c r="N137" i="5"/>
  <c r="M137" i="5"/>
  <c r="L137" i="5"/>
  <c r="K137" i="5"/>
  <c r="J137" i="5"/>
  <c r="I137" i="5"/>
  <c r="H137" i="5"/>
  <c r="N136" i="5"/>
  <c r="M136" i="5"/>
  <c r="L136" i="5"/>
  <c r="K136" i="5"/>
  <c r="J136" i="5"/>
  <c r="I136" i="5"/>
  <c r="H136" i="5"/>
  <c r="N135" i="5"/>
  <c r="M135" i="5"/>
  <c r="L135" i="5"/>
  <c r="K135" i="5"/>
  <c r="J135" i="5"/>
  <c r="I135" i="5"/>
  <c r="H135" i="5"/>
  <c r="N134" i="5"/>
  <c r="M134" i="5"/>
  <c r="L134" i="5"/>
  <c r="K134" i="5"/>
  <c r="J134" i="5"/>
  <c r="I134" i="5"/>
  <c r="H134" i="5"/>
  <c r="N133" i="5"/>
  <c r="M133" i="5"/>
  <c r="L133" i="5"/>
  <c r="K133" i="5"/>
  <c r="J133" i="5"/>
  <c r="I133" i="5"/>
  <c r="H133" i="5"/>
  <c r="N132" i="5"/>
  <c r="M132" i="5"/>
  <c r="L132" i="5"/>
  <c r="K132" i="5"/>
  <c r="J132" i="5"/>
  <c r="I132" i="5"/>
  <c r="H132" i="5"/>
  <c r="N131" i="5"/>
  <c r="M131" i="5"/>
  <c r="L131" i="5"/>
  <c r="K131" i="5"/>
  <c r="J131" i="5"/>
  <c r="I131" i="5"/>
  <c r="H131" i="5"/>
  <c r="N130" i="5"/>
  <c r="M130" i="5"/>
  <c r="L130" i="5"/>
  <c r="K130" i="5"/>
  <c r="J130" i="5"/>
  <c r="I130" i="5"/>
  <c r="H130" i="5"/>
  <c r="N129" i="5"/>
  <c r="M129" i="5"/>
  <c r="L129" i="5"/>
  <c r="K129" i="5"/>
  <c r="J129" i="5"/>
  <c r="I129" i="5"/>
  <c r="H129" i="5"/>
  <c r="N124" i="5"/>
  <c r="M124" i="5"/>
  <c r="L124" i="5"/>
  <c r="K124" i="5"/>
  <c r="J124" i="5"/>
  <c r="I124" i="5"/>
  <c r="H124" i="5"/>
  <c r="N123" i="5"/>
  <c r="M123" i="5"/>
  <c r="L123" i="5"/>
  <c r="K123" i="5"/>
  <c r="J123" i="5"/>
  <c r="I123" i="5"/>
  <c r="H123" i="5"/>
  <c r="N122" i="5"/>
  <c r="M122" i="5"/>
  <c r="L122" i="5"/>
  <c r="K122" i="5"/>
  <c r="J122" i="5"/>
  <c r="I122" i="5"/>
  <c r="H122" i="5"/>
  <c r="N121" i="5"/>
  <c r="M121" i="5"/>
  <c r="L121" i="5"/>
  <c r="K121" i="5"/>
  <c r="J121" i="5"/>
  <c r="I121" i="5"/>
  <c r="H121" i="5"/>
  <c r="N120" i="5"/>
  <c r="M120" i="5"/>
  <c r="L120" i="5"/>
  <c r="K120" i="5"/>
  <c r="J120" i="5"/>
  <c r="I120" i="5"/>
  <c r="H120" i="5"/>
  <c r="N119" i="5"/>
  <c r="M119" i="5"/>
  <c r="L119" i="5"/>
  <c r="K119" i="5"/>
  <c r="J119" i="5"/>
  <c r="I119" i="5"/>
  <c r="H119" i="5"/>
  <c r="N118" i="5"/>
  <c r="M118" i="5"/>
  <c r="L118" i="5"/>
  <c r="K118" i="5"/>
  <c r="J118" i="5"/>
  <c r="I118" i="5"/>
  <c r="H118" i="5"/>
  <c r="N117" i="5"/>
  <c r="M117" i="5"/>
  <c r="L117" i="5"/>
  <c r="K117" i="5"/>
  <c r="J117" i="5"/>
  <c r="I117" i="5"/>
  <c r="H117" i="5"/>
  <c r="N116" i="5"/>
  <c r="M116" i="5"/>
  <c r="L116" i="5"/>
  <c r="K116" i="5"/>
  <c r="J116" i="5"/>
  <c r="I116" i="5"/>
  <c r="H116" i="5"/>
  <c r="N115" i="5"/>
  <c r="M115" i="5"/>
  <c r="L115" i="5"/>
  <c r="K115" i="5"/>
  <c r="J115" i="5"/>
  <c r="I115" i="5"/>
  <c r="H115" i="5"/>
  <c r="N114" i="5"/>
  <c r="M114" i="5"/>
  <c r="L114" i="5"/>
  <c r="K114" i="5"/>
  <c r="J114" i="5"/>
  <c r="I114" i="5"/>
  <c r="H114" i="5"/>
  <c r="N113" i="5"/>
  <c r="M113" i="5"/>
  <c r="L113" i="5"/>
  <c r="K113" i="5"/>
  <c r="J113" i="5"/>
  <c r="I113" i="5"/>
  <c r="H113" i="5"/>
  <c r="N112" i="5"/>
  <c r="M112" i="5"/>
  <c r="L112" i="5"/>
  <c r="K112" i="5"/>
  <c r="J112" i="5"/>
  <c r="I112" i="5"/>
  <c r="H112" i="5"/>
  <c r="N111" i="5"/>
  <c r="M111" i="5"/>
  <c r="L111" i="5"/>
  <c r="K111" i="5"/>
  <c r="J111" i="5"/>
  <c r="I111" i="5"/>
  <c r="H111" i="5"/>
  <c r="N110" i="5"/>
  <c r="M110" i="5"/>
  <c r="L110" i="5"/>
  <c r="K110" i="5"/>
  <c r="J110" i="5"/>
  <c r="I110" i="5"/>
  <c r="H110" i="5"/>
  <c r="N109" i="5"/>
  <c r="M109" i="5"/>
  <c r="L109" i="5"/>
  <c r="K109" i="5"/>
  <c r="J109" i="5"/>
  <c r="I109" i="5"/>
  <c r="H109" i="5"/>
  <c r="X107" i="5"/>
  <c r="W107" i="5"/>
  <c r="B143" i="5"/>
  <c r="A143" i="5"/>
  <c r="E177" i="5"/>
  <c r="F177" i="5" s="1"/>
  <c r="F187" i="5" s="1"/>
  <c r="A177" i="5"/>
  <c r="B177" i="5" s="1"/>
  <c r="E155" i="5"/>
  <c r="B155" i="5"/>
  <c r="A155" i="5"/>
  <c r="E107" i="5"/>
  <c r="B107" i="5"/>
  <c r="A107" i="5"/>
  <c r="O107" i="5" s="1"/>
  <c r="A251" i="5"/>
  <c r="J143" i="5" l="1"/>
  <c r="K143" i="5" s="1"/>
  <c r="M143" i="5"/>
  <c r="N143" i="5" s="1"/>
  <c r="D225" i="5"/>
  <c r="P107" i="5"/>
  <c r="J225" i="5"/>
  <c r="M177" i="5"/>
  <c r="N177" i="5" s="1"/>
  <c r="G203" i="5"/>
  <c r="L225" i="5" s="1"/>
  <c r="T203" i="5" s="1"/>
  <c r="O203" i="5"/>
  <c r="P203" i="5" s="1"/>
  <c r="H225" i="5"/>
  <c r="I225" i="5" s="1"/>
  <c r="D177" i="5"/>
  <c r="H177" i="5"/>
  <c r="I177" i="5" s="1"/>
  <c r="M225" i="5"/>
  <c r="J177" i="5"/>
  <c r="G107" i="5"/>
  <c r="O155" i="5"/>
  <c r="P155" i="5" s="1"/>
  <c r="G155" i="5"/>
  <c r="X155" i="5"/>
  <c r="K225" i="5" l="1"/>
  <c r="N225" i="5"/>
  <c r="U155" i="5"/>
  <c r="K177" i="5"/>
  <c r="X203" i="5"/>
  <c r="U203" i="5"/>
  <c r="V203" i="5" s="1"/>
  <c r="L177" i="5"/>
  <c r="T155" i="5" s="1"/>
  <c r="L143" i="5"/>
  <c r="T107" i="5" s="1"/>
  <c r="U107" i="5"/>
  <c r="V155" i="5" l="1"/>
  <c r="V107" i="5"/>
  <c r="E4641" i="5" l="1"/>
  <c r="D4641" i="5"/>
  <c r="B4641" i="5"/>
  <c r="M49" i="5" l="1"/>
  <c r="H49" i="5" l="1"/>
  <c r="J49" i="5"/>
  <c r="C26" i="24" l="1"/>
  <c r="C23" i="24"/>
  <c r="C19" i="24"/>
  <c r="C29" i="24" l="1"/>
  <c r="F9" i="1" s="1"/>
  <c r="E4715" i="5"/>
  <c r="A4751" i="5"/>
  <c r="E4737" i="5"/>
  <c r="A4737" i="5"/>
  <c r="B5856" i="5"/>
  <c r="B5855" i="5"/>
  <c r="B5904" i="5"/>
  <c r="B5903" i="5"/>
  <c r="B5952" i="5"/>
  <c r="B5951" i="5"/>
  <c r="D8" i="5" l="1"/>
  <c r="C2072" i="5" s="1"/>
  <c r="A2928" i="5"/>
  <c r="A5759" i="5"/>
  <c r="A5615" i="5"/>
  <c r="A4992" i="5"/>
  <c r="A4752" i="5"/>
  <c r="A4704" i="5"/>
  <c r="A4655" i="5"/>
  <c r="A4560" i="5"/>
  <c r="A4320" i="5"/>
  <c r="A4224" i="5"/>
  <c r="A3407" i="5"/>
  <c r="A3311" i="5"/>
  <c r="A3218" i="5"/>
  <c r="A3167" i="5"/>
  <c r="A3072" i="5"/>
  <c r="A2879" i="5"/>
  <c r="A2832" i="5"/>
  <c r="A2447" i="5"/>
  <c r="A2111" i="5"/>
  <c r="A1584" i="5"/>
  <c r="A1535" i="5"/>
  <c r="A1488" i="5"/>
  <c r="A1104" i="5"/>
  <c r="E2625" i="5"/>
  <c r="B36" i="5"/>
  <c r="C174" i="5" l="1"/>
  <c r="C5672" i="5"/>
  <c r="C764" i="5"/>
  <c r="F764" i="5" s="1"/>
  <c r="C5660" i="5"/>
  <c r="F5660" i="5" s="1"/>
  <c r="F5661" i="5" s="1"/>
  <c r="G166" i="1" s="1"/>
  <c r="C152" i="5"/>
  <c r="C5646" i="5"/>
  <c r="C222" i="5"/>
  <c r="F222" i="5" s="1"/>
  <c r="C4472" i="5"/>
  <c r="C2012" i="5"/>
  <c r="F2012" i="5" s="1"/>
  <c r="F2013" i="5" s="1"/>
  <c r="G69" i="1" s="1"/>
  <c r="J69" i="1" s="1"/>
  <c r="C126" i="5"/>
  <c r="C4446" i="5"/>
  <c r="C4280" i="5"/>
  <c r="C2024" i="5"/>
  <c r="C5708" i="5"/>
  <c r="F5708" i="5" s="1"/>
  <c r="I5675" i="5" s="1"/>
  <c r="C236" i="5"/>
  <c r="F236" i="5" s="1"/>
  <c r="F237" i="5" s="1"/>
  <c r="G20" i="1" s="1"/>
  <c r="C1998" i="5"/>
  <c r="F1998" i="5" s="1"/>
  <c r="F1999" i="5" s="1"/>
  <c r="F69" i="1" s="1"/>
  <c r="I69" i="1" s="1"/>
  <c r="C4460" i="5"/>
  <c r="F4460" i="5" s="1"/>
  <c r="C2051" i="5"/>
  <c r="C200" i="5"/>
  <c r="C5720" i="5"/>
  <c r="C4268" i="5"/>
  <c r="F4268" i="5" s="1"/>
  <c r="C2061" i="5"/>
  <c r="F2061" i="5" s="1"/>
  <c r="F2062" i="5" s="1"/>
  <c r="G70" i="1" s="1"/>
  <c r="J70" i="1" s="1"/>
  <c r="C776" i="5"/>
  <c r="C248" i="5"/>
  <c r="C188" i="5"/>
  <c r="F188" i="5" s="1"/>
  <c r="C4254" i="5"/>
  <c r="C140" i="5"/>
  <c r="F140" i="5" s="1"/>
  <c r="C5694" i="5"/>
  <c r="F5694" i="5" s="1"/>
  <c r="C750" i="5"/>
  <c r="F750" i="5" s="1"/>
  <c r="L2051" i="5"/>
  <c r="T2027" i="5" s="1"/>
  <c r="U2027" i="5"/>
  <c r="F2051" i="5"/>
  <c r="I1979" i="5"/>
  <c r="I731" i="5"/>
  <c r="F765" i="5"/>
  <c r="G36" i="1" s="1"/>
  <c r="F4254" i="5"/>
  <c r="I4235" i="5"/>
  <c r="F4269" i="5"/>
  <c r="G130" i="1" s="1"/>
  <c r="F5646" i="5"/>
  <c r="I5627" i="5"/>
  <c r="I107" i="5"/>
  <c r="F141" i="5"/>
  <c r="G18" i="1" s="1"/>
  <c r="F126" i="5"/>
  <c r="F174" i="5"/>
  <c r="F4446" i="5"/>
  <c r="F189" i="5"/>
  <c r="G19" i="1" s="1"/>
  <c r="I155" i="5"/>
  <c r="I4427" i="5"/>
  <c r="F4461" i="5"/>
  <c r="G138" i="1" s="1"/>
  <c r="D36" i="5"/>
  <c r="B2365" i="5"/>
  <c r="E2363" i="5"/>
  <c r="B2363" i="5"/>
  <c r="A2363" i="5"/>
  <c r="N2405" i="5"/>
  <c r="M2405" i="5"/>
  <c r="L2405" i="5"/>
  <c r="K2405" i="5"/>
  <c r="J2405" i="5"/>
  <c r="I2405" i="5"/>
  <c r="H2405" i="5"/>
  <c r="F2405" i="5"/>
  <c r="N2404" i="5"/>
  <c r="M2404" i="5"/>
  <c r="L2404" i="5"/>
  <c r="K2404" i="5"/>
  <c r="J2404" i="5"/>
  <c r="I2404" i="5"/>
  <c r="H2404" i="5"/>
  <c r="F2404" i="5"/>
  <c r="N2403" i="5"/>
  <c r="M2403" i="5"/>
  <c r="L2403" i="5"/>
  <c r="K2403" i="5"/>
  <c r="J2403" i="5"/>
  <c r="I2403" i="5"/>
  <c r="H2403" i="5"/>
  <c r="F2403" i="5"/>
  <c r="N2402" i="5"/>
  <c r="M2402" i="5"/>
  <c r="L2402" i="5"/>
  <c r="K2402" i="5"/>
  <c r="J2402" i="5"/>
  <c r="I2402" i="5"/>
  <c r="H2402" i="5"/>
  <c r="F2402" i="5"/>
  <c r="N2401" i="5"/>
  <c r="M2401" i="5"/>
  <c r="L2401" i="5"/>
  <c r="K2401" i="5"/>
  <c r="J2401" i="5"/>
  <c r="I2401" i="5"/>
  <c r="H2401" i="5"/>
  <c r="F2401" i="5"/>
  <c r="M2400" i="5"/>
  <c r="H2400" i="5"/>
  <c r="N2400" i="5"/>
  <c r="A2399" i="5"/>
  <c r="D2399" i="5" s="1"/>
  <c r="N2394" i="5"/>
  <c r="M2394" i="5"/>
  <c r="L2394" i="5"/>
  <c r="K2394" i="5"/>
  <c r="J2394" i="5"/>
  <c r="I2394" i="5"/>
  <c r="H2394" i="5"/>
  <c r="F2394" i="5"/>
  <c r="N2393" i="5"/>
  <c r="M2393" i="5"/>
  <c r="L2393" i="5"/>
  <c r="K2393" i="5"/>
  <c r="J2393" i="5"/>
  <c r="I2393" i="5"/>
  <c r="H2393" i="5"/>
  <c r="F2393" i="5"/>
  <c r="N2392" i="5"/>
  <c r="M2392" i="5"/>
  <c r="L2392" i="5"/>
  <c r="K2392" i="5"/>
  <c r="J2392" i="5"/>
  <c r="I2392" i="5"/>
  <c r="H2392" i="5"/>
  <c r="F2392" i="5"/>
  <c r="N2391" i="5"/>
  <c r="M2391" i="5"/>
  <c r="L2391" i="5"/>
  <c r="K2391" i="5"/>
  <c r="J2391" i="5"/>
  <c r="I2391" i="5"/>
  <c r="H2391" i="5"/>
  <c r="F2391" i="5"/>
  <c r="N2390" i="5"/>
  <c r="M2390" i="5"/>
  <c r="L2390" i="5"/>
  <c r="K2390" i="5"/>
  <c r="J2390" i="5"/>
  <c r="I2390" i="5"/>
  <c r="H2390" i="5"/>
  <c r="F2390" i="5"/>
  <c r="N2389" i="5"/>
  <c r="M2389" i="5"/>
  <c r="L2389" i="5"/>
  <c r="K2389" i="5"/>
  <c r="J2389" i="5"/>
  <c r="I2389" i="5"/>
  <c r="H2389" i="5"/>
  <c r="F2389" i="5"/>
  <c r="N2388" i="5"/>
  <c r="M2388" i="5"/>
  <c r="L2388" i="5"/>
  <c r="K2388" i="5"/>
  <c r="J2388" i="5"/>
  <c r="I2388" i="5"/>
  <c r="H2388" i="5"/>
  <c r="F2388" i="5"/>
  <c r="N2387" i="5"/>
  <c r="M2387" i="5"/>
  <c r="L2387" i="5"/>
  <c r="K2387" i="5"/>
  <c r="J2387" i="5"/>
  <c r="I2387" i="5"/>
  <c r="H2387" i="5"/>
  <c r="F2387" i="5"/>
  <c r="H2386" i="5"/>
  <c r="N2386" i="5"/>
  <c r="H2385" i="5"/>
  <c r="N2385" i="5"/>
  <c r="N2380" i="5"/>
  <c r="M2380" i="5"/>
  <c r="L2380" i="5"/>
  <c r="K2380" i="5"/>
  <c r="J2380" i="5"/>
  <c r="I2380" i="5"/>
  <c r="H2380" i="5"/>
  <c r="F2380" i="5"/>
  <c r="N2379" i="5"/>
  <c r="M2379" i="5"/>
  <c r="L2379" i="5"/>
  <c r="K2379" i="5"/>
  <c r="J2379" i="5"/>
  <c r="I2379" i="5"/>
  <c r="H2379" i="5"/>
  <c r="F2379" i="5"/>
  <c r="N2378" i="5"/>
  <c r="M2378" i="5"/>
  <c r="L2378" i="5"/>
  <c r="K2378" i="5"/>
  <c r="J2378" i="5"/>
  <c r="I2378" i="5"/>
  <c r="H2378" i="5"/>
  <c r="F2378" i="5"/>
  <c r="N2377" i="5"/>
  <c r="M2377" i="5"/>
  <c r="L2377" i="5"/>
  <c r="K2377" i="5"/>
  <c r="J2377" i="5"/>
  <c r="I2377" i="5"/>
  <c r="H2377" i="5"/>
  <c r="F2377" i="5"/>
  <c r="N2376" i="5"/>
  <c r="M2376" i="5"/>
  <c r="L2376" i="5"/>
  <c r="K2376" i="5"/>
  <c r="J2376" i="5"/>
  <c r="I2376" i="5"/>
  <c r="H2376" i="5"/>
  <c r="F2376" i="5"/>
  <c r="N2375" i="5"/>
  <c r="M2375" i="5"/>
  <c r="L2375" i="5"/>
  <c r="K2375" i="5"/>
  <c r="J2375" i="5"/>
  <c r="I2375" i="5"/>
  <c r="H2375" i="5"/>
  <c r="F2375" i="5"/>
  <c r="N2374" i="5"/>
  <c r="M2374" i="5"/>
  <c r="L2374" i="5"/>
  <c r="K2374" i="5"/>
  <c r="J2374" i="5"/>
  <c r="I2374" i="5"/>
  <c r="H2374" i="5"/>
  <c r="F2374" i="5"/>
  <c r="N2373" i="5"/>
  <c r="M2373" i="5"/>
  <c r="L2373" i="5"/>
  <c r="K2373" i="5"/>
  <c r="J2373" i="5"/>
  <c r="I2373" i="5"/>
  <c r="H2373" i="5"/>
  <c r="F2373" i="5"/>
  <c r="N2372" i="5"/>
  <c r="M2372" i="5"/>
  <c r="L2372" i="5"/>
  <c r="K2372" i="5"/>
  <c r="J2372" i="5"/>
  <c r="I2372" i="5"/>
  <c r="H2372" i="5"/>
  <c r="F2372" i="5"/>
  <c r="N2371" i="5"/>
  <c r="M2371" i="5"/>
  <c r="L2371" i="5"/>
  <c r="K2371" i="5"/>
  <c r="J2371" i="5"/>
  <c r="I2371" i="5"/>
  <c r="H2371" i="5"/>
  <c r="F2371" i="5"/>
  <c r="N2370" i="5"/>
  <c r="M2370" i="5"/>
  <c r="L2370" i="5"/>
  <c r="K2370" i="5"/>
  <c r="J2370" i="5"/>
  <c r="I2370" i="5"/>
  <c r="H2370" i="5"/>
  <c r="F2370" i="5"/>
  <c r="N2369" i="5"/>
  <c r="M2369" i="5"/>
  <c r="L2369" i="5"/>
  <c r="K2369" i="5"/>
  <c r="J2369" i="5"/>
  <c r="I2369" i="5"/>
  <c r="H2369" i="5"/>
  <c r="F2369" i="5"/>
  <c r="N2368" i="5"/>
  <c r="M2368" i="5"/>
  <c r="L2368" i="5"/>
  <c r="K2368" i="5"/>
  <c r="J2368" i="5"/>
  <c r="I2368" i="5"/>
  <c r="H2368" i="5"/>
  <c r="F2368" i="5"/>
  <c r="N2367" i="5"/>
  <c r="M2367" i="5"/>
  <c r="L2367" i="5"/>
  <c r="K2367" i="5"/>
  <c r="J2367" i="5"/>
  <c r="I2367" i="5"/>
  <c r="H2367" i="5"/>
  <c r="F2367" i="5"/>
  <c r="N2366" i="5"/>
  <c r="M2366" i="5"/>
  <c r="L2366" i="5"/>
  <c r="K2366" i="5"/>
  <c r="J2366" i="5"/>
  <c r="I2366" i="5"/>
  <c r="H2366" i="5"/>
  <c r="F2366" i="5"/>
  <c r="I203" i="5" l="1"/>
  <c r="F5709" i="5"/>
  <c r="G167" i="1" s="1"/>
  <c r="V2027" i="5"/>
  <c r="F2052" i="5"/>
  <c r="F70" i="1" s="1"/>
  <c r="I70" i="1" s="1"/>
  <c r="H2027" i="5"/>
  <c r="H1979" i="5"/>
  <c r="H731" i="5"/>
  <c r="F751" i="5"/>
  <c r="F36" i="1" s="1"/>
  <c r="J18" i="1"/>
  <c r="J20" i="1"/>
  <c r="J19" i="1"/>
  <c r="J166" i="1"/>
  <c r="J130" i="1"/>
  <c r="J167" i="1"/>
  <c r="H4235" i="5"/>
  <c r="F4255" i="5"/>
  <c r="F130" i="1" s="1"/>
  <c r="H5627" i="5"/>
  <c r="F5647" i="5"/>
  <c r="F166" i="1" s="1"/>
  <c r="H5675" i="5"/>
  <c r="F5695" i="5"/>
  <c r="F167" i="1" s="1"/>
  <c r="H155" i="5"/>
  <c r="F175" i="5"/>
  <c r="H4427" i="5"/>
  <c r="F4447" i="5"/>
  <c r="F138" i="1" s="1"/>
  <c r="H107" i="5"/>
  <c r="F127" i="5"/>
  <c r="F223" i="5"/>
  <c r="H203" i="5"/>
  <c r="O2363" i="5"/>
  <c r="P2363" i="5" s="1"/>
  <c r="G2363" i="5"/>
  <c r="U2363" i="5" s="1"/>
  <c r="H2365" i="5"/>
  <c r="M2399" i="5"/>
  <c r="N2399" i="5" s="1"/>
  <c r="D2365" i="5"/>
  <c r="M2365" i="5"/>
  <c r="N2365" i="5" s="1"/>
  <c r="M2385" i="5"/>
  <c r="M2386" i="5"/>
  <c r="J2399" i="5"/>
  <c r="K2399" i="5" s="1"/>
  <c r="J2400" i="5"/>
  <c r="K2400" i="5" s="1"/>
  <c r="E2365" i="5"/>
  <c r="F2365" i="5" s="1"/>
  <c r="J2365" i="5"/>
  <c r="F2385" i="5"/>
  <c r="J2385" i="5"/>
  <c r="K2385" i="5" s="1"/>
  <c r="F2386" i="5"/>
  <c r="J2386" i="5"/>
  <c r="X2027" i="5" l="1"/>
  <c r="I2027" i="5"/>
  <c r="I167" i="1"/>
  <c r="I166" i="1"/>
  <c r="I130" i="1"/>
  <c r="X2363" i="5"/>
  <c r="F19" i="1"/>
  <c r="F20" i="1"/>
  <c r="F18" i="1"/>
  <c r="W2363" i="5"/>
  <c r="K2386" i="5"/>
  <c r="K2365" i="5"/>
  <c r="F2381" i="5"/>
  <c r="F2400" i="5"/>
  <c r="I2400" i="5"/>
  <c r="I2365" i="5"/>
  <c r="F2395" i="5"/>
  <c r="L2400" i="5"/>
  <c r="L2399" i="5"/>
  <c r="L2386" i="5"/>
  <c r="L2385" i="5"/>
  <c r="L2365" i="5"/>
  <c r="I2385" i="5"/>
  <c r="I2386" i="5"/>
  <c r="I20" i="1" l="1"/>
  <c r="I18" i="1"/>
  <c r="I19" i="1"/>
  <c r="T2363" i="5"/>
  <c r="V2363" i="5" s="1"/>
  <c r="D2352" i="5"/>
  <c r="D2338" i="5"/>
  <c r="B2337" i="5"/>
  <c r="E2317" i="5"/>
  <c r="E2509" i="5"/>
  <c r="E2513" i="5"/>
  <c r="B2513" i="5"/>
  <c r="D2513" i="5"/>
  <c r="C2543" i="5"/>
  <c r="C2544" i="5"/>
  <c r="E3325" i="5"/>
  <c r="B3360" i="5"/>
  <c r="B3359" i="5"/>
  <c r="D2337" i="5" l="1"/>
  <c r="E2337" i="5"/>
  <c r="B2338" i="5"/>
  <c r="D2317" i="5"/>
  <c r="E2338" i="5"/>
  <c r="B2352" i="5"/>
  <c r="B2317" i="5"/>
  <c r="B2509" i="5"/>
  <c r="C1104" i="5" l="1"/>
  <c r="C1103" i="5"/>
  <c r="C1071" i="5"/>
  <c r="C1070" i="5"/>
  <c r="E1071" i="5"/>
  <c r="F1071" i="5" s="1"/>
  <c r="E1070" i="5"/>
  <c r="D1104" i="5"/>
  <c r="B1103" i="5"/>
  <c r="B1071" i="5" l="1"/>
  <c r="B1104" i="5"/>
  <c r="D1103" i="5"/>
  <c r="D1070" i="5"/>
  <c r="B1070" i="5"/>
  <c r="D1071" i="5"/>
  <c r="F1070" i="5"/>
  <c r="N101" i="5"/>
  <c r="M101" i="5"/>
  <c r="L101" i="5"/>
  <c r="K101" i="5"/>
  <c r="J101" i="5"/>
  <c r="I101" i="5"/>
  <c r="H101" i="5"/>
  <c r="N100" i="5"/>
  <c r="M100" i="5"/>
  <c r="L100" i="5"/>
  <c r="K100" i="5"/>
  <c r="J100" i="5"/>
  <c r="I100" i="5"/>
  <c r="H100" i="5"/>
  <c r="N99" i="5"/>
  <c r="M99" i="5"/>
  <c r="L99" i="5"/>
  <c r="K99" i="5"/>
  <c r="J99" i="5"/>
  <c r="I99" i="5"/>
  <c r="H99" i="5"/>
  <c r="N98" i="5"/>
  <c r="M98" i="5"/>
  <c r="L98" i="5"/>
  <c r="K98" i="5"/>
  <c r="J98" i="5"/>
  <c r="I98" i="5"/>
  <c r="H98" i="5"/>
  <c r="N97" i="5"/>
  <c r="M97" i="5"/>
  <c r="L97" i="5"/>
  <c r="K97" i="5"/>
  <c r="J97" i="5"/>
  <c r="I97" i="5"/>
  <c r="H97" i="5"/>
  <c r="N90" i="5"/>
  <c r="M90" i="5"/>
  <c r="L90" i="5"/>
  <c r="K90" i="5"/>
  <c r="J90" i="5"/>
  <c r="I90" i="5"/>
  <c r="H90" i="5"/>
  <c r="N89" i="5"/>
  <c r="M89" i="5"/>
  <c r="L89" i="5"/>
  <c r="K89" i="5"/>
  <c r="J89" i="5"/>
  <c r="I89" i="5"/>
  <c r="H89" i="5"/>
  <c r="N88" i="5"/>
  <c r="M88" i="5"/>
  <c r="L88" i="5"/>
  <c r="K88" i="5"/>
  <c r="J88" i="5"/>
  <c r="I88" i="5"/>
  <c r="H88" i="5"/>
  <c r="N87" i="5"/>
  <c r="M87" i="5"/>
  <c r="L87" i="5"/>
  <c r="K87" i="5"/>
  <c r="J87" i="5"/>
  <c r="I87" i="5"/>
  <c r="H87" i="5"/>
  <c r="N86" i="5"/>
  <c r="M86" i="5"/>
  <c r="L86" i="5"/>
  <c r="K86" i="5"/>
  <c r="J86" i="5"/>
  <c r="I86" i="5"/>
  <c r="H86" i="5"/>
  <c r="N85" i="5"/>
  <c r="M85" i="5"/>
  <c r="L85" i="5"/>
  <c r="K85" i="5"/>
  <c r="J85" i="5"/>
  <c r="I85" i="5"/>
  <c r="H85" i="5"/>
  <c r="N84" i="5"/>
  <c r="M84" i="5"/>
  <c r="L84" i="5"/>
  <c r="K84" i="5"/>
  <c r="J84" i="5"/>
  <c r="I84" i="5"/>
  <c r="H84" i="5"/>
  <c r="N83" i="5"/>
  <c r="M83" i="5"/>
  <c r="L83" i="5"/>
  <c r="K83" i="5"/>
  <c r="J83" i="5"/>
  <c r="I83" i="5"/>
  <c r="H83" i="5"/>
  <c r="N82" i="5"/>
  <c r="M82" i="5"/>
  <c r="L82" i="5"/>
  <c r="K82" i="5"/>
  <c r="J82" i="5"/>
  <c r="I82" i="5"/>
  <c r="H82" i="5"/>
  <c r="N81" i="5"/>
  <c r="M81" i="5"/>
  <c r="L81" i="5"/>
  <c r="K81" i="5"/>
  <c r="J81" i="5"/>
  <c r="I81" i="5"/>
  <c r="H81" i="5"/>
  <c r="N76" i="5"/>
  <c r="M76" i="5"/>
  <c r="L76" i="5"/>
  <c r="K76" i="5"/>
  <c r="J76" i="5"/>
  <c r="I76" i="5"/>
  <c r="H76" i="5"/>
  <c r="N75" i="5"/>
  <c r="M75" i="5"/>
  <c r="L75" i="5"/>
  <c r="K75" i="5"/>
  <c r="J75" i="5"/>
  <c r="I75" i="5"/>
  <c r="H75" i="5"/>
  <c r="N74" i="5"/>
  <c r="M74" i="5"/>
  <c r="L74" i="5"/>
  <c r="K74" i="5"/>
  <c r="J74" i="5"/>
  <c r="I74" i="5"/>
  <c r="H74" i="5"/>
  <c r="N73" i="5"/>
  <c r="M73" i="5"/>
  <c r="L73" i="5"/>
  <c r="K73" i="5"/>
  <c r="J73" i="5"/>
  <c r="I73" i="5"/>
  <c r="H73" i="5"/>
  <c r="N72" i="5"/>
  <c r="M72" i="5"/>
  <c r="L72" i="5"/>
  <c r="K72" i="5"/>
  <c r="J72" i="5"/>
  <c r="I72" i="5"/>
  <c r="H72" i="5"/>
  <c r="N71" i="5"/>
  <c r="M71" i="5"/>
  <c r="L71" i="5"/>
  <c r="K71" i="5"/>
  <c r="J71" i="5"/>
  <c r="I71" i="5"/>
  <c r="H71" i="5"/>
  <c r="N70" i="5"/>
  <c r="M70" i="5"/>
  <c r="L70" i="5"/>
  <c r="K70" i="5"/>
  <c r="J70" i="5"/>
  <c r="I70" i="5"/>
  <c r="H70" i="5"/>
  <c r="N69" i="5"/>
  <c r="M69" i="5"/>
  <c r="L69" i="5"/>
  <c r="K69" i="5"/>
  <c r="J69" i="5"/>
  <c r="I69" i="5"/>
  <c r="H69" i="5"/>
  <c r="N68" i="5"/>
  <c r="M68" i="5"/>
  <c r="L68" i="5"/>
  <c r="K68" i="5"/>
  <c r="J68" i="5"/>
  <c r="I68" i="5"/>
  <c r="H68" i="5"/>
  <c r="N67" i="5"/>
  <c r="M67" i="5"/>
  <c r="L67" i="5"/>
  <c r="K67" i="5"/>
  <c r="J67" i="5"/>
  <c r="I67" i="5"/>
  <c r="H67" i="5"/>
  <c r="N66" i="5"/>
  <c r="M66" i="5"/>
  <c r="L66" i="5"/>
  <c r="K66" i="5"/>
  <c r="J66" i="5"/>
  <c r="I66" i="5"/>
  <c r="H66" i="5"/>
  <c r="N65" i="5"/>
  <c r="M65" i="5"/>
  <c r="L65" i="5"/>
  <c r="K65" i="5"/>
  <c r="J65" i="5"/>
  <c r="I65" i="5"/>
  <c r="H65" i="5"/>
  <c r="H40" i="5"/>
  <c r="H41" i="5"/>
  <c r="H42" i="5"/>
  <c r="A1089" i="5"/>
  <c r="D1089" i="5" s="1"/>
  <c r="B1089" i="5" l="1"/>
  <c r="E1069" i="5"/>
  <c r="A1069" i="5"/>
  <c r="B1069" i="5" s="1"/>
  <c r="C4704" i="5"/>
  <c r="C4703" i="5"/>
  <c r="E4141" i="5"/>
  <c r="A4141" i="5"/>
  <c r="E1089" i="5" l="1"/>
  <c r="D1069" i="5"/>
  <c r="E2510" i="5"/>
  <c r="N5621" i="5" l="1"/>
  <c r="M5621" i="5"/>
  <c r="L5621" i="5"/>
  <c r="K5621" i="5"/>
  <c r="J5621" i="5"/>
  <c r="I5621" i="5"/>
  <c r="H5621" i="5"/>
  <c r="N5620" i="5"/>
  <c r="M5620" i="5"/>
  <c r="L5620" i="5"/>
  <c r="K5620" i="5"/>
  <c r="J5620" i="5"/>
  <c r="I5620" i="5"/>
  <c r="H5620" i="5"/>
  <c r="N5619" i="5"/>
  <c r="M5619" i="5"/>
  <c r="L5619" i="5"/>
  <c r="K5619" i="5"/>
  <c r="J5619" i="5"/>
  <c r="I5619" i="5"/>
  <c r="H5619" i="5"/>
  <c r="N5618" i="5"/>
  <c r="M5618" i="5"/>
  <c r="L5618" i="5"/>
  <c r="K5618" i="5"/>
  <c r="J5618" i="5"/>
  <c r="I5618" i="5"/>
  <c r="H5618" i="5"/>
  <c r="N5617" i="5"/>
  <c r="M5617" i="5"/>
  <c r="L5617" i="5"/>
  <c r="K5617" i="5"/>
  <c r="J5617" i="5"/>
  <c r="I5617" i="5"/>
  <c r="H5617" i="5"/>
  <c r="N5616" i="5"/>
  <c r="M5616" i="5"/>
  <c r="L5616" i="5"/>
  <c r="K5616" i="5"/>
  <c r="J5616" i="5"/>
  <c r="I5616" i="5"/>
  <c r="H5616" i="5"/>
  <c r="M5615" i="5"/>
  <c r="J5615" i="5"/>
  <c r="N5610" i="5"/>
  <c r="M5610" i="5"/>
  <c r="L5610" i="5"/>
  <c r="K5610" i="5"/>
  <c r="J5610" i="5"/>
  <c r="I5610" i="5"/>
  <c r="H5610" i="5"/>
  <c r="N5609" i="5"/>
  <c r="M5609" i="5"/>
  <c r="L5609" i="5"/>
  <c r="K5609" i="5"/>
  <c r="J5609" i="5"/>
  <c r="I5609" i="5"/>
  <c r="H5609" i="5"/>
  <c r="N5608" i="5"/>
  <c r="M5608" i="5"/>
  <c r="L5608" i="5"/>
  <c r="K5608" i="5"/>
  <c r="J5608" i="5"/>
  <c r="I5608" i="5"/>
  <c r="H5608" i="5"/>
  <c r="N5607" i="5"/>
  <c r="M5607" i="5"/>
  <c r="L5607" i="5"/>
  <c r="K5607" i="5"/>
  <c r="J5607" i="5"/>
  <c r="I5607" i="5"/>
  <c r="H5607" i="5"/>
  <c r="N5606" i="5"/>
  <c r="M5606" i="5"/>
  <c r="L5606" i="5"/>
  <c r="K5606" i="5"/>
  <c r="J5606" i="5"/>
  <c r="I5606" i="5"/>
  <c r="H5606" i="5"/>
  <c r="N5605" i="5"/>
  <c r="M5605" i="5"/>
  <c r="L5605" i="5"/>
  <c r="K5605" i="5"/>
  <c r="J5605" i="5"/>
  <c r="I5605" i="5"/>
  <c r="H5605" i="5"/>
  <c r="N5604" i="5"/>
  <c r="M5604" i="5"/>
  <c r="L5604" i="5"/>
  <c r="K5604" i="5"/>
  <c r="J5604" i="5"/>
  <c r="I5604" i="5"/>
  <c r="H5604" i="5"/>
  <c r="N5603" i="5"/>
  <c r="M5603" i="5"/>
  <c r="L5603" i="5"/>
  <c r="K5603" i="5"/>
  <c r="J5603" i="5"/>
  <c r="I5603" i="5"/>
  <c r="H5603" i="5"/>
  <c r="N5602" i="5"/>
  <c r="M5602" i="5"/>
  <c r="L5602" i="5"/>
  <c r="K5602" i="5"/>
  <c r="J5602" i="5"/>
  <c r="I5602" i="5"/>
  <c r="H5602" i="5"/>
  <c r="M5601" i="5"/>
  <c r="J5601" i="5"/>
  <c r="H5601" i="5"/>
  <c r="N5596" i="5"/>
  <c r="M5596" i="5"/>
  <c r="L5596" i="5"/>
  <c r="K5596" i="5"/>
  <c r="J5596" i="5"/>
  <c r="I5596" i="5"/>
  <c r="H5596" i="5"/>
  <c r="N5595" i="5"/>
  <c r="M5595" i="5"/>
  <c r="L5595" i="5"/>
  <c r="K5595" i="5"/>
  <c r="J5595" i="5"/>
  <c r="I5595" i="5"/>
  <c r="H5595" i="5"/>
  <c r="N5594" i="5"/>
  <c r="M5594" i="5"/>
  <c r="L5594" i="5"/>
  <c r="K5594" i="5"/>
  <c r="J5594" i="5"/>
  <c r="I5594" i="5"/>
  <c r="H5594" i="5"/>
  <c r="N5593" i="5"/>
  <c r="M5593" i="5"/>
  <c r="L5593" i="5"/>
  <c r="K5593" i="5"/>
  <c r="J5593" i="5"/>
  <c r="I5593" i="5"/>
  <c r="H5593" i="5"/>
  <c r="N5592" i="5"/>
  <c r="M5592" i="5"/>
  <c r="L5592" i="5"/>
  <c r="K5592" i="5"/>
  <c r="J5592" i="5"/>
  <c r="I5592" i="5"/>
  <c r="H5592" i="5"/>
  <c r="N5591" i="5"/>
  <c r="M5591" i="5"/>
  <c r="L5591" i="5"/>
  <c r="K5591" i="5"/>
  <c r="J5591" i="5"/>
  <c r="I5591" i="5"/>
  <c r="H5591" i="5"/>
  <c r="N5590" i="5"/>
  <c r="M5590" i="5"/>
  <c r="L5590" i="5"/>
  <c r="K5590" i="5"/>
  <c r="J5590" i="5"/>
  <c r="I5590" i="5"/>
  <c r="H5590" i="5"/>
  <c r="N5589" i="5"/>
  <c r="M5589" i="5"/>
  <c r="L5589" i="5"/>
  <c r="K5589" i="5"/>
  <c r="J5589" i="5"/>
  <c r="I5589" i="5"/>
  <c r="H5589" i="5"/>
  <c r="N5588" i="5"/>
  <c r="M5588" i="5"/>
  <c r="L5588" i="5"/>
  <c r="K5588" i="5"/>
  <c r="J5588" i="5"/>
  <c r="I5588" i="5"/>
  <c r="H5588" i="5"/>
  <c r="N5587" i="5"/>
  <c r="M5587" i="5"/>
  <c r="L5587" i="5"/>
  <c r="K5587" i="5"/>
  <c r="J5587" i="5"/>
  <c r="I5587" i="5"/>
  <c r="H5587" i="5"/>
  <c r="N5586" i="5"/>
  <c r="M5586" i="5"/>
  <c r="L5586" i="5"/>
  <c r="K5586" i="5"/>
  <c r="J5586" i="5"/>
  <c r="I5586" i="5"/>
  <c r="H5586" i="5"/>
  <c r="N5585" i="5"/>
  <c r="M5585" i="5"/>
  <c r="L5585" i="5"/>
  <c r="K5585" i="5"/>
  <c r="J5585" i="5"/>
  <c r="I5585" i="5"/>
  <c r="H5585" i="5"/>
  <c r="N5584" i="5"/>
  <c r="M5584" i="5"/>
  <c r="L5584" i="5"/>
  <c r="K5584" i="5"/>
  <c r="J5584" i="5"/>
  <c r="I5584" i="5"/>
  <c r="H5584" i="5"/>
  <c r="N5583" i="5"/>
  <c r="M5583" i="5"/>
  <c r="L5583" i="5"/>
  <c r="K5583" i="5"/>
  <c r="J5583" i="5"/>
  <c r="I5583" i="5"/>
  <c r="H5583" i="5"/>
  <c r="N5582" i="5"/>
  <c r="M5582" i="5"/>
  <c r="L5582" i="5"/>
  <c r="K5582" i="5"/>
  <c r="J5582" i="5"/>
  <c r="I5582" i="5"/>
  <c r="H5582" i="5"/>
  <c r="N5581" i="5"/>
  <c r="M5581" i="5"/>
  <c r="L5581" i="5"/>
  <c r="K5581" i="5"/>
  <c r="J5581" i="5"/>
  <c r="I5581" i="5"/>
  <c r="H5581" i="5"/>
  <c r="M4737" i="5"/>
  <c r="J4737" i="5"/>
  <c r="H4737" i="5"/>
  <c r="I4737" i="5" s="1"/>
  <c r="N4721" i="5"/>
  <c r="M4721" i="5"/>
  <c r="L4721" i="5"/>
  <c r="K4721" i="5"/>
  <c r="J4721" i="5"/>
  <c r="I4721" i="5"/>
  <c r="H4721" i="5"/>
  <c r="N4720" i="5"/>
  <c r="M4720" i="5"/>
  <c r="L4720" i="5"/>
  <c r="K4720" i="5"/>
  <c r="J4720" i="5"/>
  <c r="I4720" i="5"/>
  <c r="H4720" i="5"/>
  <c r="A1441" i="5"/>
  <c r="A1440" i="5"/>
  <c r="A1439" i="5"/>
  <c r="E1425" i="5"/>
  <c r="A1425" i="5"/>
  <c r="E1409" i="5"/>
  <c r="E1408" i="5"/>
  <c r="E1407" i="5"/>
  <c r="E1406" i="5"/>
  <c r="E1405" i="5"/>
  <c r="A1408" i="5"/>
  <c r="A1407" i="5"/>
  <c r="A1406" i="5"/>
  <c r="A1405" i="5"/>
  <c r="A1392" i="5"/>
  <c r="A1359" i="5"/>
  <c r="A1358" i="5"/>
  <c r="E1359" i="5"/>
  <c r="E1358" i="5"/>
  <c r="E1357" i="5"/>
  <c r="A1357" i="5"/>
  <c r="D1344" i="5"/>
  <c r="B1344" i="5"/>
  <c r="A1344" i="5"/>
  <c r="D1343" i="5"/>
  <c r="B1343" i="5"/>
  <c r="A1343" i="5"/>
  <c r="E1311" i="5"/>
  <c r="D1311" i="5"/>
  <c r="B1311" i="5"/>
  <c r="A1311" i="5"/>
  <c r="E1310" i="5"/>
  <c r="D1310" i="5"/>
  <c r="B1310" i="5"/>
  <c r="A1310" i="5"/>
  <c r="E1309" i="5"/>
  <c r="D1309" i="5"/>
  <c r="B1309" i="5"/>
  <c r="A1309" i="5"/>
  <c r="A1297" i="5"/>
  <c r="A1298" i="5"/>
  <c r="A1296" i="5"/>
  <c r="A1295" i="5"/>
  <c r="A1264" i="5"/>
  <c r="A1273" i="5"/>
  <c r="A1268" i="5"/>
  <c r="A1271" i="5"/>
  <c r="A1270" i="5"/>
  <c r="A1269" i="5"/>
  <c r="A1267" i="5"/>
  <c r="A1272" i="5"/>
  <c r="A1266" i="5"/>
  <c r="A1265" i="5"/>
  <c r="A1263" i="5"/>
  <c r="E1272" i="5"/>
  <c r="E1266" i="5"/>
  <c r="E1265" i="5"/>
  <c r="E1263" i="5"/>
  <c r="E1262" i="5"/>
  <c r="E1261" i="5"/>
  <c r="A1262" i="5"/>
  <c r="A1261" i="5"/>
  <c r="D1248" i="5"/>
  <c r="B1248" i="5"/>
  <c r="A1248" i="5"/>
  <c r="D1247" i="5"/>
  <c r="B1247" i="5"/>
  <c r="A1247" i="5"/>
  <c r="D1199" i="5"/>
  <c r="B1199" i="5"/>
  <c r="A1199" i="5"/>
  <c r="E1169" i="5"/>
  <c r="D1169" i="5"/>
  <c r="B1169" i="5"/>
  <c r="A1169" i="5"/>
  <c r="E1168" i="5"/>
  <c r="D1168" i="5"/>
  <c r="B1168" i="5"/>
  <c r="A1168" i="5"/>
  <c r="E1167" i="5"/>
  <c r="D1167" i="5"/>
  <c r="B1167" i="5"/>
  <c r="A1167" i="5"/>
  <c r="E1166" i="5"/>
  <c r="D1166" i="5"/>
  <c r="B1166" i="5"/>
  <c r="A1166" i="5"/>
  <c r="E1165" i="5"/>
  <c r="D1165" i="5"/>
  <c r="B1165" i="5"/>
  <c r="A1165" i="5"/>
  <c r="E1120" i="5"/>
  <c r="A1120" i="5"/>
  <c r="D1056" i="5"/>
  <c r="B1056" i="5"/>
  <c r="A1056" i="5"/>
  <c r="D1055" i="5"/>
  <c r="B1055" i="5"/>
  <c r="A1055" i="5"/>
  <c r="E1041" i="5"/>
  <c r="D1041" i="5"/>
  <c r="B1041" i="5"/>
  <c r="A1041" i="5"/>
  <c r="E1022" i="5"/>
  <c r="D1022" i="5"/>
  <c r="B1022" i="5"/>
  <c r="A1022" i="5"/>
  <c r="E1021" i="5"/>
  <c r="D1021" i="5"/>
  <c r="B1021" i="5"/>
  <c r="A1021" i="5"/>
  <c r="A1008" i="5"/>
  <c r="A1007" i="5"/>
  <c r="A980" i="5"/>
  <c r="A977" i="5"/>
  <c r="D959" i="5"/>
  <c r="B959" i="5"/>
  <c r="A959" i="5"/>
  <c r="E930" i="5"/>
  <c r="D930" i="5"/>
  <c r="B930" i="5"/>
  <c r="A930" i="5"/>
  <c r="E929" i="5"/>
  <c r="D929" i="5"/>
  <c r="B929" i="5"/>
  <c r="A929" i="5"/>
  <c r="E928" i="5"/>
  <c r="D928" i="5"/>
  <c r="A928" i="5"/>
  <c r="B928" i="5"/>
  <c r="E927" i="5"/>
  <c r="D927" i="5"/>
  <c r="B927" i="5"/>
  <c r="A927" i="5"/>
  <c r="E926" i="5"/>
  <c r="D926" i="5"/>
  <c r="B926" i="5"/>
  <c r="A926" i="5"/>
  <c r="E925" i="5"/>
  <c r="D925" i="5"/>
  <c r="B925" i="5"/>
  <c r="A925" i="5"/>
  <c r="D912" i="5"/>
  <c r="B912" i="5"/>
  <c r="A912" i="5"/>
  <c r="D911" i="5"/>
  <c r="B911" i="5"/>
  <c r="A911" i="5"/>
  <c r="E878" i="5"/>
  <c r="D878" i="5"/>
  <c r="E881" i="5"/>
  <c r="D881" i="5"/>
  <c r="B881" i="5"/>
  <c r="A881" i="5"/>
  <c r="E880" i="5"/>
  <c r="D880" i="5"/>
  <c r="B880" i="5"/>
  <c r="A880" i="5"/>
  <c r="E879" i="5"/>
  <c r="D879" i="5"/>
  <c r="B879" i="5"/>
  <c r="A879" i="5"/>
  <c r="B878" i="5"/>
  <c r="A878" i="5"/>
  <c r="E877" i="5"/>
  <c r="D877" i="5"/>
  <c r="B877" i="5"/>
  <c r="A877" i="5"/>
  <c r="D863" i="5"/>
  <c r="B863" i="5"/>
  <c r="A863" i="5"/>
  <c r="E833" i="5"/>
  <c r="D833" i="5"/>
  <c r="B833" i="5"/>
  <c r="A833" i="5"/>
  <c r="E832" i="5"/>
  <c r="D832" i="5"/>
  <c r="B832" i="5"/>
  <c r="A832" i="5"/>
  <c r="E831" i="5"/>
  <c r="D831" i="5"/>
  <c r="B831" i="5"/>
  <c r="A831" i="5"/>
  <c r="B829" i="5"/>
  <c r="E830" i="5"/>
  <c r="D830" i="5"/>
  <c r="B830" i="5"/>
  <c r="A830" i="5"/>
  <c r="E829" i="5"/>
  <c r="D829" i="5"/>
  <c r="A829" i="5"/>
  <c r="E781" i="5"/>
  <c r="A781" i="5"/>
  <c r="E705" i="5"/>
  <c r="A705" i="5"/>
  <c r="A671" i="5"/>
  <c r="E658" i="5"/>
  <c r="E657" i="5"/>
  <c r="A658" i="5"/>
  <c r="A657" i="5"/>
  <c r="E609" i="5"/>
  <c r="A623" i="5"/>
  <c r="B623" i="5" s="1"/>
  <c r="A609" i="5"/>
  <c r="A480" i="5"/>
  <c r="A479" i="5"/>
  <c r="A432" i="5"/>
  <c r="A431" i="5"/>
  <c r="A383" i="5"/>
  <c r="A335" i="5"/>
  <c r="A322" i="5"/>
  <c r="A321" i="5"/>
  <c r="A288" i="5"/>
  <c r="A287" i="5"/>
  <c r="A64" i="5"/>
  <c r="A63" i="5"/>
  <c r="A62" i="5"/>
  <c r="A61" i="5"/>
  <c r="A34" i="5"/>
  <c r="A33" i="5"/>
  <c r="M62" i="5" l="1"/>
  <c r="J62" i="5"/>
  <c r="H62" i="5"/>
  <c r="H61" i="5"/>
  <c r="M61" i="5"/>
  <c r="J61" i="5"/>
  <c r="M63" i="5"/>
  <c r="J63" i="5"/>
  <c r="H63" i="5"/>
  <c r="H64" i="5"/>
  <c r="M64" i="5"/>
  <c r="J64" i="5"/>
  <c r="D5615" i="5" l="1"/>
  <c r="K5615" i="5" s="1"/>
  <c r="B5615" i="5"/>
  <c r="N5615" i="5" s="1"/>
  <c r="B5601" i="5"/>
  <c r="N5601" i="5" s="1"/>
  <c r="D5601" i="5"/>
  <c r="K5601" i="5" s="1"/>
  <c r="E5579" i="5"/>
  <c r="B5579" i="5"/>
  <c r="A5579" i="5"/>
  <c r="F5621" i="5"/>
  <c r="F5620" i="5"/>
  <c r="F5619" i="5"/>
  <c r="F5618" i="5"/>
  <c r="F5617" i="5"/>
  <c r="F5616" i="5"/>
  <c r="F5610" i="5"/>
  <c r="F5609" i="5"/>
  <c r="F5608" i="5"/>
  <c r="F5607" i="5"/>
  <c r="F5606" i="5"/>
  <c r="F5605" i="5"/>
  <c r="F5604" i="5"/>
  <c r="F5603" i="5"/>
  <c r="F5602" i="5"/>
  <c r="E5601" i="5"/>
  <c r="F5596" i="5"/>
  <c r="F5595" i="5"/>
  <c r="F5594" i="5"/>
  <c r="F5593" i="5"/>
  <c r="F5592" i="5"/>
  <c r="F5591" i="5"/>
  <c r="F5590" i="5"/>
  <c r="F5589" i="5"/>
  <c r="F5588" i="5"/>
  <c r="F5587" i="5"/>
  <c r="F5586" i="5"/>
  <c r="F5585" i="5"/>
  <c r="F5584" i="5"/>
  <c r="F5583" i="5"/>
  <c r="F5582" i="5"/>
  <c r="F5581" i="5"/>
  <c r="W5579" i="5" l="1"/>
  <c r="O5579" i="5"/>
  <c r="P5579" i="5" s="1"/>
  <c r="G5579" i="5"/>
  <c r="U5579" i="5" s="1"/>
  <c r="F5601" i="5"/>
  <c r="I5601" i="5"/>
  <c r="F5597" i="5"/>
  <c r="F5611" i="5" l="1"/>
  <c r="X5579" i="5"/>
  <c r="L5615" i="5"/>
  <c r="L5601" i="5"/>
  <c r="T5579" i="5" l="1"/>
  <c r="V5579" i="5" s="1"/>
  <c r="H5711" i="5" l="1"/>
  <c r="I5711" i="5" l="1"/>
  <c r="B5807" i="5"/>
  <c r="M5808" i="5"/>
  <c r="E5776" i="5"/>
  <c r="F5776" i="5" s="1"/>
  <c r="E5775" i="5"/>
  <c r="F5775" i="5" s="1"/>
  <c r="E5774" i="5"/>
  <c r="F5774" i="5" s="1"/>
  <c r="J5773" i="5"/>
  <c r="E5771" i="5"/>
  <c r="E5723" i="5"/>
  <c r="B5771" i="5"/>
  <c r="A5771" i="5"/>
  <c r="B5759" i="5"/>
  <c r="E5745" i="5"/>
  <c r="F5745" i="5" s="1"/>
  <c r="H5728" i="5"/>
  <c r="H5727" i="5"/>
  <c r="J5726" i="5"/>
  <c r="H5725" i="5"/>
  <c r="B5723" i="5"/>
  <c r="F5729" i="5"/>
  <c r="H5729" i="5"/>
  <c r="I5729" i="5"/>
  <c r="J5729" i="5"/>
  <c r="K5729" i="5"/>
  <c r="L5729" i="5"/>
  <c r="M5729" i="5"/>
  <c r="N5729" i="5"/>
  <c r="F5730" i="5"/>
  <c r="H5730" i="5"/>
  <c r="I5730" i="5"/>
  <c r="J5730" i="5"/>
  <c r="K5730" i="5"/>
  <c r="L5730" i="5"/>
  <c r="M5730" i="5"/>
  <c r="N5730" i="5"/>
  <c r="F5731" i="5"/>
  <c r="H5731" i="5"/>
  <c r="I5731" i="5"/>
  <c r="J5731" i="5"/>
  <c r="K5731" i="5"/>
  <c r="L5731" i="5"/>
  <c r="M5731" i="5"/>
  <c r="N5731" i="5"/>
  <c r="F5732" i="5"/>
  <c r="H5732" i="5"/>
  <c r="I5732" i="5"/>
  <c r="J5732" i="5"/>
  <c r="K5732" i="5"/>
  <c r="L5732" i="5"/>
  <c r="M5732" i="5"/>
  <c r="N5732" i="5"/>
  <c r="F5733" i="5"/>
  <c r="H5733" i="5"/>
  <c r="I5733" i="5"/>
  <c r="J5733" i="5"/>
  <c r="K5733" i="5"/>
  <c r="L5733" i="5"/>
  <c r="M5733" i="5"/>
  <c r="N5733" i="5"/>
  <c r="F5734" i="5"/>
  <c r="H5734" i="5"/>
  <c r="I5734" i="5"/>
  <c r="J5734" i="5"/>
  <c r="K5734" i="5"/>
  <c r="L5734" i="5"/>
  <c r="M5734" i="5"/>
  <c r="N5734" i="5"/>
  <c r="F5735" i="5"/>
  <c r="H5735" i="5"/>
  <c r="I5735" i="5"/>
  <c r="J5735" i="5"/>
  <c r="K5735" i="5"/>
  <c r="L5735" i="5"/>
  <c r="M5735" i="5"/>
  <c r="N5735" i="5"/>
  <c r="F5736" i="5"/>
  <c r="H5736" i="5"/>
  <c r="I5736" i="5"/>
  <c r="J5736" i="5"/>
  <c r="K5736" i="5"/>
  <c r="L5736" i="5"/>
  <c r="M5736" i="5"/>
  <c r="N5736" i="5"/>
  <c r="F5737" i="5"/>
  <c r="H5737" i="5"/>
  <c r="I5737" i="5"/>
  <c r="J5737" i="5"/>
  <c r="K5737" i="5"/>
  <c r="L5737" i="5"/>
  <c r="M5737" i="5"/>
  <c r="N5737" i="5"/>
  <c r="F5738" i="5"/>
  <c r="H5738" i="5"/>
  <c r="I5738" i="5"/>
  <c r="J5738" i="5"/>
  <c r="K5738" i="5"/>
  <c r="L5738" i="5"/>
  <c r="M5738" i="5"/>
  <c r="N5738" i="5"/>
  <c r="F5739" i="5"/>
  <c r="H5739" i="5"/>
  <c r="I5739" i="5"/>
  <c r="J5739" i="5"/>
  <c r="K5739" i="5"/>
  <c r="L5739" i="5"/>
  <c r="M5739" i="5"/>
  <c r="N5739" i="5"/>
  <c r="F5740" i="5"/>
  <c r="H5740" i="5"/>
  <c r="I5740" i="5"/>
  <c r="J5740" i="5"/>
  <c r="K5740" i="5"/>
  <c r="L5740" i="5"/>
  <c r="M5740" i="5"/>
  <c r="N5740" i="5"/>
  <c r="F5746" i="5"/>
  <c r="H5746" i="5"/>
  <c r="I5746" i="5"/>
  <c r="J5746" i="5"/>
  <c r="K5746" i="5"/>
  <c r="L5746" i="5"/>
  <c r="M5746" i="5"/>
  <c r="N5746" i="5"/>
  <c r="F5747" i="5"/>
  <c r="H5747" i="5"/>
  <c r="I5747" i="5"/>
  <c r="J5747" i="5"/>
  <c r="K5747" i="5"/>
  <c r="L5747" i="5"/>
  <c r="M5747" i="5"/>
  <c r="N5747" i="5"/>
  <c r="F5748" i="5"/>
  <c r="H5748" i="5"/>
  <c r="I5748" i="5"/>
  <c r="J5748" i="5"/>
  <c r="K5748" i="5"/>
  <c r="L5748" i="5"/>
  <c r="M5748" i="5"/>
  <c r="N5748" i="5"/>
  <c r="F5749" i="5"/>
  <c r="H5749" i="5"/>
  <c r="I5749" i="5"/>
  <c r="J5749" i="5"/>
  <c r="K5749" i="5"/>
  <c r="L5749" i="5"/>
  <c r="M5749" i="5"/>
  <c r="N5749" i="5"/>
  <c r="F5750" i="5"/>
  <c r="H5750" i="5"/>
  <c r="I5750" i="5"/>
  <c r="J5750" i="5"/>
  <c r="K5750" i="5"/>
  <c r="L5750" i="5"/>
  <c r="M5750" i="5"/>
  <c r="N5750" i="5"/>
  <c r="F5751" i="5"/>
  <c r="H5751" i="5"/>
  <c r="I5751" i="5"/>
  <c r="J5751" i="5"/>
  <c r="K5751" i="5"/>
  <c r="L5751" i="5"/>
  <c r="M5751" i="5"/>
  <c r="N5751" i="5"/>
  <c r="F5752" i="5"/>
  <c r="H5752" i="5"/>
  <c r="I5752" i="5"/>
  <c r="J5752" i="5"/>
  <c r="K5752" i="5"/>
  <c r="L5752" i="5"/>
  <c r="M5752" i="5"/>
  <c r="N5752" i="5"/>
  <c r="F5753" i="5"/>
  <c r="H5753" i="5"/>
  <c r="I5753" i="5"/>
  <c r="J5753" i="5"/>
  <c r="K5753" i="5"/>
  <c r="L5753" i="5"/>
  <c r="M5753" i="5"/>
  <c r="N5753" i="5"/>
  <c r="F5754" i="5"/>
  <c r="H5754" i="5"/>
  <c r="I5754" i="5"/>
  <c r="J5754" i="5"/>
  <c r="K5754" i="5"/>
  <c r="L5754" i="5"/>
  <c r="M5754" i="5"/>
  <c r="N5754" i="5"/>
  <c r="F5760" i="5"/>
  <c r="H5760" i="5"/>
  <c r="I5760" i="5"/>
  <c r="J5760" i="5"/>
  <c r="K5760" i="5"/>
  <c r="L5760" i="5"/>
  <c r="M5760" i="5"/>
  <c r="N5760" i="5"/>
  <c r="F5761" i="5"/>
  <c r="H5761" i="5"/>
  <c r="I5761" i="5"/>
  <c r="J5761" i="5"/>
  <c r="K5761" i="5"/>
  <c r="L5761" i="5"/>
  <c r="M5761" i="5"/>
  <c r="N5761" i="5"/>
  <c r="F5762" i="5"/>
  <c r="H5762" i="5"/>
  <c r="I5762" i="5"/>
  <c r="J5762" i="5"/>
  <c r="K5762" i="5"/>
  <c r="L5762" i="5"/>
  <c r="M5762" i="5"/>
  <c r="N5762" i="5"/>
  <c r="F5763" i="5"/>
  <c r="H5763" i="5"/>
  <c r="I5763" i="5"/>
  <c r="J5763" i="5"/>
  <c r="K5763" i="5"/>
  <c r="L5763" i="5"/>
  <c r="M5763" i="5"/>
  <c r="N5763" i="5"/>
  <c r="F5764" i="5"/>
  <c r="H5764" i="5"/>
  <c r="I5764" i="5"/>
  <c r="J5764" i="5"/>
  <c r="K5764" i="5"/>
  <c r="L5764" i="5"/>
  <c r="M5764" i="5"/>
  <c r="N5764" i="5"/>
  <c r="F5765" i="5"/>
  <c r="H5765" i="5"/>
  <c r="I5765" i="5"/>
  <c r="J5765" i="5"/>
  <c r="K5765" i="5"/>
  <c r="L5765" i="5"/>
  <c r="M5765" i="5"/>
  <c r="N5765" i="5"/>
  <c r="J5776" i="5"/>
  <c r="F5777" i="5"/>
  <c r="H5777" i="5"/>
  <c r="I5777" i="5"/>
  <c r="J5777" i="5"/>
  <c r="K5777" i="5"/>
  <c r="L5777" i="5"/>
  <c r="M5777" i="5"/>
  <c r="N5777" i="5"/>
  <c r="F5778" i="5"/>
  <c r="H5778" i="5"/>
  <c r="I5778" i="5"/>
  <c r="J5778" i="5"/>
  <c r="K5778" i="5"/>
  <c r="L5778" i="5"/>
  <c r="M5778" i="5"/>
  <c r="N5778" i="5"/>
  <c r="F5779" i="5"/>
  <c r="H5779" i="5"/>
  <c r="I5779" i="5"/>
  <c r="J5779" i="5"/>
  <c r="K5779" i="5"/>
  <c r="L5779" i="5"/>
  <c r="M5779" i="5"/>
  <c r="N5779" i="5"/>
  <c r="F5780" i="5"/>
  <c r="H5780" i="5"/>
  <c r="I5780" i="5"/>
  <c r="J5780" i="5"/>
  <c r="K5780" i="5"/>
  <c r="L5780" i="5"/>
  <c r="M5780" i="5"/>
  <c r="N5780" i="5"/>
  <c r="F5781" i="5"/>
  <c r="H5781" i="5"/>
  <c r="I5781" i="5"/>
  <c r="J5781" i="5"/>
  <c r="K5781" i="5"/>
  <c r="L5781" i="5"/>
  <c r="M5781" i="5"/>
  <c r="N5781" i="5"/>
  <c r="F5782" i="5"/>
  <c r="H5782" i="5"/>
  <c r="I5782" i="5"/>
  <c r="J5782" i="5"/>
  <c r="K5782" i="5"/>
  <c r="L5782" i="5"/>
  <c r="M5782" i="5"/>
  <c r="N5782" i="5"/>
  <c r="F5783" i="5"/>
  <c r="H5783" i="5"/>
  <c r="I5783" i="5"/>
  <c r="J5783" i="5"/>
  <c r="K5783" i="5"/>
  <c r="L5783" i="5"/>
  <c r="M5783" i="5"/>
  <c r="N5783" i="5"/>
  <c r="F5784" i="5"/>
  <c r="H5784" i="5"/>
  <c r="I5784" i="5"/>
  <c r="J5784" i="5"/>
  <c r="K5784" i="5"/>
  <c r="L5784" i="5"/>
  <c r="M5784" i="5"/>
  <c r="N5784" i="5"/>
  <c r="F5785" i="5"/>
  <c r="H5785" i="5"/>
  <c r="I5785" i="5"/>
  <c r="J5785" i="5"/>
  <c r="K5785" i="5"/>
  <c r="L5785" i="5"/>
  <c r="M5785" i="5"/>
  <c r="N5785" i="5"/>
  <c r="F5786" i="5"/>
  <c r="H5786" i="5"/>
  <c r="I5786" i="5"/>
  <c r="J5786" i="5"/>
  <c r="K5786" i="5"/>
  <c r="L5786" i="5"/>
  <c r="M5786" i="5"/>
  <c r="N5786" i="5"/>
  <c r="F5787" i="5"/>
  <c r="H5787" i="5"/>
  <c r="I5787" i="5"/>
  <c r="J5787" i="5"/>
  <c r="K5787" i="5"/>
  <c r="L5787" i="5"/>
  <c r="M5787" i="5"/>
  <c r="N5787" i="5"/>
  <c r="F5788" i="5"/>
  <c r="H5788" i="5"/>
  <c r="I5788" i="5"/>
  <c r="J5788" i="5"/>
  <c r="K5788" i="5"/>
  <c r="L5788" i="5"/>
  <c r="M5788" i="5"/>
  <c r="N5788" i="5"/>
  <c r="H5793" i="5"/>
  <c r="N5793" i="5"/>
  <c r="F5793" i="5"/>
  <c r="I5793" i="5"/>
  <c r="F5794" i="5"/>
  <c r="H5794" i="5"/>
  <c r="I5794" i="5"/>
  <c r="J5794" i="5"/>
  <c r="K5794" i="5"/>
  <c r="L5794" i="5"/>
  <c r="M5794" i="5"/>
  <c r="N5794" i="5"/>
  <c r="F5795" i="5"/>
  <c r="H5795" i="5"/>
  <c r="I5795" i="5"/>
  <c r="J5795" i="5"/>
  <c r="K5795" i="5"/>
  <c r="L5795" i="5"/>
  <c r="M5795" i="5"/>
  <c r="N5795" i="5"/>
  <c r="F5796" i="5"/>
  <c r="H5796" i="5"/>
  <c r="I5796" i="5"/>
  <c r="J5796" i="5"/>
  <c r="K5796" i="5"/>
  <c r="L5796" i="5"/>
  <c r="M5796" i="5"/>
  <c r="N5796" i="5"/>
  <c r="F5797" i="5"/>
  <c r="H5797" i="5"/>
  <c r="I5797" i="5"/>
  <c r="J5797" i="5"/>
  <c r="K5797" i="5"/>
  <c r="L5797" i="5"/>
  <c r="M5797" i="5"/>
  <c r="N5797" i="5"/>
  <c r="F5798" i="5"/>
  <c r="H5798" i="5"/>
  <c r="I5798" i="5"/>
  <c r="J5798" i="5"/>
  <c r="K5798" i="5"/>
  <c r="L5798" i="5"/>
  <c r="M5798" i="5"/>
  <c r="N5798" i="5"/>
  <c r="F5799" i="5"/>
  <c r="H5799" i="5"/>
  <c r="I5799" i="5"/>
  <c r="J5799" i="5"/>
  <c r="K5799" i="5"/>
  <c r="L5799" i="5"/>
  <c r="M5799" i="5"/>
  <c r="N5799" i="5"/>
  <c r="F5800" i="5"/>
  <c r="H5800" i="5"/>
  <c r="I5800" i="5"/>
  <c r="J5800" i="5"/>
  <c r="K5800" i="5"/>
  <c r="L5800" i="5"/>
  <c r="M5800" i="5"/>
  <c r="N5800" i="5"/>
  <c r="F5801" i="5"/>
  <c r="H5801" i="5"/>
  <c r="I5801" i="5"/>
  <c r="J5801" i="5"/>
  <c r="K5801" i="5"/>
  <c r="L5801" i="5"/>
  <c r="M5801" i="5"/>
  <c r="N5801" i="5"/>
  <c r="F5802" i="5"/>
  <c r="H5802" i="5"/>
  <c r="I5802" i="5"/>
  <c r="J5802" i="5"/>
  <c r="K5802" i="5"/>
  <c r="L5802" i="5"/>
  <c r="M5802" i="5"/>
  <c r="N5802" i="5"/>
  <c r="F5809" i="5"/>
  <c r="H5809" i="5"/>
  <c r="I5809" i="5"/>
  <c r="J5809" i="5"/>
  <c r="K5809" i="5"/>
  <c r="L5809" i="5"/>
  <c r="M5809" i="5"/>
  <c r="N5809" i="5"/>
  <c r="F5810" i="5"/>
  <c r="H5810" i="5"/>
  <c r="I5810" i="5"/>
  <c r="J5810" i="5"/>
  <c r="K5810" i="5"/>
  <c r="L5810" i="5"/>
  <c r="M5810" i="5"/>
  <c r="N5810" i="5"/>
  <c r="F5811" i="5"/>
  <c r="H5811" i="5"/>
  <c r="I5811" i="5"/>
  <c r="J5811" i="5"/>
  <c r="K5811" i="5"/>
  <c r="L5811" i="5"/>
  <c r="M5811" i="5"/>
  <c r="N5811" i="5"/>
  <c r="F5812" i="5"/>
  <c r="H5812" i="5"/>
  <c r="I5812" i="5"/>
  <c r="J5812" i="5"/>
  <c r="K5812" i="5"/>
  <c r="L5812" i="5"/>
  <c r="M5812" i="5"/>
  <c r="N5812" i="5"/>
  <c r="F5813" i="5"/>
  <c r="H5813" i="5"/>
  <c r="I5813" i="5"/>
  <c r="J5813" i="5"/>
  <c r="K5813" i="5"/>
  <c r="L5813" i="5"/>
  <c r="M5813" i="5"/>
  <c r="N5813" i="5"/>
  <c r="D4737" i="5"/>
  <c r="K4737" i="5" s="1"/>
  <c r="B4737" i="5"/>
  <c r="N4737" i="5" s="1"/>
  <c r="C4752" i="5"/>
  <c r="C4751" i="5"/>
  <c r="F5718" i="5" l="1"/>
  <c r="Y5675" i="5"/>
  <c r="X5771" i="5"/>
  <c r="O5723" i="5"/>
  <c r="P5723" i="5" s="1"/>
  <c r="G5723" i="5"/>
  <c r="U5723" i="5" s="1"/>
  <c r="O5771" i="5"/>
  <c r="P5771" i="5" s="1"/>
  <c r="X5723" i="5"/>
  <c r="J5808" i="5"/>
  <c r="M5773" i="5"/>
  <c r="H5745" i="5"/>
  <c r="I5745" i="5" s="1"/>
  <c r="M5774" i="5"/>
  <c r="J5774" i="5"/>
  <c r="B5727" i="5"/>
  <c r="B5773" i="5"/>
  <c r="M5775" i="5"/>
  <c r="B5725" i="5"/>
  <c r="B5775" i="5"/>
  <c r="J5775" i="5"/>
  <c r="J5759" i="5"/>
  <c r="B5745" i="5"/>
  <c r="D5728" i="5"/>
  <c r="J5728" i="5"/>
  <c r="E5728" i="5"/>
  <c r="F5728" i="5" s="1"/>
  <c r="B5774" i="5"/>
  <c r="B5776" i="5"/>
  <c r="M5726" i="5"/>
  <c r="D5727" i="5"/>
  <c r="E5727" i="5"/>
  <c r="F5727" i="5" s="1"/>
  <c r="D5745" i="5"/>
  <c r="D5759" i="5"/>
  <c r="D5773" i="5"/>
  <c r="K5773" i="5" s="1"/>
  <c r="D5774" i="5"/>
  <c r="D5775" i="5"/>
  <c r="D5776" i="5"/>
  <c r="K5776" i="5" s="1"/>
  <c r="B5808" i="5"/>
  <c r="N5808" i="5" s="1"/>
  <c r="D5807" i="5"/>
  <c r="B5726" i="5"/>
  <c r="B5728" i="5"/>
  <c r="D5726" i="5"/>
  <c r="K5726" i="5" s="1"/>
  <c r="E5726" i="5"/>
  <c r="F5726" i="5" s="1"/>
  <c r="E5773" i="5"/>
  <c r="F5773" i="5" s="1"/>
  <c r="D5808" i="5"/>
  <c r="D5725" i="5"/>
  <c r="E5725" i="5"/>
  <c r="F5725" i="5" s="1"/>
  <c r="J5807" i="5"/>
  <c r="M5807" i="5"/>
  <c r="N5807" i="5" s="1"/>
  <c r="M5776" i="5"/>
  <c r="H5776" i="5"/>
  <c r="I5776" i="5" s="1"/>
  <c r="H5775" i="5"/>
  <c r="I5775" i="5" s="1"/>
  <c r="H5774" i="5"/>
  <c r="I5774" i="5" s="1"/>
  <c r="H5773" i="5"/>
  <c r="M5759" i="5"/>
  <c r="N5759" i="5" s="1"/>
  <c r="M5728" i="5"/>
  <c r="J5727" i="5"/>
  <c r="M5727" i="5"/>
  <c r="H5726" i="5"/>
  <c r="M5725" i="5"/>
  <c r="J5725" i="5"/>
  <c r="M5793" i="5"/>
  <c r="K5793" i="5"/>
  <c r="J5793" i="5"/>
  <c r="F5755" i="5"/>
  <c r="F5803" i="5"/>
  <c r="J5745" i="5"/>
  <c r="M5745" i="5"/>
  <c r="W5723" i="5" l="1"/>
  <c r="W5771" i="5"/>
  <c r="K5808" i="5"/>
  <c r="N5773" i="5"/>
  <c r="K5774" i="5"/>
  <c r="N5774" i="5"/>
  <c r="N5727" i="5"/>
  <c r="N5745" i="5"/>
  <c r="N5725" i="5"/>
  <c r="N5775" i="5"/>
  <c r="F5741" i="5"/>
  <c r="K5759" i="5"/>
  <c r="N5726" i="5"/>
  <c r="I5728" i="5"/>
  <c r="K5775" i="5"/>
  <c r="K5728" i="5"/>
  <c r="F5789" i="5"/>
  <c r="K5745" i="5"/>
  <c r="K5725" i="5"/>
  <c r="N5776" i="5"/>
  <c r="K5807" i="5"/>
  <c r="I5726" i="5"/>
  <c r="I5725" i="5"/>
  <c r="I5727" i="5"/>
  <c r="I5773" i="5"/>
  <c r="N5728" i="5"/>
  <c r="K5727" i="5"/>
  <c r="L5793" i="5"/>
  <c r="E4718" i="5" l="1"/>
  <c r="F4718" i="5" s="1"/>
  <c r="B4715" i="5"/>
  <c r="A4715" i="5"/>
  <c r="F4757" i="5"/>
  <c r="F4756" i="5"/>
  <c r="F4755" i="5"/>
  <c r="F4754" i="5"/>
  <c r="F4753" i="5"/>
  <c r="F4746" i="5"/>
  <c r="F4745" i="5"/>
  <c r="F4744" i="5"/>
  <c r="F4743" i="5"/>
  <c r="F4742" i="5"/>
  <c r="F4741" i="5"/>
  <c r="F4740" i="5"/>
  <c r="F4739" i="5"/>
  <c r="F4738" i="5"/>
  <c r="F4737" i="5"/>
  <c r="F4732" i="5"/>
  <c r="F4731" i="5"/>
  <c r="F4730" i="5"/>
  <c r="F4729" i="5"/>
  <c r="F4728" i="5"/>
  <c r="F4727" i="5"/>
  <c r="F4726" i="5"/>
  <c r="F4725" i="5"/>
  <c r="F4724" i="5"/>
  <c r="F4723" i="5"/>
  <c r="F4722" i="5"/>
  <c r="F4721" i="5"/>
  <c r="F4720" i="5"/>
  <c r="E4719" i="5"/>
  <c r="F4719" i="5" s="1"/>
  <c r="A4719" i="5"/>
  <c r="E4717" i="5"/>
  <c r="F4717" i="5" s="1"/>
  <c r="A4717" i="5"/>
  <c r="A4671" i="5"/>
  <c r="O4715" i="5" l="1"/>
  <c r="P4715" i="5" s="1"/>
  <c r="G4715" i="5"/>
  <c r="U4715" i="5" s="1"/>
  <c r="W4715" i="5"/>
  <c r="X4715" i="5"/>
  <c r="D4718" i="5"/>
  <c r="M4718" i="5"/>
  <c r="J4718" i="5"/>
  <c r="H4718" i="5"/>
  <c r="I4718" i="5" s="1"/>
  <c r="D4719" i="5"/>
  <c r="M4719" i="5"/>
  <c r="J4719" i="5"/>
  <c r="H4719" i="5"/>
  <c r="I4719" i="5" s="1"/>
  <c r="B4751" i="5"/>
  <c r="J4751" i="5"/>
  <c r="D4751" i="5"/>
  <c r="M4751" i="5"/>
  <c r="D4717" i="5"/>
  <c r="H4717" i="5"/>
  <c r="I4717" i="5" s="1"/>
  <c r="M4717" i="5"/>
  <c r="J4717" i="5"/>
  <c r="B4752" i="5"/>
  <c r="J4752" i="5"/>
  <c r="D4752" i="5"/>
  <c r="M4752" i="5"/>
  <c r="F4733" i="5"/>
  <c r="F4747" i="5"/>
  <c r="B4717" i="5"/>
  <c r="B4718" i="5"/>
  <c r="B4719" i="5"/>
  <c r="L4718" i="5" l="1"/>
  <c r="L4717" i="5"/>
  <c r="L4737" i="5"/>
  <c r="L4719" i="5"/>
  <c r="L4752" i="5"/>
  <c r="L4751" i="5"/>
  <c r="K4718" i="5"/>
  <c r="N4717" i="5"/>
  <c r="N4752" i="5"/>
  <c r="K4719" i="5"/>
  <c r="K4717" i="5"/>
  <c r="N4751" i="5"/>
  <c r="N4719" i="5"/>
  <c r="K4752" i="5"/>
  <c r="K4751" i="5"/>
  <c r="N4718" i="5"/>
  <c r="E3563" i="5"/>
  <c r="B3563" i="5"/>
  <c r="F3605" i="5"/>
  <c r="F3604" i="5"/>
  <c r="F3603" i="5"/>
  <c r="F3602" i="5"/>
  <c r="F3601" i="5"/>
  <c r="A3599" i="5"/>
  <c r="A3600" i="5"/>
  <c r="F3594" i="5"/>
  <c r="F3593" i="5"/>
  <c r="F3592" i="5"/>
  <c r="F3591" i="5"/>
  <c r="F3590" i="5"/>
  <c r="F3589" i="5"/>
  <c r="F3588" i="5"/>
  <c r="F3587" i="5"/>
  <c r="F3586" i="5"/>
  <c r="F3585" i="5"/>
  <c r="F3580" i="5"/>
  <c r="F3579" i="5"/>
  <c r="F3578" i="5"/>
  <c r="F3577" i="5"/>
  <c r="F3576" i="5"/>
  <c r="F3575" i="5"/>
  <c r="F3574" i="5"/>
  <c r="F3573" i="5"/>
  <c r="F3572" i="5"/>
  <c r="F3571" i="5"/>
  <c r="F3570" i="5"/>
  <c r="F3569" i="5"/>
  <c r="F3568" i="5"/>
  <c r="F3567" i="5"/>
  <c r="F3566" i="5"/>
  <c r="F3565" i="5"/>
  <c r="G5771" i="5"/>
  <c r="U5771" i="5" s="1"/>
  <c r="W3563" i="5" l="1"/>
  <c r="X3563" i="5"/>
  <c r="O3563" i="5"/>
  <c r="P3563" i="5" s="1"/>
  <c r="G3563" i="5"/>
  <c r="U3563" i="5" s="1"/>
  <c r="T4715" i="5"/>
  <c r="V4715" i="5" s="1"/>
  <c r="D3600" i="5"/>
  <c r="J3600" i="5"/>
  <c r="M3600" i="5"/>
  <c r="N3600" i="5" s="1"/>
  <c r="D3599" i="5"/>
  <c r="M3599" i="5"/>
  <c r="N3599" i="5" s="1"/>
  <c r="J3599" i="5"/>
  <c r="F3595" i="5"/>
  <c r="F3581" i="5"/>
  <c r="K3600" i="5" l="1"/>
  <c r="K3599" i="5"/>
  <c r="L3600" i="5"/>
  <c r="L3599" i="5"/>
  <c r="T3563" i="5" l="1"/>
  <c r="V3563" i="5" s="1"/>
  <c r="L5808" i="5" l="1"/>
  <c r="L5773" i="5"/>
  <c r="L5774" i="5"/>
  <c r="L5807" i="5"/>
  <c r="L5775" i="5"/>
  <c r="L5776" i="5"/>
  <c r="L5726" i="5"/>
  <c r="L5759" i="5"/>
  <c r="L5727" i="5"/>
  <c r="L5745" i="5"/>
  <c r="L5725" i="5"/>
  <c r="L5728" i="5"/>
  <c r="T5771" i="5" l="1"/>
  <c r="V5771" i="5" s="1"/>
  <c r="T5723" i="5"/>
  <c r="V5723" i="5" s="1"/>
  <c r="E1889" i="5" l="1"/>
  <c r="F1889" i="5" s="1"/>
  <c r="D1889" i="5" l="1"/>
  <c r="H1889" i="5"/>
  <c r="I1889" i="5" s="1"/>
  <c r="M1889" i="5"/>
  <c r="J1889" i="5"/>
  <c r="B1889" i="5"/>
  <c r="C1919" i="5"/>
  <c r="A1838" i="5"/>
  <c r="E1886" i="5"/>
  <c r="F1886" i="5" s="1"/>
  <c r="A1883" i="5"/>
  <c r="E1883" i="5"/>
  <c r="B1883" i="5"/>
  <c r="F1925" i="5"/>
  <c r="F1924" i="5"/>
  <c r="F1923" i="5"/>
  <c r="F1922" i="5"/>
  <c r="F1921" i="5"/>
  <c r="A1920" i="5"/>
  <c r="A1919" i="5"/>
  <c r="F1914" i="5"/>
  <c r="F1913" i="5"/>
  <c r="F1912" i="5"/>
  <c r="F1911" i="5"/>
  <c r="F1910" i="5"/>
  <c r="F1909" i="5"/>
  <c r="F1908" i="5"/>
  <c r="F1907" i="5"/>
  <c r="F1906" i="5"/>
  <c r="F1905" i="5"/>
  <c r="F1900" i="5"/>
  <c r="F1899" i="5"/>
  <c r="F1898" i="5"/>
  <c r="F1897" i="5"/>
  <c r="F1896" i="5"/>
  <c r="F1895" i="5"/>
  <c r="F1894" i="5"/>
  <c r="F1893" i="5"/>
  <c r="F1892" i="5"/>
  <c r="F1891" i="5"/>
  <c r="F1890" i="5"/>
  <c r="E1888" i="5"/>
  <c r="F1888" i="5" s="1"/>
  <c r="A1888" i="5"/>
  <c r="E1887" i="5"/>
  <c r="F1887" i="5" s="1"/>
  <c r="A1887" i="5"/>
  <c r="E1885" i="5"/>
  <c r="F1885" i="5" s="1"/>
  <c r="A1885" i="5"/>
  <c r="A779" i="5"/>
  <c r="B779" i="5"/>
  <c r="E779" i="5"/>
  <c r="E1841" i="5"/>
  <c r="D1841" i="5"/>
  <c r="B1841" i="5"/>
  <c r="X1883" i="5" l="1"/>
  <c r="O779" i="5"/>
  <c r="P779" i="5" s="1"/>
  <c r="G779" i="5"/>
  <c r="U779" i="5" s="1"/>
  <c r="O1883" i="5"/>
  <c r="P1883" i="5" s="1"/>
  <c r="G1883" i="5"/>
  <c r="L1861" i="5" s="1"/>
  <c r="W1883" i="5"/>
  <c r="D1838" i="5"/>
  <c r="H1838" i="5"/>
  <c r="E1838" i="5"/>
  <c r="K1889" i="5"/>
  <c r="N1889" i="5"/>
  <c r="B1888" i="5"/>
  <c r="H1888" i="5"/>
  <c r="I1888" i="5" s="1"/>
  <c r="M1888" i="5"/>
  <c r="J1888" i="5"/>
  <c r="D1887" i="5"/>
  <c r="H1887" i="5"/>
  <c r="I1887" i="5" s="1"/>
  <c r="J1887" i="5"/>
  <c r="M1887" i="5"/>
  <c r="M1838" i="5"/>
  <c r="J1838" i="5"/>
  <c r="D1885" i="5"/>
  <c r="M1885" i="5"/>
  <c r="H1885" i="5"/>
  <c r="I1885" i="5" s="1"/>
  <c r="J1885" i="5"/>
  <c r="D1919" i="5"/>
  <c r="J1919" i="5"/>
  <c r="M1919" i="5"/>
  <c r="N1919" i="5" s="1"/>
  <c r="H1841" i="5"/>
  <c r="I1841" i="5" s="1"/>
  <c r="J1841" i="5"/>
  <c r="K1841" i="5" s="1"/>
  <c r="M1841" i="5"/>
  <c r="N1841" i="5" s="1"/>
  <c r="D1920" i="5"/>
  <c r="J1920" i="5"/>
  <c r="M1920" i="5"/>
  <c r="N1920" i="5" s="1"/>
  <c r="D1886" i="5"/>
  <c r="M1886" i="5"/>
  <c r="H1886" i="5"/>
  <c r="I1886" i="5" s="1"/>
  <c r="J1886" i="5"/>
  <c r="F1915" i="5"/>
  <c r="B1885" i="5"/>
  <c r="D1888" i="5"/>
  <c r="F1901" i="5"/>
  <c r="B1886" i="5"/>
  <c r="B1887" i="5"/>
  <c r="U1883" i="5" l="1"/>
  <c r="L1905" i="5"/>
  <c r="L1857" i="5"/>
  <c r="L1919" i="5"/>
  <c r="I1838" i="5"/>
  <c r="L1886" i="5"/>
  <c r="L1888" i="5"/>
  <c r="L1885" i="5"/>
  <c r="L1887" i="5"/>
  <c r="L1889" i="5"/>
  <c r="L1920" i="5"/>
  <c r="N1888" i="5"/>
  <c r="K1886" i="5"/>
  <c r="K1920" i="5"/>
  <c r="K1885" i="5"/>
  <c r="K1887" i="5"/>
  <c r="N1885" i="5"/>
  <c r="N1886" i="5"/>
  <c r="K1919" i="5"/>
  <c r="N1887" i="5"/>
  <c r="K1888" i="5"/>
  <c r="T1883" i="5" l="1"/>
  <c r="V1883" i="5" s="1"/>
  <c r="B1838" i="5"/>
  <c r="N1838" i="5" s="1"/>
  <c r="E1835" i="5"/>
  <c r="B1835" i="5"/>
  <c r="A1835" i="5"/>
  <c r="F1877" i="5"/>
  <c r="F1876" i="5"/>
  <c r="F1875" i="5"/>
  <c r="F1874" i="5"/>
  <c r="F1873" i="5"/>
  <c r="A1872" i="5"/>
  <c r="A1871" i="5"/>
  <c r="F1866" i="5"/>
  <c r="F1865" i="5"/>
  <c r="F1864" i="5"/>
  <c r="F1863" i="5"/>
  <c r="F1862" i="5"/>
  <c r="F1861" i="5"/>
  <c r="F1859" i="5"/>
  <c r="F1858" i="5"/>
  <c r="F1857" i="5"/>
  <c r="F1852" i="5"/>
  <c r="F1851" i="5"/>
  <c r="F1850" i="5"/>
  <c r="F1849" i="5"/>
  <c r="F1848" i="5"/>
  <c r="F1847" i="5"/>
  <c r="F1846" i="5"/>
  <c r="F1845" i="5"/>
  <c r="F1844" i="5"/>
  <c r="F1843" i="5"/>
  <c r="F1842" i="5"/>
  <c r="F1841" i="5"/>
  <c r="E1840" i="5"/>
  <c r="F1840" i="5" s="1"/>
  <c r="A1840" i="5"/>
  <c r="E1839" i="5"/>
  <c r="F1839" i="5" s="1"/>
  <c r="A1839" i="5"/>
  <c r="E1837" i="5"/>
  <c r="F1837" i="5" s="1"/>
  <c r="A1837" i="5"/>
  <c r="O1835" i="5" l="1"/>
  <c r="P1835" i="5" s="1"/>
  <c r="D1839" i="5"/>
  <c r="J1839" i="5"/>
  <c r="M1839" i="5"/>
  <c r="H1839" i="5"/>
  <c r="I1839" i="5" s="1"/>
  <c r="D1837" i="5"/>
  <c r="J1837" i="5"/>
  <c r="H1837" i="5"/>
  <c r="I1837" i="5" s="1"/>
  <c r="M1837" i="5"/>
  <c r="D1840" i="5"/>
  <c r="J1840" i="5"/>
  <c r="H1840" i="5"/>
  <c r="I1840" i="5" s="1"/>
  <c r="M1840" i="5"/>
  <c r="D1871" i="5"/>
  <c r="M1871" i="5"/>
  <c r="N1871" i="5" s="1"/>
  <c r="J1871" i="5"/>
  <c r="F1838" i="5"/>
  <c r="D1872" i="5"/>
  <c r="J1872" i="5"/>
  <c r="M1872" i="5"/>
  <c r="N1872" i="5" s="1"/>
  <c r="K1838" i="5"/>
  <c r="B1837" i="5"/>
  <c r="B1839" i="5"/>
  <c r="B1840" i="5"/>
  <c r="W1835" i="5" l="1"/>
  <c r="F1853" i="5"/>
  <c r="K1872" i="5"/>
  <c r="K1871" i="5"/>
  <c r="K1837" i="5"/>
  <c r="K1839" i="5"/>
  <c r="N1837" i="5"/>
  <c r="K1840" i="5"/>
  <c r="N1839" i="5"/>
  <c r="N1840" i="5"/>
  <c r="C2654" i="5" l="1"/>
  <c r="N3876" i="5" l="1"/>
  <c r="M3876" i="5"/>
  <c r="L3876" i="5"/>
  <c r="K3876" i="5"/>
  <c r="J3876" i="5"/>
  <c r="I3876" i="5"/>
  <c r="H3876" i="5"/>
  <c r="F3876" i="5"/>
  <c r="N3830" i="5"/>
  <c r="M3830" i="5"/>
  <c r="L3830" i="5"/>
  <c r="K3830" i="5"/>
  <c r="J3830" i="5"/>
  <c r="I3830" i="5"/>
  <c r="H3830" i="5"/>
  <c r="F3830" i="5"/>
  <c r="N3781" i="5"/>
  <c r="M3781" i="5"/>
  <c r="L3781" i="5"/>
  <c r="K3781" i="5"/>
  <c r="J3781" i="5"/>
  <c r="I3781" i="5"/>
  <c r="H3781" i="5"/>
  <c r="F3781" i="5"/>
  <c r="N3732" i="5"/>
  <c r="M3732" i="5"/>
  <c r="L3732" i="5"/>
  <c r="K3732" i="5"/>
  <c r="J3732" i="5"/>
  <c r="I3732" i="5"/>
  <c r="H3732" i="5"/>
  <c r="F3732" i="5"/>
  <c r="N3684" i="5"/>
  <c r="M3684" i="5"/>
  <c r="L3684" i="5"/>
  <c r="K3684" i="5"/>
  <c r="J3684" i="5"/>
  <c r="I3684" i="5"/>
  <c r="H3684" i="5"/>
  <c r="F3684" i="5"/>
  <c r="E1617" i="5" l="1"/>
  <c r="D1617" i="5"/>
  <c r="B1617" i="5"/>
  <c r="C1599" i="5"/>
  <c r="E1599" i="5"/>
  <c r="D1599" i="5"/>
  <c r="B1599" i="5"/>
  <c r="E1598" i="5"/>
  <c r="D1598" i="5"/>
  <c r="B1598" i="5"/>
  <c r="E1597" i="5"/>
  <c r="D1597" i="5"/>
  <c r="B1597" i="5"/>
  <c r="D1633" i="5"/>
  <c r="B1633" i="5"/>
  <c r="D1632" i="5"/>
  <c r="B1632" i="5"/>
  <c r="D1631" i="5"/>
  <c r="B1631" i="5"/>
  <c r="N326" i="5" l="1"/>
  <c r="M326" i="5"/>
  <c r="L326" i="5"/>
  <c r="K326" i="5"/>
  <c r="J326" i="5"/>
  <c r="I326" i="5"/>
  <c r="H326" i="5"/>
  <c r="F326" i="5"/>
  <c r="D3442" i="5" l="1"/>
  <c r="E3442" i="5"/>
  <c r="B3442" i="5"/>
  <c r="E3441" i="5"/>
  <c r="D3441" i="5"/>
  <c r="B3441" i="5"/>
  <c r="E3425" i="5"/>
  <c r="D3425" i="5"/>
  <c r="B3425" i="5"/>
  <c r="E3424" i="5"/>
  <c r="D3424" i="5"/>
  <c r="B3424" i="5"/>
  <c r="E3423" i="5"/>
  <c r="D3423" i="5"/>
  <c r="B3423" i="5"/>
  <c r="D3298" i="5"/>
  <c r="E3298" i="5"/>
  <c r="B3298" i="5"/>
  <c r="E3297" i="5"/>
  <c r="D3297" i="5"/>
  <c r="B3297" i="5"/>
  <c r="F925" i="5" l="1"/>
  <c r="M925" i="5"/>
  <c r="C929" i="5"/>
  <c r="C928" i="5"/>
  <c r="C927" i="5"/>
  <c r="M959" i="5"/>
  <c r="F930" i="5"/>
  <c r="M930" i="5"/>
  <c r="H929" i="5"/>
  <c r="H928" i="5"/>
  <c r="H927" i="5"/>
  <c r="F926" i="5"/>
  <c r="J926" i="5"/>
  <c r="B923" i="5"/>
  <c r="E923" i="5"/>
  <c r="A923" i="5"/>
  <c r="N965" i="5"/>
  <c r="M965" i="5"/>
  <c r="L965" i="5"/>
  <c r="K965" i="5"/>
  <c r="J965" i="5"/>
  <c r="I965" i="5"/>
  <c r="H965" i="5"/>
  <c r="F965" i="5"/>
  <c r="N964" i="5"/>
  <c r="M964" i="5"/>
  <c r="L964" i="5"/>
  <c r="K964" i="5"/>
  <c r="J964" i="5"/>
  <c r="I964" i="5"/>
  <c r="H964" i="5"/>
  <c r="F964" i="5"/>
  <c r="N963" i="5"/>
  <c r="M963" i="5"/>
  <c r="L963" i="5"/>
  <c r="K963" i="5"/>
  <c r="J963" i="5"/>
  <c r="I963" i="5"/>
  <c r="H963" i="5"/>
  <c r="F963" i="5"/>
  <c r="N962" i="5"/>
  <c r="M962" i="5"/>
  <c r="L962" i="5"/>
  <c r="K962" i="5"/>
  <c r="J962" i="5"/>
  <c r="I962" i="5"/>
  <c r="H962" i="5"/>
  <c r="F962" i="5"/>
  <c r="N961" i="5"/>
  <c r="M961" i="5"/>
  <c r="L961" i="5"/>
  <c r="K961" i="5"/>
  <c r="J961" i="5"/>
  <c r="I961" i="5"/>
  <c r="H961" i="5"/>
  <c r="F961" i="5"/>
  <c r="H960" i="5"/>
  <c r="F960" i="5"/>
  <c r="N954" i="5"/>
  <c r="M954" i="5"/>
  <c r="L954" i="5"/>
  <c r="K954" i="5"/>
  <c r="J954" i="5"/>
  <c r="I954" i="5"/>
  <c r="H954" i="5"/>
  <c r="F954" i="5"/>
  <c r="N953" i="5"/>
  <c r="M953" i="5"/>
  <c r="L953" i="5"/>
  <c r="K953" i="5"/>
  <c r="J953" i="5"/>
  <c r="I953" i="5"/>
  <c r="H953" i="5"/>
  <c r="F953" i="5"/>
  <c r="N952" i="5"/>
  <c r="M952" i="5"/>
  <c r="L952" i="5"/>
  <c r="K952" i="5"/>
  <c r="J952" i="5"/>
  <c r="I952" i="5"/>
  <c r="H952" i="5"/>
  <c r="F952" i="5"/>
  <c r="N951" i="5"/>
  <c r="M951" i="5"/>
  <c r="L951" i="5"/>
  <c r="K951" i="5"/>
  <c r="J951" i="5"/>
  <c r="I951" i="5"/>
  <c r="H951" i="5"/>
  <c r="F951" i="5"/>
  <c r="N950" i="5"/>
  <c r="M950" i="5"/>
  <c r="L950" i="5"/>
  <c r="K950" i="5"/>
  <c r="J950" i="5"/>
  <c r="I950" i="5"/>
  <c r="H950" i="5"/>
  <c r="F950" i="5"/>
  <c r="N949" i="5"/>
  <c r="M949" i="5"/>
  <c r="L949" i="5"/>
  <c r="K949" i="5"/>
  <c r="J949" i="5"/>
  <c r="I949" i="5"/>
  <c r="H949" i="5"/>
  <c r="F949" i="5"/>
  <c r="N948" i="5"/>
  <c r="M948" i="5"/>
  <c r="L948" i="5"/>
  <c r="K948" i="5"/>
  <c r="J948" i="5"/>
  <c r="I948" i="5"/>
  <c r="H948" i="5"/>
  <c r="F948" i="5"/>
  <c r="N947" i="5"/>
  <c r="M947" i="5"/>
  <c r="L947" i="5"/>
  <c r="K947" i="5"/>
  <c r="J947" i="5"/>
  <c r="I947" i="5"/>
  <c r="H947" i="5"/>
  <c r="F947" i="5"/>
  <c r="N946" i="5"/>
  <c r="M946" i="5"/>
  <c r="L946" i="5"/>
  <c r="K946" i="5"/>
  <c r="J946" i="5"/>
  <c r="I946" i="5"/>
  <c r="H946" i="5"/>
  <c r="F946" i="5"/>
  <c r="N945" i="5"/>
  <c r="M945" i="5"/>
  <c r="L945" i="5"/>
  <c r="K945" i="5"/>
  <c r="J945" i="5"/>
  <c r="I945" i="5"/>
  <c r="H945" i="5"/>
  <c r="F945" i="5"/>
  <c r="X923" i="5" s="1"/>
  <c r="N940" i="5"/>
  <c r="M940" i="5"/>
  <c r="L940" i="5"/>
  <c r="K940" i="5"/>
  <c r="J940" i="5"/>
  <c r="I940" i="5"/>
  <c r="H940" i="5"/>
  <c r="F940" i="5"/>
  <c r="N939" i="5"/>
  <c r="M939" i="5"/>
  <c r="L939" i="5"/>
  <c r="K939" i="5"/>
  <c r="J939" i="5"/>
  <c r="I939" i="5"/>
  <c r="H939" i="5"/>
  <c r="F939" i="5"/>
  <c r="N938" i="5"/>
  <c r="M938" i="5"/>
  <c r="L938" i="5"/>
  <c r="K938" i="5"/>
  <c r="J938" i="5"/>
  <c r="I938" i="5"/>
  <c r="H938" i="5"/>
  <c r="F938" i="5"/>
  <c r="N937" i="5"/>
  <c r="M937" i="5"/>
  <c r="L937" i="5"/>
  <c r="K937" i="5"/>
  <c r="J937" i="5"/>
  <c r="I937" i="5"/>
  <c r="H937" i="5"/>
  <c r="F937" i="5"/>
  <c r="N936" i="5"/>
  <c r="M936" i="5"/>
  <c r="L936" i="5"/>
  <c r="K936" i="5"/>
  <c r="J936" i="5"/>
  <c r="I936" i="5"/>
  <c r="H936" i="5"/>
  <c r="F936" i="5"/>
  <c r="N935" i="5"/>
  <c r="M935" i="5"/>
  <c r="L935" i="5"/>
  <c r="K935" i="5"/>
  <c r="J935" i="5"/>
  <c r="I935" i="5"/>
  <c r="H935" i="5"/>
  <c r="F935" i="5"/>
  <c r="N934" i="5"/>
  <c r="M934" i="5"/>
  <c r="L934" i="5"/>
  <c r="K934" i="5"/>
  <c r="J934" i="5"/>
  <c r="I934" i="5"/>
  <c r="H934" i="5"/>
  <c r="F934" i="5"/>
  <c r="N933" i="5"/>
  <c r="M933" i="5"/>
  <c r="L933" i="5"/>
  <c r="K933" i="5"/>
  <c r="J933" i="5"/>
  <c r="I933" i="5"/>
  <c r="H933" i="5"/>
  <c r="F933" i="5"/>
  <c r="N932" i="5"/>
  <c r="M932" i="5"/>
  <c r="L932" i="5"/>
  <c r="K932" i="5"/>
  <c r="J932" i="5"/>
  <c r="I932" i="5"/>
  <c r="H932" i="5"/>
  <c r="F932" i="5"/>
  <c r="N931" i="5"/>
  <c r="M931" i="5"/>
  <c r="L931" i="5"/>
  <c r="K931" i="5"/>
  <c r="J931" i="5"/>
  <c r="I931" i="5"/>
  <c r="H931" i="5"/>
  <c r="F931" i="5"/>
  <c r="C880" i="5"/>
  <c r="C879" i="5"/>
  <c r="C878" i="5"/>
  <c r="F881" i="5"/>
  <c r="J881" i="5"/>
  <c r="J879" i="5"/>
  <c r="J877" i="5"/>
  <c r="M880" i="5"/>
  <c r="M878" i="5"/>
  <c r="J912" i="5"/>
  <c r="M911" i="5"/>
  <c r="E875" i="5"/>
  <c r="B875" i="5"/>
  <c r="N917" i="5"/>
  <c r="M917" i="5"/>
  <c r="L917" i="5"/>
  <c r="K917" i="5"/>
  <c r="J917" i="5"/>
  <c r="I917" i="5"/>
  <c r="H917" i="5"/>
  <c r="F917" i="5"/>
  <c r="N916" i="5"/>
  <c r="M916" i="5"/>
  <c r="L916" i="5"/>
  <c r="K916" i="5"/>
  <c r="J916" i="5"/>
  <c r="I916" i="5"/>
  <c r="H916" i="5"/>
  <c r="F916" i="5"/>
  <c r="N915" i="5"/>
  <c r="M915" i="5"/>
  <c r="L915" i="5"/>
  <c r="K915" i="5"/>
  <c r="J915" i="5"/>
  <c r="I915" i="5"/>
  <c r="H915" i="5"/>
  <c r="F915" i="5"/>
  <c r="N914" i="5"/>
  <c r="M914" i="5"/>
  <c r="L914" i="5"/>
  <c r="K914" i="5"/>
  <c r="J914" i="5"/>
  <c r="I914" i="5"/>
  <c r="H914" i="5"/>
  <c r="F914" i="5"/>
  <c r="N913" i="5"/>
  <c r="M913" i="5"/>
  <c r="L913" i="5"/>
  <c r="K913" i="5"/>
  <c r="J913" i="5"/>
  <c r="I913" i="5"/>
  <c r="H913" i="5"/>
  <c r="F913" i="5"/>
  <c r="N906" i="5"/>
  <c r="M906" i="5"/>
  <c r="L906" i="5"/>
  <c r="K906" i="5"/>
  <c r="J906" i="5"/>
  <c r="I906" i="5"/>
  <c r="H906" i="5"/>
  <c r="F906" i="5"/>
  <c r="N905" i="5"/>
  <c r="M905" i="5"/>
  <c r="L905" i="5"/>
  <c r="K905" i="5"/>
  <c r="J905" i="5"/>
  <c r="I905" i="5"/>
  <c r="H905" i="5"/>
  <c r="F905" i="5"/>
  <c r="N904" i="5"/>
  <c r="M904" i="5"/>
  <c r="L904" i="5"/>
  <c r="K904" i="5"/>
  <c r="J904" i="5"/>
  <c r="I904" i="5"/>
  <c r="H904" i="5"/>
  <c r="F904" i="5"/>
  <c r="N903" i="5"/>
  <c r="M903" i="5"/>
  <c r="L903" i="5"/>
  <c r="K903" i="5"/>
  <c r="J903" i="5"/>
  <c r="I903" i="5"/>
  <c r="H903" i="5"/>
  <c r="F903" i="5"/>
  <c r="N902" i="5"/>
  <c r="M902" i="5"/>
  <c r="L902" i="5"/>
  <c r="K902" i="5"/>
  <c r="J902" i="5"/>
  <c r="I902" i="5"/>
  <c r="H902" i="5"/>
  <c r="F902" i="5"/>
  <c r="N901" i="5"/>
  <c r="M901" i="5"/>
  <c r="L901" i="5"/>
  <c r="K901" i="5"/>
  <c r="J901" i="5"/>
  <c r="I901" i="5"/>
  <c r="H901" i="5"/>
  <c r="F901" i="5"/>
  <c r="N900" i="5"/>
  <c r="M900" i="5"/>
  <c r="L900" i="5"/>
  <c r="K900" i="5"/>
  <c r="J900" i="5"/>
  <c r="I900" i="5"/>
  <c r="H900" i="5"/>
  <c r="F900" i="5"/>
  <c r="N899" i="5"/>
  <c r="M899" i="5"/>
  <c r="L899" i="5"/>
  <c r="K899" i="5"/>
  <c r="J899" i="5"/>
  <c r="I899" i="5"/>
  <c r="H899" i="5"/>
  <c r="F899" i="5"/>
  <c r="N898" i="5"/>
  <c r="M898" i="5"/>
  <c r="L898" i="5"/>
  <c r="K898" i="5"/>
  <c r="J898" i="5"/>
  <c r="I898" i="5"/>
  <c r="H898" i="5"/>
  <c r="F898" i="5"/>
  <c r="N897" i="5"/>
  <c r="M897" i="5"/>
  <c r="L897" i="5"/>
  <c r="K897" i="5"/>
  <c r="J897" i="5"/>
  <c r="I897" i="5"/>
  <c r="H897" i="5"/>
  <c r="F897" i="5"/>
  <c r="X875" i="5" s="1"/>
  <c r="N892" i="5"/>
  <c r="M892" i="5"/>
  <c r="L892" i="5"/>
  <c r="K892" i="5"/>
  <c r="J892" i="5"/>
  <c r="I892" i="5"/>
  <c r="H892" i="5"/>
  <c r="F892" i="5"/>
  <c r="N891" i="5"/>
  <c r="M891" i="5"/>
  <c r="L891" i="5"/>
  <c r="K891" i="5"/>
  <c r="J891" i="5"/>
  <c r="I891" i="5"/>
  <c r="H891" i="5"/>
  <c r="F891" i="5"/>
  <c r="N890" i="5"/>
  <c r="M890" i="5"/>
  <c r="L890" i="5"/>
  <c r="K890" i="5"/>
  <c r="J890" i="5"/>
  <c r="I890" i="5"/>
  <c r="H890" i="5"/>
  <c r="F890" i="5"/>
  <c r="N889" i="5"/>
  <c r="M889" i="5"/>
  <c r="L889" i="5"/>
  <c r="K889" i="5"/>
  <c r="J889" i="5"/>
  <c r="I889" i="5"/>
  <c r="H889" i="5"/>
  <c r="F889" i="5"/>
  <c r="N888" i="5"/>
  <c r="M888" i="5"/>
  <c r="L888" i="5"/>
  <c r="K888" i="5"/>
  <c r="J888" i="5"/>
  <c r="I888" i="5"/>
  <c r="H888" i="5"/>
  <c r="F888" i="5"/>
  <c r="N887" i="5"/>
  <c r="M887" i="5"/>
  <c r="L887" i="5"/>
  <c r="K887" i="5"/>
  <c r="J887" i="5"/>
  <c r="I887" i="5"/>
  <c r="H887" i="5"/>
  <c r="F887" i="5"/>
  <c r="N886" i="5"/>
  <c r="M886" i="5"/>
  <c r="L886" i="5"/>
  <c r="K886" i="5"/>
  <c r="J886" i="5"/>
  <c r="I886" i="5"/>
  <c r="H886" i="5"/>
  <c r="F886" i="5"/>
  <c r="N885" i="5"/>
  <c r="M885" i="5"/>
  <c r="L885" i="5"/>
  <c r="K885" i="5"/>
  <c r="J885" i="5"/>
  <c r="I885" i="5"/>
  <c r="H885" i="5"/>
  <c r="F885" i="5"/>
  <c r="N884" i="5"/>
  <c r="M884" i="5"/>
  <c r="L884" i="5"/>
  <c r="K884" i="5"/>
  <c r="J884" i="5"/>
  <c r="I884" i="5"/>
  <c r="H884" i="5"/>
  <c r="F884" i="5"/>
  <c r="N883" i="5"/>
  <c r="M883" i="5"/>
  <c r="L883" i="5"/>
  <c r="K883" i="5"/>
  <c r="J883" i="5"/>
  <c r="I883" i="5"/>
  <c r="H883" i="5"/>
  <c r="F883" i="5"/>
  <c r="N882" i="5"/>
  <c r="M882" i="5"/>
  <c r="L882" i="5"/>
  <c r="K882" i="5"/>
  <c r="J882" i="5"/>
  <c r="I882" i="5"/>
  <c r="H882" i="5"/>
  <c r="F882" i="5"/>
  <c r="G923" i="5" l="1"/>
  <c r="L930" i="5" s="1"/>
  <c r="O923" i="5"/>
  <c r="P923" i="5" s="1"/>
  <c r="O875" i="5"/>
  <c r="P875" i="5" s="1"/>
  <c r="G875" i="5"/>
  <c r="U875" i="5" s="1"/>
  <c r="F907" i="5"/>
  <c r="F955" i="5"/>
  <c r="N930" i="5"/>
  <c r="F929" i="5"/>
  <c r="F928" i="5"/>
  <c r="F879" i="5"/>
  <c r="F927" i="5"/>
  <c r="J959" i="5"/>
  <c r="K959" i="5" s="1"/>
  <c r="H930" i="5"/>
  <c r="I930" i="5" s="1"/>
  <c r="J930" i="5"/>
  <c r="K930" i="5" s="1"/>
  <c r="I927" i="5"/>
  <c r="M927" i="5"/>
  <c r="N927" i="5" s="1"/>
  <c r="F878" i="5"/>
  <c r="N925" i="5"/>
  <c r="N959" i="5"/>
  <c r="H925" i="5"/>
  <c r="I925" i="5" s="1"/>
  <c r="K926" i="5"/>
  <c r="I928" i="5"/>
  <c r="M929" i="5"/>
  <c r="N929" i="5" s="1"/>
  <c r="M960" i="5"/>
  <c r="N960" i="5" s="1"/>
  <c r="J925" i="5"/>
  <c r="K925" i="5" s="1"/>
  <c r="M926" i="5"/>
  <c r="N926" i="5" s="1"/>
  <c r="J927" i="5"/>
  <c r="K927" i="5" s="1"/>
  <c r="M928" i="5"/>
  <c r="N928" i="5" s="1"/>
  <c r="I929" i="5"/>
  <c r="I960" i="5"/>
  <c r="J928" i="5"/>
  <c r="K928" i="5" s="1"/>
  <c r="H926" i="5"/>
  <c r="I926" i="5" s="1"/>
  <c r="J929" i="5"/>
  <c r="K929" i="5" s="1"/>
  <c r="J960" i="5"/>
  <c r="K960" i="5" s="1"/>
  <c r="K877" i="5"/>
  <c r="N878" i="5"/>
  <c r="N911" i="5"/>
  <c r="N880" i="5"/>
  <c r="H878" i="5"/>
  <c r="I878" i="5" s="1"/>
  <c r="M912" i="5"/>
  <c r="N912" i="5" s="1"/>
  <c r="K912" i="5"/>
  <c r="F877" i="5"/>
  <c r="H877" i="5"/>
  <c r="I877" i="5" s="1"/>
  <c r="F880" i="5"/>
  <c r="M877" i="5"/>
  <c r="N877" i="5" s="1"/>
  <c r="H880" i="5"/>
  <c r="I880" i="5" s="1"/>
  <c r="K879" i="5"/>
  <c r="K881" i="5"/>
  <c r="J878" i="5"/>
  <c r="K878" i="5" s="1"/>
  <c r="M881" i="5"/>
  <c r="N881" i="5" s="1"/>
  <c r="M879" i="5"/>
  <c r="N879" i="5" s="1"/>
  <c r="J880" i="5"/>
  <c r="K880" i="5" s="1"/>
  <c r="H879" i="5"/>
  <c r="I879" i="5" s="1"/>
  <c r="J911" i="5"/>
  <c r="K911" i="5" s="1"/>
  <c r="H881" i="5"/>
  <c r="I881" i="5" s="1"/>
  <c r="U923" i="5" l="1"/>
  <c r="W923" i="5"/>
  <c r="W875" i="5"/>
  <c r="F941" i="5"/>
  <c r="L926" i="5"/>
  <c r="L928" i="5"/>
  <c r="L960" i="5"/>
  <c r="L925" i="5"/>
  <c r="L959" i="5"/>
  <c r="L929" i="5"/>
  <c r="L927" i="5"/>
  <c r="F893" i="5"/>
  <c r="T923" i="5" l="1"/>
  <c r="V923" i="5" s="1"/>
  <c r="C863" i="5"/>
  <c r="C832" i="5"/>
  <c r="C829" i="5"/>
  <c r="M863" i="5"/>
  <c r="F833" i="5"/>
  <c r="H833" i="5"/>
  <c r="M832" i="5"/>
  <c r="F831" i="5"/>
  <c r="H831" i="5"/>
  <c r="F830" i="5"/>
  <c r="H830" i="5"/>
  <c r="H829" i="5"/>
  <c r="F781" i="5"/>
  <c r="D781" i="5"/>
  <c r="B781" i="5"/>
  <c r="M781" i="5"/>
  <c r="E827" i="5"/>
  <c r="B827" i="5"/>
  <c r="N869" i="5"/>
  <c r="M869" i="5"/>
  <c r="L869" i="5"/>
  <c r="K869" i="5"/>
  <c r="J869" i="5"/>
  <c r="I869" i="5"/>
  <c r="H869" i="5"/>
  <c r="F869" i="5"/>
  <c r="N868" i="5"/>
  <c r="M868" i="5"/>
  <c r="L868" i="5"/>
  <c r="K868" i="5"/>
  <c r="J868" i="5"/>
  <c r="I868" i="5"/>
  <c r="F868" i="5"/>
  <c r="N867" i="5"/>
  <c r="M867" i="5"/>
  <c r="L867" i="5"/>
  <c r="K867" i="5"/>
  <c r="J867" i="5"/>
  <c r="I867" i="5"/>
  <c r="H867" i="5"/>
  <c r="F867" i="5"/>
  <c r="N866" i="5"/>
  <c r="M866" i="5"/>
  <c r="L866" i="5"/>
  <c r="K866" i="5"/>
  <c r="J866" i="5"/>
  <c r="I866" i="5"/>
  <c r="H866" i="5"/>
  <c r="F866" i="5"/>
  <c r="N865" i="5"/>
  <c r="M865" i="5"/>
  <c r="L865" i="5"/>
  <c r="K865" i="5"/>
  <c r="J865" i="5"/>
  <c r="I865" i="5"/>
  <c r="H865" i="5"/>
  <c r="F865" i="5"/>
  <c r="N864" i="5"/>
  <c r="M864" i="5"/>
  <c r="L864" i="5"/>
  <c r="K864" i="5"/>
  <c r="J864" i="5"/>
  <c r="I864" i="5"/>
  <c r="H864" i="5"/>
  <c r="F864" i="5"/>
  <c r="N858" i="5"/>
  <c r="M858" i="5"/>
  <c r="L858" i="5"/>
  <c r="K858" i="5"/>
  <c r="J858" i="5"/>
  <c r="I858" i="5"/>
  <c r="H858" i="5"/>
  <c r="F858" i="5"/>
  <c r="N857" i="5"/>
  <c r="M857" i="5"/>
  <c r="L857" i="5"/>
  <c r="K857" i="5"/>
  <c r="J857" i="5"/>
  <c r="I857" i="5"/>
  <c r="H857" i="5"/>
  <c r="F857" i="5"/>
  <c r="N856" i="5"/>
  <c r="M856" i="5"/>
  <c r="L856" i="5"/>
  <c r="K856" i="5"/>
  <c r="J856" i="5"/>
  <c r="I856" i="5"/>
  <c r="H856" i="5"/>
  <c r="F856" i="5"/>
  <c r="N855" i="5"/>
  <c r="M855" i="5"/>
  <c r="L855" i="5"/>
  <c r="K855" i="5"/>
  <c r="J855" i="5"/>
  <c r="I855" i="5"/>
  <c r="H855" i="5"/>
  <c r="F855" i="5"/>
  <c r="N854" i="5"/>
  <c r="M854" i="5"/>
  <c r="L854" i="5"/>
  <c r="K854" i="5"/>
  <c r="J854" i="5"/>
  <c r="I854" i="5"/>
  <c r="H854" i="5"/>
  <c r="F854" i="5"/>
  <c r="N853" i="5"/>
  <c r="M853" i="5"/>
  <c r="L853" i="5"/>
  <c r="K853" i="5"/>
  <c r="J853" i="5"/>
  <c r="I853" i="5"/>
  <c r="H853" i="5"/>
  <c r="F853" i="5"/>
  <c r="N852" i="5"/>
  <c r="M852" i="5"/>
  <c r="L852" i="5"/>
  <c r="K852" i="5"/>
  <c r="J852" i="5"/>
  <c r="I852" i="5"/>
  <c r="H852" i="5"/>
  <c r="F852" i="5"/>
  <c r="N851" i="5"/>
  <c r="M851" i="5"/>
  <c r="L851" i="5"/>
  <c r="K851" i="5"/>
  <c r="J851" i="5"/>
  <c r="I851" i="5"/>
  <c r="H851" i="5"/>
  <c r="F851" i="5"/>
  <c r="N850" i="5"/>
  <c r="M850" i="5"/>
  <c r="L850" i="5"/>
  <c r="K850" i="5"/>
  <c r="J850" i="5"/>
  <c r="I850" i="5"/>
  <c r="H850" i="5"/>
  <c r="F850" i="5"/>
  <c r="N849" i="5"/>
  <c r="M849" i="5"/>
  <c r="L849" i="5"/>
  <c r="K849" i="5"/>
  <c r="J849" i="5"/>
  <c r="I849" i="5"/>
  <c r="H849" i="5"/>
  <c r="F849" i="5"/>
  <c r="X827" i="5" s="1"/>
  <c r="N844" i="5"/>
  <c r="M844" i="5"/>
  <c r="L844" i="5"/>
  <c r="K844" i="5"/>
  <c r="J844" i="5"/>
  <c r="I844" i="5"/>
  <c r="H844" i="5"/>
  <c r="F844" i="5"/>
  <c r="N843" i="5"/>
  <c r="M843" i="5"/>
  <c r="L843" i="5"/>
  <c r="K843" i="5"/>
  <c r="J843" i="5"/>
  <c r="I843" i="5"/>
  <c r="H843" i="5"/>
  <c r="F843" i="5"/>
  <c r="N842" i="5"/>
  <c r="M842" i="5"/>
  <c r="L842" i="5"/>
  <c r="K842" i="5"/>
  <c r="J842" i="5"/>
  <c r="I842" i="5"/>
  <c r="H842" i="5"/>
  <c r="F842" i="5"/>
  <c r="N841" i="5"/>
  <c r="M841" i="5"/>
  <c r="L841" i="5"/>
  <c r="K841" i="5"/>
  <c r="J841" i="5"/>
  <c r="I841" i="5"/>
  <c r="H841" i="5"/>
  <c r="F841" i="5"/>
  <c r="N840" i="5"/>
  <c r="M840" i="5"/>
  <c r="L840" i="5"/>
  <c r="K840" i="5"/>
  <c r="J840" i="5"/>
  <c r="I840" i="5"/>
  <c r="H840" i="5"/>
  <c r="F840" i="5"/>
  <c r="N839" i="5"/>
  <c r="M839" i="5"/>
  <c r="L839" i="5"/>
  <c r="K839" i="5"/>
  <c r="J839" i="5"/>
  <c r="I839" i="5"/>
  <c r="H839" i="5"/>
  <c r="F839" i="5"/>
  <c r="N838" i="5"/>
  <c r="M838" i="5"/>
  <c r="L838" i="5"/>
  <c r="K838" i="5"/>
  <c r="J838" i="5"/>
  <c r="I838" i="5"/>
  <c r="H838" i="5"/>
  <c r="F838" i="5"/>
  <c r="N837" i="5"/>
  <c r="M837" i="5"/>
  <c r="L837" i="5"/>
  <c r="K837" i="5"/>
  <c r="J837" i="5"/>
  <c r="I837" i="5"/>
  <c r="H837" i="5"/>
  <c r="F837" i="5"/>
  <c r="N836" i="5"/>
  <c r="M836" i="5"/>
  <c r="L836" i="5"/>
  <c r="K836" i="5"/>
  <c r="J836" i="5"/>
  <c r="I836" i="5"/>
  <c r="H836" i="5"/>
  <c r="F836" i="5"/>
  <c r="N835" i="5"/>
  <c r="M835" i="5"/>
  <c r="L835" i="5"/>
  <c r="K835" i="5"/>
  <c r="J835" i="5"/>
  <c r="I835" i="5"/>
  <c r="H835" i="5"/>
  <c r="F835" i="5"/>
  <c r="N834" i="5"/>
  <c r="M834" i="5"/>
  <c r="L834" i="5"/>
  <c r="K834" i="5"/>
  <c r="J834" i="5"/>
  <c r="I834" i="5"/>
  <c r="H834" i="5"/>
  <c r="F834" i="5"/>
  <c r="N821" i="5"/>
  <c r="M821" i="5"/>
  <c r="L821" i="5"/>
  <c r="K821" i="5"/>
  <c r="J821" i="5"/>
  <c r="I821" i="5"/>
  <c r="H821" i="5"/>
  <c r="F821" i="5"/>
  <c r="N820" i="5"/>
  <c r="M820" i="5"/>
  <c r="L820" i="5"/>
  <c r="K820" i="5"/>
  <c r="J820" i="5"/>
  <c r="I820" i="5"/>
  <c r="H820" i="5"/>
  <c r="F820" i="5"/>
  <c r="N819" i="5"/>
  <c r="M819" i="5"/>
  <c r="L819" i="5"/>
  <c r="K819" i="5"/>
  <c r="J819" i="5"/>
  <c r="I819" i="5"/>
  <c r="H819" i="5"/>
  <c r="F819" i="5"/>
  <c r="N818" i="5"/>
  <c r="M818" i="5"/>
  <c r="L818" i="5"/>
  <c r="K818" i="5"/>
  <c r="J818" i="5"/>
  <c r="I818" i="5"/>
  <c r="H818" i="5"/>
  <c r="F818" i="5"/>
  <c r="N817" i="5"/>
  <c r="M817" i="5"/>
  <c r="L817" i="5"/>
  <c r="K817" i="5"/>
  <c r="J817" i="5"/>
  <c r="I817" i="5"/>
  <c r="H817" i="5"/>
  <c r="F817" i="5"/>
  <c r="N816" i="5"/>
  <c r="M816" i="5"/>
  <c r="L816" i="5"/>
  <c r="K816" i="5"/>
  <c r="J816" i="5"/>
  <c r="I816" i="5"/>
  <c r="H816" i="5"/>
  <c r="F816" i="5"/>
  <c r="N815" i="5"/>
  <c r="M815" i="5"/>
  <c r="L815" i="5"/>
  <c r="K815" i="5"/>
  <c r="J815" i="5"/>
  <c r="I815" i="5"/>
  <c r="H815" i="5"/>
  <c r="F815" i="5"/>
  <c r="Y779" i="5" s="1"/>
  <c r="N810" i="5"/>
  <c r="M810" i="5"/>
  <c r="L810" i="5"/>
  <c r="K810" i="5"/>
  <c r="J810" i="5"/>
  <c r="I810" i="5"/>
  <c r="H810" i="5"/>
  <c r="F810" i="5"/>
  <c r="N809" i="5"/>
  <c r="M809" i="5"/>
  <c r="L809" i="5"/>
  <c r="K809" i="5"/>
  <c r="J809" i="5"/>
  <c r="I809" i="5"/>
  <c r="H809" i="5"/>
  <c r="F809" i="5"/>
  <c r="N808" i="5"/>
  <c r="M808" i="5"/>
  <c r="L808" i="5"/>
  <c r="K808" i="5"/>
  <c r="J808" i="5"/>
  <c r="I808" i="5"/>
  <c r="H808" i="5"/>
  <c r="F808" i="5"/>
  <c r="N807" i="5"/>
  <c r="M807" i="5"/>
  <c r="L807" i="5"/>
  <c r="K807" i="5"/>
  <c r="J807" i="5"/>
  <c r="I807" i="5"/>
  <c r="H807" i="5"/>
  <c r="F807" i="5"/>
  <c r="N806" i="5"/>
  <c r="M806" i="5"/>
  <c r="L806" i="5"/>
  <c r="K806" i="5"/>
  <c r="J806" i="5"/>
  <c r="I806" i="5"/>
  <c r="H806" i="5"/>
  <c r="F806" i="5"/>
  <c r="N805" i="5"/>
  <c r="M805" i="5"/>
  <c r="L805" i="5"/>
  <c r="K805" i="5"/>
  <c r="J805" i="5"/>
  <c r="I805" i="5"/>
  <c r="H805" i="5"/>
  <c r="F805" i="5"/>
  <c r="N804" i="5"/>
  <c r="M804" i="5"/>
  <c r="L804" i="5"/>
  <c r="K804" i="5"/>
  <c r="J804" i="5"/>
  <c r="I804" i="5"/>
  <c r="H804" i="5"/>
  <c r="F804" i="5"/>
  <c r="N803" i="5"/>
  <c r="M803" i="5"/>
  <c r="L803" i="5"/>
  <c r="K803" i="5"/>
  <c r="J803" i="5"/>
  <c r="I803" i="5"/>
  <c r="H803" i="5"/>
  <c r="F803" i="5"/>
  <c r="N802" i="5"/>
  <c r="M802" i="5"/>
  <c r="L802" i="5"/>
  <c r="K802" i="5"/>
  <c r="J802" i="5"/>
  <c r="I802" i="5"/>
  <c r="H802" i="5"/>
  <c r="F802" i="5"/>
  <c r="J801" i="5"/>
  <c r="F801" i="5"/>
  <c r="H801" i="5"/>
  <c r="I801" i="5" s="1"/>
  <c r="N796" i="5"/>
  <c r="M796" i="5"/>
  <c r="L796" i="5"/>
  <c r="K796" i="5"/>
  <c r="J796" i="5"/>
  <c r="I796" i="5"/>
  <c r="H796" i="5"/>
  <c r="F796" i="5"/>
  <c r="N795" i="5"/>
  <c r="M795" i="5"/>
  <c r="L795" i="5"/>
  <c r="K795" i="5"/>
  <c r="J795" i="5"/>
  <c r="I795" i="5"/>
  <c r="H795" i="5"/>
  <c r="F795" i="5"/>
  <c r="N794" i="5"/>
  <c r="M794" i="5"/>
  <c r="L794" i="5"/>
  <c r="K794" i="5"/>
  <c r="J794" i="5"/>
  <c r="I794" i="5"/>
  <c r="H794" i="5"/>
  <c r="F794" i="5"/>
  <c r="N793" i="5"/>
  <c r="M793" i="5"/>
  <c r="L793" i="5"/>
  <c r="K793" i="5"/>
  <c r="J793" i="5"/>
  <c r="I793" i="5"/>
  <c r="H793" i="5"/>
  <c r="F793" i="5"/>
  <c r="N792" i="5"/>
  <c r="M792" i="5"/>
  <c r="L792" i="5"/>
  <c r="K792" i="5"/>
  <c r="J792" i="5"/>
  <c r="I792" i="5"/>
  <c r="H792" i="5"/>
  <c r="F792" i="5"/>
  <c r="N791" i="5"/>
  <c r="M791" i="5"/>
  <c r="L791" i="5"/>
  <c r="K791" i="5"/>
  <c r="J791" i="5"/>
  <c r="I791" i="5"/>
  <c r="H791" i="5"/>
  <c r="F791" i="5"/>
  <c r="N790" i="5"/>
  <c r="M790" i="5"/>
  <c r="L790" i="5"/>
  <c r="K790" i="5"/>
  <c r="J790" i="5"/>
  <c r="I790" i="5"/>
  <c r="H790" i="5"/>
  <c r="F790" i="5"/>
  <c r="N789" i="5"/>
  <c r="M789" i="5"/>
  <c r="L789" i="5"/>
  <c r="K789" i="5"/>
  <c r="J789" i="5"/>
  <c r="I789" i="5"/>
  <c r="H789" i="5"/>
  <c r="F789" i="5"/>
  <c r="N788" i="5"/>
  <c r="M788" i="5"/>
  <c r="L788" i="5"/>
  <c r="K788" i="5"/>
  <c r="J788" i="5"/>
  <c r="I788" i="5"/>
  <c r="H788" i="5"/>
  <c r="F788" i="5"/>
  <c r="N787" i="5"/>
  <c r="M787" i="5"/>
  <c r="L787" i="5"/>
  <c r="K787" i="5"/>
  <c r="J787" i="5"/>
  <c r="I787" i="5"/>
  <c r="H787" i="5"/>
  <c r="F787" i="5"/>
  <c r="N786" i="5"/>
  <c r="M786" i="5"/>
  <c r="L786" i="5"/>
  <c r="K786" i="5"/>
  <c r="J786" i="5"/>
  <c r="I786" i="5"/>
  <c r="H786" i="5"/>
  <c r="F786" i="5"/>
  <c r="N785" i="5"/>
  <c r="M785" i="5"/>
  <c r="L785" i="5"/>
  <c r="K785" i="5"/>
  <c r="J785" i="5"/>
  <c r="I785" i="5"/>
  <c r="H785" i="5"/>
  <c r="F785" i="5"/>
  <c r="N784" i="5"/>
  <c r="M784" i="5"/>
  <c r="L784" i="5"/>
  <c r="K784" i="5"/>
  <c r="J784" i="5"/>
  <c r="I784" i="5"/>
  <c r="H784" i="5"/>
  <c r="F784" i="5"/>
  <c r="N783" i="5"/>
  <c r="M783" i="5"/>
  <c r="L783" i="5"/>
  <c r="K783" i="5"/>
  <c r="J783" i="5"/>
  <c r="I783" i="5"/>
  <c r="H783" i="5"/>
  <c r="F783" i="5"/>
  <c r="N782" i="5"/>
  <c r="M782" i="5"/>
  <c r="L782" i="5"/>
  <c r="K782" i="5"/>
  <c r="J782" i="5"/>
  <c r="I782" i="5"/>
  <c r="H782" i="5"/>
  <c r="F782" i="5"/>
  <c r="X779" i="5" l="1"/>
  <c r="O827" i="5"/>
  <c r="P827" i="5" s="1"/>
  <c r="G827" i="5"/>
  <c r="U827" i="5" s="1"/>
  <c r="W779" i="5"/>
  <c r="F859" i="5"/>
  <c r="F822" i="5"/>
  <c r="F832" i="5"/>
  <c r="F829" i="5"/>
  <c r="N832" i="5"/>
  <c r="F811" i="5"/>
  <c r="N863" i="5"/>
  <c r="L781" i="5"/>
  <c r="F797" i="5"/>
  <c r="I829" i="5"/>
  <c r="M830" i="5"/>
  <c r="N830" i="5" s="1"/>
  <c r="J829" i="5"/>
  <c r="K829" i="5" s="1"/>
  <c r="J863" i="5"/>
  <c r="K863" i="5" s="1"/>
  <c r="I833" i="5"/>
  <c r="J833" i="5"/>
  <c r="K833" i="5" s="1"/>
  <c r="M833" i="5"/>
  <c r="N833" i="5" s="1"/>
  <c r="H832" i="5"/>
  <c r="I832" i="5" s="1"/>
  <c r="J832" i="5"/>
  <c r="K832" i="5" s="1"/>
  <c r="I831" i="5"/>
  <c r="J831" i="5"/>
  <c r="K831" i="5" s="1"/>
  <c r="M831" i="5"/>
  <c r="N831" i="5" s="1"/>
  <c r="I830" i="5"/>
  <c r="J830" i="5"/>
  <c r="K830" i="5" s="1"/>
  <c r="M829" i="5"/>
  <c r="N829" i="5" s="1"/>
  <c r="N781" i="5"/>
  <c r="H781" i="5"/>
  <c r="I781" i="5" s="1"/>
  <c r="J781" i="5"/>
  <c r="K781" i="5" s="1"/>
  <c r="L801" i="5"/>
  <c r="K801" i="5"/>
  <c r="M801" i="5"/>
  <c r="N801" i="5" s="1"/>
  <c r="W827" i="5" l="1"/>
  <c r="T779" i="5"/>
  <c r="V779" i="5" s="1"/>
  <c r="F845" i="5"/>
  <c r="L863" i="5"/>
  <c r="L831" i="5"/>
  <c r="L833" i="5"/>
  <c r="L830" i="5"/>
  <c r="L832" i="5"/>
  <c r="L829" i="5"/>
  <c r="T827" i="5" l="1"/>
  <c r="V827" i="5" s="1"/>
  <c r="C1311" i="5"/>
  <c r="E5054" i="5"/>
  <c r="E5006" i="5"/>
  <c r="E4766" i="5"/>
  <c r="E4814" i="5"/>
  <c r="E4862" i="5"/>
  <c r="M1247" i="5"/>
  <c r="E1211" i="5"/>
  <c r="B1211" i="5"/>
  <c r="N1253" i="5"/>
  <c r="M1253" i="5"/>
  <c r="L1253" i="5"/>
  <c r="K1253" i="5"/>
  <c r="J1253" i="5"/>
  <c r="I1253" i="5"/>
  <c r="H1253" i="5"/>
  <c r="F1253" i="5"/>
  <c r="N1252" i="5"/>
  <c r="M1252" i="5"/>
  <c r="L1252" i="5"/>
  <c r="K1252" i="5"/>
  <c r="J1252" i="5"/>
  <c r="I1252" i="5"/>
  <c r="H1252" i="5"/>
  <c r="F1252" i="5"/>
  <c r="N1251" i="5"/>
  <c r="M1251" i="5"/>
  <c r="L1251" i="5"/>
  <c r="K1251" i="5"/>
  <c r="J1251" i="5"/>
  <c r="I1251" i="5"/>
  <c r="H1251" i="5"/>
  <c r="F1251" i="5"/>
  <c r="N1250" i="5"/>
  <c r="M1250" i="5"/>
  <c r="L1250" i="5"/>
  <c r="K1250" i="5"/>
  <c r="J1250" i="5"/>
  <c r="I1250" i="5"/>
  <c r="H1250" i="5"/>
  <c r="F1250" i="5"/>
  <c r="N1249" i="5"/>
  <c r="M1249" i="5"/>
  <c r="L1249" i="5"/>
  <c r="K1249" i="5"/>
  <c r="J1249" i="5"/>
  <c r="I1249" i="5"/>
  <c r="H1249" i="5"/>
  <c r="F1249" i="5"/>
  <c r="N1242" i="5"/>
  <c r="M1242" i="5"/>
  <c r="L1242" i="5"/>
  <c r="K1242" i="5"/>
  <c r="J1242" i="5"/>
  <c r="I1242" i="5"/>
  <c r="H1242" i="5"/>
  <c r="F1242" i="5"/>
  <c r="N1241" i="5"/>
  <c r="M1241" i="5"/>
  <c r="L1241" i="5"/>
  <c r="K1241" i="5"/>
  <c r="J1241" i="5"/>
  <c r="I1241" i="5"/>
  <c r="H1241" i="5"/>
  <c r="F1241" i="5"/>
  <c r="N1240" i="5"/>
  <c r="M1240" i="5"/>
  <c r="L1240" i="5"/>
  <c r="K1240" i="5"/>
  <c r="J1240" i="5"/>
  <c r="I1240" i="5"/>
  <c r="H1240" i="5"/>
  <c r="F1240" i="5"/>
  <c r="N1239" i="5"/>
  <c r="M1239" i="5"/>
  <c r="L1239" i="5"/>
  <c r="K1239" i="5"/>
  <c r="J1239" i="5"/>
  <c r="I1239" i="5"/>
  <c r="H1239" i="5"/>
  <c r="F1239" i="5"/>
  <c r="N1238" i="5"/>
  <c r="M1238" i="5"/>
  <c r="L1238" i="5"/>
  <c r="K1238" i="5"/>
  <c r="J1238" i="5"/>
  <c r="I1238" i="5"/>
  <c r="H1238" i="5"/>
  <c r="F1238" i="5"/>
  <c r="N1237" i="5"/>
  <c r="M1237" i="5"/>
  <c r="L1237" i="5"/>
  <c r="K1237" i="5"/>
  <c r="J1237" i="5"/>
  <c r="I1237" i="5"/>
  <c r="H1237" i="5"/>
  <c r="F1237" i="5"/>
  <c r="N1236" i="5"/>
  <c r="M1236" i="5"/>
  <c r="L1236" i="5"/>
  <c r="K1236" i="5"/>
  <c r="J1236" i="5"/>
  <c r="I1236" i="5"/>
  <c r="H1236" i="5"/>
  <c r="F1236" i="5"/>
  <c r="N1235" i="5"/>
  <c r="M1235" i="5"/>
  <c r="L1235" i="5"/>
  <c r="K1235" i="5"/>
  <c r="J1235" i="5"/>
  <c r="I1235" i="5"/>
  <c r="H1235" i="5"/>
  <c r="F1235" i="5"/>
  <c r="N1234" i="5"/>
  <c r="M1234" i="5"/>
  <c r="L1234" i="5"/>
  <c r="K1234" i="5"/>
  <c r="J1234" i="5"/>
  <c r="I1234" i="5"/>
  <c r="H1234" i="5"/>
  <c r="F1234" i="5"/>
  <c r="H1233" i="5"/>
  <c r="F1233" i="5"/>
  <c r="M1233" i="5"/>
  <c r="N1228" i="5"/>
  <c r="M1228" i="5"/>
  <c r="L1228" i="5"/>
  <c r="K1228" i="5"/>
  <c r="J1228" i="5"/>
  <c r="I1228" i="5"/>
  <c r="H1228" i="5"/>
  <c r="F1228" i="5"/>
  <c r="N1227" i="5"/>
  <c r="M1227" i="5"/>
  <c r="L1227" i="5"/>
  <c r="K1227" i="5"/>
  <c r="J1227" i="5"/>
  <c r="I1227" i="5"/>
  <c r="H1227" i="5"/>
  <c r="F1227" i="5"/>
  <c r="N1226" i="5"/>
  <c r="M1226" i="5"/>
  <c r="L1226" i="5"/>
  <c r="K1226" i="5"/>
  <c r="J1226" i="5"/>
  <c r="I1226" i="5"/>
  <c r="H1226" i="5"/>
  <c r="F1226" i="5"/>
  <c r="N1225" i="5"/>
  <c r="M1225" i="5"/>
  <c r="L1225" i="5"/>
  <c r="K1225" i="5"/>
  <c r="J1225" i="5"/>
  <c r="I1225" i="5"/>
  <c r="H1225" i="5"/>
  <c r="F1225" i="5"/>
  <c r="N1224" i="5"/>
  <c r="M1224" i="5"/>
  <c r="L1224" i="5"/>
  <c r="K1224" i="5"/>
  <c r="J1224" i="5"/>
  <c r="I1224" i="5"/>
  <c r="H1224" i="5"/>
  <c r="F1224" i="5"/>
  <c r="N1223" i="5"/>
  <c r="M1223" i="5"/>
  <c r="L1223" i="5"/>
  <c r="K1223" i="5"/>
  <c r="J1223" i="5"/>
  <c r="I1223" i="5"/>
  <c r="H1223" i="5"/>
  <c r="F1223" i="5"/>
  <c r="N1222" i="5"/>
  <c r="M1222" i="5"/>
  <c r="L1222" i="5"/>
  <c r="K1222" i="5"/>
  <c r="J1222" i="5"/>
  <c r="I1222" i="5"/>
  <c r="H1222" i="5"/>
  <c r="F1222" i="5"/>
  <c r="N1221" i="5"/>
  <c r="M1221" i="5"/>
  <c r="L1221" i="5"/>
  <c r="K1221" i="5"/>
  <c r="J1221" i="5"/>
  <c r="I1221" i="5"/>
  <c r="H1221" i="5"/>
  <c r="F1221" i="5"/>
  <c r="N1220" i="5"/>
  <c r="M1220" i="5"/>
  <c r="L1220" i="5"/>
  <c r="K1220" i="5"/>
  <c r="J1220" i="5"/>
  <c r="I1220" i="5"/>
  <c r="H1220" i="5"/>
  <c r="F1220" i="5"/>
  <c r="N1219" i="5"/>
  <c r="M1219" i="5"/>
  <c r="L1219" i="5"/>
  <c r="K1219" i="5"/>
  <c r="J1219" i="5"/>
  <c r="I1219" i="5"/>
  <c r="H1219" i="5"/>
  <c r="F1219" i="5"/>
  <c r="N1218" i="5"/>
  <c r="M1218" i="5"/>
  <c r="L1218" i="5"/>
  <c r="K1218" i="5"/>
  <c r="J1218" i="5"/>
  <c r="I1218" i="5"/>
  <c r="H1218" i="5"/>
  <c r="F1218" i="5"/>
  <c r="N1217" i="5"/>
  <c r="M1217" i="5"/>
  <c r="L1217" i="5"/>
  <c r="K1217" i="5"/>
  <c r="J1217" i="5"/>
  <c r="I1217" i="5"/>
  <c r="H1217" i="5"/>
  <c r="F1217" i="5"/>
  <c r="N1216" i="5"/>
  <c r="M1216" i="5"/>
  <c r="L1216" i="5"/>
  <c r="K1216" i="5"/>
  <c r="J1216" i="5"/>
  <c r="I1216" i="5"/>
  <c r="H1216" i="5"/>
  <c r="F1216" i="5"/>
  <c r="H1215" i="5"/>
  <c r="F1215" i="5"/>
  <c r="M1215" i="5"/>
  <c r="J1214" i="5"/>
  <c r="F1214" i="5"/>
  <c r="H1213" i="5"/>
  <c r="M1213" i="5"/>
  <c r="X1211" i="5" l="1"/>
  <c r="G1211" i="5"/>
  <c r="U1211" i="5" s="1"/>
  <c r="O1211" i="5"/>
  <c r="P1211" i="5" s="1"/>
  <c r="N1247" i="5"/>
  <c r="L1213" i="5"/>
  <c r="F1243" i="5"/>
  <c r="F1213" i="5"/>
  <c r="W1211" i="5" s="1"/>
  <c r="K1214" i="5"/>
  <c r="M1248" i="5"/>
  <c r="N1248" i="5" s="1"/>
  <c r="I1213" i="5"/>
  <c r="M1214" i="5"/>
  <c r="N1214" i="5" s="1"/>
  <c r="I1215" i="5"/>
  <c r="I1233" i="5"/>
  <c r="J1247" i="5"/>
  <c r="K1247" i="5" s="1"/>
  <c r="J1213" i="5"/>
  <c r="J1215" i="5"/>
  <c r="K1215" i="5" s="1"/>
  <c r="J1233" i="5"/>
  <c r="N1213" i="5"/>
  <c r="K1213" i="5"/>
  <c r="H1214" i="5"/>
  <c r="I1214" i="5" s="1"/>
  <c r="N1215" i="5"/>
  <c r="N1233" i="5"/>
  <c r="J1248" i="5"/>
  <c r="K1248" i="5" s="1"/>
  <c r="K1233" i="5"/>
  <c r="F1229" i="5" l="1"/>
  <c r="L1233" i="5"/>
  <c r="L1215" i="5"/>
  <c r="L1214" i="5"/>
  <c r="E4000" i="5" l="1"/>
  <c r="F4000" i="5" s="1"/>
  <c r="D4000" i="5"/>
  <c r="B4000" i="5"/>
  <c r="M4000" i="5"/>
  <c r="E3999" i="5"/>
  <c r="F3999" i="5" s="1"/>
  <c r="D3999" i="5"/>
  <c r="B3999" i="5"/>
  <c r="E3998" i="5"/>
  <c r="F3998" i="5" s="1"/>
  <c r="D3998" i="5"/>
  <c r="B3998" i="5"/>
  <c r="M3998" i="5"/>
  <c r="E3997" i="5"/>
  <c r="F3997" i="5" s="1"/>
  <c r="D3997" i="5"/>
  <c r="B3997" i="5"/>
  <c r="H3997" i="5"/>
  <c r="D4032" i="5"/>
  <c r="D4031" i="5"/>
  <c r="B4032" i="5"/>
  <c r="B4031" i="5"/>
  <c r="M4032" i="5"/>
  <c r="J4031" i="5"/>
  <c r="D3984" i="5"/>
  <c r="D3983" i="5"/>
  <c r="B3984" i="5"/>
  <c r="B3983" i="5"/>
  <c r="M3984" i="5"/>
  <c r="M3983" i="5"/>
  <c r="E3952" i="5"/>
  <c r="F3952" i="5" s="1"/>
  <c r="D3952" i="5"/>
  <c r="B3952" i="5"/>
  <c r="H3952" i="5"/>
  <c r="E3951" i="5"/>
  <c r="F3951" i="5" s="1"/>
  <c r="D3951" i="5"/>
  <c r="B3951" i="5"/>
  <c r="M3951" i="5"/>
  <c r="E3950" i="5"/>
  <c r="F3950" i="5" s="1"/>
  <c r="D3950" i="5"/>
  <c r="B3950" i="5"/>
  <c r="J3950" i="5"/>
  <c r="E3949" i="5"/>
  <c r="F3949" i="5" s="1"/>
  <c r="D3949" i="5"/>
  <c r="B3949" i="5"/>
  <c r="H3949" i="5"/>
  <c r="E3995" i="5"/>
  <c r="B3995" i="5"/>
  <c r="A3995" i="5"/>
  <c r="N4037" i="5"/>
  <c r="M4037" i="5"/>
  <c r="L4037" i="5"/>
  <c r="K4037" i="5"/>
  <c r="J4037" i="5"/>
  <c r="I4037" i="5"/>
  <c r="H4037" i="5"/>
  <c r="F4037" i="5"/>
  <c r="N4036" i="5"/>
  <c r="M4036" i="5"/>
  <c r="L4036" i="5"/>
  <c r="K4036" i="5"/>
  <c r="J4036" i="5"/>
  <c r="I4036" i="5"/>
  <c r="H4036" i="5"/>
  <c r="F4036" i="5"/>
  <c r="N4035" i="5"/>
  <c r="M4035" i="5"/>
  <c r="L4035" i="5"/>
  <c r="K4035" i="5"/>
  <c r="J4035" i="5"/>
  <c r="I4035" i="5"/>
  <c r="H4035" i="5"/>
  <c r="F4035" i="5"/>
  <c r="N4034" i="5"/>
  <c r="M4034" i="5"/>
  <c r="L4034" i="5"/>
  <c r="K4034" i="5"/>
  <c r="J4034" i="5"/>
  <c r="I4034" i="5"/>
  <c r="H4034" i="5"/>
  <c r="F4034" i="5"/>
  <c r="N4033" i="5"/>
  <c r="M4033" i="5"/>
  <c r="L4033" i="5"/>
  <c r="K4033" i="5"/>
  <c r="J4033" i="5"/>
  <c r="I4033" i="5"/>
  <c r="H4033" i="5"/>
  <c r="F4033" i="5"/>
  <c r="N4026" i="5"/>
  <c r="M4026" i="5"/>
  <c r="L4026" i="5"/>
  <c r="K4026" i="5"/>
  <c r="J4026" i="5"/>
  <c r="I4026" i="5"/>
  <c r="H4026" i="5"/>
  <c r="F4026" i="5"/>
  <c r="N4025" i="5"/>
  <c r="M4025" i="5"/>
  <c r="L4025" i="5"/>
  <c r="K4025" i="5"/>
  <c r="J4025" i="5"/>
  <c r="I4025" i="5"/>
  <c r="H4025" i="5"/>
  <c r="F4025" i="5"/>
  <c r="N4024" i="5"/>
  <c r="M4024" i="5"/>
  <c r="L4024" i="5"/>
  <c r="K4024" i="5"/>
  <c r="J4024" i="5"/>
  <c r="I4024" i="5"/>
  <c r="H4024" i="5"/>
  <c r="F4024" i="5"/>
  <c r="N4023" i="5"/>
  <c r="M4023" i="5"/>
  <c r="L4023" i="5"/>
  <c r="K4023" i="5"/>
  <c r="J4023" i="5"/>
  <c r="I4023" i="5"/>
  <c r="H4023" i="5"/>
  <c r="F4023" i="5"/>
  <c r="N4022" i="5"/>
  <c r="M4022" i="5"/>
  <c r="L4022" i="5"/>
  <c r="K4022" i="5"/>
  <c r="J4022" i="5"/>
  <c r="I4022" i="5"/>
  <c r="H4022" i="5"/>
  <c r="F4022" i="5"/>
  <c r="N4021" i="5"/>
  <c r="M4021" i="5"/>
  <c r="L4021" i="5"/>
  <c r="K4021" i="5"/>
  <c r="J4021" i="5"/>
  <c r="I4021" i="5"/>
  <c r="H4021" i="5"/>
  <c r="F4021" i="5"/>
  <c r="N4020" i="5"/>
  <c r="M4020" i="5"/>
  <c r="L4020" i="5"/>
  <c r="K4020" i="5"/>
  <c r="J4020" i="5"/>
  <c r="I4020" i="5"/>
  <c r="H4020" i="5"/>
  <c r="F4020" i="5"/>
  <c r="N4019" i="5"/>
  <c r="M4019" i="5"/>
  <c r="L4019" i="5"/>
  <c r="K4019" i="5"/>
  <c r="J4019" i="5"/>
  <c r="I4019" i="5"/>
  <c r="H4019" i="5"/>
  <c r="F4019" i="5"/>
  <c r="N4018" i="5"/>
  <c r="M4018" i="5"/>
  <c r="L4018" i="5"/>
  <c r="K4018" i="5"/>
  <c r="J4018" i="5"/>
  <c r="I4018" i="5"/>
  <c r="H4018" i="5"/>
  <c r="F4018" i="5"/>
  <c r="N4017" i="5"/>
  <c r="M4017" i="5"/>
  <c r="L4017" i="5"/>
  <c r="K4017" i="5"/>
  <c r="J4017" i="5"/>
  <c r="I4017" i="5"/>
  <c r="H4017" i="5"/>
  <c r="F4017" i="5"/>
  <c r="N4012" i="5"/>
  <c r="M4012" i="5"/>
  <c r="L4012" i="5"/>
  <c r="K4012" i="5"/>
  <c r="J4012" i="5"/>
  <c r="I4012" i="5"/>
  <c r="H4012" i="5"/>
  <c r="F4012" i="5"/>
  <c r="N4011" i="5"/>
  <c r="M4011" i="5"/>
  <c r="L4011" i="5"/>
  <c r="K4011" i="5"/>
  <c r="J4011" i="5"/>
  <c r="I4011" i="5"/>
  <c r="H4011" i="5"/>
  <c r="F4011" i="5"/>
  <c r="N4010" i="5"/>
  <c r="M4010" i="5"/>
  <c r="L4010" i="5"/>
  <c r="K4010" i="5"/>
  <c r="J4010" i="5"/>
  <c r="I4010" i="5"/>
  <c r="H4010" i="5"/>
  <c r="F4010" i="5"/>
  <c r="N4009" i="5"/>
  <c r="M4009" i="5"/>
  <c r="L4009" i="5"/>
  <c r="K4009" i="5"/>
  <c r="J4009" i="5"/>
  <c r="I4009" i="5"/>
  <c r="H4009" i="5"/>
  <c r="F4009" i="5"/>
  <c r="N4008" i="5"/>
  <c r="M4008" i="5"/>
  <c r="L4008" i="5"/>
  <c r="K4008" i="5"/>
  <c r="J4008" i="5"/>
  <c r="I4008" i="5"/>
  <c r="H4008" i="5"/>
  <c r="F4008" i="5"/>
  <c r="N4007" i="5"/>
  <c r="M4007" i="5"/>
  <c r="L4007" i="5"/>
  <c r="K4007" i="5"/>
  <c r="J4007" i="5"/>
  <c r="I4007" i="5"/>
  <c r="H4007" i="5"/>
  <c r="F4007" i="5"/>
  <c r="N4006" i="5"/>
  <c r="M4006" i="5"/>
  <c r="L4006" i="5"/>
  <c r="K4006" i="5"/>
  <c r="J4006" i="5"/>
  <c r="I4006" i="5"/>
  <c r="H4006" i="5"/>
  <c r="F4006" i="5"/>
  <c r="N4005" i="5"/>
  <c r="M4005" i="5"/>
  <c r="L4005" i="5"/>
  <c r="K4005" i="5"/>
  <c r="J4005" i="5"/>
  <c r="I4005" i="5"/>
  <c r="H4005" i="5"/>
  <c r="F4005" i="5"/>
  <c r="N4004" i="5"/>
  <c r="M4004" i="5"/>
  <c r="L4004" i="5"/>
  <c r="K4004" i="5"/>
  <c r="J4004" i="5"/>
  <c r="I4004" i="5"/>
  <c r="H4004" i="5"/>
  <c r="F4004" i="5"/>
  <c r="N4003" i="5"/>
  <c r="M4003" i="5"/>
  <c r="L4003" i="5"/>
  <c r="K4003" i="5"/>
  <c r="J4003" i="5"/>
  <c r="I4003" i="5"/>
  <c r="H4003" i="5"/>
  <c r="F4003" i="5"/>
  <c r="N4002" i="5"/>
  <c r="M4002" i="5"/>
  <c r="L4002" i="5"/>
  <c r="K4002" i="5"/>
  <c r="J4002" i="5"/>
  <c r="I4002" i="5"/>
  <c r="H4002" i="5"/>
  <c r="F4002" i="5"/>
  <c r="N4001" i="5"/>
  <c r="M4001" i="5"/>
  <c r="L4001" i="5"/>
  <c r="K4001" i="5"/>
  <c r="J4001" i="5"/>
  <c r="I4001" i="5"/>
  <c r="H4001" i="5"/>
  <c r="F4001" i="5"/>
  <c r="E3947" i="5"/>
  <c r="B3947" i="5"/>
  <c r="A3947" i="5"/>
  <c r="N3989" i="5"/>
  <c r="M3989" i="5"/>
  <c r="L3989" i="5"/>
  <c r="K3989" i="5"/>
  <c r="J3989" i="5"/>
  <c r="I3989" i="5"/>
  <c r="H3989" i="5"/>
  <c r="F3989" i="5"/>
  <c r="N3988" i="5"/>
  <c r="M3988" i="5"/>
  <c r="L3988" i="5"/>
  <c r="K3988" i="5"/>
  <c r="J3988" i="5"/>
  <c r="I3988" i="5"/>
  <c r="H3988" i="5"/>
  <c r="F3988" i="5"/>
  <c r="N3987" i="5"/>
  <c r="M3987" i="5"/>
  <c r="L3987" i="5"/>
  <c r="K3987" i="5"/>
  <c r="J3987" i="5"/>
  <c r="I3987" i="5"/>
  <c r="H3987" i="5"/>
  <c r="F3987" i="5"/>
  <c r="N3986" i="5"/>
  <c r="M3986" i="5"/>
  <c r="L3986" i="5"/>
  <c r="K3986" i="5"/>
  <c r="J3986" i="5"/>
  <c r="I3986" i="5"/>
  <c r="H3986" i="5"/>
  <c r="F3986" i="5"/>
  <c r="N3985" i="5"/>
  <c r="M3985" i="5"/>
  <c r="L3985" i="5"/>
  <c r="K3985" i="5"/>
  <c r="J3985" i="5"/>
  <c r="I3985" i="5"/>
  <c r="H3985" i="5"/>
  <c r="F3985" i="5"/>
  <c r="N3978" i="5"/>
  <c r="M3978" i="5"/>
  <c r="L3978" i="5"/>
  <c r="K3978" i="5"/>
  <c r="J3978" i="5"/>
  <c r="I3978" i="5"/>
  <c r="H3978" i="5"/>
  <c r="F3978" i="5"/>
  <c r="N3977" i="5"/>
  <c r="M3977" i="5"/>
  <c r="L3977" i="5"/>
  <c r="K3977" i="5"/>
  <c r="J3977" i="5"/>
  <c r="I3977" i="5"/>
  <c r="H3977" i="5"/>
  <c r="F3977" i="5"/>
  <c r="N3976" i="5"/>
  <c r="M3976" i="5"/>
  <c r="L3976" i="5"/>
  <c r="K3976" i="5"/>
  <c r="J3976" i="5"/>
  <c r="I3976" i="5"/>
  <c r="H3976" i="5"/>
  <c r="F3976" i="5"/>
  <c r="N3975" i="5"/>
  <c r="M3975" i="5"/>
  <c r="L3975" i="5"/>
  <c r="K3975" i="5"/>
  <c r="J3975" i="5"/>
  <c r="I3975" i="5"/>
  <c r="H3975" i="5"/>
  <c r="F3975" i="5"/>
  <c r="N3974" i="5"/>
  <c r="M3974" i="5"/>
  <c r="L3974" i="5"/>
  <c r="K3974" i="5"/>
  <c r="J3974" i="5"/>
  <c r="I3974" i="5"/>
  <c r="H3974" i="5"/>
  <c r="F3974" i="5"/>
  <c r="N3973" i="5"/>
  <c r="M3973" i="5"/>
  <c r="L3973" i="5"/>
  <c r="K3973" i="5"/>
  <c r="J3973" i="5"/>
  <c r="I3973" i="5"/>
  <c r="H3973" i="5"/>
  <c r="F3973" i="5"/>
  <c r="N3972" i="5"/>
  <c r="M3972" i="5"/>
  <c r="L3972" i="5"/>
  <c r="K3972" i="5"/>
  <c r="J3972" i="5"/>
  <c r="I3972" i="5"/>
  <c r="H3972" i="5"/>
  <c r="F3972" i="5"/>
  <c r="N3971" i="5"/>
  <c r="M3971" i="5"/>
  <c r="L3971" i="5"/>
  <c r="K3971" i="5"/>
  <c r="J3971" i="5"/>
  <c r="I3971" i="5"/>
  <c r="H3971" i="5"/>
  <c r="F3971" i="5"/>
  <c r="N3970" i="5"/>
  <c r="M3970" i="5"/>
  <c r="L3970" i="5"/>
  <c r="K3970" i="5"/>
  <c r="J3970" i="5"/>
  <c r="I3970" i="5"/>
  <c r="H3970" i="5"/>
  <c r="F3970" i="5"/>
  <c r="N3969" i="5"/>
  <c r="M3969" i="5"/>
  <c r="L3969" i="5"/>
  <c r="K3969" i="5"/>
  <c r="J3969" i="5"/>
  <c r="I3969" i="5"/>
  <c r="H3969" i="5"/>
  <c r="F3969" i="5"/>
  <c r="X3947" i="5" s="1"/>
  <c r="N3964" i="5"/>
  <c r="M3964" i="5"/>
  <c r="L3964" i="5"/>
  <c r="K3964" i="5"/>
  <c r="J3964" i="5"/>
  <c r="I3964" i="5"/>
  <c r="H3964" i="5"/>
  <c r="F3964" i="5"/>
  <c r="N3963" i="5"/>
  <c r="M3963" i="5"/>
  <c r="L3963" i="5"/>
  <c r="K3963" i="5"/>
  <c r="J3963" i="5"/>
  <c r="I3963" i="5"/>
  <c r="H3963" i="5"/>
  <c r="F3963" i="5"/>
  <c r="N3962" i="5"/>
  <c r="M3962" i="5"/>
  <c r="L3962" i="5"/>
  <c r="K3962" i="5"/>
  <c r="J3962" i="5"/>
  <c r="I3962" i="5"/>
  <c r="H3962" i="5"/>
  <c r="F3962" i="5"/>
  <c r="N3961" i="5"/>
  <c r="M3961" i="5"/>
  <c r="L3961" i="5"/>
  <c r="K3961" i="5"/>
  <c r="J3961" i="5"/>
  <c r="I3961" i="5"/>
  <c r="H3961" i="5"/>
  <c r="F3961" i="5"/>
  <c r="N3960" i="5"/>
  <c r="M3960" i="5"/>
  <c r="L3960" i="5"/>
  <c r="K3960" i="5"/>
  <c r="J3960" i="5"/>
  <c r="I3960" i="5"/>
  <c r="H3960" i="5"/>
  <c r="F3960" i="5"/>
  <c r="N3959" i="5"/>
  <c r="M3959" i="5"/>
  <c r="L3959" i="5"/>
  <c r="K3959" i="5"/>
  <c r="J3959" i="5"/>
  <c r="I3959" i="5"/>
  <c r="H3959" i="5"/>
  <c r="F3959" i="5"/>
  <c r="N3958" i="5"/>
  <c r="M3958" i="5"/>
  <c r="L3958" i="5"/>
  <c r="K3958" i="5"/>
  <c r="J3958" i="5"/>
  <c r="I3958" i="5"/>
  <c r="H3958" i="5"/>
  <c r="F3958" i="5"/>
  <c r="N3957" i="5"/>
  <c r="M3957" i="5"/>
  <c r="L3957" i="5"/>
  <c r="K3957" i="5"/>
  <c r="J3957" i="5"/>
  <c r="I3957" i="5"/>
  <c r="H3957" i="5"/>
  <c r="F3957" i="5"/>
  <c r="N3956" i="5"/>
  <c r="M3956" i="5"/>
  <c r="L3956" i="5"/>
  <c r="K3956" i="5"/>
  <c r="J3956" i="5"/>
  <c r="I3956" i="5"/>
  <c r="H3956" i="5"/>
  <c r="F3956" i="5"/>
  <c r="N3955" i="5"/>
  <c r="M3955" i="5"/>
  <c r="L3955" i="5"/>
  <c r="K3955" i="5"/>
  <c r="J3955" i="5"/>
  <c r="I3955" i="5"/>
  <c r="H3955" i="5"/>
  <c r="F3955" i="5"/>
  <c r="N3954" i="5"/>
  <c r="M3954" i="5"/>
  <c r="L3954" i="5"/>
  <c r="K3954" i="5"/>
  <c r="J3954" i="5"/>
  <c r="I3954" i="5"/>
  <c r="H3954" i="5"/>
  <c r="F3954" i="5"/>
  <c r="N3953" i="5"/>
  <c r="M3953" i="5"/>
  <c r="L3953" i="5"/>
  <c r="K3953" i="5"/>
  <c r="J3953" i="5"/>
  <c r="I3953" i="5"/>
  <c r="H3953" i="5"/>
  <c r="F3953" i="5"/>
  <c r="C3853" i="5"/>
  <c r="C3805" i="5"/>
  <c r="E3856" i="5"/>
  <c r="F3856" i="5" s="1"/>
  <c r="D3856" i="5"/>
  <c r="B3856" i="5"/>
  <c r="M3856" i="5"/>
  <c r="E3855" i="5"/>
  <c r="F3855" i="5" s="1"/>
  <c r="D3855" i="5"/>
  <c r="B3855" i="5"/>
  <c r="J3855" i="5"/>
  <c r="E3854" i="5"/>
  <c r="F3854" i="5" s="1"/>
  <c r="D3854" i="5"/>
  <c r="B3854" i="5"/>
  <c r="D3853" i="5"/>
  <c r="E3853" i="5"/>
  <c r="B3853" i="5"/>
  <c r="J3853" i="5"/>
  <c r="D3888" i="5"/>
  <c r="D3887" i="5"/>
  <c r="B3888" i="5"/>
  <c r="B3887" i="5"/>
  <c r="M3888" i="5"/>
  <c r="M3887" i="5"/>
  <c r="D3840" i="5"/>
  <c r="B3840" i="5"/>
  <c r="D3839" i="5"/>
  <c r="B3839" i="5"/>
  <c r="M3839" i="5"/>
  <c r="E3808" i="5"/>
  <c r="F3808" i="5" s="1"/>
  <c r="D3808" i="5"/>
  <c r="B3808" i="5"/>
  <c r="M3808" i="5"/>
  <c r="E3807" i="5"/>
  <c r="F3807" i="5" s="1"/>
  <c r="D3807" i="5"/>
  <c r="B3807" i="5"/>
  <c r="M3807" i="5"/>
  <c r="E3806" i="5"/>
  <c r="F3806" i="5" s="1"/>
  <c r="D3806" i="5"/>
  <c r="B3806" i="5"/>
  <c r="E3805" i="5"/>
  <c r="D3805" i="5"/>
  <c r="B3805" i="5"/>
  <c r="M3805" i="5"/>
  <c r="C3757" i="5"/>
  <c r="E3760" i="5"/>
  <c r="F3760" i="5" s="1"/>
  <c r="D3760" i="5"/>
  <c r="B3760" i="5"/>
  <c r="E3759" i="5"/>
  <c r="F3759" i="5" s="1"/>
  <c r="D3759" i="5"/>
  <c r="B3759" i="5"/>
  <c r="H3759" i="5"/>
  <c r="E3758" i="5"/>
  <c r="F3758" i="5" s="1"/>
  <c r="D3758" i="5"/>
  <c r="B3758" i="5"/>
  <c r="E3757" i="5"/>
  <c r="D3757" i="5"/>
  <c r="B3757" i="5"/>
  <c r="H3757" i="5"/>
  <c r="D3792" i="5"/>
  <c r="B3792" i="5"/>
  <c r="D3791" i="5"/>
  <c r="B3791" i="5"/>
  <c r="M3791" i="5"/>
  <c r="E3851" i="5"/>
  <c r="B3851" i="5"/>
  <c r="A3851" i="5"/>
  <c r="N3893" i="5"/>
  <c r="M3893" i="5"/>
  <c r="L3893" i="5"/>
  <c r="K3893" i="5"/>
  <c r="J3893" i="5"/>
  <c r="I3893" i="5"/>
  <c r="H3893" i="5"/>
  <c r="F3893" i="5"/>
  <c r="N3892" i="5"/>
  <c r="M3892" i="5"/>
  <c r="L3892" i="5"/>
  <c r="K3892" i="5"/>
  <c r="J3892" i="5"/>
  <c r="I3892" i="5"/>
  <c r="H3892" i="5"/>
  <c r="F3892" i="5"/>
  <c r="N3891" i="5"/>
  <c r="M3891" i="5"/>
  <c r="L3891" i="5"/>
  <c r="K3891" i="5"/>
  <c r="J3891" i="5"/>
  <c r="I3891" i="5"/>
  <c r="H3891" i="5"/>
  <c r="F3891" i="5"/>
  <c r="N3890" i="5"/>
  <c r="M3890" i="5"/>
  <c r="L3890" i="5"/>
  <c r="K3890" i="5"/>
  <c r="J3890" i="5"/>
  <c r="I3890" i="5"/>
  <c r="H3890" i="5"/>
  <c r="F3890" i="5"/>
  <c r="N3889" i="5"/>
  <c r="M3889" i="5"/>
  <c r="L3889" i="5"/>
  <c r="K3889" i="5"/>
  <c r="J3889" i="5"/>
  <c r="I3889" i="5"/>
  <c r="H3889" i="5"/>
  <c r="F3889" i="5"/>
  <c r="N3882" i="5"/>
  <c r="M3882" i="5"/>
  <c r="L3882" i="5"/>
  <c r="K3882" i="5"/>
  <c r="J3882" i="5"/>
  <c r="I3882" i="5"/>
  <c r="H3882" i="5"/>
  <c r="F3882" i="5"/>
  <c r="N3881" i="5"/>
  <c r="M3881" i="5"/>
  <c r="L3881" i="5"/>
  <c r="K3881" i="5"/>
  <c r="J3881" i="5"/>
  <c r="I3881" i="5"/>
  <c r="H3881" i="5"/>
  <c r="F3881" i="5"/>
  <c r="N3880" i="5"/>
  <c r="M3880" i="5"/>
  <c r="L3880" i="5"/>
  <c r="K3880" i="5"/>
  <c r="J3880" i="5"/>
  <c r="I3880" i="5"/>
  <c r="H3880" i="5"/>
  <c r="F3880" i="5"/>
  <c r="N3879" i="5"/>
  <c r="M3879" i="5"/>
  <c r="L3879" i="5"/>
  <c r="K3879" i="5"/>
  <c r="J3879" i="5"/>
  <c r="I3879" i="5"/>
  <c r="H3879" i="5"/>
  <c r="F3879" i="5"/>
  <c r="N3878" i="5"/>
  <c r="M3878" i="5"/>
  <c r="L3878" i="5"/>
  <c r="K3878" i="5"/>
  <c r="J3878" i="5"/>
  <c r="I3878" i="5"/>
  <c r="H3878" i="5"/>
  <c r="F3878" i="5"/>
  <c r="N3877" i="5"/>
  <c r="M3877" i="5"/>
  <c r="L3877" i="5"/>
  <c r="K3877" i="5"/>
  <c r="J3877" i="5"/>
  <c r="I3877" i="5"/>
  <c r="H3877" i="5"/>
  <c r="F3877" i="5"/>
  <c r="N3875" i="5"/>
  <c r="M3875" i="5"/>
  <c r="L3875" i="5"/>
  <c r="K3875" i="5"/>
  <c r="J3875" i="5"/>
  <c r="I3875" i="5"/>
  <c r="H3875" i="5"/>
  <c r="F3875" i="5"/>
  <c r="N3874" i="5"/>
  <c r="M3874" i="5"/>
  <c r="L3874" i="5"/>
  <c r="K3874" i="5"/>
  <c r="J3874" i="5"/>
  <c r="I3874" i="5"/>
  <c r="H3874" i="5"/>
  <c r="F3874" i="5"/>
  <c r="N3873" i="5"/>
  <c r="M3873" i="5"/>
  <c r="L3873" i="5"/>
  <c r="K3873" i="5"/>
  <c r="J3873" i="5"/>
  <c r="I3873" i="5"/>
  <c r="H3873" i="5"/>
  <c r="F3873" i="5"/>
  <c r="X3851" i="5" s="1"/>
  <c r="N3868" i="5"/>
  <c r="M3868" i="5"/>
  <c r="L3868" i="5"/>
  <c r="K3868" i="5"/>
  <c r="J3868" i="5"/>
  <c r="I3868" i="5"/>
  <c r="H3868" i="5"/>
  <c r="F3868" i="5"/>
  <c r="N3867" i="5"/>
  <c r="M3867" i="5"/>
  <c r="L3867" i="5"/>
  <c r="K3867" i="5"/>
  <c r="J3867" i="5"/>
  <c r="I3867" i="5"/>
  <c r="H3867" i="5"/>
  <c r="F3867" i="5"/>
  <c r="N3866" i="5"/>
  <c r="M3866" i="5"/>
  <c r="L3866" i="5"/>
  <c r="K3866" i="5"/>
  <c r="J3866" i="5"/>
  <c r="I3866" i="5"/>
  <c r="H3866" i="5"/>
  <c r="F3866" i="5"/>
  <c r="N3865" i="5"/>
  <c r="M3865" i="5"/>
  <c r="L3865" i="5"/>
  <c r="K3865" i="5"/>
  <c r="J3865" i="5"/>
  <c r="I3865" i="5"/>
  <c r="H3865" i="5"/>
  <c r="F3865" i="5"/>
  <c r="N3864" i="5"/>
  <c r="M3864" i="5"/>
  <c r="L3864" i="5"/>
  <c r="K3864" i="5"/>
  <c r="J3864" i="5"/>
  <c r="I3864" i="5"/>
  <c r="H3864" i="5"/>
  <c r="F3864" i="5"/>
  <c r="N3863" i="5"/>
  <c r="M3863" i="5"/>
  <c r="L3863" i="5"/>
  <c r="K3863" i="5"/>
  <c r="J3863" i="5"/>
  <c r="I3863" i="5"/>
  <c r="H3863" i="5"/>
  <c r="F3863" i="5"/>
  <c r="N3862" i="5"/>
  <c r="M3862" i="5"/>
  <c r="L3862" i="5"/>
  <c r="K3862" i="5"/>
  <c r="J3862" i="5"/>
  <c r="I3862" i="5"/>
  <c r="H3862" i="5"/>
  <c r="F3862" i="5"/>
  <c r="N3861" i="5"/>
  <c r="M3861" i="5"/>
  <c r="L3861" i="5"/>
  <c r="K3861" i="5"/>
  <c r="J3861" i="5"/>
  <c r="I3861" i="5"/>
  <c r="H3861" i="5"/>
  <c r="F3861" i="5"/>
  <c r="N3860" i="5"/>
  <c r="M3860" i="5"/>
  <c r="L3860" i="5"/>
  <c r="K3860" i="5"/>
  <c r="J3860" i="5"/>
  <c r="I3860" i="5"/>
  <c r="H3860" i="5"/>
  <c r="F3860" i="5"/>
  <c r="N3859" i="5"/>
  <c r="M3859" i="5"/>
  <c r="L3859" i="5"/>
  <c r="K3859" i="5"/>
  <c r="J3859" i="5"/>
  <c r="I3859" i="5"/>
  <c r="H3859" i="5"/>
  <c r="F3859" i="5"/>
  <c r="N3858" i="5"/>
  <c r="M3858" i="5"/>
  <c r="L3858" i="5"/>
  <c r="K3858" i="5"/>
  <c r="J3858" i="5"/>
  <c r="I3858" i="5"/>
  <c r="H3858" i="5"/>
  <c r="F3858" i="5"/>
  <c r="N3857" i="5"/>
  <c r="M3857" i="5"/>
  <c r="L3857" i="5"/>
  <c r="K3857" i="5"/>
  <c r="J3857" i="5"/>
  <c r="I3857" i="5"/>
  <c r="H3857" i="5"/>
  <c r="F3857" i="5"/>
  <c r="E3803" i="5"/>
  <c r="B3803" i="5"/>
  <c r="A3803" i="5"/>
  <c r="N3845" i="5"/>
  <c r="M3845" i="5"/>
  <c r="L3845" i="5"/>
  <c r="K3845" i="5"/>
  <c r="J3845" i="5"/>
  <c r="I3845" i="5"/>
  <c r="H3845" i="5"/>
  <c r="F3845" i="5"/>
  <c r="N3844" i="5"/>
  <c r="M3844" i="5"/>
  <c r="L3844" i="5"/>
  <c r="K3844" i="5"/>
  <c r="J3844" i="5"/>
  <c r="I3844" i="5"/>
  <c r="H3844" i="5"/>
  <c r="F3844" i="5"/>
  <c r="N3843" i="5"/>
  <c r="M3843" i="5"/>
  <c r="L3843" i="5"/>
  <c r="K3843" i="5"/>
  <c r="J3843" i="5"/>
  <c r="I3843" i="5"/>
  <c r="H3843" i="5"/>
  <c r="F3843" i="5"/>
  <c r="N3842" i="5"/>
  <c r="M3842" i="5"/>
  <c r="L3842" i="5"/>
  <c r="K3842" i="5"/>
  <c r="J3842" i="5"/>
  <c r="I3842" i="5"/>
  <c r="H3842" i="5"/>
  <c r="F3842" i="5"/>
  <c r="N3841" i="5"/>
  <c r="M3841" i="5"/>
  <c r="L3841" i="5"/>
  <c r="K3841" i="5"/>
  <c r="J3841" i="5"/>
  <c r="I3841" i="5"/>
  <c r="H3841" i="5"/>
  <c r="F3841" i="5"/>
  <c r="N3834" i="5"/>
  <c r="M3834" i="5"/>
  <c r="L3834" i="5"/>
  <c r="K3834" i="5"/>
  <c r="J3834" i="5"/>
  <c r="I3834" i="5"/>
  <c r="H3834" i="5"/>
  <c r="F3834" i="5"/>
  <c r="N3833" i="5"/>
  <c r="M3833" i="5"/>
  <c r="L3833" i="5"/>
  <c r="K3833" i="5"/>
  <c r="J3833" i="5"/>
  <c r="I3833" i="5"/>
  <c r="H3833" i="5"/>
  <c r="F3833" i="5"/>
  <c r="N3832" i="5"/>
  <c r="M3832" i="5"/>
  <c r="L3832" i="5"/>
  <c r="K3832" i="5"/>
  <c r="J3832" i="5"/>
  <c r="I3832" i="5"/>
  <c r="H3832" i="5"/>
  <c r="F3832" i="5"/>
  <c r="N3831" i="5"/>
  <c r="M3831" i="5"/>
  <c r="L3831" i="5"/>
  <c r="K3831" i="5"/>
  <c r="J3831" i="5"/>
  <c r="I3831" i="5"/>
  <c r="H3831" i="5"/>
  <c r="F3831" i="5"/>
  <c r="N3829" i="5"/>
  <c r="M3829" i="5"/>
  <c r="L3829" i="5"/>
  <c r="K3829" i="5"/>
  <c r="J3829" i="5"/>
  <c r="I3829" i="5"/>
  <c r="H3829" i="5"/>
  <c r="F3829" i="5"/>
  <c r="N3828" i="5"/>
  <c r="M3828" i="5"/>
  <c r="L3828" i="5"/>
  <c r="K3828" i="5"/>
  <c r="J3828" i="5"/>
  <c r="I3828" i="5"/>
  <c r="H3828" i="5"/>
  <c r="F3828" i="5"/>
  <c r="N3827" i="5"/>
  <c r="M3827" i="5"/>
  <c r="L3827" i="5"/>
  <c r="K3827" i="5"/>
  <c r="J3827" i="5"/>
  <c r="I3827" i="5"/>
  <c r="H3827" i="5"/>
  <c r="F3827" i="5"/>
  <c r="N3826" i="5"/>
  <c r="M3826" i="5"/>
  <c r="L3826" i="5"/>
  <c r="K3826" i="5"/>
  <c r="J3826" i="5"/>
  <c r="I3826" i="5"/>
  <c r="H3826" i="5"/>
  <c r="F3826" i="5"/>
  <c r="N3825" i="5"/>
  <c r="M3825" i="5"/>
  <c r="L3825" i="5"/>
  <c r="K3825" i="5"/>
  <c r="J3825" i="5"/>
  <c r="I3825" i="5"/>
  <c r="H3825" i="5"/>
  <c r="F3825" i="5"/>
  <c r="N3820" i="5"/>
  <c r="M3820" i="5"/>
  <c r="L3820" i="5"/>
  <c r="K3820" i="5"/>
  <c r="J3820" i="5"/>
  <c r="I3820" i="5"/>
  <c r="H3820" i="5"/>
  <c r="F3820" i="5"/>
  <c r="N3819" i="5"/>
  <c r="M3819" i="5"/>
  <c r="L3819" i="5"/>
  <c r="K3819" i="5"/>
  <c r="J3819" i="5"/>
  <c r="I3819" i="5"/>
  <c r="H3819" i="5"/>
  <c r="F3819" i="5"/>
  <c r="N3818" i="5"/>
  <c r="M3818" i="5"/>
  <c r="L3818" i="5"/>
  <c r="K3818" i="5"/>
  <c r="J3818" i="5"/>
  <c r="I3818" i="5"/>
  <c r="H3818" i="5"/>
  <c r="F3818" i="5"/>
  <c r="N3817" i="5"/>
  <c r="M3817" i="5"/>
  <c r="L3817" i="5"/>
  <c r="K3817" i="5"/>
  <c r="J3817" i="5"/>
  <c r="I3817" i="5"/>
  <c r="H3817" i="5"/>
  <c r="F3817" i="5"/>
  <c r="N3816" i="5"/>
  <c r="M3816" i="5"/>
  <c r="L3816" i="5"/>
  <c r="K3816" i="5"/>
  <c r="J3816" i="5"/>
  <c r="I3816" i="5"/>
  <c r="H3816" i="5"/>
  <c r="F3816" i="5"/>
  <c r="N3815" i="5"/>
  <c r="M3815" i="5"/>
  <c r="L3815" i="5"/>
  <c r="K3815" i="5"/>
  <c r="J3815" i="5"/>
  <c r="I3815" i="5"/>
  <c r="H3815" i="5"/>
  <c r="F3815" i="5"/>
  <c r="N3814" i="5"/>
  <c r="M3814" i="5"/>
  <c r="L3814" i="5"/>
  <c r="K3814" i="5"/>
  <c r="J3814" i="5"/>
  <c r="I3814" i="5"/>
  <c r="H3814" i="5"/>
  <c r="F3814" i="5"/>
  <c r="N3813" i="5"/>
  <c r="M3813" i="5"/>
  <c r="L3813" i="5"/>
  <c r="K3813" i="5"/>
  <c r="J3813" i="5"/>
  <c r="I3813" i="5"/>
  <c r="H3813" i="5"/>
  <c r="F3813" i="5"/>
  <c r="N3812" i="5"/>
  <c r="M3812" i="5"/>
  <c r="L3812" i="5"/>
  <c r="K3812" i="5"/>
  <c r="J3812" i="5"/>
  <c r="I3812" i="5"/>
  <c r="H3812" i="5"/>
  <c r="F3812" i="5"/>
  <c r="N3811" i="5"/>
  <c r="M3811" i="5"/>
  <c r="L3811" i="5"/>
  <c r="K3811" i="5"/>
  <c r="J3811" i="5"/>
  <c r="I3811" i="5"/>
  <c r="H3811" i="5"/>
  <c r="F3811" i="5"/>
  <c r="N3810" i="5"/>
  <c r="M3810" i="5"/>
  <c r="L3810" i="5"/>
  <c r="K3810" i="5"/>
  <c r="J3810" i="5"/>
  <c r="I3810" i="5"/>
  <c r="H3810" i="5"/>
  <c r="F3810" i="5"/>
  <c r="N3809" i="5"/>
  <c r="M3809" i="5"/>
  <c r="L3809" i="5"/>
  <c r="K3809" i="5"/>
  <c r="J3809" i="5"/>
  <c r="I3809" i="5"/>
  <c r="H3809" i="5"/>
  <c r="F3809" i="5"/>
  <c r="E3755" i="5"/>
  <c r="B3755" i="5"/>
  <c r="A3755" i="5"/>
  <c r="N3797" i="5"/>
  <c r="M3797" i="5"/>
  <c r="L3797" i="5"/>
  <c r="K3797" i="5"/>
  <c r="J3797" i="5"/>
  <c r="I3797" i="5"/>
  <c r="H3797" i="5"/>
  <c r="F3797" i="5"/>
  <c r="N3796" i="5"/>
  <c r="M3796" i="5"/>
  <c r="L3796" i="5"/>
  <c r="K3796" i="5"/>
  <c r="J3796" i="5"/>
  <c r="I3796" i="5"/>
  <c r="H3796" i="5"/>
  <c r="F3796" i="5"/>
  <c r="N3795" i="5"/>
  <c r="M3795" i="5"/>
  <c r="L3795" i="5"/>
  <c r="K3795" i="5"/>
  <c r="J3795" i="5"/>
  <c r="I3795" i="5"/>
  <c r="H3795" i="5"/>
  <c r="F3795" i="5"/>
  <c r="N3794" i="5"/>
  <c r="M3794" i="5"/>
  <c r="L3794" i="5"/>
  <c r="K3794" i="5"/>
  <c r="J3794" i="5"/>
  <c r="I3794" i="5"/>
  <c r="H3794" i="5"/>
  <c r="F3794" i="5"/>
  <c r="N3793" i="5"/>
  <c r="M3793" i="5"/>
  <c r="L3793" i="5"/>
  <c r="K3793" i="5"/>
  <c r="J3793" i="5"/>
  <c r="I3793" i="5"/>
  <c r="H3793" i="5"/>
  <c r="F3793" i="5"/>
  <c r="N3786" i="5"/>
  <c r="M3786" i="5"/>
  <c r="L3786" i="5"/>
  <c r="K3786" i="5"/>
  <c r="J3786" i="5"/>
  <c r="I3786" i="5"/>
  <c r="H3786" i="5"/>
  <c r="F3786" i="5"/>
  <c r="N3785" i="5"/>
  <c r="M3785" i="5"/>
  <c r="L3785" i="5"/>
  <c r="K3785" i="5"/>
  <c r="J3785" i="5"/>
  <c r="I3785" i="5"/>
  <c r="H3785" i="5"/>
  <c r="F3785" i="5"/>
  <c r="N3784" i="5"/>
  <c r="M3784" i="5"/>
  <c r="L3784" i="5"/>
  <c r="K3784" i="5"/>
  <c r="J3784" i="5"/>
  <c r="I3784" i="5"/>
  <c r="H3784" i="5"/>
  <c r="F3784" i="5"/>
  <c r="N3783" i="5"/>
  <c r="M3783" i="5"/>
  <c r="L3783" i="5"/>
  <c r="K3783" i="5"/>
  <c r="J3783" i="5"/>
  <c r="I3783" i="5"/>
  <c r="H3783" i="5"/>
  <c r="F3783" i="5"/>
  <c r="N3782" i="5"/>
  <c r="M3782" i="5"/>
  <c r="L3782" i="5"/>
  <c r="K3782" i="5"/>
  <c r="J3782" i="5"/>
  <c r="I3782" i="5"/>
  <c r="H3782" i="5"/>
  <c r="F3782" i="5"/>
  <c r="N3780" i="5"/>
  <c r="M3780" i="5"/>
  <c r="L3780" i="5"/>
  <c r="K3780" i="5"/>
  <c r="J3780" i="5"/>
  <c r="I3780" i="5"/>
  <c r="H3780" i="5"/>
  <c r="F3780" i="5"/>
  <c r="N3779" i="5"/>
  <c r="M3779" i="5"/>
  <c r="L3779" i="5"/>
  <c r="K3779" i="5"/>
  <c r="J3779" i="5"/>
  <c r="I3779" i="5"/>
  <c r="H3779" i="5"/>
  <c r="F3779" i="5"/>
  <c r="N3778" i="5"/>
  <c r="M3778" i="5"/>
  <c r="L3778" i="5"/>
  <c r="K3778" i="5"/>
  <c r="J3778" i="5"/>
  <c r="I3778" i="5"/>
  <c r="H3778" i="5"/>
  <c r="F3778" i="5"/>
  <c r="N3777" i="5"/>
  <c r="M3777" i="5"/>
  <c r="L3777" i="5"/>
  <c r="K3777" i="5"/>
  <c r="J3777" i="5"/>
  <c r="I3777" i="5"/>
  <c r="H3777" i="5"/>
  <c r="F3777" i="5"/>
  <c r="N3772" i="5"/>
  <c r="M3772" i="5"/>
  <c r="L3772" i="5"/>
  <c r="K3772" i="5"/>
  <c r="J3772" i="5"/>
  <c r="I3772" i="5"/>
  <c r="H3772" i="5"/>
  <c r="F3772" i="5"/>
  <c r="N3771" i="5"/>
  <c r="M3771" i="5"/>
  <c r="L3771" i="5"/>
  <c r="K3771" i="5"/>
  <c r="J3771" i="5"/>
  <c r="I3771" i="5"/>
  <c r="H3771" i="5"/>
  <c r="F3771" i="5"/>
  <c r="N3770" i="5"/>
  <c r="M3770" i="5"/>
  <c r="L3770" i="5"/>
  <c r="K3770" i="5"/>
  <c r="J3770" i="5"/>
  <c r="I3770" i="5"/>
  <c r="H3770" i="5"/>
  <c r="F3770" i="5"/>
  <c r="N3769" i="5"/>
  <c r="M3769" i="5"/>
  <c r="L3769" i="5"/>
  <c r="K3769" i="5"/>
  <c r="J3769" i="5"/>
  <c r="I3769" i="5"/>
  <c r="H3769" i="5"/>
  <c r="F3769" i="5"/>
  <c r="N3768" i="5"/>
  <c r="M3768" i="5"/>
  <c r="L3768" i="5"/>
  <c r="K3768" i="5"/>
  <c r="J3768" i="5"/>
  <c r="I3768" i="5"/>
  <c r="H3768" i="5"/>
  <c r="F3768" i="5"/>
  <c r="N3767" i="5"/>
  <c r="M3767" i="5"/>
  <c r="L3767" i="5"/>
  <c r="K3767" i="5"/>
  <c r="J3767" i="5"/>
  <c r="I3767" i="5"/>
  <c r="H3767" i="5"/>
  <c r="F3767" i="5"/>
  <c r="N3766" i="5"/>
  <c r="M3766" i="5"/>
  <c r="L3766" i="5"/>
  <c r="K3766" i="5"/>
  <c r="J3766" i="5"/>
  <c r="I3766" i="5"/>
  <c r="H3766" i="5"/>
  <c r="F3766" i="5"/>
  <c r="N3765" i="5"/>
  <c r="M3765" i="5"/>
  <c r="L3765" i="5"/>
  <c r="K3765" i="5"/>
  <c r="J3765" i="5"/>
  <c r="I3765" i="5"/>
  <c r="H3765" i="5"/>
  <c r="F3765" i="5"/>
  <c r="N3764" i="5"/>
  <c r="M3764" i="5"/>
  <c r="L3764" i="5"/>
  <c r="K3764" i="5"/>
  <c r="J3764" i="5"/>
  <c r="I3764" i="5"/>
  <c r="H3764" i="5"/>
  <c r="F3764" i="5"/>
  <c r="N3763" i="5"/>
  <c r="M3763" i="5"/>
  <c r="L3763" i="5"/>
  <c r="K3763" i="5"/>
  <c r="J3763" i="5"/>
  <c r="I3763" i="5"/>
  <c r="H3763" i="5"/>
  <c r="F3763" i="5"/>
  <c r="N3762" i="5"/>
  <c r="M3762" i="5"/>
  <c r="L3762" i="5"/>
  <c r="K3762" i="5"/>
  <c r="J3762" i="5"/>
  <c r="I3762" i="5"/>
  <c r="H3762" i="5"/>
  <c r="F3762" i="5"/>
  <c r="N3761" i="5"/>
  <c r="M3761" i="5"/>
  <c r="L3761" i="5"/>
  <c r="K3761" i="5"/>
  <c r="J3761" i="5"/>
  <c r="I3761" i="5"/>
  <c r="H3761" i="5"/>
  <c r="F3761" i="5"/>
  <c r="X3803" i="5" l="1"/>
  <c r="X3995" i="5"/>
  <c r="X3755" i="5"/>
  <c r="O3995" i="5"/>
  <c r="P3995" i="5" s="1"/>
  <c r="G3995" i="5"/>
  <c r="U3995" i="5" s="1"/>
  <c r="O3851" i="5"/>
  <c r="P3851" i="5" s="1"/>
  <c r="G3851" i="5"/>
  <c r="U3851" i="5" s="1"/>
  <c r="O3755" i="5"/>
  <c r="P3755" i="5" s="1"/>
  <c r="G3755" i="5"/>
  <c r="U3755" i="5" s="1"/>
  <c r="G3947" i="5"/>
  <c r="U3947" i="5" s="1"/>
  <c r="O3947" i="5"/>
  <c r="P3947" i="5" s="1"/>
  <c r="O3803" i="5"/>
  <c r="P3803" i="5" s="1"/>
  <c r="G3803" i="5"/>
  <c r="U3803" i="5" s="1"/>
  <c r="W3995" i="5"/>
  <c r="W3947" i="5"/>
  <c r="F4027" i="5"/>
  <c r="F3979" i="5"/>
  <c r="M3806" i="5"/>
  <c r="N3806" i="5" s="1"/>
  <c r="H3806" i="5"/>
  <c r="I3806" i="5" s="1"/>
  <c r="J3806" i="5"/>
  <c r="K3806" i="5" s="1"/>
  <c r="M3758" i="5"/>
  <c r="N3758" i="5" s="1"/>
  <c r="J3758" i="5"/>
  <c r="K3758" i="5" s="1"/>
  <c r="H3758" i="5"/>
  <c r="I3758" i="5" s="1"/>
  <c r="J3854" i="5"/>
  <c r="K3854" i="5" s="1"/>
  <c r="M3854" i="5"/>
  <c r="N3854" i="5" s="1"/>
  <c r="H3854" i="5"/>
  <c r="I3854" i="5" s="1"/>
  <c r="F3787" i="5"/>
  <c r="N3951" i="5"/>
  <c r="N3998" i="5"/>
  <c r="N4000" i="5"/>
  <c r="H3998" i="5"/>
  <c r="I3998" i="5" s="1"/>
  <c r="M3952" i="5"/>
  <c r="N3952" i="5" s="1"/>
  <c r="J3952" i="5"/>
  <c r="K3952" i="5" s="1"/>
  <c r="M3949" i="5"/>
  <c r="N3949" i="5" s="1"/>
  <c r="H4000" i="5"/>
  <c r="I4000" i="5" s="1"/>
  <c r="J4000" i="5"/>
  <c r="K4000" i="5" s="1"/>
  <c r="K4031" i="5"/>
  <c r="I3997" i="5"/>
  <c r="N4032" i="5"/>
  <c r="I3952" i="5"/>
  <c r="J3999" i="5"/>
  <c r="K3999" i="5" s="1"/>
  <c r="M3999" i="5"/>
  <c r="N3999" i="5" s="1"/>
  <c r="H3999" i="5"/>
  <c r="I3999" i="5" s="1"/>
  <c r="J3998" i="5"/>
  <c r="K3998" i="5" s="1"/>
  <c r="J3997" i="5"/>
  <c r="K3997" i="5" s="1"/>
  <c r="M3997" i="5"/>
  <c r="N3997" i="5" s="1"/>
  <c r="J4032" i="5"/>
  <c r="K4032" i="5" s="1"/>
  <c r="M4031" i="5"/>
  <c r="N4031" i="5" s="1"/>
  <c r="N3984" i="5"/>
  <c r="N3983" i="5"/>
  <c r="H3951" i="5"/>
  <c r="I3951" i="5" s="1"/>
  <c r="J3951" i="5"/>
  <c r="K3951" i="5" s="1"/>
  <c r="F3805" i="5"/>
  <c r="F3835" i="5"/>
  <c r="F4013" i="5"/>
  <c r="N3839" i="5"/>
  <c r="I3949" i="5"/>
  <c r="K3950" i="5"/>
  <c r="M3950" i="5"/>
  <c r="N3950" i="5" s="1"/>
  <c r="J3983" i="5"/>
  <c r="K3983" i="5" s="1"/>
  <c r="J3949" i="5"/>
  <c r="K3949" i="5" s="1"/>
  <c r="F3965" i="5"/>
  <c r="H3950" i="5"/>
  <c r="I3950" i="5" s="1"/>
  <c r="J3984" i="5"/>
  <c r="K3984" i="5" s="1"/>
  <c r="M3855" i="5"/>
  <c r="N3855" i="5" s="1"/>
  <c r="I3757" i="5"/>
  <c r="H3805" i="5"/>
  <c r="I3805" i="5" s="1"/>
  <c r="H3807" i="5"/>
  <c r="I3807" i="5" s="1"/>
  <c r="J3807" i="5"/>
  <c r="K3807" i="5" s="1"/>
  <c r="M3853" i="5"/>
  <c r="N3853" i="5" s="1"/>
  <c r="H3808" i="5"/>
  <c r="I3808" i="5" s="1"/>
  <c r="J3840" i="5"/>
  <c r="K3840" i="5" s="1"/>
  <c r="F3757" i="5"/>
  <c r="J3791" i="5"/>
  <c r="K3791" i="5" s="1"/>
  <c r="N3808" i="5"/>
  <c r="N3856" i="5"/>
  <c r="N3805" i="5"/>
  <c r="N3807" i="5"/>
  <c r="N3887" i="5"/>
  <c r="N3888" i="5"/>
  <c r="F3853" i="5"/>
  <c r="H3856" i="5"/>
  <c r="I3856" i="5" s="1"/>
  <c r="J3856" i="5"/>
  <c r="K3856" i="5" s="1"/>
  <c r="K3855" i="5"/>
  <c r="H3855" i="5"/>
  <c r="I3855" i="5" s="1"/>
  <c r="K3853" i="5"/>
  <c r="H3853" i="5"/>
  <c r="I3853" i="5" s="1"/>
  <c r="J3888" i="5"/>
  <c r="K3888" i="5" s="1"/>
  <c r="J3887" i="5"/>
  <c r="K3887" i="5" s="1"/>
  <c r="M3840" i="5"/>
  <c r="N3840" i="5" s="1"/>
  <c r="J3839" i="5"/>
  <c r="K3839" i="5" s="1"/>
  <c r="J3808" i="5"/>
  <c r="K3808" i="5" s="1"/>
  <c r="J3805" i="5"/>
  <c r="K3805" i="5" s="1"/>
  <c r="J3759" i="5"/>
  <c r="K3759" i="5" s="1"/>
  <c r="M3759" i="5"/>
  <c r="N3759" i="5" s="1"/>
  <c r="F3883" i="5"/>
  <c r="N3791" i="5"/>
  <c r="J3757" i="5"/>
  <c r="K3757" i="5" s="1"/>
  <c r="I3759" i="5"/>
  <c r="M3760" i="5"/>
  <c r="N3760" i="5" s="1"/>
  <c r="M3792" i="5"/>
  <c r="N3792" i="5" s="1"/>
  <c r="M3757" i="5"/>
  <c r="N3757" i="5" s="1"/>
  <c r="H3760" i="5"/>
  <c r="I3760" i="5" s="1"/>
  <c r="J3760" i="5"/>
  <c r="K3760" i="5" s="1"/>
  <c r="J3792" i="5"/>
  <c r="K3792" i="5" s="1"/>
  <c r="L3806" i="5" l="1"/>
  <c r="L3984" i="5"/>
  <c r="W3755" i="5"/>
  <c r="F3869" i="5"/>
  <c r="W3851" i="5"/>
  <c r="F3821" i="5"/>
  <c r="W3803" i="5"/>
  <c r="L3792" i="5"/>
  <c r="L3758" i="5"/>
  <c r="L3855" i="5"/>
  <c r="L3854" i="5"/>
  <c r="L3950" i="5"/>
  <c r="L3951" i="5"/>
  <c r="L3983" i="5"/>
  <c r="L3949" i="5"/>
  <c r="L3952" i="5"/>
  <c r="L4031" i="5"/>
  <c r="L3999" i="5"/>
  <c r="L4000" i="5"/>
  <c r="L3998" i="5"/>
  <c r="L4032" i="5"/>
  <c r="L3997" i="5"/>
  <c r="F3773" i="5"/>
  <c r="L3791" i="5"/>
  <c r="L3757" i="5"/>
  <c r="L3760" i="5"/>
  <c r="L3888" i="5"/>
  <c r="L3759" i="5"/>
  <c r="L3853" i="5"/>
  <c r="L3887" i="5"/>
  <c r="L3856" i="5"/>
  <c r="L3839" i="5"/>
  <c r="L3808" i="5"/>
  <c r="L3805" i="5"/>
  <c r="L3840" i="5"/>
  <c r="L3807" i="5"/>
  <c r="T3947" i="5" l="1"/>
  <c r="V3947" i="5" s="1"/>
  <c r="T3851" i="5"/>
  <c r="V3851" i="5" s="1"/>
  <c r="T3755" i="5"/>
  <c r="V3755" i="5" s="1"/>
  <c r="T3995" i="5"/>
  <c r="V3995" i="5" s="1"/>
  <c r="T3803" i="5"/>
  <c r="V3803" i="5" s="1"/>
  <c r="C1169" i="5" l="1"/>
  <c r="C1199" i="5"/>
  <c r="C1168" i="5"/>
  <c r="C1167" i="5"/>
  <c r="C1166" i="5"/>
  <c r="C4608" i="5" l="1"/>
  <c r="C4607" i="5"/>
  <c r="C4560" i="5"/>
  <c r="C4559" i="5"/>
  <c r="C4478" i="5"/>
  <c r="E4478" i="5"/>
  <c r="D4478" i="5"/>
  <c r="B4478" i="5"/>
  <c r="E4477" i="5"/>
  <c r="D4477" i="5"/>
  <c r="B4477" i="5"/>
  <c r="D4512" i="5"/>
  <c r="B4512" i="5"/>
  <c r="D4511" i="5"/>
  <c r="B4511" i="5"/>
  <c r="F5391" i="5"/>
  <c r="M5391" i="5"/>
  <c r="F5390" i="5"/>
  <c r="J5390" i="5"/>
  <c r="E5389" i="5"/>
  <c r="F5389" i="5" s="1"/>
  <c r="D5389" i="5"/>
  <c r="B5389" i="5"/>
  <c r="M5389" i="5"/>
  <c r="D5424" i="5"/>
  <c r="B5424" i="5"/>
  <c r="D5423" i="5"/>
  <c r="B5423" i="5"/>
  <c r="J5423" i="5"/>
  <c r="E5387" i="5"/>
  <c r="B5387" i="5"/>
  <c r="A5387" i="5"/>
  <c r="N5429" i="5"/>
  <c r="M5429" i="5"/>
  <c r="L5429" i="5"/>
  <c r="K5429" i="5"/>
  <c r="J5429" i="5"/>
  <c r="I5429" i="5"/>
  <c r="H5429" i="5"/>
  <c r="F5429" i="5"/>
  <c r="N5428" i="5"/>
  <c r="M5428" i="5"/>
  <c r="L5428" i="5"/>
  <c r="K5428" i="5"/>
  <c r="J5428" i="5"/>
  <c r="I5428" i="5"/>
  <c r="H5428" i="5"/>
  <c r="F5428" i="5"/>
  <c r="N5427" i="5"/>
  <c r="M5427" i="5"/>
  <c r="L5427" i="5"/>
  <c r="K5427" i="5"/>
  <c r="J5427" i="5"/>
  <c r="I5427" i="5"/>
  <c r="H5427" i="5"/>
  <c r="F5427" i="5"/>
  <c r="N5426" i="5"/>
  <c r="M5426" i="5"/>
  <c r="L5426" i="5"/>
  <c r="K5426" i="5"/>
  <c r="J5426" i="5"/>
  <c r="I5426" i="5"/>
  <c r="H5426" i="5"/>
  <c r="F5426" i="5"/>
  <c r="N5425" i="5"/>
  <c r="M5425" i="5"/>
  <c r="L5425" i="5"/>
  <c r="K5425" i="5"/>
  <c r="J5425" i="5"/>
  <c r="I5425" i="5"/>
  <c r="H5425" i="5"/>
  <c r="F5425" i="5"/>
  <c r="N5418" i="5"/>
  <c r="M5418" i="5"/>
  <c r="L5418" i="5"/>
  <c r="K5418" i="5"/>
  <c r="J5418" i="5"/>
  <c r="I5418" i="5"/>
  <c r="H5418" i="5"/>
  <c r="F5418" i="5"/>
  <c r="N5417" i="5"/>
  <c r="M5417" i="5"/>
  <c r="L5417" i="5"/>
  <c r="K5417" i="5"/>
  <c r="J5417" i="5"/>
  <c r="I5417" i="5"/>
  <c r="H5417" i="5"/>
  <c r="F5417" i="5"/>
  <c r="N5416" i="5"/>
  <c r="M5416" i="5"/>
  <c r="L5416" i="5"/>
  <c r="K5416" i="5"/>
  <c r="J5416" i="5"/>
  <c r="I5416" i="5"/>
  <c r="H5416" i="5"/>
  <c r="F5416" i="5"/>
  <c r="N5415" i="5"/>
  <c r="M5415" i="5"/>
  <c r="L5415" i="5"/>
  <c r="K5415" i="5"/>
  <c r="J5415" i="5"/>
  <c r="I5415" i="5"/>
  <c r="H5415" i="5"/>
  <c r="F5415" i="5"/>
  <c r="N5414" i="5"/>
  <c r="M5414" i="5"/>
  <c r="L5414" i="5"/>
  <c r="K5414" i="5"/>
  <c r="J5414" i="5"/>
  <c r="I5414" i="5"/>
  <c r="H5414" i="5"/>
  <c r="F5414" i="5"/>
  <c r="N5413" i="5"/>
  <c r="M5413" i="5"/>
  <c r="L5413" i="5"/>
  <c r="K5413" i="5"/>
  <c r="J5413" i="5"/>
  <c r="I5413" i="5"/>
  <c r="H5413" i="5"/>
  <c r="F5413" i="5"/>
  <c r="N5412" i="5"/>
  <c r="M5412" i="5"/>
  <c r="L5412" i="5"/>
  <c r="K5412" i="5"/>
  <c r="J5412" i="5"/>
  <c r="I5412" i="5"/>
  <c r="H5412" i="5"/>
  <c r="F5412" i="5"/>
  <c r="N5411" i="5"/>
  <c r="M5411" i="5"/>
  <c r="L5411" i="5"/>
  <c r="K5411" i="5"/>
  <c r="J5411" i="5"/>
  <c r="I5411" i="5"/>
  <c r="H5411" i="5"/>
  <c r="F5411" i="5"/>
  <c r="N5410" i="5"/>
  <c r="M5410" i="5"/>
  <c r="L5410" i="5"/>
  <c r="K5410" i="5"/>
  <c r="J5410" i="5"/>
  <c r="I5410" i="5"/>
  <c r="H5410" i="5"/>
  <c r="F5410" i="5"/>
  <c r="N5409" i="5"/>
  <c r="M5409" i="5"/>
  <c r="L5409" i="5"/>
  <c r="K5409" i="5"/>
  <c r="J5409" i="5"/>
  <c r="I5409" i="5"/>
  <c r="H5409" i="5"/>
  <c r="F5409" i="5"/>
  <c r="X5387" i="5" s="1"/>
  <c r="N5404" i="5"/>
  <c r="M5404" i="5"/>
  <c r="L5404" i="5"/>
  <c r="K5404" i="5"/>
  <c r="J5404" i="5"/>
  <c r="I5404" i="5"/>
  <c r="H5404" i="5"/>
  <c r="F5404" i="5"/>
  <c r="N5403" i="5"/>
  <c r="M5403" i="5"/>
  <c r="L5403" i="5"/>
  <c r="K5403" i="5"/>
  <c r="J5403" i="5"/>
  <c r="I5403" i="5"/>
  <c r="H5403" i="5"/>
  <c r="F5403" i="5"/>
  <c r="N5402" i="5"/>
  <c r="M5402" i="5"/>
  <c r="L5402" i="5"/>
  <c r="K5402" i="5"/>
  <c r="J5402" i="5"/>
  <c r="I5402" i="5"/>
  <c r="H5402" i="5"/>
  <c r="F5402" i="5"/>
  <c r="N5401" i="5"/>
  <c r="M5401" i="5"/>
  <c r="L5401" i="5"/>
  <c r="K5401" i="5"/>
  <c r="J5401" i="5"/>
  <c r="I5401" i="5"/>
  <c r="H5401" i="5"/>
  <c r="F5401" i="5"/>
  <c r="N5400" i="5"/>
  <c r="M5400" i="5"/>
  <c r="L5400" i="5"/>
  <c r="K5400" i="5"/>
  <c r="J5400" i="5"/>
  <c r="I5400" i="5"/>
  <c r="H5400" i="5"/>
  <c r="F5400" i="5"/>
  <c r="N5399" i="5"/>
  <c r="M5399" i="5"/>
  <c r="L5399" i="5"/>
  <c r="K5399" i="5"/>
  <c r="J5399" i="5"/>
  <c r="I5399" i="5"/>
  <c r="H5399" i="5"/>
  <c r="F5399" i="5"/>
  <c r="N5398" i="5"/>
  <c r="M5398" i="5"/>
  <c r="L5398" i="5"/>
  <c r="K5398" i="5"/>
  <c r="J5398" i="5"/>
  <c r="I5398" i="5"/>
  <c r="H5398" i="5"/>
  <c r="F5398" i="5"/>
  <c r="M5397" i="5"/>
  <c r="L5397" i="5"/>
  <c r="K5397" i="5"/>
  <c r="J5397" i="5"/>
  <c r="I5397" i="5"/>
  <c r="H5397" i="5"/>
  <c r="F5397" i="5"/>
  <c r="B5397" i="5"/>
  <c r="N5397" i="5" s="1"/>
  <c r="N5396" i="5"/>
  <c r="M5396" i="5"/>
  <c r="L5396" i="5"/>
  <c r="K5396" i="5"/>
  <c r="J5396" i="5"/>
  <c r="I5396" i="5"/>
  <c r="H5396" i="5"/>
  <c r="F5396" i="5"/>
  <c r="N5395" i="5"/>
  <c r="M5395" i="5"/>
  <c r="L5395" i="5"/>
  <c r="K5395" i="5"/>
  <c r="J5395" i="5"/>
  <c r="I5395" i="5"/>
  <c r="H5395" i="5"/>
  <c r="F5395" i="5"/>
  <c r="N5394" i="5"/>
  <c r="M5394" i="5"/>
  <c r="L5394" i="5"/>
  <c r="K5394" i="5"/>
  <c r="J5394" i="5"/>
  <c r="I5394" i="5"/>
  <c r="H5394" i="5"/>
  <c r="F5394" i="5"/>
  <c r="N5393" i="5"/>
  <c r="M5393" i="5"/>
  <c r="L5393" i="5"/>
  <c r="K5393" i="5"/>
  <c r="J5393" i="5"/>
  <c r="I5393" i="5"/>
  <c r="H5393" i="5"/>
  <c r="F5393" i="5"/>
  <c r="N5392" i="5"/>
  <c r="M5392" i="5"/>
  <c r="L5392" i="5"/>
  <c r="K5392" i="5"/>
  <c r="J5392" i="5"/>
  <c r="I5392" i="5"/>
  <c r="H5392" i="5"/>
  <c r="F5392" i="5"/>
  <c r="E1595" i="5"/>
  <c r="B1595" i="5"/>
  <c r="A1595" i="5"/>
  <c r="N1637" i="5"/>
  <c r="M1637" i="5"/>
  <c r="L1637" i="5"/>
  <c r="K1637" i="5"/>
  <c r="J1637" i="5"/>
  <c r="I1637" i="5"/>
  <c r="H1637" i="5"/>
  <c r="F1637" i="5"/>
  <c r="N1636" i="5"/>
  <c r="M1636" i="5"/>
  <c r="L1636" i="5"/>
  <c r="K1636" i="5"/>
  <c r="J1636" i="5"/>
  <c r="I1636" i="5"/>
  <c r="H1636" i="5"/>
  <c r="F1636" i="5"/>
  <c r="N1635" i="5"/>
  <c r="M1635" i="5"/>
  <c r="L1635" i="5"/>
  <c r="K1635" i="5"/>
  <c r="J1635" i="5"/>
  <c r="I1635" i="5"/>
  <c r="H1635" i="5"/>
  <c r="F1635" i="5"/>
  <c r="M1633" i="5"/>
  <c r="N1633" i="5" s="1"/>
  <c r="J1633" i="5"/>
  <c r="K1633" i="5" s="1"/>
  <c r="M1632" i="5"/>
  <c r="N1632" i="5" s="1"/>
  <c r="J1632" i="5"/>
  <c r="K1632" i="5" s="1"/>
  <c r="J1631" i="5"/>
  <c r="M1631" i="5"/>
  <c r="N1631" i="5" s="1"/>
  <c r="N1626" i="5"/>
  <c r="M1626" i="5"/>
  <c r="L1626" i="5"/>
  <c r="K1626" i="5"/>
  <c r="J1626" i="5"/>
  <c r="I1626" i="5"/>
  <c r="H1626" i="5"/>
  <c r="F1626" i="5"/>
  <c r="N1625" i="5"/>
  <c r="M1625" i="5"/>
  <c r="L1625" i="5"/>
  <c r="K1625" i="5"/>
  <c r="J1625" i="5"/>
  <c r="I1625" i="5"/>
  <c r="H1625" i="5"/>
  <c r="F1625" i="5"/>
  <c r="N1624" i="5"/>
  <c r="M1624" i="5"/>
  <c r="L1624" i="5"/>
  <c r="K1624" i="5"/>
  <c r="J1624" i="5"/>
  <c r="I1624" i="5"/>
  <c r="H1624" i="5"/>
  <c r="F1624" i="5"/>
  <c r="N1623" i="5"/>
  <c r="M1623" i="5"/>
  <c r="L1623" i="5"/>
  <c r="K1623" i="5"/>
  <c r="J1623" i="5"/>
  <c r="I1623" i="5"/>
  <c r="H1623" i="5"/>
  <c r="F1623" i="5"/>
  <c r="N1622" i="5"/>
  <c r="M1622" i="5"/>
  <c r="L1622" i="5"/>
  <c r="K1622" i="5"/>
  <c r="J1622" i="5"/>
  <c r="I1622" i="5"/>
  <c r="H1622" i="5"/>
  <c r="F1622" i="5"/>
  <c r="N1621" i="5"/>
  <c r="M1621" i="5"/>
  <c r="L1621" i="5"/>
  <c r="K1621" i="5"/>
  <c r="J1621" i="5"/>
  <c r="I1621" i="5"/>
  <c r="H1621" i="5"/>
  <c r="F1621" i="5"/>
  <c r="N1620" i="5"/>
  <c r="M1620" i="5"/>
  <c r="L1620" i="5"/>
  <c r="K1620" i="5"/>
  <c r="J1620" i="5"/>
  <c r="I1620" i="5"/>
  <c r="H1620" i="5"/>
  <c r="F1620" i="5"/>
  <c r="N1619" i="5"/>
  <c r="M1619" i="5"/>
  <c r="L1619" i="5"/>
  <c r="K1619" i="5"/>
  <c r="J1619" i="5"/>
  <c r="I1619" i="5"/>
  <c r="H1619" i="5"/>
  <c r="F1619" i="5"/>
  <c r="N1618" i="5"/>
  <c r="M1618" i="5"/>
  <c r="L1618" i="5"/>
  <c r="K1618" i="5"/>
  <c r="J1618" i="5"/>
  <c r="I1618" i="5"/>
  <c r="H1618" i="5"/>
  <c r="F1618" i="5"/>
  <c r="M1617" i="5"/>
  <c r="N1617" i="5" s="1"/>
  <c r="J1617" i="5"/>
  <c r="K1617" i="5" s="1"/>
  <c r="H1617" i="5"/>
  <c r="I1617" i="5" s="1"/>
  <c r="F1617" i="5"/>
  <c r="N1612" i="5"/>
  <c r="M1612" i="5"/>
  <c r="L1612" i="5"/>
  <c r="K1612" i="5"/>
  <c r="J1612" i="5"/>
  <c r="I1612" i="5"/>
  <c r="H1612" i="5"/>
  <c r="F1612" i="5"/>
  <c r="N1611" i="5"/>
  <c r="M1611" i="5"/>
  <c r="L1611" i="5"/>
  <c r="K1611" i="5"/>
  <c r="J1611" i="5"/>
  <c r="I1611" i="5"/>
  <c r="H1611" i="5"/>
  <c r="F1611" i="5"/>
  <c r="N1610" i="5"/>
  <c r="M1610" i="5"/>
  <c r="L1610" i="5"/>
  <c r="K1610" i="5"/>
  <c r="J1610" i="5"/>
  <c r="I1610" i="5"/>
  <c r="H1610" i="5"/>
  <c r="F1610" i="5"/>
  <c r="N1609" i="5"/>
  <c r="M1609" i="5"/>
  <c r="L1609" i="5"/>
  <c r="K1609" i="5"/>
  <c r="J1609" i="5"/>
  <c r="I1609" i="5"/>
  <c r="H1609" i="5"/>
  <c r="F1609" i="5"/>
  <c r="N1608" i="5"/>
  <c r="M1608" i="5"/>
  <c r="L1608" i="5"/>
  <c r="K1608" i="5"/>
  <c r="J1608" i="5"/>
  <c r="I1608" i="5"/>
  <c r="H1608" i="5"/>
  <c r="F1608" i="5"/>
  <c r="N1607" i="5"/>
  <c r="M1607" i="5"/>
  <c r="L1607" i="5"/>
  <c r="K1607" i="5"/>
  <c r="J1607" i="5"/>
  <c r="I1607" i="5"/>
  <c r="H1607" i="5"/>
  <c r="F1607" i="5"/>
  <c r="N1606" i="5"/>
  <c r="M1606" i="5"/>
  <c r="L1606" i="5"/>
  <c r="K1606" i="5"/>
  <c r="J1606" i="5"/>
  <c r="I1606" i="5"/>
  <c r="H1606" i="5"/>
  <c r="F1606" i="5"/>
  <c r="N1605" i="5"/>
  <c r="M1605" i="5"/>
  <c r="L1605" i="5"/>
  <c r="K1605" i="5"/>
  <c r="J1605" i="5"/>
  <c r="I1605" i="5"/>
  <c r="H1605" i="5"/>
  <c r="F1605" i="5"/>
  <c r="N1604" i="5"/>
  <c r="M1604" i="5"/>
  <c r="L1604" i="5"/>
  <c r="K1604" i="5"/>
  <c r="J1604" i="5"/>
  <c r="I1604" i="5"/>
  <c r="H1604" i="5"/>
  <c r="F1604" i="5"/>
  <c r="N1603" i="5"/>
  <c r="M1603" i="5"/>
  <c r="L1603" i="5"/>
  <c r="K1603" i="5"/>
  <c r="J1603" i="5"/>
  <c r="I1603" i="5"/>
  <c r="H1603" i="5"/>
  <c r="F1603" i="5"/>
  <c r="N1602" i="5"/>
  <c r="M1602" i="5"/>
  <c r="L1602" i="5"/>
  <c r="K1602" i="5"/>
  <c r="J1602" i="5"/>
  <c r="I1602" i="5"/>
  <c r="H1602" i="5"/>
  <c r="F1602" i="5"/>
  <c r="F1601" i="5"/>
  <c r="J1601" i="5"/>
  <c r="J1600" i="5"/>
  <c r="F1600" i="5"/>
  <c r="M1600" i="5"/>
  <c r="F1599" i="5"/>
  <c r="J1599" i="5"/>
  <c r="J1598" i="5"/>
  <c r="F1598" i="5"/>
  <c r="M1598" i="5"/>
  <c r="F1597" i="5"/>
  <c r="J1597" i="5"/>
  <c r="E1163" i="5"/>
  <c r="B1163" i="5"/>
  <c r="N1205" i="5"/>
  <c r="M1205" i="5"/>
  <c r="L1205" i="5"/>
  <c r="K1205" i="5"/>
  <c r="J1205" i="5"/>
  <c r="I1205" i="5"/>
  <c r="H1205" i="5"/>
  <c r="F1205" i="5"/>
  <c r="N1204" i="5"/>
  <c r="M1204" i="5"/>
  <c r="L1204" i="5"/>
  <c r="K1204" i="5"/>
  <c r="J1204" i="5"/>
  <c r="I1204" i="5"/>
  <c r="H1204" i="5"/>
  <c r="F1204" i="5"/>
  <c r="N1203" i="5"/>
  <c r="M1203" i="5"/>
  <c r="L1203" i="5"/>
  <c r="K1203" i="5"/>
  <c r="J1203" i="5"/>
  <c r="I1203" i="5"/>
  <c r="H1203" i="5"/>
  <c r="F1203" i="5"/>
  <c r="N1202" i="5"/>
  <c r="M1202" i="5"/>
  <c r="L1202" i="5"/>
  <c r="K1202" i="5"/>
  <c r="J1202" i="5"/>
  <c r="I1202" i="5"/>
  <c r="H1202" i="5"/>
  <c r="F1202" i="5"/>
  <c r="N1201" i="5"/>
  <c r="M1201" i="5"/>
  <c r="L1201" i="5"/>
  <c r="K1201" i="5"/>
  <c r="J1201" i="5"/>
  <c r="I1201" i="5"/>
  <c r="H1201" i="5"/>
  <c r="F1201" i="5"/>
  <c r="F1200" i="5"/>
  <c r="M1199" i="5"/>
  <c r="N1199" i="5" s="1"/>
  <c r="N1194" i="5"/>
  <c r="M1194" i="5"/>
  <c r="L1194" i="5"/>
  <c r="K1194" i="5"/>
  <c r="J1194" i="5"/>
  <c r="I1194" i="5"/>
  <c r="H1194" i="5"/>
  <c r="F1194" i="5"/>
  <c r="N1193" i="5"/>
  <c r="M1193" i="5"/>
  <c r="L1193" i="5"/>
  <c r="K1193" i="5"/>
  <c r="J1193" i="5"/>
  <c r="I1193" i="5"/>
  <c r="H1193" i="5"/>
  <c r="F1193" i="5"/>
  <c r="N1192" i="5"/>
  <c r="M1192" i="5"/>
  <c r="L1192" i="5"/>
  <c r="K1192" i="5"/>
  <c r="J1192" i="5"/>
  <c r="I1192" i="5"/>
  <c r="H1192" i="5"/>
  <c r="F1192" i="5"/>
  <c r="N1191" i="5"/>
  <c r="M1191" i="5"/>
  <c r="L1191" i="5"/>
  <c r="K1191" i="5"/>
  <c r="J1191" i="5"/>
  <c r="I1191" i="5"/>
  <c r="H1191" i="5"/>
  <c r="F1191" i="5"/>
  <c r="N1190" i="5"/>
  <c r="M1190" i="5"/>
  <c r="L1190" i="5"/>
  <c r="K1190" i="5"/>
  <c r="J1190" i="5"/>
  <c r="I1190" i="5"/>
  <c r="H1190" i="5"/>
  <c r="F1190" i="5"/>
  <c r="N1189" i="5"/>
  <c r="M1189" i="5"/>
  <c r="L1189" i="5"/>
  <c r="K1189" i="5"/>
  <c r="J1189" i="5"/>
  <c r="I1189" i="5"/>
  <c r="H1189" i="5"/>
  <c r="F1189" i="5"/>
  <c r="N1188" i="5"/>
  <c r="M1188" i="5"/>
  <c r="L1188" i="5"/>
  <c r="K1188" i="5"/>
  <c r="J1188" i="5"/>
  <c r="I1188" i="5"/>
  <c r="H1188" i="5"/>
  <c r="F1188" i="5"/>
  <c r="N1187" i="5"/>
  <c r="M1187" i="5"/>
  <c r="L1187" i="5"/>
  <c r="K1187" i="5"/>
  <c r="J1187" i="5"/>
  <c r="I1187" i="5"/>
  <c r="H1187" i="5"/>
  <c r="F1187" i="5"/>
  <c r="N1186" i="5"/>
  <c r="M1186" i="5"/>
  <c r="L1186" i="5"/>
  <c r="K1186" i="5"/>
  <c r="J1186" i="5"/>
  <c r="I1186" i="5"/>
  <c r="H1186" i="5"/>
  <c r="F1186" i="5"/>
  <c r="N1185" i="5"/>
  <c r="M1185" i="5"/>
  <c r="L1185" i="5"/>
  <c r="K1185" i="5"/>
  <c r="J1185" i="5"/>
  <c r="I1185" i="5"/>
  <c r="H1185" i="5"/>
  <c r="F1185" i="5"/>
  <c r="X1163" i="5" s="1"/>
  <c r="N1180" i="5"/>
  <c r="M1180" i="5"/>
  <c r="L1180" i="5"/>
  <c r="K1180" i="5"/>
  <c r="J1180" i="5"/>
  <c r="I1180" i="5"/>
  <c r="H1180" i="5"/>
  <c r="F1180" i="5"/>
  <c r="N1179" i="5"/>
  <c r="M1179" i="5"/>
  <c r="L1179" i="5"/>
  <c r="K1179" i="5"/>
  <c r="J1179" i="5"/>
  <c r="I1179" i="5"/>
  <c r="H1179" i="5"/>
  <c r="F1179" i="5"/>
  <c r="N1178" i="5"/>
  <c r="M1178" i="5"/>
  <c r="L1178" i="5"/>
  <c r="K1178" i="5"/>
  <c r="J1178" i="5"/>
  <c r="I1178" i="5"/>
  <c r="H1178" i="5"/>
  <c r="F1178" i="5"/>
  <c r="N1177" i="5"/>
  <c r="M1177" i="5"/>
  <c r="L1177" i="5"/>
  <c r="K1177" i="5"/>
  <c r="J1177" i="5"/>
  <c r="I1177" i="5"/>
  <c r="H1177" i="5"/>
  <c r="F1177" i="5"/>
  <c r="N1176" i="5"/>
  <c r="M1176" i="5"/>
  <c r="L1176" i="5"/>
  <c r="K1176" i="5"/>
  <c r="J1176" i="5"/>
  <c r="I1176" i="5"/>
  <c r="H1176" i="5"/>
  <c r="F1176" i="5"/>
  <c r="N1175" i="5"/>
  <c r="M1175" i="5"/>
  <c r="L1175" i="5"/>
  <c r="K1175" i="5"/>
  <c r="J1175" i="5"/>
  <c r="I1175" i="5"/>
  <c r="H1175" i="5"/>
  <c r="F1175" i="5"/>
  <c r="N1174" i="5"/>
  <c r="M1174" i="5"/>
  <c r="L1174" i="5"/>
  <c r="K1174" i="5"/>
  <c r="J1174" i="5"/>
  <c r="I1174" i="5"/>
  <c r="H1174" i="5"/>
  <c r="F1174" i="5"/>
  <c r="N1173" i="5"/>
  <c r="M1173" i="5"/>
  <c r="L1173" i="5"/>
  <c r="K1173" i="5"/>
  <c r="J1173" i="5"/>
  <c r="I1173" i="5"/>
  <c r="H1173" i="5"/>
  <c r="F1173" i="5"/>
  <c r="N1172" i="5"/>
  <c r="M1172" i="5"/>
  <c r="L1172" i="5"/>
  <c r="K1172" i="5"/>
  <c r="J1172" i="5"/>
  <c r="I1172" i="5"/>
  <c r="H1172" i="5"/>
  <c r="F1172" i="5"/>
  <c r="N1171" i="5"/>
  <c r="M1171" i="5"/>
  <c r="L1171" i="5"/>
  <c r="K1171" i="5"/>
  <c r="J1171" i="5"/>
  <c r="I1171" i="5"/>
  <c r="H1171" i="5"/>
  <c r="F1171" i="5"/>
  <c r="N1170" i="5"/>
  <c r="M1170" i="5"/>
  <c r="L1170" i="5"/>
  <c r="K1170" i="5"/>
  <c r="J1170" i="5"/>
  <c r="I1170" i="5"/>
  <c r="H1170" i="5"/>
  <c r="F1170" i="5"/>
  <c r="M1169" i="5"/>
  <c r="N1169" i="5" s="1"/>
  <c r="J1169" i="5"/>
  <c r="K1169" i="5" s="1"/>
  <c r="H1169" i="5"/>
  <c r="I1169" i="5" s="1"/>
  <c r="F1169" i="5"/>
  <c r="F1168" i="5"/>
  <c r="J1168" i="5"/>
  <c r="F1167" i="5"/>
  <c r="M1167" i="5"/>
  <c r="F1166" i="5"/>
  <c r="J1166" i="5"/>
  <c r="F1165" i="5"/>
  <c r="M1165" i="5"/>
  <c r="E1067" i="5"/>
  <c r="B1067" i="5"/>
  <c r="N1109" i="5"/>
  <c r="M1109" i="5"/>
  <c r="L1109" i="5"/>
  <c r="K1109" i="5"/>
  <c r="J1109" i="5"/>
  <c r="I1109" i="5"/>
  <c r="H1109" i="5"/>
  <c r="F1109" i="5"/>
  <c r="M1108" i="5"/>
  <c r="N1108" i="5" s="1"/>
  <c r="J1108" i="5"/>
  <c r="K1108" i="5" s="1"/>
  <c r="H1108" i="5"/>
  <c r="I1108" i="5" s="1"/>
  <c r="F1108" i="5"/>
  <c r="M1107" i="5"/>
  <c r="N1107" i="5" s="1"/>
  <c r="J1107" i="5"/>
  <c r="K1107" i="5" s="1"/>
  <c r="H1107" i="5"/>
  <c r="I1107" i="5" s="1"/>
  <c r="F1107" i="5"/>
  <c r="M1106" i="5"/>
  <c r="N1106" i="5" s="1"/>
  <c r="J1106" i="5"/>
  <c r="K1106" i="5" s="1"/>
  <c r="H1106" i="5"/>
  <c r="I1106" i="5" s="1"/>
  <c r="F1106" i="5"/>
  <c r="M1105" i="5"/>
  <c r="N1105" i="5" s="1"/>
  <c r="J1105" i="5"/>
  <c r="K1105" i="5" s="1"/>
  <c r="H1105" i="5"/>
  <c r="I1105" i="5" s="1"/>
  <c r="F1105" i="5"/>
  <c r="M1104" i="5"/>
  <c r="N1104" i="5" s="1"/>
  <c r="J1104" i="5"/>
  <c r="K1104" i="5" s="1"/>
  <c r="M1103" i="5"/>
  <c r="N1103" i="5" s="1"/>
  <c r="J1103" i="5"/>
  <c r="K1103" i="5" s="1"/>
  <c r="N1098" i="5"/>
  <c r="M1098" i="5"/>
  <c r="L1098" i="5"/>
  <c r="K1098" i="5"/>
  <c r="J1098" i="5"/>
  <c r="I1098" i="5"/>
  <c r="H1098" i="5"/>
  <c r="F1098" i="5"/>
  <c r="N1097" i="5"/>
  <c r="M1097" i="5"/>
  <c r="L1097" i="5"/>
  <c r="K1097" i="5"/>
  <c r="J1097" i="5"/>
  <c r="I1097" i="5"/>
  <c r="H1097" i="5"/>
  <c r="F1097" i="5"/>
  <c r="N1096" i="5"/>
  <c r="M1096" i="5"/>
  <c r="L1096" i="5"/>
  <c r="K1096" i="5"/>
  <c r="J1096" i="5"/>
  <c r="I1096" i="5"/>
  <c r="H1096" i="5"/>
  <c r="F1096" i="5"/>
  <c r="N1095" i="5"/>
  <c r="M1095" i="5"/>
  <c r="L1095" i="5"/>
  <c r="K1095" i="5"/>
  <c r="J1095" i="5"/>
  <c r="I1095" i="5"/>
  <c r="H1095" i="5"/>
  <c r="F1095" i="5"/>
  <c r="N1094" i="5"/>
  <c r="M1094" i="5"/>
  <c r="L1094" i="5"/>
  <c r="K1094" i="5"/>
  <c r="J1094" i="5"/>
  <c r="I1094" i="5"/>
  <c r="H1094" i="5"/>
  <c r="F1094" i="5"/>
  <c r="N1093" i="5"/>
  <c r="M1093" i="5"/>
  <c r="L1093" i="5"/>
  <c r="K1093" i="5"/>
  <c r="J1093" i="5"/>
  <c r="I1093" i="5"/>
  <c r="H1093" i="5"/>
  <c r="F1093" i="5"/>
  <c r="N1092" i="5"/>
  <c r="M1092" i="5"/>
  <c r="L1092" i="5"/>
  <c r="K1092" i="5"/>
  <c r="J1092" i="5"/>
  <c r="I1092" i="5"/>
  <c r="H1092" i="5"/>
  <c r="F1092" i="5"/>
  <c r="N1091" i="5"/>
  <c r="M1091" i="5"/>
  <c r="L1091" i="5"/>
  <c r="K1091" i="5"/>
  <c r="J1091" i="5"/>
  <c r="I1091" i="5"/>
  <c r="H1091" i="5"/>
  <c r="F1091" i="5"/>
  <c r="N1090" i="5"/>
  <c r="M1090" i="5"/>
  <c r="L1090" i="5"/>
  <c r="K1090" i="5"/>
  <c r="J1090" i="5"/>
  <c r="I1090" i="5"/>
  <c r="H1090" i="5"/>
  <c r="F1090" i="5"/>
  <c r="F1089" i="5"/>
  <c r="H1089" i="5"/>
  <c r="N1084" i="5"/>
  <c r="M1084" i="5"/>
  <c r="L1084" i="5"/>
  <c r="K1084" i="5"/>
  <c r="J1084" i="5"/>
  <c r="I1084" i="5"/>
  <c r="H1084" i="5"/>
  <c r="F1084" i="5"/>
  <c r="N1083" i="5"/>
  <c r="M1083" i="5"/>
  <c r="L1083" i="5"/>
  <c r="K1083" i="5"/>
  <c r="J1083" i="5"/>
  <c r="I1083" i="5"/>
  <c r="H1083" i="5"/>
  <c r="F1083" i="5"/>
  <c r="N1082" i="5"/>
  <c r="M1082" i="5"/>
  <c r="L1082" i="5"/>
  <c r="K1082" i="5"/>
  <c r="J1082" i="5"/>
  <c r="I1082" i="5"/>
  <c r="H1082" i="5"/>
  <c r="F1082" i="5"/>
  <c r="N1081" i="5"/>
  <c r="M1081" i="5"/>
  <c r="L1081" i="5"/>
  <c r="K1081" i="5"/>
  <c r="J1081" i="5"/>
  <c r="I1081" i="5"/>
  <c r="H1081" i="5"/>
  <c r="F1081" i="5"/>
  <c r="N1080" i="5"/>
  <c r="M1080" i="5"/>
  <c r="L1080" i="5"/>
  <c r="K1080" i="5"/>
  <c r="J1080" i="5"/>
  <c r="I1080" i="5"/>
  <c r="H1080" i="5"/>
  <c r="F1080" i="5"/>
  <c r="N1079" i="5"/>
  <c r="M1079" i="5"/>
  <c r="L1079" i="5"/>
  <c r="K1079" i="5"/>
  <c r="J1079" i="5"/>
  <c r="I1079" i="5"/>
  <c r="H1079" i="5"/>
  <c r="F1079" i="5"/>
  <c r="N1078" i="5"/>
  <c r="M1078" i="5"/>
  <c r="L1078" i="5"/>
  <c r="K1078" i="5"/>
  <c r="J1078" i="5"/>
  <c r="I1078" i="5"/>
  <c r="H1078" i="5"/>
  <c r="F1078" i="5"/>
  <c r="N1077" i="5"/>
  <c r="M1077" i="5"/>
  <c r="L1077" i="5"/>
  <c r="K1077" i="5"/>
  <c r="J1077" i="5"/>
  <c r="I1077" i="5"/>
  <c r="H1077" i="5"/>
  <c r="F1077" i="5"/>
  <c r="N1076" i="5"/>
  <c r="M1076" i="5"/>
  <c r="L1076" i="5"/>
  <c r="K1076" i="5"/>
  <c r="J1076" i="5"/>
  <c r="I1076" i="5"/>
  <c r="H1076" i="5"/>
  <c r="F1076" i="5"/>
  <c r="N1075" i="5"/>
  <c r="M1075" i="5"/>
  <c r="L1075" i="5"/>
  <c r="K1075" i="5"/>
  <c r="J1075" i="5"/>
  <c r="I1075" i="5"/>
  <c r="H1075" i="5"/>
  <c r="F1075" i="5"/>
  <c r="N1074" i="5"/>
  <c r="M1074" i="5"/>
  <c r="L1074" i="5"/>
  <c r="K1074" i="5"/>
  <c r="J1074" i="5"/>
  <c r="I1074" i="5"/>
  <c r="H1074" i="5"/>
  <c r="F1074" i="5"/>
  <c r="N1073" i="5"/>
  <c r="M1073" i="5"/>
  <c r="L1073" i="5"/>
  <c r="K1073" i="5"/>
  <c r="J1073" i="5"/>
  <c r="I1073" i="5"/>
  <c r="H1073" i="5"/>
  <c r="F1073" i="5"/>
  <c r="N1072" i="5"/>
  <c r="M1072" i="5"/>
  <c r="L1072" i="5"/>
  <c r="K1072" i="5"/>
  <c r="J1072" i="5"/>
  <c r="I1072" i="5"/>
  <c r="H1072" i="5"/>
  <c r="F1072" i="5"/>
  <c r="M1071" i="5"/>
  <c r="N1071" i="5" s="1"/>
  <c r="J1071" i="5"/>
  <c r="K1071" i="5" s="1"/>
  <c r="H1071" i="5"/>
  <c r="I1071" i="5" s="1"/>
  <c r="M1070" i="5"/>
  <c r="N1070" i="5" s="1"/>
  <c r="J1070" i="5"/>
  <c r="K1070" i="5" s="1"/>
  <c r="H1070" i="5"/>
  <c r="I1070" i="5" s="1"/>
  <c r="F1069" i="5"/>
  <c r="H1069" i="5"/>
  <c r="G5387" i="5" l="1"/>
  <c r="U5387" i="5" s="1"/>
  <c r="O5387" i="5"/>
  <c r="P5387" i="5" s="1"/>
  <c r="O1067" i="5"/>
  <c r="P1067" i="5" s="1"/>
  <c r="O1163" i="5"/>
  <c r="P1163" i="5" s="1"/>
  <c r="O1595" i="5"/>
  <c r="P1595" i="5" s="1"/>
  <c r="G1595" i="5"/>
  <c r="U1595" i="5" s="1"/>
  <c r="W1595" i="5"/>
  <c r="W1163" i="5"/>
  <c r="W1067" i="5"/>
  <c r="X1067" i="5"/>
  <c r="X1595" i="5"/>
  <c r="W5387" i="5"/>
  <c r="F1195" i="5"/>
  <c r="M5423" i="5"/>
  <c r="N5423" i="5" s="1"/>
  <c r="H5390" i="5"/>
  <c r="I5390" i="5" s="1"/>
  <c r="N5391" i="5"/>
  <c r="M5390" i="5"/>
  <c r="N5390" i="5" s="1"/>
  <c r="N5389" i="5"/>
  <c r="F5405" i="5"/>
  <c r="F5419" i="5"/>
  <c r="M5424" i="5"/>
  <c r="N5424" i="5" s="1"/>
  <c r="K5390" i="5"/>
  <c r="H5389" i="5"/>
  <c r="I5389" i="5" s="1"/>
  <c r="H5391" i="5"/>
  <c r="I5391" i="5" s="1"/>
  <c r="K5423" i="5"/>
  <c r="J5424" i="5"/>
  <c r="K5424" i="5" s="1"/>
  <c r="J5389" i="5"/>
  <c r="K5389" i="5" s="1"/>
  <c r="J5391" i="5"/>
  <c r="K5391" i="5" s="1"/>
  <c r="F1613" i="5"/>
  <c r="K1599" i="5"/>
  <c r="F1627" i="5"/>
  <c r="H1598" i="5"/>
  <c r="I1598" i="5" s="1"/>
  <c r="H1600" i="5"/>
  <c r="I1600" i="5" s="1"/>
  <c r="N1601" i="5"/>
  <c r="M1599" i="5"/>
  <c r="N1599" i="5" s="1"/>
  <c r="K1597" i="5"/>
  <c r="M1601" i="5"/>
  <c r="H1597" i="5"/>
  <c r="I1597" i="5" s="1"/>
  <c r="N1598" i="5"/>
  <c r="H1599" i="5"/>
  <c r="I1599" i="5" s="1"/>
  <c r="N1600" i="5"/>
  <c r="H1601" i="5"/>
  <c r="K1631" i="5"/>
  <c r="K1601" i="5"/>
  <c r="K1598" i="5"/>
  <c r="K1600" i="5"/>
  <c r="I1601" i="5"/>
  <c r="M1597" i="5"/>
  <c r="H1167" i="5"/>
  <c r="I1167" i="5" s="1"/>
  <c r="H1165" i="5"/>
  <c r="I1165" i="5" s="1"/>
  <c r="F1099" i="5"/>
  <c r="F1181" i="5"/>
  <c r="M1200" i="5"/>
  <c r="N1200" i="5" s="1"/>
  <c r="K1166" i="5"/>
  <c r="M1166" i="5"/>
  <c r="N1166" i="5" s="1"/>
  <c r="K1168" i="5"/>
  <c r="M1168" i="5"/>
  <c r="N1168" i="5" s="1"/>
  <c r="J1199" i="5"/>
  <c r="J1165" i="5"/>
  <c r="K1165" i="5" s="1"/>
  <c r="J1167" i="5"/>
  <c r="K1167" i="5" s="1"/>
  <c r="H1200" i="5"/>
  <c r="I1200" i="5" s="1"/>
  <c r="N1165" i="5"/>
  <c r="H1166" i="5"/>
  <c r="I1166" i="5" s="1"/>
  <c r="N1167" i="5"/>
  <c r="H1168" i="5"/>
  <c r="I1168" i="5" s="1"/>
  <c r="J1200" i="5"/>
  <c r="K1200" i="5" s="1"/>
  <c r="J1089" i="5"/>
  <c r="K1089" i="5" s="1"/>
  <c r="J1069" i="5"/>
  <c r="K1069" i="5" s="1"/>
  <c r="F1085" i="5"/>
  <c r="I1069" i="5"/>
  <c r="I1089" i="5"/>
  <c r="M1069" i="5"/>
  <c r="M1089" i="5"/>
  <c r="N1089" i="5" s="1"/>
  <c r="C2656" i="5"/>
  <c r="E1307" i="5"/>
  <c r="B1307" i="5"/>
  <c r="O1307" i="5" l="1"/>
  <c r="P1307" i="5" s="1"/>
  <c r="G1307" i="5"/>
  <c r="U1307" i="5" s="1"/>
  <c r="L5424" i="5"/>
  <c r="L5423" i="5"/>
  <c r="L5390" i="5"/>
  <c r="L5389" i="5"/>
  <c r="L5391" i="5"/>
  <c r="L1600" i="5"/>
  <c r="L1601" i="5"/>
  <c r="N1597" i="5"/>
  <c r="K1199" i="5"/>
  <c r="N1069" i="5"/>
  <c r="T5387" i="5" l="1"/>
  <c r="V5387" i="5" s="1"/>
  <c r="C3072" i="5" l="1"/>
  <c r="C3058" i="5"/>
  <c r="C3057" i="5"/>
  <c r="C3038" i="5"/>
  <c r="C3037" i="5"/>
  <c r="D1536" i="5" l="1"/>
  <c r="B1536" i="5"/>
  <c r="M1536" i="5"/>
  <c r="D1535" i="5"/>
  <c r="B1535" i="5"/>
  <c r="J1535" i="5"/>
  <c r="E1501" i="5"/>
  <c r="F1501" i="5" s="1"/>
  <c r="D1501" i="5"/>
  <c r="B1501" i="5"/>
  <c r="E1499" i="5"/>
  <c r="B1499" i="5"/>
  <c r="A1499" i="5"/>
  <c r="N1541" i="5"/>
  <c r="M1541" i="5"/>
  <c r="L1541" i="5"/>
  <c r="K1541" i="5"/>
  <c r="J1541" i="5"/>
  <c r="I1541" i="5"/>
  <c r="H1541" i="5"/>
  <c r="F1541" i="5"/>
  <c r="N1540" i="5"/>
  <c r="M1540" i="5"/>
  <c r="L1540" i="5"/>
  <c r="K1540" i="5"/>
  <c r="J1540" i="5"/>
  <c r="I1540" i="5"/>
  <c r="H1540" i="5"/>
  <c r="F1540" i="5"/>
  <c r="N1539" i="5"/>
  <c r="M1539" i="5"/>
  <c r="L1539" i="5"/>
  <c r="K1539" i="5"/>
  <c r="J1539" i="5"/>
  <c r="I1539" i="5"/>
  <c r="H1539" i="5"/>
  <c r="F1539" i="5"/>
  <c r="N1538" i="5"/>
  <c r="M1538" i="5"/>
  <c r="L1538" i="5"/>
  <c r="K1538" i="5"/>
  <c r="J1538" i="5"/>
  <c r="I1538" i="5"/>
  <c r="H1538" i="5"/>
  <c r="F1538" i="5"/>
  <c r="N1537" i="5"/>
  <c r="M1537" i="5"/>
  <c r="L1537" i="5"/>
  <c r="K1537" i="5"/>
  <c r="J1537" i="5"/>
  <c r="I1537" i="5"/>
  <c r="H1537" i="5"/>
  <c r="F1537" i="5"/>
  <c r="N1530" i="5"/>
  <c r="M1530" i="5"/>
  <c r="L1530" i="5"/>
  <c r="K1530" i="5"/>
  <c r="J1530" i="5"/>
  <c r="I1530" i="5"/>
  <c r="H1530" i="5"/>
  <c r="F1530" i="5"/>
  <c r="N1529" i="5"/>
  <c r="M1529" i="5"/>
  <c r="L1529" i="5"/>
  <c r="K1529" i="5"/>
  <c r="J1529" i="5"/>
  <c r="I1529" i="5"/>
  <c r="H1529" i="5"/>
  <c r="F1529" i="5"/>
  <c r="N1528" i="5"/>
  <c r="M1528" i="5"/>
  <c r="L1528" i="5"/>
  <c r="K1528" i="5"/>
  <c r="J1528" i="5"/>
  <c r="I1528" i="5"/>
  <c r="H1528" i="5"/>
  <c r="F1528" i="5"/>
  <c r="N1527" i="5"/>
  <c r="M1527" i="5"/>
  <c r="L1527" i="5"/>
  <c r="K1527" i="5"/>
  <c r="J1527" i="5"/>
  <c r="I1527" i="5"/>
  <c r="H1527" i="5"/>
  <c r="F1527" i="5"/>
  <c r="N1526" i="5"/>
  <c r="M1526" i="5"/>
  <c r="L1526" i="5"/>
  <c r="K1526" i="5"/>
  <c r="J1526" i="5"/>
  <c r="I1526" i="5"/>
  <c r="H1526" i="5"/>
  <c r="F1526" i="5"/>
  <c r="N1525" i="5"/>
  <c r="M1525" i="5"/>
  <c r="L1525" i="5"/>
  <c r="K1525" i="5"/>
  <c r="J1525" i="5"/>
  <c r="I1525" i="5"/>
  <c r="H1525" i="5"/>
  <c r="F1525" i="5"/>
  <c r="N1524" i="5"/>
  <c r="M1524" i="5"/>
  <c r="L1524" i="5"/>
  <c r="K1524" i="5"/>
  <c r="J1524" i="5"/>
  <c r="I1524" i="5"/>
  <c r="H1524" i="5"/>
  <c r="F1524" i="5"/>
  <c r="N1523" i="5"/>
  <c r="M1523" i="5"/>
  <c r="L1523" i="5"/>
  <c r="K1523" i="5"/>
  <c r="J1523" i="5"/>
  <c r="I1523" i="5"/>
  <c r="H1523" i="5"/>
  <c r="F1523" i="5"/>
  <c r="N1522" i="5"/>
  <c r="M1522" i="5"/>
  <c r="L1522" i="5"/>
  <c r="K1522" i="5"/>
  <c r="J1522" i="5"/>
  <c r="I1522" i="5"/>
  <c r="H1522" i="5"/>
  <c r="F1522" i="5"/>
  <c r="M1521" i="5"/>
  <c r="H1521" i="5"/>
  <c r="I1521" i="5" s="1"/>
  <c r="F1521" i="5"/>
  <c r="N1521" i="5"/>
  <c r="N1516" i="5"/>
  <c r="M1516" i="5"/>
  <c r="L1516" i="5"/>
  <c r="K1516" i="5"/>
  <c r="J1516" i="5"/>
  <c r="I1516" i="5"/>
  <c r="H1516" i="5"/>
  <c r="F1516" i="5"/>
  <c r="N1515" i="5"/>
  <c r="M1515" i="5"/>
  <c r="L1515" i="5"/>
  <c r="K1515" i="5"/>
  <c r="J1515" i="5"/>
  <c r="I1515" i="5"/>
  <c r="H1515" i="5"/>
  <c r="F1515" i="5"/>
  <c r="N1514" i="5"/>
  <c r="M1514" i="5"/>
  <c r="L1514" i="5"/>
  <c r="K1514" i="5"/>
  <c r="J1514" i="5"/>
  <c r="I1514" i="5"/>
  <c r="H1514" i="5"/>
  <c r="F1514" i="5"/>
  <c r="N1513" i="5"/>
  <c r="M1513" i="5"/>
  <c r="L1513" i="5"/>
  <c r="K1513" i="5"/>
  <c r="J1513" i="5"/>
  <c r="I1513" i="5"/>
  <c r="H1513" i="5"/>
  <c r="F1513" i="5"/>
  <c r="N1512" i="5"/>
  <c r="M1512" i="5"/>
  <c r="L1512" i="5"/>
  <c r="K1512" i="5"/>
  <c r="J1512" i="5"/>
  <c r="I1512" i="5"/>
  <c r="H1512" i="5"/>
  <c r="F1512" i="5"/>
  <c r="N1511" i="5"/>
  <c r="M1511" i="5"/>
  <c r="L1511" i="5"/>
  <c r="K1511" i="5"/>
  <c r="J1511" i="5"/>
  <c r="I1511" i="5"/>
  <c r="H1511" i="5"/>
  <c r="F1511" i="5"/>
  <c r="N1510" i="5"/>
  <c r="M1510" i="5"/>
  <c r="L1510" i="5"/>
  <c r="K1510" i="5"/>
  <c r="J1510" i="5"/>
  <c r="I1510" i="5"/>
  <c r="H1510" i="5"/>
  <c r="F1510" i="5"/>
  <c r="N1509" i="5"/>
  <c r="M1509" i="5"/>
  <c r="L1509" i="5"/>
  <c r="K1509" i="5"/>
  <c r="J1509" i="5"/>
  <c r="I1509" i="5"/>
  <c r="H1509" i="5"/>
  <c r="F1509" i="5"/>
  <c r="N1508" i="5"/>
  <c r="M1508" i="5"/>
  <c r="L1508" i="5"/>
  <c r="K1508" i="5"/>
  <c r="J1508" i="5"/>
  <c r="I1508" i="5"/>
  <c r="H1508" i="5"/>
  <c r="F1508" i="5"/>
  <c r="N1507" i="5"/>
  <c r="M1507" i="5"/>
  <c r="L1507" i="5"/>
  <c r="K1507" i="5"/>
  <c r="J1507" i="5"/>
  <c r="I1507" i="5"/>
  <c r="H1507" i="5"/>
  <c r="F1507" i="5"/>
  <c r="M1506" i="5"/>
  <c r="H1506" i="5"/>
  <c r="I1506" i="5" s="1"/>
  <c r="F1506" i="5"/>
  <c r="N1506" i="5"/>
  <c r="H1505" i="5"/>
  <c r="I1505" i="5" s="1"/>
  <c r="F1505" i="5"/>
  <c r="J1505" i="5"/>
  <c r="M1504" i="5"/>
  <c r="H1504" i="5"/>
  <c r="I1504" i="5" s="1"/>
  <c r="M1503" i="5"/>
  <c r="J1503" i="5"/>
  <c r="F1503" i="5"/>
  <c r="N1503" i="5"/>
  <c r="K1503" i="5"/>
  <c r="M1502" i="5"/>
  <c r="J1502" i="5"/>
  <c r="H1502" i="5"/>
  <c r="F1502" i="5"/>
  <c r="N1502" i="5"/>
  <c r="D3744" i="5"/>
  <c r="B3744" i="5"/>
  <c r="M3744" i="5"/>
  <c r="D3743" i="5"/>
  <c r="B3743" i="5"/>
  <c r="M3743" i="5"/>
  <c r="E3712" i="5"/>
  <c r="F3712" i="5" s="1"/>
  <c r="D3712" i="5"/>
  <c r="B3712" i="5"/>
  <c r="H3712" i="5"/>
  <c r="E3711" i="5"/>
  <c r="F3711" i="5" s="1"/>
  <c r="D3711" i="5"/>
  <c r="B3711" i="5"/>
  <c r="J3711" i="5"/>
  <c r="E3710" i="5"/>
  <c r="F3710" i="5" s="1"/>
  <c r="D3710" i="5"/>
  <c r="B3710" i="5"/>
  <c r="E3709" i="5"/>
  <c r="F3709" i="5" s="1"/>
  <c r="D3709" i="5"/>
  <c r="B3709" i="5"/>
  <c r="M3709" i="5"/>
  <c r="E3707" i="5"/>
  <c r="B3707" i="5"/>
  <c r="A3707" i="5"/>
  <c r="N3749" i="5"/>
  <c r="M3749" i="5"/>
  <c r="L3749" i="5"/>
  <c r="K3749" i="5"/>
  <c r="J3749" i="5"/>
  <c r="I3749" i="5"/>
  <c r="H3749" i="5"/>
  <c r="F3749" i="5"/>
  <c r="N3748" i="5"/>
  <c r="M3748" i="5"/>
  <c r="L3748" i="5"/>
  <c r="K3748" i="5"/>
  <c r="J3748" i="5"/>
  <c r="I3748" i="5"/>
  <c r="H3748" i="5"/>
  <c r="F3748" i="5"/>
  <c r="N3747" i="5"/>
  <c r="M3747" i="5"/>
  <c r="L3747" i="5"/>
  <c r="K3747" i="5"/>
  <c r="J3747" i="5"/>
  <c r="I3747" i="5"/>
  <c r="H3747" i="5"/>
  <c r="F3747" i="5"/>
  <c r="N3746" i="5"/>
  <c r="M3746" i="5"/>
  <c r="L3746" i="5"/>
  <c r="K3746" i="5"/>
  <c r="J3746" i="5"/>
  <c r="I3746" i="5"/>
  <c r="H3746" i="5"/>
  <c r="F3746" i="5"/>
  <c r="N3745" i="5"/>
  <c r="M3745" i="5"/>
  <c r="L3745" i="5"/>
  <c r="K3745" i="5"/>
  <c r="J3745" i="5"/>
  <c r="I3745" i="5"/>
  <c r="H3745" i="5"/>
  <c r="F3745" i="5"/>
  <c r="N3738" i="5"/>
  <c r="M3738" i="5"/>
  <c r="L3738" i="5"/>
  <c r="K3738" i="5"/>
  <c r="J3738" i="5"/>
  <c r="I3738" i="5"/>
  <c r="H3738" i="5"/>
  <c r="F3738" i="5"/>
  <c r="N3737" i="5"/>
  <c r="M3737" i="5"/>
  <c r="L3737" i="5"/>
  <c r="K3737" i="5"/>
  <c r="J3737" i="5"/>
  <c r="I3737" i="5"/>
  <c r="H3737" i="5"/>
  <c r="F3737" i="5"/>
  <c r="N3736" i="5"/>
  <c r="M3736" i="5"/>
  <c r="L3736" i="5"/>
  <c r="K3736" i="5"/>
  <c r="J3736" i="5"/>
  <c r="I3736" i="5"/>
  <c r="H3736" i="5"/>
  <c r="F3736" i="5"/>
  <c r="N3735" i="5"/>
  <c r="M3735" i="5"/>
  <c r="L3735" i="5"/>
  <c r="K3735" i="5"/>
  <c r="J3735" i="5"/>
  <c r="I3735" i="5"/>
  <c r="H3735" i="5"/>
  <c r="F3735" i="5"/>
  <c r="N3734" i="5"/>
  <c r="M3734" i="5"/>
  <c r="L3734" i="5"/>
  <c r="K3734" i="5"/>
  <c r="J3734" i="5"/>
  <c r="I3734" i="5"/>
  <c r="H3734" i="5"/>
  <c r="F3734" i="5"/>
  <c r="N3733" i="5"/>
  <c r="M3733" i="5"/>
  <c r="L3733" i="5"/>
  <c r="K3733" i="5"/>
  <c r="J3733" i="5"/>
  <c r="I3733" i="5"/>
  <c r="H3733" i="5"/>
  <c r="F3733" i="5"/>
  <c r="N3731" i="5"/>
  <c r="M3731" i="5"/>
  <c r="L3731" i="5"/>
  <c r="K3731" i="5"/>
  <c r="J3731" i="5"/>
  <c r="I3731" i="5"/>
  <c r="H3731" i="5"/>
  <c r="F3731" i="5"/>
  <c r="N3730" i="5"/>
  <c r="M3730" i="5"/>
  <c r="L3730" i="5"/>
  <c r="K3730" i="5"/>
  <c r="J3730" i="5"/>
  <c r="I3730" i="5"/>
  <c r="H3730" i="5"/>
  <c r="F3730" i="5"/>
  <c r="N3729" i="5"/>
  <c r="M3729" i="5"/>
  <c r="L3729" i="5"/>
  <c r="K3729" i="5"/>
  <c r="J3729" i="5"/>
  <c r="I3729" i="5"/>
  <c r="H3729" i="5"/>
  <c r="F3729" i="5"/>
  <c r="N3724" i="5"/>
  <c r="M3724" i="5"/>
  <c r="L3724" i="5"/>
  <c r="K3724" i="5"/>
  <c r="J3724" i="5"/>
  <c r="I3724" i="5"/>
  <c r="H3724" i="5"/>
  <c r="F3724" i="5"/>
  <c r="N3723" i="5"/>
  <c r="M3723" i="5"/>
  <c r="L3723" i="5"/>
  <c r="K3723" i="5"/>
  <c r="J3723" i="5"/>
  <c r="I3723" i="5"/>
  <c r="H3723" i="5"/>
  <c r="F3723" i="5"/>
  <c r="N3722" i="5"/>
  <c r="M3722" i="5"/>
  <c r="L3722" i="5"/>
  <c r="K3722" i="5"/>
  <c r="J3722" i="5"/>
  <c r="I3722" i="5"/>
  <c r="H3722" i="5"/>
  <c r="F3722" i="5"/>
  <c r="N3721" i="5"/>
  <c r="M3721" i="5"/>
  <c r="L3721" i="5"/>
  <c r="K3721" i="5"/>
  <c r="J3721" i="5"/>
  <c r="I3721" i="5"/>
  <c r="H3721" i="5"/>
  <c r="F3721" i="5"/>
  <c r="N3720" i="5"/>
  <c r="M3720" i="5"/>
  <c r="L3720" i="5"/>
  <c r="K3720" i="5"/>
  <c r="J3720" i="5"/>
  <c r="I3720" i="5"/>
  <c r="H3720" i="5"/>
  <c r="F3720" i="5"/>
  <c r="N3719" i="5"/>
  <c r="M3719" i="5"/>
  <c r="L3719" i="5"/>
  <c r="K3719" i="5"/>
  <c r="J3719" i="5"/>
  <c r="I3719" i="5"/>
  <c r="H3719" i="5"/>
  <c r="F3719" i="5"/>
  <c r="N3718" i="5"/>
  <c r="M3718" i="5"/>
  <c r="L3718" i="5"/>
  <c r="K3718" i="5"/>
  <c r="J3718" i="5"/>
  <c r="I3718" i="5"/>
  <c r="H3718" i="5"/>
  <c r="F3718" i="5"/>
  <c r="N3717" i="5"/>
  <c r="M3717" i="5"/>
  <c r="L3717" i="5"/>
  <c r="K3717" i="5"/>
  <c r="J3717" i="5"/>
  <c r="I3717" i="5"/>
  <c r="H3717" i="5"/>
  <c r="F3717" i="5"/>
  <c r="N3716" i="5"/>
  <c r="M3716" i="5"/>
  <c r="L3716" i="5"/>
  <c r="K3716" i="5"/>
  <c r="J3716" i="5"/>
  <c r="I3716" i="5"/>
  <c r="H3716" i="5"/>
  <c r="F3716" i="5"/>
  <c r="N3715" i="5"/>
  <c r="M3715" i="5"/>
  <c r="L3715" i="5"/>
  <c r="K3715" i="5"/>
  <c r="J3715" i="5"/>
  <c r="I3715" i="5"/>
  <c r="H3715" i="5"/>
  <c r="F3715" i="5"/>
  <c r="N3714" i="5"/>
  <c r="M3714" i="5"/>
  <c r="L3714" i="5"/>
  <c r="K3714" i="5"/>
  <c r="J3714" i="5"/>
  <c r="I3714" i="5"/>
  <c r="H3714" i="5"/>
  <c r="F3714" i="5"/>
  <c r="F3713" i="5"/>
  <c r="J3713" i="5"/>
  <c r="E2750" i="5"/>
  <c r="F2750" i="5" s="1"/>
  <c r="D2750" i="5"/>
  <c r="B2750" i="5"/>
  <c r="M2750" i="5"/>
  <c r="E2749" i="5"/>
  <c r="F2749" i="5" s="1"/>
  <c r="D2749" i="5"/>
  <c r="B2749" i="5"/>
  <c r="J2749" i="5"/>
  <c r="M2784" i="5"/>
  <c r="N2784" i="5" s="1"/>
  <c r="E2747" i="5"/>
  <c r="B2747" i="5"/>
  <c r="A2747" i="5"/>
  <c r="N2789" i="5"/>
  <c r="M2789" i="5"/>
  <c r="L2789" i="5"/>
  <c r="K2789" i="5"/>
  <c r="J2789" i="5"/>
  <c r="I2789" i="5"/>
  <c r="H2789" i="5"/>
  <c r="F2789" i="5"/>
  <c r="N2788" i="5"/>
  <c r="M2788" i="5"/>
  <c r="L2788" i="5"/>
  <c r="K2788" i="5"/>
  <c r="J2788" i="5"/>
  <c r="I2788" i="5"/>
  <c r="H2788" i="5"/>
  <c r="F2788" i="5"/>
  <c r="N2787" i="5"/>
  <c r="M2787" i="5"/>
  <c r="L2787" i="5"/>
  <c r="K2787" i="5"/>
  <c r="J2787" i="5"/>
  <c r="I2787" i="5"/>
  <c r="H2787" i="5"/>
  <c r="F2787" i="5"/>
  <c r="N2786" i="5"/>
  <c r="M2786" i="5"/>
  <c r="L2786" i="5"/>
  <c r="K2786" i="5"/>
  <c r="J2786" i="5"/>
  <c r="I2786" i="5"/>
  <c r="H2786" i="5"/>
  <c r="F2786" i="5"/>
  <c r="N2785" i="5"/>
  <c r="M2785" i="5"/>
  <c r="L2785" i="5"/>
  <c r="K2785" i="5"/>
  <c r="J2785" i="5"/>
  <c r="I2785" i="5"/>
  <c r="H2785" i="5"/>
  <c r="F2785" i="5"/>
  <c r="A2783" i="5"/>
  <c r="M2783" i="5" s="1"/>
  <c r="N2783" i="5" s="1"/>
  <c r="N2778" i="5"/>
  <c r="M2778" i="5"/>
  <c r="L2778" i="5"/>
  <c r="K2778" i="5"/>
  <c r="J2778" i="5"/>
  <c r="I2778" i="5"/>
  <c r="H2778" i="5"/>
  <c r="F2778" i="5"/>
  <c r="N2777" i="5"/>
  <c r="M2777" i="5"/>
  <c r="L2777" i="5"/>
  <c r="K2777" i="5"/>
  <c r="J2777" i="5"/>
  <c r="I2777" i="5"/>
  <c r="H2777" i="5"/>
  <c r="F2777" i="5"/>
  <c r="N2776" i="5"/>
  <c r="M2776" i="5"/>
  <c r="L2776" i="5"/>
  <c r="K2776" i="5"/>
  <c r="J2776" i="5"/>
  <c r="I2776" i="5"/>
  <c r="H2776" i="5"/>
  <c r="F2776" i="5"/>
  <c r="N2775" i="5"/>
  <c r="M2775" i="5"/>
  <c r="L2775" i="5"/>
  <c r="K2775" i="5"/>
  <c r="J2775" i="5"/>
  <c r="I2775" i="5"/>
  <c r="H2775" i="5"/>
  <c r="F2775" i="5"/>
  <c r="N2774" i="5"/>
  <c r="M2774" i="5"/>
  <c r="L2774" i="5"/>
  <c r="K2774" i="5"/>
  <c r="J2774" i="5"/>
  <c r="I2774" i="5"/>
  <c r="H2774" i="5"/>
  <c r="F2774" i="5"/>
  <c r="N2773" i="5"/>
  <c r="M2773" i="5"/>
  <c r="L2773" i="5"/>
  <c r="K2773" i="5"/>
  <c r="J2773" i="5"/>
  <c r="I2773" i="5"/>
  <c r="H2773" i="5"/>
  <c r="F2773" i="5"/>
  <c r="N2772" i="5"/>
  <c r="M2772" i="5"/>
  <c r="L2772" i="5"/>
  <c r="K2772" i="5"/>
  <c r="J2772" i="5"/>
  <c r="I2772" i="5"/>
  <c r="H2772" i="5"/>
  <c r="F2772" i="5"/>
  <c r="N2771" i="5"/>
  <c r="M2771" i="5"/>
  <c r="L2771" i="5"/>
  <c r="K2771" i="5"/>
  <c r="J2771" i="5"/>
  <c r="I2771" i="5"/>
  <c r="H2771" i="5"/>
  <c r="F2771" i="5"/>
  <c r="N2770" i="5"/>
  <c r="M2770" i="5"/>
  <c r="L2770" i="5"/>
  <c r="K2770" i="5"/>
  <c r="J2770" i="5"/>
  <c r="I2770" i="5"/>
  <c r="H2770" i="5"/>
  <c r="F2770" i="5"/>
  <c r="N2769" i="5"/>
  <c r="M2769" i="5"/>
  <c r="L2769" i="5"/>
  <c r="K2769" i="5"/>
  <c r="J2769" i="5"/>
  <c r="I2769" i="5"/>
  <c r="H2769" i="5"/>
  <c r="F2769" i="5"/>
  <c r="N2764" i="5"/>
  <c r="M2764" i="5"/>
  <c r="L2764" i="5"/>
  <c r="K2764" i="5"/>
  <c r="J2764" i="5"/>
  <c r="I2764" i="5"/>
  <c r="H2764" i="5"/>
  <c r="F2764" i="5"/>
  <c r="N2763" i="5"/>
  <c r="M2763" i="5"/>
  <c r="L2763" i="5"/>
  <c r="K2763" i="5"/>
  <c r="J2763" i="5"/>
  <c r="I2763" i="5"/>
  <c r="H2763" i="5"/>
  <c r="F2763" i="5"/>
  <c r="N2762" i="5"/>
  <c r="M2762" i="5"/>
  <c r="L2762" i="5"/>
  <c r="K2762" i="5"/>
  <c r="J2762" i="5"/>
  <c r="I2762" i="5"/>
  <c r="H2762" i="5"/>
  <c r="F2762" i="5"/>
  <c r="N2761" i="5"/>
  <c r="M2761" i="5"/>
  <c r="L2761" i="5"/>
  <c r="K2761" i="5"/>
  <c r="J2761" i="5"/>
  <c r="I2761" i="5"/>
  <c r="H2761" i="5"/>
  <c r="F2761" i="5"/>
  <c r="N2760" i="5"/>
  <c r="M2760" i="5"/>
  <c r="L2760" i="5"/>
  <c r="K2760" i="5"/>
  <c r="J2760" i="5"/>
  <c r="I2760" i="5"/>
  <c r="H2760" i="5"/>
  <c r="F2760" i="5"/>
  <c r="N2759" i="5"/>
  <c r="M2759" i="5"/>
  <c r="L2759" i="5"/>
  <c r="K2759" i="5"/>
  <c r="J2759" i="5"/>
  <c r="I2759" i="5"/>
  <c r="H2759" i="5"/>
  <c r="F2759" i="5"/>
  <c r="N2758" i="5"/>
  <c r="M2758" i="5"/>
  <c r="L2758" i="5"/>
  <c r="K2758" i="5"/>
  <c r="J2758" i="5"/>
  <c r="I2758" i="5"/>
  <c r="H2758" i="5"/>
  <c r="F2758" i="5"/>
  <c r="N2757" i="5"/>
  <c r="M2757" i="5"/>
  <c r="L2757" i="5"/>
  <c r="K2757" i="5"/>
  <c r="J2757" i="5"/>
  <c r="I2757" i="5"/>
  <c r="H2757" i="5"/>
  <c r="F2757" i="5"/>
  <c r="N2756" i="5"/>
  <c r="M2756" i="5"/>
  <c r="L2756" i="5"/>
  <c r="K2756" i="5"/>
  <c r="J2756" i="5"/>
  <c r="I2756" i="5"/>
  <c r="H2756" i="5"/>
  <c r="F2756" i="5"/>
  <c r="N2755" i="5"/>
  <c r="M2755" i="5"/>
  <c r="L2755" i="5"/>
  <c r="K2755" i="5"/>
  <c r="J2755" i="5"/>
  <c r="I2755" i="5"/>
  <c r="H2755" i="5"/>
  <c r="F2755" i="5"/>
  <c r="N2754" i="5"/>
  <c r="M2754" i="5"/>
  <c r="L2754" i="5"/>
  <c r="K2754" i="5"/>
  <c r="J2754" i="5"/>
  <c r="I2754" i="5"/>
  <c r="H2754" i="5"/>
  <c r="F2754" i="5"/>
  <c r="N2753" i="5"/>
  <c r="M2753" i="5"/>
  <c r="L2753" i="5"/>
  <c r="K2753" i="5"/>
  <c r="J2753" i="5"/>
  <c r="I2753" i="5"/>
  <c r="H2753" i="5"/>
  <c r="F2753" i="5"/>
  <c r="N2752" i="5"/>
  <c r="M2752" i="5"/>
  <c r="L2752" i="5"/>
  <c r="K2752" i="5"/>
  <c r="J2752" i="5"/>
  <c r="I2752" i="5"/>
  <c r="H2752" i="5"/>
  <c r="F2752" i="5"/>
  <c r="F2751" i="5"/>
  <c r="J2751" i="5"/>
  <c r="X2747" i="5" l="1"/>
  <c r="X3707" i="5"/>
  <c r="X1499" i="5"/>
  <c r="G3707" i="5"/>
  <c r="U3707" i="5" s="1"/>
  <c r="O3707" i="5"/>
  <c r="P3707" i="5" s="1"/>
  <c r="O1499" i="5"/>
  <c r="P1499" i="5" s="1"/>
  <c r="G1499" i="5"/>
  <c r="U1499" i="5" s="1"/>
  <c r="G2747" i="5"/>
  <c r="U2747" i="5" s="1"/>
  <c r="O2747" i="5"/>
  <c r="P2747" i="5" s="1"/>
  <c r="W2747" i="5"/>
  <c r="W3707" i="5"/>
  <c r="L1599" i="5"/>
  <c r="L1617" i="5"/>
  <c r="L1632" i="5"/>
  <c r="L1633" i="5"/>
  <c r="L1631" i="5"/>
  <c r="L1597" i="5"/>
  <c r="L1598" i="5"/>
  <c r="H3710" i="5"/>
  <c r="I3710" i="5" s="1"/>
  <c r="M3710" i="5"/>
  <c r="N3710" i="5" s="1"/>
  <c r="J3710" i="5"/>
  <c r="K3710" i="5" s="1"/>
  <c r="N1536" i="5"/>
  <c r="M1535" i="5"/>
  <c r="N1535" i="5" s="1"/>
  <c r="K1502" i="5"/>
  <c r="J1504" i="5"/>
  <c r="K1504" i="5" s="1"/>
  <c r="J1506" i="5"/>
  <c r="K1506" i="5" s="1"/>
  <c r="J1521" i="5"/>
  <c r="K1521" i="5" s="1"/>
  <c r="F1504" i="5"/>
  <c r="W1499" i="5" s="1"/>
  <c r="K1505" i="5"/>
  <c r="F1531" i="5"/>
  <c r="M1501" i="5"/>
  <c r="N1501" i="5" s="1"/>
  <c r="I1502" i="5"/>
  <c r="M1505" i="5"/>
  <c r="H1501" i="5"/>
  <c r="I1501" i="5" s="1"/>
  <c r="H1503" i="5"/>
  <c r="I1503" i="5" s="1"/>
  <c r="N1504" i="5"/>
  <c r="K1535" i="5"/>
  <c r="J1536" i="5"/>
  <c r="K1536" i="5" s="1"/>
  <c r="J1501" i="5"/>
  <c r="K1501" i="5" s="1"/>
  <c r="N3743" i="5"/>
  <c r="N3744" i="5"/>
  <c r="N3709" i="5"/>
  <c r="J3712" i="5"/>
  <c r="K3712" i="5" s="1"/>
  <c r="M3712" i="5"/>
  <c r="N3712" i="5" s="1"/>
  <c r="F3725" i="5"/>
  <c r="M3711" i="5"/>
  <c r="N3711" i="5" s="1"/>
  <c r="I3712" i="5"/>
  <c r="K3713" i="5"/>
  <c r="M3713" i="5"/>
  <c r="J3743" i="5"/>
  <c r="K3743" i="5" s="1"/>
  <c r="F3739" i="5"/>
  <c r="H3709" i="5"/>
  <c r="I3709" i="5" s="1"/>
  <c r="H3713" i="5"/>
  <c r="J3744" i="5"/>
  <c r="K3744" i="5" s="1"/>
  <c r="H3711" i="5"/>
  <c r="I3711" i="5" s="1"/>
  <c r="J3709" i="5"/>
  <c r="K3709" i="5" s="1"/>
  <c r="I3713" i="5"/>
  <c r="K3711" i="5"/>
  <c r="N3713" i="5"/>
  <c r="D2784" i="5"/>
  <c r="H2750" i="5"/>
  <c r="I2750" i="5" s="1"/>
  <c r="N2751" i="5"/>
  <c r="M2749" i="5"/>
  <c r="N2749" i="5" s="1"/>
  <c r="M2751" i="5"/>
  <c r="J2783" i="5"/>
  <c r="K2749" i="5"/>
  <c r="K2751" i="5"/>
  <c r="J2750" i="5"/>
  <c r="K2750" i="5" s="1"/>
  <c r="F2765" i="5"/>
  <c r="H2749" i="5"/>
  <c r="I2749" i="5" s="1"/>
  <c r="N2750" i="5"/>
  <c r="H2751" i="5"/>
  <c r="D2783" i="5"/>
  <c r="J2784" i="5"/>
  <c r="F2779" i="5"/>
  <c r="I2751" i="5"/>
  <c r="L3710" i="5" l="1"/>
  <c r="T1595" i="5"/>
  <c r="V1595" i="5" s="1"/>
  <c r="F1517" i="5"/>
  <c r="L1536" i="5"/>
  <c r="L1521" i="5"/>
  <c r="L1506" i="5"/>
  <c r="L1535" i="5"/>
  <c r="L1502" i="5"/>
  <c r="L1503" i="5"/>
  <c r="L1505" i="5"/>
  <c r="N1505" i="5"/>
  <c r="L1501" i="5"/>
  <c r="L1504" i="5"/>
  <c r="L3744" i="5"/>
  <c r="L3711" i="5"/>
  <c r="L3712" i="5"/>
  <c r="L3743" i="5"/>
  <c r="L3709" i="5"/>
  <c r="L3713" i="5"/>
  <c r="K2784" i="5"/>
  <c r="K2783" i="5"/>
  <c r="L2784" i="5"/>
  <c r="L2750" i="5"/>
  <c r="L2783" i="5"/>
  <c r="L2751" i="5"/>
  <c r="L2749" i="5"/>
  <c r="T3707" i="5" l="1"/>
  <c r="V3707" i="5" s="1"/>
  <c r="T2747" i="5"/>
  <c r="V2747" i="5" s="1"/>
  <c r="T1499" i="5"/>
  <c r="V1499" i="5" s="1"/>
  <c r="C2495" i="5"/>
  <c r="C2482" i="5"/>
  <c r="C2481" i="5"/>
  <c r="C2463" i="5"/>
  <c r="C2462" i="5"/>
  <c r="C2461" i="5"/>
  <c r="E2512" i="5"/>
  <c r="F2512" i="5" s="1"/>
  <c r="D2512" i="5"/>
  <c r="B2512" i="5"/>
  <c r="J2512" i="5"/>
  <c r="C2465" i="5"/>
  <c r="C2496" i="5"/>
  <c r="C2511" i="5"/>
  <c r="E2511" i="5"/>
  <c r="D2511" i="5"/>
  <c r="B2511" i="5"/>
  <c r="J2511" i="5"/>
  <c r="F2510" i="5"/>
  <c r="D2510" i="5"/>
  <c r="B2510" i="5"/>
  <c r="M2510" i="5"/>
  <c r="F2509" i="5"/>
  <c r="D2509" i="5"/>
  <c r="J2509" i="5"/>
  <c r="E2507" i="5"/>
  <c r="B2507" i="5"/>
  <c r="A2507" i="5"/>
  <c r="N2549" i="5"/>
  <c r="M2549" i="5"/>
  <c r="L2549" i="5"/>
  <c r="K2549" i="5"/>
  <c r="J2549" i="5"/>
  <c r="I2549" i="5"/>
  <c r="H2549" i="5"/>
  <c r="F2549" i="5"/>
  <c r="N2548" i="5"/>
  <c r="M2548" i="5"/>
  <c r="L2548" i="5"/>
  <c r="K2548" i="5"/>
  <c r="J2548" i="5"/>
  <c r="I2548" i="5"/>
  <c r="H2548" i="5"/>
  <c r="F2548" i="5"/>
  <c r="N2547" i="5"/>
  <c r="M2547" i="5"/>
  <c r="L2547" i="5"/>
  <c r="K2547" i="5"/>
  <c r="J2547" i="5"/>
  <c r="I2547" i="5"/>
  <c r="H2547" i="5"/>
  <c r="F2547" i="5"/>
  <c r="N2546" i="5"/>
  <c r="M2546" i="5"/>
  <c r="L2546" i="5"/>
  <c r="K2546" i="5"/>
  <c r="J2546" i="5"/>
  <c r="I2546" i="5"/>
  <c r="H2546" i="5"/>
  <c r="F2546" i="5"/>
  <c r="A2544" i="5"/>
  <c r="A2543" i="5"/>
  <c r="N2538" i="5"/>
  <c r="M2538" i="5"/>
  <c r="L2538" i="5"/>
  <c r="K2538" i="5"/>
  <c r="J2538" i="5"/>
  <c r="I2538" i="5"/>
  <c r="H2538" i="5"/>
  <c r="F2538" i="5"/>
  <c r="N2537" i="5"/>
  <c r="M2537" i="5"/>
  <c r="L2537" i="5"/>
  <c r="K2537" i="5"/>
  <c r="J2537" i="5"/>
  <c r="I2537" i="5"/>
  <c r="H2537" i="5"/>
  <c r="F2537" i="5"/>
  <c r="N2536" i="5"/>
  <c r="M2536" i="5"/>
  <c r="L2536" i="5"/>
  <c r="K2536" i="5"/>
  <c r="J2536" i="5"/>
  <c r="I2536" i="5"/>
  <c r="H2536" i="5"/>
  <c r="F2536" i="5"/>
  <c r="N2535" i="5"/>
  <c r="M2535" i="5"/>
  <c r="L2535" i="5"/>
  <c r="K2535" i="5"/>
  <c r="J2535" i="5"/>
  <c r="I2535" i="5"/>
  <c r="H2535" i="5"/>
  <c r="F2535" i="5"/>
  <c r="N2534" i="5"/>
  <c r="M2534" i="5"/>
  <c r="L2534" i="5"/>
  <c r="K2534" i="5"/>
  <c r="J2534" i="5"/>
  <c r="I2534" i="5"/>
  <c r="H2534" i="5"/>
  <c r="F2534" i="5"/>
  <c r="N2533" i="5"/>
  <c r="M2533" i="5"/>
  <c r="L2533" i="5"/>
  <c r="K2533" i="5"/>
  <c r="J2533" i="5"/>
  <c r="I2533" i="5"/>
  <c r="H2533" i="5"/>
  <c r="F2533" i="5"/>
  <c r="N2532" i="5"/>
  <c r="M2532" i="5"/>
  <c r="L2532" i="5"/>
  <c r="K2532" i="5"/>
  <c r="J2532" i="5"/>
  <c r="I2532" i="5"/>
  <c r="H2532" i="5"/>
  <c r="F2532" i="5"/>
  <c r="N2531" i="5"/>
  <c r="M2531" i="5"/>
  <c r="L2531" i="5"/>
  <c r="K2531" i="5"/>
  <c r="J2531" i="5"/>
  <c r="I2531" i="5"/>
  <c r="H2531" i="5"/>
  <c r="F2531" i="5"/>
  <c r="F2530" i="5"/>
  <c r="F2529" i="5"/>
  <c r="M2529" i="5"/>
  <c r="N2524" i="5"/>
  <c r="M2524" i="5"/>
  <c r="L2524" i="5"/>
  <c r="K2524" i="5"/>
  <c r="J2524" i="5"/>
  <c r="I2524" i="5"/>
  <c r="H2524" i="5"/>
  <c r="F2524" i="5"/>
  <c r="N2523" i="5"/>
  <c r="M2523" i="5"/>
  <c r="L2523" i="5"/>
  <c r="K2523" i="5"/>
  <c r="J2523" i="5"/>
  <c r="I2523" i="5"/>
  <c r="H2523" i="5"/>
  <c r="F2523" i="5"/>
  <c r="N2522" i="5"/>
  <c r="M2522" i="5"/>
  <c r="L2522" i="5"/>
  <c r="K2522" i="5"/>
  <c r="J2522" i="5"/>
  <c r="I2522" i="5"/>
  <c r="H2522" i="5"/>
  <c r="F2522" i="5"/>
  <c r="N2521" i="5"/>
  <c r="M2521" i="5"/>
  <c r="L2521" i="5"/>
  <c r="K2521" i="5"/>
  <c r="J2521" i="5"/>
  <c r="I2521" i="5"/>
  <c r="H2521" i="5"/>
  <c r="F2521" i="5"/>
  <c r="N2520" i="5"/>
  <c r="M2520" i="5"/>
  <c r="L2520" i="5"/>
  <c r="K2520" i="5"/>
  <c r="J2520" i="5"/>
  <c r="I2520" i="5"/>
  <c r="H2520" i="5"/>
  <c r="F2520" i="5"/>
  <c r="N2519" i="5"/>
  <c r="M2519" i="5"/>
  <c r="L2519" i="5"/>
  <c r="K2519" i="5"/>
  <c r="J2519" i="5"/>
  <c r="I2519" i="5"/>
  <c r="H2519" i="5"/>
  <c r="F2519" i="5"/>
  <c r="N2518" i="5"/>
  <c r="M2518" i="5"/>
  <c r="L2518" i="5"/>
  <c r="K2518" i="5"/>
  <c r="J2518" i="5"/>
  <c r="I2518" i="5"/>
  <c r="H2518" i="5"/>
  <c r="F2518" i="5"/>
  <c r="N2517" i="5"/>
  <c r="M2517" i="5"/>
  <c r="L2517" i="5"/>
  <c r="K2517" i="5"/>
  <c r="J2517" i="5"/>
  <c r="I2517" i="5"/>
  <c r="H2517" i="5"/>
  <c r="F2517" i="5"/>
  <c r="N2516" i="5"/>
  <c r="M2516" i="5"/>
  <c r="L2516" i="5"/>
  <c r="K2516" i="5"/>
  <c r="J2516" i="5"/>
  <c r="I2516" i="5"/>
  <c r="H2516" i="5"/>
  <c r="F2516" i="5"/>
  <c r="N2515" i="5"/>
  <c r="M2515" i="5"/>
  <c r="L2515" i="5"/>
  <c r="K2515" i="5"/>
  <c r="J2515" i="5"/>
  <c r="I2515" i="5"/>
  <c r="H2515" i="5"/>
  <c r="F2515" i="5"/>
  <c r="J2514" i="5"/>
  <c r="H2514" i="5"/>
  <c r="F2514" i="5"/>
  <c r="M2514" i="5"/>
  <c r="F2513" i="5"/>
  <c r="X2507" i="5" l="1"/>
  <c r="O2507" i="5"/>
  <c r="P2507" i="5" s="1"/>
  <c r="M2543" i="5"/>
  <c r="B2543" i="5"/>
  <c r="D2543" i="5"/>
  <c r="M2544" i="5"/>
  <c r="B2544" i="5"/>
  <c r="M2545" i="5"/>
  <c r="B2545" i="5"/>
  <c r="L912" i="5"/>
  <c r="F2511" i="5"/>
  <c r="F2525" i="5" s="1"/>
  <c r="J2544" i="5"/>
  <c r="M2512" i="5"/>
  <c r="N2512" i="5" s="1"/>
  <c r="H2512" i="5"/>
  <c r="I2512" i="5" s="1"/>
  <c r="M2509" i="5"/>
  <c r="N2509" i="5" s="1"/>
  <c r="D2545" i="5"/>
  <c r="I2514" i="5"/>
  <c r="M2511" i="5"/>
  <c r="J2530" i="5"/>
  <c r="K2530" i="5" s="1"/>
  <c r="J2513" i="5"/>
  <c r="K2513" i="5" s="1"/>
  <c r="M2530" i="5"/>
  <c r="K2509" i="5"/>
  <c r="H2510" i="5"/>
  <c r="I2510" i="5" s="1"/>
  <c r="J2510" i="5"/>
  <c r="K2510" i="5" s="1"/>
  <c r="M2513" i="5"/>
  <c r="N2513" i="5" s="1"/>
  <c r="H2529" i="5"/>
  <c r="I2529" i="5" s="1"/>
  <c r="K2511" i="5"/>
  <c r="J2529" i="5"/>
  <c r="F2539" i="5"/>
  <c r="H2509" i="5"/>
  <c r="I2509" i="5" s="1"/>
  <c r="N2510" i="5"/>
  <c r="H2511" i="5"/>
  <c r="I2511" i="5" s="1"/>
  <c r="H2513" i="5"/>
  <c r="I2513" i="5" s="1"/>
  <c r="N2514" i="5"/>
  <c r="N2529" i="5"/>
  <c r="H2530" i="5"/>
  <c r="I2530" i="5" s="1"/>
  <c r="K2512" i="5"/>
  <c r="K2514" i="5"/>
  <c r="K2529" i="5"/>
  <c r="D2544" i="5"/>
  <c r="J2545" i="5"/>
  <c r="J2543" i="5"/>
  <c r="W2507" i="5" l="1"/>
  <c r="N2544" i="5"/>
  <c r="N2543" i="5"/>
  <c r="N2545" i="5"/>
  <c r="L879" i="5"/>
  <c r="L880" i="5"/>
  <c r="L881" i="5"/>
  <c r="L877" i="5"/>
  <c r="L878" i="5"/>
  <c r="L911" i="5"/>
  <c r="K2544" i="5"/>
  <c r="K2545" i="5"/>
  <c r="K2543" i="5"/>
  <c r="N2530" i="5"/>
  <c r="N2511" i="5"/>
  <c r="T875" i="5" l="1"/>
  <c r="V875" i="5" s="1"/>
  <c r="E2289" i="5"/>
  <c r="F2289" i="5" s="1"/>
  <c r="D2289" i="5"/>
  <c r="B2289" i="5"/>
  <c r="A2289" i="5"/>
  <c r="H2289" i="5" s="1"/>
  <c r="E2267" i="5"/>
  <c r="B2267" i="5"/>
  <c r="A2267" i="5"/>
  <c r="E2219" i="5"/>
  <c r="B2219" i="5"/>
  <c r="A2219" i="5"/>
  <c r="N2309" i="5"/>
  <c r="M2309" i="5"/>
  <c r="L2309" i="5"/>
  <c r="K2309" i="5"/>
  <c r="J2309" i="5"/>
  <c r="I2309" i="5"/>
  <c r="H2309" i="5"/>
  <c r="F2309" i="5"/>
  <c r="N2308" i="5"/>
  <c r="M2308" i="5"/>
  <c r="L2308" i="5"/>
  <c r="K2308" i="5"/>
  <c r="J2308" i="5"/>
  <c r="I2308" i="5"/>
  <c r="H2308" i="5"/>
  <c r="F2308" i="5"/>
  <c r="N2307" i="5"/>
  <c r="M2307" i="5"/>
  <c r="L2307" i="5"/>
  <c r="K2307" i="5"/>
  <c r="J2307" i="5"/>
  <c r="I2307" i="5"/>
  <c r="H2307" i="5"/>
  <c r="F2307" i="5"/>
  <c r="N2306" i="5"/>
  <c r="M2306" i="5"/>
  <c r="L2306" i="5"/>
  <c r="K2306" i="5"/>
  <c r="J2306" i="5"/>
  <c r="I2306" i="5"/>
  <c r="H2306" i="5"/>
  <c r="F2306" i="5"/>
  <c r="N2305" i="5"/>
  <c r="M2305" i="5"/>
  <c r="L2305" i="5"/>
  <c r="K2305" i="5"/>
  <c r="J2305" i="5"/>
  <c r="I2305" i="5"/>
  <c r="H2305" i="5"/>
  <c r="F2305" i="5"/>
  <c r="N2304" i="5"/>
  <c r="M2304" i="5"/>
  <c r="L2304" i="5"/>
  <c r="K2304" i="5"/>
  <c r="J2304" i="5"/>
  <c r="I2304" i="5"/>
  <c r="H2304" i="5"/>
  <c r="F2304" i="5"/>
  <c r="A2303" i="5"/>
  <c r="J2303" i="5" s="1"/>
  <c r="N2298" i="5"/>
  <c r="M2298" i="5"/>
  <c r="L2298" i="5"/>
  <c r="K2298" i="5"/>
  <c r="J2298" i="5"/>
  <c r="I2298" i="5"/>
  <c r="H2298" i="5"/>
  <c r="F2298" i="5"/>
  <c r="N2297" i="5"/>
  <c r="M2297" i="5"/>
  <c r="L2297" i="5"/>
  <c r="K2297" i="5"/>
  <c r="J2297" i="5"/>
  <c r="I2297" i="5"/>
  <c r="H2297" i="5"/>
  <c r="F2297" i="5"/>
  <c r="N2296" i="5"/>
  <c r="M2296" i="5"/>
  <c r="L2296" i="5"/>
  <c r="K2296" i="5"/>
  <c r="J2296" i="5"/>
  <c r="I2296" i="5"/>
  <c r="H2296" i="5"/>
  <c r="F2296" i="5"/>
  <c r="N2295" i="5"/>
  <c r="M2295" i="5"/>
  <c r="L2295" i="5"/>
  <c r="K2295" i="5"/>
  <c r="J2295" i="5"/>
  <c r="I2295" i="5"/>
  <c r="H2295" i="5"/>
  <c r="F2295" i="5"/>
  <c r="N2294" i="5"/>
  <c r="M2294" i="5"/>
  <c r="L2294" i="5"/>
  <c r="K2294" i="5"/>
  <c r="J2294" i="5"/>
  <c r="I2294" i="5"/>
  <c r="H2294" i="5"/>
  <c r="F2294" i="5"/>
  <c r="N2293" i="5"/>
  <c r="M2293" i="5"/>
  <c r="L2293" i="5"/>
  <c r="K2293" i="5"/>
  <c r="J2293" i="5"/>
  <c r="I2293" i="5"/>
  <c r="H2293" i="5"/>
  <c r="F2293" i="5"/>
  <c r="N2292" i="5"/>
  <c r="M2292" i="5"/>
  <c r="L2292" i="5"/>
  <c r="K2292" i="5"/>
  <c r="J2292" i="5"/>
  <c r="I2292" i="5"/>
  <c r="H2292" i="5"/>
  <c r="F2292" i="5"/>
  <c r="N2291" i="5"/>
  <c r="M2291" i="5"/>
  <c r="L2291" i="5"/>
  <c r="K2291" i="5"/>
  <c r="J2291" i="5"/>
  <c r="I2291" i="5"/>
  <c r="H2291" i="5"/>
  <c r="F2291" i="5"/>
  <c r="N2290" i="5"/>
  <c r="M2290" i="5"/>
  <c r="L2290" i="5"/>
  <c r="K2290" i="5"/>
  <c r="J2290" i="5"/>
  <c r="I2290" i="5"/>
  <c r="H2290" i="5"/>
  <c r="F2290" i="5"/>
  <c r="N2284" i="5"/>
  <c r="M2284" i="5"/>
  <c r="L2284" i="5"/>
  <c r="K2284" i="5"/>
  <c r="J2284" i="5"/>
  <c r="I2284" i="5"/>
  <c r="H2284" i="5"/>
  <c r="F2284" i="5"/>
  <c r="N2283" i="5"/>
  <c r="M2283" i="5"/>
  <c r="L2283" i="5"/>
  <c r="K2283" i="5"/>
  <c r="J2283" i="5"/>
  <c r="I2283" i="5"/>
  <c r="H2283" i="5"/>
  <c r="F2283" i="5"/>
  <c r="N2282" i="5"/>
  <c r="M2282" i="5"/>
  <c r="L2282" i="5"/>
  <c r="K2282" i="5"/>
  <c r="J2282" i="5"/>
  <c r="I2282" i="5"/>
  <c r="H2282" i="5"/>
  <c r="F2282" i="5"/>
  <c r="N2281" i="5"/>
  <c r="M2281" i="5"/>
  <c r="L2281" i="5"/>
  <c r="K2281" i="5"/>
  <c r="J2281" i="5"/>
  <c r="I2281" i="5"/>
  <c r="H2281" i="5"/>
  <c r="F2281" i="5"/>
  <c r="N2280" i="5"/>
  <c r="M2280" i="5"/>
  <c r="L2280" i="5"/>
  <c r="K2280" i="5"/>
  <c r="J2280" i="5"/>
  <c r="I2280" i="5"/>
  <c r="H2280" i="5"/>
  <c r="F2280" i="5"/>
  <c r="N2279" i="5"/>
  <c r="M2279" i="5"/>
  <c r="L2279" i="5"/>
  <c r="K2279" i="5"/>
  <c r="J2279" i="5"/>
  <c r="I2279" i="5"/>
  <c r="H2279" i="5"/>
  <c r="F2279" i="5"/>
  <c r="N2278" i="5"/>
  <c r="M2278" i="5"/>
  <c r="L2278" i="5"/>
  <c r="K2278" i="5"/>
  <c r="J2278" i="5"/>
  <c r="I2278" i="5"/>
  <c r="H2278" i="5"/>
  <c r="F2278" i="5"/>
  <c r="N2277" i="5"/>
  <c r="M2277" i="5"/>
  <c r="L2277" i="5"/>
  <c r="K2277" i="5"/>
  <c r="J2277" i="5"/>
  <c r="I2277" i="5"/>
  <c r="H2277" i="5"/>
  <c r="F2277" i="5"/>
  <c r="N2276" i="5"/>
  <c r="M2276" i="5"/>
  <c r="L2276" i="5"/>
  <c r="K2276" i="5"/>
  <c r="J2276" i="5"/>
  <c r="I2276" i="5"/>
  <c r="H2276" i="5"/>
  <c r="F2276" i="5"/>
  <c r="N2275" i="5"/>
  <c r="M2275" i="5"/>
  <c r="L2275" i="5"/>
  <c r="K2275" i="5"/>
  <c r="J2275" i="5"/>
  <c r="I2275" i="5"/>
  <c r="H2275" i="5"/>
  <c r="F2275" i="5"/>
  <c r="N2274" i="5"/>
  <c r="M2274" i="5"/>
  <c r="L2274" i="5"/>
  <c r="K2274" i="5"/>
  <c r="J2274" i="5"/>
  <c r="I2274" i="5"/>
  <c r="H2274" i="5"/>
  <c r="F2274" i="5"/>
  <c r="N2273" i="5"/>
  <c r="M2273" i="5"/>
  <c r="L2273" i="5"/>
  <c r="K2273" i="5"/>
  <c r="J2273" i="5"/>
  <c r="I2273" i="5"/>
  <c r="H2273" i="5"/>
  <c r="F2273" i="5"/>
  <c r="N2272" i="5"/>
  <c r="M2272" i="5"/>
  <c r="L2272" i="5"/>
  <c r="K2272" i="5"/>
  <c r="J2272" i="5"/>
  <c r="I2272" i="5"/>
  <c r="H2272" i="5"/>
  <c r="F2272" i="5"/>
  <c r="N2271" i="5"/>
  <c r="M2271" i="5"/>
  <c r="L2271" i="5"/>
  <c r="K2271" i="5"/>
  <c r="J2271" i="5"/>
  <c r="I2271" i="5"/>
  <c r="H2271" i="5"/>
  <c r="F2271" i="5"/>
  <c r="N2270" i="5"/>
  <c r="M2270" i="5"/>
  <c r="L2270" i="5"/>
  <c r="K2270" i="5"/>
  <c r="J2270" i="5"/>
  <c r="I2270" i="5"/>
  <c r="H2270" i="5"/>
  <c r="F2270" i="5"/>
  <c r="N2269" i="5"/>
  <c r="M2269" i="5"/>
  <c r="L2269" i="5"/>
  <c r="K2269" i="5"/>
  <c r="J2269" i="5"/>
  <c r="I2269" i="5"/>
  <c r="H2269" i="5"/>
  <c r="F2269" i="5"/>
  <c r="W2267" i="5" s="1"/>
  <c r="N2261" i="5"/>
  <c r="M2261" i="5"/>
  <c r="L2261" i="5"/>
  <c r="K2261" i="5"/>
  <c r="J2261" i="5"/>
  <c r="I2261" i="5"/>
  <c r="H2261" i="5"/>
  <c r="F2261" i="5"/>
  <c r="N2260" i="5"/>
  <c r="M2260" i="5"/>
  <c r="L2260" i="5"/>
  <c r="K2260" i="5"/>
  <c r="J2260" i="5"/>
  <c r="I2260" i="5"/>
  <c r="H2260" i="5"/>
  <c r="F2260" i="5"/>
  <c r="N2259" i="5"/>
  <c r="M2259" i="5"/>
  <c r="L2259" i="5"/>
  <c r="K2259" i="5"/>
  <c r="J2259" i="5"/>
  <c r="I2259" i="5"/>
  <c r="H2259" i="5"/>
  <c r="F2259" i="5"/>
  <c r="N2258" i="5"/>
  <c r="M2258" i="5"/>
  <c r="L2258" i="5"/>
  <c r="K2258" i="5"/>
  <c r="J2258" i="5"/>
  <c r="I2258" i="5"/>
  <c r="H2258" i="5"/>
  <c r="F2258" i="5"/>
  <c r="N2257" i="5"/>
  <c r="M2257" i="5"/>
  <c r="L2257" i="5"/>
  <c r="K2257" i="5"/>
  <c r="J2257" i="5"/>
  <c r="I2257" i="5"/>
  <c r="H2257" i="5"/>
  <c r="F2257" i="5"/>
  <c r="N2256" i="5"/>
  <c r="M2256" i="5"/>
  <c r="L2256" i="5"/>
  <c r="K2256" i="5"/>
  <c r="J2256" i="5"/>
  <c r="I2256" i="5"/>
  <c r="H2256" i="5"/>
  <c r="F2256" i="5"/>
  <c r="A2255" i="5"/>
  <c r="J2255" i="5" s="1"/>
  <c r="N2250" i="5"/>
  <c r="M2250" i="5"/>
  <c r="L2250" i="5"/>
  <c r="K2250" i="5"/>
  <c r="J2250" i="5"/>
  <c r="I2250" i="5"/>
  <c r="H2250" i="5"/>
  <c r="F2250" i="5"/>
  <c r="N2249" i="5"/>
  <c r="M2249" i="5"/>
  <c r="L2249" i="5"/>
  <c r="K2249" i="5"/>
  <c r="J2249" i="5"/>
  <c r="I2249" i="5"/>
  <c r="H2249" i="5"/>
  <c r="F2249" i="5"/>
  <c r="N2248" i="5"/>
  <c r="M2248" i="5"/>
  <c r="L2248" i="5"/>
  <c r="K2248" i="5"/>
  <c r="J2248" i="5"/>
  <c r="I2248" i="5"/>
  <c r="H2248" i="5"/>
  <c r="F2248" i="5"/>
  <c r="N2247" i="5"/>
  <c r="M2247" i="5"/>
  <c r="L2247" i="5"/>
  <c r="K2247" i="5"/>
  <c r="J2247" i="5"/>
  <c r="I2247" i="5"/>
  <c r="H2247" i="5"/>
  <c r="F2247" i="5"/>
  <c r="N2246" i="5"/>
  <c r="M2246" i="5"/>
  <c r="L2246" i="5"/>
  <c r="K2246" i="5"/>
  <c r="J2246" i="5"/>
  <c r="I2246" i="5"/>
  <c r="H2246" i="5"/>
  <c r="F2246" i="5"/>
  <c r="N2245" i="5"/>
  <c r="M2245" i="5"/>
  <c r="L2245" i="5"/>
  <c r="K2245" i="5"/>
  <c r="J2245" i="5"/>
  <c r="I2245" i="5"/>
  <c r="H2245" i="5"/>
  <c r="F2245" i="5"/>
  <c r="N2244" i="5"/>
  <c r="M2244" i="5"/>
  <c r="L2244" i="5"/>
  <c r="K2244" i="5"/>
  <c r="J2244" i="5"/>
  <c r="I2244" i="5"/>
  <c r="H2244" i="5"/>
  <c r="F2244" i="5"/>
  <c r="N2243" i="5"/>
  <c r="M2243" i="5"/>
  <c r="L2243" i="5"/>
  <c r="K2243" i="5"/>
  <c r="J2243" i="5"/>
  <c r="I2243" i="5"/>
  <c r="H2243" i="5"/>
  <c r="F2243" i="5"/>
  <c r="N2242" i="5"/>
  <c r="M2242" i="5"/>
  <c r="L2242" i="5"/>
  <c r="K2242" i="5"/>
  <c r="J2242" i="5"/>
  <c r="I2242" i="5"/>
  <c r="H2242" i="5"/>
  <c r="F2242" i="5"/>
  <c r="N2241" i="5"/>
  <c r="M2241" i="5"/>
  <c r="L2241" i="5"/>
  <c r="K2241" i="5"/>
  <c r="J2241" i="5"/>
  <c r="I2241" i="5"/>
  <c r="H2241" i="5"/>
  <c r="F2241" i="5"/>
  <c r="N2236" i="5"/>
  <c r="M2236" i="5"/>
  <c r="L2236" i="5"/>
  <c r="K2236" i="5"/>
  <c r="J2236" i="5"/>
  <c r="I2236" i="5"/>
  <c r="H2236" i="5"/>
  <c r="F2236" i="5"/>
  <c r="N2235" i="5"/>
  <c r="M2235" i="5"/>
  <c r="L2235" i="5"/>
  <c r="K2235" i="5"/>
  <c r="J2235" i="5"/>
  <c r="I2235" i="5"/>
  <c r="H2235" i="5"/>
  <c r="F2235" i="5"/>
  <c r="N2234" i="5"/>
  <c r="M2234" i="5"/>
  <c r="L2234" i="5"/>
  <c r="K2234" i="5"/>
  <c r="J2234" i="5"/>
  <c r="I2234" i="5"/>
  <c r="H2234" i="5"/>
  <c r="F2234" i="5"/>
  <c r="N2233" i="5"/>
  <c r="M2233" i="5"/>
  <c r="L2233" i="5"/>
  <c r="K2233" i="5"/>
  <c r="J2233" i="5"/>
  <c r="I2233" i="5"/>
  <c r="H2233" i="5"/>
  <c r="F2233" i="5"/>
  <c r="N2232" i="5"/>
  <c r="M2232" i="5"/>
  <c r="L2232" i="5"/>
  <c r="K2232" i="5"/>
  <c r="J2232" i="5"/>
  <c r="I2232" i="5"/>
  <c r="H2232" i="5"/>
  <c r="F2232" i="5"/>
  <c r="N2231" i="5"/>
  <c r="M2231" i="5"/>
  <c r="L2231" i="5"/>
  <c r="K2231" i="5"/>
  <c r="J2231" i="5"/>
  <c r="I2231" i="5"/>
  <c r="H2231" i="5"/>
  <c r="F2231" i="5"/>
  <c r="N2230" i="5"/>
  <c r="M2230" i="5"/>
  <c r="L2230" i="5"/>
  <c r="K2230" i="5"/>
  <c r="J2230" i="5"/>
  <c r="I2230" i="5"/>
  <c r="H2230" i="5"/>
  <c r="F2230" i="5"/>
  <c r="N2229" i="5"/>
  <c r="M2229" i="5"/>
  <c r="L2229" i="5"/>
  <c r="K2229" i="5"/>
  <c r="J2229" i="5"/>
  <c r="I2229" i="5"/>
  <c r="H2229" i="5"/>
  <c r="F2229" i="5"/>
  <c r="N2228" i="5"/>
  <c r="M2228" i="5"/>
  <c r="L2228" i="5"/>
  <c r="K2228" i="5"/>
  <c r="J2228" i="5"/>
  <c r="I2228" i="5"/>
  <c r="H2228" i="5"/>
  <c r="F2228" i="5"/>
  <c r="N2227" i="5"/>
  <c r="M2227" i="5"/>
  <c r="L2227" i="5"/>
  <c r="K2227" i="5"/>
  <c r="J2227" i="5"/>
  <c r="I2227" i="5"/>
  <c r="H2227" i="5"/>
  <c r="F2227" i="5"/>
  <c r="N2226" i="5"/>
  <c r="M2226" i="5"/>
  <c r="L2226" i="5"/>
  <c r="K2226" i="5"/>
  <c r="J2226" i="5"/>
  <c r="I2226" i="5"/>
  <c r="H2226" i="5"/>
  <c r="F2226" i="5"/>
  <c r="N2225" i="5"/>
  <c r="M2225" i="5"/>
  <c r="L2225" i="5"/>
  <c r="K2225" i="5"/>
  <c r="J2225" i="5"/>
  <c r="I2225" i="5"/>
  <c r="H2225" i="5"/>
  <c r="F2225" i="5"/>
  <c r="N2224" i="5"/>
  <c r="M2224" i="5"/>
  <c r="L2224" i="5"/>
  <c r="K2224" i="5"/>
  <c r="J2224" i="5"/>
  <c r="I2224" i="5"/>
  <c r="H2224" i="5"/>
  <c r="F2224" i="5"/>
  <c r="N2223" i="5"/>
  <c r="M2223" i="5"/>
  <c r="L2223" i="5"/>
  <c r="K2223" i="5"/>
  <c r="J2223" i="5"/>
  <c r="I2223" i="5"/>
  <c r="H2223" i="5"/>
  <c r="F2223" i="5"/>
  <c r="N2222" i="5"/>
  <c r="M2222" i="5"/>
  <c r="L2222" i="5"/>
  <c r="K2222" i="5"/>
  <c r="J2222" i="5"/>
  <c r="I2222" i="5"/>
  <c r="H2222" i="5"/>
  <c r="F2222" i="5"/>
  <c r="N2221" i="5"/>
  <c r="M2221" i="5"/>
  <c r="L2221" i="5"/>
  <c r="K2221" i="5"/>
  <c r="J2221" i="5"/>
  <c r="I2221" i="5"/>
  <c r="H2221" i="5"/>
  <c r="F2221" i="5"/>
  <c r="W2219" i="5" s="1"/>
  <c r="X2219" i="5" l="1"/>
  <c r="O2267" i="5"/>
  <c r="P2267" i="5" s="1"/>
  <c r="G2267" i="5"/>
  <c r="U2267" i="5" s="1"/>
  <c r="O2219" i="5"/>
  <c r="P2219" i="5" s="1"/>
  <c r="G2219" i="5"/>
  <c r="U2219" i="5" s="1"/>
  <c r="X2267" i="5"/>
  <c r="F2285" i="5"/>
  <c r="F2251" i="5"/>
  <c r="F2237" i="5"/>
  <c r="F2299" i="5"/>
  <c r="D2303" i="5"/>
  <c r="K2303" i="5" s="1"/>
  <c r="I2289" i="5"/>
  <c r="J2289" i="5"/>
  <c r="K2289" i="5" s="1"/>
  <c r="M2289" i="5"/>
  <c r="N2289" i="5" s="1"/>
  <c r="M2303" i="5"/>
  <c r="N2303" i="5" s="1"/>
  <c r="M2255" i="5"/>
  <c r="N2255" i="5" s="1"/>
  <c r="D2255" i="5"/>
  <c r="K2255" i="5" s="1"/>
  <c r="E1793" i="5"/>
  <c r="D1793" i="5"/>
  <c r="B1793" i="5"/>
  <c r="E2800" i="5"/>
  <c r="F2800" i="5" s="1"/>
  <c r="D2800" i="5"/>
  <c r="B2800" i="5"/>
  <c r="M2800" i="5"/>
  <c r="E2799" i="5"/>
  <c r="F2799" i="5" s="1"/>
  <c r="D2799" i="5"/>
  <c r="B2799" i="5"/>
  <c r="J2799" i="5"/>
  <c r="E2798" i="5"/>
  <c r="F2798" i="5" s="1"/>
  <c r="D2798" i="5"/>
  <c r="B2798" i="5"/>
  <c r="M2798" i="5"/>
  <c r="E2797" i="5"/>
  <c r="F2797" i="5" s="1"/>
  <c r="D2797" i="5"/>
  <c r="B2797" i="5"/>
  <c r="J2797" i="5"/>
  <c r="D2832" i="5"/>
  <c r="B2832" i="5"/>
  <c r="M2832" i="5"/>
  <c r="D2831" i="5"/>
  <c r="B2831" i="5"/>
  <c r="J2831" i="5"/>
  <c r="E2817" i="5"/>
  <c r="F2817" i="5" s="1"/>
  <c r="D2817" i="5"/>
  <c r="B2817" i="5"/>
  <c r="J2817" i="5"/>
  <c r="E2795" i="5"/>
  <c r="B2795" i="5"/>
  <c r="A2795" i="5"/>
  <c r="N2837" i="5"/>
  <c r="M2837" i="5"/>
  <c r="L2837" i="5"/>
  <c r="K2837" i="5"/>
  <c r="J2837" i="5"/>
  <c r="I2837" i="5"/>
  <c r="H2837" i="5"/>
  <c r="F2837" i="5"/>
  <c r="N2836" i="5"/>
  <c r="M2836" i="5"/>
  <c r="L2836" i="5"/>
  <c r="K2836" i="5"/>
  <c r="J2836" i="5"/>
  <c r="I2836" i="5"/>
  <c r="H2836" i="5"/>
  <c r="F2836" i="5"/>
  <c r="N2835" i="5"/>
  <c r="M2835" i="5"/>
  <c r="L2835" i="5"/>
  <c r="K2835" i="5"/>
  <c r="J2835" i="5"/>
  <c r="I2835" i="5"/>
  <c r="H2835" i="5"/>
  <c r="F2835" i="5"/>
  <c r="N2834" i="5"/>
  <c r="M2834" i="5"/>
  <c r="L2834" i="5"/>
  <c r="K2834" i="5"/>
  <c r="J2834" i="5"/>
  <c r="I2834" i="5"/>
  <c r="H2834" i="5"/>
  <c r="F2834" i="5"/>
  <c r="N2833" i="5"/>
  <c r="M2833" i="5"/>
  <c r="L2833" i="5"/>
  <c r="K2833" i="5"/>
  <c r="J2833" i="5"/>
  <c r="I2833" i="5"/>
  <c r="H2833" i="5"/>
  <c r="F2833" i="5"/>
  <c r="N2826" i="5"/>
  <c r="M2826" i="5"/>
  <c r="L2826" i="5"/>
  <c r="K2826" i="5"/>
  <c r="J2826" i="5"/>
  <c r="I2826" i="5"/>
  <c r="H2826" i="5"/>
  <c r="F2826" i="5"/>
  <c r="N2825" i="5"/>
  <c r="M2825" i="5"/>
  <c r="L2825" i="5"/>
  <c r="K2825" i="5"/>
  <c r="J2825" i="5"/>
  <c r="I2825" i="5"/>
  <c r="H2825" i="5"/>
  <c r="F2825" i="5"/>
  <c r="N2824" i="5"/>
  <c r="M2824" i="5"/>
  <c r="L2824" i="5"/>
  <c r="K2824" i="5"/>
  <c r="J2824" i="5"/>
  <c r="I2824" i="5"/>
  <c r="H2824" i="5"/>
  <c r="F2824" i="5"/>
  <c r="N2823" i="5"/>
  <c r="M2823" i="5"/>
  <c r="L2823" i="5"/>
  <c r="K2823" i="5"/>
  <c r="J2823" i="5"/>
  <c r="I2823" i="5"/>
  <c r="H2823" i="5"/>
  <c r="F2823" i="5"/>
  <c r="N2822" i="5"/>
  <c r="M2822" i="5"/>
  <c r="L2822" i="5"/>
  <c r="K2822" i="5"/>
  <c r="J2822" i="5"/>
  <c r="I2822" i="5"/>
  <c r="H2822" i="5"/>
  <c r="F2822" i="5"/>
  <c r="N2821" i="5"/>
  <c r="M2821" i="5"/>
  <c r="L2821" i="5"/>
  <c r="K2821" i="5"/>
  <c r="J2821" i="5"/>
  <c r="I2821" i="5"/>
  <c r="H2821" i="5"/>
  <c r="F2821" i="5"/>
  <c r="N2820" i="5"/>
  <c r="M2820" i="5"/>
  <c r="L2820" i="5"/>
  <c r="K2820" i="5"/>
  <c r="J2820" i="5"/>
  <c r="I2820" i="5"/>
  <c r="H2820" i="5"/>
  <c r="F2820" i="5"/>
  <c r="N2819" i="5"/>
  <c r="M2819" i="5"/>
  <c r="L2819" i="5"/>
  <c r="K2819" i="5"/>
  <c r="J2819" i="5"/>
  <c r="I2819" i="5"/>
  <c r="H2819" i="5"/>
  <c r="F2819" i="5"/>
  <c r="N2818" i="5"/>
  <c r="M2818" i="5"/>
  <c r="L2818" i="5"/>
  <c r="K2818" i="5"/>
  <c r="J2818" i="5"/>
  <c r="I2818" i="5"/>
  <c r="H2818" i="5"/>
  <c r="F2818" i="5"/>
  <c r="N2812" i="5"/>
  <c r="M2812" i="5"/>
  <c r="L2812" i="5"/>
  <c r="K2812" i="5"/>
  <c r="J2812" i="5"/>
  <c r="I2812" i="5"/>
  <c r="H2812" i="5"/>
  <c r="F2812" i="5"/>
  <c r="N2811" i="5"/>
  <c r="M2811" i="5"/>
  <c r="L2811" i="5"/>
  <c r="K2811" i="5"/>
  <c r="J2811" i="5"/>
  <c r="I2811" i="5"/>
  <c r="H2811" i="5"/>
  <c r="F2811" i="5"/>
  <c r="N2810" i="5"/>
  <c r="M2810" i="5"/>
  <c r="L2810" i="5"/>
  <c r="K2810" i="5"/>
  <c r="J2810" i="5"/>
  <c r="I2810" i="5"/>
  <c r="H2810" i="5"/>
  <c r="F2810" i="5"/>
  <c r="N2809" i="5"/>
  <c r="M2809" i="5"/>
  <c r="L2809" i="5"/>
  <c r="K2809" i="5"/>
  <c r="J2809" i="5"/>
  <c r="I2809" i="5"/>
  <c r="H2809" i="5"/>
  <c r="F2809" i="5"/>
  <c r="N2808" i="5"/>
  <c r="M2808" i="5"/>
  <c r="L2808" i="5"/>
  <c r="K2808" i="5"/>
  <c r="J2808" i="5"/>
  <c r="I2808" i="5"/>
  <c r="H2808" i="5"/>
  <c r="F2808" i="5"/>
  <c r="N2807" i="5"/>
  <c r="M2807" i="5"/>
  <c r="L2807" i="5"/>
  <c r="K2807" i="5"/>
  <c r="J2807" i="5"/>
  <c r="I2807" i="5"/>
  <c r="H2807" i="5"/>
  <c r="F2807" i="5"/>
  <c r="N2806" i="5"/>
  <c r="M2806" i="5"/>
  <c r="L2806" i="5"/>
  <c r="K2806" i="5"/>
  <c r="J2806" i="5"/>
  <c r="I2806" i="5"/>
  <c r="H2806" i="5"/>
  <c r="F2806" i="5"/>
  <c r="N2805" i="5"/>
  <c r="M2805" i="5"/>
  <c r="L2805" i="5"/>
  <c r="K2805" i="5"/>
  <c r="J2805" i="5"/>
  <c r="I2805" i="5"/>
  <c r="H2805" i="5"/>
  <c r="F2805" i="5"/>
  <c r="N2804" i="5"/>
  <c r="M2804" i="5"/>
  <c r="L2804" i="5"/>
  <c r="K2804" i="5"/>
  <c r="J2804" i="5"/>
  <c r="I2804" i="5"/>
  <c r="H2804" i="5"/>
  <c r="F2804" i="5"/>
  <c r="N2803" i="5"/>
  <c r="M2803" i="5"/>
  <c r="L2803" i="5"/>
  <c r="K2803" i="5"/>
  <c r="J2803" i="5"/>
  <c r="I2803" i="5"/>
  <c r="H2803" i="5"/>
  <c r="F2803" i="5"/>
  <c r="N2802" i="5"/>
  <c r="M2802" i="5"/>
  <c r="L2802" i="5"/>
  <c r="K2802" i="5"/>
  <c r="J2802" i="5"/>
  <c r="I2802" i="5"/>
  <c r="H2802" i="5"/>
  <c r="F2802" i="5"/>
  <c r="N2801" i="5"/>
  <c r="M2801" i="5"/>
  <c r="L2801" i="5"/>
  <c r="K2801" i="5"/>
  <c r="J2801" i="5"/>
  <c r="I2801" i="5"/>
  <c r="H2801" i="5"/>
  <c r="F2801" i="5"/>
  <c r="O2795" i="5" l="1"/>
  <c r="P2795" i="5" s="1"/>
  <c r="W2795" i="5"/>
  <c r="X2795" i="5"/>
  <c r="L2289" i="5"/>
  <c r="L2303" i="5"/>
  <c r="J2798" i="5"/>
  <c r="K2798" i="5" s="1"/>
  <c r="H2798" i="5"/>
  <c r="I2798" i="5" s="1"/>
  <c r="N2832" i="5"/>
  <c r="N2800" i="5"/>
  <c r="H2800" i="5"/>
  <c r="I2800" i="5" s="1"/>
  <c r="J2800" i="5"/>
  <c r="K2800" i="5" s="1"/>
  <c r="M2831" i="5"/>
  <c r="N2831" i="5" s="1"/>
  <c r="K2817" i="5"/>
  <c r="M2817" i="5"/>
  <c r="N2817" i="5" s="1"/>
  <c r="H2817" i="5"/>
  <c r="I2817" i="5" s="1"/>
  <c r="F2813" i="5"/>
  <c r="F2827" i="5"/>
  <c r="K2797" i="5"/>
  <c r="M2797" i="5"/>
  <c r="N2797" i="5" s="1"/>
  <c r="M2799" i="5"/>
  <c r="N2799" i="5" s="1"/>
  <c r="H2797" i="5"/>
  <c r="I2797" i="5" s="1"/>
  <c r="N2798" i="5"/>
  <c r="H2799" i="5"/>
  <c r="I2799" i="5" s="1"/>
  <c r="K2831" i="5"/>
  <c r="J2832" i="5"/>
  <c r="K2832" i="5" s="1"/>
  <c r="K2799" i="5"/>
  <c r="T2267" i="5" l="1"/>
  <c r="V2267" i="5" s="1"/>
  <c r="E5437" i="5" l="1"/>
  <c r="F5437" i="5" s="1"/>
  <c r="D5437" i="5"/>
  <c r="B5437" i="5"/>
  <c r="M5437" i="5"/>
  <c r="D5472" i="5"/>
  <c r="B5472" i="5"/>
  <c r="D5471" i="5"/>
  <c r="B5471" i="5"/>
  <c r="M5471" i="5"/>
  <c r="E5435" i="5"/>
  <c r="B5435" i="5"/>
  <c r="A5435" i="5"/>
  <c r="N5477" i="5"/>
  <c r="M5477" i="5"/>
  <c r="L5477" i="5"/>
  <c r="K5477" i="5"/>
  <c r="J5477" i="5"/>
  <c r="I5477" i="5"/>
  <c r="H5477" i="5"/>
  <c r="F5477" i="5"/>
  <c r="N5476" i="5"/>
  <c r="M5476" i="5"/>
  <c r="L5476" i="5"/>
  <c r="K5476" i="5"/>
  <c r="J5476" i="5"/>
  <c r="I5476" i="5"/>
  <c r="H5476" i="5"/>
  <c r="F5476" i="5"/>
  <c r="N5475" i="5"/>
  <c r="M5475" i="5"/>
  <c r="L5475" i="5"/>
  <c r="K5475" i="5"/>
  <c r="J5475" i="5"/>
  <c r="I5475" i="5"/>
  <c r="H5475" i="5"/>
  <c r="F5475" i="5"/>
  <c r="N5474" i="5"/>
  <c r="M5474" i="5"/>
  <c r="L5474" i="5"/>
  <c r="K5474" i="5"/>
  <c r="J5474" i="5"/>
  <c r="I5474" i="5"/>
  <c r="H5474" i="5"/>
  <c r="F5474" i="5"/>
  <c r="N5473" i="5"/>
  <c r="M5473" i="5"/>
  <c r="L5473" i="5"/>
  <c r="K5473" i="5"/>
  <c r="J5473" i="5"/>
  <c r="I5473" i="5"/>
  <c r="H5473" i="5"/>
  <c r="F5473" i="5"/>
  <c r="N5466" i="5"/>
  <c r="M5466" i="5"/>
  <c r="L5466" i="5"/>
  <c r="K5466" i="5"/>
  <c r="J5466" i="5"/>
  <c r="I5466" i="5"/>
  <c r="H5466" i="5"/>
  <c r="F5466" i="5"/>
  <c r="N5465" i="5"/>
  <c r="M5465" i="5"/>
  <c r="L5465" i="5"/>
  <c r="K5465" i="5"/>
  <c r="J5465" i="5"/>
  <c r="I5465" i="5"/>
  <c r="H5465" i="5"/>
  <c r="F5465" i="5"/>
  <c r="N5464" i="5"/>
  <c r="M5464" i="5"/>
  <c r="L5464" i="5"/>
  <c r="K5464" i="5"/>
  <c r="J5464" i="5"/>
  <c r="I5464" i="5"/>
  <c r="H5464" i="5"/>
  <c r="F5464" i="5"/>
  <c r="N5463" i="5"/>
  <c r="M5463" i="5"/>
  <c r="L5463" i="5"/>
  <c r="K5463" i="5"/>
  <c r="J5463" i="5"/>
  <c r="I5463" i="5"/>
  <c r="H5463" i="5"/>
  <c r="F5463" i="5"/>
  <c r="N5462" i="5"/>
  <c r="M5462" i="5"/>
  <c r="L5462" i="5"/>
  <c r="K5462" i="5"/>
  <c r="J5462" i="5"/>
  <c r="I5462" i="5"/>
  <c r="H5462" i="5"/>
  <c r="F5462" i="5"/>
  <c r="N5461" i="5"/>
  <c r="M5461" i="5"/>
  <c r="L5461" i="5"/>
  <c r="K5461" i="5"/>
  <c r="J5461" i="5"/>
  <c r="I5461" i="5"/>
  <c r="H5461" i="5"/>
  <c r="F5461" i="5"/>
  <c r="N5460" i="5"/>
  <c r="M5460" i="5"/>
  <c r="L5460" i="5"/>
  <c r="K5460" i="5"/>
  <c r="J5460" i="5"/>
  <c r="I5460" i="5"/>
  <c r="H5460" i="5"/>
  <c r="F5460" i="5"/>
  <c r="N5459" i="5"/>
  <c r="M5459" i="5"/>
  <c r="L5459" i="5"/>
  <c r="K5459" i="5"/>
  <c r="J5459" i="5"/>
  <c r="I5459" i="5"/>
  <c r="H5459" i="5"/>
  <c r="F5459" i="5"/>
  <c r="N5458" i="5"/>
  <c r="M5458" i="5"/>
  <c r="L5458" i="5"/>
  <c r="K5458" i="5"/>
  <c r="J5458" i="5"/>
  <c r="I5458" i="5"/>
  <c r="H5458" i="5"/>
  <c r="F5458" i="5"/>
  <c r="N5457" i="5"/>
  <c r="M5457" i="5"/>
  <c r="L5457" i="5"/>
  <c r="K5457" i="5"/>
  <c r="J5457" i="5"/>
  <c r="I5457" i="5"/>
  <c r="H5457" i="5"/>
  <c r="F5457" i="5"/>
  <c r="N5452" i="5"/>
  <c r="M5452" i="5"/>
  <c r="L5452" i="5"/>
  <c r="K5452" i="5"/>
  <c r="J5452" i="5"/>
  <c r="I5452" i="5"/>
  <c r="H5452" i="5"/>
  <c r="F5452" i="5"/>
  <c r="N5451" i="5"/>
  <c r="M5451" i="5"/>
  <c r="L5451" i="5"/>
  <c r="K5451" i="5"/>
  <c r="J5451" i="5"/>
  <c r="I5451" i="5"/>
  <c r="H5451" i="5"/>
  <c r="F5451" i="5"/>
  <c r="N5450" i="5"/>
  <c r="M5450" i="5"/>
  <c r="L5450" i="5"/>
  <c r="K5450" i="5"/>
  <c r="J5450" i="5"/>
  <c r="I5450" i="5"/>
  <c r="H5450" i="5"/>
  <c r="F5450" i="5"/>
  <c r="N5449" i="5"/>
  <c r="M5449" i="5"/>
  <c r="L5449" i="5"/>
  <c r="K5449" i="5"/>
  <c r="J5449" i="5"/>
  <c r="I5449" i="5"/>
  <c r="H5449" i="5"/>
  <c r="F5449" i="5"/>
  <c r="N5448" i="5"/>
  <c r="M5448" i="5"/>
  <c r="L5448" i="5"/>
  <c r="K5448" i="5"/>
  <c r="J5448" i="5"/>
  <c r="I5448" i="5"/>
  <c r="H5448" i="5"/>
  <c r="F5448" i="5"/>
  <c r="N5447" i="5"/>
  <c r="M5447" i="5"/>
  <c r="L5447" i="5"/>
  <c r="K5447" i="5"/>
  <c r="J5447" i="5"/>
  <c r="I5447" i="5"/>
  <c r="H5447" i="5"/>
  <c r="F5447" i="5"/>
  <c r="N5446" i="5"/>
  <c r="M5446" i="5"/>
  <c r="L5446" i="5"/>
  <c r="K5446" i="5"/>
  <c r="J5446" i="5"/>
  <c r="I5446" i="5"/>
  <c r="H5446" i="5"/>
  <c r="F5446" i="5"/>
  <c r="M5445" i="5"/>
  <c r="L5445" i="5"/>
  <c r="K5445" i="5"/>
  <c r="J5445" i="5"/>
  <c r="I5445" i="5"/>
  <c r="H5445" i="5"/>
  <c r="F5445" i="5"/>
  <c r="B5445" i="5"/>
  <c r="N5445" i="5" s="1"/>
  <c r="N5444" i="5"/>
  <c r="M5444" i="5"/>
  <c r="L5444" i="5"/>
  <c r="K5444" i="5"/>
  <c r="J5444" i="5"/>
  <c r="I5444" i="5"/>
  <c r="H5444" i="5"/>
  <c r="F5444" i="5"/>
  <c r="N5443" i="5"/>
  <c r="M5443" i="5"/>
  <c r="L5443" i="5"/>
  <c r="K5443" i="5"/>
  <c r="J5443" i="5"/>
  <c r="I5443" i="5"/>
  <c r="H5443" i="5"/>
  <c r="F5443" i="5"/>
  <c r="N5442" i="5"/>
  <c r="M5442" i="5"/>
  <c r="L5442" i="5"/>
  <c r="K5442" i="5"/>
  <c r="J5442" i="5"/>
  <c r="I5442" i="5"/>
  <c r="H5442" i="5"/>
  <c r="F5442" i="5"/>
  <c r="N5441" i="5"/>
  <c r="M5441" i="5"/>
  <c r="L5441" i="5"/>
  <c r="K5441" i="5"/>
  <c r="J5441" i="5"/>
  <c r="I5441" i="5"/>
  <c r="H5441" i="5"/>
  <c r="F5441" i="5"/>
  <c r="N5440" i="5"/>
  <c r="M5440" i="5"/>
  <c r="L5440" i="5"/>
  <c r="K5440" i="5"/>
  <c r="J5440" i="5"/>
  <c r="I5440" i="5"/>
  <c r="H5440" i="5"/>
  <c r="F5440" i="5"/>
  <c r="F5439" i="5"/>
  <c r="M5439" i="5"/>
  <c r="F5438" i="5"/>
  <c r="M5438" i="5"/>
  <c r="X5435" i="5" l="1"/>
  <c r="O5435" i="5"/>
  <c r="P5435" i="5" s="1"/>
  <c r="G5435" i="5"/>
  <c r="U5435" i="5" s="1"/>
  <c r="W5435" i="5"/>
  <c r="F5467" i="5"/>
  <c r="N5471" i="5"/>
  <c r="F5453" i="5"/>
  <c r="N5437" i="5"/>
  <c r="H5438" i="5"/>
  <c r="I5438" i="5" s="1"/>
  <c r="N5439" i="5"/>
  <c r="M5472" i="5"/>
  <c r="N5472" i="5" s="1"/>
  <c r="J5438" i="5"/>
  <c r="J5471" i="5"/>
  <c r="K5471" i="5" s="1"/>
  <c r="H5437" i="5"/>
  <c r="I5437" i="5" s="1"/>
  <c r="N5438" i="5"/>
  <c r="H5439" i="5"/>
  <c r="I5439" i="5" s="1"/>
  <c r="K5438" i="5"/>
  <c r="J5472" i="5"/>
  <c r="K5472" i="5" s="1"/>
  <c r="J5437" i="5"/>
  <c r="J5439" i="5"/>
  <c r="K5439" i="5" s="1"/>
  <c r="K5437" i="5" l="1"/>
  <c r="L5438" i="5"/>
  <c r="L5439" i="5"/>
  <c r="D5231" i="5" l="1"/>
  <c r="B5231" i="5"/>
  <c r="J5231" i="5"/>
  <c r="E5197" i="5"/>
  <c r="F5197" i="5" s="1"/>
  <c r="D5197" i="5"/>
  <c r="B5197" i="5"/>
  <c r="M5197" i="5"/>
  <c r="E5195" i="5"/>
  <c r="B5195" i="5"/>
  <c r="A5195" i="5"/>
  <c r="N5237" i="5"/>
  <c r="M5237" i="5"/>
  <c r="L5237" i="5"/>
  <c r="K5237" i="5"/>
  <c r="J5237" i="5"/>
  <c r="I5237" i="5"/>
  <c r="H5237" i="5"/>
  <c r="F5237" i="5"/>
  <c r="N5236" i="5"/>
  <c r="M5236" i="5"/>
  <c r="L5236" i="5"/>
  <c r="K5236" i="5"/>
  <c r="J5236" i="5"/>
  <c r="I5236" i="5"/>
  <c r="H5236" i="5"/>
  <c r="F5236" i="5"/>
  <c r="N5235" i="5"/>
  <c r="M5235" i="5"/>
  <c r="L5235" i="5"/>
  <c r="K5235" i="5"/>
  <c r="J5235" i="5"/>
  <c r="I5235" i="5"/>
  <c r="H5235" i="5"/>
  <c r="F5235" i="5"/>
  <c r="N5234" i="5"/>
  <c r="M5234" i="5"/>
  <c r="L5234" i="5"/>
  <c r="K5234" i="5"/>
  <c r="J5234" i="5"/>
  <c r="I5234" i="5"/>
  <c r="H5234" i="5"/>
  <c r="F5234" i="5"/>
  <c r="M5233" i="5"/>
  <c r="N5233" i="5" s="1"/>
  <c r="F5233" i="5"/>
  <c r="J5232" i="5"/>
  <c r="M5232" i="5"/>
  <c r="N5232" i="5" s="1"/>
  <c r="N5226" i="5"/>
  <c r="M5226" i="5"/>
  <c r="L5226" i="5"/>
  <c r="K5226" i="5"/>
  <c r="J5226" i="5"/>
  <c r="I5226" i="5"/>
  <c r="H5226" i="5"/>
  <c r="F5226" i="5"/>
  <c r="N5225" i="5"/>
  <c r="M5225" i="5"/>
  <c r="L5225" i="5"/>
  <c r="K5225" i="5"/>
  <c r="J5225" i="5"/>
  <c r="I5225" i="5"/>
  <c r="H5225" i="5"/>
  <c r="F5225" i="5"/>
  <c r="N5224" i="5"/>
  <c r="M5224" i="5"/>
  <c r="L5224" i="5"/>
  <c r="K5224" i="5"/>
  <c r="J5224" i="5"/>
  <c r="I5224" i="5"/>
  <c r="H5224" i="5"/>
  <c r="F5224" i="5"/>
  <c r="N5223" i="5"/>
  <c r="M5223" i="5"/>
  <c r="L5223" i="5"/>
  <c r="K5223" i="5"/>
  <c r="J5223" i="5"/>
  <c r="I5223" i="5"/>
  <c r="H5223" i="5"/>
  <c r="F5223" i="5"/>
  <c r="N5222" i="5"/>
  <c r="M5222" i="5"/>
  <c r="L5222" i="5"/>
  <c r="K5222" i="5"/>
  <c r="J5222" i="5"/>
  <c r="I5222" i="5"/>
  <c r="H5222" i="5"/>
  <c r="F5222" i="5"/>
  <c r="N5221" i="5"/>
  <c r="M5221" i="5"/>
  <c r="L5221" i="5"/>
  <c r="K5221" i="5"/>
  <c r="J5221" i="5"/>
  <c r="I5221" i="5"/>
  <c r="H5221" i="5"/>
  <c r="F5221" i="5"/>
  <c r="N5220" i="5"/>
  <c r="M5220" i="5"/>
  <c r="L5220" i="5"/>
  <c r="K5220" i="5"/>
  <c r="J5220" i="5"/>
  <c r="I5220" i="5"/>
  <c r="H5220" i="5"/>
  <c r="F5220" i="5"/>
  <c r="N5219" i="5"/>
  <c r="M5219" i="5"/>
  <c r="L5219" i="5"/>
  <c r="K5219" i="5"/>
  <c r="J5219" i="5"/>
  <c r="I5219" i="5"/>
  <c r="H5219" i="5"/>
  <c r="F5219" i="5"/>
  <c r="N5218" i="5"/>
  <c r="M5218" i="5"/>
  <c r="L5218" i="5"/>
  <c r="K5218" i="5"/>
  <c r="J5218" i="5"/>
  <c r="I5218" i="5"/>
  <c r="H5218" i="5"/>
  <c r="F5218" i="5"/>
  <c r="N5217" i="5"/>
  <c r="M5217" i="5"/>
  <c r="L5217" i="5"/>
  <c r="K5217" i="5"/>
  <c r="J5217" i="5"/>
  <c r="I5217" i="5"/>
  <c r="H5217" i="5"/>
  <c r="F5217" i="5"/>
  <c r="X5195" i="5" s="1"/>
  <c r="N5212" i="5"/>
  <c r="M5212" i="5"/>
  <c r="L5212" i="5"/>
  <c r="K5212" i="5"/>
  <c r="J5212" i="5"/>
  <c r="I5212" i="5"/>
  <c r="H5212" i="5"/>
  <c r="F5212" i="5"/>
  <c r="N5211" i="5"/>
  <c r="M5211" i="5"/>
  <c r="L5211" i="5"/>
  <c r="K5211" i="5"/>
  <c r="J5211" i="5"/>
  <c r="I5211" i="5"/>
  <c r="H5211" i="5"/>
  <c r="F5211" i="5"/>
  <c r="N5210" i="5"/>
  <c r="M5210" i="5"/>
  <c r="L5210" i="5"/>
  <c r="K5210" i="5"/>
  <c r="J5210" i="5"/>
  <c r="I5210" i="5"/>
  <c r="H5210" i="5"/>
  <c r="F5210" i="5"/>
  <c r="N5209" i="5"/>
  <c r="M5209" i="5"/>
  <c r="L5209" i="5"/>
  <c r="K5209" i="5"/>
  <c r="J5209" i="5"/>
  <c r="I5209" i="5"/>
  <c r="H5209" i="5"/>
  <c r="F5209" i="5"/>
  <c r="N5208" i="5"/>
  <c r="M5208" i="5"/>
  <c r="L5208" i="5"/>
  <c r="K5208" i="5"/>
  <c r="J5208" i="5"/>
  <c r="I5208" i="5"/>
  <c r="H5208" i="5"/>
  <c r="F5208" i="5"/>
  <c r="N5207" i="5"/>
  <c r="M5207" i="5"/>
  <c r="L5207" i="5"/>
  <c r="K5207" i="5"/>
  <c r="J5207" i="5"/>
  <c r="I5207" i="5"/>
  <c r="H5207" i="5"/>
  <c r="F5207" i="5"/>
  <c r="N5206" i="5"/>
  <c r="M5206" i="5"/>
  <c r="L5206" i="5"/>
  <c r="K5206" i="5"/>
  <c r="J5206" i="5"/>
  <c r="I5206" i="5"/>
  <c r="H5206" i="5"/>
  <c r="F5206" i="5"/>
  <c r="N5205" i="5"/>
  <c r="M5205" i="5"/>
  <c r="L5205" i="5"/>
  <c r="K5205" i="5"/>
  <c r="J5205" i="5"/>
  <c r="I5205" i="5"/>
  <c r="H5205" i="5"/>
  <c r="F5205" i="5"/>
  <c r="N5204" i="5"/>
  <c r="M5204" i="5"/>
  <c r="L5204" i="5"/>
  <c r="K5204" i="5"/>
  <c r="J5204" i="5"/>
  <c r="I5204" i="5"/>
  <c r="H5204" i="5"/>
  <c r="F5204" i="5"/>
  <c r="N5203" i="5"/>
  <c r="M5203" i="5"/>
  <c r="L5203" i="5"/>
  <c r="K5203" i="5"/>
  <c r="J5203" i="5"/>
  <c r="I5203" i="5"/>
  <c r="H5203" i="5"/>
  <c r="F5203" i="5"/>
  <c r="N5202" i="5"/>
  <c r="M5202" i="5"/>
  <c r="L5202" i="5"/>
  <c r="K5202" i="5"/>
  <c r="J5202" i="5"/>
  <c r="I5202" i="5"/>
  <c r="H5202" i="5"/>
  <c r="F5202" i="5"/>
  <c r="N5201" i="5"/>
  <c r="M5201" i="5"/>
  <c r="L5201" i="5"/>
  <c r="K5201" i="5"/>
  <c r="J5201" i="5"/>
  <c r="I5201" i="5"/>
  <c r="H5201" i="5"/>
  <c r="F5201" i="5"/>
  <c r="N5200" i="5"/>
  <c r="M5200" i="5"/>
  <c r="L5200" i="5"/>
  <c r="K5200" i="5"/>
  <c r="J5200" i="5"/>
  <c r="I5200" i="5"/>
  <c r="H5200" i="5"/>
  <c r="F5200" i="5"/>
  <c r="H5199" i="5"/>
  <c r="F5199" i="5"/>
  <c r="M5199" i="5"/>
  <c r="F5198" i="5"/>
  <c r="D4320" i="5"/>
  <c r="B4320" i="5"/>
  <c r="D4319" i="5"/>
  <c r="B4319" i="5"/>
  <c r="M4319" i="5"/>
  <c r="E4285" i="5"/>
  <c r="F4285" i="5" s="1"/>
  <c r="D4285" i="5"/>
  <c r="B4285" i="5"/>
  <c r="M4285" i="5"/>
  <c r="E4283" i="5"/>
  <c r="B4283" i="5"/>
  <c r="A4283" i="5"/>
  <c r="N4325" i="5"/>
  <c r="M4325" i="5"/>
  <c r="L4325" i="5"/>
  <c r="K4325" i="5"/>
  <c r="J4325" i="5"/>
  <c r="I4325" i="5"/>
  <c r="H4325" i="5"/>
  <c r="F4325" i="5"/>
  <c r="N4324" i="5"/>
  <c r="M4324" i="5"/>
  <c r="L4324" i="5"/>
  <c r="K4324" i="5"/>
  <c r="J4324" i="5"/>
  <c r="I4324" i="5"/>
  <c r="H4324" i="5"/>
  <c r="F4324" i="5"/>
  <c r="N4323" i="5"/>
  <c r="M4323" i="5"/>
  <c r="L4323" i="5"/>
  <c r="K4323" i="5"/>
  <c r="J4323" i="5"/>
  <c r="I4323" i="5"/>
  <c r="H4323" i="5"/>
  <c r="F4323" i="5"/>
  <c r="N4322" i="5"/>
  <c r="M4322" i="5"/>
  <c r="L4322" i="5"/>
  <c r="K4322" i="5"/>
  <c r="J4322" i="5"/>
  <c r="I4322" i="5"/>
  <c r="H4322" i="5"/>
  <c r="F4322" i="5"/>
  <c r="N4321" i="5"/>
  <c r="M4321" i="5"/>
  <c r="L4321" i="5"/>
  <c r="K4321" i="5"/>
  <c r="J4321" i="5"/>
  <c r="I4321" i="5"/>
  <c r="H4321" i="5"/>
  <c r="F4321" i="5"/>
  <c r="N4314" i="5"/>
  <c r="M4314" i="5"/>
  <c r="L4314" i="5"/>
  <c r="K4314" i="5"/>
  <c r="J4314" i="5"/>
  <c r="I4314" i="5"/>
  <c r="H4314" i="5"/>
  <c r="F4314" i="5"/>
  <c r="N4313" i="5"/>
  <c r="M4313" i="5"/>
  <c r="L4313" i="5"/>
  <c r="K4313" i="5"/>
  <c r="J4313" i="5"/>
  <c r="I4313" i="5"/>
  <c r="H4313" i="5"/>
  <c r="F4313" i="5"/>
  <c r="N4312" i="5"/>
  <c r="M4312" i="5"/>
  <c r="L4312" i="5"/>
  <c r="K4312" i="5"/>
  <c r="J4312" i="5"/>
  <c r="I4312" i="5"/>
  <c r="H4312" i="5"/>
  <c r="F4312" i="5"/>
  <c r="N4311" i="5"/>
  <c r="M4311" i="5"/>
  <c r="L4311" i="5"/>
  <c r="K4311" i="5"/>
  <c r="J4311" i="5"/>
  <c r="I4311" i="5"/>
  <c r="H4311" i="5"/>
  <c r="F4311" i="5"/>
  <c r="N4310" i="5"/>
  <c r="M4310" i="5"/>
  <c r="L4310" i="5"/>
  <c r="K4310" i="5"/>
  <c r="J4310" i="5"/>
  <c r="I4310" i="5"/>
  <c r="H4310" i="5"/>
  <c r="F4310" i="5"/>
  <c r="N4309" i="5"/>
  <c r="M4309" i="5"/>
  <c r="L4309" i="5"/>
  <c r="K4309" i="5"/>
  <c r="J4309" i="5"/>
  <c r="I4309" i="5"/>
  <c r="H4309" i="5"/>
  <c r="F4309" i="5"/>
  <c r="N4308" i="5"/>
  <c r="M4308" i="5"/>
  <c r="L4308" i="5"/>
  <c r="K4308" i="5"/>
  <c r="J4308" i="5"/>
  <c r="I4308" i="5"/>
  <c r="H4308" i="5"/>
  <c r="F4308" i="5"/>
  <c r="N4307" i="5"/>
  <c r="M4307" i="5"/>
  <c r="L4307" i="5"/>
  <c r="K4307" i="5"/>
  <c r="J4307" i="5"/>
  <c r="I4307" i="5"/>
  <c r="H4307" i="5"/>
  <c r="F4307" i="5"/>
  <c r="N4306" i="5"/>
  <c r="M4306" i="5"/>
  <c r="L4306" i="5"/>
  <c r="K4306" i="5"/>
  <c r="J4306" i="5"/>
  <c r="I4306" i="5"/>
  <c r="H4306" i="5"/>
  <c r="F4306" i="5"/>
  <c r="N4305" i="5"/>
  <c r="M4305" i="5"/>
  <c r="L4305" i="5"/>
  <c r="K4305" i="5"/>
  <c r="J4305" i="5"/>
  <c r="I4305" i="5"/>
  <c r="H4305" i="5"/>
  <c r="F4305" i="5"/>
  <c r="N4300" i="5"/>
  <c r="M4300" i="5"/>
  <c r="L4300" i="5"/>
  <c r="K4300" i="5"/>
  <c r="J4300" i="5"/>
  <c r="I4300" i="5"/>
  <c r="H4300" i="5"/>
  <c r="F4300" i="5"/>
  <c r="N4299" i="5"/>
  <c r="M4299" i="5"/>
  <c r="L4299" i="5"/>
  <c r="K4299" i="5"/>
  <c r="J4299" i="5"/>
  <c r="I4299" i="5"/>
  <c r="H4299" i="5"/>
  <c r="F4299" i="5"/>
  <c r="N4298" i="5"/>
  <c r="M4298" i="5"/>
  <c r="L4298" i="5"/>
  <c r="K4298" i="5"/>
  <c r="J4298" i="5"/>
  <c r="I4298" i="5"/>
  <c r="H4298" i="5"/>
  <c r="F4298" i="5"/>
  <c r="N4297" i="5"/>
  <c r="M4297" i="5"/>
  <c r="L4297" i="5"/>
  <c r="K4297" i="5"/>
  <c r="J4297" i="5"/>
  <c r="I4297" i="5"/>
  <c r="H4297" i="5"/>
  <c r="F4297" i="5"/>
  <c r="N4296" i="5"/>
  <c r="M4296" i="5"/>
  <c r="L4296" i="5"/>
  <c r="K4296" i="5"/>
  <c r="J4296" i="5"/>
  <c r="I4296" i="5"/>
  <c r="H4296" i="5"/>
  <c r="F4296" i="5"/>
  <c r="N4295" i="5"/>
  <c r="M4295" i="5"/>
  <c r="L4295" i="5"/>
  <c r="K4295" i="5"/>
  <c r="J4295" i="5"/>
  <c r="I4295" i="5"/>
  <c r="H4295" i="5"/>
  <c r="F4295" i="5"/>
  <c r="N4293" i="5"/>
  <c r="M4293" i="5"/>
  <c r="L4293" i="5"/>
  <c r="K4293" i="5"/>
  <c r="J4293" i="5"/>
  <c r="I4293" i="5"/>
  <c r="H4293" i="5"/>
  <c r="F4293" i="5"/>
  <c r="N4292" i="5"/>
  <c r="M4292" i="5"/>
  <c r="L4292" i="5"/>
  <c r="K4292" i="5"/>
  <c r="J4292" i="5"/>
  <c r="I4292" i="5"/>
  <c r="H4292" i="5"/>
  <c r="F4292" i="5"/>
  <c r="N4291" i="5"/>
  <c r="M4291" i="5"/>
  <c r="L4291" i="5"/>
  <c r="K4291" i="5"/>
  <c r="J4291" i="5"/>
  <c r="I4291" i="5"/>
  <c r="H4291" i="5"/>
  <c r="F4291" i="5"/>
  <c r="N4290" i="5"/>
  <c r="M4290" i="5"/>
  <c r="L4290" i="5"/>
  <c r="K4290" i="5"/>
  <c r="J4290" i="5"/>
  <c r="I4290" i="5"/>
  <c r="H4290" i="5"/>
  <c r="F4290" i="5"/>
  <c r="N4289" i="5"/>
  <c r="M4289" i="5"/>
  <c r="L4289" i="5"/>
  <c r="K4289" i="5"/>
  <c r="J4289" i="5"/>
  <c r="I4289" i="5"/>
  <c r="H4289" i="5"/>
  <c r="F4289" i="5"/>
  <c r="N4288" i="5"/>
  <c r="M4288" i="5"/>
  <c r="L4288" i="5"/>
  <c r="K4288" i="5"/>
  <c r="J4288" i="5"/>
  <c r="I4288" i="5"/>
  <c r="H4288" i="5"/>
  <c r="F4288" i="5"/>
  <c r="N4287" i="5"/>
  <c r="M4287" i="5"/>
  <c r="L4287" i="5"/>
  <c r="K4287" i="5"/>
  <c r="J4287" i="5"/>
  <c r="I4287" i="5"/>
  <c r="H4287" i="5"/>
  <c r="F4287" i="5"/>
  <c r="N4286" i="5"/>
  <c r="M4286" i="5"/>
  <c r="L4286" i="5"/>
  <c r="K4286" i="5"/>
  <c r="J4286" i="5"/>
  <c r="I4286" i="5"/>
  <c r="H4286" i="5"/>
  <c r="F4286" i="5"/>
  <c r="D4224" i="5"/>
  <c r="B4224" i="5"/>
  <c r="M4224" i="5"/>
  <c r="D4223" i="5"/>
  <c r="B4223" i="5"/>
  <c r="E4189" i="5"/>
  <c r="F4189" i="5" s="1"/>
  <c r="D4189" i="5"/>
  <c r="B4189" i="5"/>
  <c r="M4189" i="5"/>
  <c r="E4187" i="5"/>
  <c r="B4187" i="5"/>
  <c r="A4187" i="5"/>
  <c r="N4229" i="5"/>
  <c r="M4229" i="5"/>
  <c r="L4229" i="5"/>
  <c r="K4229" i="5"/>
  <c r="J4229" i="5"/>
  <c r="I4229" i="5"/>
  <c r="H4229" i="5"/>
  <c r="F4229" i="5"/>
  <c r="N4228" i="5"/>
  <c r="M4228" i="5"/>
  <c r="L4228" i="5"/>
  <c r="K4228" i="5"/>
  <c r="J4228" i="5"/>
  <c r="I4228" i="5"/>
  <c r="H4228" i="5"/>
  <c r="F4228" i="5"/>
  <c r="N4227" i="5"/>
  <c r="M4227" i="5"/>
  <c r="L4227" i="5"/>
  <c r="K4227" i="5"/>
  <c r="J4227" i="5"/>
  <c r="I4227" i="5"/>
  <c r="H4227" i="5"/>
  <c r="F4227" i="5"/>
  <c r="N4226" i="5"/>
  <c r="M4226" i="5"/>
  <c r="L4226" i="5"/>
  <c r="K4226" i="5"/>
  <c r="J4226" i="5"/>
  <c r="I4226" i="5"/>
  <c r="H4226" i="5"/>
  <c r="F4226" i="5"/>
  <c r="N4225" i="5"/>
  <c r="M4225" i="5"/>
  <c r="L4225" i="5"/>
  <c r="K4225" i="5"/>
  <c r="J4225" i="5"/>
  <c r="I4225" i="5"/>
  <c r="H4225" i="5"/>
  <c r="F4225" i="5"/>
  <c r="N4218" i="5"/>
  <c r="M4218" i="5"/>
  <c r="L4218" i="5"/>
  <c r="K4218" i="5"/>
  <c r="J4218" i="5"/>
  <c r="I4218" i="5"/>
  <c r="H4218" i="5"/>
  <c r="F4218" i="5"/>
  <c r="N4217" i="5"/>
  <c r="M4217" i="5"/>
  <c r="L4217" i="5"/>
  <c r="K4217" i="5"/>
  <c r="J4217" i="5"/>
  <c r="I4217" i="5"/>
  <c r="H4217" i="5"/>
  <c r="F4217" i="5"/>
  <c r="N4216" i="5"/>
  <c r="M4216" i="5"/>
  <c r="L4216" i="5"/>
  <c r="K4216" i="5"/>
  <c r="J4216" i="5"/>
  <c r="I4216" i="5"/>
  <c r="H4216" i="5"/>
  <c r="F4216" i="5"/>
  <c r="N4215" i="5"/>
  <c r="M4215" i="5"/>
  <c r="L4215" i="5"/>
  <c r="K4215" i="5"/>
  <c r="J4215" i="5"/>
  <c r="I4215" i="5"/>
  <c r="H4215" i="5"/>
  <c r="F4215" i="5"/>
  <c r="N4214" i="5"/>
  <c r="M4214" i="5"/>
  <c r="L4214" i="5"/>
  <c r="K4214" i="5"/>
  <c r="J4214" i="5"/>
  <c r="I4214" i="5"/>
  <c r="H4214" i="5"/>
  <c r="F4214" i="5"/>
  <c r="N4213" i="5"/>
  <c r="M4213" i="5"/>
  <c r="L4213" i="5"/>
  <c r="K4213" i="5"/>
  <c r="J4213" i="5"/>
  <c r="I4213" i="5"/>
  <c r="H4213" i="5"/>
  <c r="F4213" i="5"/>
  <c r="N4212" i="5"/>
  <c r="M4212" i="5"/>
  <c r="L4212" i="5"/>
  <c r="K4212" i="5"/>
  <c r="J4212" i="5"/>
  <c r="I4212" i="5"/>
  <c r="H4212" i="5"/>
  <c r="F4212" i="5"/>
  <c r="N4211" i="5"/>
  <c r="M4211" i="5"/>
  <c r="L4211" i="5"/>
  <c r="K4211" i="5"/>
  <c r="J4211" i="5"/>
  <c r="I4211" i="5"/>
  <c r="H4211" i="5"/>
  <c r="F4211" i="5"/>
  <c r="N4210" i="5"/>
  <c r="M4210" i="5"/>
  <c r="L4210" i="5"/>
  <c r="K4210" i="5"/>
  <c r="J4210" i="5"/>
  <c r="I4210" i="5"/>
  <c r="H4210" i="5"/>
  <c r="F4210" i="5"/>
  <c r="N4209" i="5"/>
  <c r="M4209" i="5"/>
  <c r="L4209" i="5"/>
  <c r="K4209" i="5"/>
  <c r="J4209" i="5"/>
  <c r="I4209" i="5"/>
  <c r="H4209" i="5"/>
  <c r="F4209" i="5"/>
  <c r="X4187" i="5" s="1"/>
  <c r="N4204" i="5"/>
  <c r="M4204" i="5"/>
  <c r="L4204" i="5"/>
  <c r="K4204" i="5"/>
  <c r="J4204" i="5"/>
  <c r="I4204" i="5"/>
  <c r="H4204" i="5"/>
  <c r="F4204" i="5"/>
  <c r="N4203" i="5"/>
  <c r="M4203" i="5"/>
  <c r="L4203" i="5"/>
  <c r="K4203" i="5"/>
  <c r="J4203" i="5"/>
  <c r="I4203" i="5"/>
  <c r="H4203" i="5"/>
  <c r="F4203" i="5"/>
  <c r="N4202" i="5"/>
  <c r="M4202" i="5"/>
  <c r="L4202" i="5"/>
  <c r="K4202" i="5"/>
  <c r="J4202" i="5"/>
  <c r="I4202" i="5"/>
  <c r="H4202" i="5"/>
  <c r="F4202" i="5"/>
  <c r="N4201" i="5"/>
  <c r="M4201" i="5"/>
  <c r="L4201" i="5"/>
  <c r="K4201" i="5"/>
  <c r="J4201" i="5"/>
  <c r="I4201" i="5"/>
  <c r="H4201" i="5"/>
  <c r="F4201" i="5"/>
  <c r="N4200" i="5"/>
  <c r="M4200" i="5"/>
  <c r="L4200" i="5"/>
  <c r="K4200" i="5"/>
  <c r="J4200" i="5"/>
  <c r="I4200" i="5"/>
  <c r="H4200" i="5"/>
  <c r="F4200" i="5"/>
  <c r="N4199" i="5"/>
  <c r="M4199" i="5"/>
  <c r="L4199" i="5"/>
  <c r="K4199" i="5"/>
  <c r="J4199" i="5"/>
  <c r="I4199" i="5"/>
  <c r="H4199" i="5"/>
  <c r="F4199" i="5"/>
  <c r="N4197" i="5"/>
  <c r="M4197" i="5"/>
  <c r="L4197" i="5"/>
  <c r="K4197" i="5"/>
  <c r="J4197" i="5"/>
  <c r="I4197" i="5"/>
  <c r="H4197" i="5"/>
  <c r="F4197" i="5"/>
  <c r="N4196" i="5"/>
  <c r="M4196" i="5"/>
  <c r="L4196" i="5"/>
  <c r="K4196" i="5"/>
  <c r="J4196" i="5"/>
  <c r="I4196" i="5"/>
  <c r="H4196" i="5"/>
  <c r="F4196" i="5"/>
  <c r="N4195" i="5"/>
  <c r="M4195" i="5"/>
  <c r="L4195" i="5"/>
  <c r="K4195" i="5"/>
  <c r="J4195" i="5"/>
  <c r="I4195" i="5"/>
  <c r="H4195" i="5"/>
  <c r="F4195" i="5"/>
  <c r="N4194" i="5"/>
  <c r="M4194" i="5"/>
  <c r="L4194" i="5"/>
  <c r="K4194" i="5"/>
  <c r="J4194" i="5"/>
  <c r="I4194" i="5"/>
  <c r="H4194" i="5"/>
  <c r="F4194" i="5"/>
  <c r="N4193" i="5"/>
  <c r="M4193" i="5"/>
  <c r="L4193" i="5"/>
  <c r="K4193" i="5"/>
  <c r="J4193" i="5"/>
  <c r="I4193" i="5"/>
  <c r="H4193" i="5"/>
  <c r="F4193" i="5"/>
  <c r="N4192" i="5"/>
  <c r="M4192" i="5"/>
  <c r="L4192" i="5"/>
  <c r="K4192" i="5"/>
  <c r="J4192" i="5"/>
  <c r="I4192" i="5"/>
  <c r="H4192" i="5"/>
  <c r="F4192" i="5"/>
  <c r="N4191" i="5"/>
  <c r="M4191" i="5"/>
  <c r="L4191" i="5"/>
  <c r="K4191" i="5"/>
  <c r="J4191" i="5"/>
  <c r="I4191" i="5"/>
  <c r="H4191" i="5"/>
  <c r="F4191" i="5"/>
  <c r="N4190" i="5"/>
  <c r="M4190" i="5"/>
  <c r="L4190" i="5"/>
  <c r="K4190" i="5"/>
  <c r="J4190" i="5"/>
  <c r="I4190" i="5"/>
  <c r="H4190" i="5"/>
  <c r="F4190" i="5"/>
  <c r="X4283" i="5" l="1"/>
  <c r="O5195" i="5"/>
  <c r="P5195" i="5" s="1"/>
  <c r="G5195" i="5"/>
  <c r="U5195" i="5" s="1"/>
  <c r="O4283" i="5"/>
  <c r="P4283" i="5" s="1"/>
  <c r="G4283" i="5"/>
  <c r="U4283" i="5" s="1"/>
  <c r="O4187" i="5"/>
  <c r="P4187" i="5" s="1"/>
  <c r="G4187" i="5"/>
  <c r="U4187" i="5" s="1"/>
  <c r="W4283" i="5"/>
  <c r="W4187" i="5"/>
  <c r="W5195" i="5"/>
  <c r="L5437" i="5"/>
  <c r="F4315" i="5"/>
  <c r="F5227" i="5"/>
  <c r="H5197" i="5"/>
  <c r="I5197" i="5" s="1"/>
  <c r="F5232" i="5"/>
  <c r="H5232" i="5"/>
  <c r="I5232" i="5" s="1"/>
  <c r="J5198" i="5"/>
  <c r="K5198" i="5" s="1"/>
  <c r="K5231" i="5"/>
  <c r="M5231" i="5"/>
  <c r="N5231" i="5" s="1"/>
  <c r="F5213" i="5"/>
  <c r="M5198" i="5"/>
  <c r="I5199" i="5"/>
  <c r="H5233" i="5"/>
  <c r="I5233" i="5" s="1"/>
  <c r="J5197" i="5"/>
  <c r="K5197" i="5" s="1"/>
  <c r="J5199" i="5"/>
  <c r="K5232" i="5"/>
  <c r="J5233" i="5"/>
  <c r="K5233" i="5" s="1"/>
  <c r="N5197" i="5"/>
  <c r="H5198" i="5"/>
  <c r="I5198" i="5" s="1"/>
  <c r="N5199" i="5"/>
  <c r="M4320" i="5"/>
  <c r="N4320" i="5" s="1"/>
  <c r="N4285" i="5"/>
  <c r="N4319" i="5"/>
  <c r="H4285" i="5"/>
  <c r="I4285" i="5" s="1"/>
  <c r="F4301" i="5"/>
  <c r="J4319" i="5"/>
  <c r="K4319" i="5" s="1"/>
  <c r="J4285" i="5"/>
  <c r="K4285" i="5" s="1"/>
  <c r="J4320" i="5"/>
  <c r="K4320" i="5" s="1"/>
  <c r="N4189" i="5"/>
  <c r="N4224" i="5"/>
  <c r="M4223" i="5"/>
  <c r="N4223" i="5" s="1"/>
  <c r="H4189" i="5"/>
  <c r="I4189" i="5" s="1"/>
  <c r="J4189" i="5"/>
  <c r="K4189" i="5" s="1"/>
  <c r="F4205" i="5"/>
  <c r="J4223" i="5"/>
  <c r="K4223" i="5" s="1"/>
  <c r="J4224" i="5"/>
  <c r="K4224" i="5" s="1"/>
  <c r="F4219" i="5"/>
  <c r="L4189" i="5" l="1"/>
  <c r="L5197" i="5"/>
  <c r="L5472" i="5"/>
  <c r="L5471" i="5"/>
  <c r="L5198" i="5"/>
  <c r="L5232" i="5"/>
  <c r="L5199" i="5"/>
  <c r="K5199" i="5"/>
  <c r="L5233" i="5"/>
  <c r="L5231" i="5"/>
  <c r="N5198" i="5"/>
  <c r="L4224" i="5"/>
  <c r="L4223" i="5"/>
  <c r="T5435" i="5" l="1"/>
  <c r="V5435" i="5" s="1"/>
  <c r="T4187" i="5"/>
  <c r="V4187" i="5" s="1"/>
  <c r="T5195" i="5"/>
  <c r="V5195" i="5" s="1"/>
  <c r="C4045" i="5"/>
  <c r="E4047" i="5"/>
  <c r="F4047" i="5" s="1"/>
  <c r="D4047" i="5"/>
  <c r="B4047" i="5"/>
  <c r="M4047" i="5"/>
  <c r="E4046" i="5"/>
  <c r="F4046" i="5" s="1"/>
  <c r="J4046" i="5"/>
  <c r="E4045" i="5"/>
  <c r="D4045" i="5"/>
  <c r="M4045" i="5"/>
  <c r="D4080" i="5"/>
  <c r="D4079" i="5"/>
  <c r="M4080" i="5"/>
  <c r="N4080" i="5" s="1"/>
  <c r="M4079" i="5"/>
  <c r="N4079" i="5" s="1"/>
  <c r="E4043" i="5"/>
  <c r="B4043" i="5"/>
  <c r="A4043" i="5"/>
  <c r="N4085" i="5"/>
  <c r="M4085" i="5"/>
  <c r="L4085" i="5"/>
  <c r="K4085" i="5"/>
  <c r="J4085" i="5"/>
  <c r="I4085" i="5"/>
  <c r="H4085" i="5"/>
  <c r="F4085" i="5"/>
  <c r="N4084" i="5"/>
  <c r="M4084" i="5"/>
  <c r="L4084" i="5"/>
  <c r="K4084" i="5"/>
  <c r="J4084" i="5"/>
  <c r="I4084" i="5"/>
  <c r="H4084" i="5"/>
  <c r="F4084" i="5"/>
  <c r="N4083" i="5"/>
  <c r="M4083" i="5"/>
  <c r="L4083" i="5"/>
  <c r="K4083" i="5"/>
  <c r="J4083" i="5"/>
  <c r="I4083" i="5"/>
  <c r="H4083" i="5"/>
  <c r="F4083" i="5"/>
  <c r="N4082" i="5"/>
  <c r="M4082" i="5"/>
  <c r="L4082" i="5"/>
  <c r="K4082" i="5"/>
  <c r="J4082" i="5"/>
  <c r="I4082" i="5"/>
  <c r="H4082" i="5"/>
  <c r="F4082" i="5"/>
  <c r="N4081" i="5"/>
  <c r="M4081" i="5"/>
  <c r="L4081" i="5"/>
  <c r="K4081" i="5"/>
  <c r="J4081" i="5"/>
  <c r="I4081" i="5"/>
  <c r="H4081" i="5"/>
  <c r="F4081" i="5"/>
  <c r="N4074" i="5"/>
  <c r="M4074" i="5"/>
  <c r="L4074" i="5"/>
  <c r="K4074" i="5"/>
  <c r="J4074" i="5"/>
  <c r="I4074" i="5"/>
  <c r="H4074" i="5"/>
  <c r="F4074" i="5"/>
  <c r="N4073" i="5"/>
  <c r="M4073" i="5"/>
  <c r="L4073" i="5"/>
  <c r="K4073" i="5"/>
  <c r="J4073" i="5"/>
  <c r="I4073" i="5"/>
  <c r="H4073" i="5"/>
  <c r="F4073" i="5"/>
  <c r="N4072" i="5"/>
  <c r="M4072" i="5"/>
  <c r="L4072" i="5"/>
  <c r="K4072" i="5"/>
  <c r="J4072" i="5"/>
  <c r="I4072" i="5"/>
  <c r="H4072" i="5"/>
  <c r="F4072" i="5"/>
  <c r="N4071" i="5"/>
  <c r="M4071" i="5"/>
  <c r="L4071" i="5"/>
  <c r="K4071" i="5"/>
  <c r="J4071" i="5"/>
  <c r="I4071" i="5"/>
  <c r="H4071" i="5"/>
  <c r="F4071" i="5"/>
  <c r="N4070" i="5"/>
  <c r="M4070" i="5"/>
  <c r="L4070" i="5"/>
  <c r="K4070" i="5"/>
  <c r="J4070" i="5"/>
  <c r="I4070" i="5"/>
  <c r="H4070" i="5"/>
  <c r="F4070" i="5"/>
  <c r="N4069" i="5"/>
  <c r="M4069" i="5"/>
  <c r="L4069" i="5"/>
  <c r="K4069" i="5"/>
  <c r="J4069" i="5"/>
  <c r="I4069" i="5"/>
  <c r="H4069" i="5"/>
  <c r="F4069" i="5"/>
  <c r="N4068" i="5"/>
  <c r="M4068" i="5"/>
  <c r="L4068" i="5"/>
  <c r="K4068" i="5"/>
  <c r="J4068" i="5"/>
  <c r="I4068" i="5"/>
  <c r="H4068" i="5"/>
  <c r="F4068" i="5"/>
  <c r="N4067" i="5"/>
  <c r="M4067" i="5"/>
  <c r="L4067" i="5"/>
  <c r="K4067" i="5"/>
  <c r="J4067" i="5"/>
  <c r="I4067" i="5"/>
  <c r="H4067" i="5"/>
  <c r="F4067" i="5"/>
  <c r="N4066" i="5"/>
  <c r="M4066" i="5"/>
  <c r="L4066" i="5"/>
  <c r="K4066" i="5"/>
  <c r="J4066" i="5"/>
  <c r="I4066" i="5"/>
  <c r="H4066" i="5"/>
  <c r="F4066" i="5"/>
  <c r="N4065" i="5"/>
  <c r="M4065" i="5"/>
  <c r="L4065" i="5"/>
  <c r="K4065" i="5"/>
  <c r="J4065" i="5"/>
  <c r="I4065" i="5"/>
  <c r="H4065" i="5"/>
  <c r="F4065" i="5"/>
  <c r="N4060" i="5"/>
  <c r="M4060" i="5"/>
  <c r="L4060" i="5"/>
  <c r="K4060" i="5"/>
  <c r="J4060" i="5"/>
  <c r="I4060" i="5"/>
  <c r="H4060" i="5"/>
  <c r="F4060" i="5"/>
  <c r="N4059" i="5"/>
  <c r="M4059" i="5"/>
  <c r="L4059" i="5"/>
  <c r="K4059" i="5"/>
  <c r="J4059" i="5"/>
  <c r="I4059" i="5"/>
  <c r="H4059" i="5"/>
  <c r="F4059" i="5"/>
  <c r="N4058" i="5"/>
  <c r="M4058" i="5"/>
  <c r="L4058" i="5"/>
  <c r="K4058" i="5"/>
  <c r="J4058" i="5"/>
  <c r="I4058" i="5"/>
  <c r="H4058" i="5"/>
  <c r="F4058" i="5"/>
  <c r="N4057" i="5"/>
  <c r="M4057" i="5"/>
  <c r="L4057" i="5"/>
  <c r="K4057" i="5"/>
  <c r="J4057" i="5"/>
  <c r="I4057" i="5"/>
  <c r="H4057" i="5"/>
  <c r="F4057" i="5"/>
  <c r="N4056" i="5"/>
  <c r="M4056" i="5"/>
  <c r="L4056" i="5"/>
  <c r="K4056" i="5"/>
  <c r="J4056" i="5"/>
  <c r="I4056" i="5"/>
  <c r="H4056" i="5"/>
  <c r="F4056" i="5"/>
  <c r="N4055" i="5"/>
  <c r="M4055" i="5"/>
  <c r="L4055" i="5"/>
  <c r="K4055" i="5"/>
  <c r="J4055" i="5"/>
  <c r="I4055" i="5"/>
  <c r="H4055" i="5"/>
  <c r="F4055" i="5"/>
  <c r="N4054" i="5"/>
  <c r="M4054" i="5"/>
  <c r="L4054" i="5"/>
  <c r="K4054" i="5"/>
  <c r="J4054" i="5"/>
  <c r="I4054" i="5"/>
  <c r="H4054" i="5"/>
  <c r="F4054" i="5"/>
  <c r="N4053" i="5"/>
  <c r="M4053" i="5"/>
  <c r="L4053" i="5"/>
  <c r="K4053" i="5"/>
  <c r="J4053" i="5"/>
  <c r="I4053" i="5"/>
  <c r="H4053" i="5"/>
  <c r="F4053" i="5"/>
  <c r="N4052" i="5"/>
  <c r="M4052" i="5"/>
  <c r="L4052" i="5"/>
  <c r="K4052" i="5"/>
  <c r="J4052" i="5"/>
  <c r="I4052" i="5"/>
  <c r="H4052" i="5"/>
  <c r="F4052" i="5"/>
  <c r="N4051" i="5"/>
  <c r="M4051" i="5"/>
  <c r="L4051" i="5"/>
  <c r="K4051" i="5"/>
  <c r="J4051" i="5"/>
  <c r="I4051" i="5"/>
  <c r="H4051" i="5"/>
  <c r="F4051" i="5"/>
  <c r="N4050" i="5"/>
  <c r="M4050" i="5"/>
  <c r="L4050" i="5"/>
  <c r="K4050" i="5"/>
  <c r="J4050" i="5"/>
  <c r="I4050" i="5"/>
  <c r="H4050" i="5"/>
  <c r="F4050" i="5"/>
  <c r="N4049" i="5"/>
  <c r="M4049" i="5"/>
  <c r="L4049" i="5"/>
  <c r="K4049" i="5"/>
  <c r="J4049" i="5"/>
  <c r="I4049" i="5"/>
  <c r="H4049" i="5"/>
  <c r="F4049" i="5"/>
  <c r="N4048" i="5"/>
  <c r="M4048" i="5"/>
  <c r="L4048" i="5"/>
  <c r="K4048" i="5"/>
  <c r="J4048" i="5"/>
  <c r="I4048" i="5"/>
  <c r="H4048" i="5"/>
  <c r="F4048" i="5"/>
  <c r="M3695" i="5"/>
  <c r="N3695" i="5" s="1"/>
  <c r="E3664" i="5"/>
  <c r="F3664" i="5" s="1"/>
  <c r="M3664" i="5"/>
  <c r="E3663" i="5"/>
  <c r="F3663" i="5" s="1"/>
  <c r="D3663" i="5"/>
  <c r="E3662" i="5"/>
  <c r="F3662" i="5" s="1"/>
  <c r="D3662" i="5"/>
  <c r="B3662" i="5"/>
  <c r="E3661" i="5"/>
  <c r="F3661" i="5" s="1"/>
  <c r="D3661" i="5"/>
  <c r="E3659" i="5"/>
  <c r="B3659" i="5"/>
  <c r="A3659" i="5"/>
  <c r="N3701" i="5"/>
  <c r="M3701" i="5"/>
  <c r="L3701" i="5"/>
  <c r="K3701" i="5"/>
  <c r="J3701" i="5"/>
  <c r="I3701" i="5"/>
  <c r="H3701" i="5"/>
  <c r="F3701" i="5"/>
  <c r="N3700" i="5"/>
  <c r="M3700" i="5"/>
  <c r="L3700" i="5"/>
  <c r="K3700" i="5"/>
  <c r="J3700" i="5"/>
  <c r="I3700" i="5"/>
  <c r="H3700" i="5"/>
  <c r="F3700" i="5"/>
  <c r="N3699" i="5"/>
  <c r="M3699" i="5"/>
  <c r="L3699" i="5"/>
  <c r="K3699" i="5"/>
  <c r="J3699" i="5"/>
  <c r="I3699" i="5"/>
  <c r="H3699" i="5"/>
  <c r="F3699" i="5"/>
  <c r="N3698" i="5"/>
  <c r="M3698" i="5"/>
  <c r="L3698" i="5"/>
  <c r="K3698" i="5"/>
  <c r="J3698" i="5"/>
  <c r="I3698" i="5"/>
  <c r="H3698" i="5"/>
  <c r="F3698" i="5"/>
  <c r="N3697" i="5"/>
  <c r="M3697" i="5"/>
  <c r="L3697" i="5"/>
  <c r="K3697" i="5"/>
  <c r="J3697" i="5"/>
  <c r="I3697" i="5"/>
  <c r="H3697" i="5"/>
  <c r="F3697" i="5"/>
  <c r="N3690" i="5"/>
  <c r="M3690" i="5"/>
  <c r="L3690" i="5"/>
  <c r="K3690" i="5"/>
  <c r="J3690" i="5"/>
  <c r="I3690" i="5"/>
  <c r="H3690" i="5"/>
  <c r="F3690" i="5"/>
  <c r="N3689" i="5"/>
  <c r="M3689" i="5"/>
  <c r="L3689" i="5"/>
  <c r="K3689" i="5"/>
  <c r="J3689" i="5"/>
  <c r="I3689" i="5"/>
  <c r="H3689" i="5"/>
  <c r="F3689" i="5"/>
  <c r="N3688" i="5"/>
  <c r="M3688" i="5"/>
  <c r="L3688" i="5"/>
  <c r="K3688" i="5"/>
  <c r="J3688" i="5"/>
  <c r="I3688" i="5"/>
  <c r="H3688" i="5"/>
  <c r="F3688" i="5"/>
  <c r="N3687" i="5"/>
  <c r="M3687" i="5"/>
  <c r="L3687" i="5"/>
  <c r="K3687" i="5"/>
  <c r="J3687" i="5"/>
  <c r="I3687" i="5"/>
  <c r="H3687" i="5"/>
  <c r="F3687" i="5"/>
  <c r="N3686" i="5"/>
  <c r="M3686" i="5"/>
  <c r="L3686" i="5"/>
  <c r="K3686" i="5"/>
  <c r="J3686" i="5"/>
  <c r="I3686" i="5"/>
  <c r="H3686" i="5"/>
  <c r="F3686" i="5"/>
  <c r="N3685" i="5"/>
  <c r="M3685" i="5"/>
  <c r="L3685" i="5"/>
  <c r="K3685" i="5"/>
  <c r="J3685" i="5"/>
  <c r="I3685" i="5"/>
  <c r="H3685" i="5"/>
  <c r="F3685" i="5"/>
  <c r="N3683" i="5"/>
  <c r="M3683" i="5"/>
  <c r="L3683" i="5"/>
  <c r="K3683" i="5"/>
  <c r="J3683" i="5"/>
  <c r="I3683" i="5"/>
  <c r="H3683" i="5"/>
  <c r="F3683" i="5"/>
  <c r="N3682" i="5"/>
  <c r="M3682" i="5"/>
  <c r="L3682" i="5"/>
  <c r="K3682" i="5"/>
  <c r="J3682" i="5"/>
  <c r="I3682" i="5"/>
  <c r="H3682" i="5"/>
  <c r="F3682" i="5"/>
  <c r="N3681" i="5"/>
  <c r="M3681" i="5"/>
  <c r="L3681" i="5"/>
  <c r="K3681" i="5"/>
  <c r="J3681" i="5"/>
  <c r="I3681" i="5"/>
  <c r="H3681" i="5"/>
  <c r="F3681" i="5"/>
  <c r="X3659" i="5" s="1"/>
  <c r="N3676" i="5"/>
  <c r="M3676" i="5"/>
  <c r="L3676" i="5"/>
  <c r="K3676" i="5"/>
  <c r="J3676" i="5"/>
  <c r="I3676" i="5"/>
  <c r="H3676" i="5"/>
  <c r="F3676" i="5"/>
  <c r="N3675" i="5"/>
  <c r="M3675" i="5"/>
  <c r="L3675" i="5"/>
  <c r="K3675" i="5"/>
  <c r="J3675" i="5"/>
  <c r="I3675" i="5"/>
  <c r="H3675" i="5"/>
  <c r="F3675" i="5"/>
  <c r="N3674" i="5"/>
  <c r="M3674" i="5"/>
  <c r="L3674" i="5"/>
  <c r="K3674" i="5"/>
  <c r="J3674" i="5"/>
  <c r="I3674" i="5"/>
  <c r="H3674" i="5"/>
  <c r="F3674" i="5"/>
  <c r="N3673" i="5"/>
  <c r="M3673" i="5"/>
  <c r="L3673" i="5"/>
  <c r="K3673" i="5"/>
  <c r="J3673" i="5"/>
  <c r="I3673" i="5"/>
  <c r="H3673" i="5"/>
  <c r="F3673" i="5"/>
  <c r="N3672" i="5"/>
  <c r="M3672" i="5"/>
  <c r="L3672" i="5"/>
  <c r="K3672" i="5"/>
  <c r="J3672" i="5"/>
  <c r="I3672" i="5"/>
  <c r="H3672" i="5"/>
  <c r="F3672" i="5"/>
  <c r="N3671" i="5"/>
  <c r="M3671" i="5"/>
  <c r="L3671" i="5"/>
  <c r="K3671" i="5"/>
  <c r="J3671" i="5"/>
  <c r="I3671" i="5"/>
  <c r="H3671" i="5"/>
  <c r="F3671" i="5"/>
  <c r="N3670" i="5"/>
  <c r="M3670" i="5"/>
  <c r="L3670" i="5"/>
  <c r="K3670" i="5"/>
  <c r="J3670" i="5"/>
  <c r="I3670" i="5"/>
  <c r="H3670" i="5"/>
  <c r="F3670" i="5"/>
  <c r="N3669" i="5"/>
  <c r="M3669" i="5"/>
  <c r="L3669" i="5"/>
  <c r="K3669" i="5"/>
  <c r="J3669" i="5"/>
  <c r="I3669" i="5"/>
  <c r="H3669" i="5"/>
  <c r="F3669" i="5"/>
  <c r="N3668" i="5"/>
  <c r="M3668" i="5"/>
  <c r="L3668" i="5"/>
  <c r="K3668" i="5"/>
  <c r="J3668" i="5"/>
  <c r="I3668" i="5"/>
  <c r="H3668" i="5"/>
  <c r="F3668" i="5"/>
  <c r="N3667" i="5"/>
  <c r="M3667" i="5"/>
  <c r="L3667" i="5"/>
  <c r="K3667" i="5"/>
  <c r="J3667" i="5"/>
  <c r="I3667" i="5"/>
  <c r="H3667" i="5"/>
  <c r="F3667" i="5"/>
  <c r="N3666" i="5"/>
  <c r="M3666" i="5"/>
  <c r="L3666" i="5"/>
  <c r="K3666" i="5"/>
  <c r="J3666" i="5"/>
  <c r="I3666" i="5"/>
  <c r="H3666" i="5"/>
  <c r="F3666" i="5"/>
  <c r="E3665" i="5"/>
  <c r="F3665" i="5" s="1"/>
  <c r="A3665" i="5"/>
  <c r="H3665" i="5" s="1"/>
  <c r="X4043" i="5" l="1"/>
  <c r="O4043" i="5"/>
  <c r="P4043" i="5" s="1"/>
  <c r="G4043" i="5"/>
  <c r="U4043" i="5" s="1"/>
  <c r="O3659" i="5"/>
  <c r="P3659" i="5" s="1"/>
  <c r="G3659" i="5"/>
  <c r="U3659" i="5" s="1"/>
  <c r="W3659" i="5"/>
  <c r="J3662" i="5"/>
  <c r="K3662" i="5" s="1"/>
  <c r="H3662" i="5"/>
  <c r="I3662" i="5" s="1"/>
  <c r="M3662" i="5"/>
  <c r="N3662" i="5" s="1"/>
  <c r="F3691" i="5"/>
  <c r="N4047" i="5"/>
  <c r="J4047" i="5"/>
  <c r="K4047" i="5" s="1"/>
  <c r="H4047" i="5"/>
  <c r="I4047" i="5" s="1"/>
  <c r="F4045" i="5"/>
  <c r="H4045" i="5"/>
  <c r="I4045" i="5" s="1"/>
  <c r="J4079" i="5"/>
  <c r="B4046" i="5"/>
  <c r="J4045" i="5"/>
  <c r="F4075" i="5"/>
  <c r="B4045" i="5"/>
  <c r="N4045" i="5" s="1"/>
  <c r="H4046" i="5"/>
  <c r="I4046" i="5" s="1"/>
  <c r="J4080" i="5"/>
  <c r="K4080" i="5" s="1"/>
  <c r="D4046" i="5"/>
  <c r="K4046" i="5" s="1"/>
  <c r="M4046" i="5"/>
  <c r="I3665" i="5"/>
  <c r="J3663" i="5"/>
  <c r="K3663" i="5" s="1"/>
  <c r="M3663" i="5"/>
  <c r="B3661" i="5"/>
  <c r="H3661" i="5"/>
  <c r="I3661" i="5" s="1"/>
  <c r="M3661" i="5"/>
  <c r="B3665" i="5"/>
  <c r="J3695" i="5"/>
  <c r="D3665" i="5"/>
  <c r="B3663" i="5"/>
  <c r="B3664" i="5"/>
  <c r="N3664" i="5" s="1"/>
  <c r="D3664" i="5"/>
  <c r="J3665" i="5"/>
  <c r="M3665" i="5"/>
  <c r="H3664" i="5"/>
  <c r="I3664" i="5" s="1"/>
  <c r="H3663" i="5"/>
  <c r="I3663" i="5" s="1"/>
  <c r="F3677" i="5"/>
  <c r="D3696" i="5"/>
  <c r="M3696" i="5"/>
  <c r="N3696" i="5" s="1"/>
  <c r="J3661" i="5"/>
  <c r="K3661" i="5" s="1"/>
  <c r="J3664" i="5"/>
  <c r="D3695" i="5"/>
  <c r="J3696" i="5"/>
  <c r="E62" i="5"/>
  <c r="I62" i="5" s="1"/>
  <c r="W4043" i="5" l="1"/>
  <c r="N3663" i="5"/>
  <c r="F4061" i="5"/>
  <c r="K4045" i="5"/>
  <c r="N4046" i="5"/>
  <c r="K4079" i="5"/>
  <c r="K3665" i="5"/>
  <c r="K3695" i="5"/>
  <c r="K3696" i="5"/>
  <c r="N3661" i="5"/>
  <c r="K3664" i="5"/>
  <c r="N3665" i="5"/>
  <c r="E4816" i="5"/>
  <c r="B4816" i="5"/>
  <c r="E4768" i="5"/>
  <c r="D4768" i="5"/>
  <c r="B4768" i="5"/>
  <c r="B4689" i="5" l="1"/>
  <c r="E4690" i="5"/>
  <c r="D4690" i="5"/>
  <c r="B4690" i="5"/>
  <c r="D4704" i="5"/>
  <c r="B4704" i="5"/>
  <c r="D4703" i="5"/>
  <c r="B4703" i="5"/>
  <c r="E4670" i="5"/>
  <c r="E4624" i="5"/>
  <c r="D4624" i="5"/>
  <c r="B4624" i="5"/>
  <c r="D4655" i="5"/>
  <c r="B4655" i="5"/>
  <c r="E4642" i="5"/>
  <c r="D4642" i="5"/>
  <c r="B4642" i="5"/>
  <c r="E4623" i="5"/>
  <c r="D4623" i="5"/>
  <c r="B4623" i="5"/>
  <c r="E4622" i="5"/>
  <c r="D4622" i="5"/>
  <c r="B4622" i="5"/>
  <c r="E4621" i="5"/>
  <c r="D4621" i="5"/>
  <c r="B4621" i="5"/>
  <c r="E4574" i="5" l="1"/>
  <c r="E4527" i="5"/>
  <c r="D4527" i="5"/>
  <c r="B4527" i="5"/>
  <c r="E4526" i="5"/>
  <c r="D4526" i="5"/>
  <c r="B4526" i="5"/>
  <c r="E4525" i="5"/>
  <c r="D4525" i="5"/>
  <c r="B4525" i="5"/>
  <c r="D4560" i="5"/>
  <c r="B4560" i="5"/>
  <c r="D4559" i="5"/>
  <c r="B4559" i="5"/>
  <c r="E4619" i="5" l="1"/>
  <c r="B4619" i="5"/>
  <c r="A4619" i="5"/>
  <c r="N4661" i="5"/>
  <c r="M4661" i="5"/>
  <c r="L4661" i="5"/>
  <c r="K4661" i="5"/>
  <c r="J4661" i="5"/>
  <c r="I4661" i="5"/>
  <c r="H4661" i="5"/>
  <c r="F4661" i="5"/>
  <c r="N4660" i="5"/>
  <c r="M4660" i="5"/>
  <c r="L4660" i="5"/>
  <c r="K4660" i="5"/>
  <c r="J4660" i="5"/>
  <c r="I4660" i="5"/>
  <c r="H4660" i="5"/>
  <c r="F4660" i="5"/>
  <c r="N4659" i="5"/>
  <c r="M4659" i="5"/>
  <c r="L4659" i="5"/>
  <c r="K4659" i="5"/>
  <c r="J4659" i="5"/>
  <c r="I4659" i="5"/>
  <c r="H4659" i="5"/>
  <c r="F4659" i="5"/>
  <c r="N4658" i="5"/>
  <c r="M4658" i="5"/>
  <c r="L4658" i="5"/>
  <c r="K4658" i="5"/>
  <c r="J4658" i="5"/>
  <c r="I4658" i="5"/>
  <c r="H4658" i="5"/>
  <c r="F4658" i="5"/>
  <c r="N4657" i="5"/>
  <c r="M4657" i="5"/>
  <c r="L4657" i="5"/>
  <c r="K4657" i="5"/>
  <c r="J4657" i="5"/>
  <c r="I4657" i="5"/>
  <c r="H4657" i="5"/>
  <c r="F4657" i="5"/>
  <c r="F4656" i="5"/>
  <c r="M4656" i="5"/>
  <c r="N4656" i="5" s="1"/>
  <c r="M4655" i="5"/>
  <c r="N4655" i="5" s="1"/>
  <c r="N4650" i="5"/>
  <c r="M4650" i="5"/>
  <c r="L4650" i="5"/>
  <c r="K4650" i="5"/>
  <c r="J4650" i="5"/>
  <c r="I4650" i="5"/>
  <c r="H4650" i="5"/>
  <c r="F4650" i="5"/>
  <c r="N4649" i="5"/>
  <c r="M4649" i="5"/>
  <c r="L4649" i="5"/>
  <c r="K4649" i="5"/>
  <c r="J4649" i="5"/>
  <c r="I4649" i="5"/>
  <c r="H4649" i="5"/>
  <c r="F4649" i="5"/>
  <c r="N4648" i="5"/>
  <c r="M4648" i="5"/>
  <c r="L4648" i="5"/>
  <c r="K4648" i="5"/>
  <c r="J4648" i="5"/>
  <c r="I4648" i="5"/>
  <c r="H4648" i="5"/>
  <c r="F4648" i="5"/>
  <c r="N4647" i="5"/>
  <c r="M4647" i="5"/>
  <c r="L4647" i="5"/>
  <c r="K4647" i="5"/>
  <c r="J4647" i="5"/>
  <c r="I4647" i="5"/>
  <c r="H4647" i="5"/>
  <c r="F4647" i="5"/>
  <c r="N4646" i="5"/>
  <c r="M4646" i="5"/>
  <c r="L4646" i="5"/>
  <c r="K4646" i="5"/>
  <c r="J4646" i="5"/>
  <c r="I4646" i="5"/>
  <c r="H4646" i="5"/>
  <c r="F4646" i="5"/>
  <c r="N4645" i="5"/>
  <c r="M4645" i="5"/>
  <c r="L4645" i="5"/>
  <c r="K4645" i="5"/>
  <c r="J4645" i="5"/>
  <c r="I4645" i="5"/>
  <c r="H4645" i="5"/>
  <c r="F4645" i="5"/>
  <c r="N4644" i="5"/>
  <c r="M4644" i="5"/>
  <c r="L4644" i="5"/>
  <c r="K4644" i="5"/>
  <c r="J4644" i="5"/>
  <c r="I4644" i="5"/>
  <c r="H4644" i="5"/>
  <c r="F4644" i="5"/>
  <c r="N4643" i="5"/>
  <c r="M4643" i="5"/>
  <c r="L4643" i="5"/>
  <c r="K4643" i="5"/>
  <c r="J4643" i="5"/>
  <c r="I4643" i="5"/>
  <c r="H4643" i="5"/>
  <c r="F4643" i="5"/>
  <c r="M4642" i="5"/>
  <c r="N4642" i="5" s="1"/>
  <c r="J4642" i="5"/>
  <c r="K4642" i="5" s="1"/>
  <c r="H4642" i="5"/>
  <c r="I4642" i="5" s="1"/>
  <c r="F4642" i="5"/>
  <c r="M4641" i="5"/>
  <c r="N4641" i="5" s="1"/>
  <c r="J4641" i="5"/>
  <c r="K4641" i="5" s="1"/>
  <c r="H4641" i="5"/>
  <c r="I4641" i="5" s="1"/>
  <c r="F4641" i="5"/>
  <c r="N4636" i="5"/>
  <c r="M4636" i="5"/>
  <c r="L4636" i="5"/>
  <c r="K4636" i="5"/>
  <c r="J4636" i="5"/>
  <c r="I4636" i="5"/>
  <c r="H4636" i="5"/>
  <c r="F4636" i="5"/>
  <c r="N4635" i="5"/>
  <c r="M4635" i="5"/>
  <c r="L4635" i="5"/>
  <c r="K4635" i="5"/>
  <c r="J4635" i="5"/>
  <c r="I4635" i="5"/>
  <c r="H4635" i="5"/>
  <c r="F4635" i="5"/>
  <c r="N4634" i="5"/>
  <c r="M4634" i="5"/>
  <c r="L4634" i="5"/>
  <c r="K4634" i="5"/>
  <c r="J4634" i="5"/>
  <c r="I4634" i="5"/>
  <c r="H4634" i="5"/>
  <c r="F4634" i="5"/>
  <c r="N4633" i="5"/>
  <c r="M4633" i="5"/>
  <c r="L4633" i="5"/>
  <c r="K4633" i="5"/>
  <c r="J4633" i="5"/>
  <c r="I4633" i="5"/>
  <c r="H4633" i="5"/>
  <c r="F4633" i="5"/>
  <c r="N4632" i="5"/>
  <c r="M4632" i="5"/>
  <c r="L4632" i="5"/>
  <c r="K4632" i="5"/>
  <c r="J4632" i="5"/>
  <c r="I4632" i="5"/>
  <c r="H4632" i="5"/>
  <c r="F4632" i="5"/>
  <c r="N4631" i="5"/>
  <c r="M4631" i="5"/>
  <c r="L4631" i="5"/>
  <c r="K4631" i="5"/>
  <c r="J4631" i="5"/>
  <c r="I4631" i="5"/>
  <c r="H4631" i="5"/>
  <c r="F4631" i="5"/>
  <c r="N4630" i="5"/>
  <c r="M4630" i="5"/>
  <c r="L4630" i="5"/>
  <c r="K4630" i="5"/>
  <c r="J4630" i="5"/>
  <c r="I4630" i="5"/>
  <c r="H4630" i="5"/>
  <c r="F4630" i="5"/>
  <c r="N4629" i="5"/>
  <c r="M4629" i="5"/>
  <c r="L4629" i="5"/>
  <c r="K4629" i="5"/>
  <c r="J4629" i="5"/>
  <c r="I4629" i="5"/>
  <c r="H4629" i="5"/>
  <c r="F4629" i="5"/>
  <c r="N4628" i="5"/>
  <c r="M4628" i="5"/>
  <c r="L4628" i="5"/>
  <c r="K4628" i="5"/>
  <c r="J4628" i="5"/>
  <c r="I4628" i="5"/>
  <c r="H4628" i="5"/>
  <c r="F4628" i="5"/>
  <c r="N4627" i="5"/>
  <c r="M4627" i="5"/>
  <c r="L4627" i="5"/>
  <c r="K4627" i="5"/>
  <c r="J4627" i="5"/>
  <c r="I4627" i="5"/>
  <c r="H4627" i="5"/>
  <c r="F4627" i="5"/>
  <c r="N4626" i="5"/>
  <c r="M4626" i="5"/>
  <c r="L4626" i="5"/>
  <c r="K4626" i="5"/>
  <c r="J4626" i="5"/>
  <c r="I4626" i="5"/>
  <c r="H4626" i="5"/>
  <c r="F4626" i="5"/>
  <c r="N4625" i="5"/>
  <c r="M4625" i="5"/>
  <c r="L4625" i="5"/>
  <c r="K4625" i="5"/>
  <c r="J4625" i="5"/>
  <c r="I4625" i="5"/>
  <c r="H4625" i="5"/>
  <c r="F4625" i="5"/>
  <c r="M4624" i="5"/>
  <c r="N4624" i="5" s="1"/>
  <c r="J4624" i="5"/>
  <c r="K4624" i="5" s="1"/>
  <c r="H4624" i="5"/>
  <c r="I4624" i="5" s="1"/>
  <c r="F4624" i="5"/>
  <c r="M4623" i="5"/>
  <c r="N4623" i="5" s="1"/>
  <c r="J4623" i="5"/>
  <c r="K4623" i="5" s="1"/>
  <c r="H4623" i="5"/>
  <c r="I4623" i="5" s="1"/>
  <c r="F4623" i="5"/>
  <c r="F4622" i="5"/>
  <c r="J4622" i="5"/>
  <c r="F4621" i="5"/>
  <c r="M4621" i="5"/>
  <c r="E4523" i="5"/>
  <c r="B4523" i="5"/>
  <c r="A4523" i="5"/>
  <c r="N4565" i="5"/>
  <c r="M4565" i="5"/>
  <c r="L4565" i="5"/>
  <c r="K4565" i="5"/>
  <c r="J4565" i="5"/>
  <c r="I4565" i="5"/>
  <c r="H4565" i="5"/>
  <c r="F4565" i="5"/>
  <c r="N4564" i="5"/>
  <c r="M4564" i="5"/>
  <c r="L4564" i="5"/>
  <c r="K4564" i="5"/>
  <c r="J4564" i="5"/>
  <c r="I4564" i="5"/>
  <c r="H4564" i="5"/>
  <c r="F4564" i="5"/>
  <c r="N4563" i="5"/>
  <c r="M4563" i="5"/>
  <c r="L4563" i="5"/>
  <c r="K4563" i="5"/>
  <c r="J4563" i="5"/>
  <c r="I4563" i="5"/>
  <c r="H4563" i="5"/>
  <c r="F4563" i="5"/>
  <c r="N4562" i="5"/>
  <c r="M4562" i="5"/>
  <c r="K4562" i="5"/>
  <c r="J4562" i="5"/>
  <c r="I4562" i="5"/>
  <c r="H4562" i="5"/>
  <c r="F4562" i="5"/>
  <c r="N4561" i="5"/>
  <c r="M4561" i="5"/>
  <c r="K4561" i="5"/>
  <c r="J4561" i="5"/>
  <c r="I4561" i="5"/>
  <c r="H4561" i="5"/>
  <c r="F4561" i="5"/>
  <c r="M4560" i="5"/>
  <c r="N4560" i="5" s="1"/>
  <c r="N4554" i="5"/>
  <c r="M4554" i="5"/>
  <c r="L4554" i="5"/>
  <c r="K4554" i="5"/>
  <c r="J4554" i="5"/>
  <c r="I4554" i="5"/>
  <c r="H4554" i="5"/>
  <c r="F4554" i="5"/>
  <c r="N4553" i="5"/>
  <c r="M4553" i="5"/>
  <c r="L4553" i="5"/>
  <c r="K4553" i="5"/>
  <c r="J4553" i="5"/>
  <c r="I4553" i="5"/>
  <c r="H4553" i="5"/>
  <c r="F4553" i="5"/>
  <c r="N4552" i="5"/>
  <c r="M4552" i="5"/>
  <c r="L4552" i="5"/>
  <c r="K4552" i="5"/>
  <c r="J4552" i="5"/>
  <c r="I4552" i="5"/>
  <c r="H4552" i="5"/>
  <c r="F4552" i="5"/>
  <c r="N4551" i="5"/>
  <c r="M4551" i="5"/>
  <c r="L4551" i="5"/>
  <c r="K4551" i="5"/>
  <c r="J4551" i="5"/>
  <c r="I4551" i="5"/>
  <c r="H4551" i="5"/>
  <c r="F4551" i="5"/>
  <c r="N4550" i="5"/>
  <c r="M4550" i="5"/>
  <c r="L4550" i="5"/>
  <c r="K4550" i="5"/>
  <c r="J4550" i="5"/>
  <c r="I4550" i="5"/>
  <c r="H4550" i="5"/>
  <c r="F4550" i="5"/>
  <c r="N4549" i="5"/>
  <c r="M4549" i="5"/>
  <c r="L4549" i="5"/>
  <c r="K4549" i="5"/>
  <c r="J4549" i="5"/>
  <c r="I4549" i="5"/>
  <c r="H4549" i="5"/>
  <c r="F4549" i="5"/>
  <c r="N4548" i="5"/>
  <c r="M4548" i="5"/>
  <c r="L4548" i="5"/>
  <c r="K4548" i="5"/>
  <c r="J4548" i="5"/>
  <c r="I4548" i="5"/>
  <c r="H4548" i="5"/>
  <c r="F4548" i="5"/>
  <c r="N4547" i="5"/>
  <c r="M4547" i="5"/>
  <c r="L4547" i="5"/>
  <c r="K4547" i="5"/>
  <c r="J4547" i="5"/>
  <c r="I4547" i="5"/>
  <c r="H4547" i="5"/>
  <c r="F4547" i="5"/>
  <c r="N4546" i="5"/>
  <c r="M4546" i="5"/>
  <c r="L4546" i="5"/>
  <c r="K4546" i="5"/>
  <c r="J4546" i="5"/>
  <c r="I4546" i="5"/>
  <c r="H4546" i="5"/>
  <c r="F4546" i="5"/>
  <c r="N4545" i="5"/>
  <c r="M4545" i="5"/>
  <c r="L4545" i="5"/>
  <c r="K4545" i="5"/>
  <c r="J4545" i="5"/>
  <c r="I4545" i="5"/>
  <c r="H4545" i="5"/>
  <c r="F4545" i="5"/>
  <c r="X4523" i="5" s="1"/>
  <c r="N4540" i="5"/>
  <c r="M4540" i="5"/>
  <c r="L4540" i="5"/>
  <c r="K4540" i="5"/>
  <c r="J4540" i="5"/>
  <c r="I4540" i="5"/>
  <c r="H4540" i="5"/>
  <c r="F4540" i="5"/>
  <c r="N4539" i="5"/>
  <c r="M4539" i="5"/>
  <c r="L4539" i="5"/>
  <c r="K4539" i="5"/>
  <c r="J4539" i="5"/>
  <c r="I4539" i="5"/>
  <c r="H4539" i="5"/>
  <c r="F4539" i="5"/>
  <c r="N4538" i="5"/>
  <c r="M4538" i="5"/>
  <c r="L4538" i="5"/>
  <c r="K4538" i="5"/>
  <c r="J4538" i="5"/>
  <c r="I4538" i="5"/>
  <c r="H4538" i="5"/>
  <c r="F4538" i="5"/>
  <c r="N4537" i="5"/>
  <c r="M4537" i="5"/>
  <c r="L4537" i="5"/>
  <c r="K4537" i="5"/>
  <c r="J4537" i="5"/>
  <c r="I4537" i="5"/>
  <c r="H4537" i="5"/>
  <c r="F4537" i="5"/>
  <c r="N4536" i="5"/>
  <c r="M4536" i="5"/>
  <c r="L4536" i="5"/>
  <c r="K4536" i="5"/>
  <c r="J4536" i="5"/>
  <c r="I4536" i="5"/>
  <c r="H4536" i="5"/>
  <c r="F4536" i="5"/>
  <c r="N4535" i="5"/>
  <c r="M4535" i="5"/>
  <c r="L4535" i="5"/>
  <c r="K4535" i="5"/>
  <c r="J4535" i="5"/>
  <c r="I4535" i="5"/>
  <c r="H4535" i="5"/>
  <c r="F4535" i="5"/>
  <c r="N4534" i="5"/>
  <c r="M4534" i="5"/>
  <c r="L4534" i="5"/>
  <c r="K4534" i="5"/>
  <c r="J4534" i="5"/>
  <c r="I4534" i="5"/>
  <c r="H4534" i="5"/>
  <c r="F4534" i="5"/>
  <c r="N4533" i="5"/>
  <c r="M4533" i="5"/>
  <c r="L4533" i="5"/>
  <c r="K4533" i="5"/>
  <c r="J4533" i="5"/>
  <c r="I4533" i="5"/>
  <c r="H4533" i="5"/>
  <c r="F4533" i="5"/>
  <c r="N4532" i="5"/>
  <c r="M4532" i="5"/>
  <c r="L4532" i="5"/>
  <c r="K4532" i="5"/>
  <c r="J4532" i="5"/>
  <c r="I4532" i="5"/>
  <c r="H4532" i="5"/>
  <c r="F4532" i="5"/>
  <c r="N4531" i="5"/>
  <c r="M4531" i="5"/>
  <c r="L4531" i="5"/>
  <c r="K4531" i="5"/>
  <c r="J4531" i="5"/>
  <c r="I4531" i="5"/>
  <c r="H4531" i="5"/>
  <c r="F4531" i="5"/>
  <c r="N4530" i="5"/>
  <c r="M4530" i="5"/>
  <c r="L4530" i="5"/>
  <c r="K4530" i="5"/>
  <c r="J4530" i="5"/>
  <c r="I4530" i="5"/>
  <c r="H4530" i="5"/>
  <c r="F4530" i="5"/>
  <c r="N4529" i="5"/>
  <c r="M4529" i="5"/>
  <c r="L4529" i="5"/>
  <c r="K4529" i="5"/>
  <c r="J4529" i="5"/>
  <c r="I4529" i="5"/>
  <c r="H4529" i="5"/>
  <c r="F4529" i="5"/>
  <c r="N4528" i="5"/>
  <c r="M4528" i="5"/>
  <c r="L4528" i="5"/>
  <c r="K4528" i="5"/>
  <c r="J4528" i="5"/>
  <c r="I4528" i="5"/>
  <c r="H4528" i="5"/>
  <c r="F4528" i="5"/>
  <c r="F4527" i="5"/>
  <c r="F4526" i="5"/>
  <c r="M4526" i="5"/>
  <c r="F4525" i="5"/>
  <c r="M4525" i="5"/>
  <c r="E4475" i="5"/>
  <c r="B4475" i="5"/>
  <c r="A4475" i="5"/>
  <c r="N4517" i="5"/>
  <c r="M4517" i="5"/>
  <c r="L4517" i="5"/>
  <c r="K4517" i="5"/>
  <c r="J4517" i="5"/>
  <c r="I4517" i="5"/>
  <c r="H4517" i="5"/>
  <c r="F4517" i="5"/>
  <c r="N4516" i="5"/>
  <c r="M4516" i="5"/>
  <c r="L4516" i="5"/>
  <c r="K4516" i="5"/>
  <c r="J4516" i="5"/>
  <c r="I4516" i="5"/>
  <c r="H4516" i="5"/>
  <c r="F4516" i="5"/>
  <c r="N4515" i="5"/>
  <c r="M4515" i="5"/>
  <c r="L4515" i="5"/>
  <c r="K4515" i="5"/>
  <c r="J4515" i="5"/>
  <c r="I4515" i="5"/>
  <c r="H4515" i="5"/>
  <c r="F4515" i="5"/>
  <c r="N4514" i="5"/>
  <c r="M4514" i="5"/>
  <c r="L4514" i="5"/>
  <c r="K4514" i="5"/>
  <c r="J4514" i="5"/>
  <c r="I4514" i="5"/>
  <c r="H4514" i="5"/>
  <c r="F4514" i="5"/>
  <c r="N4513" i="5"/>
  <c r="M4513" i="5"/>
  <c r="L4513" i="5"/>
  <c r="K4513" i="5"/>
  <c r="J4513" i="5"/>
  <c r="I4513" i="5"/>
  <c r="H4513" i="5"/>
  <c r="F4513" i="5"/>
  <c r="M4512" i="5"/>
  <c r="N4512" i="5" s="1"/>
  <c r="M4511" i="5"/>
  <c r="N4511" i="5" s="1"/>
  <c r="N4506" i="5"/>
  <c r="M4506" i="5"/>
  <c r="L4506" i="5"/>
  <c r="K4506" i="5"/>
  <c r="J4506" i="5"/>
  <c r="I4506" i="5"/>
  <c r="H4506" i="5"/>
  <c r="F4506" i="5"/>
  <c r="N4505" i="5"/>
  <c r="M4505" i="5"/>
  <c r="L4505" i="5"/>
  <c r="K4505" i="5"/>
  <c r="J4505" i="5"/>
  <c r="I4505" i="5"/>
  <c r="H4505" i="5"/>
  <c r="F4505" i="5"/>
  <c r="N4504" i="5"/>
  <c r="M4504" i="5"/>
  <c r="L4504" i="5"/>
  <c r="K4504" i="5"/>
  <c r="J4504" i="5"/>
  <c r="I4504" i="5"/>
  <c r="H4504" i="5"/>
  <c r="F4504" i="5"/>
  <c r="N4503" i="5"/>
  <c r="M4503" i="5"/>
  <c r="L4503" i="5"/>
  <c r="K4503" i="5"/>
  <c r="J4503" i="5"/>
  <c r="I4503" i="5"/>
  <c r="H4503" i="5"/>
  <c r="F4503" i="5"/>
  <c r="N4502" i="5"/>
  <c r="M4502" i="5"/>
  <c r="L4502" i="5"/>
  <c r="K4502" i="5"/>
  <c r="J4502" i="5"/>
  <c r="I4502" i="5"/>
  <c r="H4502" i="5"/>
  <c r="F4502" i="5"/>
  <c r="N4501" i="5"/>
  <c r="M4501" i="5"/>
  <c r="L4501" i="5"/>
  <c r="K4501" i="5"/>
  <c r="J4501" i="5"/>
  <c r="I4501" i="5"/>
  <c r="H4501" i="5"/>
  <c r="F4501" i="5"/>
  <c r="N4500" i="5"/>
  <c r="M4500" i="5"/>
  <c r="L4500" i="5"/>
  <c r="K4500" i="5"/>
  <c r="J4500" i="5"/>
  <c r="I4500" i="5"/>
  <c r="H4500" i="5"/>
  <c r="F4500" i="5"/>
  <c r="N4499" i="5"/>
  <c r="M4499" i="5"/>
  <c r="L4499" i="5"/>
  <c r="K4499" i="5"/>
  <c r="J4499" i="5"/>
  <c r="I4499" i="5"/>
  <c r="H4499" i="5"/>
  <c r="F4499" i="5"/>
  <c r="N4498" i="5"/>
  <c r="M4498" i="5"/>
  <c r="L4498" i="5"/>
  <c r="K4498" i="5"/>
  <c r="J4498" i="5"/>
  <c r="I4498" i="5"/>
  <c r="H4498" i="5"/>
  <c r="F4498" i="5"/>
  <c r="N4497" i="5"/>
  <c r="M4497" i="5"/>
  <c r="L4497" i="5"/>
  <c r="K4497" i="5"/>
  <c r="J4497" i="5"/>
  <c r="I4497" i="5"/>
  <c r="H4497" i="5"/>
  <c r="F4497" i="5"/>
  <c r="N4492" i="5"/>
  <c r="M4492" i="5"/>
  <c r="L4492" i="5"/>
  <c r="K4492" i="5"/>
  <c r="J4492" i="5"/>
  <c r="I4492" i="5"/>
  <c r="H4492" i="5"/>
  <c r="F4492" i="5"/>
  <c r="N4491" i="5"/>
  <c r="M4491" i="5"/>
  <c r="L4491" i="5"/>
  <c r="K4491" i="5"/>
  <c r="J4491" i="5"/>
  <c r="I4491" i="5"/>
  <c r="H4491" i="5"/>
  <c r="F4491" i="5"/>
  <c r="N4490" i="5"/>
  <c r="M4490" i="5"/>
  <c r="L4490" i="5"/>
  <c r="K4490" i="5"/>
  <c r="J4490" i="5"/>
  <c r="I4490" i="5"/>
  <c r="H4490" i="5"/>
  <c r="F4490" i="5"/>
  <c r="N4489" i="5"/>
  <c r="M4489" i="5"/>
  <c r="L4489" i="5"/>
  <c r="K4489" i="5"/>
  <c r="J4489" i="5"/>
  <c r="I4489" i="5"/>
  <c r="H4489" i="5"/>
  <c r="F4489" i="5"/>
  <c r="N4488" i="5"/>
  <c r="M4488" i="5"/>
  <c r="L4488" i="5"/>
  <c r="K4488" i="5"/>
  <c r="J4488" i="5"/>
  <c r="I4488" i="5"/>
  <c r="H4488" i="5"/>
  <c r="F4488" i="5"/>
  <c r="N4487" i="5"/>
  <c r="M4487" i="5"/>
  <c r="L4487" i="5"/>
  <c r="K4487" i="5"/>
  <c r="J4487" i="5"/>
  <c r="I4487" i="5"/>
  <c r="H4487" i="5"/>
  <c r="F4487" i="5"/>
  <c r="N4486" i="5"/>
  <c r="M4486" i="5"/>
  <c r="L4486" i="5"/>
  <c r="K4486" i="5"/>
  <c r="J4486" i="5"/>
  <c r="I4486" i="5"/>
  <c r="H4486" i="5"/>
  <c r="F4486" i="5"/>
  <c r="N4485" i="5"/>
  <c r="M4485" i="5"/>
  <c r="L4485" i="5"/>
  <c r="K4485" i="5"/>
  <c r="J4485" i="5"/>
  <c r="I4485" i="5"/>
  <c r="H4485" i="5"/>
  <c r="F4485" i="5"/>
  <c r="N4484" i="5"/>
  <c r="M4484" i="5"/>
  <c r="L4484" i="5"/>
  <c r="K4484" i="5"/>
  <c r="J4484" i="5"/>
  <c r="I4484" i="5"/>
  <c r="H4484" i="5"/>
  <c r="F4484" i="5"/>
  <c r="N4483" i="5"/>
  <c r="M4483" i="5"/>
  <c r="L4483" i="5"/>
  <c r="K4483" i="5"/>
  <c r="J4483" i="5"/>
  <c r="I4483" i="5"/>
  <c r="H4483" i="5"/>
  <c r="F4483" i="5"/>
  <c r="N4482" i="5"/>
  <c r="M4482" i="5"/>
  <c r="L4482" i="5"/>
  <c r="K4482" i="5"/>
  <c r="J4482" i="5"/>
  <c r="I4482" i="5"/>
  <c r="H4482" i="5"/>
  <c r="F4482" i="5"/>
  <c r="N4481" i="5"/>
  <c r="M4481" i="5"/>
  <c r="L4481" i="5"/>
  <c r="K4481" i="5"/>
  <c r="J4481" i="5"/>
  <c r="I4481" i="5"/>
  <c r="H4481" i="5"/>
  <c r="F4481" i="5"/>
  <c r="N4480" i="5"/>
  <c r="M4480" i="5"/>
  <c r="L4480" i="5"/>
  <c r="K4480" i="5"/>
  <c r="J4480" i="5"/>
  <c r="I4480" i="5"/>
  <c r="H4480" i="5"/>
  <c r="F4480" i="5"/>
  <c r="M4479" i="5"/>
  <c r="N4479" i="5" s="1"/>
  <c r="J4479" i="5"/>
  <c r="K4479" i="5" s="1"/>
  <c r="H4479" i="5"/>
  <c r="I4479" i="5" s="1"/>
  <c r="F4479" i="5"/>
  <c r="F4478" i="5"/>
  <c r="J4478" i="5"/>
  <c r="F4477" i="5"/>
  <c r="M4477" i="5"/>
  <c r="X4475" i="5" l="1"/>
  <c r="O4619" i="5"/>
  <c r="P4619" i="5" s="1"/>
  <c r="G4619" i="5"/>
  <c r="U4619" i="5" s="1"/>
  <c r="O4475" i="5"/>
  <c r="P4475" i="5" s="1"/>
  <c r="G4475" i="5"/>
  <c r="U4475" i="5" s="1"/>
  <c r="O4523" i="5"/>
  <c r="P4523" i="5" s="1"/>
  <c r="X4619" i="5"/>
  <c r="W4523" i="5"/>
  <c r="W4619" i="5"/>
  <c r="W4475" i="5"/>
  <c r="F4555" i="5"/>
  <c r="F4651" i="5"/>
  <c r="F4637" i="5"/>
  <c r="H4621" i="5"/>
  <c r="I4621" i="5" s="1"/>
  <c r="K4622" i="5"/>
  <c r="M4622" i="5"/>
  <c r="J4655" i="5"/>
  <c r="K4655" i="5" s="1"/>
  <c r="J4621" i="5"/>
  <c r="K4621" i="5" s="1"/>
  <c r="H4656" i="5"/>
  <c r="I4656" i="5" s="1"/>
  <c r="N4621" i="5"/>
  <c r="H4622" i="5"/>
  <c r="I4622" i="5" s="1"/>
  <c r="J4656" i="5"/>
  <c r="J4559" i="5"/>
  <c r="K4559" i="5" s="1"/>
  <c r="M4527" i="5"/>
  <c r="N4527" i="5" s="1"/>
  <c r="H4526" i="5"/>
  <c r="I4526" i="5" s="1"/>
  <c r="N4525" i="5"/>
  <c r="J4526" i="5"/>
  <c r="K4526" i="5" s="1"/>
  <c r="F4541" i="5"/>
  <c r="H4525" i="5"/>
  <c r="I4525" i="5" s="1"/>
  <c r="N4526" i="5"/>
  <c r="H4527" i="5"/>
  <c r="I4527" i="5" s="1"/>
  <c r="M4559" i="5"/>
  <c r="N4559" i="5" s="1"/>
  <c r="J4525" i="5"/>
  <c r="K4525" i="5" s="1"/>
  <c r="J4527" i="5"/>
  <c r="J4560" i="5"/>
  <c r="K4560" i="5" s="1"/>
  <c r="J4477" i="5"/>
  <c r="K4477" i="5" s="1"/>
  <c r="L4479" i="5"/>
  <c r="H4477" i="5"/>
  <c r="I4477" i="5" s="1"/>
  <c r="F4507" i="5"/>
  <c r="K4478" i="5"/>
  <c r="M4478" i="5"/>
  <c r="J4511" i="5"/>
  <c r="F4493" i="5"/>
  <c r="N4477" i="5"/>
  <c r="H4478" i="5"/>
  <c r="I4478" i="5" s="1"/>
  <c r="J4512" i="5"/>
  <c r="K4512" i="5" s="1"/>
  <c r="L4621" i="5" l="1"/>
  <c r="L4624" i="5"/>
  <c r="L4641" i="5"/>
  <c r="L4642" i="5"/>
  <c r="L4655" i="5"/>
  <c r="L4656" i="5"/>
  <c r="L4623" i="5"/>
  <c r="K4656" i="5"/>
  <c r="N4622" i="5"/>
  <c r="L4622" i="5"/>
  <c r="K4527" i="5"/>
  <c r="N4478" i="5"/>
  <c r="L4512" i="5"/>
  <c r="L4477" i="5"/>
  <c r="L4511" i="5"/>
  <c r="L4478" i="5"/>
  <c r="K4511" i="5"/>
  <c r="T4619" i="5" l="1"/>
  <c r="V4619" i="5" s="1"/>
  <c r="T4475" i="5"/>
  <c r="V4475" i="5" s="1"/>
  <c r="F1041" i="5" l="1"/>
  <c r="M1041" i="5"/>
  <c r="F1022" i="5"/>
  <c r="H1022" i="5"/>
  <c r="F1021" i="5"/>
  <c r="M1021" i="5"/>
  <c r="E1019" i="5"/>
  <c r="B1019" i="5"/>
  <c r="N1061" i="5"/>
  <c r="M1061" i="5"/>
  <c r="L1061" i="5"/>
  <c r="K1061" i="5"/>
  <c r="J1061" i="5"/>
  <c r="I1061" i="5"/>
  <c r="H1061" i="5"/>
  <c r="F1061" i="5"/>
  <c r="N1060" i="5"/>
  <c r="M1060" i="5"/>
  <c r="L1060" i="5"/>
  <c r="K1060" i="5"/>
  <c r="J1060" i="5"/>
  <c r="I1060" i="5"/>
  <c r="H1060" i="5"/>
  <c r="F1060" i="5"/>
  <c r="N1059" i="5"/>
  <c r="M1059" i="5"/>
  <c r="L1059" i="5"/>
  <c r="K1059" i="5"/>
  <c r="J1059" i="5"/>
  <c r="I1059" i="5"/>
  <c r="H1059" i="5"/>
  <c r="F1059" i="5"/>
  <c r="N1058" i="5"/>
  <c r="M1058" i="5"/>
  <c r="L1058" i="5"/>
  <c r="K1058" i="5"/>
  <c r="J1058" i="5"/>
  <c r="I1058" i="5"/>
  <c r="H1058" i="5"/>
  <c r="F1058" i="5"/>
  <c r="N1057" i="5"/>
  <c r="M1057" i="5"/>
  <c r="L1057" i="5"/>
  <c r="K1057" i="5"/>
  <c r="J1057" i="5"/>
  <c r="I1057" i="5"/>
  <c r="H1057" i="5"/>
  <c r="F1057" i="5"/>
  <c r="N1050" i="5"/>
  <c r="M1050" i="5"/>
  <c r="L1050" i="5"/>
  <c r="K1050" i="5"/>
  <c r="J1050" i="5"/>
  <c r="I1050" i="5"/>
  <c r="H1050" i="5"/>
  <c r="F1050" i="5"/>
  <c r="N1049" i="5"/>
  <c r="M1049" i="5"/>
  <c r="L1049" i="5"/>
  <c r="K1049" i="5"/>
  <c r="J1049" i="5"/>
  <c r="I1049" i="5"/>
  <c r="H1049" i="5"/>
  <c r="F1049" i="5"/>
  <c r="N1048" i="5"/>
  <c r="M1048" i="5"/>
  <c r="L1048" i="5"/>
  <c r="K1048" i="5"/>
  <c r="J1048" i="5"/>
  <c r="I1048" i="5"/>
  <c r="H1048" i="5"/>
  <c r="F1048" i="5"/>
  <c r="N1047" i="5"/>
  <c r="M1047" i="5"/>
  <c r="L1047" i="5"/>
  <c r="K1047" i="5"/>
  <c r="J1047" i="5"/>
  <c r="I1047" i="5"/>
  <c r="H1047" i="5"/>
  <c r="F1047" i="5"/>
  <c r="N1046" i="5"/>
  <c r="M1046" i="5"/>
  <c r="L1046" i="5"/>
  <c r="K1046" i="5"/>
  <c r="J1046" i="5"/>
  <c r="I1046" i="5"/>
  <c r="H1046" i="5"/>
  <c r="F1046" i="5"/>
  <c r="N1045" i="5"/>
  <c r="M1045" i="5"/>
  <c r="L1045" i="5"/>
  <c r="K1045" i="5"/>
  <c r="J1045" i="5"/>
  <c r="I1045" i="5"/>
  <c r="H1045" i="5"/>
  <c r="F1045" i="5"/>
  <c r="N1044" i="5"/>
  <c r="M1044" i="5"/>
  <c r="L1044" i="5"/>
  <c r="K1044" i="5"/>
  <c r="J1044" i="5"/>
  <c r="I1044" i="5"/>
  <c r="H1044" i="5"/>
  <c r="F1044" i="5"/>
  <c r="N1043" i="5"/>
  <c r="M1043" i="5"/>
  <c r="L1043" i="5"/>
  <c r="K1043" i="5"/>
  <c r="J1043" i="5"/>
  <c r="I1043" i="5"/>
  <c r="H1043" i="5"/>
  <c r="F1043" i="5"/>
  <c r="N1042" i="5"/>
  <c r="M1042" i="5"/>
  <c r="L1042" i="5"/>
  <c r="K1042" i="5"/>
  <c r="J1042" i="5"/>
  <c r="I1042" i="5"/>
  <c r="H1042" i="5"/>
  <c r="F1042" i="5"/>
  <c r="N1036" i="5"/>
  <c r="M1036" i="5"/>
  <c r="L1036" i="5"/>
  <c r="K1036" i="5"/>
  <c r="J1036" i="5"/>
  <c r="I1036" i="5"/>
  <c r="H1036" i="5"/>
  <c r="F1036" i="5"/>
  <c r="N1035" i="5"/>
  <c r="M1035" i="5"/>
  <c r="L1035" i="5"/>
  <c r="K1035" i="5"/>
  <c r="J1035" i="5"/>
  <c r="I1035" i="5"/>
  <c r="H1035" i="5"/>
  <c r="F1035" i="5"/>
  <c r="N1034" i="5"/>
  <c r="M1034" i="5"/>
  <c r="L1034" i="5"/>
  <c r="K1034" i="5"/>
  <c r="J1034" i="5"/>
  <c r="I1034" i="5"/>
  <c r="H1034" i="5"/>
  <c r="F1034" i="5"/>
  <c r="N1033" i="5"/>
  <c r="M1033" i="5"/>
  <c r="L1033" i="5"/>
  <c r="K1033" i="5"/>
  <c r="J1033" i="5"/>
  <c r="I1033" i="5"/>
  <c r="H1033" i="5"/>
  <c r="F1033" i="5"/>
  <c r="N1032" i="5"/>
  <c r="M1032" i="5"/>
  <c r="L1032" i="5"/>
  <c r="K1032" i="5"/>
  <c r="J1032" i="5"/>
  <c r="I1032" i="5"/>
  <c r="H1032" i="5"/>
  <c r="F1032" i="5"/>
  <c r="N1031" i="5"/>
  <c r="M1031" i="5"/>
  <c r="L1031" i="5"/>
  <c r="K1031" i="5"/>
  <c r="J1031" i="5"/>
  <c r="I1031" i="5"/>
  <c r="H1031" i="5"/>
  <c r="F1031" i="5"/>
  <c r="N1030" i="5"/>
  <c r="M1030" i="5"/>
  <c r="L1030" i="5"/>
  <c r="K1030" i="5"/>
  <c r="J1030" i="5"/>
  <c r="I1030" i="5"/>
  <c r="H1030" i="5"/>
  <c r="F1030" i="5"/>
  <c r="N1029" i="5"/>
  <c r="M1029" i="5"/>
  <c r="L1029" i="5"/>
  <c r="K1029" i="5"/>
  <c r="J1029" i="5"/>
  <c r="I1029" i="5"/>
  <c r="H1029" i="5"/>
  <c r="F1029" i="5"/>
  <c r="N1028" i="5"/>
  <c r="M1028" i="5"/>
  <c r="L1028" i="5"/>
  <c r="K1028" i="5"/>
  <c r="J1028" i="5"/>
  <c r="I1028" i="5"/>
  <c r="H1028" i="5"/>
  <c r="F1028" i="5"/>
  <c r="N1027" i="5"/>
  <c r="M1027" i="5"/>
  <c r="L1027" i="5"/>
  <c r="K1027" i="5"/>
  <c r="J1027" i="5"/>
  <c r="I1027" i="5"/>
  <c r="H1027" i="5"/>
  <c r="F1027" i="5"/>
  <c r="N1026" i="5"/>
  <c r="M1026" i="5"/>
  <c r="L1026" i="5"/>
  <c r="K1026" i="5"/>
  <c r="J1026" i="5"/>
  <c r="I1026" i="5"/>
  <c r="H1026" i="5"/>
  <c r="F1026" i="5"/>
  <c r="N1025" i="5"/>
  <c r="M1025" i="5"/>
  <c r="L1025" i="5"/>
  <c r="K1025" i="5"/>
  <c r="J1025" i="5"/>
  <c r="I1025" i="5"/>
  <c r="H1025" i="5"/>
  <c r="F1025" i="5"/>
  <c r="M1024" i="5"/>
  <c r="N1024" i="5" s="1"/>
  <c r="J1024" i="5"/>
  <c r="K1024" i="5" s="1"/>
  <c r="H1024" i="5"/>
  <c r="I1024" i="5" s="1"/>
  <c r="F1024" i="5"/>
  <c r="M1023" i="5"/>
  <c r="N1023" i="5" s="1"/>
  <c r="J1023" i="5"/>
  <c r="K1023" i="5" s="1"/>
  <c r="H1023" i="5"/>
  <c r="I1023" i="5" s="1"/>
  <c r="F1023" i="5"/>
  <c r="O1019" i="5" l="1"/>
  <c r="P1019" i="5" s="1"/>
  <c r="X1019" i="5"/>
  <c r="W1019" i="5"/>
  <c r="J1056" i="5"/>
  <c r="K1056" i="5" s="1"/>
  <c r="N1041" i="5"/>
  <c r="F1051" i="5"/>
  <c r="J1041" i="5"/>
  <c r="K1041" i="5" s="1"/>
  <c r="F1037" i="5"/>
  <c r="H1041" i="5"/>
  <c r="I1041" i="5" s="1"/>
  <c r="H1021" i="5"/>
  <c r="I1021" i="5" s="1"/>
  <c r="M1056" i="5"/>
  <c r="N1056" i="5" s="1"/>
  <c r="N1021" i="5"/>
  <c r="J1022" i="5"/>
  <c r="K1022" i="5" s="1"/>
  <c r="I1022" i="5"/>
  <c r="M1055" i="5"/>
  <c r="N1055" i="5" s="1"/>
  <c r="J1021" i="5"/>
  <c r="K1021" i="5" s="1"/>
  <c r="M1022" i="5"/>
  <c r="N1022" i="5" s="1"/>
  <c r="J1055" i="5"/>
  <c r="K1055" i="5" s="1"/>
  <c r="I559" i="5"/>
  <c r="I511" i="5"/>
  <c r="L1108" i="5" l="1"/>
  <c r="L1106" i="5"/>
  <c r="L1107" i="5"/>
  <c r="L1105" i="5"/>
  <c r="D480" i="5" l="1"/>
  <c r="B480" i="5"/>
  <c r="M480" i="5"/>
  <c r="M479" i="5"/>
  <c r="N479" i="5" s="1"/>
  <c r="E443" i="5"/>
  <c r="B443" i="5"/>
  <c r="A443" i="5"/>
  <c r="N485" i="5"/>
  <c r="M485" i="5"/>
  <c r="L485" i="5"/>
  <c r="K485" i="5"/>
  <c r="J485" i="5"/>
  <c r="I485" i="5"/>
  <c r="H485" i="5"/>
  <c r="F485" i="5"/>
  <c r="N484" i="5"/>
  <c r="M484" i="5"/>
  <c r="L484" i="5"/>
  <c r="K484" i="5"/>
  <c r="J484" i="5"/>
  <c r="I484" i="5"/>
  <c r="H484" i="5"/>
  <c r="F484" i="5"/>
  <c r="N483" i="5"/>
  <c r="M483" i="5"/>
  <c r="L483" i="5"/>
  <c r="K483" i="5"/>
  <c r="J483" i="5"/>
  <c r="I483" i="5"/>
  <c r="H483" i="5"/>
  <c r="F483" i="5"/>
  <c r="N482" i="5"/>
  <c r="M482" i="5"/>
  <c r="L482" i="5"/>
  <c r="K482" i="5"/>
  <c r="J482" i="5"/>
  <c r="I482" i="5"/>
  <c r="H482" i="5"/>
  <c r="F482" i="5"/>
  <c r="N481" i="5"/>
  <c r="M481" i="5"/>
  <c r="L481" i="5"/>
  <c r="K481" i="5"/>
  <c r="J481" i="5"/>
  <c r="I481" i="5"/>
  <c r="H481" i="5"/>
  <c r="F481" i="5"/>
  <c r="N474" i="5"/>
  <c r="M474" i="5"/>
  <c r="L474" i="5"/>
  <c r="K474" i="5"/>
  <c r="J474" i="5"/>
  <c r="I474" i="5"/>
  <c r="H474" i="5"/>
  <c r="F474" i="5"/>
  <c r="N473" i="5"/>
  <c r="M473" i="5"/>
  <c r="L473" i="5"/>
  <c r="K473" i="5"/>
  <c r="J473" i="5"/>
  <c r="I473" i="5"/>
  <c r="H473" i="5"/>
  <c r="F473" i="5"/>
  <c r="N472" i="5"/>
  <c r="M472" i="5"/>
  <c r="L472" i="5"/>
  <c r="K472" i="5"/>
  <c r="J472" i="5"/>
  <c r="I472" i="5"/>
  <c r="H472" i="5"/>
  <c r="F472" i="5"/>
  <c r="N471" i="5"/>
  <c r="M471" i="5"/>
  <c r="L471" i="5"/>
  <c r="K471" i="5"/>
  <c r="J471" i="5"/>
  <c r="I471" i="5"/>
  <c r="H471" i="5"/>
  <c r="F471" i="5"/>
  <c r="N470" i="5"/>
  <c r="M470" i="5"/>
  <c r="L470" i="5"/>
  <c r="K470" i="5"/>
  <c r="J470" i="5"/>
  <c r="I470" i="5"/>
  <c r="H470" i="5"/>
  <c r="F470" i="5"/>
  <c r="N469" i="5"/>
  <c r="M469" i="5"/>
  <c r="L469" i="5"/>
  <c r="K469" i="5"/>
  <c r="J469" i="5"/>
  <c r="I469" i="5"/>
  <c r="H469" i="5"/>
  <c r="F469" i="5"/>
  <c r="N468" i="5"/>
  <c r="M468" i="5"/>
  <c r="L468" i="5"/>
  <c r="K468" i="5"/>
  <c r="J468" i="5"/>
  <c r="I468" i="5"/>
  <c r="H468" i="5"/>
  <c r="F468" i="5"/>
  <c r="N467" i="5"/>
  <c r="M467" i="5"/>
  <c r="L467" i="5"/>
  <c r="K467" i="5"/>
  <c r="J467" i="5"/>
  <c r="I467" i="5"/>
  <c r="H467" i="5"/>
  <c r="F467" i="5"/>
  <c r="N466" i="5"/>
  <c r="M466" i="5"/>
  <c r="L466" i="5"/>
  <c r="K466" i="5"/>
  <c r="J466" i="5"/>
  <c r="I466" i="5"/>
  <c r="H466" i="5"/>
  <c r="F466" i="5"/>
  <c r="N465" i="5"/>
  <c r="M465" i="5"/>
  <c r="L465" i="5"/>
  <c r="K465" i="5"/>
  <c r="J465" i="5"/>
  <c r="I465" i="5"/>
  <c r="H465" i="5"/>
  <c r="F465" i="5"/>
  <c r="X443" i="5" s="1"/>
  <c r="N460" i="5"/>
  <c r="M460" i="5"/>
  <c r="L460" i="5"/>
  <c r="K460" i="5"/>
  <c r="J460" i="5"/>
  <c r="I460" i="5"/>
  <c r="H460" i="5"/>
  <c r="F460" i="5"/>
  <c r="N459" i="5"/>
  <c r="M459" i="5"/>
  <c r="L459" i="5"/>
  <c r="K459" i="5"/>
  <c r="J459" i="5"/>
  <c r="I459" i="5"/>
  <c r="H459" i="5"/>
  <c r="F459" i="5"/>
  <c r="N458" i="5"/>
  <c r="M458" i="5"/>
  <c r="L458" i="5"/>
  <c r="K458" i="5"/>
  <c r="J458" i="5"/>
  <c r="I458" i="5"/>
  <c r="H458" i="5"/>
  <c r="F458" i="5"/>
  <c r="N457" i="5"/>
  <c r="M457" i="5"/>
  <c r="L457" i="5"/>
  <c r="K457" i="5"/>
  <c r="J457" i="5"/>
  <c r="I457" i="5"/>
  <c r="H457" i="5"/>
  <c r="F457" i="5"/>
  <c r="N456" i="5"/>
  <c r="M456" i="5"/>
  <c r="L456" i="5"/>
  <c r="K456" i="5"/>
  <c r="J456" i="5"/>
  <c r="I456" i="5"/>
  <c r="H456" i="5"/>
  <c r="F456" i="5"/>
  <c r="N455" i="5"/>
  <c r="M455" i="5"/>
  <c r="L455" i="5"/>
  <c r="K455" i="5"/>
  <c r="J455" i="5"/>
  <c r="I455" i="5"/>
  <c r="H455" i="5"/>
  <c r="F455" i="5"/>
  <c r="N454" i="5"/>
  <c r="M454" i="5"/>
  <c r="L454" i="5"/>
  <c r="K454" i="5"/>
  <c r="J454" i="5"/>
  <c r="I454" i="5"/>
  <c r="H454" i="5"/>
  <c r="F454" i="5"/>
  <c r="N453" i="5"/>
  <c r="M453" i="5"/>
  <c r="L453" i="5"/>
  <c r="K453" i="5"/>
  <c r="J453" i="5"/>
  <c r="I453" i="5"/>
  <c r="H453" i="5"/>
  <c r="F453" i="5"/>
  <c r="N452" i="5"/>
  <c r="M452" i="5"/>
  <c r="L452" i="5"/>
  <c r="K452" i="5"/>
  <c r="J452" i="5"/>
  <c r="I452" i="5"/>
  <c r="H452" i="5"/>
  <c r="F452" i="5"/>
  <c r="N451" i="5"/>
  <c r="M451" i="5"/>
  <c r="L451" i="5"/>
  <c r="K451" i="5"/>
  <c r="J451" i="5"/>
  <c r="I451" i="5"/>
  <c r="H451" i="5"/>
  <c r="F451" i="5"/>
  <c r="N450" i="5"/>
  <c r="M450" i="5"/>
  <c r="L450" i="5"/>
  <c r="K450" i="5"/>
  <c r="J450" i="5"/>
  <c r="I450" i="5"/>
  <c r="H450" i="5"/>
  <c r="F450" i="5"/>
  <c r="N449" i="5"/>
  <c r="M449" i="5"/>
  <c r="L449" i="5"/>
  <c r="K449" i="5"/>
  <c r="J449" i="5"/>
  <c r="I449" i="5"/>
  <c r="H449" i="5"/>
  <c r="F449" i="5"/>
  <c r="N448" i="5"/>
  <c r="M448" i="5"/>
  <c r="L448" i="5"/>
  <c r="K448" i="5"/>
  <c r="J448" i="5"/>
  <c r="I448" i="5"/>
  <c r="H448" i="5"/>
  <c r="F448" i="5"/>
  <c r="N447" i="5"/>
  <c r="M447" i="5"/>
  <c r="L447" i="5"/>
  <c r="K447" i="5"/>
  <c r="J447" i="5"/>
  <c r="I447" i="5"/>
  <c r="H447" i="5"/>
  <c r="F447" i="5"/>
  <c r="N446" i="5"/>
  <c r="M446" i="5"/>
  <c r="L446" i="5"/>
  <c r="K446" i="5"/>
  <c r="J446" i="5"/>
  <c r="I446" i="5"/>
  <c r="H446" i="5"/>
  <c r="F446" i="5"/>
  <c r="N445" i="5"/>
  <c r="M445" i="5"/>
  <c r="L445" i="5"/>
  <c r="K445" i="5"/>
  <c r="J445" i="5"/>
  <c r="I445" i="5"/>
  <c r="H445" i="5"/>
  <c r="F445" i="5"/>
  <c r="W443" i="5" l="1"/>
  <c r="O443" i="5"/>
  <c r="P443" i="5" s="1"/>
  <c r="G443" i="5"/>
  <c r="U443" i="5" s="1"/>
  <c r="F475" i="5"/>
  <c r="F461" i="5"/>
  <c r="N480" i="5"/>
  <c r="J479" i="5"/>
  <c r="D479" i="5"/>
  <c r="J480" i="5"/>
  <c r="K480" i="5" s="1"/>
  <c r="L480" i="5" l="1"/>
  <c r="K479" i="5"/>
  <c r="L479" i="5"/>
  <c r="T443" i="5" l="1"/>
  <c r="V443" i="5" s="1"/>
  <c r="E299" i="5"/>
  <c r="B299" i="5"/>
  <c r="A299" i="5"/>
  <c r="E322" i="5"/>
  <c r="D322" i="5"/>
  <c r="B322" i="5"/>
  <c r="E321" i="5"/>
  <c r="D321" i="5"/>
  <c r="B321" i="5"/>
  <c r="E2941" i="5"/>
  <c r="G299" i="5" l="1"/>
  <c r="U299" i="5" s="1"/>
  <c r="O299" i="5"/>
  <c r="P299" i="5" s="1"/>
  <c r="B34" i="5" l="1"/>
  <c r="B33" i="5"/>
  <c r="E34" i="5"/>
  <c r="F34" i="5" s="1"/>
  <c r="E33" i="5"/>
  <c r="F33" i="5" s="1"/>
  <c r="D34" i="5" l="1"/>
  <c r="D33" i="5"/>
  <c r="C3407" i="5" l="1"/>
  <c r="C3263" i="5"/>
  <c r="E491" i="5"/>
  <c r="B491" i="5"/>
  <c r="A491" i="5"/>
  <c r="N533" i="5"/>
  <c r="M533" i="5"/>
  <c r="L533" i="5"/>
  <c r="K533" i="5"/>
  <c r="J533" i="5"/>
  <c r="I533" i="5"/>
  <c r="H533" i="5"/>
  <c r="F533" i="5"/>
  <c r="N532" i="5"/>
  <c r="M532" i="5"/>
  <c r="L532" i="5"/>
  <c r="K532" i="5"/>
  <c r="J532" i="5"/>
  <c r="I532" i="5"/>
  <c r="H532" i="5"/>
  <c r="F532" i="5"/>
  <c r="N531" i="5"/>
  <c r="M531" i="5"/>
  <c r="L531" i="5"/>
  <c r="K531" i="5"/>
  <c r="J531" i="5"/>
  <c r="I531" i="5"/>
  <c r="H531" i="5"/>
  <c r="F531" i="5"/>
  <c r="N530" i="5"/>
  <c r="M530" i="5"/>
  <c r="L530" i="5"/>
  <c r="K530" i="5"/>
  <c r="J530" i="5"/>
  <c r="I530" i="5"/>
  <c r="H530" i="5"/>
  <c r="F530" i="5"/>
  <c r="N529" i="5"/>
  <c r="M529" i="5"/>
  <c r="L529" i="5"/>
  <c r="K529" i="5"/>
  <c r="J529" i="5"/>
  <c r="I529" i="5"/>
  <c r="H529" i="5"/>
  <c r="F529" i="5"/>
  <c r="N528" i="5"/>
  <c r="M528" i="5"/>
  <c r="L528" i="5"/>
  <c r="K528" i="5"/>
  <c r="J528" i="5"/>
  <c r="I528" i="5"/>
  <c r="H528" i="5"/>
  <c r="F528" i="5"/>
  <c r="A527" i="5"/>
  <c r="N522" i="5"/>
  <c r="M522" i="5"/>
  <c r="L522" i="5"/>
  <c r="K522" i="5"/>
  <c r="J522" i="5"/>
  <c r="I522" i="5"/>
  <c r="H522" i="5"/>
  <c r="F522" i="5"/>
  <c r="N521" i="5"/>
  <c r="M521" i="5"/>
  <c r="L521" i="5"/>
  <c r="K521" i="5"/>
  <c r="J521" i="5"/>
  <c r="I521" i="5"/>
  <c r="H521" i="5"/>
  <c r="F521" i="5"/>
  <c r="N520" i="5"/>
  <c r="M520" i="5"/>
  <c r="L520" i="5"/>
  <c r="K520" i="5"/>
  <c r="J520" i="5"/>
  <c r="I520" i="5"/>
  <c r="H520" i="5"/>
  <c r="F520" i="5"/>
  <c r="N519" i="5"/>
  <c r="M519" i="5"/>
  <c r="L519" i="5"/>
  <c r="K519" i="5"/>
  <c r="J519" i="5"/>
  <c r="I519" i="5"/>
  <c r="H519" i="5"/>
  <c r="F519" i="5"/>
  <c r="N518" i="5"/>
  <c r="M518" i="5"/>
  <c r="L518" i="5"/>
  <c r="K518" i="5"/>
  <c r="J518" i="5"/>
  <c r="I518" i="5"/>
  <c r="H518" i="5"/>
  <c r="F518" i="5"/>
  <c r="N517" i="5"/>
  <c r="M517" i="5"/>
  <c r="L517" i="5"/>
  <c r="K517" i="5"/>
  <c r="J517" i="5"/>
  <c r="I517" i="5"/>
  <c r="H517" i="5"/>
  <c r="F517" i="5"/>
  <c r="N516" i="5"/>
  <c r="M516" i="5"/>
  <c r="L516" i="5"/>
  <c r="K516" i="5"/>
  <c r="J516" i="5"/>
  <c r="I516" i="5"/>
  <c r="H516" i="5"/>
  <c r="F516" i="5"/>
  <c r="N515" i="5"/>
  <c r="M515" i="5"/>
  <c r="L515" i="5"/>
  <c r="K515" i="5"/>
  <c r="J515" i="5"/>
  <c r="I515" i="5"/>
  <c r="H515" i="5"/>
  <c r="F515" i="5"/>
  <c r="N514" i="5"/>
  <c r="M514" i="5"/>
  <c r="L514" i="5"/>
  <c r="K514" i="5"/>
  <c r="J514" i="5"/>
  <c r="I514" i="5"/>
  <c r="H514" i="5"/>
  <c r="F514" i="5"/>
  <c r="N513" i="5"/>
  <c r="M513" i="5"/>
  <c r="L513" i="5"/>
  <c r="K513" i="5"/>
  <c r="J513" i="5"/>
  <c r="I513" i="5"/>
  <c r="H513" i="5"/>
  <c r="F513" i="5"/>
  <c r="N508" i="5"/>
  <c r="M508" i="5"/>
  <c r="L508" i="5"/>
  <c r="K508" i="5"/>
  <c r="J508" i="5"/>
  <c r="I508" i="5"/>
  <c r="H508" i="5"/>
  <c r="F508" i="5"/>
  <c r="N507" i="5"/>
  <c r="M507" i="5"/>
  <c r="L507" i="5"/>
  <c r="K507" i="5"/>
  <c r="J507" i="5"/>
  <c r="I507" i="5"/>
  <c r="H507" i="5"/>
  <c r="F507" i="5"/>
  <c r="N506" i="5"/>
  <c r="M506" i="5"/>
  <c r="L506" i="5"/>
  <c r="K506" i="5"/>
  <c r="J506" i="5"/>
  <c r="I506" i="5"/>
  <c r="H506" i="5"/>
  <c r="F506" i="5"/>
  <c r="N505" i="5"/>
  <c r="M505" i="5"/>
  <c r="L505" i="5"/>
  <c r="K505" i="5"/>
  <c r="J505" i="5"/>
  <c r="I505" i="5"/>
  <c r="H505" i="5"/>
  <c r="F505" i="5"/>
  <c r="N504" i="5"/>
  <c r="M504" i="5"/>
  <c r="L504" i="5"/>
  <c r="K504" i="5"/>
  <c r="J504" i="5"/>
  <c r="I504" i="5"/>
  <c r="H504" i="5"/>
  <c r="F504" i="5"/>
  <c r="N503" i="5"/>
  <c r="M503" i="5"/>
  <c r="L503" i="5"/>
  <c r="K503" i="5"/>
  <c r="J503" i="5"/>
  <c r="I503" i="5"/>
  <c r="H503" i="5"/>
  <c r="F503" i="5"/>
  <c r="N502" i="5"/>
  <c r="M502" i="5"/>
  <c r="L502" i="5"/>
  <c r="K502" i="5"/>
  <c r="J502" i="5"/>
  <c r="I502" i="5"/>
  <c r="H502" i="5"/>
  <c r="F502" i="5"/>
  <c r="N501" i="5"/>
  <c r="M501" i="5"/>
  <c r="L501" i="5"/>
  <c r="K501" i="5"/>
  <c r="J501" i="5"/>
  <c r="I501" i="5"/>
  <c r="H501" i="5"/>
  <c r="F501" i="5"/>
  <c r="N500" i="5"/>
  <c r="M500" i="5"/>
  <c r="L500" i="5"/>
  <c r="K500" i="5"/>
  <c r="J500" i="5"/>
  <c r="I500" i="5"/>
  <c r="H500" i="5"/>
  <c r="F500" i="5"/>
  <c r="N499" i="5"/>
  <c r="M499" i="5"/>
  <c r="L499" i="5"/>
  <c r="K499" i="5"/>
  <c r="J499" i="5"/>
  <c r="I499" i="5"/>
  <c r="H499" i="5"/>
  <c r="F499" i="5"/>
  <c r="N498" i="5"/>
  <c r="M498" i="5"/>
  <c r="L498" i="5"/>
  <c r="K498" i="5"/>
  <c r="J498" i="5"/>
  <c r="I498" i="5"/>
  <c r="H498" i="5"/>
  <c r="F498" i="5"/>
  <c r="N497" i="5"/>
  <c r="M497" i="5"/>
  <c r="L497" i="5"/>
  <c r="K497" i="5"/>
  <c r="J497" i="5"/>
  <c r="I497" i="5"/>
  <c r="H497" i="5"/>
  <c r="F497" i="5"/>
  <c r="N496" i="5"/>
  <c r="M496" i="5"/>
  <c r="L496" i="5"/>
  <c r="K496" i="5"/>
  <c r="J496" i="5"/>
  <c r="I496" i="5"/>
  <c r="H496" i="5"/>
  <c r="F496" i="5"/>
  <c r="N495" i="5"/>
  <c r="M495" i="5"/>
  <c r="L495" i="5"/>
  <c r="K495" i="5"/>
  <c r="J495" i="5"/>
  <c r="I495" i="5"/>
  <c r="H495" i="5"/>
  <c r="F495" i="5"/>
  <c r="N494" i="5"/>
  <c r="M494" i="5"/>
  <c r="L494" i="5"/>
  <c r="K494" i="5"/>
  <c r="J494" i="5"/>
  <c r="I494" i="5"/>
  <c r="H494" i="5"/>
  <c r="F494" i="5"/>
  <c r="N493" i="5"/>
  <c r="M493" i="5"/>
  <c r="L493" i="5"/>
  <c r="K493" i="5"/>
  <c r="J493" i="5"/>
  <c r="I493" i="5"/>
  <c r="H493" i="5"/>
  <c r="F493" i="5"/>
  <c r="W491" i="5" l="1"/>
  <c r="X491" i="5"/>
  <c r="G491" i="5"/>
  <c r="U491" i="5" s="1"/>
  <c r="O491" i="5"/>
  <c r="P491" i="5" s="1"/>
  <c r="F509" i="5"/>
  <c r="D527" i="5"/>
  <c r="M527" i="5"/>
  <c r="N527" i="5" s="1"/>
  <c r="F523" i="5"/>
  <c r="J527" i="5"/>
  <c r="K527" i="5" l="1"/>
  <c r="E5823" i="5" l="1"/>
  <c r="L3662" i="5" l="1"/>
  <c r="C5856" i="5"/>
  <c r="D5855" i="5"/>
  <c r="A5856" i="5"/>
  <c r="D5856" i="5" s="1"/>
  <c r="E5842" i="5"/>
  <c r="C5842" i="5"/>
  <c r="A5842" i="5"/>
  <c r="D5842" i="5" s="1"/>
  <c r="E5841" i="5"/>
  <c r="C5841" i="5"/>
  <c r="A5841" i="5"/>
  <c r="B5841" i="5" s="1"/>
  <c r="E5824" i="5"/>
  <c r="F5824" i="5" s="1"/>
  <c r="A5824" i="5"/>
  <c r="J5824" i="5" s="1"/>
  <c r="D5823" i="5"/>
  <c r="E5822" i="5"/>
  <c r="C5822" i="5"/>
  <c r="A5822" i="5"/>
  <c r="D5822" i="5" s="1"/>
  <c r="E5821" i="5"/>
  <c r="C5821" i="5"/>
  <c r="A5821" i="5"/>
  <c r="D5821" i="5" s="1"/>
  <c r="B5819" i="5"/>
  <c r="A5819" i="5"/>
  <c r="A5903" i="5"/>
  <c r="A5890" i="5"/>
  <c r="D5890" i="5" s="1"/>
  <c r="A5889" i="5"/>
  <c r="D5889" i="5" s="1"/>
  <c r="E5890" i="5"/>
  <c r="E5889" i="5"/>
  <c r="E5869" i="5"/>
  <c r="A5872" i="5"/>
  <c r="D5872" i="5" s="1"/>
  <c r="C5904" i="5"/>
  <c r="C5890" i="5"/>
  <c r="C5889" i="5"/>
  <c r="C5870" i="5"/>
  <c r="C5869" i="5"/>
  <c r="E5872" i="5"/>
  <c r="A5869" i="5"/>
  <c r="N5861" i="5"/>
  <c r="M5861" i="5"/>
  <c r="L5861" i="5"/>
  <c r="K5861" i="5"/>
  <c r="J5861" i="5"/>
  <c r="I5861" i="5"/>
  <c r="H5861" i="5"/>
  <c r="F5861" i="5"/>
  <c r="N5860" i="5"/>
  <c r="M5860" i="5"/>
  <c r="L5860" i="5"/>
  <c r="K5860" i="5"/>
  <c r="J5860" i="5"/>
  <c r="I5860" i="5"/>
  <c r="H5860" i="5"/>
  <c r="F5860" i="5"/>
  <c r="N5859" i="5"/>
  <c r="M5859" i="5"/>
  <c r="L5859" i="5"/>
  <c r="K5859" i="5"/>
  <c r="J5859" i="5"/>
  <c r="I5859" i="5"/>
  <c r="H5859" i="5"/>
  <c r="F5859" i="5"/>
  <c r="N5858" i="5"/>
  <c r="M5858" i="5"/>
  <c r="L5858" i="5"/>
  <c r="K5858" i="5"/>
  <c r="J5858" i="5"/>
  <c r="I5858" i="5"/>
  <c r="H5858" i="5"/>
  <c r="F5858" i="5"/>
  <c r="N5857" i="5"/>
  <c r="M5857" i="5"/>
  <c r="L5857" i="5"/>
  <c r="K5857" i="5"/>
  <c r="J5857" i="5"/>
  <c r="I5857" i="5"/>
  <c r="H5857" i="5"/>
  <c r="F5857" i="5"/>
  <c r="N5850" i="5"/>
  <c r="M5850" i="5"/>
  <c r="L5850" i="5"/>
  <c r="K5850" i="5"/>
  <c r="J5850" i="5"/>
  <c r="I5850" i="5"/>
  <c r="H5850" i="5"/>
  <c r="F5850" i="5"/>
  <c r="N5849" i="5"/>
  <c r="M5849" i="5"/>
  <c r="L5849" i="5"/>
  <c r="K5849" i="5"/>
  <c r="J5849" i="5"/>
  <c r="I5849" i="5"/>
  <c r="H5849" i="5"/>
  <c r="F5849" i="5"/>
  <c r="N5848" i="5"/>
  <c r="M5848" i="5"/>
  <c r="L5848" i="5"/>
  <c r="K5848" i="5"/>
  <c r="J5848" i="5"/>
  <c r="I5848" i="5"/>
  <c r="H5848" i="5"/>
  <c r="F5848" i="5"/>
  <c r="N5847" i="5"/>
  <c r="M5847" i="5"/>
  <c r="L5847" i="5"/>
  <c r="K5847" i="5"/>
  <c r="J5847" i="5"/>
  <c r="I5847" i="5"/>
  <c r="H5847" i="5"/>
  <c r="F5847" i="5"/>
  <c r="N5846" i="5"/>
  <c r="M5846" i="5"/>
  <c r="L5846" i="5"/>
  <c r="K5846" i="5"/>
  <c r="J5846" i="5"/>
  <c r="I5846" i="5"/>
  <c r="H5846" i="5"/>
  <c r="F5846" i="5"/>
  <c r="N5845" i="5"/>
  <c r="M5845" i="5"/>
  <c r="L5845" i="5"/>
  <c r="K5845" i="5"/>
  <c r="J5845" i="5"/>
  <c r="I5845" i="5"/>
  <c r="H5845" i="5"/>
  <c r="F5845" i="5"/>
  <c r="N5844" i="5"/>
  <c r="M5844" i="5"/>
  <c r="L5844" i="5"/>
  <c r="K5844" i="5"/>
  <c r="J5844" i="5"/>
  <c r="I5844" i="5"/>
  <c r="H5844" i="5"/>
  <c r="F5844" i="5"/>
  <c r="N5843" i="5"/>
  <c r="M5843" i="5"/>
  <c r="L5843" i="5"/>
  <c r="K5843" i="5"/>
  <c r="J5843" i="5"/>
  <c r="I5843" i="5"/>
  <c r="H5843" i="5"/>
  <c r="F5843" i="5"/>
  <c r="N5836" i="5"/>
  <c r="M5836" i="5"/>
  <c r="L5836" i="5"/>
  <c r="K5836" i="5"/>
  <c r="J5836" i="5"/>
  <c r="I5836" i="5"/>
  <c r="H5836" i="5"/>
  <c r="F5836" i="5"/>
  <c r="N5835" i="5"/>
  <c r="M5835" i="5"/>
  <c r="L5835" i="5"/>
  <c r="K5835" i="5"/>
  <c r="J5835" i="5"/>
  <c r="I5835" i="5"/>
  <c r="H5835" i="5"/>
  <c r="F5835" i="5"/>
  <c r="N5834" i="5"/>
  <c r="M5834" i="5"/>
  <c r="L5834" i="5"/>
  <c r="K5834" i="5"/>
  <c r="J5834" i="5"/>
  <c r="I5834" i="5"/>
  <c r="H5834" i="5"/>
  <c r="F5834" i="5"/>
  <c r="N5833" i="5"/>
  <c r="M5833" i="5"/>
  <c r="L5833" i="5"/>
  <c r="K5833" i="5"/>
  <c r="J5833" i="5"/>
  <c r="I5833" i="5"/>
  <c r="H5833" i="5"/>
  <c r="F5833" i="5"/>
  <c r="N5832" i="5"/>
  <c r="M5832" i="5"/>
  <c r="L5832" i="5"/>
  <c r="K5832" i="5"/>
  <c r="J5832" i="5"/>
  <c r="I5832" i="5"/>
  <c r="H5832" i="5"/>
  <c r="F5832" i="5"/>
  <c r="N5831" i="5"/>
  <c r="M5831" i="5"/>
  <c r="L5831" i="5"/>
  <c r="K5831" i="5"/>
  <c r="J5831" i="5"/>
  <c r="I5831" i="5"/>
  <c r="H5831" i="5"/>
  <c r="F5831" i="5"/>
  <c r="N5830" i="5"/>
  <c r="M5830" i="5"/>
  <c r="L5830" i="5"/>
  <c r="K5830" i="5"/>
  <c r="J5830" i="5"/>
  <c r="I5830" i="5"/>
  <c r="H5830" i="5"/>
  <c r="F5830" i="5"/>
  <c r="N5829" i="5"/>
  <c r="M5829" i="5"/>
  <c r="L5829" i="5"/>
  <c r="K5829" i="5"/>
  <c r="J5829" i="5"/>
  <c r="I5829" i="5"/>
  <c r="H5829" i="5"/>
  <c r="F5829" i="5"/>
  <c r="N5828" i="5"/>
  <c r="M5828" i="5"/>
  <c r="L5828" i="5"/>
  <c r="K5828" i="5"/>
  <c r="J5828" i="5"/>
  <c r="I5828" i="5"/>
  <c r="H5828" i="5"/>
  <c r="F5828" i="5"/>
  <c r="N5827" i="5"/>
  <c r="M5827" i="5"/>
  <c r="L5827" i="5"/>
  <c r="K5827" i="5"/>
  <c r="J5827" i="5"/>
  <c r="I5827" i="5"/>
  <c r="H5827" i="5"/>
  <c r="F5827" i="5"/>
  <c r="N5826" i="5"/>
  <c r="M5826" i="5"/>
  <c r="L5826" i="5"/>
  <c r="K5826" i="5"/>
  <c r="J5826" i="5"/>
  <c r="I5826" i="5"/>
  <c r="H5826" i="5"/>
  <c r="F5826" i="5"/>
  <c r="N5825" i="5"/>
  <c r="M5825" i="5"/>
  <c r="L5825" i="5"/>
  <c r="K5825" i="5"/>
  <c r="J5825" i="5"/>
  <c r="I5825" i="5"/>
  <c r="H5825" i="5"/>
  <c r="F5825" i="5"/>
  <c r="F5823" i="5"/>
  <c r="E5819" i="5"/>
  <c r="E5073" i="5"/>
  <c r="F5073" i="5" s="1"/>
  <c r="E5025" i="5"/>
  <c r="E5051" i="5"/>
  <c r="B5051" i="5"/>
  <c r="A5051" i="5"/>
  <c r="N5093" i="5"/>
  <c r="M5093" i="5"/>
  <c r="L5093" i="5"/>
  <c r="K5093" i="5"/>
  <c r="J5093" i="5"/>
  <c r="I5093" i="5"/>
  <c r="H5093" i="5"/>
  <c r="F5093" i="5"/>
  <c r="N5092" i="5"/>
  <c r="M5092" i="5"/>
  <c r="L5092" i="5"/>
  <c r="K5092" i="5"/>
  <c r="J5092" i="5"/>
  <c r="I5092" i="5"/>
  <c r="H5092" i="5"/>
  <c r="F5092" i="5"/>
  <c r="N5091" i="5"/>
  <c r="M5091" i="5"/>
  <c r="L5091" i="5"/>
  <c r="K5091" i="5"/>
  <c r="J5091" i="5"/>
  <c r="I5091" i="5"/>
  <c r="H5091" i="5"/>
  <c r="F5091" i="5"/>
  <c r="N5090" i="5"/>
  <c r="M5090" i="5"/>
  <c r="L5090" i="5"/>
  <c r="K5090" i="5"/>
  <c r="J5090" i="5"/>
  <c r="I5090" i="5"/>
  <c r="H5090" i="5"/>
  <c r="F5090" i="5"/>
  <c r="N5089" i="5"/>
  <c r="M5089" i="5"/>
  <c r="L5089" i="5"/>
  <c r="K5089" i="5"/>
  <c r="J5089" i="5"/>
  <c r="I5089" i="5"/>
  <c r="H5089" i="5"/>
  <c r="F5089" i="5"/>
  <c r="N5088" i="5"/>
  <c r="M5088" i="5"/>
  <c r="L5088" i="5"/>
  <c r="K5088" i="5"/>
  <c r="J5088" i="5"/>
  <c r="I5088" i="5"/>
  <c r="H5088" i="5"/>
  <c r="F5088" i="5"/>
  <c r="A5087" i="5"/>
  <c r="N5082" i="5"/>
  <c r="M5082" i="5"/>
  <c r="L5082" i="5"/>
  <c r="K5082" i="5"/>
  <c r="J5082" i="5"/>
  <c r="I5082" i="5"/>
  <c r="H5082" i="5"/>
  <c r="F5082" i="5"/>
  <c r="N5081" i="5"/>
  <c r="M5081" i="5"/>
  <c r="L5081" i="5"/>
  <c r="K5081" i="5"/>
  <c r="J5081" i="5"/>
  <c r="I5081" i="5"/>
  <c r="H5081" i="5"/>
  <c r="F5081" i="5"/>
  <c r="N5080" i="5"/>
  <c r="M5080" i="5"/>
  <c r="L5080" i="5"/>
  <c r="K5080" i="5"/>
  <c r="J5080" i="5"/>
  <c r="I5080" i="5"/>
  <c r="H5080" i="5"/>
  <c r="F5080" i="5"/>
  <c r="N5079" i="5"/>
  <c r="M5079" i="5"/>
  <c r="L5079" i="5"/>
  <c r="K5079" i="5"/>
  <c r="J5079" i="5"/>
  <c r="I5079" i="5"/>
  <c r="H5079" i="5"/>
  <c r="F5079" i="5"/>
  <c r="N5078" i="5"/>
  <c r="M5078" i="5"/>
  <c r="L5078" i="5"/>
  <c r="K5078" i="5"/>
  <c r="J5078" i="5"/>
  <c r="I5078" i="5"/>
  <c r="H5078" i="5"/>
  <c r="F5078" i="5"/>
  <c r="N5077" i="5"/>
  <c r="M5077" i="5"/>
  <c r="L5077" i="5"/>
  <c r="K5077" i="5"/>
  <c r="J5077" i="5"/>
  <c r="I5077" i="5"/>
  <c r="H5077" i="5"/>
  <c r="F5077" i="5"/>
  <c r="N5076" i="5"/>
  <c r="M5076" i="5"/>
  <c r="L5076" i="5"/>
  <c r="K5076" i="5"/>
  <c r="J5076" i="5"/>
  <c r="I5076" i="5"/>
  <c r="H5076" i="5"/>
  <c r="F5076" i="5"/>
  <c r="N5075" i="5"/>
  <c r="M5075" i="5"/>
  <c r="L5075" i="5"/>
  <c r="K5075" i="5"/>
  <c r="J5075" i="5"/>
  <c r="I5075" i="5"/>
  <c r="H5075" i="5"/>
  <c r="F5075" i="5"/>
  <c r="N5074" i="5"/>
  <c r="M5074" i="5"/>
  <c r="L5074" i="5"/>
  <c r="K5074" i="5"/>
  <c r="J5074" i="5"/>
  <c r="I5074" i="5"/>
  <c r="H5074" i="5"/>
  <c r="F5074" i="5"/>
  <c r="A5073" i="5"/>
  <c r="J5073" i="5" s="1"/>
  <c r="N5068" i="5"/>
  <c r="M5068" i="5"/>
  <c r="L5068" i="5"/>
  <c r="K5068" i="5"/>
  <c r="J5068" i="5"/>
  <c r="I5068" i="5"/>
  <c r="H5068" i="5"/>
  <c r="F5068" i="5"/>
  <c r="N5067" i="5"/>
  <c r="M5067" i="5"/>
  <c r="L5067" i="5"/>
  <c r="K5067" i="5"/>
  <c r="J5067" i="5"/>
  <c r="I5067" i="5"/>
  <c r="H5067" i="5"/>
  <c r="F5067" i="5"/>
  <c r="N5066" i="5"/>
  <c r="M5066" i="5"/>
  <c r="L5066" i="5"/>
  <c r="K5066" i="5"/>
  <c r="J5066" i="5"/>
  <c r="I5066" i="5"/>
  <c r="H5066" i="5"/>
  <c r="F5066" i="5"/>
  <c r="N5065" i="5"/>
  <c r="M5065" i="5"/>
  <c r="L5065" i="5"/>
  <c r="K5065" i="5"/>
  <c r="J5065" i="5"/>
  <c r="I5065" i="5"/>
  <c r="H5065" i="5"/>
  <c r="F5065" i="5"/>
  <c r="N5064" i="5"/>
  <c r="M5064" i="5"/>
  <c r="L5064" i="5"/>
  <c r="K5064" i="5"/>
  <c r="J5064" i="5"/>
  <c r="I5064" i="5"/>
  <c r="H5064" i="5"/>
  <c r="F5064" i="5"/>
  <c r="N5063" i="5"/>
  <c r="M5063" i="5"/>
  <c r="L5063" i="5"/>
  <c r="K5063" i="5"/>
  <c r="J5063" i="5"/>
  <c r="I5063" i="5"/>
  <c r="H5063" i="5"/>
  <c r="F5063" i="5"/>
  <c r="N5062" i="5"/>
  <c r="M5062" i="5"/>
  <c r="L5062" i="5"/>
  <c r="K5062" i="5"/>
  <c r="J5062" i="5"/>
  <c r="I5062" i="5"/>
  <c r="H5062" i="5"/>
  <c r="F5062" i="5"/>
  <c r="N5061" i="5"/>
  <c r="M5061" i="5"/>
  <c r="L5061" i="5"/>
  <c r="K5061" i="5"/>
  <c r="J5061" i="5"/>
  <c r="I5061" i="5"/>
  <c r="H5061" i="5"/>
  <c r="F5061" i="5"/>
  <c r="N5060" i="5"/>
  <c r="M5060" i="5"/>
  <c r="L5060" i="5"/>
  <c r="K5060" i="5"/>
  <c r="J5060" i="5"/>
  <c r="I5060" i="5"/>
  <c r="H5060" i="5"/>
  <c r="F5060" i="5"/>
  <c r="N5059" i="5"/>
  <c r="M5059" i="5"/>
  <c r="L5059" i="5"/>
  <c r="K5059" i="5"/>
  <c r="J5059" i="5"/>
  <c r="I5059" i="5"/>
  <c r="H5059" i="5"/>
  <c r="F5059" i="5"/>
  <c r="N5058" i="5"/>
  <c r="M5058" i="5"/>
  <c r="L5058" i="5"/>
  <c r="K5058" i="5"/>
  <c r="J5058" i="5"/>
  <c r="I5058" i="5"/>
  <c r="H5058" i="5"/>
  <c r="F5058" i="5"/>
  <c r="E5057" i="5"/>
  <c r="C5057" i="5"/>
  <c r="A5057" i="5"/>
  <c r="M5057" i="5" s="1"/>
  <c r="E5056" i="5"/>
  <c r="C5056" i="5"/>
  <c r="A5056" i="5"/>
  <c r="J5056" i="5" s="1"/>
  <c r="E5055" i="5"/>
  <c r="C5055" i="5"/>
  <c r="A5055" i="5"/>
  <c r="H5055" i="5" s="1"/>
  <c r="F5054" i="5"/>
  <c r="H5054" i="5"/>
  <c r="E5053" i="5"/>
  <c r="C5053" i="5"/>
  <c r="A5053" i="5"/>
  <c r="H5053" i="5" s="1"/>
  <c r="G5051" i="5" l="1"/>
  <c r="U5051" i="5" s="1"/>
  <c r="O5051" i="5"/>
  <c r="P5051" i="5" s="1"/>
  <c r="O5819" i="5"/>
  <c r="P5819" i="5" s="1"/>
  <c r="G5819" i="5"/>
  <c r="U5819" i="5" s="1"/>
  <c r="X5051" i="5"/>
  <c r="L2255" i="5"/>
  <c r="T2219" i="5" s="1"/>
  <c r="V2219" i="5" s="1"/>
  <c r="L1248" i="5"/>
  <c r="L1247" i="5"/>
  <c r="L1200" i="5"/>
  <c r="L2530" i="5"/>
  <c r="L2529" i="5"/>
  <c r="L2514" i="5"/>
  <c r="L4319" i="5"/>
  <c r="L4285" i="5"/>
  <c r="L4320" i="5"/>
  <c r="L3696" i="5"/>
  <c r="L3665" i="5"/>
  <c r="L3663" i="5"/>
  <c r="L3695" i="5"/>
  <c r="L3664" i="5"/>
  <c r="L3661" i="5"/>
  <c r="L4047" i="5"/>
  <c r="H5841" i="5"/>
  <c r="I5841" i="5" s="1"/>
  <c r="M5841" i="5"/>
  <c r="N5841" i="5" s="1"/>
  <c r="F5056" i="5"/>
  <c r="L527" i="5"/>
  <c r="T491" i="5" s="1"/>
  <c r="V491" i="5" s="1"/>
  <c r="J5842" i="5"/>
  <c r="K5842" i="5" s="1"/>
  <c r="M5842" i="5"/>
  <c r="J5821" i="5"/>
  <c r="K5821" i="5" s="1"/>
  <c r="H5842" i="5"/>
  <c r="I5842" i="5" s="1"/>
  <c r="B5872" i="5"/>
  <c r="B5889" i="5"/>
  <c r="H5821" i="5"/>
  <c r="I5821" i="5" s="1"/>
  <c r="B5821" i="5"/>
  <c r="B5822" i="5"/>
  <c r="J5822" i="5"/>
  <c r="K5822" i="5" s="1"/>
  <c r="J5856" i="5"/>
  <c r="K5856" i="5" s="1"/>
  <c r="F5822" i="5"/>
  <c r="F5842" i="5"/>
  <c r="M5073" i="5"/>
  <c r="I5054" i="5"/>
  <c r="D5056" i="5"/>
  <c r="K5056" i="5" s="1"/>
  <c r="J5841" i="5"/>
  <c r="D5841" i="5"/>
  <c r="I5053" i="5"/>
  <c r="D5053" i="5"/>
  <c r="D5073" i="5"/>
  <c r="K5073" i="5" s="1"/>
  <c r="F5053" i="5"/>
  <c r="F5055" i="5"/>
  <c r="F5821" i="5"/>
  <c r="B5842" i="5"/>
  <c r="F5841" i="5"/>
  <c r="H5824" i="5"/>
  <c r="I5824" i="5" s="1"/>
  <c r="B5823" i="5"/>
  <c r="B5824" i="5"/>
  <c r="J5823" i="5"/>
  <c r="K5823" i="5" s="1"/>
  <c r="M5824" i="5"/>
  <c r="D5824" i="5"/>
  <c r="K5824" i="5" s="1"/>
  <c r="B5890" i="5"/>
  <c r="H5823" i="5"/>
  <c r="I5823" i="5" s="1"/>
  <c r="M5855" i="5"/>
  <c r="N5855" i="5" s="1"/>
  <c r="B5053" i="5"/>
  <c r="B5056" i="5"/>
  <c r="M5821" i="5"/>
  <c r="M5822" i="5"/>
  <c r="M5823" i="5"/>
  <c r="M5856" i="5"/>
  <c r="N5856" i="5" s="1"/>
  <c r="J5855" i="5"/>
  <c r="K5855" i="5" s="1"/>
  <c r="M5054" i="5"/>
  <c r="D5054" i="5"/>
  <c r="H5822" i="5"/>
  <c r="I5822" i="5" s="1"/>
  <c r="M5053" i="5"/>
  <c r="M5056" i="5"/>
  <c r="B5073" i="5"/>
  <c r="J5057" i="5"/>
  <c r="F5083" i="5"/>
  <c r="J5053" i="5"/>
  <c r="J5054" i="5"/>
  <c r="D5055" i="5"/>
  <c r="I5055" i="5"/>
  <c r="M5055" i="5"/>
  <c r="H5056" i="5"/>
  <c r="I5056" i="5" s="1"/>
  <c r="B5057" i="5"/>
  <c r="N5057" i="5" s="1"/>
  <c r="F5057" i="5"/>
  <c r="H5073" i="5"/>
  <c r="I5073" i="5" s="1"/>
  <c r="D5087" i="5"/>
  <c r="M5087" i="5"/>
  <c r="N5087" i="5" s="1"/>
  <c r="J5087" i="5"/>
  <c r="J5055" i="5"/>
  <c r="H5057" i="5"/>
  <c r="I5057" i="5" s="1"/>
  <c r="B5054" i="5"/>
  <c r="B5055" i="5"/>
  <c r="D5057" i="5"/>
  <c r="L5053" i="5" l="1"/>
  <c r="T1211" i="5"/>
  <c r="V1211" i="5" s="1"/>
  <c r="X5819" i="5"/>
  <c r="T4283" i="5"/>
  <c r="V4283" i="5" s="1"/>
  <c r="W5819" i="5"/>
  <c r="W5051" i="5"/>
  <c r="T3659" i="5"/>
  <c r="V3659" i="5" s="1"/>
  <c r="L4080" i="5"/>
  <c r="L4045" i="5"/>
  <c r="L4079" i="5"/>
  <c r="L4046" i="5"/>
  <c r="N5842" i="5"/>
  <c r="N5821" i="5"/>
  <c r="N5055" i="5"/>
  <c r="N5822" i="5"/>
  <c r="N5073" i="5"/>
  <c r="F5837" i="5"/>
  <c r="K5053" i="5"/>
  <c r="K5841" i="5"/>
  <c r="K5057" i="5"/>
  <c r="F5851" i="5"/>
  <c r="K5054" i="5"/>
  <c r="K5055" i="5"/>
  <c r="L5821" i="5"/>
  <c r="L5824" i="5"/>
  <c r="L5842" i="5"/>
  <c r="L5841" i="5"/>
  <c r="N5824" i="5"/>
  <c r="L5856" i="5"/>
  <c r="N5056" i="5"/>
  <c r="N5054" i="5"/>
  <c r="K5087" i="5"/>
  <c r="N5823" i="5"/>
  <c r="N5053" i="5"/>
  <c r="L5823" i="5"/>
  <c r="L5822" i="5"/>
  <c r="L5855" i="5"/>
  <c r="L5054" i="5"/>
  <c r="L5073" i="5"/>
  <c r="L5087" i="5"/>
  <c r="L5057" i="5"/>
  <c r="F5069" i="5"/>
  <c r="L5055" i="5"/>
  <c r="L5056" i="5"/>
  <c r="T4043" i="5" l="1"/>
  <c r="V4043" i="5" s="1"/>
  <c r="T5051" i="5"/>
  <c r="V5051" i="5" s="1"/>
  <c r="T5819" i="5"/>
  <c r="V5819" i="5" s="1"/>
  <c r="B4353" i="5" l="1"/>
  <c r="E4353" i="5"/>
  <c r="D4353" i="5" l="1"/>
  <c r="E2943" i="5"/>
  <c r="A2943" i="5"/>
  <c r="E2895" i="5"/>
  <c r="E2606" i="5"/>
  <c r="E3133" i="5"/>
  <c r="D47" i="5"/>
  <c r="E61" i="5" l="1"/>
  <c r="F61" i="5" l="1"/>
  <c r="I61" i="5"/>
  <c r="C5790" i="5" l="1"/>
  <c r="C5454" i="5"/>
  <c r="C5118" i="5"/>
  <c r="C4734" i="5"/>
  <c r="F4734" i="5" s="1"/>
  <c r="H4715" i="5" s="1"/>
  <c r="C4494" i="5"/>
  <c r="C4110" i="5"/>
  <c r="C3726" i="5"/>
  <c r="C3342" i="5"/>
  <c r="C2958" i="5"/>
  <c r="C2670" i="5"/>
  <c r="C2334" i="5"/>
  <c r="C1662" i="5"/>
  <c r="C1278" i="5"/>
  <c r="C798" i="5"/>
  <c r="C558" i="5"/>
  <c r="C318" i="5"/>
  <c r="C5742" i="5"/>
  <c r="C5406" i="5"/>
  <c r="C5070" i="5"/>
  <c r="F5070" i="5" s="1"/>
  <c r="H5051" i="5" s="1"/>
  <c r="C4062" i="5"/>
  <c r="F4062" i="5" s="1"/>
  <c r="H4043" i="5" s="1"/>
  <c r="C3678" i="5"/>
  <c r="F3678" i="5" s="1"/>
  <c r="H3659" i="5" s="1"/>
  <c r="C3294" i="5"/>
  <c r="C2910" i="5"/>
  <c r="C1614" i="5"/>
  <c r="C1230" i="5"/>
  <c r="C1038" i="5"/>
  <c r="C510" i="5"/>
  <c r="F510" i="5" s="1"/>
  <c r="H491" i="5" s="1"/>
  <c r="C414" i="5"/>
  <c r="C270" i="5"/>
  <c r="C5598" i="5"/>
  <c r="C5358" i="5"/>
  <c r="C5022" i="5"/>
  <c r="C4686" i="5"/>
  <c r="C4014" i="5"/>
  <c r="F4014" i="5" s="1"/>
  <c r="H3995" i="5" s="1"/>
  <c r="C3630" i="5"/>
  <c r="C3246" i="5"/>
  <c r="C2862" i="5"/>
  <c r="C2622" i="5"/>
  <c r="C1950" i="5"/>
  <c r="C1566" i="5"/>
  <c r="C1182" i="5"/>
  <c r="C366" i="5"/>
  <c r="C78" i="5"/>
  <c r="C5310" i="5"/>
  <c r="C4974" i="5"/>
  <c r="C4638" i="5"/>
  <c r="F4638" i="5" s="1"/>
  <c r="H4619" i="5" s="1"/>
  <c r="C4398" i="5"/>
  <c r="C3966" i="5"/>
  <c r="C3582" i="5"/>
  <c r="F3582" i="5" s="1"/>
  <c r="H3563" i="5" s="1"/>
  <c r="C3198" i="5"/>
  <c r="C2574" i="5"/>
  <c r="C2286" i="5"/>
  <c r="C1902" i="5"/>
  <c r="C1518" i="5"/>
  <c r="C1134" i="5"/>
  <c r="C702" i="5"/>
  <c r="C30" i="5"/>
  <c r="C5262" i="5"/>
  <c r="C4926" i="5"/>
  <c r="C4590" i="5"/>
  <c r="C4350" i="5"/>
  <c r="C3918" i="5"/>
  <c r="C3534" i="5"/>
  <c r="C5886" i="5"/>
  <c r="C4878" i="5"/>
  <c r="C4158" i="5"/>
  <c r="C3102" i="5"/>
  <c r="C2478" i="5"/>
  <c r="C1806" i="5"/>
  <c r="C606" i="5"/>
  <c r="C4782" i="5"/>
  <c r="C3822" i="5"/>
  <c r="C3006" i="5"/>
  <c r="C1710" i="5"/>
  <c r="C5550" i="5"/>
  <c r="C3774" i="5"/>
  <c r="C2238" i="5"/>
  <c r="C990" i="5"/>
  <c r="C1326" i="5"/>
  <c r="C5934" i="5"/>
  <c r="C5166" i="5"/>
  <c r="C4206" i="5"/>
  <c r="F4206" i="5" s="1"/>
  <c r="H4187" i="5" s="1"/>
  <c r="C3150" i="5"/>
  <c r="C2526" i="5"/>
  <c r="C5838" i="5"/>
  <c r="C4830" i="5"/>
  <c r="C3870" i="5"/>
  <c r="C3054" i="5"/>
  <c r="C2430" i="5"/>
  <c r="C1758" i="5"/>
  <c r="C2382" i="5"/>
  <c r="C1086" i="5"/>
  <c r="F1086" i="5" s="1"/>
  <c r="H1067" i="5" s="1"/>
  <c r="C1470" i="5"/>
  <c r="C5214" i="5"/>
  <c r="F5214" i="5" s="1"/>
  <c r="H5195" i="5" s="1"/>
  <c r="C3438" i="5"/>
  <c r="C2766" i="5"/>
  <c r="C2142" i="5"/>
  <c r="C1374" i="5"/>
  <c r="C894" i="5"/>
  <c r="C462" i="5"/>
  <c r="F462" i="5" s="1"/>
  <c r="H443" i="5" s="1"/>
  <c r="C5502" i="5"/>
  <c r="C4542" i="5"/>
  <c r="F4542" i="5" s="1"/>
  <c r="H4523" i="5" s="1"/>
  <c r="C3486" i="5"/>
  <c r="C2814" i="5"/>
  <c r="C2190" i="5"/>
  <c r="C1422" i="5"/>
  <c r="C942" i="5"/>
  <c r="C4302" i="5"/>
  <c r="C3390" i="5"/>
  <c r="C2718" i="5"/>
  <c r="C2094" i="5"/>
  <c r="C846" i="5"/>
  <c r="C1854" i="5"/>
  <c r="C654" i="5"/>
  <c r="C2396" i="5"/>
  <c r="C2408" i="5"/>
  <c r="C5624" i="5"/>
  <c r="C5612" i="5"/>
  <c r="C5756" i="5"/>
  <c r="F5756" i="5" s="1"/>
  <c r="I5723" i="5" s="1"/>
  <c r="C5816" i="5"/>
  <c r="C5804" i="5"/>
  <c r="F5804" i="5" s="1"/>
  <c r="I5771" i="5" s="1"/>
  <c r="C5768" i="5"/>
  <c r="C4760" i="5"/>
  <c r="C4748" i="5"/>
  <c r="C3596" i="5"/>
  <c r="F3596" i="5" s="1"/>
  <c r="I3563" i="5" s="1"/>
  <c r="C3608" i="5"/>
  <c r="C1916" i="5"/>
  <c r="C1928" i="5"/>
  <c r="C1880" i="5"/>
  <c r="C1868" i="5"/>
  <c r="C968" i="5"/>
  <c r="C956" i="5"/>
  <c r="F956" i="5" s="1"/>
  <c r="I923" i="5" s="1"/>
  <c r="C920" i="5"/>
  <c r="C908" i="5"/>
  <c r="F908" i="5" s="1"/>
  <c r="I875" i="5" s="1"/>
  <c r="C872" i="5"/>
  <c r="C860" i="5"/>
  <c r="F860" i="5" s="1"/>
  <c r="I827" i="5" s="1"/>
  <c r="C812" i="5"/>
  <c r="F812" i="5" s="1"/>
  <c r="I779" i="5" s="1"/>
  <c r="C824" i="5"/>
  <c r="C1256" i="5"/>
  <c r="C1244" i="5"/>
  <c r="F1244" i="5" s="1"/>
  <c r="I1211" i="5" s="1"/>
  <c r="C4040" i="5"/>
  <c r="C4028" i="5"/>
  <c r="F4028" i="5" s="1"/>
  <c r="I3995" i="5" s="1"/>
  <c r="C3980" i="5"/>
  <c r="F3980" i="5" s="1"/>
  <c r="I3947" i="5" s="1"/>
  <c r="C3992" i="5"/>
  <c r="C3896" i="5"/>
  <c r="C3884" i="5"/>
  <c r="F3884" i="5" s="1"/>
  <c r="I3851" i="5" s="1"/>
  <c r="C3848" i="5"/>
  <c r="C3836" i="5"/>
  <c r="F3836" i="5" s="1"/>
  <c r="I3803" i="5" s="1"/>
  <c r="C3788" i="5"/>
  <c r="F3788" i="5" s="1"/>
  <c r="I3755" i="5" s="1"/>
  <c r="C3800" i="5"/>
  <c r="C5432" i="5"/>
  <c r="C5420" i="5"/>
  <c r="F5420" i="5" s="1"/>
  <c r="I5387" i="5" s="1"/>
  <c r="C1640" i="5"/>
  <c r="C1628" i="5"/>
  <c r="F1628" i="5" s="1"/>
  <c r="I1595" i="5" s="1"/>
  <c r="C1208" i="5"/>
  <c r="C1196" i="5"/>
  <c r="F1196" i="5" s="1"/>
  <c r="I1163" i="5" s="1"/>
  <c r="C1112" i="5"/>
  <c r="C1100" i="5"/>
  <c r="F1100" i="5" s="1"/>
  <c r="I1067" i="5" s="1"/>
  <c r="C1544" i="5"/>
  <c r="C1532" i="5"/>
  <c r="F1532" i="5" s="1"/>
  <c r="I1499" i="5" s="1"/>
  <c r="C3740" i="5"/>
  <c r="F3740" i="5" s="1"/>
  <c r="I3707" i="5" s="1"/>
  <c r="C3752" i="5"/>
  <c r="C2780" i="5"/>
  <c r="F2780" i="5" s="1"/>
  <c r="I2747" i="5" s="1"/>
  <c r="C2792" i="5"/>
  <c r="C2552" i="5"/>
  <c r="C2540" i="5"/>
  <c r="F2540" i="5" s="1"/>
  <c r="I2507" i="5" s="1"/>
  <c r="C2312" i="5"/>
  <c r="C2300" i="5"/>
  <c r="F2300" i="5" s="1"/>
  <c r="I2267" i="5" s="1"/>
  <c r="C2264" i="5"/>
  <c r="C2252" i="5"/>
  <c r="F2252" i="5" s="1"/>
  <c r="I2219" i="5" s="1"/>
  <c r="C2840" i="5"/>
  <c r="C2828" i="5"/>
  <c r="F2828" i="5" s="1"/>
  <c r="I2795" i="5" s="1"/>
  <c r="C5480" i="5"/>
  <c r="C5468" i="5"/>
  <c r="F5468" i="5" s="1"/>
  <c r="I5435" i="5" s="1"/>
  <c r="C5240" i="5"/>
  <c r="C5228" i="5"/>
  <c r="F5228" i="5" s="1"/>
  <c r="I5195" i="5" s="1"/>
  <c r="C4328" i="5"/>
  <c r="C4316" i="5"/>
  <c r="F4316" i="5" s="1"/>
  <c r="I4283" i="5" s="1"/>
  <c r="C4220" i="5"/>
  <c r="F4220" i="5" s="1"/>
  <c r="I4187" i="5" s="1"/>
  <c r="C4232" i="5"/>
  <c r="C4088" i="5"/>
  <c r="C4076" i="5"/>
  <c r="C3704" i="5"/>
  <c r="C3692" i="5"/>
  <c r="F3692" i="5" s="1"/>
  <c r="I3659" i="5" s="1"/>
  <c r="C4664" i="5"/>
  <c r="C4652" i="5"/>
  <c r="C4568" i="5"/>
  <c r="C4556" i="5"/>
  <c r="F4556" i="5" s="1"/>
  <c r="I4523" i="5" s="1"/>
  <c r="C4520" i="5"/>
  <c r="C4508" i="5"/>
  <c r="F4508" i="5" s="1"/>
  <c r="I4475" i="5" s="1"/>
  <c r="C1064" i="5"/>
  <c r="C1052" i="5"/>
  <c r="F1052" i="5" s="1"/>
  <c r="I1019" i="5" s="1"/>
  <c r="C488" i="5"/>
  <c r="C476" i="5"/>
  <c r="C536" i="5"/>
  <c r="C524" i="5"/>
  <c r="F524" i="5" s="1"/>
  <c r="I491" i="5" s="1"/>
  <c r="C5864" i="5"/>
  <c r="C5852" i="5"/>
  <c r="F5852" i="5" s="1"/>
  <c r="I5819" i="5" s="1"/>
  <c r="C5096" i="5"/>
  <c r="C5084" i="5"/>
  <c r="F5084" i="5" s="1"/>
  <c r="I5051" i="5" s="1"/>
  <c r="N5957" i="5"/>
  <c r="M5957" i="5"/>
  <c r="L5957" i="5"/>
  <c r="K5957" i="5"/>
  <c r="J5957" i="5"/>
  <c r="I5957" i="5"/>
  <c r="H5957" i="5"/>
  <c r="N5956" i="5"/>
  <c r="M5956" i="5"/>
  <c r="L5956" i="5"/>
  <c r="K5956" i="5"/>
  <c r="J5956" i="5"/>
  <c r="I5956" i="5"/>
  <c r="H5956" i="5"/>
  <c r="N5955" i="5"/>
  <c r="M5955" i="5"/>
  <c r="L5955" i="5"/>
  <c r="K5955" i="5"/>
  <c r="J5955" i="5"/>
  <c r="I5955" i="5"/>
  <c r="H5955" i="5"/>
  <c r="N5954" i="5"/>
  <c r="M5954" i="5"/>
  <c r="L5954" i="5"/>
  <c r="K5954" i="5"/>
  <c r="J5954" i="5"/>
  <c r="I5954" i="5"/>
  <c r="H5954" i="5"/>
  <c r="N5953" i="5"/>
  <c r="M5953" i="5"/>
  <c r="L5953" i="5"/>
  <c r="K5953" i="5"/>
  <c r="J5953" i="5"/>
  <c r="I5953" i="5"/>
  <c r="H5953" i="5"/>
  <c r="N5946" i="5"/>
  <c r="M5946" i="5"/>
  <c r="L5946" i="5"/>
  <c r="K5946" i="5"/>
  <c r="J5946" i="5"/>
  <c r="I5946" i="5"/>
  <c r="H5946" i="5"/>
  <c r="N5945" i="5"/>
  <c r="M5945" i="5"/>
  <c r="L5945" i="5"/>
  <c r="K5945" i="5"/>
  <c r="J5945" i="5"/>
  <c r="I5945" i="5"/>
  <c r="H5945" i="5"/>
  <c r="N5944" i="5"/>
  <c r="M5944" i="5"/>
  <c r="L5944" i="5"/>
  <c r="K5944" i="5"/>
  <c r="J5944" i="5"/>
  <c r="I5944" i="5"/>
  <c r="H5944" i="5"/>
  <c r="N5943" i="5"/>
  <c r="M5943" i="5"/>
  <c r="L5943" i="5"/>
  <c r="K5943" i="5"/>
  <c r="J5943" i="5"/>
  <c r="I5943" i="5"/>
  <c r="H5943" i="5"/>
  <c r="N5942" i="5"/>
  <c r="M5942" i="5"/>
  <c r="L5942" i="5"/>
  <c r="K5942" i="5"/>
  <c r="J5942" i="5"/>
  <c r="I5942" i="5"/>
  <c r="H5942" i="5"/>
  <c r="N5941" i="5"/>
  <c r="M5941" i="5"/>
  <c r="L5941" i="5"/>
  <c r="K5941" i="5"/>
  <c r="J5941" i="5"/>
  <c r="I5941" i="5"/>
  <c r="H5941" i="5"/>
  <c r="N5940" i="5"/>
  <c r="M5940" i="5"/>
  <c r="L5940" i="5"/>
  <c r="K5940" i="5"/>
  <c r="J5940" i="5"/>
  <c r="I5940" i="5"/>
  <c r="H5940" i="5"/>
  <c r="N5939" i="5"/>
  <c r="M5939" i="5"/>
  <c r="L5939" i="5"/>
  <c r="K5939" i="5"/>
  <c r="J5939" i="5"/>
  <c r="I5939" i="5"/>
  <c r="H5939" i="5"/>
  <c r="N5938" i="5"/>
  <c r="M5938" i="5"/>
  <c r="L5938" i="5"/>
  <c r="K5938" i="5"/>
  <c r="J5938" i="5"/>
  <c r="I5938" i="5"/>
  <c r="H5938" i="5"/>
  <c r="N5932" i="5"/>
  <c r="M5932" i="5"/>
  <c r="L5932" i="5"/>
  <c r="K5932" i="5"/>
  <c r="J5932" i="5"/>
  <c r="I5932" i="5"/>
  <c r="H5932" i="5"/>
  <c r="N5931" i="5"/>
  <c r="M5931" i="5"/>
  <c r="L5931" i="5"/>
  <c r="K5931" i="5"/>
  <c r="J5931" i="5"/>
  <c r="I5931" i="5"/>
  <c r="H5931" i="5"/>
  <c r="N5930" i="5"/>
  <c r="M5930" i="5"/>
  <c r="L5930" i="5"/>
  <c r="K5930" i="5"/>
  <c r="J5930" i="5"/>
  <c r="I5930" i="5"/>
  <c r="H5930" i="5"/>
  <c r="N5929" i="5"/>
  <c r="M5929" i="5"/>
  <c r="L5929" i="5"/>
  <c r="K5929" i="5"/>
  <c r="J5929" i="5"/>
  <c r="I5929" i="5"/>
  <c r="H5929" i="5"/>
  <c r="N5928" i="5"/>
  <c r="M5928" i="5"/>
  <c r="L5928" i="5"/>
  <c r="K5928" i="5"/>
  <c r="J5928" i="5"/>
  <c r="I5928" i="5"/>
  <c r="H5928" i="5"/>
  <c r="N5927" i="5"/>
  <c r="M5927" i="5"/>
  <c r="L5927" i="5"/>
  <c r="K5927" i="5"/>
  <c r="J5927" i="5"/>
  <c r="I5927" i="5"/>
  <c r="H5927" i="5"/>
  <c r="N5926" i="5"/>
  <c r="M5926" i="5"/>
  <c r="L5926" i="5"/>
  <c r="K5926" i="5"/>
  <c r="J5926" i="5"/>
  <c r="I5926" i="5"/>
  <c r="H5926" i="5"/>
  <c r="N5925" i="5"/>
  <c r="M5925" i="5"/>
  <c r="L5925" i="5"/>
  <c r="K5925" i="5"/>
  <c r="J5925" i="5"/>
  <c r="I5925" i="5"/>
  <c r="H5925" i="5"/>
  <c r="N5924" i="5"/>
  <c r="M5924" i="5"/>
  <c r="L5924" i="5"/>
  <c r="K5924" i="5"/>
  <c r="J5924" i="5"/>
  <c r="I5924" i="5"/>
  <c r="H5924" i="5"/>
  <c r="N5923" i="5"/>
  <c r="M5923" i="5"/>
  <c r="L5923" i="5"/>
  <c r="K5923" i="5"/>
  <c r="J5923" i="5"/>
  <c r="I5923" i="5"/>
  <c r="H5923" i="5"/>
  <c r="N5909" i="5"/>
  <c r="M5909" i="5"/>
  <c r="L5909" i="5"/>
  <c r="K5909" i="5"/>
  <c r="J5909" i="5"/>
  <c r="I5909" i="5"/>
  <c r="H5909" i="5"/>
  <c r="N5908" i="5"/>
  <c r="M5908" i="5"/>
  <c r="L5908" i="5"/>
  <c r="K5908" i="5"/>
  <c r="J5908" i="5"/>
  <c r="I5908" i="5"/>
  <c r="H5908" i="5"/>
  <c r="N5907" i="5"/>
  <c r="M5907" i="5"/>
  <c r="L5907" i="5"/>
  <c r="K5907" i="5"/>
  <c r="J5907" i="5"/>
  <c r="I5907" i="5"/>
  <c r="H5907" i="5"/>
  <c r="N5906" i="5"/>
  <c r="M5906" i="5"/>
  <c r="L5906" i="5"/>
  <c r="K5906" i="5"/>
  <c r="J5906" i="5"/>
  <c r="I5906" i="5"/>
  <c r="H5906" i="5"/>
  <c r="N5905" i="5"/>
  <c r="M5905" i="5"/>
  <c r="L5905" i="5"/>
  <c r="K5905" i="5"/>
  <c r="J5905" i="5"/>
  <c r="I5905" i="5"/>
  <c r="H5905" i="5"/>
  <c r="N5898" i="5"/>
  <c r="M5898" i="5"/>
  <c r="L5898" i="5"/>
  <c r="K5898" i="5"/>
  <c r="J5898" i="5"/>
  <c r="I5898" i="5"/>
  <c r="H5898" i="5"/>
  <c r="N5897" i="5"/>
  <c r="M5897" i="5"/>
  <c r="L5897" i="5"/>
  <c r="K5897" i="5"/>
  <c r="J5897" i="5"/>
  <c r="I5897" i="5"/>
  <c r="H5897" i="5"/>
  <c r="N5896" i="5"/>
  <c r="M5896" i="5"/>
  <c r="L5896" i="5"/>
  <c r="K5896" i="5"/>
  <c r="J5896" i="5"/>
  <c r="I5896" i="5"/>
  <c r="H5896" i="5"/>
  <c r="N5895" i="5"/>
  <c r="M5895" i="5"/>
  <c r="L5895" i="5"/>
  <c r="K5895" i="5"/>
  <c r="J5895" i="5"/>
  <c r="I5895" i="5"/>
  <c r="H5895" i="5"/>
  <c r="N5894" i="5"/>
  <c r="M5894" i="5"/>
  <c r="L5894" i="5"/>
  <c r="K5894" i="5"/>
  <c r="J5894" i="5"/>
  <c r="I5894" i="5"/>
  <c r="H5894" i="5"/>
  <c r="N5893" i="5"/>
  <c r="M5893" i="5"/>
  <c r="L5893" i="5"/>
  <c r="K5893" i="5"/>
  <c r="J5893" i="5"/>
  <c r="I5893" i="5"/>
  <c r="H5893" i="5"/>
  <c r="N5892" i="5"/>
  <c r="M5892" i="5"/>
  <c r="L5892" i="5"/>
  <c r="K5892" i="5"/>
  <c r="J5892" i="5"/>
  <c r="I5892" i="5"/>
  <c r="H5892" i="5"/>
  <c r="N5891" i="5"/>
  <c r="M5891" i="5"/>
  <c r="L5891" i="5"/>
  <c r="K5891" i="5"/>
  <c r="J5891" i="5"/>
  <c r="I5891" i="5"/>
  <c r="H5891" i="5"/>
  <c r="M5890" i="5"/>
  <c r="N5890" i="5" s="1"/>
  <c r="J5890" i="5"/>
  <c r="K5890" i="5" s="1"/>
  <c r="H5890" i="5"/>
  <c r="I5890" i="5" s="1"/>
  <c r="M5889" i="5"/>
  <c r="N5889" i="5" s="1"/>
  <c r="J5889" i="5"/>
  <c r="K5889" i="5" s="1"/>
  <c r="H5889" i="5"/>
  <c r="I5889" i="5" s="1"/>
  <c r="N5884" i="5"/>
  <c r="M5884" i="5"/>
  <c r="L5884" i="5"/>
  <c r="K5884" i="5"/>
  <c r="J5884" i="5"/>
  <c r="I5884" i="5"/>
  <c r="H5884" i="5"/>
  <c r="N5883" i="5"/>
  <c r="M5883" i="5"/>
  <c r="L5883" i="5"/>
  <c r="K5883" i="5"/>
  <c r="J5883" i="5"/>
  <c r="I5883" i="5"/>
  <c r="H5883" i="5"/>
  <c r="N5882" i="5"/>
  <c r="M5882" i="5"/>
  <c r="L5882" i="5"/>
  <c r="K5882" i="5"/>
  <c r="J5882" i="5"/>
  <c r="I5882" i="5"/>
  <c r="H5882" i="5"/>
  <c r="N5881" i="5"/>
  <c r="M5881" i="5"/>
  <c r="L5881" i="5"/>
  <c r="K5881" i="5"/>
  <c r="J5881" i="5"/>
  <c r="I5881" i="5"/>
  <c r="H5881" i="5"/>
  <c r="N5880" i="5"/>
  <c r="M5880" i="5"/>
  <c r="L5880" i="5"/>
  <c r="K5880" i="5"/>
  <c r="J5880" i="5"/>
  <c r="I5880" i="5"/>
  <c r="H5880" i="5"/>
  <c r="N5879" i="5"/>
  <c r="M5879" i="5"/>
  <c r="L5879" i="5"/>
  <c r="K5879" i="5"/>
  <c r="J5879" i="5"/>
  <c r="I5879" i="5"/>
  <c r="H5879" i="5"/>
  <c r="N5878" i="5"/>
  <c r="M5878" i="5"/>
  <c r="L5878" i="5"/>
  <c r="K5878" i="5"/>
  <c r="J5878" i="5"/>
  <c r="I5878" i="5"/>
  <c r="H5878" i="5"/>
  <c r="N5877" i="5"/>
  <c r="M5877" i="5"/>
  <c r="L5877" i="5"/>
  <c r="K5877" i="5"/>
  <c r="J5877" i="5"/>
  <c r="I5877" i="5"/>
  <c r="H5877" i="5"/>
  <c r="N5876" i="5"/>
  <c r="M5876" i="5"/>
  <c r="L5876" i="5"/>
  <c r="K5876" i="5"/>
  <c r="J5876" i="5"/>
  <c r="I5876" i="5"/>
  <c r="H5876" i="5"/>
  <c r="N5875" i="5"/>
  <c r="M5875" i="5"/>
  <c r="L5875" i="5"/>
  <c r="K5875" i="5"/>
  <c r="J5875" i="5"/>
  <c r="I5875" i="5"/>
  <c r="H5875" i="5"/>
  <c r="N5874" i="5"/>
  <c r="M5874" i="5"/>
  <c r="L5874" i="5"/>
  <c r="K5874" i="5"/>
  <c r="J5874" i="5"/>
  <c r="I5874" i="5"/>
  <c r="H5874" i="5"/>
  <c r="N5873" i="5"/>
  <c r="M5873" i="5"/>
  <c r="K5873" i="5"/>
  <c r="J5873" i="5"/>
  <c r="I5873" i="5"/>
  <c r="H5873" i="5"/>
  <c r="M5872" i="5"/>
  <c r="N5872" i="5" s="1"/>
  <c r="J5872" i="5"/>
  <c r="K5872" i="5" s="1"/>
  <c r="H5872" i="5"/>
  <c r="I5872" i="5" s="1"/>
  <c r="N5573" i="5"/>
  <c r="M5573" i="5"/>
  <c r="L5573" i="5"/>
  <c r="K5573" i="5"/>
  <c r="J5573" i="5"/>
  <c r="I5573" i="5"/>
  <c r="H5573" i="5"/>
  <c r="N5572" i="5"/>
  <c r="M5572" i="5"/>
  <c r="L5572" i="5"/>
  <c r="K5572" i="5"/>
  <c r="J5572" i="5"/>
  <c r="I5572" i="5"/>
  <c r="H5572" i="5"/>
  <c r="N5571" i="5"/>
  <c r="M5571" i="5"/>
  <c r="L5571" i="5"/>
  <c r="K5571" i="5"/>
  <c r="J5571" i="5"/>
  <c r="I5571" i="5"/>
  <c r="H5571" i="5"/>
  <c r="N5570" i="5"/>
  <c r="M5570" i="5"/>
  <c r="L5570" i="5"/>
  <c r="K5570" i="5"/>
  <c r="J5570" i="5"/>
  <c r="I5570" i="5"/>
  <c r="H5570" i="5"/>
  <c r="N5569" i="5"/>
  <c r="M5569" i="5"/>
  <c r="L5569" i="5"/>
  <c r="K5569" i="5"/>
  <c r="J5569" i="5"/>
  <c r="I5569" i="5"/>
  <c r="H5569" i="5"/>
  <c r="N5568" i="5"/>
  <c r="M5568" i="5"/>
  <c r="L5568" i="5"/>
  <c r="K5568" i="5"/>
  <c r="J5568" i="5"/>
  <c r="I5568" i="5"/>
  <c r="H5568" i="5"/>
  <c r="N5562" i="5"/>
  <c r="M5562" i="5"/>
  <c r="L5562" i="5"/>
  <c r="K5562" i="5"/>
  <c r="J5562" i="5"/>
  <c r="I5562" i="5"/>
  <c r="H5562" i="5"/>
  <c r="N5561" i="5"/>
  <c r="M5561" i="5"/>
  <c r="L5561" i="5"/>
  <c r="K5561" i="5"/>
  <c r="J5561" i="5"/>
  <c r="I5561" i="5"/>
  <c r="H5561" i="5"/>
  <c r="N5560" i="5"/>
  <c r="M5560" i="5"/>
  <c r="L5560" i="5"/>
  <c r="K5560" i="5"/>
  <c r="J5560" i="5"/>
  <c r="I5560" i="5"/>
  <c r="H5560" i="5"/>
  <c r="N5559" i="5"/>
  <c r="M5559" i="5"/>
  <c r="L5559" i="5"/>
  <c r="K5559" i="5"/>
  <c r="J5559" i="5"/>
  <c r="I5559" i="5"/>
  <c r="H5559" i="5"/>
  <c r="N5558" i="5"/>
  <c r="M5558" i="5"/>
  <c r="L5558" i="5"/>
  <c r="K5558" i="5"/>
  <c r="J5558" i="5"/>
  <c r="I5558" i="5"/>
  <c r="H5558" i="5"/>
  <c r="N5557" i="5"/>
  <c r="M5557" i="5"/>
  <c r="L5557" i="5"/>
  <c r="K5557" i="5"/>
  <c r="J5557" i="5"/>
  <c r="I5557" i="5"/>
  <c r="H5557" i="5"/>
  <c r="N5556" i="5"/>
  <c r="M5556" i="5"/>
  <c r="L5556" i="5"/>
  <c r="K5556" i="5"/>
  <c r="J5556" i="5"/>
  <c r="I5556" i="5"/>
  <c r="H5556" i="5"/>
  <c r="N5555" i="5"/>
  <c r="M5555" i="5"/>
  <c r="L5555" i="5"/>
  <c r="K5555" i="5"/>
  <c r="J5555" i="5"/>
  <c r="I5555" i="5"/>
  <c r="H5555" i="5"/>
  <c r="N5554" i="5"/>
  <c r="M5554" i="5"/>
  <c r="L5554" i="5"/>
  <c r="K5554" i="5"/>
  <c r="J5554" i="5"/>
  <c r="I5554" i="5"/>
  <c r="H5554" i="5"/>
  <c r="N5553" i="5"/>
  <c r="M5553" i="5"/>
  <c r="L5553" i="5"/>
  <c r="K5553" i="5"/>
  <c r="J5553" i="5"/>
  <c r="I5553" i="5"/>
  <c r="H5553" i="5"/>
  <c r="N5548" i="5"/>
  <c r="M5548" i="5"/>
  <c r="L5548" i="5"/>
  <c r="K5548" i="5"/>
  <c r="J5548" i="5"/>
  <c r="I5548" i="5"/>
  <c r="H5548" i="5"/>
  <c r="N5547" i="5"/>
  <c r="M5547" i="5"/>
  <c r="L5547" i="5"/>
  <c r="K5547" i="5"/>
  <c r="J5547" i="5"/>
  <c r="I5547" i="5"/>
  <c r="H5547" i="5"/>
  <c r="N5546" i="5"/>
  <c r="M5546" i="5"/>
  <c r="L5546" i="5"/>
  <c r="K5546" i="5"/>
  <c r="J5546" i="5"/>
  <c r="I5546" i="5"/>
  <c r="H5546" i="5"/>
  <c r="N5545" i="5"/>
  <c r="M5545" i="5"/>
  <c r="L5545" i="5"/>
  <c r="K5545" i="5"/>
  <c r="J5545" i="5"/>
  <c r="I5545" i="5"/>
  <c r="H5545" i="5"/>
  <c r="N5544" i="5"/>
  <c r="M5544" i="5"/>
  <c r="L5544" i="5"/>
  <c r="K5544" i="5"/>
  <c r="J5544" i="5"/>
  <c r="I5544" i="5"/>
  <c r="H5544" i="5"/>
  <c r="N5543" i="5"/>
  <c r="M5543" i="5"/>
  <c r="L5543" i="5"/>
  <c r="K5543" i="5"/>
  <c r="J5543" i="5"/>
  <c r="I5543" i="5"/>
  <c r="H5543" i="5"/>
  <c r="N5542" i="5"/>
  <c r="M5542" i="5"/>
  <c r="L5542" i="5"/>
  <c r="K5542" i="5"/>
  <c r="J5542" i="5"/>
  <c r="I5542" i="5"/>
  <c r="H5542" i="5"/>
  <c r="N5541" i="5"/>
  <c r="M5541" i="5"/>
  <c r="L5541" i="5"/>
  <c r="K5541" i="5"/>
  <c r="J5541" i="5"/>
  <c r="I5541" i="5"/>
  <c r="H5541" i="5"/>
  <c r="N5540" i="5"/>
  <c r="M5540" i="5"/>
  <c r="L5540" i="5"/>
  <c r="K5540" i="5"/>
  <c r="J5540" i="5"/>
  <c r="I5540" i="5"/>
  <c r="H5540" i="5"/>
  <c r="N5539" i="5"/>
  <c r="M5539" i="5"/>
  <c r="L5539" i="5"/>
  <c r="K5539" i="5"/>
  <c r="J5539" i="5"/>
  <c r="I5539" i="5"/>
  <c r="H5539" i="5"/>
  <c r="N5538" i="5"/>
  <c r="M5538" i="5"/>
  <c r="L5538" i="5"/>
  <c r="K5538" i="5"/>
  <c r="J5538" i="5"/>
  <c r="I5538" i="5"/>
  <c r="H5538" i="5"/>
  <c r="N5537" i="5"/>
  <c r="M5537" i="5"/>
  <c r="L5537" i="5"/>
  <c r="K5537" i="5"/>
  <c r="J5537" i="5"/>
  <c r="I5537" i="5"/>
  <c r="H5537" i="5"/>
  <c r="N5536" i="5"/>
  <c r="M5536" i="5"/>
  <c r="L5536" i="5"/>
  <c r="K5536" i="5"/>
  <c r="J5536" i="5"/>
  <c r="I5536" i="5"/>
  <c r="H5536" i="5"/>
  <c r="N5535" i="5"/>
  <c r="M5535" i="5"/>
  <c r="L5535" i="5"/>
  <c r="K5535" i="5"/>
  <c r="J5535" i="5"/>
  <c r="I5535" i="5"/>
  <c r="H5535" i="5"/>
  <c r="N5534" i="5"/>
  <c r="M5534" i="5"/>
  <c r="L5534" i="5"/>
  <c r="K5534" i="5"/>
  <c r="J5534" i="5"/>
  <c r="I5534" i="5"/>
  <c r="H5534" i="5"/>
  <c r="N5533" i="5"/>
  <c r="M5533" i="5"/>
  <c r="L5533" i="5"/>
  <c r="K5533" i="5"/>
  <c r="J5533" i="5"/>
  <c r="I5533" i="5"/>
  <c r="H5533" i="5"/>
  <c r="N5525" i="5"/>
  <c r="M5525" i="5"/>
  <c r="L5525" i="5"/>
  <c r="K5525" i="5"/>
  <c r="J5525" i="5"/>
  <c r="I5525" i="5"/>
  <c r="H5525" i="5"/>
  <c r="N5524" i="5"/>
  <c r="M5524" i="5"/>
  <c r="L5524" i="5"/>
  <c r="K5524" i="5"/>
  <c r="J5524" i="5"/>
  <c r="I5524" i="5"/>
  <c r="H5524" i="5"/>
  <c r="N5523" i="5"/>
  <c r="M5523" i="5"/>
  <c r="L5523" i="5"/>
  <c r="K5523" i="5"/>
  <c r="J5523" i="5"/>
  <c r="I5523" i="5"/>
  <c r="H5523" i="5"/>
  <c r="N5522" i="5"/>
  <c r="M5522" i="5"/>
  <c r="L5522" i="5"/>
  <c r="K5522" i="5"/>
  <c r="J5522" i="5"/>
  <c r="I5522" i="5"/>
  <c r="H5522" i="5"/>
  <c r="N5521" i="5"/>
  <c r="M5521" i="5"/>
  <c r="L5521" i="5"/>
  <c r="K5521" i="5"/>
  <c r="J5521" i="5"/>
  <c r="I5521" i="5"/>
  <c r="H5521" i="5"/>
  <c r="N5520" i="5"/>
  <c r="M5520" i="5"/>
  <c r="L5520" i="5"/>
  <c r="K5520" i="5"/>
  <c r="J5520" i="5"/>
  <c r="I5520" i="5"/>
  <c r="H5520" i="5"/>
  <c r="N5519" i="5"/>
  <c r="M5519" i="5"/>
  <c r="L5519" i="5"/>
  <c r="K5519" i="5"/>
  <c r="J5519" i="5"/>
  <c r="I5519" i="5"/>
  <c r="H5519" i="5"/>
  <c r="N5514" i="5"/>
  <c r="M5514" i="5"/>
  <c r="L5514" i="5"/>
  <c r="K5514" i="5"/>
  <c r="J5514" i="5"/>
  <c r="I5514" i="5"/>
  <c r="H5514" i="5"/>
  <c r="N5513" i="5"/>
  <c r="M5513" i="5"/>
  <c r="L5513" i="5"/>
  <c r="K5513" i="5"/>
  <c r="J5513" i="5"/>
  <c r="I5513" i="5"/>
  <c r="H5513" i="5"/>
  <c r="N5512" i="5"/>
  <c r="M5512" i="5"/>
  <c r="L5512" i="5"/>
  <c r="K5512" i="5"/>
  <c r="J5512" i="5"/>
  <c r="I5512" i="5"/>
  <c r="H5512" i="5"/>
  <c r="N5511" i="5"/>
  <c r="M5511" i="5"/>
  <c r="L5511" i="5"/>
  <c r="K5511" i="5"/>
  <c r="J5511" i="5"/>
  <c r="I5511" i="5"/>
  <c r="H5511" i="5"/>
  <c r="N5510" i="5"/>
  <c r="M5510" i="5"/>
  <c r="L5510" i="5"/>
  <c r="K5510" i="5"/>
  <c r="J5510" i="5"/>
  <c r="I5510" i="5"/>
  <c r="H5510" i="5"/>
  <c r="N5509" i="5"/>
  <c r="M5509" i="5"/>
  <c r="L5509" i="5"/>
  <c r="K5509" i="5"/>
  <c r="J5509" i="5"/>
  <c r="I5509" i="5"/>
  <c r="H5509" i="5"/>
  <c r="N5508" i="5"/>
  <c r="M5508" i="5"/>
  <c r="L5508" i="5"/>
  <c r="K5508" i="5"/>
  <c r="J5508" i="5"/>
  <c r="I5508" i="5"/>
  <c r="H5508" i="5"/>
  <c r="N5507" i="5"/>
  <c r="M5507" i="5"/>
  <c r="L5507" i="5"/>
  <c r="K5507" i="5"/>
  <c r="J5507" i="5"/>
  <c r="I5507" i="5"/>
  <c r="H5507" i="5"/>
  <c r="N5506" i="5"/>
  <c r="M5506" i="5"/>
  <c r="L5506" i="5"/>
  <c r="K5506" i="5"/>
  <c r="J5506" i="5"/>
  <c r="I5506" i="5"/>
  <c r="H5506" i="5"/>
  <c r="N5500" i="5"/>
  <c r="M5500" i="5"/>
  <c r="L5500" i="5"/>
  <c r="K5500" i="5"/>
  <c r="J5500" i="5"/>
  <c r="I5500" i="5"/>
  <c r="H5500" i="5"/>
  <c r="N5499" i="5"/>
  <c r="M5499" i="5"/>
  <c r="L5499" i="5"/>
  <c r="K5499" i="5"/>
  <c r="J5499" i="5"/>
  <c r="I5499" i="5"/>
  <c r="H5499" i="5"/>
  <c r="N5498" i="5"/>
  <c r="M5498" i="5"/>
  <c r="L5498" i="5"/>
  <c r="K5498" i="5"/>
  <c r="J5498" i="5"/>
  <c r="I5498" i="5"/>
  <c r="H5498" i="5"/>
  <c r="N5497" i="5"/>
  <c r="M5497" i="5"/>
  <c r="L5497" i="5"/>
  <c r="K5497" i="5"/>
  <c r="J5497" i="5"/>
  <c r="I5497" i="5"/>
  <c r="H5497" i="5"/>
  <c r="N5496" i="5"/>
  <c r="M5496" i="5"/>
  <c r="L5496" i="5"/>
  <c r="K5496" i="5"/>
  <c r="J5496" i="5"/>
  <c r="I5496" i="5"/>
  <c r="H5496" i="5"/>
  <c r="N5495" i="5"/>
  <c r="M5495" i="5"/>
  <c r="L5495" i="5"/>
  <c r="K5495" i="5"/>
  <c r="J5495" i="5"/>
  <c r="I5495" i="5"/>
  <c r="H5495" i="5"/>
  <c r="N5494" i="5"/>
  <c r="M5494" i="5"/>
  <c r="L5494" i="5"/>
  <c r="K5494" i="5"/>
  <c r="J5494" i="5"/>
  <c r="I5494" i="5"/>
  <c r="H5494" i="5"/>
  <c r="N5493" i="5"/>
  <c r="M5493" i="5"/>
  <c r="L5493" i="5"/>
  <c r="K5493" i="5"/>
  <c r="J5493" i="5"/>
  <c r="I5493" i="5"/>
  <c r="H5493" i="5"/>
  <c r="N5492" i="5"/>
  <c r="M5492" i="5"/>
  <c r="L5492" i="5"/>
  <c r="K5492" i="5"/>
  <c r="J5492" i="5"/>
  <c r="I5492" i="5"/>
  <c r="H5492" i="5"/>
  <c r="N5491" i="5"/>
  <c r="M5491" i="5"/>
  <c r="L5491" i="5"/>
  <c r="K5491" i="5"/>
  <c r="J5491" i="5"/>
  <c r="I5491" i="5"/>
  <c r="H5491" i="5"/>
  <c r="N5490" i="5"/>
  <c r="M5490" i="5"/>
  <c r="L5490" i="5"/>
  <c r="K5490" i="5"/>
  <c r="J5490" i="5"/>
  <c r="I5490" i="5"/>
  <c r="H5490" i="5"/>
  <c r="N5489" i="5"/>
  <c r="M5489" i="5"/>
  <c r="L5489" i="5"/>
  <c r="K5489" i="5"/>
  <c r="J5489" i="5"/>
  <c r="I5489" i="5"/>
  <c r="H5489" i="5"/>
  <c r="N5488" i="5"/>
  <c r="M5488" i="5"/>
  <c r="L5488" i="5"/>
  <c r="K5488" i="5"/>
  <c r="J5488" i="5"/>
  <c r="I5488" i="5"/>
  <c r="H5488" i="5"/>
  <c r="N5487" i="5"/>
  <c r="M5487" i="5"/>
  <c r="L5487" i="5"/>
  <c r="K5487" i="5"/>
  <c r="J5487" i="5"/>
  <c r="I5487" i="5"/>
  <c r="H5487" i="5"/>
  <c r="N5486" i="5"/>
  <c r="M5486" i="5"/>
  <c r="L5486" i="5"/>
  <c r="K5486" i="5"/>
  <c r="J5486" i="5"/>
  <c r="I5486" i="5"/>
  <c r="H5486" i="5"/>
  <c r="N5485" i="5"/>
  <c r="M5485" i="5"/>
  <c r="L5485" i="5"/>
  <c r="K5485" i="5"/>
  <c r="J5485" i="5"/>
  <c r="I5485" i="5"/>
  <c r="H5485" i="5"/>
  <c r="N5381" i="5"/>
  <c r="M5381" i="5"/>
  <c r="L5381" i="5"/>
  <c r="K5381" i="5"/>
  <c r="J5381" i="5"/>
  <c r="I5381" i="5"/>
  <c r="H5381" i="5"/>
  <c r="N5380" i="5"/>
  <c r="M5380" i="5"/>
  <c r="L5380" i="5"/>
  <c r="K5380" i="5"/>
  <c r="J5380" i="5"/>
  <c r="I5380" i="5"/>
  <c r="H5380" i="5"/>
  <c r="N5379" i="5"/>
  <c r="M5379" i="5"/>
  <c r="L5379" i="5"/>
  <c r="K5379" i="5"/>
  <c r="J5379" i="5"/>
  <c r="I5379" i="5"/>
  <c r="H5379" i="5"/>
  <c r="N5378" i="5"/>
  <c r="M5378" i="5"/>
  <c r="L5378" i="5"/>
  <c r="K5378" i="5"/>
  <c r="J5378" i="5"/>
  <c r="I5378" i="5"/>
  <c r="H5378" i="5"/>
  <c r="N5377" i="5"/>
  <c r="M5377" i="5"/>
  <c r="L5377" i="5"/>
  <c r="K5377" i="5"/>
  <c r="J5377" i="5"/>
  <c r="I5377" i="5"/>
  <c r="H5377" i="5"/>
  <c r="N5370" i="5"/>
  <c r="M5370" i="5"/>
  <c r="L5370" i="5"/>
  <c r="K5370" i="5"/>
  <c r="J5370" i="5"/>
  <c r="I5370" i="5"/>
  <c r="H5370" i="5"/>
  <c r="N5369" i="5"/>
  <c r="M5369" i="5"/>
  <c r="L5369" i="5"/>
  <c r="K5369" i="5"/>
  <c r="J5369" i="5"/>
  <c r="I5369" i="5"/>
  <c r="H5369" i="5"/>
  <c r="N5368" i="5"/>
  <c r="M5368" i="5"/>
  <c r="L5368" i="5"/>
  <c r="K5368" i="5"/>
  <c r="J5368" i="5"/>
  <c r="I5368" i="5"/>
  <c r="H5368" i="5"/>
  <c r="N5367" i="5"/>
  <c r="M5367" i="5"/>
  <c r="L5367" i="5"/>
  <c r="K5367" i="5"/>
  <c r="J5367" i="5"/>
  <c r="I5367" i="5"/>
  <c r="H5367" i="5"/>
  <c r="N5366" i="5"/>
  <c r="M5366" i="5"/>
  <c r="L5366" i="5"/>
  <c r="K5366" i="5"/>
  <c r="J5366" i="5"/>
  <c r="I5366" i="5"/>
  <c r="H5366" i="5"/>
  <c r="N5365" i="5"/>
  <c r="M5365" i="5"/>
  <c r="L5365" i="5"/>
  <c r="K5365" i="5"/>
  <c r="J5365" i="5"/>
  <c r="I5365" i="5"/>
  <c r="H5365" i="5"/>
  <c r="N5364" i="5"/>
  <c r="M5364" i="5"/>
  <c r="L5364" i="5"/>
  <c r="K5364" i="5"/>
  <c r="J5364" i="5"/>
  <c r="I5364" i="5"/>
  <c r="H5364" i="5"/>
  <c r="N5363" i="5"/>
  <c r="M5363" i="5"/>
  <c r="L5363" i="5"/>
  <c r="K5363" i="5"/>
  <c r="J5363" i="5"/>
  <c r="I5363" i="5"/>
  <c r="H5363" i="5"/>
  <c r="N5362" i="5"/>
  <c r="M5362" i="5"/>
  <c r="L5362" i="5"/>
  <c r="K5362" i="5"/>
  <c r="J5362" i="5"/>
  <c r="I5362" i="5"/>
  <c r="H5362" i="5"/>
  <c r="N5361" i="5"/>
  <c r="M5361" i="5"/>
  <c r="L5361" i="5"/>
  <c r="K5361" i="5"/>
  <c r="J5361" i="5"/>
  <c r="I5361" i="5"/>
  <c r="H5361" i="5"/>
  <c r="N5356" i="5"/>
  <c r="M5356" i="5"/>
  <c r="L5356" i="5"/>
  <c r="K5356" i="5"/>
  <c r="J5356" i="5"/>
  <c r="I5356" i="5"/>
  <c r="H5356" i="5"/>
  <c r="N5355" i="5"/>
  <c r="M5355" i="5"/>
  <c r="L5355" i="5"/>
  <c r="K5355" i="5"/>
  <c r="J5355" i="5"/>
  <c r="I5355" i="5"/>
  <c r="H5355" i="5"/>
  <c r="N5354" i="5"/>
  <c r="M5354" i="5"/>
  <c r="L5354" i="5"/>
  <c r="K5354" i="5"/>
  <c r="J5354" i="5"/>
  <c r="I5354" i="5"/>
  <c r="H5354" i="5"/>
  <c r="N5353" i="5"/>
  <c r="M5353" i="5"/>
  <c r="L5353" i="5"/>
  <c r="K5353" i="5"/>
  <c r="J5353" i="5"/>
  <c r="I5353" i="5"/>
  <c r="H5353" i="5"/>
  <c r="N5352" i="5"/>
  <c r="M5352" i="5"/>
  <c r="L5352" i="5"/>
  <c r="K5352" i="5"/>
  <c r="J5352" i="5"/>
  <c r="I5352" i="5"/>
  <c r="H5352" i="5"/>
  <c r="N5351" i="5"/>
  <c r="M5351" i="5"/>
  <c r="L5351" i="5"/>
  <c r="K5351" i="5"/>
  <c r="J5351" i="5"/>
  <c r="I5351" i="5"/>
  <c r="H5351" i="5"/>
  <c r="N5350" i="5"/>
  <c r="M5350" i="5"/>
  <c r="L5350" i="5"/>
  <c r="K5350" i="5"/>
  <c r="J5350" i="5"/>
  <c r="I5350" i="5"/>
  <c r="H5350" i="5"/>
  <c r="M5349" i="5"/>
  <c r="L5349" i="5"/>
  <c r="K5349" i="5"/>
  <c r="J5349" i="5"/>
  <c r="I5349" i="5"/>
  <c r="H5349" i="5"/>
  <c r="N5348" i="5"/>
  <c r="M5348" i="5"/>
  <c r="L5348" i="5"/>
  <c r="K5348" i="5"/>
  <c r="J5348" i="5"/>
  <c r="I5348" i="5"/>
  <c r="H5348" i="5"/>
  <c r="N5347" i="5"/>
  <c r="M5347" i="5"/>
  <c r="L5347" i="5"/>
  <c r="K5347" i="5"/>
  <c r="J5347" i="5"/>
  <c r="I5347" i="5"/>
  <c r="H5347" i="5"/>
  <c r="N5346" i="5"/>
  <c r="M5346" i="5"/>
  <c r="L5346" i="5"/>
  <c r="K5346" i="5"/>
  <c r="J5346" i="5"/>
  <c r="I5346" i="5"/>
  <c r="H5346" i="5"/>
  <c r="N5345" i="5"/>
  <c r="M5345" i="5"/>
  <c r="L5345" i="5"/>
  <c r="K5345" i="5"/>
  <c r="J5345" i="5"/>
  <c r="I5345" i="5"/>
  <c r="H5345" i="5"/>
  <c r="N5344" i="5"/>
  <c r="M5344" i="5"/>
  <c r="L5344" i="5"/>
  <c r="K5344" i="5"/>
  <c r="J5344" i="5"/>
  <c r="I5344" i="5"/>
  <c r="H5344" i="5"/>
  <c r="N5333" i="5"/>
  <c r="M5333" i="5"/>
  <c r="L5333" i="5"/>
  <c r="K5333" i="5"/>
  <c r="J5333" i="5"/>
  <c r="I5333" i="5"/>
  <c r="H5333" i="5"/>
  <c r="N5332" i="5"/>
  <c r="M5332" i="5"/>
  <c r="L5332" i="5"/>
  <c r="K5332" i="5"/>
  <c r="J5332" i="5"/>
  <c r="I5332" i="5"/>
  <c r="H5332" i="5"/>
  <c r="N5331" i="5"/>
  <c r="M5331" i="5"/>
  <c r="L5331" i="5"/>
  <c r="K5331" i="5"/>
  <c r="J5331" i="5"/>
  <c r="I5331" i="5"/>
  <c r="H5331" i="5"/>
  <c r="N5330" i="5"/>
  <c r="M5330" i="5"/>
  <c r="L5330" i="5"/>
  <c r="K5330" i="5"/>
  <c r="J5330" i="5"/>
  <c r="I5330" i="5"/>
  <c r="H5330" i="5"/>
  <c r="N5329" i="5"/>
  <c r="M5329" i="5"/>
  <c r="L5329" i="5"/>
  <c r="K5329" i="5"/>
  <c r="J5329" i="5"/>
  <c r="I5329" i="5"/>
  <c r="H5329" i="5"/>
  <c r="N5322" i="5"/>
  <c r="M5322" i="5"/>
  <c r="L5322" i="5"/>
  <c r="K5322" i="5"/>
  <c r="J5322" i="5"/>
  <c r="I5322" i="5"/>
  <c r="H5322" i="5"/>
  <c r="N5321" i="5"/>
  <c r="M5321" i="5"/>
  <c r="L5321" i="5"/>
  <c r="K5321" i="5"/>
  <c r="J5321" i="5"/>
  <c r="I5321" i="5"/>
  <c r="H5321" i="5"/>
  <c r="N5320" i="5"/>
  <c r="M5320" i="5"/>
  <c r="L5320" i="5"/>
  <c r="K5320" i="5"/>
  <c r="J5320" i="5"/>
  <c r="I5320" i="5"/>
  <c r="H5320" i="5"/>
  <c r="N5319" i="5"/>
  <c r="M5319" i="5"/>
  <c r="L5319" i="5"/>
  <c r="K5319" i="5"/>
  <c r="J5319" i="5"/>
  <c r="I5319" i="5"/>
  <c r="H5319" i="5"/>
  <c r="N5318" i="5"/>
  <c r="M5318" i="5"/>
  <c r="L5318" i="5"/>
  <c r="K5318" i="5"/>
  <c r="J5318" i="5"/>
  <c r="I5318" i="5"/>
  <c r="H5318" i="5"/>
  <c r="N5317" i="5"/>
  <c r="M5317" i="5"/>
  <c r="L5317" i="5"/>
  <c r="K5317" i="5"/>
  <c r="J5317" i="5"/>
  <c r="I5317" i="5"/>
  <c r="H5317" i="5"/>
  <c r="N5316" i="5"/>
  <c r="M5316" i="5"/>
  <c r="L5316" i="5"/>
  <c r="K5316" i="5"/>
  <c r="J5316" i="5"/>
  <c r="I5316" i="5"/>
  <c r="H5316" i="5"/>
  <c r="N5315" i="5"/>
  <c r="M5315" i="5"/>
  <c r="L5315" i="5"/>
  <c r="K5315" i="5"/>
  <c r="J5315" i="5"/>
  <c r="I5315" i="5"/>
  <c r="H5315" i="5"/>
  <c r="N5314" i="5"/>
  <c r="M5314" i="5"/>
  <c r="L5314" i="5"/>
  <c r="K5314" i="5"/>
  <c r="J5314" i="5"/>
  <c r="I5314" i="5"/>
  <c r="H5314" i="5"/>
  <c r="N5313" i="5"/>
  <c r="M5313" i="5"/>
  <c r="L5313" i="5"/>
  <c r="K5313" i="5"/>
  <c r="J5313" i="5"/>
  <c r="I5313" i="5"/>
  <c r="H5313" i="5"/>
  <c r="N5308" i="5"/>
  <c r="M5308" i="5"/>
  <c r="L5308" i="5"/>
  <c r="K5308" i="5"/>
  <c r="J5308" i="5"/>
  <c r="I5308" i="5"/>
  <c r="H5308" i="5"/>
  <c r="N5307" i="5"/>
  <c r="M5307" i="5"/>
  <c r="L5307" i="5"/>
  <c r="K5307" i="5"/>
  <c r="J5307" i="5"/>
  <c r="I5307" i="5"/>
  <c r="H5307" i="5"/>
  <c r="N5306" i="5"/>
  <c r="M5306" i="5"/>
  <c r="L5306" i="5"/>
  <c r="K5306" i="5"/>
  <c r="J5306" i="5"/>
  <c r="I5306" i="5"/>
  <c r="H5306" i="5"/>
  <c r="N5305" i="5"/>
  <c r="M5305" i="5"/>
  <c r="L5305" i="5"/>
  <c r="K5305" i="5"/>
  <c r="J5305" i="5"/>
  <c r="I5305" i="5"/>
  <c r="H5305" i="5"/>
  <c r="N5304" i="5"/>
  <c r="M5304" i="5"/>
  <c r="L5304" i="5"/>
  <c r="K5304" i="5"/>
  <c r="J5304" i="5"/>
  <c r="I5304" i="5"/>
  <c r="H5304" i="5"/>
  <c r="N5303" i="5"/>
  <c r="M5303" i="5"/>
  <c r="L5303" i="5"/>
  <c r="K5303" i="5"/>
  <c r="J5303" i="5"/>
  <c r="I5303" i="5"/>
  <c r="H5303" i="5"/>
  <c r="N5302" i="5"/>
  <c r="M5302" i="5"/>
  <c r="L5302" i="5"/>
  <c r="K5302" i="5"/>
  <c r="J5302" i="5"/>
  <c r="I5302" i="5"/>
  <c r="H5302" i="5"/>
  <c r="N5301" i="5"/>
  <c r="M5301" i="5"/>
  <c r="L5301" i="5"/>
  <c r="K5301" i="5"/>
  <c r="J5301" i="5"/>
  <c r="I5301" i="5"/>
  <c r="H5301" i="5"/>
  <c r="N5300" i="5"/>
  <c r="M5300" i="5"/>
  <c r="L5300" i="5"/>
  <c r="K5300" i="5"/>
  <c r="J5300" i="5"/>
  <c r="I5300" i="5"/>
  <c r="H5300" i="5"/>
  <c r="N5299" i="5"/>
  <c r="M5299" i="5"/>
  <c r="L5299" i="5"/>
  <c r="K5299" i="5"/>
  <c r="J5299" i="5"/>
  <c r="I5299" i="5"/>
  <c r="H5299" i="5"/>
  <c r="N5298" i="5"/>
  <c r="M5298" i="5"/>
  <c r="L5298" i="5"/>
  <c r="K5298" i="5"/>
  <c r="J5298" i="5"/>
  <c r="I5298" i="5"/>
  <c r="H5298" i="5"/>
  <c r="N5297" i="5"/>
  <c r="M5297" i="5"/>
  <c r="L5297" i="5"/>
  <c r="K5297" i="5"/>
  <c r="J5297" i="5"/>
  <c r="I5297" i="5"/>
  <c r="H5297" i="5"/>
  <c r="N5285" i="5"/>
  <c r="M5285" i="5"/>
  <c r="L5285" i="5"/>
  <c r="K5285" i="5"/>
  <c r="J5285" i="5"/>
  <c r="I5285" i="5"/>
  <c r="H5285" i="5"/>
  <c r="N5284" i="5"/>
  <c r="M5284" i="5"/>
  <c r="L5284" i="5"/>
  <c r="K5284" i="5"/>
  <c r="J5284" i="5"/>
  <c r="I5284" i="5"/>
  <c r="H5284" i="5"/>
  <c r="N5283" i="5"/>
  <c r="M5283" i="5"/>
  <c r="L5283" i="5"/>
  <c r="K5283" i="5"/>
  <c r="J5283" i="5"/>
  <c r="I5283" i="5"/>
  <c r="H5283" i="5"/>
  <c r="N5282" i="5"/>
  <c r="M5282" i="5"/>
  <c r="L5282" i="5"/>
  <c r="K5282" i="5"/>
  <c r="J5282" i="5"/>
  <c r="I5282" i="5"/>
  <c r="H5282" i="5"/>
  <c r="N5281" i="5"/>
  <c r="M5281" i="5"/>
  <c r="L5281" i="5"/>
  <c r="K5281" i="5"/>
  <c r="J5281" i="5"/>
  <c r="I5281" i="5"/>
  <c r="H5281" i="5"/>
  <c r="N5274" i="5"/>
  <c r="M5274" i="5"/>
  <c r="L5274" i="5"/>
  <c r="K5274" i="5"/>
  <c r="J5274" i="5"/>
  <c r="I5274" i="5"/>
  <c r="H5274" i="5"/>
  <c r="N5273" i="5"/>
  <c r="M5273" i="5"/>
  <c r="L5273" i="5"/>
  <c r="K5273" i="5"/>
  <c r="J5273" i="5"/>
  <c r="I5273" i="5"/>
  <c r="H5273" i="5"/>
  <c r="N5272" i="5"/>
  <c r="M5272" i="5"/>
  <c r="L5272" i="5"/>
  <c r="K5272" i="5"/>
  <c r="J5272" i="5"/>
  <c r="I5272" i="5"/>
  <c r="H5272" i="5"/>
  <c r="N5271" i="5"/>
  <c r="M5271" i="5"/>
  <c r="L5271" i="5"/>
  <c r="K5271" i="5"/>
  <c r="J5271" i="5"/>
  <c r="I5271" i="5"/>
  <c r="H5271" i="5"/>
  <c r="N5270" i="5"/>
  <c r="M5270" i="5"/>
  <c r="L5270" i="5"/>
  <c r="K5270" i="5"/>
  <c r="J5270" i="5"/>
  <c r="I5270" i="5"/>
  <c r="H5270" i="5"/>
  <c r="N5269" i="5"/>
  <c r="M5269" i="5"/>
  <c r="L5269" i="5"/>
  <c r="K5269" i="5"/>
  <c r="J5269" i="5"/>
  <c r="I5269" i="5"/>
  <c r="H5269" i="5"/>
  <c r="N5268" i="5"/>
  <c r="M5268" i="5"/>
  <c r="L5268" i="5"/>
  <c r="K5268" i="5"/>
  <c r="J5268" i="5"/>
  <c r="I5268" i="5"/>
  <c r="H5268" i="5"/>
  <c r="N5267" i="5"/>
  <c r="M5267" i="5"/>
  <c r="L5267" i="5"/>
  <c r="K5267" i="5"/>
  <c r="J5267" i="5"/>
  <c r="I5267" i="5"/>
  <c r="H5267" i="5"/>
  <c r="N5266" i="5"/>
  <c r="M5266" i="5"/>
  <c r="L5266" i="5"/>
  <c r="K5266" i="5"/>
  <c r="J5266" i="5"/>
  <c r="I5266" i="5"/>
  <c r="H5266" i="5"/>
  <c r="N5265" i="5"/>
  <c r="M5265" i="5"/>
  <c r="L5265" i="5"/>
  <c r="K5265" i="5"/>
  <c r="J5265" i="5"/>
  <c r="I5265" i="5"/>
  <c r="H5265" i="5"/>
  <c r="N5260" i="5"/>
  <c r="M5260" i="5"/>
  <c r="L5260" i="5"/>
  <c r="K5260" i="5"/>
  <c r="J5260" i="5"/>
  <c r="I5260" i="5"/>
  <c r="H5260" i="5"/>
  <c r="N5259" i="5"/>
  <c r="M5259" i="5"/>
  <c r="L5259" i="5"/>
  <c r="K5259" i="5"/>
  <c r="J5259" i="5"/>
  <c r="I5259" i="5"/>
  <c r="H5259" i="5"/>
  <c r="N5258" i="5"/>
  <c r="M5258" i="5"/>
  <c r="L5258" i="5"/>
  <c r="K5258" i="5"/>
  <c r="J5258" i="5"/>
  <c r="I5258" i="5"/>
  <c r="H5258" i="5"/>
  <c r="N5257" i="5"/>
  <c r="M5257" i="5"/>
  <c r="L5257" i="5"/>
  <c r="K5257" i="5"/>
  <c r="J5257" i="5"/>
  <c r="I5257" i="5"/>
  <c r="H5257" i="5"/>
  <c r="N5256" i="5"/>
  <c r="M5256" i="5"/>
  <c r="L5256" i="5"/>
  <c r="K5256" i="5"/>
  <c r="J5256" i="5"/>
  <c r="I5256" i="5"/>
  <c r="H5256" i="5"/>
  <c r="N5255" i="5"/>
  <c r="M5255" i="5"/>
  <c r="L5255" i="5"/>
  <c r="K5255" i="5"/>
  <c r="J5255" i="5"/>
  <c r="I5255" i="5"/>
  <c r="H5255" i="5"/>
  <c r="N5254" i="5"/>
  <c r="M5254" i="5"/>
  <c r="L5254" i="5"/>
  <c r="K5254" i="5"/>
  <c r="J5254" i="5"/>
  <c r="I5254" i="5"/>
  <c r="H5254" i="5"/>
  <c r="N5253" i="5"/>
  <c r="M5253" i="5"/>
  <c r="L5253" i="5"/>
  <c r="K5253" i="5"/>
  <c r="J5253" i="5"/>
  <c r="I5253" i="5"/>
  <c r="H5253" i="5"/>
  <c r="N5252" i="5"/>
  <c r="M5252" i="5"/>
  <c r="L5252" i="5"/>
  <c r="K5252" i="5"/>
  <c r="J5252" i="5"/>
  <c r="I5252" i="5"/>
  <c r="H5252" i="5"/>
  <c r="N5251" i="5"/>
  <c r="M5251" i="5"/>
  <c r="L5251" i="5"/>
  <c r="K5251" i="5"/>
  <c r="J5251" i="5"/>
  <c r="I5251" i="5"/>
  <c r="H5251" i="5"/>
  <c r="N5250" i="5"/>
  <c r="M5250" i="5"/>
  <c r="L5250" i="5"/>
  <c r="K5250" i="5"/>
  <c r="J5250" i="5"/>
  <c r="I5250" i="5"/>
  <c r="H5250" i="5"/>
  <c r="N5249" i="5"/>
  <c r="M5249" i="5"/>
  <c r="L5249" i="5"/>
  <c r="K5249" i="5"/>
  <c r="J5249" i="5"/>
  <c r="I5249" i="5"/>
  <c r="H5249" i="5"/>
  <c r="N5189" i="5"/>
  <c r="M5189" i="5"/>
  <c r="L5189" i="5"/>
  <c r="K5189" i="5"/>
  <c r="J5189" i="5"/>
  <c r="I5189" i="5"/>
  <c r="H5189" i="5"/>
  <c r="N5188" i="5"/>
  <c r="M5188" i="5"/>
  <c r="L5188" i="5"/>
  <c r="K5188" i="5"/>
  <c r="J5188" i="5"/>
  <c r="I5188" i="5"/>
  <c r="H5188" i="5"/>
  <c r="N5187" i="5"/>
  <c r="M5187" i="5"/>
  <c r="L5187" i="5"/>
  <c r="K5187" i="5"/>
  <c r="J5187" i="5"/>
  <c r="I5187" i="5"/>
  <c r="H5187" i="5"/>
  <c r="N5186" i="5"/>
  <c r="M5186" i="5"/>
  <c r="L5186" i="5"/>
  <c r="K5186" i="5"/>
  <c r="J5186" i="5"/>
  <c r="I5186" i="5"/>
  <c r="H5186" i="5"/>
  <c r="N5185" i="5"/>
  <c r="M5185" i="5"/>
  <c r="L5185" i="5"/>
  <c r="K5185" i="5"/>
  <c r="J5185" i="5"/>
  <c r="I5185" i="5"/>
  <c r="H5185" i="5"/>
  <c r="N5184" i="5"/>
  <c r="M5184" i="5"/>
  <c r="L5184" i="5"/>
  <c r="K5184" i="5"/>
  <c r="J5184" i="5"/>
  <c r="I5184" i="5"/>
  <c r="H5184" i="5"/>
  <c r="N5178" i="5"/>
  <c r="M5178" i="5"/>
  <c r="L5178" i="5"/>
  <c r="K5178" i="5"/>
  <c r="J5178" i="5"/>
  <c r="I5178" i="5"/>
  <c r="H5178" i="5"/>
  <c r="N5177" i="5"/>
  <c r="M5177" i="5"/>
  <c r="L5177" i="5"/>
  <c r="K5177" i="5"/>
  <c r="J5177" i="5"/>
  <c r="I5177" i="5"/>
  <c r="H5177" i="5"/>
  <c r="N5176" i="5"/>
  <c r="M5176" i="5"/>
  <c r="L5176" i="5"/>
  <c r="K5176" i="5"/>
  <c r="J5176" i="5"/>
  <c r="I5176" i="5"/>
  <c r="H5176" i="5"/>
  <c r="N5175" i="5"/>
  <c r="M5175" i="5"/>
  <c r="L5175" i="5"/>
  <c r="K5175" i="5"/>
  <c r="J5175" i="5"/>
  <c r="I5175" i="5"/>
  <c r="H5175" i="5"/>
  <c r="N5174" i="5"/>
  <c r="M5174" i="5"/>
  <c r="L5174" i="5"/>
  <c r="K5174" i="5"/>
  <c r="J5174" i="5"/>
  <c r="I5174" i="5"/>
  <c r="H5174" i="5"/>
  <c r="N5173" i="5"/>
  <c r="M5173" i="5"/>
  <c r="L5173" i="5"/>
  <c r="K5173" i="5"/>
  <c r="J5173" i="5"/>
  <c r="I5173" i="5"/>
  <c r="H5173" i="5"/>
  <c r="N5172" i="5"/>
  <c r="M5172" i="5"/>
  <c r="L5172" i="5"/>
  <c r="K5172" i="5"/>
  <c r="J5172" i="5"/>
  <c r="I5172" i="5"/>
  <c r="H5172" i="5"/>
  <c r="N5171" i="5"/>
  <c r="M5171" i="5"/>
  <c r="L5171" i="5"/>
  <c r="K5171" i="5"/>
  <c r="J5171" i="5"/>
  <c r="I5171" i="5"/>
  <c r="H5171" i="5"/>
  <c r="N5170" i="5"/>
  <c r="M5170" i="5"/>
  <c r="L5170" i="5"/>
  <c r="K5170" i="5"/>
  <c r="J5170" i="5"/>
  <c r="I5170" i="5"/>
  <c r="H5170" i="5"/>
  <c r="N5169" i="5"/>
  <c r="M5169" i="5"/>
  <c r="L5169" i="5"/>
  <c r="K5169" i="5"/>
  <c r="J5169" i="5"/>
  <c r="I5169" i="5"/>
  <c r="H5169" i="5"/>
  <c r="N5164" i="5"/>
  <c r="M5164" i="5"/>
  <c r="L5164" i="5"/>
  <c r="K5164" i="5"/>
  <c r="J5164" i="5"/>
  <c r="I5164" i="5"/>
  <c r="H5164" i="5"/>
  <c r="N5163" i="5"/>
  <c r="M5163" i="5"/>
  <c r="L5163" i="5"/>
  <c r="K5163" i="5"/>
  <c r="J5163" i="5"/>
  <c r="I5163" i="5"/>
  <c r="H5163" i="5"/>
  <c r="N5162" i="5"/>
  <c r="M5162" i="5"/>
  <c r="L5162" i="5"/>
  <c r="K5162" i="5"/>
  <c r="J5162" i="5"/>
  <c r="I5162" i="5"/>
  <c r="H5162" i="5"/>
  <c r="N5161" i="5"/>
  <c r="M5161" i="5"/>
  <c r="L5161" i="5"/>
  <c r="K5161" i="5"/>
  <c r="J5161" i="5"/>
  <c r="I5161" i="5"/>
  <c r="H5161" i="5"/>
  <c r="N5160" i="5"/>
  <c r="M5160" i="5"/>
  <c r="L5160" i="5"/>
  <c r="K5160" i="5"/>
  <c r="J5160" i="5"/>
  <c r="I5160" i="5"/>
  <c r="H5160" i="5"/>
  <c r="N5159" i="5"/>
  <c r="M5159" i="5"/>
  <c r="L5159" i="5"/>
  <c r="K5159" i="5"/>
  <c r="J5159" i="5"/>
  <c r="I5159" i="5"/>
  <c r="H5159" i="5"/>
  <c r="N5158" i="5"/>
  <c r="M5158" i="5"/>
  <c r="L5158" i="5"/>
  <c r="K5158" i="5"/>
  <c r="J5158" i="5"/>
  <c r="I5158" i="5"/>
  <c r="H5158" i="5"/>
  <c r="N5157" i="5"/>
  <c r="M5157" i="5"/>
  <c r="L5157" i="5"/>
  <c r="K5157" i="5"/>
  <c r="J5157" i="5"/>
  <c r="I5157" i="5"/>
  <c r="H5157" i="5"/>
  <c r="N5156" i="5"/>
  <c r="M5156" i="5"/>
  <c r="L5156" i="5"/>
  <c r="K5156" i="5"/>
  <c r="J5156" i="5"/>
  <c r="I5156" i="5"/>
  <c r="H5156" i="5"/>
  <c r="N5155" i="5"/>
  <c r="M5155" i="5"/>
  <c r="L5155" i="5"/>
  <c r="K5155" i="5"/>
  <c r="J5155" i="5"/>
  <c r="I5155" i="5"/>
  <c r="H5155" i="5"/>
  <c r="N5154" i="5"/>
  <c r="M5154" i="5"/>
  <c r="L5154" i="5"/>
  <c r="K5154" i="5"/>
  <c r="J5154" i="5"/>
  <c r="I5154" i="5"/>
  <c r="H5154" i="5"/>
  <c r="N5153" i="5"/>
  <c r="M5153" i="5"/>
  <c r="L5153" i="5"/>
  <c r="K5153" i="5"/>
  <c r="J5153" i="5"/>
  <c r="I5153" i="5"/>
  <c r="H5153" i="5"/>
  <c r="N5152" i="5"/>
  <c r="M5152" i="5"/>
  <c r="L5152" i="5"/>
  <c r="K5152" i="5"/>
  <c r="J5152" i="5"/>
  <c r="I5152" i="5"/>
  <c r="H5152" i="5"/>
  <c r="N5151" i="5"/>
  <c r="M5151" i="5"/>
  <c r="L5151" i="5"/>
  <c r="K5151" i="5"/>
  <c r="J5151" i="5"/>
  <c r="I5151" i="5"/>
  <c r="H5151" i="5"/>
  <c r="N5141" i="5"/>
  <c r="M5141" i="5"/>
  <c r="L5141" i="5"/>
  <c r="K5141" i="5"/>
  <c r="J5141" i="5"/>
  <c r="I5141" i="5"/>
  <c r="H5141" i="5"/>
  <c r="N5140" i="5"/>
  <c r="M5140" i="5"/>
  <c r="L5140" i="5"/>
  <c r="K5140" i="5"/>
  <c r="J5140" i="5"/>
  <c r="I5140" i="5"/>
  <c r="H5140" i="5"/>
  <c r="N5139" i="5"/>
  <c r="M5139" i="5"/>
  <c r="L5139" i="5"/>
  <c r="K5139" i="5"/>
  <c r="J5139" i="5"/>
  <c r="I5139" i="5"/>
  <c r="H5139" i="5"/>
  <c r="N5138" i="5"/>
  <c r="M5138" i="5"/>
  <c r="L5138" i="5"/>
  <c r="K5138" i="5"/>
  <c r="J5138" i="5"/>
  <c r="I5138" i="5"/>
  <c r="H5138" i="5"/>
  <c r="N5137" i="5"/>
  <c r="M5137" i="5"/>
  <c r="L5137" i="5"/>
  <c r="K5137" i="5"/>
  <c r="J5137" i="5"/>
  <c r="I5137" i="5"/>
  <c r="H5137" i="5"/>
  <c r="N5130" i="5"/>
  <c r="M5130" i="5"/>
  <c r="L5130" i="5"/>
  <c r="K5130" i="5"/>
  <c r="J5130" i="5"/>
  <c r="I5130" i="5"/>
  <c r="H5130" i="5"/>
  <c r="N5129" i="5"/>
  <c r="M5129" i="5"/>
  <c r="L5129" i="5"/>
  <c r="K5129" i="5"/>
  <c r="J5129" i="5"/>
  <c r="I5129" i="5"/>
  <c r="H5129" i="5"/>
  <c r="N5128" i="5"/>
  <c r="M5128" i="5"/>
  <c r="L5128" i="5"/>
  <c r="K5128" i="5"/>
  <c r="J5128" i="5"/>
  <c r="I5128" i="5"/>
  <c r="H5128" i="5"/>
  <c r="N5127" i="5"/>
  <c r="M5127" i="5"/>
  <c r="L5127" i="5"/>
  <c r="K5127" i="5"/>
  <c r="J5127" i="5"/>
  <c r="I5127" i="5"/>
  <c r="H5127" i="5"/>
  <c r="N5126" i="5"/>
  <c r="M5126" i="5"/>
  <c r="L5126" i="5"/>
  <c r="K5126" i="5"/>
  <c r="J5126" i="5"/>
  <c r="I5126" i="5"/>
  <c r="H5126" i="5"/>
  <c r="N5125" i="5"/>
  <c r="M5125" i="5"/>
  <c r="L5125" i="5"/>
  <c r="K5125" i="5"/>
  <c r="J5125" i="5"/>
  <c r="I5125" i="5"/>
  <c r="H5125" i="5"/>
  <c r="N5124" i="5"/>
  <c r="M5124" i="5"/>
  <c r="L5124" i="5"/>
  <c r="K5124" i="5"/>
  <c r="J5124" i="5"/>
  <c r="I5124" i="5"/>
  <c r="H5124" i="5"/>
  <c r="N5123" i="5"/>
  <c r="M5123" i="5"/>
  <c r="L5123" i="5"/>
  <c r="K5123" i="5"/>
  <c r="J5123" i="5"/>
  <c r="I5123" i="5"/>
  <c r="H5123" i="5"/>
  <c r="N5122" i="5"/>
  <c r="M5122" i="5"/>
  <c r="L5122" i="5"/>
  <c r="K5122" i="5"/>
  <c r="J5122" i="5"/>
  <c r="I5122" i="5"/>
  <c r="H5122" i="5"/>
  <c r="N5121" i="5"/>
  <c r="M5121" i="5"/>
  <c r="L5121" i="5"/>
  <c r="K5121" i="5"/>
  <c r="J5121" i="5"/>
  <c r="I5121" i="5"/>
  <c r="H5121" i="5"/>
  <c r="N5116" i="5"/>
  <c r="M5116" i="5"/>
  <c r="L5116" i="5"/>
  <c r="K5116" i="5"/>
  <c r="J5116" i="5"/>
  <c r="I5116" i="5"/>
  <c r="H5116" i="5"/>
  <c r="N5115" i="5"/>
  <c r="M5115" i="5"/>
  <c r="L5115" i="5"/>
  <c r="K5115" i="5"/>
  <c r="J5115" i="5"/>
  <c r="I5115" i="5"/>
  <c r="H5115" i="5"/>
  <c r="N5114" i="5"/>
  <c r="M5114" i="5"/>
  <c r="L5114" i="5"/>
  <c r="K5114" i="5"/>
  <c r="J5114" i="5"/>
  <c r="I5114" i="5"/>
  <c r="H5114" i="5"/>
  <c r="N5113" i="5"/>
  <c r="M5113" i="5"/>
  <c r="L5113" i="5"/>
  <c r="K5113" i="5"/>
  <c r="J5113" i="5"/>
  <c r="I5113" i="5"/>
  <c r="H5113" i="5"/>
  <c r="N5112" i="5"/>
  <c r="M5112" i="5"/>
  <c r="L5112" i="5"/>
  <c r="K5112" i="5"/>
  <c r="J5112" i="5"/>
  <c r="I5112" i="5"/>
  <c r="H5112" i="5"/>
  <c r="N5111" i="5"/>
  <c r="M5111" i="5"/>
  <c r="L5111" i="5"/>
  <c r="K5111" i="5"/>
  <c r="J5111" i="5"/>
  <c r="I5111" i="5"/>
  <c r="H5111" i="5"/>
  <c r="N5110" i="5"/>
  <c r="M5110" i="5"/>
  <c r="L5110" i="5"/>
  <c r="K5110" i="5"/>
  <c r="J5110" i="5"/>
  <c r="I5110" i="5"/>
  <c r="H5110" i="5"/>
  <c r="N5109" i="5"/>
  <c r="M5109" i="5"/>
  <c r="L5109" i="5"/>
  <c r="K5109" i="5"/>
  <c r="J5109" i="5"/>
  <c r="I5109" i="5"/>
  <c r="H5109" i="5"/>
  <c r="N5108" i="5"/>
  <c r="M5108" i="5"/>
  <c r="L5108" i="5"/>
  <c r="K5108" i="5"/>
  <c r="J5108" i="5"/>
  <c r="I5108" i="5"/>
  <c r="H5108" i="5"/>
  <c r="N5107" i="5"/>
  <c r="M5107" i="5"/>
  <c r="L5107" i="5"/>
  <c r="K5107" i="5"/>
  <c r="J5107" i="5"/>
  <c r="I5107" i="5"/>
  <c r="H5107" i="5"/>
  <c r="N5106" i="5"/>
  <c r="M5106" i="5"/>
  <c r="L5106" i="5"/>
  <c r="K5106" i="5"/>
  <c r="J5106" i="5"/>
  <c r="I5106" i="5"/>
  <c r="H5106" i="5"/>
  <c r="N5105" i="5"/>
  <c r="M5105" i="5"/>
  <c r="L5105" i="5"/>
  <c r="K5105" i="5"/>
  <c r="J5105" i="5"/>
  <c r="I5105" i="5"/>
  <c r="H5105" i="5"/>
  <c r="N5104" i="5"/>
  <c r="M5104" i="5"/>
  <c r="L5104" i="5"/>
  <c r="K5104" i="5"/>
  <c r="J5104" i="5"/>
  <c r="I5104" i="5"/>
  <c r="H5104" i="5"/>
  <c r="N5103" i="5"/>
  <c r="M5103" i="5"/>
  <c r="L5103" i="5"/>
  <c r="K5103" i="5"/>
  <c r="J5103" i="5"/>
  <c r="I5103" i="5"/>
  <c r="H5103" i="5"/>
  <c r="N5102" i="5"/>
  <c r="M5102" i="5"/>
  <c r="L5102" i="5"/>
  <c r="K5102" i="5"/>
  <c r="J5102" i="5"/>
  <c r="I5102" i="5"/>
  <c r="H5102" i="5"/>
  <c r="N5045" i="5"/>
  <c r="M5045" i="5"/>
  <c r="L5045" i="5"/>
  <c r="K5045" i="5"/>
  <c r="J5045" i="5"/>
  <c r="I5045" i="5"/>
  <c r="H5045" i="5"/>
  <c r="N5044" i="5"/>
  <c r="M5044" i="5"/>
  <c r="L5044" i="5"/>
  <c r="K5044" i="5"/>
  <c r="J5044" i="5"/>
  <c r="I5044" i="5"/>
  <c r="H5044" i="5"/>
  <c r="N5043" i="5"/>
  <c r="M5043" i="5"/>
  <c r="L5043" i="5"/>
  <c r="K5043" i="5"/>
  <c r="J5043" i="5"/>
  <c r="I5043" i="5"/>
  <c r="H5043" i="5"/>
  <c r="N5042" i="5"/>
  <c r="M5042" i="5"/>
  <c r="L5042" i="5"/>
  <c r="K5042" i="5"/>
  <c r="J5042" i="5"/>
  <c r="I5042" i="5"/>
  <c r="H5042" i="5"/>
  <c r="N5041" i="5"/>
  <c r="M5041" i="5"/>
  <c r="L5041" i="5"/>
  <c r="K5041" i="5"/>
  <c r="J5041" i="5"/>
  <c r="I5041" i="5"/>
  <c r="H5041" i="5"/>
  <c r="N5040" i="5"/>
  <c r="M5040" i="5"/>
  <c r="L5040" i="5"/>
  <c r="K5040" i="5"/>
  <c r="J5040" i="5"/>
  <c r="I5040" i="5"/>
  <c r="H5040" i="5"/>
  <c r="N5034" i="5"/>
  <c r="M5034" i="5"/>
  <c r="L5034" i="5"/>
  <c r="K5034" i="5"/>
  <c r="J5034" i="5"/>
  <c r="I5034" i="5"/>
  <c r="H5034" i="5"/>
  <c r="N5033" i="5"/>
  <c r="M5033" i="5"/>
  <c r="L5033" i="5"/>
  <c r="K5033" i="5"/>
  <c r="J5033" i="5"/>
  <c r="I5033" i="5"/>
  <c r="H5033" i="5"/>
  <c r="N5032" i="5"/>
  <c r="M5032" i="5"/>
  <c r="L5032" i="5"/>
  <c r="K5032" i="5"/>
  <c r="J5032" i="5"/>
  <c r="I5032" i="5"/>
  <c r="H5032" i="5"/>
  <c r="N5031" i="5"/>
  <c r="M5031" i="5"/>
  <c r="L5031" i="5"/>
  <c r="K5031" i="5"/>
  <c r="J5031" i="5"/>
  <c r="I5031" i="5"/>
  <c r="H5031" i="5"/>
  <c r="N5030" i="5"/>
  <c r="M5030" i="5"/>
  <c r="L5030" i="5"/>
  <c r="K5030" i="5"/>
  <c r="J5030" i="5"/>
  <c r="I5030" i="5"/>
  <c r="H5030" i="5"/>
  <c r="N5029" i="5"/>
  <c r="M5029" i="5"/>
  <c r="L5029" i="5"/>
  <c r="K5029" i="5"/>
  <c r="J5029" i="5"/>
  <c r="I5029" i="5"/>
  <c r="H5029" i="5"/>
  <c r="N5028" i="5"/>
  <c r="M5028" i="5"/>
  <c r="L5028" i="5"/>
  <c r="K5028" i="5"/>
  <c r="J5028" i="5"/>
  <c r="I5028" i="5"/>
  <c r="H5028" i="5"/>
  <c r="N5027" i="5"/>
  <c r="M5027" i="5"/>
  <c r="L5027" i="5"/>
  <c r="K5027" i="5"/>
  <c r="J5027" i="5"/>
  <c r="I5027" i="5"/>
  <c r="H5027" i="5"/>
  <c r="N5026" i="5"/>
  <c r="M5026" i="5"/>
  <c r="L5026" i="5"/>
  <c r="K5026" i="5"/>
  <c r="J5026" i="5"/>
  <c r="I5026" i="5"/>
  <c r="H5026" i="5"/>
  <c r="N5020" i="5"/>
  <c r="M5020" i="5"/>
  <c r="L5020" i="5"/>
  <c r="K5020" i="5"/>
  <c r="J5020" i="5"/>
  <c r="I5020" i="5"/>
  <c r="H5020" i="5"/>
  <c r="N5019" i="5"/>
  <c r="M5019" i="5"/>
  <c r="L5019" i="5"/>
  <c r="K5019" i="5"/>
  <c r="J5019" i="5"/>
  <c r="I5019" i="5"/>
  <c r="H5019" i="5"/>
  <c r="N5018" i="5"/>
  <c r="M5018" i="5"/>
  <c r="L5018" i="5"/>
  <c r="K5018" i="5"/>
  <c r="J5018" i="5"/>
  <c r="I5018" i="5"/>
  <c r="H5018" i="5"/>
  <c r="N5017" i="5"/>
  <c r="M5017" i="5"/>
  <c r="L5017" i="5"/>
  <c r="K5017" i="5"/>
  <c r="J5017" i="5"/>
  <c r="I5017" i="5"/>
  <c r="H5017" i="5"/>
  <c r="N5016" i="5"/>
  <c r="M5016" i="5"/>
  <c r="L5016" i="5"/>
  <c r="K5016" i="5"/>
  <c r="J5016" i="5"/>
  <c r="I5016" i="5"/>
  <c r="H5016" i="5"/>
  <c r="N5015" i="5"/>
  <c r="M5015" i="5"/>
  <c r="L5015" i="5"/>
  <c r="K5015" i="5"/>
  <c r="J5015" i="5"/>
  <c r="I5015" i="5"/>
  <c r="H5015" i="5"/>
  <c r="N5014" i="5"/>
  <c r="M5014" i="5"/>
  <c r="L5014" i="5"/>
  <c r="K5014" i="5"/>
  <c r="J5014" i="5"/>
  <c r="I5014" i="5"/>
  <c r="H5014" i="5"/>
  <c r="N5013" i="5"/>
  <c r="M5013" i="5"/>
  <c r="L5013" i="5"/>
  <c r="K5013" i="5"/>
  <c r="J5013" i="5"/>
  <c r="I5013" i="5"/>
  <c r="H5013" i="5"/>
  <c r="N5012" i="5"/>
  <c r="M5012" i="5"/>
  <c r="L5012" i="5"/>
  <c r="K5012" i="5"/>
  <c r="J5012" i="5"/>
  <c r="I5012" i="5"/>
  <c r="H5012" i="5"/>
  <c r="N5011" i="5"/>
  <c r="M5011" i="5"/>
  <c r="L5011" i="5"/>
  <c r="K5011" i="5"/>
  <c r="J5011" i="5"/>
  <c r="I5011" i="5"/>
  <c r="H5011" i="5"/>
  <c r="N5010" i="5"/>
  <c r="M5010" i="5"/>
  <c r="L5010" i="5"/>
  <c r="K5010" i="5"/>
  <c r="J5010" i="5"/>
  <c r="I5010" i="5"/>
  <c r="H5010" i="5"/>
  <c r="N4997" i="5"/>
  <c r="M4997" i="5"/>
  <c r="L4997" i="5"/>
  <c r="K4997" i="5"/>
  <c r="J4997" i="5"/>
  <c r="I4997" i="5"/>
  <c r="H4997" i="5"/>
  <c r="N4996" i="5"/>
  <c r="M4996" i="5"/>
  <c r="L4996" i="5"/>
  <c r="K4996" i="5"/>
  <c r="J4996" i="5"/>
  <c r="I4996" i="5"/>
  <c r="H4996" i="5"/>
  <c r="N4995" i="5"/>
  <c r="M4995" i="5"/>
  <c r="L4995" i="5"/>
  <c r="K4995" i="5"/>
  <c r="J4995" i="5"/>
  <c r="I4995" i="5"/>
  <c r="H4995" i="5"/>
  <c r="N4994" i="5"/>
  <c r="M4994" i="5"/>
  <c r="L4994" i="5"/>
  <c r="K4994" i="5"/>
  <c r="J4994" i="5"/>
  <c r="I4994" i="5"/>
  <c r="H4994" i="5"/>
  <c r="N4993" i="5"/>
  <c r="M4993" i="5"/>
  <c r="L4993" i="5"/>
  <c r="K4993" i="5"/>
  <c r="J4993" i="5"/>
  <c r="I4993" i="5"/>
  <c r="H4993" i="5"/>
  <c r="N4986" i="5"/>
  <c r="M4986" i="5"/>
  <c r="L4986" i="5"/>
  <c r="K4986" i="5"/>
  <c r="J4986" i="5"/>
  <c r="I4986" i="5"/>
  <c r="H4986" i="5"/>
  <c r="N4985" i="5"/>
  <c r="M4985" i="5"/>
  <c r="L4985" i="5"/>
  <c r="K4985" i="5"/>
  <c r="J4985" i="5"/>
  <c r="I4985" i="5"/>
  <c r="H4985" i="5"/>
  <c r="N4984" i="5"/>
  <c r="M4984" i="5"/>
  <c r="L4984" i="5"/>
  <c r="K4984" i="5"/>
  <c r="J4984" i="5"/>
  <c r="I4984" i="5"/>
  <c r="H4984" i="5"/>
  <c r="N4983" i="5"/>
  <c r="M4983" i="5"/>
  <c r="L4983" i="5"/>
  <c r="K4983" i="5"/>
  <c r="J4983" i="5"/>
  <c r="I4983" i="5"/>
  <c r="H4983" i="5"/>
  <c r="N4982" i="5"/>
  <c r="M4982" i="5"/>
  <c r="L4982" i="5"/>
  <c r="K4982" i="5"/>
  <c r="J4982" i="5"/>
  <c r="I4982" i="5"/>
  <c r="H4982" i="5"/>
  <c r="N4981" i="5"/>
  <c r="M4981" i="5"/>
  <c r="L4981" i="5"/>
  <c r="K4981" i="5"/>
  <c r="J4981" i="5"/>
  <c r="I4981" i="5"/>
  <c r="H4981" i="5"/>
  <c r="N4980" i="5"/>
  <c r="M4980" i="5"/>
  <c r="L4980" i="5"/>
  <c r="K4980" i="5"/>
  <c r="J4980" i="5"/>
  <c r="I4980" i="5"/>
  <c r="H4980" i="5"/>
  <c r="N4979" i="5"/>
  <c r="M4979" i="5"/>
  <c r="L4979" i="5"/>
  <c r="K4979" i="5"/>
  <c r="J4979" i="5"/>
  <c r="I4979" i="5"/>
  <c r="H4979" i="5"/>
  <c r="N4978" i="5"/>
  <c r="M4978" i="5"/>
  <c r="L4978" i="5"/>
  <c r="K4978" i="5"/>
  <c r="J4978" i="5"/>
  <c r="I4978" i="5"/>
  <c r="H4978" i="5"/>
  <c r="N4977" i="5"/>
  <c r="M4977" i="5"/>
  <c r="L4977" i="5"/>
  <c r="K4977" i="5"/>
  <c r="J4977" i="5"/>
  <c r="I4977" i="5"/>
  <c r="H4977" i="5"/>
  <c r="N4972" i="5"/>
  <c r="M4972" i="5"/>
  <c r="L4972" i="5"/>
  <c r="K4972" i="5"/>
  <c r="J4972" i="5"/>
  <c r="I4972" i="5"/>
  <c r="H4972" i="5"/>
  <c r="N4971" i="5"/>
  <c r="M4971" i="5"/>
  <c r="L4971" i="5"/>
  <c r="K4971" i="5"/>
  <c r="J4971" i="5"/>
  <c r="I4971" i="5"/>
  <c r="H4971" i="5"/>
  <c r="N4970" i="5"/>
  <c r="M4970" i="5"/>
  <c r="L4970" i="5"/>
  <c r="K4970" i="5"/>
  <c r="J4970" i="5"/>
  <c r="I4970" i="5"/>
  <c r="H4970" i="5"/>
  <c r="N4969" i="5"/>
  <c r="M4969" i="5"/>
  <c r="L4969" i="5"/>
  <c r="K4969" i="5"/>
  <c r="J4969" i="5"/>
  <c r="I4969" i="5"/>
  <c r="H4969" i="5"/>
  <c r="N4968" i="5"/>
  <c r="M4968" i="5"/>
  <c r="L4968" i="5"/>
  <c r="K4968" i="5"/>
  <c r="J4968" i="5"/>
  <c r="I4968" i="5"/>
  <c r="H4968" i="5"/>
  <c r="N4967" i="5"/>
  <c r="M4967" i="5"/>
  <c r="L4967" i="5"/>
  <c r="K4967" i="5"/>
  <c r="J4967" i="5"/>
  <c r="I4967" i="5"/>
  <c r="H4967" i="5"/>
  <c r="N4966" i="5"/>
  <c r="M4966" i="5"/>
  <c r="L4966" i="5"/>
  <c r="K4966" i="5"/>
  <c r="J4966" i="5"/>
  <c r="I4966" i="5"/>
  <c r="H4966" i="5"/>
  <c r="N4965" i="5"/>
  <c r="M4965" i="5"/>
  <c r="L4965" i="5"/>
  <c r="K4965" i="5"/>
  <c r="J4965" i="5"/>
  <c r="I4965" i="5"/>
  <c r="H4965" i="5"/>
  <c r="N4964" i="5"/>
  <c r="M4964" i="5"/>
  <c r="L4964" i="5"/>
  <c r="K4964" i="5"/>
  <c r="J4964" i="5"/>
  <c r="I4964" i="5"/>
  <c r="H4964" i="5"/>
  <c r="N4963" i="5"/>
  <c r="M4963" i="5"/>
  <c r="L4963" i="5"/>
  <c r="K4963" i="5"/>
  <c r="J4963" i="5"/>
  <c r="I4963" i="5"/>
  <c r="H4963" i="5"/>
  <c r="N4962" i="5"/>
  <c r="M4962" i="5"/>
  <c r="L4962" i="5"/>
  <c r="K4962" i="5"/>
  <c r="J4962" i="5"/>
  <c r="I4962" i="5"/>
  <c r="H4962" i="5"/>
  <c r="N4961" i="5"/>
  <c r="M4961" i="5"/>
  <c r="L4961" i="5"/>
  <c r="K4961" i="5"/>
  <c r="J4961" i="5"/>
  <c r="I4961" i="5"/>
  <c r="H4961" i="5"/>
  <c r="N4960" i="5"/>
  <c r="M4960" i="5"/>
  <c r="L4960" i="5"/>
  <c r="K4960" i="5"/>
  <c r="J4960" i="5"/>
  <c r="I4960" i="5"/>
  <c r="H4960" i="5"/>
  <c r="N4959" i="5"/>
  <c r="M4959" i="5"/>
  <c r="L4959" i="5"/>
  <c r="K4959" i="5"/>
  <c r="J4959" i="5"/>
  <c r="I4959" i="5"/>
  <c r="H4959" i="5"/>
  <c r="N4949" i="5"/>
  <c r="M4949" i="5"/>
  <c r="L4949" i="5"/>
  <c r="K4949" i="5"/>
  <c r="J4949" i="5"/>
  <c r="I4949" i="5"/>
  <c r="H4949" i="5"/>
  <c r="N4948" i="5"/>
  <c r="M4948" i="5"/>
  <c r="L4948" i="5"/>
  <c r="K4948" i="5"/>
  <c r="J4948" i="5"/>
  <c r="I4948" i="5"/>
  <c r="H4948" i="5"/>
  <c r="N4947" i="5"/>
  <c r="M4947" i="5"/>
  <c r="L4947" i="5"/>
  <c r="K4947" i="5"/>
  <c r="J4947" i="5"/>
  <c r="I4947" i="5"/>
  <c r="H4947" i="5"/>
  <c r="N4946" i="5"/>
  <c r="M4946" i="5"/>
  <c r="L4946" i="5"/>
  <c r="K4946" i="5"/>
  <c r="J4946" i="5"/>
  <c r="I4946" i="5"/>
  <c r="H4946" i="5"/>
  <c r="N4945" i="5"/>
  <c r="M4945" i="5"/>
  <c r="L4945" i="5"/>
  <c r="K4945" i="5"/>
  <c r="J4945" i="5"/>
  <c r="I4945" i="5"/>
  <c r="H4945" i="5"/>
  <c r="N4938" i="5"/>
  <c r="M4938" i="5"/>
  <c r="L4938" i="5"/>
  <c r="K4938" i="5"/>
  <c r="J4938" i="5"/>
  <c r="I4938" i="5"/>
  <c r="H4938" i="5"/>
  <c r="N4937" i="5"/>
  <c r="M4937" i="5"/>
  <c r="L4937" i="5"/>
  <c r="K4937" i="5"/>
  <c r="J4937" i="5"/>
  <c r="I4937" i="5"/>
  <c r="H4937" i="5"/>
  <c r="N4936" i="5"/>
  <c r="M4936" i="5"/>
  <c r="L4936" i="5"/>
  <c r="K4936" i="5"/>
  <c r="J4936" i="5"/>
  <c r="I4936" i="5"/>
  <c r="H4936" i="5"/>
  <c r="N4935" i="5"/>
  <c r="M4935" i="5"/>
  <c r="L4935" i="5"/>
  <c r="K4935" i="5"/>
  <c r="J4935" i="5"/>
  <c r="I4935" i="5"/>
  <c r="H4935" i="5"/>
  <c r="N4934" i="5"/>
  <c r="M4934" i="5"/>
  <c r="L4934" i="5"/>
  <c r="K4934" i="5"/>
  <c r="J4934" i="5"/>
  <c r="I4934" i="5"/>
  <c r="H4934" i="5"/>
  <c r="N4933" i="5"/>
  <c r="M4933" i="5"/>
  <c r="L4933" i="5"/>
  <c r="K4933" i="5"/>
  <c r="J4933" i="5"/>
  <c r="I4933" i="5"/>
  <c r="H4933" i="5"/>
  <c r="N4932" i="5"/>
  <c r="M4932" i="5"/>
  <c r="L4932" i="5"/>
  <c r="K4932" i="5"/>
  <c r="J4932" i="5"/>
  <c r="I4932" i="5"/>
  <c r="H4932" i="5"/>
  <c r="N4931" i="5"/>
  <c r="M4931" i="5"/>
  <c r="L4931" i="5"/>
  <c r="K4931" i="5"/>
  <c r="J4931" i="5"/>
  <c r="I4931" i="5"/>
  <c r="H4931" i="5"/>
  <c r="N4930" i="5"/>
  <c r="M4930" i="5"/>
  <c r="L4930" i="5"/>
  <c r="K4930" i="5"/>
  <c r="J4930" i="5"/>
  <c r="I4930" i="5"/>
  <c r="H4930" i="5"/>
  <c r="N4929" i="5"/>
  <c r="M4929" i="5"/>
  <c r="L4929" i="5"/>
  <c r="K4929" i="5"/>
  <c r="J4929" i="5"/>
  <c r="I4929" i="5"/>
  <c r="H4929" i="5"/>
  <c r="N4924" i="5"/>
  <c r="M4924" i="5"/>
  <c r="L4924" i="5"/>
  <c r="K4924" i="5"/>
  <c r="J4924" i="5"/>
  <c r="I4924" i="5"/>
  <c r="H4924" i="5"/>
  <c r="N4923" i="5"/>
  <c r="M4923" i="5"/>
  <c r="L4923" i="5"/>
  <c r="K4923" i="5"/>
  <c r="J4923" i="5"/>
  <c r="I4923" i="5"/>
  <c r="H4923" i="5"/>
  <c r="N4922" i="5"/>
  <c r="M4922" i="5"/>
  <c r="L4922" i="5"/>
  <c r="K4922" i="5"/>
  <c r="J4922" i="5"/>
  <c r="I4922" i="5"/>
  <c r="H4922" i="5"/>
  <c r="N4921" i="5"/>
  <c r="M4921" i="5"/>
  <c r="L4921" i="5"/>
  <c r="K4921" i="5"/>
  <c r="J4921" i="5"/>
  <c r="I4921" i="5"/>
  <c r="H4921" i="5"/>
  <c r="N4920" i="5"/>
  <c r="M4920" i="5"/>
  <c r="L4920" i="5"/>
  <c r="K4920" i="5"/>
  <c r="J4920" i="5"/>
  <c r="I4920" i="5"/>
  <c r="H4920" i="5"/>
  <c r="N4919" i="5"/>
  <c r="M4919" i="5"/>
  <c r="L4919" i="5"/>
  <c r="K4919" i="5"/>
  <c r="J4919" i="5"/>
  <c r="I4919" i="5"/>
  <c r="H4919" i="5"/>
  <c r="N4918" i="5"/>
  <c r="M4918" i="5"/>
  <c r="L4918" i="5"/>
  <c r="K4918" i="5"/>
  <c r="J4918" i="5"/>
  <c r="I4918" i="5"/>
  <c r="H4918" i="5"/>
  <c r="N4917" i="5"/>
  <c r="M4917" i="5"/>
  <c r="L4917" i="5"/>
  <c r="K4917" i="5"/>
  <c r="J4917" i="5"/>
  <c r="I4917" i="5"/>
  <c r="H4917" i="5"/>
  <c r="N4916" i="5"/>
  <c r="M4916" i="5"/>
  <c r="L4916" i="5"/>
  <c r="K4916" i="5"/>
  <c r="J4916" i="5"/>
  <c r="I4916" i="5"/>
  <c r="H4916" i="5"/>
  <c r="N4915" i="5"/>
  <c r="M4915" i="5"/>
  <c r="L4915" i="5"/>
  <c r="K4915" i="5"/>
  <c r="J4915" i="5"/>
  <c r="I4915" i="5"/>
  <c r="H4915" i="5"/>
  <c r="N4914" i="5"/>
  <c r="M4914" i="5"/>
  <c r="L4914" i="5"/>
  <c r="K4914" i="5"/>
  <c r="J4914" i="5"/>
  <c r="I4914" i="5"/>
  <c r="H4914" i="5"/>
  <c r="N4913" i="5"/>
  <c r="M4913" i="5"/>
  <c r="L4913" i="5"/>
  <c r="K4913" i="5"/>
  <c r="J4913" i="5"/>
  <c r="I4913" i="5"/>
  <c r="H4913" i="5"/>
  <c r="N4912" i="5"/>
  <c r="M4912" i="5"/>
  <c r="L4912" i="5"/>
  <c r="K4912" i="5"/>
  <c r="J4912" i="5"/>
  <c r="I4912" i="5"/>
  <c r="H4912" i="5"/>
  <c r="N4911" i="5"/>
  <c r="M4911" i="5"/>
  <c r="L4911" i="5"/>
  <c r="K4911" i="5"/>
  <c r="J4911" i="5"/>
  <c r="I4911" i="5"/>
  <c r="H4911" i="5"/>
  <c r="N4910" i="5"/>
  <c r="M4910" i="5"/>
  <c r="L4910" i="5"/>
  <c r="K4910" i="5"/>
  <c r="J4910" i="5"/>
  <c r="I4910" i="5"/>
  <c r="H4910" i="5"/>
  <c r="N4901" i="5"/>
  <c r="M4901" i="5"/>
  <c r="L4901" i="5"/>
  <c r="K4901" i="5"/>
  <c r="J4901" i="5"/>
  <c r="I4901" i="5"/>
  <c r="H4901" i="5"/>
  <c r="N4900" i="5"/>
  <c r="M4900" i="5"/>
  <c r="L4900" i="5"/>
  <c r="K4900" i="5"/>
  <c r="J4900" i="5"/>
  <c r="I4900" i="5"/>
  <c r="H4900" i="5"/>
  <c r="N4899" i="5"/>
  <c r="M4899" i="5"/>
  <c r="L4899" i="5"/>
  <c r="K4899" i="5"/>
  <c r="J4899" i="5"/>
  <c r="I4899" i="5"/>
  <c r="H4899" i="5"/>
  <c r="N4898" i="5"/>
  <c r="M4898" i="5"/>
  <c r="L4898" i="5"/>
  <c r="K4898" i="5"/>
  <c r="J4898" i="5"/>
  <c r="I4898" i="5"/>
  <c r="H4898" i="5"/>
  <c r="N4897" i="5"/>
  <c r="M4897" i="5"/>
  <c r="L4897" i="5"/>
  <c r="K4897" i="5"/>
  <c r="J4897" i="5"/>
  <c r="I4897" i="5"/>
  <c r="H4897" i="5"/>
  <c r="N4890" i="5"/>
  <c r="M4890" i="5"/>
  <c r="L4890" i="5"/>
  <c r="K4890" i="5"/>
  <c r="J4890" i="5"/>
  <c r="I4890" i="5"/>
  <c r="H4890" i="5"/>
  <c r="N4889" i="5"/>
  <c r="M4889" i="5"/>
  <c r="L4889" i="5"/>
  <c r="K4889" i="5"/>
  <c r="J4889" i="5"/>
  <c r="I4889" i="5"/>
  <c r="H4889" i="5"/>
  <c r="N4888" i="5"/>
  <c r="M4888" i="5"/>
  <c r="L4888" i="5"/>
  <c r="K4888" i="5"/>
  <c r="J4888" i="5"/>
  <c r="I4888" i="5"/>
  <c r="H4888" i="5"/>
  <c r="N4887" i="5"/>
  <c r="M4887" i="5"/>
  <c r="L4887" i="5"/>
  <c r="K4887" i="5"/>
  <c r="J4887" i="5"/>
  <c r="I4887" i="5"/>
  <c r="H4887" i="5"/>
  <c r="N4886" i="5"/>
  <c r="M4886" i="5"/>
  <c r="L4886" i="5"/>
  <c r="K4886" i="5"/>
  <c r="J4886" i="5"/>
  <c r="I4886" i="5"/>
  <c r="H4886" i="5"/>
  <c r="N4885" i="5"/>
  <c r="M4885" i="5"/>
  <c r="L4885" i="5"/>
  <c r="K4885" i="5"/>
  <c r="J4885" i="5"/>
  <c r="I4885" i="5"/>
  <c r="H4885" i="5"/>
  <c r="N4884" i="5"/>
  <c r="M4884" i="5"/>
  <c r="L4884" i="5"/>
  <c r="K4884" i="5"/>
  <c r="J4884" i="5"/>
  <c r="I4884" i="5"/>
  <c r="H4884" i="5"/>
  <c r="N4883" i="5"/>
  <c r="M4883" i="5"/>
  <c r="L4883" i="5"/>
  <c r="K4883" i="5"/>
  <c r="J4883" i="5"/>
  <c r="I4883" i="5"/>
  <c r="H4883" i="5"/>
  <c r="N4882" i="5"/>
  <c r="M4882" i="5"/>
  <c r="L4882" i="5"/>
  <c r="K4882" i="5"/>
  <c r="J4882" i="5"/>
  <c r="I4882" i="5"/>
  <c r="H4882" i="5"/>
  <c r="N4876" i="5"/>
  <c r="M4876" i="5"/>
  <c r="L4876" i="5"/>
  <c r="K4876" i="5"/>
  <c r="J4876" i="5"/>
  <c r="I4876" i="5"/>
  <c r="H4876" i="5"/>
  <c r="N4875" i="5"/>
  <c r="M4875" i="5"/>
  <c r="L4875" i="5"/>
  <c r="K4875" i="5"/>
  <c r="J4875" i="5"/>
  <c r="I4875" i="5"/>
  <c r="H4875" i="5"/>
  <c r="N4874" i="5"/>
  <c r="M4874" i="5"/>
  <c r="L4874" i="5"/>
  <c r="K4874" i="5"/>
  <c r="J4874" i="5"/>
  <c r="I4874" i="5"/>
  <c r="H4874" i="5"/>
  <c r="N4873" i="5"/>
  <c r="M4873" i="5"/>
  <c r="L4873" i="5"/>
  <c r="K4873" i="5"/>
  <c r="J4873" i="5"/>
  <c r="I4873" i="5"/>
  <c r="H4873" i="5"/>
  <c r="N4872" i="5"/>
  <c r="M4872" i="5"/>
  <c r="L4872" i="5"/>
  <c r="K4872" i="5"/>
  <c r="J4872" i="5"/>
  <c r="I4872" i="5"/>
  <c r="H4872" i="5"/>
  <c r="N4871" i="5"/>
  <c r="M4871" i="5"/>
  <c r="L4871" i="5"/>
  <c r="K4871" i="5"/>
  <c r="J4871" i="5"/>
  <c r="I4871" i="5"/>
  <c r="H4871" i="5"/>
  <c r="N4870" i="5"/>
  <c r="M4870" i="5"/>
  <c r="L4870" i="5"/>
  <c r="K4870" i="5"/>
  <c r="J4870" i="5"/>
  <c r="I4870" i="5"/>
  <c r="H4870" i="5"/>
  <c r="N4869" i="5"/>
  <c r="M4869" i="5"/>
  <c r="L4869" i="5"/>
  <c r="K4869" i="5"/>
  <c r="J4869" i="5"/>
  <c r="I4869" i="5"/>
  <c r="H4869" i="5"/>
  <c r="N4868" i="5"/>
  <c r="M4868" i="5"/>
  <c r="L4868" i="5"/>
  <c r="K4868" i="5"/>
  <c r="J4868" i="5"/>
  <c r="I4868" i="5"/>
  <c r="H4868" i="5"/>
  <c r="N4867" i="5"/>
  <c r="M4867" i="5"/>
  <c r="L4867" i="5"/>
  <c r="K4867" i="5"/>
  <c r="J4867" i="5"/>
  <c r="I4867" i="5"/>
  <c r="H4867" i="5"/>
  <c r="N4866" i="5"/>
  <c r="M4866" i="5"/>
  <c r="L4866" i="5"/>
  <c r="K4866" i="5"/>
  <c r="J4866" i="5"/>
  <c r="I4866" i="5"/>
  <c r="H4866" i="5"/>
  <c r="N4865" i="5"/>
  <c r="M4865" i="5"/>
  <c r="L4865" i="5"/>
  <c r="K4865" i="5"/>
  <c r="J4865" i="5"/>
  <c r="I4865" i="5"/>
  <c r="H4865" i="5"/>
  <c r="N4853" i="5"/>
  <c r="M4853" i="5"/>
  <c r="L4853" i="5"/>
  <c r="K4853" i="5"/>
  <c r="J4853" i="5"/>
  <c r="I4853" i="5"/>
  <c r="H4853" i="5"/>
  <c r="N4852" i="5"/>
  <c r="M4852" i="5"/>
  <c r="L4852" i="5"/>
  <c r="K4852" i="5"/>
  <c r="J4852" i="5"/>
  <c r="I4852" i="5"/>
  <c r="H4852" i="5"/>
  <c r="N4851" i="5"/>
  <c r="M4851" i="5"/>
  <c r="L4851" i="5"/>
  <c r="K4851" i="5"/>
  <c r="J4851" i="5"/>
  <c r="I4851" i="5"/>
  <c r="H4851" i="5"/>
  <c r="N4850" i="5"/>
  <c r="M4850" i="5"/>
  <c r="L4850" i="5"/>
  <c r="K4850" i="5"/>
  <c r="J4850" i="5"/>
  <c r="I4850" i="5"/>
  <c r="H4850" i="5"/>
  <c r="N4849" i="5"/>
  <c r="M4849" i="5"/>
  <c r="L4849" i="5"/>
  <c r="K4849" i="5"/>
  <c r="J4849" i="5"/>
  <c r="I4849" i="5"/>
  <c r="H4849" i="5"/>
  <c r="N4842" i="5"/>
  <c r="M4842" i="5"/>
  <c r="L4842" i="5"/>
  <c r="K4842" i="5"/>
  <c r="J4842" i="5"/>
  <c r="I4842" i="5"/>
  <c r="H4842" i="5"/>
  <c r="N4841" i="5"/>
  <c r="M4841" i="5"/>
  <c r="L4841" i="5"/>
  <c r="K4841" i="5"/>
  <c r="J4841" i="5"/>
  <c r="I4841" i="5"/>
  <c r="H4841" i="5"/>
  <c r="N4840" i="5"/>
  <c r="M4840" i="5"/>
  <c r="L4840" i="5"/>
  <c r="K4840" i="5"/>
  <c r="J4840" i="5"/>
  <c r="I4840" i="5"/>
  <c r="H4840" i="5"/>
  <c r="N4839" i="5"/>
  <c r="M4839" i="5"/>
  <c r="L4839" i="5"/>
  <c r="K4839" i="5"/>
  <c r="J4839" i="5"/>
  <c r="I4839" i="5"/>
  <c r="H4839" i="5"/>
  <c r="N4838" i="5"/>
  <c r="M4838" i="5"/>
  <c r="L4838" i="5"/>
  <c r="K4838" i="5"/>
  <c r="J4838" i="5"/>
  <c r="I4838" i="5"/>
  <c r="H4838" i="5"/>
  <c r="N4837" i="5"/>
  <c r="M4837" i="5"/>
  <c r="L4837" i="5"/>
  <c r="K4837" i="5"/>
  <c r="J4837" i="5"/>
  <c r="I4837" i="5"/>
  <c r="H4837" i="5"/>
  <c r="N4836" i="5"/>
  <c r="M4836" i="5"/>
  <c r="L4836" i="5"/>
  <c r="K4836" i="5"/>
  <c r="J4836" i="5"/>
  <c r="I4836" i="5"/>
  <c r="H4836" i="5"/>
  <c r="N4835" i="5"/>
  <c r="M4835" i="5"/>
  <c r="L4835" i="5"/>
  <c r="K4835" i="5"/>
  <c r="J4835" i="5"/>
  <c r="I4835" i="5"/>
  <c r="H4835" i="5"/>
  <c r="N4834" i="5"/>
  <c r="M4834" i="5"/>
  <c r="L4834" i="5"/>
  <c r="K4834" i="5"/>
  <c r="J4834" i="5"/>
  <c r="I4834" i="5"/>
  <c r="H4834" i="5"/>
  <c r="N4828" i="5"/>
  <c r="M4828" i="5"/>
  <c r="L4828" i="5"/>
  <c r="K4828" i="5"/>
  <c r="J4828" i="5"/>
  <c r="I4828" i="5"/>
  <c r="H4828" i="5"/>
  <c r="N4827" i="5"/>
  <c r="M4827" i="5"/>
  <c r="L4827" i="5"/>
  <c r="K4827" i="5"/>
  <c r="J4827" i="5"/>
  <c r="I4827" i="5"/>
  <c r="H4827" i="5"/>
  <c r="N4826" i="5"/>
  <c r="M4826" i="5"/>
  <c r="L4826" i="5"/>
  <c r="K4826" i="5"/>
  <c r="J4826" i="5"/>
  <c r="I4826" i="5"/>
  <c r="H4826" i="5"/>
  <c r="N4825" i="5"/>
  <c r="M4825" i="5"/>
  <c r="L4825" i="5"/>
  <c r="K4825" i="5"/>
  <c r="J4825" i="5"/>
  <c r="I4825" i="5"/>
  <c r="H4825" i="5"/>
  <c r="N4824" i="5"/>
  <c r="M4824" i="5"/>
  <c r="L4824" i="5"/>
  <c r="K4824" i="5"/>
  <c r="J4824" i="5"/>
  <c r="I4824" i="5"/>
  <c r="H4824" i="5"/>
  <c r="N4823" i="5"/>
  <c r="M4823" i="5"/>
  <c r="L4823" i="5"/>
  <c r="K4823" i="5"/>
  <c r="J4823" i="5"/>
  <c r="I4823" i="5"/>
  <c r="H4823" i="5"/>
  <c r="N4822" i="5"/>
  <c r="M4822" i="5"/>
  <c r="L4822" i="5"/>
  <c r="K4822" i="5"/>
  <c r="J4822" i="5"/>
  <c r="I4822" i="5"/>
  <c r="H4822" i="5"/>
  <c r="N4821" i="5"/>
  <c r="M4821" i="5"/>
  <c r="L4821" i="5"/>
  <c r="K4821" i="5"/>
  <c r="J4821" i="5"/>
  <c r="I4821" i="5"/>
  <c r="H4821" i="5"/>
  <c r="N4820" i="5"/>
  <c r="M4820" i="5"/>
  <c r="L4820" i="5"/>
  <c r="K4820" i="5"/>
  <c r="J4820" i="5"/>
  <c r="I4820" i="5"/>
  <c r="H4820" i="5"/>
  <c r="N4819" i="5"/>
  <c r="M4819" i="5"/>
  <c r="L4819" i="5"/>
  <c r="K4819" i="5"/>
  <c r="J4819" i="5"/>
  <c r="I4819" i="5"/>
  <c r="H4819" i="5"/>
  <c r="N4818" i="5"/>
  <c r="M4818" i="5"/>
  <c r="L4818" i="5"/>
  <c r="K4818" i="5"/>
  <c r="J4818" i="5"/>
  <c r="I4818" i="5"/>
  <c r="H4818" i="5"/>
  <c r="N4817" i="5"/>
  <c r="M4817" i="5"/>
  <c r="L4817" i="5"/>
  <c r="K4817" i="5"/>
  <c r="J4817" i="5"/>
  <c r="I4817" i="5"/>
  <c r="H4817" i="5"/>
  <c r="N4805" i="5"/>
  <c r="M4805" i="5"/>
  <c r="L4805" i="5"/>
  <c r="K4805" i="5"/>
  <c r="J4805" i="5"/>
  <c r="I4805" i="5"/>
  <c r="H4805" i="5"/>
  <c r="N4804" i="5"/>
  <c r="M4804" i="5"/>
  <c r="L4804" i="5"/>
  <c r="K4804" i="5"/>
  <c r="J4804" i="5"/>
  <c r="I4804" i="5"/>
  <c r="H4804" i="5"/>
  <c r="N4803" i="5"/>
  <c r="M4803" i="5"/>
  <c r="L4803" i="5"/>
  <c r="K4803" i="5"/>
  <c r="J4803" i="5"/>
  <c r="I4803" i="5"/>
  <c r="H4803" i="5"/>
  <c r="N4802" i="5"/>
  <c r="M4802" i="5"/>
  <c r="L4802" i="5"/>
  <c r="K4802" i="5"/>
  <c r="J4802" i="5"/>
  <c r="I4802" i="5"/>
  <c r="H4802" i="5"/>
  <c r="N4801" i="5"/>
  <c r="M4801" i="5"/>
  <c r="L4801" i="5"/>
  <c r="K4801" i="5"/>
  <c r="J4801" i="5"/>
  <c r="I4801" i="5"/>
  <c r="H4801" i="5"/>
  <c r="N4794" i="5"/>
  <c r="M4794" i="5"/>
  <c r="L4794" i="5"/>
  <c r="K4794" i="5"/>
  <c r="J4794" i="5"/>
  <c r="I4794" i="5"/>
  <c r="H4794" i="5"/>
  <c r="N4793" i="5"/>
  <c r="M4793" i="5"/>
  <c r="L4793" i="5"/>
  <c r="K4793" i="5"/>
  <c r="J4793" i="5"/>
  <c r="I4793" i="5"/>
  <c r="H4793" i="5"/>
  <c r="N4792" i="5"/>
  <c r="M4792" i="5"/>
  <c r="L4792" i="5"/>
  <c r="K4792" i="5"/>
  <c r="J4792" i="5"/>
  <c r="I4792" i="5"/>
  <c r="H4792" i="5"/>
  <c r="N4791" i="5"/>
  <c r="M4791" i="5"/>
  <c r="L4791" i="5"/>
  <c r="K4791" i="5"/>
  <c r="J4791" i="5"/>
  <c r="I4791" i="5"/>
  <c r="H4791" i="5"/>
  <c r="N4790" i="5"/>
  <c r="M4790" i="5"/>
  <c r="L4790" i="5"/>
  <c r="K4790" i="5"/>
  <c r="J4790" i="5"/>
  <c r="I4790" i="5"/>
  <c r="H4790" i="5"/>
  <c r="N4789" i="5"/>
  <c r="M4789" i="5"/>
  <c r="L4789" i="5"/>
  <c r="K4789" i="5"/>
  <c r="J4789" i="5"/>
  <c r="I4789" i="5"/>
  <c r="H4789" i="5"/>
  <c r="N4788" i="5"/>
  <c r="M4788" i="5"/>
  <c r="L4788" i="5"/>
  <c r="K4788" i="5"/>
  <c r="J4788" i="5"/>
  <c r="I4788" i="5"/>
  <c r="H4788" i="5"/>
  <c r="N4787" i="5"/>
  <c r="M4787" i="5"/>
  <c r="L4787" i="5"/>
  <c r="K4787" i="5"/>
  <c r="J4787" i="5"/>
  <c r="I4787" i="5"/>
  <c r="H4787" i="5"/>
  <c r="N4786" i="5"/>
  <c r="M4786" i="5"/>
  <c r="L4786" i="5"/>
  <c r="K4786" i="5"/>
  <c r="J4786" i="5"/>
  <c r="I4786" i="5"/>
  <c r="H4786" i="5"/>
  <c r="N4785" i="5"/>
  <c r="M4785" i="5"/>
  <c r="L4785" i="5"/>
  <c r="K4785" i="5"/>
  <c r="J4785" i="5"/>
  <c r="I4785" i="5"/>
  <c r="H4785" i="5"/>
  <c r="N4780" i="5"/>
  <c r="M4780" i="5"/>
  <c r="L4780" i="5"/>
  <c r="K4780" i="5"/>
  <c r="J4780" i="5"/>
  <c r="I4780" i="5"/>
  <c r="H4780" i="5"/>
  <c r="N4779" i="5"/>
  <c r="M4779" i="5"/>
  <c r="L4779" i="5"/>
  <c r="K4779" i="5"/>
  <c r="J4779" i="5"/>
  <c r="I4779" i="5"/>
  <c r="H4779" i="5"/>
  <c r="N4778" i="5"/>
  <c r="M4778" i="5"/>
  <c r="L4778" i="5"/>
  <c r="K4778" i="5"/>
  <c r="J4778" i="5"/>
  <c r="I4778" i="5"/>
  <c r="H4778" i="5"/>
  <c r="N4777" i="5"/>
  <c r="M4777" i="5"/>
  <c r="L4777" i="5"/>
  <c r="K4777" i="5"/>
  <c r="J4777" i="5"/>
  <c r="I4777" i="5"/>
  <c r="H4777" i="5"/>
  <c r="N4776" i="5"/>
  <c r="M4776" i="5"/>
  <c r="L4776" i="5"/>
  <c r="K4776" i="5"/>
  <c r="J4776" i="5"/>
  <c r="I4776" i="5"/>
  <c r="H4776" i="5"/>
  <c r="N4775" i="5"/>
  <c r="M4775" i="5"/>
  <c r="L4775" i="5"/>
  <c r="K4775" i="5"/>
  <c r="J4775" i="5"/>
  <c r="I4775" i="5"/>
  <c r="H4775" i="5"/>
  <c r="N4774" i="5"/>
  <c r="M4774" i="5"/>
  <c r="L4774" i="5"/>
  <c r="K4774" i="5"/>
  <c r="J4774" i="5"/>
  <c r="I4774" i="5"/>
  <c r="H4774" i="5"/>
  <c r="N4773" i="5"/>
  <c r="M4773" i="5"/>
  <c r="L4773" i="5"/>
  <c r="K4773" i="5"/>
  <c r="J4773" i="5"/>
  <c r="I4773" i="5"/>
  <c r="H4773" i="5"/>
  <c r="N4772" i="5"/>
  <c r="M4772" i="5"/>
  <c r="L4772" i="5"/>
  <c r="K4772" i="5"/>
  <c r="J4772" i="5"/>
  <c r="I4772" i="5"/>
  <c r="H4772" i="5"/>
  <c r="N4771" i="5"/>
  <c r="M4771" i="5"/>
  <c r="L4771" i="5"/>
  <c r="K4771" i="5"/>
  <c r="J4771" i="5"/>
  <c r="I4771" i="5"/>
  <c r="H4771" i="5"/>
  <c r="N4770" i="5"/>
  <c r="M4770" i="5"/>
  <c r="L4770" i="5"/>
  <c r="K4770" i="5"/>
  <c r="J4770" i="5"/>
  <c r="I4770" i="5"/>
  <c r="H4770" i="5"/>
  <c r="N4769" i="5"/>
  <c r="M4769" i="5"/>
  <c r="L4769" i="5"/>
  <c r="K4769" i="5"/>
  <c r="J4769" i="5"/>
  <c r="I4769" i="5"/>
  <c r="H4769" i="5"/>
  <c r="N4709" i="5"/>
  <c r="M4709" i="5"/>
  <c r="L4709" i="5"/>
  <c r="K4709" i="5"/>
  <c r="J4709" i="5"/>
  <c r="I4709" i="5"/>
  <c r="H4709" i="5"/>
  <c r="N4708" i="5"/>
  <c r="M4708" i="5"/>
  <c r="L4708" i="5"/>
  <c r="K4708" i="5"/>
  <c r="J4708" i="5"/>
  <c r="I4708" i="5"/>
  <c r="H4708" i="5"/>
  <c r="N4707" i="5"/>
  <c r="M4707" i="5"/>
  <c r="L4707" i="5"/>
  <c r="K4707" i="5"/>
  <c r="J4707" i="5"/>
  <c r="I4707" i="5"/>
  <c r="H4707" i="5"/>
  <c r="N4706" i="5"/>
  <c r="M4706" i="5"/>
  <c r="L4706" i="5"/>
  <c r="K4706" i="5"/>
  <c r="J4706" i="5"/>
  <c r="I4706" i="5"/>
  <c r="H4706" i="5"/>
  <c r="N4705" i="5"/>
  <c r="M4705" i="5"/>
  <c r="L4705" i="5"/>
  <c r="K4705" i="5"/>
  <c r="J4705" i="5"/>
  <c r="I4705" i="5"/>
  <c r="H4705" i="5"/>
  <c r="N4698" i="5"/>
  <c r="M4698" i="5"/>
  <c r="L4698" i="5"/>
  <c r="K4698" i="5"/>
  <c r="J4698" i="5"/>
  <c r="I4698" i="5"/>
  <c r="H4698" i="5"/>
  <c r="N4697" i="5"/>
  <c r="M4697" i="5"/>
  <c r="L4697" i="5"/>
  <c r="K4697" i="5"/>
  <c r="J4697" i="5"/>
  <c r="I4697" i="5"/>
  <c r="H4697" i="5"/>
  <c r="N4696" i="5"/>
  <c r="M4696" i="5"/>
  <c r="L4696" i="5"/>
  <c r="K4696" i="5"/>
  <c r="J4696" i="5"/>
  <c r="I4696" i="5"/>
  <c r="H4696" i="5"/>
  <c r="N4695" i="5"/>
  <c r="M4695" i="5"/>
  <c r="L4695" i="5"/>
  <c r="K4695" i="5"/>
  <c r="J4695" i="5"/>
  <c r="I4695" i="5"/>
  <c r="H4695" i="5"/>
  <c r="N4694" i="5"/>
  <c r="M4694" i="5"/>
  <c r="L4694" i="5"/>
  <c r="K4694" i="5"/>
  <c r="J4694" i="5"/>
  <c r="I4694" i="5"/>
  <c r="H4694" i="5"/>
  <c r="N4693" i="5"/>
  <c r="M4693" i="5"/>
  <c r="L4693" i="5"/>
  <c r="K4693" i="5"/>
  <c r="J4693" i="5"/>
  <c r="I4693" i="5"/>
  <c r="H4693" i="5"/>
  <c r="N4692" i="5"/>
  <c r="M4692" i="5"/>
  <c r="L4692" i="5"/>
  <c r="K4692" i="5"/>
  <c r="J4692" i="5"/>
  <c r="I4692" i="5"/>
  <c r="H4692" i="5"/>
  <c r="N4691" i="5"/>
  <c r="M4691" i="5"/>
  <c r="L4691" i="5"/>
  <c r="K4691" i="5"/>
  <c r="J4691" i="5"/>
  <c r="I4691" i="5"/>
  <c r="H4691" i="5"/>
  <c r="M4690" i="5"/>
  <c r="N4690" i="5" s="1"/>
  <c r="J4690" i="5"/>
  <c r="K4690" i="5" s="1"/>
  <c r="H4690" i="5"/>
  <c r="I4690" i="5" s="1"/>
  <c r="N4684" i="5"/>
  <c r="M4684" i="5"/>
  <c r="L4684" i="5"/>
  <c r="K4684" i="5"/>
  <c r="J4684" i="5"/>
  <c r="I4684" i="5"/>
  <c r="H4684" i="5"/>
  <c r="N4683" i="5"/>
  <c r="M4683" i="5"/>
  <c r="L4683" i="5"/>
  <c r="K4683" i="5"/>
  <c r="J4683" i="5"/>
  <c r="I4683" i="5"/>
  <c r="H4683" i="5"/>
  <c r="N4682" i="5"/>
  <c r="M4682" i="5"/>
  <c r="L4682" i="5"/>
  <c r="K4682" i="5"/>
  <c r="J4682" i="5"/>
  <c r="I4682" i="5"/>
  <c r="H4682" i="5"/>
  <c r="N4681" i="5"/>
  <c r="M4681" i="5"/>
  <c r="L4681" i="5"/>
  <c r="K4681" i="5"/>
  <c r="J4681" i="5"/>
  <c r="I4681" i="5"/>
  <c r="H4681" i="5"/>
  <c r="N4680" i="5"/>
  <c r="M4680" i="5"/>
  <c r="L4680" i="5"/>
  <c r="K4680" i="5"/>
  <c r="J4680" i="5"/>
  <c r="I4680" i="5"/>
  <c r="H4680" i="5"/>
  <c r="N4679" i="5"/>
  <c r="M4679" i="5"/>
  <c r="L4679" i="5"/>
  <c r="K4679" i="5"/>
  <c r="J4679" i="5"/>
  <c r="I4679" i="5"/>
  <c r="H4679" i="5"/>
  <c r="N4678" i="5"/>
  <c r="M4678" i="5"/>
  <c r="L4678" i="5"/>
  <c r="K4678" i="5"/>
  <c r="J4678" i="5"/>
  <c r="I4678" i="5"/>
  <c r="H4678" i="5"/>
  <c r="N4677" i="5"/>
  <c r="M4677" i="5"/>
  <c r="L4677" i="5"/>
  <c r="K4677" i="5"/>
  <c r="J4677" i="5"/>
  <c r="I4677" i="5"/>
  <c r="H4677" i="5"/>
  <c r="N4676" i="5"/>
  <c r="M4676" i="5"/>
  <c r="L4676" i="5"/>
  <c r="K4676" i="5"/>
  <c r="J4676" i="5"/>
  <c r="I4676" i="5"/>
  <c r="H4676" i="5"/>
  <c r="N4675" i="5"/>
  <c r="M4675" i="5"/>
  <c r="L4675" i="5"/>
  <c r="K4675" i="5"/>
  <c r="J4675" i="5"/>
  <c r="I4675" i="5"/>
  <c r="H4675" i="5"/>
  <c r="N4674" i="5"/>
  <c r="M4674" i="5"/>
  <c r="L4674" i="5"/>
  <c r="K4674" i="5"/>
  <c r="J4674" i="5"/>
  <c r="I4674" i="5"/>
  <c r="H4674" i="5"/>
  <c r="N4673" i="5"/>
  <c r="M4673" i="5"/>
  <c r="L4673" i="5"/>
  <c r="K4673" i="5"/>
  <c r="J4673" i="5"/>
  <c r="I4673" i="5"/>
  <c r="H4673" i="5"/>
  <c r="N4672" i="5"/>
  <c r="M4672" i="5"/>
  <c r="L4672" i="5"/>
  <c r="K4672" i="5"/>
  <c r="J4672" i="5"/>
  <c r="I4672" i="5"/>
  <c r="H4672" i="5"/>
  <c r="N4613" i="5"/>
  <c r="M4613" i="5"/>
  <c r="L4613" i="5"/>
  <c r="K4613" i="5"/>
  <c r="J4613" i="5"/>
  <c r="I4613" i="5"/>
  <c r="H4613" i="5"/>
  <c r="N4612" i="5"/>
  <c r="M4612" i="5"/>
  <c r="L4612" i="5"/>
  <c r="K4612" i="5"/>
  <c r="J4612" i="5"/>
  <c r="I4612" i="5"/>
  <c r="H4612" i="5"/>
  <c r="N4611" i="5"/>
  <c r="M4611" i="5"/>
  <c r="L4611" i="5"/>
  <c r="K4611" i="5"/>
  <c r="J4611" i="5"/>
  <c r="I4611" i="5"/>
  <c r="H4611" i="5"/>
  <c r="N4610" i="5"/>
  <c r="M4610" i="5"/>
  <c r="L4610" i="5"/>
  <c r="K4610" i="5"/>
  <c r="J4610" i="5"/>
  <c r="I4610" i="5"/>
  <c r="H4610" i="5"/>
  <c r="N4609" i="5"/>
  <c r="M4609" i="5"/>
  <c r="L4609" i="5"/>
  <c r="K4609" i="5"/>
  <c r="J4609" i="5"/>
  <c r="I4609" i="5"/>
  <c r="H4609" i="5"/>
  <c r="N4602" i="5"/>
  <c r="M4602" i="5"/>
  <c r="L4602" i="5"/>
  <c r="K4602" i="5"/>
  <c r="J4602" i="5"/>
  <c r="I4602" i="5"/>
  <c r="H4602" i="5"/>
  <c r="N4601" i="5"/>
  <c r="M4601" i="5"/>
  <c r="L4601" i="5"/>
  <c r="K4601" i="5"/>
  <c r="J4601" i="5"/>
  <c r="I4601" i="5"/>
  <c r="H4601" i="5"/>
  <c r="N4600" i="5"/>
  <c r="M4600" i="5"/>
  <c r="L4600" i="5"/>
  <c r="K4600" i="5"/>
  <c r="J4600" i="5"/>
  <c r="I4600" i="5"/>
  <c r="H4600" i="5"/>
  <c r="N4599" i="5"/>
  <c r="M4599" i="5"/>
  <c r="L4599" i="5"/>
  <c r="K4599" i="5"/>
  <c r="J4599" i="5"/>
  <c r="I4599" i="5"/>
  <c r="H4599" i="5"/>
  <c r="N4598" i="5"/>
  <c r="M4598" i="5"/>
  <c r="L4598" i="5"/>
  <c r="K4598" i="5"/>
  <c r="J4598" i="5"/>
  <c r="I4598" i="5"/>
  <c r="H4598" i="5"/>
  <c r="N4597" i="5"/>
  <c r="M4597" i="5"/>
  <c r="L4597" i="5"/>
  <c r="K4597" i="5"/>
  <c r="J4597" i="5"/>
  <c r="I4597" i="5"/>
  <c r="H4597" i="5"/>
  <c r="N4596" i="5"/>
  <c r="M4596" i="5"/>
  <c r="L4596" i="5"/>
  <c r="K4596" i="5"/>
  <c r="J4596" i="5"/>
  <c r="I4596" i="5"/>
  <c r="H4596" i="5"/>
  <c r="N4595" i="5"/>
  <c r="M4595" i="5"/>
  <c r="L4595" i="5"/>
  <c r="K4595" i="5"/>
  <c r="J4595" i="5"/>
  <c r="I4595" i="5"/>
  <c r="H4595" i="5"/>
  <c r="N4594" i="5"/>
  <c r="M4594" i="5"/>
  <c r="L4594" i="5"/>
  <c r="K4594" i="5"/>
  <c r="J4594" i="5"/>
  <c r="I4594" i="5"/>
  <c r="H4594" i="5"/>
  <c r="N4593" i="5"/>
  <c r="M4593" i="5"/>
  <c r="L4593" i="5"/>
  <c r="K4593" i="5"/>
  <c r="J4593" i="5"/>
  <c r="I4593" i="5"/>
  <c r="H4593" i="5"/>
  <c r="N4588" i="5"/>
  <c r="M4588" i="5"/>
  <c r="L4588" i="5"/>
  <c r="K4588" i="5"/>
  <c r="J4588" i="5"/>
  <c r="I4588" i="5"/>
  <c r="H4588" i="5"/>
  <c r="N4587" i="5"/>
  <c r="M4587" i="5"/>
  <c r="L4587" i="5"/>
  <c r="K4587" i="5"/>
  <c r="J4587" i="5"/>
  <c r="I4587" i="5"/>
  <c r="H4587" i="5"/>
  <c r="N4586" i="5"/>
  <c r="M4586" i="5"/>
  <c r="L4586" i="5"/>
  <c r="K4586" i="5"/>
  <c r="J4586" i="5"/>
  <c r="I4586" i="5"/>
  <c r="H4586" i="5"/>
  <c r="N4585" i="5"/>
  <c r="M4585" i="5"/>
  <c r="L4585" i="5"/>
  <c r="K4585" i="5"/>
  <c r="J4585" i="5"/>
  <c r="I4585" i="5"/>
  <c r="H4585" i="5"/>
  <c r="N4584" i="5"/>
  <c r="M4584" i="5"/>
  <c r="L4584" i="5"/>
  <c r="K4584" i="5"/>
  <c r="J4584" i="5"/>
  <c r="I4584" i="5"/>
  <c r="H4584" i="5"/>
  <c r="N4583" i="5"/>
  <c r="M4583" i="5"/>
  <c r="L4583" i="5"/>
  <c r="K4583" i="5"/>
  <c r="J4583" i="5"/>
  <c r="I4583" i="5"/>
  <c r="H4583" i="5"/>
  <c r="N4582" i="5"/>
  <c r="M4582" i="5"/>
  <c r="L4582" i="5"/>
  <c r="K4582" i="5"/>
  <c r="J4582" i="5"/>
  <c r="I4582" i="5"/>
  <c r="H4582" i="5"/>
  <c r="N4581" i="5"/>
  <c r="M4581" i="5"/>
  <c r="L4581" i="5"/>
  <c r="K4581" i="5"/>
  <c r="J4581" i="5"/>
  <c r="I4581" i="5"/>
  <c r="H4581" i="5"/>
  <c r="N4580" i="5"/>
  <c r="M4580" i="5"/>
  <c r="L4580" i="5"/>
  <c r="K4580" i="5"/>
  <c r="J4580" i="5"/>
  <c r="I4580" i="5"/>
  <c r="H4580" i="5"/>
  <c r="N4579" i="5"/>
  <c r="M4579" i="5"/>
  <c r="L4579" i="5"/>
  <c r="K4579" i="5"/>
  <c r="J4579" i="5"/>
  <c r="I4579" i="5"/>
  <c r="H4579" i="5"/>
  <c r="N4578" i="5"/>
  <c r="M4578" i="5"/>
  <c r="L4578" i="5"/>
  <c r="K4578" i="5"/>
  <c r="J4578" i="5"/>
  <c r="I4578" i="5"/>
  <c r="H4578" i="5"/>
  <c r="N4577" i="5"/>
  <c r="M4577" i="5"/>
  <c r="L4577" i="5"/>
  <c r="K4577" i="5"/>
  <c r="J4577" i="5"/>
  <c r="I4577" i="5"/>
  <c r="H4577" i="5"/>
  <c r="N4576" i="5"/>
  <c r="M4576" i="5"/>
  <c r="L4576" i="5"/>
  <c r="K4576" i="5"/>
  <c r="J4576" i="5"/>
  <c r="I4576" i="5"/>
  <c r="H4576" i="5"/>
  <c r="N4421" i="5"/>
  <c r="M4421" i="5"/>
  <c r="L4421" i="5"/>
  <c r="K4421" i="5"/>
  <c r="J4421" i="5"/>
  <c r="I4421" i="5"/>
  <c r="H4421" i="5"/>
  <c r="N4420" i="5"/>
  <c r="M4420" i="5"/>
  <c r="L4420" i="5"/>
  <c r="K4420" i="5"/>
  <c r="J4420" i="5"/>
  <c r="I4420" i="5"/>
  <c r="H4420" i="5"/>
  <c r="N4419" i="5"/>
  <c r="M4419" i="5"/>
  <c r="L4419" i="5"/>
  <c r="K4419" i="5"/>
  <c r="J4419" i="5"/>
  <c r="I4419" i="5"/>
  <c r="H4419" i="5"/>
  <c r="N4418" i="5"/>
  <c r="M4418" i="5"/>
  <c r="L4418" i="5"/>
  <c r="K4418" i="5"/>
  <c r="J4418" i="5"/>
  <c r="I4418" i="5"/>
  <c r="H4418" i="5"/>
  <c r="N4417" i="5"/>
  <c r="M4417" i="5"/>
  <c r="L4417" i="5"/>
  <c r="K4417" i="5"/>
  <c r="J4417" i="5"/>
  <c r="I4417" i="5"/>
  <c r="H4417" i="5"/>
  <c r="N4416" i="5"/>
  <c r="M4416" i="5"/>
  <c r="L4416" i="5"/>
  <c r="K4416" i="5"/>
  <c r="J4416" i="5"/>
  <c r="I4416" i="5"/>
  <c r="H4416" i="5"/>
  <c r="N4415" i="5"/>
  <c r="M4415" i="5"/>
  <c r="L4415" i="5"/>
  <c r="K4415" i="5"/>
  <c r="J4415" i="5"/>
  <c r="I4415" i="5"/>
  <c r="H4415" i="5"/>
  <c r="N4410" i="5"/>
  <c r="M4410" i="5"/>
  <c r="L4410" i="5"/>
  <c r="K4410" i="5"/>
  <c r="J4410" i="5"/>
  <c r="I4410" i="5"/>
  <c r="H4410" i="5"/>
  <c r="N4409" i="5"/>
  <c r="M4409" i="5"/>
  <c r="L4409" i="5"/>
  <c r="K4409" i="5"/>
  <c r="J4409" i="5"/>
  <c r="I4409" i="5"/>
  <c r="H4409" i="5"/>
  <c r="N4408" i="5"/>
  <c r="M4408" i="5"/>
  <c r="L4408" i="5"/>
  <c r="K4408" i="5"/>
  <c r="J4408" i="5"/>
  <c r="I4408" i="5"/>
  <c r="H4408" i="5"/>
  <c r="N4407" i="5"/>
  <c r="M4407" i="5"/>
  <c r="L4407" i="5"/>
  <c r="K4407" i="5"/>
  <c r="J4407" i="5"/>
  <c r="I4407" i="5"/>
  <c r="H4407" i="5"/>
  <c r="N4406" i="5"/>
  <c r="M4406" i="5"/>
  <c r="L4406" i="5"/>
  <c r="K4406" i="5"/>
  <c r="J4406" i="5"/>
  <c r="I4406" i="5"/>
  <c r="H4406" i="5"/>
  <c r="N4405" i="5"/>
  <c r="M4405" i="5"/>
  <c r="L4405" i="5"/>
  <c r="K4405" i="5"/>
  <c r="J4405" i="5"/>
  <c r="I4405" i="5"/>
  <c r="H4405" i="5"/>
  <c r="N4404" i="5"/>
  <c r="M4404" i="5"/>
  <c r="L4404" i="5"/>
  <c r="K4404" i="5"/>
  <c r="J4404" i="5"/>
  <c r="I4404" i="5"/>
  <c r="H4404" i="5"/>
  <c r="N4403" i="5"/>
  <c r="M4403" i="5"/>
  <c r="L4403" i="5"/>
  <c r="K4403" i="5"/>
  <c r="J4403" i="5"/>
  <c r="I4403" i="5"/>
  <c r="H4403" i="5"/>
  <c r="N4402" i="5"/>
  <c r="M4402" i="5"/>
  <c r="L4402" i="5"/>
  <c r="K4402" i="5"/>
  <c r="J4402" i="5"/>
  <c r="I4402" i="5"/>
  <c r="H4402" i="5"/>
  <c r="N4396" i="5"/>
  <c r="M4396" i="5"/>
  <c r="L4396" i="5"/>
  <c r="K4396" i="5"/>
  <c r="J4396" i="5"/>
  <c r="I4396" i="5"/>
  <c r="H4396" i="5"/>
  <c r="N4395" i="5"/>
  <c r="M4395" i="5"/>
  <c r="L4395" i="5"/>
  <c r="K4395" i="5"/>
  <c r="J4395" i="5"/>
  <c r="I4395" i="5"/>
  <c r="H4395" i="5"/>
  <c r="N4394" i="5"/>
  <c r="M4394" i="5"/>
  <c r="L4394" i="5"/>
  <c r="K4394" i="5"/>
  <c r="J4394" i="5"/>
  <c r="I4394" i="5"/>
  <c r="H4394" i="5"/>
  <c r="N4393" i="5"/>
  <c r="M4393" i="5"/>
  <c r="L4393" i="5"/>
  <c r="K4393" i="5"/>
  <c r="J4393" i="5"/>
  <c r="I4393" i="5"/>
  <c r="H4393" i="5"/>
  <c r="N4392" i="5"/>
  <c r="M4392" i="5"/>
  <c r="L4392" i="5"/>
  <c r="K4392" i="5"/>
  <c r="J4392" i="5"/>
  <c r="I4392" i="5"/>
  <c r="H4392" i="5"/>
  <c r="N4391" i="5"/>
  <c r="M4391" i="5"/>
  <c r="L4391" i="5"/>
  <c r="K4391" i="5"/>
  <c r="J4391" i="5"/>
  <c r="I4391" i="5"/>
  <c r="H4391" i="5"/>
  <c r="N4390" i="5"/>
  <c r="M4390" i="5"/>
  <c r="L4390" i="5"/>
  <c r="K4390" i="5"/>
  <c r="J4390" i="5"/>
  <c r="I4390" i="5"/>
  <c r="H4390" i="5"/>
  <c r="N4389" i="5"/>
  <c r="M4389" i="5"/>
  <c r="L4389" i="5"/>
  <c r="K4389" i="5"/>
  <c r="J4389" i="5"/>
  <c r="I4389" i="5"/>
  <c r="H4389" i="5"/>
  <c r="N4388" i="5"/>
  <c r="M4388" i="5"/>
  <c r="L4388" i="5"/>
  <c r="K4388" i="5"/>
  <c r="J4388" i="5"/>
  <c r="I4388" i="5"/>
  <c r="H4388" i="5"/>
  <c r="N4387" i="5"/>
  <c r="M4387" i="5"/>
  <c r="L4387" i="5"/>
  <c r="K4387" i="5"/>
  <c r="J4387" i="5"/>
  <c r="I4387" i="5"/>
  <c r="H4387" i="5"/>
  <c r="N4386" i="5"/>
  <c r="M4386" i="5"/>
  <c r="L4386" i="5"/>
  <c r="K4386" i="5"/>
  <c r="J4386" i="5"/>
  <c r="I4386" i="5"/>
  <c r="H4386" i="5"/>
  <c r="N4385" i="5"/>
  <c r="M4385" i="5"/>
  <c r="L4385" i="5"/>
  <c r="K4385" i="5"/>
  <c r="J4385" i="5"/>
  <c r="I4385" i="5"/>
  <c r="H4385" i="5"/>
  <c r="N4384" i="5"/>
  <c r="M4384" i="5"/>
  <c r="L4384" i="5"/>
  <c r="K4384" i="5"/>
  <c r="J4384" i="5"/>
  <c r="I4384" i="5"/>
  <c r="H4384" i="5"/>
  <c r="N4383" i="5"/>
  <c r="M4383" i="5"/>
  <c r="L4383" i="5"/>
  <c r="K4383" i="5"/>
  <c r="J4383" i="5"/>
  <c r="I4383" i="5"/>
  <c r="H4383" i="5"/>
  <c r="N4382" i="5"/>
  <c r="M4382" i="5"/>
  <c r="L4382" i="5"/>
  <c r="K4382" i="5"/>
  <c r="J4382" i="5"/>
  <c r="I4382" i="5"/>
  <c r="H4382" i="5"/>
  <c r="N4381" i="5"/>
  <c r="M4381" i="5"/>
  <c r="L4381" i="5"/>
  <c r="K4381" i="5"/>
  <c r="J4381" i="5"/>
  <c r="I4381" i="5"/>
  <c r="H4381" i="5"/>
  <c r="N4373" i="5"/>
  <c r="M4373" i="5"/>
  <c r="L4373" i="5"/>
  <c r="K4373" i="5"/>
  <c r="J4373" i="5"/>
  <c r="I4373" i="5"/>
  <c r="H4373" i="5"/>
  <c r="N4372" i="5"/>
  <c r="M4372" i="5"/>
  <c r="L4372" i="5"/>
  <c r="K4372" i="5"/>
  <c r="J4372" i="5"/>
  <c r="I4372" i="5"/>
  <c r="H4372" i="5"/>
  <c r="N4371" i="5"/>
  <c r="M4371" i="5"/>
  <c r="L4371" i="5"/>
  <c r="K4371" i="5"/>
  <c r="J4371" i="5"/>
  <c r="I4371" i="5"/>
  <c r="H4371" i="5"/>
  <c r="N4370" i="5"/>
  <c r="M4370" i="5"/>
  <c r="L4370" i="5"/>
  <c r="K4370" i="5"/>
  <c r="J4370" i="5"/>
  <c r="I4370" i="5"/>
  <c r="H4370" i="5"/>
  <c r="N4369" i="5"/>
  <c r="M4369" i="5"/>
  <c r="L4369" i="5"/>
  <c r="K4369" i="5"/>
  <c r="J4369" i="5"/>
  <c r="I4369" i="5"/>
  <c r="H4369" i="5"/>
  <c r="N4362" i="5"/>
  <c r="M4362" i="5"/>
  <c r="L4362" i="5"/>
  <c r="K4362" i="5"/>
  <c r="J4362" i="5"/>
  <c r="I4362" i="5"/>
  <c r="H4362" i="5"/>
  <c r="N4361" i="5"/>
  <c r="M4361" i="5"/>
  <c r="L4361" i="5"/>
  <c r="K4361" i="5"/>
  <c r="J4361" i="5"/>
  <c r="I4361" i="5"/>
  <c r="H4361" i="5"/>
  <c r="N4360" i="5"/>
  <c r="M4360" i="5"/>
  <c r="L4360" i="5"/>
  <c r="K4360" i="5"/>
  <c r="J4360" i="5"/>
  <c r="I4360" i="5"/>
  <c r="H4360" i="5"/>
  <c r="N4359" i="5"/>
  <c r="M4359" i="5"/>
  <c r="L4359" i="5"/>
  <c r="K4359" i="5"/>
  <c r="J4359" i="5"/>
  <c r="I4359" i="5"/>
  <c r="H4359" i="5"/>
  <c r="N4358" i="5"/>
  <c r="M4358" i="5"/>
  <c r="L4358" i="5"/>
  <c r="K4358" i="5"/>
  <c r="J4358" i="5"/>
  <c r="I4358" i="5"/>
  <c r="H4358" i="5"/>
  <c r="N4357" i="5"/>
  <c r="M4357" i="5"/>
  <c r="L4357" i="5"/>
  <c r="K4357" i="5"/>
  <c r="J4357" i="5"/>
  <c r="I4357" i="5"/>
  <c r="H4357" i="5"/>
  <c r="N4356" i="5"/>
  <c r="M4356" i="5"/>
  <c r="L4356" i="5"/>
  <c r="K4356" i="5"/>
  <c r="J4356" i="5"/>
  <c r="I4356" i="5"/>
  <c r="H4356" i="5"/>
  <c r="N4355" i="5"/>
  <c r="M4355" i="5"/>
  <c r="L4355" i="5"/>
  <c r="K4355" i="5"/>
  <c r="J4355" i="5"/>
  <c r="I4355" i="5"/>
  <c r="H4355" i="5"/>
  <c r="N4354" i="5"/>
  <c r="M4354" i="5"/>
  <c r="L4354" i="5"/>
  <c r="K4354" i="5"/>
  <c r="J4354" i="5"/>
  <c r="I4354" i="5"/>
  <c r="H4354" i="5"/>
  <c r="M4353" i="5"/>
  <c r="N4353" i="5" s="1"/>
  <c r="J4353" i="5"/>
  <c r="K4353" i="5" s="1"/>
  <c r="H4353" i="5"/>
  <c r="I4353" i="5" s="1"/>
  <c r="N4348" i="5"/>
  <c r="M4348" i="5"/>
  <c r="L4348" i="5"/>
  <c r="K4348" i="5"/>
  <c r="J4348" i="5"/>
  <c r="I4348" i="5"/>
  <c r="H4348" i="5"/>
  <c r="N4347" i="5"/>
  <c r="M4347" i="5"/>
  <c r="L4347" i="5"/>
  <c r="K4347" i="5"/>
  <c r="J4347" i="5"/>
  <c r="I4347" i="5"/>
  <c r="H4347" i="5"/>
  <c r="N4346" i="5"/>
  <c r="M4346" i="5"/>
  <c r="L4346" i="5"/>
  <c r="K4346" i="5"/>
  <c r="J4346" i="5"/>
  <c r="I4346" i="5"/>
  <c r="H4346" i="5"/>
  <c r="N4345" i="5"/>
  <c r="M4345" i="5"/>
  <c r="L4345" i="5"/>
  <c r="K4345" i="5"/>
  <c r="J4345" i="5"/>
  <c r="I4345" i="5"/>
  <c r="H4345" i="5"/>
  <c r="N4344" i="5"/>
  <c r="M4344" i="5"/>
  <c r="L4344" i="5"/>
  <c r="K4344" i="5"/>
  <c r="J4344" i="5"/>
  <c r="I4344" i="5"/>
  <c r="H4344" i="5"/>
  <c r="N4343" i="5"/>
  <c r="M4343" i="5"/>
  <c r="L4343" i="5"/>
  <c r="K4343" i="5"/>
  <c r="J4343" i="5"/>
  <c r="I4343" i="5"/>
  <c r="H4343" i="5"/>
  <c r="N4342" i="5"/>
  <c r="M4342" i="5"/>
  <c r="L4342" i="5"/>
  <c r="K4342" i="5"/>
  <c r="J4342" i="5"/>
  <c r="I4342" i="5"/>
  <c r="H4342" i="5"/>
  <c r="N4341" i="5"/>
  <c r="M4341" i="5"/>
  <c r="L4341" i="5"/>
  <c r="K4341" i="5"/>
  <c r="J4341" i="5"/>
  <c r="I4341" i="5"/>
  <c r="H4341" i="5"/>
  <c r="N4340" i="5"/>
  <c r="M4340" i="5"/>
  <c r="L4340" i="5"/>
  <c r="K4340" i="5"/>
  <c r="J4340" i="5"/>
  <c r="I4340" i="5"/>
  <c r="H4340" i="5"/>
  <c r="N4339" i="5"/>
  <c r="M4339" i="5"/>
  <c r="L4339" i="5"/>
  <c r="K4339" i="5"/>
  <c r="J4339" i="5"/>
  <c r="I4339" i="5"/>
  <c r="H4339" i="5"/>
  <c r="N4338" i="5"/>
  <c r="M4338" i="5"/>
  <c r="L4338" i="5"/>
  <c r="K4338" i="5"/>
  <c r="J4338" i="5"/>
  <c r="I4338" i="5"/>
  <c r="H4338" i="5"/>
  <c r="N4337" i="5"/>
  <c r="M4337" i="5"/>
  <c r="L4337" i="5"/>
  <c r="K4337" i="5"/>
  <c r="J4337" i="5"/>
  <c r="I4337" i="5"/>
  <c r="H4337" i="5"/>
  <c r="N4336" i="5"/>
  <c r="M4336" i="5"/>
  <c r="L4336" i="5"/>
  <c r="K4336" i="5"/>
  <c r="J4336" i="5"/>
  <c r="I4336" i="5"/>
  <c r="H4336" i="5"/>
  <c r="N4335" i="5"/>
  <c r="M4335" i="5"/>
  <c r="L4335" i="5"/>
  <c r="K4335" i="5"/>
  <c r="J4335" i="5"/>
  <c r="I4335" i="5"/>
  <c r="H4335" i="5"/>
  <c r="N4334" i="5"/>
  <c r="M4334" i="5"/>
  <c r="L4334" i="5"/>
  <c r="K4334" i="5"/>
  <c r="J4334" i="5"/>
  <c r="I4334" i="5"/>
  <c r="H4334" i="5"/>
  <c r="N4181" i="5"/>
  <c r="M4181" i="5"/>
  <c r="L4181" i="5"/>
  <c r="K4181" i="5"/>
  <c r="J4181" i="5"/>
  <c r="I4181" i="5"/>
  <c r="H4181" i="5"/>
  <c r="N4180" i="5"/>
  <c r="M4180" i="5"/>
  <c r="L4180" i="5"/>
  <c r="K4180" i="5"/>
  <c r="J4180" i="5"/>
  <c r="I4180" i="5"/>
  <c r="H4180" i="5"/>
  <c r="N4179" i="5"/>
  <c r="M4179" i="5"/>
  <c r="L4179" i="5"/>
  <c r="K4179" i="5"/>
  <c r="J4179" i="5"/>
  <c r="I4179" i="5"/>
  <c r="H4179" i="5"/>
  <c r="N4178" i="5"/>
  <c r="M4178" i="5"/>
  <c r="L4178" i="5"/>
  <c r="K4178" i="5"/>
  <c r="J4178" i="5"/>
  <c r="I4178" i="5"/>
  <c r="H4178" i="5"/>
  <c r="N4177" i="5"/>
  <c r="M4177" i="5"/>
  <c r="L4177" i="5"/>
  <c r="K4177" i="5"/>
  <c r="J4177" i="5"/>
  <c r="I4177" i="5"/>
  <c r="H4177" i="5"/>
  <c r="N4170" i="5"/>
  <c r="M4170" i="5"/>
  <c r="L4170" i="5"/>
  <c r="K4170" i="5"/>
  <c r="J4170" i="5"/>
  <c r="I4170" i="5"/>
  <c r="H4170" i="5"/>
  <c r="N4169" i="5"/>
  <c r="M4169" i="5"/>
  <c r="L4169" i="5"/>
  <c r="K4169" i="5"/>
  <c r="J4169" i="5"/>
  <c r="I4169" i="5"/>
  <c r="H4169" i="5"/>
  <c r="N4168" i="5"/>
  <c r="M4168" i="5"/>
  <c r="L4168" i="5"/>
  <c r="K4168" i="5"/>
  <c r="J4168" i="5"/>
  <c r="I4168" i="5"/>
  <c r="H4168" i="5"/>
  <c r="N4167" i="5"/>
  <c r="M4167" i="5"/>
  <c r="L4167" i="5"/>
  <c r="K4167" i="5"/>
  <c r="J4167" i="5"/>
  <c r="I4167" i="5"/>
  <c r="H4167" i="5"/>
  <c r="N4166" i="5"/>
  <c r="M4166" i="5"/>
  <c r="L4166" i="5"/>
  <c r="K4166" i="5"/>
  <c r="J4166" i="5"/>
  <c r="I4166" i="5"/>
  <c r="H4166" i="5"/>
  <c r="N4165" i="5"/>
  <c r="M4165" i="5"/>
  <c r="L4165" i="5"/>
  <c r="K4165" i="5"/>
  <c r="J4165" i="5"/>
  <c r="I4165" i="5"/>
  <c r="H4165" i="5"/>
  <c r="N4164" i="5"/>
  <c r="M4164" i="5"/>
  <c r="L4164" i="5"/>
  <c r="K4164" i="5"/>
  <c r="J4164" i="5"/>
  <c r="I4164" i="5"/>
  <c r="H4164" i="5"/>
  <c r="N4163" i="5"/>
  <c r="M4163" i="5"/>
  <c r="L4163" i="5"/>
  <c r="K4163" i="5"/>
  <c r="J4163" i="5"/>
  <c r="I4163" i="5"/>
  <c r="H4163" i="5"/>
  <c r="N4162" i="5"/>
  <c r="M4162" i="5"/>
  <c r="L4162" i="5"/>
  <c r="K4162" i="5"/>
  <c r="J4162" i="5"/>
  <c r="I4162" i="5"/>
  <c r="H4162" i="5"/>
  <c r="N4161" i="5"/>
  <c r="M4161" i="5"/>
  <c r="L4161" i="5"/>
  <c r="K4161" i="5"/>
  <c r="J4161" i="5"/>
  <c r="I4161" i="5"/>
  <c r="H4161" i="5"/>
  <c r="N4156" i="5"/>
  <c r="M4156" i="5"/>
  <c r="L4156" i="5"/>
  <c r="K4156" i="5"/>
  <c r="J4156" i="5"/>
  <c r="I4156" i="5"/>
  <c r="H4156" i="5"/>
  <c r="N4155" i="5"/>
  <c r="M4155" i="5"/>
  <c r="L4155" i="5"/>
  <c r="K4155" i="5"/>
  <c r="J4155" i="5"/>
  <c r="I4155" i="5"/>
  <c r="H4155" i="5"/>
  <c r="N4154" i="5"/>
  <c r="M4154" i="5"/>
  <c r="L4154" i="5"/>
  <c r="K4154" i="5"/>
  <c r="J4154" i="5"/>
  <c r="I4154" i="5"/>
  <c r="H4154" i="5"/>
  <c r="N4153" i="5"/>
  <c r="M4153" i="5"/>
  <c r="L4153" i="5"/>
  <c r="K4153" i="5"/>
  <c r="J4153" i="5"/>
  <c r="I4153" i="5"/>
  <c r="H4153" i="5"/>
  <c r="N4152" i="5"/>
  <c r="M4152" i="5"/>
  <c r="L4152" i="5"/>
  <c r="K4152" i="5"/>
  <c r="J4152" i="5"/>
  <c r="I4152" i="5"/>
  <c r="H4152" i="5"/>
  <c r="N4151" i="5"/>
  <c r="M4151" i="5"/>
  <c r="L4151" i="5"/>
  <c r="K4151" i="5"/>
  <c r="J4151" i="5"/>
  <c r="I4151" i="5"/>
  <c r="H4151" i="5"/>
  <c r="N4150" i="5"/>
  <c r="M4150" i="5"/>
  <c r="L4150" i="5"/>
  <c r="K4150" i="5"/>
  <c r="J4150" i="5"/>
  <c r="I4150" i="5"/>
  <c r="H4150" i="5"/>
  <c r="N4149" i="5"/>
  <c r="M4149" i="5"/>
  <c r="L4149" i="5"/>
  <c r="K4149" i="5"/>
  <c r="J4149" i="5"/>
  <c r="I4149" i="5"/>
  <c r="H4149" i="5"/>
  <c r="N4148" i="5"/>
  <c r="M4148" i="5"/>
  <c r="L4148" i="5"/>
  <c r="K4148" i="5"/>
  <c r="J4148" i="5"/>
  <c r="I4148" i="5"/>
  <c r="H4148" i="5"/>
  <c r="N4147" i="5"/>
  <c r="M4147" i="5"/>
  <c r="L4147" i="5"/>
  <c r="K4147" i="5"/>
  <c r="J4147" i="5"/>
  <c r="I4147" i="5"/>
  <c r="H4147" i="5"/>
  <c r="N4146" i="5"/>
  <c r="M4146" i="5"/>
  <c r="L4146" i="5"/>
  <c r="K4146" i="5"/>
  <c r="J4146" i="5"/>
  <c r="I4146" i="5"/>
  <c r="H4146" i="5"/>
  <c r="N4145" i="5"/>
  <c r="M4145" i="5"/>
  <c r="L4145" i="5"/>
  <c r="K4145" i="5"/>
  <c r="J4145" i="5"/>
  <c r="I4145" i="5"/>
  <c r="H4145" i="5"/>
  <c r="N4144" i="5"/>
  <c r="M4144" i="5"/>
  <c r="L4144" i="5"/>
  <c r="K4144" i="5"/>
  <c r="J4144" i="5"/>
  <c r="I4144" i="5"/>
  <c r="H4144" i="5"/>
  <c r="N4143" i="5"/>
  <c r="M4143" i="5"/>
  <c r="L4143" i="5"/>
  <c r="K4143" i="5"/>
  <c r="J4143" i="5"/>
  <c r="I4143" i="5"/>
  <c r="H4143" i="5"/>
  <c r="N4142" i="5"/>
  <c r="M4142" i="5"/>
  <c r="L4142" i="5"/>
  <c r="K4142" i="5"/>
  <c r="J4142" i="5"/>
  <c r="I4142" i="5"/>
  <c r="H4142" i="5"/>
  <c r="N4133" i="5"/>
  <c r="M4133" i="5"/>
  <c r="L4133" i="5"/>
  <c r="K4133" i="5"/>
  <c r="J4133" i="5"/>
  <c r="I4133" i="5"/>
  <c r="H4133" i="5"/>
  <c r="N4132" i="5"/>
  <c r="M4132" i="5"/>
  <c r="L4132" i="5"/>
  <c r="K4132" i="5"/>
  <c r="J4132" i="5"/>
  <c r="I4132" i="5"/>
  <c r="H4132" i="5"/>
  <c r="N4131" i="5"/>
  <c r="M4131" i="5"/>
  <c r="L4131" i="5"/>
  <c r="K4131" i="5"/>
  <c r="J4131" i="5"/>
  <c r="I4131" i="5"/>
  <c r="H4131" i="5"/>
  <c r="N4130" i="5"/>
  <c r="M4130" i="5"/>
  <c r="L4130" i="5"/>
  <c r="K4130" i="5"/>
  <c r="J4130" i="5"/>
  <c r="I4130" i="5"/>
  <c r="H4130" i="5"/>
  <c r="N4129" i="5"/>
  <c r="M4129" i="5"/>
  <c r="L4129" i="5"/>
  <c r="K4129" i="5"/>
  <c r="J4129" i="5"/>
  <c r="I4129" i="5"/>
  <c r="H4129" i="5"/>
  <c r="N4122" i="5"/>
  <c r="M4122" i="5"/>
  <c r="L4122" i="5"/>
  <c r="K4122" i="5"/>
  <c r="J4122" i="5"/>
  <c r="I4122" i="5"/>
  <c r="H4122" i="5"/>
  <c r="N4121" i="5"/>
  <c r="M4121" i="5"/>
  <c r="L4121" i="5"/>
  <c r="K4121" i="5"/>
  <c r="J4121" i="5"/>
  <c r="I4121" i="5"/>
  <c r="H4121" i="5"/>
  <c r="N4120" i="5"/>
  <c r="M4120" i="5"/>
  <c r="L4120" i="5"/>
  <c r="K4120" i="5"/>
  <c r="J4120" i="5"/>
  <c r="I4120" i="5"/>
  <c r="H4120" i="5"/>
  <c r="N4119" i="5"/>
  <c r="M4119" i="5"/>
  <c r="L4119" i="5"/>
  <c r="K4119" i="5"/>
  <c r="J4119" i="5"/>
  <c r="I4119" i="5"/>
  <c r="H4119" i="5"/>
  <c r="N4118" i="5"/>
  <c r="M4118" i="5"/>
  <c r="L4118" i="5"/>
  <c r="K4118" i="5"/>
  <c r="J4118" i="5"/>
  <c r="I4118" i="5"/>
  <c r="H4118" i="5"/>
  <c r="N4117" i="5"/>
  <c r="M4117" i="5"/>
  <c r="L4117" i="5"/>
  <c r="K4117" i="5"/>
  <c r="J4117" i="5"/>
  <c r="I4117" i="5"/>
  <c r="H4117" i="5"/>
  <c r="N4116" i="5"/>
  <c r="M4116" i="5"/>
  <c r="L4116" i="5"/>
  <c r="K4116" i="5"/>
  <c r="J4116" i="5"/>
  <c r="I4116" i="5"/>
  <c r="H4116" i="5"/>
  <c r="N4115" i="5"/>
  <c r="M4115" i="5"/>
  <c r="L4115" i="5"/>
  <c r="K4115" i="5"/>
  <c r="J4115" i="5"/>
  <c r="I4115" i="5"/>
  <c r="H4115" i="5"/>
  <c r="N4114" i="5"/>
  <c r="M4114" i="5"/>
  <c r="L4114" i="5"/>
  <c r="K4114" i="5"/>
  <c r="J4114" i="5"/>
  <c r="I4114" i="5"/>
  <c r="H4114" i="5"/>
  <c r="N4113" i="5"/>
  <c r="M4113" i="5"/>
  <c r="L4113" i="5"/>
  <c r="K4113" i="5"/>
  <c r="J4113" i="5"/>
  <c r="I4113" i="5"/>
  <c r="H4113" i="5"/>
  <c r="N4108" i="5"/>
  <c r="M4108" i="5"/>
  <c r="L4108" i="5"/>
  <c r="K4108" i="5"/>
  <c r="J4108" i="5"/>
  <c r="I4108" i="5"/>
  <c r="H4108" i="5"/>
  <c r="N4107" i="5"/>
  <c r="M4107" i="5"/>
  <c r="L4107" i="5"/>
  <c r="K4107" i="5"/>
  <c r="J4107" i="5"/>
  <c r="I4107" i="5"/>
  <c r="H4107" i="5"/>
  <c r="N4106" i="5"/>
  <c r="M4106" i="5"/>
  <c r="L4106" i="5"/>
  <c r="K4106" i="5"/>
  <c r="J4106" i="5"/>
  <c r="I4106" i="5"/>
  <c r="H4106" i="5"/>
  <c r="M4105" i="5"/>
  <c r="L4105" i="5"/>
  <c r="K4105" i="5"/>
  <c r="J4105" i="5"/>
  <c r="I4105" i="5"/>
  <c r="H4105" i="5"/>
  <c r="N4104" i="5"/>
  <c r="M4104" i="5"/>
  <c r="L4104" i="5"/>
  <c r="K4104" i="5"/>
  <c r="J4104" i="5"/>
  <c r="I4104" i="5"/>
  <c r="H4104" i="5"/>
  <c r="N4103" i="5"/>
  <c r="M4103" i="5"/>
  <c r="L4103" i="5"/>
  <c r="K4103" i="5"/>
  <c r="J4103" i="5"/>
  <c r="I4103" i="5"/>
  <c r="H4103" i="5"/>
  <c r="N4102" i="5"/>
  <c r="M4102" i="5"/>
  <c r="L4102" i="5"/>
  <c r="K4102" i="5"/>
  <c r="J4102" i="5"/>
  <c r="I4102" i="5"/>
  <c r="H4102" i="5"/>
  <c r="N4101" i="5"/>
  <c r="M4101" i="5"/>
  <c r="L4101" i="5"/>
  <c r="K4101" i="5"/>
  <c r="J4101" i="5"/>
  <c r="I4101" i="5"/>
  <c r="H4101" i="5"/>
  <c r="N4100" i="5"/>
  <c r="M4100" i="5"/>
  <c r="L4100" i="5"/>
  <c r="K4100" i="5"/>
  <c r="J4100" i="5"/>
  <c r="I4100" i="5"/>
  <c r="H4100" i="5"/>
  <c r="N4099" i="5"/>
  <c r="M4099" i="5"/>
  <c r="L4099" i="5"/>
  <c r="K4099" i="5"/>
  <c r="J4099" i="5"/>
  <c r="I4099" i="5"/>
  <c r="H4099" i="5"/>
  <c r="N3941" i="5"/>
  <c r="M3941" i="5"/>
  <c r="L3941" i="5"/>
  <c r="K3941" i="5"/>
  <c r="J3941" i="5"/>
  <c r="I3941" i="5"/>
  <c r="H3941" i="5"/>
  <c r="N3940" i="5"/>
  <c r="M3940" i="5"/>
  <c r="L3940" i="5"/>
  <c r="K3940" i="5"/>
  <c r="J3940" i="5"/>
  <c r="I3940" i="5"/>
  <c r="H3940" i="5"/>
  <c r="N3939" i="5"/>
  <c r="M3939" i="5"/>
  <c r="L3939" i="5"/>
  <c r="K3939" i="5"/>
  <c r="J3939" i="5"/>
  <c r="I3939" i="5"/>
  <c r="H3939" i="5"/>
  <c r="N3938" i="5"/>
  <c r="M3938" i="5"/>
  <c r="L3938" i="5"/>
  <c r="K3938" i="5"/>
  <c r="J3938" i="5"/>
  <c r="I3938" i="5"/>
  <c r="H3938" i="5"/>
  <c r="N3937" i="5"/>
  <c r="M3937" i="5"/>
  <c r="L3937" i="5"/>
  <c r="K3937" i="5"/>
  <c r="J3937" i="5"/>
  <c r="I3937" i="5"/>
  <c r="H3937" i="5"/>
  <c r="N3930" i="5"/>
  <c r="M3930" i="5"/>
  <c r="L3930" i="5"/>
  <c r="K3930" i="5"/>
  <c r="J3930" i="5"/>
  <c r="I3930" i="5"/>
  <c r="H3930" i="5"/>
  <c r="N3929" i="5"/>
  <c r="M3929" i="5"/>
  <c r="L3929" i="5"/>
  <c r="K3929" i="5"/>
  <c r="J3929" i="5"/>
  <c r="I3929" i="5"/>
  <c r="H3929" i="5"/>
  <c r="N3928" i="5"/>
  <c r="M3928" i="5"/>
  <c r="L3928" i="5"/>
  <c r="K3928" i="5"/>
  <c r="J3928" i="5"/>
  <c r="I3928" i="5"/>
  <c r="H3928" i="5"/>
  <c r="N3927" i="5"/>
  <c r="M3927" i="5"/>
  <c r="L3927" i="5"/>
  <c r="K3927" i="5"/>
  <c r="J3927" i="5"/>
  <c r="I3927" i="5"/>
  <c r="H3927" i="5"/>
  <c r="N3926" i="5"/>
  <c r="M3926" i="5"/>
  <c r="L3926" i="5"/>
  <c r="K3926" i="5"/>
  <c r="J3926" i="5"/>
  <c r="I3926" i="5"/>
  <c r="H3926" i="5"/>
  <c r="N3925" i="5"/>
  <c r="M3925" i="5"/>
  <c r="L3925" i="5"/>
  <c r="K3925" i="5"/>
  <c r="J3925" i="5"/>
  <c r="I3925" i="5"/>
  <c r="H3925" i="5"/>
  <c r="N3924" i="5"/>
  <c r="M3924" i="5"/>
  <c r="L3924" i="5"/>
  <c r="K3924" i="5"/>
  <c r="J3924" i="5"/>
  <c r="I3924" i="5"/>
  <c r="H3924" i="5"/>
  <c r="N3923" i="5"/>
  <c r="M3923" i="5"/>
  <c r="L3923" i="5"/>
  <c r="K3923" i="5"/>
  <c r="J3923" i="5"/>
  <c r="I3923" i="5"/>
  <c r="H3923" i="5"/>
  <c r="N3922" i="5"/>
  <c r="M3922" i="5"/>
  <c r="L3922" i="5"/>
  <c r="K3922" i="5"/>
  <c r="J3922" i="5"/>
  <c r="I3922" i="5"/>
  <c r="H3922" i="5"/>
  <c r="N3921" i="5"/>
  <c r="M3921" i="5"/>
  <c r="L3921" i="5"/>
  <c r="K3921" i="5"/>
  <c r="J3921" i="5"/>
  <c r="I3921" i="5"/>
  <c r="H3921" i="5"/>
  <c r="N3916" i="5"/>
  <c r="M3916" i="5"/>
  <c r="L3916" i="5"/>
  <c r="K3916" i="5"/>
  <c r="J3916" i="5"/>
  <c r="I3916" i="5"/>
  <c r="H3916" i="5"/>
  <c r="N3915" i="5"/>
  <c r="M3915" i="5"/>
  <c r="L3915" i="5"/>
  <c r="K3915" i="5"/>
  <c r="J3915" i="5"/>
  <c r="I3915" i="5"/>
  <c r="H3915" i="5"/>
  <c r="N3914" i="5"/>
  <c r="M3914" i="5"/>
  <c r="L3914" i="5"/>
  <c r="K3914" i="5"/>
  <c r="J3914" i="5"/>
  <c r="I3914" i="5"/>
  <c r="H3914" i="5"/>
  <c r="N3913" i="5"/>
  <c r="M3913" i="5"/>
  <c r="L3913" i="5"/>
  <c r="K3913" i="5"/>
  <c r="J3913" i="5"/>
  <c r="I3913" i="5"/>
  <c r="H3913" i="5"/>
  <c r="N3912" i="5"/>
  <c r="M3912" i="5"/>
  <c r="L3912" i="5"/>
  <c r="K3912" i="5"/>
  <c r="J3912" i="5"/>
  <c r="I3912" i="5"/>
  <c r="H3912" i="5"/>
  <c r="N3911" i="5"/>
  <c r="M3911" i="5"/>
  <c r="L3911" i="5"/>
  <c r="K3911" i="5"/>
  <c r="J3911" i="5"/>
  <c r="I3911" i="5"/>
  <c r="H3911" i="5"/>
  <c r="N3910" i="5"/>
  <c r="M3910" i="5"/>
  <c r="L3910" i="5"/>
  <c r="K3910" i="5"/>
  <c r="J3910" i="5"/>
  <c r="I3910" i="5"/>
  <c r="H3910" i="5"/>
  <c r="N3909" i="5"/>
  <c r="M3909" i="5"/>
  <c r="L3909" i="5"/>
  <c r="K3909" i="5"/>
  <c r="J3909" i="5"/>
  <c r="I3909" i="5"/>
  <c r="H3909" i="5"/>
  <c r="N3908" i="5"/>
  <c r="M3908" i="5"/>
  <c r="L3908" i="5"/>
  <c r="K3908" i="5"/>
  <c r="J3908" i="5"/>
  <c r="I3908" i="5"/>
  <c r="H3908" i="5"/>
  <c r="N3907" i="5"/>
  <c r="M3907" i="5"/>
  <c r="L3907" i="5"/>
  <c r="K3907" i="5"/>
  <c r="J3907" i="5"/>
  <c r="I3907" i="5"/>
  <c r="H3907" i="5"/>
  <c r="N3906" i="5"/>
  <c r="M3906" i="5"/>
  <c r="L3906" i="5"/>
  <c r="K3906" i="5"/>
  <c r="J3906" i="5"/>
  <c r="I3906" i="5"/>
  <c r="H3906" i="5"/>
  <c r="N3905" i="5"/>
  <c r="M3905" i="5"/>
  <c r="L3905" i="5"/>
  <c r="K3905" i="5"/>
  <c r="J3905" i="5"/>
  <c r="I3905" i="5"/>
  <c r="H3905" i="5"/>
  <c r="N3904" i="5"/>
  <c r="M3904" i="5"/>
  <c r="L3904" i="5"/>
  <c r="K3904" i="5"/>
  <c r="J3904" i="5"/>
  <c r="I3904" i="5"/>
  <c r="H3904" i="5"/>
  <c r="N3903" i="5"/>
  <c r="M3903" i="5"/>
  <c r="L3903" i="5"/>
  <c r="K3903" i="5"/>
  <c r="J3903" i="5"/>
  <c r="I3903" i="5"/>
  <c r="H3903" i="5"/>
  <c r="N3653" i="5"/>
  <c r="M3653" i="5"/>
  <c r="L3653" i="5"/>
  <c r="K3653" i="5"/>
  <c r="J3653" i="5"/>
  <c r="I3653" i="5"/>
  <c r="H3653" i="5"/>
  <c r="N3652" i="5"/>
  <c r="M3652" i="5"/>
  <c r="L3652" i="5"/>
  <c r="K3652" i="5"/>
  <c r="J3652" i="5"/>
  <c r="I3652" i="5"/>
  <c r="H3652" i="5"/>
  <c r="N3651" i="5"/>
  <c r="M3651" i="5"/>
  <c r="L3651" i="5"/>
  <c r="K3651" i="5"/>
  <c r="J3651" i="5"/>
  <c r="I3651" i="5"/>
  <c r="H3651" i="5"/>
  <c r="N3650" i="5"/>
  <c r="M3650" i="5"/>
  <c r="L3650" i="5"/>
  <c r="K3650" i="5"/>
  <c r="J3650" i="5"/>
  <c r="I3650" i="5"/>
  <c r="H3650" i="5"/>
  <c r="N3649" i="5"/>
  <c r="M3649" i="5"/>
  <c r="L3649" i="5"/>
  <c r="K3649" i="5"/>
  <c r="J3649" i="5"/>
  <c r="I3649" i="5"/>
  <c r="H3649" i="5"/>
  <c r="N3642" i="5"/>
  <c r="M3642" i="5"/>
  <c r="L3642" i="5"/>
  <c r="K3642" i="5"/>
  <c r="J3642" i="5"/>
  <c r="I3642" i="5"/>
  <c r="H3642" i="5"/>
  <c r="N3641" i="5"/>
  <c r="M3641" i="5"/>
  <c r="L3641" i="5"/>
  <c r="K3641" i="5"/>
  <c r="J3641" i="5"/>
  <c r="I3641" i="5"/>
  <c r="H3641" i="5"/>
  <c r="N3640" i="5"/>
  <c r="M3640" i="5"/>
  <c r="L3640" i="5"/>
  <c r="K3640" i="5"/>
  <c r="J3640" i="5"/>
  <c r="I3640" i="5"/>
  <c r="H3640" i="5"/>
  <c r="N3639" i="5"/>
  <c r="M3639" i="5"/>
  <c r="L3639" i="5"/>
  <c r="K3639" i="5"/>
  <c r="J3639" i="5"/>
  <c r="I3639" i="5"/>
  <c r="H3639" i="5"/>
  <c r="N3638" i="5"/>
  <c r="M3638" i="5"/>
  <c r="L3638" i="5"/>
  <c r="K3638" i="5"/>
  <c r="J3638" i="5"/>
  <c r="I3638" i="5"/>
  <c r="H3638" i="5"/>
  <c r="N3637" i="5"/>
  <c r="M3637" i="5"/>
  <c r="L3637" i="5"/>
  <c r="K3637" i="5"/>
  <c r="J3637" i="5"/>
  <c r="I3637" i="5"/>
  <c r="H3637" i="5"/>
  <c r="N3636" i="5"/>
  <c r="M3636" i="5"/>
  <c r="L3636" i="5"/>
  <c r="K3636" i="5"/>
  <c r="J3636" i="5"/>
  <c r="I3636" i="5"/>
  <c r="H3636" i="5"/>
  <c r="N3635" i="5"/>
  <c r="M3635" i="5"/>
  <c r="L3635" i="5"/>
  <c r="K3635" i="5"/>
  <c r="J3635" i="5"/>
  <c r="I3635" i="5"/>
  <c r="H3635" i="5"/>
  <c r="N3634" i="5"/>
  <c r="M3634" i="5"/>
  <c r="L3634" i="5"/>
  <c r="K3634" i="5"/>
  <c r="J3634" i="5"/>
  <c r="I3634" i="5"/>
  <c r="H3634" i="5"/>
  <c r="N3633" i="5"/>
  <c r="M3633" i="5"/>
  <c r="L3633" i="5"/>
  <c r="K3633" i="5"/>
  <c r="J3633" i="5"/>
  <c r="I3633" i="5"/>
  <c r="H3633" i="5"/>
  <c r="N3628" i="5"/>
  <c r="M3628" i="5"/>
  <c r="L3628" i="5"/>
  <c r="K3628" i="5"/>
  <c r="J3628" i="5"/>
  <c r="I3628" i="5"/>
  <c r="H3628" i="5"/>
  <c r="N3627" i="5"/>
  <c r="M3627" i="5"/>
  <c r="L3627" i="5"/>
  <c r="K3627" i="5"/>
  <c r="J3627" i="5"/>
  <c r="I3627" i="5"/>
  <c r="H3627" i="5"/>
  <c r="N3626" i="5"/>
  <c r="M3626" i="5"/>
  <c r="L3626" i="5"/>
  <c r="K3626" i="5"/>
  <c r="J3626" i="5"/>
  <c r="I3626" i="5"/>
  <c r="H3626" i="5"/>
  <c r="N3625" i="5"/>
  <c r="M3625" i="5"/>
  <c r="L3625" i="5"/>
  <c r="K3625" i="5"/>
  <c r="J3625" i="5"/>
  <c r="I3625" i="5"/>
  <c r="H3625" i="5"/>
  <c r="N3624" i="5"/>
  <c r="M3624" i="5"/>
  <c r="L3624" i="5"/>
  <c r="K3624" i="5"/>
  <c r="J3624" i="5"/>
  <c r="I3624" i="5"/>
  <c r="H3624" i="5"/>
  <c r="N3623" i="5"/>
  <c r="M3623" i="5"/>
  <c r="L3623" i="5"/>
  <c r="K3623" i="5"/>
  <c r="J3623" i="5"/>
  <c r="I3623" i="5"/>
  <c r="H3623" i="5"/>
  <c r="N3622" i="5"/>
  <c r="M3622" i="5"/>
  <c r="L3622" i="5"/>
  <c r="K3622" i="5"/>
  <c r="J3622" i="5"/>
  <c r="I3622" i="5"/>
  <c r="H3622" i="5"/>
  <c r="N3621" i="5"/>
  <c r="M3621" i="5"/>
  <c r="L3621" i="5"/>
  <c r="K3621" i="5"/>
  <c r="J3621" i="5"/>
  <c r="I3621" i="5"/>
  <c r="H3621" i="5"/>
  <c r="N3620" i="5"/>
  <c r="M3620" i="5"/>
  <c r="L3620" i="5"/>
  <c r="K3620" i="5"/>
  <c r="J3620" i="5"/>
  <c r="I3620" i="5"/>
  <c r="H3620" i="5"/>
  <c r="N3619" i="5"/>
  <c r="M3619" i="5"/>
  <c r="L3619" i="5"/>
  <c r="K3619" i="5"/>
  <c r="J3619" i="5"/>
  <c r="I3619" i="5"/>
  <c r="H3619" i="5"/>
  <c r="N3618" i="5"/>
  <c r="M3618" i="5"/>
  <c r="L3618" i="5"/>
  <c r="K3618" i="5"/>
  <c r="J3618" i="5"/>
  <c r="I3618" i="5"/>
  <c r="H3618" i="5"/>
  <c r="N3617" i="5"/>
  <c r="M3617" i="5"/>
  <c r="L3617" i="5"/>
  <c r="K3617" i="5"/>
  <c r="J3617" i="5"/>
  <c r="I3617" i="5"/>
  <c r="H3617" i="5"/>
  <c r="N3557" i="5"/>
  <c r="M3557" i="5"/>
  <c r="L3557" i="5"/>
  <c r="K3557" i="5"/>
  <c r="J3557" i="5"/>
  <c r="I3557" i="5"/>
  <c r="H3557" i="5"/>
  <c r="N3556" i="5"/>
  <c r="M3556" i="5"/>
  <c r="L3556" i="5"/>
  <c r="K3556" i="5"/>
  <c r="J3556" i="5"/>
  <c r="I3556" i="5"/>
  <c r="H3556" i="5"/>
  <c r="N3555" i="5"/>
  <c r="M3555" i="5"/>
  <c r="L3555" i="5"/>
  <c r="K3555" i="5"/>
  <c r="J3555" i="5"/>
  <c r="I3555" i="5"/>
  <c r="H3555" i="5"/>
  <c r="N3554" i="5"/>
  <c r="M3554" i="5"/>
  <c r="L3554" i="5"/>
  <c r="K3554" i="5"/>
  <c r="J3554" i="5"/>
  <c r="I3554" i="5"/>
  <c r="H3554" i="5"/>
  <c r="N3553" i="5"/>
  <c r="M3553" i="5"/>
  <c r="L3553" i="5"/>
  <c r="K3553" i="5"/>
  <c r="J3553" i="5"/>
  <c r="I3553" i="5"/>
  <c r="H3553" i="5"/>
  <c r="N3546" i="5"/>
  <c r="M3546" i="5"/>
  <c r="L3546" i="5"/>
  <c r="K3546" i="5"/>
  <c r="J3546" i="5"/>
  <c r="I3546" i="5"/>
  <c r="H3546" i="5"/>
  <c r="N3545" i="5"/>
  <c r="M3545" i="5"/>
  <c r="L3545" i="5"/>
  <c r="K3545" i="5"/>
  <c r="J3545" i="5"/>
  <c r="I3545" i="5"/>
  <c r="H3545" i="5"/>
  <c r="N3544" i="5"/>
  <c r="M3544" i="5"/>
  <c r="L3544" i="5"/>
  <c r="K3544" i="5"/>
  <c r="J3544" i="5"/>
  <c r="I3544" i="5"/>
  <c r="H3544" i="5"/>
  <c r="N3543" i="5"/>
  <c r="M3543" i="5"/>
  <c r="L3543" i="5"/>
  <c r="K3543" i="5"/>
  <c r="J3543" i="5"/>
  <c r="I3543" i="5"/>
  <c r="H3543" i="5"/>
  <c r="N3542" i="5"/>
  <c r="M3542" i="5"/>
  <c r="L3542" i="5"/>
  <c r="K3542" i="5"/>
  <c r="J3542" i="5"/>
  <c r="I3542" i="5"/>
  <c r="H3542" i="5"/>
  <c r="N3541" i="5"/>
  <c r="M3541" i="5"/>
  <c r="L3541" i="5"/>
  <c r="K3541" i="5"/>
  <c r="J3541" i="5"/>
  <c r="I3541" i="5"/>
  <c r="H3541" i="5"/>
  <c r="N3540" i="5"/>
  <c r="M3540" i="5"/>
  <c r="L3540" i="5"/>
  <c r="K3540" i="5"/>
  <c r="J3540" i="5"/>
  <c r="I3540" i="5"/>
  <c r="H3540" i="5"/>
  <c r="N3539" i="5"/>
  <c r="M3539" i="5"/>
  <c r="L3539" i="5"/>
  <c r="K3539" i="5"/>
  <c r="J3539" i="5"/>
  <c r="I3539" i="5"/>
  <c r="H3539" i="5"/>
  <c r="N3538" i="5"/>
  <c r="M3538" i="5"/>
  <c r="L3538" i="5"/>
  <c r="K3538" i="5"/>
  <c r="J3538" i="5"/>
  <c r="I3538" i="5"/>
  <c r="H3538" i="5"/>
  <c r="N3537" i="5"/>
  <c r="M3537" i="5"/>
  <c r="L3537" i="5"/>
  <c r="K3537" i="5"/>
  <c r="J3537" i="5"/>
  <c r="I3537" i="5"/>
  <c r="H3537" i="5"/>
  <c r="N3532" i="5"/>
  <c r="M3532" i="5"/>
  <c r="L3532" i="5"/>
  <c r="K3532" i="5"/>
  <c r="J3532" i="5"/>
  <c r="I3532" i="5"/>
  <c r="H3532" i="5"/>
  <c r="N3531" i="5"/>
  <c r="M3531" i="5"/>
  <c r="L3531" i="5"/>
  <c r="K3531" i="5"/>
  <c r="J3531" i="5"/>
  <c r="I3531" i="5"/>
  <c r="H3531" i="5"/>
  <c r="N3530" i="5"/>
  <c r="M3530" i="5"/>
  <c r="L3530" i="5"/>
  <c r="K3530" i="5"/>
  <c r="J3530" i="5"/>
  <c r="I3530" i="5"/>
  <c r="H3530" i="5"/>
  <c r="N3529" i="5"/>
  <c r="M3529" i="5"/>
  <c r="L3529" i="5"/>
  <c r="K3529" i="5"/>
  <c r="J3529" i="5"/>
  <c r="I3529" i="5"/>
  <c r="H3529" i="5"/>
  <c r="N3528" i="5"/>
  <c r="M3528" i="5"/>
  <c r="L3528" i="5"/>
  <c r="K3528" i="5"/>
  <c r="J3528" i="5"/>
  <c r="I3528" i="5"/>
  <c r="H3528" i="5"/>
  <c r="N3527" i="5"/>
  <c r="M3527" i="5"/>
  <c r="L3527" i="5"/>
  <c r="K3527" i="5"/>
  <c r="J3527" i="5"/>
  <c r="I3527" i="5"/>
  <c r="H3527" i="5"/>
  <c r="N3526" i="5"/>
  <c r="M3526" i="5"/>
  <c r="L3526" i="5"/>
  <c r="K3526" i="5"/>
  <c r="J3526" i="5"/>
  <c r="I3526" i="5"/>
  <c r="H3526" i="5"/>
  <c r="N3525" i="5"/>
  <c r="M3525" i="5"/>
  <c r="L3525" i="5"/>
  <c r="K3525" i="5"/>
  <c r="J3525" i="5"/>
  <c r="I3525" i="5"/>
  <c r="H3525" i="5"/>
  <c r="N3524" i="5"/>
  <c r="M3524" i="5"/>
  <c r="L3524" i="5"/>
  <c r="K3524" i="5"/>
  <c r="J3524" i="5"/>
  <c r="I3524" i="5"/>
  <c r="H3524" i="5"/>
  <c r="N3523" i="5"/>
  <c r="M3523" i="5"/>
  <c r="L3523" i="5"/>
  <c r="K3523" i="5"/>
  <c r="J3523" i="5"/>
  <c r="I3523" i="5"/>
  <c r="H3523" i="5"/>
  <c r="N3522" i="5"/>
  <c r="M3522" i="5"/>
  <c r="L3522" i="5"/>
  <c r="K3522" i="5"/>
  <c r="J3522" i="5"/>
  <c r="I3522" i="5"/>
  <c r="H3522" i="5"/>
  <c r="N3521" i="5"/>
  <c r="M3521" i="5"/>
  <c r="L3521" i="5"/>
  <c r="K3521" i="5"/>
  <c r="J3521" i="5"/>
  <c r="I3521" i="5"/>
  <c r="H3521" i="5"/>
  <c r="N3520" i="5"/>
  <c r="M3520" i="5"/>
  <c r="L3520" i="5"/>
  <c r="K3520" i="5"/>
  <c r="J3520" i="5"/>
  <c r="I3520" i="5"/>
  <c r="H3520" i="5"/>
  <c r="N3519" i="5"/>
  <c r="M3519" i="5"/>
  <c r="L3519" i="5"/>
  <c r="K3519" i="5"/>
  <c r="J3519" i="5"/>
  <c r="I3519" i="5"/>
  <c r="H3519" i="5"/>
  <c r="N3509" i="5"/>
  <c r="M3509" i="5"/>
  <c r="L3509" i="5"/>
  <c r="K3509" i="5"/>
  <c r="J3509" i="5"/>
  <c r="I3509" i="5"/>
  <c r="H3509" i="5"/>
  <c r="N3508" i="5"/>
  <c r="M3508" i="5"/>
  <c r="L3508" i="5"/>
  <c r="K3508" i="5"/>
  <c r="J3508" i="5"/>
  <c r="I3508" i="5"/>
  <c r="H3508" i="5"/>
  <c r="N3507" i="5"/>
  <c r="M3507" i="5"/>
  <c r="L3507" i="5"/>
  <c r="K3507" i="5"/>
  <c r="J3507" i="5"/>
  <c r="I3507" i="5"/>
  <c r="H3507" i="5"/>
  <c r="N3506" i="5"/>
  <c r="M3506" i="5"/>
  <c r="L3506" i="5"/>
  <c r="K3506" i="5"/>
  <c r="J3506" i="5"/>
  <c r="I3506" i="5"/>
  <c r="H3506" i="5"/>
  <c r="N3505" i="5"/>
  <c r="M3505" i="5"/>
  <c r="L3505" i="5"/>
  <c r="K3505" i="5"/>
  <c r="J3505" i="5"/>
  <c r="I3505" i="5"/>
  <c r="H3505" i="5"/>
  <c r="N3498" i="5"/>
  <c r="M3498" i="5"/>
  <c r="L3498" i="5"/>
  <c r="K3498" i="5"/>
  <c r="J3498" i="5"/>
  <c r="I3498" i="5"/>
  <c r="H3498" i="5"/>
  <c r="N3497" i="5"/>
  <c r="M3497" i="5"/>
  <c r="L3497" i="5"/>
  <c r="K3497" i="5"/>
  <c r="J3497" i="5"/>
  <c r="I3497" i="5"/>
  <c r="H3497" i="5"/>
  <c r="N3496" i="5"/>
  <c r="M3496" i="5"/>
  <c r="L3496" i="5"/>
  <c r="K3496" i="5"/>
  <c r="J3496" i="5"/>
  <c r="I3496" i="5"/>
  <c r="H3496" i="5"/>
  <c r="N3495" i="5"/>
  <c r="M3495" i="5"/>
  <c r="L3495" i="5"/>
  <c r="K3495" i="5"/>
  <c r="J3495" i="5"/>
  <c r="I3495" i="5"/>
  <c r="H3495" i="5"/>
  <c r="N3494" i="5"/>
  <c r="M3494" i="5"/>
  <c r="L3494" i="5"/>
  <c r="K3494" i="5"/>
  <c r="J3494" i="5"/>
  <c r="I3494" i="5"/>
  <c r="H3494" i="5"/>
  <c r="N3493" i="5"/>
  <c r="M3493" i="5"/>
  <c r="L3493" i="5"/>
  <c r="K3493" i="5"/>
  <c r="J3493" i="5"/>
  <c r="I3493" i="5"/>
  <c r="H3493" i="5"/>
  <c r="N3492" i="5"/>
  <c r="M3492" i="5"/>
  <c r="L3492" i="5"/>
  <c r="K3492" i="5"/>
  <c r="J3492" i="5"/>
  <c r="I3492" i="5"/>
  <c r="H3492" i="5"/>
  <c r="N3491" i="5"/>
  <c r="M3491" i="5"/>
  <c r="L3491" i="5"/>
  <c r="K3491" i="5"/>
  <c r="J3491" i="5"/>
  <c r="I3491" i="5"/>
  <c r="H3491" i="5"/>
  <c r="N3490" i="5"/>
  <c r="M3490" i="5"/>
  <c r="L3490" i="5"/>
  <c r="K3490" i="5"/>
  <c r="J3490" i="5"/>
  <c r="I3490" i="5"/>
  <c r="H3490" i="5"/>
  <c r="N3489" i="5"/>
  <c r="M3489" i="5"/>
  <c r="L3489" i="5"/>
  <c r="K3489" i="5"/>
  <c r="J3489" i="5"/>
  <c r="I3489" i="5"/>
  <c r="H3489" i="5"/>
  <c r="N3484" i="5"/>
  <c r="M3484" i="5"/>
  <c r="L3484" i="5"/>
  <c r="K3484" i="5"/>
  <c r="J3484" i="5"/>
  <c r="I3484" i="5"/>
  <c r="H3484" i="5"/>
  <c r="N3483" i="5"/>
  <c r="M3483" i="5"/>
  <c r="L3483" i="5"/>
  <c r="K3483" i="5"/>
  <c r="J3483" i="5"/>
  <c r="I3483" i="5"/>
  <c r="H3483" i="5"/>
  <c r="N3482" i="5"/>
  <c r="M3482" i="5"/>
  <c r="L3482" i="5"/>
  <c r="K3482" i="5"/>
  <c r="J3482" i="5"/>
  <c r="I3482" i="5"/>
  <c r="H3482" i="5"/>
  <c r="N3481" i="5"/>
  <c r="M3481" i="5"/>
  <c r="L3481" i="5"/>
  <c r="K3481" i="5"/>
  <c r="J3481" i="5"/>
  <c r="I3481" i="5"/>
  <c r="H3481" i="5"/>
  <c r="N3480" i="5"/>
  <c r="M3480" i="5"/>
  <c r="L3480" i="5"/>
  <c r="K3480" i="5"/>
  <c r="J3480" i="5"/>
  <c r="I3480" i="5"/>
  <c r="H3480" i="5"/>
  <c r="N3479" i="5"/>
  <c r="M3479" i="5"/>
  <c r="L3479" i="5"/>
  <c r="K3479" i="5"/>
  <c r="J3479" i="5"/>
  <c r="I3479" i="5"/>
  <c r="H3479" i="5"/>
  <c r="N3478" i="5"/>
  <c r="M3478" i="5"/>
  <c r="L3478" i="5"/>
  <c r="K3478" i="5"/>
  <c r="J3478" i="5"/>
  <c r="I3478" i="5"/>
  <c r="H3478" i="5"/>
  <c r="N3477" i="5"/>
  <c r="M3477" i="5"/>
  <c r="L3477" i="5"/>
  <c r="K3477" i="5"/>
  <c r="J3477" i="5"/>
  <c r="I3477" i="5"/>
  <c r="H3477" i="5"/>
  <c r="N3476" i="5"/>
  <c r="M3476" i="5"/>
  <c r="L3476" i="5"/>
  <c r="K3476" i="5"/>
  <c r="J3476" i="5"/>
  <c r="I3476" i="5"/>
  <c r="H3476" i="5"/>
  <c r="N3475" i="5"/>
  <c r="M3475" i="5"/>
  <c r="L3475" i="5"/>
  <c r="K3475" i="5"/>
  <c r="J3475" i="5"/>
  <c r="I3475" i="5"/>
  <c r="H3475" i="5"/>
  <c r="N3474" i="5"/>
  <c r="M3474" i="5"/>
  <c r="L3474" i="5"/>
  <c r="K3474" i="5"/>
  <c r="J3474" i="5"/>
  <c r="I3474" i="5"/>
  <c r="H3474" i="5"/>
  <c r="N3473" i="5"/>
  <c r="M3473" i="5"/>
  <c r="L3473" i="5"/>
  <c r="K3473" i="5"/>
  <c r="J3473" i="5"/>
  <c r="I3473" i="5"/>
  <c r="H3473" i="5"/>
  <c r="N3472" i="5"/>
  <c r="M3472" i="5"/>
  <c r="L3472" i="5"/>
  <c r="K3472" i="5"/>
  <c r="J3472" i="5"/>
  <c r="I3472" i="5"/>
  <c r="H3472" i="5"/>
  <c r="N3471" i="5"/>
  <c r="M3471" i="5"/>
  <c r="L3471" i="5"/>
  <c r="K3471" i="5"/>
  <c r="J3471" i="5"/>
  <c r="I3471" i="5"/>
  <c r="H3471" i="5"/>
  <c r="N3461" i="5"/>
  <c r="M3461" i="5"/>
  <c r="L3461" i="5"/>
  <c r="K3461" i="5"/>
  <c r="J3461" i="5"/>
  <c r="I3461" i="5"/>
  <c r="H3461" i="5"/>
  <c r="N3460" i="5"/>
  <c r="M3460" i="5"/>
  <c r="L3460" i="5"/>
  <c r="K3460" i="5"/>
  <c r="J3460" i="5"/>
  <c r="I3460" i="5"/>
  <c r="H3460" i="5"/>
  <c r="N3459" i="5"/>
  <c r="M3459" i="5"/>
  <c r="L3459" i="5"/>
  <c r="K3459" i="5"/>
  <c r="J3459" i="5"/>
  <c r="I3459" i="5"/>
  <c r="H3459" i="5"/>
  <c r="N3458" i="5"/>
  <c r="M3458" i="5"/>
  <c r="L3458" i="5"/>
  <c r="K3458" i="5"/>
  <c r="J3458" i="5"/>
  <c r="I3458" i="5"/>
  <c r="H3458" i="5"/>
  <c r="N3457" i="5"/>
  <c r="M3457" i="5"/>
  <c r="L3457" i="5"/>
  <c r="K3457" i="5"/>
  <c r="J3457" i="5"/>
  <c r="I3457" i="5"/>
  <c r="H3457" i="5"/>
  <c r="N3450" i="5"/>
  <c r="M3450" i="5"/>
  <c r="L3450" i="5"/>
  <c r="K3450" i="5"/>
  <c r="J3450" i="5"/>
  <c r="I3450" i="5"/>
  <c r="H3450" i="5"/>
  <c r="N3449" i="5"/>
  <c r="M3449" i="5"/>
  <c r="L3449" i="5"/>
  <c r="K3449" i="5"/>
  <c r="J3449" i="5"/>
  <c r="I3449" i="5"/>
  <c r="H3449" i="5"/>
  <c r="N3448" i="5"/>
  <c r="M3448" i="5"/>
  <c r="L3448" i="5"/>
  <c r="K3448" i="5"/>
  <c r="J3448" i="5"/>
  <c r="I3448" i="5"/>
  <c r="H3448" i="5"/>
  <c r="N3447" i="5"/>
  <c r="M3447" i="5"/>
  <c r="L3447" i="5"/>
  <c r="K3447" i="5"/>
  <c r="J3447" i="5"/>
  <c r="I3447" i="5"/>
  <c r="H3447" i="5"/>
  <c r="N3446" i="5"/>
  <c r="M3446" i="5"/>
  <c r="L3446" i="5"/>
  <c r="K3446" i="5"/>
  <c r="J3446" i="5"/>
  <c r="I3446" i="5"/>
  <c r="H3446" i="5"/>
  <c r="N3445" i="5"/>
  <c r="M3445" i="5"/>
  <c r="L3445" i="5"/>
  <c r="K3445" i="5"/>
  <c r="J3445" i="5"/>
  <c r="I3445" i="5"/>
  <c r="H3445" i="5"/>
  <c r="N3444" i="5"/>
  <c r="M3444" i="5"/>
  <c r="L3444" i="5"/>
  <c r="K3444" i="5"/>
  <c r="J3444" i="5"/>
  <c r="I3444" i="5"/>
  <c r="H3444" i="5"/>
  <c r="N3443" i="5"/>
  <c r="M3443" i="5"/>
  <c r="L3443" i="5"/>
  <c r="K3443" i="5"/>
  <c r="J3443" i="5"/>
  <c r="I3443" i="5"/>
  <c r="H3443" i="5"/>
  <c r="M3442" i="5"/>
  <c r="N3442" i="5" s="1"/>
  <c r="J3442" i="5"/>
  <c r="K3442" i="5" s="1"/>
  <c r="H3442" i="5"/>
  <c r="I3442" i="5" s="1"/>
  <c r="M3441" i="5"/>
  <c r="N3441" i="5" s="1"/>
  <c r="J3441" i="5"/>
  <c r="K3441" i="5" s="1"/>
  <c r="H3441" i="5"/>
  <c r="I3441" i="5" s="1"/>
  <c r="N3436" i="5"/>
  <c r="M3436" i="5"/>
  <c r="L3436" i="5"/>
  <c r="K3436" i="5"/>
  <c r="J3436" i="5"/>
  <c r="I3436" i="5"/>
  <c r="H3436" i="5"/>
  <c r="N3435" i="5"/>
  <c r="M3435" i="5"/>
  <c r="L3435" i="5"/>
  <c r="K3435" i="5"/>
  <c r="J3435" i="5"/>
  <c r="I3435" i="5"/>
  <c r="H3435" i="5"/>
  <c r="N3434" i="5"/>
  <c r="M3434" i="5"/>
  <c r="L3434" i="5"/>
  <c r="K3434" i="5"/>
  <c r="J3434" i="5"/>
  <c r="I3434" i="5"/>
  <c r="H3434" i="5"/>
  <c r="N3433" i="5"/>
  <c r="M3433" i="5"/>
  <c r="L3433" i="5"/>
  <c r="K3433" i="5"/>
  <c r="J3433" i="5"/>
  <c r="I3433" i="5"/>
  <c r="H3433" i="5"/>
  <c r="N3432" i="5"/>
  <c r="M3432" i="5"/>
  <c r="L3432" i="5"/>
  <c r="K3432" i="5"/>
  <c r="J3432" i="5"/>
  <c r="I3432" i="5"/>
  <c r="H3432" i="5"/>
  <c r="N3431" i="5"/>
  <c r="M3431" i="5"/>
  <c r="L3431" i="5"/>
  <c r="K3431" i="5"/>
  <c r="J3431" i="5"/>
  <c r="I3431" i="5"/>
  <c r="H3431" i="5"/>
  <c r="N3430" i="5"/>
  <c r="M3430" i="5"/>
  <c r="L3430" i="5"/>
  <c r="K3430" i="5"/>
  <c r="J3430" i="5"/>
  <c r="I3430" i="5"/>
  <c r="H3430" i="5"/>
  <c r="N3429" i="5"/>
  <c r="M3429" i="5"/>
  <c r="L3429" i="5"/>
  <c r="K3429" i="5"/>
  <c r="J3429" i="5"/>
  <c r="I3429" i="5"/>
  <c r="H3429" i="5"/>
  <c r="N3428" i="5"/>
  <c r="M3428" i="5"/>
  <c r="L3428" i="5"/>
  <c r="K3428" i="5"/>
  <c r="J3428" i="5"/>
  <c r="I3428" i="5"/>
  <c r="H3428" i="5"/>
  <c r="N3427" i="5"/>
  <c r="M3427" i="5"/>
  <c r="L3427" i="5"/>
  <c r="K3427" i="5"/>
  <c r="J3427" i="5"/>
  <c r="I3427" i="5"/>
  <c r="H3427" i="5"/>
  <c r="N3426" i="5"/>
  <c r="M3426" i="5"/>
  <c r="L3426" i="5"/>
  <c r="K3426" i="5"/>
  <c r="J3426" i="5"/>
  <c r="I3426" i="5"/>
  <c r="H3426" i="5"/>
  <c r="M3425" i="5"/>
  <c r="N3425" i="5" s="1"/>
  <c r="J3425" i="5"/>
  <c r="K3425" i="5" s="1"/>
  <c r="H3425" i="5"/>
  <c r="I3425" i="5" s="1"/>
  <c r="M3424" i="5"/>
  <c r="N3424" i="5" s="1"/>
  <c r="J3424" i="5"/>
  <c r="K3424" i="5" s="1"/>
  <c r="H3424" i="5"/>
  <c r="I3424" i="5" s="1"/>
  <c r="M3423" i="5"/>
  <c r="N3423" i="5" s="1"/>
  <c r="J3423" i="5"/>
  <c r="K3423" i="5" s="1"/>
  <c r="H3423" i="5"/>
  <c r="I3423" i="5" s="1"/>
  <c r="N3413" i="5"/>
  <c r="M3413" i="5"/>
  <c r="L3413" i="5"/>
  <c r="K3413" i="5"/>
  <c r="J3413" i="5"/>
  <c r="I3413" i="5"/>
  <c r="H3413" i="5"/>
  <c r="N3412" i="5"/>
  <c r="M3412" i="5"/>
  <c r="L3412" i="5"/>
  <c r="K3412" i="5"/>
  <c r="J3412" i="5"/>
  <c r="I3412" i="5"/>
  <c r="H3412" i="5"/>
  <c r="N3411" i="5"/>
  <c r="M3411" i="5"/>
  <c r="L3411" i="5"/>
  <c r="K3411" i="5"/>
  <c r="J3411" i="5"/>
  <c r="I3411" i="5"/>
  <c r="H3411" i="5"/>
  <c r="N3410" i="5"/>
  <c r="M3410" i="5"/>
  <c r="L3410" i="5"/>
  <c r="K3410" i="5"/>
  <c r="J3410" i="5"/>
  <c r="I3410" i="5"/>
  <c r="H3410" i="5"/>
  <c r="N3409" i="5"/>
  <c r="M3409" i="5"/>
  <c r="L3409" i="5"/>
  <c r="K3409" i="5"/>
  <c r="J3409" i="5"/>
  <c r="I3409" i="5"/>
  <c r="H3409" i="5"/>
  <c r="N3402" i="5"/>
  <c r="M3402" i="5"/>
  <c r="L3402" i="5"/>
  <c r="K3402" i="5"/>
  <c r="J3402" i="5"/>
  <c r="I3402" i="5"/>
  <c r="H3402" i="5"/>
  <c r="N3401" i="5"/>
  <c r="M3401" i="5"/>
  <c r="L3401" i="5"/>
  <c r="K3401" i="5"/>
  <c r="J3401" i="5"/>
  <c r="I3401" i="5"/>
  <c r="H3401" i="5"/>
  <c r="N3400" i="5"/>
  <c r="M3400" i="5"/>
  <c r="L3400" i="5"/>
  <c r="K3400" i="5"/>
  <c r="J3400" i="5"/>
  <c r="I3400" i="5"/>
  <c r="H3400" i="5"/>
  <c r="N3399" i="5"/>
  <c r="M3399" i="5"/>
  <c r="L3399" i="5"/>
  <c r="K3399" i="5"/>
  <c r="J3399" i="5"/>
  <c r="I3399" i="5"/>
  <c r="H3399" i="5"/>
  <c r="N3398" i="5"/>
  <c r="M3398" i="5"/>
  <c r="L3398" i="5"/>
  <c r="K3398" i="5"/>
  <c r="J3398" i="5"/>
  <c r="I3398" i="5"/>
  <c r="H3398" i="5"/>
  <c r="N3397" i="5"/>
  <c r="M3397" i="5"/>
  <c r="L3397" i="5"/>
  <c r="K3397" i="5"/>
  <c r="J3397" i="5"/>
  <c r="I3397" i="5"/>
  <c r="H3397" i="5"/>
  <c r="N3396" i="5"/>
  <c r="M3396" i="5"/>
  <c r="L3396" i="5"/>
  <c r="K3396" i="5"/>
  <c r="J3396" i="5"/>
  <c r="I3396" i="5"/>
  <c r="H3396" i="5"/>
  <c r="N3395" i="5"/>
  <c r="M3395" i="5"/>
  <c r="L3395" i="5"/>
  <c r="K3395" i="5"/>
  <c r="J3395" i="5"/>
  <c r="I3395" i="5"/>
  <c r="H3395" i="5"/>
  <c r="N3388" i="5"/>
  <c r="M3388" i="5"/>
  <c r="L3388" i="5"/>
  <c r="K3388" i="5"/>
  <c r="J3388" i="5"/>
  <c r="I3388" i="5"/>
  <c r="H3388" i="5"/>
  <c r="N3387" i="5"/>
  <c r="M3387" i="5"/>
  <c r="L3387" i="5"/>
  <c r="K3387" i="5"/>
  <c r="J3387" i="5"/>
  <c r="I3387" i="5"/>
  <c r="H3387" i="5"/>
  <c r="N3386" i="5"/>
  <c r="M3386" i="5"/>
  <c r="L3386" i="5"/>
  <c r="K3386" i="5"/>
  <c r="J3386" i="5"/>
  <c r="I3386" i="5"/>
  <c r="H3386" i="5"/>
  <c r="N3385" i="5"/>
  <c r="M3385" i="5"/>
  <c r="L3385" i="5"/>
  <c r="K3385" i="5"/>
  <c r="J3385" i="5"/>
  <c r="I3385" i="5"/>
  <c r="H3385" i="5"/>
  <c r="N3384" i="5"/>
  <c r="M3384" i="5"/>
  <c r="L3384" i="5"/>
  <c r="K3384" i="5"/>
  <c r="J3384" i="5"/>
  <c r="I3384" i="5"/>
  <c r="H3384" i="5"/>
  <c r="N3383" i="5"/>
  <c r="M3383" i="5"/>
  <c r="L3383" i="5"/>
  <c r="K3383" i="5"/>
  <c r="J3383" i="5"/>
  <c r="I3383" i="5"/>
  <c r="H3383" i="5"/>
  <c r="N3382" i="5"/>
  <c r="M3382" i="5"/>
  <c r="L3382" i="5"/>
  <c r="K3382" i="5"/>
  <c r="J3382" i="5"/>
  <c r="I3382" i="5"/>
  <c r="H3382" i="5"/>
  <c r="N3381" i="5"/>
  <c r="M3381" i="5"/>
  <c r="L3381" i="5"/>
  <c r="K3381" i="5"/>
  <c r="J3381" i="5"/>
  <c r="I3381" i="5"/>
  <c r="H3381" i="5"/>
  <c r="N3380" i="5"/>
  <c r="M3380" i="5"/>
  <c r="L3380" i="5"/>
  <c r="K3380" i="5"/>
  <c r="J3380" i="5"/>
  <c r="I3380" i="5"/>
  <c r="H3380" i="5"/>
  <c r="N3379" i="5"/>
  <c r="M3379" i="5"/>
  <c r="L3379" i="5"/>
  <c r="K3379" i="5"/>
  <c r="J3379" i="5"/>
  <c r="I3379" i="5"/>
  <c r="H3379" i="5"/>
  <c r="N3378" i="5"/>
  <c r="M3378" i="5"/>
  <c r="L3378" i="5"/>
  <c r="K3378" i="5"/>
  <c r="J3378" i="5"/>
  <c r="I3378" i="5"/>
  <c r="H3378" i="5"/>
  <c r="N3365" i="5"/>
  <c r="M3365" i="5"/>
  <c r="L3365" i="5"/>
  <c r="K3365" i="5"/>
  <c r="J3365" i="5"/>
  <c r="I3365" i="5"/>
  <c r="H3365" i="5"/>
  <c r="N3364" i="5"/>
  <c r="M3364" i="5"/>
  <c r="L3364" i="5"/>
  <c r="K3364" i="5"/>
  <c r="J3364" i="5"/>
  <c r="I3364" i="5"/>
  <c r="H3364" i="5"/>
  <c r="N3363" i="5"/>
  <c r="M3363" i="5"/>
  <c r="L3363" i="5"/>
  <c r="K3363" i="5"/>
  <c r="J3363" i="5"/>
  <c r="I3363" i="5"/>
  <c r="H3363" i="5"/>
  <c r="N3362" i="5"/>
  <c r="M3362" i="5"/>
  <c r="L3362" i="5"/>
  <c r="K3362" i="5"/>
  <c r="J3362" i="5"/>
  <c r="I3362" i="5"/>
  <c r="H3362" i="5"/>
  <c r="N3361" i="5"/>
  <c r="M3361" i="5"/>
  <c r="L3361" i="5"/>
  <c r="K3361" i="5"/>
  <c r="J3361" i="5"/>
  <c r="I3361" i="5"/>
  <c r="H3361" i="5"/>
  <c r="N3354" i="5"/>
  <c r="M3354" i="5"/>
  <c r="L3354" i="5"/>
  <c r="K3354" i="5"/>
  <c r="J3354" i="5"/>
  <c r="I3354" i="5"/>
  <c r="H3354" i="5"/>
  <c r="N3353" i="5"/>
  <c r="M3353" i="5"/>
  <c r="L3353" i="5"/>
  <c r="K3353" i="5"/>
  <c r="J3353" i="5"/>
  <c r="I3353" i="5"/>
  <c r="H3353" i="5"/>
  <c r="N3352" i="5"/>
  <c r="M3352" i="5"/>
  <c r="L3352" i="5"/>
  <c r="K3352" i="5"/>
  <c r="J3352" i="5"/>
  <c r="I3352" i="5"/>
  <c r="H3352" i="5"/>
  <c r="N3351" i="5"/>
  <c r="M3351" i="5"/>
  <c r="L3351" i="5"/>
  <c r="K3351" i="5"/>
  <c r="J3351" i="5"/>
  <c r="I3351" i="5"/>
  <c r="H3351" i="5"/>
  <c r="N3350" i="5"/>
  <c r="M3350" i="5"/>
  <c r="L3350" i="5"/>
  <c r="K3350" i="5"/>
  <c r="J3350" i="5"/>
  <c r="I3350" i="5"/>
  <c r="H3350" i="5"/>
  <c r="N3349" i="5"/>
  <c r="M3349" i="5"/>
  <c r="L3349" i="5"/>
  <c r="K3349" i="5"/>
  <c r="J3349" i="5"/>
  <c r="I3349" i="5"/>
  <c r="H3349" i="5"/>
  <c r="N3348" i="5"/>
  <c r="M3348" i="5"/>
  <c r="L3348" i="5"/>
  <c r="K3348" i="5"/>
  <c r="J3348" i="5"/>
  <c r="I3348" i="5"/>
  <c r="H3348" i="5"/>
  <c r="N3347" i="5"/>
  <c r="M3347" i="5"/>
  <c r="L3347" i="5"/>
  <c r="K3347" i="5"/>
  <c r="J3347" i="5"/>
  <c r="I3347" i="5"/>
  <c r="H3347" i="5"/>
  <c r="M3346" i="5"/>
  <c r="N3346" i="5" s="1"/>
  <c r="J3346" i="5"/>
  <c r="K3346" i="5" s="1"/>
  <c r="H3346" i="5"/>
  <c r="I3346" i="5" s="1"/>
  <c r="M3345" i="5"/>
  <c r="N3345" i="5" s="1"/>
  <c r="J3345" i="5"/>
  <c r="K3345" i="5" s="1"/>
  <c r="H3345" i="5"/>
  <c r="I3345" i="5" s="1"/>
  <c r="N3340" i="5"/>
  <c r="M3340" i="5"/>
  <c r="L3340" i="5"/>
  <c r="K3340" i="5"/>
  <c r="J3340" i="5"/>
  <c r="I3340" i="5"/>
  <c r="H3340" i="5"/>
  <c r="N3339" i="5"/>
  <c r="M3339" i="5"/>
  <c r="L3339" i="5"/>
  <c r="K3339" i="5"/>
  <c r="J3339" i="5"/>
  <c r="I3339" i="5"/>
  <c r="H3339" i="5"/>
  <c r="N3338" i="5"/>
  <c r="M3338" i="5"/>
  <c r="L3338" i="5"/>
  <c r="K3338" i="5"/>
  <c r="J3338" i="5"/>
  <c r="I3338" i="5"/>
  <c r="H3338" i="5"/>
  <c r="N3337" i="5"/>
  <c r="M3337" i="5"/>
  <c r="L3337" i="5"/>
  <c r="K3337" i="5"/>
  <c r="J3337" i="5"/>
  <c r="I3337" i="5"/>
  <c r="H3337" i="5"/>
  <c r="N3336" i="5"/>
  <c r="M3336" i="5"/>
  <c r="L3336" i="5"/>
  <c r="K3336" i="5"/>
  <c r="J3336" i="5"/>
  <c r="I3336" i="5"/>
  <c r="H3336" i="5"/>
  <c r="N3335" i="5"/>
  <c r="M3335" i="5"/>
  <c r="L3335" i="5"/>
  <c r="K3335" i="5"/>
  <c r="J3335" i="5"/>
  <c r="I3335" i="5"/>
  <c r="H3335" i="5"/>
  <c r="N3334" i="5"/>
  <c r="M3334" i="5"/>
  <c r="L3334" i="5"/>
  <c r="K3334" i="5"/>
  <c r="J3334" i="5"/>
  <c r="I3334" i="5"/>
  <c r="H3334" i="5"/>
  <c r="N3333" i="5"/>
  <c r="M3333" i="5"/>
  <c r="L3333" i="5"/>
  <c r="K3333" i="5"/>
  <c r="J3333" i="5"/>
  <c r="I3333" i="5"/>
  <c r="H3333" i="5"/>
  <c r="N3332" i="5"/>
  <c r="M3332" i="5"/>
  <c r="L3332" i="5"/>
  <c r="K3332" i="5"/>
  <c r="J3332" i="5"/>
  <c r="I3332" i="5"/>
  <c r="H3332" i="5"/>
  <c r="N3331" i="5"/>
  <c r="M3331" i="5"/>
  <c r="L3331" i="5"/>
  <c r="K3331" i="5"/>
  <c r="J3331" i="5"/>
  <c r="I3331" i="5"/>
  <c r="H3331" i="5"/>
  <c r="N3330" i="5"/>
  <c r="M3330" i="5"/>
  <c r="L3330" i="5"/>
  <c r="K3330" i="5"/>
  <c r="J3330" i="5"/>
  <c r="I3330" i="5"/>
  <c r="H3330" i="5"/>
  <c r="N3329" i="5"/>
  <c r="M3329" i="5"/>
  <c r="L3329" i="5"/>
  <c r="K3329" i="5"/>
  <c r="J3329" i="5"/>
  <c r="I3329" i="5"/>
  <c r="H3329" i="5"/>
  <c r="N3328" i="5"/>
  <c r="M3328" i="5"/>
  <c r="L3328" i="5"/>
  <c r="K3328" i="5"/>
  <c r="J3328" i="5"/>
  <c r="I3328" i="5"/>
  <c r="H3328" i="5"/>
  <c r="N3317" i="5"/>
  <c r="M3317" i="5"/>
  <c r="L3317" i="5"/>
  <c r="K3317" i="5"/>
  <c r="J3317" i="5"/>
  <c r="I3317" i="5"/>
  <c r="H3317" i="5"/>
  <c r="N3316" i="5"/>
  <c r="M3316" i="5"/>
  <c r="L3316" i="5"/>
  <c r="K3316" i="5"/>
  <c r="J3316" i="5"/>
  <c r="I3316" i="5"/>
  <c r="H3316" i="5"/>
  <c r="N3315" i="5"/>
  <c r="M3315" i="5"/>
  <c r="L3315" i="5"/>
  <c r="K3315" i="5"/>
  <c r="J3315" i="5"/>
  <c r="I3315" i="5"/>
  <c r="H3315" i="5"/>
  <c r="N3314" i="5"/>
  <c r="M3314" i="5"/>
  <c r="L3314" i="5"/>
  <c r="K3314" i="5"/>
  <c r="J3314" i="5"/>
  <c r="I3314" i="5"/>
  <c r="H3314" i="5"/>
  <c r="N3313" i="5"/>
  <c r="M3313" i="5"/>
  <c r="L3313" i="5"/>
  <c r="K3313" i="5"/>
  <c r="J3313" i="5"/>
  <c r="I3313" i="5"/>
  <c r="H3313" i="5"/>
  <c r="N3306" i="5"/>
  <c r="M3306" i="5"/>
  <c r="L3306" i="5"/>
  <c r="K3306" i="5"/>
  <c r="J3306" i="5"/>
  <c r="I3306" i="5"/>
  <c r="H3306" i="5"/>
  <c r="N3305" i="5"/>
  <c r="M3305" i="5"/>
  <c r="L3305" i="5"/>
  <c r="K3305" i="5"/>
  <c r="J3305" i="5"/>
  <c r="I3305" i="5"/>
  <c r="H3305" i="5"/>
  <c r="N3304" i="5"/>
  <c r="M3304" i="5"/>
  <c r="L3304" i="5"/>
  <c r="K3304" i="5"/>
  <c r="J3304" i="5"/>
  <c r="I3304" i="5"/>
  <c r="H3304" i="5"/>
  <c r="N3303" i="5"/>
  <c r="M3303" i="5"/>
  <c r="L3303" i="5"/>
  <c r="K3303" i="5"/>
  <c r="J3303" i="5"/>
  <c r="I3303" i="5"/>
  <c r="H3303" i="5"/>
  <c r="N3302" i="5"/>
  <c r="M3302" i="5"/>
  <c r="L3302" i="5"/>
  <c r="K3302" i="5"/>
  <c r="J3302" i="5"/>
  <c r="I3302" i="5"/>
  <c r="H3302" i="5"/>
  <c r="N3301" i="5"/>
  <c r="M3301" i="5"/>
  <c r="L3301" i="5"/>
  <c r="K3301" i="5"/>
  <c r="J3301" i="5"/>
  <c r="I3301" i="5"/>
  <c r="H3301" i="5"/>
  <c r="N3300" i="5"/>
  <c r="M3300" i="5"/>
  <c r="L3300" i="5"/>
  <c r="K3300" i="5"/>
  <c r="J3300" i="5"/>
  <c r="I3300" i="5"/>
  <c r="H3300" i="5"/>
  <c r="N3299" i="5"/>
  <c r="M3299" i="5"/>
  <c r="L3299" i="5"/>
  <c r="K3299" i="5"/>
  <c r="J3299" i="5"/>
  <c r="I3299" i="5"/>
  <c r="H3299" i="5"/>
  <c r="M3298" i="5"/>
  <c r="N3298" i="5" s="1"/>
  <c r="J3298" i="5"/>
  <c r="K3298" i="5" s="1"/>
  <c r="H3298" i="5"/>
  <c r="I3298" i="5" s="1"/>
  <c r="M3297" i="5"/>
  <c r="N3297" i="5" s="1"/>
  <c r="J3297" i="5"/>
  <c r="K3297" i="5" s="1"/>
  <c r="H3297" i="5"/>
  <c r="I3297" i="5" s="1"/>
  <c r="N3292" i="5"/>
  <c r="M3292" i="5"/>
  <c r="L3292" i="5"/>
  <c r="K3292" i="5"/>
  <c r="J3292" i="5"/>
  <c r="I3292" i="5"/>
  <c r="H3292" i="5"/>
  <c r="N3291" i="5"/>
  <c r="M3291" i="5"/>
  <c r="L3291" i="5"/>
  <c r="K3291" i="5"/>
  <c r="J3291" i="5"/>
  <c r="I3291" i="5"/>
  <c r="H3291" i="5"/>
  <c r="N3290" i="5"/>
  <c r="M3290" i="5"/>
  <c r="L3290" i="5"/>
  <c r="K3290" i="5"/>
  <c r="J3290" i="5"/>
  <c r="I3290" i="5"/>
  <c r="H3290" i="5"/>
  <c r="N3289" i="5"/>
  <c r="M3289" i="5"/>
  <c r="L3289" i="5"/>
  <c r="K3289" i="5"/>
  <c r="J3289" i="5"/>
  <c r="I3289" i="5"/>
  <c r="H3289" i="5"/>
  <c r="N3288" i="5"/>
  <c r="M3288" i="5"/>
  <c r="L3288" i="5"/>
  <c r="K3288" i="5"/>
  <c r="J3288" i="5"/>
  <c r="I3288" i="5"/>
  <c r="H3288" i="5"/>
  <c r="N3287" i="5"/>
  <c r="M3287" i="5"/>
  <c r="L3287" i="5"/>
  <c r="K3287" i="5"/>
  <c r="J3287" i="5"/>
  <c r="I3287" i="5"/>
  <c r="H3287" i="5"/>
  <c r="N3286" i="5"/>
  <c r="M3286" i="5"/>
  <c r="L3286" i="5"/>
  <c r="K3286" i="5"/>
  <c r="J3286" i="5"/>
  <c r="I3286" i="5"/>
  <c r="H3286" i="5"/>
  <c r="N3285" i="5"/>
  <c r="M3285" i="5"/>
  <c r="L3285" i="5"/>
  <c r="K3285" i="5"/>
  <c r="J3285" i="5"/>
  <c r="I3285" i="5"/>
  <c r="H3285" i="5"/>
  <c r="N3284" i="5"/>
  <c r="M3284" i="5"/>
  <c r="L3284" i="5"/>
  <c r="K3284" i="5"/>
  <c r="J3284" i="5"/>
  <c r="I3284" i="5"/>
  <c r="H3284" i="5"/>
  <c r="N3283" i="5"/>
  <c r="M3283" i="5"/>
  <c r="L3283" i="5"/>
  <c r="K3283" i="5"/>
  <c r="J3283" i="5"/>
  <c r="I3283" i="5"/>
  <c r="H3283" i="5"/>
  <c r="N3282" i="5"/>
  <c r="M3282" i="5"/>
  <c r="L3282" i="5"/>
  <c r="K3282" i="5"/>
  <c r="J3282" i="5"/>
  <c r="I3282" i="5"/>
  <c r="H3282" i="5"/>
  <c r="N3281" i="5"/>
  <c r="M3281" i="5"/>
  <c r="L3281" i="5"/>
  <c r="K3281" i="5"/>
  <c r="J3281" i="5"/>
  <c r="I3281" i="5"/>
  <c r="H3281" i="5"/>
  <c r="N3280" i="5"/>
  <c r="M3280" i="5"/>
  <c r="L3280" i="5"/>
  <c r="K3280" i="5"/>
  <c r="J3280" i="5"/>
  <c r="I3280" i="5"/>
  <c r="H3280" i="5"/>
  <c r="N3269" i="5"/>
  <c r="M3269" i="5"/>
  <c r="L3269" i="5"/>
  <c r="K3269" i="5"/>
  <c r="J3269" i="5"/>
  <c r="I3269" i="5"/>
  <c r="H3269" i="5"/>
  <c r="N3268" i="5"/>
  <c r="M3268" i="5"/>
  <c r="L3268" i="5"/>
  <c r="K3268" i="5"/>
  <c r="J3268" i="5"/>
  <c r="I3268" i="5"/>
  <c r="H3268" i="5"/>
  <c r="N3267" i="5"/>
  <c r="M3267" i="5"/>
  <c r="L3267" i="5"/>
  <c r="K3267" i="5"/>
  <c r="J3267" i="5"/>
  <c r="I3267" i="5"/>
  <c r="H3267" i="5"/>
  <c r="N3266" i="5"/>
  <c r="M3266" i="5"/>
  <c r="L3266" i="5"/>
  <c r="K3266" i="5"/>
  <c r="J3266" i="5"/>
  <c r="I3266" i="5"/>
  <c r="H3266" i="5"/>
  <c r="N3265" i="5"/>
  <c r="M3265" i="5"/>
  <c r="L3265" i="5"/>
  <c r="K3265" i="5"/>
  <c r="J3265" i="5"/>
  <c r="I3265" i="5"/>
  <c r="H3265" i="5"/>
  <c r="N3258" i="5"/>
  <c r="M3258" i="5"/>
  <c r="L3258" i="5"/>
  <c r="K3258" i="5"/>
  <c r="J3258" i="5"/>
  <c r="I3258" i="5"/>
  <c r="H3258" i="5"/>
  <c r="N3257" i="5"/>
  <c r="M3257" i="5"/>
  <c r="L3257" i="5"/>
  <c r="K3257" i="5"/>
  <c r="J3257" i="5"/>
  <c r="I3257" i="5"/>
  <c r="H3257" i="5"/>
  <c r="N3256" i="5"/>
  <c r="M3256" i="5"/>
  <c r="L3256" i="5"/>
  <c r="K3256" i="5"/>
  <c r="J3256" i="5"/>
  <c r="I3256" i="5"/>
  <c r="H3256" i="5"/>
  <c r="N3255" i="5"/>
  <c r="M3255" i="5"/>
  <c r="L3255" i="5"/>
  <c r="K3255" i="5"/>
  <c r="J3255" i="5"/>
  <c r="I3255" i="5"/>
  <c r="H3255" i="5"/>
  <c r="N3254" i="5"/>
  <c r="M3254" i="5"/>
  <c r="L3254" i="5"/>
  <c r="K3254" i="5"/>
  <c r="J3254" i="5"/>
  <c r="I3254" i="5"/>
  <c r="H3254" i="5"/>
  <c r="N3253" i="5"/>
  <c r="M3253" i="5"/>
  <c r="L3253" i="5"/>
  <c r="K3253" i="5"/>
  <c r="J3253" i="5"/>
  <c r="I3253" i="5"/>
  <c r="H3253" i="5"/>
  <c r="N3252" i="5"/>
  <c r="M3252" i="5"/>
  <c r="L3252" i="5"/>
  <c r="K3252" i="5"/>
  <c r="J3252" i="5"/>
  <c r="I3252" i="5"/>
  <c r="H3252" i="5"/>
  <c r="N3251" i="5"/>
  <c r="M3251" i="5"/>
  <c r="L3251" i="5"/>
  <c r="K3251" i="5"/>
  <c r="J3251" i="5"/>
  <c r="I3251" i="5"/>
  <c r="H3251" i="5"/>
  <c r="N3244" i="5"/>
  <c r="M3244" i="5"/>
  <c r="L3244" i="5"/>
  <c r="K3244" i="5"/>
  <c r="J3244" i="5"/>
  <c r="I3244" i="5"/>
  <c r="H3244" i="5"/>
  <c r="N3243" i="5"/>
  <c r="M3243" i="5"/>
  <c r="L3243" i="5"/>
  <c r="K3243" i="5"/>
  <c r="J3243" i="5"/>
  <c r="I3243" i="5"/>
  <c r="H3243" i="5"/>
  <c r="N3242" i="5"/>
  <c r="M3242" i="5"/>
  <c r="L3242" i="5"/>
  <c r="K3242" i="5"/>
  <c r="J3242" i="5"/>
  <c r="I3242" i="5"/>
  <c r="H3242" i="5"/>
  <c r="N3241" i="5"/>
  <c r="M3241" i="5"/>
  <c r="L3241" i="5"/>
  <c r="K3241" i="5"/>
  <c r="J3241" i="5"/>
  <c r="I3241" i="5"/>
  <c r="H3241" i="5"/>
  <c r="N3240" i="5"/>
  <c r="M3240" i="5"/>
  <c r="L3240" i="5"/>
  <c r="K3240" i="5"/>
  <c r="J3240" i="5"/>
  <c r="I3240" i="5"/>
  <c r="H3240" i="5"/>
  <c r="N3239" i="5"/>
  <c r="M3239" i="5"/>
  <c r="L3239" i="5"/>
  <c r="K3239" i="5"/>
  <c r="J3239" i="5"/>
  <c r="I3239" i="5"/>
  <c r="H3239" i="5"/>
  <c r="N3238" i="5"/>
  <c r="M3238" i="5"/>
  <c r="L3238" i="5"/>
  <c r="K3238" i="5"/>
  <c r="J3238" i="5"/>
  <c r="I3238" i="5"/>
  <c r="H3238" i="5"/>
  <c r="N3237" i="5"/>
  <c r="M3237" i="5"/>
  <c r="L3237" i="5"/>
  <c r="K3237" i="5"/>
  <c r="J3237" i="5"/>
  <c r="I3237" i="5"/>
  <c r="H3237" i="5"/>
  <c r="N3236" i="5"/>
  <c r="M3236" i="5"/>
  <c r="L3236" i="5"/>
  <c r="K3236" i="5"/>
  <c r="J3236" i="5"/>
  <c r="I3236" i="5"/>
  <c r="H3236" i="5"/>
  <c r="N3235" i="5"/>
  <c r="M3235" i="5"/>
  <c r="L3235" i="5"/>
  <c r="K3235" i="5"/>
  <c r="J3235" i="5"/>
  <c r="I3235" i="5"/>
  <c r="H3235" i="5"/>
  <c r="N3234" i="5"/>
  <c r="M3234" i="5"/>
  <c r="L3234" i="5"/>
  <c r="K3234" i="5"/>
  <c r="J3234" i="5"/>
  <c r="I3234" i="5"/>
  <c r="H3234" i="5"/>
  <c r="N3233" i="5"/>
  <c r="M3233" i="5"/>
  <c r="L3233" i="5"/>
  <c r="K3233" i="5"/>
  <c r="J3233" i="5"/>
  <c r="I3233" i="5"/>
  <c r="H3233" i="5"/>
  <c r="N3232" i="5"/>
  <c r="M3232" i="5"/>
  <c r="L3232" i="5"/>
  <c r="K3232" i="5"/>
  <c r="J3232" i="5"/>
  <c r="I3232" i="5"/>
  <c r="H3232" i="5"/>
  <c r="N3231" i="5"/>
  <c r="M3231" i="5"/>
  <c r="L3231" i="5"/>
  <c r="K3231" i="5"/>
  <c r="J3231" i="5"/>
  <c r="I3231" i="5"/>
  <c r="H3231" i="5"/>
  <c r="N3221" i="5"/>
  <c r="M3221" i="5"/>
  <c r="L3221" i="5"/>
  <c r="K3221" i="5"/>
  <c r="J3221" i="5"/>
  <c r="I3221" i="5"/>
  <c r="H3221" i="5"/>
  <c r="N3220" i="5"/>
  <c r="M3220" i="5"/>
  <c r="L3220" i="5"/>
  <c r="K3220" i="5"/>
  <c r="J3220" i="5"/>
  <c r="I3220" i="5"/>
  <c r="H3220" i="5"/>
  <c r="N3219" i="5"/>
  <c r="M3219" i="5"/>
  <c r="L3219" i="5"/>
  <c r="K3219" i="5"/>
  <c r="J3219" i="5"/>
  <c r="I3219" i="5"/>
  <c r="H3219" i="5"/>
  <c r="N3210" i="5"/>
  <c r="M3210" i="5"/>
  <c r="L3210" i="5"/>
  <c r="K3210" i="5"/>
  <c r="J3210" i="5"/>
  <c r="I3210" i="5"/>
  <c r="H3210" i="5"/>
  <c r="N3209" i="5"/>
  <c r="M3209" i="5"/>
  <c r="L3209" i="5"/>
  <c r="K3209" i="5"/>
  <c r="J3209" i="5"/>
  <c r="I3209" i="5"/>
  <c r="H3209" i="5"/>
  <c r="N3208" i="5"/>
  <c r="M3208" i="5"/>
  <c r="L3208" i="5"/>
  <c r="K3208" i="5"/>
  <c r="J3208" i="5"/>
  <c r="I3208" i="5"/>
  <c r="H3208" i="5"/>
  <c r="N3207" i="5"/>
  <c r="M3207" i="5"/>
  <c r="L3207" i="5"/>
  <c r="K3207" i="5"/>
  <c r="J3207" i="5"/>
  <c r="I3207" i="5"/>
  <c r="H3207" i="5"/>
  <c r="N3206" i="5"/>
  <c r="M3206" i="5"/>
  <c r="L3206" i="5"/>
  <c r="K3206" i="5"/>
  <c r="J3206" i="5"/>
  <c r="I3206" i="5"/>
  <c r="H3206" i="5"/>
  <c r="N3205" i="5"/>
  <c r="M3205" i="5"/>
  <c r="L3205" i="5"/>
  <c r="K3205" i="5"/>
  <c r="J3205" i="5"/>
  <c r="I3205" i="5"/>
  <c r="H3205" i="5"/>
  <c r="N3204" i="5"/>
  <c r="M3204" i="5"/>
  <c r="L3204" i="5"/>
  <c r="K3204" i="5"/>
  <c r="J3204" i="5"/>
  <c r="I3204" i="5"/>
  <c r="H3204" i="5"/>
  <c r="N3203" i="5"/>
  <c r="M3203" i="5"/>
  <c r="L3203" i="5"/>
  <c r="K3203" i="5"/>
  <c r="J3203" i="5"/>
  <c r="I3203" i="5"/>
  <c r="H3203" i="5"/>
  <c r="N3196" i="5"/>
  <c r="M3196" i="5"/>
  <c r="L3196" i="5"/>
  <c r="K3196" i="5"/>
  <c r="J3196" i="5"/>
  <c r="I3196" i="5"/>
  <c r="H3196" i="5"/>
  <c r="N3195" i="5"/>
  <c r="M3195" i="5"/>
  <c r="L3195" i="5"/>
  <c r="K3195" i="5"/>
  <c r="J3195" i="5"/>
  <c r="I3195" i="5"/>
  <c r="H3195" i="5"/>
  <c r="N3194" i="5"/>
  <c r="M3194" i="5"/>
  <c r="L3194" i="5"/>
  <c r="K3194" i="5"/>
  <c r="J3194" i="5"/>
  <c r="I3194" i="5"/>
  <c r="H3194" i="5"/>
  <c r="N3193" i="5"/>
  <c r="M3193" i="5"/>
  <c r="L3193" i="5"/>
  <c r="K3193" i="5"/>
  <c r="J3193" i="5"/>
  <c r="I3193" i="5"/>
  <c r="H3193" i="5"/>
  <c r="N3192" i="5"/>
  <c r="M3192" i="5"/>
  <c r="L3192" i="5"/>
  <c r="K3192" i="5"/>
  <c r="J3192" i="5"/>
  <c r="I3192" i="5"/>
  <c r="H3192" i="5"/>
  <c r="N3191" i="5"/>
  <c r="M3191" i="5"/>
  <c r="L3191" i="5"/>
  <c r="K3191" i="5"/>
  <c r="J3191" i="5"/>
  <c r="I3191" i="5"/>
  <c r="H3191" i="5"/>
  <c r="N3190" i="5"/>
  <c r="M3190" i="5"/>
  <c r="L3190" i="5"/>
  <c r="K3190" i="5"/>
  <c r="J3190" i="5"/>
  <c r="I3190" i="5"/>
  <c r="H3190" i="5"/>
  <c r="N3189" i="5"/>
  <c r="M3189" i="5"/>
  <c r="L3189" i="5"/>
  <c r="K3189" i="5"/>
  <c r="J3189" i="5"/>
  <c r="I3189" i="5"/>
  <c r="H3189" i="5"/>
  <c r="N3173" i="5"/>
  <c r="M3173" i="5"/>
  <c r="L3173" i="5"/>
  <c r="K3173" i="5"/>
  <c r="J3173" i="5"/>
  <c r="I3173" i="5"/>
  <c r="H3173" i="5"/>
  <c r="N3172" i="5"/>
  <c r="M3172" i="5"/>
  <c r="L3172" i="5"/>
  <c r="K3172" i="5"/>
  <c r="J3172" i="5"/>
  <c r="I3172" i="5"/>
  <c r="H3172" i="5"/>
  <c r="N3171" i="5"/>
  <c r="M3171" i="5"/>
  <c r="L3171" i="5"/>
  <c r="K3171" i="5"/>
  <c r="J3171" i="5"/>
  <c r="I3171" i="5"/>
  <c r="H3171" i="5"/>
  <c r="N3170" i="5"/>
  <c r="M3170" i="5"/>
  <c r="L3170" i="5"/>
  <c r="K3170" i="5"/>
  <c r="J3170" i="5"/>
  <c r="I3170" i="5"/>
  <c r="H3170" i="5"/>
  <c r="N3169" i="5"/>
  <c r="M3169" i="5"/>
  <c r="L3169" i="5"/>
  <c r="K3169" i="5"/>
  <c r="J3169" i="5"/>
  <c r="I3169" i="5"/>
  <c r="H3169" i="5"/>
  <c r="N3162" i="5"/>
  <c r="M3162" i="5"/>
  <c r="L3162" i="5"/>
  <c r="K3162" i="5"/>
  <c r="J3162" i="5"/>
  <c r="I3162" i="5"/>
  <c r="H3162" i="5"/>
  <c r="N3161" i="5"/>
  <c r="M3161" i="5"/>
  <c r="L3161" i="5"/>
  <c r="K3161" i="5"/>
  <c r="J3161" i="5"/>
  <c r="I3161" i="5"/>
  <c r="H3161" i="5"/>
  <c r="N3160" i="5"/>
  <c r="M3160" i="5"/>
  <c r="L3160" i="5"/>
  <c r="K3160" i="5"/>
  <c r="J3160" i="5"/>
  <c r="I3160" i="5"/>
  <c r="H3160" i="5"/>
  <c r="N3159" i="5"/>
  <c r="M3159" i="5"/>
  <c r="L3159" i="5"/>
  <c r="K3159" i="5"/>
  <c r="J3159" i="5"/>
  <c r="I3159" i="5"/>
  <c r="H3159" i="5"/>
  <c r="N3158" i="5"/>
  <c r="M3158" i="5"/>
  <c r="L3158" i="5"/>
  <c r="K3158" i="5"/>
  <c r="J3158" i="5"/>
  <c r="I3158" i="5"/>
  <c r="H3158" i="5"/>
  <c r="N3157" i="5"/>
  <c r="M3157" i="5"/>
  <c r="L3157" i="5"/>
  <c r="K3157" i="5"/>
  <c r="J3157" i="5"/>
  <c r="I3157" i="5"/>
  <c r="H3157" i="5"/>
  <c r="N3156" i="5"/>
  <c r="M3156" i="5"/>
  <c r="L3156" i="5"/>
  <c r="K3156" i="5"/>
  <c r="J3156" i="5"/>
  <c r="I3156" i="5"/>
  <c r="H3156" i="5"/>
  <c r="N3155" i="5"/>
  <c r="M3155" i="5"/>
  <c r="L3155" i="5"/>
  <c r="K3155" i="5"/>
  <c r="J3155" i="5"/>
  <c r="I3155" i="5"/>
  <c r="H3155" i="5"/>
  <c r="N3154" i="5"/>
  <c r="M3154" i="5"/>
  <c r="L3154" i="5"/>
  <c r="K3154" i="5"/>
  <c r="J3154" i="5"/>
  <c r="I3154" i="5"/>
  <c r="H3154" i="5"/>
  <c r="N3153" i="5"/>
  <c r="M3153" i="5"/>
  <c r="L3153" i="5"/>
  <c r="K3153" i="5"/>
  <c r="J3153" i="5"/>
  <c r="I3153" i="5"/>
  <c r="H3153" i="5"/>
  <c r="N3148" i="5"/>
  <c r="M3148" i="5"/>
  <c r="L3148" i="5"/>
  <c r="K3148" i="5"/>
  <c r="J3148" i="5"/>
  <c r="I3148" i="5"/>
  <c r="H3148" i="5"/>
  <c r="N3147" i="5"/>
  <c r="M3147" i="5"/>
  <c r="L3147" i="5"/>
  <c r="K3147" i="5"/>
  <c r="J3147" i="5"/>
  <c r="I3147" i="5"/>
  <c r="H3147" i="5"/>
  <c r="N3146" i="5"/>
  <c r="M3146" i="5"/>
  <c r="L3146" i="5"/>
  <c r="K3146" i="5"/>
  <c r="J3146" i="5"/>
  <c r="I3146" i="5"/>
  <c r="H3146" i="5"/>
  <c r="N3145" i="5"/>
  <c r="M3145" i="5"/>
  <c r="L3145" i="5"/>
  <c r="K3145" i="5"/>
  <c r="J3145" i="5"/>
  <c r="I3145" i="5"/>
  <c r="H3145" i="5"/>
  <c r="N3144" i="5"/>
  <c r="M3144" i="5"/>
  <c r="L3144" i="5"/>
  <c r="K3144" i="5"/>
  <c r="J3144" i="5"/>
  <c r="I3144" i="5"/>
  <c r="H3144" i="5"/>
  <c r="N3143" i="5"/>
  <c r="M3143" i="5"/>
  <c r="L3143" i="5"/>
  <c r="K3143" i="5"/>
  <c r="J3143" i="5"/>
  <c r="I3143" i="5"/>
  <c r="H3143" i="5"/>
  <c r="N3142" i="5"/>
  <c r="M3142" i="5"/>
  <c r="L3142" i="5"/>
  <c r="K3142" i="5"/>
  <c r="J3142" i="5"/>
  <c r="I3142" i="5"/>
  <c r="H3142" i="5"/>
  <c r="N3141" i="5"/>
  <c r="M3141" i="5"/>
  <c r="L3141" i="5"/>
  <c r="K3141" i="5"/>
  <c r="J3141" i="5"/>
  <c r="I3141" i="5"/>
  <c r="H3141" i="5"/>
  <c r="N3140" i="5"/>
  <c r="M3140" i="5"/>
  <c r="L3140" i="5"/>
  <c r="K3140" i="5"/>
  <c r="J3140" i="5"/>
  <c r="I3140" i="5"/>
  <c r="H3140" i="5"/>
  <c r="N3139" i="5"/>
  <c r="M3139" i="5"/>
  <c r="L3139" i="5"/>
  <c r="K3139" i="5"/>
  <c r="J3139" i="5"/>
  <c r="I3139" i="5"/>
  <c r="H3139" i="5"/>
  <c r="N3138" i="5"/>
  <c r="M3138" i="5"/>
  <c r="L3138" i="5"/>
  <c r="K3138" i="5"/>
  <c r="J3138" i="5"/>
  <c r="I3138" i="5"/>
  <c r="H3138" i="5"/>
  <c r="N3137" i="5"/>
  <c r="M3137" i="5"/>
  <c r="L3137" i="5"/>
  <c r="K3137" i="5"/>
  <c r="J3137" i="5"/>
  <c r="I3137" i="5"/>
  <c r="H3137" i="5"/>
  <c r="N3125" i="5"/>
  <c r="M3125" i="5"/>
  <c r="L3125" i="5"/>
  <c r="K3125" i="5"/>
  <c r="J3125" i="5"/>
  <c r="I3125" i="5"/>
  <c r="H3125" i="5"/>
  <c r="N3124" i="5"/>
  <c r="M3124" i="5"/>
  <c r="L3124" i="5"/>
  <c r="K3124" i="5"/>
  <c r="J3124" i="5"/>
  <c r="I3124" i="5"/>
  <c r="H3124" i="5"/>
  <c r="N3123" i="5"/>
  <c r="M3123" i="5"/>
  <c r="L3123" i="5"/>
  <c r="K3123" i="5"/>
  <c r="J3123" i="5"/>
  <c r="I3123" i="5"/>
  <c r="H3123" i="5"/>
  <c r="N3122" i="5"/>
  <c r="M3122" i="5"/>
  <c r="L3122" i="5"/>
  <c r="K3122" i="5"/>
  <c r="J3122" i="5"/>
  <c r="I3122" i="5"/>
  <c r="H3122" i="5"/>
  <c r="N3121" i="5"/>
  <c r="M3121" i="5"/>
  <c r="L3121" i="5"/>
  <c r="K3121" i="5"/>
  <c r="J3121" i="5"/>
  <c r="I3121" i="5"/>
  <c r="H3121" i="5"/>
  <c r="N3114" i="5"/>
  <c r="M3114" i="5"/>
  <c r="L3114" i="5"/>
  <c r="K3114" i="5"/>
  <c r="J3114" i="5"/>
  <c r="I3114" i="5"/>
  <c r="H3114" i="5"/>
  <c r="N3113" i="5"/>
  <c r="M3113" i="5"/>
  <c r="L3113" i="5"/>
  <c r="K3113" i="5"/>
  <c r="J3113" i="5"/>
  <c r="I3113" i="5"/>
  <c r="H3113" i="5"/>
  <c r="N3112" i="5"/>
  <c r="M3112" i="5"/>
  <c r="L3112" i="5"/>
  <c r="K3112" i="5"/>
  <c r="J3112" i="5"/>
  <c r="I3112" i="5"/>
  <c r="H3112" i="5"/>
  <c r="N3111" i="5"/>
  <c r="M3111" i="5"/>
  <c r="L3111" i="5"/>
  <c r="K3111" i="5"/>
  <c r="J3111" i="5"/>
  <c r="I3111" i="5"/>
  <c r="H3111" i="5"/>
  <c r="N3110" i="5"/>
  <c r="M3110" i="5"/>
  <c r="L3110" i="5"/>
  <c r="K3110" i="5"/>
  <c r="J3110" i="5"/>
  <c r="I3110" i="5"/>
  <c r="H3110" i="5"/>
  <c r="N3109" i="5"/>
  <c r="M3109" i="5"/>
  <c r="L3109" i="5"/>
  <c r="K3109" i="5"/>
  <c r="J3109" i="5"/>
  <c r="I3109" i="5"/>
  <c r="H3109" i="5"/>
  <c r="N3108" i="5"/>
  <c r="M3108" i="5"/>
  <c r="L3108" i="5"/>
  <c r="K3108" i="5"/>
  <c r="J3108" i="5"/>
  <c r="I3108" i="5"/>
  <c r="H3108" i="5"/>
  <c r="N3107" i="5"/>
  <c r="M3107" i="5"/>
  <c r="L3107" i="5"/>
  <c r="K3107" i="5"/>
  <c r="J3107" i="5"/>
  <c r="I3107" i="5"/>
  <c r="H3107" i="5"/>
  <c r="N3106" i="5"/>
  <c r="M3106" i="5"/>
  <c r="L3106" i="5"/>
  <c r="K3106" i="5"/>
  <c r="J3106" i="5"/>
  <c r="I3106" i="5"/>
  <c r="H3106" i="5"/>
  <c r="N3105" i="5"/>
  <c r="M3105" i="5"/>
  <c r="L3105" i="5"/>
  <c r="K3105" i="5"/>
  <c r="J3105" i="5"/>
  <c r="I3105" i="5"/>
  <c r="H3105" i="5"/>
  <c r="N3100" i="5"/>
  <c r="M3100" i="5"/>
  <c r="L3100" i="5"/>
  <c r="K3100" i="5"/>
  <c r="J3100" i="5"/>
  <c r="I3100" i="5"/>
  <c r="H3100" i="5"/>
  <c r="N3099" i="5"/>
  <c r="M3099" i="5"/>
  <c r="L3099" i="5"/>
  <c r="K3099" i="5"/>
  <c r="J3099" i="5"/>
  <c r="I3099" i="5"/>
  <c r="H3099" i="5"/>
  <c r="N3098" i="5"/>
  <c r="M3098" i="5"/>
  <c r="L3098" i="5"/>
  <c r="K3098" i="5"/>
  <c r="J3098" i="5"/>
  <c r="I3098" i="5"/>
  <c r="H3098" i="5"/>
  <c r="N3097" i="5"/>
  <c r="M3097" i="5"/>
  <c r="L3097" i="5"/>
  <c r="K3097" i="5"/>
  <c r="J3097" i="5"/>
  <c r="I3097" i="5"/>
  <c r="H3097" i="5"/>
  <c r="N3096" i="5"/>
  <c r="M3096" i="5"/>
  <c r="L3096" i="5"/>
  <c r="K3096" i="5"/>
  <c r="J3096" i="5"/>
  <c r="I3096" i="5"/>
  <c r="H3096" i="5"/>
  <c r="N3095" i="5"/>
  <c r="M3095" i="5"/>
  <c r="L3095" i="5"/>
  <c r="K3095" i="5"/>
  <c r="J3095" i="5"/>
  <c r="I3095" i="5"/>
  <c r="H3095" i="5"/>
  <c r="N3094" i="5"/>
  <c r="M3094" i="5"/>
  <c r="L3094" i="5"/>
  <c r="K3094" i="5"/>
  <c r="J3094" i="5"/>
  <c r="I3094" i="5"/>
  <c r="H3094" i="5"/>
  <c r="N3093" i="5"/>
  <c r="M3093" i="5"/>
  <c r="L3093" i="5"/>
  <c r="K3093" i="5"/>
  <c r="J3093" i="5"/>
  <c r="I3093" i="5"/>
  <c r="H3093" i="5"/>
  <c r="N3092" i="5"/>
  <c r="M3092" i="5"/>
  <c r="L3092" i="5"/>
  <c r="K3092" i="5"/>
  <c r="J3092" i="5"/>
  <c r="I3092" i="5"/>
  <c r="H3092" i="5"/>
  <c r="N3091" i="5"/>
  <c r="M3091" i="5"/>
  <c r="L3091" i="5"/>
  <c r="K3091" i="5"/>
  <c r="J3091" i="5"/>
  <c r="I3091" i="5"/>
  <c r="H3091" i="5"/>
  <c r="N3090" i="5"/>
  <c r="M3090" i="5"/>
  <c r="L3090" i="5"/>
  <c r="K3090" i="5"/>
  <c r="J3090" i="5"/>
  <c r="I3090" i="5"/>
  <c r="H3090" i="5"/>
  <c r="N3089" i="5"/>
  <c r="M3089" i="5"/>
  <c r="L3089" i="5"/>
  <c r="K3089" i="5"/>
  <c r="J3089" i="5"/>
  <c r="I3089" i="5"/>
  <c r="H3089" i="5"/>
  <c r="N3088" i="5"/>
  <c r="M3088" i="5"/>
  <c r="L3088" i="5"/>
  <c r="K3088" i="5"/>
  <c r="J3088" i="5"/>
  <c r="I3088" i="5"/>
  <c r="H3088" i="5"/>
  <c r="N3077" i="5"/>
  <c r="M3077" i="5"/>
  <c r="L3077" i="5"/>
  <c r="K3077" i="5"/>
  <c r="J3077" i="5"/>
  <c r="I3077" i="5"/>
  <c r="H3077" i="5"/>
  <c r="N3076" i="5"/>
  <c r="M3076" i="5"/>
  <c r="L3076" i="5"/>
  <c r="K3076" i="5"/>
  <c r="J3076" i="5"/>
  <c r="I3076" i="5"/>
  <c r="H3076" i="5"/>
  <c r="N3075" i="5"/>
  <c r="M3075" i="5"/>
  <c r="L3075" i="5"/>
  <c r="K3075" i="5"/>
  <c r="J3075" i="5"/>
  <c r="I3075" i="5"/>
  <c r="H3075" i="5"/>
  <c r="N3074" i="5"/>
  <c r="M3074" i="5"/>
  <c r="L3074" i="5"/>
  <c r="K3074" i="5"/>
  <c r="J3074" i="5"/>
  <c r="I3074" i="5"/>
  <c r="H3074" i="5"/>
  <c r="N3073" i="5"/>
  <c r="M3073" i="5"/>
  <c r="L3073" i="5"/>
  <c r="K3073" i="5"/>
  <c r="J3073" i="5"/>
  <c r="I3073" i="5"/>
  <c r="H3073" i="5"/>
  <c r="N3066" i="5"/>
  <c r="M3066" i="5"/>
  <c r="L3066" i="5"/>
  <c r="K3066" i="5"/>
  <c r="J3066" i="5"/>
  <c r="I3066" i="5"/>
  <c r="H3066" i="5"/>
  <c r="N3065" i="5"/>
  <c r="M3065" i="5"/>
  <c r="L3065" i="5"/>
  <c r="K3065" i="5"/>
  <c r="J3065" i="5"/>
  <c r="I3065" i="5"/>
  <c r="H3065" i="5"/>
  <c r="N3064" i="5"/>
  <c r="M3064" i="5"/>
  <c r="L3064" i="5"/>
  <c r="K3064" i="5"/>
  <c r="J3064" i="5"/>
  <c r="I3064" i="5"/>
  <c r="H3064" i="5"/>
  <c r="N3063" i="5"/>
  <c r="M3063" i="5"/>
  <c r="L3063" i="5"/>
  <c r="K3063" i="5"/>
  <c r="J3063" i="5"/>
  <c r="I3063" i="5"/>
  <c r="H3063" i="5"/>
  <c r="N3062" i="5"/>
  <c r="M3062" i="5"/>
  <c r="L3062" i="5"/>
  <c r="K3062" i="5"/>
  <c r="J3062" i="5"/>
  <c r="I3062" i="5"/>
  <c r="H3062" i="5"/>
  <c r="N3061" i="5"/>
  <c r="M3061" i="5"/>
  <c r="L3061" i="5"/>
  <c r="K3061" i="5"/>
  <c r="J3061" i="5"/>
  <c r="I3061" i="5"/>
  <c r="H3061" i="5"/>
  <c r="N3060" i="5"/>
  <c r="M3060" i="5"/>
  <c r="L3060" i="5"/>
  <c r="K3060" i="5"/>
  <c r="J3060" i="5"/>
  <c r="I3060" i="5"/>
  <c r="H3060" i="5"/>
  <c r="N3059" i="5"/>
  <c r="M3059" i="5"/>
  <c r="L3059" i="5"/>
  <c r="K3059" i="5"/>
  <c r="J3059" i="5"/>
  <c r="I3059" i="5"/>
  <c r="H3059" i="5"/>
  <c r="N3052" i="5"/>
  <c r="M3052" i="5"/>
  <c r="L3052" i="5"/>
  <c r="K3052" i="5"/>
  <c r="J3052" i="5"/>
  <c r="I3052" i="5"/>
  <c r="H3052" i="5"/>
  <c r="N3051" i="5"/>
  <c r="M3051" i="5"/>
  <c r="L3051" i="5"/>
  <c r="K3051" i="5"/>
  <c r="J3051" i="5"/>
  <c r="I3051" i="5"/>
  <c r="H3051" i="5"/>
  <c r="N3050" i="5"/>
  <c r="M3050" i="5"/>
  <c r="L3050" i="5"/>
  <c r="K3050" i="5"/>
  <c r="J3050" i="5"/>
  <c r="I3050" i="5"/>
  <c r="H3050" i="5"/>
  <c r="N3049" i="5"/>
  <c r="M3049" i="5"/>
  <c r="L3049" i="5"/>
  <c r="K3049" i="5"/>
  <c r="J3049" i="5"/>
  <c r="I3049" i="5"/>
  <c r="H3049" i="5"/>
  <c r="N3048" i="5"/>
  <c r="M3048" i="5"/>
  <c r="L3048" i="5"/>
  <c r="K3048" i="5"/>
  <c r="J3048" i="5"/>
  <c r="I3048" i="5"/>
  <c r="H3048" i="5"/>
  <c r="N3047" i="5"/>
  <c r="M3047" i="5"/>
  <c r="L3047" i="5"/>
  <c r="K3047" i="5"/>
  <c r="J3047" i="5"/>
  <c r="I3047" i="5"/>
  <c r="H3047" i="5"/>
  <c r="N3046" i="5"/>
  <c r="M3046" i="5"/>
  <c r="L3046" i="5"/>
  <c r="K3046" i="5"/>
  <c r="J3046" i="5"/>
  <c r="I3046" i="5"/>
  <c r="H3046" i="5"/>
  <c r="N3045" i="5"/>
  <c r="M3045" i="5"/>
  <c r="L3045" i="5"/>
  <c r="K3045" i="5"/>
  <c r="J3045" i="5"/>
  <c r="I3045" i="5"/>
  <c r="H3045" i="5"/>
  <c r="N3044" i="5"/>
  <c r="M3044" i="5"/>
  <c r="L3044" i="5"/>
  <c r="K3044" i="5"/>
  <c r="J3044" i="5"/>
  <c r="I3044" i="5"/>
  <c r="H3044" i="5"/>
  <c r="N3043" i="5"/>
  <c r="M3043" i="5"/>
  <c r="L3043" i="5"/>
  <c r="K3043" i="5"/>
  <c r="J3043" i="5"/>
  <c r="I3043" i="5"/>
  <c r="H3043" i="5"/>
  <c r="N3042" i="5"/>
  <c r="M3042" i="5"/>
  <c r="L3042" i="5"/>
  <c r="K3042" i="5"/>
  <c r="J3042" i="5"/>
  <c r="I3042" i="5"/>
  <c r="H3042" i="5"/>
  <c r="N3041" i="5"/>
  <c r="M3041" i="5"/>
  <c r="L3041" i="5"/>
  <c r="K3041" i="5"/>
  <c r="J3041" i="5"/>
  <c r="I3041" i="5"/>
  <c r="H3041" i="5"/>
  <c r="N3040" i="5"/>
  <c r="M3040" i="5"/>
  <c r="L3040" i="5"/>
  <c r="K3040" i="5"/>
  <c r="J3040" i="5"/>
  <c r="I3040" i="5"/>
  <c r="H3040" i="5"/>
  <c r="N3029" i="5"/>
  <c r="M3029" i="5"/>
  <c r="L3029" i="5"/>
  <c r="K3029" i="5"/>
  <c r="J3029" i="5"/>
  <c r="I3029" i="5"/>
  <c r="H3029" i="5"/>
  <c r="N3028" i="5"/>
  <c r="M3028" i="5"/>
  <c r="L3028" i="5"/>
  <c r="K3028" i="5"/>
  <c r="J3028" i="5"/>
  <c r="I3028" i="5"/>
  <c r="H3028" i="5"/>
  <c r="N3027" i="5"/>
  <c r="M3027" i="5"/>
  <c r="L3027" i="5"/>
  <c r="K3027" i="5"/>
  <c r="J3027" i="5"/>
  <c r="I3027" i="5"/>
  <c r="H3027" i="5"/>
  <c r="N3026" i="5"/>
  <c r="M3026" i="5"/>
  <c r="L3026" i="5"/>
  <c r="K3026" i="5"/>
  <c r="J3026" i="5"/>
  <c r="I3026" i="5"/>
  <c r="H3026" i="5"/>
  <c r="N3025" i="5"/>
  <c r="M3025" i="5"/>
  <c r="L3025" i="5"/>
  <c r="K3025" i="5"/>
  <c r="J3025" i="5"/>
  <c r="I3025" i="5"/>
  <c r="H3025" i="5"/>
  <c r="N3018" i="5"/>
  <c r="M3018" i="5"/>
  <c r="L3018" i="5"/>
  <c r="K3018" i="5"/>
  <c r="J3018" i="5"/>
  <c r="I3018" i="5"/>
  <c r="H3018" i="5"/>
  <c r="N3017" i="5"/>
  <c r="M3017" i="5"/>
  <c r="L3017" i="5"/>
  <c r="K3017" i="5"/>
  <c r="J3017" i="5"/>
  <c r="I3017" i="5"/>
  <c r="H3017" i="5"/>
  <c r="N3016" i="5"/>
  <c r="M3016" i="5"/>
  <c r="L3016" i="5"/>
  <c r="K3016" i="5"/>
  <c r="J3016" i="5"/>
  <c r="I3016" i="5"/>
  <c r="H3016" i="5"/>
  <c r="N3015" i="5"/>
  <c r="M3015" i="5"/>
  <c r="L3015" i="5"/>
  <c r="K3015" i="5"/>
  <c r="J3015" i="5"/>
  <c r="I3015" i="5"/>
  <c r="H3015" i="5"/>
  <c r="N3014" i="5"/>
  <c r="M3014" i="5"/>
  <c r="L3014" i="5"/>
  <c r="K3014" i="5"/>
  <c r="J3014" i="5"/>
  <c r="I3014" i="5"/>
  <c r="H3014" i="5"/>
  <c r="N3013" i="5"/>
  <c r="M3013" i="5"/>
  <c r="L3013" i="5"/>
  <c r="K3013" i="5"/>
  <c r="J3013" i="5"/>
  <c r="I3013" i="5"/>
  <c r="H3013" i="5"/>
  <c r="N3012" i="5"/>
  <c r="M3012" i="5"/>
  <c r="L3012" i="5"/>
  <c r="K3012" i="5"/>
  <c r="J3012" i="5"/>
  <c r="I3012" i="5"/>
  <c r="H3012" i="5"/>
  <c r="N3011" i="5"/>
  <c r="M3011" i="5"/>
  <c r="L3011" i="5"/>
  <c r="K3011" i="5"/>
  <c r="J3011" i="5"/>
  <c r="I3011" i="5"/>
  <c r="H3011" i="5"/>
  <c r="N3010" i="5"/>
  <c r="M3010" i="5"/>
  <c r="L3010" i="5"/>
  <c r="K3010" i="5"/>
  <c r="J3010" i="5"/>
  <c r="I3010" i="5"/>
  <c r="H3010" i="5"/>
  <c r="N3009" i="5"/>
  <c r="M3009" i="5"/>
  <c r="L3009" i="5"/>
  <c r="K3009" i="5"/>
  <c r="J3009" i="5"/>
  <c r="I3009" i="5"/>
  <c r="H3009" i="5"/>
  <c r="N3004" i="5"/>
  <c r="M3004" i="5"/>
  <c r="L3004" i="5"/>
  <c r="K3004" i="5"/>
  <c r="J3004" i="5"/>
  <c r="I3004" i="5"/>
  <c r="H3004" i="5"/>
  <c r="N3003" i="5"/>
  <c r="M3003" i="5"/>
  <c r="L3003" i="5"/>
  <c r="K3003" i="5"/>
  <c r="J3003" i="5"/>
  <c r="I3003" i="5"/>
  <c r="H3003" i="5"/>
  <c r="N3002" i="5"/>
  <c r="M3002" i="5"/>
  <c r="L3002" i="5"/>
  <c r="K3002" i="5"/>
  <c r="J3002" i="5"/>
  <c r="I3002" i="5"/>
  <c r="H3002" i="5"/>
  <c r="N3001" i="5"/>
  <c r="M3001" i="5"/>
  <c r="L3001" i="5"/>
  <c r="K3001" i="5"/>
  <c r="J3001" i="5"/>
  <c r="I3001" i="5"/>
  <c r="H3001" i="5"/>
  <c r="N3000" i="5"/>
  <c r="M3000" i="5"/>
  <c r="L3000" i="5"/>
  <c r="K3000" i="5"/>
  <c r="J3000" i="5"/>
  <c r="I3000" i="5"/>
  <c r="H3000" i="5"/>
  <c r="N2999" i="5"/>
  <c r="M2999" i="5"/>
  <c r="L2999" i="5"/>
  <c r="K2999" i="5"/>
  <c r="J2999" i="5"/>
  <c r="I2999" i="5"/>
  <c r="H2999" i="5"/>
  <c r="N2998" i="5"/>
  <c r="M2998" i="5"/>
  <c r="L2998" i="5"/>
  <c r="K2998" i="5"/>
  <c r="J2998" i="5"/>
  <c r="I2998" i="5"/>
  <c r="H2998" i="5"/>
  <c r="N2997" i="5"/>
  <c r="M2997" i="5"/>
  <c r="L2997" i="5"/>
  <c r="K2997" i="5"/>
  <c r="J2997" i="5"/>
  <c r="I2997" i="5"/>
  <c r="H2997" i="5"/>
  <c r="N2996" i="5"/>
  <c r="M2996" i="5"/>
  <c r="L2996" i="5"/>
  <c r="K2996" i="5"/>
  <c r="J2996" i="5"/>
  <c r="I2996" i="5"/>
  <c r="H2996" i="5"/>
  <c r="N2995" i="5"/>
  <c r="M2995" i="5"/>
  <c r="L2995" i="5"/>
  <c r="K2995" i="5"/>
  <c r="J2995" i="5"/>
  <c r="I2995" i="5"/>
  <c r="H2995" i="5"/>
  <c r="N2994" i="5"/>
  <c r="M2994" i="5"/>
  <c r="L2994" i="5"/>
  <c r="K2994" i="5"/>
  <c r="J2994" i="5"/>
  <c r="I2994" i="5"/>
  <c r="H2994" i="5"/>
  <c r="N2993" i="5"/>
  <c r="M2993" i="5"/>
  <c r="L2993" i="5"/>
  <c r="K2993" i="5"/>
  <c r="J2993" i="5"/>
  <c r="I2993" i="5"/>
  <c r="H2993" i="5"/>
  <c r="N2992" i="5"/>
  <c r="M2992" i="5"/>
  <c r="L2992" i="5"/>
  <c r="K2992" i="5"/>
  <c r="J2992" i="5"/>
  <c r="I2992" i="5"/>
  <c r="H2992" i="5"/>
  <c r="N2981" i="5"/>
  <c r="M2981" i="5"/>
  <c r="L2981" i="5"/>
  <c r="K2981" i="5"/>
  <c r="J2981" i="5"/>
  <c r="I2981" i="5"/>
  <c r="H2981" i="5"/>
  <c r="N2980" i="5"/>
  <c r="M2980" i="5"/>
  <c r="L2980" i="5"/>
  <c r="K2980" i="5"/>
  <c r="J2980" i="5"/>
  <c r="I2980" i="5"/>
  <c r="H2980" i="5"/>
  <c r="N2979" i="5"/>
  <c r="M2979" i="5"/>
  <c r="L2979" i="5"/>
  <c r="K2979" i="5"/>
  <c r="J2979" i="5"/>
  <c r="I2979" i="5"/>
  <c r="H2979" i="5"/>
  <c r="N2978" i="5"/>
  <c r="M2978" i="5"/>
  <c r="L2978" i="5"/>
  <c r="K2978" i="5"/>
  <c r="J2978" i="5"/>
  <c r="I2978" i="5"/>
  <c r="H2978" i="5"/>
  <c r="N2977" i="5"/>
  <c r="M2977" i="5"/>
  <c r="L2977" i="5"/>
  <c r="K2977" i="5"/>
  <c r="J2977" i="5"/>
  <c r="I2977" i="5"/>
  <c r="H2977" i="5"/>
  <c r="N2970" i="5"/>
  <c r="M2970" i="5"/>
  <c r="L2970" i="5"/>
  <c r="K2970" i="5"/>
  <c r="J2970" i="5"/>
  <c r="I2970" i="5"/>
  <c r="H2970" i="5"/>
  <c r="N2969" i="5"/>
  <c r="M2969" i="5"/>
  <c r="L2969" i="5"/>
  <c r="K2969" i="5"/>
  <c r="J2969" i="5"/>
  <c r="I2969" i="5"/>
  <c r="H2969" i="5"/>
  <c r="N2968" i="5"/>
  <c r="M2968" i="5"/>
  <c r="L2968" i="5"/>
  <c r="K2968" i="5"/>
  <c r="J2968" i="5"/>
  <c r="I2968" i="5"/>
  <c r="H2968" i="5"/>
  <c r="N2967" i="5"/>
  <c r="M2967" i="5"/>
  <c r="L2967" i="5"/>
  <c r="K2967" i="5"/>
  <c r="J2967" i="5"/>
  <c r="I2967" i="5"/>
  <c r="H2967" i="5"/>
  <c r="N2966" i="5"/>
  <c r="M2966" i="5"/>
  <c r="L2966" i="5"/>
  <c r="K2966" i="5"/>
  <c r="J2966" i="5"/>
  <c r="I2966" i="5"/>
  <c r="H2966" i="5"/>
  <c r="N2965" i="5"/>
  <c r="M2965" i="5"/>
  <c r="L2965" i="5"/>
  <c r="K2965" i="5"/>
  <c r="J2965" i="5"/>
  <c r="I2965" i="5"/>
  <c r="H2965" i="5"/>
  <c r="N2964" i="5"/>
  <c r="M2964" i="5"/>
  <c r="L2964" i="5"/>
  <c r="K2964" i="5"/>
  <c r="J2964" i="5"/>
  <c r="I2964" i="5"/>
  <c r="H2964" i="5"/>
  <c r="N2963" i="5"/>
  <c r="M2963" i="5"/>
  <c r="L2963" i="5"/>
  <c r="K2963" i="5"/>
  <c r="J2963" i="5"/>
  <c r="I2963" i="5"/>
  <c r="H2963" i="5"/>
  <c r="N2962" i="5"/>
  <c r="M2962" i="5"/>
  <c r="L2962" i="5"/>
  <c r="K2962" i="5"/>
  <c r="J2962" i="5"/>
  <c r="I2962" i="5"/>
  <c r="H2962" i="5"/>
  <c r="N2961" i="5"/>
  <c r="M2961" i="5"/>
  <c r="L2961" i="5"/>
  <c r="K2961" i="5"/>
  <c r="J2961" i="5"/>
  <c r="I2961" i="5"/>
  <c r="H2961" i="5"/>
  <c r="N2956" i="5"/>
  <c r="M2956" i="5"/>
  <c r="L2956" i="5"/>
  <c r="K2956" i="5"/>
  <c r="J2956" i="5"/>
  <c r="I2956" i="5"/>
  <c r="H2956" i="5"/>
  <c r="N2955" i="5"/>
  <c r="M2955" i="5"/>
  <c r="L2955" i="5"/>
  <c r="K2955" i="5"/>
  <c r="J2955" i="5"/>
  <c r="I2955" i="5"/>
  <c r="H2955" i="5"/>
  <c r="N2954" i="5"/>
  <c r="M2954" i="5"/>
  <c r="L2954" i="5"/>
  <c r="K2954" i="5"/>
  <c r="J2954" i="5"/>
  <c r="I2954" i="5"/>
  <c r="H2954" i="5"/>
  <c r="N2953" i="5"/>
  <c r="M2953" i="5"/>
  <c r="L2953" i="5"/>
  <c r="K2953" i="5"/>
  <c r="J2953" i="5"/>
  <c r="I2953" i="5"/>
  <c r="H2953" i="5"/>
  <c r="N2952" i="5"/>
  <c r="M2952" i="5"/>
  <c r="L2952" i="5"/>
  <c r="K2952" i="5"/>
  <c r="J2952" i="5"/>
  <c r="I2952" i="5"/>
  <c r="H2952" i="5"/>
  <c r="N2951" i="5"/>
  <c r="M2951" i="5"/>
  <c r="L2951" i="5"/>
  <c r="K2951" i="5"/>
  <c r="J2951" i="5"/>
  <c r="I2951" i="5"/>
  <c r="H2951" i="5"/>
  <c r="N2950" i="5"/>
  <c r="M2950" i="5"/>
  <c r="L2950" i="5"/>
  <c r="K2950" i="5"/>
  <c r="J2950" i="5"/>
  <c r="I2950" i="5"/>
  <c r="H2950" i="5"/>
  <c r="N2949" i="5"/>
  <c r="M2949" i="5"/>
  <c r="L2949" i="5"/>
  <c r="K2949" i="5"/>
  <c r="J2949" i="5"/>
  <c r="I2949" i="5"/>
  <c r="H2949" i="5"/>
  <c r="N2948" i="5"/>
  <c r="M2948" i="5"/>
  <c r="L2948" i="5"/>
  <c r="K2948" i="5"/>
  <c r="J2948" i="5"/>
  <c r="I2948" i="5"/>
  <c r="H2948" i="5"/>
  <c r="N2947" i="5"/>
  <c r="M2947" i="5"/>
  <c r="L2947" i="5"/>
  <c r="K2947" i="5"/>
  <c r="J2947" i="5"/>
  <c r="I2947" i="5"/>
  <c r="H2947" i="5"/>
  <c r="N2946" i="5"/>
  <c r="M2946" i="5"/>
  <c r="L2946" i="5"/>
  <c r="K2946" i="5"/>
  <c r="J2946" i="5"/>
  <c r="I2946" i="5"/>
  <c r="H2946" i="5"/>
  <c r="N2945" i="5"/>
  <c r="M2945" i="5"/>
  <c r="L2945" i="5"/>
  <c r="K2945" i="5"/>
  <c r="J2945" i="5"/>
  <c r="I2945" i="5"/>
  <c r="H2945" i="5"/>
  <c r="N2944" i="5"/>
  <c r="M2944" i="5"/>
  <c r="L2944" i="5"/>
  <c r="K2944" i="5"/>
  <c r="J2944" i="5"/>
  <c r="I2944" i="5"/>
  <c r="H2944" i="5"/>
  <c r="N2933" i="5"/>
  <c r="M2933" i="5"/>
  <c r="L2933" i="5"/>
  <c r="K2933" i="5"/>
  <c r="J2933" i="5"/>
  <c r="I2933" i="5"/>
  <c r="H2933" i="5"/>
  <c r="N2932" i="5"/>
  <c r="M2932" i="5"/>
  <c r="L2932" i="5"/>
  <c r="K2932" i="5"/>
  <c r="J2932" i="5"/>
  <c r="I2932" i="5"/>
  <c r="H2932" i="5"/>
  <c r="N2931" i="5"/>
  <c r="M2931" i="5"/>
  <c r="L2931" i="5"/>
  <c r="K2931" i="5"/>
  <c r="J2931" i="5"/>
  <c r="I2931" i="5"/>
  <c r="H2931" i="5"/>
  <c r="N2930" i="5"/>
  <c r="M2930" i="5"/>
  <c r="L2930" i="5"/>
  <c r="K2930" i="5"/>
  <c r="J2930" i="5"/>
  <c r="I2930" i="5"/>
  <c r="H2930" i="5"/>
  <c r="N2929" i="5"/>
  <c r="M2929" i="5"/>
  <c r="L2929" i="5"/>
  <c r="K2929" i="5"/>
  <c r="J2929" i="5"/>
  <c r="I2929" i="5"/>
  <c r="H2929" i="5"/>
  <c r="N2922" i="5"/>
  <c r="M2922" i="5"/>
  <c r="L2922" i="5"/>
  <c r="K2922" i="5"/>
  <c r="J2922" i="5"/>
  <c r="I2922" i="5"/>
  <c r="H2922" i="5"/>
  <c r="N2921" i="5"/>
  <c r="M2921" i="5"/>
  <c r="L2921" i="5"/>
  <c r="K2921" i="5"/>
  <c r="J2921" i="5"/>
  <c r="I2921" i="5"/>
  <c r="H2921" i="5"/>
  <c r="N2920" i="5"/>
  <c r="M2920" i="5"/>
  <c r="L2920" i="5"/>
  <c r="K2920" i="5"/>
  <c r="J2920" i="5"/>
  <c r="I2920" i="5"/>
  <c r="H2920" i="5"/>
  <c r="N2919" i="5"/>
  <c r="M2919" i="5"/>
  <c r="L2919" i="5"/>
  <c r="K2919" i="5"/>
  <c r="J2919" i="5"/>
  <c r="I2919" i="5"/>
  <c r="H2919" i="5"/>
  <c r="N2918" i="5"/>
  <c r="M2918" i="5"/>
  <c r="L2918" i="5"/>
  <c r="K2918" i="5"/>
  <c r="J2918" i="5"/>
  <c r="I2918" i="5"/>
  <c r="H2918" i="5"/>
  <c r="N2917" i="5"/>
  <c r="M2917" i="5"/>
  <c r="L2917" i="5"/>
  <c r="K2917" i="5"/>
  <c r="J2917" i="5"/>
  <c r="I2917" i="5"/>
  <c r="H2917" i="5"/>
  <c r="N2916" i="5"/>
  <c r="M2916" i="5"/>
  <c r="L2916" i="5"/>
  <c r="K2916" i="5"/>
  <c r="J2916" i="5"/>
  <c r="I2916" i="5"/>
  <c r="H2916" i="5"/>
  <c r="N2915" i="5"/>
  <c r="M2915" i="5"/>
  <c r="L2915" i="5"/>
  <c r="K2915" i="5"/>
  <c r="J2915" i="5"/>
  <c r="I2915" i="5"/>
  <c r="H2915" i="5"/>
  <c r="N2908" i="5"/>
  <c r="M2908" i="5"/>
  <c r="L2908" i="5"/>
  <c r="K2908" i="5"/>
  <c r="J2908" i="5"/>
  <c r="I2908" i="5"/>
  <c r="H2908" i="5"/>
  <c r="N2907" i="5"/>
  <c r="M2907" i="5"/>
  <c r="L2907" i="5"/>
  <c r="K2907" i="5"/>
  <c r="J2907" i="5"/>
  <c r="I2907" i="5"/>
  <c r="H2907" i="5"/>
  <c r="N2906" i="5"/>
  <c r="M2906" i="5"/>
  <c r="L2906" i="5"/>
  <c r="K2906" i="5"/>
  <c r="J2906" i="5"/>
  <c r="I2906" i="5"/>
  <c r="H2906" i="5"/>
  <c r="N2905" i="5"/>
  <c r="M2905" i="5"/>
  <c r="L2905" i="5"/>
  <c r="K2905" i="5"/>
  <c r="J2905" i="5"/>
  <c r="I2905" i="5"/>
  <c r="H2905" i="5"/>
  <c r="N2904" i="5"/>
  <c r="M2904" i="5"/>
  <c r="L2904" i="5"/>
  <c r="K2904" i="5"/>
  <c r="J2904" i="5"/>
  <c r="I2904" i="5"/>
  <c r="H2904" i="5"/>
  <c r="N2903" i="5"/>
  <c r="M2903" i="5"/>
  <c r="L2903" i="5"/>
  <c r="K2903" i="5"/>
  <c r="J2903" i="5"/>
  <c r="I2903" i="5"/>
  <c r="H2903" i="5"/>
  <c r="N2902" i="5"/>
  <c r="M2902" i="5"/>
  <c r="L2902" i="5"/>
  <c r="K2902" i="5"/>
  <c r="J2902" i="5"/>
  <c r="I2902" i="5"/>
  <c r="H2902" i="5"/>
  <c r="N2901" i="5"/>
  <c r="M2901" i="5"/>
  <c r="L2901" i="5"/>
  <c r="K2901" i="5"/>
  <c r="J2901" i="5"/>
  <c r="I2901" i="5"/>
  <c r="H2901" i="5"/>
  <c r="N2900" i="5"/>
  <c r="M2900" i="5"/>
  <c r="L2900" i="5"/>
  <c r="K2900" i="5"/>
  <c r="J2900" i="5"/>
  <c r="I2900" i="5"/>
  <c r="H2900" i="5"/>
  <c r="N2899" i="5"/>
  <c r="M2899" i="5"/>
  <c r="L2899" i="5"/>
  <c r="K2899" i="5"/>
  <c r="J2899" i="5"/>
  <c r="I2899" i="5"/>
  <c r="H2899" i="5"/>
  <c r="N2898" i="5"/>
  <c r="M2898" i="5"/>
  <c r="L2898" i="5"/>
  <c r="K2898" i="5"/>
  <c r="J2898" i="5"/>
  <c r="I2898" i="5"/>
  <c r="H2898" i="5"/>
  <c r="N2897" i="5"/>
  <c r="M2897" i="5"/>
  <c r="L2897" i="5"/>
  <c r="K2897" i="5"/>
  <c r="J2897" i="5"/>
  <c r="I2897" i="5"/>
  <c r="H2897" i="5"/>
  <c r="N2896" i="5"/>
  <c r="M2896" i="5"/>
  <c r="L2896" i="5"/>
  <c r="K2896" i="5"/>
  <c r="J2896" i="5"/>
  <c r="I2896" i="5"/>
  <c r="H2896" i="5"/>
  <c r="N2885" i="5"/>
  <c r="M2885" i="5"/>
  <c r="L2885" i="5"/>
  <c r="K2885" i="5"/>
  <c r="J2885" i="5"/>
  <c r="I2885" i="5"/>
  <c r="H2885" i="5"/>
  <c r="N2884" i="5"/>
  <c r="M2884" i="5"/>
  <c r="L2884" i="5"/>
  <c r="K2884" i="5"/>
  <c r="J2884" i="5"/>
  <c r="I2884" i="5"/>
  <c r="H2884" i="5"/>
  <c r="N2883" i="5"/>
  <c r="M2883" i="5"/>
  <c r="L2883" i="5"/>
  <c r="K2883" i="5"/>
  <c r="J2883" i="5"/>
  <c r="I2883" i="5"/>
  <c r="H2883" i="5"/>
  <c r="N2882" i="5"/>
  <c r="M2882" i="5"/>
  <c r="L2882" i="5"/>
  <c r="K2882" i="5"/>
  <c r="J2882" i="5"/>
  <c r="I2882" i="5"/>
  <c r="H2882" i="5"/>
  <c r="N2881" i="5"/>
  <c r="M2881" i="5"/>
  <c r="L2881" i="5"/>
  <c r="K2881" i="5"/>
  <c r="J2881" i="5"/>
  <c r="I2881" i="5"/>
  <c r="H2881" i="5"/>
  <c r="N2874" i="5"/>
  <c r="M2874" i="5"/>
  <c r="L2874" i="5"/>
  <c r="K2874" i="5"/>
  <c r="J2874" i="5"/>
  <c r="I2874" i="5"/>
  <c r="H2874" i="5"/>
  <c r="N2873" i="5"/>
  <c r="M2873" i="5"/>
  <c r="L2873" i="5"/>
  <c r="K2873" i="5"/>
  <c r="J2873" i="5"/>
  <c r="I2873" i="5"/>
  <c r="H2873" i="5"/>
  <c r="N2872" i="5"/>
  <c r="M2872" i="5"/>
  <c r="L2872" i="5"/>
  <c r="K2872" i="5"/>
  <c r="J2872" i="5"/>
  <c r="I2872" i="5"/>
  <c r="H2872" i="5"/>
  <c r="N2871" i="5"/>
  <c r="M2871" i="5"/>
  <c r="L2871" i="5"/>
  <c r="K2871" i="5"/>
  <c r="J2871" i="5"/>
  <c r="I2871" i="5"/>
  <c r="H2871" i="5"/>
  <c r="N2870" i="5"/>
  <c r="M2870" i="5"/>
  <c r="L2870" i="5"/>
  <c r="K2870" i="5"/>
  <c r="J2870" i="5"/>
  <c r="I2870" i="5"/>
  <c r="H2870" i="5"/>
  <c r="N2869" i="5"/>
  <c r="M2869" i="5"/>
  <c r="L2869" i="5"/>
  <c r="K2869" i="5"/>
  <c r="J2869" i="5"/>
  <c r="I2869" i="5"/>
  <c r="H2869" i="5"/>
  <c r="N2868" i="5"/>
  <c r="M2868" i="5"/>
  <c r="L2868" i="5"/>
  <c r="K2868" i="5"/>
  <c r="J2868" i="5"/>
  <c r="I2868" i="5"/>
  <c r="H2868" i="5"/>
  <c r="N2867" i="5"/>
  <c r="M2867" i="5"/>
  <c r="L2867" i="5"/>
  <c r="K2867" i="5"/>
  <c r="J2867" i="5"/>
  <c r="I2867" i="5"/>
  <c r="H2867" i="5"/>
  <c r="N2860" i="5"/>
  <c r="M2860" i="5"/>
  <c r="L2860" i="5"/>
  <c r="K2860" i="5"/>
  <c r="J2860" i="5"/>
  <c r="I2860" i="5"/>
  <c r="H2860" i="5"/>
  <c r="N2859" i="5"/>
  <c r="M2859" i="5"/>
  <c r="L2859" i="5"/>
  <c r="K2859" i="5"/>
  <c r="J2859" i="5"/>
  <c r="I2859" i="5"/>
  <c r="H2859" i="5"/>
  <c r="N2858" i="5"/>
  <c r="M2858" i="5"/>
  <c r="L2858" i="5"/>
  <c r="K2858" i="5"/>
  <c r="J2858" i="5"/>
  <c r="I2858" i="5"/>
  <c r="H2858" i="5"/>
  <c r="N2857" i="5"/>
  <c r="M2857" i="5"/>
  <c r="L2857" i="5"/>
  <c r="K2857" i="5"/>
  <c r="J2857" i="5"/>
  <c r="I2857" i="5"/>
  <c r="H2857" i="5"/>
  <c r="N2856" i="5"/>
  <c r="M2856" i="5"/>
  <c r="L2856" i="5"/>
  <c r="K2856" i="5"/>
  <c r="J2856" i="5"/>
  <c r="I2856" i="5"/>
  <c r="H2856" i="5"/>
  <c r="N2855" i="5"/>
  <c r="M2855" i="5"/>
  <c r="L2855" i="5"/>
  <c r="K2855" i="5"/>
  <c r="J2855" i="5"/>
  <c r="I2855" i="5"/>
  <c r="H2855" i="5"/>
  <c r="N2854" i="5"/>
  <c r="M2854" i="5"/>
  <c r="L2854" i="5"/>
  <c r="K2854" i="5"/>
  <c r="J2854" i="5"/>
  <c r="I2854" i="5"/>
  <c r="H2854" i="5"/>
  <c r="N2853" i="5"/>
  <c r="M2853" i="5"/>
  <c r="L2853" i="5"/>
  <c r="K2853" i="5"/>
  <c r="J2853" i="5"/>
  <c r="I2853" i="5"/>
  <c r="H2853" i="5"/>
  <c r="N2852" i="5"/>
  <c r="M2852" i="5"/>
  <c r="L2852" i="5"/>
  <c r="K2852" i="5"/>
  <c r="J2852" i="5"/>
  <c r="I2852" i="5"/>
  <c r="H2852" i="5"/>
  <c r="N2851" i="5"/>
  <c r="M2851" i="5"/>
  <c r="L2851" i="5"/>
  <c r="K2851" i="5"/>
  <c r="J2851" i="5"/>
  <c r="I2851" i="5"/>
  <c r="H2851" i="5"/>
  <c r="N2850" i="5"/>
  <c r="M2850" i="5"/>
  <c r="L2850" i="5"/>
  <c r="K2850" i="5"/>
  <c r="J2850" i="5"/>
  <c r="I2850" i="5"/>
  <c r="H2850" i="5"/>
  <c r="N2849" i="5"/>
  <c r="M2849" i="5"/>
  <c r="L2849" i="5"/>
  <c r="K2849" i="5"/>
  <c r="J2849" i="5"/>
  <c r="I2849" i="5"/>
  <c r="H2849" i="5"/>
  <c r="N2848" i="5"/>
  <c r="M2848" i="5"/>
  <c r="L2848" i="5"/>
  <c r="K2848" i="5"/>
  <c r="J2848" i="5"/>
  <c r="I2848" i="5"/>
  <c r="H2848" i="5"/>
  <c r="N2847" i="5"/>
  <c r="M2847" i="5"/>
  <c r="L2847" i="5"/>
  <c r="K2847" i="5"/>
  <c r="J2847" i="5"/>
  <c r="I2847" i="5"/>
  <c r="H2847" i="5"/>
  <c r="N2741" i="5"/>
  <c r="M2741" i="5"/>
  <c r="L2741" i="5"/>
  <c r="K2741" i="5"/>
  <c r="J2741" i="5"/>
  <c r="I2741" i="5"/>
  <c r="H2741" i="5"/>
  <c r="N2740" i="5"/>
  <c r="M2740" i="5"/>
  <c r="L2740" i="5"/>
  <c r="K2740" i="5"/>
  <c r="J2740" i="5"/>
  <c r="I2740" i="5"/>
  <c r="H2740" i="5"/>
  <c r="N2739" i="5"/>
  <c r="M2739" i="5"/>
  <c r="L2739" i="5"/>
  <c r="K2739" i="5"/>
  <c r="J2739" i="5"/>
  <c r="I2739" i="5"/>
  <c r="H2739" i="5"/>
  <c r="N2738" i="5"/>
  <c r="M2738" i="5"/>
  <c r="L2738" i="5"/>
  <c r="K2738" i="5"/>
  <c r="J2738" i="5"/>
  <c r="I2738" i="5"/>
  <c r="H2738" i="5"/>
  <c r="N2737" i="5"/>
  <c r="M2737" i="5"/>
  <c r="L2737" i="5"/>
  <c r="K2737" i="5"/>
  <c r="J2737" i="5"/>
  <c r="I2737" i="5"/>
  <c r="H2737" i="5"/>
  <c r="N2730" i="5"/>
  <c r="M2730" i="5"/>
  <c r="L2730" i="5"/>
  <c r="K2730" i="5"/>
  <c r="J2730" i="5"/>
  <c r="I2730" i="5"/>
  <c r="H2730" i="5"/>
  <c r="N2729" i="5"/>
  <c r="M2729" i="5"/>
  <c r="L2729" i="5"/>
  <c r="K2729" i="5"/>
  <c r="J2729" i="5"/>
  <c r="I2729" i="5"/>
  <c r="H2729" i="5"/>
  <c r="N2728" i="5"/>
  <c r="M2728" i="5"/>
  <c r="L2728" i="5"/>
  <c r="K2728" i="5"/>
  <c r="J2728" i="5"/>
  <c r="I2728" i="5"/>
  <c r="H2728" i="5"/>
  <c r="N2727" i="5"/>
  <c r="M2727" i="5"/>
  <c r="L2727" i="5"/>
  <c r="K2727" i="5"/>
  <c r="J2727" i="5"/>
  <c r="I2727" i="5"/>
  <c r="H2727" i="5"/>
  <c r="N2726" i="5"/>
  <c r="M2726" i="5"/>
  <c r="L2726" i="5"/>
  <c r="K2726" i="5"/>
  <c r="J2726" i="5"/>
  <c r="I2726" i="5"/>
  <c r="H2726" i="5"/>
  <c r="N2725" i="5"/>
  <c r="M2725" i="5"/>
  <c r="L2725" i="5"/>
  <c r="K2725" i="5"/>
  <c r="J2725" i="5"/>
  <c r="I2725" i="5"/>
  <c r="H2725" i="5"/>
  <c r="N2724" i="5"/>
  <c r="M2724" i="5"/>
  <c r="L2724" i="5"/>
  <c r="K2724" i="5"/>
  <c r="J2724" i="5"/>
  <c r="I2724" i="5"/>
  <c r="H2724" i="5"/>
  <c r="N2723" i="5"/>
  <c r="M2723" i="5"/>
  <c r="L2723" i="5"/>
  <c r="K2723" i="5"/>
  <c r="J2723" i="5"/>
  <c r="I2723" i="5"/>
  <c r="H2723" i="5"/>
  <c r="N2722" i="5"/>
  <c r="M2722" i="5"/>
  <c r="L2722" i="5"/>
  <c r="K2722" i="5"/>
  <c r="J2722" i="5"/>
  <c r="I2722" i="5"/>
  <c r="H2722" i="5"/>
  <c r="N2721" i="5"/>
  <c r="M2721" i="5"/>
  <c r="L2721" i="5"/>
  <c r="K2721" i="5"/>
  <c r="J2721" i="5"/>
  <c r="I2721" i="5"/>
  <c r="H2721" i="5"/>
  <c r="N2716" i="5"/>
  <c r="M2716" i="5"/>
  <c r="L2716" i="5"/>
  <c r="K2716" i="5"/>
  <c r="J2716" i="5"/>
  <c r="I2716" i="5"/>
  <c r="H2716" i="5"/>
  <c r="N2715" i="5"/>
  <c r="M2715" i="5"/>
  <c r="L2715" i="5"/>
  <c r="K2715" i="5"/>
  <c r="J2715" i="5"/>
  <c r="I2715" i="5"/>
  <c r="H2715" i="5"/>
  <c r="N2714" i="5"/>
  <c r="M2714" i="5"/>
  <c r="L2714" i="5"/>
  <c r="K2714" i="5"/>
  <c r="J2714" i="5"/>
  <c r="I2714" i="5"/>
  <c r="H2714" i="5"/>
  <c r="N2713" i="5"/>
  <c r="M2713" i="5"/>
  <c r="L2713" i="5"/>
  <c r="K2713" i="5"/>
  <c r="J2713" i="5"/>
  <c r="I2713" i="5"/>
  <c r="H2713" i="5"/>
  <c r="N2712" i="5"/>
  <c r="M2712" i="5"/>
  <c r="L2712" i="5"/>
  <c r="K2712" i="5"/>
  <c r="J2712" i="5"/>
  <c r="I2712" i="5"/>
  <c r="H2712" i="5"/>
  <c r="N2711" i="5"/>
  <c r="M2711" i="5"/>
  <c r="L2711" i="5"/>
  <c r="K2711" i="5"/>
  <c r="J2711" i="5"/>
  <c r="I2711" i="5"/>
  <c r="H2711" i="5"/>
  <c r="N2710" i="5"/>
  <c r="M2710" i="5"/>
  <c r="L2710" i="5"/>
  <c r="K2710" i="5"/>
  <c r="J2710" i="5"/>
  <c r="I2710" i="5"/>
  <c r="H2710" i="5"/>
  <c r="N2709" i="5"/>
  <c r="M2709" i="5"/>
  <c r="L2709" i="5"/>
  <c r="K2709" i="5"/>
  <c r="J2709" i="5"/>
  <c r="I2709" i="5"/>
  <c r="H2709" i="5"/>
  <c r="N2708" i="5"/>
  <c r="M2708" i="5"/>
  <c r="L2708" i="5"/>
  <c r="K2708" i="5"/>
  <c r="J2708" i="5"/>
  <c r="I2708" i="5"/>
  <c r="H2708" i="5"/>
  <c r="N2707" i="5"/>
  <c r="M2707" i="5"/>
  <c r="L2707" i="5"/>
  <c r="K2707" i="5"/>
  <c r="J2707" i="5"/>
  <c r="I2707" i="5"/>
  <c r="H2707" i="5"/>
  <c r="N2706" i="5"/>
  <c r="M2706" i="5"/>
  <c r="L2706" i="5"/>
  <c r="K2706" i="5"/>
  <c r="J2706" i="5"/>
  <c r="I2706" i="5"/>
  <c r="H2706" i="5"/>
  <c r="N2705" i="5"/>
  <c r="M2705" i="5"/>
  <c r="L2705" i="5"/>
  <c r="K2705" i="5"/>
  <c r="J2705" i="5"/>
  <c r="I2705" i="5"/>
  <c r="H2705" i="5"/>
  <c r="N2704" i="5"/>
  <c r="M2704" i="5"/>
  <c r="L2704" i="5"/>
  <c r="K2704" i="5"/>
  <c r="J2704" i="5"/>
  <c r="I2704" i="5"/>
  <c r="H2704" i="5"/>
  <c r="N2693" i="5"/>
  <c r="M2693" i="5"/>
  <c r="L2693" i="5"/>
  <c r="K2693" i="5"/>
  <c r="J2693" i="5"/>
  <c r="I2693" i="5"/>
  <c r="H2693" i="5"/>
  <c r="N2692" i="5"/>
  <c r="M2692" i="5"/>
  <c r="L2692" i="5"/>
  <c r="K2692" i="5"/>
  <c r="J2692" i="5"/>
  <c r="I2692" i="5"/>
  <c r="H2692" i="5"/>
  <c r="N2691" i="5"/>
  <c r="M2691" i="5"/>
  <c r="L2691" i="5"/>
  <c r="K2691" i="5"/>
  <c r="J2691" i="5"/>
  <c r="I2691" i="5"/>
  <c r="H2691" i="5"/>
  <c r="N2690" i="5"/>
  <c r="M2690" i="5"/>
  <c r="L2690" i="5"/>
  <c r="K2690" i="5"/>
  <c r="J2690" i="5"/>
  <c r="I2690" i="5"/>
  <c r="H2690" i="5"/>
  <c r="N2689" i="5"/>
  <c r="M2689" i="5"/>
  <c r="L2689" i="5"/>
  <c r="K2689" i="5"/>
  <c r="J2689" i="5"/>
  <c r="I2689" i="5"/>
  <c r="H2689" i="5"/>
  <c r="N2682" i="5"/>
  <c r="M2682" i="5"/>
  <c r="L2682" i="5"/>
  <c r="K2682" i="5"/>
  <c r="J2682" i="5"/>
  <c r="I2682" i="5"/>
  <c r="H2682" i="5"/>
  <c r="N2681" i="5"/>
  <c r="M2681" i="5"/>
  <c r="L2681" i="5"/>
  <c r="K2681" i="5"/>
  <c r="J2681" i="5"/>
  <c r="I2681" i="5"/>
  <c r="H2681" i="5"/>
  <c r="N2680" i="5"/>
  <c r="M2680" i="5"/>
  <c r="L2680" i="5"/>
  <c r="K2680" i="5"/>
  <c r="J2680" i="5"/>
  <c r="I2680" i="5"/>
  <c r="H2680" i="5"/>
  <c r="N2679" i="5"/>
  <c r="M2679" i="5"/>
  <c r="L2679" i="5"/>
  <c r="K2679" i="5"/>
  <c r="J2679" i="5"/>
  <c r="I2679" i="5"/>
  <c r="H2679" i="5"/>
  <c r="N2678" i="5"/>
  <c r="M2678" i="5"/>
  <c r="L2678" i="5"/>
  <c r="K2678" i="5"/>
  <c r="J2678" i="5"/>
  <c r="I2678" i="5"/>
  <c r="H2678" i="5"/>
  <c r="N2677" i="5"/>
  <c r="M2677" i="5"/>
  <c r="L2677" i="5"/>
  <c r="K2677" i="5"/>
  <c r="J2677" i="5"/>
  <c r="I2677" i="5"/>
  <c r="H2677" i="5"/>
  <c r="N2676" i="5"/>
  <c r="M2676" i="5"/>
  <c r="L2676" i="5"/>
  <c r="K2676" i="5"/>
  <c r="J2676" i="5"/>
  <c r="I2676" i="5"/>
  <c r="H2676" i="5"/>
  <c r="N2675" i="5"/>
  <c r="M2675" i="5"/>
  <c r="L2675" i="5"/>
  <c r="K2675" i="5"/>
  <c r="J2675" i="5"/>
  <c r="I2675" i="5"/>
  <c r="H2675" i="5"/>
  <c r="N2674" i="5"/>
  <c r="M2674" i="5"/>
  <c r="L2674" i="5"/>
  <c r="K2674" i="5"/>
  <c r="J2674" i="5"/>
  <c r="I2674" i="5"/>
  <c r="H2674" i="5"/>
  <c r="N2673" i="5"/>
  <c r="M2673" i="5"/>
  <c r="L2673" i="5"/>
  <c r="K2673" i="5"/>
  <c r="J2673" i="5"/>
  <c r="I2673" i="5"/>
  <c r="H2673" i="5"/>
  <c r="N2668" i="5"/>
  <c r="M2668" i="5"/>
  <c r="L2668" i="5"/>
  <c r="K2668" i="5"/>
  <c r="J2668" i="5"/>
  <c r="I2668" i="5"/>
  <c r="H2668" i="5"/>
  <c r="N2667" i="5"/>
  <c r="M2667" i="5"/>
  <c r="L2667" i="5"/>
  <c r="K2667" i="5"/>
  <c r="J2667" i="5"/>
  <c r="I2667" i="5"/>
  <c r="H2667" i="5"/>
  <c r="N2666" i="5"/>
  <c r="M2666" i="5"/>
  <c r="L2666" i="5"/>
  <c r="K2666" i="5"/>
  <c r="J2666" i="5"/>
  <c r="I2666" i="5"/>
  <c r="H2666" i="5"/>
  <c r="N2665" i="5"/>
  <c r="M2665" i="5"/>
  <c r="L2665" i="5"/>
  <c r="K2665" i="5"/>
  <c r="J2665" i="5"/>
  <c r="I2665" i="5"/>
  <c r="H2665" i="5"/>
  <c r="N2664" i="5"/>
  <c r="M2664" i="5"/>
  <c r="L2664" i="5"/>
  <c r="K2664" i="5"/>
  <c r="J2664" i="5"/>
  <c r="I2664" i="5"/>
  <c r="H2664" i="5"/>
  <c r="N2663" i="5"/>
  <c r="M2663" i="5"/>
  <c r="L2663" i="5"/>
  <c r="K2663" i="5"/>
  <c r="J2663" i="5"/>
  <c r="I2663" i="5"/>
  <c r="H2663" i="5"/>
  <c r="N2662" i="5"/>
  <c r="M2662" i="5"/>
  <c r="L2662" i="5"/>
  <c r="K2662" i="5"/>
  <c r="J2662" i="5"/>
  <c r="I2662" i="5"/>
  <c r="H2662" i="5"/>
  <c r="N2661" i="5"/>
  <c r="M2661" i="5"/>
  <c r="L2661" i="5"/>
  <c r="K2661" i="5"/>
  <c r="J2661" i="5"/>
  <c r="I2661" i="5"/>
  <c r="H2661" i="5"/>
  <c r="N2660" i="5"/>
  <c r="M2660" i="5"/>
  <c r="L2660" i="5"/>
  <c r="K2660" i="5"/>
  <c r="J2660" i="5"/>
  <c r="I2660" i="5"/>
  <c r="H2660" i="5"/>
  <c r="N2659" i="5"/>
  <c r="M2659" i="5"/>
  <c r="L2659" i="5"/>
  <c r="K2659" i="5"/>
  <c r="J2659" i="5"/>
  <c r="I2659" i="5"/>
  <c r="H2659" i="5"/>
  <c r="N2658" i="5"/>
  <c r="M2658" i="5"/>
  <c r="L2658" i="5"/>
  <c r="K2658" i="5"/>
  <c r="J2658" i="5"/>
  <c r="I2658" i="5"/>
  <c r="H2658" i="5"/>
  <c r="N2657" i="5"/>
  <c r="M2657" i="5"/>
  <c r="L2657" i="5"/>
  <c r="K2657" i="5"/>
  <c r="J2657" i="5"/>
  <c r="I2657" i="5"/>
  <c r="H2657" i="5"/>
  <c r="N2645" i="5"/>
  <c r="M2645" i="5"/>
  <c r="L2645" i="5"/>
  <c r="K2645" i="5"/>
  <c r="J2645" i="5"/>
  <c r="I2645" i="5"/>
  <c r="H2645" i="5"/>
  <c r="N2644" i="5"/>
  <c r="M2644" i="5"/>
  <c r="L2644" i="5"/>
  <c r="K2644" i="5"/>
  <c r="J2644" i="5"/>
  <c r="I2644" i="5"/>
  <c r="H2644" i="5"/>
  <c r="N2643" i="5"/>
  <c r="M2643" i="5"/>
  <c r="L2643" i="5"/>
  <c r="K2643" i="5"/>
  <c r="J2643" i="5"/>
  <c r="I2643" i="5"/>
  <c r="H2643" i="5"/>
  <c r="N2642" i="5"/>
  <c r="M2642" i="5"/>
  <c r="L2642" i="5"/>
  <c r="K2642" i="5"/>
  <c r="J2642" i="5"/>
  <c r="I2642" i="5"/>
  <c r="H2642" i="5"/>
  <c r="N2641" i="5"/>
  <c r="M2641" i="5"/>
  <c r="L2641" i="5"/>
  <c r="K2641" i="5"/>
  <c r="J2641" i="5"/>
  <c r="I2641" i="5"/>
  <c r="H2641" i="5"/>
  <c r="N2634" i="5"/>
  <c r="M2634" i="5"/>
  <c r="L2634" i="5"/>
  <c r="K2634" i="5"/>
  <c r="J2634" i="5"/>
  <c r="I2634" i="5"/>
  <c r="H2634" i="5"/>
  <c r="N2633" i="5"/>
  <c r="M2633" i="5"/>
  <c r="L2633" i="5"/>
  <c r="K2633" i="5"/>
  <c r="J2633" i="5"/>
  <c r="I2633" i="5"/>
  <c r="H2633" i="5"/>
  <c r="N2632" i="5"/>
  <c r="M2632" i="5"/>
  <c r="L2632" i="5"/>
  <c r="K2632" i="5"/>
  <c r="J2632" i="5"/>
  <c r="I2632" i="5"/>
  <c r="H2632" i="5"/>
  <c r="N2631" i="5"/>
  <c r="M2631" i="5"/>
  <c r="L2631" i="5"/>
  <c r="K2631" i="5"/>
  <c r="J2631" i="5"/>
  <c r="I2631" i="5"/>
  <c r="H2631" i="5"/>
  <c r="N2630" i="5"/>
  <c r="M2630" i="5"/>
  <c r="L2630" i="5"/>
  <c r="K2630" i="5"/>
  <c r="J2630" i="5"/>
  <c r="I2630" i="5"/>
  <c r="H2630" i="5"/>
  <c r="N2629" i="5"/>
  <c r="M2629" i="5"/>
  <c r="L2629" i="5"/>
  <c r="K2629" i="5"/>
  <c r="J2629" i="5"/>
  <c r="I2629" i="5"/>
  <c r="H2629" i="5"/>
  <c r="N2628" i="5"/>
  <c r="M2628" i="5"/>
  <c r="L2628" i="5"/>
  <c r="K2628" i="5"/>
  <c r="J2628" i="5"/>
  <c r="I2628" i="5"/>
  <c r="H2628" i="5"/>
  <c r="N2627" i="5"/>
  <c r="M2627" i="5"/>
  <c r="L2627" i="5"/>
  <c r="K2627" i="5"/>
  <c r="J2627" i="5"/>
  <c r="I2627" i="5"/>
  <c r="H2627" i="5"/>
  <c r="N2620" i="5"/>
  <c r="M2620" i="5"/>
  <c r="L2620" i="5"/>
  <c r="K2620" i="5"/>
  <c r="J2620" i="5"/>
  <c r="I2620" i="5"/>
  <c r="H2620" i="5"/>
  <c r="N2619" i="5"/>
  <c r="M2619" i="5"/>
  <c r="L2619" i="5"/>
  <c r="K2619" i="5"/>
  <c r="J2619" i="5"/>
  <c r="I2619" i="5"/>
  <c r="H2619" i="5"/>
  <c r="N2618" i="5"/>
  <c r="M2618" i="5"/>
  <c r="L2618" i="5"/>
  <c r="K2618" i="5"/>
  <c r="J2618" i="5"/>
  <c r="I2618" i="5"/>
  <c r="H2618" i="5"/>
  <c r="N2617" i="5"/>
  <c r="M2617" i="5"/>
  <c r="L2617" i="5"/>
  <c r="K2617" i="5"/>
  <c r="J2617" i="5"/>
  <c r="I2617" i="5"/>
  <c r="H2617" i="5"/>
  <c r="N2616" i="5"/>
  <c r="M2616" i="5"/>
  <c r="L2616" i="5"/>
  <c r="K2616" i="5"/>
  <c r="J2616" i="5"/>
  <c r="I2616" i="5"/>
  <c r="H2616" i="5"/>
  <c r="N2615" i="5"/>
  <c r="M2615" i="5"/>
  <c r="L2615" i="5"/>
  <c r="K2615" i="5"/>
  <c r="J2615" i="5"/>
  <c r="I2615" i="5"/>
  <c r="H2615" i="5"/>
  <c r="N2614" i="5"/>
  <c r="M2614" i="5"/>
  <c r="L2614" i="5"/>
  <c r="K2614" i="5"/>
  <c r="J2614" i="5"/>
  <c r="I2614" i="5"/>
  <c r="H2614" i="5"/>
  <c r="N2613" i="5"/>
  <c r="M2613" i="5"/>
  <c r="L2613" i="5"/>
  <c r="K2613" i="5"/>
  <c r="J2613" i="5"/>
  <c r="I2613" i="5"/>
  <c r="H2613" i="5"/>
  <c r="N2612" i="5"/>
  <c r="M2612" i="5"/>
  <c r="L2612" i="5"/>
  <c r="K2612" i="5"/>
  <c r="J2612" i="5"/>
  <c r="I2612" i="5"/>
  <c r="H2612" i="5"/>
  <c r="N2611" i="5"/>
  <c r="M2611" i="5"/>
  <c r="L2611" i="5"/>
  <c r="K2611" i="5"/>
  <c r="J2611" i="5"/>
  <c r="I2611" i="5"/>
  <c r="H2611" i="5"/>
  <c r="N2610" i="5"/>
  <c r="M2610" i="5"/>
  <c r="L2610" i="5"/>
  <c r="K2610" i="5"/>
  <c r="J2610" i="5"/>
  <c r="I2610" i="5"/>
  <c r="H2610" i="5"/>
  <c r="N2609" i="5"/>
  <c r="M2609" i="5"/>
  <c r="L2609" i="5"/>
  <c r="K2609" i="5"/>
  <c r="J2609" i="5"/>
  <c r="I2609" i="5"/>
  <c r="H2609" i="5"/>
  <c r="N2608" i="5"/>
  <c r="M2608" i="5"/>
  <c r="L2608" i="5"/>
  <c r="K2608" i="5"/>
  <c r="J2608" i="5"/>
  <c r="I2608" i="5"/>
  <c r="H2608" i="5"/>
  <c r="N2597" i="5"/>
  <c r="M2597" i="5"/>
  <c r="L2597" i="5"/>
  <c r="K2597" i="5"/>
  <c r="J2597" i="5"/>
  <c r="I2597" i="5"/>
  <c r="H2597" i="5"/>
  <c r="N2596" i="5"/>
  <c r="M2596" i="5"/>
  <c r="L2596" i="5"/>
  <c r="K2596" i="5"/>
  <c r="J2596" i="5"/>
  <c r="I2596" i="5"/>
  <c r="H2596" i="5"/>
  <c r="N2595" i="5"/>
  <c r="M2595" i="5"/>
  <c r="L2595" i="5"/>
  <c r="K2595" i="5"/>
  <c r="J2595" i="5"/>
  <c r="I2595" i="5"/>
  <c r="H2595" i="5"/>
  <c r="N2594" i="5"/>
  <c r="M2594" i="5"/>
  <c r="L2594" i="5"/>
  <c r="K2594" i="5"/>
  <c r="J2594" i="5"/>
  <c r="I2594" i="5"/>
  <c r="H2594" i="5"/>
  <c r="N2593" i="5"/>
  <c r="M2593" i="5"/>
  <c r="L2593" i="5"/>
  <c r="K2593" i="5"/>
  <c r="J2593" i="5"/>
  <c r="I2593" i="5"/>
  <c r="H2593" i="5"/>
  <c r="N2586" i="5"/>
  <c r="M2586" i="5"/>
  <c r="L2586" i="5"/>
  <c r="K2586" i="5"/>
  <c r="J2586" i="5"/>
  <c r="I2586" i="5"/>
  <c r="H2586" i="5"/>
  <c r="N2585" i="5"/>
  <c r="M2585" i="5"/>
  <c r="L2585" i="5"/>
  <c r="K2585" i="5"/>
  <c r="J2585" i="5"/>
  <c r="I2585" i="5"/>
  <c r="H2585" i="5"/>
  <c r="N2584" i="5"/>
  <c r="M2584" i="5"/>
  <c r="L2584" i="5"/>
  <c r="K2584" i="5"/>
  <c r="J2584" i="5"/>
  <c r="I2584" i="5"/>
  <c r="H2584" i="5"/>
  <c r="N2583" i="5"/>
  <c r="M2583" i="5"/>
  <c r="L2583" i="5"/>
  <c r="K2583" i="5"/>
  <c r="J2583" i="5"/>
  <c r="I2583" i="5"/>
  <c r="H2583" i="5"/>
  <c r="N2582" i="5"/>
  <c r="M2582" i="5"/>
  <c r="L2582" i="5"/>
  <c r="K2582" i="5"/>
  <c r="J2582" i="5"/>
  <c r="I2582" i="5"/>
  <c r="H2582" i="5"/>
  <c r="N2581" i="5"/>
  <c r="M2581" i="5"/>
  <c r="L2581" i="5"/>
  <c r="K2581" i="5"/>
  <c r="J2581" i="5"/>
  <c r="I2581" i="5"/>
  <c r="H2581" i="5"/>
  <c r="N2580" i="5"/>
  <c r="M2580" i="5"/>
  <c r="L2580" i="5"/>
  <c r="K2580" i="5"/>
  <c r="J2580" i="5"/>
  <c r="I2580" i="5"/>
  <c r="H2580" i="5"/>
  <c r="N2579" i="5"/>
  <c r="M2579" i="5"/>
  <c r="L2579" i="5"/>
  <c r="K2579" i="5"/>
  <c r="J2579" i="5"/>
  <c r="I2579" i="5"/>
  <c r="H2579" i="5"/>
  <c r="N2572" i="5"/>
  <c r="M2572" i="5"/>
  <c r="L2572" i="5"/>
  <c r="K2572" i="5"/>
  <c r="J2572" i="5"/>
  <c r="I2572" i="5"/>
  <c r="H2572" i="5"/>
  <c r="N2571" i="5"/>
  <c r="M2571" i="5"/>
  <c r="L2571" i="5"/>
  <c r="K2571" i="5"/>
  <c r="J2571" i="5"/>
  <c r="I2571" i="5"/>
  <c r="H2571" i="5"/>
  <c r="N2570" i="5"/>
  <c r="M2570" i="5"/>
  <c r="L2570" i="5"/>
  <c r="K2570" i="5"/>
  <c r="J2570" i="5"/>
  <c r="I2570" i="5"/>
  <c r="H2570" i="5"/>
  <c r="N2569" i="5"/>
  <c r="M2569" i="5"/>
  <c r="L2569" i="5"/>
  <c r="K2569" i="5"/>
  <c r="J2569" i="5"/>
  <c r="I2569" i="5"/>
  <c r="H2569" i="5"/>
  <c r="N2568" i="5"/>
  <c r="M2568" i="5"/>
  <c r="L2568" i="5"/>
  <c r="K2568" i="5"/>
  <c r="J2568" i="5"/>
  <c r="I2568" i="5"/>
  <c r="H2568" i="5"/>
  <c r="N2567" i="5"/>
  <c r="M2567" i="5"/>
  <c r="L2567" i="5"/>
  <c r="K2567" i="5"/>
  <c r="J2567" i="5"/>
  <c r="I2567" i="5"/>
  <c r="H2567" i="5"/>
  <c r="N2566" i="5"/>
  <c r="M2566" i="5"/>
  <c r="L2566" i="5"/>
  <c r="K2566" i="5"/>
  <c r="J2566" i="5"/>
  <c r="I2566" i="5"/>
  <c r="H2566" i="5"/>
  <c r="N2565" i="5"/>
  <c r="M2565" i="5"/>
  <c r="L2565" i="5"/>
  <c r="K2565" i="5"/>
  <c r="J2565" i="5"/>
  <c r="I2565" i="5"/>
  <c r="H2565" i="5"/>
  <c r="N2564" i="5"/>
  <c r="M2564" i="5"/>
  <c r="L2564" i="5"/>
  <c r="K2564" i="5"/>
  <c r="J2564" i="5"/>
  <c r="I2564" i="5"/>
  <c r="H2564" i="5"/>
  <c r="N2563" i="5"/>
  <c r="M2563" i="5"/>
  <c r="L2563" i="5"/>
  <c r="K2563" i="5"/>
  <c r="J2563" i="5"/>
  <c r="I2563" i="5"/>
  <c r="H2563" i="5"/>
  <c r="N2562" i="5"/>
  <c r="M2562" i="5"/>
  <c r="L2562" i="5"/>
  <c r="K2562" i="5"/>
  <c r="J2562" i="5"/>
  <c r="I2562" i="5"/>
  <c r="H2562" i="5"/>
  <c r="N2561" i="5"/>
  <c r="M2561" i="5"/>
  <c r="L2561" i="5"/>
  <c r="K2561" i="5"/>
  <c r="J2561" i="5"/>
  <c r="I2561" i="5"/>
  <c r="H2561" i="5"/>
  <c r="N2560" i="5"/>
  <c r="M2560" i="5"/>
  <c r="L2560" i="5"/>
  <c r="K2560" i="5"/>
  <c r="J2560" i="5"/>
  <c r="I2560" i="5"/>
  <c r="H2560" i="5"/>
  <c r="N2501" i="5"/>
  <c r="M2501" i="5"/>
  <c r="L2501" i="5"/>
  <c r="K2501" i="5"/>
  <c r="J2501" i="5"/>
  <c r="I2501" i="5"/>
  <c r="H2501" i="5"/>
  <c r="N2500" i="5"/>
  <c r="M2500" i="5"/>
  <c r="L2500" i="5"/>
  <c r="K2500" i="5"/>
  <c r="J2500" i="5"/>
  <c r="I2500" i="5"/>
  <c r="H2500" i="5"/>
  <c r="N2499" i="5"/>
  <c r="M2499" i="5"/>
  <c r="L2499" i="5"/>
  <c r="K2499" i="5"/>
  <c r="J2499" i="5"/>
  <c r="I2499" i="5"/>
  <c r="H2499" i="5"/>
  <c r="N2498" i="5"/>
  <c r="M2498" i="5"/>
  <c r="L2498" i="5"/>
  <c r="K2498" i="5"/>
  <c r="J2498" i="5"/>
  <c r="I2498" i="5"/>
  <c r="H2498" i="5"/>
  <c r="N2490" i="5"/>
  <c r="M2490" i="5"/>
  <c r="L2490" i="5"/>
  <c r="K2490" i="5"/>
  <c r="J2490" i="5"/>
  <c r="I2490" i="5"/>
  <c r="H2490" i="5"/>
  <c r="N2489" i="5"/>
  <c r="M2489" i="5"/>
  <c r="L2489" i="5"/>
  <c r="K2489" i="5"/>
  <c r="J2489" i="5"/>
  <c r="I2489" i="5"/>
  <c r="H2489" i="5"/>
  <c r="N2488" i="5"/>
  <c r="M2488" i="5"/>
  <c r="L2488" i="5"/>
  <c r="K2488" i="5"/>
  <c r="J2488" i="5"/>
  <c r="I2488" i="5"/>
  <c r="H2488" i="5"/>
  <c r="N2487" i="5"/>
  <c r="M2487" i="5"/>
  <c r="L2487" i="5"/>
  <c r="K2487" i="5"/>
  <c r="J2487" i="5"/>
  <c r="I2487" i="5"/>
  <c r="H2487" i="5"/>
  <c r="N2486" i="5"/>
  <c r="M2486" i="5"/>
  <c r="L2486" i="5"/>
  <c r="K2486" i="5"/>
  <c r="J2486" i="5"/>
  <c r="I2486" i="5"/>
  <c r="H2486" i="5"/>
  <c r="N2485" i="5"/>
  <c r="M2485" i="5"/>
  <c r="L2485" i="5"/>
  <c r="K2485" i="5"/>
  <c r="J2485" i="5"/>
  <c r="I2485" i="5"/>
  <c r="H2485" i="5"/>
  <c r="N2484" i="5"/>
  <c r="M2484" i="5"/>
  <c r="L2484" i="5"/>
  <c r="K2484" i="5"/>
  <c r="J2484" i="5"/>
  <c r="I2484" i="5"/>
  <c r="H2484" i="5"/>
  <c r="N2483" i="5"/>
  <c r="M2483" i="5"/>
  <c r="L2483" i="5"/>
  <c r="K2483" i="5"/>
  <c r="J2483" i="5"/>
  <c r="I2483" i="5"/>
  <c r="H2483" i="5"/>
  <c r="N2476" i="5"/>
  <c r="M2476" i="5"/>
  <c r="L2476" i="5"/>
  <c r="K2476" i="5"/>
  <c r="J2476" i="5"/>
  <c r="I2476" i="5"/>
  <c r="H2476" i="5"/>
  <c r="N2475" i="5"/>
  <c r="M2475" i="5"/>
  <c r="L2475" i="5"/>
  <c r="K2475" i="5"/>
  <c r="J2475" i="5"/>
  <c r="I2475" i="5"/>
  <c r="H2475" i="5"/>
  <c r="N2474" i="5"/>
  <c r="M2474" i="5"/>
  <c r="L2474" i="5"/>
  <c r="K2474" i="5"/>
  <c r="J2474" i="5"/>
  <c r="I2474" i="5"/>
  <c r="H2474" i="5"/>
  <c r="N2473" i="5"/>
  <c r="M2473" i="5"/>
  <c r="L2473" i="5"/>
  <c r="K2473" i="5"/>
  <c r="J2473" i="5"/>
  <c r="I2473" i="5"/>
  <c r="H2473" i="5"/>
  <c r="N2472" i="5"/>
  <c r="M2472" i="5"/>
  <c r="L2472" i="5"/>
  <c r="K2472" i="5"/>
  <c r="J2472" i="5"/>
  <c r="I2472" i="5"/>
  <c r="H2472" i="5"/>
  <c r="N2471" i="5"/>
  <c r="M2471" i="5"/>
  <c r="L2471" i="5"/>
  <c r="K2471" i="5"/>
  <c r="J2471" i="5"/>
  <c r="I2471" i="5"/>
  <c r="H2471" i="5"/>
  <c r="N2470" i="5"/>
  <c r="M2470" i="5"/>
  <c r="L2470" i="5"/>
  <c r="K2470" i="5"/>
  <c r="J2470" i="5"/>
  <c r="I2470" i="5"/>
  <c r="H2470" i="5"/>
  <c r="N2469" i="5"/>
  <c r="M2469" i="5"/>
  <c r="L2469" i="5"/>
  <c r="K2469" i="5"/>
  <c r="J2469" i="5"/>
  <c r="I2469" i="5"/>
  <c r="H2469" i="5"/>
  <c r="N2468" i="5"/>
  <c r="M2468" i="5"/>
  <c r="L2468" i="5"/>
  <c r="K2468" i="5"/>
  <c r="J2468" i="5"/>
  <c r="I2468" i="5"/>
  <c r="H2468" i="5"/>
  <c r="N2467" i="5"/>
  <c r="M2467" i="5"/>
  <c r="L2467" i="5"/>
  <c r="K2467" i="5"/>
  <c r="J2467" i="5"/>
  <c r="I2467" i="5"/>
  <c r="H2467" i="5"/>
  <c r="N2453" i="5"/>
  <c r="M2453" i="5"/>
  <c r="L2453" i="5"/>
  <c r="K2453" i="5"/>
  <c r="J2453" i="5"/>
  <c r="I2453" i="5"/>
  <c r="H2453" i="5"/>
  <c r="N2452" i="5"/>
  <c r="M2452" i="5"/>
  <c r="L2452" i="5"/>
  <c r="K2452" i="5"/>
  <c r="J2452" i="5"/>
  <c r="I2452" i="5"/>
  <c r="H2452" i="5"/>
  <c r="N2451" i="5"/>
  <c r="M2451" i="5"/>
  <c r="L2451" i="5"/>
  <c r="K2451" i="5"/>
  <c r="J2451" i="5"/>
  <c r="I2451" i="5"/>
  <c r="H2451" i="5"/>
  <c r="N2450" i="5"/>
  <c r="M2450" i="5"/>
  <c r="L2450" i="5"/>
  <c r="K2450" i="5"/>
  <c r="J2450" i="5"/>
  <c r="I2450" i="5"/>
  <c r="H2450" i="5"/>
  <c r="N2449" i="5"/>
  <c r="M2449" i="5"/>
  <c r="L2449" i="5"/>
  <c r="K2449" i="5"/>
  <c r="J2449" i="5"/>
  <c r="I2449" i="5"/>
  <c r="H2449" i="5"/>
  <c r="N2442" i="5"/>
  <c r="M2442" i="5"/>
  <c r="L2442" i="5"/>
  <c r="K2442" i="5"/>
  <c r="J2442" i="5"/>
  <c r="I2442" i="5"/>
  <c r="H2442" i="5"/>
  <c r="N2441" i="5"/>
  <c r="M2441" i="5"/>
  <c r="L2441" i="5"/>
  <c r="K2441" i="5"/>
  <c r="J2441" i="5"/>
  <c r="I2441" i="5"/>
  <c r="H2441" i="5"/>
  <c r="N2440" i="5"/>
  <c r="M2440" i="5"/>
  <c r="L2440" i="5"/>
  <c r="K2440" i="5"/>
  <c r="J2440" i="5"/>
  <c r="I2440" i="5"/>
  <c r="H2440" i="5"/>
  <c r="N2439" i="5"/>
  <c r="M2439" i="5"/>
  <c r="L2439" i="5"/>
  <c r="K2439" i="5"/>
  <c r="J2439" i="5"/>
  <c r="I2439" i="5"/>
  <c r="H2439" i="5"/>
  <c r="N2438" i="5"/>
  <c r="M2438" i="5"/>
  <c r="L2438" i="5"/>
  <c r="K2438" i="5"/>
  <c r="J2438" i="5"/>
  <c r="I2438" i="5"/>
  <c r="H2438" i="5"/>
  <c r="N2437" i="5"/>
  <c r="M2437" i="5"/>
  <c r="L2437" i="5"/>
  <c r="K2437" i="5"/>
  <c r="J2437" i="5"/>
  <c r="I2437" i="5"/>
  <c r="H2437" i="5"/>
  <c r="N2436" i="5"/>
  <c r="M2436" i="5"/>
  <c r="L2436" i="5"/>
  <c r="K2436" i="5"/>
  <c r="J2436" i="5"/>
  <c r="I2436" i="5"/>
  <c r="H2436" i="5"/>
  <c r="N2435" i="5"/>
  <c r="M2435" i="5"/>
  <c r="L2435" i="5"/>
  <c r="K2435" i="5"/>
  <c r="J2435" i="5"/>
  <c r="I2435" i="5"/>
  <c r="H2435" i="5"/>
  <c r="N2434" i="5"/>
  <c r="M2434" i="5"/>
  <c r="L2434" i="5"/>
  <c r="K2434" i="5"/>
  <c r="J2434" i="5"/>
  <c r="I2434" i="5"/>
  <c r="H2434" i="5"/>
  <c r="N2428" i="5"/>
  <c r="M2428" i="5"/>
  <c r="L2428" i="5"/>
  <c r="K2428" i="5"/>
  <c r="J2428" i="5"/>
  <c r="I2428" i="5"/>
  <c r="H2428" i="5"/>
  <c r="N2427" i="5"/>
  <c r="M2427" i="5"/>
  <c r="L2427" i="5"/>
  <c r="K2427" i="5"/>
  <c r="J2427" i="5"/>
  <c r="I2427" i="5"/>
  <c r="H2427" i="5"/>
  <c r="N2426" i="5"/>
  <c r="M2426" i="5"/>
  <c r="L2426" i="5"/>
  <c r="K2426" i="5"/>
  <c r="J2426" i="5"/>
  <c r="I2426" i="5"/>
  <c r="H2426" i="5"/>
  <c r="N2425" i="5"/>
  <c r="M2425" i="5"/>
  <c r="L2425" i="5"/>
  <c r="K2425" i="5"/>
  <c r="J2425" i="5"/>
  <c r="I2425" i="5"/>
  <c r="H2425" i="5"/>
  <c r="N2424" i="5"/>
  <c r="M2424" i="5"/>
  <c r="L2424" i="5"/>
  <c r="K2424" i="5"/>
  <c r="J2424" i="5"/>
  <c r="I2424" i="5"/>
  <c r="H2424" i="5"/>
  <c r="N2423" i="5"/>
  <c r="M2423" i="5"/>
  <c r="L2423" i="5"/>
  <c r="K2423" i="5"/>
  <c r="J2423" i="5"/>
  <c r="I2423" i="5"/>
  <c r="H2423" i="5"/>
  <c r="N2422" i="5"/>
  <c r="M2422" i="5"/>
  <c r="L2422" i="5"/>
  <c r="K2422" i="5"/>
  <c r="J2422" i="5"/>
  <c r="I2422" i="5"/>
  <c r="H2422" i="5"/>
  <c r="N2421" i="5"/>
  <c r="M2421" i="5"/>
  <c r="L2421" i="5"/>
  <c r="K2421" i="5"/>
  <c r="J2421" i="5"/>
  <c r="I2421" i="5"/>
  <c r="H2421" i="5"/>
  <c r="N2420" i="5"/>
  <c r="M2420" i="5"/>
  <c r="L2420" i="5"/>
  <c r="K2420" i="5"/>
  <c r="J2420" i="5"/>
  <c r="I2420" i="5"/>
  <c r="H2420" i="5"/>
  <c r="N2419" i="5"/>
  <c r="M2419" i="5"/>
  <c r="L2419" i="5"/>
  <c r="K2419" i="5"/>
  <c r="J2419" i="5"/>
  <c r="I2419" i="5"/>
  <c r="H2419" i="5"/>
  <c r="N2418" i="5"/>
  <c r="M2418" i="5"/>
  <c r="L2418" i="5"/>
  <c r="K2418" i="5"/>
  <c r="J2418" i="5"/>
  <c r="I2418" i="5"/>
  <c r="H2418" i="5"/>
  <c r="N2417" i="5"/>
  <c r="M2417" i="5"/>
  <c r="L2417" i="5"/>
  <c r="K2417" i="5"/>
  <c r="J2417" i="5"/>
  <c r="I2417" i="5"/>
  <c r="H2417" i="5"/>
  <c r="N2416" i="5"/>
  <c r="M2416" i="5"/>
  <c r="L2416" i="5"/>
  <c r="K2416" i="5"/>
  <c r="J2416" i="5"/>
  <c r="I2416" i="5"/>
  <c r="H2416" i="5"/>
  <c r="N2415" i="5"/>
  <c r="M2415" i="5"/>
  <c r="L2415" i="5"/>
  <c r="K2415" i="5"/>
  <c r="J2415" i="5"/>
  <c r="I2415" i="5"/>
  <c r="H2415" i="5"/>
  <c r="N2414" i="5"/>
  <c r="M2414" i="5"/>
  <c r="L2414" i="5"/>
  <c r="K2414" i="5"/>
  <c r="J2414" i="5"/>
  <c r="I2414" i="5"/>
  <c r="H2414" i="5"/>
  <c r="N2357" i="5"/>
  <c r="M2357" i="5"/>
  <c r="L2357" i="5"/>
  <c r="K2357" i="5"/>
  <c r="J2357" i="5"/>
  <c r="I2357" i="5"/>
  <c r="H2357" i="5"/>
  <c r="N2356" i="5"/>
  <c r="M2356" i="5"/>
  <c r="L2356" i="5"/>
  <c r="K2356" i="5"/>
  <c r="J2356" i="5"/>
  <c r="I2356" i="5"/>
  <c r="H2356" i="5"/>
  <c r="N2355" i="5"/>
  <c r="M2355" i="5"/>
  <c r="L2355" i="5"/>
  <c r="K2355" i="5"/>
  <c r="J2355" i="5"/>
  <c r="I2355" i="5"/>
  <c r="H2355" i="5"/>
  <c r="N2354" i="5"/>
  <c r="M2354" i="5"/>
  <c r="L2354" i="5"/>
  <c r="K2354" i="5"/>
  <c r="J2354" i="5"/>
  <c r="I2354" i="5"/>
  <c r="H2354" i="5"/>
  <c r="N2353" i="5"/>
  <c r="M2353" i="5"/>
  <c r="L2353" i="5"/>
  <c r="K2353" i="5"/>
  <c r="J2353" i="5"/>
  <c r="I2353" i="5"/>
  <c r="H2353" i="5"/>
  <c r="M2352" i="5"/>
  <c r="N2352" i="5" s="1"/>
  <c r="J2352" i="5"/>
  <c r="K2352" i="5" s="1"/>
  <c r="N2346" i="5"/>
  <c r="M2346" i="5"/>
  <c r="L2346" i="5"/>
  <c r="K2346" i="5"/>
  <c r="J2346" i="5"/>
  <c r="I2346" i="5"/>
  <c r="H2346" i="5"/>
  <c r="N2345" i="5"/>
  <c r="M2345" i="5"/>
  <c r="L2345" i="5"/>
  <c r="K2345" i="5"/>
  <c r="J2345" i="5"/>
  <c r="I2345" i="5"/>
  <c r="H2345" i="5"/>
  <c r="N2344" i="5"/>
  <c r="M2344" i="5"/>
  <c r="L2344" i="5"/>
  <c r="K2344" i="5"/>
  <c r="J2344" i="5"/>
  <c r="I2344" i="5"/>
  <c r="H2344" i="5"/>
  <c r="N2343" i="5"/>
  <c r="M2343" i="5"/>
  <c r="L2343" i="5"/>
  <c r="K2343" i="5"/>
  <c r="J2343" i="5"/>
  <c r="I2343" i="5"/>
  <c r="H2343" i="5"/>
  <c r="N2342" i="5"/>
  <c r="M2342" i="5"/>
  <c r="L2342" i="5"/>
  <c r="K2342" i="5"/>
  <c r="J2342" i="5"/>
  <c r="I2342" i="5"/>
  <c r="H2342" i="5"/>
  <c r="N2341" i="5"/>
  <c r="M2341" i="5"/>
  <c r="L2341" i="5"/>
  <c r="K2341" i="5"/>
  <c r="J2341" i="5"/>
  <c r="I2341" i="5"/>
  <c r="H2341" i="5"/>
  <c r="N2340" i="5"/>
  <c r="M2340" i="5"/>
  <c r="L2340" i="5"/>
  <c r="K2340" i="5"/>
  <c r="J2340" i="5"/>
  <c r="I2340" i="5"/>
  <c r="H2340" i="5"/>
  <c r="N2339" i="5"/>
  <c r="M2339" i="5"/>
  <c r="L2339" i="5"/>
  <c r="K2339" i="5"/>
  <c r="J2339" i="5"/>
  <c r="I2339" i="5"/>
  <c r="H2339" i="5"/>
  <c r="M2338" i="5"/>
  <c r="N2338" i="5" s="1"/>
  <c r="J2338" i="5"/>
  <c r="K2338" i="5" s="1"/>
  <c r="H2338" i="5"/>
  <c r="I2338" i="5" s="1"/>
  <c r="M2337" i="5"/>
  <c r="N2337" i="5" s="1"/>
  <c r="J2337" i="5"/>
  <c r="K2337" i="5" s="1"/>
  <c r="H2337" i="5"/>
  <c r="I2337" i="5" s="1"/>
  <c r="N2332" i="5"/>
  <c r="M2332" i="5"/>
  <c r="L2332" i="5"/>
  <c r="K2332" i="5"/>
  <c r="J2332" i="5"/>
  <c r="I2332" i="5"/>
  <c r="H2332" i="5"/>
  <c r="N2331" i="5"/>
  <c r="M2331" i="5"/>
  <c r="L2331" i="5"/>
  <c r="K2331" i="5"/>
  <c r="J2331" i="5"/>
  <c r="I2331" i="5"/>
  <c r="H2331" i="5"/>
  <c r="N2330" i="5"/>
  <c r="M2330" i="5"/>
  <c r="L2330" i="5"/>
  <c r="K2330" i="5"/>
  <c r="J2330" i="5"/>
  <c r="I2330" i="5"/>
  <c r="H2330" i="5"/>
  <c r="N2329" i="5"/>
  <c r="M2329" i="5"/>
  <c r="L2329" i="5"/>
  <c r="K2329" i="5"/>
  <c r="J2329" i="5"/>
  <c r="I2329" i="5"/>
  <c r="H2329" i="5"/>
  <c r="N2328" i="5"/>
  <c r="M2328" i="5"/>
  <c r="L2328" i="5"/>
  <c r="K2328" i="5"/>
  <c r="J2328" i="5"/>
  <c r="I2328" i="5"/>
  <c r="H2328" i="5"/>
  <c r="N2327" i="5"/>
  <c r="M2327" i="5"/>
  <c r="L2327" i="5"/>
  <c r="K2327" i="5"/>
  <c r="J2327" i="5"/>
  <c r="I2327" i="5"/>
  <c r="H2327" i="5"/>
  <c r="N2326" i="5"/>
  <c r="M2326" i="5"/>
  <c r="L2326" i="5"/>
  <c r="K2326" i="5"/>
  <c r="J2326" i="5"/>
  <c r="I2326" i="5"/>
  <c r="H2326" i="5"/>
  <c r="N2325" i="5"/>
  <c r="M2325" i="5"/>
  <c r="L2325" i="5"/>
  <c r="K2325" i="5"/>
  <c r="J2325" i="5"/>
  <c r="I2325" i="5"/>
  <c r="H2325" i="5"/>
  <c r="N2324" i="5"/>
  <c r="M2324" i="5"/>
  <c r="L2324" i="5"/>
  <c r="K2324" i="5"/>
  <c r="J2324" i="5"/>
  <c r="I2324" i="5"/>
  <c r="H2324" i="5"/>
  <c r="N2323" i="5"/>
  <c r="M2323" i="5"/>
  <c r="L2323" i="5"/>
  <c r="K2323" i="5"/>
  <c r="J2323" i="5"/>
  <c r="I2323" i="5"/>
  <c r="H2323" i="5"/>
  <c r="N2322" i="5"/>
  <c r="M2322" i="5"/>
  <c r="L2322" i="5"/>
  <c r="K2322" i="5"/>
  <c r="J2322" i="5"/>
  <c r="I2322" i="5"/>
  <c r="H2322" i="5"/>
  <c r="N2321" i="5"/>
  <c r="M2321" i="5"/>
  <c r="L2321" i="5"/>
  <c r="K2321" i="5"/>
  <c r="J2321" i="5"/>
  <c r="I2321" i="5"/>
  <c r="H2321" i="5"/>
  <c r="N2320" i="5"/>
  <c r="M2320" i="5"/>
  <c r="K2320" i="5"/>
  <c r="J2320" i="5"/>
  <c r="I2320" i="5"/>
  <c r="H2320" i="5"/>
  <c r="M2319" i="5"/>
  <c r="N2319" i="5" s="1"/>
  <c r="J2319" i="5"/>
  <c r="K2319" i="5" s="1"/>
  <c r="H2319" i="5"/>
  <c r="I2319" i="5" s="1"/>
  <c r="M2318" i="5"/>
  <c r="N2318" i="5" s="1"/>
  <c r="J2318" i="5"/>
  <c r="K2318" i="5" s="1"/>
  <c r="H2318" i="5"/>
  <c r="I2318" i="5" s="1"/>
  <c r="N2213" i="5"/>
  <c r="M2213" i="5"/>
  <c r="L2213" i="5"/>
  <c r="K2213" i="5"/>
  <c r="J2213" i="5"/>
  <c r="I2213" i="5"/>
  <c r="H2213" i="5"/>
  <c r="N2212" i="5"/>
  <c r="M2212" i="5"/>
  <c r="L2212" i="5"/>
  <c r="K2212" i="5"/>
  <c r="J2212" i="5"/>
  <c r="I2212" i="5"/>
  <c r="H2212" i="5"/>
  <c r="N2211" i="5"/>
  <c r="M2211" i="5"/>
  <c r="L2211" i="5"/>
  <c r="K2211" i="5"/>
  <c r="J2211" i="5"/>
  <c r="I2211" i="5"/>
  <c r="H2211" i="5"/>
  <c r="N2210" i="5"/>
  <c r="M2210" i="5"/>
  <c r="L2210" i="5"/>
  <c r="K2210" i="5"/>
  <c r="J2210" i="5"/>
  <c r="I2210" i="5"/>
  <c r="H2210" i="5"/>
  <c r="N2209" i="5"/>
  <c r="M2209" i="5"/>
  <c r="L2209" i="5"/>
  <c r="K2209" i="5"/>
  <c r="J2209" i="5"/>
  <c r="I2209" i="5"/>
  <c r="H2209" i="5"/>
  <c r="N2208" i="5"/>
  <c r="M2208" i="5"/>
  <c r="L2208" i="5"/>
  <c r="K2208" i="5"/>
  <c r="J2208" i="5"/>
  <c r="I2208" i="5"/>
  <c r="H2208" i="5"/>
  <c r="N2202" i="5"/>
  <c r="M2202" i="5"/>
  <c r="L2202" i="5"/>
  <c r="K2202" i="5"/>
  <c r="J2202" i="5"/>
  <c r="I2202" i="5"/>
  <c r="H2202" i="5"/>
  <c r="N2201" i="5"/>
  <c r="M2201" i="5"/>
  <c r="L2201" i="5"/>
  <c r="K2201" i="5"/>
  <c r="J2201" i="5"/>
  <c r="I2201" i="5"/>
  <c r="H2201" i="5"/>
  <c r="N2200" i="5"/>
  <c r="M2200" i="5"/>
  <c r="L2200" i="5"/>
  <c r="K2200" i="5"/>
  <c r="J2200" i="5"/>
  <c r="I2200" i="5"/>
  <c r="H2200" i="5"/>
  <c r="N2199" i="5"/>
  <c r="M2199" i="5"/>
  <c r="L2199" i="5"/>
  <c r="K2199" i="5"/>
  <c r="J2199" i="5"/>
  <c r="I2199" i="5"/>
  <c r="H2199" i="5"/>
  <c r="N2198" i="5"/>
  <c r="M2198" i="5"/>
  <c r="L2198" i="5"/>
  <c r="K2198" i="5"/>
  <c r="J2198" i="5"/>
  <c r="I2198" i="5"/>
  <c r="H2198" i="5"/>
  <c r="N2197" i="5"/>
  <c r="M2197" i="5"/>
  <c r="L2197" i="5"/>
  <c r="K2197" i="5"/>
  <c r="J2197" i="5"/>
  <c r="I2197" i="5"/>
  <c r="H2197" i="5"/>
  <c r="N2196" i="5"/>
  <c r="M2196" i="5"/>
  <c r="L2196" i="5"/>
  <c r="K2196" i="5"/>
  <c r="J2196" i="5"/>
  <c r="I2196" i="5"/>
  <c r="H2196" i="5"/>
  <c r="N2195" i="5"/>
  <c r="M2195" i="5"/>
  <c r="L2195" i="5"/>
  <c r="K2195" i="5"/>
  <c r="J2195" i="5"/>
  <c r="I2195" i="5"/>
  <c r="H2195" i="5"/>
  <c r="N2194" i="5"/>
  <c r="M2194" i="5"/>
  <c r="L2194" i="5"/>
  <c r="K2194" i="5"/>
  <c r="J2194" i="5"/>
  <c r="I2194" i="5"/>
  <c r="H2194" i="5"/>
  <c r="N2193" i="5"/>
  <c r="M2193" i="5"/>
  <c r="L2193" i="5"/>
  <c r="K2193" i="5"/>
  <c r="J2193" i="5"/>
  <c r="I2193" i="5"/>
  <c r="H2193" i="5"/>
  <c r="N2188" i="5"/>
  <c r="M2188" i="5"/>
  <c r="L2188" i="5"/>
  <c r="K2188" i="5"/>
  <c r="J2188" i="5"/>
  <c r="I2188" i="5"/>
  <c r="H2188" i="5"/>
  <c r="N2187" i="5"/>
  <c r="M2187" i="5"/>
  <c r="L2187" i="5"/>
  <c r="K2187" i="5"/>
  <c r="J2187" i="5"/>
  <c r="I2187" i="5"/>
  <c r="H2187" i="5"/>
  <c r="N2186" i="5"/>
  <c r="M2186" i="5"/>
  <c r="L2186" i="5"/>
  <c r="K2186" i="5"/>
  <c r="J2186" i="5"/>
  <c r="I2186" i="5"/>
  <c r="H2186" i="5"/>
  <c r="N2185" i="5"/>
  <c r="M2185" i="5"/>
  <c r="L2185" i="5"/>
  <c r="K2185" i="5"/>
  <c r="J2185" i="5"/>
  <c r="I2185" i="5"/>
  <c r="H2185" i="5"/>
  <c r="N2184" i="5"/>
  <c r="M2184" i="5"/>
  <c r="L2184" i="5"/>
  <c r="K2184" i="5"/>
  <c r="J2184" i="5"/>
  <c r="I2184" i="5"/>
  <c r="H2184" i="5"/>
  <c r="N2183" i="5"/>
  <c r="M2183" i="5"/>
  <c r="L2183" i="5"/>
  <c r="K2183" i="5"/>
  <c r="J2183" i="5"/>
  <c r="I2183" i="5"/>
  <c r="H2183" i="5"/>
  <c r="N2182" i="5"/>
  <c r="M2182" i="5"/>
  <c r="L2182" i="5"/>
  <c r="K2182" i="5"/>
  <c r="J2182" i="5"/>
  <c r="I2182" i="5"/>
  <c r="H2182" i="5"/>
  <c r="N2181" i="5"/>
  <c r="M2181" i="5"/>
  <c r="L2181" i="5"/>
  <c r="K2181" i="5"/>
  <c r="J2181" i="5"/>
  <c r="I2181" i="5"/>
  <c r="H2181" i="5"/>
  <c r="N2180" i="5"/>
  <c r="M2180" i="5"/>
  <c r="L2180" i="5"/>
  <c r="K2180" i="5"/>
  <c r="J2180" i="5"/>
  <c r="I2180" i="5"/>
  <c r="H2180" i="5"/>
  <c r="N2179" i="5"/>
  <c r="M2179" i="5"/>
  <c r="L2179" i="5"/>
  <c r="K2179" i="5"/>
  <c r="J2179" i="5"/>
  <c r="I2179" i="5"/>
  <c r="H2179" i="5"/>
  <c r="N2178" i="5"/>
  <c r="M2178" i="5"/>
  <c r="L2178" i="5"/>
  <c r="K2178" i="5"/>
  <c r="J2178" i="5"/>
  <c r="I2178" i="5"/>
  <c r="H2178" i="5"/>
  <c r="N2177" i="5"/>
  <c r="M2177" i="5"/>
  <c r="L2177" i="5"/>
  <c r="K2177" i="5"/>
  <c r="J2177" i="5"/>
  <c r="I2177" i="5"/>
  <c r="H2177" i="5"/>
  <c r="N2176" i="5"/>
  <c r="M2176" i="5"/>
  <c r="L2176" i="5"/>
  <c r="K2176" i="5"/>
  <c r="J2176" i="5"/>
  <c r="I2176" i="5"/>
  <c r="H2176" i="5"/>
  <c r="N2175" i="5"/>
  <c r="M2175" i="5"/>
  <c r="L2175" i="5"/>
  <c r="K2175" i="5"/>
  <c r="J2175" i="5"/>
  <c r="I2175" i="5"/>
  <c r="H2175" i="5"/>
  <c r="N2174" i="5"/>
  <c r="M2174" i="5"/>
  <c r="L2174" i="5"/>
  <c r="K2174" i="5"/>
  <c r="J2174" i="5"/>
  <c r="I2174" i="5"/>
  <c r="H2174" i="5"/>
  <c r="N2173" i="5"/>
  <c r="M2173" i="5"/>
  <c r="L2173" i="5"/>
  <c r="K2173" i="5"/>
  <c r="J2173" i="5"/>
  <c r="I2173" i="5"/>
  <c r="H2173" i="5"/>
  <c r="N2165" i="5"/>
  <c r="M2165" i="5"/>
  <c r="L2165" i="5"/>
  <c r="K2165" i="5"/>
  <c r="J2165" i="5"/>
  <c r="I2165" i="5"/>
  <c r="H2165" i="5"/>
  <c r="N2164" i="5"/>
  <c r="M2164" i="5"/>
  <c r="L2164" i="5"/>
  <c r="K2164" i="5"/>
  <c r="J2164" i="5"/>
  <c r="I2164" i="5"/>
  <c r="H2164" i="5"/>
  <c r="N2163" i="5"/>
  <c r="M2163" i="5"/>
  <c r="L2163" i="5"/>
  <c r="K2163" i="5"/>
  <c r="J2163" i="5"/>
  <c r="I2163" i="5"/>
  <c r="H2163" i="5"/>
  <c r="N2162" i="5"/>
  <c r="M2162" i="5"/>
  <c r="L2162" i="5"/>
  <c r="K2162" i="5"/>
  <c r="J2162" i="5"/>
  <c r="I2162" i="5"/>
  <c r="H2162" i="5"/>
  <c r="N2161" i="5"/>
  <c r="M2161" i="5"/>
  <c r="L2161" i="5"/>
  <c r="K2161" i="5"/>
  <c r="J2161" i="5"/>
  <c r="I2161" i="5"/>
  <c r="H2161" i="5"/>
  <c r="N2160" i="5"/>
  <c r="M2160" i="5"/>
  <c r="L2160" i="5"/>
  <c r="K2160" i="5"/>
  <c r="J2160" i="5"/>
  <c r="I2160" i="5"/>
  <c r="H2160" i="5"/>
  <c r="N2154" i="5"/>
  <c r="M2154" i="5"/>
  <c r="L2154" i="5"/>
  <c r="K2154" i="5"/>
  <c r="J2154" i="5"/>
  <c r="I2154" i="5"/>
  <c r="H2154" i="5"/>
  <c r="N2153" i="5"/>
  <c r="M2153" i="5"/>
  <c r="L2153" i="5"/>
  <c r="K2153" i="5"/>
  <c r="J2153" i="5"/>
  <c r="I2153" i="5"/>
  <c r="H2153" i="5"/>
  <c r="N2152" i="5"/>
  <c r="M2152" i="5"/>
  <c r="L2152" i="5"/>
  <c r="K2152" i="5"/>
  <c r="J2152" i="5"/>
  <c r="I2152" i="5"/>
  <c r="H2152" i="5"/>
  <c r="N2151" i="5"/>
  <c r="M2151" i="5"/>
  <c r="L2151" i="5"/>
  <c r="K2151" i="5"/>
  <c r="J2151" i="5"/>
  <c r="I2151" i="5"/>
  <c r="H2151" i="5"/>
  <c r="N2150" i="5"/>
  <c r="M2150" i="5"/>
  <c r="L2150" i="5"/>
  <c r="K2150" i="5"/>
  <c r="J2150" i="5"/>
  <c r="I2150" i="5"/>
  <c r="H2150" i="5"/>
  <c r="N2149" i="5"/>
  <c r="M2149" i="5"/>
  <c r="L2149" i="5"/>
  <c r="K2149" i="5"/>
  <c r="J2149" i="5"/>
  <c r="I2149" i="5"/>
  <c r="H2149" i="5"/>
  <c r="N2148" i="5"/>
  <c r="M2148" i="5"/>
  <c r="L2148" i="5"/>
  <c r="K2148" i="5"/>
  <c r="J2148" i="5"/>
  <c r="I2148" i="5"/>
  <c r="H2148" i="5"/>
  <c r="N2147" i="5"/>
  <c r="M2147" i="5"/>
  <c r="L2147" i="5"/>
  <c r="K2147" i="5"/>
  <c r="J2147" i="5"/>
  <c r="I2147" i="5"/>
  <c r="H2147" i="5"/>
  <c r="N2146" i="5"/>
  <c r="M2146" i="5"/>
  <c r="J2146" i="5"/>
  <c r="K2146" i="5" s="1"/>
  <c r="H2146" i="5"/>
  <c r="I2146" i="5" s="1"/>
  <c r="N2140" i="5"/>
  <c r="M2140" i="5"/>
  <c r="L2140" i="5"/>
  <c r="K2140" i="5"/>
  <c r="J2140" i="5"/>
  <c r="I2140" i="5"/>
  <c r="H2140" i="5"/>
  <c r="N2139" i="5"/>
  <c r="M2139" i="5"/>
  <c r="L2139" i="5"/>
  <c r="K2139" i="5"/>
  <c r="J2139" i="5"/>
  <c r="I2139" i="5"/>
  <c r="H2139" i="5"/>
  <c r="N2138" i="5"/>
  <c r="M2138" i="5"/>
  <c r="L2138" i="5"/>
  <c r="K2138" i="5"/>
  <c r="J2138" i="5"/>
  <c r="I2138" i="5"/>
  <c r="H2138" i="5"/>
  <c r="N2137" i="5"/>
  <c r="M2137" i="5"/>
  <c r="L2137" i="5"/>
  <c r="K2137" i="5"/>
  <c r="J2137" i="5"/>
  <c r="I2137" i="5"/>
  <c r="H2137" i="5"/>
  <c r="N2136" i="5"/>
  <c r="M2136" i="5"/>
  <c r="L2136" i="5"/>
  <c r="K2136" i="5"/>
  <c r="J2136" i="5"/>
  <c r="I2136" i="5"/>
  <c r="H2136" i="5"/>
  <c r="N2135" i="5"/>
  <c r="M2135" i="5"/>
  <c r="L2135" i="5"/>
  <c r="K2135" i="5"/>
  <c r="J2135" i="5"/>
  <c r="I2135" i="5"/>
  <c r="H2135" i="5"/>
  <c r="N2134" i="5"/>
  <c r="M2134" i="5"/>
  <c r="L2134" i="5"/>
  <c r="K2134" i="5"/>
  <c r="J2134" i="5"/>
  <c r="I2134" i="5"/>
  <c r="H2134" i="5"/>
  <c r="N2133" i="5"/>
  <c r="M2133" i="5"/>
  <c r="L2133" i="5"/>
  <c r="K2133" i="5"/>
  <c r="J2133" i="5"/>
  <c r="I2133" i="5"/>
  <c r="H2133" i="5"/>
  <c r="N2132" i="5"/>
  <c r="M2132" i="5"/>
  <c r="L2132" i="5"/>
  <c r="K2132" i="5"/>
  <c r="J2132" i="5"/>
  <c r="I2132" i="5"/>
  <c r="H2132" i="5"/>
  <c r="N2131" i="5"/>
  <c r="M2131" i="5"/>
  <c r="L2131" i="5"/>
  <c r="K2131" i="5"/>
  <c r="J2131" i="5"/>
  <c r="I2131" i="5"/>
  <c r="H2131" i="5"/>
  <c r="N2130" i="5"/>
  <c r="M2130" i="5"/>
  <c r="L2130" i="5"/>
  <c r="K2130" i="5"/>
  <c r="J2130" i="5"/>
  <c r="I2130" i="5"/>
  <c r="H2130" i="5"/>
  <c r="N2129" i="5"/>
  <c r="M2129" i="5"/>
  <c r="L2129" i="5"/>
  <c r="K2129" i="5"/>
  <c r="J2129" i="5"/>
  <c r="I2129" i="5"/>
  <c r="H2129" i="5"/>
  <c r="N2128" i="5"/>
  <c r="M2128" i="5"/>
  <c r="L2128" i="5"/>
  <c r="K2128" i="5"/>
  <c r="J2128" i="5"/>
  <c r="I2128" i="5"/>
  <c r="H2128" i="5"/>
  <c r="N2127" i="5"/>
  <c r="M2127" i="5"/>
  <c r="L2127" i="5"/>
  <c r="K2127" i="5"/>
  <c r="J2127" i="5"/>
  <c r="I2127" i="5"/>
  <c r="H2127" i="5"/>
  <c r="N2126" i="5"/>
  <c r="M2126" i="5"/>
  <c r="L2126" i="5"/>
  <c r="K2126" i="5"/>
  <c r="J2126" i="5"/>
  <c r="I2126" i="5"/>
  <c r="H2126" i="5"/>
  <c r="N2125" i="5"/>
  <c r="M2125" i="5"/>
  <c r="L2125" i="5"/>
  <c r="K2125" i="5"/>
  <c r="J2125" i="5"/>
  <c r="I2125" i="5"/>
  <c r="H2125" i="5"/>
  <c r="N2117" i="5"/>
  <c r="M2117" i="5"/>
  <c r="L2117" i="5"/>
  <c r="K2117" i="5"/>
  <c r="J2117" i="5"/>
  <c r="I2117" i="5"/>
  <c r="H2117" i="5"/>
  <c r="N2116" i="5"/>
  <c r="M2116" i="5"/>
  <c r="L2116" i="5"/>
  <c r="K2116" i="5"/>
  <c r="J2116" i="5"/>
  <c r="I2116" i="5"/>
  <c r="H2116" i="5"/>
  <c r="N2115" i="5"/>
  <c r="M2115" i="5"/>
  <c r="L2115" i="5"/>
  <c r="K2115" i="5"/>
  <c r="J2115" i="5"/>
  <c r="I2115" i="5"/>
  <c r="H2115" i="5"/>
  <c r="N2114" i="5"/>
  <c r="M2114" i="5"/>
  <c r="L2114" i="5"/>
  <c r="K2114" i="5"/>
  <c r="J2114" i="5"/>
  <c r="I2114" i="5"/>
  <c r="H2114" i="5"/>
  <c r="N2113" i="5"/>
  <c r="M2113" i="5"/>
  <c r="L2113" i="5"/>
  <c r="K2113" i="5"/>
  <c r="J2113" i="5"/>
  <c r="I2113" i="5"/>
  <c r="H2113" i="5"/>
  <c r="N2112" i="5"/>
  <c r="M2112" i="5"/>
  <c r="L2112" i="5"/>
  <c r="K2112" i="5"/>
  <c r="J2112" i="5"/>
  <c r="I2112" i="5"/>
  <c r="H2112" i="5"/>
  <c r="N2106" i="5"/>
  <c r="M2106" i="5"/>
  <c r="L2106" i="5"/>
  <c r="K2106" i="5"/>
  <c r="J2106" i="5"/>
  <c r="I2106" i="5"/>
  <c r="H2106" i="5"/>
  <c r="N2105" i="5"/>
  <c r="M2105" i="5"/>
  <c r="L2105" i="5"/>
  <c r="K2105" i="5"/>
  <c r="J2105" i="5"/>
  <c r="I2105" i="5"/>
  <c r="H2105" i="5"/>
  <c r="N2104" i="5"/>
  <c r="M2104" i="5"/>
  <c r="L2104" i="5"/>
  <c r="K2104" i="5"/>
  <c r="J2104" i="5"/>
  <c r="I2104" i="5"/>
  <c r="H2104" i="5"/>
  <c r="N2103" i="5"/>
  <c r="M2103" i="5"/>
  <c r="L2103" i="5"/>
  <c r="K2103" i="5"/>
  <c r="J2103" i="5"/>
  <c r="I2103" i="5"/>
  <c r="H2103" i="5"/>
  <c r="N2102" i="5"/>
  <c r="M2102" i="5"/>
  <c r="L2102" i="5"/>
  <c r="K2102" i="5"/>
  <c r="J2102" i="5"/>
  <c r="I2102" i="5"/>
  <c r="H2102" i="5"/>
  <c r="N2101" i="5"/>
  <c r="M2101" i="5"/>
  <c r="L2101" i="5"/>
  <c r="K2101" i="5"/>
  <c r="J2101" i="5"/>
  <c r="I2101" i="5"/>
  <c r="H2101" i="5"/>
  <c r="N2100" i="5"/>
  <c r="M2100" i="5"/>
  <c r="L2100" i="5"/>
  <c r="K2100" i="5"/>
  <c r="J2100" i="5"/>
  <c r="I2100" i="5"/>
  <c r="H2100" i="5"/>
  <c r="N2099" i="5"/>
  <c r="M2099" i="5"/>
  <c r="L2099" i="5"/>
  <c r="K2099" i="5"/>
  <c r="J2099" i="5"/>
  <c r="I2099" i="5"/>
  <c r="H2099" i="5"/>
  <c r="N2098" i="5"/>
  <c r="M2098" i="5"/>
  <c r="L2098" i="5"/>
  <c r="K2098" i="5"/>
  <c r="J2098" i="5"/>
  <c r="I2098" i="5"/>
  <c r="H2098" i="5"/>
  <c r="N2097" i="5"/>
  <c r="M2097" i="5"/>
  <c r="L2097" i="5"/>
  <c r="K2097" i="5"/>
  <c r="J2097" i="5"/>
  <c r="I2097" i="5"/>
  <c r="H2097" i="5"/>
  <c r="N2092" i="5"/>
  <c r="M2092" i="5"/>
  <c r="L2092" i="5"/>
  <c r="K2092" i="5"/>
  <c r="J2092" i="5"/>
  <c r="I2092" i="5"/>
  <c r="H2092" i="5"/>
  <c r="N2091" i="5"/>
  <c r="M2091" i="5"/>
  <c r="L2091" i="5"/>
  <c r="K2091" i="5"/>
  <c r="J2091" i="5"/>
  <c r="I2091" i="5"/>
  <c r="H2091" i="5"/>
  <c r="N2090" i="5"/>
  <c r="M2090" i="5"/>
  <c r="L2090" i="5"/>
  <c r="K2090" i="5"/>
  <c r="J2090" i="5"/>
  <c r="I2090" i="5"/>
  <c r="H2090" i="5"/>
  <c r="N2089" i="5"/>
  <c r="M2089" i="5"/>
  <c r="L2089" i="5"/>
  <c r="K2089" i="5"/>
  <c r="J2089" i="5"/>
  <c r="I2089" i="5"/>
  <c r="H2089" i="5"/>
  <c r="N2088" i="5"/>
  <c r="M2088" i="5"/>
  <c r="L2088" i="5"/>
  <c r="K2088" i="5"/>
  <c r="J2088" i="5"/>
  <c r="I2088" i="5"/>
  <c r="H2088" i="5"/>
  <c r="N2087" i="5"/>
  <c r="M2087" i="5"/>
  <c r="L2087" i="5"/>
  <c r="K2087" i="5"/>
  <c r="J2087" i="5"/>
  <c r="I2087" i="5"/>
  <c r="H2087" i="5"/>
  <c r="N2086" i="5"/>
  <c r="M2086" i="5"/>
  <c r="L2086" i="5"/>
  <c r="K2086" i="5"/>
  <c r="J2086" i="5"/>
  <c r="I2086" i="5"/>
  <c r="H2086" i="5"/>
  <c r="N2085" i="5"/>
  <c r="M2085" i="5"/>
  <c r="L2085" i="5"/>
  <c r="K2085" i="5"/>
  <c r="J2085" i="5"/>
  <c r="I2085" i="5"/>
  <c r="H2085" i="5"/>
  <c r="N2084" i="5"/>
  <c r="M2084" i="5"/>
  <c r="L2084" i="5"/>
  <c r="K2084" i="5"/>
  <c r="J2084" i="5"/>
  <c r="I2084" i="5"/>
  <c r="H2084" i="5"/>
  <c r="N2083" i="5"/>
  <c r="M2083" i="5"/>
  <c r="L2083" i="5"/>
  <c r="K2083" i="5"/>
  <c r="J2083" i="5"/>
  <c r="I2083" i="5"/>
  <c r="H2083" i="5"/>
  <c r="N2082" i="5"/>
  <c r="M2082" i="5"/>
  <c r="L2082" i="5"/>
  <c r="K2082" i="5"/>
  <c r="J2082" i="5"/>
  <c r="I2082" i="5"/>
  <c r="H2082" i="5"/>
  <c r="N2081" i="5"/>
  <c r="M2081" i="5"/>
  <c r="L2081" i="5"/>
  <c r="K2081" i="5"/>
  <c r="J2081" i="5"/>
  <c r="I2081" i="5"/>
  <c r="H2081" i="5"/>
  <c r="N2080" i="5"/>
  <c r="M2080" i="5"/>
  <c r="L2080" i="5"/>
  <c r="K2080" i="5"/>
  <c r="J2080" i="5"/>
  <c r="I2080" i="5"/>
  <c r="H2080" i="5"/>
  <c r="N2079" i="5"/>
  <c r="M2079" i="5"/>
  <c r="L2079" i="5"/>
  <c r="K2079" i="5"/>
  <c r="J2079" i="5"/>
  <c r="I2079" i="5"/>
  <c r="H2079" i="5"/>
  <c r="N2078" i="5"/>
  <c r="M2078" i="5"/>
  <c r="L2078" i="5"/>
  <c r="K2078" i="5"/>
  <c r="J2078" i="5"/>
  <c r="I2078" i="5"/>
  <c r="H2078" i="5"/>
  <c r="N2077" i="5"/>
  <c r="M2077" i="5"/>
  <c r="L2077" i="5"/>
  <c r="K2077" i="5"/>
  <c r="J2077" i="5"/>
  <c r="I2077" i="5"/>
  <c r="H2077" i="5"/>
  <c r="N1973" i="5"/>
  <c r="M1973" i="5"/>
  <c r="L1973" i="5"/>
  <c r="K1973" i="5"/>
  <c r="J1973" i="5"/>
  <c r="I1973" i="5"/>
  <c r="H1973" i="5"/>
  <c r="N1972" i="5"/>
  <c r="M1972" i="5"/>
  <c r="L1972" i="5"/>
  <c r="K1972" i="5"/>
  <c r="J1972" i="5"/>
  <c r="I1972" i="5"/>
  <c r="H1972" i="5"/>
  <c r="N1971" i="5"/>
  <c r="M1971" i="5"/>
  <c r="L1971" i="5"/>
  <c r="K1971" i="5"/>
  <c r="J1971" i="5"/>
  <c r="I1971" i="5"/>
  <c r="H1971" i="5"/>
  <c r="N1970" i="5"/>
  <c r="M1970" i="5"/>
  <c r="L1970" i="5"/>
  <c r="K1970" i="5"/>
  <c r="J1970" i="5"/>
  <c r="I1970" i="5"/>
  <c r="H1970" i="5"/>
  <c r="N1969" i="5"/>
  <c r="M1969" i="5"/>
  <c r="L1969" i="5"/>
  <c r="K1969" i="5"/>
  <c r="J1969" i="5"/>
  <c r="I1969" i="5"/>
  <c r="H1969" i="5"/>
  <c r="N1948" i="5"/>
  <c r="M1948" i="5"/>
  <c r="L1948" i="5"/>
  <c r="K1948" i="5"/>
  <c r="J1948" i="5"/>
  <c r="I1948" i="5"/>
  <c r="H1948" i="5"/>
  <c r="N1947" i="5"/>
  <c r="M1947" i="5"/>
  <c r="L1947" i="5"/>
  <c r="K1947" i="5"/>
  <c r="J1947" i="5"/>
  <c r="I1947" i="5"/>
  <c r="H1947" i="5"/>
  <c r="N1946" i="5"/>
  <c r="M1946" i="5"/>
  <c r="L1946" i="5"/>
  <c r="K1946" i="5"/>
  <c r="J1946" i="5"/>
  <c r="I1946" i="5"/>
  <c r="H1946" i="5"/>
  <c r="N1945" i="5"/>
  <c r="M1945" i="5"/>
  <c r="L1945" i="5"/>
  <c r="K1945" i="5"/>
  <c r="J1945" i="5"/>
  <c r="I1945" i="5"/>
  <c r="H1945" i="5"/>
  <c r="N1944" i="5"/>
  <c r="M1944" i="5"/>
  <c r="L1944" i="5"/>
  <c r="K1944" i="5"/>
  <c r="J1944" i="5"/>
  <c r="I1944" i="5"/>
  <c r="H1944" i="5"/>
  <c r="N1943" i="5"/>
  <c r="M1943" i="5"/>
  <c r="L1943" i="5"/>
  <c r="K1943" i="5"/>
  <c r="J1943" i="5"/>
  <c r="I1943" i="5"/>
  <c r="H1943" i="5"/>
  <c r="N1942" i="5"/>
  <c r="M1942" i="5"/>
  <c r="L1942" i="5"/>
  <c r="K1942" i="5"/>
  <c r="J1942" i="5"/>
  <c r="I1942" i="5"/>
  <c r="H1942" i="5"/>
  <c r="N1941" i="5"/>
  <c r="M1941" i="5"/>
  <c r="L1941" i="5"/>
  <c r="K1941" i="5"/>
  <c r="J1941" i="5"/>
  <c r="I1941" i="5"/>
  <c r="H1941" i="5"/>
  <c r="N1940" i="5"/>
  <c r="M1940" i="5"/>
  <c r="L1940" i="5"/>
  <c r="K1940" i="5"/>
  <c r="J1940" i="5"/>
  <c r="I1940" i="5"/>
  <c r="H1940" i="5"/>
  <c r="N1939" i="5"/>
  <c r="M1939" i="5"/>
  <c r="L1939" i="5"/>
  <c r="K1939" i="5"/>
  <c r="J1939" i="5"/>
  <c r="I1939" i="5"/>
  <c r="H1939" i="5"/>
  <c r="N1938" i="5"/>
  <c r="M1938" i="5"/>
  <c r="L1938" i="5"/>
  <c r="K1938" i="5"/>
  <c r="J1938" i="5"/>
  <c r="I1938" i="5"/>
  <c r="H1938" i="5"/>
  <c r="N1937" i="5"/>
  <c r="M1937" i="5"/>
  <c r="L1937" i="5"/>
  <c r="K1937" i="5"/>
  <c r="J1937" i="5"/>
  <c r="I1937" i="5"/>
  <c r="H1937" i="5"/>
  <c r="N1936" i="5"/>
  <c r="M1936" i="5"/>
  <c r="L1936" i="5"/>
  <c r="K1936" i="5"/>
  <c r="J1936" i="5"/>
  <c r="I1936" i="5"/>
  <c r="H1936" i="5"/>
  <c r="N1829" i="5"/>
  <c r="M1829" i="5"/>
  <c r="L1829" i="5"/>
  <c r="K1829" i="5"/>
  <c r="J1829" i="5"/>
  <c r="I1829" i="5"/>
  <c r="H1829" i="5"/>
  <c r="N1828" i="5"/>
  <c r="M1828" i="5"/>
  <c r="L1828" i="5"/>
  <c r="K1828" i="5"/>
  <c r="J1828" i="5"/>
  <c r="I1828" i="5"/>
  <c r="H1828" i="5"/>
  <c r="N1827" i="5"/>
  <c r="M1827" i="5"/>
  <c r="L1827" i="5"/>
  <c r="K1827" i="5"/>
  <c r="J1827" i="5"/>
  <c r="I1827" i="5"/>
  <c r="H1827" i="5"/>
  <c r="N1826" i="5"/>
  <c r="M1826" i="5"/>
  <c r="L1826" i="5"/>
  <c r="K1826" i="5"/>
  <c r="J1826" i="5"/>
  <c r="I1826" i="5"/>
  <c r="H1826" i="5"/>
  <c r="N1825" i="5"/>
  <c r="M1825" i="5"/>
  <c r="L1825" i="5"/>
  <c r="K1825" i="5"/>
  <c r="J1825" i="5"/>
  <c r="I1825" i="5"/>
  <c r="H1825" i="5"/>
  <c r="N1818" i="5"/>
  <c r="M1818" i="5"/>
  <c r="L1818" i="5"/>
  <c r="K1818" i="5"/>
  <c r="J1818" i="5"/>
  <c r="I1818" i="5"/>
  <c r="H1818" i="5"/>
  <c r="N1817" i="5"/>
  <c r="M1817" i="5"/>
  <c r="L1817" i="5"/>
  <c r="K1817" i="5"/>
  <c r="J1817" i="5"/>
  <c r="I1817" i="5"/>
  <c r="H1817" i="5"/>
  <c r="N1816" i="5"/>
  <c r="M1816" i="5"/>
  <c r="L1816" i="5"/>
  <c r="K1816" i="5"/>
  <c r="J1816" i="5"/>
  <c r="I1816" i="5"/>
  <c r="H1816" i="5"/>
  <c r="N1815" i="5"/>
  <c r="M1815" i="5"/>
  <c r="L1815" i="5"/>
  <c r="K1815" i="5"/>
  <c r="J1815" i="5"/>
  <c r="I1815" i="5"/>
  <c r="H1815" i="5"/>
  <c r="N1814" i="5"/>
  <c r="M1814" i="5"/>
  <c r="L1814" i="5"/>
  <c r="K1814" i="5"/>
  <c r="J1814" i="5"/>
  <c r="I1814" i="5"/>
  <c r="H1814" i="5"/>
  <c r="N1813" i="5"/>
  <c r="M1813" i="5"/>
  <c r="L1813" i="5"/>
  <c r="K1813" i="5"/>
  <c r="J1813" i="5"/>
  <c r="I1813" i="5"/>
  <c r="H1813" i="5"/>
  <c r="N1812" i="5"/>
  <c r="M1812" i="5"/>
  <c r="L1812" i="5"/>
  <c r="K1812" i="5"/>
  <c r="J1812" i="5"/>
  <c r="I1812" i="5"/>
  <c r="H1812" i="5"/>
  <c r="N1811" i="5"/>
  <c r="M1811" i="5"/>
  <c r="L1811" i="5"/>
  <c r="K1811" i="5"/>
  <c r="J1811" i="5"/>
  <c r="I1811" i="5"/>
  <c r="H1811" i="5"/>
  <c r="N1810" i="5"/>
  <c r="M1810" i="5"/>
  <c r="L1810" i="5"/>
  <c r="K1810" i="5"/>
  <c r="J1810" i="5"/>
  <c r="I1810" i="5"/>
  <c r="H1810" i="5"/>
  <c r="M1809" i="5"/>
  <c r="N1809" i="5" s="1"/>
  <c r="J1809" i="5"/>
  <c r="K1809" i="5" s="1"/>
  <c r="H1809" i="5"/>
  <c r="I1809" i="5" s="1"/>
  <c r="N1804" i="5"/>
  <c r="M1804" i="5"/>
  <c r="L1804" i="5"/>
  <c r="K1804" i="5"/>
  <c r="J1804" i="5"/>
  <c r="I1804" i="5"/>
  <c r="H1804" i="5"/>
  <c r="N1803" i="5"/>
  <c r="M1803" i="5"/>
  <c r="L1803" i="5"/>
  <c r="K1803" i="5"/>
  <c r="J1803" i="5"/>
  <c r="I1803" i="5"/>
  <c r="H1803" i="5"/>
  <c r="N1802" i="5"/>
  <c r="M1802" i="5"/>
  <c r="L1802" i="5"/>
  <c r="K1802" i="5"/>
  <c r="J1802" i="5"/>
  <c r="I1802" i="5"/>
  <c r="H1802" i="5"/>
  <c r="N1801" i="5"/>
  <c r="M1801" i="5"/>
  <c r="L1801" i="5"/>
  <c r="K1801" i="5"/>
  <c r="J1801" i="5"/>
  <c r="I1801" i="5"/>
  <c r="H1801" i="5"/>
  <c r="N1800" i="5"/>
  <c r="M1800" i="5"/>
  <c r="L1800" i="5"/>
  <c r="K1800" i="5"/>
  <c r="J1800" i="5"/>
  <c r="I1800" i="5"/>
  <c r="H1800" i="5"/>
  <c r="N1799" i="5"/>
  <c r="M1799" i="5"/>
  <c r="L1799" i="5"/>
  <c r="K1799" i="5"/>
  <c r="J1799" i="5"/>
  <c r="I1799" i="5"/>
  <c r="H1799" i="5"/>
  <c r="N1798" i="5"/>
  <c r="M1798" i="5"/>
  <c r="L1798" i="5"/>
  <c r="K1798" i="5"/>
  <c r="J1798" i="5"/>
  <c r="I1798" i="5"/>
  <c r="H1798" i="5"/>
  <c r="N1797" i="5"/>
  <c r="M1797" i="5"/>
  <c r="L1797" i="5"/>
  <c r="K1797" i="5"/>
  <c r="J1797" i="5"/>
  <c r="I1797" i="5"/>
  <c r="H1797" i="5"/>
  <c r="N1796" i="5"/>
  <c r="M1796" i="5"/>
  <c r="L1796" i="5"/>
  <c r="K1796" i="5"/>
  <c r="J1796" i="5"/>
  <c r="I1796" i="5"/>
  <c r="H1796" i="5"/>
  <c r="N1795" i="5"/>
  <c r="M1795" i="5"/>
  <c r="L1795" i="5"/>
  <c r="K1795" i="5"/>
  <c r="J1795" i="5"/>
  <c r="I1795" i="5"/>
  <c r="H1795" i="5"/>
  <c r="N1794" i="5"/>
  <c r="M1794" i="5"/>
  <c r="L1794" i="5"/>
  <c r="K1794" i="5"/>
  <c r="J1794" i="5"/>
  <c r="I1794" i="5"/>
  <c r="H1794" i="5"/>
  <c r="M1793" i="5"/>
  <c r="N1793" i="5" s="1"/>
  <c r="J1793" i="5"/>
  <c r="K1793" i="5" s="1"/>
  <c r="H1793" i="5"/>
  <c r="I1793" i="5" s="1"/>
  <c r="N1781" i="5"/>
  <c r="M1781" i="5"/>
  <c r="L1781" i="5"/>
  <c r="K1781" i="5"/>
  <c r="J1781" i="5"/>
  <c r="I1781" i="5"/>
  <c r="H1781" i="5"/>
  <c r="N1780" i="5"/>
  <c r="M1780" i="5"/>
  <c r="L1780" i="5"/>
  <c r="K1780" i="5"/>
  <c r="J1780" i="5"/>
  <c r="I1780" i="5"/>
  <c r="H1780" i="5"/>
  <c r="N1779" i="5"/>
  <c r="M1779" i="5"/>
  <c r="L1779" i="5"/>
  <c r="K1779" i="5"/>
  <c r="J1779" i="5"/>
  <c r="I1779" i="5"/>
  <c r="H1779" i="5"/>
  <c r="N1778" i="5"/>
  <c r="M1778" i="5"/>
  <c r="L1778" i="5"/>
  <c r="K1778" i="5"/>
  <c r="J1778" i="5"/>
  <c r="I1778" i="5"/>
  <c r="H1778" i="5"/>
  <c r="N1777" i="5"/>
  <c r="M1777" i="5"/>
  <c r="L1777" i="5"/>
  <c r="K1777" i="5"/>
  <c r="J1777" i="5"/>
  <c r="I1777" i="5"/>
  <c r="H1777" i="5"/>
  <c r="N1770" i="5"/>
  <c r="M1770" i="5"/>
  <c r="L1770" i="5"/>
  <c r="K1770" i="5"/>
  <c r="J1770" i="5"/>
  <c r="I1770" i="5"/>
  <c r="H1770" i="5"/>
  <c r="N1769" i="5"/>
  <c r="M1769" i="5"/>
  <c r="L1769" i="5"/>
  <c r="K1769" i="5"/>
  <c r="J1769" i="5"/>
  <c r="I1769" i="5"/>
  <c r="H1769" i="5"/>
  <c r="N1768" i="5"/>
  <c r="M1768" i="5"/>
  <c r="L1768" i="5"/>
  <c r="K1768" i="5"/>
  <c r="J1768" i="5"/>
  <c r="I1768" i="5"/>
  <c r="H1768" i="5"/>
  <c r="N1767" i="5"/>
  <c r="M1767" i="5"/>
  <c r="L1767" i="5"/>
  <c r="K1767" i="5"/>
  <c r="J1767" i="5"/>
  <c r="I1767" i="5"/>
  <c r="H1767" i="5"/>
  <c r="N1766" i="5"/>
  <c r="M1766" i="5"/>
  <c r="L1766" i="5"/>
  <c r="K1766" i="5"/>
  <c r="J1766" i="5"/>
  <c r="I1766" i="5"/>
  <c r="H1766" i="5"/>
  <c r="N1765" i="5"/>
  <c r="M1765" i="5"/>
  <c r="L1765" i="5"/>
  <c r="K1765" i="5"/>
  <c r="J1765" i="5"/>
  <c r="I1765" i="5"/>
  <c r="H1765" i="5"/>
  <c r="N1764" i="5"/>
  <c r="M1764" i="5"/>
  <c r="L1764" i="5"/>
  <c r="K1764" i="5"/>
  <c r="J1764" i="5"/>
  <c r="I1764" i="5"/>
  <c r="H1764" i="5"/>
  <c r="N1763" i="5"/>
  <c r="M1763" i="5"/>
  <c r="L1763" i="5"/>
  <c r="K1763" i="5"/>
  <c r="J1763" i="5"/>
  <c r="I1763" i="5"/>
  <c r="H1763" i="5"/>
  <c r="N1762" i="5"/>
  <c r="M1762" i="5"/>
  <c r="L1762" i="5"/>
  <c r="K1762" i="5"/>
  <c r="J1762" i="5"/>
  <c r="I1762" i="5"/>
  <c r="H1762" i="5"/>
  <c r="N1761" i="5"/>
  <c r="M1761" i="5"/>
  <c r="L1761" i="5"/>
  <c r="K1761" i="5"/>
  <c r="J1761" i="5"/>
  <c r="I1761" i="5"/>
  <c r="H1761" i="5"/>
  <c r="N1756" i="5"/>
  <c r="M1756" i="5"/>
  <c r="L1756" i="5"/>
  <c r="K1756" i="5"/>
  <c r="J1756" i="5"/>
  <c r="I1756" i="5"/>
  <c r="H1756" i="5"/>
  <c r="N1755" i="5"/>
  <c r="M1755" i="5"/>
  <c r="L1755" i="5"/>
  <c r="K1755" i="5"/>
  <c r="J1755" i="5"/>
  <c r="I1755" i="5"/>
  <c r="H1755" i="5"/>
  <c r="N1754" i="5"/>
  <c r="M1754" i="5"/>
  <c r="L1754" i="5"/>
  <c r="K1754" i="5"/>
  <c r="J1754" i="5"/>
  <c r="I1754" i="5"/>
  <c r="H1754" i="5"/>
  <c r="N1753" i="5"/>
  <c r="M1753" i="5"/>
  <c r="L1753" i="5"/>
  <c r="K1753" i="5"/>
  <c r="J1753" i="5"/>
  <c r="I1753" i="5"/>
  <c r="H1753" i="5"/>
  <c r="N1752" i="5"/>
  <c r="M1752" i="5"/>
  <c r="L1752" i="5"/>
  <c r="K1752" i="5"/>
  <c r="J1752" i="5"/>
  <c r="I1752" i="5"/>
  <c r="H1752" i="5"/>
  <c r="N1751" i="5"/>
  <c r="M1751" i="5"/>
  <c r="L1751" i="5"/>
  <c r="K1751" i="5"/>
  <c r="J1751" i="5"/>
  <c r="I1751" i="5"/>
  <c r="H1751" i="5"/>
  <c r="N1750" i="5"/>
  <c r="M1750" i="5"/>
  <c r="L1750" i="5"/>
  <c r="K1750" i="5"/>
  <c r="J1750" i="5"/>
  <c r="I1750" i="5"/>
  <c r="H1750" i="5"/>
  <c r="N1749" i="5"/>
  <c r="M1749" i="5"/>
  <c r="L1749" i="5"/>
  <c r="K1749" i="5"/>
  <c r="J1749" i="5"/>
  <c r="I1749" i="5"/>
  <c r="H1749" i="5"/>
  <c r="N1748" i="5"/>
  <c r="M1748" i="5"/>
  <c r="L1748" i="5"/>
  <c r="K1748" i="5"/>
  <c r="J1748" i="5"/>
  <c r="I1748" i="5"/>
  <c r="H1748" i="5"/>
  <c r="N1747" i="5"/>
  <c r="M1747" i="5"/>
  <c r="L1747" i="5"/>
  <c r="K1747" i="5"/>
  <c r="J1747" i="5"/>
  <c r="I1747" i="5"/>
  <c r="H1747" i="5"/>
  <c r="N1746" i="5"/>
  <c r="M1746" i="5"/>
  <c r="L1746" i="5"/>
  <c r="K1746" i="5"/>
  <c r="J1746" i="5"/>
  <c r="I1746" i="5"/>
  <c r="H1746" i="5"/>
  <c r="N1745" i="5"/>
  <c r="M1745" i="5"/>
  <c r="L1745" i="5"/>
  <c r="K1745" i="5"/>
  <c r="J1745" i="5"/>
  <c r="I1745" i="5"/>
  <c r="H1745" i="5"/>
  <c r="N1733" i="5"/>
  <c r="M1733" i="5"/>
  <c r="L1733" i="5"/>
  <c r="K1733" i="5"/>
  <c r="J1733" i="5"/>
  <c r="I1733" i="5"/>
  <c r="H1733" i="5"/>
  <c r="N1732" i="5"/>
  <c r="M1732" i="5"/>
  <c r="L1732" i="5"/>
  <c r="K1732" i="5"/>
  <c r="J1732" i="5"/>
  <c r="I1732" i="5"/>
  <c r="H1732" i="5"/>
  <c r="N1731" i="5"/>
  <c r="M1731" i="5"/>
  <c r="L1731" i="5"/>
  <c r="K1731" i="5"/>
  <c r="J1731" i="5"/>
  <c r="I1731" i="5"/>
  <c r="H1731" i="5"/>
  <c r="N1730" i="5"/>
  <c r="M1730" i="5"/>
  <c r="L1730" i="5"/>
  <c r="K1730" i="5"/>
  <c r="J1730" i="5"/>
  <c r="I1730" i="5"/>
  <c r="H1730" i="5"/>
  <c r="N1729" i="5"/>
  <c r="M1729" i="5"/>
  <c r="L1729" i="5"/>
  <c r="K1729" i="5"/>
  <c r="J1729" i="5"/>
  <c r="I1729" i="5"/>
  <c r="H1729" i="5"/>
  <c r="N1722" i="5"/>
  <c r="M1722" i="5"/>
  <c r="L1722" i="5"/>
  <c r="K1722" i="5"/>
  <c r="J1722" i="5"/>
  <c r="I1722" i="5"/>
  <c r="H1722" i="5"/>
  <c r="N1721" i="5"/>
  <c r="M1721" i="5"/>
  <c r="L1721" i="5"/>
  <c r="K1721" i="5"/>
  <c r="J1721" i="5"/>
  <c r="I1721" i="5"/>
  <c r="H1721" i="5"/>
  <c r="N1720" i="5"/>
  <c r="M1720" i="5"/>
  <c r="L1720" i="5"/>
  <c r="K1720" i="5"/>
  <c r="J1720" i="5"/>
  <c r="I1720" i="5"/>
  <c r="H1720" i="5"/>
  <c r="N1719" i="5"/>
  <c r="M1719" i="5"/>
  <c r="L1719" i="5"/>
  <c r="K1719" i="5"/>
  <c r="J1719" i="5"/>
  <c r="I1719" i="5"/>
  <c r="H1719" i="5"/>
  <c r="N1718" i="5"/>
  <c r="M1718" i="5"/>
  <c r="L1718" i="5"/>
  <c r="K1718" i="5"/>
  <c r="J1718" i="5"/>
  <c r="I1718" i="5"/>
  <c r="H1718" i="5"/>
  <c r="N1717" i="5"/>
  <c r="M1717" i="5"/>
  <c r="L1717" i="5"/>
  <c r="K1717" i="5"/>
  <c r="J1717" i="5"/>
  <c r="I1717" i="5"/>
  <c r="H1717" i="5"/>
  <c r="N1716" i="5"/>
  <c r="M1716" i="5"/>
  <c r="L1716" i="5"/>
  <c r="K1716" i="5"/>
  <c r="J1716" i="5"/>
  <c r="I1716" i="5"/>
  <c r="H1716" i="5"/>
  <c r="N1715" i="5"/>
  <c r="M1715" i="5"/>
  <c r="L1715" i="5"/>
  <c r="K1715" i="5"/>
  <c r="J1715" i="5"/>
  <c r="I1715" i="5"/>
  <c r="H1715" i="5"/>
  <c r="N1714" i="5"/>
  <c r="M1714" i="5"/>
  <c r="L1714" i="5"/>
  <c r="K1714" i="5"/>
  <c r="J1714" i="5"/>
  <c r="I1714" i="5"/>
  <c r="H1714" i="5"/>
  <c r="N1713" i="5"/>
  <c r="M1713" i="5"/>
  <c r="L1713" i="5"/>
  <c r="K1713" i="5"/>
  <c r="J1713" i="5"/>
  <c r="I1713" i="5"/>
  <c r="H1713" i="5"/>
  <c r="N1708" i="5"/>
  <c r="M1708" i="5"/>
  <c r="L1708" i="5"/>
  <c r="K1708" i="5"/>
  <c r="J1708" i="5"/>
  <c r="I1708" i="5"/>
  <c r="H1708" i="5"/>
  <c r="N1707" i="5"/>
  <c r="M1707" i="5"/>
  <c r="L1707" i="5"/>
  <c r="K1707" i="5"/>
  <c r="J1707" i="5"/>
  <c r="I1707" i="5"/>
  <c r="H1707" i="5"/>
  <c r="N1706" i="5"/>
  <c r="M1706" i="5"/>
  <c r="L1706" i="5"/>
  <c r="K1706" i="5"/>
  <c r="J1706" i="5"/>
  <c r="I1706" i="5"/>
  <c r="H1706" i="5"/>
  <c r="N1705" i="5"/>
  <c r="M1705" i="5"/>
  <c r="L1705" i="5"/>
  <c r="K1705" i="5"/>
  <c r="J1705" i="5"/>
  <c r="I1705" i="5"/>
  <c r="H1705" i="5"/>
  <c r="N1704" i="5"/>
  <c r="M1704" i="5"/>
  <c r="L1704" i="5"/>
  <c r="K1704" i="5"/>
  <c r="J1704" i="5"/>
  <c r="I1704" i="5"/>
  <c r="H1704" i="5"/>
  <c r="N1703" i="5"/>
  <c r="M1703" i="5"/>
  <c r="L1703" i="5"/>
  <c r="K1703" i="5"/>
  <c r="J1703" i="5"/>
  <c r="I1703" i="5"/>
  <c r="H1703" i="5"/>
  <c r="N1702" i="5"/>
  <c r="M1702" i="5"/>
  <c r="L1702" i="5"/>
  <c r="K1702" i="5"/>
  <c r="J1702" i="5"/>
  <c r="I1702" i="5"/>
  <c r="H1702" i="5"/>
  <c r="N1701" i="5"/>
  <c r="M1701" i="5"/>
  <c r="L1701" i="5"/>
  <c r="K1701" i="5"/>
  <c r="J1701" i="5"/>
  <c r="I1701" i="5"/>
  <c r="H1701" i="5"/>
  <c r="N1700" i="5"/>
  <c r="M1700" i="5"/>
  <c r="L1700" i="5"/>
  <c r="K1700" i="5"/>
  <c r="J1700" i="5"/>
  <c r="I1700" i="5"/>
  <c r="H1700" i="5"/>
  <c r="N1699" i="5"/>
  <c r="M1699" i="5"/>
  <c r="L1699" i="5"/>
  <c r="K1699" i="5"/>
  <c r="J1699" i="5"/>
  <c r="I1699" i="5"/>
  <c r="H1699" i="5"/>
  <c r="N1698" i="5"/>
  <c r="M1698" i="5"/>
  <c r="L1698" i="5"/>
  <c r="K1698" i="5"/>
  <c r="J1698" i="5"/>
  <c r="I1698" i="5"/>
  <c r="H1698" i="5"/>
  <c r="N1697" i="5"/>
  <c r="M1697" i="5"/>
  <c r="L1697" i="5"/>
  <c r="K1697" i="5"/>
  <c r="J1697" i="5"/>
  <c r="I1697" i="5"/>
  <c r="H1697" i="5"/>
  <c r="N1685" i="5"/>
  <c r="M1685" i="5"/>
  <c r="L1685" i="5"/>
  <c r="K1685" i="5"/>
  <c r="J1685" i="5"/>
  <c r="I1685" i="5"/>
  <c r="H1685" i="5"/>
  <c r="N1684" i="5"/>
  <c r="M1684" i="5"/>
  <c r="L1684" i="5"/>
  <c r="K1684" i="5"/>
  <c r="J1684" i="5"/>
  <c r="I1684" i="5"/>
  <c r="H1684" i="5"/>
  <c r="N1683" i="5"/>
  <c r="M1683" i="5"/>
  <c r="L1683" i="5"/>
  <c r="K1683" i="5"/>
  <c r="J1683" i="5"/>
  <c r="I1683" i="5"/>
  <c r="H1683" i="5"/>
  <c r="N1682" i="5"/>
  <c r="M1682" i="5"/>
  <c r="L1682" i="5"/>
  <c r="K1682" i="5"/>
  <c r="J1682" i="5"/>
  <c r="I1682" i="5"/>
  <c r="H1682" i="5"/>
  <c r="N1681" i="5"/>
  <c r="M1681" i="5"/>
  <c r="L1681" i="5"/>
  <c r="K1681" i="5"/>
  <c r="J1681" i="5"/>
  <c r="I1681" i="5"/>
  <c r="H1681" i="5"/>
  <c r="N1674" i="5"/>
  <c r="M1674" i="5"/>
  <c r="L1674" i="5"/>
  <c r="K1674" i="5"/>
  <c r="J1674" i="5"/>
  <c r="I1674" i="5"/>
  <c r="H1674" i="5"/>
  <c r="N1673" i="5"/>
  <c r="M1673" i="5"/>
  <c r="L1673" i="5"/>
  <c r="K1673" i="5"/>
  <c r="J1673" i="5"/>
  <c r="I1673" i="5"/>
  <c r="H1673" i="5"/>
  <c r="N1672" i="5"/>
  <c r="M1672" i="5"/>
  <c r="L1672" i="5"/>
  <c r="K1672" i="5"/>
  <c r="J1672" i="5"/>
  <c r="I1672" i="5"/>
  <c r="H1672" i="5"/>
  <c r="N1671" i="5"/>
  <c r="M1671" i="5"/>
  <c r="L1671" i="5"/>
  <c r="K1671" i="5"/>
  <c r="J1671" i="5"/>
  <c r="I1671" i="5"/>
  <c r="H1671" i="5"/>
  <c r="N1670" i="5"/>
  <c r="M1670" i="5"/>
  <c r="L1670" i="5"/>
  <c r="K1670" i="5"/>
  <c r="J1670" i="5"/>
  <c r="I1670" i="5"/>
  <c r="H1670" i="5"/>
  <c r="N1669" i="5"/>
  <c r="M1669" i="5"/>
  <c r="L1669" i="5"/>
  <c r="K1669" i="5"/>
  <c r="J1669" i="5"/>
  <c r="I1669" i="5"/>
  <c r="H1669" i="5"/>
  <c r="N1668" i="5"/>
  <c r="M1668" i="5"/>
  <c r="L1668" i="5"/>
  <c r="K1668" i="5"/>
  <c r="J1668" i="5"/>
  <c r="I1668" i="5"/>
  <c r="H1668" i="5"/>
  <c r="N1667" i="5"/>
  <c r="M1667" i="5"/>
  <c r="L1667" i="5"/>
  <c r="K1667" i="5"/>
  <c r="J1667" i="5"/>
  <c r="I1667" i="5"/>
  <c r="H1667" i="5"/>
  <c r="N1666" i="5"/>
  <c r="M1666" i="5"/>
  <c r="L1666" i="5"/>
  <c r="K1666" i="5"/>
  <c r="J1666" i="5"/>
  <c r="I1666" i="5"/>
  <c r="H1666" i="5"/>
  <c r="N1660" i="5"/>
  <c r="M1660" i="5"/>
  <c r="L1660" i="5"/>
  <c r="K1660" i="5"/>
  <c r="J1660" i="5"/>
  <c r="I1660" i="5"/>
  <c r="H1660" i="5"/>
  <c r="N1659" i="5"/>
  <c r="M1659" i="5"/>
  <c r="L1659" i="5"/>
  <c r="K1659" i="5"/>
  <c r="J1659" i="5"/>
  <c r="I1659" i="5"/>
  <c r="H1659" i="5"/>
  <c r="N1658" i="5"/>
  <c r="M1658" i="5"/>
  <c r="L1658" i="5"/>
  <c r="K1658" i="5"/>
  <c r="J1658" i="5"/>
  <c r="I1658" i="5"/>
  <c r="H1658" i="5"/>
  <c r="N1657" i="5"/>
  <c r="M1657" i="5"/>
  <c r="L1657" i="5"/>
  <c r="K1657" i="5"/>
  <c r="J1657" i="5"/>
  <c r="I1657" i="5"/>
  <c r="H1657" i="5"/>
  <c r="N1656" i="5"/>
  <c r="M1656" i="5"/>
  <c r="L1656" i="5"/>
  <c r="K1656" i="5"/>
  <c r="J1656" i="5"/>
  <c r="I1656" i="5"/>
  <c r="H1656" i="5"/>
  <c r="N1655" i="5"/>
  <c r="M1655" i="5"/>
  <c r="L1655" i="5"/>
  <c r="K1655" i="5"/>
  <c r="J1655" i="5"/>
  <c r="I1655" i="5"/>
  <c r="H1655" i="5"/>
  <c r="N1654" i="5"/>
  <c r="M1654" i="5"/>
  <c r="L1654" i="5"/>
  <c r="K1654" i="5"/>
  <c r="J1654" i="5"/>
  <c r="I1654" i="5"/>
  <c r="H1654" i="5"/>
  <c r="N1653" i="5"/>
  <c r="M1653" i="5"/>
  <c r="L1653" i="5"/>
  <c r="K1653" i="5"/>
  <c r="J1653" i="5"/>
  <c r="I1653" i="5"/>
  <c r="H1653" i="5"/>
  <c r="N1652" i="5"/>
  <c r="M1652" i="5"/>
  <c r="L1652" i="5"/>
  <c r="K1652" i="5"/>
  <c r="J1652" i="5"/>
  <c r="I1652" i="5"/>
  <c r="H1652" i="5"/>
  <c r="N1651" i="5"/>
  <c r="M1651" i="5"/>
  <c r="L1651" i="5"/>
  <c r="K1651" i="5"/>
  <c r="J1651" i="5"/>
  <c r="I1651" i="5"/>
  <c r="H1651" i="5"/>
  <c r="N1650" i="5"/>
  <c r="M1650" i="5"/>
  <c r="L1650" i="5"/>
  <c r="K1650" i="5"/>
  <c r="J1650" i="5"/>
  <c r="I1650" i="5"/>
  <c r="H1650" i="5"/>
  <c r="N1649" i="5"/>
  <c r="M1649" i="5"/>
  <c r="L1649" i="5"/>
  <c r="K1649" i="5"/>
  <c r="J1649" i="5"/>
  <c r="I1649" i="5"/>
  <c r="H1649" i="5"/>
  <c r="N1589" i="5"/>
  <c r="M1589" i="5"/>
  <c r="L1589" i="5"/>
  <c r="K1589" i="5"/>
  <c r="J1589" i="5"/>
  <c r="I1589" i="5"/>
  <c r="H1589" i="5"/>
  <c r="N1588" i="5"/>
  <c r="M1588" i="5"/>
  <c r="L1588" i="5"/>
  <c r="K1588" i="5"/>
  <c r="J1588" i="5"/>
  <c r="I1588" i="5"/>
  <c r="H1588" i="5"/>
  <c r="N1587" i="5"/>
  <c r="M1587" i="5"/>
  <c r="L1587" i="5"/>
  <c r="K1587" i="5"/>
  <c r="J1587" i="5"/>
  <c r="I1587" i="5"/>
  <c r="H1587" i="5"/>
  <c r="N1586" i="5"/>
  <c r="M1586" i="5"/>
  <c r="L1586" i="5"/>
  <c r="K1586" i="5"/>
  <c r="J1586" i="5"/>
  <c r="I1586" i="5"/>
  <c r="H1586" i="5"/>
  <c r="N1585" i="5"/>
  <c r="M1585" i="5"/>
  <c r="L1585" i="5"/>
  <c r="K1585" i="5"/>
  <c r="J1585" i="5"/>
  <c r="I1585" i="5"/>
  <c r="H1585" i="5"/>
  <c r="N1578" i="5"/>
  <c r="M1578" i="5"/>
  <c r="L1578" i="5"/>
  <c r="K1578" i="5"/>
  <c r="J1578" i="5"/>
  <c r="I1578" i="5"/>
  <c r="H1578" i="5"/>
  <c r="N1577" i="5"/>
  <c r="M1577" i="5"/>
  <c r="L1577" i="5"/>
  <c r="K1577" i="5"/>
  <c r="J1577" i="5"/>
  <c r="I1577" i="5"/>
  <c r="H1577" i="5"/>
  <c r="N1576" i="5"/>
  <c r="M1576" i="5"/>
  <c r="L1576" i="5"/>
  <c r="K1576" i="5"/>
  <c r="J1576" i="5"/>
  <c r="I1576" i="5"/>
  <c r="H1576" i="5"/>
  <c r="N1575" i="5"/>
  <c r="M1575" i="5"/>
  <c r="L1575" i="5"/>
  <c r="K1575" i="5"/>
  <c r="J1575" i="5"/>
  <c r="I1575" i="5"/>
  <c r="H1575" i="5"/>
  <c r="N1574" i="5"/>
  <c r="M1574" i="5"/>
  <c r="L1574" i="5"/>
  <c r="K1574" i="5"/>
  <c r="J1574" i="5"/>
  <c r="I1574" i="5"/>
  <c r="H1574" i="5"/>
  <c r="N1573" i="5"/>
  <c r="M1573" i="5"/>
  <c r="L1573" i="5"/>
  <c r="K1573" i="5"/>
  <c r="J1573" i="5"/>
  <c r="I1573" i="5"/>
  <c r="H1573" i="5"/>
  <c r="N1572" i="5"/>
  <c r="M1572" i="5"/>
  <c r="L1572" i="5"/>
  <c r="K1572" i="5"/>
  <c r="J1572" i="5"/>
  <c r="I1572" i="5"/>
  <c r="H1572" i="5"/>
  <c r="N1571" i="5"/>
  <c r="M1571" i="5"/>
  <c r="L1571" i="5"/>
  <c r="K1571" i="5"/>
  <c r="J1571" i="5"/>
  <c r="I1571" i="5"/>
  <c r="H1571" i="5"/>
  <c r="N1570" i="5"/>
  <c r="M1570" i="5"/>
  <c r="L1570" i="5"/>
  <c r="K1570" i="5"/>
  <c r="J1570" i="5"/>
  <c r="I1570" i="5"/>
  <c r="H1570" i="5"/>
  <c r="N1569" i="5"/>
  <c r="M1569" i="5"/>
  <c r="L1569" i="5"/>
  <c r="K1569" i="5"/>
  <c r="J1569" i="5"/>
  <c r="I1569" i="5"/>
  <c r="H1569" i="5"/>
  <c r="N1564" i="5"/>
  <c r="M1564" i="5"/>
  <c r="L1564" i="5"/>
  <c r="K1564" i="5"/>
  <c r="J1564" i="5"/>
  <c r="I1564" i="5"/>
  <c r="H1564" i="5"/>
  <c r="N1563" i="5"/>
  <c r="M1563" i="5"/>
  <c r="L1563" i="5"/>
  <c r="K1563" i="5"/>
  <c r="J1563" i="5"/>
  <c r="I1563" i="5"/>
  <c r="H1563" i="5"/>
  <c r="N1562" i="5"/>
  <c r="M1562" i="5"/>
  <c r="L1562" i="5"/>
  <c r="K1562" i="5"/>
  <c r="J1562" i="5"/>
  <c r="I1562" i="5"/>
  <c r="H1562" i="5"/>
  <c r="N1561" i="5"/>
  <c r="M1561" i="5"/>
  <c r="L1561" i="5"/>
  <c r="K1561" i="5"/>
  <c r="J1561" i="5"/>
  <c r="I1561" i="5"/>
  <c r="H1561" i="5"/>
  <c r="N1560" i="5"/>
  <c r="M1560" i="5"/>
  <c r="L1560" i="5"/>
  <c r="K1560" i="5"/>
  <c r="J1560" i="5"/>
  <c r="I1560" i="5"/>
  <c r="H1560" i="5"/>
  <c r="N1559" i="5"/>
  <c r="M1559" i="5"/>
  <c r="L1559" i="5"/>
  <c r="K1559" i="5"/>
  <c r="J1559" i="5"/>
  <c r="I1559" i="5"/>
  <c r="H1559" i="5"/>
  <c r="N1558" i="5"/>
  <c r="M1558" i="5"/>
  <c r="L1558" i="5"/>
  <c r="K1558" i="5"/>
  <c r="J1558" i="5"/>
  <c r="I1558" i="5"/>
  <c r="H1558" i="5"/>
  <c r="N1557" i="5"/>
  <c r="M1557" i="5"/>
  <c r="L1557" i="5"/>
  <c r="K1557" i="5"/>
  <c r="J1557" i="5"/>
  <c r="I1557" i="5"/>
  <c r="H1557" i="5"/>
  <c r="N1556" i="5"/>
  <c r="M1556" i="5"/>
  <c r="L1556" i="5"/>
  <c r="K1556" i="5"/>
  <c r="J1556" i="5"/>
  <c r="I1556" i="5"/>
  <c r="H1556" i="5"/>
  <c r="N1555" i="5"/>
  <c r="M1555" i="5"/>
  <c r="L1555" i="5"/>
  <c r="K1555" i="5"/>
  <c r="J1555" i="5"/>
  <c r="I1555" i="5"/>
  <c r="H1555" i="5"/>
  <c r="N1554" i="5"/>
  <c r="M1554" i="5"/>
  <c r="L1554" i="5"/>
  <c r="K1554" i="5"/>
  <c r="J1554" i="5"/>
  <c r="I1554" i="5"/>
  <c r="H1554" i="5"/>
  <c r="N1493" i="5"/>
  <c r="M1493" i="5"/>
  <c r="L1493" i="5"/>
  <c r="K1493" i="5"/>
  <c r="J1493" i="5"/>
  <c r="I1493" i="5"/>
  <c r="H1493" i="5"/>
  <c r="N1492" i="5"/>
  <c r="M1492" i="5"/>
  <c r="L1492" i="5"/>
  <c r="K1492" i="5"/>
  <c r="J1492" i="5"/>
  <c r="I1492" i="5"/>
  <c r="H1492" i="5"/>
  <c r="N1491" i="5"/>
  <c r="M1491" i="5"/>
  <c r="L1491" i="5"/>
  <c r="K1491" i="5"/>
  <c r="J1491" i="5"/>
  <c r="I1491" i="5"/>
  <c r="H1491" i="5"/>
  <c r="N1490" i="5"/>
  <c r="M1490" i="5"/>
  <c r="L1490" i="5"/>
  <c r="K1490" i="5"/>
  <c r="J1490" i="5"/>
  <c r="I1490" i="5"/>
  <c r="H1490" i="5"/>
  <c r="N1489" i="5"/>
  <c r="M1489" i="5"/>
  <c r="L1489" i="5"/>
  <c r="K1489" i="5"/>
  <c r="J1489" i="5"/>
  <c r="I1489" i="5"/>
  <c r="H1489" i="5"/>
  <c r="N1482" i="5"/>
  <c r="M1482" i="5"/>
  <c r="L1482" i="5"/>
  <c r="K1482" i="5"/>
  <c r="J1482" i="5"/>
  <c r="I1482" i="5"/>
  <c r="H1482" i="5"/>
  <c r="N1481" i="5"/>
  <c r="M1481" i="5"/>
  <c r="L1481" i="5"/>
  <c r="K1481" i="5"/>
  <c r="J1481" i="5"/>
  <c r="I1481" i="5"/>
  <c r="H1481" i="5"/>
  <c r="N1480" i="5"/>
  <c r="M1480" i="5"/>
  <c r="L1480" i="5"/>
  <c r="K1480" i="5"/>
  <c r="J1480" i="5"/>
  <c r="I1480" i="5"/>
  <c r="H1480" i="5"/>
  <c r="N1479" i="5"/>
  <c r="M1479" i="5"/>
  <c r="L1479" i="5"/>
  <c r="K1479" i="5"/>
  <c r="J1479" i="5"/>
  <c r="I1479" i="5"/>
  <c r="H1479" i="5"/>
  <c r="N1478" i="5"/>
  <c r="M1478" i="5"/>
  <c r="L1478" i="5"/>
  <c r="K1478" i="5"/>
  <c r="J1478" i="5"/>
  <c r="I1478" i="5"/>
  <c r="H1478" i="5"/>
  <c r="N1477" i="5"/>
  <c r="M1477" i="5"/>
  <c r="L1477" i="5"/>
  <c r="K1477" i="5"/>
  <c r="J1477" i="5"/>
  <c r="I1477" i="5"/>
  <c r="H1477" i="5"/>
  <c r="N1476" i="5"/>
  <c r="M1476" i="5"/>
  <c r="L1476" i="5"/>
  <c r="K1476" i="5"/>
  <c r="J1476" i="5"/>
  <c r="I1476" i="5"/>
  <c r="H1476" i="5"/>
  <c r="N1475" i="5"/>
  <c r="M1475" i="5"/>
  <c r="L1475" i="5"/>
  <c r="K1475" i="5"/>
  <c r="J1475" i="5"/>
  <c r="I1475" i="5"/>
  <c r="H1475" i="5"/>
  <c r="N1474" i="5"/>
  <c r="M1474" i="5"/>
  <c r="L1474" i="5"/>
  <c r="K1474" i="5"/>
  <c r="J1474" i="5"/>
  <c r="I1474" i="5"/>
  <c r="H1474" i="5"/>
  <c r="N1468" i="5"/>
  <c r="M1468" i="5"/>
  <c r="L1468" i="5"/>
  <c r="K1468" i="5"/>
  <c r="J1468" i="5"/>
  <c r="I1468" i="5"/>
  <c r="H1468" i="5"/>
  <c r="N1467" i="5"/>
  <c r="M1467" i="5"/>
  <c r="L1467" i="5"/>
  <c r="K1467" i="5"/>
  <c r="J1467" i="5"/>
  <c r="I1467" i="5"/>
  <c r="H1467" i="5"/>
  <c r="N1466" i="5"/>
  <c r="M1466" i="5"/>
  <c r="L1466" i="5"/>
  <c r="K1466" i="5"/>
  <c r="J1466" i="5"/>
  <c r="I1466" i="5"/>
  <c r="H1466" i="5"/>
  <c r="N1465" i="5"/>
  <c r="M1465" i="5"/>
  <c r="L1465" i="5"/>
  <c r="K1465" i="5"/>
  <c r="J1465" i="5"/>
  <c r="I1465" i="5"/>
  <c r="H1465" i="5"/>
  <c r="N1464" i="5"/>
  <c r="M1464" i="5"/>
  <c r="L1464" i="5"/>
  <c r="K1464" i="5"/>
  <c r="J1464" i="5"/>
  <c r="I1464" i="5"/>
  <c r="H1464" i="5"/>
  <c r="N1463" i="5"/>
  <c r="M1463" i="5"/>
  <c r="L1463" i="5"/>
  <c r="K1463" i="5"/>
  <c r="J1463" i="5"/>
  <c r="I1463" i="5"/>
  <c r="H1463" i="5"/>
  <c r="N1462" i="5"/>
  <c r="M1462" i="5"/>
  <c r="L1462" i="5"/>
  <c r="K1462" i="5"/>
  <c r="J1462" i="5"/>
  <c r="I1462" i="5"/>
  <c r="H1462" i="5"/>
  <c r="N1461" i="5"/>
  <c r="M1461" i="5"/>
  <c r="L1461" i="5"/>
  <c r="K1461" i="5"/>
  <c r="J1461" i="5"/>
  <c r="I1461" i="5"/>
  <c r="H1461" i="5"/>
  <c r="N1460" i="5"/>
  <c r="M1460" i="5"/>
  <c r="L1460" i="5"/>
  <c r="K1460" i="5"/>
  <c r="J1460" i="5"/>
  <c r="I1460" i="5"/>
  <c r="H1460" i="5"/>
  <c r="N1459" i="5"/>
  <c r="M1459" i="5"/>
  <c r="L1459" i="5"/>
  <c r="K1459" i="5"/>
  <c r="J1459" i="5"/>
  <c r="I1459" i="5"/>
  <c r="H1459" i="5"/>
  <c r="N1445" i="5"/>
  <c r="M1445" i="5"/>
  <c r="L1445" i="5"/>
  <c r="K1445" i="5"/>
  <c r="J1445" i="5"/>
  <c r="I1445" i="5"/>
  <c r="H1445" i="5"/>
  <c r="N1444" i="5"/>
  <c r="M1444" i="5"/>
  <c r="L1444" i="5"/>
  <c r="K1444" i="5"/>
  <c r="J1444" i="5"/>
  <c r="I1444" i="5"/>
  <c r="H1444" i="5"/>
  <c r="N1443" i="5"/>
  <c r="M1443" i="5"/>
  <c r="L1443" i="5"/>
  <c r="K1443" i="5"/>
  <c r="J1443" i="5"/>
  <c r="I1443" i="5"/>
  <c r="H1443" i="5"/>
  <c r="N1442" i="5"/>
  <c r="M1442" i="5"/>
  <c r="L1442" i="5"/>
  <c r="K1442" i="5"/>
  <c r="J1442" i="5"/>
  <c r="I1442" i="5"/>
  <c r="H1442" i="5"/>
  <c r="N1434" i="5"/>
  <c r="M1434" i="5"/>
  <c r="L1434" i="5"/>
  <c r="K1434" i="5"/>
  <c r="J1434" i="5"/>
  <c r="I1434" i="5"/>
  <c r="H1434" i="5"/>
  <c r="N1433" i="5"/>
  <c r="M1433" i="5"/>
  <c r="L1433" i="5"/>
  <c r="K1433" i="5"/>
  <c r="J1433" i="5"/>
  <c r="I1433" i="5"/>
  <c r="H1433" i="5"/>
  <c r="N1432" i="5"/>
  <c r="M1432" i="5"/>
  <c r="L1432" i="5"/>
  <c r="K1432" i="5"/>
  <c r="J1432" i="5"/>
  <c r="I1432" i="5"/>
  <c r="H1432" i="5"/>
  <c r="N1431" i="5"/>
  <c r="M1431" i="5"/>
  <c r="L1431" i="5"/>
  <c r="K1431" i="5"/>
  <c r="J1431" i="5"/>
  <c r="I1431" i="5"/>
  <c r="H1431" i="5"/>
  <c r="N1430" i="5"/>
  <c r="M1430" i="5"/>
  <c r="L1430" i="5"/>
  <c r="K1430" i="5"/>
  <c r="J1430" i="5"/>
  <c r="I1430" i="5"/>
  <c r="H1430" i="5"/>
  <c r="N1429" i="5"/>
  <c r="M1429" i="5"/>
  <c r="L1429" i="5"/>
  <c r="K1429" i="5"/>
  <c r="J1429" i="5"/>
  <c r="I1429" i="5"/>
  <c r="H1429" i="5"/>
  <c r="N1428" i="5"/>
  <c r="M1428" i="5"/>
  <c r="L1428" i="5"/>
  <c r="K1428" i="5"/>
  <c r="J1428" i="5"/>
  <c r="I1428" i="5"/>
  <c r="H1428" i="5"/>
  <c r="N1427" i="5"/>
  <c r="M1427" i="5"/>
  <c r="L1427" i="5"/>
  <c r="K1427" i="5"/>
  <c r="J1427" i="5"/>
  <c r="I1427" i="5"/>
  <c r="H1427" i="5"/>
  <c r="N1426" i="5"/>
  <c r="M1426" i="5"/>
  <c r="L1426" i="5"/>
  <c r="K1426" i="5"/>
  <c r="J1426" i="5"/>
  <c r="I1426" i="5"/>
  <c r="H1426" i="5"/>
  <c r="N1420" i="5"/>
  <c r="M1420" i="5"/>
  <c r="L1420" i="5"/>
  <c r="K1420" i="5"/>
  <c r="J1420" i="5"/>
  <c r="I1420" i="5"/>
  <c r="H1420" i="5"/>
  <c r="N1419" i="5"/>
  <c r="M1419" i="5"/>
  <c r="L1419" i="5"/>
  <c r="K1419" i="5"/>
  <c r="J1419" i="5"/>
  <c r="I1419" i="5"/>
  <c r="H1419" i="5"/>
  <c r="N1418" i="5"/>
  <c r="M1418" i="5"/>
  <c r="L1418" i="5"/>
  <c r="K1418" i="5"/>
  <c r="J1418" i="5"/>
  <c r="I1418" i="5"/>
  <c r="H1418" i="5"/>
  <c r="N1417" i="5"/>
  <c r="M1417" i="5"/>
  <c r="L1417" i="5"/>
  <c r="K1417" i="5"/>
  <c r="J1417" i="5"/>
  <c r="I1417" i="5"/>
  <c r="H1417" i="5"/>
  <c r="N1416" i="5"/>
  <c r="M1416" i="5"/>
  <c r="L1416" i="5"/>
  <c r="K1416" i="5"/>
  <c r="J1416" i="5"/>
  <c r="I1416" i="5"/>
  <c r="H1416" i="5"/>
  <c r="N1415" i="5"/>
  <c r="M1415" i="5"/>
  <c r="L1415" i="5"/>
  <c r="K1415" i="5"/>
  <c r="J1415" i="5"/>
  <c r="I1415" i="5"/>
  <c r="H1415" i="5"/>
  <c r="N1414" i="5"/>
  <c r="M1414" i="5"/>
  <c r="L1414" i="5"/>
  <c r="K1414" i="5"/>
  <c r="J1414" i="5"/>
  <c r="I1414" i="5"/>
  <c r="H1414" i="5"/>
  <c r="N1413" i="5"/>
  <c r="M1413" i="5"/>
  <c r="L1413" i="5"/>
  <c r="K1413" i="5"/>
  <c r="J1413" i="5"/>
  <c r="I1413" i="5"/>
  <c r="H1413" i="5"/>
  <c r="N1412" i="5"/>
  <c r="M1412" i="5"/>
  <c r="L1412" i="5"/>
  <c r="K1412" i="5"/>
  <c r="J1412" i="5"/>
  <c r="I1412" i="5"/>
  <c r="H1412" i="5"/>
  <c r="N1411" i="5"/>
  <c r="M1411" i="5"/>
  <c r="L1411" i="5"/>
  <c r="K1411" i="5"/>
  <c r="J1411" i="5"/>
  <c r="I1411" i="5"/>
  <c r="H1411" i="5"/>
  <c r="N1410" i="5"/>
  <c r="M1410" i="5"/>
  <c r="L1410" i="5"/>
  <c r="K1410" i="5"/>
  <c r="J1410" i="5"/>
  <c r="I1410" i="5"/>
  <c r="H1410" i="5"/>
  <c r="N1397" i="5"/>
  <c r="M1397" i="5"/>
  <c r="L1397" i="5"/>
  <c r="K1397" i="5"/>
  <c r="J1397" i="5"/>
  <c r="I1397" i="5"/>
  <c r="H1397" i="5"/>
  <c r="N1396" i="5"/>
  <c r="M1396" i="5"/>
  <c r="L1396" i="5"/>
  <c r="K1396" i="5"/>
  <c r="J1396" i="5"/>
  <c r="I1396" i="5"/>
  <c r="H1396" i="5"/>
  <c r="N1395" i="5"/>
  <c r="M1395" i="5"/>
  <c r="L1395" i="5"/>
  <c r="K1395" i="5"/>
  <c r="J1395" i="5"/>
  <c r="I1395" i="5"/>
  <c r="H1395" i="5"/>
  <c r="N1394" i="5"/>
  <c r="M1394" i="5"/>
  <c r="L1394" i="5"/>
  <c r="K1394" i="5"/>
  <c r="J1394" i="5"/>
  <c r="I1394" i="5"/>
  <c r="H1394" i="5"/>
  <c r="N1393" i="5"/>
  <c r="M1393" i="5"/>
  <c r="L1393" i="5"/>
  <c r="K1393" i="5"/>
  <c r="J1393" i="5"/>
  <c r="I1393" i="5"/>
  <c r="H1393" i="5"/>
  <c r="N1386" i="5"/>
  <c r="M1386" i="5"/>
  <c r="L1386" i="5"/>
  <c r="K1386" i="5"/>
  <c r="J1386" i="5"/>
  <c r="I1386" i="5"/>
  <c r="H1386" i="5"/>
  <c r="N1385" i="5"/>
  <c r="M1385" i="5"/>
  <c r="L1385" i="5"/>
  <c r="K1385" i="5"/>
  <c r="J1385" i="5"/>
  <c r="I1385" i="5"/>
  <c r="H1385" i="5"/>
  <c r="N1384" i="5"/>
  <c r="M1384" i="5"/>
  <c r="L1384" i="5"/>
  <c r="K1384" i="5"/>
  <c r="J1384" i="5"/>
  <c r="I1384" i="5"/>
  <c r="H1384" i="5"/>
  <c r="N1383" i="5"/>
  <c r="M1383" i="5"/>
  <c r="L1383" i="5"/>
  <c r="K1383" i="5"/>
  <c r="J1383" i="5"/>
  <c r="I1383" i="5"/>
  <c r="H1383" i="5"/>
  <c r="N1382" i="5"/>
  <c r="M1382" i="5"/>
  <c r="L1382" i="5"/>
  <c r="K1382" i="5"/>
  <c r="J1382" i="5"/>
  <c r="I1382" i="5"/>
  <c r="H1382" i="5"/>
  <c r="N1381" i="5"/>
  <c r="M1381" i="5"/>
  <c r="L1381" i="5"/>
  <c r="K1381" i="5"/>
  <c r="J1381" i="5"/>
  <c r="I1381" i="5"/>
  <c r="H1381" i="5"/>
  <c r="N1380" i="5"/>
  <c r="M1380" i="5"/>
  <c r="L1380" i="5"/>
  <c r="K1380" i="5"/>
  <c r="J1380" i="5"/>
  <c r="I1380" i="5"/>
  <c r="H1380" i="5"/>
  <c r="N1379" i="5"/>
  <c r="M1379" i="5"/>
  <c r="L1379" i="5"/>
  <c r="K1379" i="5"/>
  <c r="J1379" i="5"/>
  <c r="I1379" i="5"/>
  <c r="H1379" i="5"/>
  <c r="N1378" i="5"/>
  <c r="M1378" i="5"/>
  <c r="L1378" i="5"/>
  <c r="K1378" i="5"/>
  <c r="J1378" i="5"/>
  <c r="I1378" i="5"/>
  <c r="H1378" i="5"/>
  <c r="N1377" i="5"/>
  <c r="M1377" i="5"/>
  <c r="L1377" i="5"/>
  <c r="K1377" i="5"/>
  <c r="J1377" i="5"/>
  <c r="I1377" i="5"/>
  <c r="H1377" i="5"/>
  <c r="N1372" i="5"/>
  <c r="M1372" i="5"/>
  <c r="L1372" i="5"/>
  <c r="K1372" i="5"/>
  <c r="J1372" i="5"/>
  <c r="I1372" i="5"/>
  <c r="H1372" i="5"/>
  <c r="N1371" i="5"/>
  <c r="M1371" i="5"/>
  <c r="L1371" i="5"/>
  <c r="K1371" i="5"/>
  <c r="J1371" i="5"/>
  <c r="I1371" i="5"/>
  <c r="H1371" i="5"/>
  <c r="N1370" i="5"/>
  <c r="M1370" i="5"/>
  <c r="L1370" i="5"/>
  <c r="K1370" i="5"/>
  <c r="J1370" i="5"/>
  <c r="I1370" i="5"/>
  <c r="H1370" i="5"/>
  <c r="N1369" i="5"/>
  <c r="M1369" i="5"/>
  <c r="L1369" i="5"/>
  <c r="K1369" i="5"/>
  <c r="J1369" i="5"/>
  <c r="I1369" i="5"/>
  <c r="H1369" i="5"/>
  <c r="N1368" i="5"/>
  <c r="M1368" i="5"/>
  <c r="L1368" i="5"/>
  <c r="K1368" i="5"/>
  <c r="J1368" i="5"/>
  <c r="I1368" i="5"/>
  <c r="H1368" i="5"/>
  <c r="N1367" i="5"/>
  <c r="M1367" i="5"/>
  <c r="L1367" i="5"/>
  <c r="K1367" i="5"/>
  <c r="J1367" i="5"/>
  <c r="I1367" i="5"/>
  <c r="H1367" i="5"/>
  <c r="N1366" i="5"/>
  <c r="M1366" i="5"/>
  <c r="L1366" i="5"/>
  <c r="K1366" i="5"/>
  <c r="J1366" i="5"/>
  <c r="I1366" i="5"/>
  <c r="H1366" i="5"/>
  <c r="N1365" i="5"/>
  <c r="M1365" i="5"/>
  <c r="L1365" i="5"/>
  <c r="K1365" i="5"/>
  <c r="J1365" i="5"/>
  <c r="I1365" i="5"/>
  <c r="H1365" i="5"/>
  <c r="N1364" i="5"/>
  <c r="M1364" i="5"/>
  <c r="L1364" i="5"/>
  <c r="K1364" i="5"/>
  <c r="J1364" i="5"/>
  <c r="I1364" i="5"/>
  <c r="H1364" i="5"/>
  <c r="N1363" i="5"/>
  <c r="M1363" i="5"/>
  <c r="L1363" i="5"/>
  <c r="K1363" i="5"/>
  <c r="J1363" i="5"/>
  <c r="I1363" i="5"/>
  <c r="H1363" i="5"/>
  <c r="N1362" i="5"/>
  <c r="M1362" i="5"/>
  <c r="L1362" i="5"/>
  <c r="K1362" i="5"/>
  <c r="J1362" i="5"/>
  <c r="I1362" i="5"/>
  <c r="H1362" i="5"/>
  <c r="N1361" i="5"/>
  <c r="M1361" i="5"/>
  <c r="L1361" i="5"/>
  <c r="K1361" i="5"/>
  <c r="J1361" i="5"/>
  <c r="I1361" i="5"/>
  <c r="H1361" i="5"/>
  <c r="N1360" i="5"/>
  <c r="M1360" i="5"/>
  <c r="L1360" i="5"/>
  <c r="K1360" i="5"/>
  <c r="J1360" i="5"/>
  <c r="I1360" i="5"/>
  <c r="H1360" i="5"/>
  <c r="N1349" i="5"/>
  <c r="M1349" i="5"/>
  <c r="L1349" i="5"/>
  <c r="K1349" i="5"/>
  <c r="J1349" i="5"/>
  <c r="I1349" i="5"/>
  <c r="H1349" i="5"/>
  <c r="N1348" i="5"/>
  <c r="M1348" i="5"/>
  <c r="L1348" i="5"/>
  <c r="K1348" i="5"/>
  <c r="J1348" i="5"/>
  <c r="I1348" i="5"/>
  <c r="H1348" i="5"/>
  <c r="N1347" i="5"/>
  <c r="M1347" i="5"/>
  <c r="L1347" i="5"/>
  <c r="K1347" i="5"/>
  <c r="J1347" i="5"/>
  <c r="I1347" i="5"/>
  <c r="H1347" i="5"/>
  <c r="N1346" i="5"/>
  <c r="M1346" i="5"/>
  <c r="L1346" i="5"/>
  <c r="K1346" i="5"/>
  <c r="J1346" i="5"/>
  <c r="I1346" i="5"/>
  <c r="H1346" i="5"/>
  <c r="N1345" i="5"/>
  <c r="M1345" i="5"/>
  <c r="L1345" i="5"/>
  <c r="K1345" i="5"/>
  <c r="J1345" i="5"/>
  <c r="I1345" i="5"/>
  <c r="H1345" i="5"/>
  <c r="N1338" i="5"/>
  <c r="M1338" i="5"/>
  <c r="L1338" i="5"/>
  <c r="K1338" i="5"/>
  <c r="J1338" i="5"/>
  <c r="I1338" i="5"/>
  <c r="H1338" i="5"/>
  <c r="N1337" i="5"/>
  <c r="M1337" i="5"/>
  <c r="L1337" i="5"/>
  <c r="K1337" i="5"/>
  <c r="J1337" i="5"/>
  <c r="I1337" i="5"/>
  <c r="H1337" i="5"/>
  <c r="N1336" i="5"/>
  <c r="M1336" i="5"/>
  <c r="L1336" i="5"/>
  <c r="K1336" i="5"/>
  <c r="J1336" i="5"/>
  <c r="I1336" i="5"/>
  <c r="H1336" i="5"/>
  <c r="N1335" i="5"/>
  <c r="M1335" i="5"/>
  <c r="L1335" i="5"/>
  <c r="K1335" i="5"/>
  <c r="J1335" i="5"/>
  <c r="I1335" i="5"/>
  <c r="H1335" i="5"/>
  <c r="N1334" i="5"/>
  <c r="M1334" i="5"/>
  <c r="L1334" i="5"/>
  <c r="K1334" i="5"/>
  <c r="J1334" i="5"/>
  <c r="I1334" i="5"/>
  <c r="H1334" i="5"/>
  <c r="N1333" i="5"/>
  <c r="M1333" i="5"/>
  <c r="L1333" i="5"/>
  <c r="K1333" i="5"/>
  <c r="J1333" i="5"/>
  <c r="I1333" i="5"/>
  <c r="H1333" i="5"/>
  <c r="N1332" i="5"/>
  <c r="M1332" i="5"/>
  <c r="L1332" i="5"/>
  <c r="K1332" i="5"/>
  <c r="J1332" i="5"/>
  <c r="I1332" i="5"/>
  <c r="H1332" i="5"/>
  <c r="N1331" i="5"/>
  <c r="M1331" i="5"/>
  <c r="L1331" i="5"/>
  <c r="K1331" i="5"/>
  <c r="J1331" i="5"/>
  <c r="I1331" i="5"/>
  <c r="H1331" i="5"/>
  <c r="N1330" i="5"/>
  <c r="M1330" i="5"/>
  <c r="L1330" i="5"/>
  <c r="K1330" i="5"/>
  <c r="J1330" i="5"/>
  <c r="I1330" i="5"/>
  <c r="H1330" i="5"/>
  <c r="N1329" i="5"/>
  <c r="M1329" i="5"/>
  <c r="L1329" i="5"/>
  <c r="K1329" i="5"/>
  <c r="J1329" i="5"/>
  <c r="I1329" i="5"/>
  <c r="H1329" i="5"/>
  <c r="N1324" i="5"/>
  <c r="M1324" i="5"/>
  <c r="L1324" i="5"/>
  <c r="K1324" i="5"/>
  <c r="J1324" i="5"/>
  <c r="I1324" i="5"/>
  <c r="H1324" i="5"/>
  <c r="N1323" i="5"/>
  <c r="M1323" i="5"/>
  <c r="L1323" i="5"/>
  <c r="K1323" i="5"/>
  <c r="J1323" i="5"/>
  <c r="I1323" i="5"/>
  <c r="H1323" i="5"/>
  <c r="N1322" i="5"/>
  <c r="M1322" i="5"/>
  <c r="L1322" i="5"/>
  <c r="K1322" i="5"/>
  <c r="J1322" i="5"/>
  <c r="I1322" i="5"/>
  <c r="H1322" i="5"/>
  <c r="N1321" i="5"/>
  <c r="M1321" i="5"/>
  <c r="L1321" i="5"/>
  <c r="K1321" i="5"/>
  <c r="J1321" i="5"/>
  <c r="I1321" i="5"/>
  <c r="H1321" i="5"/>
  <c r="N1320" i="5"/>
  <c r="M1320" i="5"/>
  <c r="L1320" i="5"/>
  <c r="K1320" i="5"/>
  <c r="J1320" i="5"/>
  <c r="I1320" i="5"/>
  <c r="H1320" i="5"/>
  <c r="N1319" i="5"/>
  <c r="M1319" i="5"/>
  <c r="L1319" i="5"/>
  <c r="K1319" i="5"/>
  <c r="J1319" i="5"/>
  <c r="I1319" i="5"/>
  <c r="H1319" i="5"/>
  <c r="N1318" i="5"/>
  <c r="M1318" i="5"/>
  <c r="L1318" i="5"/>
  <c r="K1318" i="5"/>
  <c r="J1318" i="5"/>
  <c r="I1318" i="5"/>
  <c r="H1318" i="5"/>
  <c r="N1317" i="5"/>
  <c r="M1317" i="5"/>
  <c r="L1317" i="5"/>
  <c r="K1317" i="5"/>
  <c r="J1317" i="5"/>
  <c r="I1317" i="5"/>
  <c r="H1317" i="5"/>
  <c r="N1316" i="5"/>
  <c r="M1316" i="5"/>
  <c r="L1316" i="5"/>
  <c r="K1316" i="5"/>
  <c r="J1316" i="5"/>
  <c r="I1316" i="5"/>
  <c r="H1316" i="5"/>
  <c r="N1315" i="5"/>
  <c r="M1315" i="5"/>
  <c r="L1315" i="5"/>
  <c r="K1315" i="5"/>
  <c r="J1315" i="5"/>
  <c r="I1315" i="5"/>
  <c r="H1315" i="5"/>
  <c r="N1314" i="5"/>
  <c r="M1314" i="5"/>
  <c r="L1314" i="5"/>
  <c r="K1314" i="5"/>
  <c r="J1314" i="5"/>
  <c r="I1314" i="5"/>
  <c r="H1314" i="5"/>
  <c r="N1313" i="5"/>
  <c r="M1313" i="5"/>
  <c r="L1313" i="5"/>
  <c r="K1313" i="5"/>
  <c r="J1313" i="5"/>
  <c r="I1313" i="5"/>
  <c r="H1313" i="5"/>
  <c r="N1301" i="5"/>
  <c r="M1301" i="5"/>
  <c r="L1301" i="5"/>
  <c r="K1301" i="5"/>
  <c r="J1301" i="5"/>
  <c r="I1301" i="5"/>
  <c r="H1301" i="5"/>
  <c r="N1300" i="5"/>
  <c r="M1300" i="5"/>
  <c r="L1300" i="5"/>
  <c r="K1300" i="5"/>
  <c r="J1300" i="5"/>
  <c r="I1300" i="5"/>
  <c r="H1300" i="5"/>
  <c r="N1299" i="5"/>
  <c r="M1299" i="5"/>
  <c r="L1299" i="5"/>
  <c r="K1299" i="5"/>
  <c r="J1299" i="5"/>
  <c r="I1299" i="5"/>
  <c r="H1299" i="5"/>
  <c r="N1290" i="5"/>
  <c r="M1290" i="5"/>
  <c r="L1290" i="5"/>
  <c r="K1290" i="5"/>
  <c r="J1290" i="5"/>
  <c r="I1290" i="5"/>
  <c r="H1290" i="5"/>
  <c r="N1289" i="5"/>
  <c r="M1289" i="5"/>
  <c r="L1289" i="5"/>
  <c r="K1289" i="5"/>
  <c r="J1289" i="5"/>
  <c r="I1289" i="5"/>
  <c r="H1289" i="5"/>
  <c r="N1288" i="5"/>
  <c r="M1288" i="5"/>
  <c r="L1288" i="5"/>
  <c r="K1288" i="5"/>
  <c r="J1288" i="5"/>
  <c r="I1288" i="5"/>
  <c r="H1288" i="5"/>
  <c r="N1287" i="5"/>
  <c r="M1287" i="5"/>
  <c r="L1287" i="5"/>
  <c r="K1287" i="5"/>
  <c r="J1287" i="5"/>
  <c r="I1287" i="5"/>
  <c r="H1287" i="5"/>
  <c r="N1286" i="5"/>
  <c r="M1286" i="5"/>
  <c r="L1286" i="5"/>
  <c r="K1286" i="5"/>
  <c r="J1286" i="5"/>
  <c r="I1286" i="5"/>
  <c r="H1286" i="5"/>
  <c r="N1285" i="5"/>
  <c r="M1285" i="5"/>
  <c r="L1285" i="5"/>
  <c r="K1285" i="5"/>
  <c r="J1285" i="5"/>
  <c r="I1285" i="5"/>
  <c r="H1285" i="5"/>
  <c r="N1284" i="5"/>
  <c r="M1284" i="5"/>
  <c r="L1284" i="5"/>
  <c r="K1284" i="5"/>
  <c r="J1284" i="5"/>
  <c r="I1284" i="5"/>
  <c r="H1284" i="5"/>
  <c r="N1283" i="5"/>
  <c r="M1283" i="5"/>
  <c r="L1283" i="5"/>
  <c r="K1283" i="5"/>
  <c r="J1283" i="5"/>
  <c r="I1283" i="5"/>
  <c r="H1283" i="5"/>
  <c r="N1282" i="5"/>
  <c r="M1282" i="5"/>
  <c r="L1282" i="5"/>
  <c r="K1282" i="5"/>
  <c r="J1282" i="5"/>
  <c r="I1282" i="5"/>
  <c r="H1282" i="5"/>
  <c r="N1276" i="5"/>
  <c r="M1276" i="5"/>
  <c r="L1276" i="5"/>
  <c r="K1276" i="5"/>
  <c r="J1276" i="5"/>
  <c r="I1276" i="5"/>
  <c r="H1276" i="5"/>
  <c r="N1275" i="5"/>
  <c r="M1275" i="5"/>
  <c r="L1275" i="5"/>
  <c r="K1275" i="5"/>
  <c r="J1275" i="5"/>
  <c r="I1275" i="5"/>
  <c r="H1275" i="5"/>
  <c r="N1274" i="5"/>
  <c r="M1274" i="5"/>
  <c r="L1274" i="5"/>
  <c r="K1274" i="5"/>
  <c r="J1274" i="5"/>
  <c r="I1274" i="5"/>
  <c r="H1274" i="5"/>
  <c r="N1157" i="5"/>
  <c r="M1157" i="5"/>
  <c r="L1157" i="5"/>
  <c r="K1157" i="5"/>
  <c r="J1157" i="5"/>
  <c r="I1157" i="5"/>
  <c r="H1157" i="5"/>
  <c r="N1156" i="5"/>
  <c r="M1156" i="5"/>
  <c r="L1156" i="5"/>
  <c r="K1156" i="5"/>
  <c r="J1156" i="5"/>
  <c r="I1156" i="5"/>
  <c r="H1156" i="5"/>
  <c r="N1155" i="5"/>
  <c r="M1155" i="5"/>
  <c r="L1155" i="5"/>
  <c r="K1155" i="5"/>
  <c r="J1155" i="5"/>
  <c r="I1155" i="5"/>
  <c r="H1155" i="5"/>
  <c r="N1154" i="5"/>
  <c r="M1154" i="5"/>
  <c r="L1154" i="5"/>
  <c r="K1154" i="5"/>
  <c r="J1154" i="5"/>
  <c r="I1154" i="5"/>
  <c r="H1154" i="5"/>
  <c r="N1153" i="5"/>
  <c r="M1153" i="5"/>
  <c r="L1153" i="5"/>
  <c r="K1153" i="5"/>
  <c r="J1153" i="5"/>
  <c r="I1153" i="5"/>
  <c r="H1153" i="5"/>
  <c r="N1146" i="5"/>
  <c r="M1146" i="5"/>
  <c r="L1146" i="5"/>
  <c r="K1146" i="5"/>
  <c r="J1146" i="5"/>
  <c r="I1146" i="5"/>
  <c r="H1146" i="5"/>
  <c r="N1145" i="5"/>
  <c r="M1145" i="5"/>
  <c r="L1145" i="5"/>
  <c r="K1145" i="5"/>
  <c r="J1145" i="5"/>
  <c r="I1145" i="5"/>
  <c r="H1145" i="5"/>
  <c r="N1144" i="5"/>
  <c r="M1144" i="5"/>
  <c r="L1144" i="5"/>
  <c r="K1144" i="5"/>
  <c r="J1144" i="5"/>
  <c r="I1144" i="5"/>
  <c r="H1144" i="5"/>
  <c r="N1143" i="5"/>
  <c r="M1143" i="5"/>
  <c r="L1143" i="5"/>
  <c r="K1143" i="5"/>
  <c r="J1143" i="5"/>
  <c r="I1143" i="5"/>
  <c r="H1143" i="5"/>
  <c r="N1142" i="5"/>
  <c r="M1142" i="5"/>
  <c r="L1142" i="5"/>
  <c r="K1142" i="5"/>
  <c r="J1142" i="5"/>
  <c r="I1142" i="5"/>
  <c r="H1142" i="5"/>
  <c r="N1141" i="5"/>
  <c r="M1141" i="5"/>
  <c r="L1141" i="5"/>
  <c r="K1141" i="5"/>
  <c r="J1141" i="5"/>
  <c r="I1141" i="5"/>
  <c r="H1141" i="5"/>
  <c r="N1140" i="5"/>
  <c r="M1140" i="5"/>
  <c r="L1140" i="5"/>
  <c r="K1140" i="5"/>
  <c r="J1140" i="5"/>
  <c r="I1140" i="5"/>
  <c r="H1140" i="5"/>
  <c r="N1139" i="5"/>
  <c r="M1139" i="5"/>
  <c r="L1139" i="5"/>
  <c r="K1139" i="5"/>
  <c r="J1139" i="5"/>
  <c r="I1139" i="5"/>
  <c r="H1139" i="5"/>
  <c r="N1138" i="5"/>
  <c r="M1138" i="5"/>
  <c r="L1138" i="5"/>
  <c r="K1138" i="5"/>
  <c r="J1138" i="5"/>
  <c r="I1138" i="5"/>
  <c r="H1138" i="5"/>
  <c r="N1137" i="5"/>
  <c r="M1137" i="5"/>
  <c r="L1137" i="5"/>
  <c r="K1137" i="5"/>
  <c r="J1137" i="5"/>
  <c r="I1137" i="5"/>
  <c r="H1137" i="5"/>
  <c r="N1132" i="5"/>
  <c r="M1132" i="5"/>
  <c r="L1132" i="5"/>
  <c r="K1132" i="5"/>
  <c r="J1132" i="5"/>
  <c r="I1132" i="5"/>
  <c r="H1132" i="5"/>
  <c r="N1131" i="5"/>
  <c r="M1131" i="5"/>
  <c r="L1131" i="5"/>
  <c r="K1131" i="5"/>
  <c r="J1131" i="5"/>
  <c r="I1131" i="5"/>
  <c r="H1131" i="5"/>
  <c r="N1130" i="5"/>
  <c r="M1130" i="5"/>
  <c r="L1130" i="5"/>
  <c r="K1130" i="5"/>
  <c r="J1130" i="5"/>
  <c r="I1130" i="5"/>
  <c r="H1130" i="5"/>
  <c r="N1129" i="5"/>
  <c r="M1129" i="5"/>
  <c r="L1129" i="5"/>
  <c r="K1129" i="5"/>
  <c r="J1129" i="5"/>
  <c r="I1129" i="5"/>
  <c r="H1129" i="5"/>
  <c r="N1128" i="5"/>
  <c r="M1128" i="5"/>
  <c r="L1128" i="5"/>
  <c r="K1128" i="5"/>
  <c r="J1128" i="5"/>
  <c r="I1128" i="5"/>
  <c r="H1128" i="5"/>
  <c r="N1127" i="5"/>
  <c r="M1127" i="5"/>
  <c r="L1127" i="5"/>
  <c r="K1127" i="5"/>
  <c r="J1127" i="5"/>
  <c r="I1127" i="5"/>
  <c r="H1127" i="5"/>
  <c r="N1126" i="5"/>
  <c r="M1126" i="5"/>
  <c r="L1126" i="5"/>
  <c r="K1126" i="5"/>
  <c r="J1126" i="5"/>
  <c r="I1126" i="5"/>
  <c r="H1126" i="5"/>
  <c r="N1125" i="5"/>
  <c r="M1125" i="5"/>
  <c r="L1125" i="5"/>
  <c r="K1125" i="5"/>
  <c r="J1125" i="5"/>
  <c r="I1125" i="5"/>
  <c r="H1125" i="5"/>
  <c r="N1124" i="5"/>
  <c r="M1124" i="5"/>
  <c r="L1124" i="5"/>
  <c r="K1124" i="5"/>
  <c r="J1124" i="5"/>
  <c r="I1124" i="5"/>
  <c r="H1124" i="5"/>
  <c r="N1123" i="5"/>
  <c r="M1123" i="5"/>
  <c r="L1123" i="5"/>
  <c r="K1123" i="5"/>
  <c r="J1123" i="5"/>
  <c r="I1123" i="5"/>
  <c r="H1123" i="5"/>
  <c r="N1122" i="5"/>
  <c r="M1122" i="5"/>
  <c r="L1122" i="5"/>
  <c r="K1122" i="5"/>
  <c r="J1122" i="5"/>
  <c r="I1122" i="5"/>
  <c r="H1122" i="5"/>
  <c r="N1121" i="5"/>
  <c r="M1121" i="5"/>
  <c r="L1121" i="5"/>
  <c r="K1121" i="5"/>
  <c r="J1121" i="5"/>
  <c r="I1121" i="5"/>
  <c r="H1121" i="5"/>
  <c r="N1013" i="5"/>
  <c r="M1013" i="5"/>
  <c r="L1013" i="5"/>
  <c r="K1013" i="5"/>
  <c r="J1013" i="5"/>
  <c r="I1013" i="5"/>
  <c r="H1013" i="5"/>
  <c r="N1012" i="5"/>
  <c r="M1012" i="5"/>
  <c r="L1012" i="5"/>
  <c r="K1012" i="5"/>
  <c r="J1012" i="5"/>
  <c r="I1012" i="5"/>
  <c r="H1012" i="5"/>
  <c r="N1011" i="5"/>
  <c r="M1011" i="5"/>
  <c r="L1011" i="5"/>
  <c r="K1011" i="5"/>
  <c r="J1011" i="5"/>
  <c r="I1011" i="5"/>
  <c r="H1011" i="5"/>
  <c r="N1010" i="5"/>
  <c r="M1010" i="5"/>
  <c r="L1010" i="5"/>
  <c r="K1010" i="5"/>
  <c r="J1010" i="5"/>
  <c r="I1010" i="5"/>
  <c r="H1010" i="5"/>
  <c r="N1009" i="5"/>
  <c r="M1009" i="5"/>
  <c r="L1009" i="5"/>
  <c r="K1009" i="5"/>
  <c r="J1009" i="5"/>
  <c r="I1009" i="5"/>
  <c r="H1009" i="5"/>
  <c r="N1002" i="5"/>
  <c r="M1002" i="5"/>
  <c r="L1002" i="5"/>
  <c r="K1002" i="5"/>
  <c r="J1002" i="5"/>
  <c r="I1002" i="5"/>
  <c r="H1002" i="5"/>
  <c r="N1001" i="5"/>
  <c r="M1001" i="5"/>
  <c r="L1001" i="5"/>
  <c r="K1001" i="5"/>
  <c r="J1001" i="5"/>
  <c r="I1001" i="5"/>
  <c r="H1001" i="5"/>
  <c r="N1000" i="5"/>
  <c r="M1000" i="5"/>
  <c r="L1000" i="5"/>
  <c r="K1000" i="5"/>
  <c r="J1000" i="5"/>
  <c r="I1000" i="5"/>
  <c r="H1000" i="5"/>
  <c r="N999" i="5"/>
  <c r="M999" i="5"/>
  <c r="L999" i="5"/>
  <c r="K999" i="5"/>
  <c r="J999" i="5"/>
  <c r="I999" i="5"/>
  <c r="H999" i="5"/>
  <c r="N998" i="5"/>
  <c r="M998" i="5"/>
  <c r="L998" i="5"/>
  <c r="K998" i="5"/>
  <c r="J998" i="5"/>
  <c r="I998" i="5"/>
  <c r="H998" i="5"/>
  <c r="N997" i="5"/>
  <c r="M997" i="5"/>
  <c r="L997" i="5"/>
  <c r="K997" i="5"/>
  <c r="J997" i="5"/>
  <c r="I997" i="5"/>
  <c r="H997" i="5"/>
  <c r="N996" i="5"/>
  <c r="M996" i="5"/>
  <c r="L996" i="5"/>
  <c r="K996" i="5"/>
  <c r="J996" i="5"/>
  <c r="I996" i="5"/>
  <c r="H996" i="5"/>
  <c r="N995" i="5"/>
  <c r="M995" i="5"/>
  <c r="L995" i="5"/>
  <c r="K995" i="5"/>
  <c r="J995" i="5"/>
  <c r="I995" i="5"/>
  <c r="H995" i="5"/>
  <c r="N994" i="5"/>
  <c r="M994" i="5"/>
  <c r="L994" i="5"/>
  <c r="K994" i="5"/>
  <c r="J994" i="5"/>
  <c r="I994" i="5"/>
  <c r="H994" i="5"/>
  <c r="N988" i="5"/>
  <c r="M988" i="5"/>
  <c r="L988" i="5"/>
  <c r="K988" i="5"/>
  <c r="J988" i="5"/>
  <c r="I988" i="5"/>
  <c r="H988" i="5"/>
  <c r="N987" i="5"/>
  <c r="M987" i="5"/>
  <c r="L987" i="5"/>
  <c r="K987" i="5"/>
  <c r="J987" i="5"/>
  <c r="I987" i="5"/>
  <c r="H987" i="5"/>
  <c r="N986" i="5"/>
  <c r="M986" i="5"/>
  <c r="L986" i="5"/>
  <c r="K986" i="5"/>
  <c r="J986" i="5"/>
  <c r="I986" i="5"/>
  <c r="H986" i="5"/>
  <c r="N985" i="5"/>
  <c r="M985" i="5"/>
  <c r="L985" i="5"/>
  <c r="K985" i="5"/>
  <c r="J985" i="5"/>
  <c r="I985" i="5"/>
  <c r="H985" i="5"/>
  <c r="N984" i="5"/>
  <c r="M984" i="5"/>
  <c r="L984" i="5"/>
  <c r="K984" i="5"/>
  <c r="J984" i="5"/>
  <c r="I984" i="5"/>
  <c r="H984" i="5"/>
  <c r="N983" i="5"/>
  <c r="M983" i="5"/>
  <c r="L983" i="5"/>
  <c r="K983" i="5"/>
  <c r="J983" i="5"/>
  <c r="I983" i="5"/>
  <c r="H983" i="5"/>
  <c r="N982" i="5"/>
  <c r="M982" i="5"/>
  <c r="L982" i="5"/>
  <c r="J982" i="5"/>
  <c r="K982" i="5" s="1"/>
  <c r="H982" i="5"/>
  <c r="I982" i="5" s="1"/>
  <c r="N725" i="5"/>
  <c r="M725" i="5"/>
  <c r="L725" i="5"/>
  <c r="K725" i="5"/>
  <c r="J725" i="5"/>
  <c r="I725" i="5"/>
  <c r="H725" i="5"/>
  <c r="N724" i="5"/>
  <c r="M724" i="5"/>
  <c r="L724" i="5"/>
  <c r="K724" i="5"/>
  <c r="J724" i="5"/>
  <c r="I724" i="5"/>
  <c r="H724" i="5"/>
  <c r="N723" i="5"/>
  <c r="M723" i="5"/>
  <c r="L723" i="5"/>
  <c r="K723" i="5"/>
  <c r="J723" i="5"/>
  <c r="I723" i="5"/>
  <c r="H723" i="5"/>
  <c r="N722" i="5"/>
  <c r="M722" i="5"/>
  <c r="L722" i="5"/>
  <c r="K722" i="5"/>
  <c r="J722" i="5"/>
  <c r="I722" i="5"/>
  <c r="H722" i="5"/>
  <c r="N721" i="5"/>
  <c r="M721" i="5"/>
  <c r="L721" i="5"/>
  <c r="K721" i="5"/>
  <c r="J721" i="5"/>
  <c r="I721" i="5"/>
  <c r="H721" i="5"/>
  <c r="N720" i="5"/>
  <c r="M720" i="5"/>
  <c r="L720" i="5"/>
  <c r="K720" i="5"/>
  <c r="J720" i="5"/>
  <c r="I720" i="5"/>
  <c r="H720" i="5"/>
  <c r="M719" i="5"/>
  <c r="N719" i="5" s="1"/>
  <c r="J719" i="5"/>
  <c r="K719" i="5" s="1"/>
  <c r="I719" i="5"/>
  <c r="H719" i="5"/>
  <c r="N714" i="5"/>
  <c r="M714" i="5"/>
  <c r="L714" i="5"/>
  <c r="K714" i="5"/>
  <c r="J714" i="5"/>
  <c r="I714" i="5"/>
  <c r="H714" i="5"/>
  <c r="N713" i="5"/>
  <c r="M713" i="5"/>
  <c r="L713" i="5"/>
  <c r="K713" i="5"/>
  <c r="J713" i="5"/>
  <c r="I713" i="5"/>
  <c r="H713" i="5"/>
  <c r="N712" i="5"/>
  <c r="M712" i="5"/>
  <c r="L712" i="5"/>
  <c r="K712" i="5"/>
  <c r="J712" i="5"/>
  <c r="I712" i="5"/>
  <c r="H712" i="5"/>
  <c r="N711" i="5"/>
  <c r="M711" i="5"/>
  <c r="L711" i="5"/>
  <c r="K711" i="5"/>
  <c r="J711" i="5"/>
  <c r="I711" i="5"/>
  <c r="H711" i="5"/>
  <c r="N710" i="5"/>
  <c r="M710" i="5"/>
  <c r="L710" i="5"/>
  <c r="K710" i="5"/>
  <c r="J710" i="5"/>
  <c r="I710" i="5"/>
  <c r="H710" i="5"/>
  <c r="N709" i="5"/>
  <c r="M709" i="5"/>
  <c r="L709" i="5"/>
  <c r="K709" i="5"/>
  <c r="J709" i="5"/>
  <c r="I709" i="5"/>
  <c r="H709" i="5"/>
  <c r="N708" i="5"/>
  <c r="M708" i="5"/>
  <c r="L708" i="5"/>
  <c r="K708" i="5"/>
  <c r="J708" i="5"/>
  <c r="I708" i="5"/>
  <c r="H708" i="5"/>
  <c r="N707" i="5"/>
  <c r="M707" i="5"/>
  <c r="L707" i="5"/>
  <c r="K707" i="5"/>
  <c r="J707" i="5"/>
  <c r="I707" i="5"/>
  <c r="H707" i="5"/>
  <c r="M706" i="5"/>
  <c r="N706" i="5" s="1"/>
  <c r="J706" i="5"/>
  <c r="K706" i="5" s="1"/>
  <c r="H706" i="5"/>
  <c r="I706" i="5" s="1"/>
  <c r="N700" i="5"/>
  <c r="M700" i="5"/>
  <c r="L700" i="5"/>
  <c r="K700" i="5"/>
  <c r="J700" i="5"/>
  <c r="I700" i="5"/>
  <c r="H700" i="5"/>
  <c r="N699" i="5"/>
  <c r="M699" i="5"/>
  <c r="L699" i="5"/>
  <c r="K699" i="5"/>
  <c r="J699" i="5"/>
  <c r="I699" i="5"/>
  <c r="H699" i="5"/>
  <c r="N698" i="5"/>
  <c r="M698" i="5"/>
  <c r="L698" i="5"/>
  <c r="K698" i="5"/>
  <c r="J698" i="5"/>
  <c r="I698" i="5"/>
  <c r="H698" i="5"/>
  <c r="N697" i="5"/>
  <c r="M697" i="5"/>
  <c r="L697" i="5"/>
  <c r="K697" i="5"/>
  <c r="J697" i="5"/>
  <c r="I697" i="5"/>
  <c r="H697" i="5"/>
  <c r="N696" i="5"/>
  <c r="M696" i="5"/>
  <c r="L696" i="5"/>
  <c r="K696" i="5"/>
  <c r="J696" i="5"/>
  <c r="I696" i="5"/>
  <c r="H696" i="5"/>
  <c r="N695" i="5"/>
  <c r="M695" i="5"/>
  <c r="L695" i="5"/>
  <c r="K695" i="5"/>
  <c r="J695" i="5"/>
  <c r="I695" i="5"/>
  <c r="H695" i="5"/>
  <c r="N694" i="5"/>
  <c r="M694" i="5"/>
  <c r="L694" i="5"/>
  <c r="K694" i="5"/>
  <c r="J694" i="5"/>
  <c r="I694" i="5"/>
  <c r="H694" i="5"/>
  <c r="N693" i="5"/>
  <c r="M693" i="5"/>
  <c r="L693" i="5"/>
  <c r="K693" i="5"/>
  <c r="J693" i="5"/>
  <c r="I693" i="5"/>
  <c r="H693" i="5"/>
  <c r="N692" i="5"/>
  <c r="M692" i="5"/>
  <c r="L692" i="5"/>
  <c r="K692" i="5"/>
  <c r="J692" i="5"/>
  <c r="I692" i="5"/>
  <c r="H692" i="5"/>
  <c r="N691" i="5"/>
  <c r="M691" i="5"/>
  <c r="L691" i="5"/>
  <c r="K691" i="5"/>
  <c r="J691" i="5"/>
  <c r="I691" i="5"/>
  <c r="H691" i="5"/>
  <c r="N690" i="5"/>
  <c r="M690" i="5"/>
  <c r="L690" i="5"/>
  <c r="K690" i="5"/>
  <c r="J690" i="5"/>
  <c r="I690" i="5"/>
  <c r="H690" i="5"/>
  <c r="N689" i="5"/>
  <c r="M689" i="5"/>
  <c r="L689" i="5"/>
  <c r="K689" i="5"/>
  <c r="J689" i="5"/>
  <c r="I689" i="5"/>
  <c r="H689" i="5"/>
  <c r="N688" i="5"/>
  <c r="M688" i="5"/>
  <c r="L688" i="5"/>
  <c r="K688" i="5"/>
  <c r="J688" i="5"/>
  <c r="I688" i="5"/>
  <c r="H688" i="5"/>
  <c r="N687" i="5"/>
  <c r="M687" i="5"/>
  <c r="L687" i="5"/>
  <c r="K687" i="5"/>
  <c r="J687" i="5"/>
  <c r="I687" i="5"/>
  <c r="H687" i="5"/>
  <c r="N686" i="5"/>
  <c r="M686" i="5"/>
  <c r="L686" i="5"/>
  <c r="K686" i="5"/>
  <c r="J686" i="5"/>
  <c r="I686" i="5"/>
  <c r="H686" i="5"/>
  <c r="N685" i="5"/>
  <c r="M685" i="5"/>
  <c r="L685" i="5"/>
  <c r="K685" i="5"/>
  <c r="J685" i="5"/>
  <c r="I685" i="5"/>
  <c r="H685" i="5"/>
  <c r="N677" i="5"/>
  <c r="M677" i="5"/>
  <c r="L677" i="5"/>
  <c r="K677" i="5"/>
  <c r="J677" i="5"/>
  <c r="I677" i="5"/>
  <c r="H677" i="5"/>
  <c r="N676" i="5"/>
  <c r="M676" i="5"/>
  <c r="L676" i="5"/>
  <c r="K676" i="5"/>
  <c r="J676" i="5"/>
  <c r="I676" i="5"/>
  <c r="H676" i="5"/>
  <c r="N675" i="5"/>
  <c r="M675" i="5"/>
  <c r="L675" i="5"/>
  <c r="K675" i="5"/>
  <c r="J675" i="5"/>
  <c r="I675" i="5"/>
  <c r="H675" i="5"/>
  <c r="N674" i="5"/>
  <c r="M674" i="5"/>
  <c r="L674" i="5"/>
  <c r="K674" i="5"/>
  <c r="J674" i="5"/>
  <c r="I674" i="5"/>
  <c r="H674" i="5"/>
  <c r="N673" i="5"/>
  <c r="M673" i="5"/>
  <c r="L673" i="5"/>
  <c r="K673" i="5"/>
  <c r="J673" i="5"/>
  <c r="I673" i="5"/>
  <c r="H673" i="5"/>
  <c r="N672" i="5"/>
  <c r="M672" i="5"/>
  <c r="L672" i="5"/>
  <c r="K672" i="5"/>
  <c r="J672" i="5"/>
  <c r="I672" i="5"/>
  <c r="H672" i="5"/>
  <c r="N666" i="5"/>
  <c r="M666" i="5"/>
  <c r="L666" i="5"/>
  <c r="K666" i="5"/>
  <c r="J666" i="5"/>
  <c r="I666" i="5"/>
  <c r="H666" i="5"/>
  <c r="N665" i="5"/>
  <c r="M665" i="5"/>
  <c r="L665" i="5"/>
  <c r="K665" i="5"/>
  <c r="J665" i="5"/>
  <c r="I665" i="5"/>
  <c r="H665" i="5"/>
  <c r="N664" i="5"/>
  <c r="M664" i="5"/>
  <c r="L664" i="5"/>
  <c r="K664" i="5"/>
  <c r="J664" i="5"/>
  <c r="I664" i="5"/>
  <c r="H664" i="5"/>
  <c r="N663" i="5"/>
  <c r="M663" i="5"/>
  <c r="L663" i="5"/>
  <c r="K663" i="5"/>
  <c r="J663" i="5"/>
  <c r="I663" i="5"/>
  <c r="H663" i="5"/>
  <c r="N662" i="5"/>
  <c r="M662" i="5"/>
  <c r="L662" i="5"/>
  <c r="K662" i="5"/>
  <c r="J662" i="5"/>
  <c r="I662" i="5"/>
  <c r="H662" i="5"/>
  <c r="N661" i="5"/>
  <c r="M661" i="5"/>
  <c r="L661" i="5"/>
  <c r="K661" i="5"/>
  <c r="J661" i="5"/>
  <c r="I661" i="5"/>
  <c r="H661" i="5"/>
  <c r="N660" i="5"/>
  <c r="M660" i="5"/>
  <c r="L660" i="5"/>
  <c r="K660" i="5"/>
  <c r="J660" i="5"/>
  <c r="I660" i="5"/>
  <c r="H660" i="5"/>
  <c r="N659" i="5"/>
  <c r="M659" i="5"/>
  <c r="L659" i="5"/>
  <c r="K659" i="5"/>
  <c r="J659" i="5"/>
  <c r="I659" i="5"/>
  <c r="H659" i="5"/>
  <c r="N652" i="5"/>
  <c r="M652" i="5"/>
  <c r="L652" i="5"/>
  <c r="K652" i="5"/>
  <c r="J652" i="5"/>
  <c r="I652" i="5"/>
  <c r="H652" i="5"/>
  <c r="N651" i="5"/>
  <c r="M651" i="5"/>
  <c r="L651" i="5"/>
  <c r="K651" i="5"/>
  <c r="J651" i="5"/>
  <c r="I651" i="5"/>
  <c r="H651" i="5"/>
  <c r="N650" i="5"/>
  <c r="M650" i="5"/>
  <c r="L650" i="5"/>
  <c r="K650" i="5"/>
  <c r="J650" i="5"/>
  <c r="I650" i="5"/>
  <c r="H650" i="5"/>
  <c r="N649" i="5"/>
  <c r="M649" i="5"/>
  <c r="L649" i="5"/>
  <c r="K649" i="5"/>
  <c r="J649" i="5"/>
  <c r="I649" i="5"/>
  <c r="H649" i="5"/>
  <c r="N648" i="5"/>
  <c r="M648" i="5"/>
  <c r="L648" i="5"/>
  <c r="K648" i="5"/>
  <c r="J648" i="5"/>
  <c r="I648" i="5"/>
  <c r="H648" i="5"/>
  <c r="N647" i="5"/>
  <c r="M647" i="5"/>
  <c r="L647" i="5"/>
  <c r="K647" i="5"/>
  <c r="J647" i="5"/>
  <c r="I647" i="5"/>
  <c r="H647" i="5"/>
  <c r="N646" i="5"/>
  <c r="M646" i="5"/>
  <c r="L646" i="5"/>
  <c r="K646" i="5"/>
  <c r="J646" i="5"/>
  <c r="I646" i="5"/>
  <c r="H646" i="5"/>
  <c r="N645" i="5"/>
  <c r="M645" i="5"/>
  <c r="L645" i="5"/>
  <c r="K645" i="5"/>
  <c r="J645" i="5"/>
  <c r="I645" i="5"/>
  <c r="H645" i="5"/>
  <c r="N644" i="5"/>
  <c r="M644" i="5"/>
  <c r="L644" i="5"/>
  <c r="K644" i="5"/>
  <c r="J644" i="5"/>
  <c r="I644" i="5"/>
  <c r="H644" i="5"/>
  <c r="N643" i="5"/>
  <c r="M643" i="5"/>
  <c r="L643" i="5"/>
  <c r="K643" i="5"/>
  <c r="J643" i="5"/>
  <c r="I643" i="5"/>
  <c r="H643" i="5"/>
  <c r="N642" i="5"/>
  <c r="M642" i="5"/>
  <c r="L642" i="5"/>
  <c r="K642" i="5"/>
  <c r="J642" i="5"/>
  <c r="I642" i="5"/>
  <c r="H642" i="5"/>
  <c r="N641" i="5"/>
  <c r="M641" i="5"/>
  <c r="L641" i="5"/>
  <c r="K641" i="5"/>
  <c r="J641" i="5"/>
  <c r="I641" i="5"/>
  <c r="H641" i="5"/>
  <c r="N640" i="5"/>
  <c r="M640" i="5"/>
  <c r="L640" i="5"/>
  <c r="K640" i="5"/>
  <c r="J640" i="5"/>
  <c r="I640" i="5"/>
  <c r="H640" i="5"/>
  <c r="N639" i="5"/>
  <c r="M639" i="5"/>
  <c r="L639" i="5"/>
  <c r="K639" i="5"/>
  <c r="J639" i="5"/>
  <c r="I639" i="5"/>
  <c r="H639" i="5"/>
  <c r="N638" i="5"/>
  <c r="M638" i="5"/>
  <c r="L638" i="5"/>
  <c r="K638" i="5"/>
  <c r="J638" i="5"/>
  <c r="I638" i="5"/>
  <c r="H638" i="5"/>
  <c r="N637" i="5"/>
  <c r="M637" i="5"/>
  <c r="L637" i="5"/>
  <c r="K637" i="5"/>
  <c r="J637" i="5"/>
  <c r="I637" i="5"/>
  <c r="H637" i="5"/>
  <c r="N629" i="5"/>
  <c r="M629" i="5"/>
  <c r="L629" i="5"/>
  <c r="K629" i="5"/>
  <c r="J629" i="5"/>
  <c r="I629" i="5"/>
  <c r="H629" i="5"/>
  <c r="N628" i="5"/>
  <c r="M628" i="5"/>
  <c r="L628" i="5"/>
  <c r="K628" i="5"/>
  <c r="J628" i="5"/>
  <c r="I628" i="5"/>
  <c r="H628" i="5"/>
  <c r="N627" i="5"/>
  <c r="M627" i="5"/>
  <c r="L627" i="5"/>
  <c r="K627" i="5"/>
  <c r="J627" i="5"/>
  <c r="I627" i="5"/>
  <c r="H627" i="5"/>
  <c r="N626" i="5"/>
  <c r="M626" i="5"/>
  <c r="L626" i="5"/>
  <c r="K626" i="5"/>
  <c r="J626" i="5"/>
  <c r="I626" i="5"/>
  <c r="H626" i="5"/>
  <c r="N625" i="5"/>
  <c r="M625" i="5"/>
  <c r="L625" i="5"/>
  <c r="K625" i="5"/>
  <c r="J625" i="5"/>
  <c r="I625" i="5"/>
  <c r="H625" i="5"/>
  <c r="N624" i="5"/>
  <c r="M624" i="5"/>
  <c r="L624" i="5"/>
  <c r="K624" i="5"/>
  <c r="J624" i="5"/>
  <c r="I624" i="5"/>
  <c r="H624" i="5"/>
  <c r="N618" i="5"/>
  <c r="M618" i="5"/>
  <c r="L618" i="5"/>
  <c r="K618" i="5"/>
  <c r="J618" i="5"/>
  <c r="I618" i="5"/>
  <c r="H618" i="5"/>
  <c r="N617" i="5"/>
  <c r="M617" i="5"/>
  <c r="L617" i="5"/>
  <c r="K617" i="5"/>
  <c r="J617" i="5"/>
  <c r="I617" i="5"/>
  <c r="H617" i="5"/>
  <c r="N616" i="5"/>
  <c r="M616" i="5"/>
  <c r="L616" i="5"/>
  <c r="K616" i="5"/>
  <c r="J616" i="5"/>
  <c r="I616" i="5"/>
  <c r="H616" i="5"/>
  <c r="N615" i="5"/>
  <c r="M615" i="5"/>
  <c r="L615" i="5"/>
  <c r="K615" i="5"/>
  <c r="J615" i="5"/>
  <c r="I615" i="5"/>
  <c r="H615" i="5"/>
  <c r="N614" i="5"/>
  <c r="M614" i="5"/>
  <c r="L614" i="5"/>
  <c r="K614" i="5"/>
  <c r="J614" i="5"/>
  <c r="I614" i="5"/>
  <c r="H614" i="5"/>
  <c r="N613" i="5"/>
  <c r="M613" i="5"/>
  <c r="L613" i="5"/>
  <c r="K613" i="5"/>
  <c r="J613" i="5"/>
  <c r="I613" i="5"/>
  <c r="H613" i="5"/>
  <c r="N612" i="5"/>
  <c r="M612" i="5"/>
  <c r="L612" i="5"/>
  <c r="K612" i="5"/>
  <c r="J612" i="5"/>
  <c r="I612" i="5"/>
  <c r="H612" i="5"/>
  <c r="N611" i="5"/>
  <c r="M611" i="5"/>
  <c r="L611" i="5"/>
  <c r="K611" i="5"/>
  <c r="J611" i="5"/>
  <c r="I611" i="5"/>
  <c r="H611" i="5"/>
  <c r="N610" i="5"/>
  <c r="M610" i="5"/>
  <c r="L610" i="5"/>
  <c r="K610" i="5"/>
  <c r="J610" i="5"/>
  <c r="I610" i="5"/>
  <c r="H610" i="5"/>
  <c r="N604" i="5"/>
  <c r="M604" i="5"/>
  <c r="L604" i="5"/>
  <c r="K604" i="5"/>
  <c r="J604" i="5"/>
  <c r="I604" i="5"/>
  <c r="H604" i="5"/>
  <c r="N603" i="5"/>
  <c r="M603" i="5"/>
  <c r="L603" i="5"/>
  <c r="K603" i="5"/>
  <c r="J603" i="5"/>
  <c r="I603" i="5"/>
  <c r="H603" i="5"/>
  <c r="N602" i="5"/>
  <c r="M602" i="5"/>
  <c r="L602" i="5"/>
  <c r="K602" i="5"/>
  <c r="J602" i="5"/>
  <c r="I602" i="5"/>
  <c r="H602" i="5"/>
  <c r="N601" i="5"/>
  <c r="M601" i="5"/>
  <c r="L601" i="5"/>
  <c r="K601" i="5"/>
  <c r="J601" i="5"/>
  <c r="I601" i="5"/>
  <c r="H601" i="5"/>
  <c r="N600" i="5"/>
  <c r="M600" i="5"/>
  <c r="L600" i="5"/>
  <c r="K600" i="5"/>
  <c r="J600" i="5"/>
  <c r="I600" i="5"/>
  <c r="H600" i="5"/>
  <c r="N599" i="5"/>
  <c r="M599" i="5"/>
  <c r="L599" i="5"/>
  <c r="K599" i="5"/>
  <c r="J599" i="5"/>
  <c r="I599" i="5"/>
  <c r="H599" i="5"/>
  <c r="N598" i="5"/>
  <c r="M598" i="5"/>
  <c r="L598" i="5"/>
  <c r="K598" i="5"/>
  <c r="J598" i="5"/>
  <c r="I598" i="5"/>
  <c r="H598" i="5"/>
  <c r="N597" i="5"/>
  <c r="M597" i="5"/>
  <c r="L597" i="5"/>
  <c r="K597" i="5"/>
  <c r="J597" i="5"/>
  <c r="I597" i="5"/>
  <c r="H597" i="5"/>
  <c r="N596" i="5"/>
  <c r="M596" i="5"/>
  <c r="L596" i="5"/>
  <c r="K596" i="5"/>
  <c r="J596" i="5"/>
  <c r="I596" i="5"/>
  <c r="H596" i="5"/>
  <c r="N595" i="5"/>
  <c r="M595" i="5"/>
  <c r="L595" i="5"/>
  <c r="K595" i="5"/>
  <c r="J595" i="5"/>
  <c r="I595" i="5"/>
  <c r="H595" i="5"/>
  <c r="N594" i="5"/>
  <c r="M594" i="5"/>
  <c r="L594" i="5"/>
  <c r="K594" i="5"/>
  <c r="J594" i="5"/>
  <c r="I594" i="5"/>
  <c r="H594" i="5"/>
  <c r="N593" i="5"/>
  <c r="M593" i="5"/>
  <c r="L593" i="5"/>
  <c r="K593" i="5"/>
  <c r="J593" i="5"/>
  <c r="I593" i="5"/>
  <c r="H593" i="5"/>
  <c r="N592" i="5"/>
  <c r="M592" i="5"/>
  <c r="L592" i="5"/>
  <c r="K592" i="5"/>
  <c r="J592" i="5"/>
  <c r="I592" i="5"/>
  <c r="H592" i="5"/>
  <c r="N591" i="5"/>
  <c r="M591" i="5"/>
  <c r="L591" i="5"/>
  <c r="K591" i="5"/>
  <c r="J591" i="5"/>
  <c r="I591" i="5"/>
  <c r="H591" i="5"/>
  <c r="N590" i="5"/>
  <c r="M590" i="5"/>
  <c r="L590" i="5"/>
  <c r="K590" i="5"/>
  <c r="J590" i="5"/>
  <c r="I590" i="5"/>
  <c r="H590" i="5"/>
  <c r="N589" i="5"/>
  <c r="M589" i="5"/>
  <c r="L589" i="5"/>
  <c r="K589" i="5"/>
  <c r="J589" i="5"/>
  <c r="I589" i="5"/>
  <c r="H589" i="5"/>
  <c r="N581" i="5"/>
  <c r="M581" i="5"/>
  <c r="L581" i="5"/>
  <c r="K581" i="5"/>
  <c r="J581" i="5"/>
  <c r="I581" i="5"/>
  <c r="H581" i="5"/>
  <c r="N580" i="5"/>
  <c r="M580" i="5"/>
  <c r="L580" i="5"/>
  <c r="K580" i="5"/>
  <c r="J580" i="5"/>
  <c r="I580" i="5"/>
  <c r="H580" i="5"/>
  <c r="N579" i="5"/>
  <c r="M579" i="5"/>
  <c r="L579" i="5"/>
  <c r="K579" i="5"/>
  <c r="J579" i="5"/>
  <c r="I579" i="5"/>
  <c r="H579" i="5"/>
  <c r="N578" i="5"/>
  <c r="M578" i="5"/>
  <c r="L578" i="5"/>
  <c r="K578" i="5"/>
  <c r="J578" i="5"/>
  <c r="I578" i="5"/>
  <c r="H578" i="5"/>
  <c r="N577" i="5"/>
  <c r="M577" i="5"/>
  <c r="L577" i="5"/>
  <c r="K577" i="5"/>
  <c r="J577" i="5"/>
  <c r="I577" i="5"/>
  <c r="H577" i="5"/>
  <c r="N576" i="5"/>
  <c r="M576" i="5"/>
  <c r="L576" i="5"/>
  <c r="K576" i="5"/>
  <c r="J576" i="5"/>
  <c r="I576" i="5"/>
  <c r="H576" i="5"/>
  <c r="N570" i="5"/>
  <c r="M570" i="5"/>
  <c r="L570" i="5"/>
  <c r="K570" i="5"/>
  <c r="J570" i="5"/>
  <c r="I570" i="5"/>
  <c r="H570" i="5"/>
  <c r="N569" i="5"/>
  <c r="M569" i="5"/>
  <c r="L569" i="5"/>
  <c r="K569" i="5"/>
  <c r="J569" i="5"/>
  <c r="I569" i="5"/>
  <c r="H569" i="5"/>
  <c r="N568" i="5"/>
  <c r="M568" i="5"/>
  <c r="L568" i="5"/>
  <c r="K568" i="5"/>
  <c r="J568" i="5"/>
  <c r="I568" i="5"/>
  <c r="H568" i="5"/>
  <c r="N567" i="5"/>
  <c r="M567" i="5"/>
  <c r="L567" i="5"/>
  <c r="K567" i="5"/>
  <c r="J567" i="5"/>
  <c r="I567" i="5"/>
  <c r="H567" i="5"/>
  <c r="N566" i="5"/>
  <c r="M566" i="5"/>
  <c r="L566" i="5"/>
  <c r="K566" i="5"/>
  <c r="J566" i="5"/>
  <c r="I566" i="5"/>
  <c r="H566" i="5"/>
  <c r="N565" i="5"/>
  <c r="M565" i="5"/>
  <c r="L565" i="5"/>
  <c r="K565" i="5"/>
  <c r="J565" i="5"/>
  <c r="I565" i="5"/>
  <c r="H565" i="5"/>
  <c r="N564" i="5"/>
  <c r="M564" i="5"/>
  <c r="L564" i="5"/>
  <c r="K564" i="5"/>
  <c r="J564" i="5"/>
  <c r="I564" i="5"/>
  <c r="H564" i="5"/>
  <c r="N563" i="5"/>
  <c r="M563" i="5"/>
  <c r="L563" i="5"/>
  <c r="K563" i="5"/>
  <c r="J563" i="5"/>
  <c r="I563" i="5"/>
  <c r="H563" i="5"/>
  <c r="N562" i="5"/>
  <c r="M562" i="5"/>
  <c r="L562" i="5"/>
  <c r="K562" i="5"/>
  <c r="J562" i="5"/>
  <c r="I562" i="5"/>
  <c r="H562" i="5"/>
  <c r="N561" i="5"/>
  <c r="M561" i="5"/>
  <c r="L561" i="5"/>
  <c r="K561" i="5"/>
  <c r="J561" i="5"/>
  <c r="I561" i="5"/>
  <c r="H561" i="5"/>
  <c r="N556" i="5"/>
  <c r="M556" i="5"/>
  <c r="L556" i="5"/>
  <c r="K556" i="5"/>
  <c r="J556" i="5"/>
  <c r="I556" i="5"/>
  <c r="H556" i="5"/>
  <c r="N555" i="5"/>
  <c r="M555" i="5"/>
  <c r="L555" i="5"/>
  <c r="K555" i="5"/>
  <c r="J555" i="5"/>
  <c r="I555" i="5"/>
  <c r="H555" i="5"/>
  <c r="N554" i="5"/>
  <c r="M554" i="5"/>
  <c r="L554" i="5"/>
  <c r="K554" i="5"/>
  <c r="J554" i="5"/>
  <c r="I554" i="5"/>
  <c r="H554" i="5"/>
  <c r="N553" i="5"/>
  <c r="M553" i="5"/>
  <c r="L553" i="5"/>
  <c r="K553" i="5"/>
  <c r="J553" i="5"/>
  <c r="I553" i="5"/>
  <c r="H553" i="5"/>
  <c r="N552" i="5"/>
  <c r="M552" i="5"/>
  <c r="L552" i="5"/>
  <c r="K552" i="5"/>
  <c r="J552" i="5"/>
  <c r="I552" i="5"/>
  <c r="H552" i="5"/>
  <c r="N551" i="5"/>
  <c r="M551" i="5"/>
  <c r="L551" i="5"/>
  <c r="K551" i="5"/>
  <c r="J551" i="5"/>
  <c r="I551" i="5"/>
  <c r="H551" i="5"/>
  <c r="N550" i="5"/>
  <c r="M550" i="5"/>
  <c r="L550" i="5"/>
  <c r="K550" i="5"/>
  <c r="J550" i="5"/>
  <c r="I550" i="5"/>
  <c r="H550" i="5"/>
  <c r="N549" i="5"/>
  <c r="M549" i="5"/>
  <c r="L549" i="5"/>
  <c r="K549" i="5"/>
  <c r="J549" i="5"/>
  <c r="I549" i="5"/>
  <c r="H549" i="5"/>
  <c r="N548" i="5"/>
  <c r="M548" i="5"/>
  <c r="L548" i="5"/>
  <c r="K548" i="5"/>
  <c r="J548" i="5"/>
  <c r="I548" i="5"/>
  <c r="H548" i="5"/>
  <c r="N547" i="5"/>
  <c r="M547" i="5"/>
  <c r="L547" i="5"/>
  <c r="K547" i="5"/>
  <c r="J547" i="5"/>
  <c r="I547" i="5"/>
  <c r="H547" i="5"/>
  <c r="N546" i="5"/>
  <c r="M546" i="5"/>
  <c r="L546" i="5"/>
  <c r="K546" i="5"/>
  <c r="J546" i="5"/>
  <c r="I546" i="5"/>
  <c r="H546" i="5"/>
  <c r="N545" i="5"/>
  <c r="M545" i="5"/>
  <c r="L545" i="5"/>
  <c r="K545" i="5"/>
  <c r="J545" i="5"/>
  <c r="I545" i="5"/>
  <c r="H545" i="5"/>
  <c r="N544" i="5"/>
  <c r="M544" i="5"/>
  <c r="L544" i="5"/>
  <c r="K544" i="5"/>
  <c r="J544" i="5"/>
  <c r="I544" i="5"/>
  <c r="H544" i="5"/>
  <c r="N543" i="5"/>
  <c r="M543" i="5"/>
  <c r="L543" i="5"/>
  <c r="K543" i="5"/>
  <c r="J543" i="5"/>
  <c r="I543" i="5"/>
  <c r="H543" i="5"/>
  <c r="N542" i="5"/>
  <c r="M542" i="5"/>
  <c r="L542" i="5"/>
  <c r="K542" i="5"/>
  <c r="J542" i="5"/>
  <c r="I542" i="5"/>
  <c r="H542" i="5"/>
  <c r="N541" i="5"/>
  <c r="M541" i="5"/>
  <c r="L541" i="5"/>
  <c r="K541" i="5"/>
  <c r="J541" i="5"/>
  <c r="I541" i="5"/>
  <c r="H541" i="5"/>
  <c r="N437" i="5"/>
  <c r="M437" i="5"/>
  <c r="L437" i="5"/>
  <c r="K437" i="5"/>
  <c r="J437" i="5"/>
  <c r="I437" i="5"/>
  <c r="H437" i="5"/>
  <c r="N436" i="5"/>
  <c r="M436" i="5"/>
  <c r="L436" i="5"/>
  <c r="K436" i="5"/>
  <c r="J436" i="5"/>
  <c r="I436" i="5"/>
  <c r="H436" i="5"/>
  <c r="N435" i="5"/>
  <c r="M435" i="5"/>
  <c r="L435" i="5"/>
  <c r="K435" i="5"/>
  <c r="J435" i="5"/>
  <c r="I435" i="5"/>
  <c r="H435" i="5"/>
  <c r="N434" i="5"/>
  <c r="M434" i="5"/>
  <c r="L434" i="5"/>
  <c r="K434" i="5"/>
  <c r="J434" i="5"/>
  <c r="I434" i="5"/>
  <c r="H434" i="5"/>
  <c r="N433" i="5"/>
  <c r="M433" i="5"/>
  <c r="L433" i="5"/>
  <c r="K433" i="5"/>
  <c r="J433" i="5"/>
  <c r="I433" i="5"/>
  <c r="H433" i="5"/>
  <c r="N426" i="5"/>
  <c r="M426" i="5"/>
  <c r="L426" i="5"/>
  <c r="K426" i="5"/>
  <c r="J426" i="5"/>
  <c r="I426" i="5"/>
  <c r="H426" i="5"/>
  <c r="N425" i="5"/>
  <c r="M425" i="5"/>
  <c r="L425" i="5"/>
  <c r="K425" i="5"/>
  <c r="J425" i="5"/>
  <c r="I425" i="5"/>
  <c r="H425" i="5"/>
  <c r="N424" i="5"/>
  <c r="M424" i="5"/>
  <c r="L424" i="5"/>
  <c r="K424" i="5"/>
  <c r="J424" i="5"/>
  <c r="I424" i="5"/>
  <c r="H424" i="5"/>
  <c r="N423" i="5"/>
  <c r="M423" i="5"/>
  <c r="L423" i="5"/>
  <c r="K423" i="5"/>
  <c r="J423" i="5"/>
  <c r="I423" i="5"/>
  <c r="H423" i="5"/>
  <c r="N422" i="5"/>
  <c r="M422" i="5"/>
  <c r="L422" i="5"/>
  <c r="K422" i="5"/>
  <c r="J422" i="5"/>
  <c r="I422" i="5"/>
  <c r="H422" i="5"/>
  <c r="N421" i="5"/>
  <c r="M421" i="5"/>
  <c r="L421" i="5"/>
  <c r="K421" i="5"/>
  <c r="J421" i="5"/>
  <c r="I421" i="5"/>
  <c r="H421" i="5"/>
  <c r="N420" i="5"/>
  <c r="M420" i="5"/>
  <c r="L420" i="5"/>
  <c r="K420" i="5"/>
  <c r="J420" i="5"/>
  <c r="I420" i="5"/>
  <c r="H420" i="5"/>
  <c r="N419" i="5"/>
  <c r="M419" i="5"/>
  <c r="L419" i="5"/>
  <c r="K419" i="5"/>
  <c r="J419" i="5"/>
  <c r="I419" i="5"/>
  <c r="H419" i="5"/>
  <c r="N418" i="5"/>
  <c r="M418" i="5"/>
  <c r="L418" i="5"/>
  <c r="K418" i="5"/>
  <c r="J418" i="5"/>
  <c r="I418" i="5"/>
  <c r="H418" i="5"/>
  <c r="N417" i="5"/>
  <c r="M417" i="5"/>
  <c r="L417" i="5"/>
  <c r="K417" i="5"/>
  <c r="J417" i="5"/>
  <c r="I417" i="5"/>
  <c r="H417" i="5"/>
  <c r="N412" i="5"/>
  <c r="M412" i="5"/>
  <c r="L412" i="5"/>
  <c r="K412" i="5"/>
  <c r="J412" i="5"/>
  <c r="I412" i="5"/>
  <c r="H412" i="5"/>
  <c r="N411" i="5"/>
  <c r="M411" i="5"/>
  <c r="L411" i="5"/>
  <c r="K411" i="5"/>
  <c r="J411" i="5"/>
  <c r="I411" i="5"/>
  <c r="H411" i="5"/>
  <c r="N410" i="5"/>
  <c r="M410" i="5"/>
  <c r="L410" i="5"/>
  <c r="K410" i="5"/>
  <c r="J410" i="5"/>
  <c r="I410" i="5"/>
  <c r="H410" i="5"/>
  <c r="N409" i="5"/>
  <c r="M409" i="5"/>
  <c r="L409" i="5"/>
  <c r="K409" i="5"/>
  <c r="J409" i="5"/>
  <c r="I409" i="5"/>
  <c r="H409" i="5"/>
  <c r="N408" i="5"/>
  <c r="M408" i="5"/>
  <c r="L408" i="5"/>
  <c r="K408" i="5"/>
  <c r="J408" i="5"/>
  <c r="I408" i="5"/>
  <c r="H408" i="5"/>
  <c r="N407" i="5"/>
  <c r="M407" i="5"/>
  <c r="L407" i="5"/>
  <c r="K407" i="5"/>
  <c r="J407" i="5"/>
  <c r="I407" i="5"/>
  <c r="H407" i="5"/>
  <c r="N406" i="5"/>
  <c r="M406" i="5"/>
  <c r="L406" i="5"/>
  <c r="K406" i="5"/>
  <c r="J406" i="5"/>
  <c r="I406" i="5"/>
  <c r="H406" i="5"/>
  <c r="N405" i="5"/>
  <c r="M405" i="5"/>
  <c r="L405" i="5"/>
  <c r="K405" i="5"/>
  <c r="J405" i="5"/>
  <c r="I405" i="5"/>
  <c r="H405" i="5"/>
  <c r="N404" i="5"/>
  <c r="M404" i="5"/>
  <c r="L404" i="5"/>
  <c r="K404" i="5"/>
  <c r="J404" i="5"/>
  <c r="I404" i="5"/>
  <c r="H404" i="5"/>
  <c r="N403" i="5"/>
  <c r="M403" i="5"/>
  <c r="L403" i="5"/>
  <c r="K403" i="5"/>
  <c r="J403" i="5"/>
  <c r="I403" i="5"/>
  <c r="H403" i="5"/>
  <c r="N402" i="5"/>
  <c r="M402" i="5"/>
  <c r="L402" i="5"/>
  <c r="K402" i="5"/>
  <c r="J402" i="5"/>
  <c r="I402" i="5"/>
  <c r="H402" i="5"/>
  <c r="N401" i="5"/>
  <c r="M401" i="5"/>
  <c r="L401" i="5"/>
  <c r="K401" i="5"/>
  <c r="J401" i="5"/>
  <c r="I401" i="5"/>
  <c r="H401" i="5"/>
  <c r="N400" i="5"/>
  <c r="M400" i="5"/>
  <c r="L400" i="5"/>
  <c r="K400" i="5"/>
  <c r="J400" i="5"/>
  <c r="I400" i="5"/>
  <c r="H400" i="5"/>
  <c r="N399" i="5"/>
  <c r="M399" i="5"/>
  <c r="L399" i="5"/>
  <c r="K399" i="5"/>
  <c r="J399" i="5"/>
  <c r="I399" i="5"/>
  <c r="H399" i="5"/>
  <c r="N398" i="5"/>
  <c r="M398" i="5"/>
  <c r="L398" i="5"/>
  <c r="K398" i="5"/>
  <c r="J398" i="5"/>
  <c r="I398" i="5"/>
  <c r="H398" i="5"/>
  <c r="N397" i="5"/>
  <c r="M397" i="5"/>
  <c r="L397" i="5"/>
  <c r="K397" i="5"/>
  <c r="J397" i="5"/>
  <c r="I397" i="5"/>
  <c r="H397" i="5"/>
  <c r="N389" i="5"/>
  <c r="M389" i="5"/>
  <c r="L389" i="5"/>
  <c r="K389" i="5"/>
  <c r="J389" i="5"/>
  <c r="I389" i="5"/>
  <c r="H389" i="5"/>
  <c r="N388" i="5"/>
  <c r="M388" i="5"/>
  <c r="L388" i="5"/>
  <c r="K388" i="5"/>
  <c r="J388" i="5"/>
  <c r="I388" i="5"/>
  <c r="H388" i="5"/>
  <c r="N387" i="5"/>
  <c r="M387" i="5"/>
  <c r="L387" i="5"/>
  <c r="K387" i="5"/>
  <c r="J387" i="5"/>
  <c r="I387" i="5"/>
  <c r="H387" i="5"/>
  <c r="N386" i="5"/>
  <c r="M386" i="5"/>
  <c r="L386" i="5"/>
  <c r="K386" i="5"/>
  <c r="J386" i="5"/>
  <c r="I386" i="5"/>
  <c r="H386" i="5"/>
  <c r="N385" i="5"/>
  <c r="M385" i="5"/>
  <c r="L385" i="5"/>
  <c r="K385" i="5"/>
  <c r="J385" i="5"/>
  <c r="I385" i="5"/>
  <c r="H385" i="5"/>
  <c r="N378" i="5"/>
  <c r="M378" i="5"/>
  <c r="L378" i="5"/>
  <c r="K378" i="5"/>
  <c r="J378" i="5"/>
  <c r="I378" i="5"/>
  <c r="H378" i="5"/>
  <c r="N377" i="5"/>
  <c r="M377" i="5"/>
  <c r="L377" i="5"/>
  <c r="K377" i="5"/>
  <c r="J377" i="5"/>
  <c r="I377" i="5"/>
  <c r="H377" i="5"/>
  <c r="N376" i="5"/>
  <c r="M376" i="5"/>
  <c r="L376" i="5"/>
  <c r="K376" i="5"/>
  <c r="J376" i="5"/>
  <c r="I376" i="5"/>
  <c r="H376" i="5"/>
  <c r="N375" i="5"/>
  <c r="M375" i="5"/>
  <c r="L375" i="5"/>
  <c r="K375" i="5"/>
  <c r="J375" i="5"/>
  <c r="I375" i="5"/>
  <c r="H375" i="5"/>
  <c r="N374" i="5"/>
  <c r="M374" i="5"/>
  <c r="L374" i="5"/>
  <c r="K374" i="5"/>
  <c r="J374" i="5"/>
  <c r="I374" i="5"/>
  <c r="H374" i="5"/>
  <c r="N373" i="5"/>
  <c r="M373" i="5"/>
  <c r="L373" i="5"/>
  <c r="K373" i="5"/>
  <c r="J373" i="5"/>
  <c r="I373" i="5"/>
  <c r="H373" i="5"/>
  <c r="N372" i="5"/>
  <c r="M372" i="5"/>
  <c r="L372" i="5"/>
  <c r="K372" i="5"/>
  <c r="J372" i="5"/>
  <c r="I372" i="5"/>
  <c r="H372" i="5"/>
  <c r="N371" i="5"/>
  <c r="M371" i="5"/>
  <c r="L371" i="5"/>
  <c r="K371" i="5"/>
  <c r="J371" i="5"/>
  <c r="I371" i="5"/>
  <c r="H371" i="5"/>
  <c r="N370" i="5"/>
  <c r="M370" i="5"/>
  <c r="L370" i="5"/>
  <c r="K370" i="5"/>
  <c r="J370" i="5"/>
  <c r="I370" i="5"/>
  <c r="H370" i="5"/>
  <c r="N369" i="5"/>
  <c r="M369" i="5"/>
  <c r="L369" i="5"/>
  <c r="K369" i="5"/>
  <c r="J369" i="5"/>
  <c r="I369" i="5"/>
  <c r="H369" i="5"/>
  <c r="N364" i="5"/>
  <c r="M364" i="5"/>
  <c r="L364" i="5"/>
  <c r="K364" i="5"/>
  <c r="J364" i="5"/>
  <c r="I364" i="5"/>
  <c r="H364" i="5"/>
  <c r="N363" i="5"/>
  <c r="M363" i="5"/>
  <c r="L363" i="5"/>
  <c r="K363" i="5"/>
  <c r="J363" i="5"/>
  <c r="I363" i="5"/>
  <c r="H363" i="5"/>
  <c r="N362" i="5"/>
  <c r="M362" i="5"/>
  <c r="L362" i="5"/>
  <c r="K362" i="5"/>
  <c r="J362" i="5"/>
  <c r="I362" i="5"/>
  <c r="H362" i="5"/>
  <c r="N361" i="5"/>
  <c r="M361" i="5"/>
  <c r="L361" i="5"/>
  <c r="K361" i="5"/>
  <c r="J361" i="5"/>
  <c r="I361" i="5"/>
  <c r="H361" i="5"/>
  <c r="N360" i="5"/>
  <c r="M360" i="5"/>
  <c r="L360" i="5"/>
  <c r="K360" i="5"/>
  <c r="J360" i="5"/>
  <c r="I360" i="5"/>
  <c r="H360" i="5"/>
  <c r="N359" i="5"/>
  <c r="M359" i="5"/>
  <c r="L359" i="5"/>
  <c r="K359" i="5"/>
  <c r="J359" i="5"/>
  <c r="I359" i="5"/>
  <c r="H359" i="5"/>
  <c r="N358" i="5"/>
  <c r="M358" i="5"/>
  <c r="L358" i="5"/>
  <c r="K358" i="5"/>
  <c r="J358" i="5"/>
  <c r="I358" i="5"/>
  <c r="H358" i="5"/>
  <c r="N357" i="5"/>
  <c r="M357" i="5"/>
  <c r="L357" i="5"/>
  <c r="K357" i="5"/>
  <c r="J357" i="5"/>
  <c r="I357" i="5"/>
  <c r="H357" i="5"/>
  <c r="N356" i="5"/>
  <c r="M356" i="5"/>
  <c r="L356" i="5"/>
  <c r="K356" i="5"/>
  <c r="J356" i="5"/>
  <c r="I356" i="5"/>
  <c r="H356" i="5"/>
  <c r="N355" i="5"/>
  <c r="M355" i="5"/>
  <c r="L355" i="5"/>
  <c r="K355" i="5"/>
  <c r="J355" i="5"/>
  <c r="I355" i="5"/>
  <c r="H355" i="5"/>
  <c r="N354" i="5"/>
  <c r="M354" i="5"/>
  <c r="L354" i="5"/>
  <c r="K354" i="5"/>
  <c r="J354" i="5"/>
  <c r="I354" i="5"/>
  <c r="H354" i="5"/>
  <c r="N353" i="5"/>
  <c r="M353" i="5"/>
  <c r="L353" i="5"/>
  <c r="K353" i="5"/>
  <c r="J353" i="5"/>
  <c r="I353" i="5"/>
  <c r="H353" i="5"/>
  <c r="N352" i="5"/>
  <c r="M352" i="5"/>
  <c r="L352" i="5"/>
  <c r="K352" i="5"/>
  <c r="J352" i="5"/>
  <c r="I352" i="5"/>
  <c r="H352" i="5"/>
  <c r="N351" i="5"/>
  <c r="M351" i="5"/>
  <c r="L351" i="5"/>
  <c r="K351" i="5"/>
  <c r="J351" i="5"/>
  <c r="I351" i="5"/>
  <c r="H351" i="5"/>
  <c r="N350" i="5"/>
  <c r="M350" i="5"/>
  <c r="L350" i="5"/>
  <c r="K350" i="5"/>
  <c r="J350" i="5"/>
  <c r="I350" i="5"/>
  <c r="H350" i="5"/>
  <c r="N349" i="5"/>
  <c r="M349" i="5"/>
  <c r="L349" i="5"/>
  <c r="K349" i="5"/>
  <c r="J349" i="5"/>
  <c r="I349" i="5"/>
  <c r="H349" i="5"/>
  <c r="N341" i="5"/>
  <c r="M341" i="5"/>
  <c r="L341" i="5"/>
  <c r="K341" i="5"/>
  <c r="J341" i="5"/>
  <c r="I341" i="5"/>
  <c r="H341" i="5"/>
  <c r="N340" i="5"/>
  <c r="M340" i="5"/>
  <c r="L340" i="5"/>
  <c r="K340" i="5"/>
  <c r="J340" i="5"/>
  <c r="I340" i="5"/>
  <c r="H340" i="5"/>
  <c r="N339" i="5"/>
  <c r="M339" i="5"/>
  <c r="L339" i="5"/>
  <c r="K339" i="5"/>
  <c r="J339" i="5"/>
  <c r="I339" i="5"/>
  <c r="H339" i="5"/>
  <c r="N338" i="5"/>
  <c r="M338" i="5"/>
  <c r="L338" i="5"/>
  <c r="K338" i="5"/>
  <c r="J338" i="5"/>
  <c r="I338" i="5"/>
  <c r="H338" i="5"/>
  <c r="N337" i="5"/>
  <c r="M337" i="5"/>
  <c r="L337" i="5"/>
  <c r="K337" i="5"/>
  <c r="J337" i="5"/>
  <c r="I337" i="5"/>
  <c r="H337" i="5"/>
  <c r="N330" i="5"/>
  <c r="M330" i="5"/>
  <c r="L330" i="5"/>
  <c r="K330" i="5"/>
  <c r="J330" i="5"/>
  <c r="I330" i="5"/>
  <c r="H330" i="5"/>
  <c r="N329" i="5"/>
  <c r="M329" i="5"/>
  <c r="L329" i="5"/>
  <c r="K329" i="5"/>
  <c r="J329" i="5"/>
  <c r="I329" i="5"/>
  <c r="H329" i="5"/>
  <c r="N328" i="5"/>
  <c r="M328" i="5"/>
  <c r="L328" i="5"/>
  <c r="K328" i="5"/>
  <c r="J328" i="5"/>
  <c r="I328" i="5"/>
  <c r="H328" i="5"/>
  <c r="N327" i="5"/>
  <c r="M327" i="5"/>
  <c r="L327" i="5"/>
  <c r="K327" i="5"/>
  <c r="J327" i="5"/>
  <c r="I327" i="5"/>
  <c r="H327" i="5"/>
  <c r="N325" i="5"/>
  <c r="M325" i="5"/>
  <c r="L325" i="5"/>
  <c r="K325" i="5"/>
  <c r="J325" i="5"/>
  <c r="I325" i="5"/>
  <c r="H325" i="5"/>
  <c r="N324" i="5"/>
  <c r="M324" i="5"/>
  <c r="L324" i="5"/>
  <c r="K324" i="5"/>
  <c r="J324" i="5"/>
  <c r="I324" i="5"/>
  <c r="H324" i="5"/>
  <c r="M323" i="5"/>
  <c r="N323" i="5" s="1"/>
  <c r="J323" i="5"/>
  <c r="K323" i="5" s="1"/>
  <c r="H323" i="5"/>
  <c r="I323" i="5" s="1"/>
  <c r="M322" i="5"/>
  <c r="N322" i="5" s="1"/>
  <c r="J322" i="5"/>
  <c r="K322" i="5" s="1"/>
  <c r="H322" i="5"/>
  <c r="I322" i="5" s="1"/>
  <c r="M321" i="5"/>
  <c r="N321" i="5" s="1"/>
  <c r="J321" i="5"/>
  <c r="K321" i="5" s="1"/>
  <c r="H321" i="5"/>
  <c r="I321" i="5" s="1"/>
  <c r="N316" i="5"/>
  <c r="M316" i="5"/>
  <c r="L316" i="5"/>
  <c r="K316" i="5"/>
  <c r="J316" i="5"/>
  <c r="I316" i="5"/>
  <c r="H316" i="5"/>
  <c r="N315" i="5"/>
  <c r="M315" i="5"/>
  <c r="L315" i="5"/>
  <c r="K315" i="5"/>
  <c r="J315" i="5"/>
  <c r="I315" i="5"/>
  <c r="H315" i="5"/>
  <c r="N314" i="5"/>
  <c r="M314" i="5"/>
  <c r="L314" i="5"/>
  <c r="K314" i="5"/>
  <c r="J314" i="5"/>
  <c r="I314" i="5"/>
  <c r="H314" i="5"/>
  <c r="N313" i="5"/>
  <c r="M313" i="5"/>
  <c r="L313" i="5"/>
  <c r="K313" i="5"/>
  <c r="J313" i="5"/>
  <c r="I313" i="5"/>
  <c r="H313" i="5"/>
  <c r="N312" i="5"/>
  <c r="M312" i="5"/>
  <c r="L312" i="5"/>
  <c r="K312" i="5"/>
  <c r="J312" i="5"/>
  <c r="I312" i="5"/>
  <c r="H312" i="5"/>
  <c r="N311" i="5"/>
  <c r="M311" i="5"/>
  <c r="L311" i="5"/>
  <c r="K311" i="5"/>
  <c r="J311" i="5"/>
  <c r="I311" i="5"/>
  <c r="H311" i="5"/>
  <c r="N310" i="5"/>
  <c r="M310" i="5"/>
  <c r="L310" i="5"/>
  <c r="K310" i="5"/>
  <c r="J310" i="5"/>
  <c r="I310" i="5"/>
  <c r="H310" i="5"/>
  <c r="N309" i="5"/>
  <c r="M309" i="5"/>
  <c r="L309" i="5"/>
  <c r="K309" i="5"/>
  <c r="J309" i="5"/>
  <c r="I309" i="5"/>
  <c r="H309" i="5"/>
  <c r="N308" i="5"/>
  <c r="M308" i="5"/>
  <c r="L308" i="5"/>
  <c r="K308" i="5"/>
  <c r="J308" i="5"/>
  <c r="I308" i="5"/>
  <c r="H308" i="5"/>
  <c r="N307" i="5"/>
  <c r="M307" i="5"/>
  <c r="L307" i="5"/>
  <c r="K307" i="5"/>
  <c r="J307" i="5"/>
  <c r="I307" i="5"/>
  <c r="H307" i="5"/>
  <c r="N306" i="5"/>
  <c r="M306" i="5"/>
  <c r="L306" i="5"/>
  <c r="K306" i="5"/>
  <c r="J306" i="5"/>
  <c r="I306" i="5"/>
  <c r="H306" i="5"/>
  <c r="N305" i="5"/>
  <c r="M305" i="5"/>
  <c r="L305" i="5"/>
  <c r="K305" i="5"/>
  <c r="J305" i="5"/>
  <c r="I305" i="5"/>
  <c r="H305" i="5"/>
  <c r="N304" i="5"/>
  <c r="M304" i="5"/>
  <c r="L304" i="5"/>
  <c r="K304" i="5"/>
  <c r="J304" i="5"/>
  <c r="I304" i="5"/>
  <c r="H304" i="5"/>
  <c r="N303" i="5"/>
  <c r="M303" i="5"/>
  <c r="L303" i="5"/>
  <c r="K303" i="5"/>
  <c r="J303" i="5"/>
  <c r="I303" i="5"/>
  <c r="H303" i="5"/>
  <c r="N302" i="5"/>
  <c r="M302" i="5"/>
  <c r="L302" i="5"/>
  <c r="K302" i="5"/>
  <c r="J302" i="5"/>
  <c r="I302" i="5"/>
  <c r="H302" i="5"/>
  <c r="N301" i="5"/>
  <c r="M301" i="5"/>
  <c r="L301" i="5"/>
  <c r="K301" i="5"/>
  <c r="J301" i="5"/>
  <c r="I301" i="5"/>
  <c r="H301" i="5"/>
  <c r="N293" i="5"/>
  <c r="M293" i="5"/>
  <c r="L293" i="5"/>
  <c r="K293" i="5"/>
  <c r="J293" i="5"/>
  <c r="I293" i="5"/>
  <c r="H293" i="5"/>
  <c r="N292" i="5"/>
  <c r="M292" i="5"/>
  <c r="L292" i="5"/>
  <c r="K292" i="5"/>
  <c r="J292" i="5"/>
  <c r="I292" i="5"/>
  <c r="H292" i="5"/>
  <c r="N291" i="5"/>
  <c r="M291" i="5"/>
  <c r="L291" i="5"/>
  <c r="K291" i="5"/>
  <c r="J291" i="5"/>
  <c r="I291" i="5"/>
  <c r="H291" i="5"/>
  <c r="N290" i="5"/>
  <c r="M290" i="5"/>
  <c r="L290" i="5"/>
  <c r="K290" i="5"/>
  <c r="J290" i="5"/>
  <c r="I290" i="5"/>
  <c r="H290" i="5"/>
  <c r="N289" i="5"/>
  <c r="M289" i="5"/>
  <c r="L289" i="5"/>
  <c r="K289" i="5"/>
  <c r="J289" i="5"/>
  <c r="I289" i="5"/>
  <c r="H289" i="5"/>
  <c r="N282" i="5"/>
  <c r="M282" i="5"/>
  <c r="L282" i="5"/>
  <c r="K282" i="5"/>
  <c r="J282" i="5"/>
  <c r="I282" i="5"/>
  <c r="H282" i="5"/>
  <c r="N281" i="5"/>
  <c r="M281" i="5"/>
  <c r="L281" i="5"/>
  <c r="K281" i="5"/>
  <c r="J281" i="5"/>
  <c r="I281" i="5"/>
  <c r="H281" i="5"/>
  <c r="N280" i="5"/>
  <c r="M280" i="5"/>
  <c r="L280" i="5"/>
  <c r="K280" i="5"/>
  <c r="J280" i="5"/>
  <c r="I280" i="5"/>
  <c r="H280" i="5"/>
  <c r="N279" i="5"/>
  <c r="M279" i="5"/>
  <c r="L279" i="5"/>
  <c r="K279" i="5"/>
  <c r="J279" i="5"/>
  <c r="I279" i="5"/>
  <c r="H279" i="5"/>
  <c r="N278" i="5"/>
  <c r="M278" i="5"/>
  <c r="L278" i="5"/>
  <c r="K278" i="5"/>
  <c r="J278" i="5"/>
  <c r="I278" i="5"/>
  <c r="H278" i="5"/>
  <c r="N277" i="5"/>
  <c r="M277" i="5"/>
  <c r="L277" i="5"/>
  <c r="K277" i="5"/>
  <c r="J277" i="5"/>
  <c r="I277" i="5"/>
  <c r="H277" i="5"/>
  <c r="N276" i="5"/>
  <c r="M276" i="5"/>
  <c r="L276" i="5"/>
  <c r="K276" i="5"/>
  <c r="J276" i="5"/>
  <c r="I276" i="5"/>
  <c r="H276" i="5"/>
  <c r="N275" i="5"/>
  <c r="M275" i="5"/>
  <c r="L275" i="5"/>
  <c r="K275" i="5"/>
  <c r="J275" i="5"/>
  <c r="I275" i="5"/>
  <c r="H275" i="5"/>
  <c r="N274" i="5"/>
  <c r="M274" i="5"/>
  <c r="L274" i="5"/>
  <c r="K274" i="5"/>
  <c r="J274" i="5"/>
  <c r="I274" i="5"/>
  <c r="H274" i="5"/>
  <c r="N273" i="5"/>
  <c r="M273" i="5"/>
  <c r="L273" i="5"/>
  <c r="K273" i="5"/>
  <c r="J273" i="5"/>
  <c r="I273" i="5"/>
  <c r="H273" i="5"/>
  <c r="N268" i="5"/>
  <c r="M268" i="5"/>
  <c r="L268" i="5"/>
  <c r="K268" i="5"/>
  <c r="J268" i="5"/>
  <c r="I268" i="5"/>
  <c r="H268" i="5"/>
  <c r="N267" i="5"/>
  <c r="M267" i="5"/>
  <c r="L267" i="5"/>
  <c r="K267" i="5"/>
  <c r="J267" i="5"/>
  <c r="I267" i="5"/>
  <c r="H267" i="5"/>
  <c r="N266" i="5"/>
  <c r="M266" i="5"/>
  <c r="L266" i="5"/>
  <c r="K266" i="5"/>
  <c r="J266" i="5"/>
  <c r="I266" i="5"/>
  <c r="H266" i="5"/>
  <c r="N265" i="5"/>
  <c r="M265" i="5"/>
  <c r="L265" i="5"/>
  <c r="K265" i="5"/>
  <c r="J265" i="5"/>
  <c r="I265" i="5"/>
  <c r="H265" i="5"/>
  <c r="N264" i="5"/>
  <c r="M264" i="5"/>
  <c r="L264" i="5"/>
  <c r="K264" i="5"/>
  <c r="J264" i="5"/>
  <c r="I264" i="5"/>
  <c r="H264" i="5"/>
  <c r="N263" i="5"/>
  <c r="M263" i="5"/>
  <c r="L263" i="5"/>
  <c r="K263" i="5"/>
  <c r="J263" i="5"/>
  <c r="I263" i="5"/>
  <c r="H263" i="5"/>
  <c r="N262" i="5"/>
  <c r="M262" i="5"/>
  <c r="L262" i="5"/>
  <c r="K262" i="5"/>
  <c r="J262" i="5"/>
  <c r="I262" i="5"/>
  <c r="H262" i="5"/>
  <c r="N261" i="5"/>
  <c r="M261" i="5"/>
  <c r="L261" i="5"/>
  <c r="K261" i="5"/>
  <c r="J261" i="5"/>
  <c r="I261" i="5"/>
  <c r="H261" i="5"/>
  <c r="N260" i="5"/>
  <c r="M260" i="5"/>
  <c r="L260" i="5"/>
  <c r="K260" i="5"/>
  <c r="J260" i="5"/>
  <c r="I260" i="5"/>
  <c r="H260" i="5"/>
  <c r="N259" i="5"/>
  <c r="M259" i="5"/>
  <c r="L259" i="5"/>
  <c r="K259" i="5"/>
  <c r="J259" i="5"/>
  <c r="I259" i="5"/>
  <c r="H259" i="5"/>
  <c r="N258" i="5"/>
  <c r="M258" i="5"/>
  <c r="L258" i="5"/>
  <c r="K258" i="5"/>
  <c r="J258" i="5"/>
  <c r="I258" i="5"/>
  <c r="H258" i="5"/>
  <c r="N257" i="5"/>
  <c r="M257" i="5"/>
  <c r="L257" i="5"/>
  <c r="K257" i="5"/>
  <c r="J257" i="5"/>
  <c r="I257" i="5"/>
  <c r="H257" i="5"/>
  <c r="N256" i="5"/>
  <c r="M256" i="5"/>
  <c r="L256" i="5"/>
  <c r="K256" i="5"/>
  <c r="J256" i="5"/>
  <c r="I256" i="5"/>
  <c r="H256" i="5"/>
  <c r="N255" i="5"/>
  <c r="M255" i="5"/>
  <c r="L255" i="5"/>
  <c r="K255" i="5"/>
  <c r="J255" i="5"/>
  <c r="I255" i="5"/>
  <c r="H255" i="5"/>
  <c r="N254" i="5"/>
  <c r="M254" i="5"/>
  <c r="L254" i="5"/>
  <c r="K254" i="5"/>
  <c r="J254" i="5"/>
  <c r="I254" i="5"/>
  <c r="H254" i="5"/>
  <c r="N253" i="5"/>
  <c r="M253" i="5"/>
  <c r="L253" i="5"/>
  <c r="K253" i="5"/>
  <c r="J253" i="5"/>
  <c r="I253" i="5"/>
  <c r="H253" i="5"/>
  <c r="M53" i="5"/>
  <c r="M52" i="5"/>
  <c r="M51" i="5"/>
  <c r="M50" i="5"/>
  <c r="N49" i="5"/>
  <c r="M47" i="5"/>
  <c r="N47" i="5" s="1"/>
  <c r="M42" i="5"/>
  <c r="M41" i="5"/>
  <c r="M34" i="5"/>
  <c r="N34" i="5" s="1"/>
  <c r="M33" i="5"/>
  <c r="N33" i="5" s="1"/>
  <c r="M40" i="5"/>
  <c r="M39" i="5"/>
  <c r="M38" i="5"/>
  <c r="N38" i="5" s="1"/>
  <c r="M36" i="5"/>
  <c r="N36" i="5" s="1"/>
  <c r="M28" i="5"/>
  <c r="M27" i="5"/>
  <c r="M26" i="5"/>
  <c r="M25" i="5"/>
  <c r="M24" i="5"/>
  <c r="M23" i="5"/>
  <c r="M22" i="5"/>
  <c r="M21" i="5"/>
  <c r="M20" i="5"/>
  <c r="M19" i="5"/>
  <c r="M18" i="5"/>
  <c r="M17" i="5"/>
  <c r="M16" i="5"/>
  <c r="M15" i="5"/>
  <c r="M14" i="5"/>
  <c r="M13" i="5"/>
  <c r="J13" i="5"/>
  <c r="J53" i="5"/>
  <c r="J52" i="5"/>
  <c r="J51" i="5"/>
  <c r="J50" i="5"/>
  <c r="K49" i="5"/>
  <c r="J47" i="5"/>
  <c r="K47" i="5" s="1"/>
  <c r="J42" i="5"/>
  <c r="J41" i="5"/>
  <c r="J34" i="5"/>
  <c r="K34" i="5" s="1"/>
  <c r="J33" i="5"/>
  <c r="K33" i="5" s="1"/>
  <c r="J40" i="5"/>
  <c r="J39" i="5"/>
  <c r="J38" i="5"/>
  <c r="K38" i="5" s="1"/>
  <c r="J36" i="5"/>
  <c r="K36" i="5" s="1"/>
  <c r="J28" i="5"/>
  <c r="J27" i="5"/>
  <c r="J26" i="5"/>
  <c r="J25" i="5"/>
  <c r="J24" i="5"/>
  <c r="J23" i="5"/>
  <c r="J22" i="5"/>
  <c r="J21" i="5"/>
  <c r="J20" i="5"/>
  <c r="J19" i="5"/>
  <c r="J18" i="5"/>
  <c r="J17" i="5"/>
  <c r="J16" i="5"/>
  <c r="J15" i="5"/>
  <c r="J14" i="5"/>
  <c r="H13" i="5"/>
  <c r="H53" i="5"/>
  <c r="H52" i="5"/>
  <c r="H51" i="5"/>
  <c r="H50" i="5"/>
  <c r="I49" i="5"/>
  <c r="H34" i="5"/>
  <c r="I34" i="5" s="1"/>
  <c r="H33" i="5"/>
  <c r="I33" i="5" s="1"/>
  <c r="H39" i="5"/>
  <c r="H38" i="5"/>
  <c r="I38" i="5" s="1"/>
  <c r="H36" i="5"/>
  <c r="I36" i="5" s="1"/>
  <c r="H28" i="5"/>
  <c r="H27" i="5"/>
  <c r="H26" i="5"/>
  <c r="H25" i="5"/>
  <c r="H24" i="5"/>
  <c r="H23" i="5"/>
  <c r="H22" i="5"/>
  <c r="H21" i="5"/>
  <c r="H20" i="5"/>
  <c r="H19" i="5"/>
  <c r="H18" i="5"/>
  <c r="H17" i="5"/>
  <c r="H16" i="5"/>
  <c r="H15" i="5"/>
  <c r="H14" i="5"/>
  <c r="L53" i="5"/>
  <c r="L52" i="5"/>
  <c r="L51" i="5"/>
  <c r="L50" i="5"/>
  <c r="L42" i="5"/>
  <c r="L41" i="5"/>
  <c r="L40" i="5"/>
  <c r="L39" i="5"/>
  <c r="L28" i="5"/>
  <c r="L27" i="5"/>
  <c r="L26" i="5"/>
  <c r="L25" i="5"/>
  <c r="L24" i="5"/>
  <c r="L23" i="5"/>
  <c r="L22" i="5"/>
  <c r="L21" i="5"/>
  <c r="L20" i="5"/>
  <c r="L19" i="5"/>
  <c r="L18" i="5"/>
  <c r="L17" i="5"/>
  <c r="L16" i="5"/>
  <c r="L15" i="5"/>
  <c r="L14" i="5"/>
  <c r="L13" i="5"/>
  <c r="N53" i="5"/>
  <c r="K53" i="5"/>
  <c r="I53" i="5"/>
  <c r="N52" i="5"/>
  <c r="K52" i="5"/>
  <c r="I52" i="5"/>
  <c r="N51" i="5"/>
  <c r="K51" i="5"/>
  <c r="I51" i="5"/>
  <c r="N50" i="5"/>
  <c r="K50" i="5"/>
  <c r="I50" i="5"/>
  <c r="N42" i="5"/>
  <c r="K42" i="5"/>
  <c r="I42" i="5"/>
  <c r="N41" i="5"/>
  <c r="K41" i="5"/>
  <c r="I41" i="5"/>
  <c r="N40" i="5"/>
  <c r="K40" i="5"/>
  <c r="I40" i="5"/>
  <c r="N39" i="5"/>
  <c r="K39" i="5"/>
  <c r="I39" i="5"/>
  <c r="N28" i="5"/>
  <c r="K28" i="5"/>
  <c r="I28" i="5"/>
  <c r="N27" i="5"/>
  <c r="K27" i="5"/>
  <c r="I27" i="5"/>
  <c r="N26" i="5"/>
  <c r="K26" i="5"/>
  <c r="I26" i="5"/>
  <c r="N25" i="5"/>
  <c r="K25" i="5"/>
  <c r="I25" i="5"/>
  <c r="N24" i="5"/>
  <c r="K24" i="5"/>
  <c r="I24" i="5"/>
  <c r="N23" i="5"/>
  <c r="K23" i="5"/>
  <c r="I23" i="5"/>
  <c r="N22" i="5"/>
  <c r="K22" i="5"/>
  <c r="I22" i="5"/>
  <c r="N21" i="5"/>
  <c r="K21" i="5"/>
  <c r="I21" i="5"/>
  <c r="N20" i="5"/>
  <c r="K20" i="5"/>
  <c r="I20" i="5"/>
  <c r="N19" i="5"/>
  <c r="K19" i="5"/>
  <c r="I19" i="5"/>
  <c r="N18" i="5"/>
  <c r="K18" i="5"/>
  <c r="I18" i="5"/>
  <c r="N17" i="5"/>
  <c r="K17" i="5"/>
  <c r="I17" i="5"/>
  <c r="N16" i="5"/>
  <c r="K16" i="5"/>
  <c r="I16" i="5"/>
  <c r="N15" i="5"/>
  <c r="K15" i="5"/>
  <c r="I15" i="5"/>
  <c r="N14" i="5"/>
  <c r="K14" i="5"/>
  <c r="I14" i="5"/>
  <c r="N13" i="5"/>
  <c r="K13" i="5"/>
  <c r="I13" i="5"/>
  <c r="F5598" i="5" l="1"/>
  <c r="H5579" i="5" s="1"/>
  <c r="F798" i="5"/>
  <c r="F799" i="5" s="1"/>
  <c r="F38" i="1" s="1"/>
  <c r="F2526" i="5"/>
  <c r="H2507" i="5" s="1"/>
  <c r="F2766" i="5"/>
  <c r="H2747" i="5" s="1"/>
  <c r="F3774" i="5"/>
  <c r="H3755" i="5" s="1"/>
  <c r="F5406" i="5"/>
  <c r="H5387" i="5" s="1"/>
  <c r="F2382" i="5"/>
  <c r="H2363" i="5" s="1"/>
  <c r="F3870" i="5"/>
  <c r="H3851" i="5" s="1"/>
  <c r="F894" i="5"/>
  <c r="H875" i="5" s="1"/>
  <c r="F1854" i="5"/>
  <c r="H1835" i="5" s="1"/>
  <c r="F2238" i="5"/>
  <c r="H2219" i="5" s="1"/>
  <c r="F1902" i="5"/>
  <c r="H1883" i="5" s="1"/>
  <c r="F1614" i="5"/>
  <c r="H1595" i="5" s="1"/>
  <c r="F3597" i="5"/>
  <c r="G110" i="1" s="1"/>
  <c r="F3583" i="5"/>
  <c r="F2396" i="5"/>
  <c r="I2363" i="5" s="1"/>
  <c r="F4748" i="5"/>
  <c r="F5612" i="5"/>
  <c r="I5579" i="5" s="1"/>
  <c r="F1916" i="5"/>
  <c r="I1883" i="5" s="1"/>
  <c r="F4735" i="5"/>
  <c r="F144" i="1" s="1"/>
  <c r="F5742" i="5"/>
  <c r="H5723" i="5" s="1"/>
  <c r="F5805" i="5"/>
  <c r="G169" i="1" s="1"/>
  <c r="F5790" i="5"/>
  <c r="H5771" i="5" s="1"/>
  <c r="F5757" i="5"/>
  <c r="G168" i="1" s="1"/>
  <c r="F957" i="5"/>
  <c r="F942" i="5"/>
  <c r="H923" i="5" s="1"/>
  <c r="F909" i="5"/>
  <c r="F861" i="5"/>
  <c r="F846" i="5"/>
  <c r="H827" i="5" s="1"/>
  <c r="F813" i="5"/>
  <c r="G38" i="1" s="1"/>
  <c r="F1245" i="5"/>
  <c r="F1230" i="5"/>
  <c r="H1211" i="5" s="1"/>
  <c r="F4029" i="5"/>
  <c r="F4015" i="5"/>
  <c r="F3981" i="5"/>
  <c r="F3966" i="5"/>
  <c r="H3947" i="5" s="1"/>
  <c r="F3885" i="5"/>
  <c r="F3822" i="5"/>
  <c r="H3803" i="5" s="1"/>
  <c r="F3837" i="5"/>
  <c r="F3789" i="5"/>
  <c r="F5421" i="5"/>
  <c r="G161" i="1" s="1"/>
  <c r="F1629" i="5"/>
  <c r="F1197" i="5"/>
  <c r="F1182" i="5"/>
  <c r="H1163" i="5" s="1"/>
  <c r="F1101" i="5"/>
  <c r="F1087" i="5"/>
  <c r="F1533" i="5"/>
  <c r="F1518" i="5"/>
  <c r="H1499" i="5" s="1"/>
  <c r="F3741" i="5"/>
  <c r="F3726" i="5"/>
  <c r="H3707" i="5" s="1"/>
  <c r="F2781" i="5"/>
  <c r="F2541" i="5"/>
  <c r="F2301" i="5"/>
  <c r="F2286" i="5"/>
  <c r="H2267" i="5" s="1"/>
  <c r="F2253" i="5"/>
  <c r="F2829" i="5"/>
  <c r="F2814" i="5"/>
  <c r="H2795" i="5" s="1"/>
  <c r="F5469" i="5"/>
  <c r="G162" i="1" s="1"/>
  <c r="F5454" i="5"/>
  <c r="H5435" i="5" s="1"/>
  <c r="F5229" i="5"/>
  <c r="G157" i="1" s="1"/>
  <c r="F5215" i="5"/>
  <c r="F4317" i="5"/>
  <c r="F4302" i="5"/>
  <c r="H4283" i="5" s="1"/>
  <c r="F4221" i="5"/>
  <c r="F4207" i="5"/>
  <c r="F4076" i="5"/>
  <c r="I4043" i="5" s="1"/>
  <c r="F4063" i="5"/>
  <c r="F3693" i="5"/>
  <c r="F3679" i="5"/>
  <c r="F4652" i="5"/>
  <c r="I4619" i="5" s="1"/>
  <c r="F4639" i="5"/>
  <c r="F4557" i="5"/>
  <c r="F4543" i="5"/>
  <c r="F4509" i="5"/>
  <c r="F4494" i="5"/>
  <c r="H4475" i="5" s="1"/>
  <c r="F1053" i="5"/>
  <c r="F1038" i="5"/>
  <c r="H1019" i="5" s="1"/>
  <c r="F476" i="5"/>
  <c r="I443" i="5" s="1"/>
  <c r="F463" i="5"/>
  <c r="F525" i="5"/>
  <c r="F511" i="5"/>
  <c r="F5853" i="5"/>
  <c r="G170" i="1" s="1"/>
  <c r="F5838" i="5"/>
  <c r="H5819" i="5" s="1"/>
  <c r="F5085" i="5"/>
  <c r="F5071" i="5"/>
  <c r="F5599" i="5" l="1"/>
  <c r="F165" i="1" s="1"/>
  <c r="F895" i="5"/>
  <c r="F40" i="1" s="1"/>
  <c r="F2239" i="5"/>
  <c r="F75" i="1" s="1"/>
  <c r="H779" i="5"/>
  <c r="F2767" i="5"/>
  <c r="F88" i="1" s="1"/>
  <c r="F2527" i="5"/>
  <c r="F82" i="1" s="1"/>
  <c r="I38" i="1"/>
  <c r="F5407" i="5"/>
  <c r="F161" i="1" s="1"/>
  <c r="J170" i="1"/>
  <c r="J38" i="1"/>
  <c r="J168" i="1"/>
  <c r="F2383" i="5"/>
  <c r="F78" i="1" s="1"/>
  <c r="F3775" i="5"/>
  <c r="F117" i="1" s="1"/>
  <c r="J110" i="1"/>
  <c r="F3871" i="5"/>
  <c r="F119" i="1" s="1"/>
  <c r="F1855" i="5"/>
  <c r="F66" i="1" s="1"/>
  <c r="F1903" i="5"/>
  <c r="F67" i="1" s="1"/>
  <c r="F157" i="1"/>
  <c r="F1615" i="5"/>
  <c r="F60" i="1" s="1"/>
  <c r="F4749" i="5"/>
  <c r="I4715" i="5"/>
  <c r="F110" i="1"/>
  <c r="F2397" i="5"/>
  <c r="F5613" i="5"/>
  <c r="F1917" i="5"/>
  <c r="G67" i="1" s="1"/>
  <c r="F5791" i="5"/>
  <c r="F5743" i="5"/>
  <c r="J157" i="1"/>
  <c r="J161" i="1"/>
  <c r="J162" i="1"/>
  <c r="G60" i="1"/>
  <c r="G41" i="1"/>
  <c r="F943" i="5"/>
  <c r="G40" i="1"/>
  <c r="G39" i="1"/>
  <c r="F847" i="5"/>
  <c r="G52" i="1"/>
  <c r="F1231" i="5"/>
  <c r="F122" i="1"/>
  <c r="G121" i="1"/>
  <c r="G122" i="1"/>
  <c r="F3967" i="5"/>
  <c r="G118" i="1"/>
  <c r="G119" i="1"/>
  <c r="G117" i="1"/>
  <c r="F3823" i="5"/>
  <c r="G51" i="1"/>
  <c r="G48" i="1"/>
  <c r="F48" i="1"/>
  <c r="F1183" i="5"/>
  <c r="G58" i="1"/>
  <c r="F1519" i="5"/>
  <c r="G116" i="1"/>
  <c r="F3727" i="5"/>
  <c r="G88" i="1"/>
  <c r="G82" i="1"/>
  <c r="F2287" i="5"/>
  <c r="G76" i="1"/>
  <c r="G75" i="1"/>
  <c r="G90" i="1"/>
  <c r="F2815" i="5"/>
  <c r="F5455" i="5"/>
  <c r="G129" i="1"/>
  <c r="G131" i="1"/>
  <c r="F129" i="1"/>
  <c r="F4303" i="5"/>
  <c r="F123" i="1"/>
  <c r="F4077" i="5"/>
  <c r="G115" i="1"/>
  <c r="F115" i="1"/>
  <c r="F142" i="1"/>
  <c r="G140" i="1"/>
  <c r="G139" i="1"/>
  <c r="F140" i="1"/>
  <c r="F4653" i="5"/>
  <c r="F4495" i="5"/>
  <c r="G47" i="1"/>
  <c r="F1039" i="5"/>
  <c r="F29" i="1"/>
  <c r="F477" i="5"/>
  <c r="F30" i="1"/>
  <c r="G30" i="1"/>
  <c r="F151" i="1"/>
  <c r="G151" i="1"/>
  <c r="F5839" i="5"/>
  <c r="I165" i="1" l="1"/>
  <c r="J40" i="1"/>
  <c r="I88" i="1"/>
  <c r="J122" i="1"/>
  <c r="I40" i="1"/>
  <c r="J88" i="1"/>
  <c r="J151" i="1"/>
  <c r="J139" i="1"/>
  <c r="I151" i="1"/>
  <c r="I129" i="1"/>
  <c r="J116" i="1"/>
  <c r="J41" i="1"/>
  <c r="J60" i="1"/>
  <c r="I60" i="1"/>
  <c r="I142" i="1"/>
  <c r="J129" i="1"/>
  <c r="J117" i="1"/>
  <c r="J52" i="1"/>
  <c r="I157" i="1"/>
  <c r="I161" i="1"/>
  <c r="I30" i="1"/>
  <c r="J131" i="1"/>
  <c r="J30" i="1"/>
  <c r="I75" i="1"/>
  <c r="J119" i="1"/>
  <c r="J76" i="1"/>
  <c r="I29" i="1"/>
  <c r="J115" i="1"/>
  <c r="J75" i="1"/>
  <c r="J118" i="1"/>
  <c r="J39" i="1"/>
  <c r="F162" i="1"/>
  <c r="F169" i="1"/>
  <c r="F168" i="1"/>
  <c r="F170" i="1"/>
  <c r="G165" i="1"/>
  <c r="I67" i="1"/>
  <c r="G144" i="1"/>
  <c r="I110" i="1"/>
  <c r="G78" i="1"/>
  <c r="J67" i="1"/>
  <c r="I119" i="1"/>
  <c r="I122" i="1"/>
  <c r="I123" i="1"/>
  <c r="I117" i="1"/>
  <c r="I115" i="1"/>
  <c r="J121" i="1"/>
  <c r="J58" i="1"/>
  <c r="F41" i="1"/>
  <c r="F39" i="1"/>
  <c r="F52" i="1"/>
  <c r="F121" i="1"/>
  <c r="F118" i="1"/>
  <c r="F51" i="1"/>
  <c r="F58" i="1"/>
  <c r="F116" i="1"/>
  <c r="F76" i="1"/>
  <c r="F90" i="1"/>
  <c r="F131" i="1"/>
  <c r="G123" i="1"/>
  <c r="G142" i="1"/>
  <c r="F139" i="1"/>
  <c r="F47" i="1"/>
  <c r="G29" i="1"/>
  <c r="I52" i="1" l="1"/>
  <c r="I76" i="1"/>
  <c r="I39" i="1"/>
  <c r="I139" i="1"/>
  <c r="I41" i="1"/>
  <c r="J142" i="1"/>
  <c r="I58" i="1"/>
  <c r="J29" i="1"/>
  <c r="I162" i="1"/>
  <c r="I131" i="1"/>
  <c r="I170" i="1"/>
  <c r="I168" i="1"/>
  <c r="J165" i="1"/>
  <c r="I116" i="1"/>
  <c r="I121" i="1"/>
  <c r="I118" i="1"/>
  <c r="J123" i="1"/>
  <c r="E4093" i="5" l="1"/>
  <c r="F4093" i="5" s="1"/>
  <c r="D3215" i="5"/>
  <c r="E1268" i="5"/>
  <c r="F1268" i="5" s="1"/>
  <c r="A2482" i="5"/>
  <c r="A1151" i="5"/>
  <c r="D1151" i="5" s="1"/>
  <c r="E3901" i="5"/>
  <c r="F3901" i="5" s="1"/>
  <c r="E3616" i="5"/>
  <c r="F3616" i="5" s="1"/>
  <c r="F5957" i="5"/>
  <c r="F5956" i="5"/>
  <c r="F5955" i="5"/>
  <c r="F5954" i="5"/>
  <c r="F5953" i="5"/>
  <c r="F5946" i="5"/>
  <c r="F5945" i="5"/>
  <c r="F5944" i="5"/>
  <c r="F5943" i="5"/>
  <c r="F5942" i="5"/>
  <c r="F5941" i="5"/>
  <c r="F5940" i="5"/>
  <c r="F5939" i="5"/>
  <c r="F5938" i="5"/>
  <c r="F5932" i="5"/>
  <c r="F5931" i="5"/>
  <c r="F5930" i="5"/>
  <c r="F5929" i="5"/>
  <c r="F5928" i="5"/>
  <c r="F5927" i="5"/>
  <c r="F5926" i="5"/>
  <c r="F5925" i="5"/>
  <c r="F5924" i="5"/>
  <c r="F5923" i="5"/>
  <c r="F5909" i="5"/>
  <c r="F5908" i="5"/>
  <c r="F5907" i="5"/>
  <c r="F5906" i="5"/>
  <c r="F5905" i="5"/>
  <c r="F5898" i="5"/>
  <c r="F5897" i="5"/>
  <c r="F5896" i="5"/>
  <c r="F5895" i="5"/>
  <c r="F5894" i="5"/>
  <c r="F5893" i="5"/>
  <c r="F5892" i="5"/>
  <c r="F5891" i="5"/>
  <c r="F5890" i="5"/>
  <c r="F5889" i="5"/>
  <c r="F5884" i="5"/>
  <c r="F5883" i="5"/>
  <c r="F5882" i="5"/>
  <c r="F5881" i="5"/>
  <c r="F5880" i="5"/>
  <c r="F5879" i="5"/>
  <c r="F5878" i="5"/>
  <c r="F5877" i="5"/>
  <c r="F5876" i="5"/>
  <c r="F5875" i="5"/>
  <c r="F5874" i="5"/>
  <c r="F5873" i="5"/>
  <c r="F5872" i="5"/>
  <c r="F5573" i="5"/>
  <c r="F5572" i="5"/>
  <c r="F5571" i="5"/>
  <c r="F5570" i="5"/>
  <c r="F5569" i="5"/>
  <c r="F5568" i="5"/>
  <c r="F5562" i="5"/>
  <c r="F5561" i="5"/>
  <c r="F5560" i="5"/>
  <c r="F5559" i="5"/>
  <c r="F5558" i="5"/>
  <c r="F5557" i="5"/>
  <c r="F5556" i="5"/>
  <c r="F5555" i="5"/>
  <c r="F5554" i="5"/>
  <c r="F5553" i="5"/>
  <c r="F5548" i="5"/>
  <c r="F5547" i="5"/>
  <c r="F5546" i="5"/>
  <c r="F5545" i="5"/>
  <c r="F5544" i="5"/>
  <c r="F5543" i="5"/>
  <c r="F5542" i="5"/>
  <c r="F5541" i="5"/>
  <c r="F5540" i="5"/>
  <c r="F5539" i="5"/>
  <c r="F5538" i="5"/>
  <c r="F5537" i="5"/>
  <c r="F5536" i="5"/>
  <c r="F5535" i="5"/>
  <c r="F5534" i="5"/>
  <c r="F5533" i="5"/>
  <c r="F5525" i="5"/>
  <c r="F5524" i="5"/>
  <c r="F5523" i="5"/>
  <c r="F5522" i="5"/>
  <c r="F5521" i="5"/>
  <c r="F5520" i="5"/>
  <c r="F5519" i="5"/>
  <c r="F5514" i="5"/>
  <c r="F5513" i="5"/>
  <c r="F5512" i="5"/>
  <c r="F5511" i="5"/>
  <c r="F5510" i="5"/>
  <c r="F5509" i="5"/>
  <c r="F5508" i="5"/>
  <c r="F5507" i="5"/>
  <c r="F5506" i="5"/>
  <c r="F5500" i="5"/>
  <c r="F5499" i="5"/>
  <c r="F5498" i="5"/>
  <c r="F5497" i="5"/>
  <c r="F5496" i="5"/>
  <c r="F5495" i="5"/>
  <c r="F5494" i="5"/>
  <c r="F5493" i="5"/>
  <c r="F5492" i="5"/>
  <c r="F5491" i="5"/>
  <c r="F5490" i="5"/>
  <c r="F5489" i="5"/>
  <c r="F5488" i="5"/>
  <c r="F5487" i="5"/>
  <c r="F5486" i="5"/>
  <c r="F5485" i="5"/>
  <c r="F5381" i="5"/>
  <c r="F5380" i="5"/>
  <c r="F5379" i="5"/>
  <c r="F5378" i="5"/>
  <c r="F5377" i="5"/>
  <c r="F5370" i="5"/>
  <c r="F5369" i="5"/>
  <c r="F5368" i="5"/>
  <c r="F5367" i="5"/>
  <c r="F5366" i="5"/>
  <c r="F5365" i="5"/>
  <c r="F5364" i="5"/>
  <c r="F5363" i="5"/>
  <c r="F5362" i="5"/>
  <c r="F5361" i="5"/>
  <c r="F5356" i="5"/>
  <c r="F5355" i="5"/>
  <c r="F5354" i="5"/>
  <c r="F5353" i="5"/>
  <c r="F5352" i="5"/>
  <c r="F5351" i="5"/>
  <c r="F5350" i="5"/>
  <c r="F5349" i="5"/>
  <c r="F5348" i="5"/>
  <c r="F5347" i="5"/>
  <c r="F5346" i="5"/>
  <c r="F5345" i="5"/>
  <c r="F5344" i="5"/>
  <c r="F5333" i="5"/>
  <c r="F5332" i="5"/>
  <c r="F5331" i="5"/>
  <c r="F5330" i="5"/>
  <c r="F5329" i="5"/>
  <c r="F5322" i="5"/>
  <c r="F5321" i="5"/>
  <c r="F5320" i="5"/>
  <c r="F5319" i="5"/>
  <c r="F5318" i="5"/>
  <c r="F5317" i="5"/>
  <c r="F5316" i="5"/>
  <c r="F5315" i="5"/>
  <c r="F5314" i="5"/>
  <c r="F5313" i="5"/>
  <c r="F5308" i="5"/>
  <c r="F5307" i="5"/>
  <c r="F5306" i="5"/>
  <c r="F5305" i="5"/>
  <c r="F5304" i="5"/>
  <c r="F5303" i="5"/>
  <c r="F5302" i="5"/>
  <c r="F5301" i="5"/>
  <c r="F5300" i="5"/>
  <c r="F5299" i="5"/>
  <c r="F5298" i="5"/>
  <c r="F5297" i="5"/>
  <c r="F5285" i="5"/>
  <c r="F5284" i="5"/>
  <c r="F5283" i="5"/>
  <c r="F5282" i="5"/>
  <c r="F5281" i="5"/>
  <c r="F5274" i="5"/>
  <c r="F5273" i="5"/>
  <c r="F5272" i="5"/>
  <c r="F5271" i="5"/>
  <c r="F5270" i="5"/>
  <c r="F5269" i="5"/>
  <c r="F5268" i="5"/>
  <c r="F5267" i="5"/>
  <c r="F5266" i="5"/>
  <c r="F5265" i="5"/>
  <c r="F5260" i="5"/>
  <c r="F5259" i="5"/>
  <c r="F5258" i="5"/>
  <c r="F5257" i="5"/>
  <c r="F5256" i="5"/>
  <c r="F5255" i="5"/>
  <c r="F5254" i="5"/>
  <c r="F5253" i="5"/>
  <c r="F5252" i="5"/>
  <c r="F5251" i="5"/>
  <c r="F5250" i="5"/>
  <c r="F5249" i="5"/>
  <c r="F5189" i="5"/>
  <c r="F5188" i="5"/>
  <c r="F5187" i="5"/>
  <c r="F5186" i="5"/>
  <c r="F5185" i="5"/>
  <c r="F5184" i="5"/>
  <c r="F5178" i="5"/>
  <c r="F5177" i="5"/>
  <c r="F5176" i="5"/>
  <c r="F5175" i="5"/>
  <c r="F5174" i="5"/>
  <c r="F5173" i="5"/>
  <c r="F5172" i="5"/>
  <c r="F5171" i="5"/>
  <c r="F5170" i="5"/>
  <c r="F5169" i="5"/>
  <c r="F5164" i="5"/>
  <c r="F5163" i="5"/>
  <c r="F5162" i="5"/>
  <c r="F5161" i="5"/>
  <c r="F5160" i="5"/>
  <c r="F5159" i="5"/>
  <c r="F5158" i="5"/>
  <c r="F5157" i="5"/>
  <c r="F5156" i="5"/>
  <c r="F5155" i="5"/>
  <c r="F5154" i="5"/>
  <c r="F5153" i="5"/>
  <c r="F5152" i="5"/>
  <c r="F5151" i="5"/>
  <c r="F5141" i="5"/>
  <c r="F5140" i="5"/>
  <c r="F5139" i="5"/>
  <c r="F5138" i="5"/>
  <c r="F5137" i="5"/>
  <c r="F5130" i="5"/>
  <c r="F5129" i="5"/>
  <c r="F5128" i="5"/>
  <c r="F5127" i="5"/>
  <c r="F5126" i="5"/>
  <c r="F5125" i="5"/>
  <c r="F5124" i="5"/>
  <c r="F5123" i="5"/>
  <c r="F5122" i="5"/>
  <c r="F5121" i="5"/>
  <c r="F5116" i="5"/>
  <c r="F5115" i="5"/>
  <c r="F5114" i="5"/>
  <c r="F5113" i="5"/>
  <c r="F5112" i="5"/>
  <c r="F5111" i="5"/>
  <c r="F5110" i="5"/>
  <c r="F5109" i="5"/>
  <c r="F5108" i="5"/>
  <c r="F5107" i="5"/>
  <c r="F5106" i="5"/>
  <c r="F5105" i="5"/>
  <c r="F5104" i="5"/>
  <c r="F5103" i="5"/>
  <c r="F5102" i="5"/>
  <c r="F5045" i="5"/>
  <c r="F5044" i="5"/>
  <c r="F5043" i="5"/>
  <c r="F5042" i="5"/>
  <c r="F5041" i="5"/>
  <c r="F5040" i="5"/>
  <c r="F5034" i="5"/>
  <c r="F5033" i="5"/>
  <c r="F5032" i="5"/>
  <c r="F5031" i="5"/>
  <c r="F5030" i="5"/>
  <c r="F5029" i="5"/>
  <c r="F5028" i="5"/>
  <c r="F5027" i="5"/>
  <c r="F5026" i="5"/>
  <c r="F5020" i="5"/>
  <c r="F5019" i="5"/>
  <c r="F5018" i="5"/>
  <c r="F5017" i="5"/>
  <c r="F5016" i="5"/>
  <c r="F5015" i="5"/>
  <c r="F5014" i="5"/>
  <c r="F5013" i="5"/>
  <c r="F5012" i="5"/>
  <c r="F5011" i="5"/>
  <c r="F5010" i="5"/>
  <c r="F4997" i="5"/>
  <c r="F4996" i="5"/>
  <c r="F4995" i="5"/>
  <c r="F4994" i="5"/>
  <c r="F4993" i="5"/>
  <c r="F4986" i="5"/>
  <c r="F4985" i="5"/>
  <c r="F4984" i="5"/>
  <c r="F4983" i="5"/>
  <c r="F4982" i="5"/>
  <c r="F4981" i="5"/>
  <c r="F4980" i="5"/>
  <c r="F4979" i="5"/>
  <c r="F4978" i="5"/>
  <c r="F4977" i="5"/>
  <c r="F4972" i="5"/>
  <c r="F4971" i="5"/>
  <c r="F4970" i="5"/>
  <c r="F4969" i="5"/>
  <c r="F4968" i="5"/>
  <c r="F4967" i="5"/>
  <c r="F4966" i="5"/>
  <c r="F4965" i="5"/>
  <c r="F4964" i="5"/>
  <c r="F4963" i="5"/>
  <c r="F4962" i="5"/>
  <c r="F4961" i="5"/>
  <c r="F4960" i="5"/>
  <c r="F4959" i="5"/>
  <c r="F4949" i="5"/>
  <c r="F4948" i="5"/>
  <c r="F4947" i="5"/>
  <c r="F4946" i="5"/>
  <c r="F4945" i="5"/>
  <c r="F4938" i="5"/>
  <c r="F4937" i="5"/>
  <c r="F4936" i="5"/>
  <c r="F4935" i="5"/>
  <c r="F4934" i="5"/>
  <c r="F4933" i="5"/>
  <c r="F4932" i="5"/>
  <c r="F4931" i="5"/>
  <c r="F4930" i="5"/>
  <c r="F4929" i="5"/>
  <c r="F4924" i="5"/>
  <c r="F4923" i="5"/>
  <c r="F4922" i="5"/>
  <c r="F4921" i="5"/>
  <c r="F4920" i="5"/>
  <c r="F4919" i="5"/>
  <c r="F4918" i="5"/>
  <c r="F4917" i="5"/>
  <c r="F4916" i="5"/>
  <c r="F4915" i="5"/>
  <c r="F4914" i="5"/>
  <c r="F4913" i="5"/>
  <c r="F4912" i="5"/>
  <c r="F4911" i="5"/>
  <c r="F4910" i="5"/>
  <c r="F4901" i="5"/>
  <c r="F4900" i="5"/>
  <c r="F4899" i="5"/>
  <c r="F4898" i="5"/>
  <c r="F4897" i="5"/>
  <c r="F4890" i="5"/>
  <c r="F4889" i="5"/>
  <c r="F4888" i="5"/>
  <c r="F4887" i="5"/>
  <c r="F4886" i="5"/>
  <c r="F4885" i="5"/>
  <c r="F4884" i="5"/>
  <c r="F4883" i="5"/>
  <c r="F4882" i="5"/>
  <c r="F4876" i="5"/>
  <c r="F4875" i="5"/>
  <c r="F4874" i="5"/>
  <c r="F4873" i="5"/>
  <c r="F4872" i="5"/>
  <c r="F4871" i="5"/>
  <c r="F4870" i="5"/>
  <c r="F4869" i="5"/>
  <c r="F4868" i="5"/>
  <c r="F4867" i="5"/>
  <c r="F4866" i="5"/>
  <c r="F4865" i="5"/>
  <c r="F4853" i="5"/>
  <c r="F4852" i="5"/>
  <c r="F4851" i="5"/>
  <c r="F4850" i="5"/>
  <c r="F4849" i="5"/>
  <c r="F4842" i="5"/>
  <c r="F4841" i="5"/>
  <c r="F4840" i="5"/>
  <c r="F4839" i="5"/>
  <c r="F4838" i="5"/>
  <c r="F4837" i="5"/>
  <c r="F4836" i="5"/>
  <c r="F4835" i="5"/>
  <c r="F4834" i="5"/>
  <c r="F4828" i="5"/>
  <c r="F4827" i="5"/>
  <c r="F4826" i="5"/>
  <c r="F4825" i="5"/>
  <c r="F4824" i="5"/>
  <c r="F4823" i="5"/>
  <c r="F4822" i="5"/>
  <c r="F4821" i="5"/>
  <c r="F4820" i="5"/>
  <c r="F4819" i="5"/>
  <c r="F4818" i="5"/>
  <c r="F4817" i="5"/>
  <c r="F4805" i="5"/>
  <c r="F4804" i="5"/>
  <c r="F4803" i="5"/>
  <c r="F4802" i="5"/>
  <c r="F4801" i="5"/>
  <c r="F4794" i="5"/>
  <c r="F4793" i="5"/>
  <c r="F4792" i="5"/>
  <c r="F4791" i="5"/>
  <c r="F4790" i="5"/>
  <c r="F4789" i="5"/>
  <c r="F4788" i="5"/>
  <c r="F4787" i="5"/>
  <c r="F4786" i="5"/>
  <c r="F4785" i="5"/>
  <c r="F4780" i="5"/>
  <c r="F4779" i="5"/>
  <c r="F4778" i="5"/>
  <c r="F4777" i="5"/>
  <c r="F4776" i="5"/>
  <c r="F4775" i="5"/>
  <c r="F4774" i="5"/>
  <c r="F4773" i="5"/>
  <c r="F4772" i="5"/>
  <c r="F4771" i="5"/>
  <c r="F4770" i="5"/>
  <c r="F4769" i="5"/>
  <c r="F4709" i="5"/>
  <c r="F4708" i="5"/>
  <c r="F4707" i="5"/>
  <c r="F4706" i="5"/>
  <c r="F4705" i="5"/>
  <c r="F4698" i="5"/>
  <c r="F4697" i="5"/>
  <c r="F4696" i="5"/>
  <c r="F4695" i="5"/>
  <c r="F4694" i="5"/>
  <c r="F4693" i="5"/>
  <c r="F4692" i="5"/>
  <c r="F4691" i="5"/>
  <c r="F4690" i="5"/>
  <c r="F4684" i="5"/>
  <c r="F4683" i="5"/>
  <c r="F4682" i="5"/>
  <c r="F4681" i="5"/>
  <c r="F4680" i="5"/>
  <c r="F4679" i="5"/>
  <c r="F4678" i="5"/>
  <c r="F4677" i="5"/>
  <c r="F4676" i="5"/>
  <c r="F4675" i="5"/>
  <c r="F4674" i="5"/>
  <c r="F4673" i="5"/>
  <c r="F4672" i="5"/>
  <c r="F4613" i="5"/>
  <c r="F4612" i="5"/>
  <c r="F4611" i="5"/>
  <c r="F4610" i="5"/>
  <c r="F4609" i="5"/>
  <c r="F4602" i="5"/>
  <c r="F4601" i="5"/>
  <c r="F4600" i="5"/>
  <c r="F4599" i="5"/>
  <c r="F4598" i="5"/>
  <c r="F4597" i="5"/>
  <c r="F4596" i="5"/>
  <c r="F4595" i="5"/>
  <c r="F4594" i="5"/>
  <c r="F4593" i="5"/>
  <c r="F4588" i="5"/>
  <c r="F4587" i="5"/>
  <c r="F4586" i="5"/>
  <c r="F4585" i="5"/>
  <c r="F4584" i="5"/>
  <c r="F4583" i="5"/>
  <c r="F4582" i="5"/>
  <c r="F4581" i="5"/>
  <c r="F4580" i="5"/>
  <c r="F4579" i="5"/>
  <c r="F4578" i="5"/>
  <c r="F4577" i="5"/>
  <c r="F4576" i="5"/>
  <c r="F4421" i="5"/>
  <c r="F4420" i="5"/>
  <c r="F4419" i="5"/>
  <c r="F4418" i="5"/>
  <c r="F4417" i="5"/>
  <c r="F4416" i="5"/>
  <c r="F4415" i="5"/>
  <c r="F4410" i="5"/>
  <c r="F4409" i="5"/>
  <c r="F4408" i="5"/>
  <c r="F4407" i="5"/>
  <c r="F4406" i="5"/>
  <c r="F4405" i="5"/>
  <c r="F4404" i="5"/>
  <c r="F4403" i="5"/>
  <c r="F4402" i="5"/>
  <c r="F4396" i="5"/>
  <c r="F4395" i="5"/>
  <c r="F4394" i="5"/>
  <c r="F4393" i="5"/>
  <c r="F4392" i="5"/>
  <c r="F4391" i="5"/>
  <c r="F4390" i="5"/>
  <c r="F4389" i="5"/>
  <c r="F4388" i="5"/>
  <c r="F4387" i="5"/>
  <c r="F4386" i="5"/>
  <c r="F4385" i="5"/>
  <c r="F4384" i="5"/>
  <c r="F4383" i="5"/>
  <c r="F4382" i="5"/>
  <c r="F4381" i="5"/>
  <c r="F4373" i="5"/>
  <c r="F4372" i="5"/>
  <c r="F4371" i="5"/>
  <c r="F4370" i="5"/>
  <c r="F4369" i="5"/>
  <c r="F4362" i="5"/>
  <c r="F4361" i="5"/>
  <c r="F4360" i="5"/>
  <c r="F4359" i="5"/>
  <c r="F4358" i="5"/>
  <c r="F4357" i="5"/>
  <c r="F4356" i="5"/>
  <c r="F4355" i="5"/>
  <c r="F4354" i="5"/>
  <c r="F4353" i="5"/>
  <c r="F4348" i="5"/>
  <c r="F4347" i="5"/>
  <c r="F4346" i="5"/>
  <c r="F4345" i="5"/>
  <c r="F4344" i="5"/>
  <c r="F4343" i="5"/>
  <c r="F4342" i="5"/>
  <c r="F4341" i="5"/>
  <c r="F4340" i="5"/>
  <c r="F4339" i="5"/>
  <c r="F4338" i="5"/>
  <c r="F4337" i="5"/>
  <c r="F4336" i="5"/>
  <c r="F4335" i="5"/>
  <c r="F4334" i="5"/>
  <c r="F4181" i="5"/>
  <c r="F4180" i="5"/>
  <c r="F4179" i="5"/>
  <c r="F4178" i="5"/>
  <c r="F4177" i="5"/>
  <c r="F4170" i="5"/>
  <c r="F4169" i="5"/>
  <c r="F4168" i="5"/>
  <c r="F4167" i="5"/>
  <c r="F4166" i="5"/>
  <c r="F4165" i="5"/>
  <c r="F4164" i="5"/>
  <c r="F4163" i="5"/>
  <c r="F4162" i="5"/>
  <c r="F4161" i="5"/>
  <c r="F4156" i="5"/>
  <c r="F4155" i="5"/>
  <c r="F4154" i="5"/>
  <c r="F4153" i="5"/>
  <c r="F4152" i="5"/>
  <c r="F4151" i="5"/>
  <c r="F4150" i="5"/>
  <c r="F4149" i="5"/>
  <c r="F4148" i="5"/>
  <c r="F4147" i="5"/>
  <c r="F4146" i="5"/>
  <c r="F4145" i="5"/>
  <c r="F4144" i="5"/>
  <c r="F4143" i="5"/>
  <c r="F4142" i="5"/>
  <c r="F4133" i="5"/>
  <c r="F4132" i="5"/>
  <c r="F4131" i="5"/>
  <c r="F4130" i="5"/>
  <c r="F4129" i="5"/>
  <c r="F4122" i="5"/>
  <c r="F4121" i="5"/>
  <c r="F4120" i="5"/>
  <c r="F4119" i="5"/>
  <c r="F4118" i="5"/>
  <c r="F4117" i="5"/>
  <c r="F4116" i="5"/>
  <c r="F4115" i="5"/>
  <c r="F4114" i="5"/>
  <c r="F4113" i="5"/>
  <c r="F4108" i="5"/>
  <c r="F4107" i="5"/>
  <c r="F4106" i="5"/>
  <c r="F4105" i="5"/>
  <c r="F4104" i="5"/>
  <c r="F4103" i="5"/>
  <c r="F4102" i="5"/>
  <c r="F4101" i="5"/>
  <c r="F4100" i="5"/>
  <c r="F4099" i="5"/>
  <c r="F3941" i="5"/>
  <c r="F3940" i="5"/>
  <c r="F3939" i="5"/>
  <c r="F3938" i="5"/>
  <c r="F3937" i="5"/>
  <c r="F3930" i="5"/>
  <c r="F3929" i="5"/>
  <c r="F3928" i="5"/>
  <c r="F3927" i="5"/>
  <c r="F3926" i="5"/>
  <c r="F3925" i="5"/>
  <c r="F3924" i="5"/>
  <c r="F3923" i="5"/>
  <c r="F3922" i="5"/>
  <c r="F3921" i="5"/>
  <c r="F3916" i="5"/>
  <c r="F3915" i="5"/>
  <c r="F3914" i="5"/>
  <c r="F3913" i="5"/>
  <c r="F3912" i="5"/>
  <c r="F3911" i="5"/>
  <c r="F3910" i="5"/>
  <c r="F3909" i="5"/>
  <c r="F3908" i="5"/>
  <c r="F3907" i="5"/>
  <c r="F3906" i="5"/>
  <c r="F3905" i="5"/>
  <c r="F3904" i="5"/>
  <c r="F3903" i="5"/>
  <c r="F3653" i="5"/>
  <c r="F3652" i="5"/>
  <c r="F3651" i="5"/>
  <c r="F3650" i="5"/>
  <c r="F3649" i="5"/>
  <c r="F3642" i="5"/>
  <c r="F3641" i="5"/>
  <c r="F3640" i="5"/>
  <c r="F3639" i="5"/>
  <c r="F3638" i="5"/>
  <c r="F3637" i="5"/>
  <c r="F3636" i="5"/>
  <c r="F3635" i="5"/>
  <c r="F3634" i="5"/>
  <c r="F3633" i="5"/>
  <c r="F3628" i="5"/>
  <c r="F3627" i="5"/>
  <c r="F3626" i="5"/>
  <c r="F3625" i="5"/>
  <c r="F3624" i="5"/>
  <c r="F3623" i="5"/>
  <c r="F3622" i="5"/>
  <c r="F3621" i="5"/>
  <c r="F3620" i="5"/>
  <c r="F3619" i="5"/>
  <c r="F3618" i="5"/>
  <c r="F3617" i="5"/>
  <c r="F3557" i="5"/>
  <c r="F3556" i="5"/>
  <c r="F3555" i="5"/>
  <c r="F3554" i="5"/>
  <c r="F3553" i="5"/>
  <c r="F3546" i="5"/>
  <c r="F3545" i="5"/>
  <c r="F3544" i="5"/>
  <c r="F3543" i="5"/>
  <c r="F3542" i="5"/>
  <c r="F3541" i="5"/>
  <c r="F3540" i="5"/>
  <c r="F3539" i="5"/>
  <c r="F3538" i="5"/>
  <c r="F3537" i="5"/>
  <c r="F3532" i="5"/>
  <c r="F3531" i="5"/>
  <c r="F3530" i="5"/>
  <c r="F3529" i="5"/>
  <c r="F3528" i="5"/>
  <c r="F3527" i="5"/>
  <c r="F3526" i="5"/>
  <c r="F3525" i="5"/>
  <c r="F3524" i="5"/>
  <c r="F3523" i="5"/>
  <c r="F3522" i="5"/>
  <c r="F3521" i="5"/>
  <c r="F3520" i="5"/>
  <c r="F3519" i="5"/>
  <c r="F3509" i="5"/>
  <c r="F3508" i="5"/>
  <c r="F3507" i="5"/>
  <c r="F3506" i="5"/>
  <c r="F3505" i="5"/>
  <c r="F3498" i="5"/>
  <c r="F3497" i="5"/>
  <c r="F3496" i="5"/>
  <c r="F3495" i="5"/>
  <c r="F3494" i="5"/>
  <c r="F3493" i="5"/>
  <c r="F3492" i="5"/>
  <c r="F3491" i="5"/>
  <c r="F3490" i="5"/>
  <c r="F3489" i="5"/>
  <c r="F3484" i="5"/>
  <c r="F3483" i="5"/>
  <c r="F3482" i="5"/>
  <c r="F3481" i="5"/>
  <c r="F3480" i="5"/>
  <c r="F3479" i="5"/>
  <c r="F3478" i="5"/>
  <c r="F3477" i="5"/>
  <c r="F3476" i="5"/>
  <c r="F3475" i="5"/>
  <c r="F3474" i="5"/>
  <c r="F3473" i="5"/>
  <c r="F3472" i="5"/>
  <c r="F3471" i="5"/>
  <c r="F3461" i="5"/>
  <c r="F3460" i="5"/>
  <c r="F3459" i="5"/>
  <c r="F3458" i="5"/>
  <c r="F3457" i="5"/>
  <c r="F3450" i="5"/>
  <c r="F3449" i="5"/>
  <c r="F3448" i="5"/>
  <c r="F3447" i="5"/>
  <c r="F3446" i="5"/>
  <c r="F3445" i="5"/>
  <c r="F3444" i="5"/>
  <c r="F3443" i="5"/>
  <c r="F3442" i="5"/>
  <c r="F3441" i="5"/>
  <c r="F3436" i="5"/>
  <c r="F3435" i="5"/>
  <c r="F3434" i="5"/>
  <c r="F3433" i="5"/>
  <c r="F3432" i="5"/>
  <c r="F3431" i="5"/>
  <c r="F3430" i="5"/>
  <c r="F3429" i="5"/>
  <c r="F3428" i="5"/>
  <c r="F3427" i="5"/>
  <c r="F3426" i="5"/>
  <c r="F3425" i="5"/>
  <c r="F3424" i="5"/>
  <c r="F3423" i="5"/>
  <c r="F3413" i="5"/>
  <c r="F3412" i="5"/>
  <c r="F3411" i="5"/>
  <c r="F3410" i="5"/>
  <c r="F3409" i="5"/>
  <c r="F3402" i="5"/>
  <c r="F3401" i="5"/>
  <c r="F3400" i="5"/>
  <c r="F3399" i="5"/>
  <c r="F3398" i="5"/>
  <c r="F3397" i="5"/>
  <c r="F3396" i="5"/>
  <c r="F3395" i="5"/>
  <c r="F3388" i="5"/>
  <c r="F3387" i="5"/>
  <c r="F3386" i="5"/>
  <c r="F3385" i="5"/>
  <c r="F3384" i="5"/>
  <c r="F3383" i="5"/>
  <c r="F3382" i="5"/>
  <c r="F3381" i="5"/>
  <c r="F3380" i="5"/>
  <c r="F3379" i="5"/>
  <c r="F3378" i="5"/>
  <c r="F3365" i="5"/>
  <c r="F3364" i="5"/>
  <c r="F3363" i="5"/>
  <c r="F3362" i="5"/>
  <c r="F3361" i="5"/>
  <c r="F3354" i="5"/>
  <c r="F3353" i="5"/>
  <c r="F3352" i="5"/>
  <c r="F3351" i="5"/>
  <c r="F3350" i="5"/>
  <c r="F3349" i="5"/>
  <c r="F3348" i="5"/>
  <c r="F3347" i="5"/>
  <c r="F3346" i="5"/>
  <c r="F3345" i="5"/>
  <c r="F3340" i="5"/>
  <c r="F3339" i="5"/>
  <c r="F3338" i="5"/>
  <c r="F3337" i="5"/>
  <c r="F3336" i="5"/>
  <c r="F3335" i="5"/>
  <c r="F3334" i="5"/>
  <c r="F3333" i="5"/>
  <c r="F3332" i="5"/>
  <c r="F3331" i="5"/>
  <c r="F3330" i="5"/>
  <c r="F3329" i="5"/>
  <c r="F3328" i="5"/>
  <c r="F3317" i="5"/>
  <c r="F3316" i="5"/>
  <c r="F3315" i="5"/>
  <c r="F3314" i="5"/>
  <c r="F3313" i="5"/>
  <c r="F3306" i="5"/>
  <c r="F3305" i="5"/>
  <c r="F3304" i="5"/>
  <c r="F3303" i="5"/>
  <c r="F3302" i="5"/>
  <c r="F3301" i="5"/>
  <c r="F3300" i="5"/>
  <c r="F3299" i="5"/>
  <c r="F3298" i="5"/>
  <c r="F3297" i="5"/>
  <c r="F3292" i="5"/>
  <c r="F3291" i="5"/>
  <c r="F3290" i="5"/>
  <c r="F3289" i="5"/>
  <c r="F3288" i="5"/>
  <c r="F3287" i="5"/>
  <c r="F3286" i="5"/>
  <c r="F3285" i="5"/>
  <c r="F3284" i="5"/>
  <c r="F3283" i="5"/>
  <c r="F3282" i="5"/>
  <c r="F3281" i="5"/>
  <c r="F3280" i="5"/>
  <c r="F3269" i="5"/>
  <c r="F3268" i="5"/>
  <c r="F3267" i="5"/>
  <c r="F3266" i="5"/>
  <c r="F3265" i="5"/>
  <c r="F3258" i="5"/>
  <c r="F3257" i="5"/>
  <c r="F3256" i="5"/>
  <c r="F3255" i="5"/>
  <c r="F3254" i="5"/>
  <c r="F3253" i="5"/>
  <c r="F3252" i="5"/>
  <c r="F3251" i="5"/>
  <c r="F3244" i="5"/>
  <c r="F3243" i="5"/>
  <c r="F3242" i="5"/>
  <c r="F3241" i="5"/>
  <c r="F3240" i="5"/>
  <c r="F3239" i="5"/>
  <c r="F3238" i="5"/>
  <c r="F3237" i="5"/>
  <c r="F3236" i="5"/>
  <c r="F3235" i="5"/>
  <c r="F3234" i="5"/>
  <c r="F3233" i="5"/>
  <c r="F3232" i="5"/>
  <c r="F3231" i="5"/>
  <c r="F3221" i="5"/>
  <c r="F3220" i="5"/>
  <c r="F3219" i="5"/>
  <c r="F3210" i="5"/>
  <c r="F3209" i="5"/>
  <c r="F3208" i="5"/>
  <c r="F3207" i="5"/>
  <c r="F3206" i="5"/>
  <c r="F3205" i="5"/>
  <c r="F3204" i="5"/>
  <c r="F3203" i="5"/>
  <c r="F3196" i="5"/>
  <c r="F3195" i="5"/>
  <c r="F3194" i="5"/>
  <c r="F3193" i="5"/>
  <c r="F3192" i="5"/>
  <c r="F3191" i="5"/>
  <c r="F3190" i="5"/>
  <c r="F3189" i="5"/>
  <c r="F3173" i="5"/>
  <c r="F3172" i="5"/>
  <c r="F3171" i="5"/>
  <c r="F3170" i="5"/>
  <c r="F3169" i="5"/>
  <c r="F3162" i="5"/>
  <c r="F3161" i="5"/>
  <c r="F3160" i="5"/>
  <c r="F3159" i="5"/>
  <c r="F3158" i="5"/>
  <c r="F3157" i="5"/>
  <c r="F3156" i="5"/>
  <c r="F3155" i="5"/>
  <c r="F3154" i="5"/>
  <c r="F3153" i="5"/>
  <c r="F3148" i="5"/>
  <c r="F3147" i="5"/>
  <c r="F3146" i="5"/>
  <c r="F3145" i="5"/>
  <c r="F3144" i="5"/>
  <c r="F3143" i="5"/>
  <c r="F3142" i="5"/>
  <c r="F3141" i="5"/>
  <c r="F3140" i="5"/>
  <c r="F3139" i="5"/>
  <c r="F3138" i="5"/>
  <c r="F3137" i="5"/>
  <c r="F3125" i="5"/>
  <c r="F3124" i="5"/>
  <c r="F3123" i="5"/>
  <c r="F3122" i="5"/>
  <c r="F3121" i="5"/>
  <c r="F3114" i="5"/>
  <c r="F3113" i="5"/>
  <c r="F3112" i="5"/>
  <c r="F3111" i="5"/>
  <c r="F3110" i="5"/>
  <c r="F3109" i="5"/>
  <c r="F3108" i="5"/>
  <c r="F3107" i="5"/>
  <c r="F3106" i="5"/>
  <c r="F3105" i="5"/>
  <c r="F3100" i="5"/>
  <c r="F3099" i="5"/>
  <c r="F3098" i="5"/>
  <c r="F3097" i="5"/>
  <c r="F3096" i="5"/>
  <c r="F3095" i="5"/>
  <c r="F3094" i="5"/>
  <c r="F3093" i="5"/>
  <c r="F3092" i="5"/>
  <c r="F3091" i="5"/>
  <c r="F3090" i="5"/>
  <c r="F3089" i="5"/>
  <c r="F3088" i="5"/>
  <c r="F3077" i="5"/>
  <c r="F3076" i="5"/>
  <c r="F3075" i="5"/>
  <c r="F3074" i="5"/>
  <c r="F3073" i="5"/>
  <c r="F3066" i="5"/>
  <c r="F3065" i="5"/>
  <c r="F3064" i="5"/>
  <c r="F3063" i="5"/>
  <c r="F3062" i="5"/>
  <c r="F3061" i="5"/>
  <c r="F3060" i="5"/>
  <c r="F3059" i="5"/>
  <c r="F3052" i="5"/>
  <c r="F3051" i="5"/>
  <c r="F3050" i="5"/>
  <c r="F3049" i="5"/>
  <c r="F3048" i="5"/>
  <c r="F3047" i="5"/>
  <c r="F3046" i="5"/>
  <c r="F3045" i="5"/>
  <c r="F3044" i="5"/>
  <c r="F3043" i="5"/>
  <c r="F3042" i="5"/>
  <c r="F3041" i="5"/>
  <c r="F3040" i="5"/>
  <c r="F3029" i="5"/>
  <c r="F3028" i="5"/>
  <c r="F3027" i="5"/>
  <c r="F3026" i="5"/>
  <c r="F3025" i="5"/>
  <c r="F3018" i="5"/>
  <c r="F3017" i="5"/>
  <c r="F3016" i="5"/>
  <c r="F3015" i="5"/>
  <c r="F3014" i="5"/>
  <c r="F3013" i="5"/>
  <c r="F3012" i="5"/>
  <c r="F3011" i="5"/>
  <c r="F3010" i="5"/>
  <c r="F3009" i="5"/>
  <c r="F3004" i="5"/>
  <c r="F3003" i="5"/>
  <c r="F3002" i="5"/>
  <c r="F3001" i="5"/>
  <c r="F3000" i="5"/>
  <c r="F2999" i="5"/>
  <c r="F2998" i="5"/>
  <c r="F2997" i="5"/>
  <c r="F2996" i="5"/>
  <c r="F2995" i="5"/>
  <c r="F2994" i="5"/>
  <c r="F2993" i="5"/>
  <c r="F2992" i="5"/>
  <c r="F2981" i="5"/>
  <c r="F2980" i="5"/>
  <c r="F2979" i="5"/>
  <c r="F2978" i="5"/>
  <c r="F2977" i="5"/>
  <c r="F2970" i="5"/>
  <c r="F2969" i="5"/>
  <c r="F2968" i="5"/>
  <c r="F2967" i="5"/>
  <c r="F2966" i="5"/>
  <c r="F2965" i="5"/>
  <c r="F2964" i="5"/>
  <c r="F2963" i="5"/>
  <c r="F2962" i="5"/>
  <c r="F2961" i="5"/>
  <c r="F2956" i="5"/>
  <c r="F2955" i="5"/>
  <c r="F2954" i="5"/>
  <c r="F2953" i="5"/>
  <c r="F2952" i="5"/>
  <c r="F2951" i="5"/>
  <c r="F2950" i="5"/>
  <c r="F2949" i="5"/>
  <c r="F2948" i="5"/>
  <c r="F2947" i="5"/>
  <c r="F2946" i="5"/>
  <c r="F2945" i="5"/>
  <c r="F2944" i="5"/>
  <c r="F2933" i="5"/>
  <c r="F2932" i="5"/>
  <c r="F2931" i="5"/>
  <c r="F2930" i="5"/>
  <c r="F2929" i="5"/>
  <c r="F2922" i="5"/>
  <c r="F2921" i="5"/>
  <c r="F2920" i="5"/>
  <c r="F2919" i="5"/>
  <c r="F2918" i="5"/>
  <c r="F2917" i="5"/>
  <c r="F2916" i="5"/>
  <c r="F2915" i="5"/>
  <c r="F2908" i="5"/>
  <c r="F2907" i="5"/>
  <c r="F2906" i="5"/>
  <c r="F2905" i="5"/>
  <c r="F2904" i="5"/>
  <c r="F2903" i="5"/>
  <c r="F2902" i="5"/>
  <c r="F2901" i="5"/>
  <c r="F2900" i="5"/>
  <c r="F2899" i="5"/>
  <c r="F2898" i="5"/>
  <c r="F2897" i="5"/>
  <c r="F2896" i="5"/>
  <c r="F2885" i="5"/>
  <c r="F2884" i="5"/>
  <c r="F2883" i="5"/>
  <c r="F2882" i="5"/>
  <c r="F2881" i="5"/>
  <c r="F2874" i="5"/>
  <c r="F2873" i="5"/>
  <c r="F2872" i="5"/>
  <c r="F2871" i="5"/>
  <c r="F2870" i="5"/>
  <c r="F2869" i="5"/>
  <c r="F2868" i="5"/>
  <c r="F2867" i="5"/>
  <c r="F2860" i="5"/>
  <c r="F2859" i="5"/>
  <c r="F2858" i="5"/>
  <c r="F2857" i="5"/>
  <c r="F2856" i="5"/>
  <c r="F2855" i="5"/>
  <c r="F2854" i="5"/>
  <c r="F2853" i="5"/>
  <c r="F2852" i="5"/>
  <c r="F2851" i="5"/>
  <c r="F2850" i="5"/>
  <c r="F2849" i="5"/>
  <c r="F2848" i="5"/>
  <c r="F2847" i="5"/>
  <c r="F2741" i="5"/>
  <c r="F2740" i="5"/>
  <c r="F2739" i="5"/>
  <c r="F2738" i="5"/>
  <c r="F2737" i="5"/>
  <c r="F2730" i="5"/>
  <c r="F2729" i="5"/>
  <c r="F2728" i="5"/>
  <c r="F2727" i="5"/>
  <c r="F2726" i="5"/>
  <c r="F2725" i="5"/>
  <c r="F2724" i="5"/>
  <c r="F2723" i="5"/>
  <c r="F2722" i="5"/>
  <c r="F2721" i="5"/>
  <c r="F2716" i="5"/>
  <c r="F2715" i="5"/>
  <c r="F2714" i="5"/>
  <c r="F2713" i="5"/>
  <c r="F2712" i="5"/>
  <c r="F2711" i="5"/>
  <c r="F2710" i="5"/>
  <c r="F2709" i="5"/>
  <c r="F2708" i="5"/>
  <c r="F2707" i="5"/>
  <c r="F2706" i="5"/>
  <c r="F2705" i="5"/>
  <c r="F2704" i="5"/>
  <c r="F2693" i="5"/>
  <c r="F2692" i="5"/>
  <c r="F2691" i="5"/>
  <c r="F2690" i="5"/>
  <c r="F2689" i="5"/>
  <c r="F2682" i="5"/>
  <c r="F2681" i="5"/>
  <c r="F2680" i="5"/>
  <c r="F2679" i="5"/>
  <c r="F2678" i="5"/>
  <c r="F2677" i="5"/>
  <c r="F2676" i="5"/>
  <c r="F2675" i="5"/>
  <c r="F2674" i="5"/>
  <c r="F2673" i="5"/>
  <c r="F2668" i="5"/>
  <c r="F2667" i="5"/>
  <c r="F2666" i="5"/>
  <c r="F2665" i="5"/>
  <c r="F2664" i="5"/>
  <c r="F2663" i="5"/>
  <c r="F2662" i="5"/>
  <c r="F2661" i="5"/>
  <c r="F2660" i="5"/>
  <c r="F2659" i="5"/>
  <c r="F2658" i="5"/>
  <c r="F2657" i="5"/>
  <c r="F2645" i="5"/>
  <c r="F2644" i="5"/>
  <c r="F2643" i="5"/>
  <c r="F2642" i="5"/>
  <c r="F2641" i="5"/>
  <c r="F2634" i="5"/>
  <c r="F2633" i="5"/>
  <c r="F2632" i="5"/>
  <c r="F2631" i="5"/>
  <c r="F2630" i="5"/>
  <c r="F2629" i="5"/>
  <c r="F2628" i="5"/>
  <c r="F2627" i="5"/>
  <c r="F2620" i="5"/>
  <c r="F2619" i="5"/>
  <c r="F2618" i="5"/>
  <c r="F2617" i="5"/>
  <c r="F2616" i="5"/>
  <c r="F2615" i="5"/>
  <c r="F2614" i="5"/>
  <c r="F2613" i="5"/>
  <c r="F2612" i="5"/>
  <c r="F2611" i="5"/>
  <c r="F2610" i="5"/>
  <c r="F2609" i="5"/>
  <c r="F2608" i="5"/>
  <c r="F2597" i="5"/>
  <c r="F2596" i="5"/>
  <c r="F2595" i="5"/>
  <c r="F2594" i="5"/>
  <c r="F2593" i="5"/>
  <c r="F2586" i="5"/>
  <c r="F2585" i="5"/>
  <c r="F2584" i="5"/>
  <c r="F2583" i="5"/>
  <c r="F2582" i="5"/>
  <c r="F2581" i="5"/>
  <c r="F2580" i="5"/>
  <c r="F2579" i="5"/>
  <c r="F2572" i="5"/>
  <c r="F2571" i="5"/>
  <c r="F2570" i="5"/>
  <c r="F2569" i="5"/>
  <c r="F2568" i="5"/>
  <c r="F2567" i="5"/>
  <c r="F2566" i="5"/>
  <c r="F2565" i="5"/>
  <c r="F2564" i="5"/>
  <c r="F2563" i="5"/>
  <c r="F2562" i="5"/>
  <c r="F2561" i="5"/>
  <c r="F2560" i="5"/>
  <c r="F2501" i="5"/>
  <c r="F2500" i="5"/>
  <c r="F2499" i="5"/>
  <c r="F2498" i="5"/>
  <c r="F2490" i="5"/>
  <c r="F2489" i="5"/>
  <c r="F2488" i="5"/>
  <c r="F2487" i="5"/>
  <c r="F2486" i="5"/>
  <c r="F2485" i="5"/>
  <c r="F2484" i="5"/>
  <c r="F2483" i="5"/>
  <c r="F2476" i="5"/>
  <c r="F2475" i="5"/>
  <c r="F2474" i="5"/>
  <c r="F2473" i="5"/>
  <c r="F2472" i="5"/>
  <c r="F2471" i="5"/>
  <c r="F2470" i="5"/>
  <c r="F2469" i="5"/>
  <c r="F2468" i="5"/>
  <c r="F2467" i="5"/>
  <c r="F2453" i="5"/>
  <c r="F2452" i="5"/>
  <c r="F2451" i="5"/>
  <c r="F2450" i="5"/>
  <c r="F2449" i="5"/>
  <c r="F2442" i="5"/>
  <c r="F2441" i="5"/>
  <c r="F2440" i="5"/>
  <c r="F2439" i="5"/>
  <c r="F2438" i="5"/>
  <c r="F2437" i="5"/>
  <c r="F2436" i="5"/>
  <c r="F2435" i="5"/>
  <c r="F2434" i="5"/>
  <c r="F2428" i="5"/>
  <c r="F2427" i="5"/>
  <c r="F2426" i="5"/>
  <c r="F2425" i="5"/>
  <c r="F2424" i="5"/>
  <c r="F2423" i="5"/>
  <c r="F2422" i="5"/>
  <c r="F2421" i="5"/>
  <c r="F2420" i="5"/>
  <c r="F2419" i="5"/>
  <c r="F2418" i="5"/>
  <c r="F2417" i="5"/>
  <c r="F2416" i="5"/>
  <c r="F2415" i="5"/>
  <c r="F2414" i="5"/>
  <c r="F2357" i="5"/>
  <c r="F2356" i="5"/>
  <c r="F2355" i="5"/>
  <c r="F2354" i="5"/>
  <c r="F2353" i="5"/>
  <c r="F2346" i="5"/>
  <c r="F2345" i="5"/>
  <c r="F2344" i="5"/>
  <c r="F2343" i="5"/>
  <c r="F2342" i="5"/>
  <c r="F2341" i="5"/>
  <c r="F2340" i="5"/>
  <c r="F2339" i="5"/>
  <c r="F2338" i="5"/>
  <c r="F2337" i="5"/>
  <c r="F2332" i="5"/>
  <c r="F2331" i="5"/>
  <c r="F2330" i="5"/>
  <c r="F2329" i="5"/>
  <c r="F2328" i="5"/>
  <c r="F2327" i="5"/>
  <c r="F2326" i="5"/>
  <c r="F2325" i="5"/>
  <c r="F2324" i="5"/>
  <c r="F2323" i="5"/>
  <c r="F2322" i="5"/>
  <c r="F2321" i="5"/>
  <c r="F2320" i="5"/>
  <c r="F2319" i="5"/>
  <c r="F2318" i="5"/>
  <c r="F2213" i="5"/>
  <c r="F2212" i="5"/>
  <c r="F2211" i="5"/>
  <c r="F2210" i="5"/>
  <c r="F2209" i="5"/>
  <c r="F2208" i="5"/>
  <c r="F2202" i="5"/>
  <c r="F2201" i="5"/>
  <c r="F2200" i="5"/>
  <c r="F2199" i="5"/>
  <c r="F2198" i="5"/>
  <c r="F2197" i="5"/>
  <c r="F2196" i="5"/>
  <c r="F2195" i="5"/>
  <c r="F2194" i="5"/>
  <c r="F2193" i="5"/>
  <c r="F2188" i="5"/>
  <c r="F2187" i="5"/>
  <c r="F2186" i="5"/>
  <c r="F2185" i="5"/>
  <c r="F2184" i="5"/>
  <c r="F2183" i="5"/>
  <c r="F2182" i="5"/>
  <c r="F2181" i="5"/>
  <c r="F2180" i="5"/>
  <c r="F2179" i="5"/>
  <c r="F2178" i="5"/>
  <c r="F2177" i="5"/>
  <c r="F2176" i="5"/>
  <c r="F2175" i="5"/>
  <c r="F2174" i="5"/>
  <c r="F2173" i="5"/>
  <c r="F2165" i="5"/>
  <c r="F2164" i="5"/>
  <c r="F2163" i="5"/>
  <c r="F2162" i="5"/>
  <c r="F2161" i="5"/>
  <c r="F2160" i="5"/>
  <c r="F2154" i="5"/>
  <c r="F2153" i="5"/>
  <c r="F2152" i="5"/>
  <c r="F2151" i="5"/>
  <c r="F2150" i="5"/>
  <c r="F2149" i="5"/>
  <c r="F2148" i="5"/>
  <c r="F2147" i="5"/>
  <c r="F2146" i="5"/>
  <c r="F2140" i="5"/>
  <c r="F2139" i="5"/>
  <c r="F2138" i="5"/>
  <c r="F2137" i="5"/>
  <c r="F2136" i="5"/>
  <c r="F2135" i="5"/>
  <c r="F2134" i="5"/>
  <c r="F2133" i="5"/>
  <c r="F2132" i="5"/>
  <c r="F2131" i="5"/>
  <c r="F2130" i="5"/>
  <c r="F2129" i="5"/>
  <c r="F2128" i="5"/>
  <c r="F2127" i="5"/>
  <c r="F2126" i="5"/>
  <c r="F2125" i="5"/>
  <c r="F2117" i="5"/>
  <c r="F2116" i="5"/>
  <c r="F2115" i="5"/>
  <c r="F2114" i="5"/>
  <c r="F2113" i="5"/>
  <c r="F2112" i="5"/>
  <c r="F2106" i="5"/>
  <c r="F2105" i="5"/>
  <c r="F2104" i="5"/>
  <c r="F2103" i="5"/>
  <c r="F2102" i="5"/>
  <c r="F2101" i="5"/>
  <c r="F2100" i="5"/>
  <c r="F2099" i="5"/>
  <c r="F2098" i="5"/>
  <c r="F2097" i="5"/>
  <c r="F2092" i="5"/>
  <c r="F2091" i="5"/>
  <c r="F2090" i="5"/>
  <c r="F2089" i="5"/>
  <c r="F2088" i="5"/>
  <c r="F2087" i="5"/>
  <c r="F2086" i="5"/>
  <c r="F2085" i="5"/>
  <c r="F2084" i="5"/>
  <c r="F2083" i="5"/>
  <c r="F2082" i="5"/>
  <c r="F2081" i="5"/>
  <c r="F2080" i="5"/>
  <c r="F2079" i="5"/>
  <c r="F2078" i="5"/>
  <c r="F2077" i="5"/>
  <c r="F1973" i="5"/>
  <c r="F1972" i="5"/>
  <c r="F1971" i="5"/>
  <c r="F1970" i="5"/>
  <c r="F1969" i="5"/>
  <c r="F1962" i="5"/>
  <c r="F1961" i="5"/>
  <c r="F1960" i="5"/>
  <c r="F1959" i="5"/>
  <c r="F1958" i="5"/>
  <c r="F1957" i="5"/>
  <c r="F1956" i="5"/>
  <c r="F1955" i="5"/>
  <c r="F1954" i="5"/>
  <c r="F1953" i="5"/>
  <c r="F1948" i="5"/>
  <c r="F1947" i="5"/>
  <c r="F1946" i="5"/>
  <c r="F1945" i="5"/>
  <c r="F1944" i="5"/>
  <c r="F1943" i="5"/>
  <c r="F1942" i="5"/>
  <c r="F1941" i="5"/>
  <c r="F1940" i="5"/>
  <c r="F1939" i="5"/>
  <c r="F1938" i="5"/>
  <c r="F1937" i="5"/>
  <c r="F1936" i="5"/>
  <c r="F1829" i="5"/>
  <c r="F1828" i="5"/>
  <c r="F1827" i="5"/>
  <c r="F1826" i="5"/>
  <c r="F1825" i="5"/>
  <c r="F1818" i="5"/>
  <c r="F1817" i="5"/>
  <c r="F1816" i="5"/>
  <c r="F1815" i="5"/>
  <c r="F1814" i="5"/>
  <c r="F1813" i="5"/>
  <c r="F1812" i="5"/>
  <c r="F1811" i="5"/>
  <c r="F1810" i="5"/>
  <c r="F1809" i="5"/>
  <c r="F1804" i="5"/>
  <c r="F1803" i="5"/>
  <c r="F1802" i="5"/>
  <c r="F1801" i="5"/>
  <c r="F1800" i="5"/>
  <c r="F1799" i="5"/>
  <c r="F1798" i="5"/>
  <c r="F1797" i="5"/>
  <c r="F1796" i="5"/>
  <c r="F1795" i="5"/>
  <c r="F1794" i="5"/>
  <c r="F1793" i="5"/>
  <c r="F1781" i="5"/>
  <c r="F1780" i="5"/>
  <c r="F1779" i="5"/>
  <c r="F1778" i="5"/>
  <c r="F1777" i="5"/>
  <c r="F1770" i="5"/>
  <c r="F1769" i="5"/>
  <c r="F1768" i="5"/>
  <c r="F1767" i="5"/>
  <c r="F1766" i="5"/>
  <c r="F1765" i="5"/>
  <c r="F1764" i="5"/>
  <c r="F1763" i="5"/>
  <c r="F1762" i="5"/>
  <c r="F1761" i="5"/>
  <c r="F1756" i="5"/>
  <c r="F1755" i="5"/>
  <c r="F1754" i="5"/>
  <c r="F1753" i="5"/>
  <c r="F1752" i="5"/>
  <c r="F1751" i="5"/>
  <c r="F1750" i="5"/>
  <c r="F1749" i="5"/>
  <c r="F1748" i="5"/>
  <c r="F1747" i="5"/>
  <c r="F1746" i="5"/>
  <c r="F1745" i="5"/>
  <c r="F1733" i="5"/>
  <c r="F1732" i="5"/>
  <c r="F1731" i="5"/>
  <c r="F1730" i="5"/>
  <c r="F1729" i="5"/>
  <c r="F1722" i="5"/>
  <c r="F1721" i="5"/>
  <c r="F1720" i="5"/>
  <c r="F1719" i="5"/>
  <c r="F1718" i="5"/>
  <c r="F1717" i="5"/>
  <c r="F1716" i="5"/>
  <c r="F1715" i="5"/>
  <c r="F1714" i="5"/>
  <c r="F1713" i="5"/>
  <c r="F1708" i="5"/>
  <c r="F1707" i="5"/>
  <c r="F1706" i="5"/>
  <c r="F1705" i="5"/>
  <c r="F1704" i="5"/>
  <c r="F1703" i="5"/>
  <c r="F1702" i="5"/>
  <c r="F1701" i="5"/>
  <c r="F1700" i="5"/>
  <c r="F1699" i="5"/>
  <c r="F1698" i="5"/>
  <c r="F1697" i="5"/>
  <c r="F1685" i="5"/>
  <c r="F1684" i="5"/>
  <c r="F1683" i="5"/>
  <c r="F1682" i="5"/>
  <c r="F1681" i="5"/>
  <c r="F1674" i="5"/>
  <c r="F1673" i="5"/>
  <c r="F1672" i="5"/>
  <c r="F1671" i="5"/>
  <c r="F1670" i="5"/>
  <c r="F1669" i="5"/>
  <c r="F1668" i="5"/>
  <c r="F1667" i="5"/>
  <c r="F1666" i="5"/>
  <c r="F1660" i="5"/>
  <c r="F1659" i="5"/>
  <c r="F1658" i="5"/>
  <c r="F1657" i="5"/>
  <c r="F1656" i="5"/>
  <c r="F1655" i="5"/>
  <c r="F1654" i="5"/>
  <c r="F1653" i="5"/>
  <c r="F1652" i="5"/>
  <c r="F1651" i="5"/>
  <c r="F1650" i="5"/>
  <c r="F1649" i="5"/>
  <c r="F1589" i="5"/>
  <c r="F1588" i="5"/>
  <c r="F1587" i="5"/>
  <c r="F1586" i="5"/>
  <c r="F1585" i="5"/>
  <c r="F1578" i="5"/>
  <c r="F1577" i="5"/>
  <c r="F1576" i="5"/>
  <c r="F1575" i="5"/>
  <c r="F1574" i="5"/>
  <c r="F1573" i="5"/>
  <c r="F1572" i="5"/>
  <c r="F1571" i="5"/>
  <c r="F1570" i="5"/>
  <c r="F1569" i="5"/>
  <c r="F1564" i="5"/>
  <c r="F1563" i="5"/>
  <c r="F1562" i="5"/>
  <c r="F1561" i="5"/>
  <c r="F1560" i="5"/>
  <c r="F1559" i="5"/>
  <c r="F1558" i="5"/>
  <c r="F1557" i="5"/>
  <c r="F1556" i="5"/>
  <c r="F1555" i="5"/>
  <c r="F1554" i="5"/>
  <c r="F1493" i="5"/>
  <c r="F1492" i="5"/>
  <c r="F1491" i="5"/>
  <c r="F1490" i="5"/>
  <c r="F1489" i="5"/>
  <c r="F1482" i="5"/>
  <c r="F1481" i="5"/>
  <c r="F1480" i="5"/>
  <c r="F1479" i="5"/>
  <c r="F1478" i="5"/>
  <c r="F1477" i="5"/>
  <c r="F1476" i="5"/>
  <c r="F1475" i="5"/>
  <c r="F1474" i="5"/>
  <c r="F1468" i="5"/>
  <c r="F1467" i="5"/>
  <c r="F1466" i="5"/>
  <c r="F1465" i="5"/>
  <c r="F1464" i="5"/>
  <c r="F1463" i="5"/>
  <c r="F1462" i="5"/>
  <c r="F1461" i="5"/>
  <c r="F1460" i="5"/>
  <c r="F1459" i="5"/>
  <c r="F1445" i="5"/>
  <c r="F1444" i="5"/>
  <c r="F1443" i="5"/>
  <c r="F1442" i="5"/>
  <c r="F1434" i="5"/>
  <c r="F1433" i="5"/>
  <c r="F1432" i="5"/>
  <c r="F1431" i="5"/>
  <c r="F1430" i="5"/>
  <c r="F1429" i="5"/>
  <c r="F1428" i="5"/>
  <c r="F1427" i="5"/>
  <c r="F1426" i="5"/>
  <c r="F1420" i="5"/>
  <c r="F1419" i="5"/>
  <c r="F1418" i="5"/>
  <c r="F1417" i="5"/>
  <c r="F1416" i="5"/>
  <c r="F1415" i="5"/>
  <c r="F1414" i="5"/>
  <c r="F1413" i="5"/>
  <c r="F1412" i="5"/>
  <c r="F1411" i="5"/>
  <c r="F1410" i="5"/>
  <c r="F1397" i="5"/>
  <c r="F1396" i="5"/>
  <c r="F1395" i="5"/>
  <c r="F1394" i="5"/>
  <c r="F1393" i="5"/>
  <c r="F1386" i="5"/>
  <c r="F1385" i="5"/>
  <c r="F1384" i="5"/>
  <c r="F1383" i="5"/>
  <c r="F1382" i="5"/>
  <c r="F1381" i="5"/>
  <c r="F1380" i="5"/>
  <c r="F1379" i="5"/>
  <c r="F1378" i="5"/>
  <c r="F1377" i="5"/>
  <c r="F1372" i="5"/>
  <c r="F1371" i="5"/>
  <c r="F1370" i="5"/>
  <c r="F1369" i="5"/>
  <c r="F1368" i="5"/>
  <c r="F1367" i="5"/>
  <c r="F1366" i="5"/>
  <c r="F1365" i="5"/>
  <c r="F1364" i="5"/>
  <c r="F1363" i="5"/>
  <c r="F1362" i="5"/>
  <c r="F1361" i="5"/>
  <c r="F1360" i="5"/>
  <c r="F1349" i="5"/>
  <c r="F1348" i="5"/>
  <c r="F1347" i="5"/>
  <c r="F1346" i="5"/>
  <c r="F1345" i="5"/>
  <c r="F1338" i="5"/>
  <c r="F1337" i="5"/>
  <c r="F1336" i="5"/>
  <c r="F1335" i="5"/>
  <c r="F1334" i="5"/>
  <c r="F1333" i="5"/>
  <c r="F1332" i="5"/>
  <c r="F1331" i="5"/>
  <c r="F1330" i="5"/>
  <c r="F1329" i="5"/>
  <c r="F1324" i="5"/>
  <c r="F1323" i="5"/>
  <c r="F1322" i="5"/>
  <c r="F1321" i="5"/>
  <c r="F1320" i="5"/>
  <c r="F1319" i="5"/>
  <c r="F1318" i="5"/>
  <c r="F1317" i="5"/>
  <c r="F1316" i="5"/>
  <c r="F1315" i="5"/>
  <c r="F1314" i="5"/>
  <c r="F1313" i="5"/>
  <c r="F1301" i="5"/>
  <c r="F1300" i="5"/>
  <c r="F1299" i="5"/>
  <c r="F1290" i="5"/>
  <c r="F1289" i="5"/>
  <c r="F1288" i="5"/>
  <c r="F1287" i="5"/>
  <c r="F1286" i="5"/>
  <c r="F1285" i="5"/>
  <c r="F1284" i="5"/>
  <c r="F1283" i="5"/>
  <c r="F1282" i="5"/>
  <c r="F1276" i="5"/>
  <c r="F1275" i="5"/>
  <c r="F1274" i="5"/>
  <c r="F1157" i="5"/>
  <c r="F1156" i="5"/>
  <c r="F1155" i="5"/>
  <c r="F1154" i="5"/>
  <c r="F1153" i="5"/>
  <c r="F1146" i="5"/>
  <c r="F1145" i="5"/>
  <c r="F1144" i="5"/>
  <c r="F1143" i="5"/>
  <c r="F1142" i="5"/>
  <c r="F1141" i="5"/>
  <c r="F1140" i="5"/>
  <c r="F1139" i="5"/>
  <c r="F1138" i="5"/>
  <c r="F1137" i="5"/>
  <c r="F1132" i="5"/>
  <c r="F1131" i="5"/>
  <c r="F1130" i="5"/>
  <c r="F1129" i="5"/>
  <c r="F1128" i="5"/>
  <c r="F1127" i="5"/>
  <c r="F1126" i="5"/>
  <c r="F1125" i="5"/>
  <c r="F1124" i="5"/>
  <c r="F1123" i="5"/>
  <c r="F1122" i="5"/>
  <c r="F1121" i="5"/>
  <c r="F1013" i="5"/>
  <c r="F1012" i="5"/>
  <c r="F1011" i="5"/>
  <c r="F1010" i="5"/>
  <c r="F1009" i="5"/>
  <c r="F1002" i="5"/>
  <c r="F1001" i="5"/>
  <c r="F1000" i="5"/>
  <c r="F999" i="5"/>
  <c r="F998" i="5"/>
  <c r="F997" i="5"/>
  <c r="F996" i="5"/>
  <c r="F995" i="5"/>
  <c r="F994" i="5"/>
  <c r="F988" i="5"/>
  <c r="F987" i="5"/>
  <c r="F986" i="5"/>
  <c r="F985" i="5"/>
  <c r="F984" i="5"/>
  <c r="F983" i="5"/>
  <c r="F982" i="5"/>
  <c r="F725" i="5"/>
  <c r="F724" i="5"/>
  <c r="F723" i="5"/>
  <c r="F722" i="5"/>
  <c r="F721" i="5"/>
  <c r="F720" i="5"/>
  <c r="F719" i="5"/>
  <c r="F714" i="5"/>
  <c r="F713" i="5"/>
  <c r="F712" i="5"/>
  <c r="F711" i="5"/>
  <c r="F710" i="5"/>
  <c r="F709" i="5"/>
  <c r="F708" i="5"/>
  <c r="F707" i="5"/>
  <c r="F706" i="5"/>
  <c r="F700" i="5"/>
  <c r="F699" i="5"/>
  <c r="F698" i="5"/>
  <c r="F697" i="5"/>
  <c r="F696" i="5"/>
  <c r="F695" i="5"/>
  <c r="F694" i="5"/>
  <c r="F693" i="5"/>
  <c r="F692" i="5"/>
  <c r="F691" i="5"/>
  <c r="F690" i="5"/>
  <c r="F689" i="5"/>
  <c r="F688" i="5"/>
  <c r="F687" i="5"/>
  <c r="F686" i="5"/>
  <c r="F685" i="5"/>
  <c r="F677" i="5"/>
  <c r="F676" i="5"/>
  <c r="F675" i="5"/>
  <c r="F674" i="5"/>
  <c r="F673" i="5"/>
  <c r="F672" i="5"/>
  <c r="F666" i="5"/>
  <c r="F665" i="5"/>
  <c r="F664" i="5"/>
  <c r="F663" i="5"/>
  <c r="F662" i="5"/>
  <c r="F661" i="5"/>
  <c r="F660" i="5"/>
  <c r="F659" i="5"/>
  <c r="F652" i="5"/>
  <c r="F651" i="5"/>
  <c r="F650" i="5"/>
  <c r="F649" i="5"/>
  <c r="F648" i="5"/>
  <c r="F647" i="5"/>
  <c r="F646" i="5"/>
  <c r="F645" i="5"/>
  <c r="F644" i="5"/>
  <c r="F643" i="5"/>
  <c r="F642" i="5"/>
  <c r="F641" i="5"/>
  <c r="F640" i="5"/>
  <c r="F639" i="5"/>
  <c r="F638" i="5"/>
  <c r="F637" i="5"/>
  <c r="F629" i="5"/>
  <c r="F628" i="5"/>
  <c r="F627" i="5"/>
  <c r="F626" i="5"/>
  <c r="F625" i="5"/>
  <c r="F624" i="5"/>
  <c r="F618" i="5"/>
  <c r="F617" i="5"/>
  <c r="F616" i="5"/>
  <c r="F615" i="5"/>
  <c r="F614" i="5"/>
  <c r="F613" i="5"/>
  <c r="F612" i="5"/>
  <c r="F611" i="5"/>
  <c r="F610" i="5"/>
  <c r="F604" i="5"/>
  <c r="F603" i="5"/>
  <c r="F602" i="5"/>
  <c r="F601" i="5"/>
  <c r="F600" i="5"/>
  <c r="F599" i="5"/>
  <c r="F598" i="5"/>
  <c r="F597" i="5"/>
  <c r="F596" i="5"/>
  <c r="F595" i="5"/>
  <c r="F594" i="5"/>
  <c r="F593" i="5"/>
  <c r="F592" i="5"/>
  <c r="F591" i="5"/>
  <c r="F590" i="5"/>
  <c r="F589" i="5"/>
  <c r="F581" i="5"/>
  <c r="F580" i="5"/>
  <c r="F579" i="5"/>
  <c r="F578" i="5"/>
  <c r="F577" i="5"/>
  <c r="F576" i="5"/>
  <c r="F570" i="5"/>
  <c r="F569" i="5"/>
  <c r="F568" i="5"/>
  <c r="F567" i="5"/>
  <c r="F566" i="5"/>
  <c r="F565" i="5"/>
  <c r="F564" i="5"/>
  <c r="F563" i="5"/>
  <c r="F562" i="5"/>
  <c r="F561" i="5"/>
  <c r="F556" i="5"/>
  <c r="F555" i="5"/>
  <c r="F554" i="5"/>
  <c r="F553" i="5"/>
  <c r="F552" i="5"/>
  <c r="F551" i="5"/>
  <c r="F550" i="5"/>
  <c r="F549" i="5"/>
  <c r="F548" i="5"/>
  <c r="F547" i="5"/>
  <c r="F546" i="5"/>
  <c r="F545" i="5"/>
  <c r="F544" i="5"/>
  <c r="F543" i="5"/>
  <c r="F542" i="5"/>
  <c r="F541" i="5"/>
  <c r="F437" i="5"/>
  <c r="F436" i="5"/>
  <c r="F435" i="5"/>
  <c r="F434" i="5"/>
  <c r="F433" i="5"/>
  <c r="F426" i="5"/>
  <c r="F425" i="5"/>
  <c r="F424" i="5"/>
  <c r="F423" i="5"/>
  <c r="F422" i="5"/>
  <c r="F421" i="5"/>
  <c r="F420" i="5"/>
  <c r="F419" i="5"/>
  <c r="F418" i="5"/>
  <c r="F417" i="5"/>
  <c r="F412" i="5"/>
  <c r="F411" i="5"/>
  <c r="F410" i="5"/>
  <c r="F409" i="5"/>
  <c r="F408" i="5"/>
  <c r="F407" i="5"/>
  <c r="F406" i="5"/>
  <c r="F405" i="5"/>
  <c r="F404" i="5"/>
  <c r="F403" i="5"/>
  <c r="F402" i="5"/>
  <c r="F401" i="5"/>
  <c r="F400" i="5"/>
  <c r="F399" i="5"/>
  <c r="F398" i="5"/>
  <c r="F397" i="5"/>
  <c r="F389" i="5"/>
  <c r="F388" i="5"/>
  <c r="F387" i="5"/>
  <c r="F386" i="5"/>
  <c r="F385" i="5"/>
  <c r="F378" i="5"/>
  <c r="F377" i="5"/>
  <c r="F376" i="5"/>
  <c r="F375" i="5"/>
  <c r="F374" i="5"/>
  <c r="F373" i="5"/>
  <c r="F372" i="5"/>
  <c r="F371" i="5"/>
  <c r="F370" i="5"/>
  <c r="F369" i="5"/>
  <c r="F364" i="5"/>
  <c r="F363" i="5"/>
  <c r="F362" i="5"/>
  <c r="F361" i="5"/>
  <c r="F360" i="5"/>
  <c r="F359" i="5"/>
  <c r="F358" i="5"/>
  <c r="F357" i="5"/>
  <c r="F356" i="5"/>
  <c r="F355" i="5"/>
  <c r="F354" i="5"/>
  <c r="F353" i="5"/>
  <c r="F352" i="5"/>
  <c r="F351" i="5"/>
  <c r="F350" i="5"/>
  <c r="F349" i="5"/>
  <c r="F341" i="5"/>
  <c r="F340" i="5"/>
  <c r="F339" i="5"/>
  <c r="F338" i="5"/>
  <c r="F337" i="5"/>
  <c r="F330" i="5"/>
  <c r="F329" i="5"/>
  <c r="F328" i="5"/>
  <c r="F327" i="5"/>
  <c r="F325" i="5"/>
  <c r="F324" i="5"/>
  <c r="F323" i="5"/>
  <c r="F322" i="5"/>
  <c r="F321" i="5"/>
  <c r="F316" i="5"/>
  <c r="F315" i="5"/>
  <c r="F314" i="5"/>
  <c r="F313" i="5"/>
  <c r="F312" i="5"/>
  <c r="F311" i="5"/>
  <c r="F310" i="5"/>
  <c r="F309" i="5"/>
  <c r="F308" i="5"/>
  <c r="F307" i="5"/>
  <c r="F306" i="5"/>
  <c r="F305" i="5"/>
  <c r="F304" i="5"/>
  <c r="F303" i="5"/>
  <c r="F302" i="5"/>
  <c r="F301" i="5"/>
  <c r="F293" i="5"/>
  <c r="F292" i="5"/>
  <c r="F291" i="5"/>
  <c r="F290" i="5"/>
  <c r="F289" i="5"/>
  <c r="F282" i="5"/>
  <c r="F281" i="5"/>
  <c r="F280" i="5"/>
  <c r="F279" i="5"/>
  <c r="F278" i="5"/>
  <c r="F277" i="5"/>
  <c r="F276" i="5"/>
  <c r="F275" i="5"/>
  <c r="F274" i="5"/>
  <c r="F273" i="5"/>
  <c r="F268" i="5"/>
  <c r="F267" i="5"/>
  <c r="F266" i="5"/>
  <c r="F265" i="5"/>
  <c r="F264" i="5"/>
  <c r="F263" i="5"/>
  <c r="F262" i="5"/>
  <c r="F261" i="5"/>
  <c r="F260" i="5"/>
  <c r="F259" i="5"/>
  <c r="F258" i="5"/>
  <c r="F257" i="5"/>
  <c r="F256" i="5"/>
  <c r="F255" i="5"/>
  <c r="F254" i="5"/>
  <c r="F253" i="5"/>
  <c r="F101" i="5"/>
  <c r="F100" i="5"/>
  <c r="F99" i="5"/>
  <c r="F98" i="5"/>
  <c r="F97" i="5"/>
  <c r="F90" i="5"/>
  <c r="F89" i="5"/>
  <c r="F88" i="5"/>
  <c r="F87" i="5"/>
  <c r="F86" i="5"/>
  <c r="F85" i="5"/>
  <c r="F84" i="5"/>
  <c r="F83" i="5"/>
  <c r="F82" i="5"/>
  <c r="F81" i="5"/>
  <c r="F76" i="5"/>
  <c r="F75" i="5"/>
  <c r="F74" i="5"/>
  <c r="F73" i="5"/>
  <c r="F72" i="5"/>
  <c r="F71" i="5"/>
  <c r="F70" i="5"/>
  <c r="F69" i="5"/>
  <c r="F68" i="5"/>
  <c r="F67" i="5"/>
  <c r="F66" i="5"/>
  <c r="F65" i="5"/>
  <c r="F53" i="5"/>
  <c r="F52" i="5"/>
  <c r="F51" i="5"/>
  <c r="F50" i="5"/>
  <c r="F49" i="5"/>
  <c r="F42" i="5"/>
  <c r="F41" i="5"/>
  <c r="F40" i="5"/>
  <c r="F39" i="5"/>
  <c r="F38" i="5"/>
  <c r="F28" i="5"/>
  <c r="F27" i="5"/>
  <c r="F26" i="5"/>
  <c r="F25" i="5"/>
  <c r="F24" i="5"/>
  <c r="F23" i="5"/>
  <c r="F22" i="5"/>
  <c r="F21" i="5"/>
  <c r="F20" i="5"/>
  <c r="F19" i="5"/>
  <c r="F18" i="5"/>
  <c r="F17" i="5"/>
  <c r="F16" i="5"/>
  <c r="F15" i="5"/>
  <c r="F14" i="5"/>
  <c r="W4379" i="5" l="1"/>
  <c r="X4763" i="5"/>
  <c r="W251" i="5"/>
  <c r="X251" i="5"/>
  <c r="W395" i="5"/>
  <c r="X395" i="5"/>
  <c r="W683" i="5"/>
  <c r="X1115" i="5"/>
  <c r="X1547" i="5"/>
  <c r="X1739" i="5"/>
  <c r="X59" i="5"/>
  <c r="W347" i="5"/>
  <c r="X347" i="5"/>
  <c r="Y683" i="5"/>
  <c r="X2699" i="5"/>
  <c r="Y4379" i="5"/>
  <c r="W5483" i="5"/>
  <c r="W5531" i="5"/>
  <c r="X5531" i="5"/>
  <c r="W635" i="5"/>
  <c r="X1307" i="5"/>
  <c r="X2939" i="5"/>
  <c r="X4571" i="5"/>
  <c r="X4907" i="5"/>
  <c r="X5339" i="5"/>
  <c r="Y5483" i="5"/>
  <c r="W587" i="5"/>
  <c r="X1787" i="5"/>
  <c r="W2171" i="5"/>
  <c r="X2171" i="5"/>
  <c r="X4139" i="5"/>
  <c r="X5243" i="5"/>
  <c r="W2075" i="5"/>
  <c r="X2075" i="5"/>
  <c r="W2123" i="5"/>
  <c r="X3083" i="5"/>
  <c r="X3515" i="5"/>
  <c r="X3899" i="5"/>
  <c r="X5147" i="5"/>
  <c r="X1691" i="5"/>
  <c r="X2651" i="5"/>
  <c r="X3323" i="5"/>
  <c r="X4091" i="5"/>
  <c r="W539" i="5"/>
  <c r="X539" i="5"/>
  <c r="X1355" i="5"/>
  <c r="X2987" i="5"/>
  <c r="X5291" i="5"/>
  <c r="W299" i="5"/>
  <c r="X1931" i="5"/>
  <c r="X3131" i="5"/>
  <c r="X3467" i="5"/>
  <c r="X3611" i="5"/>
  <c r="X4955" i="5"/>
  <c r="X5099" i="5"/>
  <c r="X3275" i="5"/>
  <c r="X4331" i="5"/>
  <c r="X2315" i="5"/>
  <c r="X3419" i="5"/>
  <c r="X5867" i="5"/>
  <c r="X299" i="5"/>
  <c r="B2482" i="5"/>
  <c r="D2482" i="5"/>
  <c r="D1268" i="5"/>
  <c r="B1268" i="5"/>
  <c r="B4093" i="5"/>
  <c r="D4093" i="5"/>
  <c r="M1151" i="5"/>
  <c r="N1151" i="5" s="1"/>
  <c r="J1151" i="5"/>
  <c r="K1151" i="5" s="1"/>
  <c r="M2482" i="5"/>
  <c r="J2482" i="5"/>
  <c r="H2482" i="5"/>
  <c r="M1268" i="5"/>
  <c r="J1268" i="5"/>
  <c r="H1268" i="5"/>
  <c r="I1268" i="5" s="1"/>
  <c r="M3215" i="5"/>
  <c r="N3215" i="5" s="1"/>
  <c r="J3215" i="5"/>
  <c r="K3215" i="5" s="1"/>
  <c r="J4093" i="5"/>
  <c r="H4093" i="5"/>
  <c r="I4093" i="5" s="1"/>
  <c r="M4093" i="5"/>
  <c r="F269" i="5"/>
  <c r="F5526" i="5"/>
  <c r="F726" i="5"/>
  <c r="F4422" i="5"/>
  <c r="F317" i="5"/>
  <c r="F331" i="5"/>
  <c r="F413" i="5"/>
  <c r="F427" i="5"/>
  <c r="F557" i="5"/>
  <c r="F571" i="5"/>
  <c r="F2093" i="5"/>
  <c r="F2107" i="5"/>
  <c r="F605" i="5"/>
  <c r="F1963" i="5"/>
  <c r="F91" i="5"/>
  <c r="F1723" i="5"/>
  <c r="F2189" i="5"/>
  <c r="F2203" i="5"/>
  <c r="F4171" i="5"/>
  <c r="F1387" i="5"/>
  <c r="F283" i="5"/>
  <c r="F365" i="5"/>
  <c r="F379" i="5"/>
  <c r="F3643" i="5"/>
  <c r="F2141" i="5"/>
  <c r="F2683" i="5"/>
  <c r="F2971" i="5"/>
  <c r="F3307" i="5"/>
  <c r="F3355" i="5"/>
  <c r="F3499" i="5"/>
  <c r="F4123" i="5"/>
  <c r="F5131" i="5"/>
  <c r="F5323" i="5"/>
  <c r="F5501" i="5"/>
  <c r="F701" i="5"/>
  <c r="F1339" i="5"/>
  <c r="F1819" i="5"/>
  <c r="F2731" i="5"/>
  <c r="F3019" i="5"/>
  <c r="F3115" i="5"/>
  <c r="F3547" i="5"/>
  <c r="F4397" i="5"/>
  <c r="F4795" i="5"/>
  <c r="F5179" i="5"/>
  <c r="F5371" i="5"/>
  <c r="F5899" i="5"/>
  <c r="F4603" i="5"/>
  <c r="F4987" i="5"/>
  <c r="F5549" i="5"/>
  <c r="F5563" i="5"/>
  <c r="F653" i="5"/>
  <c r="F1147" i="5"/>
  <c r="F1579" i="5"/>
  <c r="F1771" i="5"/>
  <c r="F2347" i="5"/>
  <c r="F3163" i="5"/>
  <c r="F3451" i="5"/>
  <c r="F3931" i="5"/>
  <c r="F4363" i="5"/>
  <c r="F4939" i="5"/>
  <c r="F5275" i="5"/>
  <c r="K2482" i="5" l="1"/>
  <c r="N1268" i="5"/>
  <c r="N2482" i="5"/>
  <c r="N4093" i="5"/>
  <c r="K4093" i="5"/>
  <c r="K1268" i="5"/>
  <c r="F1120" i="5"/>
  <c r="B1120" i="5" l="1"/>
  <c r="D1120" i="5"/>
  <c r="J1120" i="5"/>
  <c r="H1120" i="5"/>
  <c r="I1120" i="5" s="1"/>
  <c r="M1120" i="5"/>
  <c r="N1120" i="5" l="1"/>
  <c r="K1120" i="5"/>
  <c r="C92" i="5"/>
  <c r="F92" i="5" s="1"/>
  <c r="I59" i="5" s="1"/>
  <c r="C428" i="5"/>
  <c r="F428" i="5" s="1"/>
  <c r="I395" i="5" s="1"/>
  <c r="C1340" i="5"/>
  <c r="F1340" i="5" s="1"/>
  <c r="I1307" i="5" s="1"/>
  <c r="C1724" i="5"/>
  <c r="F1724" i="5" s="1"/>
  <c r="I1691" i="5" s="1"/>
  <c r="C2108" i="5"/>
  <c r="F2108" i="5" s="1"/>
  <c r="I2075" i="5" s="1"/>
  <c r="C2492" i="5"/>
  <c r="C2924" i="5"/>
  <c r="C3164" i="5"/>
  <c r="F3164" i="5" s="1"/>
  <c r="I3131" i="5" s="1"/>
  <c r="C3404" i="5"/>
  <c r="C4604" i="5"/>
  <c r="F4604" i="5" s="1"/>
  <c r="I4571" i="5" s="1"/>
  <c r="C4940" i="5"/>
  <c r="F4940" i="5" s="1"/>
  <c r="I4907" i="5" s="1"/>
  <c r="C5564" i="5"/>
  <c r="F5564" i="5" s="1"/>
  <c r="I5531" i="5" s="1"/>
  <c r="C104" i="5"/>
  <c r="C344" i="5"/>
  <c r="C440" i="5"/>
  <c r="C584" i="5"/>
  <c r="C632" i="5"/>
  <c r="C728" i="5"/>
  <c r="C1160" i="5"/>
  <c r="C1304" i="5"/>
  <c r="C1352" i="5"/>
  <c r="C1448" i="5"/>
  <c r="C1592" i="5"/>
  <c r="C1736" i="5"/>
  <c r="C1832" i="5"/>
  <c r="C2120" i="5"/>
  <c r="C2216" i="5"/>
  <c r="C2504" i="5"/>
  <c r="C2648" i="5"/>
  <c r="C2744" i="5"/>
  <c r="C2936" i="5"/>
  <c r="C3032" i="5"/>
  <c r="C3080" i="5"/>
  <c r="C3176" i="5"/>
  <c r="C3272" i="5"/>
  <c r="C3368" i="5"/>
  <c r="C3416" i="5"/>
  <c r="C3512" i="5"/>
  <c r="C3944" i="5"/>
  <c r="C4184" i="5"/>
  <c r="C4616" i="5"/>
  <c r="C4712" i="5"/>
  <c r="C4856" i="5"/>
  <c r="C4952" i="5"/>
  <c r="C5000" i="5"/>
  <c r="C5144" i="5"/>
  <c r="C5336" i="5"/>
  <c r="C5576" i="5"/>
  <c r="C5960" i="5"/>
  <c r="C572" i="5"/>
  <c r="F572" i="5" s="1"/>
  <c r="I539" i="5" s="1"/>
  <c r="C716" i="5"/>
  <c r="C1148" i="5"/>
  <c r="F1148" i="5" s="1"/>
  <c r="I1115" i="5" s="1"/>
  <c r="C1580" i="5"/>
  <c r="F1580" i="5" s="1"/>
  <c r="I1547" i="5" s="1"/>
  <c r="C2204" i="5"/>
  <c r="F2204" i="5" s="1"/>
  <c r="I2171" i="5" s="1"/>
  <c r="C2636" i="5"/>
  <c r="C3020" i="5"/>
  <c r="F3020" i="5" s="1"/>
  <c r="I2987" i="5" s="1"/>
  <c r="C3260" i="5"/>
  <c r="C3932" i="5"/>
  <c r="F3932" i="5" s="1"/>
  <c r="I3899" i="5" s="1"/>
  <c r="C4700" i="5"/>
  <c r="C4844" i="5"/>
  <c r="C5132" i="5"/>
  <c r="F5132" i="5" s="1"/>
  <c r="I5099" i="5" s="1"/>
  <c r="C5324" i="5"/>
  <c r="F5324" i="5" s="1"/>
  <c r="I5291" i="5" s="1"/>
  <c r="C5948" i="5"/>
  <c r="C44" i="5"/>
  <c r="C284" i="5"/>
  <c r="F284" i="5" s="1"/>
  <c r="I251" i="5" s="1"/>
  <c r="C380" i="5"/>
  <c r="F380" i="5" s="1"/>
  <c r="I347" i="5" s="1"/>
  <c r="C668" i="5"/>
  <c r="C1004" i="5"/>
  <c r="C1388" i="5"/>
  <c r="F1388" i="5" s="1"/>
  <c r="I1355" i="5" s="1"/>
  <c r="C1484" i="5"/>
  <c r="C1676" i="5"/>
  <c r="C1772" i="5"/>
  <c r="F1772" i="5" s="1"/>
  <c r="I1739" i="5" s="1"/>
  <c r="C1964" i="5"/>
  <c r="F1964" i="5" s="1"/>
  <c r="I1931" i="5" s="1"/>
  <c r="C2156" i="5"/>
  <c r="C2348" i="5"/>
  <c r="F2348" i="5" s="1"/>
  <c r="I2315" i="5" s="1"/>
  <c r="C2444" i="5"/>
  <c r="C2588" i="5"/>
  <c r="C2684" i="5"/>
  <c r="F2684" i="5" s="1"/>
  <c r="I2651" i="5" s="1"/>
  <c r="C2876" i="5"/>
  <c r="C2972" i="5"/>
  <c r="F2972" i="5" s="1"/>
  <c r="I2939" i="5" s="1"/>
  <c r="C3116" i="5"/>
  <c r="F3116" i="5" s="1"/>
  <c r="I3083" i="5" s="1"/>
  <c r="C3212" i="5"/>
  <c r="C3308" i="5"/>
  <c r="F3308" i="5" s="1"/>
  <c r="I3275" i="5" s="1"/>
  <c r="C3452" i="5"/>
  <c r="F3452" i="5" s="1"/>
  <c r="I3419" i="5" s="1"/>
  <c r="C3548" i="5"/>
  <c r="F3548" i="5" s="1"/>
  <c r="I3515" i="5" s="1"/>
  <c r="C3644" i="5"/>
  <c r="F3644" i="5" s="1"/>
  <c r="I3611" i="5" s="1"/>
  <c r="C4124" i="5"/>
  <c r="F4124" i="5" s="1"/>
  <c r="I4091" i="5" s="1"/>
  <c r="C4364" i="5"/>
  <c r="C4412" i="5"/>
  <c r="C4796" i="5"/>
  <c r="F4796" i="5" s="1"/>
  <c r="I4763" i="5" s="1"/>
  <c r="C4892" i="5"/>
  <c r="C5036" i="5"/>
  <c r="C5180" i="5"/>
  <c r="F5180" i="5" s="1"/>
  <c r="I5147" i="5" s="1"/>
  <c r="C5276" i="5"/>
  <c r="F5276" i="5" s="1"/>
  <c r="I5243" i="5" s="1"/>
  <c r="C5372" i="5"/>
  <c r="F5372" i="5" s="1"/>
  <c r="I5339" i="5" s="1"/>
  <c r="C5516" i="5"/>
  <c r="C5900" i="5"/>
  <c r="F5900" i="5" s="1"/>
  <c r="I5867" i="5" s="1"/>
  <c r="C332" i="5"/>
  <c r="F332" i="5" s="1"/>
  <c r="I299" i="5" s="1"/>
  <c r="C620" i="5"/>
  <c r="C1292" i="5"/>
  <c r="C1436" i="5"/>
  <c r="C1820" i="5"/>
  <c r="F1820" i="5" s="1"/>
  <c r="I1787" i="5" s="1"/>
  <c r="C2732" i="5"/>
  <c r="F2732" i="5" s="1"/>
  <c r="I2699" i="5" s="1"/>
  <c r="C3068" i="5"/>
  <c r="C3356" i="5"/>
  <c r="F3356" i="5" s="1"/>
  <c r="I3323" i="5" s="1"/>
  <c r="C3500" i="5"/>
  <c r="F3500" i="5" s="1"/>
  <c r="I3467" i="5" s="1"/>
  <c r="C4172" i="5"/>
  <c r="F4172" i="5" s="1"/>
  <c r="I4139" i="5" s="1"/>
  <c r="C4988" i="5"/>
  <c r="F4988" i="5" s="1"/>
  <c r="I4955" i="5" s="1"/>
  <c r="C56" i="5"/>
  <c r="C296" i="5"/>
  <c r="C392" i="5"/>
  <c r="C680" i="5"/>
  <c r="C1016" i="5"/>
  <c r="C1400" i="5"/>
  <c r="C1496" i="5"/>
  <c r="C1688" i="5"/>
  <c r="C1784" i="5"/>
  <c r="C1976" i="5"/>
  <c r="C2168" i="5"/>
  <c r="C2360" i="5"/>
  <c r="C2456" i="5"/>
  <c r="C2600" i="5"/>
  <c r="C2696" i="5"/>
  <c r="C2888" i="5"/>
  <c r="C2984" i="5"/>
  <c r="C3128" i="5"/>
  <c r="C3224" i="5"/>
  <c r="C3320" i="5"/>
  <c r="C3464" i="5"/>
  <c r="C3560" i="5"/>
  <c r="C3656" i="5"/>
  <c r="C4136" i="5"/>
  <c r="C4376" i="5"/>
  <c r="C4424" i="5"/>
  <c r="C4808" i="5"/>
  <c r="C4904" i="5"/>
  <c r="C5048" i="5"/>
  <c r="C5192" i="5"/>
  <c r="C5288" i="5"/>
  <c r="C5384" i="5"/>
  <c r="C5528" i="5"/>
  <c r="C5912" i="5"/>
  <c r="F4364" i="5" l="1"/>
  <c r="I4331" i="5" s="1"/>
  <c r="F4989" i="5"/>
  <c r="F333" i="5"/>
  <c r="F2973" i="5"/>
  <c r="F1389" i="5"/>
  <c r="F573" i="5"/>
  <c r="F3501" i="5"/>
  <c r="F5181" i="5"/>
  <c r="F4797" i="5"/>
  <c r="G145" i="1" s="1"/>
  <c r="F4125" i="5"/>
  <c r="F3549" i="5"/>
  <c r="F2349" i="5"/>
  <c r="J78" i="1" s="1"/>
  <c r="F1773" i="5"/>
  <c r="F5325" i="5"/>
  <c r="G159" i="1" s="1"/>
  <c r="F3021" i="5"/>
  <c r="F1581" i="5"/>
  <c r="F5565" i="5"/>
  <c r="G164" i="1" s="1"/>
  <c r="F4605" i="5"/>
  <c r="F3165" i="5"/>
  <c r="F1725" i="5"/>
  <c r="F5277" i="5"/>
  <c r="G158" i="1" s="1"/>
  <c r="F1965" i="5"/>
  <c r="F381" i="5"/>
  <c r="F1821" i="5"/>
  <c r="F3645" i="5"/>
  <c r="F3453" i="5"/>
  <c r="F3117" i="5"/>
  <c r="F2685" i="5"/>
  <c r="F285" i="5"/>
  <c r="F5133" i="5"/>
  <c r="F3933" i="5"/>
  <c r="F1149" i="5"/>
  <c r="F1341" i="5"/>
  <c r="F429" i="5"/>
  <c r="F2733" i="5"/>
  <c r="F5901" i="5"/>
  <c r="G171" i="1" s="1"/>
  <c r="F3309" i="5"/>
  <c r="F2109" i="5"/>
  <c r="F3357" i="5"/>
  <c r="F4173" i="5"/>
  <c r="F5373" i="5"/>
  <c r="G160" i="1" s="1"/>
  <c r="F2205" i="5"/>
  <c r="F4941" i="5"/>
  <c r="F93" i="5"/>
  <c r="E5922" i="5"/>
  <c r="F5922" i="5" s="1"/>
  <c r="A5922" i="5"/>
  <c r="E5921" i="5"/>
  <c r="F5921" i="5" s="1"/>
  <c r="A5921" i="5"/>
  <c r="E5871" i="5"/>
  <c r="F5871" i="5" s="1"/>
  <c r="A5871" i="5"/>
  <c r="F4365" i="5" l="1"/>
  <c r="J171" i="1"/>
  <c r="J160" i="1"/>
  <c r="J158" i="1"/>
  <c r="J169" i="1"/>
  <c r="J164" i="1"/>
  <c r="J159" i="1"/>
  <c r="G54" i="1"/>
  <c r="G26" i="1"/>
  <c r="B5922" i="5"/>
  <c r="D5922" i="5"/>
  <c r="D5871" i="5"/>
  <c r="B5871" i="5"/>
  <c r="B5921" i="5"/>
  <c r="D5921" i="5"/>
  <c r="M5921" i="5"/>
  <c r="J5921" i="5"/>
  <c r="H5921" i="5"/>
  <c r="I5921" i="5" s="1"/>
  <c r="M5922" i="5"/>
  <c r="J5922" i="5"/>
  <c r="H5922" i="5"/>
  <c r="I5922" i="5" s="1"/>
  <c r="M5871" i="5"/>
  <c r="H5871" i="5"/>
  <c r="I5871" i="5" s="1"/>
  <c r="J5871" i="5"/>
  <c r="A3616" i="5"/>
  <c r="E3615" i="5"/>
  <c r="F3615" i="5" s="1"/>
  <c r="E3614" i="5"/>
  <c r="F3614" i="5" s="1"/>
  <c r="D3407" i="5"/>
  <c r="E3394" i="5"/>
  <c r="F3394" i="5" s="1"/>
  <c r="A3394" i="5"/>
  <c r="E3393" i="5"/>
  <c r="F3393" i="5" s="1"/>
  <c r="A3393" i="5"/>
  <c r="E3250" i="5"/>
  <c r="F3250" i="5" s="1"/>
  <c r="E3249" i="5"/>
  <c r="F3249" i="5" s="1"/>
  <c r="A3250" i="5"/>
  <c r="A3249" i="5"/>
  <c r="E3377" i="5"/>
  <c r="F3377" i="5" s="1"/>
  <c r="D3311" i="5"/>
  <c r="E3185" i="5"/>
  <c r="F3185" i="5" s="1"/>
  <c r="E3188" i="5"/>
  <c r="F3188" i="5" s="1"/>
  <c r="A3188" i="5"/>
  <c r="E3187" i="5"/>
  <c r="F3187" i="5" s="1"/>
  <c r="A3187" i="5"/>
  <c r="E3186" i="5"/>
  <c r="F3186" i="5" s="1"/>
  <c r="A3186" i="5"/>
  <c r="E3184" i="5"/>
  <c r="F3184" i="5" s="1"/>
  <c r="C3218" i="5"/>
  <c r="E3202" i="5"/>
  <c r="F3202" i="5" s="1"/>
  <c r="A3202" i="5"/>
  <c r="E3201" i="5"/>
  <c r="F3201" i="5" s="1"/>
  <c r="A3201" i="5"/>
  <c r="E3058" i="5"/>
  <c r="F3058" i="5" s="1"/>
  <c r="E3057" i="5"/>
  <c r="F3057" i="5" s="1"/>
  <c r="A3058" i="5"/>
  <c r="A3057" i="5"/>
  <c r="J26" i="1" l="1"/>
  <c r="J54" i="1"/>
  <c r="X3227" i="5"/>
  <c r="X3035" i="5"/>
  <c r="X3371" i="5"/>
  <c r="X3179" i="5"/>
  <c r="K5871" i="5"/>
  <c r="N5871" i="5"/>
  <c r="K5922" i="5"/>
  <c r="D3057" i="5"/>
  <c r="B3057" i="5"/>
  <c r="B3058" i="5"/>
  <c r="D3058" i="5"/>
  <c r="B3393" i="5"/>
  <c r="D3393" i="5"/>
  <c r="B3249" i="5"/>
  <c r="D3249" i="5"/>
  <c r="B3201" i="5"/>
  <c r="D3201" i="5"/>
  <c r="B3394" i="5"/>
  <c r="D3394" i="5"/>
  <c r="B3250" i="5"/>
  <c r="D3250" i="5"/>
  <c r="B3202" i="5"/>
  <c r="D3202" i="5"/>
  <c r="K5921" i="5"/>
  <c r="D3185" i="5"/>
  <c r="B3185" i="5"/>
  <c r="D3186" i="5"/>
  <c r="B3186" i="5"/>
  <c r="D3188" i="5"/>
  <c r="B3188" i="5"/>
  <c r="D3184" i="5"/>
  <c r="B3184" i="5"/>
  <c r="D3615" i="5"/>
  <c r="B3615" i="5"/>
  <c r="B3377" i="5"/>
  <c r="D3377" i="5"/>
  <c r="N5922" i="5"/>
  <c r="N5921" i="5"/>
  <c r="B3616" i="5"/>
  <c r="D3616" i="5"/>
  <c r="B3901" i="5"/>
  <c r="D3901" i="5"/>
  <c r="D3614" i="5"/>
  <c r="B3614" i="5"/>
  <c r="D3187" i="5"/>
  <c r="B3187" i="5"/>
  <c r="J3184" i="5"/>
  <c r="H3184" i="5"/>
  <c r="I3184" i="5" s="1"/>
  <c r="M3184" i="5"/>
  <c r="M3186" i="5"/>
  <c r="J3186" i="5"/>
  <c r="H3186" i="5"/>
  <c r="I3186" i="5" s="1"/>
  <c r="M3311" i="5"/>
  <c r="N3311" i="5" s="1"/>
  <c r="J3311" i="5"/>
  <c r="K3311" i="5" s="1"/>
  <c r="M3616" i="5"/>
  <c r="J3616" i="5"/>
  <c r="H3616" i="5"/>
  <c r="I3616" i="5" s="1"/>
  <c r="M3201" i="5"/>
  <c r="J3201" i="5"/>
  <c r="H3201" i="5"/>
  <c r="I3201" i="5" s="1"/>
  <c r="M3377" i="5"/>
  <c r="J3377" i="5"/>
  <c r="H3377" i="5"/>
  <c r="I3377" i="5" s="1"/>
  <c r="M3394" i="5"/>
  <c r="J3394" i="5"/>
  <c r="H3394" i="5"/>
  <c r="I3394" i="5" s="1"/>
  <c r="J3901" i="5"/>
  <c r="H3901" i="5"/>
  <c r="I3901" i="5" s="1"/>
  <c r="M3901" i="5"/>
  <c r="M3250" i="5"/>
  <c r="J3250" i="5"/>
  <c r="H3250" i="5"/>
  <c r="I3250" i="5" s="1"/>
  <c r="M3185" i="5"/>
  <c r="J3185" i="5"/>
  <c r="H3185" i="5"/>
  <c r="I3185" i="5" s="1"/>
  <c r="H3615" i="5"/>
  <c r="I3615" i="5" s="1"/>
  <c r="M3615" i="5"/>
  <c r="J3615" i="5"/>
  <c r="H3187" i="5"/>
  <c r="I3187" i="5" s="1"/>
  <c r="M3187" i="5"/>
  <c r="J3187" i="5"/>
  <c r="M3058" i="5"/>
  <c r="J3058" i="5"/>
  <c r="H3058" i="5"/>
  <c r="I3058" i="5" s="1"/>
  <c r="M3202" i="5"/>
  <c r="J3202" i="5"/>
  <c r="H3202" i="5"/>
  <c r="I3202" i="5" s="1"/>
  <c r="M3249" i="5"/>
  <c r="J3249" i="5"/>
  <c r="H3249" i="5"/>
  <c r="I3249" i="5" s="1"/>
  <c r="M3407" i="5"/>
  <c r="N3407" i="5" s="1"/>
  <c r="J3407" i="5"/>
  <c r="K3407" i="5" s="1"/>
  <c r="M3188" i="5"/>
  <c r="J3188" i="5"/>
  <c r="H3188" i="5"/>
  <c r="I3188" i="5" s="1"/>
  <c r="M3614" i="5"/>
  <c r="J3614" i="5"/>
  <c r="H3614" i="5"/>
  <c r="I3614" i="5" s="1"/>
  <c r="M3057" i="5"/>
  <c r="J3057" i="5"/>
  <c r="H3057" i="5"/>
  <c r="I3057" i="5" s="1"/>
  <c r="M3393" i="5"/>
  <c r="J3393" i="5"/>
  <c r="H3393" i="5"/>
  <c r="I3393" i="5" s="1"/>
  <c r="F3259" i="5"/>
  <c r="F3260" i="5" s="1"/>
  <c r="I3227" i="5" s="1"/>
  <c r="F3211" i="5"/>
  <c r="F3212" i="5" s="1"/>
  <c r="I3179" i="5" s="1"/>
  <c r="F3403" i="5"/>
  <c r="F3404" i="5" s="1"/>
  <c r="I3371" i="5" s="1"/>
  <c r="F3067" i="5"/>
  <c r="F3068" i="5" s="1"/>
  <c r="I3035" i="5" s="1"/>
  <c r="C2928" i="5"/>
  <c r="C2927" i="5"/>
  <c r="C2914" i="5"/>
  <c r="C2913" i="5"/>
  <c r="C2895" i="5"/>
  <c r="C2894" i="5"/>
  <c r="C2893" i="5"/>
  <c r="C2976" i="5"/>
  <c r="C2975" i="5"/>
  <c r="C2943" i="5"/>
  <c r="C2942" i="5"/>
  <c r="C2941" i="5"/>
  <c r="K3393" i="5" l="1"/>
  <c r="K3250" i="5"/>
  <c r="K3057" i="5"/>
  <c r="N3186" i="5"/>
  <c r="K3249" i="5"/>
  <c r="N3614" i="5"/>
  <c r="K3202" i="5"/>
  <c r="K3188" i="5"/>
  <c r="N3188" i="5"/>
  <c r="N3201" i="5"/>
  <c r="N3057" i="5"/>
  <c r="K3201" i="5"/>
  <c r="N3058" i="5"/>
  <c r="N3394" i="5"/>
  <c r="K3615" i="5"/>
  <c r="K3058" i="5"/>
  <c r="K3185" i="5"/>
  <c r="K3394" i="5"/>
  <c r="N3185" i="5"/>
  <c r="N3393" i="5"/>
  <c r="N3250" i="5"/>
  <c r="N3615" i="5"/>
  <c r="N3901" i="5"/>
  <c r="N3184" i="5"/>
  <c r="N3249" i="5"/>
  <c r="N3202" i="5"/>
  <c r="K3901" i="5"/>
  <c r="K3186" i="5"/>
  <c r="N3377" i="5"/>
  <c r="K3377" i="5"/>
  <c r="K3184" i="5"/>
  <c r="K3616" i="5"/>
  <c r="K3614" i="5"/>
  <c r="N3616" i="5"/>
  <c r="N3187" i="5"/>
  <c r="K3187" i="5"/>
  <c r="F3069" i="5"/>
  <c r="F3213" i="5"/>
  <c r="F3405" i="5"/>
  <c r="F3261" i="5"/>
  <c r="C2879" i="5"/>
  <c r="E2656" i="5"/>
  <c r="F2656" i="5" s="1"/>
  <c r="A2656" i="5"/>
  <c r="E2655" i="5"/>
  <c r="F2655" i="5" s="1"/>
  <c r="A2655" i="5"/>
  <c r="E2654" i="5"/>
  <c r="F2654" i="5" s="1"/>
  <c r="A2654" i="5"/>
  <c r="E2653" i="5"/>
  <c r="F2653" i="5" s="1"/>
  <c r="A2653" i="5"/>
  <c r="D2640" i="5"/>
  <c r="F2626" i="5"/>
  <c r="F2625" i="5"/>
  <c r="A2592" i="5"/>
  <c r="D2592" i="5" s="1"/>
  <c r="E2578" i="5"/>
  <c r="F2578" i="5" s="1"/>
  <c r="A2578" i="5"/>
  <c r="E2482" i="5"/>
  <c r="D2497" i="5"/>
  <c r="E2466" i="5"/>
  <c r="F2466" i="5" s="1"/>
  <c r="W2651" i="5" l="1"/>
  <c r="X2603" i="5"/>
  <c r="D2625" i="5"/>
  <c r="B2625" i="5"/>
  <c r="D2578" i="5"/>
  <c r="B2578" i="5"/>
  <c r="D2656" i="5"/>
  <c r="B2656" i="5"/>
  <c r="D2466" i="5"/>
  <c r="B2466" i="5"/>
  <c r="B2654" i="5"/>
  <c r="D2654" i="5"/>
  <c r="D2655" i="5"/>
  <c r="B2655" i="5"/>
  <c r="D2653" i="5"/>
  <c r="B2653" i="5"/>
  <c r="M2653" i="5"/>
  <c r="J2653" i="5"/>
  <c r="H2653" i="5"/>
  <c r="I2653" i="5" s="1"/>
  <c r="M2654" i="5"/>
  <c r="J2654" i="5"/>
  <c r="H2654" i="5"/>
  <c r="I2654" i="5" s="1"/>
  <c r="M2625" i="5"/>
  <c r="J2625" i="5"/>
  <c r="H2625" i="5"/>
  <c r="I2625" i="5" s="1"/>
  <c r="H2655" i="5"/>
  <c r="I2655" i="5" s="1"/>
  <c r="M2655" i="5"/>
  <c r="J2655" i="5"/>
  <c r="M2466" i="5"/>
  <c r="J2466" i="5"/>
  <c r="H2466" i="5"/>
  <c r="I2466" i="5" s="1"/>
  <c r="M2626" i="5"/>
  <c r="J2626" i="5"/>
  <c r="H2626" i="5"/>
  <c r="I2626" i="5" s="1"/>
  <c r="F2482" i="5"/>
  <c r="I2482" i="5"/>
  <c r="M2656" i="5"/>
  <c r="J2656" i="5"/>
  <c r="H2656" i="5"/>
  <c r="I2656" i="5" s="1"/>
  <c r="J2592" i="5"/>
  <c r="K2592" i="5" s="1"/>
  <c r="M2592" i="5"/>
  <c r="N2592" i="5" s="1"/>
  <c r="M2497" i="5"/>
  <c r="N2497" i="5" s="1"/>
  <c r="J2497" i="5"/>
  <c r="K2497" i="5" s="1"/>
  <c r="M2578" i="5"/>
  <c r="J2578" i="5"/>
  <c r="H2578" i="5"/>
  <c r="I2578" i="5" s="1"/>
  <c r="M2640" i="5"/>
  <c r="N2640" i="5" s="1"/>
  <c r="J2640" i="5"/>
  <c r="K2640" i="5" s="1"/>
  <c r="F2669" i="5"/>
  <c r="F2635" i="5"/>
  <c r="F2636" i="5" s="1"/>
  <c r="I2603" i="5" s="1"/>
  <c r="C1967" i="5"/>
  <c r="C1775" i="5"/>
  <c r="C1727" i="5"/>
  <c r="E981" i="5"/>
  <c r="F981" i="5" s="1"/>
  <c r="A981" i="5"/>
  <c r="F658" i="5"/>
  <c r="A575" i="5"/>
  <c r="D575" i="5" s="1"/>
  <c r="K2578" i="5" l="1"/>
  <c r="N2626" i="5"/>
  <c r="K2626" i="5"/>
  <c r="N2625" i="5"/>
  <c r="N2466" i="5"/>
  <c r="K2654" i="5"/>
  <c r="N2656" i="5"/>
  <c r="K2625" i="5"/>
  <c r="N2578" i="5"/>
  <c r="N2655" i="5"/>
  <c r="B658" i="5"/>
  <c r="D658" i="5"/>
  <c r="N2654" i="5"/>
  <c r="K2656" i="5"/>
  <c r="K2466" i="5"/>
  <c r="K2655" i="5"/>
  <c r="N2653" i="5"/>
  <c r="K2653" i="5"/>
  <c r="B981" i="5"/>
  <c r="D981" i="5"/>
  <c r="M658" i="5"/>
  <c r="J658" i="5"/>
  <c r="H658" i="5"/>
  <c r="I658" i="5" s="1"/>
  <c r="M575" i="5"/>
  <c r="N575" i="5" s="1"/>
  <c r="J575" i="5"/>
  <c r="K575" i="5" s="1"/>
  <c r="M981" i="5"/>
  <c r="J981" i="5"/>
  <c r="H981" i="5"/>
  <c r="I981" i="5" s="1"/>
  <c r="F2637" i="5"/>
  <c r="K658" i="5" l="1"/>
  <c r="N658" i="5"/>
  <c r="K981" i="5"/>
  <c r="N981" i="5"/>
  <c r="M1344" i="5" l="1"/>
  <c r="N1344" i="5" s="1"/>
  <c r="J1344" i="5"/>
  <c r="K1344" i="5" s="1"/>
  <c r="F5343" i="5"/>
  <c r="F5342" i="5"/>
  <c r="E5341" i="5"/>
  <c r="F5341" i="5" s="1"/>
  <c r="F5296" i="5"/>
  <c r="F5295" i="5"/>
  <c r="F5294" i="5"/>
  <c r="E5293" i="5"/>
  <c r="F5293" i="5" s="1"/>
  <c r="F5248" i="5"/>
  <c r="F5247" i="5"/>
  <c r="F5246" i="5"/>
  <c r="E5245" i="5"/>
  <c r="F5245" i="5" s="1"/>
  <c r="D5376" i="5"/>
  <c r="D5375" i="5"/>
  <c r="D5328" i="5"/>
  <c r="D5327" i="5"/>
  <c r="D5280" i="5"/>
  <c r="D5279" i="5"/>
  <c r="B5349" i="5"/>
  <c r="N5349" i="5" s="1"/>
  <c r="E5339" i="5"/>
  <c r="B5339" i="5"/>
  <c r="A5339" i="5"/>
  <c r="E5291" i="5"/>
  <c r="B5291" i="5"/>
  <c r="A5291" i="5"/>
  <c r="E5243" i="5"/>
  <c r="B5243" i="5"/>
  <c r="A5243" i="5"/>
  <c r="E4098" i="5"/>
  <c r="F4098" i="5" s="1"/>
  <c r="E4097" i="5"/>
  <c r="F4097" i="5" s="1"/>
  <c r="E4096" i="5"/>
  <c r="F4096" i="5" s="1"/>
  <c r="E4095" i="5"/>
  <c r="F4095" i="5" s="1"/>
  <c r="E4094" i="5"/>
  <c r="F4094" i="5" s="1"/>
  <c r="D4128" i="5"/>
  <c r="D4127" i="5"/>
  <c r="B4105" i="5"/>
  <c r="N4105" i="5" s="1"/>
  <c r="E4091" i="5"/>
  <c r="B4091" i="5"/>
  <c r="A4091" i="5"/>
  <c r="O5291" i="5" l="1"/>
  <c r="P5291" i="5" s="1"/>
  <c r="G5291" i="5"/>
  <c r="U5291" i="5" s="1"/>
  <c r="O5339" i="5"/>
  <c r="P5339" i="5" s="1"/>
  <c r="G5339" i="5"/>
  <c r="U5339" i="5" s="1"/>
  <c r="G4091" i="5"/>
  <c r="U4091" i="5" s="1"/>
  <c r="O4091" i="5"/>
  <c r="P4091" i="5" s="1"/>
  <c r="O5243" i="5"/>
  <c r="P5243" i="5" s="1"/>
  <c r="G5243" i="5"/>
  <c r="U5243" i="5" s="1"/>
  <c r="W4091" i="5"/>
  <c r="W5243" i="5"/>
  <c r="W5339" i="5"/>
  <c r="W5291" i="5"/>
  <c r="D4095" i="5"/>
  <c r="B4095" i="5"/>
  <c r="D4094" i="5"/>
  <c r="B4094" i="5"/>
  <c r="D4098" i="5"/>
  <c r="B4098" i="5"/>
  <c r="B4097" i="5"/>
  <c r="D4097" i="5"/>
  <c r="B5245" i="5"/>
  <c r="D5245" i="5"/>
  <c r="B5341" i="5"/>
  <c r="D5341" i="5"/>
  <c r="D4096" i="5"/>
  <c r="B4096" i="5"/>
  <c r="D5293" i="5"/>
  <c r="B5293" i="5"/>
  <c r="J4097" i="5"/>
  <c r="H4097" i="5"/>
  <c r="I4097" i="5" s="1"/>
  <c r="M4097" i="5"/>
  <c r="H5296" i="5"/>
  <c r="I5296" i="5" s="1"/>
  <c r="J5296" i="5"/>
  <c r="M5296" i="5"/>
  <c r="M4098" i="5"/>
  <c r="J4098" i="5"/>
  <c r="H4098" i="5"/>
  <c r="I4098" i="5" s="1"/>
  <c r="M5247" i="5"/>
  <c r="J5247" i="5"/>
  <c r="H5247" i="5"/>
  <c r="I5247" i="5" s="1"/>
  <c r="M5327" i="5"/>
  <c r="N5327" i="5" s="1"/>
  <c r="J5327" i="5"/>
  <c r="K5327" i="5" s="1"/>
  <c r="M5375" i="5"/>
  <c r="N5375" i="5" s="1"/>
  <c r="J5375" i="5"/>
  <c r="K5375" i="5" s="1"/>
  <c r="H4096" i="5"/>
  <c r="I4096" i="5" s="1"/>
  <c r="J4096" i="5"/>
  <c r="M4096" i="5"/>
  <c r="H5248" i="5"/>
  <c r="I5248" i="5" s="1"/>
  <c r="J5248" i="5"/>
  <c r="M5248" i="5"/>
  <c r="J5328" i="5"/>
  <c r="K5328" i="5" s="1"/>
  <c r="M5328" i="5"/>
  <c r="N5328" i="5" s="1"/>
  <c r="M4094" i="5"/>
  <c r="J4094" i="5"/>
  <c r="H4094" i="5"/>
  <c r="I4094" i="5" s="1"/>
  <c r="M5295" i="5"/>
  <c r="J5295" i="5"/>
  <c r="H5295" i="5"/>
  <c r="I5295" i="5" s="1"/>
  <c r="M4127" i="5"/>
  <c r="N4127" i="5" s="1"/>
  <c r="J4127" i="5"/>
  <c r="K4127" i="5" s="1"/>
  <c r="M5279" i="5"/>
  <c r="N5279" i="5" s="1"/>
  <c r="J5279" i="5"/>
  <c r="K5279" i="5" s="1"/>
  <c r="J5341" i="5"/>
  <c r="H5341" i="5"/>
  <c r="I5341" i="5" s="1"/>
  <c r="M5341" i="5"/>
  <c r="M4095" i="5"/>
  <c r="J4095" i="5"/>
  <c r="H4095" i="5"/>
  <c r="I4095" i="5" s="1"/>
  <c r="M5294" i="5"/>
  <c r="J5294" i="5"/>
  <c r="H5294" i="5"/>
  <c r="I5294" i="5" s="1"/>
  <c r="J4128" i="5"/>
  <c r="K4128" i="5" s="1"/>
  <c r="M4128" i="5"/>
  <c r="N4128" i="5" s="1"/>
  <c r="J5280" i="5"/>
  <c r="K5280" i="5" s="1"/>
  <c r="M5280" i="5"/>
  <c r="N5280" i="5" s="1"/>
  <c r="M5342" i="5"/>
  <c r="J5342" i="5"/>
  <c r="H5342" i="5"/>
  <c r="I5342" i="5" s="1"/>
  <c r="J5293" i="5"/>
  <c r="H5293" i="5"/>
  <c r="I5293" i="5" s="1"/>
  <c r="M5293" i="5"/>
  <c r="M5343" i="5"/>
  <c r="J5343" i="5"/>
  <c r="H5343" i="5"/>
  <c r="I5343" i="5" s="1"/>
  <c r="J5245" i="5"/>
  <c r="H5245" i="5"/>
  <c r="I5245" i="5" s="1"/>
  <c r="M5245" i="5"/>
  <c r="M5376" i="5"/>
  <c r="N5376" i="5" s="1"/>
  <c r="J5376" i="5"/>
  <c r="K5376" i="5" s="1"/>
  <c r="M5246" i="5"/>
  <c r="J5246" i="5"/>
  <c r="H5246" i="5"/>
  <c r="I5246" i="5" s="1"/>
  <c r="F4109" i="5"/>
  <c r="F5261" i="5"/>
  <c r="F5309" i="5"/>
  <c r="F5357" i="5"/>
  <c r="K5342" i="5" l="1"/>
  <c r="N4095" i="5"/>
  <c r="K4095" i="5"/>
  <c r="K5343" i="5"/>
  <c r="K5245" i="5"/>
  <c r="N5342" i="5"/>
  <c r="N5293" i="5"/>
  <c r="N5343" i="5"/>
  <c r="K5246" i="5"/>
  <c r="N5248" i="5"/>
  <c r="K5294" i="5"/>
  <c r="K4097" i="5"/>
  <c r="N5294" i="5"/>
  <c r="N4094" i="5"/>
  <c r="K4094" i="5"/>
  <c r="K4098" i="5"/>
  <c r="N5245" i="5"/>
  <c r="N4098" i="5"/>
  <c r="N5296" i="5"/>
  <c r="K5247" i="5"/>
  <c r="N5341" i="5"/>
  <c r="K5295" i="5"/>
  <c r="N5246" i="5"/>
  <c r="N5295" i="5"/>
  <c r="K5341" i="5"/>
  <c r="K5296" i="5"/>
  <c r="K5293" i="5"/>
  <c r="K4096" i="5"/>
  <c r="K5248" i="5"/>
  <c r="N4096" i="5"/>
  <c r="N4097" i="5"/>
  <c r="N5247" i="5"/>
  <c r="L5245" i="5"/>
  <c r="L5248" i="5"/>
  <c r="L5280" i="5"/>
  <c r="L5247" i="5"/>
  <c r="L5279" i="5"/>
  <c r="L5246" i="5"/>
  <c r="L5341" i="5"/>
  <c r="L5342" i="5"/>
  <c r="L5376" i="5"/>
  <c r="L5343" i="5"/>
  <c r="L5375" i="5"/>
  <c r="L4093" i="5"/>
  <c r="L4096" i="5"/>
  <c r="L4128" i="5"/>
  <c r="L4095" i="5"/>
  <c r="L4098" i="5"/>
  <c r="L4127" i="5"/>
  <c r="L4094" i="5"/>
  <c r="L4097" i="5"/>
  <c r="L5293" i="5"/>
  <c r="L5296" i="5"/>
  <c r="L5328" i="5"/>
  <c r="L5295" i="5"/>
  <c r="L5327" i="5"/>
  <c r="L5294" i="5"/>
  <c r="D1392" i="5"/>
  <c r="D1391" i="5"/>
  <c r="F1359" i="5"/>
  <c r="F1358" i="5"/>
  <c r="F1357" i="5"/>
  <c r="E1355" i="5"/>
  <c r="B1355" i="5"/>
  <c r="E2171" i="5"/>
  <c r="B2171" i="5"/>
  <c r="A2171" i="5"/>
  <c r="A2207" i="5"/>
  <c r="D2207" i="5" s="1"/>
  <c r="O2171" i="5" l="1"/>
  <c r="P2171" i="5" s="1"/>
  <c r="O1355" i="5"/>
  <c r="P1355" i="5" s="1"/>
  <c r="G1355" i="5"/>
  <c r="U1355" i="5" s="1"/>
  <c r="T5339" i="5"/>
  <c r="V5339" i="5" s="1"/>
  <c r="W1355" i="5"/>
  <c r="T4091" i="5"/>
  <c r="V4091" i="5" s="1"/>
  <c r="T5291" i="5"/>
  <c r="V5291" i="5" s="1"/>
  <c r="T5243" i="5"/>
  <c r="V5243" i="5" s="1"/>
  <c r="D1359" i="5"/>
  <c r="B1359" i="5"/>
  <c r="B1358" i="5"/>
  <c r="D1358" i="5"/>
  <c r="D1357" i="5"/>
  <c r="B1357" i="5"/>
  <c r="M1358" i="5"/>
  <c r="J1358" i="5"/>
  <c r="H1358" i="5"/>
  <c r="I1358" i="5" s="1"/>
  <c r="H1359" i="5"/>
  <c r="I1359" i="5" s="1"/>
  <c r="M1359" i="5"/>
  <c r="J1359" i="5"/>
  <c r="M1391" i="5"/>
  <c r="N1391" i="5" s="1"/>
  <c r="J1391" i="5"/>
  <c r="K1391" i="5" s="1"/>
  <c r="M2207" i="5"/>
  <c r="N2207" i="5" s="1"/>
  <c r="J2207" i="5"/>
  <c r="K2207" i="5" s="1"/>
  <c r="J1392" i="5"/>
  <c r="K1392" i="5" s="1"/>
  <c r="M1392" i="5"/>
  <c r="N1392" i="5" s="1"/>
  <c r="M1357" i="5"/>
  <c r="J1357" i="5"/>
  <c r="H1357" i="5"/>
  <c r="I1357" i="5" s="1"/>
  <c r="F1373" i="5"/>
  <c r="N1359" i="5" l="1"/>
  <c r="K1357" i="5"/>
  <c r="N1357" i="5"/>
  <c r="N1358" i="5"/>
  <c r="K1358" i="5"/>
  <c r="K1359" i="5"/>
  <c r="L1357" i="5"/>
  <c r="L1392" i="5"/>
  <c r="L1359" i="5"/>
  <c r="L1391" i="5"/>
  <c r="L1358" i="5"/>
  <c r="D3936" i="5"/>
  <c r="D3935" i="5"/>
  <c r="E3902" i="5"/>
  <c r="F3902" i="5" s="1"/>
  <c r="E3899" i="5"/>
  <c r="B3899" i="5"/>
  <c r="A3899" i="5"/>
  <c r="E1264" i="5"/>
  <c r="F1264" i="5" s="1"/>
  <c r="E1273" i="5"/>
  <c r="F1273" i="5" s="1"/>
  <c r="E1271" i="5"/>
  <c r="F1271" i="5" s="1"/>
  <c r="E1270" i="5"/>
  <c r="F1270" i="5" s="1"/>
  <c r="E1269" i="5"/>
  <c r="F1269" i="5" s="1"/>
  <c r="E1267" i="5"/>
  <c r="F1267" i="5" s="1"/>
  <c r="F1272" i="5"/>
  <c r="F1265" i="5"/>
  <c r="F1263" i="5"/>
  <c r="F1262" i="5"/>
  <c r="F1261" i="5"/>
  <c r="D1297" i="5"/>
  <c r="D1298" i="5"/>
  <c r="D1296" i="5"/>
  <c r="D1295" i="5"/>
  <c r="C1266" i="5"/>
  <c r="O3899" i="5" l="1"/>
  <c r="P3899" i="5" s="1"/>
  <c r="G3899" i="5"/>
  <c r="U3899" i="5" s="1"/>
  <c r="W3899" i="5"/>
  <c r="T1355" i="5"/>
  <c r="V1355" i="5" s="1"/>
  <c r="F1266" i="5"/>
  <c r="B3902" i="5"/>
  <c r="D3902" i="5"/>
  <c r="B1270" i="5"/>
  <c r="D1270" i="5"/>
  <c r="B1273" i="5"/>
  <c r="D1273" i="5"/>
  <c r="B1271" i="5"/>
  <c r="D1271" i="5"/>
  <c r="D1269" i="5"/>
  <c r="B1269" i="5"/>
  <c r="D1267" i="5"/>
  <c r="B1267" i="5"/>
  <c r="B1262" i="5"/>
  <c r="D1262" i="5"/>
  <c r="D1272" i="5"/>
  <c r="B1272" i="5"/>
  <c r="D1263" i="5"/>
  <c r="B1263" i="5"/>
  <c r="D1266" i="5"/>
  <c r="B1266" i="5"/>
  <c r="D1264" i="5"/>
  <c r="B1264" i="5"/>
  <c r="D1265" i="5"/>
  <c r="B1265" i="5"/>
  <c r="B1261" i="5"/>
  <c r="D1261" i="5"/>
  <c r="M3936" i="5"/>
  <c r="N3936" i="5" s="1"/>
  <c r="J3936" i="5"/>
  <c r="K3936" i="5" s="1"/>
  <c r="J1265" i="5"/>
  <c r="H1265" i="5"/>
  <c r="I1265" i="5" s="1"/>
  <c r="M1265" i="5"/>
  <c r="M1297" i="5"/>
  <c r="N1297" i="5" s="1"/>
  <c r="J1297" i="5"/>
  <c r="K1297" i="5" s="1"/>
  <c r="M1266" i="5"/>
  <c r="J1266" i="5"/>
  <c r="H1266" i="5"/>
  <c r="I1266" i="5" s="1"/>
  <c r="M1272" i="5"/>
  <c r="J1272" i="5"/>
  <c r="H1272" i="5"/>
  <c r="I1272" i="5" s="1"/>
  <c r="H1267" i="5"/>
  <c r="I1267" i="5" s="1"/>
  <c r="M1267" i="5"/>
  <c r="J1267" i="5"/>
  <c r="M1269" i="5"/>
  <c r="J1269" i="5"/>
  <c r="H1269" i="5"/>
  <c r="I1269" i="5" s="1"/>
  <c r="J1273" i="5"/>
  <c r="H1273" i="5"/>
  <c r="I1273" i="5" s="1"/>
  <c r="M1273" i="5"/>
  <c r="M1271" i="5"/>
  <c r="J1271" i="5"/>
  <c r="H1271" i="5"/>
  <c r="I1271" i="5" s="1"/>
  <c r="M1264" i="5"/>
  <c r="J1264" i="5"/>
  <c r="H1264" i="5"/>
  <c r="I1264" i="5" s="1"/>
  <c r="M3902" i="5"/>
  <c r="J3902" i="5"/>
  <c r="H3902" i="5"/>
  <c r="I3902" i="5" s="1"/>
  <c r="M1270" i="5"/>
  <c r="J1270" i="5"/>
  <c r="H1270" i="5"/>
  <c r="I1270" i="5" s="1"/>
  <c r="M1262" i="5"/>
  <c r="J1262" i="5"/>
  <c r="H1262" i="5"/>
  <c r="I1262" i="5" s="1"/>
  <c r="M1295" i="5"/>
  <c r="N1295" i="5" s="1"/>
  <c r="J1295" i="5"/>
  <c r="K1295" i="5" s="1"/>
  <c r="M1298" i="5"/>
  <c r="N1298" i="5" s="1"/>
  <c r="J1298" i="5"/>
  <c r="K1298" i="5" s="1"/>
  <c r="M1261" i="5"/>
  <c r="J1261" i="5"/>
  <c r="H1261" i="5"/>
  <c r="I1261" i="5" s="1"/>
  <c r="M1263" i="5"/>
  <c r="J1263" i="5"/>
  <c r="H1263" i="5"/>
  <c r="I1263" i="5" s="1"/>
  <c r="J1296" i="5"/>
  <c r="K1296" i="5" s="1"/>
  <c r="M1296" i="5"/>
  <c r="N1296" i="5" s="1"/>
  <c r="M3935" i="5"/>
  <c r="N3935" i="5" s="1"/>
  <c r="J3935" i="5"/>
  <c r="K3935" i="5" s="1"/>
  <c r="F3917" i="5"/>
  <c r="W1259" i="5" l="1"/>
  <c r="K1269" i="5"/>
  <c r="F1277" i="5"/>
  <c r="N1270" i="5"/>
  <c r="N1273" i="5"/>
  <c r="K1270" i="5"/>
  <c r="N1266" i="5"/>
  <c r="K1261" i="5"/>
  <c r="K3902" i="5"/>
  <c r="N1261" i="5"/>
  <c r="K1263" i="5"/>
  <c r="N3902" i="5"/>
  <c r="N1263" i="5"/>
  <c r="N1269" i="5"/>
  <c r="N1262" i="5"/>
  <c r="K1262" i="5"/>
  <c r="K1273" i="5"/>
  <c r="N1264" i="5"/>
  <c r="K1266" i="5"/>
  <c r="K1267" i="5"/>
  <c r="K1271" i="5"/>
  <c r="N1271" i="5"/>
  <c r="N1267" i="5"/>
  <c r="K1264" i="5"/>
  <c r="N1265" i="5"/>
  <c r="N1272" i="5"/>
  <c r="K1272" i="5"/>
  <c r="K1265" i="5"/>
  <c r="L3901" i="5"/>
  <c r="L3902" i="5"/>
  <c r="L3936" i="5"/>
  <c r="L3935" i="5"/>
  <c r="T3899" i="5" l="1"/>
  <c r="V3899" i="5" s="1"/>
  <c r="E2555" i="5"/>
  <c r="B2555" i="5"/>
  <c r="A2555" i="5"/>
  <c r="A2591" i="5"/>
  <c r="D2591" i="5" s="1"/>
  <c r="E2577" i="5"/>
  <c r="F2577" i="5" s="1"/>
  <c r="A2577" i="5"/>
  <c r="E2559" i="5"/>
  <c r="F2559" i="5" s="1"/>
  <c r="A2559" i="5"/>
  <c r="E2558" i="5"/>
  <c r="F2558" i="5" s="1"/>
  <c r="A2558" i="5"/>
  <c r="E2557" i="5"/>
  <c r="F2557" i="5" s="1"/>
  <c r="O2555" i="5" l="1"/>
  <c r="P2555" i="5" s="1"/>
  <c r="G2555" i="5"/>
  <c r="U2555" i="5" s="1"/>
  <c r="X2555" i="5"/>
  <c r="W2555" i="5"/>
  <c r="D2577" i="5"/>
  <c r="B2577" i="5"/>
  <c r="D2559" i="5"/>
  <c r="B2559" i="5"/>
  <c r="D2557" i="5"/>
  <c r="B2557" i="5"/>
  <c r="D2558" i="5"/>
  <c r="B2558" i="5"/>
  <c r="M2591" i="5"/>
  <c r="N2591" i="5" s="1"/>
  <c r="J2591" i="5"/>
  <c r="K2591" i="5" s="1"/>
  <c r="M2558" i="5"/>
  <c r="J2558" i="5"/>
  <c r="H2558" i="5"/>
  <c r="I2558" i="5" s="1"/>
  <c r="M2577" i="5"/>
  <c r="J2577" i="5"/>
  <c r="H2577" i="5"/>
  <c r="I2577" i="5" s="1"/>
  <c r="M2557" i="5"/>
  <c r="J2557" i="5"/>
  <c r="H2557" i="5"/>
  <c r="I2557" i="5" s="1"/>
  <c r="H2559" i="5"/>
  <c r="I2559" i="5" s="1"/>
  <c r="M2559" i="5"/>
  <c r="J2559" i="5"/>
  <c r="F2587" i="5"/>
  <c r="F2588" i="5" s="1"/>
  <c r="I2555" i="5" s="1"/>
  <c r="F2573" i="5"/>
  <c r="N2557" i="5" l="1"/>
  <c r="K2559" i="5"/>
  <c r="N2559" i="5"/>
  <c r="N2577" i="5"/>
  <c r="K2557" i="5"/>
  <c r="K2577" i="5"/>
  <c r="K2558" i="5"/>
  <c r="N2558" i="5"/>
  <c r="L2577" i="5"/>
  <c r="L2591" i="5"/>
  <c r="L2558" i="5"/>
  <c r="L2578" i="5"/>
  <c r="L2557" i="5"/>
  <c r="L2592" i="5"/>
  <c r="L2559" i="5"/>
  <c r="F2589" i="5"/>
  <c r="T2555" i="5" l="1"/>
  <c r="V2555" i="5" s="1"/>
  <c r="C4881" i="5"/>
  <c r="F1409" i="5" l="1"/>
  <c r="A1409" i="5"/>
  <c r="B1409" i="5" l="1"/>
  <c r="D1409" i="5"/>
  <c r="M1409" i="5"/>
  <c r="J1409" i="5"/>
  <c r="H1409" i="5"/>
  <c r="I1409" i="5" s="1"/>
  <c r="K1409" i="5" l="1"/>
  <c r="N1409" i="5"/>
  <c r="F4333" i="5"/>
  <c r="E4331" i="5"/>
  <c r="B4331" i="5"/>
  <c r="A4331" i="5"/>
  <c r="E539" i="5"/>
  <c r="B539" i="5"/>
  <c r="A539" i="5"/>
  <c r="W4331" i="5" l="1"/>
  <c r="O539" i="5"/>
  <c r="P539" i="5" s="1"/>
  <c r="O4331" i="5"/>
  <c r="P4331" i="5" s="1"/>
  <c r="G4331" i="5"/>
  <c r="U4331" i="5" s="1"/>
  <c r="M4367" i="5"/>
  <c r="N4367" i="5" s="1"/>
  <c r="J4367" i="5"/>
  <c r="K4367" i="5" s="1"/>
  <c r="J4368" i="5"/>
  <c r="K4368" i="5" s="1"/>
  <c r="M4368" i="5"/>
  <c r="N4368" i="5" s="1"/>
  <c r="M4333" i="5"/>
  <c r="J4333" i="5"/>
  <c r="H4333" i="5"/>
  <c r="I4333" i="5" s="1"/>
  <c r="F4349" i="5"/>
  <c r="L4353" i="5" l="1"/>
  <c r="K4333" i="5"/>
  <c r="N4333" i="5"/>
  <c r="L4333" i="5"/>
  <c r="L4368" i="5"/>
  <c r="L4367" i="5"/>
  <c r="T4331" i="5" l="1"/>
  <c r="V4331" i="5" s="1"/>
  <c r="E4401" i="5"/>
  <c r="F4401" i="5" s="1"/>
  <c r="E4815" i="5"/>
  <c r="F4815" i="5" s="1"/>
  <c r="A4815" i="5"/>
  <c r="E4863" i="5"/>
  <c r="F4863" i="5" s="1"/>
  <c r="G4379" i="5" l="1"/>
  <c r="U4379" i="5" s="1"/>
  <c r="O4379" i="5"/>
  <c r="P4379" i="5" s="1"/>
  <c r="X4379" i="5"/>
  <c r="B4401" i="5"/>
  <c r="D4401" i="5"/>
  <c r="D4815" i="5"/>
  <c r="B4815" i="5"/>
  <c r="J4401" i="5"/>
  <c r="H4401" i="5"/>
  <c r="I4401" i="5" s="1"/>
  <c r="M4401" i="5"/>
  <c r="M4815" i="5"/>
  <c r="J4815" i="5"/>
  <c r="H4815" i="5"/>
  <c r="I4815" i="5" s="1"/>
  <c r="F4411" i="5"/>
  <c r="N4401" i="5" l="1"/>
  <c r="K4401" i="5"/>
  <c r="N4815" i="5"/>
  <c r="K4815" i="5"/>
  <c r="L4401" i="5"/>
  <c r="T4379" i="5" s="1"/>
  <c r="V4379" i="5" s="1"/>
  <c r="F4412" i="5"/>
  <c r="I4379" i="5" s="1"/>
  <c r="D4175" i="5"/>
  <c r="A3119" i="5"/>
  <c r="D3119" i="5" s="1"/>
  <c r="E3039" i="5"/>
  <c r="F3039" i="5" s="1"/>
  <c r="A3039" i="5"/>
  <c r="E2845" i="5"/>
  <c r="F2845" i="5" s="1"/>
  <c r="D2845" i="5" l="1"/>
  <c r="B2845" i="5"/>
  <c r="B3039" i="5"/>
  <c r="D3039" i="5"/>
  <c r="M4175" i="5"/>
  <c r="N4175" i="5" s="1"/>
  <c r="J4175" i="5"/>
  <c r="K4175" i="5" s="1"/>
  <c r="M3039" i="5"/>
  <c r="J3039" i="5"/>
  <c r="H3039" i="5"/>
  <c r="I3039" i="5" s="1"/>
  <c r="M3119" i="5"/>
  <c r="N3119" i="5" s="1"/>
  <c r="J3119" i="5"/>
  <c r="K3119" i="5" s="1"/>
  <c r="M2845" i="5"/>
  <c r="J2845" i="5"/>
  <c r="H2845" i="5"/>
  <c r="I2845" i="5" s="1"/>
  <c r="F4413" i="5"/>
  <c r="G137" i="1" s="1"/>
  <c r="F2317" i="5"/>
  <c r="A1679" i="5"/>
  <c r="D1679" i="5" s="1"/>
  <c r="E1665" i="5"/>
  <c r="F1665" i="5" s="1"/>
  <c r="A1665" i="5"/>
  <c r="J137" i="1" l="1"/>
  <c r="W2315" i="5"/>
  <c r="X1643" i="5"/>
  <c r="K2845" i="5"/>
  <c r="N3039" i="5"/>
  <c r="B1665" i="5"/>
  <c r="D1665" i="5"/>
  <c r="N2845" i="5"/>
  <c r="K3039" i="5"/>
  <c r="M2317" i="5"/>
  <c r="J2317" i="5"/>
  <c r="H2317" i="5"/>
  <c r="I2317" i="5" s="1"/>
  <c r="M1665" i="5"/>
  <c r="J1665" i="5"/>
  <c r="H1665" i="5"/>
  <c r="I1665" i="5" s="1"/>
  <c r="M1679" i="5"/>
  <c r="N1679" i="5" s="1"/>
  <c r="J1679" i="5"/>
  <c r="K1679" i="5" s="1"/>
  <c r="F1675" i="5"/>
  <c r="F1676" i="5" s="1"/>
  <c r="I1643" i="5" s="1"/>
  <c r="F2333" i="5"/>
  <c r="E1455" i="5"/>
  <c r="F1455" i="5" s="1"/>
  <c r="A974" i="5"/>
  <c r="A973" i="5"/>
  <c r="E993" i="5"/>
  <c r="F993" i="5" s="1"/>
  <c r="A993" i="5"/>
  <c r="A2351" i="5"/>
  <c r="D2351" i="5" s="1"/>
  <c r="D2111" i="5"/>
  <c r="X971" i="5" l="1"/>
  <c r="N1665" i="5"/>
  <c r="N2317" i="5"/>
  <c r="K1665" i="5"/>
  <c r="B993" i="5"/>
  <c r="D993" i="5"/>
  <c r="K2317" i="5"/>
  <c r="B1455" i="5"/>
  <c r="D1455" i="5"/>
  <c r="B973" i="5"/>
  <c r="D973" i="5"/>
  <c r="D974" i="5"/>
  <c r="B974" i="5"/>
  <c r="M974" i="5"/>
  <c r="J974" i="5"/>
  <c r="H974" i="5"/>
  <c r="H1455" i="5"/>
  <c r="I1455" i="5" s="1"/>
  <c r="M1455" i="5"/>
  <c r="J1455" i="5"/>
  <c r="M973" i="5"/>
  <c r="J973" i="5"/>
  <c r="H973" i="5"/>
  <c r="M2351" i="5"/>
  <c r="N2351" i="5" s="1"/>
  <c r="J2351" i="5"/>
  <c r="K2351" i="5" s="1"/>
  <c r="M993" i="5"/>
  <c r="J993" i="5"/>
  <c r="H993" i="5"/>
  <c r="I993" i="5" s="1"/>
  <c r="M2111" i="5"/>
  <c r="N2111" i="5" s="1"/>
  <c r="J2111" i="5"/>
  <c r="K2111" i="5" s="1"/>
  <c r="F1003" i="5"/>
  <c r="F1004" i="5" s="1"/>
  <c r="I971" i="5" s="1"/>
  <c r="F1677" i="5"/>
  <c r="H202" i="6"/>
  <c r="F5920" i="5"/>
  <c r="A5920" i="5"/>
  <c r="F5919" i="5"/>
  <c r="A5919" i="5"/>
  <c r="E5918" i="5"/>
  <c r="F5918" i="5" s="1"/>
  <c r="A5918" i="5"/>
  <c r="A5952" i="5"/>
  <c r="D5952" i="5" s="1"/>
  <c r="E5937" i="5"/>
  <c r="F5937" i="5" s="1"/>
  <c r="E5917" i="5"/>
  <c r="F5917" i="5" s="1"/>
  <c r="E5870" i="5"/>
  <c r="F5870" i="5" s="1"/>
  <c r="A5870" i="5"/>
  <c r="X5915" i="5" l="1"/>
  <c r="W5915" i="5"/>
  <c r="K993" i="5"/>
  <c r="N1455" i="5"/>
  <c r="N993" i="5"/>
  <c r="N973" i="5"/>
  <c r="D5937" i="5"/>
  <c r="B5937" i="5"/>
  <c r="K1455" i="5"/>
  <c r="K974" i="5"/>
  <c r="K973" i="5"/>
  <c r="B5920" i="5"/>
  <c r="D5920" i="5"/>
  <c r="B5918" i="5"/>
  <c r="D5918" i="5"/>
  <c r="D5919" i="5"/>
  <c r="B5919" i="5"/>
  <c r="D5870" i="5"/>
  <c r="B5870" i="5"/>
  <c r="N974" i="5"/>
  <c r="D5917" i="5"/>
  <c r="B5917" i="5"/>
  <c r="M336" i="5"/>
  <c r="N336" i="5" s="1"/>
  <c r="J336" i="5"/>
  <c r="K336" i="5" s="1"/>
  <c r="J5917" i="5"/>
  <c r="H5917" i="5"/>
  <c r="I5917" i="5" s="1"/>
  <c r="M5917" i="5"/>
  <c r="H5920" i="5"/>
  <c r="I5920" i="5" s="1"/>
  <c r="J5920" i="5"/>
  <c r="M5920" i="5"/>
  <c r="M5918" i="5"/>
  <c r="J5918" i="5"/>
  <c r="H5918" i="5"/>
  <c r="I5918" i="5" s="1"/>
  <c r="M5952" i="5"/>
  <c r="N5952" i="5" s="1"/>
  <c r="J5952" i="5"/>
  <c r="K5952" i="5" s="1"/>
  <c r="M5870" i="5"/>
  <c r="J5870" i="5"/>
  <c r="H5870" i="5"/>
  <c r="I5870" i="5" s="1"/>
  <c r="M5919" i="5"/>
  <c r="J5919" i="5"/>
  <c r="H5919" i="5"/>
  <c r="I5919" i="5" s="1"/>
  <c r="J5937" i="5"/>
  <c r="H5937" i="5"/>
  <c r="I5937" i="5" s="1"/>
  <c r="M5937" i="5"/>
  <c r="F1005" i="5"/>
  <c r="F5933" i="5"/>
  <c r="F5947" i="5"/>
  <c r="F5948" i="5" s="1"/>
  <c r="I5915" i="5" s="1"/>
  <c r="A5904" i="5"/>
  <c r="D5904" i="5" s="1"/>
  <c r="D5567" i="5"/>
  <c r="B5531" i="5"/>
  <c r="E5531" i="5"/>
  <c r="C5150" i="5"/>
  <c r="D5183" i="5"/>
  <c r="A5136" i="5"/>
  <c r="D5136" i="5" s="1"/>
  <c r="E5101" i="5"/>
  <c r="F5101" i="5" s="1"/>
  <c r="A5101" i="5"/>
  <c r="O5531" i="5" l="1"/>
  <c r="P5531" i="5" s="1"/>
  <c r="G5531" i="5"/>
  <c r="U5531" i="5" s="1"/>
  <c r="W5099" i="5"/>
  <c r="G46" i="1"/>
  <c r="K5920" i="5"/>
  <c r="K5870" i="5"/>
  <c r="K5937" i="5"/>
  <c r="K5917" i="5"/>
  <c r="N5920" i="5"/>
  <c r="N5917" i="5"/>
  <c r="K5919" i="5"/>
  <c r="N5937" i="5"/>
  <c r="N5870" i="5"/>
  <c r="N5918" i="5"/>
  <c r="N5919" i="5"/>
  <c r="B5101" i="5"/>
  <c r="D5101" i="5"/>
  <c r="K5918" i="5"/>
  <c r="M5136" i="5"/>
  <c r="N5136" i="5" s="1"/>
  <c r="J5136" i="5"/>
  <c r="K5136" i="5" s="1"/>
  <c r="M5183" i="5"/>
  <c r="N5183" i="5" s="1"/>
  <c r="J5183" i="5"/>
  <c r="K5183" i="5" s="1"/>
  <c r="M5567" i="5"/>
  <c r="N5567" i="5" s="1"/>
  <c r="J5567" i="5"/>
  <c r="K5567" i="5" s="1"/>
  <c r="J5101" i="5"/>
  <c r="H5101" i="5"/>
  <c r="I5101" i="5" s="1"/>
  <c r="M5101" i="5"/>
  <c r="M5904" i="5"/>
  <c r="N5904" i="5" s="1"/>
  <c r="J5904" i="5"/>
  <c r="K5904" i="5" s="1"/>
  <c r="F5949" i="5"/>
  <c r="G172" i="1" s="1"/>
  <c r="F5117" i="5"/>
  <c r="J46" i="1" l="1"/>
  <c r="J172" i="1"/>
  <c r="N5101" i="5"/>
  <c r="K5101" i="5"/>
  <c r="L5567" i="5"/>
  <c r="T5531" i="5" s="1"/>
  <c r="V5531" i="5" s="1"/>
  <c r="A4607" i="5"/>
  <c r="D4607" i="5" s="1"/>
  <c r="M4607" i="5" l="1"/>
  <c r="N4607" i="5" s="1"/>
  <c r="J4607" i="5"/>
  <c r="K4607" i="5" s="1"/>
  <c r="A3552" i="5"/>
  <c r="D3552" i="5" s="1"/>
  <c r="A3504" i="5"/>
  <c r="D3504" i="5" s="1"/>
  <c r="D3167" i="5"/>
  <c r="A3120" i="5"/>
  <c r="D3120" i="5" s="1"/>
  <c r="A2481" i="5"/>
  <c r="E2465" i="5"/>
  <c r="F2465" i="5" s="1"/>
  <c r="A2465" i="5"/>
  <c r="E2866" i="5"/>
  <c r="F2866" i="5" s="1"/>
  <c r="A2866" i="5"/>
  <c r="E2865" i="5"/>
  <c r="F2865" i="5" s="1"/>
  <c r="A2865" i="5"/>
  <c r="E2914" i="5"/>
  <c r="F2914" i="5" s="1"/>
  <c r="E2913" i="5"/>
  <c r="F2913" i="5" s="1"/>
  <c r="A2914" i="5"/>
  <c r="A2913" i="5"/>
  <c r="A2735" i="5"/>
  <c r="D2735" i="5" s="1"/>
  <c r="D2879" i="5"/>
  <c r="A2639" i="5"/>
  <c r="D2639" i="5" s="1"/>
  <c r="E2464" i="5"/>
  <c r="F2464" i="5" s="1"/>
  <c r="A2464" i="5"/>
  <c r="E2481" i="5"/>
  <c r="F2481" i="5" s="1"/>
  <c r="A2495" i="5"/>
  <c r="D2495" i="5" s="1"/>
  <c r="D2447" i="5"/>
  <c r="X2843" i="5" l="1"/>
  <c r="X2459" i="5"/>
  <c r="X2891" i="5"/>
  <c r="D2914" i="5"/>
  <c r="B2914" i="5"/>
  <c r="D2481" i="5"/>
  <c r="B2481" i="5"/>
  <c r="B2913" i="5"/>
  <c r="D2913" i="5"/>
  <c r="D2865" i="5"/>
  <c r="B2865" i="5"/>
  <c r="B2866" i="5"/>
  <c r="D2866" i="5"/>
  <c r="D2464" i="5"/>
  <c r="B2464" i="5"/>
  <c r="D2465" i="5"/>
  <c r="B2465" i="5"/>
  <c r="M2639" i="5"/>
  <c r="N2639" i="5" s="1"/>
  <c r="J2639" i="5"/>
  <c r="K2639" i="5" s="1"/>
  <c r="H2703" i="5"/>
  <c r="I2703" i="5" s="1"/>
  <c r="M2703" i="5"/>
  <c r="J2703" i="5"/>
  <c r="M2865" i="5"/>
  <c r="J2865" i="5"/>
  <c r="H2865" i="5"/>
  <c r="I2865" i="5" s="1"/>
  <c r="M2465" i="5"/>
  <c r="J2465" i="5"/>
  <c r="H2465" i="5"/>
  <c r="I2465" i="5" s="1"/>
  <c r="M2481" i="5"/>
  <c r="J2481" i="5"/>
  <c r="H2481" i="5"/>
  <c r="I2481" i="5" s="1"/>
  <c r="M2495" i="5"/>
  <c r="N2495" i="5" s="1"/>
  <c r="J2495" i="5"/>
  <c r="K2495" i="5" s="1"/>
  <c r="M2914" i="5"/>
  <c r="J2914" i="5"/>
  <c r="H2914" i="5"/>
  <c r="I2914" i="5" s="1"/>
  <c r="M2447" i="5"/>
  <c r="N2447" i="5" s="1"/>
  <c r="J2447" i="5"/>
  <c r="K2447" i="5" s="1"/>
  <c r="M2879" i="5"/>
  <c r="N2879" i="5" s="1"/>
  <c r="J2879" i="5"/>
  <c r="K2879" i="5" s="1"/>
  <c r="M2866" i="5"/>
  <c r="J2866" i="5"/>
  <c r="H2866" i="5"/>
  <c r="I2866" i="5" s="1"/>
  <c r="J3120" i="5"/>
  <c r="K3120" i="5" s="1"/>
  <c r="M3120" i="5"/>
  <c r="N3120" i="5" s="1"/>
  <c r="M2913" i="5"/>
  <c r="J2913" i="5"/>
  <c r="H2913" i="5"/>
  <c r="I2913" i="5" s="1"/>
  <c r="M3167" i="5"/>
  <c r="N3167" i="5" s="1"/>
  <c r="J3167" i="5"/>
  <c r="K3167" i="5" s="1"/>
  <c r="M2735" i="5"/>
  <c r="N2735" i="5" s="1"/>
  <c r="J2735" i="5"/>
  <c r="K2735" i="5" s="1"/>
  <c r="J2464" i="5"/>
  <c r="H2464" i="5"/>
  <c r="I2464" i="5" s="1"/>
  <c r="M2464" i="5"/>
  <c r="M3504" i="5"/>
  <c r="N3504" i="5" s="1"/>
  <c r="J3504" i="5"/>
  <c r="K3504" i="5" s="1"/>
  <c r="M3552" i="5"/>
  <c r="N3552" i="5" s="1"/>
  <c r="J3552" i="5"/>
  <c r="K3552" i="5" s="1"/>
  <c r="F2875" i="5"/>
  <c r="F2876" i="5" s="1"/>
  <c r="I2843" i="5" s="1"/>
  <c r="F2923" i="5"/>
  <c r="F2924" i="5" s="1"/>
  <c r="I2891" i="5" s="1"/>
  <c r="F2491" i="5"/>
  <c r="F2492" i="5" s="1"/>
  <c r="I2459" i="5" s="1"/>
  <c r="E1935" i="5"/>
  <c r="F1935" i="5" s="1"/>
  <c r="A1935" i="5"/>
  <c r="E1934" i="5"/>
  <c r="F1934" i="5" s="1"/>
  <c r="A1934" i="5"/>
  <c r="E1933" i="5"/>
  <c r="F1933" i="5" s="1"/>
  <c r="A1933" i="5"/>
  <c r="A1967" i="5"/>
  <c r="D1967" i="5" s="1"/>
  <c r="A1823" i="5"/>
  <c r="D1823" i="5" s="1"/>
  <c r="A1775" i="5"/>
  <c r="D1775" i="5" s="1"/>
  <c r="A1727" i="5"/>
  <c r="D1727" i="5" s="1"/>
  <c r="E1553" i="5"/>
  <c r="F1553" i="5" s="1"/>
  <c r="A1553" i="5"/>
  <c r="E1458" i="5"/>
  <c r="F1458" i="5" s="1"/>
  <c r="A1458" i="5"/>
  <c r="E1457" i="5"/>
  <c r="F1457" i="5" s="1"/>
  <c r="A1457" i="5"/>
  <c r="E1119" i="5"/>
  <c r="F1119" i="5" s="1"/>
  <c r="A1119" i="5"/>
  <c r="E1118" i="5"/>
  <c r="F1118" i="5" s="1"/>
  <c r="A1118" i="5"/>
  <c r="E1117" i="5"/>
  <c r="F1117" i="5" s="1"/>
  <c r="A1117" i="5"/>
  <c r="W1115" i="5" l="1"/>
  <c r="W1931" i="5"/>
  <c r="K2914" i="5"/>
  <c r="K2866" i="5"/>
  <c r="N2464" i="5"/>
  <c r="N2481" i="5"/>
  <c r="N2865" i="5"/>
  <c r="K2481" i="5"/>
  <c r="K2913" i="5"/>
  <c r="K2465" i="5"/>
  <c r="K2703" i="5"/>
  <c r="N2913" i="5"/>
  <c r="K2464" i="5"/>
  <c r="N2866" i="5"/>
  <c r="N2914" i="5"/>
  <c r="N2465" i="5"/>
  <c r="K2865" i="5"/>
  <c r="B1457" i="5"/>
  <c r="D1457" i="5"/>
  <c r="B1117" i="5"/>
  <c r="D1117" i="5"/>
  <c r="D1118" i="5"/>
  <c r="B1118" i="5"/>
  <c r="D1119" i="5"/>
  <c r="B1119" i="5"/>
  <c r="D1935" i="5"/>
  <c r="B1935" i="5"/>
  <c r="B1458" i="5"/>
  <c r="D1458" i="5"/>
  <c r="D1933" i="5"/>
  <c r="B1933" i="5"/>
  <c r="D1553" i="5"/>
  <c r="B1553" i="5"/>
  <c r="D1934" i="5"/>
  <c r="B1934" i="5"/>
  <c r="N2703" i="5"/>
  <c r="M1117" i="5"/>
  <c r="J1117" i="5"/>
  <c r="H1117" i="5"/>
  <c r="I1117" i="5" s="1"/>
  <c r="M1118" i="5"/>
  <c r="J1118" i="5"/>
  <c r="H1118" i="5"/>
  <c r="I1118" i="5" s="1"/>
  <c r="M1553" i="5"/>
  <c r="J1553" i="5"/>
  <c r="H1553" i="5"/>
  <c r="I1553" i="5" s="1"/>
  <c r="M1934" i="5"/>
  <c r="J1934" i="5"/>
  <c r="H1934" i="5"/>
  <c r="I1934" i="5" s="1"/>
  <c r="H1933" i="5"/>
  <c r="I1933" i="5" s="1"/>
  <c r="M1933" i="5"/>
  <c r="J1933" i="5"/>
  <c r="M1119" i="5"/>
  <c r="J1119" i="5"/>
  <c r="H1119" i="5"/>
  <c r="I1119" i="5" s="1"/>
  <c r="M1727" i="5"/>
  <c r="N1727" i="5" s="1"/>
  <c r="J1727" i="5"/>
  <c r="K1727" i="5" s="1"/>
  <c r="M1935" i="5"/>
  <c r="H1935" i="5"/>
  <c r="I1935" i="5" s="1"/>
  <c r="J1935" i="5"/>
  <c r="M1775" i="5"/>
  <c r="N1775" i="5" s="1"/>
  <c r="J1775" i="5"/>
  <c r="K1775" i="5" s="1"/>
  <c r="M1458" i="5"/>
  <c r="J1458" i="5"/>
  <c r="H1458" i="5"/>
  <c r="I1458" i="5" s="1"/>
  <c r="M1457" i="5"/>
  <c r="J1457" i="5"/>
  <c r="H1457" i="5"/>
  <c r="I1457" i="5" s="1"/>
  <c r="M1823" i="5"/>
  <c r="N1823" i="5" s="1"/>
  <c r="J1823" i="5"/>
  <c r="K1823" i="5" s="1"/>
  <c r="M1967" i="5"/>
  <c r="N1967" i="5" s="1"/>
  <c r="J1967" i="5"/>
  <c r="K1967" i="5" s="1"/>
  <c r="F2493" i="5"/>
  <c r="F2925" i="5"/>
  <c r="F2877" i="5"/>
  <c r="F1133" i="5"/>
  <c r="F1949" i="5"/>
  <c r="N1118" i="5" l="1"/>
  <c r="K1457" i="5"/>
  <c r="K1553" i="5"/>
  <c r="N1933" i="5"/>
  <c r="N1117" i="5"/>
  <c r="N1458" i="5"/>
  <c r="K1935" i="5"/>
  <c r="K1934" i="5"/>
  <c r="N1934" i="5"/>
  <c r="N1935" i="5"/>
  <c r="K1458" i="5"/>
  <c r="K1119" i="5"/>
  <c r="K1117" i="5"/>
  <c r="N1457" i="5"/>
  <c r="K1118" i="5"/>
  <c r="K1933" i="5"/>
  <c r="N1119" i="5"/>
  <c r="N1553" i="5"/>
  <c r="E980" i="5" l="1"/>
  <c r="F980" i="5" s="1"/>
  <c r="E979" i="5"/>
  <c r="F979" i="5" s="1"/>
  <c r="E978" i="5"/>
  <c r="F978" i="5" s="1"/>
  <c r="E977" i="5"/>
  <c r="F977" i="5" s="1"/>
  <c r="E976" i="5"/>
  <c r="F976" i="5" s="1"/>
  <c r="E975" i="5"/>
  <c r="F975" i="5" s="1"/>
  <c r="E974" i="5"/>
  <c r="E973" i="5"/>
  <c r="F973" i="5" l="1"/>
  <c r="I973" i="5"/>
  <c r="F974" i="5"/>
  <c r="I974" i="5"/>
  <c r="W971" i="5" l="1"/>
  <c r="F989" i="5"/>
  <c r="A979" i="5"/>
  <c r="A978" i="5"/>
  <c r="A976" i="5"/>
  <c r="A975" i="5"/>
  <c r="D978" i="5" l="1"/>
  <c r="B978" i="5"/>
  <c r="D979" i="5"/>
  <c r="B979" i="5"/>
  <c r="D976" i="5"/>
  <c r="B976" i="5"/>
  <c r="B975" i="5"/>
  <c r="D975" i="5"/>
  <c r="M975" i="5"/>
  <c r="J975" i="5"/>
  <c r="H975" i="5"/>
  <c r="I975" i="5" s="1"/>
  <c r="J976" i="5"/>
  <c r="H976" i="5"/>
  <c r="I976" i="5" s="1"/>
  <c r="M976" i="5"/>
  <c r="M978" i="5"/>
  <c r="J978" i="5"/>
  <c r="H978" i="5"/>
  <c r="I978" i="5" s="1"/>
  <c r="H979" i="5"/>
  <c r="I979" i="5" s="1"/>
  <c r="M979" i="5"/>
  <c r="J979" i="5"/>
  <c r="D671" i="5"/>
  <c r="F609" i="5"/>
  <c r="D623" i="5"/>
  <c r="X587" i="5" l="1"/>
  <c r="N978" i="5"/>
  <c r="N979" i="5"/>
  <c r="K975" i="5"/>
  <c r="K978" i="5"/>
  <c r="K979" i="5"/>
  <c r="N976" i="5"/>
  <c r="B609" i="5"/>
  <c r="D609" i="5"/>
  <c r="N975" i="5"/>
  <c r="K976" i="5"/>
  <c r="M623" i="5"/>
  <c r="N623" i="5" s="1"/>
  <c r="J623" i="5"/>
  <c r="K623" i="5" s="1"/>
  <c r="M609" i="5"/>
  <c r="J609" i="5"/>
  <c r="H609" i="5"/>
  <c r="I609" i="5" s="1"/>
  <c r="M671" i="5"/>
  <c r="N671" i="5" s="1"/>
  <c r="J671" i="5"/>
  <c r="K671" i="5" s="1"/>
  <c r="F619" i="5"/>
  <c r="D432" i="5"/>
  <c r="D431" i="5"/>
  <c r="D383" i="5"/>
  <c r="D288" i="5"/>
  <c r="D287" i="5"/>
  <c r="N609" i="5" l="1"/>
  <c r="K609" i="5"/>
  <c r="M383" i="5"/>
  <c r="N383" i="5" s="1"/>
  <c r="J383" i="5"/>
  <c r="K383" i="5" s="1"/>
  <c r="M431" i="5"/>
  <c r="N431" i="5" s="1"/>
  <c r="J431" i="5"/>
  <c r="K431" i="5" s="1"/>
  <c r="M288" i="5"/>
  <c r="N288" i="5" s="1"/>
  <c r="J288" i="5"/>
  <c r="K288" i="5" s="1"/>
  <c r="M432" i="5"/>
  <c r="N432" i="5" s="1"/>
  <c r="J432" i="5"/>
  <c r="K432" i="5" s="1"/>
  <c r="M287" i="5"/>
  <c r="N287" i="5" s="1"/>
  <c r="J287" i="5"/>
  <c r="K287" i="5" s="1"/>
  <c r="F620" i="5"/>
  <c r="I587" i="5" s="1"/>
  <c r="D335" i="5"/>
  <c r="M335" i="5" l="1"/>
  <c r="N335" i="5" s="1"/>
  <c r="J335" i="5"/>
  <c r="K335" i="5" s="1"/>
  <c r="F621" i="5"/>
  <c r="D3456" i="5" l="1"/>
  <c r="D3455" i="5"/>
  <c r="D3360" i="5"/>
  <c r="D3312" i="5"/>
  <c r="E3035" i="5"/>
  <c r="E3038" i="5"/>
  <c r="F3038" i="5" s="1"/>
  <c r="E3037" i="5"/>
  <c r="F3037" i="5" s="1"/>
  <c r="D3072" i="5"/>
  <c r="D3071" i="5"/>
  <c r="A3035" i="5"/>
  <c r="B3035" i="5"/>
  <c r="E3230" i="5"/>
  <c r="F3230" i="5" s="1"/>
  <c r="E3229" i="5"/>
  <c r="F3229" i="5" s="1"/>
  <c r="D3264" i="5"/>
  <c r="D3263" i="5"/>
  <c r="E3227" i="5"/>
  <c r="B3227" i="5"/>
  <c r="D3408" i="5"/>
  <c r="E3376" i="5"/>
  <c r="F3376" i="5" s="1"/>
  <c r="E3375" i="5"/>
  <c r="F3375" i="5" s="1"/>
  <c r="E3374" i="5"/>
  <c r="F3374" i="5" s="1"/>
  <c r="E3373" i="5"/>
  <c r="F3373" i="5" s="1"/>
  <c r="E3371" i="5"/>
  <c r="B3371" i="5"/>
  <c r="E3422" i="5"/>
  <c r="F3422" i="5" s="1"/>
  <c r="E3421" i="5"/>
  <c r="F3421" i="5" s="1"/>
  <c r="O3035" i="5" l="1"/>
  <c r="P3035" i="5" s="1"/>
  <c r="G3035" i="5"/>
  <c r="U3035" i="5" s="1"/>
  <c r="O3227" i="5"/>
  <c r="P3227" i="5" s="1"/>
  <c r="G3227" i="5"/>
  <c r="U3227" i="5" s="1"/>
  <c r="O3371" i="5"/>
  <c r="P3371" i="5" s="1"/>
  <c r="G3371" i="5"/>
  <c r="U3371" i="5" s="1"/>
  <c r="W3419" i="5"/>
  <c r="W3035" i="5"/>
  <c r="W3371" i="5"/>
  <c r="W3227" i="5"/>
  <c r="B3229" i="5"/>
  <c r="D3229" i="5"/>
  <c r="D3373" i="5"/>
  <c r="B3373" i="5"/>
  <c r="B3374" i="5"/>
  <c r="D3374" i="5"/>
  <c r="B3422" i="5"/>
  <c r="D3422" i="5"/>
  <c r="B3230" i="5"/>
  <c r="D3230" i="5"/>
  <c r="B3421" i="5"/>
  <c r="D3421" i="5"/>
  <c r="B3038" i="5"/>
  <c r="D3038" i="5"/>
  <c r="D3376" i="5"/>
  <c r="B3376" i="5"/>
  <c r="D3375" i="5"/>
  <c r="B3375" i="5"/>
  <c r="B3037" i="5"/>
  <c r="D3037" i="5"/>
  <c r="J3376" i="5"/>
  <c r="H3376" i="5"/>
  <c r="I3376" i="5" s="1"/>
  <c r="M3376" i="5"/>
  <c r="J3264" i="5"/>
  <c r="K3264" i="5" s="1"/>
  <c r="M3264" i="5"/>
  <c r="N3264" i="5" s="1"/>
  <c r="M3375" i="5"/>
  <c r="J3375" i="5"/>
  <c r="H3375" i="5"/>
  <c r="I3375" i="5" s="1"/>
  <c r="M3229" i="5"/>
  <c r="J3229" i="5"/>
  <c r="H3229" i="5"/>
  <c r="I3229" i="5" s="1"/>
  <c r="M3263" i="5"/>
  <c r="N3263" i="5" s="1"/>
  <c r="J3263" i="5"/>
  <c r="K3263" i="5" s="1"/>
  <c r="M3373" i="5"/>
  <c r="J3373" i="5"/>
  <c r="H3373" i="5"/>
  <c r="I3373" i="5" s="1"/>
  <c r="M3312" i="5"/>
  <c r="N3312" i="5" s="1"/>
  <c r="J3312" i="5"/>
  <c r="K3312" i="5" s="1"/>
  <c r="M3421" i="5"/>
  <c r="J3421" i="5"/>
  <c r="H3421" i="5"/>
  <c r="I3421" i="5" s="1"/>
  <c r="M3408" i="5"/>
  <c r="N3408" i="5" s="1"/>
  <c r="J3408" i="5"/>
  <c r="K3408" i="5" s="1"/>
  <c r="M3422" i="5"/>
  <c r="J3422" i="5"/>
  <c r="H3422" i="5"/>
  <c r="I3422" i="5" s="1"/>
  <c r="M3374" i="5"/>
  <c r="J3374" i="5"/>
  <c r="H3374" i="5"/>
  <c r="I3374" i="5" s="1"/>
  <c r="M3037" i="5"/>
  <c r="J3037" i="5"/>
  <c r="H3037" i="5"/>
  <c r="I3037" i="5" s="1"/>
  <c r="J3360" i="5"/>
  <c r="K3360" i="5" s="1"/>
  <c r="M3360" i="5"/>
  <c r="N3360" i="5" s="1"/>
  <c r="M3038" i="5"/>
  <c r="J3038" i="5"/>
  <c r="H3038" i="5"/>
  <c r="I3038" i="5" s="1"/>
  <c r="M3455" i="5"/>
  <c r="N3455" i="5" s="1"/>
  <c r="J3455" i="5"/>
  <c r="K3455" i="5" s="1"/>
  <c r="M3071" i="5"/>
  <c r="N3071" i="5" s="1"/>
  <c r="J3071" i="5"/>
  <c r="K3071" i="5" s="1"/>
  <c r="M3456" i="5"/>
  <c r="N3456" i="5" s="1"/>
  <c r="J3456" i="5"/>
  <c r="K3456" i="5" s="1"/>
  <c r="M3230" i="5"/>
  <c r="J3230" i="5"/>
  <c r="H3230" i="5"/>
  <c r="I3230" i="5" s="1"/>
  <c r="M3072" i="5"/>
  <c r="N3072" i="5" s="1"/>
  <c r="J3072" i="5"/>
  <c r="K3072" i="5" s="1"/>
  <c r="F3437" i="5"/>
  <c r="F3245" i="5"/>
  <c r="F3389" i="5"/>
  <c r="F3053" i="5"/>
  <c r="K3230" i="5" l="1"/>
  <c r="K3229" i="5"/>
  <c r="K3037" i="5"/>
  <c r="N3230" i="5"/>
  <c r="K3421" i="5"/>
  <c r="N3375" i="5"/>
  <c r="N3037" i="5"/>
  <c r="N3038" i="5"/>
  <c r="N3374" i="5"/>
  <c r="K3038" i="5"/>
  <c r="K3374" i="5"/>
  <c r="N3373" i="5"/>
  <c r="K3375" i="5"/>
  <c r="N3421" i="5"/>
  <c r="K3373" i="5"/>
  <c r="N3229" i="5"/>
  <c r="N3422" i="5"/>
  <c r="K3376" i="5"/>
  <c r="N3376" i="5"/>
  <c r="K3422" i="5"/>
  <c r="L3057" i="5"/>
  <c r="L3072" i="5"/>
  <c r="L3039" i="5"/>
  <c r="L3071" i="5"/>
  <c r="L3038" i="5"/>
  <c r="L3058" i="5"/>
  <c r="L3037" i="5"/>
  <c r="L3249" i="5"/>
  <c r="L3229" i="5"/>
  <c r="L3264" i="5"/>
  <c r="L3263" i="5"/>
  <c r="L3230" i="5"/>
  <c r="L3250" i="5"/>
  <c r="L3393" i="5"/>
  <c r="L3376" i="5"/>
  <c r="L3408" i="5"/>
  <c r="L3375" i="5"/>
  <c r="L3407" i="5"/>
  <c r="L3374" i="5"/>
  <c r="L3394" i="5"/>
  <c r="L3377" i="5"/>
  <c r="L3373" i="5"/>
  <c r="E4958" i="5"/>
  <c r="F4958" i="5" s="1"/>
  <c r="E4957" i="5"/>
  <c r="F4957" i="5" s="1"/>
  <c r="D4992" i="5"/>
  <c r="D4991" i="5"/>
  <c r="E4955" i="5"/>
  <c r="B4955" i="5"/>
  <c r="D3218" i="5"/>
  <c r="D3217" i="5"/>
  <c r="D3216" i="5"/>
  <c r="E3183" i="5"/>
  <c r="F3183" i="5" s="1"/>
  <c r="E3182" i="5"/>
  <c r="F3182" i="5" s="1"/>
  <c r="E3181" i="5"/>
  <c r="F3181" i="5" s="1"/>
  <c r="E3179" i="5"/>
  <c r="B3179" i="5"/>
  <c r="A3179" i="5"/>
  <c r="B3275" i="5"/>
  <c r="A3275" i="5"/>
  <c r="E3275" i="5"/>
  <c r="D1441" i="5"/>
  <c r="D1440" i="5"/>
  <c r="D1439" i="5"/>
  <c r="F1425" i="5"/>
  <c r="F1408" i="5"/>
  <c r="F1406" i="5"/>
  <c r="E1403" i="5"/>
  <c r="B1403" i="5"/>
  <c r="A1403" i="5"/>
  <c r="O1403" i="5" l="1"/>
  <c r="P1403" i="5" s="1"/>
  <c r="G1403" i="5"/>
  <c r="O3179" i="5"/>
  <c r="P3179" i="5" s="1"/>
  <c r="O4955" i="5"/>
  <c r="P4955" i="5" s="1"/>
  <c r="G4955" i="5"/>
  <c r="U4955" i="5" s="1"/>
  <c r="G3275" i="5"/>
  <c r="U3275" i="5" s="1"/>
  <c r="O3275" i="5"/>
  <c r="P3275" i="5" s="1"/>
  <c r="W3179" i="5"/>
  <c r="W4955" i="5"/>
  <c r="X1403" i="5"/>
  <c r="T3371" i="5"/>
  <c r="V3371" i="5" s="1"/>
  <c r="T3227" i="5"/>
  <c r="V3227" i="5" s="1"/>
  <c r="T3035" i="5"/>
  <c r="V3035" i="5" s="1"/>
  <c r="D1473" i="5"/>
  <c r="B1473" i="5"/>
  <c r="D1425" i="5"/>
  <c r="B1425" i="5"/>
  <c r="D4958" i="5"/>
  <c r="B4958" i="5"/>
  <c r="D3182" i="5"/>
  <c r="B3182" i="5"/>
  <c r="D1407" i="5"/>
  <c r="B1407" i="5"/>
  <c r="D4957" i="5"/>
  <c r="B4957" i="5"/>
  <c r="D1408" i="5"/>
  <c r="B1408" i="5"/>
  <c r="B1405" i="5"/>
  <c r="D1405" i="5"/>
  <c r="B3181" i="5"/>
  <c r="D3181" i="5"/>
  <c r="D1406" i="5"/>
  <c r="B1406" i="5"/>
  <c r="D3183" i="5"/>
  <c r="B3183" i="5"/>
  <c r="M1439" i="5"/>
  <c r="N1439" i="5" s="1"/>
  <c r="J1439" i="5"/>
  <c r="K1439" i="5" s="1"/>
  <c r="M1473" i="5"/>
  <c r="J1473" i="5"/>
  <c r="H1473" i="5"/>
  <c r="M3183" i="5"/>
  <c r="J3183" i="5"/>
  <c r="H3183" i="5"/>
  <c r="I3183" i="5" s="1"/>
  <c r="M3218" i="5"/>
  <c r="N3218" i="5" s="1"/>
  <c r="J3218" i="5"/>
  <c r="K3218" i="5" s="1"/>
  <c r="J1440" i="5"/>
  <c r="K1440" i="5" s="1"/>
  <c r="M1440" i="5"/>
  <c r="N1440" i="5" s="1"/>
  <c r="M3182" i="5"/>
  <c r="J3182" i="5"/>
  <c r="H3182" i="5"/>
  <c r="I3182" i="5" s="1"/>
  <c r="M1441" i="5"/>
  <c r="N1441" i="5" s="1"/>
  <c r="J1441" i="5"/>
  <c r="K1441" i="5" s="1"/>
  <c r="M3181" i="5"/>
  <c r="J3181" i="5"/>
  <c r="H3181" i="5"/>
  <c r="I3181" i="5" s="1"/>
  <c r="M4957" i="5"/>
  <c r="J4957" i="5"/>
  <c r="H4957" i="5"/>
  <c r="I4957" i="5" s="1"/>
  <c r="M4958" i="5"/>
  <c r="J4958" i="5"/>
  <c r="H4958" i="5"/>
  <c r="I4958" i="5" s="1"/>
  <c r="M1406" i="5"/>
  <c r="J1406" i="5"/>
  <c r="H1406" i="5"/>
  <c r="I1406" i="5" s="1"/>
  <c r="M4991" i="5"/>
  <c r="N4991" i="5" s="1"/>
  <c r="J4991" i="5"/>
  <c r="K4991" i="5" s="1"/>
  <c r="M4992" i="5"/>
  <c r="N4992" i="5" s="1"/>
  <c r="J4992" i="5"/>
  <c r="K4992" i="5" s="1"/>
  <c r="J1408" i="5"/>
  <c r="H1408" i="5"/>
  <c r="I1408" i="5" s="1"/>
  <c r="M1408" i="5"/>
  <c r="J3216" i="5"/>
  <c r="K3216" i="5" s="1"/>
  <c r="M3216" i="5"/>
  <c r="N3216" i="5" s="1"/>
  <c r="M1405" i="5"/>
  <c r="J1405" i="5"/>
  <c r="H1405" i="5"/>
  <c r="I1405" i="5" s="1"/>
  <c r="M1407" i="5"/>
  <c r="J1407" i="5"/>
  <c r="H1407" i="5"/>
  <c r="I1407" i="5" s="1"/>
  <c r="M1425" i="5"/>
  <c r="J1425" i="5"/>
  <c r="H1425" i="5"/>
  <c r="I1425" i="5" s="1"/>
  <c r="M3217" i="5"/>
  <c r="N3217" i="5" s="1"/>
  <c r="J3217" i="5"/>
  <c r="K3217" i="5" s="1"/>
  <c r="F3197" i="5"/>
  <c r="F1435" i="5"/>
  <c r="F1436" i="5" s="1"/>
  <c r="I1403" i="5" s="1"/>
  <c r="F4973" i="5"/>
  <c r="L3297" i="5" l="1"/>
  <c r="L3298" i="5"/>
  <c r="N1425" i="5"/>
  <c r="K1406" i="5"/>
  <c r="N1407" i="5"/>
  <c r="K1407" i="5"/>
  <c r="K1425" i="5"/>
  <c r="K4958" i="5"/>
  <c r="N1406" i="5"/>
  <c r="K1473" i="5"/>
  <c r="N3181" i="5"/>
  <c r="N1405" i="5"/>
  <c r="K3182" i="5"/>
  <c r="K3181" i="5"/>
  <c r="N1473" i="5"/>
  <c r="N4958" i="5"/>
  <c r="N3182" i="5"/>
  <c r="N4957" i="5"/>
  <c r="K4957" i="5"/>
  <c r="K1408" i="5"/>
  <c r="K1405" i="5"/>
  <c r="N1408" i="5"/>
  <c r="N3183" i="5"/>
  <c r="K3183" i="5"/>
  <c r="L4957" i="5"/>
  <c r="L4992" i="5"/>
  <c r="L4991" i="5"/>
  <c r="L4958" i="5"/>
  <c r="L1425" i="5"/>
  <c r="L1406" i="5"/>
  <c r="L1409" i="5"/>
  <c r="L1441" i="5"/>
  <c r="L1408" i="5"/>
  <c r="L1440" i="5"/>
  <c r="L1439" i="5"/>
  <c r="L3277" i="5"/>
  <c r="L3312" i="5"/>
  <c r="L3279" i="5"/>
  <c r="L3311" i="5"/>
  <c r="L3278" i="5"/>
  <c r="F1437" i="5"/>
  <c r="E1473" i="5"/>
  <c r="F1473" i="5" s="1"/>
  <c r="C1407" i="5"/>
  <c r="F1407" i="5" s="1"/>
  <c r="C1405" i="5"/>
  <c r="F1405" i="5" l="1"/>
  <c r="W1403" i="5" s="1"/>
  <c r="U1403" i="5"/>
  <c r="X1451" i="5"/>
  <c r="T4955" i="5"/>
  <c r="V4955" i="5" s="1"/>
  <c r="T3275" i="5"/>
  <c r="V3275" i="5" s="1"/>
  <c r="L1405" i="5"/>
  <c r="L1407" i="5"/>
  <c r="I1473" i="5"/>
  <c r="F1483" i="5"/>
  <c r="F1484" i="5" s="1"/>
  <c r="I1451" i="5" s="1"/>
  <c r="E1552" i="5"/>
  <c r="F1552" i="5" s="1"/>
  <c r="E1551" i="5"/>
  <c r="F1551" i="5" s="1"/>
  <c r="E1550" i="5"/>
  <c r="F1550" i="5" s="1"/>
  <c r="E1549" i="5"/>
  <c r="F1549" i="5" s="1"/>
  <c r="D1584" i="5"/>
  <c r="D1583" i="5"/>
  <c r="E1456" i="5"/>
  <c r="E1454" i="5"/>
  <c r="F1454" i="5" s="1"/>
  <c r="E1453" i="5"/>
  <c r="D1488" i="5"/>
  <c r="D1487" i="5"/>
  <c r="C1456" i="5"/>
  <c r="C1453" i="5"/>
  <c r="E1451" i="5"/>
  <c r="B1451" i="5"/>
  <c r="A1451" i="5"/>
  <c r="D1008" i="5"/>
  <c r="D1007" i="5"/>
  <c r="E971" i="5"/>
  <c r="B971" i="5"/>
  <c r="A971" i="5"/>
  <c r="D2928" i="5"/>
  <c r="A2927" i="5"/>
  <c r="D2927" i="5" s="1"/>
  <c r="A48" i="5"/>
  <c r="D48" i="5" s="1"/>
  <c r="F1421" i="5" l="1"/>
  <c r="O971" i="5"/>
  <c r="P971" i="5" s="1"/>
  <c r="G971" i="5"/>
  <c r="U971" i="5" s="1"/>
  <c r="O1451" i="5"/>
  <c r="P1451" i="5" s="1"/>
  <c r="G1451" i="5"/>
  <c r="U1451" i="5" s="1"/>
  <c r="W1547" i="5"/>
  <c r="T1403" i="5"/>
  <c r="V1403" i="5" s="1"/>
  <c r="H37" i="5"/>
  <c r="I37" i="5" s="1"/>
  <c r="F1456" i="5"/>
  <c r="F1453" i="5"/>
  <c r="D35" i="5"/>
  <c r="B35" i="5"/>
  <c r="D1549" i="5"/>
  <c r="B1549" i="5"/>
  <c r="D977" i="5"/>
  <c r="B977" i="5"/>
  <c r="D1551" i="5"/>
  <c r="B1551" i="5"/>
  <c r="B980" i="5"/>
  <c r="D980" i="5"/>
  <c r="B1454" i="5"/>
  <c r="D1454" i="5"/>
  <c r="B1550" i="5"/>
  <c r="D1550" i="5"/>
  <c r="D1456" i="5"/>
  <c r="B1456" i="5"/>
  <c r="B1552" i="5"/>
  <c r="D1552" i="5"/>
  <c r="D1453" i="5"/>
  <c r="B1453" i="5"/>
  <c r="M1007" i="5"/>
  <c r="N1007" i="5" s="1"/>
  <c r="J1007" i="5"/>
  <c r="K1007" i="5" s="1"/>
  <c r="M1487" i="5"/>
  <c r="N1487" i="5" s="1"/>
  <c r="J1487" i="5"/>
  <c r="K1487" i="5" s="1"/>
  <c r="J1552" i="5"/>
  <c r="H1552" i="5"/>
  <c r="I1552" i="5" s="1"/>
  <c r="M1552" i="5"/>
  <c r="J1488" i="5"/>
  <c r="K1488" i="5" s="1"/>
  <c r="M1488" i="5"/>
  <c r="N1488" i="5" s="1"/>
  <c r="J1008" i="5"/>
  <c r="K1008" i="5" s="1"/>
  <c r="M1008" i="5"/>
  <c r="N1008" i="5" s="1"/>
  <c r="M2927" i="5"/>
  <c r="N2927" i="5" s="1"/>
  <c r="J2927" i="5"/>
  <c r="K2927" i="5" s="1"/>
  <c r="M2928" i="5"/>
  <c r="N2928" i="5" s="1"/>
  <c r="J2928" i="5"/>
  <c r="K2928" i="5" s="1"/>
  <c r="M1453" i="5"/>
  <c r="J1453" i="5"/>
  <c r="H1453" i="5"/>
  <c r="I1453" i="5" s="1"/>
  <c r="M1583" i="5"/>
  <c r="N1583" i="5" s="1"/>
  <c r="J1583" i="5"/>
  <c r="K1583" i="5" s="1"/>
  <c r="M1454" i="5"/>
  <c r="J1454" i="5"/>
  <c r="H1454" i="5"/>
  <c r="I1454" i="5" s="1"/>
  <c r="M1584" i="5"/>
  <c r="N1584" i="5" s="1"/>
  <c r="J1584" i="5"/>
  <c r="K1584" i="5" s="1"/>
  <c r="M1549" i="5"/>
  <c r="J1549" i="5"/>
  <c r="H1549" i="5"/>
  <c r="I1549" i="5" s="1"/>
  <c r="J37" i="5"/>
  <c r="M37" i="5"/>
  <c r="M980" i="5"/>
  <c r="J980" i="5"/>
  <c r="H980" i="5"/>
  <c r="I980" i="5" s="1"/>
  <c r="M1550" i="5"/>
  <c r="J1550" i="5"/>
  <c r="H1550" i="5"/>
  <c r="I1550" i="5" s="1"/>
  <c r="M48" i="5"/>
  <c r="N48" i="5" s="1"/>
  <c r="J48" i="5"/>
  <c r="K48" i="5" s="1"/>
  <c r="M1456" i="5"/>
  <c r="J1456" i="5"/>
  <c r="H1456" i="5"/>
  <c r="I1456" i="5" s="1"/>
  <c r="J35" i="5"/>
  <c r="H35" i="5"/>
  <c r="I35" i="5" s="1"/>
  <c r="M35" i="5"/>
  <c r="M977" i="5"/>
  <c r="J977" i="5"/>
  <c r="H977" i="5"/>
  <c r="I977" i="5" s="1"/>
  <c r="M1551" i="5"/>
  <c r="J1551" i="5"/>
  <c r="H1551" i="5"/>
  <c r="I1551" i="5" s="1"/>
  <c r="F1485" i="5"/>
  <c r="F1565" i="5"/>
  <c r="W1451" i="5" l="1"/>
  <c r="X11" i="5"/>
  <c r="L978" i="5"/>
  <c r="L977" i="5"/>
  <c r="L976" i="5"/>
  <c r="L975" i="5"/>
  <c r="L974" i="5"/>
  <c r="L973" i="5"/>
  <c r="F1469" i="5"/>
  <c r="K977" i="5"/>
  <c r="N980" i="5"/>
  <c r="K35" i="5"/>
  <c r="K1551" i="5"/>
  <c r="N35" i="5"/>
  <c r="K980" i="5"/>
  <c r="N37" i="5"/>
  <c r="K37" i="5"/>
  <c r="N977" i="5"/>
  <c r="N1551" i="5"/>
  <c r="N1550" i="5"/>
  <c r="N1549" i="5"/>
  <c r="K1454" i="5"/>
  <c r="N1453" i="5"/>
  <c r="K1549" i="5"/>
  <c r="K1453" i="5"/>
  <c r="N1454" i="5"/>
  <c r="K1456" i="5"/>
  <c r="N1456" i="5"/>
  <c r="K1552" i="5"/>
  <c r="K1550" i="5"/>
  <c r="N1552" i="5"/>
  <c r="L1473" i="5"/>
  <c r="L1453" i="5"/>
  <c r="L1458" i="5"/>
  <c r="L1457" i="5"/>
  <c r="L1456" i="5"/>
  <c r="L1455" i="5"/>
  <c r="L1487" i="5"/>
  <c r="L1488" i="5"/>
  <c r="L1454" i="5"/>
  <c r="L980" i="5"/>
  <c r="L981" i="5"/>
  <c r="L993" i="5"/>
  <c r="L979" i="5"/>
  <c r="L1008" i="5"/>
  <c r="L1007" i="5"/>
  <c r="T971" i="5" l="1"/>
  <c r="V971" i="5" s="1"/>
  <c r="T1451" i="5"/>
  <c r="V1451" i="5" s="1"/>
  <c r="E3469" i="5"/>
  <c r="F3469" i="5" s="1"/>
  <c r="A3469" i="5"/>
  <c r="E3470" i="5"/>
  <c r="F3470" i="5" s="1"/>
  <c r="W3467" i="5" l="1"/>
  <c r="D3469" i="5"/>
  <c r="B3469" i="5"/>
  <c r="M3469" i="5"/>
  <c r="J3469" i="5"/>
  <c r="H3469" i="5"/>
  <c r="I3469" i="5" s="1"/>
  <c r="F3485" i="5"/>
  <c r="N3469" i="5" l="1"/>
  <c r="K3469" i="5"/>
  <c r="A6" i="5"/>
  <c r="A5" i="6"/>
  <c r="E3467" i="5" l="1"/>
  <c r="B3467" i="5"/>
  <c r="A3503" i="5"/>
  <c r="D3503" i="5" s="1"/>
  <c r="D41" i="4"/>
  <c r="C41" i="4"/>
  <c r="D35" i="4"/>
  <c r="C35" i="4"/>
  <c r="D24" i="4"/>
  <c r="C24" i="4"/>
  <c r="D42" i="4" l="1"/>
  <c r="D43" i="4"/>
  <c r="C42" i="4"/>
  <c r="C43" i="4"/>
  <c r="G3467" i="5"/>
  <c r="U3467" i="5" s="1"/>
  <c r="O3467" i="5"/>
  <c r="P3467" i="5" s="1"/>
  <c r="C44" i="4"/>
  <c r="C45" i="4" s="1"/>
  <c r="D3470" i="5"/>
  <c r="B3470" i="5"/>
  <c r="M3470" i="5"/>
  <c r="J3470" i="5"/>
  <c r="H3470" i="5"/>
  <c r="I3470" i="5" s="1"/>
  <c r="H4368" i="5"/>
  <c r="M3503" i="5"/>
  <c r="N3503" i="5" s="1"/>
  <c r="J3503" i="5"/>
  <c r="K3503" i="5" s="1"/>
  <c r="H4367" i="5"/>
  <c r="F4368" i="5"/>
  <c r="F4367" i="5"/>
  <c r="C775" i="5" l="1"/>
  <c r="C2071" i="5"/>
  <c r="C2023" i="5"/>
  <c r="F775" i="5"/>
  <c r="M731" i="5"/>
  <c r="C4279" i="5"/>
  <c r="C5719" i="5"/>
  <c r="C5671" i="5"/>
  <c r="C4471" i="5"/>
  <c r="C247" i="5"/>
  <c r="C151" i="5"/>
  <c r="C199" i="5"/>
  <c r="Y4331" i="5"/>
  <c r="C2407" i="5"/>
  <c r="C5623" i="5"/>
  <c r="C5815" i="5"/>
  <c r="C5767" i="5"/>
  <c r="C4759" i="5"/>
  <c r="C3607" i="5"/>
  <c r="C1927" i="5"/>
  <c r="C1879" i="5"/>
  <c r="D44" i="4"/>
  <c r="D45" i="4" s="1"/>
  <c r="C919" i="5"/>
  <c r="C967" i="5"/>
  <c r="C823" i="5"/>
  <c r="M779" i="5" s="1"/>
  <c r="C871" i="5"/>
  <c r="C1255" i="5"/>
  <c r="C3991" i="5"/>
  <c r="C3847" i="5"/>
  <c r="C4039" i="5"/>
  <c r="C3895" i="5"/>
  <c r="C3799" i="5"/>
  <c r="C5431" i="5"/>
  <c r="C1111" i="5"/>
  <c r="C1207" i="5"/>
  <c r="C1639" i="5"/>
  <c r="C1543" i="5"/>
  <c r="C3751" i="5"/>
  <c r="C2791" i="5"/>
  <c r="C2551" i="5"/>
  <c r="C2263" i="5"/>
  <c r="C2311" i="5"/>
  <c r="C2839" i="5"/>
  <c r="C5479" i="5"/>
  <c r="C4327" i="5"/>
  <c r="C5239" i="5"/>
  <c r="C4231" i="5"/>
  <c r="C3703" i="5"/>
  <c r="C4087" i="5"/>
  <c r="C4519" i="5"/>
  <c r="C4663" i="5"/>
  <c r="C4567" i="5"/>
  <c r="C1063" i="5"/>
  <c r="C487" i="5"/>
  <c r="C535" i="5"/>
  <c r="C5095" i="5"/>
  <c r="C5863" i="5"/>
  <c r="C5287" i="5"/>
  <c r="C4135" i="5"/>
  <c r="C5335" i="5"/>
  <c r="C5383" i="5"/>
  <c r="C2215" i="5"/>
  <c r="C1399" i="5"/>
  <c r="C3943" i="5"/>
  <c r="C2599" i="5"/>
  <c r="C4375" i="5"/>
  <c r="M4331" i="5" s="1"/>
  <c r="C583" i="5"/>
  <c r="C4423" i="5"/>
  <c r="C5575" i="5"/>
  <c r="C3415" i="5"/>
  <c r="C3271" i="5"/>
  <c r="C3079" i="5"/>
  <c r="C4999" i="5"/>
  <c r="C3223" i="5"/>
  <c r="C1447" i="5"/>
  <c r="C1495" i="5"/>
  <c r="C1015" i="5"/>
  <c r="C3511" i="5"/>
  <c r="N3470" i="5"/>
  <c r="K3470" i="5"/>
  <c r="L3469" i="5"/>
  <c r="L3503" i="5"/>
  <c r="L3470" i="5"/>
  <c r="L3504" i="5"/>
  <c r="I4368" i="5"/>
  <c r="I4367" i="5"/>
  <c r="F4374" i="5"/>
  <c r="D7" i="5"/>
  <c r="F8" i="1"/>
  <c r="F776" i="5" l="1"/>
  <c r="F777" i="5" s="1"/>
  <c r="F247" i="5"/>
  <c r="M203" i="5"/>
  <c r="M5675" i="5"/>
  <c r="F5719" i="5"/>
  <c r="F199" i="5"/>
  <c r="M155" i="5"/>
  <c r="F5671" i="5"/>
  <c r="M5627" i="5"/>
  <c r="F4279" i="5"/>
  <c r="M4235" i="5"/>
  <c r="F4423" i="5"/>
  <c r="F4424" i="5" s="1"/>
  <c r="J4379" i="5" s="1"/>
  <c r="M4379" i="5"/>
  <c r="T3467" i="5"/>
  <c r="V3467" i="5" s="1"/>
  <c r="F823" i="5"/>
  <c r="F4375" i="5"/>
  <c r="F4376" i="5" s="1"/>
  <c r="J4331" i="5" s="1"/>
  <c r="J731" i="5" l="1"/>
  <c r="K731" i="5" s="1"/>
  <c r="H36" i="1"/>
  <c r="F731" i="5"/>
  <c r="N731" i="5" s="1"/>
  <c r="F5720" i="5"/>
  <c r="F5721" i="5" s="1"/>
  <c r="F5672" i="5"/>
  <c r="F5673" i="5" s="1"/>
  <c r="F4280" i="5"/>
  <c r="J4235" i="5" s="1"/>
  <c r="K4235" i="5" s="1"/>
  <c r="F200" i="5"/>
  <c r="J155" i="5" s="1"/>
  <c r="K155" i="5" s="1"/>
  <c r="F248" i="5"/>
  <c r="F249" i="5" s="1"/>
  <c r="F824" i="5"/>
  <c r="J779" i="5" s="1"/>
  <c r="K779" i="5" s="1"/>
  <c r="F4425" i="5"/>
  <c r="H137" i="1" s="1"/>
  <c r="F4377" i="5"/>
  <c r="A4909" i="5"/>
  <c r="E4909" i="5"/>
  <c r="F4909" i="5" s="1"/>
  <c r="A4864" i="5"/>
  <c r="E4864" i="5"/>
  <c r="F4864" i="5" s="1"/>
  <c r="F4816" i="5"/>
  <c r="F4768" i="5"/>
  <c r="L731" i="5" l="1"/>
  <c r="J203" i="5"/>
  <c r="K203" i="5" s="1"/>
  <c r="F201" i="5"/>
  <c r="Q155" i="5" s="1"/>
  <c r="J5627" i="5"/>
  <c r="K5627" i="5" s="1"/>
  <c r="H167" i="1"/>
  <c r="Q5675" i="5"/>
  <c r="F5675" i="5"/>
  <c r="N5675" i="5" s="1"/>
  <c r="H166" i="1"/>
  <c r="F5627" i="5"/>
  <c r="N5627" i="5" s="1"/>
  <c r="Q5627" i="5"/>
  <c r="H20" i="1"/>
  <c r="Q203" i="5"/>
  <c r="F203" i="5"/>
  <c r="N203" i="5" s="1"/>
  <c r="F4281" i="5"/>
  <c r="J5675" i="5"/>
  <c r="K5675" i="5" s="1"/>
  <c r="K137" i="1"/>
  <c r="W4907" i="5"/>
  <c r="F825" i="5"/>
  <c r="Q779" i="5" s="1"/>
  <c r="F4925" i="5"/>
  <c r="B4909" i="5"/>
  <c r="D4909" i="5"/>
  <c r="B4864" i="5"/>
  <c r="D4864" i="5"/>
  <c r="D4816" i="5"/>
  <c r="M4864" i="5"/>
  <c r="J4864" i="5"/>
  <c r="H4864" i="5"/>
  <c r="I4864" i="5" s="1"/>
  <c r="J4909" i="5"/>
  <c r="H4909" i="5"/>
  <c r="I4909" i="5" s="1"/>
  <c r="M4909" i="5"/>
  <c r="H4768" i="5"/>
  <c r="I4768" i="5" s="1"/>
  <c r="J4768" i="5"/>
  <c r="M4768" i="5"/>
  <c r="H4816" i="5"/>
  <c r="I4816" i="5" s="1"/>
  <c r="J4816" i="5"/>
  <c r="M4816" i="5"/>
  <c r="F155" i="5" l="1"/>
  <c r="N155" i="5" s="1"/>
  <c r="H19" i="1"/>
  <c r="L19" i="1" s="1"/>
  <c r="L5627" i="5"/>
  <c r="K166" i="1"/>
  <c r="L166" i="1"/>
  <c r="E166" i="1"/>
  <c r="H130" i="1"/>
  <c r="Q4235" i="5"/>
  <c r="F4235" i="5"/>
  <c r="K167" i="1"/>
  <c r="L167" i="1"/>
  <c r="E167" i="1"/>
  <c r="K20" i="1"/>
  <c r="L20" i="1"/>
  <c r="E20" i="1"/>
  <c r="L5675" i="5"/>
  <c r="L203" i="5"/>
  <c r="F779" i="5"/>
  <c r="H38" i="1"/>
  <c r="N4909" i="5"/>
  <c r="N4864" i="5"/>
  <c r="N4768" i="5"/>
  <c r="K4816" i="5"/>
  <c r="K4864" i="5"/>
  <c r="K4768" i="5"/>
  <c r="K4909" i="5"/>
  <c r="N4816" i="5"/>
  <c r="A5505" i="5"/>
  <c r="E5505" i="5"/>
  <c r="F5505" i="5" s="1"/>
  <c r="E5483" i="5"/>
  <c r="B5483" i="5"/>
  <c r="A5483" i="5"/>
  <c r="L155" i="5" l="1"/>
  <c r="E19" i="1"/>
  <c r="K19" i="1"/>
  <c r="R155" i="5"/>
  <c r="S155" i="5" s="1"/>
  <c r="N4235" i="5"/>
  <c r="L4235" i="5"/>
  <c r="K130" i="1"/>
  <c r="E130" i="1"/>
  <c r="L130" i="1"/>
  <c r="R203" i="5"/>
  <c r="S203" i="5" s="1"/>
  <c r="K38" i="1"/>
  <c r="O5483" i="5"/>
  <c r="P5483" i="5" s="1"/>
  <c r="G5483" i="5"/>
  <c r="U5483" i="5" s="1"/>
  <c r="X5483" i="5"/>
  <c r="N779" i="5"/>
  <c r="L779" i="5"/>
  <c r="E38" i="1"/>
  <c r="L38" i="1"/>
  <c r="R779" i="5" s="1"/>
  <c r="S779" i="5" s="1"/>
  <c r="D5505" i="5"/>
  <c r="B5505" i="5"/>
  <c r="J5505" i="5"/>
  <c r="H5505" i="5"/>
  <c r="I5505" i="5" s="1"/>
  <c r="M5505" i="5"/>
  <c r="F5515" i="5"/>
  <c r="R4235" i="5" l="1"/>
  <c r="S4235" i="5" s="1"/>
  <c r="K5505" i="5"/>
  <c r="N5505" i="5"/>
  <c r="L5505" i="5"/>
  <c r="T5483" i="5" s="1"/>
  <c r="V5483" i="5" s="1"/>
  <c r="F5516" i="5"/>
  <c r="I5483" i="5" s="1"/>
  <c r="F5517" i="5" l="1"/>
  <c r="G163" i="1" l="1"/>
  <c r="J163" i="1" l="1"/>
  <c r="J155" i="1" s="1"/>
  <c r="G155" i="1" s="1"/>
  <c r="A11" i="4"/>
  <c r="R70" i="2" l="1"/>
  <c r="U70" i="2" s="1"/>
  <c r="F70" i="2"/>
  <c r="I144" i="2"/>
  <c r="F144" i="2"/>
  <c r="U107" i="2"/>
  <c r="O70" i="2"/>
  <c r="R144" i="2"/>
  <c r="F107" i="2"/>
  <c r="R107" i="2"/>
  <c r="L144" i="2"/>
  <c r="L70" i="2"/>
  <c r="O144" i="2"/>
  <c r="I107" i="2"/>
  <c r="O107" i="2"/>
  <c r="I70" i="2"/>
  <c r="L107" i="2"/>
  <c r="U33" i="2"/>
  <c r="O33" i="2"/>
  <c r="I33" i="2"/>
  <c r="R33" i="2"/>
  <c r="L33" i="2"/>
  <c r="F33" i="2"/>
  <c r="J156" i="1"/>
  <c r="U144" i="2" l="1"/>
  <c r="F4814" i="5"/>
  <c r="C5149" i="5"/>
  <c r="A5008" i="5"/>
  <c r="E5008" i="5"/>
  <c r="E4671" i="5"/>
  <c r="F4671" i="5" s="1"/>
  <c r="F4670" i="5"/>
  <c r="E4669" i="5"/>
  <c r="F4669" i="5" s="1"/>
  <c r="A4669" i="5"/>
  <c r="A4608" i="5"/>
  <c r="D4608" i="5" s="1"/>
  <c r="E4575" i="5"/>
  <c r="F4575" i="5" s="1"/>
  <c r="A4575" i="5"/>
  <c r="F4574" i="5"/>
  <c r="E4573" i="5"/>
  <c r="F4573" i="5" s="1"/>
  <c r="A4573" i="5"/>
  <c r="W4667" i="5" l="1"/>
  <c r="W4571" i="5"/>
  <c r="B4574" i="5"/>
  <c r="D4574" i="5"/>
  <c r="D4671" i="5"/>
  <c r="B4671" i="5"/>
  <c r="B5008" i="5"/>
  <c r="D5008" i="5"/>
  <c r="D4575" i="5"/>
  <c r="B4575" i="5"/>
  <c r="D4670" i="5"/>
  <c r="B4670" i="5"/>
  <c r="B4573" i="5"/>
  <c r="D4573" i="5"/>
  <c r="B4669" i="5"/>
  <c r="D4669" i="5"/>
  <c r="D4814" i="5"/>
  <c r="B4814" i="5"/>
  <c r="M4575" i="5"/>
  <c r="J4575" i="5"/>
  <c r="H4575" i="5"/>
  <c r="I4575" i="5" s="1"/>
  <c r="M4671" i="5"/>
  <c r="H4671" i="5"/>
  <c r="I4671" i="5" s="1"/>
  <c r="J4671" i="5"/>
  <c r="M4608" i="5"/>
  <c r="N4608" i="5" s="1"/>
  <c r="J4608" i="5"/>
  <c r="K4608" i="5" s="1"/>
  <c r="M5008" i="5"/>
  <c r="J5008" i="5"/>
  <c r="H5008" i="5"/>
  <c r="I5008" i="5" s="1"/>
  <c r="J4573" i="5"/>
  <c r="H4573" i="5"/>
  <c r="I4573" i="5" s="1"/>
  <c r="M4573" i="5"/>
  <c r="M4669" i="5"/>
  <c r="J4669" i="5"/>
  <c r="H4669" i="5"/>
  <c r="I4669" i="5" s="1"/>
  <c r="M4814" i="5"/>
  <c r="J4814" i="5"/>
  <c r="H4814" i="5"/>
  <c r="I4814" i="5" s="1"/>
  <c r="M4574" i="5"/>
  <c r="J4574" i="5"/>
  <c r="H4574" i="5"/>
  <c r="I4574" i="5" s="1"/>
  <c r="M4670" i="5"/>
  <c r="J4670" i="5"/>
  <c r="H4670" i="5"/>
  <c r="I4670" i="5" s="1"/>
  <c r="F4589" i="5"/>
  <c r="F4685" i="5"/>
  <c r="A5951" i="5"/>
  <c r="D5951" i="5" s="1"/>
  <c r="N4671" i="5" l="1"/>
  <c r="K4670" i="5"/>
  <c r="K4574" i="5"/>
  <c r="N4574" i="5"/>
  <c r="K5008" i="5"/>
  <c r="N4670" i="5"/>
  <c r="K4814" i="5"/>
  <c r="K4573" i="5"/>
  <c r="K4671" i="5"/>
  <c r="N4575" i="5"/>
  <c r="K4575" i="5"/>
  <c r="N4573" i="5"/>
  <c r="N5008" i="5"/>
  <c r="N4814" i="5"/>
  <c r="N4669" i="5"/>
  <c r="K4669" i="5"/>
  <c r="M5951" i="5"/>
  <c r="N5951" i="5" s="1"/>
  <c r="J5951" i="5"/>
  <c r="K5951" i="5" s="1"/>
  <c r="E4139" i="5" l="1"/>
  <c r="B4139" i="5"/>
  <c r="A4139" i="5"/>
  <c r="A3551" i="5"/>
  <c r="D3551" i="5" s="1"/>
  <c r="D3359" i="5"/>
  <c r="E3087" i="5"/>
  <c r="F3087" i="5" s="1"/>
  <c r="A3087" i="5"/>
  <c r="A2991" i="5"/>
  <c r="E2991" i="5"/>
  <c r="F2991" i="5" s="1"/>
  <c r="O4139" i="5" l="1"/>
  <c r="P4139" i="5" s="1"/>
  <c r="G4139" i="5"/>
  <c r="U4139" i="5" s="1"/>
  <c r="D3087" i="5"/>
  <c r="B3087" i="5"/>
  <c r="D2991" i="5"/>
  <c r="B2991" i="5"/>
  <c r="M3359" i="5"/>
  <c r="N3359" i="5" s="1"/>
  <c r="J3359" i="5"/>
  <c r="K3359" i="5" s="1"/>
  <c r="M3551" i="5"/>
  <c r="N3551" i="5" s="1"/>
  <c r="J3551" i="5"/>
  <c r="K3551" i="5" s="1"/>
  <c r="H3087" i="5"/>
  <c r="I3087" i="5" s="1"/>
  <c r="M3087" i="5"/>
  <c r="J3087" i="5"/>
  <c r="M2991" i="5"/>
  <c r="J2991" i="5"/>
  <c r="H2991" i="5"/>
  <c r="I2991" i="5" s="1"/>
  <c r="K2991" i="5" l="1"/>
  <c r="N3087" i="5"/>
  <c r="N2991" i="5"/>
  <c r="K3087" i="5"/>
  <c r="L4141" i="5"/>
  <c r="L4176" i="5"/>
  <c r="L4175" i="5"/>
  <c r="F2943" i="5"/>
  <c r="F2895" i="5"/>
  <c r="E2942" i="5"/>
  <c r="F2942" i="5" s="1"/>
  <c r="D2976" i="5"/>
  <c r="D2975" i="5"/>
  <c r="F2941" i="5"/>
  <c r="T4139" i="5" l="1"/>
  <c r="V4139" i="5" s="1"/>
  <c r="W2939" i="5"/>
  <c r="B2941" i="5"/>
  <c r="D2941" i="5"/>
  <c r="D2895" i="5"/>
  <c r="B2895" i="5"/>
  <c r="B2942" i="5"/>
  <c r="D2942" i="5"/>
  <c r="B2943" i="5"/>
  <c r="D2943" i="5"/>
  <c r="M2942" i="5"/>
  <c r="J2942" i="5"/>
  <c r="H2942" i="5"/>
  <c r="I2942" i="5" s="1"/>
  <c r="M2895" i="5"/>
  <c r="J2895" i="5"/>
  <c r="H2895" i="5"/>
  <c r="I2895" i="5" s="1"/>
  <c r="H2943" i="5"/>
  <c r="I2943" i="5" s="1"/>
  <c r="M2943" i="5"/>
  <c r="J2943" i="5"/>
  <c r="M2975" i="5"/>
  <c r="N2975" i="5" s="1"/>
  <c r="J2975" i="5"/>
  <c r="K2975" i="5" s="1"/>
  <c r="M2941" i="5"/>
  <c r="J2941" i="5"/>
  <c r="H2941" i="5"/>
  <c r="I2941" i="5" s="1"/>
  <c r="J2976" i="5"/>
  <c r="K2976" i="5" s="1"/>
  <c r="M2976" i="5"/>
  <c r="N2976" i="5" s="1"/>
  <c r="F2957" i="5"/>
  <c r="E2463" i="5"/>
  <c r="F2463" i="5" s="1"/>
  <c r="A2463" i="5"/>
  <c r="E2462" i="5"/>
  <c r="F2462" i="5" s="1"/>
  <c r="A2462" i="5"/>
  <c r="E2461" i="5"/>
  <c r="F2461" i="5" s="1"/>
  <c r="A2461" i="5"/>
  <c r="A2496" i="5"/>
  <c r="D2496" i="5" s="1"/>
  <c r="A2159" i="5"/>
  <c r="D2159" i="5" s="1"/>
  <c r="E2145" i="5"/>
  <c r="F2145" i="5" s="1"/>
  <c r="A2145" i="5"/>
  <c r="A1648" i="5"/>
  <c r="E1648" i="5"/>
  <c r="F1648" i="5" s="1"/>
  <c r="A1152" i="5"/>
  <c r="D1152" i="5" s="1"/>
  <c r="A96" i="5"/>
  <c r="A95" i="5"/>
  <c r="W2459" i="5" l="1"/>
  <c r="X2123" i="5"/>
  <c r="D96" i="5"/>
  <c r="M96" i="5"/>
  <c r="N96" i="5" s="1"/>
  <c r="J96" i="5"/>
  <c r="M95" i="5"/>
  <c r="N95" i="5" s="1"/>
  <c r="J95" i="5"/>
  <c r="D95" i="5"/>
  <c r="K2941" i="5"/>
  <c r="K2895" i="5"/>
  <c r="K2942" i="5"/>
  <c r="N2941" i="5"/>
  <c r="N2895" i="5"/>
  <c r="B2145" i="5"/>
  <c r="D2145" i="5"/>
  <c r="B2463" i="5"/>
  <c r="D2463" i="5"/>
  <c r="B1648" i="5"/>
  <c r="D1648" i="5"/>
  <c r="K2943" i="5"/>
  <c r="N2942" i="5"/>
  <c r="D2462" i="5"/>
  <c r="B2462" i="5"/>
  <c r="D2461" i="5"/>
  <c r="B2461" i="5"/>
  <c r="N2943" i="5"/>
  <c r="M1648" i="5"/>
  <c r="J1648" i="5"/>
  <c r="H1648" i="5"/>
  <c r="I1648" i="5" s="1"/>
  <c r="J1152" i="5"/>
  <c r="K1152" i="5" s="1"/>
  <c r="M1152" i="5"/>
  <c r="N1152" i="5" s="1"/>
  <c r="M2462" i="5"/>
  <c r="J2462" i="5"/>
  <c r="H2462" i="5"/>
  <c r="I2462" i="5" s="1"/>
  <c r="M2463" i="5"/>
  <c r="J2463" i="5"/>
  <c r="H2463" i="5"/>
  <c r="I2463" i="5" s="1"/>
  <c r="M2159" i="5"/>
  <c r="N2159" i="5" s="1"/>
  <c r="J2159" i="5"/>
  <c r="K2159" i="5" s="1"/>
  <c r="J2496" i="5"/>
  <c r="K2496" i="5" s="1"/>
  <c r="M2496" i="5"/>
  <c r="N2496" i="5" s="1"/>
  <c r="M2145" i="5"/>
  <c r="J2145" i="5"/>
  <c r="H2145" i="5"/>
  <c r="I2145" i="5" s="1"/>
  <c r="M2461" i="5"/>
  <c r="J2461" i="5"/>
  <c r="H2461" i="5"/>
  <c r="I2461" i="5" s="1"/>
  <c r="F2155" i="5"/>
  <c r="F2477" i="5"/>
  <c r="K96" i="5" l="1"/>
  <c r="K95" i="5"/>
  <c r="K2145" i="5"/>
  <c r="N2145" i="5"/>
  <c r="K1648" i="5"/>
  <c r="N1648" i="5"/>
  <c r="N2461" i="5"/>
  <c r="K2463" i="5"/>
  <c r="K2461" i="5"/>
  <c r="N2463" i="5"/>
  <c r="K2462" i="5"/>
  <c r="N2462" i="5"/>
  <c r="F2156" i="5"/>
  <c r="I2123" i="5" s="1"/>
  <c r="F2157" i="5" l="1"/>
  <c r="E4763" i="5" l="1"/>
  <c r="E4667" i="5"/>
  <c r="E4571" i="5"/>
  <c r="E3611" i="5"/>
  <c r="E3515" i="5"/>
  <c r="E3419" i="5"/>
  <c r="E3323" i="5"/>
  <c r="E3131" i="5"/>
  <c r="E3083" i="5"/>
  <c r="E2987" i="5"/>
  <c r="E2891" i="5"/>
  <c r="E2843" i="5"/>
  <c r="E2699" i="5"/>
  <c r="E2651" i="5"/>
  <c r="E2603" i="5"/>
  <c r="E2459" i="5"/>
  <c r="E2411" i="5"/>
  <c r="E2315" i="5"/>
  <c r="E2123" i="5"/>
  <c r="E1931" i="5"/>
  <c r="E1547" i="5"/>
  <c r="F4590" i="5" l="1"/>
  <c r="H4571" i="5" s="1"/>
  <c r="F990" i="5"/>
  <c r="H971" i="5" s="1"/>
  <c r="F4974" i="5"/>
  <c r="H4955" i="5" s="1"/>
  <c r="F5550" i="5"/>
  <c r="H5531" i="5" s="1"/>
  <c r="F3918" i="5"/>
  <c r="H3899" i="5" s="1"/>
  <c r="F4110" i="5"/>
  <c r="H4091" i="5" s="1"/>
  <c r="F1470" i="5"/>
  <c r="H1451" i="5" s="1"/>
  <c r="F3390" i="5"/>
  <c r="H3371" i="5" s="1"/>
  <c r="F4398" i="5"/>
  <c r="H4379" i="5" s="1"/>
  <c r="K4379" i="5" s="1"/>
  <c r="F2190" i="5"/>
  <c r="H2171" i="5" s="1"/>
  <c r="F5262" i="5"/>
  <c r="H5243" i="5" s="1"/>
  <c r="F3486" i="5"/>
  <c r="H3467" i="5" s="1"/>
  <c r="F1422" i="5"/>
  <c r="H1403" i="5" s="1"/>
  <c r="F3246" i="5"/>
  <c r="H3227" i="5" s="1"/>
  <c r="F4350" i="5"/>
  <c r="H4331" i="5" s="1"/>
  <c r="K4331" i="5" s="1"/>
  <c r="F5310" i="5"/>
  <c r="H5291" i="5" s="1"/>
  <c r="F3198" i="5"/>
  <c r="H3179" i="5" s="1"/>
  <c r="F3054" i="5"/>
  <c r="H3035" i="5" s="1"/>
  <c r="F558" i="5"/>
  <c r="H539" i="5" s="1"/>
  <c r="F2574" i="5"/>
  <c r="H2555" i="5" s="1"/>
  <c r="F1374" i="5"/>
  <c r="H1355" i="5" s="1"/>
  <c r="F5358" i="5"/>
  <c r="H5339" i="5" s="1"/>
  <c r="G124" i="1"/>
  <c r="G55" i="1"/>
  <c r="G74" i="1"/>
  <c r="G120" i="1"/>
  <c r="G83" i="1"/>
  <c r="G132" i="1"/>
  <c r="H132" i="1"/>
  <c r="G31" i="1"/>
  <c r="G97" i="1"/>
  <c r="G102" i="1"/>
  <c r="G105" i="1"/>
  <c r="G149" i="1"/>
  <c r="G101" i="1"/>
  <c r="G56" i="1"/>
  <c r="G57" i="1"/>
  <c r="G108" i="1"/>
  <c r="F4926" i="5"/>
  <c r="J149" i="1" l="1"/>
  <c r="K132" i="1"/>
  <c r="J55" i="1"/>
  <c r="K136" i="1"/>
  <c r="J108" i="1"/>
  <c r="J102" i="1"/>
  <c r="J136" i="1"/>
  <c r="J83" i="1"/>
  <c r="J97" i="1"/>
  <c r="F4927" i="5"/>
  <c r="H4907" i="5"/>
  <c r="J105" i="1"/>
  <c r="J132" i="1"/>
  <c r="J56" i="1"/>
  <c r="J124" i="1"/>
  <c r="J57" i="1"/>
  <c r="J120" i="1"/>
  <c r="F270" i="5"/>
  <c r="F1950" i="5"/>
  <c r="H1931" i="5" s="1"/>
  <c r="F5118" i="5"/>
  <c r="H5099" i="5" s="1"/>
  <c r="F1278" i="5"/>
  <c r="H1259" i="5" s="1"/>
  <c r="F4686" i="5"/>
  <c r="H4667" i="5" s="1"/>
  <c r="F654" i="5"/>
  <c r="H635" i="5" s="1"/>
  <c r="F702" i="5"/>
  <c r="H683" i="5" s="1"/>
  <c r="F366" i="5"/>
  <c r="H347" i="5" s="1"/>
  <c r="F2670" i="5"/>
  <c r="H2651" i="5" s="1"/>
  <c r="F606" i="5"/>
  <c r="H587" i="5" s="1"/>
  <c r="F1134" i="5"/>
  <c r="H1115" i="5" s="1"/>
  <c r="F3438" i="5"/>
  <c r="H3419" i="5" s="1"/>
  <c r="F2958" i="5"/>
  <c r="H2939" i="5" s="1"/>
  <c r="F414" i="5"/>
  <c r="H395" i="5" s="1"/>
  <c r="F5934" i="5"/>
  <c r="H5915" i="5" s="1"/>
  <c r="F5359" i="5"/>
  <c r="F2575" i="5"/>
  <c r="F3199" i="5"/>
  <c r="F3247" i="5"/>
  <c r="F3487" i="5"/>
  <c r="F5263" i="5"/>
  <c r="F1471" i="5"/>
  <c r="F4111" i="5"/>
  <c r="F991" i="5"/>
  <c r="F318" i="5"/>
  <c r="H299" i="5" s="1"/>
  <c r="F2334" i="5"/>
  <c r="H2315" i="5" s="1"/>
  <c r="F1566" i="5"/>
  <c r="H1547" i="5" s="1"/>
  <c r="F4591" i="5"/>
  <c r="F5502" i="5"/>
  <c r="H5483" i="5" s="1"/>
  <c r="F2142" i="5"/>
  <c r="H2123" i="5" s="1"/>
  <c r="F2478" i="5"/>
  <c r="H2459" i="5" s="1"/>
  <c r="F2094" i="5"/>
  <c r="H2075" i="5" s="1"/>
  <c r="F1375" i="5"/>
  <c r="F559" i="5"/>
  <c r="F3055" i="5"/>
  <c r="F5311" i="5"/>
  <c r="F4351" i="5"/>
  <c r="Q4331" i="5" s="1"/>
  <c r="F1423" i="5"/>
  <c r="F2191" i="5"/>
  <c r="F4399" i="5"/>
  <c r="F137" i="1" s="1"/>
  <c r="F3391" i="5"/>
  <c r="F3919" i="5"/>
  <c r="F5551" i="5"/>
  <c r="F4975" i="5"/>
  <c r="G94" i="1"/>
  <c r="G73" i="1"/>
  <c r="I137" i="1" l="1"/>
  <c r="L137" i="1"/>
  <c r="E137" i="1"/>
  <c r="J73" i="1"/>
  <c r="Q4379" i="5"/>
  <c r="F271" i="5"/>
  <c r="H251" i="5"/>
  <c r="F164" i="1"/>
  <c r="F46" i="1"/>
  <c r="F159" i="1"/>
  <c r="F160" i="1"/>
  <c r="F158" i="1"/>
  <c r="I136" i="1"/>
  <c r="F703" i="5"/>
  <c r="F31" i="1"/>
  <c r="F83" i="1"/>
  <c r="F101" i="1"/>
  <c r="F1279" i="5"/>
  <c r="F4687" i="5"/>
  <c r="F102" i="1"/>
  <c r="F2671" i="5"/>
  <c r="F57" i="1"/>
  <c r="F124" i="1"/>
  <c r="F55" i="1"/>
  <c r="F5119" i="5"/>
  <c r="F74" i="1"/>
  <c r="F367" i="5"/>
  <c r="F655" i="5"/>
  <c r="F1951" i="5"/>
  <c r="F105" i="1"/>
  <c r="F97" i="1"/>
  <c r="F132" i="1"/>
  <c r="F120" i="1"/>
  <c r="F2143" i="5"/>
  <c r="F2959" i="5"/>
  <c r="F4331" i="5"/>
  <c r="F2335" i="5"/>
  <c r="F415" i="5"/>
  <c r="F3439" i="5"/>
  <c r="F2095" i="5"/>
  <c r="F5503" i="5"/>
  <c r="F4379" i="5"/>
  <c r="F56" i="1"/>
  <c r="F149" i="1"/>
  <c r="F2479" i="5"/>
  <c r="F1567" i="5"/>
  <c r="F319" i="5"/>
  <c r="F5935" i="5"/>
  <c r="F1135" i="5"/>
  <c r="F607" i="5"/>
  <c r="I169" i="1"/>
  <c r="F108" i="1"/>
  <c r="R4379" i="5" l="1"/>
  <c r="S4379" i="5" s="1"/>
  <c r="I160" i="1"/>
  <c r="I149" i="1"/>
  <c r="I55" i="1"/>
  <c r="I159" i="1"/>
  <c r="I46" i="1"/>
  <c r="I132" i="1"/>
  <c r="I57" i="1"/>
  <c r="I56" i="1"/>
  <c r="I105" i="1"/>
  <c r="I158" i="1"/>
  <c r="I164" i="1"/>
  <c r="F163" i="1"/>
  <c r="N4379" i="5"/>
  <c r="L4379" i="5"/>
  <c r="F172" i="1"/>
  <c r="N4331" i="5"/>
  <c r="L4331" i="5"/>
  <c r="I78" i="1"/>
  <c r="I120" i="1"/>
  <c r="I124" i="1"/>
  <c r="F35" i="1"/>
  <c r="I97" i="1"/>
  <c r="I108" i="1"/>
  <c r="I83" i="1"/>
  <c r="I102" i="1"/>
  <c r="L132" i="1"/>
  <c r="R4331" i="5" s="1"/>
  <c r="S4331" i="5" s="1"/>
  <c r="F26" i="1"/>
  <c r="E132" i="1"/>
  <c r="F94" i="1"/>
  <c r="R5627" i="5" l="1"/>
  <c r="S5627" i="5" s="1"/>
  <c r="I172" i="1"/>
  <c r="I26" i="1"/>
  <c r="I163" i="1"/>
  <c r="F13" i="5"/>
  <c r="W11" i="5" s="1"/>
  <c r="D2687" i="5" l="1"/>
  <c r="B3419" i="5"/>
  <c r="B11" i="5"/>
  <c r="B59" i="5"/>
  <c r="B251" i="5"/>
  <c r="B347" i="5"/>
  <c r="B395" i="5"/>
  <c r="B587" i="5"/>
  <c r="B635" i="5"/>
  <c r="B683" i="5"/>
  <c r="B1115" i="5"/>
  <c r="B1259" i="5"/>
  <c r="B1547" i="5"/>
  <c r="B1643" i="5"/>
  <c r="B1691" i="5"/>
  <c r="B1739" i="5"/>
  <c r="B1787" i="5"/>
  <c r="B1931" i="5"/>
  <c r="B2123" i="5"/>
  <c r="B2315" i="5"/>
  <c r="B2411" i="5"/>
  <c r="B2459" i="5"/>
  <c r="B2603" i="5"/>
  <c r="B2651" i="5"/>
  <c r="B2699" i="5"/>
  <c r="B2843" i="5"/>
  <c r="B2891" i="5"/>
  <c r="B2939" i="5"/>
  <c r="B2987" i="5"/>
  <c r="B3083" i="5"/>
  <c r="B3131" i="5"/>
  <c r="B3323" i="5"/>
  <c r="B3515" i="5"/>
  <c r="B3611" i="5"/>
  <c r="B4571" i="5"/>
  <c r="B4667" i="5"/>
  <c r="B4763" i="5"/>
  <c r="B4811" i="5"/>
  <c r="B4859" i="5"/>
  <c r="B4907" i="5"/>
  <c r="B5003" i="5"/>
  <c r="B5099" i="5"/>
  <c r="B5147" i="5"/>
  <c r="B5867" i="5"/>
  <c r="B5915" i="5"/>
  <c r="F3325" i="5"/>
  <c r="F3327" i="5"/>
  <c r="E3326" i="5"/>
  <c r="F3326" i="5" s="1"/>
  <c r="E3277" i="5"/>
  <c r="F3277" i="5" s="1"/>
  <c r="E3279" i="5"/>
  <c r="F3279" i="5" s="1"/>
  <c r="E3278" i="5"/>
  <c r="F3278" i="5" s="1"/>
  <c r="A2459" i="5"/>
  <c r="E2894" i="5"/>
  <c r="F2894" i="5" s="1"/>
  <c r="E2893" i="5"/>
  <c r="F2893" i="5" s="1"/>
  <c r="A2891" i="5"/>
  <c r="F1309" i="5"/>
  <c r="A11" i="5"/>
  <c r="E11" i="5"/>
  <c r="A59" i="5"/>
  <c r="E59" i="5"/>
  <c r="F62" i="5"/>
  <c r="E63" i="5"/>
  <c r="E64" i="5"/>
  <c r="E251" i="5"/>
  <c r="A347" i="5"/>
  <c r="E347" i="5"/>
  <c r="A395" i="5"/>
  <c r="E395" i="5"/>
  <c r="A587" i="5"/>
  <c r="E587" i="5"/>
  <c r="A635" i="5"/>
  <c r="E635" i="5"/>
  <c r="F657" i="5"/>
  <c r="A683" i="5"/>
  <c r="E683" i="5"/>
  <c r="F705" i="5"/>
  <c r="A1115" i="5"/>
  <c r="E1115" i="5"/>
  <c r="A1259" i="5"/>
  <c r="E1259" i="5"/>
  <c r="A1281" i="5"/>
  <c r="E1281" i="5"/>
  <c r="F1281" i="5" s="1"/>
  <c r="F1312" i="5"/>
  <c r="F1310" i="5"/>
  <c r="F1311" i="5"/>
  <c r="A1643" i="5"/>
  <c r="E1643" i="5"/>
  <c r="E1647" i="5"/>
  <c r="F1647" i="5" s="1"/>
  <c r="E1645" i="5"/>
  <c r="F1645" i="5" s="1"/>
  <c r="E1646" i="5"/>
  <c r="F1646" i="5" s="1"/>
  <c r="A1680" i="5"/>
  <c r="D1680" i="5" s="1"/>
  <c r="A1691" i="5"/>
  <c r="E1691" i="5"/>
  <c r="A1696" i="5"/>
  <c r="E1696" i="5"/>
  <c r="F1696" i="5" s="1"/>
  <c r="A1693" i="5"/>
  <c r="E1693" i="5"/>
  <c r="F1693" i="5" s="1"/>
  <c r="A1694" i="5"/>
  <c r="E1694" i="5"/>
  <c r="F1694" i="5" s="1"/>
  <c r="A1695" i="5"/>
  <c r="E1695" i="5"/>
  <c r="F1695" i="5" s="1"/>
  <c r="A1728" i="5"/>
  <c r="D1728" i="5" s="1"/>
  <c r="A1739" i="5"/>
  <c r="E1739" i="5"/>
  <c r="A1744" i="5"/>
  <c r="E1744" i="5"/>
  <c r="F1744" i="5" s="1"/>
  <c r="A1741" i="5"/>
  <c r="E1741" i="5"/>
  <c r="F1741" i="5" s="1"/>
  <c r="A1742" i="5"/>
  <c r="E1742" i="5"/>
  <c r="F1742" i="5" s="1"/>
  <c r="A1743" i="5"/>
  <c r="E1743" i="5"/>
  <c r="F1743" i="5" s="1"/>
  <c r="A1776" i="5"/>
  <c r="D1776" i="5" s="1"/>
  <c r="A1787" i="5"/>
  <c r="E1787" i="5"/>
  <c r="A1789" i="5"/>
  <c r="E1789" i="5"/>
  <c r="F1789" i="5" s="1"/>
  <c r="A1791" i="5"/>
  <c r="E1791" i="5"/>
  <c r="F1791" i="5" s="1"/>
  <c r="A1790" i="5"/>
  <c r="E1790" i="5"/>
  <c r="F1790" i="5" s="1"/>
  <c r="A1792" i="5"/>
  <c r="E1792" i="5"/>
  <c r="F1792" i="5" s="1"/>
  <c r="A1824" i="5"/>
  <c r="D1824" i="5" s="1"/>
  <c r="A1931" i="5"/>
  <c r="A1968" i="5"/>
  <c r="D1968" i="5" s="1"/>
  <c r="A2123" i="5"/>
  <c r="A2315" i="5"/>
  <c r="A2411" i="5"/>
  <c r="A2413" i="5"/>
  <c r="H2413" i="5" s="1"/>
  <c r="E2413" i="5"/>
  <c r="F2413" i="5" s="1"/>
  <c r="A2433" i="5"/>
  <c r="H2433" i="5" s="1"/>
  <c r="E2433" i="5"/>
  <c r="F2433" i="5" s="1"/>
  <c r="A2448" i="5"/>
  <c r="D2448" i="5" s="1"/>
  <c r="A2603" i="5"/>
  <c r="A2605" i="5"/>
  <c r="E2605" i="5"/>
  <c r="F2605" i="5" s="1"/>
  <c r="A2607" i="5"/>
  <c r="E2607" i="5"/>
  <c r="F2607" i="5" s="1"/>
  <c r="F2606" i="5"/>
  <c r="A2651" i="5"/>
  <c r="D2688" i="5"/>
  <c r="A2699" i="5"/>
  <c r="E2701" i="5"/>
  <c r="F2701" i="5" s="1"/>
  <c r="E2702" i="5"/>
  <c r="F2702" i="5" s="1"/>
  <c r="D2736" i="5"/>
  <c r="E2846" i="5"/>
  <c r="F2846" i="5" s="1"/>
  <c r="D2880" i="5"/>
  <c r="A2939" i="5"/>
  <c r="E2939" i="5"/>
  <c r="A2987" i="5"/>
  <c r="A2989" i="5"/>
  <c r="E2989" i="5"/>
  <c r="F2989" i="5" s="1"/>
  <c r="A2990" i="5"/>
  <c r="E2990" i="5"/>
  <c r="F2990" i="5" s="1"/>
  <c r="A3024" i="5"/>
  <c r="D3024" i="5" s="1"/>
  <c r="A3023" i="5"/>
  <c r="D3023" i="5" s="1"/>
  <c r="A3083" i="5"/>
  <c r="A3085" i="5"/>
  <c r="B3085" i="5" s="1"/>
  <c r="E3085" i="5"/>
  <c r="F3085" i="5" s="1"/>
  <c r="A3086" i="5"/>
  <c r="E3086" i="5"/>
  <c r="F3086" i="5" s="1"/>
  <c r="A3131" i="5"/>
  <c r="E3136" i="5"/>
  <c r="F3136" i="5" s="1"/>
  <c r="E3135" i="5"/>
  <c r="F3135" i="5" s="1"/>
  <c r="E3134" i="5"/>
  <c r="F3134" i="5" s="1"/>
  <c r="F3133" i="5"/>
  <c r="D3168" i="5"/>
  <c r="E3518" i="5"/>
  <c r="F3518" i="5" s="1"/>
  <c r="E3517" i="5"/>
  <c r="F3517" i="5" s="1"/>
  <c r="A3611" i="5"/>
  <c r="E3613" i="5"/>
  <c r="F3613" i="5" s="1"/>
  <c r="D3648" i="5"/>
  <c r="D3647" i="5"/>
  <c r="F4141" i="5"/>
  <c r="A4176" i="5"/>
  <c r="D4176" i="5" s="1"/>
  <c r="A4571" i="5"/>
  <c r="A4667" i="5"/>
  <c r="A4689" i="5"/>
  <c r="D4689" i="5" s="1"/>
  <c r="E4689" i="5"/>
  <c r="F4689" i="5" s="1"/>
  <c r="A4763" i="5"/>
  <c r="A4765" i="5"/>
  <c r="E4765" i="5"/>
  <c r="F4765" i="5" s="1"/>
  <c r="A4767" i="5"/>
  <c r="E4767" i="5"/>
  <c r="F4767" i="5" s="1"/>
  <c r="F4766" i="5"/>
  <c r="A4800" i="5"/>
  <c r="D4800" i="5" s="1"/>
  <c r="A4799" i="5"/>
  <c r="D4799" i="5" s="1"/>
  <c r="A4811" i="5"/>
  <c r="E4811" i="5"/>
  <c r="A4813" i="5"/>
  <c r="E4813" i="5"/>
  <c r="F4813" i="5" s="1"/>
  <c r="A4833" i="5"/>
  <c r="E4833" i="5"/>
  <c r="F4833" i="5" s="1"/>
  <c r="A4848" i="5"/>
  <c r="D4848" i="5" s="1"/>
  <c r="A4847" i="5"/>
  <c r="D4847" i="5" s="1"/>
  <c r="A4859" i="5"/>
  <c r="E4859" i="5"/>
  <c r="A4861" i="5"/>
  <c r="E4861" i="5"/>
  <c r="F4861" i="5" s="1"/>
  <c r="A4863" i="5"/>
  <c r="F4862" i="5"/>
  <c r="A4881" i="5"/>
  <c r="E4881" i="5"/>
  <c r="F4881" i="5" s="1"/>
  <c r="A4896" i="5"/>
  <c r="D4896" i="5" s="1"/>
  <c r="A4895" i="5"/>
  <c r="D4895" i="5" s="1"/>
  <c r="A4907" i="5"/>
  <c r="E4907" i="5"/>
  <c r="A4944" i="5"/>
  <c r="D4944" i="5" s="1"/>
  <c r="A4943" i="5"/>
  <c r="D4943" i="5" s="1"/>
  <c r="A5003" i="5"/>
  <c r="E5003" i="5"/>
  <c r="A5005" i="5"/>
  <c r="C5005" i="5"/>
  <c r="E5005" i="5"/>
  <c r="A5007" i="5"/>
  <c r="C5007" i="5"/>
  <c r="E5007" i="5"/>
  <c r="C5008" i="5"/>
  <c r="F5008" i="5" s="1"/>
  <c r="A5009" i="5"/>
  <c r="C5009" i="5"/>
  <c r="E5009" i="5"/>
  <c r="F5006" i="5"/>
  <c r="A5025" i="5"/>
  <c r="F5025" i="5"/>
  <c r="A5039" i="5"/>
  <c r="D5039" i="5" s="1"/>
  <c r="A5099" i="5"/>
  <c r="E5099" i="5"/>
  <c r="A5135" i="5"/>
  <c r="D5135" i="5" s="1"/>
  <c r="A5147" i="5"/>
  <c r="E5147" i="5"/>
  <c r="E5149" i="5"/>
  <c r="F5149" i="5" s="1"/>
  <c r="E5150" i="5"/>
  <c r="F5150" i="5" s="1"/>
  <c r="A5867" i="5"/>
  <c r="E5867" i="5"/>
  <c r="F5869" i="5"/>
  <c r="D5903" i="5"/>
  <c r="A5915" i="5"/>
  <c r="G5915" i="5" s="1"/>
  <c r="E5915" i="5"/>
  <c r="A181" i="1"/>
  <c r="B181" i="1"/>
  <c r="A183" i="1"/>
  <c r="B183" i="1"/>
  <c r="A185" i="1"/>
  <c r="B185" i="1"/>
  <c r="A187" i="1"/>
  <c r="B187" i="1"/>
  <c r="A189" i="1"/>
  <c r="B189" i="1"/>
  <c r="A191" i="1"/>
  <c r="B191" i="1"/>
  <c r="A193" i="1"/>
  <c r="B193" i="1"/>
  <c r="C631" i="5"/>
  <c r="F384" i="5"/>
  <c r="C3319" i="5"/>
  <c r="C2167" i="5"/>
  <c r="C4903" i="5"/>
  <c r="C4855" i="5"/>
  <c r="C343" i="5"/>
  <c r="C4951" i="5"/>
  <c r="C727" i="5"/>
  <c r="F727" i="5" s="1"/>
  <c r="O5099" i="5" l="1"/>
  <c r="P5099" i="5" s="1"/>
  <c r="O3611" i="5"/>
  <c r="P3611" i="5" s="1"/>
  <c r="G3611" i="5"/>
  <c r="U3611" i="5" s="1"/>
  <c r="O2651" i="5"/>
  <c r="P2651" i="5" s="1"/>
  <c r="O1787" i="5"/>
  <c r="P1787" i="5" s="1"/>
  <c r="O5147" i="5"/>
  <c r="P5147" i="5" s="1"/>
  <c r="G5147" i="5"/>
  <c r="U5147" i="5" s="1"/>
  <c r="O1115" i="5"/>
  <c r="P1115" i="5" s="1"/>
  <c r="G1115" i="5"/>
  <c r="U1115" i="5" s="1"/>
  <c r="O683" i="5"/>
  <c r="P683" i="5" s="1"/>
  <c r="O2891" i="5"/>
  <c r="P2891" i="5" s="1"/>
  <c r="G2891" i="5"/>
  <c r="U2891" i="5" s="1"/>
  <c r="G4907" i="5"/>
  <c r="U4907" i="5" s="1"/>
  <c r="O4907" i="5"/>
  <c r="P4907" i="5" s="1"/>
  <c r="O2843" i="5"/>
  <c r="P2843" i="5" s="1"/>
  <c r="G2843" i="5"/>
  <c r="U2843" i="5" s="1"/>
  <c r="O4859" i="5"/>
  <c r="P4859" i="5" s="1"/>
  <c r="G4859" i="5"/>
  <c r="U4859" i="5" s="1"/>
  <c r="O4811" i="5"/>
  <c r="P4811" i="5" s="1"/>
  <c r="G4811" i="5"/>
  <c r="U4811" i="5" s="1"/>
  <c r="O4763" i="5"/>
  <c r="P4763" i="5" s="1"/>
  <c r="G4763" i="5"/>
  <c r="U4763" i="5" s="1"/>
  <c r="G2987" i="5"/>
  <c r="U2987" i="5" s="1"/>
  <c r="O2987" i="5"/>
  <c r="P2987" i="5" s="1"/>
  <c r="O395" i="5"/>
  <c r="P395" i="5" s="1"/>
  <c r="G395" i="5"/>
  <c r="U395" i="5" s="1"/>
  <c r="O59" i="5"/>
  <c r="P59" i="5" s="1"/>
  <c r="G59" i="5"/>
  <c r="U59" i="5" s="1"/>
  <c r="O1547" i="5"/>
  <c r="P1547" i="5" s="1"/>
  <c r="G1547" i="5"/>
  <c r="U1547" i="5" s="1"/>
  <c r="O5867" i="5"/>
  <c r="P5867" i="5" s="1"/>
  <c r="G5867" i="5"/>
  <c r="U5867" i="5" s="1"/>
  <c r="O3083" i="5"/>
  <c r="P3083" i="5" s="1"/>
  <c r="G3083" i="5"/>
  <c r="U3083" i="5" s="1"/>
  <c r="O1739" i="5"/>
  <c r="P1739" i="5" s="1"/>
  <c r="G1739" i="5"/>
  <c r="U1739" i="5" s="1"/>
  <c r="O635" i="5"/>
  <c r="P635" i="5" s="1"/>
  <c r="O3419" i="5"/>
  <c r="P3419" i="5" s="1"/>
  <c r="G3419" i="5"/>
  <c r="U3419" i="5" s="1"/>
  <c r="O4667" i="5"/>
  <c r="P4667" i="5" s="1"/>
  <c r="G4667" i="5"/>
  <c r="U4667" i="5" s="1"/>
  <c r="O3515" i="5"/>
  <c r="P3515" i="5" s="1"/>
  <c r="G3515" i="5"/>
  <c r="U3515" i="5" s="1"/>
  <c r="O2315" i="5"/>
  <c r="P2315" i="5" s="1"/>
  <c r="O1931" i="5"/>
  <c r="P1931" i="5" s="1"/>
  <c r="G1931" i="5"/>
  <c r="U1931" i="5" s="1"/>
  <c r="O251" i="5"/>
  <c r="P251" i="5" s="1"/>
  <c r="G251" i="5"/>
  <c r="U251" i="5" s="1"/>
  <c r="O5003" i="5"/>
  <c r="P5003" i="5" s="1"/>
  <c r="G5003" i="5"/>
  <c r="U5003" i="5" s="1"/>
  <c r="O347" i="5"/>
  <c r="P347" i="5" s="1"/>
  <c r="G347" i="5"/>
  <c r="U347" i="5" s="1"/>
  <c r="O4571" i="5"/>
  <c r="P4571" i="5" s="1"/>
  <c r="G4571" i="5"/>
  <c r="U4571" i="5" s="1"/>
  <c r="O3131" i="5"/>
  <c r="P3131" i="5" s="1"/>
  <c r="G3131" i="5"/>
  <c r="U3131" i="5" s="1"/>
  <c r="O2699" i="5"/>
  <c r="P2699" i="5" s="1"/>
  <c r="G2699" i="5"/>
  <c r="U2699" i="5" s="1"/>
  <c r="O2603" i="5"/>
  <c r="P2603" i="5" s="1"/>
  <c r="O2123" i="5"/>
  <c r="P2123" i="5" s="1"/>
  <c r="G2123" i="5"/>
  <c r="U2123" i="5" s="1"/>
  <c r="O1691" i="5"/>
  <c r="P1691" i="5" s="1"/>
  <c r="G1691" i="5"/>
  <c r="U1691" i="5" s="1"/>
  <c r="G587" i="5"/>
  <c r="U587" i="5" s="1"/>
  <c r="O587" i="5"/>
  <c r="P587" i="5" s="1"/>
  <c r="O2939" i="5"/>
  <c r="P2939" i="5" s="1"/>
  <c r="O2411" i="5"/>
  <c r="P2411" i="5" s="1"/>
  <c r="O5915" i="5"/>
  <c r="P5915" i="5" s="1"/>
  <c r="U5915" i="5"/>
  <c r="O2075" i="5"/>
  <c r="P2075" i="5" s="1"/>
  <c r="G1643" i="5"/>
  <c r="U1643" i="5" s="1"/>
  <c r="O1643" i="5"/>
  <c r="P1643" i="5" s="1"/>
  <c r="O1259" i="5"/>
  <c r="P1259" i="5" s="1"/>
  <c r="G1259" i="5"/>
  <c r="U1259" i="5" s="1"/>
  <c r="O2459" i="5"/>
  <c r="P2459" i="5" s="1"/>
  <c r="O3323" i="5"/>
  <c r="P3323" i="5" s="1"/>
  <c r="G3323" i="5"/>
  <c r="U3323" i="5" s="1"/>
  <c r="W4763" i="5"/>
  <c r="X2411" i="5"/>
  <c r="W5867" i="5"/>
  <c r="W3515" i="5"/>
  <c r="W3083" i="5"/>
  <c r="W1691" i="5"/>
  <c r="W2411" i="5"/>
  <c r="W1643" i="5"/>
  <c r="X635" i="5"/>
  <c r="X4859" i="5"/>
  <c r="X4667" i="5"/>
  <c r="W4139" i="5"/>
  <c r="W2891" i="5"/>
  <c r="W3323" i="5"/>
  <c r="W2987" i="5"/>
  <c r="W2699" i="5"/>
  <c r="W2603" i="5"/>
  <c r="X1259" i="5"/>
  <c r="X4811" i="5"/>
  <c r="W1787" i="5"/>
  <c r="W1307" i="5"/>
  <c r="W5147" i="5"/>
  <c r="X5003" i="5"/>
  <c r="W3611" i="5"/>
  <c r="W2843" i="5"/>
  <c r="W1739" i="5"/>
  <c r="W3275" i="5"/>
  <c r="W4859" i="5"/>
  <c r="W4811" i="5"/>
  <c r="W3131" i="5"/>
  <c r="X683" i="5"/>
  <c r="M683" i="5"/>
  <c r="F63" i="5"/>
  <c r="I63" i="5"/>
  <c r="F64" i="5"/>
  <c r="I64" i="5"/>
  <c r="D4881" i="5"/>
  <c r="M4881" i="5"/>
  <c r="N4881" i="5" s="1"/>
  <c r="D5025" i="5"/>
  <c r="B5025" i="5"/>
  <c r="F5009" i="5"/>
  <c r="F5007" i="5"/>
  <c r="F5005" i="5"/>
  <c r="D2433" i="5"/>
  <c r="B2433" i="5"/>
  <c r="D657" i="5"/>
  <c r="B657" i="5"/>
  <c r="B4833" i="5"/>
  <c r="D4833" i="5"/>
  <c r="D1281" i="5"/>
  <c r="B1281" i="5"/>
  <c r="D705" i="5"/>
  <c r="B705" i="5"/>
  <c r="B3518" i="5"/>
  <c r="D3518" i="5"/>
  <c r="D63" i="5"/>
  <c r="K63" i="5" s="1"/>
  <c r="B63" i="5"/>
  <c r="N63" i="5" s="1"/>
  <c r="D3277" i="5"/>
  <c r="B3277" i="5"/>
  <c r="D3613" i="5"/>
  <c r="B3613" i="5"/>
  <c r="D1696" i="5"/>
  <c r="B1696" i="5"/>
  <c r="D62" i="5"/>
  <c r="K62" i="5" s="1"/>
  <c r="B62" i="5"/>
  <c r="N62" i="5" s="1"/>
  <c r="B61" i="5"/>
  <c r="D61" i="5"/>
  <c r="K61" i="5" s="1"/>
  <c r="B3326" i="5"/>
  <c r="D3326" i="5"/>
  <c r="D3278" i="5"/>
  <c r="B3278" i="5"/>
  <c r="B5009" i="5"/>
  <c r="D5009" i="5"/>
  <c r="B4141" i="5"/>
  <c r="D4141" i="5"/>
  <c r="B3517" i="5"/>
  <c r="D3517" i="5"/>
  <c r="B64" i="5"/>
  <c r="N64" i="5" s="1"/>
  <c r="D64" i="5"/>
  <c r="K64" i="5" s="1"/>
  <c r="D3279" i="5"/>
  <c r="B3279" i="5"/>
  <c r="B2607" i="5"/>
  <c r="D2607" i="5"/>
  <c r="B1744" i="5"/>
  <c r="D1744" i="5"/>
  <c r="D1646" i="5"/>
  <c r="B1646" i="5"/>
  <c r="D3325" i="5"/>
  <c r="B3325" i="5"/>
  <c r="D5149" i="5"/>
  <c r="B5149" i="5"/>
  <c r="D4862" i="5"/>
  <c r="B4862" i="5"/>
  <c r="D3135" i="5"/>
  <c r="B3135" i="5"/>
  <c r="D2702" i="5"/>
  <c r="B2702" i="5"/>
  <c r="B1790" i="5"/>
  <c r="D1790" i="5"/>
  <c r="D1693" i="5"/>
  <c r="B1693" i="5"/>
  <c r="B5007" i="5"/>
  <c r="D5007" i="5"/>
  <c r="D4863" i="5"/>
  <c r="B4863" i="5"/>
  <c r="B4766" i="5"/>
  <c r="D4766" i="5"/>
  <c r="D2413" i="5"/>
  <c r="B2413" i="5"/>
  <c r="B1743" i="5"/>
  <c r="D1743" i="5"/>
  <c r="D1645" i="5"/>
  <c r="B1645" i="5"/>
  <c r="B2893" i="5"/>
  <c r="D2893" i="5"/>
  <c r="D5869" i="5"/>
  <c r="B5869" i="5"/>
  <c r="B5006" i="5"/>
  <c r="D5006" i="5"/>
  <c r="B3136" i="5"/>
  <c r="D3136" i="5"/>
  <c r="D1791" i="5"/>
  <c r="B1791" i="5"/>
  <c r="D4861" i="5"/>
  <c r="B4861" i="5"/>
  <c r="B4813" i="5"/>
  <c r="D4813" i="5"/>
  <c r="B4767" i="5"/>
  <c r="D4767" i="5"/>
  <c r="D2605" i="5"/>
  <c r="B2605" i="5"/>
  <c r="B1742" i="5"/>
  <c r="D1742" i="5"/>
  <c r="D1647" i="5"/>
  <c r="B1647" i="5"/>
  <c r="B2894" i="5"/>
  <c r="D2894" i="5"/>
  <c r="B5005" i="5"/>
  <c r="D5005" i="5"/>
  <c r="B2990" i="5"/>
  <c r="D2990" i="5"/>
  <c r="B2846" i="5"/>
  <c r="D2846" i="5"/>
  <c r="B1789" i="5"/>
  <c r="D1789" i="5"/>
  <c r="D1695" i="5"/>
  <c r="B1695" i="5"/>
  <c r="B4765" i="5"/>
  <c r="D4765" i="5"/>
  <c r="D3086" i="5"/>
  <c r="B3086" i="5"/>
  <c r="B1741" i="5"/>
  <c r="D1741" i="5"/>
  <c r="D5150" i="5"/>
  <c r="B5150" i="5"/>
  <c r="D3134" i="5"/>
  <c r="B3134" i="5"/>
  <c r="B2989" i="5"/>
  <c r="D2989" i="5"/>
  <c r="B1792" i="5"/>
  <c r="D1792" i="5"/>
  <c r="D1694" i="5"/>
  <c r="B1694" i="5"/>
  <c r="D3085" i="5"/>
  <c r="D2606" i="5"/>
  <c r="B2606" i="5"/>
  <c r="D3133" i="5"/>
  <c r="B3133" i="5"/>
  <c r="B2701" i="5"/>
  <c r="D2701" i="5"/>
  <c r="L2146" i="5"/>
  <c r="O11" i="5"/>
  <c r="P11" i="5" s="1"/>
  <c r="J5903" i="5"/>
  <c r="K5903" i="5" s="1"/>
  <c r="M5903" i="5"/>
  <c r="N5903" i="5" s="1"/>
  <c r="M5149" i="5"/>
  <c r="J5149" i="5"/>
  <c r="H5149" i="5"/>
  <c r="I5149" i="5" s="1"/>
  <c r="J5025" i="5"/>
  <c r="H5025" i="5"/>
  <c r="I5025" i="5" s="1"/>
  <c r="M5025" i="5"/>
  <c r="M4944" i="5"/>
  <c r="N4944" i="5" s="1"/>
  <c r="J4944" i="5"/>
  <c r="K4944" i="5" s="1"/>
  <c r="M4862" i="5"/>
  <c r="J4862" i="5"/>
  <c r="H4862" i="5"/>
  <c r="I4862" i="5" s="1"/>
  <c r="M3648" i="5"/>
  <c r="N3648" i="5" s="1"/>
  <c r="J3648" i="5"/>
  <c r="K3648" i="5" s="1"/>
  <c r="M3518" i="5"/>
  <c r="J3518" i="5"/>
  <c r="H3518" i="5"/>
  <c r="I3518" i="5" s="1"/>
  <c r="M3135" i="5"/>
  <c r="J3135" i="5"/>
  <c r="H3135" i="5"/>
  <c r="I3135" i="5" s="1"/>
  <c r="M2702" i="5"/>
  <c r="J2702" i="5"/>
  <c r="H2702" i="5"/>
  <c r="I2702" i="5" s="1"/>
  <c r="M1790" i="5"/>
  <c r="J1790" i="5"/>
  <c r="H1790" i="5"/>
  <c r="I1790" i="5" s="1"/>
  <c r="M1693" i="5"/>
  <c r="J1693" i="5"/>
  <c r="H1693" i="5"/>
  <c r="I1693" i="5" s="1"/>
  <c r="M1309" i="5"/>
  <c r="J1309" i="5"/>
  <c r="H1309" i="5"/>
  <c r="I1309" i="5" s="1"/>
  <c r="M657" i="5"/>
  <c r="J657" i="5"/>
  <c r="H657" i="5"/>
  <c r="I657" i="5" s="1"/>
  <c r="M3277" i="5"/>
  <c r="J3277" i="5"/>
  <c r="H3277" i="5"/>
  <c r="I3277" i="5" s="1"/>
  <c r="M5007" i="5"/>
  <c r="H5007" i="5"/>
  <c r="I5007" i="5" s="1"/>
  <c r="J5007" i="5"/>
  <c r="M4863" i="5"/>
  <c r="H4863" i="5"/>
  <c r="I4863" i="5" s="1"/>
  <c r="J4863" i="5"/>
  <c r="J4833" i="5"/>
  <c r="H4833" i="5"/>
  <c r="I4833" i="5" s="1"/>
  <c r="M4833" i="5"/>
  <c r="M4766" i="5"/>
  <c r="J4766" i="5"/>
  <c r="H4766" i="5"/>
  <c r="I4766" i="5" s="1"/>
  <c r="J4689" i="5"/>
  <c r="K4689" i="5" s="1"/>
  <c r="H4689" i="5"/>
  <c r="I4689" i="5" s="1"/>
  <c r="M4689" i="5"/>
  <c r="N4689" i="5" s="1"/>
  <c r="M3023" i="5"/>
  <c r="N3023" i="5" s="1"/>
  <c r="J3023" i="5"/>
  <c r="K3023" i="5" s="1"/>
  <c r="M2607" i="5"/>
  <c r="J2607" i="5"/>
  <c r="H2607" i="5"/>
  <c r="I2607" i="5" s="1"/>
  <c r="M2413" i="5"/>
  <c r="J2413" i="5"/>
  <c r="I2413" i="5"/>
  <c r="M1743" i="5"/>
  <c r="J1743" i="5"/>
  <c r="H1743" i="5"/>
  <c r="I1743" i="5" s="1"/>
  <c r="M1645" i="5"/>
  <c r="J1645" i="5"/>
  <c r="H1645" i="5"/>
  <c r="I1645" i="5" s="1"/>
  <c r="M2893" i="5"/>
  <c r="J2893" i="5"/>
  <c r="H2893" i="5"/>
  <c r="I2893" i="5" s="1"/>
  <c r="M5869" i="5"/>
  <c r="J5869" i="5"/>
  <c r="H5869" i="5"/>
  <c r="I5869" i="5" s="1"/>
  <c r="M5006" i="5"/>
  <c r="J5006" i="5"/>
  <c r="H5006" i="5"/>
  <c r="I5006" i="5" s="1"/>
  <c r="M3613" i="5"/>
  <c r="J3613" i="5"/>
  <c r="H3613" i="5"/>
  <c r="I3613" i="5" s="1"/>
  <c r="J3168" i="5"/>
  <c r="K3168" i="5" s="1"/>
  <c r="M3168" i="5"/>
  <c r="N3168" i="5" s="1"/>
  <c r="J3136" i="5"/>
  <c r="H3136" i="5"/>
  <c r="I3136" i="5" s="1"/>
  <c r="M3136" i="5"/>
  <c r="M3024" i="5"/>
  <c r="N3024" i="5" s="1"/>
  <c r="J3024" i="5"/>
  <c r="K3024" i="5" s="1"/>
  <c r="J2880" i="5"/>
  <c r="K2880" i="5" s="1"/>
  <c r="M2880" i="5"/>
  <c r="N2880" i="5" s="1"/>
  <c r="M2701" i="5"/>
  <c r="J2701" i="5"/>
  <c r="H2701" i="5"/>
  <c r="I2701" i="5" s="1"/>
  <c r="J1968" i="5"/>
  <c r="K1968" i="5" s="1"/>
  <c r="M1968" i="5"/>
  <c r="N1968" i="5" s="1"/>
  <c r="M1791" i="5"/>
  <c r="J1791" i="5"/>
  <c r="H1791" i="5"/>
  <c r="I1791" i="5" s="1"/>
  <c r="J1728" i="5"/>
  <c r="K1728" i="5" s="1"/>
  <c r="M1728" i="5"/>
  <c r="N1728" i="5" s="1"/>
  <c r="J1696" i="5"/>
  <c r="H1696" i="5"/>
  <c r="I1696" i="5" s="1"/>
  <c r="M1696" i="5"/>
  <c r="H1311" i="5"/>
  <c r="I1311" i="5" s="1"/>
  <c r="M1311" i="5"/>
  <c r="J1311" i="5"/>
  <c r="M5135" i="5"/>
  <c r="N5135" i="5" s="1"/>
  <c r="J5135" i="5"/>
  <c r="K5135" i="5" s="1"/>
  <c r="M4895" i="5"/>
  <c r="N4895" i="5" s="1"/>
  <c r="J4895" i="5"/>
  <c r="K4895" i="5" s="1"/>
  <c r="M4861" i="5"/>
  <c r="J4861" i="5"/>
  <c r="H4861" i="5"/>
  <c r="I4861" i="5" s="1"/>
  <c r="J4813" i="5"/>
  <c r="H4813" i="5"/>
  <c r="I4813" i="5" s="1"/>
  <c r="M4813" i="5"/>
  <c r="M4767" i="5"/>
  <c r="J4767" i="5"/>
  <c r="H4767" i="5"/>
  <c r="I4767" i="5" s="1"/>
  <c r="M2605" i="5"/>
  <c r="J2605" i="5"/>
  <c r="H2605" i="5"/>
  <c r="I2605" i="5" s="1"/>
  <c r="M1742" i="5"/>
  <c r="J1742" i="5"/>
  <c r="H1742" i="5"/>
  <c r="I1742" i="5" s="1"/>
  <c r="H1647" i="5"/>
  <c r="I1647" i="5" s="1"/>
  <c r="M1647" i="5"/>
  <c r="J1647" i="5"/>
  <c r="M384" i="5"/>
  <c r="N384" i="5" s="1"/>
  <c r="J384" i="5"/>
  <c r="K384" i="5" s="1"/>
  <c r="H384" i="5"/>
  <c r="I384" i="5" s="1"/>
  <c r="M2894" i="5"/>
  <c r="J2894" i="5"/>
  <c r="H2894" i="5"/>
  <c r="I2894" i="5" s="1"/>
  <c r="M3326" i="5"/>
  <c r="J3326" i="5"/>
  <c r="H3326" i="5"/>
  <c r="I3326" i="5" s="1"/>
  <c r="M5005" i="5"/>
  <c r="J5005" i="5"/>
  <c r="H5005" i="5"/>
  <c r="I5005" i="5" s="1"/>
  <c r="J4896" i="5"/>
  <c r="K4896" i="5" s="1"/>
  <c r="M4896" i="5"/>
  <c r="N4896" i="5" s="1"/>
  <c r="J4176" i="5"/>
  <c r="K4176" i="5" s="1"/>
  <c r="M4176" i="5"/>
  <c r="N4176" i="5" s="1"/>
  <c r="M3133" i="5"/>
  <c r="J3133" i="5"/>
  <c r="H3133" i="5"/>
  <c r="I3133" i="5" s="1"/>
  <c r="M2990" i="5"/>
  <c r="J2990" i="5"/>
  <c r="H2990" i="5"/>
  <c r="I2990" i="5" s="1"/>
  <c r="M2846" i="5"/>
  <c r="J2846" i="5"/>
  <c r="H2846" i="5"/>
  <c r="I2846" i="5" s="1"/>
  <c r="M2688" i="5"/>
  <c r="N2688" i="5" s="1"/>
  <c r="J2688" i="5"/>
  <c r="K2688" i="5" s="1"/>
  <c r="J1824" i="5"/>
  <c r="K1824" i="5" s="1"/>
  <c r="M1824" i="5"/>
  <c r="N1824" i="5" s="1"/>
  <c r="M1789" i="5"/>
  <c r="J1789" i="5"/>
  <c r="H1789" i="5"/>
  <c r="I1789" i="5" s="1"/>
  <c r="M1695" i="5"/>
  <c r="J1695" i="5"/>
  <c r="H1695" i="5"/>
  <c r="I1695" i="5" s="1"/>
  <c r="M1310" i="5"/>
  <c r="J1310" i="5"/>
  <c r="H1310" i="5"/>
  <c r="I1310" i="5" s="1"/>
  <c r="M1281" i="5"/>
  <c r="J1281" i="5"/>
  <c r="H1281" i="5"/>
  <c r="I1281" i="5" s="1"/>
  <c r="M705" i="5"/>
  <c r="J705" i="5"/>
  <c r="H705" i="5"/>
  <c r="I705" i="5" s="1"/>
  <c r="M3278" i="5"/>
  <c r="J3278" i="5"/>
  <c r="H3278" i="5"/>
  <c r="I3278" i="5" s="1"/>
  <c r="J5009" i="5"/>
  <c r="H5009" i="5"/>
  <c r="I5009" i="5" s="1"/>
  <c r="M5009" i="5"/>
  <c r="J4765" i="5"/>
  <c r="H4765" i="5"/>
  <c r="I4765" i="5" s="1"/>
  <c r="M4765" i="5"/>
  <c r="M3086" i="5"/>
  <c r="J3086" i="5"/>
  <c r="H3086" i="5"/>
  <c r="I3086" i="5" s="1"/>
  <c r="J2448" i="5"/>
  <c r="K2448" i="5" s="1"/>
  <c r="M2448" i="5"/>
  <c r="N2448" i="5" s="1"/>
  <c r="M1741" i="5"/>
  <c r="J1741" i="5"/>
  <c r="H1741" i="5"/>
  <c r="I1741" i="5" s="1"/>
  <c r="J1680" i="5"/>
  <c r="K1680" i="5" s="1"/>
  <c r="M1680" i="5"/>
  <c r="N1680" i="5" s="1"/>
  <c r="H3327" i="5"/>
  <c r="I3327" i="5" s="1"/>
  <c r="M3327" i="5"/>
  <c r="J3327" i="5"/>
  <c r="M5150" i="5"/>
  <c r="J5150" i="5"/>
  <c r="H5150" i="5"/>
  <c r="I5150" i="5" s="1"/>
  <c r="M5039" i="5"/>
  <c r="N5039" i="5" s="1"/>
  <c r="J5039" i="5"/>
  <c r="K5039" i="5" s="1"/>
  <c r="J4881" i="5"/>
  <c r="H4881" i="5"/>
  <c r="I4881" i="5" s="1"/>
  <c r="M4847" i="5"/>
  <c r="N4847" i="5" s="1"/>
  <c r="J4847" i="5"/>
  <c r="K4847" i="5" s="1"/>
  <c r="M4799" i="5"/>
  <c r="N4799" i="5" s="1"/>
  <c r="J4799" i="5"/>
  <c r="K4799" i="5" s="1"/>
  <c r="M4703" i="5"/>
  <c r="N4703" i="5" s="1"/>
  <c r="J4703" i="5"/>
  <c r="K4703" i="5" s="1"/>
  <c r="J4141" i="5"/>
  <c r="H4141" i="5"/>
  <c r="I4141" i="5" s="1"/>
  <c r="M4141" i="5"/>
  <c r="M3517" i="5"/>
  <c r="J3517" i="5"/>
  <c r="H3517" i="5"/>
  <c r="I3517" i="5" s="1"/>
  <c r="M3134" i="5"/>
  <c r="J3134" i="5"/>
  <c r="H3134" i="5"/>
  <c r="I3134" i="5" s="1"/>
  <c r="M2989" i="5"/>
  <c r="J2989" i="5"/>
  <c r="H2989" i="5"/>
  <c r="I2989" i="5" s="1"/>
  <c r="J2736" i="5"/>
  <c r="K2736" i="5" s="1"/>
  <c r="M2736" i="5"/>
  <c r="N2736" i="5" s="1"/>
  <c r="J1792" i="5"/>
  <c r="H1792" i="5"/>
  <c r="I1792" i="5" s="1"/>
  <c r="M1792" i="5"/>
  <c r="M1694" i="5"/>
  <c r="J1694" i="5"/>
  <c r="H1694" i="5"/>
  <c r="I1694" i="5" s="1"/>
  <c r="M1312" i="5"/>
  <c r="J1312" i="5"/>
  <c r="H1312" i="5"/>
  <c r="I1312" i="5" s="1"/>
  <c r="M3279" i="5"/>
  <c r="J3279" i="5"/>
  <c r="H3279" i="5"/>
  <c r="I3279" i="5" s="1"/>
  <c r="M2687" i="5"/>
  <c r="N2687" i="5" s="1"/>
  <c r="J2687" i="5"/>
  <c r="K2687" i="5" s="1"/>
  <c r="M4943" i="5"/>
  <c r="N4943" i="5" s="1"/>
  <c r="J4943" i="5"/>
  <c r="K4943" i="5" s="1"/>
  <c r="M4848" i="5"/>
  <c r="N4848" i="5" s="1"/>
  <c r="J4848" i="5"/>
  <c r="K4848" i="5" s="1"/>
  <c r="J4800" i="5"/>
  <c r="K4800" i="5" s="1"/>
  <c r="M4800" i="5"/>
  <c r="N4800" i="5" s="1"/>
  <c r="M4704" i="5"/>
  <c r="N4704" i="5" s="1"/>
  <c r="J4704" i="5"/>
  <c r="K4704" i="5" s="1"/>
  <c r="M3647" i="5"/>
  <c r="N3647" i="5" s="1"/>
  <c r="J3647" i="5"/>
  <c r="K3647" i="5" s="1"/>
  <c r="M3085" i="5"/>
  <c r="J3085" i="5"/>
  <c r="H3085" i="5"/>
  <c r="I3085" i="5" s="1"/>
  <c r="M2606" i="5"/>
  <c r="J2606" i="5"/>
  <c r="H2606" i="5"/>
  <c r="I2606" i="5" s="1"/>
  <c r="M2433" i="5"/>
  <c r="J2433" i="5"/>
  <c r="I2433" i="5"/>
  <c r="J1776" i="5"/>
  <c r="K1776" i="5" s="1"/>
  <c r="M1776" i="5"/>
  <c r="N1776" i="5" s="1"/>
  <c r="J1744" i="5"/>
  <c r="H1744" i="5"/>
  <c r="I1744" i="5" s="1"/>
  <c r="M1744" i="5"/>
  <c r="M1646" i="5"/>
  <c r="J1646" i="5"/>
  <c r="H1646" i="5"/>
  <c r="I1646" i="5" s="1"/>
  <c r="M1343" i="5"/>
  <c r="N1343" i="5" s="1"/>
  <c r="J1343" i="5"/>
  <c r="K1343" i="5" s="1"/>
  <c r="M3325" i="5"/>
  <c r="J3325" i="5"/>
  <c r="H3325" i="5"/>
  <c r="I3325" i="5" s="1"/>
  <c r="F728" i="5"/>
  <c r="J683" i="5" s="1"/>
  <c r="F5165" i="5"/>
  <c r="F5035" i="5"/>
  <c r="F5036" i="5" s="1"/>
  <c r="I5003" i="5" s="1"/>
  <c r="F3149" i="5"/>
  <c r="F3150" i="5" s="1"/>
  <c r="H3131" i="5" s="1"/>
  <c r="F2861" i="5"/>
  <c r="F1805" i="5"/>
  <c r="F1709" i="5"/>
  <c r="F1291" i="5"/>
  <c r="F1292" i="5" s="1"/>
  <c r="I1259" i="5" s="1"/>
  <c r="F715" i="5"/>
  <c r="F667" i="5"/>
  <c r="F3293" i="5"/>
  <c r="F3294" i="5" s="1"/>
  <c r="H3275" i="5" s="1"/>
  <c r="F4843" i="5"/>
  <c r="F4844" i="5" s="1"/>
  <c r="I4811" i="5" s="1"/>
  <c r="F4781" i="5"/>
  <c r="F4782" i="5" s="1"/>
  <c r="H4763" i="5" s="1"/>
  <c r="F4699" i="5"/>
  <c r="F4700" i="5" s="1"/>
  <c r="I4667" i="5" s="1"/>
  <c r="F2429" i="5"/>
  <c r="F2430" i="5" s="1"/>
  <c r="H2411" i="5" s="1"/>
  <c r="F1757" i="5"/>
  <c r="F1758" i="5" s="1"/>
  <c r="H1739" i="5" s="1"/>
  <c r="F1661" i="5"/>
  <c r="F1662" i="5" s="1"/>
  <c r="H1643" i="5" s="1"/>
  <c r="F2909" i="5"/>
  <c r="F5885" i="5"/>
  <c r="F5886" i="5" s="1"/>
  <c r="H5867" i="5" s="1"/>
  <c r="F4891" i="5"/>
  <c r="F4892" i="5" s="1"/>
  <c r="I4859" i="5" s="1"/>
  <c r="F4157" i="5"/>
  <c r="F3629" i="5"/>
  <c r="F3533" i="5"/>
  <c r="F3534" i="5" s="1"/>
  <c r="H3515" i="5" s="1"/>
  <c r="F3005" i="5"/>
  <c r="F3006" i="5" s="1"/>
  <c r="H2987" i="5" s="1"/>
  <c r="F2717" i="5"/>
  <c r="F2718" i="5" s="1"/>
  <c r="H2699" i="5" s="1"/>
  <c r="F4877" i="5"/>
  <c r="F4878" i="5" s="1"/>
  <c r="H4859" i="5" s="1"/>
  <c r="F4829" i="5"/>
  <c r="F3101" i="5"/>
  <c r="F3102" i="5" s="1"/>
  <c r="H3083" i="5" s="1"/>
  <c r="F2621" i="5"/>
  <c r="F2443" i="5"/>
  <c r="F2444" i="5" s="1"/>
  <c r="I2411" i="5" s="1"/>
  <c r="F1325" i="5"/>
  <c r="F3341" i="5"/>
  <c r="C3127" i="5"/>
  <c r="C5143" i="5"/>
  <c r="C4615" i="5"/>
  <c r="C2119" i="5"/>
  <c r="C1687" i="5"/>
  <c r="C4711" i="5"/>
  <c r="C3175" i="5"/>
  <c r="C4807" i="5"/>
  <c r="C5047" i="5"/>
  <c r="C2887" i="5"/>
  <c r="C2743" i="5"/>
  <c r="C3367" i="5"/>
  <c r="C3463" i="5"/>
  <c r="C5527" i="5"/>
  <c r="M5483" i="5" s="1"/>
  <c r="C5191" i="5"/>
  <c r="C1351" i="5"/>
  <c r="C3655" i="5"/>
  <c r="C679" i="5"/>
  <c r="C4183" i="5"/>
  <c r="C2359" i="5"/>
  <c r="C1783" i="5"/>
  <c r="C1735" i="5"/>
  <c r="C1303" i="5"/>
  <c r="C103" i="5"/>
  <c r="C2935" i="5"/>
  <c r="C2503" i="5"/>
  <c r="C391" i="5"/>
  <c r="C5911" i="5"/>
  <c r="C1159" i="5"/>
  <c r="C5959" i="5"/>
  <c r="C2647" i="5"/>
  <c r="C2455" i="5"/>
  <c r="C3559" i="5"/>
  <c r="C3031" i="5"/>
  <c r="C1975" i="5"/>
  <c r="C2983" i="5"/>
  <c r="C439" i="5"/>
  <c r="C295" i="5"/>
  <c r="C2695" i="5"/>
  <c r="C1831" i="5"/>
  <c r="C1591" i="5"/>
  <c r="G106" i="1"/>
  <c r="F29" i="5"/>
  <c r="F30" i="5" s="1"/>
  <c r="H11" i="5" s="1"/>
  <c r="J145" i="1"/>
  <c r="G68" i="1"/>
  <c r="G92" i="1"/>
  <c r="H176" i="6" l="1"/>
  <c r="I176" i="6" s="1"/>
  <c r="H175" i="6"/>
  <c r="I175" i="6" s="1"/>
  <c r="H174" i="6"/>
  <c r="I174" i="6" s="1"/>
  <c r="L3442" i="5"/>
  <c r="J92" i="1"/>
  <c r="J68" i="1"/>
  <c r="J106" i="1"/>
  <c r="L4881" i="5"/>
  <c r="L4690" i="5"/>
  <c r="H162" i="6" s="1"/>
  <c r="I162" i="6" s="1"/>
  <c r="W59" i="5"/>
  <c r="W5003" i="5"/>
  <c r="H143" i="6"/>
  <c r="I143" i="6" s="1"/>
  <c r="F77" i="5"/>
  <c r="F78" i="5" s="1"/>
  <c r="H59" i="5" s="1"/>
  <c r="L2320" i="5"/>
  <c r="L2318" i="5"/>
  <c r="L2319" i="5"/>
  <c r="N61" i="5"/>
  <c r="L95" i="5"/>
  <c r="L62" i="5"/>
  <c r="L63" i="5"/>
  <c r="L61" i="5"/>
  <c r="L64" i="5"/>
  <c r="L96" i="5"/>
  <c r="H128" i="6"/>
  <c r="I128" i="6" s="1"/>
  <c r="L719" i="5"/>
  <c r="K4881" i="5"/>
  <c r="H60" i="6"/>
  <c r="I60" i="6" s="1"/>
  <c r="H30" i="6"/>
  <c r="I30" i="6" s="1"/>
  <c r="H111" i="6"/>
  <c r="I111" i="6" s="1"/>
  <c r="H72" i="6"/>
  <c r="I72" i="6" s="1"/>
  <c r="H35" i="6"/>
  <c r="I35" i="6" s="1"/>
  <c r="H120" i="6"/>
  <c r="I120" i="6" s="1"/>
  <c r="H71" i="6"/>
  <c r="I71" i="6" s="1"/>
  <c r="H116" i="6"/>
  <c r="I116" i="6" s="1"/>
  <c r="H75" i="6"/>
  <c r="I75" i="6" s="1"/>
  <c r="H117" i="6"/>
  <c r="I117" i="6" s="1"/>
  <c r="H118" i="6"/>
  <c r="I118" i="6" s="1"/>
  <c r="H15" i="6"/>
  <c r="I15" i="6" s="1"/>
  <c r="H77" i="6"/>
  <c r="I77" i="6" s="1"/>
  <c r="H37" i="6"/>
  <c r="I37" i="6" s="1"/>
  <c r="H125" i="6"/>
  <c r="I125" i="6" s="1"/>
  <c r="H126" i="6"/>
  <c r="I126" i="6" s="1"/>
  <c r="H44" i="6"/>
  <c r="I44" i="6" s="1"/>
  <c r="H17" i="6"/>
  <c r="I17" i="6" s="1"/>
  <c r="H42" i="6"/>
  <c r="I42" i="6" s="1"/>
  <c r="H64" i="6"/>
  <c r="I64" i="6" s="1"/>
  <c r="H115" i="6"/>
  <c r="I115" i="6" s="1"/>
  <c r="H87" i="6"/>
  <c r="I87" i="6" s="1"/>
  <c r="H22" i="6"/>
  <c r="I22" i="6" s="1"/>
  <c r="H91" i="6"/>
  <c r="I91" i="6" s="1"/>
  <c r="H27" i="6"/>
  <c r="I27" i="6" s="1"/>
  <c r="H106" i="6"/>
  <c r="I106" i="6" s="1"/>
  <c r="H74" i="6"/>
  <c r="I74" i="6" s="1"/>
  <c r="H28" i="6"/>
  <c r="I28" i="6" s="1"/>
  <c r="H53" i="6"/>
  <c r="I53" i="6" s="1"/>
  <c r="H58" i="6"/>
  <c r="I58" i="6" s="1"/>
  <c r="H94" i="6"/>
  <c r="I94" i="6" s="1"/>
  <c r="H96" i="6"/>
  <c r="I96" i="6" s="1"/>
  <c r="H103" i="6"/>
  <c r="I103" i="6" s="1"/>
  <c r="H59" i="6"/>
  <c r="I59" i="6" s="1"/>
  <c r="H63" i="6"/>
  <c r="I63" i="6" s="1"/>
  <c r="H102" i="6"/>
  <c r="I102" i="6" s="1"/>
  <c r="H61" i="6"/>
  <c r="I61" i="6" s="1"/>
  <c r="H105" i="6"/>
  <c r="I105" i="6" s="1"/>
  <c r="H70" i="6"/>
  <c r="I70" i="6" s="1"/>
  <c r="L3425" i="5"/>
  <c r="L3441" i="5"/>
  <c r="L3423" i="5"/>
  <c r="L3424" i="5"/>
  <c r="H93" i="6" s="1"/>
  <c r="I93" i="6" s="1"/>
  <c r="L3346" i="5"/>
  <c r="L3345" i="5"/>
  <c r="H161" i="6"/>
  <c r="I161" i="6" s="1"/>
  <c r="H163" i="6"/>
  <c r="I163" i="6" s="1"/>
  <c r="L323" i="5"/>
  <c r="L321" i="5"/>
  <c r="L322" i="5"/>
  <c r="F5021" i="5"/>
  <c r="F5022" i="5" s="1"/>
  <c r="H5003" i="5" s="1"/>
  <c r="K2606" i="5"/>
  <c r="K657" i="5"/>
  <c r="N1646" i="5"/>
  <c r="N1694" i="5"/>
  <c r="N5025" i="5"/>
  <c r="N4861" i="5"/>
  <c r="K1791" i="5"/>
  <c r="K5025" i="5"/>
  <c r="L5889" i="5"/>
  <c r="L5890" i="5"/>
  <c r="L5872" i="5"/>
  <c r="L5873" i="5"/>
  <c r="K3518" i="5"/>
  <c r="N2433" i="5"/>
  <c r="K4833" i="5"/>
  <c r="K2433" i="5"/>
  <c r="N4833" i="5"/>
  <c r="K3277" i="5"/>
  <c r="K4862" i="5"/>
  <c r="K4863" i="5"/>
  <c r="K3133" i="5"/>
  <c r="N2605" i="5"/>
  <c r="K3279" i="5"/>
  <c r="K5869" i="5"/>
  <c r="N3518" i="5"/>
  <c r="N3279" i="5"/>
  <c r="N5869" i="5"/>
  <c r="K1310" i="5"/>
  <c r="N4862" i="5"/>
  <c r="K5005" i="5"/>
  <c r="N4863" i="5"/>
  <c r="N2702" i="5"/>
  <c r="K4141" i="5"/>
  <c r="N3278" i="5"/>
  <c r="N1645" i="5"/>
  <c r="N1693" i="5"/>
  <c r="N2607" i="5"/>
  <c r="K1281" i="5"/>
  <c r="K3086" i="5"/>
  <c r="N4765" i="5"/>
  <c r="N1311" i="5"/>
  <c r="N5007" i="5"/>
  <c r="K3135" i="5"/>
  <c r="K5150" i="5"/>
  <c r="N3327" i="5"/>
  <c r="N2846" i="5"/>
  <c r="K1646" i="5"/>
  <c r="K2605" i="5"/>
  <c r="K4861" i="5"/>
  <c r="N1310" i="5"/>
  <c r="N4141" i="5"/>
  <c r="K2702" i="5"/>
  <c r="K3278" i="5"/>
  <c r="N5005" i="5"/>
  <c r="K1645" i="5"/>
  <c r="K1693" i="5"/>
  <c r="N1742" i="5"/>
  <c r="N4813" i="5"/>
  <c r="N4766" i="5"/>
  <c r="N1743" i="5"/>
  <c r="N1790" i="5"/>
  <c r="N3085" i="5"/>
  <c r="K1309" i="5"/>
  <c r="K3325" i="5"/>
  <c r="N3517" i="5"/>
  <c r="K3613" i="5"/>
  <c r="K5149" i="5"/>
  <c r="N2989" i="5"/>
  <c r="K1695" i="5"/>
  <c r="N2894" i="5"/>
  <c r="N2701" i="5"/>
  <c r="N5006" i="5"/>
  <c r="K1694" i="5"/>
  <c r="K1312" i="5"/>
  <c r="N5009" i="5"/>
  <c r="N3326" i="5"/>
  <c r="K705" i="5"/>
  <c r="K1696" i="5"/>
  <c r="N1744" i="5"/>
  <c r="K2607" i="5"/>
  <c r="K3517" i="5"/>
  <c r="N1281" i="5"/>
  <c r="N3325" i="5"/>
  <c r="N3613" i="5"/>
  <c r="K2701" i="5"/>
  <c r="K1744" i="5"/>
  <c r="K1792" i="5"/>
  <c r="K3136" i="5"/>
  <c r="N2606" i="5"/>
  <c r="N657" i="5"/>
  <c r="N1312" i="5"/>
  <c r="N3134" i="5"/>
  <c r="K1789" i="5"/>
  <c r="N1647" i="5"/>
  <c r="K1741" i="5"/>
  <c r="K3326" i="5"/>
  <c r="N1696" i="5"/>
  <c r="K2893" i="5"/>
  <c r="K2990" i="5"/>
  <c r="K4767" i="5"/>
  <c r="K5009" i="5"/>
  <c r="N705" i="5"/>
  <c r="N2413" i="5"/>
  <c r="K2989" i="5"/>
  <c r="K2894" i="5"/>
  <c r="N5149" i="5"/>
  <c r="K5007" i="5"/>
  <c r="N1695" i="5"/>
  <c r="N3133" i="5"/>
  <c r="K1311" i="5"/>
  <c r="K3327" i="5"/>
  <c r="K2846" i="5"/>
  <c r="K1743" i="5"/>
  <c r="K1790" i="5"/>
  <c r="N3135" i="5"/>
  <c r="N5150" i="5"/>
  <c r="K4765" i="5"/>
  <c r="N3277" i="5"/>
  <c r="H160" i="6"/>
  <c r="I160" i="6" s="1"/>
  <c r="N3086" i="5"/>
  <c r="K3085" i="5"/>
  <c r="N1791" i="5"/>
  <c r="K1742" i="5"/>
  <c r="N1309" i="5"/>
  <c r="K5006" i="5"/>
  <c r="K4766" i="5"/>
  <c r="K4813" i="5"/>
  <c r="K3134" i="5"/>
  <c r="K1647" i="5"/>
  <c r="H189" i="6"/>
  <c r="I189" i="6" s="1"/>
  <c r="N1789" i="5"/>
  <c r="N1741" i="5"/>
  <c r="N2893" i="5"/>
  <c r="N2990" i="5"/>
  <c r="N4767" i="5"/>
  <c r="K2413" i="5"/>
  <c r="N1792" i="5"/>
  <c r="N3136" i="5"/>
  <c r="L5937" i="5"/>
  <c r="L5952" i="5"/>
  <c r="L5918" i="5"/>
  <c r="L5922" i="5"/>
  <c r="L5917" i="5"/>
  <c r="L5921" i="5"/>
  <c r="L5920" i="5"/>
  <c r="L5951" i="5"/>
  <c r="L5919" i="5"/>
  <c r="L1665" i="5"/>
  <c r="L1646" i="5"/>
  <c r="L1645" i="5"/>
  <c r="L1648" i="5"/>
  <c r="L1680" i="5"/>
  <c r="L1647" i="5"/>
  <c r="L1679" i="5"/>
  <c r="L288" i="5"/>
  <c r="L287" i="5"/>
  <c r="L2626" i="5"/>
  <c r="L1933" i="5"/>
  <c r="L1934" i="5"/>
  <c r="L1968" i="5"/>
  <c r="L1935" i="5"/>
  <c r="L1967" i="5"/>
  <c r="L3613" i="5"/>
  <c r="L3616" i="5"/>
  <c r="H67" i="6" s="1"/>
  <c r="I67" i="6" s="1"/>
  <c r="L3648" i="5"/>
  <c r="H187" i="6" s="1"/>
  <c r="I187" i="6" s="1"/>
  <c r="L3615" i="5"/>
  <c r="H100" i="6" s="1"/>
  <c r="I100" i="6" s="1"/>
  <c r="L3647" i="5"/>
  <c r="L3614" i="5"/>
  <c r="H11" i="6" s="1"/>
  <c r="L1741" i="5"/>
  <c r="L1744" i="5"/>
  <c r="L1776" i="5"/>
  <c r="L1743" i="5"/>
  <c r="L1775" i="5"/>
  <c r="L1742" i="5"/>
  <c r="L2989" i="5"/>
  <c r="L2990" i="5"/>
  <c r="L3024" i="5"/>
  <c r="L2991" i="5"/>
  <c r="L3023" i="5"/>
  <c r="L1269" i="5"/>
  <c r="L1265" i="5"/>
  <c r="H32" i="6" s="1"/>
  <c r="I32" i="6" s="1"/>
  <c r="L1271" i="5"/>
  <c r="H88" i="6" s="1"/>
  <c r="I88" i="6" s="1"/>
  <c r="L1273" i="5"/>
  <c r="L1261" i="5"/>
  <c r="L1296" i="5"/>
  <c r="L1270" i="5"/>
  <c r="H76" i="6" s="1"/>
  <c r="I76" i="6" s="1"/>
  <c r="L1272" i="5"/>
  <c r="L1263" i="5"/>
  <c r="H23" i="6" s="1"/>
  <c r="I23" i="6" s="1"/>
  <c r="L1281" i="5"/>
  <c r="L1297" i="5"/>
  <c r="L1268" i="5"/>
  <c r="L1266" i="5"/>
  <c r="L1295" i="5"/>
  <c r="L1264" i="5"/>
  <c r="L1267" i="5"/>
  <c r="L1298" i="5"/>
  <c r="H197" i="6" s="1"/>
  <c r="L1262" i="5"/>
  <c r="L609" i="5"/>
  <c r="L623" i="5"/>
  <c r="H182" i="6"/>
  <c r="I182" i="6" s="1"/>
  <c r="H191" i="6"/>
  <c r="I191" i="6" s="1"/>
  <c r="H31" i="6"/>
  <c r="I31" i="6" s="1"/>
  <c r="L4909" i="5"/>
  <c r="L4944" i="5"/>
  <c r="L4943" i="5"/>
  <c r="L4765" i="5"/>
  <c r="L4800" i="5"/>
  <c r="L4767" i="5"/>
  <c r="L4799" i="5"/>
  <c r="L4766" i="5"/>
  <c r="L4768" i="5"/>
  <c r="L336" i="5"/>
  <c r="L335" i="5"/>
  <c r="L1549" i="5"/>
  <c r="L1550" i="5"/>
  <c r="L1553" i="5"/>
  <c r="L1552" i="5"/>
  <c r="H57" i="6" s="1"/>
  <c r="I57" i="6" s="1"/>
  <c r="L1584" i="5"/>
  <c r="L1551" i="5"/>
  <c r="H89" i="6" s="1"/>
  <c r="I89" i="6" s="1"/>
  <c r="L1583" i="5"/>
  <c r="L5025" i="5"/>
  <c r="L5008" i="5"/>
  <c r="H98" i="6" s="1"/>
  <c r="I98" i="6" s="1"/>
  <c r="L5007" i="5"/>
  <c r="L5009" i="5"/>
  <c r="L5039" i="5"/>
  <c r="H194" i="6" s="1"/>
  <c r="I194" i="6" s="1"/>
  <c r="L5006" i="5"/>
  <c r="L5005" i="5"/>
  <c r="L4814" i="5"/>
  <c r="L4813" i="5"/>
  <c r="L4816" i="5"/>
  <c r="L4848" i="5"/>
  <c r="L4833" i="5"/>
  <c r="L4815" i="5"/>
  <c r="L4847" i="5"/>
  <c r="H113" i="6"/>
  <c r="I113" i="6" s="1"/>
  <c r="L1693" i="5"/>
  <c r="L1695" i="5"/>
  <c r="L1727" i="5"/>
  <c r="L1694" i="5"/>
  <c r="L1696" i="5"/>
  <c r="L1728" i="5"/>
  <c r="L5149" i="5"/>
  <c r="L5183" i="5"/>
  <c r="L5150" i="5"/>
  <c r="H39" i="6" s="1"/>
  <c r="I39" i="6" s="1"/>
  <c r="L2913" i="5"/>
  <c r="L2895" i="5"/>
  <c r="L2927" i="5"/>
  <c r="L2894" i="5"/>
  <c r="L2914" i="5"/>
  <c r="L2893" i="5"/>
  <c r="L2928" i="5"/>
  <c r="L384" i="5"/>
  <c r="L383" i="5"/>
  <c r="L2701" i="5"/>
  <c r="L2702" i="5"/>
  <c r="H18" i="6" s="1"/>
  <c r="I18" i="6" s="1"/>
  <c r="L2736" i="5"/>
  <c r="H184" i="6" s="1"/>
  <c r="I184" i="6" s="1"/>
  <c r="L2703" i="5"/>
  <c r="L2735" i="5"/>
  <c r="L4573" i="5"/>
  <c r="L4574" i="5"/>
  <c r="L4608" i="5"/>
  <c r="L4575" i="5"/>
  <c r="L4607" i="5"/>
  <c r="L432" i="5"/>
  <c r="L431" i="5"/>
  <c r="L1309" i="5"/>
  <c r="L1344" i="5"/>
  <c r="L1311" i="5"/>
  <c r="H62" i="6" s="1"/>
  <c r="I62" i="6" s="1"/>
  <c r="L1343" i="5"/>
  <c r="L1310" i="5"/>
  <c r="L1312" i="5"/>
  <c r="L1117" i="5"/>
  <c r="L1120" i="5"/>
  <c r="L1152" i="5"/>
  <c r="L1119" i="5"/>
  <c r="L1151" i="5"/>
  <c r="L1118" i="5"/>
  <c r="L2865" i="5"/>
  <c r="L2846" i="5"/>
  <c r="L2866" i="5"/>
  <c r="L2845" i="5"/>
  <c r="L2880" i="5"/>
  <c r="L2879" i="5"/>
  <c r="L4862" i="5"/>
  <c r="L4861" i="5"/>
  <c r="L4864" i="5"/>
  <c r="L4896" i="5"/>
  <c r="L4863" i="5"/>
  <c r="L4895" i="5"/>
  <c r="L3421" i="5"/>
  <c r="L3456" i="5"/>
  <c r="L3455" i="5"/>
  <c r="L3422" i="5"/>
  <c r="H95" i="6" s="1"/>
  <c r="I95" i="6" s="1"/>
  <c r="L2145" i="5"/>
  <c r="L2159" i="5"/>
  <c r="L5869" i="5"/>
  <c r="L5870" i="5"/>
  <c r="L5903" i="5"/>
  <c r="L5871" i="5"/>
  <c r="H65" i="6" s="1"/>
  <c r="I65" i="6" s="1"/>
  <c r="L5904" i="5"/>
  <c r="L3133" i="5"/>
  <c r="L3135" i="5"/>
  <c r="L3167" i="5"/>
  <c r="L3134" i="5"/>
  <c r="L3136" i="5"/>
  <c r="L3168" i="5"/>
  <c r="L4689" i="5"/>
  <c r="L4670" i="5"/>
  <c r="L4669" i="5"/>
  <c r="L4704" i="5"/>
  <c r="L4671" i="5"/>
  <c r="L4703" i="5"/>
  <c r="H156" i="6"/>
  <c r="I156" i="6" s="1"/>
  <c r="L3517" i="5"/>
  <c r="L3552" i="5"/>
  <c r="L3551" i="5"/>
  <c r="H198" i="6" s="1"/>
  <c r="I198" i="6" s="1"/>
  <c r="L3518" i="5"/>
  <c r="H124" i="6" s="1"/>
  <c r="I124" i="6" s="1"/>
  <c r="L3325" i="5"/>
  <c r="L3359" i="5"/>
  <c r="L3326" i="5"/>
  <c r="H107" i="6" s="1"/>
  <c r="I107" i="6" s="1"/>
  <c r="L3360" i="5"/>
  <c r="L3327" i="5"/>
  <c r="H122" i="6" s="1"/>
  <c r="I122" i="6" s="1"/>
  <c r="L3085" i="5"/>
  <c r="L3086" i="5"/>
  <c r="H33" i="6" s="1"/>
  <c r="I33" i="6" s="1"/>
  <c r="L3120" i="5"/>
  <c r="L3087" i="5"/>
  <c r="L3119" i="5"/>
  <c r="F3535" i="5"/>
  <c r="F1293" i="5"/>
  <c r="F3103" i="5"/>
  <c r="F4783" i="5"/>
  <c r="F1663" i="5"/>
  <c r="F4845" i="5"/>
  <c r="G146" i="1" s="1"/>
  <c r="F4893" i="5"/>
  <c r="F1759" i="5"/>
  <c r="F3295" i="5"/>
  <c r="F5037" i="5"/>
  <c r="F5887" i="5"/>
  <c r="F2431" i="5"/>
  <c r="F729" i="5"/>
  <c r="F4879" i="5"/>
  <c r="F2719" i="5"/>
  <c r="F3151" i="5"/>
  <c r="F2445" i="5"/>
  <c r="F3007" i="5"/>
  <c r="F4701" i="5"/>
  <c r="F5527" i="5"/>
  <c r="F1710" i="5"/>
  <c r="H1691" i="5" s="1"/>
  <c r="F2862" i="5"/>
  <c r="H2843" i="5" s="1"/>
  <c r="F2622" i="5"/>
  <c r="H2603" i="5" s="1"/>
  <c r="F4830" i="5"/>
  <c r="H4811" i="5" s="1"/>
  <c r="F668" i="5"/>
  <c r="I635" i="5" s="1"/>
  <c r="F716" i="5"/>
  <c r="I683" i="5" s="1"/>
  <c r="K683" i="5" s="1"/>
  <c r="F3342" i="5"/>
  <c r="H3323" i="5" s="1"/>
  <c r="F3630" i="5"/>
  <c r="H3611" i="5" s="1"/>
  <c r="F2910" i="5"/>
  <c r="H2891" i="5" s="1"/>
  <c r="F1806" i="5"/>
  <c r="H1787" i="5" s="1"/>
  <c r="F1326" i="5"/>
  <c r="H1307" i="5" s="1"/>
  <c r="F4158" i="5"/>
  <c r="H4139" i="5" s="1"/>
  <c r="F5166" i="5"/>
  <c r="H5147" i="5" s="1"/>
  <c r="G103" i="1"/>
  <c r="F25" i="1"/>
  <c r="G96" i="1"/>
  <c r="F27" i="1"/>
  <c r="G109" i="1"/>
  <c r="G77" i="1"/>
  <c r="G81" i="1"/>
  <c r="F53" i="1"/>
  <c r="G153" i="1"/>
  <c r="G50" i="1"/>
  <c r="G86" i="1"/>
  <c r="G64" i="1"/>
  <c r="F152" i="1"/>
  <c r="G25" i="1"/>
  <c r="G62" i="1"/>
  <c r="F50" i="1"/>
  <c r="F143" i="1"/>
  <c r="G59" i="1"/>
  <c r="G87" i="1"/>
  <c r="G84" i="1"/>
  <c r="G33" i="1"/>
  <c r="G141" i="1"/>
  <c r="G93" i="1"/>
  <c r="G63" i="1"/>
  <c r="G28" i="1"/>
  <c r="F148" i="1"/>
  <c r="F81" i="1"/>
  <c r="G17" i="1"/>
  <c r="F28" i="1"/>
  <c r="F33" i="1"/>
  <c r="F86" i="1"/>
  <c r="F106" i="1"/>
  <c r="C55" i="5"/>
  <c r="J144" i="1"/>
  <c r="G27" i="1"/>
  <c r="G99" i="1"/>
  <c r="H45" i="6" l="1"/>
  <c r="I45" i="6" s="1"/>
  <c r="H158" i="6"/>
  <c r="I158" i="6" s="1"/>
  <c r="J93" i="1"/>
  <c r="J62" i="1"/>
  <c r="J50" i="1"/>
  <c r="J96" i="1"/>
  <c r="I28" i="1"/>
  <c r="J141" i="1"/>
  <c r="J25" i="1"/>
  <c r="J153" i="1"/>
  <c r="I25" i="1"/>
  <c r="I53" i="1"/>
  <c r="J103" i="1"/>
  <c r="J64" i="1"/>
  <c r="J99" i="1"/>
  <c r="I143" i="1"/>
  <c r="I33" i="1"/>
  <c r="J63" i="1"/>
  <c r="I50" i="1"/>
  <c r="I27" i="1"/>
  <c r="J87" i="1"/>
  <c r="I106" i="1"/>
  <c r="I148" i="1"/>
  <c r="J109" i="1"/>
  <c r="T1643" i="5"/>
  <c r="V1643" i="5" s="1"/>
  <c r="F171" i="1"/>
  <c r="T395" i="5"/>
  <c r="V395" i="5" s="1"/>
  <c r="T3083" i="5"/>
  <c r="V3083" i="5" s="1"/>
  <c r="T4763" i="5"/>
  <c r="V4763" i="5" s="1"/>
  <c r="T4667" i="5"/>
  <c r="V4667" i="5" s="1"/>
  <c r="T1739" i="5"/>
  <c r="V1739" i="5" s="1"/>
  <c r="T5915" i="5"/>
  <c r="V5915" i="5" s="1"/>
  <c r="T5867" i="5"/>
  <c r="V5867" i="5" s="1"/>
  <c r="T5147" i="5"/>
  <c r="V5147" i="5" s="1"/>
  <c r="T5003" i="5"/>
  <c r="V5003" i="5" s="1"/>
  <c r="T4859" i="5"/>
  <c r="V4859" i="5" s="1"/>
  <c r="H123" i="6"/>
  <c r="I123" i="6" s="1"/>
  <c r="T4907" i="5"/>
  <c r="V4907" i="5" s="1"/>
  <c r="T4811" i="5"/>
  <c r="V4811" i="5" s="1"/>
  <c r="T4571" i="5"/>
  <c r="V4571" i="5" s="1"/>
  <c r="H92" i="6"/>
  <c r="I92" i="6" s="1"/>
  <c r="T3611" i="5"/>
  <c r="V3611" i="5" s="1"/>
  <c r="H73" i="6"/>
  <c r="I73" i="6" s="1"/>
  <c r="T3515" i="5"/>
  <c r="V3515" i="5" s="1"/>
  <c r="T3419" i="5"/>
  <c r="V3419" i="5" s="1"/>
  <c r="H78" i="6"/>
  <c r="I78" i="6" s="1"/>
  <c r="T3323" i="5"/>
  <c r="V3323" i="5" s="1"/>
  <c r="H13" i="6"/>
  <c r="I13" i="6" s="1"/>
  <c r="T3131" i="5"/>
  <c r="V3131" i="5" s="1"/>
  <c r="T2987" i="5"/>
  <c r="V2987" i="5" s="1"/>
  <c r="T2891" i="5"/>
  <c r="V2891" i="5" s="1"/>
  <c r="T2843" i="5"/>
  <c r="V2843" i="5" s="1"/>
  <c r="T2699" i="5"/>
  <c r="V2699" i="5" s="1"/>
  <c r="T2123" i="5"/>
  <c r="V2123" i="5" s="1"/>
  <c r="T1931" i="5"/>
  <c r="V1931" i="5" s="1"/>
  <c r="T1691" i="5"/>
  <c r="V1691" i="5" s="1"/>
  <c r="T1547" i="5"/>
  <c r="V1547" i="5" s="1"/>
  <c r="T1307" i="5"/>
  <c r="V1307" i="5" s="1"/>
  <c r="T1259" i="5"/>
  <c r="V1259" i="5" s="1"/>
  <c r="T1115" i="5"/>
  <c r="V1115" i="5" s="1"/>
  <c r="H151" i="6"/>
  <c r="I151" i="6" s="1"/>
  <c r="T587" i="5"/>
  <c r="V587" i="5" s="1"/>
  <c r="T347" i="5"/>
  <c r="V347" i="5" s="1"/>
  <c r="T299" i="5"/>
  <c r="V299" i="5" s="1"/>
  <c r="T251" i="5"/>
  <c r="V251" i="5" s="1"/>
  <c r="H86" i="6"/>
  <c r="I86" i="6" s="1"/>
  <c r="T59" i="5"/>
  <c r="V59" i="5" s="1"/>
  <c r="H154" i="6"/>
  <c r="I154" i="6" s="1"/>
  <c r="H12" i="6"/>
  <c r="I12" i="6" s="1"/>
  <c r="H129" i="6"/>
  <c r="I129" i="6" s="1"/>
  <c r="J17" i="1"/>
  <c r="I144" i="1"/>
  <c r="J59" i="1"/>
  <c r="J28" i="1"/>
  <c r="J33" i="1"/>
  <c r="J27" i="1"/>
  <c r="H108" i="6"/>
  <c r="I108" i="6" s="1"/>
  <c r="H34" i="6"/>
  <c r="I34" i="6" s="1"/>
  <c r="H199" i="6"/>
  <c r="I199" i="6" s="1"/>
  <c r="I197" i="6"/>
  <c r="H99" i="6"/>
  <c r="I99" i="6" s="1"/>
  <c r="H56" i="6"/>
  <c r="I56" i="6" s="1"/>
  <c r="H157" i="6"/>
  <c r="I157" i="6" s="1"/>
  <c r="H36" i="6"/>
  <c r="I36" i="6" s="1"/>
  <c r="H110" i="6"/>
  <c r="I110" i="6" s="1"/>
  <c r="H25" i="6"/>
  <c r="I25" i="6" s="1"/>
  <c r="H20" i="6"/>
  <c r="I20" i="6" s="1"/>
  <c r="H164" i="6"/>
  <c r="I164" i="6" s="1"/>
  <c r="I11" i="6"/>
  <c r="H35" i="1"/>
  <c r="G143" i="1"/>
  <c r="F96" i="1"/>
  <c r="G150" i="1"/>
  <c r="F64" i="1"/>
  <c r="F62" i="1"/>
  <c r="F145" i="1"/>
  <c r="F98" i="1"/>
  <c r="G53" i="1"/>
  <c r="F147" i="1"/>
  <c r="F80" i="1"/>
  <c r="G80" i="1"/>
  <c r="F87" i="1"/>
  <c r="F103" i="1"/>
  <c r="G147" i="1"/>
  <c r="H155" i="6"/>
  <c r="I155" i="6" s="1"/>
  <c r="H147" i="6"/>
  <c r="I147" i="6" s="1"/>
  <c r="H14" i="6"/>
  <c r="I14" i="6" s="1"/>
  <c r="H185" i="6"/>
  <c r="I185" i="6" s="1"/>
  <c r="F5528" i="5"/>
  <c r="J5483" i="5" s="1"/>
  <c r="K5483" i="5" s="1"/>
  <c r="F5167" i="5"/>
  <c r="F3631" i="5"/>
  <c r="F717" i="5"/>
  <c r="F5023" i="5"/>
  <c r="F1711" i="5"/>
  <c r="F2911" i="5"/>
  <c r="F669" i="5"/>
  <c r="F79" i="5"/>
  <c r="F1327" i="5"/>
  <c r="F1807" i="5"/>
  <c r="F3343" i="5"/>
  <c r="F2623" i="5"/>
  <c r="F2863" i="5"/>
  <c r="F4831" i="5"/>
  <c r="F4159" i="5"/>
  <c r="G104" i="1"/>
  <c r="G114" i="1"/>
  <c r="G128" i="1"/>
  <c r="G98" i="1"/>
  <c r="F73" i="1"/>
  <c r="F34" i="1"/>
  <c r="F31" i="5"/>
  <c r="G65" i="1"/>
  <c r="F59" i="1"/>
  <c r="F99" i="1"/>
  <c r="F68" i="1"/>
  <c r="F141" i="1"/>
  <c r="J146" i="1"/>
  <c r="G152" i="1"/>
  <c r="G72" i="1"/>
  <c r="E36" i="1" l="1"/>
  <c r="I96" i="1"/>
  <c r="I141" i="1"/>
  <c r="J104" i="1"/>
  <c r="I73" i="1"/>
  <c r="J114" i="1"/>
  <c r="J147" i="1"/>
  <c r="J143" i="1"/>
  <c r="I68" i="1"/>
  <c r="I103" i="1"/>
  <c r="I98" i="1"/>
  <c r="I87" i="1"/>
  <c r="I145" i="1"/>
  <c r="J128" i="1"/>
  <c r="J126" i="1" s="1"/>
  <c r="I99" i="1"/>
  <c r="I59" i="1"/>
  <c r="I62" i="1"/>
  <c r="I171" i="1"/>
  <c r="J98" i="1"/>
  <c r="I64" i="1"/>
  <c r="I147" i="1"/>
  <c r="J150" i="1"/>
  <c r="F146" i="1"/>
  <c r="J53" i="1"/>
  <c r="F54" i="1"/>
  <c r="F150" i="1"/>
  <c r="F683" i="5"/>
  <c r="G34" i="1"/>
  <c r="F63" i="1"/>
  <c r="F104" i="1"/>
  <c r="F17" i="1"/>
  <c r="I17" i="1" s="1"/>
  <c r="F5529" i="5"/>
  <c r="F65" i="1"/>
  <c r="F16" i="1"/>
  <c r="G35" i="1"/>
  <c r="F114" i="1"/>
  <c r="F92" i="1"/>
  <c r="F84" i="1"/>
  <c r="F128" i="1"/>
  <c r="F153" i="1"/>
  <c r="F72" i="1"/>
  <c r="F93" i="1"/>
  <c r="F77" i="1"/>
  <c r="G148" i="1"/>
  <c r="F109" i="1"/>
  <c r="I155" i="1" l="1"/>
  <c r="F155" i="1" s="1"/>
  <c r="I92" i="1"/>
  <c r="I16" i="1"/>
  <c r="I14" i="1" s="1"/>
  <c r="F14" i="1" s="1"/>
  <c r="I146" i="1"/>
  <c r="I54" i="1"/>
  <c r="I153" i="1"/>
  <c r="I63" i="1"/>
  <c r="I109" i="1"/>
  <c r="J148" i="1"/>
  <c r="I150" i="1"/>
  <c r="H163" i="1"/>
  <c r="Q5483" i="5"/>
  <c r="N683" i="5"/>
  <c r="L683" i="5"/>
  <c r="I114" i="1"/>
  <c r="I112" i="1" s="1"/>
  <c r="I128" i="1"/>
  <c r="I126" i="1" s="1"/>
  <c r="I104" i="1"/>
  <c r="I93" i="1"/>
  <c r="E35" i="1"/>
  <c r="F5483" i="5"/>
  <c r="J112" i="1"/>
  <c r="G126" i="1"/>
  <c r="H126" i="2" l="1"/>
  <c r="H89" i="2"/>
  <c r="T89" i="2"/>
  <c r="K89" i="2"/>
  <c r="T126" i="2"/>
  <c r="K126" i="2"/>
  <c r="E89" i="2"/>
  <c r="Q89" i="2"/>
  <c r="Q126" i="2"/>
  <c r="N126" i="2"/>
  <c r="N89" i="2"/>
  <c r="E126" i="2"/>
  <c r="N52" i="2"/>
  <c r="N15" i="2"/>
  <c r="Q52" i="2"/>
  <c r="E52" i="2"/>
  <c r="Q15" i="2"/>
  <c r="E15" i="2"/>
  <c r="T52" i="2"/>
  <c r="H52" i="2"/>
  <c r="T15" i="2"/>
  <c r="H15" i="2"/>
  <c r="K52" i="2"/>
  <c r="K15" i="2"/>
  <c r="R138" i="2"/>
  <c r="F138" i="2"/>
  <c r="I101" i="2"/>
  <c r="L101" i="2"/>
  <c r="I138" i="2"/>
  <c r="F101" i="2"/>
  <c r="R101" i="2"/>
  <c r="U101" i="2"/>
  <c r="O138" i="2"/>
  <c r="L138" i="2"/>
  <c r="O101" i="2"/>
  <c r="O64" i="2"/>
  <c r="R27" i="2"/>
  <c r="F27" i="2"/>
  <c r="R64" i="2"/>
  <c r="F64" i="2"/>
  <c r="U27" i="2"/>
  <c r="I27" i="2"/>
  <c r="I64" i="2"/>
  <c r="L27" i="2"/>
  <c r="L64" i="2"/>
  <c r="O27" i="2"/>
  <c r="E144" i="2"/>
  <c r="K107" i="2"/>
  <c r="N70" i="2"/>
  <c r="T33" i="2"/>
  <c r="H33" i="2"/>
  <c r="N144" i="2"/>
  <c r="T107" i="2"/>
  <c r="H107" i="2"/>
  <c r="K70" i="2"/>
  <c r="Q33" i="2"/>
  <c r="E33" i="2"/>
  <c r="N107" i="2"/>
  <c r="E70" i="2"/>
  <c r="K144" i="2"/>
  <c r="Q107" i="2"/>
  <c r="E107" i="2"/>
  <c r="H70" i="2"/>
  <c r="N33" i="2"/>
  <c r="H144" i="2"/>
  <c r="Q70" i="2"/>
  <c r="T70" i="2" s="1"/>
  <c r="K33" i="2"/>
  <c r="Q144" i="2"/>
  <c r="I156" i="1"/>
  <c r="K163" i="1"/>
  <c r="L163" i="1"/>
  <c r="R5483" i="5" s="1"/>
  <c r="S5483" i="5" s="1"/>
  <c r="E163" i="1"/>
  <c r="N5483" i="5"/>
  <c r="L5483" i="5"/>
  <c r="J127" i="1"/>
  <c r="G189" i="1"/>
  <c r="G112" i="1"/>
  <c r="R135" i="2" l="1"/>
  <c r="F135" i="2"/>
  <c r="O98" i="2"/>
  <c r="O135" i="2"/>
  <c r="F98" i="2"/>
  <c r="R98" i="2"/>
  <c r="I135" i="2"/>
  <c r="L135" i="2"/>
  <c r="I98" i="2"/>
  <c r="U98" i="2"/>
  <c r="L98" i="2"/>
  <c r="R61" i="2"/>
  <c r="F61" i="2"/>
  <c r="L24" i="2"/>
  <c r="O61" i="2"/>
  <c r="I24" i="2"/>
  <c r="L61" i="2"/>
  <c r="F24" i="2"/>
  <c r="O24" i="2"/>
  <c r="U24" i="2"/>
  <c r="R24" i="2"/>
  <c r="I61" i="2"/>
  <c r="U64" i="2"/>
  <c r="U138" i="2" s="1"/>
  <c r="T144" i="2"/>
  <c r="G193" i="1"/>
  <c r="G187" i="1"/>
  <c r="F126" i="1"/>
  <c r="F112" i="1"/>
  <c r="J113" i="1"/>
  <c r="U61" i="2" l="1"/>
  <c r="U135" i="2" s="1"/>
  <c r="Q135" i="2"/>
  <c r="E135" i="2"/>
  <c r="K98" i="2"/>
  <c r="N135" i="2"/>
  <c r="N98" i="2"/>
  <c r="H135" i="2"/>
  <c r="H98" i="2"/>
  <c r="K135" i="2"/>
  <c r="E98" i="2"/>
  <c r="Q98" i="2"/>
  <c r="T98" i="2"/>
  <c r="H61" i="2"/>
  <c r="T24" i="2"/>
  <c r="H24" i="2"/>
  <c r="K61" i="2"/>
  <c r="K24" i="2"/>
  <c r="N61" i="2"/>
  <c r="N24" i="2"/>
  <c r="Q61" i="2"/>
  <c r="E61" i="2"/>
  <c r="Q24" i="2"/>
  <c r="E24" i="2"/>
  <c r="N138" i="2"/>
  <c r="E101" i="2"/>
  <c r="Q101" i="2"/>
  <c r="Q138" i="2"/>
  <c r="E138" i="2"/>
  <c r="N101" i="2"/>
  <c r="H101" i="2"/>
  <c r="H138" i="2"/>
  <c r="K101" i="2"/>
  <c r="T101" i="2"/>
  <c r="K138" i="2"/>
  <c r="K64" i="2"/>
  <c r="N27" i="2"/>
  <c r="N64" i="2"/>
  <c r="Q27" i="2"/>
  <c r="E27" i="2"/>
  <c r="Q64" i="2"/>
  <c r="E64" i="2"/>
  <c r="T27" i="2"/>
  <c r="H27" i="2"/>
  <c r="H64" i="2"/>
  <c r="K27" i="2"/>
  <c r="I127" i="1"/>
  <c r="F187" i="1"/>
  <c r="F189" i="1"/>
  <c r="F193" i="1"/>
  <c r="I113" i="1"/>
  <c r="T61" i="2" l="1"/>
  <c r="T135" i="2" s="1"/>
  <c r="T64" i="2"/>
  <c r="T138" i="2" s="1"/>
  <c r="F43" i="5"/>
  <c r="F44" i="5" l="1"/>
  <c r="I11" i="5" s="1"/>
  <c r="F45" i="5" l="1"/>
  <c r="G16" i="1" l="1"/>
  <c r="J16" i="1" l="1"/>
  <c r="J14" i="1" l="1"/>
  <c r="G11" i="5" l="1"/>
  <c r="L49" i="5" s="1"/>
  <c r="H200" i="6" s="1"/>
  <c r="I200" i="6" s="1"/>
  <c r="G14" i="1"/>
  <c r="U126" i="2" l="1"/>
  <c r="L126" i="2"/>
  <c r="L89" i="2"/>
  <c r="I126" i="2"/>
  <c r="O126" i="2"/>
  <c r="I89" i="2"/>
  <c r="U89" i="2"/>
  <c r="R126" i="2"/>
  <c r="F126" i="2"/>
  <c r="F89" i="2"/>
  <c r="R89" i="2"/>
  <c r="O89" i="2"/>
  <c r="R52" i="2"/>
  <c r="F52" i="2"/>
  <c r="R15" i="2"/>
  <c r="F15" i="2"/>
  <c r="U52" i="2"/>
  <c r="I52" i="2"/>
  <c r="U15" i="2"/>
  <c r="I15" i="2"/>
  <c r="L52" i="2"/>
  <c r="L15" i="2"/>
  <c r="O52" i="2"/>
  <c r="O15" i="2"/>
  <c r="L33" i="5"/>
  <c r="L34" i="5"/>
  <c r="H146" i="6" s="1"/>
  <c r="I146" i="6" s="1"/>
  <c r="U11" i="5"/>
  <c r="L36" i="5"/>
  <c r="L37" i="5"/>
  <c r="L48" i="5"/>
  <c r="H190" i="6" s="1"/>
  <c r="I190" i="6" s="1"/>
  <c r="L47" i="5"/>
  <c r="H188" i="6" s="1"/>
  <c r="I188" i="6" s="1"/>
  <c r="L35" i="5"/>
  <c r="L38" i="5"/>
  <c r="H168" i="6" s="1"/>
  <c r="I168" i="6" s="1"/>
  <c r="H153" i="6" l="1"/>
  <c r="I153" i="6" s="1"/>
  <c r="H177" i="6"/>
  <c r="I177" i="6" s="1"/>
  <c r="H178" i="6"/>
  <c r="I178" i="6" s="1"/>
  <c r="H145" i="6"/>
  <c r="I145" i="6" s="1"/>
  <c r="J15" i="1"/>
  <c r="F181" i="1"/>
  <c r="G181" i="1"/>
  <c r="H144" i="6"/>
  <c r="T11" i="5"/>
  <c r="V11" i="5" s="1"/>
  <c r="I15" i="1"/>
  <c r="I144" i="6" l="1"/>
  <c r="G1787" i="5" l="1"/>
  <c r="L1809" i="5" s="1"/>
  <c r="H152" i="6" s="1"/>
  <c r="I152" i="6" s="1"/>
  <c r="J65" i="1"/>
  <c r="I65" i="1"/>
  <c r="U1787" i="5" l="1"/>
  <c r="L1793" i="5"/>
  <c r="L1792" i="5"/>
  <c r="L1824" i="5"/>
  <c r="L1790" i="5"/>
  <c r="L1791" i="5"/>
  <c r="L1823" i="5"/>
  <c r="L1789" i="5"/>
  <c r="T1787" i="5" l="1"/>
  <c r="V1787" i="5" s="1"/>
  <c r="G2651" i="5" l="1"/>
  <c r="I86" i="1"/>
  <c r="J86" i="1"/>
  <c r="G3179" i="5"/>
  <c r="J101" i="1"/>
  <c r="I101" i="1"/>
  <c r="G2603" i="5"/>
  <c r="J84" i="1"/>
  <c r="I84" i="1"/>
  <c r="G2795" i="5"/>
  <c r="J90" i="1"/>
  <c r="I90" i="1"/>
  <c r="G2075" i="5"/>
  <c r="J72" i="1"/>
  <c r="I72" i="1"/>
  <c r="G2411" i="5"/>
  <c r="J80" i="1"/>
  <c r="I80" i="1"/>
  <c r="G1067" i="5"/>
  <c r="J48" i="1"/>
  <c r="I48" i="1"/>
  <c r="G1163" i="5"/>
  <c r="J51" i="1"/>
  <c r="I51" i="1"/>
  <c r="G2507" i="5"/>
  <c r="J82" i="1"/>
  <c r="I82" i="1"/>
  <c r="J138" i="1" l="1"/>
  <c r="I138" i="1"/>
  <c r="J94" i="1"/>
  <c r="I94" i="1"/>
  <c r="G2939" i="5"/>
  <c r="G4523" i="5"/>
  <c r="J140" i="1"/>
  <c r="I140" i="1"/>
  <c r="G2171" i="5"/>
  <c r="J74" i="1"/>
  <c r="I74" i="1"/>
  <c r="G1835" i="5"/>
  <c r="I66" i="1"/>
  <c r="U2507" i="5"/>
  <c r="L2544" i="5"/>
  <c r="L2545" i="5"/>
  <c r="L2509" i="5"/>
  <c r="L2512" i="5"/>
  <c r="L2511" i="5"/>
  <c r="L2510" i="5"/>
  <c r="L2513" i="5"/>
  <c r="L2543" i="5"/>
  <c r="U1163" i="5"/>
  <c r="L1169" i="5"/>
  <c r="H114" i="6" s="1"/>
  <c r="I114" i="6" s="1"/>
  <c r="L1199" i="5"/>
  <c r="L1168" i="5"/>
  <c r="L1167" i="5"/>
  <c r="L1165" i="5"/>
  <c r="L1166" i="5"/>
  <c r="G2315" i="5"/>
  <c r="J77" i="1"/>
  <c r="I77" i="1"/>
  <c r="U1067" i="5"/>
  <c r="L1071" i="5"/>
  <c r="L1104" i="5"/>
  <c r="L1069" i="5"/>
  <c r="L1070" i="5"/>
  <c r="L1089" i="5"/>
  <c r="L1103" i="5"/>
  <c r="U2411" i="5"/>
  <c r="L2413" i="5"/>
  <c r="L2448" i="5"/>
  <c r="L2447" i="5"/>
  <c r="L2433" i="5"/>
  <c r="H169" i="6" s="1"/>
  <c r="I169" i="6" s="1"/>
  <c r="U2075" i="5"/>
  <c r="L2111" i="5"/>
  <c r="T2075" i="5" s="1"/>
  <c r="U2795" i="5"/>
  <c r="L2817" i="5"/>
  <c r="L2797" i="5"/>
  <c r="L2800" i="5"/>
  <c r="L2832" i="5"/>
  <c r="L2799" i="5"/>
  <c r="L2831" i="5"/>
  <c r="L2798" i="5"/>
  <c r="U2603" i="5"/>
  <c r="L2606" i="5"/>
  <c r="L2625" i="5"/>
  <c r="H172" i="6" s="1"/>
  <c r="I172" i="6" s="1"/>
  <c r="L2607" i="5"/>
  <c r="H81" i="6" s="1"/>
  <c r="I81" i="6" s="1"/>
  <c r="L2605" i="5"/>
  <c r="L2639" i="5"/>
  <c r="L2640" i="5"/>
  <c r="U3179" i="5"/>
  <c r="L3215" i="5"/>
  <c r="L3185" i="5"/>
  <c r="H79" i="6" s="1"/>
  <c r="I79" i="6" s="1"/>
  <c r="L3187" i="5"/>
  <c r="L3183" i="5"/>
  <c r="H66" i="6" s="1"/>
  <c r="I66" i="6" s="1"/>
  <c r="L3186" i="5"/>
  <c r="L3202" i="5"/>
  <c r="L3184" i="5"/>
  <c r="L3218" i="5"/>
  <c r="L3217" i="5"/>
  <c r="L3201" i="5"/>
  <c r="L3216" i="5"/>
  <c r="L3188" i="5"/>
  <c r="L3182" i="5"/>
  <c r="L3181" i="5"/>
  <c r="G2459" i="5"/>
  <c r="I81" i="1"/>
  <c r="J81" i="1"/>
  <c r="G539" i="5"/>
  <c r="J31" i="1"/>
  <c r="I31" i="1"/>
  <c r="U2651" i="5"/>
  <c r="L2656" i="5"/>
  <c r="L2654" i="5"/>
  <c r="L2688" i="5"/>
  <c r="L2655" i="5"/>
  <c r="L2653" i="5"/>
  <c r="L2687" i="5"/>
  <c r="L4561" i="5" l="1"/>
  <c r="L4562" i="5"/>
  <c r="G731" i="5"/>
  <c r="I36" i="1"/>
  <c r="K36" i="1"/>
  <c r="L36" i="1"/>
  <c r="J36" i="1"/>
  <c r="G1019" i="5"/>
  <c r="L1024" i="5" s="1"/>
  <c r="H16" i="6" s="1"/>
  <c r="I16" i="6" s="1"/>
  <c r="J47" i="1"/>
  <c r="I47" i="1"/>
  <c r="I43" i="1" s="1"/>
  <c r="F43" i="1" s="1"/>
  <c r="Q132" i="2" s="1"/>
  <c r="H101" i="6"/>
  <c r="I101" i="6" s="1"/>
  <c r="H183" i="6"/>
  <c r="I183" i="6" s="1"/>
  <c r="H170" i="6"/>
  <c r="I170" i="6" s="1"/>
  <c r="U2939" i="5"/>
  <c r="L2975" i="5"/>
  <c r="L2941" i="5"/>
  <c r="L2942" i="5"/>
  <c r="L2943" i="5"/>
  <c r="L2976" i="5"/>
  <c r="G5099" i="5"/>
  <c r="I152" i="1"/>
  <c r="J152" i="1"/>
  <c r="U4523" i="5"/>
  <c r="L4559" i="5"/>
  <c r="L4527" i="5"/>
  <c r="L4525" i="5"/>
  <c r="L4526" i="5"/>
  <c r="H68" i="6" s="1"/>
  <c r="I68" i="6" s="1"/>
  <c r="L4560" i="5"/>
  <c r="G4427" i="5"/>
  <c r="T3179" i="5"/>
  <c r="V3179" i="5" s="1"/>
  <c r="G635" i="5"/>
  <c r="I34" i="1"/>
  <c r="J34" i="1"/>
  <c r="G5964" i="5"/>
  <c r="U2459" i="5"/>
  <c r="L2464" i="5"/>
  <c r="H80" i="6" s="1"/>
  <c r="I80" i="6" s="1"/>
  <c r="L2466" i="5"/>
  <c r="H97" i="6" s="1"/>
  <c r="I97" i="6" s="1"/>
  <c r="L2497" i="5"/>
  <c r="H186" i="6" s="1"/>
  <c r="I186" i="6" s="1"/>
  <c r="L2496" i="5"/>
  <c r="L2462" i="5"/>
  <c r="L2461" i="5"/>
  <c r="L2463" i="5"/>
  <c r="L2465" i="5"/>
  <c r="H84" i="6" s="1"/>
  <c r="I84" i="6" s="1"/>
  <c r="L2481" i="5"/>
  <c r="H149" i="6" s="1"/>
  <c r="I149" i="6" s="1"/>
  <c r="L2495" i="5"/>
  <c r="L2482" i="5"/>
  <c r="H148" i="6" s="1"/>
  <c r="I148" i="6" s="1"/>
  <c r="U539" i="5"/>
  <c r="L575" i="5"/>
  <c r="T2795" i="5"/>
  <c r="V2795" i="5" s="1"/>
  <c r="H10" i="6"/>
  <c r="I10" i="6" s="1"/>
  <c r="V2075" i="5"/>
  <c r="T1067" i="5"/>
  <c r="V1067" i="5" s="1"/>
  <c r="T2651" i="5"/>
  <c r="V2651" i="5" s="1"/>
  <c r="H43" i="6"/>
  <c r="I43" i="6" s="1"/>
  <c r="T2603" i="5"/>
  <c r="V2603" i="5" s="1"/>
  <c r="T1163" i="5"/>
  <c r="V1163" i="5" s="1"/>
  <c r="H85" i="6"/>
  <c r="I85" i="6" s="1"/>
  <c r="H90" i="6"/>
  <c r="I90" i="6" s="1"/>
  <c r="T2507" i="5"/>
  <c r="V2507" i="5" s="1"/>
  <c r="I35" i="1"/>
  <c r="G683" i="5"/>
  <c r="K35" i="1"/>
  <c r="L35" i="1"/>
  <c r="J35" i="1"/>
  <c r="H41" i="6"/>
  <c r="I41" i="6" s="1"/>
  <c r="T2411" i="5"/>
  <c r="V2411" i="5" s="1"/>
  <c r="U2315" i="5"/>
  <c r="L2337" i="5"/>
  <c r="H166" i="6" s="1"/>
  <c r="I166" i="6" s="1"/>
  <c r="L2338" i="5"/>
  <c r="H167" i="6" s="1"/>
  <c r="I167" i="6" s="1"/>
  <c r="L2317" i="5"/>
  <c r="L2352" i="5"/>
  <c r="L2351" i="5"/>
  <c r="L1871" i="5"/>
  <c r="L1872" i="5"/>
  <c r="L1841" i="5"/>
  <c r="H104" i="6" s="1"/>
  <c r="I104" i="6" s="1"/>
  <c r="L1840" i="5"/>
  <c r="L1837" i="5"/>
  <c r="L1838" i="5"/>
  <c r="H127" i="6" s="1"/>
  <c r="I127" i="6" s="1"/>
  <c r="L1839" i="5"/>
  <c r="U2171" i="5"/>
  <c r="L2207" i="5"/>
  <c r="T2171" i="5" s="1"/>
  <c r="H132" i="2" l="1"/>
  <c r="Q95" i="2"/>
  <c r="E95" i="2"/>
  <c r="K58" i="2"/>
  <c r="Q21" i="2"/>
  <c r="E21" i="2"/>
  <c r="E132" i="2"/>
  <c r="T95" i="2"/>
  <c r="H95" i="2"/>
  <c r="N58" i="2"/>
  <c r="T21" i="2"/>
  <c r="H21" i="2"/>
  <c r="K132" i="2"/>
  <c r="N95" i="2"/>
  <c r="T58" i="2"/>
  <c r="H58" i="2"/>
  <c r="N21" i="2"/>
  <c r="N132" i="2"/>
  <c r="K95" i="2"/>
  <c r="Q58" i="2"/>
  <c r="E58" i="2"/>
  <c r="K21" i="2"/>
  <c r="L1056" i="5"/>
  <c r="L1023" i="5"/>
  <c r="L1055" i="5"/>
  <c r="H195" i="6" s="1"/>
  <c r="I195" i="6" s="1"/>
  <c r="U1019" i="5"/>
  <c r="H82" i="6"/>
  <c r="I82" i="6" s="1"/>
  <c r="L754" i="5"/>
  <c r="U731" i="5"/>
  <c r="L753" i="5"/>
  <c r="Q731" i="5"/>
  <c r="J134" i="1"/>
  <c r="G134" i="1" s="1"/>
  <c r="H29" i="6"/>
  <c r="I29" i="6" s="1"/>
  <c r="J22" i="1"/>
  <c r="G22" i="1" s="1"/>
  <c r="R731" i="5"/>
  <c r="L1021" i="5"/>
  <c r="H40" i="6" s="1"/>
  <c r="I40" i="6" s="1"/>
  <c r="L1022" i="5"/>
  <c r="L1041" i="5"/>
  <c r="H159" i="6" s="1"/>
  <c r="I159" i="6" s="1"/>
  <c r="I134" i="1"/>
  <c r="F134" i="1" s="1"/>
  <c r="H112" i="6"/>
  <c r="I112" i="6" s="1"/>
  <c r="U5099" i="5"/>
  <c r="L5136" i="5"/>
  <c r="L5101" i="5"/>
  <c r="L5135" i="5"/>
  <c r="H181" i="6" s="1"/>
  <c r="I181" i="6" s="1"/>
  <c r="L4464" i="5"/>
  <c r="U4427" i="5"/>
  <c r="L4463" i="5"/>
  <c r="L4449" i="5"/>
  <c r="T4523" i="5"/>
  <c r="V4523" i="5" s="1"/>
  <c r="T2939" i="5"/>
  <c r="V2939" i="5" s="1"/>
  <c r="H38" i="6"/>
  <c r="I38" i="6" s="1"/>
  <c r="V2171" i="5"/>
  <c r="H192" i="6"/>
  <c r="I192" i="6" s="1"/>
  <c r="U683" i="5"/>
  <c r="L706" i="5"/>
  <c r="L705" i="5"/>
  <c r="Q683" i="5"/>
  <c r="G5963" i="5"/>
  <c r="G5965" i="5" s="1"/>
  <c r="R683" i="5"/>
  <c r="I22" i="1"/>
  <c r="T2315" i="5"/>
  <c r="V2315" i="5" s="1"/>
  <c r="H19" i="6"/>
  <c r="T539" i="5"/>
  <c r="T2459" i="5"/>
  <c r="V2459" i="5" s="1"/>
  <c r="U635" i="5"/>
  <c r="L657" i="5"/>
  <c r="L658" i="5"/>
  <c r="L671" i="5"/>
  <c r="E141" i="2" l="1"/>
  <c r="H46" i="6"/>
  <c r="I46" i="6" s="1"/>
  <c r="H121" i="6"/>
  <c r="I121" i="6" s="1"/>
  <c r="H48" i="6"/>
  <c r="I48" i="6" s="1"/>
  <c r="H47" i="6"/>
  <c r="I47" i="6" s="1"/>
  <c r="H119" i="6"/>
  <c r="I119" i="6" s="1"/>
  <c r="H49" i="6"/>
  <c r="I49" i="6" s="1"/>
  <c r="H50" i="6"/>
  <c r="I50" i="6" s="1"/>
  <c r="H51" i="6"/>
  <c r="I51" i="6" s="1"/>
  <c r="H21" i="6"/>
  <c r="I21" i="6" s="1"/>
  <c r="H52" i="6"/>
  <c r="I52" i="6" s="1"/>
  <c r="H24" i="6"/>
  <c r="I24" i="6" s="1"/>
  <c r="H26" i="6"/>
  <c r="I26" i="6" s="1"/>
  <c r="H55" i="6"/>
  <c r="I55" i="6" s="1"/>
  <c r="U92" i="2"/>
  <c r="L129" i="2"/>
  <c r="O129" i="2"/>
  <c r="I129" i="2"/>
  <c r="F92" i="2"/>
  <c r="L92" i="2"/>
  <c r="R92" i="2"/>
  <c r="R129" i="2"/>
  <c r="I92" i="2"/>
  <c r="F129" i="2"/>
  <c r="O92" i="2"/>
  <c r="R141" i="2"/>
  <c r="F141" i="2"/>
  <c r="L104" i="2"/>
  <c r="I141" i="2"/>
  <c r="I104" i="2"/>
  <c r="O141" i="2"/>
  <c r="L141" i="2"/>
  <c r="F104" i="2"/>
  <c r="R104" i="2"/>
  <c r="U104" i="2"/>
  <c r="O104" i="2"/>
  <c r="N141" i="2"/>
  <c r="H104" i="2"/>
  <c r="Q141" i="2"/>
  <c r="E104" i="2"/>
  <c r="Q104" i="2"/>
  <c r="K104" i="2"/>
  <c r="H141" i="2"/>
  <c r="N104" i="2"/>
  <c r="K141" i="2"/>
  <c r="T104" i="2"/>
  <c r="R55" i="2"/>
  <c r="F55" i="2"/>
  <c r="R18" i="2"/>
  <c r="I55" i="2"/>
  <c r="U18" i="2"/>
  <c r="I18" i="2"/>
  <c r="F18" i="2"/>
  <c r="L55" i="2"/>
  <c r="L18" i="2"/>
  <c r="O55" i="2"/>
  <c r="O18" i="2"/>
  <c r="R67" i="2"/>
  <c r="F67" i="2"/>
  <c r="L30" i="2"/>
  <c r="I67" i="2"/>
  <c r="O30" i="2"/>
  <c r="L67" i="2"/>
  <c r="R30" i="2"/>
  <c r="F30" i="2"/>
  <c r="O67" i="2"/>
  <c r="U30" i="2"/>
  <c r="I30" i="2"/>
  <c r="N67" i="2"/>
  <c r="T30" i="2"/>
  <c r="H30" i="2"/>
  <c r="Q67" i="2"/>
  <c r="E67" i="2"/>
  <c r="K30" i="2"/>
  <c r="H67" i="2"/>
  <c r="N30" i="2"/>
  <c r="K67" i="2"/>
  <c r="Q30" i="2"/>
  <c r="E30" i="2"/>
  <c r="S731" i="5"/>
  <c r="H171" i="6"/>
  <c r="I171" i="6" s="1"/>
  <c r="T731" i="5"/>
  <c r="V731" i="5" s="1"/>
  <c r="T1019" i="5"/>
  <c r="V1019" i="5" s="1"/>
  <c r="S683" i="5"/>
  <c r="H193" i="6"/>
  <c r="I193" i="6" s="1"/>
  <c r="H69" i="6"/>
  <c r="I69" i="6" s="1"/>
  <c r="H130" i="6"/>
  <c r="I130" i="6" s="1"/>
  <c r="J135" i="1"/>
  <c r="I44" i="1"/>
  <c r="J23" i="1"/>
  <c r="H196" i="6"/>
  <c r="I196" i="6" s="1"/>
  <c r="I135" i="1"/>
  <c r="T4427" i="5"/>
  <c r="V4427" i="5" s="1"/>
  <c r="H173" i="6"/>
  <c r="I173" i="6" s="1"/>
  <c r="H109" i="6"/>
  <c r="I109" i="6" s="1"/>
  <c r="T5099" i="5"/>
  <c r="V5099" i="5" s="1"/>
  <c r="H150" i="6"/>
  <c r="I150" i="6" s="1"/>
  <c r="G191" i="1"/>
  <c r="F185" i="1"/>
  <c r="H54" i="6"/>
  <c r="I54" i="6" s="1"/>
  <c r="T635" i="5"/>
  <c r="V635" i="5" s="1"/>
  <c r="H165" i="6"/>
  <c r="I165" i="6" s="1"/>
  <c r="F22" i="1"/>
  <c r="V539" i="5"/>
  <c r="I19" i="6"/>
  <c r="T683" i="5"/>
  <c r="V683" i="5" s="1"/>
  <c r="F191" i="1"/>
  <c r="G183" i="1"/>
  <c r="U55" i="2" l="1"/>
  <c r="U129" i="2" s="1"/>
  <c r="Q129" i="2"/>
  <c r="K129" i="2"/>
  <c r="K148" i="2" s="1"/>
  <c r="E129" i="2"/>
  <c r="E148" i="2" s="1"/>
  <c r="E92" i="2"/>
  <c r="E111" i="2" s="1"/>
  <c r="K92" i="2"/>
  <c r="K111" i="2" s="1"/>
  <c r="Q92" i="2"/>
  <c r="Q111" i="2" s="1"/>
  <c r="T92" i="2"/>
  <c r="N129" i="2"/>
  <c r="N148" i="2" s="1"/>
  <c r="H129" i="2"/>
  <c r="H148" i="2" s="1"/>
  <c r="H92" i="2"/>
  <c r="H111" i="2" s="1"/>
  <c r="N92" i="2"/>
  <c r="T132" i="2"/>
  <c r="U67" i="2"/>
  <c r="U141" i="2" s="1"/>
  <c r="T67" i="2"/>
  <c r="T141" i="2" s="1"/>
  <c r="N55" i="2"/>
  <c r="N74" i="2" s="1"/>
  <c r="N18" i="2"/>
  <c r="N37" i="2" s="1"/>
  <c r="Q55" i="2"/>
  <c r="Q74" i="2" s="1"/>
  <c r="E55" i="2"/>
  <c r="E74" i="2" s="1"/>
  <c r="Q18" i="2"/>
  <c r="Q37" i="2" s="1"/>
  <c r="H55" i="2"/>
  <c r="H74" i="2" s="1"/>
  <c r="T18" i="2"/>
  <c r="T37" i="2" s="1"/>
  <c r="H18" i="2"/>
  <c r="H37" i="2" s="1"/>
  <c r="E18" i="2"/>
  <c r="E37" i="2" s="1"/>
  <c r="K55" i="2"/>
  <c r="K74" i="2" s="1"/>
  <c r="K18" i="2"/>
  <c r="K37" i="2" s="1"/>
  <c r="L175" i="1"/>
  <c r="I23" i="1"/>
  <c r="F183" i="1"/>
  <c r="T55" i="2" l="1"/>
  <c r="T129" i="2" s="1"/>
  <c r="T148" i="2" s="1"/>
  <c r="N111" i="2"/>
  <c r="T111" i="2"/>
  <c r="Q148" i="2"/>
  <c r="E41" i="2"/>
  <c r="H41" i="2" s="1"/>
  <c r="F195" i="1"/>
  <c r="K41" i="2" l="1"/>
  <c r="H43" i="2"/>
  <c r="T74" i="2"/>
  <c r="E43" i="2"/>
  <c r="K43" i="2" l="1"/>
  <c r="N41" i="2"/>
  <c r="L1860" i="5"/>
  <c r="T1835" i="5" s="1"/>
  <c r="U1835" i="5"/>
  <c r="U5966" i="5" s="1"/>
  <c r="F1860" i="5"/>
  <c r="F1867" i="5" s="1"/>
  <c r="Q41" i="2" l="1"/>
  <c r="N43" i="2"/>
  <c r="F1868" i="5"/>
  <c r="F1869" i="5" s="1"/>
  <c r="V1835" i="5"/>
  <c r="T5966" i="5"/>
  <c r="X1835" i="5"/>
  <c r="Q43" i="2" l="1"/>
  <c r="T41" i="2"/>
  <c r="I1855" i="5"/>
  <c r="G66" i="1"/>
  <c r="I1835" i="5"/>
  <c r="E78" i="2" l="1"/>
  <c r="T43" i="2"/>
  <c r="J66" i="1"/>
  <c r="J43" i="1" s="1"/>
  <c r="E80" i="2" l="1"/>
  <c r="H78" i="2"/>
  <c r="G43" i="1"/>
  <c r="F132" i="2" l="1"/>
  <c r="U95" i="2"/>
  <c r="I95" i="2"/>
  <c r="O58" i="2"/>
  <c r="U21" i="2"/>
  <c r="I21" i="2"/>
  <c r="R95" i="2"/>
  <c r="F21" i="2"/>
  <c r="R132" i="2"/>
  <c r="O132" i="2"/>
  <c r="L95" i="2"/>
  <c r="R58" i="2"/>
  <c r="F58" i="2"/>
  <c r="L21" i="2"/>
  <c r="I132" i="2"/>
  <c r="L132" i="2"/>
  <c r="O95" i="2"/>
  <c r="U58" i="2"/>
  <c r="I58" i="2"/>
  <c r="O21" i="2"/>
  <c r="F95" i="2"/>
  <c r="L58" i="2"/>
  <c r="L74" i="2" s="1"/>
  <c r="R21" i="2"/>
  <c r="H80" i="2"/>
  <c r="K78" i="2"/>
  <c r="G185" i="1"/>
  <c r="L176" i="1"/>
  <c r="J44" i="1"/>
  <c r="U132" i="2" l="1"/>
  <c r="U148" i="2" s="1"/>
  <c r="L148" i="2"/>
  <c r="O148" i="2"/>
  <c r="L111" i="2"/>
  <c r="F111" i="2"/>
  <c r="O111" i="2"/>
  <c r="I111" i="2"/>
  <c r="R111" i="2"/>
  <c r="F148" i="2"/>
  <c r="U111" i="2"/>
  <c r="I148" i="2"/>
  <c r="R148" i="2"/>
  <c r="R37" i="2"/>
  <c r="O37" i="2"/>
  <c r="F37" i="2"/>
  <c r="O74" i="2"/>
  <c r="K80" i="2"/>
  <c r="N78" i="2"/>
  <c r="U37" i="2"/>
  <c r="I37" i="2"/>
  <c r="F74" i="2"/>
  <c r="L37" i="2"/>
  <c r="I74" i="2"/>
  <c r="R74" i="2"/>
  <c r="G195" i="1"/>
  <c r="Q78" i="2" l="1"/>
  <c r="N80" i="2"/>
  <c r="U74" i="2"/>
  <c r="F41" i="2"/>
  <c r="F43" i="2" s="1"/>
  <c r="I41" i="2" l="1"/>
  <c r="I43" i="2" s="1"/>
  <c r="Q80" i="2"/>
  <c r="T78" i="2"/>
  <c r="R5675" i="5"/>
  <c r="S5675" i="5" s="1"/>
  <c r="E3456" i="5"/>
  <c r="F3456" i="5" s="1"/>
  <c r="M190" i="6"/>
  <c r="M197" i="6"/>
  <c r="E143" i="5"/>
  <c r="M191" i="6"/>
  <c r="E1103" i="5"/>
  <c r="E4463" i="5"/>
  <c r="F4463" i="5" s="1"/>
  <c r="E4464" i="5"/>
  <c r="M188" i="6"/>
  <c r="E2015" i="5" l="1"/>
  <c r="F2015" i="5" s="1"/>
  <c r="H2015" i="5"/>
  <c r="H2064" i="5"/>
  <c r="E2064" i="5"/>
  <c r="M184" i="6"/>
  <c r="E2018" i="5"/>
  <c r="H2068" i="5"/>
  <c r="E2068" i="5"/>
  <c r="H2018" i="5"/>
  <c r="H2017" i="5"/>
  <c r="E2017" i="5"/>
  <c r="M186" i="6"/>
  <c r="H2066" i="5"/>
  <c r="E2066" i="5"/>
  <c r="E2067" i="5"/>
  <c r="H2067" i="5"/>
  <c r="E2069" i="5"/>
  <c r="H2069" i="5"/>
  <c r="M196" i="6"/>
  <c r="H2065" i="5"/>
  <c r="E2016" i="5"/>
  <c r="F2016" i="5" s="1"/>
  <c r="E2065" i="5"/>
  <c r="H2016" i="5"/>
  <c r="T80" i="2"/>
  <c r="E115" i="2"/>
  <c r="L41" i="2"/>
  <c r="L43" i="2" s="1"/>
  <c r="E336" i="5"/>
  <c r="H336" i="5"/>
  <c r="E4319" i="5"/>
  <c r="F4319" i="5" s="1"/>
  <c r="E2784" i="5"/>
  <c r="F2784" i="5" s="1"/>
  <c r="M182" i="6"/>
  <c r="E95" i="5"/>
  <c r="F95" i="5" s="1"/>
  <c r="M183" i="6"/>
  <c r="E4799" i="5"/>
  <c r="F4799" i="5" s="1"/>
  <c r="H143" i="5"/>
  <c r="I143" i="5" s="1"/>
  <c r="M200" i="6"/>
  <c r="E3312" i="5"/>
  <c r="M199" i="6"/>
  <c r="E3215" i="5"/>
  <c r="F3215" i="5" s="1"/>
  <c r="E4751" i="5"/>
  <c r="F4751" i="5" s="1"/>
  <c r="M193" i="6"/>
  <c r="E5039" i="5"/>
  <c r="M194" i="6"/>
  <c r="H3120" i="5"/>
  <c r="M185" i="6"/>
  <c r="E5424" i="5"/>
  <c r="F5424" i="5" s="1"/>
  <c r="M189" i="6"/>
  <c r="E2399" i="5"/>
  <c r="F2399" i="5" s="1"/>
  <c r="E4032" i="5"/>
  <c r="F4032" i="5" s="1"/>
  <c r="M187" i="6"/>
  <c r="E287" i="5"/>
  <c r="M192" i="6"/>
  <c r="E1055" i="5"/>
  <c r="F1055" i="5" s="1"/>
  <c r="M195" i="6"/>
  <c r="E3551" i="5"/>
  <c r="F3551" i="5" s="1"/>
  <c r="M198" i="6"/>
  <c r="E1298" i="5"/>
  <c r="F1298" i="5" s="1"/>
  <c r="E2687" i="5"/>
  <c r="F2687" i="5" s="1"/>
  <c r="E4991" i="5"/>
  <c r="E2831" i="5"/>
  <c r="F2831" i="5" s="1"/>
  <c r="E5328" i="5"/>
  <c r="F5328" i="5" s="1"/>
  <c r="E1295" i="5"/>
  <c r="F1295" i="5" s="1"/>
  <c r="E1583" i="5"/>
  <c r="F1583" i="5" s="1"/>
  <c r="E5472" i="5"/>
  <c r="F5472" i="5" s="1"/>
  <c r="E3647" i="5"/>
  <c r="F3647" i="5" s="1"/>
  <c r="E2975" i="5"/>
  <c r="F2975" i="5" s="1"/>
  <c r="E4128" i="5"/>
  <c r="F4128" i="5" s="1"/>
  <c r="E5376" i="5"/>
  <c r="F5376" i="5" s="1"/>
  <c r="H4464" i="5"/>
  <c r="H1056" i="5"/>
  <c r="H623" i="5"/>
  <c r="H2447" i="5"/>
  <c r="H288" i="5"/>
  <c r="H1775" i="5"/>
  <c r="H383" i="5"/>
  <c r="H2111" i="5"/>
  <c r="H5856" i="5"/>
  <c r="H2159" i="5"/>
  <c r="H4752" i="5"/>
  <c r="H1535" i="5"/>
  <c r="H2543" i="5"/>
  <c r="H3072" i="5"/>
  <c r="H3218" i="5"/>
  <c r="H1823" i="5"/>
  <c r="H4992" i="5"/>
  <c r="H4512" i="5"/>
  <c r="H2928" i="5"/>
  <c r="H2207" i="5"/>
  <c r="H2832" i="5"/>
  <c r="H1344" i="5"/>
  <c r="H671" i="5"/>
  <c r="H1440" i="5"/>
  <c r="H3119" i="5"/>
  <c r="H527" i="5"/>
  <c r="H432" i="5"/>
  <c r="H3504" i="5"/>
  <c r="H2351" i="5"/>
  <c r="H3599" i="5"/>
  <c r="H2303" i="5"/>
  <c r="H2255" i="5"/>
  <c r="H1151" i="5"/>
  <c r="H3311" i="5"/>
  <c r="H3167" i="5"/>
  <c r="H4655" i="5"/>
  <c r="H4607" i="5"/>
  <c r="H5759" i="5"/>
  <c r="H1199" i="5"/>
  <c r="H4320" i="5"/>
  <c r="H1391" i="5"/>
  <c r="H2591" i="5"/>
  <c r="H4175" i="5"/>
  <c r="H1008" i="5"/>
  <c r="H1679" i="5"/>
  <c r="H1488" i="5"/>
  <c r="H2399" i="5"/>
  <c r="H1919" i="5"/>
  <c r="H912" i="5"/>
  <c r="H4224" i="5"/>
  <c r="H5952" i="5"/>
  <c r="H3407" i="5"/>
  <c r="H5567" i="5"/>
  <c r="H4560" i="5"/>
  <c r="E4752" i="5"/>
  <c r="H5615" i="5"/>
  <c r="H1871" i="5"/>
  <c r="H1248" i="5"/>
  <c r="H2639" i="5"/>
  <c r="H3552" i="5"/>
  <c r="H2495" i="5"/>
  <c r="H2879" i="5"/>
  <c r="H479" i="5"/>
  <c r="H335" i="5"/>
  <c r="H4704" i="5"/>
  <c r="H1104" i="5"/>
  <c r="H1727" i="5"/>
  <c r="H5904" i="5"/>
  <c r="H1967" i="5"/>
  <c r="H575" i="5"/>
  <c r="H1584" i="5"/>
  <c r="E2832" i="5"/>
  <c r="E5904" i="5"/>
  <c r="E288" i="5"/>
  <c r="E1248" i="5"/>
  <c r="E1008" i="5"/>
  <c r="E1440" i="5"/>
  <c r="E2928" i="5"/>
  <c r="E5856" i="5"/>
  <c r="E432" i="5"/>
  <c r="E1584" i="5"/>
  <c r="E1104" i="5"/>
  <c r="E4320" i="5"/>
  <c r="E4224" i="5"/>
  <c r="E4992" i="5"/>
  <c r="E4560" i="5"/>
  <c r="E1488" i="5"/>
  <c r="E1056" i="5"/>
  <c r="E912" i="5"/>
  <c r="E1344" i="5"/>
  <c r="E4512" i="5"/>
  <c r="E3072" i="5"/>
  <c r="E3218" i="5"/>
  <c r="E3552" i="5"/>
  <c r="E5952" i="5"/>
  <c r="E3504" i="5"/>
  <c r="E2303" i="5"/>
  <c r="E5759" i="5"/>
  <c r="E4704" i="5"/>
  <c r="E3599" i="5"/>
  <c r="E2591" i="5"/>
  <c r="E3119" i="5"/>
  <c r="E2255" i="5"/>
  <c r="E1919" i="5"/>
  <c r="E1535" i="5"/>
  <c r="E3311" i="5"/>
  <c r="E3407" i="5"/>
  <c r="E5615" i="5"/>
  <c r="E479" i="5"/>
  <c r="E2159" i="5"/>
  <c r="E2879" i="5"/>
  <c r="E1679" i="5"/>
  <c r="E527" i="5"/>
  <c r="E2639" i="5"/>
  <c r="E623" i="5"/>
  <c r="E5567" i="5"/>
  <c r="E335" i="5"/>
  <c r="E2447" i="5"/>
  <c r="E383" i="5"/>
  <c r="E3167" i="5"/>
  <c r="E1151" i="5"/>
  <c r="E4607" i="5"/>
  <c r="E1967" i="5"/>
  <c r="E1775" i="5"/>
  <c r="E2543" i="5"/>
  <c r="E1871" i="5"/>
  <c r="E4175" i="5"/>
  <c r="E2495" i="5"/>
  <c r="E575" i="5"/>
  <c r="E2207" i="5"/>
  <c r="E671" i="5"/>
  <c r="E1391" i="5"/>
  <c r="E1199" i="5"/>
  <c r="E1823" i="5"/>
  <c r="E2111" i="5"/>
  <c r="E1727" i="5"/>
  <c r="E4655" i="5"/>
  <c r="E2351" i="5"/>
  <c r="H47" i="5"/>
  <c r="E47" i="5"/>
  <c r="F287" i="5"/>
  <c r="F4991" i="5"/>
  <c r="H1631" i="5"/>
  <c r="H4031" i="5"/>
  <c r="H4127" i="5"/>
  <c r="H2975" i="5"/>
  <c r="H4895" i="5"/>
  <c r="H959" i="5"/>
  <c r="H3887" i="5"/>
  <c r="H5327" i="5"/>
  <c r="H3983" i="5"/>
  <c r="H863" i="5"/>
  <c r="H5279" i="5"/>
  <c r="H4799" i="5"/>
  <c r="H3647" i="5"/>
  <c r="I3647" i="5" s="1"/>
  <c r="H2783" i="5"/>
  <c r="H3839" i="5"/>
  <c r="H1295" i="5"/>
  <c r="H3743" i="5"/>
  <c r="H5423" i="5"/>
  <c r="H3935" i="5"/>
  <c r="H5135" i="5"/>
  <c r="H4847" i="5"/>
  <c r="H4079" i="5"/>
  <c r="H2735" i="5"/>
  <c r="H3695" i="5"/>
  <c r="H3791" i="5"/>
  <c r="H5375" i="5"/>
  <c r="H4943" i="5"/>
  <c r="H3023" i="5"/>
  <c r="H5471" i="5"/>
  <c r="H3455" i="5"/>
  <c r="E959" i="5"/>
  <c r="E2783" i="5"/>
  <c r="E4031" i="5"/>
  <c r="E3839" i="5"/>
  <c r="E4079" i="5"/>
  <c r="E3887" i="5"/>
  <c r="E3695" i="5"/>
  <c r="E5327" i="5"/>
  <c r="E5279" i="5"/>
  <c r="E863" i="5"/>
  <c r="E3935" i="5"/>
  <c r="E5375" i="5"/>
  <c r="E1631" i="5"/>
  <c r="E3743" i="5"/>
  <c r="E3791" i="5"/>
  <c r="E3983" i="5"/>
  <c r="E5423" i="5"/>
  <c r="E4127" i="5"/>
  <c r="E4943" i="5"/>
  <c r="E4895" i="5"/>
  <c r="E3023" i="5"/>
  <c r="E4847" i="5"/>
  <c r="H1296" i="5"/>
  <c r="H4608" i="5"/>
  <c r="H5136" i="5"/>
  <c r="H5183" i="5"/>
  <c r="E4848" i="5"/>
  <c r="H4751" i="5"/>
  <c r="H4991" i="5"/>
  <c r="E4944" i="5"/>
  <c r="E1296" i="5"/>
  <c r="E5136" i="5"/>
  <c r="H4463" i="5"/>
  <c r="I4463" i="5" s="1"/>
  <c r="H4559" i="5"/>
  <c r="H4703" i="5"/>
  <c r="H4896" i="5"/>
  <c r="H4800" i="5"/>
  <c r="E4800" i="5"/>
  <c r="E4896" i="5"/>
  <c r="H4511" i="5"/>
  <c r="H4944" i="5"/>
  <c r="E4608" i="5"/>
  <c r="H4848" i="5"/>
  <c r="E4559" i="5"/>
  <c r="E4511" i="5"/>
  <c r="E5183" i="5"/>
  <c r="E4703" i="5"/>
  <c r="E5135" i="5"/>
  <c r="E1343" i="5"/>
  <c r="E2735" i="5"/>
  <c r="E1007" i="5"/>
  <c r="H287" i="5"/>
  <c r="I287" i="5" s="1"/>
  <c r="H2448" i="5"/>
  <c r="H1632" i="5"/>
  <c r="H3071" i="5"/>
  <c r="E2448" i="5"/>
  <c r="H1343" i="5"/>
  <c r="H4176" i="5"/>
  <c r="H1728" i="5"/>
  <c r="H1920" i="5"/>
  <c r="H1536" i="5"/>
  <c r="H2592" i="5"/>
  <c r="H5855" i="5"/>
  <c r="H2927" i="5"/>
  <c r="E4176" i="5"/>
  <c r="E1728" i="5"/>
  <c r="H1872" i="5"/>
  <c r="H1007" i="5"/>
  <c r="H480" i="5"/>
  <c r="H5951" i="5"/>
  <c r="H2976" i="5"/>
  <c r="H1824" i="5"/>
  <c r="H3168" i="5"/>
  <c r="H1103" i="5"/>
  <c r="I1103" i="5" s="1"/>
  <c r="H2831" i="5"/>
  <c r="H2640" i="5"/>
  <c r="H1392" i="5"/>
  <c r="E2976" i="5"/>
  <c r="H1152" i="5"/>
  <c r="E1824" i="5"/>
  <c r="E3168" i="5"/>
  <c r="H1680" i="5"/>
  <c r="H1247" i="5"/>
  <c r="H3217" i="5"/>
  <c r="E1152" i="5"/>
  <c r="H1968" i="5"/>
  <c r="E1680" i="5"/>
  <c r="E2544" i="5"/>
  <c r="H4223" i="5"/>
  <c r="H1583" i="5"/>
  <c r="H2496" i="5"/>
  <c r="E1968" i="5"/>
  <c r="H1776" i="5"/>
  <c r="H2880" i="5"/>
  <c r="H2544" i="5"/>
  <c r="H2352" i="5"/>
  <c r="H431" i="5"/>
  <c r="H1439" i="5"/>
  <c r="E2496" i="5"/>
  <c r="E1776" i="5"/>
  <c r="E2880" i="5"/>
  <c r="H5903" i="5"/>
  <c r="E1872" i="5"/>
  <c r="E1920" i="5"/>
  <c r="E1632" i="5"/>
  <c r="E1392" i="5"/>
  <c r="E2640" i="5"/>
  <c r="E3217" i="5"/>
  <c r="E1536" i="5"/>
  <c r="E2352" i="5"/>
  <c r="E2592" i="5"/>
  <c r="E480" i="5"/>
  <c r="E4223" i="5"/>
  <c r="E1439" i="5"/>
  <c r="E5855" i="5"/>
  <c r="E3071" i="5"/>
  <c r="E1247" i="5"/>
  <c r="E5903" i="5"/>
  <c r="E5951" i="5"/>
  <c r="E2927" i="5"/>
  <c r="E431" i="5"/>
  <c r="E5471" i="5"/>
  <c r="F1103" i="5"/>
  <c r="F5039" i="5"/>
  <c r="E3455" i="5"/>
  <c r="H5087" i="5"/>
  <c r="H5039" i="5"/>
  <c r="I5039" i="5" s="1"/>
  <c r="E5087" i="5"/>
  <c r="H1441" i="5"/>
  <c r="H1487" i="5"/>
  <c r="H1055" i="5"/>
  <c r="H1297" i="5"/>
  <c r="E1441" i="5"/>
  <c r="E1297" i="5"/>
  <c r="E1487" i="5"/>
  <c r="H5807" i="5"/>
  <c r="H3360" i="5"/>
  <c r="H3215" i="5"/>
  <c r="H3263" i="5"/>
  <c r="H95" i="5"/>
  <c r="H2687" i="5"/>
  <c r="I2687" i="5" s="1"/>
  <c r="E3360" i="5"/>
  <c r="E3263" i="5"/>
  <c r="E5807" i="5"/>
  <c r="H3264" i="5"/>
  <c r="E2688" i="5"/>
  <c r="H3216" i="5"/>
  <c r="H3359" i="5"/>
  <c r="H5808" i="5"/>
  <c r="H911" i="5"/>
  <c r="H96" i="5"/>
  <c r="E2545" i="5"/>
  <c r="H2545" i="5"/>
  <c r="H2497" i="5"/>
  <c r="H2688" i="5"/>
  <c r="E3216" i="5"/>
  <c r="E2497" i="5"/>
  <c r="E3264" i="5"/>
  <c r="E5808" i="5"/>
  <c r="E96" i="5"/>
  <c r="E3359" i="5"/>
  <c r="E911" i="5"/>
  <c r="H3503" i="5"/>
  <c r="H3551" i="5"/>
  <c r="H3600" i="5"/>
  <c r="E3600" i="5"/>
  <c r="E3503" i="5"/>
  <c r="H5231" i="5"/>
  <c r="H4319" i="5"/>
  <c r="E5231" i="5"/>
  <c r="F143" i="5"/>
  <c r="F3312" i="5"/>
  <c r="E3120" i="5"/>
  <c r="E2736" i="5"/>
  <c r="H2784" i="5"/>
  <c r="I2784" i="5" s="1"/>
  <c r="H2736" i="5"/>
  <c r="E4080" i="5"/>
  <c r="E3840" i="5"/>
  <c r="E3936" i="5"/>
  <c r="E3696" i="5"/>
  <c r="H48" i="5"/>
  <c r="E48" i="5"/>
  <c r="H3696" i="5"/>
  <c r="H3936" i="5"/>
  <c r="H3792" i="5"/>
  <c r="H4080" i="5"/>
  <c r="H3648" i="5"/>
  <c r="E3648" i="5"/>
  <c r="H3840" i="5"/>
  <c r="H3984" i="5"/>
  <c r="H4032" i="5"/>
  <c r="E3984" i="5"/>
  <c r="E3792" i="5"/>
  <c r="H3744" i="5"/>
  <c r="H3888" i="5"/>
  <c r="H4128" i="5"/>
  <c r="I4128" i="5" s="1"/>
  <c r="H1633" i="5"/>
  <c r="H1298" i="5"/>
  <c r="H5424" i="5"/>
  <c r="H5472" i="5"/>
  <c r="H5328" i="5"/>
  <c r="H5280" i="5"/>
  <c r="E5280" i="5"/>
  <c r="H5376" i="5"/>
  <c r="I5376" i="5" s="1"/>
  <c r="E3024" i="5"/>
  <c r="H3456" i="5"/>
  <c r="I3456" i="5" s="1"/>
  <c r="H3408" i="5"/>
  <c r="E3408" i="5"/>
  <c r="H3312" i="5"/>
  <c r="E1633" i="5"/>
  <c r="E3744" i="5"/>
  <c r="E3888" i="5"/>
  <c r="H3024" i="5"/>
  <c r="I3312" i="5" l="1"/>
  <c r="I2831" i="5"/>
  <c r="I3551" i="5"/>
  <c r="I5328" i="5"/>
  <c r="I1055" i="5"/>
  <c r="I5424" i="5"/>
  <c r="I4319" i="5"/>
  <c r="I1295" i="5"/>
  <c r="I95" i="5"/>
  <c r="I2975" i="5"/>
  <c r="I2016" i="5"/>
  <c r="I2015" i="5"/>
  <c r="I2068" i="5"/>
  <c r="F2068" i="5"/>
  <c r="F2064" i="5"/>
  <c r="I2064" i="5"/>
  <c r="F2067" i="5"/>
  <c r="I2067" i="5"/>
  <c r="I2017" i="5"/>
  <c r="F2017" i="5"/>
  <c r="F2065" i="5"/>
  <c r="I2065" i="5"/>
  <c r="F2066" i="5"/>
  <c r="I2066" i="5"/>
  <c r="F2018" i="5"/>
  <c r="I2018" i="5"/>
  <c r="F2069" i="5"/>
  <c r="I2069" i="5"/>
  <c r="I4991" i="5"/>
  <c r="E117" i="2"/>
  <c r="H115" i="2"/>
  <c r="O41" i="2"/>
  <c r="O43" i="2" s="1"/>
  <c r="F336" i="5"/>
  <c r="I336" i="5"/>
  <c r="I3215" i="5"/>
  <c r="I4799" i="5"/>
  <c r="I4751" i="5"/>
  <c r="I2399" i="5"/>
  <c r="I1583" i="5"/>
  <c r="I4032" i="5"/>
  <c r="I1298" i="5"/>
  <c r="I5472" i="5"/>
  <c r="F3888" i="5"/>
  <c r="I3888" i="5"/>
  <c r="F3216" i="5"/>
  <c r="I3216" i="5"/>
  <c r="I3360" i="5"/>
  <c r="F3360" i="5"/>
  <c r="F1297" i="5"/>
  <c r="I1297" i="5"/>
  <c r="I2927" i="5"/>
  <c r="F2927" i="5"/>
  <c r="I1439" i="5"/>
  <c r="F1439" i="5"/>
  <c r="I2352" i="5"/>
  <c r="F2352" i="5"/>
  <c r="F1872" i="5"/>
  <c r="I1872" i="5"/>
  <c r="I4176" i="5"/>
  <c r="F4176" i="5"/>
  <c r="I1343" i="5"/>
  <c r="F1343" i="5"/>
  <c r="F4896" i="5"/>
  <c r="I4896" i="5"/>
  <c r="I3023" i="5"/>
  <c r="F3023" i="5"/>
  <c r="I1631" i="5"/>
  <c r="F1631" i="5"/>
  <c r="I4079" i="5"/>
  <c r="F4079" i="5"/>
  <c r="I4655" i="5"/>
  <c r="F4655" i="5"/>
  <c r="I671" i="5"/>
  <c r="F671" i="5"/>
  <c r="I1967" i="5"/>
  <c r="F1967" i="5"/>
  <c r="I527" i="5"/>
  <c r="F527" i="5"/>
  <c r="I479" i="5"/>
  <c r="F479" i="5"/>
  <c r="I2255" i="5"/>
  <c r="F2255" i="5"/>
  <c r="I2832" i="5"/>
  <c r="F2832" i="5"/>
  <c r="F2838" i="5" s="1"/>
  <c r="F1633" i="5"/>
  <c r="I1633" i="5"/>
  <c r="F3024" i="5"/>
  <c r="I3024" i="5"/>
  <c r="F3744" i="5"/>
  <c r="I3744" i="5"/>
  <c r="F3696" i="5"/>
  <c r="I3696" i="5"/>
  <c r="I2736" i="5"/>
  <c r="F2736" i="5"/>
  <c r="F1441" i="5"/>
  <c r="I1441" i="5"/>
  <c r="I3455" i="5"/>
  <c r="F3455" i="5"/>
  <c r="I5951" i="5"/>
  <c r="F5951" i="5"/>
  <c r="F1536" i="5"/>
  <c r="I1536" i="5"/>
  <c r="I2976" i="5"/>
  <c r="F2976" i="5"/>
  <c r="Y2939" i="5" s="1"/>
  <c r="I5183" i="5"/>
  <c r="F5183" i="5"/>
  <c r="I4800" i="5"/>
  <c r="F4800" i="5"/>
  <c r="M4763" i="5" s="1"/>
  <c r="F4848" i="5"/>
  <c r="I4848" i="5"/>
  <c r="I4895" i="5"/>
  <c r="F4895" i="5"/>
  <c r="I5375" i="5"/>
  <c r="F5375" i="5"/>
  <c r="I1727" i="5"/>
  <c r="F1727" i="5"/>
  <c r="I2207" i="5"/>
  <c r="F2207" i="5"/>
  <c r="I4607" i="5"/>
  <c r="F4607" i="5"/>
  <c r="I3599" i="5"/>
  <c r="F3599" i="5"/>
  <c r="F3504" i="5"/>
  <c r="I3504" i="5"/>
  <c r="F912" i="5"/>
  <c r="I912" i="5"/>
  <c r="F4224" i="5"/>
  <c r="I4224" i="5"/>
  <c r="F1440" i="5"/>
  <c r="I1440" i="5"/>
  <c r="I4464" i="5"/>
  <c r="F4464" i="5"/>
  <c r="I3120" i="5"/>
  <c r="F3120" i="5"/>
  <c r="I911" i="5"/>
  <c r="F911" i="5"/>
  <c r="I5903" i="5"/>
  <c r="F5903" i="5"/>
  <c r="I4223" i="5"/>
  <c r="F4223" i="5"/>
  <c r="F2544" i="5"/>
  <c r="I2544" i="5"/>
  <c r="I4511" i="5"/>
  <c r="F4511" i="5"/>
  <c r="I4943" i="5"/>
  <c r="F4943" i="5"/>
  <c r="I3935" i="5"/>
  <c r="F3935" i="5"/>
  <c r="I3839" i="5"/>
  <c r="F3839" i="5"/>
  <c r="I2111" i="5"/>
  <c r="F2111" i="5"/>
  <c r="I575" i="5"/>
  <c r="F575" i="5"/>
  <c r="I1151" i="5"/>
  <c r="F1151" i="5"/>
  <c r="I1679" i="5"/>
  <c r="F1679" i="5"/>
  <c r="I5615" i="5"/>
  <c r="F5615" i="5"/>
  <c r="F5952" i="5"/>
  <c r="I5952" i="5"/>
  <c r="F1056" i="5"/>
  <c r="I1056" i="5"/>
  <c r="F4320" i="5"/>
  <c r="I4320" i="5"/>
  <c r="F1008" i="5"/>
  <c r="I1008" i="5"/>
  <c r="I3936" i="5"/>
  <c r="F3936" i="5"/>
  <c r="I3359" i="5"/>
  <c r="F3359" i="5"/>
  <c r="Y5003" i="5"/>
  <c r="M5003" i="5"/>
  <c r="F5046" i="5"/>
  <c r="F3217" i="5"/>
  <c r="I3217" i="5"/>
  <c r="I2880" i="5"/>
  <c r="F2880" i="5"/>
  <c r="I2448" i="5"/>
  <c r="F2448" i="5"/>
  <c r="I5135" i="5"/>
  <c r="F5135" i="5"/>
  <c r="I4559" i="5"/>
  <c r="F4559" i="5"/>
  <c r="F5136" i="5"/>
  <c r="I5136" i="5"/>
  <c r="I4127" i="5"/>
  <c r="F4127" i="5"/>
  <c r="I863" i="5"/>
  <c r="F863" i="5"/>
  <c r="I4031" i="5"/>
  <c r="F4031" i="5"/>
  <c r="I47" i="5"/>
  <c r="F47" i="5"/>
  <c r="I1823" i="5"/>
  <c r="F1823" i="5"/>
  <c r="I2495" i="5"/>
  <c r="F2495" i="5"/>
  <c r="I3167" i="5"/>
  <c r="F3167" i="5"/>
  <c r="I335" i="5"/>
  <c r="F335" i="5"/>
  <c r="I2879" i="5"/>
  <c r="F2879" i="5"/>
  <c r="I3407" i="5"/>
  <c r="F3407" i="5"/>
  <c r="F3552" i="5"/>
  <c r="Y3515" i="5" s="1"/>
  <c r="I3552" i="5"/>
  <c r="F1488" i="5"/>
  <c r="I1488" i="5"/>
  <c r="I1104" i="5"/>
  <c r="F1104" i="5"/>
  <c r="Y1067" i="5" s="1"/>
  <c r="F3648" i="5"/>
  <c r="I3648" i="5"/>
  <c r="F5280" i="5"/>
  <c r="I5280" i="5"/>
  <c r="F3840" i="5"/>
  <c r="I3840" i="5"/>
  <c r="I96" i="5"/>
  <c r="F96" i="5"/>
  <c r="M59" i="5" s="1"/>
  <c r="F2545" i="5"/>
  <c r="I2545" i="5"/>
  <c r="I2688" i="5"/>
  <c r="F2688" i="5"/>
  <c r="I1247" i="5"/>
  <c r="F1247" i="5"/>
  <c r="F480" i="5"/>
  <c r="I480" i="5"/>
  <c r="F2640" i="5"/>
  <c r="I2640" i="5"/>
  <c r="I1776" i="5"/>
  <c r="F1776" i="5"/>
  <c r="F1968" i="5"/>
  <c r="I1968" i="5"/>
  <c r="F1680" i="5"/>
  <c r="I1680" i="5"/>
  <c r="F1296" i="5"/>
  <c r="I1296" i="5"/>
  <c r="I5423" i="5"/>
  <c r="F5423" i="5"/>
  <c r="I5279" i="5"/>
  <c r="F5279" i="5"/>
  <c r="I2783" i="5"/>
  <c r="F2783" i="5"/>
  <c r="I4175" i="5"/>
  <c r="F4175" i="5"/>
  <c r="I383" i="5"/>
  <c r="F383" i="5"/>
  <c r="I5567" i="5"/>
  <c r="F5567" i="5"/>
  <c r="I2159" i="5"/>
  <c r="F2159" i="5"/>
  <c r="I3311" i="5"/>
  <c r="F3311" i="5"/>
  <c r="I3119" i="5"/>
  <c r="F3119" i="5"/>
  <c r="I4704" i="5"/>
  <c r="F4704" i="5"/>
  <c r="I3218" i="5"/>
  <c r="F3218" i="5"/>
  <c r="F4560" i="5"/>
  <c r="I4560" i="5"/>
  <c r="F1584" i="5"/>
  <c r="Y1547" i="5" s="1"/>
  <c r="I1584" i="5"/>
  <c r="Y107" i="5"/>
  <c r="F150" i="5"/>
  <c r="M107" i="5"/>
  <c r="I3503" i="5"/>
  <c r="F3503" i="5"/>
  <c r="F5808" i="5"/>
  <c r="I5808" i="5"/>
  <c r="I3071" i="5"/>
  <c r="F3071" i="5"/>
  <c r="I2592" i="5"/>
  <c r="F2592" i="5"/>
  <c r="I1392" i="5"/>
  <c r="F1392" i="5"/>
  <c r="I2496" i="5"/>
  <c r="F2496" i="5"/>
  <c r="F4608" i="5"/>
  <c r="I4608" i="5"/>
  <c r="I3983" i="5"/>
  <c r="F3983" i="5"/>
  <c r="I5327" i="5"/>
  <c r="F5327" i="5"/>
  <c r="I959" i="5"/>
  <c r="F959" i="5"/>
  <c r="I1199" i="5"/>
  <c r="F1199" i="5"/>
  <c r="I1871" i="5"/>
  <c r="F1871" i="5"/>
  <c r="I2447" i="5"/>
  <c r="F2447" i="5"/>
  <c r="I623" i="5"/>
  <c r="F623" i="5"/>
  <c r="I2591" i="5"/>
  <c r="F2591" i="5"/>
  <c r="I5759" i="5"/>
  <c r="F5759" i="5"/>
  <c r="I3072" i="5"/>
  <c r="F3072" i="5"/>
  <c r="F432" i="5"/>
  <c r="I432" i="5"/>
  <c r="F1248" i="5"/>
  <c r="I1248" i="5"/>
  <c r="I4752" i="5"/>
  <c r="F4752" i="5"/>
  <c r="F4758" i="5" s="1"/>
  <c r="F3792" i="5"/>
  <c r="I3792" i="5"/>
  <c r="I4080" i="5"/>
  <c r="F4080" i="5"/>
  <c r="I3600" i="5"/>
  <c r="F3600" i="5"/>
  <c r="F3264" i="5"/>
  <c r="I3264" i="5"/>
  <c r="I5807" i="5"/>
  <c r="F5807" i="5"/>
  <c r="I5087" i="5"/>
  <c r="F5087" i="5"/>
  <c r="I5471" i="5"/>
  <c r="F5471" i="5"/>
  <c r="I5855" i="5"/>
  <c r="F5855" i="5"/>
  <c r="F1632" i="5"/>
  <c r="I1632" i="5"/>
  <c r="F3168" i="5"/>
  <c r="I3168" i="5"/>
  <c r="I1007" i="5"/>
  <c r="F1007" i="5"/>
  <c r="F4944" i="5"/>
  <c r="I4944" i="5"/>
  <c r="I3791" i="5"/>
  <c r="F3791" i="5"/>
  <c r="I3695" i="5"/>
  <c r="F3695" i="5"/>
  <c r="I2351" i="5"/>
  <c r="F2351" i="5"/>
  <c r="I2543" i="5"/>
  <c r="F2543" i="5"/>
  <c r="I2639" i="5"/>
  <c r="F2639" i="5"/>
  <c r="I1535" i="5"/>
  <c r="F1535" i="5"/>
  <c r="I2303" i="5"/>
  <c r="F2303" i="5"/>
  <c r="I4512" i="5"/>
  <c r="F4512" i="5"/>
  <c r="I5856" i="5"/>
  <c r="F5856" i="5"/>
  <c r="I288" i="5"/>
  <c r="F288" i="5"/>
  <c r="Y251" i="5" s="1"/>
  <c r="Y2363" i="5"/>
  <c r="M2363" i="5"/>
  <c r="F2406" i="5"/>
  <c r="F3408" i="5"/>
  <c r="I3408" i="5"/>
  <c r="F3984" i="5"/>
  <c r="I3984" i="5"/>
  <c r="F48" i="5"/>
  <c r="I48" i="5"/>
  <c r="I5231" i="5"/>
  <c r="F5231" i="5"/>
  <c r="F2497" i="5"/>
  <c r="I2497" i="5"/>
  <c r="I3263" i="5"/>
  <c r="F3263" i="5"/>
  <c r="I1487" i="5"/>
  <c r="F1487" i="5"/>
  <c r="I431" i="5"/>
  <c r="F431" i="5"/>
  <c r="I1920" i="5"/>
  <c r="F1920" i="5"/>
  <c r="F1152" i="5"/>
  <c r="I1152" i="5"/>
  <c r="F1824" i="5"/>
  <c r="I1824" i="5"/>
  <c r="I1728" i="5"/>
  <c r="F1728" i="5"/>
  <c r="I2735" i="5"/>
  <c r="F2735" i="5"/>
  <c r="I4703" i="5"/>
  <c r="F4703" i="5"/>
  <c r="I4847" i="5"/>
  <c r="F4847" i="5"/>
  <c r="I3743" i="5"/>
  <c r="F3743" i="5"/>
  <c r="I3887" i="5"/>
  <c r="F3887" i="5"/>
  <c r="I1391" i="5"/>
  <c r="F1391" i="5"/>
  <c r="I1775" i="5"/>
  <c r="F1775" i="5"/>
  <c r="I1919" i="5"/>
  <c r="F1919" i="5"/>
  <c r="I1344" i="5"/>
  <c r="F1344" i="5"/>
  <c r="F4992" i="5"/>
  <c r="M4955" i="5" s="1"/>
  <c r="I4992" i="5"/>
  <c r="F2928" i="5"/>
  <c r="I2928" i="5"/>
  <c r="I5904" i="5"/>
  <c r="F5904" i="5"/>
  <c r="Y4763" i="5" l="1"/>
  <c r="M1979" i="5"/>
  <c r="Y1979" i="5"/>
  <c r="F2022" i="5"/>
  <c r="F2023" i="5" s="1"/>
  <c r="Y2027" i="5"/>
  <c r="F2070" i="5"/>
  <c r="M2027" i="5"/>
  <c r="M2795" i="5"/>
  <c r="Y1259" i="5"/>
  <c r="Y2795" i="5"/>
  <c r="F1302" i="5"/>
  <c r="F1303" i="5" s="1"/>
  <c r="F4806" i="5"/>
  <c r="F4807" i="5" s="1"/>
  <c r="F4808" i="5" s="1"/>
  <c r="F4809" i="5" s="1"/>
  <c r="H117" i="2"/>
  <c r="K115" i="2"/>
  <c r="R41" i="2"/>
  <c r="R43" i="2" s="1"/>
  <c r="M1259" i="5"/>
  <c r="F2982" i="5"/>
  <c r="F2983" i="5" s="1"/>
  <c r="F2984" i="5" s="1"/>
  <c r="F102" i="5"/>
  <c r="F103" i="5" s="1"/>
  <c r="M2939" i="5"/>
  <c r="F4998" i="5"/>
  <c r="F4999" i="5" s="1"/>
  <c r="F1590" i="5"/>
  <c r="M1547" i="5"/>
  <c r="M4715" i="5"/>
  <c r="F4759" i="5"/>
  <c r="F4760" i="5" s="1"/>
  <c r="F4761" i="5" s="1"/>
  <c r="Y1355" i="5"/>
  <c r="M1355" i="5"/>
  <c r="F1398" i="5"/>
  <c r="Y1307" i="5"/>
  <c r="M1307" i="5"/>
  <c r="F1350" i="5"/>
  <c r="Y2507" i="5"/>
  <c r="M2507" i="5"/>
  <c r="F2550" i="5"/>
  <c r="F2839" i="5"/>
  <c r="F2840" i="5" s="1"/>
  <c r="F2841" i="5" s="1"/>
  <c r="Y2411" i="5"/>
  <c r="M2411" i="5"/>
  <c r="F2454" i="5"/>
  <c r="Y3083" i="5"/>
  <c r="F3126" i="5"/>
  <c r="M3083" i="5"/>
  <c r="Y3131" i="5"/>
  <c r="M3131" i="5"/>
  <c r="F3174" i="5"/>
  <c r="Y3323" i="5"/>
  <c r="M3323" i="5"/>
  <c r="F3366" i="5"/>
  <c r="Y4907" i="5"/>
  <c r="M4907" i="5"/>
  <c r="F4950" i="5"/>
  <c r="Y2171" i="5"/>
  <c r="M2171" i="5"/>
  <c r="F2214" i="5"/>
  <c r="Y2219" i="5"/>
  <c r="M2219" i="5"/>
  <c r="F2262" i="5"/>
  <c r="Y1931" i="5"/>
  <c r="F1974" i="5"/>
  <c r="M1931" i="5"/>
  <c r="Y1595" i="5"/>
  <c r="M1595" i="5"/>
  <c r="F1638" i="5"/>
  <c r="Y4955" i="5"/>
  <c r="Y59" i="5"/>
  <c r="Y1019" i="5"/>
  <c r="M1019" i="5"/>
  <c r="F1062" i="5"/>
  <c r="Y4715" i="5"/>
  <c r="Y2699" i="5"/>
  <c r="M2699" i="5"/>
  <c r="F2742" i="5"/>
  <c r="Y1451" i="5"/>
  <c r="M1451" i="5"/>
  <c r="F1494" i="5"/>
  <c r="Y1211" i="5"/>
  <c r="F1254" i="5"/>
  <c r="M1211" i="5"/>
  <c r="Y539" i="5"/>
  <c r="M539" i="5"/>
  <c r="F582" i="5"/>
  <c r="Y3707" i="5"/>
  <c r="F3750" i="5"/>
  <c r="M3707" i="5"/>
  <c r="Y3227" i="5"/>
  <c r="M3227" i="5"/>
  <c r="F3270" i="5"/>
  <c r="Y2267" i="5"/>
  <c r="M2267" i="5"/>
  <c r="F2310" i="5"/>
  <c r="Y2603" i="5"/>
  <c r="M2603" i="5"/>
  <c r="F2646" i="5"/>
  <c r="Y2315" i="5"/>
  <c r="M2315" i="5"/>
  <c r="F2358" i="5"/>
  <c r="Y971" i="5"/>
  <c r="M971" i="5"/>
  <c r="F1014" i="5"/>
  <c r="Y5819" i="5"/>
  <c r="M5819" i="5"/>
  <c r="F5862" i="5"/>
  <c r="Y1835" i="5"/>
  <c r="F1878" i="5"/>
  <c r="M1835" i="5"/>
  <c r="Y923" i="5"/>
  <c r="F966" i="5"/>
  <c r="M923" i="5"/>
  <c r="Y3275" i="5"/>
  <c r="M3275" i="5"/>
  <c r="F3318" i="5"/>
  <c r="Y4139" i="5"/>
  <c r="M4139" i="5"/>
  <c r="F4182" i="5"/>
  <c r="Y5387" i="5"/>
  <c r="M5387" i="5"/>
  <c r="F5430" i="5"/>
  <c r="F1110" i="5"/>
  <c r="Y2651" i="5"/>
  <c r="F2694" i="5"/>
  <c r="M2651" i="5"/>
  <c r="Y3371" i="5"/>
  <c r="M3371" i="5"/>
  <c r="F3414" i="5"/>
  <c r="Y2459" i="5"/>
  <c r="M2459" i="5"/>
  <c r="F2502" i="5"/>
  <c r="Y1643" i="5"/>
  <c r="M1643" i="5"/>
  <c r="F1686" i="5"/>
  <c r="Y2075" i="5"/>
  <c r="M2075" i="5"/>
  <c r="F2118" i="5"/>
  <c r="Y4475" i="5"/>
  <c r="M4475" i="5"/>
  <c r="F4518" i="5"/>
  <c r="Y4187" i="5"/>
  <c r="M4187" i="5"/>
  <c r="F4230" i="5"/>
  <c r="F4470" i="5"/>
  <c r="Y4427" i="5"/>
  <c r="M4427" i="5"/>
  <c r="M1691" i="5"/>
  <c r="F1734" i="5"/>
  <c r="Y1691" i="5"/>
  <c r="Y5915" i="5"/>
  <c r="F5958" i="5"/>
  <c r="M5915" i="5"/>
  <c r="Y443" i="5"/>
  <c r="M443" i="5"/>
  <c r="F486" i="5"/>
  <c r="Y635" i="5"/>
  <c r="M635" i="5"/>
  <c r="F678" i="5"/>
  <c r="Y2987" i="5"/>
  <c r="M2987" i="5"/>
  <c r="F3030" i="5"/>
  <c r="Y1403" i="5"/>
  <c r="M1403" i="5"/>
  <c r="F1446" i="5"/>
  <c r="F2407" i="5"/>
  <c r="Y5051" i="5"/>
  <c r="M5051" i="5"/>
  <c r="F5094" i="5"/>
  <c r="Y3851" i="5"/>
  <c r="M3851" i="5"/>
  <c r="F3894" i="5"/>
  <c r="Y2555" i="5"/>
  <c r="M2555" i="5"/>
  <c r="F2598" i="5"/>
  <c r="Y4091" i="5"/>
  <c r="M4091" i="5"/>
  <c r="F4134" i="5"/>
  <c r="M1067" i="5"/>
  <c r="M3515" i="5"/>
  <c r="Y3179" i="5"/>
  <c r="F3222" i="5"/>
  <c r="M3179" i="5"/>
  <c r="Y5771" i="5"/>
  <c r="M5771" i="5"/>
  <c r="F5814" i="5"/>
  <c r="Y347" i="5"/>
  <c r="M347" i="5"/>
  <c r="F390" i="5"/>
  <c r="Y1883" i="5"/>
  <c r="M1883" i="5"/>
  <c r="F1926" i="5"/>
  <c r="Y3659" i="5"/>
  <c r="F3702" i="5"/>
  <c r="M3659" i="5"/>
  <c r="Y5435" i="5"/>
  <c r="M5435" i="5"/>
  <c r="F5478" i="5"/>
  <c r="Y1163" i="5"/>
  <c r="M1163" i="5"/>
  <c r="F1206" i="5"/>
  <c r="Y5291" i="5"/>
  <c r="M5291" i="5"/>
  <c r="F5334" i="5"/>
  <c r="Y3467" i="5"/>
  <c r="F3510" i="5"/>
  <c r="M3467" i="5"/>
  <c r="Y2123" i="5"/>
  <c r="M2123" i="5"/>
  <c r="F2166" i="5"/>
  <c r="Y2843" i="5"/>
  <c r="M2843" i="5"/>
  <c r="F2886" i="5"/>
  <c r="Y1787" i="5"/>
  <c r="M1787" i="5"/>
  <c r="F1830" i="5"/>
  <c r="Y3995" i="5"/>
  <c r="M3995" i="5"/>
  <c r="F4038" i="5"/>
  <c r="Y4523" i="5"/>
  <c r="M4523" i="5"/>
  <c r="F4566" i="5"/>
  <c r="F5047" i="5"/>
  <c r="Y3803" i="5"/>
  <c r="M3803" i="5"/>
  <c r="F3846" i="5"/>
  <c r="Y5867" i="5"/>
  <c r="M5867" i="5"/>
  <c r="F5910" i="5"/>
  <c r="F3558" i="5"/>
  <c r="Y3563" i="5"/>
  <c r="M3563" i="5"/>
  <c r="F3606" i="5"/>
  <c r="F294" i="5"/>
  <c r="Y3419" i="5"/>
  <c r="M3419" i="5"/>
  <c r="F3462" i="5"/>
  <c r="Y491" i="5"/>
  <c r="M491" i="5"/>
  <c r="F534" i="5"/>
  <c r="Y4619" i="5"/>
  <c r="M4619" i="5"/>
  <c r="F4662" i="5"/>
  <c r="Y2891" i="5"/>
  <c r="M2891" i="5"/>
  <c r="F2934" i="5"/>
  <c r="Y5195" i="5"/>
  <c r="M5195" i="5"/>
  <c r="F5238" i="5"/>
  <c r="Y5243" i="5"/>
  <c r="M5243" i="5"/>
  <c r="F5286" i="5"/>
  <c r="F1591" i="5"/>
  <c r="F1592" i="5" s="1"/>
  <c r="Y5579" i="5"/>
  <c r="M5579" i="5"/>
  <c r="F5622" i="5"/>
  <c r="M4859" i="5"/>
  <c r="Y4859" i="5"/>
  <c r="F4902" i="5"/>
  <c r="Y1739" i="5"/>
  <c r="M1739" i="5"/>
  <c r="F1782" i="5"/>
  <c r="Y4811" i="5"/>
  <c r="M4811" i="5"/>
  <c r="F4854" i="5"/>
  <c r="F3654" i="5"/>
  <c r="Y3611" i="5"/>
  <c r="M3611" i="5"/>
  <c r="M251" i="5"/>
  <c r="Y4667" i="5"/>
  <c r="M4667" i="5"/>
  <c r="F4710" i="5"/>
  <c r="Y1499" i="5"/>
  <c r="M1499" i="5"/>
  <c r="F1542" i="5"/>
  <c r="Y5723" i="5"/>
  <c r="F5766" i="5"/>
  <c r="M5723" i="5"/>
  <c r="Y587" i="5"/>
  <c r="F630" i="5"/>
  <c r="M587" i="5"/>
  <c r="Y3947" i="5"/>
  <c r="M3947" i="5"/>
  <c r="F3990" i="5"/>
  <c r="Y3035" i="5"/>
  <c r="M3035" i="5"/>
  <c r="F3078" i="5"/>
  <c r="Y2747" i="5"/>
  <c r="M2747" i="5"/>
  <c r="F2790" i="5"/>
  <c r="Y11" i="5"/>
  <c r="F54" i="5"/>
  <c r="M11" i="5"/>
  <c r="Y875" i="5"/>
  <c r="M875" i="5"/>
  <c r="F918" i="5"/>
  <c r="Y4571" i="5"/>
  <c r="M4571" i="5"/>
  <c r="F4614" i="5"/>
  <c r="Y5339" i="5"/>
  <c r="M5339" i="5"/>
  <c r="F5382" i="5"/>
  <c r="Y5147" i="5"/>
  <c r="M5147" i="5"/>
  <c r="F5190" i="5"/>
  <c r="Y4043" i="5"/>
  <c r="M4043" i="5"/>
  <c r="F4086" i="5"/>
  <c r="Y395" i="5"/>
  <c r="M395" i="5"/>
  <c r="F438" i="5"/>
  <c r="Y3755" i="5"/>
  <c r="M3755" i="5"/>
  <c r="F3798" i="5"/>
  <c r="Y5531" i="5"/>
  <c r="M5531" i="5"/>
  <c r="F5574" i="5"/>
  <c r="Y299" i="5"/>
  <c r="M299" i="5"/>
  <c r="F342" i="5"/>
  <c r="Y827" i="5"/>
  <c r="F870" i="5"/>
  <c r="M827" i="5"/>
  <c r="Y5099" i="5"/>
  <c r="M5099" i="5"/>
  <c r="F5142" i="5"/>
  <c r="Y1115" i="5"/>
  <c r="M1115" i="5"/>
  <c r="F1158" i="5"/>
  <c r="Y3899" i="5"/>
  <c r="M3899" i="5"/>
  <c r="F3942" i="5"/>
  <c r="F151" i="5"/>
  <c r="F152" i="5" s="1"/>
  <c r="M4283" i="5"/>
  <c r="F4326" i="5"/>
  <c r="Y4283" i="5"/>
  <c r="F2024" i="5" l="1"/>
  <c r="F2025" i="5" s="1"/>
  <c r="F2071" i="5"/>
  <c r="F2072" i="5" s="1"/>
  <c r="F2073" i="5" s="1"/>
  <c r="H70" i="1" s="1"/>
  <c r="K70" i="1" s="1"/>
  <c r="K117" i="2"/>
  <c r="N115" i="2"/>
  <c r="U41" i="2"/>
  <c r="U43" i="2" s="1"/>
  <c r="F153" i="5"/>
  <c r="F107" i="5" s="1"/>
  <c r="N107" i="5" s="1"/>
  <c r="J1547" i="5"/>
  <c r="K1547" i="5" s="1"/>
  <c r="F2985" i="5"/>
  <c r="H94" i="1" s="1"/>
  <c r="J2939" i="5"/>
  <c r="K2939" i="5" s="1"/>
  <c r="F2795" i="5"/>
  <c r="H90" i="1"/>
  <c r="Q2795" i="5"/>
  <c r="H145" i="1"/>
  <c r="F4763" i="5"/>
  <c r="Q4763" i="5"/>
  <c r="Q4715" i="5"/>
  <c r="H144" i="1"/>
  <c r="F4715" i="5"/>
  <c r="F919" i="5"/>
  <c r="F3703" i="5"/>
  <c r="F3704" i="5" s="1"/>
  <c r="F5815" i="5"/>
  <c r="F5816" i="5" s="1"/>
  <c r="F5817" i="5" s="1"/>
  <c r="F5959" i="5"/>
  <c r="F5960" i="5" s="1"/>
  <c r="F1063" i="5"/>
  <c r="F1064" i="5" s="1"/>
  <c r="F1065" i="5" s="1"/>
  <c r="F4615" i="5"/>
  <c r="F4616" i="5" s="1"/>
  <c r="F1543" i="5"/>
  <c r="F1544" i="5" s="1"/>
  <c r="F1545" i="5" s="1"/>
  <c r="F104" i="5"/>
  <c r="J59" i="5" s="1"/>
  <c r="K59" i="5" s="1"/>
  <c r="F3991" i="5"/>
  <c r="F3992" i="5" s="1"/>
  <c r="F631" i="5"/>
  <c r="F632" i="5" s="1"/>
  <c r="F633" i="5" s="1"/>
  <c r="F3655" i="5"/>
  <c r="F3656" i="5" s="1"/>
  <c r="F3657" i="5" s="1"/>
  <c r="F1783" i="5"/>
  <c r="F4903" i="5"/>
  <c r="F4904" i="5" s="1"/>
  <c r="F1593" i="5"/>
  <c r="F2935" i="5"/>
  <c r="F2936" i="5" s="1"/>
  <c r="F535" i="5"/>
  <c r="F5048" i="5"/>
  <c r="J5003" i="5" s="1"/>
  <c r="K5003" i="5" s="1"/>
  <c r="F4231" i="5"/>
  <c r="F4232" i="5" s="1"/>
  <c r="F4233" i="5" s="1"/>
  <c r="F2119" i="5"/>
  <c r="F2120" i="5" s="1"/>
  <c r="F2121" i="5" s="1"/>
  <c r="F2075" i="5" s="1"/>
  <c r="J4763" i="5"/>
  <c r="K4763" i="5" s="1"/>
  <c r="J2795" i="5"/>
  <c r="K2795" i="5" s="1"/>
  <c r="F5287" i="5"/>
  <c r="F5288" i="5" s="1"/>
  <c r="J107" i="5"/>
  <c r="K107" i="5" s="1"/>
  <c r="F5575" i="5"/>
  <c r="F2791" i="5"/>
  <c r="F2792" i="5" s="1"/>
  <c r="F4855" i="5"/>
  <c r="F3607" i="5"/>
  <c r="F3608" i="5" s="1"/>
  <c r="F3609" i="5" s="1"/>
  <c r="F4567" i="5"/>
  <c r="F4568" i="5" s="1"/>
  <c r="F4569" i="5" s="1"/>
  <c r="F1831" i="5"/>
  <c r="F1832" i="5" s="1"/>
  <c r="F3415" i="5"/>
  <c r="F3416" i="5" s="1"/>
  <c r="F3417" i="5" s="1"/>
  <c r="F1111" i="5"/>
  <c r="F1112" i="5" s="1"/>
  <c r="F1015" i="5"/>
  <c r="F1016" i="5" s="1"/>
  <c r="F1017" i="5" s="1"/>
  <c r="F2647" i="5"/>
  <c r="F2648" i="5" s="1"/>
  <c r="F3271" i="5"/>
  <c r="F3272" i="5" s="1"/>
  <c r="F583" i="5"/>
  <c r="F2743" i="5"/>
  <c r="F2744" i="5" s="1"/>
  <c r="F2745" i="5" s="1"/>
  <c r="F1351" i="5"/>
  <c r="F1352" i="5" s="1"/>
  <c r="F3943" i="5"/>
  <c r="F3944" i="5" s="1"/>
  <c r="F3945" i="5" s="1"/>
  <c r="F439" i="5"/>
  <c r="F440" i="5" s="1"/>
  <c r="F441" i="5" s="1"/>
  <c r="F4087" i="5"/>
  <c r="F5383" i="5"/>
  <c r="F5384" i="5" s="1"/>
  <c r="F3847" i="5"/>
  <c r="F1207" i="5"/>
  <c r="F1208" i="5" s="1"/>
  <c r="F1209" i="5" s="1"/>
  <c r="F5479" i="5"/>
  <c r="F5480" i="5" s="1"/>
  <c r="F5481" i="5" s="1"/>
  <c r="F4135" i="5"/>
  <c r="F4136" i="5" s="1"/>
  <c r="F4137" i="5" s="1"/>
  <c r="F3895" i="5"/>
  <c r="F3896" i="5" s="1"/>
  <c r="F3897" i="5" s="1"/>
  <c r="F3031" i="5"/>
  <c r="F3032" i="5" s="1"/>
  <c r="F487" i="5"/>
  <c r="F5431" i="5"/>
  <c r="F5432" i="5" s="1"/>
  <c r="F5433" i="5" s="1"/>
  <c r="F967" i="5"/>
  <c r="F968" i="5" s="1"/>
  <c r="F969" i="5" s="1"/>
  <c r="F4951" i="5"/>
  <c r="F4952" i="5" s="1"/>
  <c r="F391" i="5"/>
  <c r="F392" i="5" s="1"/>
  <c r="F3319" i="5"/>
  <c r="F3320" i="5" s="1"/>
  <c r="F3321" i="5" s="1"/>
  <c r="F1975" i="5"/>
  <c r="F4711" i="5"/>
  <c r="F871" i="5"/>
  <c r="F872" i="5" s="1"/>
  <c r="F3079" i="5"/>
  <c r="F3080" i="5" s="1"/>
  <c r="F3081" i="5" s="1"/>
  <c r="F5767" i="5"/>
  <c r="F5768" i="5" s="1"/>
  <c r="F5769" i="5" s="1"/>
  <c r="F5623" i="5"/>
  <c r="F5624" i="5" s="1"/>
  <c r="F5239" i="5"/>
  <c r="F5240" i="5" s="1"/>
  <c r="F5241" i="5" s="1"/>
  <c r="F4663" i="5"/>
  <c r="F4664" i="5" s="1"/>
  <c r="F4665" i="5" s="1"/>
  <c r="F3463" i="5"/>
  <c r="F3464" i="5" s="1"/>
  <c r="F295" i="5"/>
  <c r="F3511" i="5"/>
  <c r="F2408" i="5"/>
  <c r="J2363" i="5" s="1"/>
  <c r="K2363" i="5" s="1"/>
  <c r="F1735" i="5"/>
  <c r="F4519" i="5"/>
  <c r="F1687" i="5"/>
  <c r="F1688" i="5" s="1"/>
  <c r="F1689" i="5" s="1"/>
  <c r="F3127" i="5"/>
  <c r="F3128" i="5" s="1"/>
  <c r="J4715" i="5"/>
  <c r="K4715" i="5" s="1"/>
  <c r="F4327" i="5"/>
  <c r="F5000" i="5"/>
  <c r="J4955" i="5" s="1"/>
  <c r="K4955" i="5" s="1"/>
  <c r="F3559" i="5"/>
  <c r="F4039" i="5"/>
  <c r="F2887" i="5"/>
  <c r="F2888" i="5" s="1"/>
  <c r="F2889" i="5" s="1"/>
  <c r="F2503" i="5"/>
  <c r="F2504" i="5" s="1"/>
  <c r="F2505" i="5" s="1"/>
  <c r="F5863" i="5"/>
  <c r="F5864" i="5" s="1"/>
  <c r="F5865" i="5" s="1"/>
  <c r="F2359" i="5"/>
  <c r="F2360" i="5" s="1"/>
  <c r="F2361" i="5" s="1"/>
  <c r="F2311" i="5"/>
  <c r="F2312" i="5" s="1"/>
  <c r="F1495" i="5"/>
  <c r="F1496" i="5" s="1"/>
  <c r="F1497" i="5" s="1"/>
  <c r="F2551" i="5"/>
  <c r="F2552" i="5" s="1"/>
  <c r="F2553" i="5" s="1"/>
  <c r="F1159" i="5"/>
  <c r="F5143" i="5"/>
  <c r="F343" i="5"/>
  <c r="F344" i="5" s="1"/>
  <c r="F345" i="5" s="1"/>
  <c r="F3799" i="5"/>
  <c r="F3800" i="5" s="1"/>
  <c r="F3801" i="5" s="1"/>
  <c r="F5191" i="5"/>
  <c r="F55" i="5"/>
  <c r="F56" i="5" s="1"/>
  <c r="F57" i="5" s="1"/>
  <c r="F1304" i="5"/>
  <c r="J1259" i="5" s="1"/>
  <c r="K1259" i="5" s="1"/>
  <c r="F5911" i="5"/>
  <c r="F5912" i="5" s="1"/>
  <c r="F2167" i="5"/>
  <c r="F2168" i="5" s="1"/>
  <c r="F2169" i="5" s="1"/>
  <c r="F5335" i="5"/>
  <c r="F1927" i="5"/>
  <c r="F1928" i="5" s="1"/>
  <c r="F3223" i="5"/>
  <c r="F3224" i="5" s="1"/>
  <c r="F3225" i="5" s="1"/>
  <c r="F2599" i="5"/>
  <c r="F2600" i="5" s="1"/>
  <c r="F2601" i="5" s="1"/>
  <c r="F5095" i="5"/>
  <c r="F5096" i="5" s="1"/>
  <c r="F1447" i="5"/>
  <c r="F1448" i="5" s="1"/>
  <c r="F679" i="5"/>
  <c r="F680" i="5" s="1"/>
  <c r="F681" i="5" s="1"/>
  <c r="F4471" i="5"/>
  <c r="F4472" i="5" s="1"/>
  <c r="F4473" i="5" s="1"/>
  <c r="F2695" i="5"/>
  <c r="F2696" i="5" s="1"/>
  <c r="F4183" i="5"/>
  <c r="F4184" i="5" s="1"/>
  <c r="F4185" i="5" s="1"/>
  <c r="F1879" i="5"/>
  <c r="F1880" i="5" s="1"/>
  <c r="F1881" i="5" s="1"/>
  <c r="F3751" i="5"/>
  <c r="F3752" i="5" s="1"/>
  <c r="F3753" i="5" s="1"/>
  <c r="F1255" i="5"/>
  <c r="F1256" i="5" s="1"/>
  <c r="F1257" i="5" s="1"/>
  <c r="F1639" i="5"/>
  <c r="F2263" i="5"/>
  <c r="F2264" i="5" s="1"/>
  <c r="F2265" i="5" s="1"/>
  <c r="F2215" i="5"/>
  <c r="F3367" i="5"/>
  <c r="F3368" i="5" s="1"/>
  <c r="F3175" i="5"/>
  <c r="F3176" i="5" s="1"/>
  <c r="F2455" i="5"/>
  <c r="F2456" i="5" s="1"/>
  <c r="F1399" i="5"/>
  <c r="F1400" i="5" s="1"/>
  <c r="F1401" i="5" s="1"/>
  <c r="F1979" i="5" l="1"/>
  <c r="N1979" i="5" s="1"/>
  <c r="H69" i="1"/>
  <c r="K69" i="1" s="1"/>
  <c r="L70" i="1"/>
  <c r="R2027" i="5" s="1"/>
  <c r="E70" i="1"/>
  <c r="Q1979" i="5"/>
  <c r="J1979" i="5"/>
  <c r="K1979" i="5" s="1"/>
  <c r="F2027" i="5"/>
  <c r="N2027" i="5" s="1"/>
  <c r="Q2027" i="5"/>
  <c r="J2027" i="5"/>
  <c r="K2027" i="5" s="1"/>
  <c r="Q2939" i="5"/>
  <c r="F105" i="5"/>
  <c r="H17" i="1" s="1"/>
  <c r="L4763" i="5"/>
  <c r="F5049" i="5"/>
  <c r="Q5003" i="5" s="1"/>
  <c r="H18" i="1"/>
  <c r="L18" i="1" s="1"/>
  <c r="Q107" i="5"/>
  <c r="Q115" i="2"/>
  <c r="N117" i="2"/>
  <c r="F78" i="2"/>
  <c r="F80" i="2" s="1"/>
  <c r="F2939" i="5"/>
  <c r="L2939" i="5" s="1"/>
  <c r="L4715" i="5"/>
  <c r="L2795" i="5"/>
  <c r="F3129" i="5"/>
  <c r="Q3083" i="5" s="1"/>
  <c r="F5192" i="5"/>
  <c r="F5193" i="5" s="1"/>
  <c r="F5144" i="5"/>
  <c r="F5145" i="5" s="1"/>
  <c r="F1976" i="5"/>
  <c r="F1977" i="5" s="1"/>
  <c r="F4953" i="5"/>
  <c r="H148" i="1" s="1"/>
  <c r="F1784" i="5"/>
  <c r="F1785" i="5" s="1"/>
  <c r="F4328" i="5"/>
  <c r="F4329" i="5" s="1"/>
  <c r="F3848" i="5"/>
  <c r="F3849" i="5" s="1"/>
  <c r="F1929" i="5"/>
  <c r="H67" i="1" s="1"/>
  <c r="F2793" i="5"/>
  <c r="H88" i="1" s="1"/>
  <c r="F5001" i="5"/>
  <c r="Q4955" i="5" s="1"/>
  <c r="F3705" i="5"/>
  <c r="Q3659" i="5" s="1"/>
  <c r="F3512" i="5"/>
  <c r="F3513" i="5" s="1"/>
  <c r="Q3467" i="5" s="1"/>
  <c r="F873" i="5"/>
  <c r="H39" i="1" s="1"/>
  <c r="F5289" i="5"/>
  <c r="Q5243" i="5" s="1"/>
  <c r="F3993" i="5"/>
  <c r="F3947" i="5" s="1"/>
  <c r="F2697" i="5"/>
  <c r="F2651" i="5" s="1"/>
  <c r="F2216" i="5"/>
  <c r="F2217" i="5" s="1"/>
  <c r="F4040" i="5"/>
  <c r="F4041" i="5" s="1"/>
  <c r="F5625" i="5"/>
  <c r="Q5579" i="5" s="1"/>
  <c r="F3033" i="5"/>
  <c r="F2987" i="5" s="1"/>
  <c r="F4088" i="5"/>
  <c r="F4089" i="5" s="1"/>
  <c r="H52" i="1"/>
  <c r="Q1211" i="5"/>
  <c r="F1211" i="5"/>
  <c r="Q2555" i="5"/>
  <c r="H83" i="1"/>
  <c r="F2555" i="5"/>
  <c r="F2843" i="5"/>
  <c r="Q2843" i="5"/>
  <c r="H92" i="1"/>
  <c r="F4523" i="5"/>
  <c r="H140" i="1"/>
  <c r="Q4523" i="5"/>
  <c r="Q971" i="5"/>
  <c r="F971" i="5"/>
  <c r="H46" i="1"/>
  <c r="F1019" i="5"/>
  <c r="Q1019" i="5"/>
  <c r="H47" i="1"/>
  <c r="H110" i="1"/>
  <c r="Q3563" i="5"/>
  <c r="F3563" i="5"/>
  <c r="H116" i="1"/>
  <c r="Q3707" i="5"/>
  <c r="F3707" i="5"/>
  <c r="F4427" i="5"/>
  <c r="N4427" i="5" s="1"/>
  <c r="H138" i="1"/>
  <c r="Q4427" i="5"/>
  <c r="F3179" i="5"/>
  <c r="Q3179" i="5"/>
  <c r="H101" i="1"/>
  <c r="Q1451" i="5"/>
  <c r="H57" i="1"/>
  <c r="F1451" i="5"/>
  <c r="H62" i="1"/>
  <c r="Q1643" i="5"/>
  <c r="F1643" i="5"/>
  <c r="Q3851" i="5"/>
  <c r="H119" i="1"/>
  <c r="F3851" i="5"/>
  <c r="F2123" i="5"/>
  <c r="H73" i="1"/>
  <c r="Q2123" i="5"/>
  <c r="Q5435" i="5"/>
  <c r="F5435" i="5"/>
  <c r="H162" i="1"/>
  <c r="Q3755" i="5"/>
  <c r="H117" i="1"/>
  <c r="F3755" i="5"/>
  <c r="F2315" i="5"/>
  <c r="Q2315" i="5"/>
  <c r="H77" i="1"/>
  <c r="F1163" i="5"/>
  <c r="H51" i="1"/>
  <c r="Q1163" i="5"/>
  <c r="H28" i="1"/>
  <c r="Q395" i="5"/>
  <c r="F395" i="5"/>
  <c r="Q3371" i="5"/>
  <c r="H105" i="1"/>
  <c r="F3371" i="5"/>
  <c r="F1835" i="5"/>
  <c r="H66" i="1"/>
  <c r="Q1835" i="5"/>
  <c r="Q1355" i="5"/>
  <c r="F1355" i="5"/>
  <c r="H55" i="1"/>
  <c r="F635" i="5"/>
  <c r="Q635" i="5"/>
  <c r="H34" i="1"/>
  <c r="Q5819" i="5"/>
  <c r="H170" i="1"/>
  <c r="F5819" i="5"/>
  <c r="H168" i="1"/>
  <c r="Q5723" i="5"/>
  <c r="F5723" i="5"/>
  <c r="H41" i="1"/>
  <c r="Q923" i="5"/>
  <c r="F923" i="5"/>
  <c r="Q2075" i="5"/>
  <c r="H72" i="1"/>
  <c r="F4139" i="5"/>
  <c r="Q4139" i="5"/>
  <c r="H128" i="1"/>
  <c r="Q11" i="5"/>
  <c r="H16" i="1"/>
  <c r="F11" i="5"/>
  <c r="F299" i="5"/>
  <c r="H26" i="1"/>
  <c r="Q299" i="5"/>
  <c r="Q5387" i="5"/>
  <c r="H161" i="1"/>
  <c r="F5387" i="5"/>
  <c r="F2507" i="5"/>
  <c r="H82" i="1"/>
  <c r="Q2507" i="5"/>
  <c r="H81" i="1"/>
  <c r="F2459" i="5"/>
  <c r="Q2459" i="5"/>
  <c r="Q5195" i="5"/>
  <c r="H157" i="1"/>
  <c r="F5195" i="5"/>
  <c r="H97" i="1"/>
  <c r="Q3035" i="5"/>
  <c r="F3035" i="5"/>
  <c r="F4187" i="5"/>
  <c r="Q4187" i="5"/>
  <c r="H129" i="1"/>
  <c r="F587" i="5"/>
  <c r="Q587" i="5"/>
  <c r="H33" i="1"/>
  <c r="H169" i="1"/>
  <c r="Q5771" i="5"/>
  <c r="F5771" i="5"/>
  <c r="Q3899" i="5"/>
  <c r="H120" i="1"/>
  <c r="F3899" i="5"/>
  <c r="E145" i="1"/>
  <c r="K145" i="1"/>
  <c r="L145" i="1"/>
  <c r="J1355" i="5"/>
  <c r="K1355" i="5" s="1"/>
  <c r="J2219" i="5"/>
  <c r="K2219" i="5" s="1"/>
  <c r="J1211" i="5"/>
  <c r="K1211" i="5" s="1"/>
  <c r="J1835" i="5"/>
  <c r="K1835" i="5" s="1"/>
  <c r="F1449" i="5"/>
  <c r="J2555" i="5"/>
  <c r="K2555" i="5" s="1"/>
  <c r="F5336" i="5"/>
  <c r="J5291" i="5" s="1"/>
  <c r="K5291" i="5" s="1"/>
  <c r="F5913" i="5"/>
  <c r="F2313" i="5"/>
  <c r="J5819" i="5"/>
  <c r="K5819" i="5" s="1"/>
  <c r="F3560" i="5"/>
  <c r="J3515" i="5" s="1"/>
  <c r="K3515" i="5" s="1"/>
  <c r="J1643" i="5"/>
  <c r="K1643" i="5" s="1"/>
  <c r="F3465" i="5"/>
  <c r="J5195" i="5"/>
  <c r="K5195" i="5" s="1"/>
  <c r="J3275" i="5"/>
  <c r="K3275" i="5" s="1"/>
  <c r="F393" i="5"/>
  <c r="J5387" i="5"/>
  <c r="K5387" i="5" s="1"/>
  <c r="J1163" i="5"/>
  <c r="K1163" i="5" s="1"/>
  <c r="J3899" i="5"/>
  <c r="K3899" i="5" s="1"/>
  <c r="F1353" i="5"/>
  <c r="J2699" i="5"/>
  <c r="K2699" i="5" s="1"/>
  <c r="F3273" i="5"/>
  <c r="J971" i="5"/>
  <c r="K971" i="5" s="1"/>
  <c r="J3371" i="5"/>
  <c r="K3371" i="5" s="1"/>
  <c r="F1833" i="5"/>
  <c r="J3563" i="5"/>
  <c r="K3563" i="5" s="1"/>
  <c r="L107" i="5"/>
  <c r="J2075" i="5"/>
  <c r="K2075" i="5" s="1"/>
  <c r="F2937" i="5"/>
  <c r="J587" i="5"/>
  <c r="K587" i="5" s="1"/>
  <c r="J11" i="5"/>
  <c r="K11" i="5" s="1"/>
  <c r="J299" i="5"/>
  <c r="K299" i="5" s="1"/>
  <c r="J5723" i="5"/>
  <c r="K5723" i="5" s="1"/>
  <c r="J3851" i="5"/>
  <c r="K3851" i="5" s="1"/>
  <c r="J395" i="5"/>
  <c r="K395" i="5" s="1"/>
  <c r="Q1499" i="5"/>
  <c r="H58" i="1"/>
  <c r="F1499" i="5"/>
  <c r="J1019" i="5"/>
  <c r="K1019" i="5" s="1"/>
  <c r="N4715" i="5"/>
  <c r="J5339" i="5"/>
  <c r="K5339" i="5" s="1"/>
  <c r="J3419" i="5"/>
  <c r="K3419" i="5" s="1"/>
  <c r="J347" i="5"/>
  <c r="K347" i="5" s="1"/>
  <c r="Q4091" i="5"/>
  <c r="H124" i="1"/>
  <c r="F4091" i="5"/>
  <c r="J1307" i="5"/>
  <c r="K1307" i="5" s="1"/>
  <c r="J3227" i="5"/>
  <c r="K3227" i="5" s="1"/>
  <c r="J1787" i="5"/>
  <c r="K1787" i="5" s="1"/>
  <c r="J2891" i="5"/>
  <c r="K2891" i="5" s="1"/>
  <c r="Q3611" i="5"/>
  <c r="F3611" i="5"/>
  <c r="H114" i="1"/>
  <c r="K144" i="1"/>
  <c r="E144" i="1"/>
  <c r="L144" i="1"/>
  <c r="K90" i="1"/>
  <c r="E90" i="1"/>
  <c r="L90" i="1"/>
  <c r="J3323" i="5"/>
  <c r="K3323" i="5" s="1"/>
  <c r="J2267" i="5"/>
  <c r="K2267" i="5" s="1"/>
  <c r="J4139" i="5"/>
  <c r="K4139" i="5" s="1"/>
  <c r="J3179" i="5"/>
  <c r="K3179" i="5" s="1"/>
  <c r="J2843" i="5"/>
  <c r="K2843" i="5" s="1"/>
  <c r="F4520" i="5"/>
  <c r="F4521" i="5" s="1"/>
  <c r="F4619" i="5"/>
  <c r="H142" i="1"/>
  <c r="Q4619" i="5"/>
  <c r="J5579" i="5"/>
  <c r="K5579" i="5" s="1"/>
  <c r="J827" i="5"/>
  <c r="K827" i="5" s="1"/>
  <c r="F488" i="5"/>
  <c r="J443" i="5" s="1"/>
  <c r="K443" i="5" s="1"/>
  <c r="F2649" i="5"/>
  <c r="F1113" i="5"/>
  <c r="J2747" i="5"/>
  <c r="K2747" i="5" s="1"/>
  <c r="J5243" i="5"/>
  <c r="K5243" i="5" s="1"/>
  <c r="J4187" i="5"/>
  <c r="K4187" i="5" s="1"/>
  <c r="H59" i="1"/>
  <c r="F1547" i="5"/>
  <c r="Q1547" i="5"/>
  <c r="J3947" i="5"/>
  <c r="K3947" i="5" s="1"/>
  <c r="J1499" i="5"/>
  <c r="K1499" i="5" s="1"/>
  <c r="N2795" i="5"/>
  <c r="F2699" i="5"/>
  <c r="Q2699" i="5"/>
  <c r="H87" i="1"/>
  <c r="J5915" i="5"/>
  <c r="K5915" i="5" s="1"/>
  <c r="F2457" i="5"/>
  <c r="F3369" i="5"/>
  <c r="J3707" i="5"/>
  <c r="K3707" i="5" s="1"/>
  <c r="J4427" i="5"/>
  <c r="K4427" i="5" s="1"/>
  <c r="F5097" i="5"/>
  <c r="J2123" i="5"/>
  <c r="K2123" i="5" s="1"/>
  <c r="F1640" i="5"/>
  <c r="F1641" i="5" s="1"/>
  <c r="J1451" i="5"/>
  <c r="K1451" i="5" s="1"/>
  <c r="F1305" i="5"/>
  <c r="J3083" i="5"/>
  <c r="K3083" i="5" s="1"/>
  <c r="J4619" i="5"/>
  <c r="K4619" i="5" s="1"/>
  <c r="J4907" i="5"/>
  <c r="K4907" i="5" s="1"/>
  <c r="J923" i="5"/>
  <c r="K923" i="5" s="1"/>
  <c r="J4091" i="5"/>
  <c r="K4091" i="5" s="1"/>
  <c r="J5435" i="5"/>
  <c r="K5435" i="5" s="1"/>
  <c r="F4905" i="5"/>
  <c r="J3611" i="5"/>
  <c r="K3611" i="5" s="1"/>
  <c r="F4617" i="5"/>
  <c r="K94" i="1"/>
  <c r="E94" i="1"/>
  <c r="L94" i="1"/>
  <c r="J3659" i="5"/>
  <c r="K3659" i="5" s="1"/>
  <c r="F2409" i="5"/>
  <c r="H75" i="1"/>
  <c r="Q2219" i="5"/>
  <c r="F2219" i="5"/>
  <c r="H103" i="1"/>
  <c r="Q3275" i="5"/>
  <c r="F3275" i="5"/>
  <c r="J1403" i="5"/>
  <c r="K1403" i="5" s="1"/>
  <c r="J5051" i="5"/>
  <c r="K5051" i="5" s="1"/>
  <c r="J3755" i="5"/>
  <c r="K3755" i="5" s="1"/>
  <c r="J2315" i="5"/>
  <c r="K2315" i="5" s="1"/>
  <c r="J2459" i="5"/>
  <c r="K2459" i="5" s="1"/>
  <c r="J3035" i="5"/>
  <c r="K3035" i="5" s="1"/>
  <c r="J2603" i="5"/>
  <c r="K2603" i="5" s="1"/>
  <c r="J1067" i="5"/>
  <c r="K1067" i="5" s="1"/>
  <c r="J4523" i="5"/>
  <c r="K4523" i="5" s="1"/>
  <c r="J3131" i="5"/>
  <c r="K3131" i="5" s="1"/>
  <c r="J5867" i="5"/>
  <c r="K5867" i="5" s="1"/>
  <c r="J2411" i="5"/>
  <c r="K2411" i="5" s="1"/>
  <c r="F3177" i="5"/>
  <c r="J2651" i="5"/>
  <c r="K2651" i="5" s="1"/>
  <c r="J635" i="5"/>
  <c r="K635" i="5" s="1"/>
  <c r="J1883" i="5"/>
  <c r="K1883" i="5" s="1"/>
  <c r="F5003" i="5"/>
  <c r="H150" i="1"/>
  <c r="Q59" i="5"/>
  <c r="F59" i="5"/>
  <c r="F1160" i="5"/>
  <c r="J1115" i="5" s="1"/>
  <c r="K1115" i="5" s="1"/>
  <c r="J2507" i="5"/>
  <c r="K2507" i="5" s="1"/>
  <c r="F1736" i="5"/>
  <c r="F1737" i="5" s="1"/>
  <c r="F296" i="5"/>
  <c r="F297" i="5" s="1"/>
  <c r="F4712" i="5"/>
  <c r="J4667" i="5" s="1"/>
  <c r="K4667" i="5" s="1"/>
  <c r="J2987" i="5"/>
  <c r="K2987" i="5" s="1"/>
  <c r="F5385" i="5"/>
  <c r="F584" i="5"/>
  <c r="F585" i="5" s="1"/>
  <c r="F4856" i="5"/>
  <c r="J4811" i="5" s="1"/>
  <c r="K4811" i="5" s="1"/>
  <c r="F5576" i="5"/>
  <c r="J5531" i="5" s="1"/>
  <c r="K5531" i="5" s="1"/>
  <c r="F536" i="5"/>
  <c r="J491" i="5" s="1"/>
  <c r="K491" i="5" s="1"/>
  <c r="J4859" i="5"/>
  <c r="K4859" i="5" s="1"/>
  <c r="J4571" i="5"/>
  <c r="K4571" i="5" s="1"/>
  <c r="F5961" i="5"/>
  <c r="J5771" i="5"/>
  <c r="K5771" i="5" s="1"/>
  <c r="F920" i="5"/>
  <c r="J875" i="5" s="1"/>
  <c r="K875" i="5" s="1"/>
  <c r="N4763" i="5"/>
  <c r="J1931" i="5" l="1"/>
  <c r="K1931" i="5" s="1"/>
  <c r="S2027" i="5"/>
  <c r="L1979" i="5"/>
  <c r="L69" i="1"/>
  <c r="R1979" i="5" s="1"/>
  <c r="S1979" i="5" s="1"/>
  <c r="E69" i="1"/>
  <c r="L2027" i="5"/>
  <c r="F3083" i="5"/>
  <c r="L3083" i="5" s="1"/>
  <c r="K18" i="1"/>
  <c r="L4523" i="5"/>
  <c r="E18" i="1"/>
  <c r="J2171" i="5"/>
  <c r="K2171" i="5" s="1"/>
  <c r="L3707" i="5"/>
  <c r="Q2651" i="5"/>
  <c r="Q2987" i="5"/>
  <c r="N2939" i="5"/>
  <c r="F5337" i="5"/>
  <c r="Q5291" i="5" s="1"/>
  <c r="F2747" i="5"/>
  <c r="L2747" i="5" s="1"/>
  <c r="H121" i="1"/>
  <c r="L121" i="1" s="1"/>
  <c r="Q3947" i="5"/>
  <c r="L635" i="5"/>
  <c r="J5099" i="5"/>
  <c r="K5099" i="5" s="1"/>
  <c r="J5147" i="5"/>
  <c r="K5147" i="5" s="1"/>
  <c r="F3659" i="5"/>
  <c r="L3659" i="5" s="1"/>
  <c r="H115" i="1"/>
  <c r="E115" i="1" s="1"/>
  <c r="J3995" i="5"/>
  <c r="K3995" i="5" s="1"/>
  <c r="J3803" i="5"/>
  <c r="K3803" i="5" s="1"/>
  <c r="H98" i="1"/>
  <c r="L98" i="1" s="1"/>
  <c r="F4955" i="5"/>
  <c r="L4955" i="5" s="1"/>
  <c r="H86" i="1"/>
  <c r="J4283" i="5"/>
  <c r="K4283" i="5" s="1"/>
  <c r="H149" i="1"/>
  <c r="L2651" i="5"/>
  <c r="L1211" i="5"/>
  <c r="Q117" i="2"/>
  <c r="T115" i="2"/>
  <c r="I78" i="2"/>
  <c r="L78" i="2" s="1"/>
  <c r="L5819" i="5"/>
  <c r="L3035" i="5"/>
  <c r="L395" i="5"/>
  <c r="Q2747" i="5"/>
  <c r="L4619" i="5"/>
  <c r="L1499" i="5"/>
  <c r="F3561" i="5"/>
  <c r="H109" i="1" s="1"/>
  <c r="L11" i="5"/>
  <c r="L1019" i="5"/>
  <c r="J4043" i="5"/>
  <c r="K4043" i="5" s="1"/>
  <c r="J3467" i="5"/>
  <c r="K3467" i="5" s="1"/>
  <c r="L5435" i="5"/>
  <c r="L3563" i="5"/>
  <c r="L2555" i="5"/>
  <c r="L5387" i="5"/>
  <c r="Q4907" i="5"/>
  <c r="F5579" i="5"/>
  <c r="L5579" i="5" s="1"/>
  <c r="F4907" i="5"/>
  <c r="N4907" i="5" s="1"/>
  <c r="F5243" i="5"/>
  <c r="L5243" i="5" s="1"/>
  <c r="H158" i="1"/>
  <c r="K158" i="1" s="1"/>
  <c r="L2507" i="5"/>
  <c r="L2315" i="5"/>
  <c r="L4091" i="5"/>
  <c r="L4139" i="5"/>
  <c r="L3851" i="5"/>
  <c r="H165" i="1"/>
  <c r="L1163" i="5"/>
  <c r="L1643" i="5"/>
  <c r="L3611" i="5"/>
  <c r="L3947" i="5"/>
  <c r="L3179" i="5"/>
  <c r="L3371" i="5"/>
  <c r="L3755" i="5"/>
  <c r="L5771" i="5"/>
  <c r="L4187" i="5"/>
  <c r="L5195" i="5"/>
  <c r="Q4043" i="5"/>
  <c r="H123" i="1"/>
  <c r="F4043" i="5"/>
  <c r="F3995" i="5"/>
  <c r="Q3995" i="5"/>
  <c r="H122" i="1"/>
  <c r="L2987" i="5"/>
  <c r="L4427" i="5"/>
  <c r="F1883" i="5"/>
  <c r="L1883" i="5" s="1"/>
  <c r="H96" i="1"/>
  <c r="L923" i="5"/>
  <c r="L1451" i="5"/>
  <c r="Q1883" i="5"/>
  <c r="J1739" i="5"/>
  <c r="K1739" i="5" s="1"/>
  <c r="L1355" i="5"/>
  <c r="F827" i="5"/>
  <c r="L827" i="5" s="1"/>
  <c r="L2459" i="5"/>
  <c r="Q827" i="5"/>
  <c r="L2123" i="5"/>
  <c r="L2843" i="5"/>
  <c r="L3899" i="5"/>
  <c r="F1739" i="5"/>
  <c r="Q1739" i="5"/>
  <c r="H64" i="1"/>
  <c r="K64" i="1" s="1"/>
  <c r="Q1931" i="5"/>
  <c r="H68" i="1"/>
  <c r="E68" i="1" s="1"/>
  <c r="F1931" i="5"/>
  <c r="Q5099" i="5"/>
  <c r="F5099" i="5"/>
  <c r="H152" i="1"/>
  <c r="E152" i="1" s="1"/>
  <c r="F5147" i="5"/>
  <c r="Q5147" i="5"/>
  <c r="H153" i="1"/>
  <c r="L1835" i="5"/>
  <c r="L2075" i="5"/>
  <c r="F2171" i="5"/>
  <c r="H74" i="1"/>
  <c r="K74" i="1" s="1"/>
  <c r="Q2171" i="5"/>
  <c r="F3803" i="5"/>
  <c r="N3803" i="5" s="1"/>
  <c r="Q3803" i="5"/>
  <c r="H118" i="1"/>
  <c r="K118" i="1" s="1"/>
  <c r="H131" i="1"/>
  <c r="Q4283" i="5"/>
  <c r="F4283" i="5"/>
  <c r="F4713" i="5"/>
  <c r="Q4667" i="5" s="1"/>
  <c r="F3467" i="5"/>
  <c r="H108" i="1"/>
  <c r="L108" i="1" s="1"/>
  <c r="F1161" i="5"/>
  <c r="F1115" i="5" s="1"/>
  <c r="Q1691" i="5"/>
  <c r="H63" i="1"/>
  <c r="F1691" i="5"/>
  <c r="F539" i="5"/>
  <c r="Q539" i="5"/>
  <c r="H31" i="1"/>
  <c r="Q4475" i="5"/>
  <c r="F4475" i="5"/>
  <c r="H139" i="1"/>
  <c r="F251" i="5"/>
  <c r="Q251" i="5"/>
  <c r="H25" i="1"/>
  <c r="H172" i="1"/>
  <c r="F5915" i="5"/>
  <c r="L5915" i="5" s="1"/>
  <c r="Q5915" i="5"/>
  <c r="Q1595" i="5"/>
  <c r="H60" i="1"/>
  <c r="F1595" i="5"/>
  <c r="H160" i="1"/>
  <c r="Q5339" i="5"/>
  <c r="F5339" i="5"/>
  <c r="L5339" i="5" s="1"/>
  <c r="H141" i="1"/>
  <c r="F4571" i="5"/>
  <c r="L4571" i="5" s="1"/>
  <c r="Q4571" i="5"/>
  <c r="Q1259" i="5"/>
  <c r="F1259" i="5"/>
  <c r="H53" i="1"/>
  <c r="Q5051" i="5"/>
  <c r="F5051" i="5"/>
  <c r="L5051" i="5" s="1"/>
  <c r="H151" i="1"/>
  <c r="E87" i="1"/>
  <c r="K87" i="1"/>
  <c r="L87" i="1"/>
  <c r="K148" i="1"/>
  <c r="E148" i="1"/>
  <c r="L148" i="1"/>
  <c r="L120" i="1"/>
  <c r="K120" i="1"/>
  <c r="E120" i="1"/>
  <c r="E33" i="1"/>
  <c r="K33" i="1"/>
  <c r="L33" i="1"/>
  <c r="L97" i="1"/>
  <c r="K97" i="1"/>
  <c r="E97" i="1"/>
  <c r="N2459" i="5"/>
  <c r="K168" i="1"/>
  <c r="L168" i="1"/>
  <c r="E168" i="1"/>
  <c r="E34" i="1"/>
  <c r="K34" i="1"/>
  <c r="L34" i="1"/>
  <c r="N1835" i="5"/>
  <c r="N3371" i="5"/>
  <c r="N1163" i="5"/>
  <c r="K77" i="1"/>
  <c r="E77" i="1"/>
  <c r="L77" i="1"/>
  <c r="N1643" i="5"/>
  <c r="N3179" i="5"/>
  <c r="F489" i="5"/>
  <c r="N3947" i="5"/>
  <c r="Q1787" i="5"/>
  <c r="F1787" i="5"/>
  <c r="L1787" i="5" s="1"/>
  <c r="H65" i="1"/>
  <c r="H56" i="1"/>
  <c r="F1403" i="5"/>
  <c r="L1403" i="5" s="1"/>
  <c r="Q1403" i="5"/>
  <c r="N5195" i="5"/>
  <c r="K81" i="1"/>
  <c r="E81" i="1"/>
  <c r="L81" i="1"/>
  <c r="E26" i="1"/>
  <c r="K26" i="1"/>
  <c r="L26" i="1"/>
  <c r="E128" i="1"/>
  <c r="K128" i="1"/>
  <c r="L128" i="1"/>
  <c r="K88" i="1"/>
  <c r="E88" i="1"/>
  <c r="L88" i="1"/>
  <c r="N5819" i="5"/>
  <c r="L105" i="1"/>
  <c r="K105" i="1"/>
  <c r="E105" i="1"/>
  <c r="L73" i="1"/>
  <c r="K73" i="1"/>
  <c r="E73" i="1"/>
  <c r="N2987" i="5"/>
  <c r="E110" i="1"/>
  <c r="L110" i="1"/>
  <c r="K110" i="1"/>
  <c r="E46" i="1"/>
  <c r="L46" i="1"/>
  <c r="K46" i="1"/>
  <c r="N2843" i="5"/>
  <c r="K75" i="1"/>
  <c r="E75" i="1"/>
  <c r="L75" i="1"/>
  <c r="N4091" i="5"/>
  <c r="J1691" i="5"/>
  <c r="K1691" i="5" s="1"/>
  <c r="J251" i="5"/>
  <c r="K251" i="5" s="1"/>
  <c r="N587" i="5"/>
  <c r="K157" i="1"/>
  <c r="E157" i="1"/>
  <c r="L157" i="1"/>
  <c r="N299" i="5"/>
  <c r="E170" i="1"/>
  <c r="K170" i="1"/>
  <c r="L170" i="1"/>
  <c r="N635" i="5"/>
  <c r="N2315" i="5"/>
  <c r="N2123" i="5"/>
  <c r="E62" i="1"/>
  <c r="L62" i="1"/>
  <c r="K62" i="1"/>
  <c r="E138" i="1"/>
  <c r="L138" i="1"/>
  <c r="K138" i="1"/>
  <c r="K47" i="1"/>
  <c r="E47" i="1"/>
  <c r="L47" i="1"/>
  <c r="N971" i="5"/>
  <c r="N2555" i="5"/>
  <c r="K150" i="1"/>
  <c r="E150" i="1"/>
  <c r="L150" i="1"/>
  <c r="F921" i="5"/>
  <c r="Q3323" i="5"/>
  <c r="H104" i="1"/>
  <c r="F3323" i="5"/>
  <c r="L3323" i="5" s="1"/>
  <c r="F2603" i="5"/>
  <c r="L2603" i="5" s="1"/>
  <c r="H84" i="1"/>
  <c r="Q2603" i="5"/>
  <c r="J539" i="5"/>
  <c r="K539" i="5" s="1"/>
  <c r="N3611" i="5"/>
  <c r="K124" i="1"/>
  <c r="L124" i="1"/>
  <c r="E124" i="1"/>
  <c r="J4475" i="5"/>
  <c r="K4475" i="5" s="1"/>
  <c r="L299" i="5"/>
  <c r="L587" i="5"/>
  <c r="L971" i="5"/>
  <c r="Q2267" i="5"/>
  <c r="H76" i="1"/>
  <c r="F2267" i="5"/>
  <c r="K129" i="1"/>
  <c r="E129" i="1"/>
  <c r="L129" i="1"/>
  <c r="K82" i="1"/>
  <c r="E82" i="1"/>
  <c r="L82" i="1"/>
  <c r="N11" i="5"/>
  <c r="N4139" i="5"/>
  <c r="N923" i="5"/>
  <c r="K55" i="1"/>
  <c r="L55" i="1"/>
  <c r="E55" i="1"/>
  <c r="K39" i="1"/>
  <c r="E39" i="1"/>
  <c r="L39" i="1"/>
  <c r="N395" i="5"/>
  <c r="N3755" i="5"/>
  <c r="N1451" i="5"/>
  <c r="E140" i="1"/>
  <c r="L140" i="1"/>
  <c r="K140" i="1"/>
  <c r="E83" i="1"/>
  <c r="L83" i="1"/>
  <c r="K83" i="1"/>
  <c r="N3275" i="5"/>
  <c r="N2699" i="5"/>
  <c r="F1067" i="5"/>
  <c r="L1067" i="5" s="1"/>
  <c r="H48" i="1"/>
  <c r="Q1067" i="5"/>
  <c r="E114" i="1"/>
  <c r="L114" i="1"/>
  <c r="K114" i="1"/>
  <c r="N5003" i="5"/>
  <c r="F537" i="5"/>
  <c r="E103" i="1"/>
  <c r="L103" i="1"/>
  <c r="K103" i="1"/>
  <c r="R2939" i="5"/>
  <c r="S2939" i="5" s="1"/>
  <c r="F2411" i="5"/>
  <c r="L2411" i="5" s="1"/>
  <c r="H80" i="1"/>
  <c r="Q2411" i="5"/>
  <c r="N1547" i="5"/>
  <c r="L1547" i="5"/>
  <c r="Q3227" i="5"/>
  <c r="H102" i="1"/>
  <c r="F3227" i="5"/>
  <c r="L3227" i="5" s="1"/>
  <c r="H27" i="1"/>
  <c r="Q347" i="5"/>
  <c r="F347" i="5"/>
  <c r="L2219" i="5"/>
  <c r="N2507" i="5"/>
  <c r="N5387" i="5"/>
  <c r="E16" i="1"/>
  <c r="K16" i="1"/>
  <c r="N1355" i="5"/>
  <c r="E117" i="1"/>
  <c r="K117" i="1"/>
  <c r="L117" i="1"/>
  <c r="K57" i="1"/>
  <c r="E57" i="1"/>
  <c r="L57" i="1"/>
  <c r="N3707" i="5"/>
  <c r="N1019" i="5"/>
  <c r="N4523" i="5"/>
  <c r="F3131" i="5"/>
  <c r="H99" i="1"/>
  <c r="Q3131" i="5"/>
  <c r="F2363" i="5"/>
  <c r="H78" i="1"/>
  <c r="Q2363" i="5"/>
  <c r="Q4859" i="5"/>
  <c r="H147" i="1"/>
  <c r="F4859" i="5"/>
  <c r="L4859" i="5" s="1"/>
  <c r="E59" i="1"/>
  <c r="K59" i="1"/>
  <c r="L59" i="1"/>
  <c r="J1595" i="5"/>
  <c r="K1595" i="5" s="1"/>
  <c r="R2795" i="5"/>
  <c r="S2795" i="5" s="1"/>
  <c r="F2891" i="5"/>
  <c r="L2891" i="5" s="1"/>
  <c r="Q2891" i="5"/>
  <c r="H93" i="1"/>
  <c r="L2699" i="5"/>
  <c r="L3275" i="5"/>
  <c r="N5771" i="5"/>
  <c r="N4187" i="5"/>
  <c r="E161" i="1"/>
  <c r="K161" i="1"/>
  <c r="L161" i="1"/>
  <c r="E72" i="1"/>
  <c r="L72" i="1"/>
  <c r="K72" i="1"/>
  <c r="E41" i="1"/>
  <c r="K41" i="1"/>
  <c r="L41" i="1"/>
  <c r="E86" i="1"/>
  <c r="E28" i="1"/>
  <c r="K28" i="1"/>
  <c r="L28" i="1"/>
  <c r="L5003" i="5"/>
  <c r="N1211" i="5"/>
  <c r="R4715" i="5"/>
  <c r="S4715" i="5" s="1"/>
  <c r="N59" i="5"/>
  <c r="F5577" i="5"/>
  <c r="K142" i="1"/>
  <c r="E142" i="1"/>
  <c r="L142" i="1"/>
  <c r="F1307" i="5"/>
  <c r="L1307" i="5" s="1"/>
  <c r="Q1307" i="5"/>
  <c r="H54" i="1"/>
  <c r="Q5867" i="5"/>
  <c r="F5867" i="5"/>
  <c r="L5867" i="5" s="1"/>
  <c r="H171" i="1"/>
  <c r="R4763" i="5"/>
  <c r="S4763" i="5" s="1"/>
  <c r="N3035" i="5"/>
  <c r="N5723" i="5"/>
  <c r="N2651" i="5"/>
  <c r="K162" i="1"/>
  <c r="E162" i="1"/>
  <c r="L162" i="1"/>
  <c r="N3851" i="5"/>
  <c r="E101" i="1"/>
  <c r="K101" i="1"/>
  <c r="L101" i="1"/>
  <c r="L116" i="1"/>
  <c r="K116" i="1"/>
  <c r="E116" i="1"/>
  <c r="N1499" i="5"/>
  <c r="K17" i="1"/>
  <c r="E17" i="1"/>
  <c r="L17" i="1"/>
  <c r="F4857" i="5"/>
  <c r="N2219" i="5"/>
  <c r="N4619" i="5"/>
  <c r="R107" i="5"/>
  <c r="S107" i="5" s="1"/>
  <c r="E58" i="1"/>
  <c r="K58" i="1"/>
  <c r="L58" i="1"/>
  <c r="L5723" i="5"/>
  <c r="Q3419" i="5"/>
  <c r="H106" i="1"/>
  <c r="F3419" i="5"/>
  <c r="N3899" i="5"/>
  <c r="K169" i="1"/>
  <c r="E169" i="1"/>
  <c r="L169" i="1"/>
  <c r="N2075" i="5"/>
  <c r="E67" i="1"/>
  <c r="L67" i="1"/>
  <c r="K67" i="1"/>
  <c r="K66" i="1"/>
  <c r="E66" i="1"/>
  <c r="L66" i="1"/>
  <c r="L59" i="5"/>
  <c r="E51" i="1"/>
  <c r="K51" i="1"/>
  <c r="L51" i="1"/>
  <c r="N5435" i="5"/>
  <c r="K119" i="1"/>
  <c r="L119" i="1"/>
  <c r="E119" i="1"/>
  <c r="N3563" i="5"/>
  <c r="K92" i="1"/>
  <c r="E92" i="1"/>
  <c r="L92" i="1"/>
  <c r="L52" i="1"/>
  <c r="E52" i="1"/>
  <c r="K52" i="1"/>
  <c r="L1931" i="5" l="1"/>
  <c r="N3083" i="5"/>
  <c r="N3659" i="5"/>
  <c r="K86" i="1"/>
  <c r="F5291" i="5"/>
  <c r="L5291" i="5" s="1"/>
  <c r="K165" i="1"/>
  <c r="L115" i="1"/>
  <c r="R3659" i="5" s="1"/>
  <c r="S3659" i="5" s="1"/>
  <c r="F3515" i="5"/>
  <c r="N4283" i="5"/>
  <c r="L5099" i="5"/>
  <c r="N4955" i="5"/>
  <c r="L86" i="1"/>
  <c r="L2171" i="5"/>
  <c r="E108" i="1"/>
  <c r="H159" i="1"/>
  <c r="K68" i="1"/>
  <c r="L4283" i="5"/>
  <c r="K115" i="1"/>
  <c r="E121" i="1"/>
  <c r="N5099" i="5"/>
  <c r="K149" i="1"/>
  <c r="L1691" i="5"/>
  <c r="K121" i="1"/>
  <c r="E98" i="1"/>
  <c r="N5243" i="5"/>
  <c r="N2747" i="5"/>
  <c r="L539" i="5"/>
  <c r="K108" i="1"/>
  <c r="L251" i="5"/>
  <c r="L3803" i="5"/>
  <c r="K96" i="1"/>
  <c r="L149" i="1"/>
  <c r="K98" i="1"/>
  <c r="E149" i="1"/>
  <c r="L5147" i="5"/>
  <c r="L3995" i="5"/>
  <c r="E153" i="1"/>
  <c r="L153" i="1"/>
  <c r="Q3515" i="5"/>
  <c r="L4043" i="5"/>
  <c r="K153" i="1"/>
  <c r="L4907" i="5"/>
  <c r="H143" i="1"/>
  <c r="K143" i="1" s="1"/>
  <c r="L68" i="1"/>
  <c r="R1931" i="5" s="1"/>
  <c r="S1931" i="5" s="1"/>
  <c r="L3467" i="5"/>
  <c r="E152" i="2"/>
  <c r="T117" i="2"/>
  <c r="I80" i="2"/>
  <c r="L80" i="2"/>
  <c r="O78" i="2"/>
  <c r="N3467" i="5"/>
  <c r="N5579" i="5"/>
  <c r="F4667" i="5"/>
  <c r="L4475" i="5"/>
  <c r="L122" i="1"/>
  <c r="R3995" i="5" s="1"/>
  <c r="S3995" i="5" s="1"/>
  <c r="L1595" i="5"/>
  <c r="N3995" i="5"/>
  <c r="E122" i="1"/>
  <c r="K122" i="1"/>
  <c r="L96" i="1"/>
  <c r="R2987" i="5" s="1"/>
  <c r="S2987" i="5" s="1"/>
  <c r="N2171" i="5"/>
  <c r="L165" i="1"/>
  <c r="E96" i="1"/>
  <c r="K152" i="1"/>
  <c r="E165" i="1"/>
  <c r="L123" i="1"/>
  <c r="N1739" i="5"/>
  <c r="L152" i="1"/>
  <c r="R5099" i="5" s="1"/>
  <c r="S5099" i="5" s="1"/>
  <c r="E123" i="1"/>
  <c r="K123" i="1"/>
  <c r="L131" i="1"/>
  <c r="L126" i="1" s="1"/>
  <c r="N4043" i="5"/>
  <c r="Q1115" i="5"/>
  <c r="E74" i="1"/>
  <c r="L158" i="1"/>
  <c r="R5243" i="5" s="1"/>
  <c r="S5243" i="5" s="1"/>
  <c r="E158" i="1"/>
  <c r="K131" i="1"/>
  <c r="K126" i="1" s="1"/>
  <c r="H50" i="1"/>
  <c r="L50" i="1" s="1"/>
  <c r="L74" i="1"/>
  <c r="R2171" i="5" s="1"/>
  <c r="S2171" i="5" s="1"/>
  <c r="E131" i="1"/>
  <c r="N5147" i="5"/>
  <c r="L1739" i="5"/>
  <c r="N1883" i="5"/>
  <c r="N1931" i="5"/>
  <c r="L64" i="1"/>
  <c r="R1739" i="5" s="1"/>
  <c r="S1739" i="5" s="1"/>
  <c r="E118" i="1"/>
  <c r="E64" i="1"/>
  <c r="L118" i="1"/>
  <c r="N827" i="5"/>
  <c r="R2219" i="5"/>
  <c r="S2219" i="5" s="1"/>
  <c r="R587" i="5"/>
  <c r="S587" i="5" s="1"/>
  <c r="E172" i="1"/>
  <c r="K172" i="1"/>
  <c r="L172" i="1"/>
  <c r="E139" i="1"/>
  <c r="K139" i="1"/>
  <c r="L139" i="1"/>
  <c r="K31" i="1"/>
  <c r="E31" i="1"/>
  <c r="L31" i="1"/>
  <c r="N1691" i="5"/>
  <c r="R1163" i="5"/>
  <c r="S1163" i="5" s="1"/>
  <c r="L171" i="1"/>
  <c r="K171" i="1"/>
  <c r="E171" i="1"/>
  <c r="R1883" i="5"/>
  <c r="S1883" i="5" s="1"/>
  <c r="N3131" i="5"/>
  <c r="Q491" i="5"/>
  <c r="H30" i="1"/>
  <c r="F491" i="5"/>
  <c r="E48" i="1"/>
  <c r="K48" i="1"/>
  <c r="L48" i="1"/>
  <c r="R2123" i="5"/>
  <c r="S2123" i="5" s="1"/>
  <c r="K106" i="1"/>
  <c r="E106" i="1"/>
  <c r="L106" i="1"/>
  <c r="F4811" i="5"/>
  <c r="H146" i="1"/>
  <c r="Q4811" i="5"/>
  <c r="K54" i="1"/>
  <c r="E54" i="1"/>
  <c r="L54" i="1"/>
  <c r="R1547" i="5"/>
  <c r="S1547" i="5" s="1"/>
  <c r="E147" i="1"/>
  <c r="K147" i="1"/>
  <c r="L147" i="1"/>
  <c r="L16" i="1"/>
  <c r="K14" i="1"/>
  <c r="N347" i="5"/>
  <c r="N1067" i="5"/>
  <c r="R827" i="5"/>
  <c r="S827" i="5" s="1"/>
  <c r="R2507" i="5"/>
  <c r="S2507" i="5" s="1"/>
  <c r="R4091" i="5"/>
  <c r="S4091" i="5" s="1"/>
  <c r="R4139" i="5"/>
  <c r="S4139" i="5" s="1"/>
  <c r="E65" i="1"/>
  <c r="K65" i="1"/>
  <c r="L65" i="1"/>
  <c r="N5339" i="5"/>
  <c r="N4475" i="5"/>
  <c r="K63" i="1"/>
  <c r="E63" i="1"/>
  <c r="L63" i="1"/>
  <c r="R4427" i="5"/>
  <c r="S4427" i="5" s="1"/>
  <c r="L109" i="1"/>
  <c r="E109" i="1"/>
  <c r="K109" i="1"/>
  <c r="N1787" i="5"/>
  <c r="R3083" i="5"/>
  <c r="S3083" i="5" s="1"/>
  <c r="N4571" i="5"/>
  <c r="N539" i="5"/>
  <c r="N3419" i="5"/>
  <c r="R2075" i="5"/>
  <c r="S2075" i="5" s="1"/>
  <c r="R5435" i="5"/>
  <c r="S5435" i="5" s="1"/>
  <c r="R1451" i="5"/>
  <c r="S1451" i="5" s="1"/>
  <c r="R1835" i="5"/>
  <c r="S1835" i="5" s="1"/>
  <c r="R59" i="5"/>
  <c r="S59" i="5" s="1"/>
  <c r="R3707" i="5"/>
  <c r="S3707" i="5" s="1"/>
  <c r="N1307" i="5"/>
  <c r="R923" i="5"/>
  <c r="S923" i="5" s="1"/>
  <c r="K27" i="1"/>
  <c r="E27" i="1"/>
  <c r="L27" i="1"/>
  <c r="R3611" i="5"/>
  <c r="S3611" i="5" s="1"/>
  <c r="N1115" i="5"/>
  <c r="R4523" i="5"/>
  <c r="S4523" i="5" s="1"/>
  <c r="N2267" i="5"/>
  <c r="N3323" i="5"/>
  <c r="R3947" i="5"/>
  <c r="S3947" i="5" s="1"/>
  <c r="L3419" i="5"/>
  <c r="R971" i="5"/>
  <c r="S971" i="5" s="1"/>
  <c r="R2459" i="5"/>
  <c r="S2459" i="5" s="1"/>
  <c r="K151" i="1"/>
  <c r="E151" i="1"/>
  <c r="L151" i="1"/>
  <c r="K141" i="1"/>
  <c r="E141" i="1"/>
  <c r="L141" i="1"/>
  <c r="K160" i="1"/>
  <c r="E160" i="1"/>
  <c r="L160" i="1"/>
  <c r="E25" i="1"/>
  <c r="K25" i="1"/>
  <c r="L25" i="1"/>
  <c r="R1211" i="5"/>
  <c r="S1211" i="5" s="1"/>
  <c r="R3179" i="5"/>
  <c r="S3179" i="5" s="1"/>
  <c r="R5387" i="5"/>
  <c r="S5387" i="5" s="1"/>
  <c r="N2891" i="5"/>
  <c r="E78" i="1"/>
  <c r="K78" i="1"/>
  <c r="L78" i="1"/>
  <c r="R3755" i="5"/>
  <c r="S3755" i="5" s="1"/>
  <c r="N3227" i="5"/>
  <c r="L3131" i="5"/>
  <c r="K76" i="1"/>
  <c r="E76" i="1"/>
  <c r="L76" i="1"/>
  <c r="K84" i="1"/>
  <c r="E84" i="1"/>
  <c r="L84" i="1"/>
  <c r="L104" i="1"/>
  <c r="K104" i="1"/>
  <c r="E104" i="1"/>
  <c r="H40" i="1"/>
  <c r="F875" i="5"/>
  <c r="Q875" i="5"/>
  <c r="R1019" i="5"/>
  <c r="S1019" i="5" s="1"/>
  <c r="R5195" i="5"/>
  <c r="S5195" i="5" s="1"/>
  <c r="N1403" i="5"/>
  <c r="N5051" i="5"/>
  <c r="L1115" i="5"/>
  <c r="R395" i="5"/>
  <c r="S395" i="5" s="1"/>
  <c r="N4859" i="5"/>
  <c r="R5771" i="5"/>
  <c r="S5771" i="5" s="1"/>
  <c r="H164" i="1"/>
  <c r="Q5531" i="5"/>
  <c r="F5531" i="5"/>
  <c r="K93" i="1"/>
  <c r="L93" i="1"/>
  <c r="E93" i="1"/>
  <c r="R1499" i="5"/>
  <c r="S1499" i="5" s="1"/>
  <c r="R4619" i="5"/>
  <c r="S4619" i="5" s="1"/>
  <c r="N5291" i="5"/>
  <c r="N2363" i="5"/>
  <c r="L2363" i="5"/>
  <c r="K102" i="1"/>
  <c r="L102" i="1"/>
  <c r="E102" i="1"/>
  <c r="R3275" i="5"/>
  <c r="S3275" i="5" s="1"/>
  <c r="N2603" i="5"/>
  <c r="R3467" i="5"/>
  <c r="S3467" i="5" s="1"/>
  <c r="R1643" i="5"/>
  <c r="S1643" i="5" s="1"/>
  <c r="R2747" i="5"/>
  <c r="S2747" i="5" s="1"/>
  <c r="R299" i="5"/>
  <c r="S299" i="5" s="1"/>
  <c r="L56" i="1"/>
  <c r="K56" i="1"/>
  <c r="E56" i="1"/>
  <c r="R2315" i="5"/>
  <c r="S2315" i="5" s="1"/>
  <c r="R5723" i="5"/>
  <c r="S5723" i="5" s="1"/>
  <c r="R4907" i="5"/>
  <c r="S4907" i="5" s="1"/>
  <c r="R2699" i="5"/>
  <c r="S2699" i="5" s="1"/>
  <c r="N251" i="5"/>
  <c r="N1595" i="5"/>
  <c r="K80" i="1"/>
  <c r="E80" i="1"/>
  <c r="L80" i="1"/>
  <c r="R2555" i="5"/>
  <c r="S2555" i="5" s="1"/>
  <c r="R1355" i="5"/>
  <c r="S1355" i="5" s="1"/>
  <c r="R4187" i="5"/>
  <c r="S4187" i="5" s="1"/>
  <c r="R5003" i="5"/>
  <c r="S5003" i="5" s="1"/>
  <c r="R3899" i="5"/>
  <c r="S3899" i="5" s="1"/>
  <c r="E53" i="1"/>
  <c r="L53" i="1"/>
  <c r="K53" i="1"/>
  <c r="R2843" i="5"/>
  <c r="S2843" i="5" s="1"/>
  <c r="R3851" i="5"/>
  <c r="S3851" i="5" s="1"/>
  <c r="N5867" i="5"/>
  <c r="K99" i="1"/>
  <c r="E99" i="1"/>
  <c r="L99" i="1"/>
  <c r="N2411" i="5"/>
  <c r="L2267" i="5"/>
  <c r="L347" i="5"/>
  <c r="R5819" i="5"/>
  <c r="S5819" i="5" s="1"/>
  <c r="R3563" i="5"/>
  <c r="S3563" i="5" s="1"/>
  <c r="R3371" i="5"/>
  <c r="S3371" i="5" s="1"/>
  <c r="Q443" i="5"/>
  <c r="H29" i="1"/>
  <c r="F443" i="5"/>
  <c r="R635" i="5"/>
  <c r="S635" i="5" s="1"/>
  <c r="R3035" i="5"/>
  <c r="S3035" i="5" s="1"/>
  <c r="N1259" i="5"/>
  <c r="L1259" i="5"/>
  <c r="E60" i="1"/>
  <c r="K60" i="1"/>
  <c r="L60" i="1"/>
  <c r="N5915" i="5"/>
  <c r="K159" i="1" l="1"/>
  <c r="L159" i="1"/>
  <c r="R2651" i="5"/>
  <c r="S2651" i="5" s="1"/>
  <c r="N3515" i="5"/>
  <c r="E159" i="1"/>
  <c r="L3515" i="5"/>
  <c r="R4955" i="5"/>
  <c r="S4955" i="5" s="1"/>
  <c r="L4667" i="5"/>
  <c r="L143" i="1"/>
  <c r="R4667" i="5" s="1"/>
  <c r="S4667" i="5" s="1"/>
  <c r="R4283" i="5"/>
  <c r="S4283" i="5" s="1"/>
  <c r="R5147" i="5"/>
  <c r="S5147" i="5" s="1"/>
  <c r="K50" i="1"/>
  <c r="K43" i="1" s="1"/>
  <c r="E50" i="1"/>
  <c r="E143" i="1"/>
  <c r="E154" i="2"/>
  <c r="H152" i="2"/>
  <c r="D100" i="2"/>
  <c r="D137" i="2"/>
  <c r="D26" i="2"/>
  <c r="D63" i="2"/>
  <c r="O80" i="2"/>
  <c r="R78" i="2"/>
  <c r="R4043" i="5"/>
  <c r="S4043" i="5" s="1"/>
  <c r="K112" i="1"/>
  <c r="R3803" i="5"/>
  <c r="S3803" i="5" s="1"/>
  <c r="R5579" i="5"/>
  <c r="S5579" i="5" s="1"/>
  <c r="N4667" i="5"/>
  <c r="L112" i="1"/>
  <c r="H126" i="1"/>
  <c r="R1115" i="5"/>
  <c r="S1115" i="5" s="1"/>
  <c r="H14" i="1"/>
  <c r="R1307" i="5"/>
  <c r="S1307" i="5" s="1"/>
  <c r="R3419" i="5"/>
  <c r="S3419" i="5" s="1"/>
  <c r="R2891" i="5"/>
  <c r="S2891" i="5" s="1"/>
  <c r="N875" i="5"/>
  <c r="L875" i="5"/>
  <c r="R2363" i="5"/>
  <c r="S2363" i="5" s="1"/>
  <c r="R11" i="5"/>
  <c r="S11" i="5" s="1"/>
  <c r="L14" i="1"/>
  <c r="N491" i="5"/>
  <c r="L491" i="5"/>
  <c r="R3131" i="5"/>
  <c r="S3131" i="5" s="1"/>
  <c r="R2411" i="5"/>
  <c r="S2411" i="5" s="1"/>
  <c r="R1403" i="5"/>
  <c r="S1403" i="5" s="1"/>
  <c r="R3227" i="5"/>
  <c r="S3227" i="5" s="1"/>
  <c r="E40" i="1"/>
  <c r="K40" i="1"/>
  <c r="L40" i="1"/>
  <c r="R5339" i="5"/>
  <c r="S5339" i="5" s="1"/>
  <c r="R5051" i="5"/>
  <c r="S5051" i="5" s="1"/>
  <c r="G127" i="1"/>
  <c r="G190" i="1" s="1"/>
  <c r="F127" i="1"/>
  <c r="F190" i="1" s="1"/>
  <c r="R4859" i="5"/>
  <c r="S4859" i="5" s="1"/>
  <c r="K30" i="1"/>
  <c r="E30" i="1"/>
  <c r="L30" i="1"/>
  <c r="R1259" i="5"/>
  <c r="S1259" i="5" s="1"/>
  <c r="R2267" i="5"/>
  <c r="S2267" i="5" s="1"/>
  <c r="R539" i="5"/>
  <c r="S539" i="5" s="1"/>
  <c r="R5915" i="5"/>
  <c r="S5915" i="5" s="1"/>
  <c r="N5531" i="5"/>
  <c r="L5531" i="5"/>
  <c r="R3515" i="5"/>
  <c r="S3515" i="5" s="1"/>
  <c r="N443" i="5"/>
  <c r="L443" i="5"/>
  <c r="R5291" i="5"/>
  <c r="S5291" i="5" s="1"/>
  <c r="R1691" i="5"/>
  <c r="S1691" i="5" s="1"/>
  <c r="R1067" i="5"/>
  <c r="S1067" i="5" s="1"/>
  <c r="R5867" i="5"/>
  <c r="S5867" i="5" s="1"/>
  <c r="E29" i="1"/>
  <c r="K29" i="1"/>
  <c r="L29" i="1"/>
  <c r="R1595" i="5"/>
  <c r="S1595" i="5" s="1"/>
  <c r="K164" i="1"/>
  <c r="K155" i="1" s="1"/>
  <c r="E164" i="1"/>
  <c r="L164" i="1"/>
  <c r="R3323" i="5"/>
  <c r="S3323" i="5" s="1"/>
  <c r="R251" i="5"/>
  <c r="S251" i="5" s="1"/>
  <c r="R4571" i="5"/>
  <c r="S4571" i="5" s="1"/>
  <c r="R347" i="5"/>
  <c r="S347" i="5" s="1"/>
  <c r="R1787" i="5"/>
  <c r="S1787" i="5" s="1"/>
  <c r="K146" i="1"/>
  <c r="K134" i="1" s="1"/>
  <c r="E146" i="1"/>
  <c r="L146" i="1"/>
  <c r="R2603" i="5"/>
  <c r="S2603" i="5" s="1"/>
  <c r="N4811" i="5"/>
  <c r="L4811" i="5"/>
  <c r="R4475" i="5"/>
  <c r="S4475" i="5" s="1"/>
  <c r="H213" i="6" l="1"/>
  <c r="M5966" i="5" s="1"/>
  <c r="H112" i="1"/>
  <c r="M135" i="2" s="1"/>
  <c r="K134" i="2" s="1"/>
  <c r="L134" i="1"/>
  <c r="D140" i="2" s="1"/>
  <c r="P126" i="2"/>
  <c r="N125" i="2" s="1"/>
  <c r="P89" i="2"/>
  <c r="N88" i="2" s="1"/>
  <c r="S89" i="2"/>
  <c r="Q88" i="2" s="1"/>
  <c r="S126" i="2"/>
  <c r="Q125" i="2" s="1"/>
  <c r="G126" i="2"/>
  <c r="E125" i="2" s="1"/>
  <c r="M89" i="2"/>
  <c r="K88" i="2" s="1"/>
  <c r="G89" i="2"/>
  <c r="E88" i="2" s="1"/>
  <c r="J126" i="2"/>
  <c r="H125" i="2" s="1"/>
  <c r="J89" i="2"/>
  <c r="H88" i="2" s="1"/>
  <c r="V89" i="2"/>
  <c r="T88" i="2" s="1"/>
  <c r="V126" i="2"/>
  <c r="T125" i="2" s="1"/>
  <c r="M126" i="2"/>
  <c r="K125" i="2" s="1"/>
  <c r="V52" i="2"/>
  <c r="T51" i="2" s="1"/>
  <c r="J52" i="2"/>
  <c r="H51" i="2" s="1"/>
  <c r="V15" i="2"/>
  <c r="T14" i="2" s="1"/>
  <c r="J15" i="2"/>
  <c r="H14" i="2" s="1"/>
  <c r="M52" i="2"/>
  <c r="K51" i="2" s="1"/>
  <c r="M15" i="2"/>
  <c r="K14" i="2" s="1"/>
  <c r="P52" i="2"/>
  <c r="N51" i="2" s="1"/>
  <c r="P15" i="2"/>
  <c r="N14" i="2" s="1"/>
  <c r="S52" i="2"/>
  <c r="Q51" i="2" s="1"/>
  <c r="G52" i="2"/>
  <c r="E51" i="2" s="1"/>
  <c r="S15" i="2"/>
  <c r="Q14" i="2" s="1"/>
  <c r="G15" i="2"/>
  <c r="E14" i="2" s="1"/>
  <c r="J138" i="2"/>
  <c r="H137" i="2" s="1"/>
  <c r="H139" i="2" s="1"/>
  <c r="M101" i="2"/>
  <c r="K100" i="2" s="1"/>
  <c r="K102" i="2" s="1"/>
  <c r="V101" i="2"/>
  <c r="T100" i="2" s="1"/>
  <c r="T102" i="2" s="1"/>
  <c r="G138" i="2"/>
  <c r="E137" i="2" s="1"/>
  <c r="E139" i="2" s="1"/>
  <c r="M138" i="2"/>
  <c r="K137" i="2" s="1"/>
  <c r="K139" i="2" s="1"/>
  <c r="J101" i="2"/>
  <c r="H100" i="2" s="1"/>
  <c r="H102" i="2" s="1"/>
  <c r="P138" i="2"/>
  <c r="N137" i="2" s="1"/>
  <c r="N139" i="2" s="1"/>
  <c r="G101" i="2"/>
  <c r="E100" i="2" s="1"/>
  <c r="E102" i="2" s="1"/>
  <c r="S101" i="2"/>
  <c r="Q100" i="2" s="1"/>
  <c r="Q102" i="2" s="1"/>
  <c r="S138" i="2"/>
  <c r="Q137" i="2" s="1"/>
  <c r="Q139" i="2" s="1"/>
  <c r="P101" i="2"/>
  <c r="N100" i="2" s="1"/>
  <c r="S64" i="2"/>
  <c r="G64" i="2"/>
  <c r="E63" i="2" s="1"/>
  <c r="E65" i="2" s="1"/>
  <c r="V27" i="2"/>
  <c r="T26" i="2" s="1"/>
  <c r="T28" i="2" s="1"/>
  <c r="J27" i="2"/>
  <c r="H26" i="2" s="1"/>
  <c r="H28" i="2" s="1"/>
  <c r="J64" i="2"/>
  <c r="H63" i="2" s="1"/>
  <c r="H65" i="2" s="1"/>
  <c r="M27" i="2"/>
  <c r="K26" i="2" s="1"/>
  <c r="K28" i="2" s="1"/>
  <c r="M64" i="2"/>
  <c r="K63" i="2" s="1"/>
  <c r="K65" i="2" s="1"/>
  <c r="P27" i="2"/>
  <c r="N26" i="2" s="1"/>
  <c r="P64" i="2"/>
  <c r="N63" i="2" s="1"/>
  <c r="S27" i="2"/>
  <c r="Q26" i="2" s="1"/>
  <c r="Q28" i="2" s="1"/>
  <c r="G27" i="2"/>
  <c r="E26" i="2" s="1"/>
  <c r="E28" i="2" s="1"/>
  <c r="K152" i="2"/>
  <c r="H154" i="2"/>
  <c r="D88" i="2"/>
  <c r="D125" i="2"/>
  <c r="D134" i="2"/>
  <c r="D97" i="2"/>
  <c r="D60" i="2"/>
  <c r="D23" i="2"/>
  <c r="D51" i="2"/>
  <c r="D14" i="2"/>
  <c r="K15" i="1"/>
  <c r="R80" i="2"/>
  <c r="U78" i="2"/>
  <c r="G113" i="1"/>
  <c r="G188" i="1" s="1"/>
  <c r="F113" i="1"/>
  <c r="F188" i="1" s="1"/>
  <c r="L5966" i="5"/>
  <c r="K22" i="1"/>
  <c r="H22" i="1" s="1"/>
  <c r="H155" i="1"/>
  <c r="H43" i="1"/>
  <c r="S132" i="2" s="1"/>
  <c r="H134" i="1"/>
  <c r="H127" i="1"/>
  <c r="H190" i="1" s="1"/>
  <c r="H189" i="1"/>
  <c r="L189" i="1" s="1"/>
  <c r="L43" i="1"/>
  <c r="R443" i="5"/>
  <c r="S443" i="5" s="1"/>
  <c r="L22" i="1"/>
  <c r="R875" i="5"/>
  <c r="S875" i="5" s="1"/>
  <c r="H15" i="1"/>
  <c r="H182" i="1" s="1"/>
  <c r="H181" i="1"/>
  <c r="K127" i="1"/>
  <c r="R491" i="5"/>
  <c r="S491" i="5" s="1"/>
  <c r="R5531" i="5"/>
  <c r="S5531" i="5" s="1"/>
  <c r="L155" i="1"/>
  <c r="H113" i="1"/>
  <c r="H188" i="1" s="1"/>
  <c r="G15" i="1"/>
  <c r="G182" i="1" s="1"/>
  <c r="F15" i="1"/>
  <c r="F182" i="1" s="1"/>
  <c r="R4811" i="5"/>
  <c r="S4811" i="5" s="1"/>
  <c r="L174" i="1" l="1"/>
  <c r="M175" i="1" s="1"/>
  <c r="P132" i="2"/>
  <c r="N131" i="2" s="1"/>
  <c r="M95" i="2"/>
  <c r="K94" i="2" s="1"/>
  <c r="S58" i="2"/>
  <c r="G58" i="2"/>
  <c r="M21" i="2"/>
  <c r="J95" i="2"/>
  <c r="H94" i="2" s="1"/>
  <c r="P58" i="2"/>
  <c r="V21" i="2"/>
  <c r="M132" i="2"/>
  <c r="K131" i="2" s="1"/>
  <c r="P95" i="2"/>
  <c r="N94" i="2" s="1"/>
  <c r="V58" i="2"/>
  <c r="J58" i="2"/>
  <c r="H57" i="2" s="1"/>
  <c r="P21" i="2"/>
  <c r="G132" i="2"/>
  <c r="E131" i="2" s="1"/>
  <c r="Q131" i="2"/>
  <c r="J132" i="2"/>
  <c r="H131" i="2" s="1"/>
  <c r="S95" i="2"/>
  <c r="Q94" i="2" s="1"/>
  <c r="G95" i="2"/>
  <c r="E94" i="2" s="1"/>
  <c r="M58" i="2"/>
  <c r="S21" i="2"/>
  <c r="G21" i="2"/>
  <c r="V95" i="2"/>
  <c r="T94" i="2" s="1"/>
  <c r="J21" i="2"/>
  <c r="M5967" i="5"/>
  <c r="H187" i="1"/>
  <c r="L187" i="1" s="1"/>
  <c r="M24" i="2"/>
  <c r="K23" i="2" s="1"/>
  <c r="K25" i="2" s="1"/>
  <c r="F135" i="1"/>
  <c r="F192" i="1" s="1"/>
  <c r="J61" i="2"/>
  <c r="H60" i="2" s="1"/>
  <c r="H62" i="2" s="1"/>
  <c r="D103" i="2"/>
  <c r="J24" i="2"/>
  <c r="H23" i="2" s="1"/>
  <c r="H25" i="2" s="1"/>
  <c r="P61" i="2"/>
  <c r="N60" i="2" s="1"/>
  <c r="N62" i="2" s="1"/>
  <c r="G135" i="1"/>
  <c r="G192" i="1" s="1"/>
  <c r="D66" i="2"/>
  <c r="S24" i="2"/>
  <c r="Q23" i="2" s="1"/>
  <c r="Q25" i="2" s="1"/>
  <c r="V98" i="2"/>
  <c r="T97" i="2" s="1"/>
  <c r="T99" i="2" s="1"/>
  <c r="D29" i="2"/>
  <c r="K113" i="1"/>
  <c r="M61" i="2"/>
  <c r="K60" i="2" s="1"/>
  <c r="K62" i="2" s="1"/>
  <c r="G24" i="2"/>
  <c r="E23" i="2" s="1"/>
  <c r="S135" i="2"/>
  <c r="Q134" i="2" s="1"/>
  <c r="Q136" i="2" s="1"/>
  <c r="V24" i="2"/>
  <c r="T23" i="2" s="1"/>
  <c r="T25" i="2" s="1"/>
  <c r="S61" i="2"/>
  <c r="Q60" i="2" s="1"/>
  <c r="Q62" i="2" s="1"/>
  <c r="P135" i="2"/>
  <c r="N134" i="2" s="1"/>
  <c r="N136" i="2" s="1"/>
  <c r="M98" i="2"/>
  <c r="K97" i="2" s="1"/>
  <c r="K99" i="2" s="1"/>
  <c r="G98" i="2"/>
  <c r="E97" i="2" s="1"/>
  <c r="E99" i="2" s="1"/>
  <c r="G61" i="2"/>
  <c r="E60" i="2" s="1"/>
  <c r="E62" i="2" s="1"/>
  <c r="J135" i="2"/>
  <c r="H134" i="2" s="1"/>
  <c r="H136" i="2" s="1"/>
  <c r="J98" i="2"/>
  <c r="H97" i="2" s="1"/>
  <c r="H99" i="2" s="1"/>
  <c r="S98" i="2"/>
  <c r="Q97" i="2" s="1"/>
  <c r="Q99" i="2" s="1"/>
  <c r="P24" i="2"/>
  <c r="N23" i="2" s="1"/>
  <c r="N25" i="2" s="1"/>
  <c r="G135" i="2"/>
  <c r="E134" i="2" s="1"/>
  <c r="E136" i="2" s="1"/>
  <c r="P98" i="2"/>
  <c r="N97" i="2" s="1"/>
  <c r="N99" i="2" s="1"/>
  <c r="K53" i="2"/>
  <c r="E16" i="2"/>
  <c r="H16" i="2"/>
  <c r="K127" i="2"/>
  <c r="H127" i="2"/>
  <c r="Q127" i="2"/>
  <c r="T127" i="2"/>
  <c r="E90" i="2"/>
  <c r="Q90" i="2"/>
  <c r="T90" i="2"/>
  <c r="K90" i="2"/>
  <c r="N90" i="2"/>
  <c r="K136" i="2"/>
  <c r="H90" i="2"/>
  <c r="E127" i="2"/>
  <c r="N127" i="2"/>
  <c r="V64" i="2"/>
  <c r="V138" i="2" s="1"/>
  <c r="T137" i="2" s="1"/>
  <c r="T139" i="2" s="1"/>
  <c r="Q63" i="2"/>
  <c r="Q65" i="2" s="1"/>
  <c r="N102" i="2"/>
  <c r="G107" i="2"/>
  <c r="E106" i="2" s="1"/>
  <c r="M70" i="2"/>
  <c r="K69" i="2" s="1"/>
  <c r="P144" i="2"/>
  <c r="N143" i="2" s="1"/>
  <c r="M107" i="2"/>
  <c r="K106" i="2" s="1"/>
  <c r="P107" i="2"/>
  <c r="N106" i="2" s="1"/>
  <c r="J70" i="2"/>
  <c r="M144" i="2"/>
  <c r="K143" i="2" s="1"/>
  <c r="P70" i="2"/>
  <c r="N69" i="2" s="1"/>
  <c r="G144" i="2"/>
  <c r="E143" i="2" s="1"/>
  <c r="V107" i="2"/>
  <c r="T106" i="2" s="1"/>
  <c r="S70" i="2"/>
  <c r="V70" i="2" s="1"/>
  <c r="G70" i="2"/>
  <c r="E69" i="2" s="1"/>
  <c r="S144" i="2"/>
  <c r="Q143" i="2" s="1"/>
  <c r="J144" i="2"/>
  <c r="H143" i="2" s="1"/>
  <c r="S107" i="2"/>
  <c r="Q106" i="2" s="1"/>
  <c r="J107" i="2"/>
  <c r="H106" i="2" s="1"/>
  <c r="V33" i="2"/>
  <c r="T32" i="2" s="1"/>
  <c r="P33" i="2"/>
  <c r="N32" i="2" s="1"/>
  <c r="J33" i="2"/>
  <c r="H32" i="2" s="1"/>
  <c r="S33" i="2"/>
  <c r="Q32" i="2" s="1"/>
  <c r="M33" i="2"/>
  <c r="K32" i="2" s="1"/>
  <c r="G33" i="2"/>
  <c r="E32" i="2" s="1"/>
  <c r="J141" i="2"/>
  <c r="H140" i="2" s="1"/>
  <c r="P104" i="2"/>
  <c r="N103" i="2" s="1"/>
  <c r="G104" i="2"/>
  <c r="E103" i="2" s="1"/>
  <c r="M141" i="2"/>
  <c r="K140" i="2" s="1"/>
  <c r="M104" i="2"/>
  <c r="K103" i="2" s="1"/>
  <c r="V104" i="2"/>
  <c r="T103" i="2" s="1"/>
  <c r="G141" i="2"/>
  <c r="E140" i="2" s="1"/>
  <c r="S104" i="2"/>
  <c r="Q103" i="2" s="1"/>
  <c r="P141" i="2"/>
  <c r="N140" i="2" s="1"/>
  <c r="J104" i="2"/>
  <c r="H103" i="2" s="1"/>
  <c r="S141" i="2"/>
  <c r="Q140" i="2" s="1"/>
  <c r="S129" i="2"/>
  <c r="Q128" i="2" s="1"/>
  <c r="G129" i="2"/>
  <c r="E128" i="2" s="1"/>
  <c r="J92" i="2"/>
  <c r="H91" i="2" s="1"/>
  <c r="J129" i="2"/>
  <c r="H128" i="2" s="1"/>
  <c r="G92" i="2"/>
  <c r="E91" i="2" s="1"/>
  <c r="S92" i="2"/>
  <c r="Q91" i="2" s="1"/>
  <c r="V92" i="2"/>
  <c r="T91" i="2" s="1"/>
  <c r="P129" i="2"/>
  <c r="N128" i="2" s="1"/>
  <c r="M92" i="2"/>
  <c r="K91" i="2" s="1"/>
  <c r="M129" i="2"/>
  <c r="K128" i="2" s="1"/>
  <c r="P92" i="2"/>
  <c r="N91" i="2" s="1"/>
  <c r="U80" i="2"/>
  <c r="F115" i="2"/>
  <c r="K154" i="2"/>
  <c r="N152" i="2"/>
  <c r="J67" i="2"/>
  <c r="P30" i="2"/>
  <c r="N29" i="2" s="1"/>
  <c r="M67" i="2"/>
  <c r="K66" i="2" s="1"/>
  <c r="S30" i="2"/>
  <c r="Q29" i="2" s="1"/>
  <c r="G30" i="2"/>
  <c r="E29" i="2" s="1"/>
  <c r="P67" i="2"/>
  <c r="V30" i="2"/>
  <c r="T29" i="2" s="1"/>
  <c r="J30" i="2"/>
  <c r="H29" i="2" s="1"/>
  <c r="S67" i="2"/>
  <c r="Q66" i="2" s="1"/>
  <c r="G67" i="2"/>
  <c r="E66" i="2" s="1"/>
  <c r="M30" i="2"/>
  <c r="K29" i="2" s="1"/>
  <c r="J55" i="2"/>
  <c r="H54" i="2" s="1"/>
  <c r="V18" i="2"/>
  <c r="T17" i="2" s="1"/>
  <c r="J18" i="2"/>
  <c r="H17" i="2" s="1"/>
  <c r="G18" i="2"/>
  <c r="E17" i="2" s="1"/>
  <c r="M55" i="2"/>
  <c r="K54" i="2" s="1"/>
  <c r="M18" i="2"/>
  <c r="K17" i="2" s="1"/>
  <c r="P55" i="2"/>
  <c r="N54" i="2" s="1"/>
  <c r="P18" i="2"/>
  <c r="N17" i="2" s="1"/>
  <c r="S55" i="2"/>
  <c r="Q54" i="2" s="1"/>
  <c r="G55" i="2"/>
  <c r="E54" i="2" s="1"/>
  <c r="S18" i="2"/>
  <c r="Q17" i="2" s="1"/>
  <c r="E53" i="2"/>
  <c r="H53" i="2"/>
  <c r="Q16" i="2"/>
  <c r="T16" i="2"/>
  <c r="K16" i="2"/>
  <c r="Q53" i="2"/>
  <c r="T53" i="2"/>
  <c r="D143" i="2"/>
  <c r="D106" i="2"/>
  <c r="D128" i="2"/>
  <c r="D91" i="2"/>
  <c r="D131" i="2"/>
  <c r="D94" i="2"/>
  <c r="D32" i="2"/>
  <c r="D69" i="2"/>
  <c r="N28" i="2"/>
  <c r="W26" i="2"/>
  <c r="W28" i="2" s="1"/>
  <c r="N65" i="2"/>
  <c r="N16" i="2"/>
  <c r="W14" i="2"/>
  <c r="W16" i="2" s="1"/>
  <c r="N53" i="2"/>
  <c r="D54" i="2"/>
  <c r="D17" i="2"/>
  <c r="D20" i="2"/>
  <c r="D57" i="2"/>
  <c r="K44" i="1"/>
  <c r="K23" i="1"/>
  <c r="L5967" i="5"/>
  <c r="G23" i="1"/>
  <c r="G184" i="1" s="1"/>
  <c r="F23" i="1"/>
  <c r="F184" i="1" s="1"/>
  <c r="H191" i="1"/>
  <c r="L191" i="1" s="1"/>
  <c r="H135" i="1"/>
  <c r="H192" i="1" s="1"/>
  <c r="H44" i="1"/>
  <c r="H186" i="1" s="1"/>
  <c r="H185" i="1"/>
  <c r="L185" i="1" s="1"/>
  <c r="L181" i="1"/>
  <c r="K135" i="1"/>
  <c r="H183" i="1"/>
  <c r="L183" i="1" s="1"/>
  <c r="H23" i="1"/>
  <c r="H184" i="1" s="1"/>
  <c r="H156" i="1"/>
  <c r="H194" i="1" s="1"/>
  <c r="L177" i="1"/>
  <c r="H193" i="1"/>
  <c r="L193" i="1" s="1"/>
  <c r="G156" i="1"/>
  <c r="G194" i="1" s="1"/>
  <c r="F156" i="1"/>
  <c r="F194" i="1" s="1"/>
  <c r="F44" i="1"/>
  <c r="F186" i="1" s="1"/>
  <c r="G44" i="1"/>
  <c r="G186" i="1" s="1"/>
  <c r="K156" i="1"/>
  <c r="H105" i="2" l="1"/>
  <c r="E31" i="2"/>
  <c r="T105" i="2"/>
  <c r="Q68" i="2"/>
  <c r="K31" i="2"/>
  <c r="T31" i="2"/>
  <c r="K68" i="2"/>
  <c r="Q105" i="2"/>
  <c r="K142" i="2"/>
  <c r="H31" i="2"/>
  <c r="Q31" i="2"/>
  <c r="N142" i="2"/>
  <c r="K105" i="2"/>
  <c r="H142" i="2"/>
  <c r="E68" i="2"/>
  <c r="Q142" i="2"/>
  <c r="E142" i="2"/>
  <c r="E105" i="2"/>
  <c r="W23" i="2"/>
  <c r="W25" i="2" s="1"/>
  <c r="E25" i="2"/>
  <c r="V61" i="2"/>
  <c r="V135" i="2" s="1"/>
  <c r="T134" i="2" s="1"/>
  <c r="T136" i="2" s="1"/>
  <c r="M187" i="1"/>
  <c r="M70" i="1"/>
  <c r="M69" i="1"/>
  <c r="T63" i="2"/>
  <c r="T65" i="2" s="1"/>
  <c r="Q56" i="2"/>
  <c r="N133" i="2"/>
  <c r="K96" i="2"/>
  <c r="Q96" i="2"/>
  <c r="E133" i="2"/>
  <c r="H133" i="2"/>
  <c r="Q34" i="2"/>
  <c r="H59" i="2"/>
  <c r="V132" i="2"/>
  <c r="T131" i="2" s="1"/>
  <c r="T133" i="2" s="1"/>
  <c r="K130" i="2"/>
  <c r="T93" i="2"/>
  <c r="H93" i="2"/>
  <c r="T96" i="2"/>
  <c r="H96" i="2"/>
  <c r="H145" i="2"/>
  <c r="T108" i="2"/>
  <c r="V67" i="2"/>
  <c r="V141" i="2" s="1"/>
  <c r="T140" i="2" s="1"/>
  <c r="T142" i="2" s="1"/>
  <c r="Q93" i="2"/>
  <c r="E130" i="2"/>
  <c r="N105" i="2"/>
  <c r="N96" i="2"/>
  <c r="Q145" i="2"/>
  <c r="E145" i="2"/>
  <c r="N108" i="2"/>
  <c r="E108" i="2"/>
  <c r="N66" i="2"/>
  <c r="N68" i="2" s="1"/>
  <c r="Q69" i="2"/>
  <c r="Q71" i="2" s="1"/>
  <c r="K93" i="2"/>
  <c r="E93" i="2"/>
  <c r="Q130" i="2"/>
  <c r="K133" i="2"/>
  <c r="E96" i="2"/>
  <c r="Q133" i="2"/>
  <c r="V144" i="2"/>
  <c r="T143" i="2" s="1"/>
  <c r="T145" i="2" s="1"/>
  <c r="H108" i="2"/>
  <c r="K108" i="2"/>
  <c r="V55" i="2"/>
  <c r="V129" i="2" s="1"/>
  <c r="T128" i="2" s="1"/>
  <c r="T130" i="2" s="1"/>
  <c r="N93" i="2"/>
  <c r="N130" i="2"/>
  <c r="H130" i="2"/>
  <c r="Q108" i="2"/>
  <c r="K145" i="2"/>
  <c r="N145" i="2"/>
  <c r="F117" i="2"/>
  <c r="I115" i="2"/>
  <c r="Q152" i="2"/>
  <c r="N154" i="2"/>
  <c r="E34" i="2"/>
  <c r="E71" i="2"/>
  <c r="K34" i="2"/>
  <c r="T34" i="2"/>
  <c r="K71" i="2"/>
  <c r="D147" i="2"/>
  <c r="D110" i="2"/>
  <c r="S111" i="2"/>
  <c r="V111" i="2"/>
  <c r="P148" i="2"/>
  <c r="G148" i="2"/>
  <c r="S148" i="2"/>
  <c r="P111" i="2"/>
  <c r="M111" i="2"/>
  <c r="J111" i="2"/>
  <c r="G111" i="2"/>
  <c r="M148" i="2"/>
  <c r="J148" i="2"/>
  <c r="N71" i="2"/>
  <c r="T69" i="2"/>
  <c r="T71" i="2" s="1"/>
  <c r="H69" i="2"/>
  <c r="H71" i="2" s="1"/>
  <c r="N34" i="2"/>
  <c r="W32" i="2"/>
  <c r="W34" i="2" s="1"/>
  <c r="H34" i="2"/>
  <c r="E19" i="2"/>
  <c r="T19" i="2"/>
  <c r="W29" i="2"/>
  <c r="W31" i="2" s="1"/>
  <c r="N31" i="2"/>
  <c r="H66" i="2"/>
  <c r="H68" i="2" s="1"/>
  <c r="W51" i="2"/>
  <c r="K56" i="2"/>
  <c r="Q19" i="2"/>
  <c r="E56" i="2"/>
  <c r="K19" i="2"/>
  <c r="H56" i="2"/>
  <c r="H19" i="2"/>
  <c r="D36" i="2"/>
  <c r="N19" i="2"/>
  <c r="W17" i="2"/>
  <c r="M37" i="2"/>
  <c r="K20" i="2"/>
  <c r="K22" i="2" s="1"/>
  <c r="G74" i="2"/>
  <c r="E57" i="2"/>
  <c r="E59" i="2" s="1"/>
  <c r="P74" i="2"/>
  <c r="N57" i="2"/>
  <c r="S37" i="2"/>
  <c r="Q20" i="2"/>
  <c r="Q22" i="2" s="1"/>
  <c r="V37" i="2"/>
  <c r="T20" i="2"/>
  <c r="T22" i="2" s="1"/>
  <c r="P37" i="2"/>
  <c r="N20" i="2"/>
  <c r="G37" i="2"/>
  <c r="E20" i="2"/>
  <c r="E22" i="2" s="1"/>
  <c r="J37" i="2"/>
  <c r="H36" i="2" s="1"/>
  <c r="H20" i="2"/>
  <c r="H22" i="2" s="1"/>
  <c r="N56" i="2"/>
  <c r="S74" i="2"/>
  <c r="Q57" i="2"/>
  <c r="Q59" i="2" s="1"/>
  <c r="D73" i="2"/>
  <c r="K57" i="2"/>
  <c r="K59" i="2" s="1"/>
  <c r="M74" i="2"/>
  <c r="J74" i="2"/>
  <c r="M43" i="1"/>
  <c r="M185" i="1"/>
  <c r="M181" i="1"/>
  <c r="L195" i="1"/>
  <c r="M191" i="1"/>
  <c r="M22" i="1"/>
  <c r="H195" i="1"/>
  <c r="M193" i="1"/>
  <c r="M183" i="1"/>
  <c r="M137" i="1"/>
  <c r="M38" i="1"/>
  <c r="M167" i="1"/>
  <c r="M19" i="1"/>
  <c r="M132" i="1"/>
  <c r="M35" i="1"/>
  <c r="M130" i="1"/>
  <c r="M20" i="1"/>
  <c r="M166" i="1"/>
  <c r="M163" i="1"/>
  <c r="M36" i="1"/>
  <c r="M176" i="1"/>
  <c r="M144" i="1"/>
  <c r="M90" i="1"/>
  <c r="M145" i="1"/>
  <c r="M18" i="1"/>
  <c r="M94" i="1"/>
  <c r="M51" i="1"/>
  <c r="M39" i="1"/>
  <c r="M158" i="1"/>
  <c r="M162" i="1"/>
  <c r="M66" i="1"/>
  <c r="M101" i="1"/>
  <c r="M142" i="1"/>
  <c r="M92" i="1"/>
  <c r="M33" i="1"/>
  <c r="M115" i="1"/>
  <c r="M72" i="1"/>
  <c r="M57" i="1"/>
  <c r="M17" i="1"/>
  <c r="M64" i="1"/>
  <c r="M150" i="1"/>
  <c r="M120" i="1"/>
  <c r="M118" i="1"/>
  <c r="M97" i="1"/>
  <c r="M41" i="1"/>
  <c r="M140" i="1"/>
  <c r="M121" i="1"/>
  <c r="M161" i="1"/>
  <c r="M47" i="1"/>
  <c r="M165" i="1"/>
  <c r="M58" i="1"/>
  <c r="M148" i="1"/>
  <c r="M55" i="1"/>
  <c r="M83" i="1"/>
  <c r="M110" i="1"/>
  <c r="M34" i="1"/>
  <c r="M68" i="1"/>
  <c r="M75" i="1"/>
  <c r="M153" i="1"/>
  <c r="M74" i="1"/>
  <c r="M114" i="1"/>
  <c r="M46" i="1"/>
  <c r="M77" i="1"/>
  <c r="M87" i="1"/>
  <c r="M119" i="1"/>
  <c r="M170" i="1"/>
  <c r="M52" i="1"/>
  <c r="M108" i="1"/>
  <c r="M88" i="1"/>
  <c r="M82" i="1"/>
  <c r="M128" i="1"/>
  <c r="M138" i="1"/>
  <c r="M98" i="1"/>
  <c r="M122" i="1"/>
  <c r="M117" i="1"/>
  <c r="M157" i="1"/>
  <c r="M169" i="1"/>
  <c r="M103" i="1"/>
  <c r="M62" i="1"/>
  <c r="M26" i="1"/>
  <c r="M81" i="1"/>
  <c r="M152" i="1"/>
  <c r="M73" i="1"/>
  <c r="M116" i="1"/>
  <c r="M96" i="1"/>
  <c r="M86" i="1"/>
  <c r="M149" i="1"/>
  <c r="M28" i="1"/>
  <c r="M123" i="1"/>
  <c r="M129" i="1"/>
  <c r="M105" i="1"/>
  <c r="M131" i="1"/>
  <c r="M168" i="1"/>
  <c r="M67" i="1"/>
  <c r="M59" i="1"/>
  <c r="M124" i="1"/>
  <c r="M54" i="1"/>
  <c r="M99" i="1"/>
  <c r="M63" i="1"/>
  <c r="M50" i="1"/>
  <c r="M102" i="1"/>
  <c r="M171" i="1"/>
  <c r="M104" i="1"/>
  <c r="M27" i="1"/>
  <c r="M65" i="1"/>
  <c r="M112" i="1"/>
  <c r="M25" i="1"/>
  <c r="M143" i="1"/>
  <c r="M60" i="1"/>
  <c r="M106" i="1"/>
  <c r="M80" i="1"/>
  <c r="M76" i="1"/>
  <c r="M172" i="1"/>
  <c r="M84" i="1"/>
  <c r="M139" i="1"/>
  <c r="M93" i="1"/>
  <c r="M78" i="1"/>
  <c r="M151" i="1"/>
  <c r="M141" i="1"/>
  <c r="M56" i="1"/>
  <c r="M126" i="1"/>
  <c r="M109" i="1"/>
  <c r="M159" i="1"/>
  <c r="M48" i="1"/>
  <c r="M16" i="1"/>
  <c r="M160" i="1"/>
  <c r="M147" i="1"/>
  <c r="M53" i="1"/>
  <c r="M31" i="1"/>
  <c r="M134" i="1"/>
  <c r="M40" i="1"/>
  <c r="M14" i="1"/>
  <c r="M146" i="1"/>
  <c r="M164" i="1"/>
  <c r="M29" i="1"/>
  <c r="M30" i="1"/>
  <c r="M155" i="1"/>
  <c r="M177" i="1"/>
  <c r="M189" i="1"/>
  <c r="T60" i="2" l="1"/>
  <c r="T62" i="2" s="1"/>
  <c r="W63" i="2"/>
  <c r="W65" i="2" s="1"/>
  <c r="W53" i="2"/>
  <c r="W88" i="2"/>
  <c r="T66" i="2"/>
  <c r="T68" i="2" s="1"/>
  <c r="T54" i="2"/>
  <c r="T56" i="2" s="1"/>
  <c r="I117" i="2"/>
  <c r="L115" i="2"/>
  <c r="T152" i="2"/>
  <c r="T154" i="2" s="1"/>
  <c r="Q154" i="2"/>
  <c r="V148" i="2"/>
  <c r="T147" i="2" s="1"/>
  <c r="E110" i="2"/>
  <c r="T110" i="2"/>
  <c r="D142" i="2"/>
  <c r="D105" i="2"/>
  <c r="N110" i="2"/>
  <c r="D90" i="2"/>
  <c r="D127" i="2"/>
  <c r="D139" i="2"/>
  <c r="D102" i="2"/>
  <c r="D108" i="2"/>
  <c r="D145" i="2"/>
  <c r="D99" i="2"/>
  <c r="D136" i="2"/>
  <c r="D130" i="2"/>
  <c r="D93" i="2"/>
  <c r="D96" i="2"/>
  <c r="D133" i="2"/>
  <c r="K147" i="2"/>
  <c r="K110" i="2"/>
  <c r="Q147" i="2"/>
  <c r="Q110" i="2"/>
  <c r="H147" i="2"/>
  <c r="E147" i="2"/>
  <c r="H110" i="2"/>
  <c r="N147" i="2"/>
  <c r="W69" i="2"/>
  <c r="H73" i="2"/>
  <c r="G41" i="2"/>
  <c r="E36" i="2"/>
  <c r="N59" i="2"/>
  <c r="V74" i="2"/>
  <c r="T57" i="2"/>
  <c r="T59" i="2" s="1"/>
  <c r="W20" i="2"/>
  <c r="W22" i="2" s="1"/>
  <c r="N22" i="2"/>
  <c r="T36" i="2"/>
  <c r="N73" i="2"/>
  <c r="K36" i="2"/>
  <c r="K73" i="2"/>
  <c r="Q73" i="2"/>
  <c r="H38" i="2"/>
  <c r="N36" i="2"/>
  <c r="W19" i="2"/>
  <c r="Q36" i="2"/>
  <c r="E73" i="2"/>
  <c r="D34" i="2"/>
  <c r="D71" i="2"/>
  <c r="D53" i="2"/>
  <c r="D16" i="2"/>
  <c r="D31" i="2"/>
  <c r="D68" i="2"/>
  <c r="D28" i="2"/>
  <c r="D65" i="2"/>
  <c r="D25" i="2"/>
  <c r="D62" i="2"/>
  <c r="D19" i="2"/>
  <c r="D56" i="2"/>
  <c r="D22" i="2"/>
  <c r="D59" i="2"/>
  <c r="M174" i="1"/>
  <c r="M195" i="1"/>
  <c r="H196" i="1"/>
  <c r="G196" i="1"/>
  <c r="F196" i="1"/>
  <c r="W60" i="2" l="1"/>
  <c r="W97" i="2" s="1"/>
  <c r="W99" i="2" s="1"/>
  <c r="W54" i="2"/>
  <c r="W56" i="2" s="1"/>
  <c r="W100" i="2"/>
  <c r="W137" i="2" s="1"/>
  <c r="W139" i="2" s="1"/>
  <c r="W90" i="2"/>
  <c r="W125" i="2"/>
  <c r="W127" i="2" s="1"/>
  <c r="W66" i="2"/>
  <c r="W68" i="2" s="1"/>
  <c r="L117" i="2"/>
  <c r="O115" i="2"/>
  <c r="W71" i="2"/>
  <c r="W106" i="2"/>
  <c r="W143" i="2" s="1"/>
  <c r="N149" i="2"/>
  <c r="E149" i="2"/>
  <c r="Q112" i="2"/>
  <c r="Q149" i="2"/>
  <c r="K149" i="2"/>
  <c r="T112" i="2"/>
  <c r="T149" i="2"/>
  <c r="H112" i="2"/>
  <c r="K112" i="2"/>
  <c r="D149" i="2"/>
  <c r="E112" i="2"/>
  <c r="N112" i="2"/>
  <c r="H149" i="2"/>
  <c r="D112" i="2"/>
  <c r="W36" i="2"/>
  <c r="D38" i="2"/>
  <c r="E75" i="2"/>
  <c r="N38" i="2"/>
  <c r="Q75" i="2"/>
  <c r="K38" i="2"/>
  <c r="T38" i="2"/>
  <c r="E40" i="2"/>
  <c r="E38" i="2"/>
  <c r="D75" i="2"/>
  <c r="T73" i="2"/>
  <c r="J41" i="2"/>
  <c r="G43" i="2"/>
  <c r="Q38" i="2"/>
  <c r="K75" i="2"/>
  <c r="N75" i="2"/>
  <c r="H75" i="2"/>
  <c r="W57" i="2"/>
  <c r="W94" i="2" s="1"/>
  <c r="W134" i="2" l="1"/>
  <c r="W136" i="2" s="1"/>
  <c r="W62" i="2"/>
  <c r="W96" i="2"/>
  <c r="W131" i="2"/>
  <c r="W133" i="2" s="1"/>
  <c r="W91" i="2"/>
  <c r="W128" i="2" s="1"/>
  <c r="W130" i="2" s="1"/>
  <c r="W102" i="2"/>
  <c r="W103" i="2"/>
  <c r="W105" i="2" s="1"/>
  <c r="O117" i="2"/>
  <c r="R115" i="2"/>
  <c r="W108" i="2"/>
  <c r="W145" i="2"/>
  <c r="W38" i="2"/>
  <c r="E42" i="2"/>
  <c r="H40" i="2"/>
  <c r="T75" i="2"/>
  <c r="W59" i="2"/>
  <c r="W73" i="2"/>
  <c r="J43" i="2"/>
  <c r="M41" i="2"/>
  <c r="W93" i="2" l="1"/>
  <c r="W140" i="2"/>
  <c r="W142" i="2" s="1"/>
  <c r="W110" i="2"/>
  <c r="R117" i="2"/>
  <c r="U115" i="2"/>
  <c r="W75" i="2"/>
  <c r="W112" i="2" s="1"/>
  <c r="W149" i="2" s="1"/>
  <c r="H42" i="2"/>
  <c r="K40" i="2"/>
  <c r="M43" i="2"/>
  <c r="P41" i="2"/>
  <c r="W147" i="2" l="1"/>
  <c r="U117" i="2"/>
  <c r="F152" i="2"/>
  <c r="P43" i="2"/>
  <c r="S41" i="2"/>
  <c r="K42" i="2"/>
  <c r="N40" i="2"/>
  <c r="F154" i="2" l="1"/>
  <c r="I152" i="2"/>
  <c r="N42" i="2"/>
  <c r="Q40" i="2"/>
  <c r="S43" i="2"/>
  <c r="V41" i="2"/>
  <c r="I154" i="2" l="1"/>
  <c r="L152" i="2"/>
  <c r="V43" i="2"/>
  <c r="G78" i="2"/>
  <c r="Q42" i="2"/>
  <c r="T40" i="2"/>
  <c r="L154" i="2" l="1"/>
  <c r="O152" i="2"/>
  <c r="T42" i="2"/>
  <c r="E77" i="2"/>
  <c r="E79" i="2" s="1"/>
  <c r="G80" i="2"/>
  <c r="J78" i="2"/>
  <c r="O154" i="2" l="1"/>
  <c r="R152" i="2"/>
  <c r="J80" i="2"/>
  <c r="M78" i="2"/>
  <c r="H77" i="2"/>
  <c r="H79" i="2" s="1"/>
  <c r="U152" i="2" l="1"/>
  <c r="U154" i="2" s="1"/>
  <c r="R154" i="2"/>
  <c r="K77" i="2"/>
  <c r="M80" i="2"/>
  <c r="P78" i="2"/>
  <c r="P80" i="2" l="1"/>
  <c r="S78" i="2"/>
  <c r="K79" i="2"/>
  <c r="N77" i="2"/>
  <c r="N79" i="2" l="1"/>
  <c r="Q77" i="2"/>
  <c r="S80" i="2"/>
  <c r="V78" i="2"/>
  <c r="V80" i="2" l="1"/>
  <c r="G115" i="2"/>
  <c r="Q79" i="2"/>
  <c r="T77" i="2"/>
  <c r="G117" i="2" l="1"/>
  <c r="J115" i="2"/>
  <c r="T79" i="2"/>
  <c r="E114" i="2"/>
  <c r="J117" i="2" l="1"/>
  <c r="M115" i="2"/>
  <c r="E116" i="2"/>
  <c r="H114" i="2"/>
  <c r="M117" i="2" l="1"/>
  <c r="P115" i="2"/>
  <c r="H116" i="2"/>
  <c r="K114" i="2"/>
  <c r="S115" i="2" l="1"/>
  <c r="P117" i="2"/>
  <c r="N114" i="2"/>
  <c r="K116" i="2"/>
  <c r="S117" i="2" l="1"/>
  <c r="V115" i="2"/>
  <c r="Q114" i="2"/>
  <c r="N116" i="2"/>
  <c r="V117" i="2" l="1"/>
  <c r="G152" i="2"/>
  <c r="T114" i="2"/>
  <c r="Q116" i="2"/>
  <c r="J152" i="2" l="1"/>
  <c r="G154" i="2"/>
  <c r="E151" i="2"/>
  <c r="T116" i="2"/>
  <c r="J154" i="2" l="1"/>
  <c r="M152" i="2"/>
  <c r="E153" i="2"/>
  <c r="H151" i="2"/>
  <c r="M154" i="2" l="1"/>
  <c r="P152" i="2"/>
  <c r="H153" i="2"/>
  <c r="K151" i="2"/>
  <c r="P154" i="2" l="1"/>
  <c r="S152" i="2"/>
  <c r="N151" i="2"/>
  <c r="K153" i="2"/>
  <c r="S154" i="2" l="1"/>
  <c r="V152" i="2"/>
  <c r="V154" i="2" s="1"/>
  <c r="Q151" i="2"/>
  <c r="N153" i="2"/>
  <c r="Q153" i="2" l="1"/>
  <c r="T151" i="2"/>
  <c r="T153" i="2" s="1"/>
  <c r="B84" i="2" l="1"/>
  <c r="B121" i="2" s="1"/>
</calcChain>
</file>

<file path=xl/sharedStrings.xml><?xml version="1.0" encoding="utf-8"?>
<sst xmlns="http://schemas.openxmlformats.org/spreadsheetml/2006/main" count="5301" uniqueCount="959">
  <si>
    <t>%</t>
  </si>
  <si>
    <t>R$</t>
  </si>
  <si>
    <t>2.0</t>
  </si>
  <si>
    <t>SUB-TOTAL</t>
  </si>
  <si>
    <t>ITEM</t>
  </si>
  <si>
    <t>SERVIÇO</t>
  </si>
  <si>
    <t>UNID.</t>
  </si>
  <si>
    <t>QUANT.</t>
  </si>
  <si>
    <t>PREÇO</t>
  </si>
  <si>
    <t>MO</t>
  </si>
  <si>
    <t>Serviço</t>
  </si>
  <si>
    <t>Mat</t>
  </si>
  <si>
    <t>UNIT.(R$)</t>
  </si>
  <si>
    <t>TOTAL(R$)</t>
  </si>
  <si>
    <t>1.0</t>
  </si>
  <si>
    <t>CANTEIRO DE OBRAS</t>
  </si>
  <si>
    <t>MAT</t>
  </si>
  <si>
    <t>SERVIÇOS INICIAIS</t>
  </si>
  <si>
    <t>FECHAMENTOS, PROTEÇÕES E ALVENARIAS EM GERAL</t>
  </si>
  <si>
    <t>3.6</t>
  </si>
  <si>
    <t>3.7</t>
  </si>
  <si>
    <t>3.9</t>
  </si>
  <si>
    <t>3.2</t>
  </si>
  <si>
    <t>3.3</t>
  </si>
  <si>
    <t>3.5</t>
  </si>
  <si>
    <t>2.6</t>
  </si>
  <si>
    <t>2.9</t>
  </si>
  <si>
    <t>1.2</t>
  </si>
  <si>
    <t>6.0</t>
  </si>
  <si>
    <t>7.0</t>
  </si>
  <si>
    <t>2.2</t>
  </si>
  <si>
    <t>2.3</t>
  </si>
  <si>
    <t>2.4</t>
  </si>
  <si>
    <t>3.1</t>
  </si>
  <si>
    <t>m2</t>
  </si>
  <si>
    <t>6.1</t>
  </si>
  <si>
    <t>TOTAL GERAL</t>
  </si>
  <si>
    <t>A</t>
  </si>
  <si>
    <t>ADMINISTRAÇÃO CENTRAL</t>
  </si>
  <si>
    <t>B</t>
  </si>
  <si>
    <t>C</t>
  </si>
  <si>
    <t>D</t>
  </si>
  <si>
    <t>G</t>
  </si>
  <si>
    <t>GRUPO</t>
  </si>
  <si>
    <t>DESCRIÇÃO</t>
  </si>
  <si>
    <t>JORNADA</t>
  </si>
  <si>
    <t>NORMAL</t>
  </si>
  <si>
    <t>3.0</t>
  </si>
  <si>
    <t>5.0</t>
  </si>
  <si>
    <t>3.8</t>
  </si>
  <si>
    <t>COMPOSIÇÃO DAS TAXAS DE BDI</t>
  </si>
  <si>
    <t>DESPESAS FINANCEIRAS</t>
  </si>
  <si>
    <t>LUCRO</t>
  </si>
  <si>
    <t>BDI</t>
  </si>
  <si>
    <t>1.1</t>
  </si>
  <si>
    <t>3.3.1</t>
  </si>
  <si>
    <t>3.3.2</t>
  </si>
  <si>
    <t>3.3.4</t>
  </si>
  <si>
    <t>3.5.2</t>
  </si>
  <si>
    <t>2.1</t>
  </si>
  <si>
    <t>2.5</t>
  </si>
  <si>
    <t>2.7</t>
  </si>
  <si>
    <t>2.8</t>
  </si>
  <si>
    <t>2.10</t>
  </si>
  <si>
    <t>2.11</t>
  </si>
  <si>
    <t>3.1.1</t>
  </si>
  <si>
    <t>3.2.1</t>
  </si>
  <si>
    <t>3.2.2</t>
  </si>
  <si>
    <t>3.3.3</t>
  </si>
  <si>
    <t>3.2.3</t>
  </si>
  <si>
    <t>3.2.4</t>
  </si>
  <si>
    <t>3.2.5</t>
  </si>
  <si>
    <t>3.3.7</t>
  </si>
  <si>
    <t>3.4</t>
  </si>
  <si>
    <t>3.4.1</t>
  </si>
  <si>
    <t>3.4.2</t>
  </si>
  <si>
    <t>3.4.3</t>
  </si>
  <si>
    <t>3.4.4</t>
  </si>
  <si>
    <t>3.6.1</t>
  </si>
  <si>
    <t>3.6.2</t>
  </si>
  <si>
    <t>3.7.1</t>
  </si>
  <si>
    <t>3.8.1</t>
  </si>
  <si>
    <t>3.8.2</t>
  </si>
  <si>
    <t>3.8.3</t>
  </si>
  <si>
    <t>3.9.1</t>
  </si>
  <si>
    <t>3.9.2</t>
  </si>
  <si>
    <t>3.9.3</t>
  </si>
  <si>
    <t>3.10</t>
  </si>
  <si>
    <t>3.10.1</t>
  </si>
  <si>
    <t>3.10.2</t>
  </si>
  <si>
    <t>3.10.3</t>
  </si>
  <si>
    <t>3.11</t>
  </si>
  <si>
    <t>4.1</t>
  </si>
  <si>
    <t>5.1</t>
  </si>
  <si>
    <t>6.4</t>
  </si>
  <si>
    <t>6.6</t>
  </si>
  <si>
    <t>6.8</t>
  </si>
  <si>
    <t>6.9</t>
  </si>
  <si>
    <t>6.10</t>
  </si>
  <si>
    <t>6.11</t>
  </si>
  <si>
    <t>6.12</t>
  </si>
  <si>
    <t>6.13</t>
  </si>
  <si>
    <t>6.14</t>
  </si>
  <si>
    <t>6.15</t>
  </si>
  <si>
    <t>6.16</t>
  </si>
  <si>
    <t>4.0</t>
  </si>
  <si>
    <t>7.2</t>
  </si>
  <si>
    <t>7.3</t>
  </si>
  <si>
    <t>7.4</t>
  </si>
  <si>
    <t>7.5</t>
  </si>
  <si>
    <t>7.6</t>
  </si>
  <si>
    <t>7.7</t>
  </si>
  <si>
    <t>7.8</t>
  </si>
  <si>
    <t>7.9</t>
  </si>
  <si>
    <t>3.2.7</t>
  </si>
  <si>
    <t>3.2.8</t>
  </si>
  <si>
    <t>3.2.6</t>
  </si>
  <si>
    <t>3.9.4</t>
  </si>
  <si>
    <t>3.3.5</t>
  </si>
  <si>
    <t>3.3.6</t>
  </si>
  <si>
    <t>3.5.1</t>
  </si>
  <si>
    <t>3.5.3</t>
  </si>
  <si>
    <t>2.13</t>
  </si>
  <si>
    <t>2.14</t>
  </si>
  <si>
    <t>2.15</t>
  </si>
  <si>
    <t>3.5.4</t>
  </si>
  <si>
    <t>4.2</t>
  </si>
  <si>
    <t>3.4.5</t>
  </si>
  <si>
    <t>4.3</t>
  </si>
  <si>
    <t>3.2.9</t>
  </si>
  <si>
    <t>L</t>
  </si>
  <si>
    <t>H</t>
  </si>
  <si>
    <t>MATERIAIS</t>
  </si>
  <si>
    <t>AC</t>
  </si>
  <si>
    <t>S</t>
  </si>
  <si>
    <t>SEGURO</t>
  </si>
  <si>
    <t>R</t>
  </si>
  <si>
    <t>RISCOS</t>
  </si>
  <si>
    <t>GARANTIAS</t>
  </si>
  <si>
    <t>DF</t>
  </si>
  <si>
    <t>TOTAL</t>
  </si>
  <si>
    <t>LEIS SOCIAIS HORISTA - JORNADA NORMAL</t>
  </si>
  <si>
    <t>AJUDANTE COM ENCARGOS COMPLEMENTARES</t>
  </si>
  <si>
    <t>AJUDANTE ESPECIALIZADO COM ENCARGOS COMPLEMENTARES</t>
  </si>
  <si>
    <t>AJUDANTE DE CARPINTEIRO COM ENCARGOS COMPLEMENTARES</t>
  </si>
  <si>
    <t>ARMADOR COM ENCARGOS COMPLEMENTARES</t>
  </si>
  <si>
    <t>AZULEJISTA COM ENCARGOS COMPLEMENTARES</t>
  </si>
  <si>
    <t>CARPINTEIRO COM ENCARGOS COMPLEMENTARES</t>
  </si>
  <si>
    <t>ENCANADOR COM ENCARGOS COMPLEMENTARES</t>
  </si>
  <si>
    <t>ENCARREGADO GERAL COM ENCARGOS COMPLEMENTARES</t>
  </si>
  <si>
    <t>ELETRICISTA COM ENCARGOS COMPLEMENTARES</t>
  </si>
  <si>
    <t>ENGENHEIRO CIVIL DE OBRA JUNIOR COM ENCARGOS COMPLEMENTARES</t>
  </si>
  <si>
    <t>IMPERMEABILIZADOR COM ENCARGOS COMPLEMENTARES</t>
  </si>
  <si>
    <t>PEDREIRO COM ENCARGOS COMPLEMENTARES</t>
  </si>
  <si>
    <t>PINTOR COM ENCARGOS COMPLEMENTARES</t>
  </si>
  <si>
    <t>PINTOR DE LETRAS COM ENCARGOS COMPLEMENTARES</t>
  </si>
  <si>
    <t>SERRALHEIRO COM ENCARGOS COMPLEMENTARES</t>
  </si>
  <si>
    <t>SERVENTE COM ENCARGOS COMPLEMENTARES</t>
  </si>
  <si>
    <t>SOLDADOR COM ENCARGOS COMPLEMENTARES</t>
  </si>
  <si>
    <t>VIDRACEIRO COM ENCARGOS COMPLEMENTARES</t>
  </si>
  <si>
    <t>TELHADISTA COM ENCARGOS COMPLEMENTARES</t>
  </si>
  <si>
    <t>LOC/MÊS</t>
  </si>
  <si>
    <t>CHI</t>
  </si>
  <si>
    <t>CHP</t>
  </si>
  <si>
    <t>M</t>
  </si>
  <si>
    <t>M2</t>
  </si>
  <si>
    <t>UN</t>
  </si>
  <si>
    <t>GUINCHO ELÉTRICO DE COLUNA, CAPACIDADE 400 KG, COM MOTO FREIO, MOTOR TRIFÁSICO DE 1,25 CV - CHP</t>
  </si>
  <si>
    <t>GUINCHO ELÉTRICO DE COLUNA, CAPACIDADE 400 KG, COM MOTO FREIO, MOTOR TRIFÁSICO DE 1,25 CV - CHI</t>
  </si>
  <si>
    <t>AÇO CA-50 (MÉDIA DAS BITOLAS)</t>
  </si>
  <si>
    <t>ADESIVO PARA TUBO EM PVC - FRASCO 850 GR.</t>
  </si>
  <si>
    <t>ADITIVO ADESIVO LIQUIDO PARA ARGAMASSAS DE REVESTIMENTOS CIMENTICIOS</t>
  </si>
  <si>
    <t>ARAME FARPADO GALVANIZADO 16 BWG, CLASSE 250</t>
  </si>
  <si>
    <t>ARAME GALVANIZADO 14 BWG (0,026 KG/M)</t>
  </si>
  <si>
    <t>ARAME GALVANIZADO 10 BWG (0,0713 KG/M)</t>
  </si>
  <si>
    <t>ARAME RECOZIDO 18 BWG - 1,25MM - 9,60 G/M</t>
  </si>
  <si>
    <t>ARGAMASSA COLANTE TIPO AC III</t>
  </si>
  <si>
    <t>CALHA PARA AGUA FURTADA DE CHAPA DE ACO GALVANIZADA NUM 26, CORTE 50 CM</t>
  </si>
  <si>
    <t>CANTONEIRA DE AÇO ABAS IGUAIS (QUALQUER BITOLA), ESPESSURA ENTRE 1/8" E 1/4"</t>
  </si>
  <si>
    <t>CHAPA DE AÇO - MÉDIA DAS BITOLAS</t>
  </si>
  <si>
    <t>CHAPA DE ACO GALVANIZADA BITOLA GSG 16, E = 1,55 MM (12,40 KG/M2)</t>
  </si>
  <si>
    <t>REJUNTE EPOXI BRANCO</t>
  </si>
  <si>
    <t>CIMENTO PORTLAND CP II-E-32</t>
  </si>
  <si>
    <t>CONCRETO USINADO FCK = 20,0 MPA</t>
  </si>
  <si>
    <t>ESTANHO PARA SOLDA</t>
  </si>
  <si>
    <t>FUNDO ANTICORROSIVO PARA METAIS FERROSOS (ZARCAO)</t>
  </si>
  <si>
    <t>JOELHO, PVC SERIE R, 90 GRAUS, DN 100 MM, PARA ESGOTO PREDIAL</t>
  </si>
  <si>
    <t>MEIO-FIO OU GUIA DE CONCRETO PRÉ-MOLDADA, COMPRIMENTO DE 1,0 M - 30 X 15 X 12 CM</t>
  </si>
  <si>
    <t>LAJE PRE-MOLDADA (LAJOTAS+VIGOTAS), UNIDIRECIONAL, SOBRECARGA 100 KG/M2, VAO ATE 4,0 M</t>
  </si>
  <si>
    <t>LIXA D'AGUA EM FOLHA, GRAO 100</t>
  </si>
  <si>
    <t>MATERIAL</t>
  </si>
  <si>
    <t>LUVA SIMPLES, PVC SERIE REFORCADA - R, 100 MM, PARA ESGOTO PREDIAL</t>
  </si>
  <si>
    <t>MASSA PARA VIDRO COMUM</t>
  </si>
  <si>
    <t>MOURÃO DE CONCRETO CURVO, 10X10CM, *H = 2,50* M + CURVA COM 0,40* M</t>
  </si>
  <si>
    <t>TRATAMENTO FLEXÍVEL C/INJEÇÃO DE SELANTE À BASE DE POLIURETANO HIDROATIVADO E GEL</t>
  </si>
  <si>
    <t>PORCA 1/2"</t>
  </si>
  <si>
    <t>PREGO EM AÇO POLIDO COM CABEÇA (MEDIA DAS BITOLAS)</t>
  </si>
  <si>
    <t>RALO SECO DE PVC COM GRELHA QUADRADA DE PVC (50MM / 40MM / 100MM)</t>
  </si>
  <si>
    <t>REBITE DE ALUMINIO VAZADO DE REPUXO, 3,2 X 8 MM (1KG = 1025 UNIDADES)</t>
  </si>
  <si>
    <t>RUFO EXTERNO/INTERNO DE CHAPA DE ACO GALVANIZADA NUM 26</t>
  </si>
  <si>
    <t xml:space="preserve">SARRAFO 3A. CONSTRUÇÃO (SEÇÃO TRANSVERSAL: 1X4" - 2,5CM X 10,0CM) </t>
  </si>
  <si>
    <t>SELADOR ACRÍLICO</t>
  </si>
  <si>
    <t>SELANTE ELASTICO MONOCOMPONENTE A BASE DE POLIURETANO PARA JUNTAS DIVERSAS</t>
  </si>
  <si>
    <t>SOLUCAO LIMPADORA PARA PVC, FRASCO COM 1000 CM3</t>
  </si>
  <si>
    <t>TÁBUA MADEIRA 3A QUALIDADE 2,5 X 30CM (1X12") NÃO APARELHADA</t>
  </si>
  <si>
    <t>TELA ARAME GALVANIZADO FIO 12 BWG (2,77MM) MALHA 5 X 5CM, H=2M</t>
  </si>
  <si>
    <t>TELHA DE FIBROCIMENTO ONDULADA E = 6 MM, DE 2,44 X 1,10 M (SEM AMIANTO)</t>
  </si>
  <si>
    <t>TIJOLO CERÂMICO MACIÇO 5,7 X 9 X 19 (190MM / 90MM / 57MM)</t>
  </si>
  <si>
    <t>TINTA ACRILICA PREMIUM PARA PISO  NA COR GRAFITE</t>
  </si>
  <si>
    <t>TINTA EPOXI PREMIUM, BRANCA</t>
  </si>
  <si>
    <t>TINTA A BASE DE RESINA ACRILICA, PARA SINALIZACAO HORIZONTAL VIARIA (NBR 11862)</t>
  </si>
  <si>
    <t>TRAVA DE SEGURANÇA TIPO FERROLHO</t>
  </si>
  <si>
    <t>VEDAÇÃO ELÁSTICA - CONJUNTO DE ARRUELAS DE AÇO E PVC</t>
  </si>
  <si>
    <t>IMPERMEABILIZANTE INCOLOR DE BASE SILICONE</t>
  </si>
  <si>
    <t>VIDRO LISO INCOLOR 3MM</t>
  </si>
  <si>
    <t>VIDRO MARTELADO OU CANELADO, 4 MM</t>
  </si>
  <si>
    <t>VIGA DE MADEIRA NAO APARELHADA 6 X 12 CM, MACARANDUBA, ANGELIM OU EQUIVALENTE DA REGIAO</t>
  </si>
  <si>
    <t>BUCHA DE NYLON S10 E PARAFUSO 6,10X65MM ACO ZINCADO ROSCA SOBERBA, CAB. CHATA FENDA PHILLIPS</t>
  </si>
  <si>
    <t>GUARNICAO/MOLDURA DE ACABAMENTO PARA ESQUADRIA DE ALUMINIO ANODIZADO NATURAL, 1 FACE</t>
  </si>
  <si>
    <t>PARAFUSO ZINCADO ROSCA SOBERBA, CABECA SEXTAVADA, 5/16 " X 250 MM - FIXACAO DE TELHA EM MADEIRA</t>
  </si>
  <si>
    <t>PORTA ALUMÍNIO TIPO VENEZIANA, 1 FOLHA, ACABAMENTO EM PINTURA ELETROSTÁTICA BRANCA, 60 MICRAS</t>
  </si>
  <si>
    <t>PORTA DE ABRIR EM ACO VENEZIANA, COM FUNDO ANTICORROSIVO,  SEM GUARNICAO - 87 X 210 CM</t>
  </si>
  <si>
    <t>KG</t>
  </si>
  <si>
    <t>M3</t>
  </si>
  <si>
    <t>CJ</t>
  </si>
  <si>
    <t>310 ML</t>
  </si>
  <si>
    <t>SOMA</t>
  </si>
  <si>
    <t>TOTAL MATERIAIS</t>
  </si>
  <si>
    <t>TOTAL EQUIPAMENTOS E SERVIÇOS TERCEIRIZADOS</t>
  </si>
  <si>
    <t>LEIS SOCIAIS</t>
  </si>
  <si>
    <t>TOTAL MÃO DE OBRA</t>
  </si>
  <si>
    <t>COEF</t>
  </si>
  <si>
    <t>UNID</t>
  </si>
  <si>
    <t>CUSTO UNIT (R$)</t>
  </si>
  <si>
    <t>TOTAL (R$)</t>
  </si>
  <si>
    <t>EQUIPAMENTOS E SERVIÇOS TERCEIRIZADOS</t>
  </si>
  <si>
    <t>MÃO DE OBRA</t>
  </si>
  <si>
    <t>UNIDADE:</t>
  </si>
  <si>
    <t>1.3</t>
  </si>
  <si>
    <t>1.4</t>
  </si>
  <si>
    <t>1.5</t>
  </si>
  <si>
    <t>1.6</t>
  </si>
  <si>
    <t>1.7</t>
  </si>
  <si>
    <t>1.8</t>
  </si>
  <si>
    <t>1.9</t>
  </si>
  <si>
    <t>1.10</t>
  </si>
  <si>
    <t>1.11</t>
  </si>
  <si>
    <t>1.14</t>
  </si>
  <si>
    <t>1.15</t>
  </si>
  <si>
    <t>1.16</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</si>
  <si>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</si>
  <si>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</si>
  <si>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</si>
  <si>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</si>
  <si>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</si>
  <si>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</si>
  <si>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</si>
  <si>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</si>
  <si>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</si>
  <si>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</si>
  <si>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</si>
  <si>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</si>
  <si>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</si>
  <si>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</si>
  <si>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</si>
  <si>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</si>
  <si>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</si>
  <si>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</si>
  <si>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</si>
  <si>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</si>
  <si>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</si>
  <si>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</si>
  <si>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</si>
  <si>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</si>
  <si>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</si>
  <si>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</si>
  <si>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</si>
  <si>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</si>
  <si>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</si>
  <si>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</si>
  <si>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</si>
  <si>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</si>
  <si>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</si>
  <si>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</si>
  <si>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</si>
  <si>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</si>
  <si>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</si>
  <si>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</si>
  <si>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</si>
  <si>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</si>
  <si>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</si>
  <si>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</si>
  <si>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</si>
  <si>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</si>
  <si>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</si>
  <si>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</si>
  <si>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</si>
  <si>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</si>
  <si>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</si>
  <si>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</si>
  <si>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</si>
  <si>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</si>
  <si>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</si>
  <si>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</si>
  <si>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</si>
  <si>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</si>
  <si>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</si>
  <si>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</si>
  <si>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</si>
  <si>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</si>
  <si>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</si>
  <si>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</si>
  <si>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</si>
  <si>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</si>
  <si>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</si>
  <si>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</si>
  <si>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</si>
  <si>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</si>
  <si>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</si>
  <si>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</si>
  <si>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</si>
  <si>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</si>
  <si>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</si>
  <si>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</si>
  <si>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</si>
  <si>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</si>
  <si>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</si>
  <si>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</si>
  <si>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</si>
  <si>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</si>
  <si>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</si>
  <si>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</si>
  <si>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</si>
  <si>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</si>
  <si>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</si>
  <si>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</si>
  <si>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</si>
  <si>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</si>
  <si>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</si>
  <si>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</si>
  <si>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</si>
  <si>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</si>
  <si>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</si>
  <si>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</si>
  <si>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</si>
  <si>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</si>
  <si>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</si>
  <si>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</si>
  <si>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</si>
  <si>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</si>
  <si>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2.17</t>
  </si>
  <si>
    <t>2.18</t>
  </si>
  <si>
    <t>2.19</t>
  </si>
  <si>
    <t>2.20</t>
  </si>
  <si>
    <t>2.21</t>
  </si>
  <si>
    <t>2.22</t>
  </si>
  <si>
    <t>2.23</t>
  </si>
  <si>
    <t>2.24</t>
  </si>
  <si>
    <t>2.25</t>
  </si>
  <si>
    <t>2.26</t>
  </si>
  <si>
    <t>2.27</t>
  </si>
  <si>
    <t>2.28</t>
  </si>
  <si>
    <t>3.12</t>
  </si>
  <si>
    <t>3.13</t>
  </si>
  <si>
    <t>3.14</t>
  </si>
  <si>
    <t>3.15</t>
  </si>
  <si>
    <t>3.16</t>
  </si>
  <si>
    <t>3.17</t>
  </si>
  <si>
    <t>3.18</t>
  </si>
  <si>
    <t>3.19</t>
  </si>
  <si>
    <t>3.20</t>
  </si>
  <si>
    <t>EQUIPAMENTOS / SERVIÇOS</t>
  </si>
  <si>
    <t>TINTA LÁTEX ACRÍLICA - 1ª LINHA</t>
  </si>
  <si>
    <t>VEÍCULO LEVE 4 PORTAS - 65 A 80 CV</t>
  </si>
  <si>
    <t>VEÍCULO LEVE 4 PORTAS - 65 A 80 CV - À DISPOSIÇÃO</t>
  </si>
  <si>
    <t>FORMA DE PREENCHIMENTO DAS PLANILHAS ELETRÔNICAS</t>
  </si>
  <si>
    <t>ADITIVO HIDROFUGO IMPERMEABILIZANTE DE PEGA NORMAL PARA CONCRETO E ARGAMASSA</t>
  </si>
  <si>
    <t>SINAPI</t>
  </si>
  <si>
    <t>SOLVENTE DILUENTE A BASE DE AGUARRÁS</t>
  </si>
  <si>
    <t xml:space="preserve">SINAPI </t>
  </si>
  <si>
    <t>AREIA MÉDIA LAVADA</t>
  </si>
  <si>
    <t>SABESP</t>
  </si>
  <si>
    <t>BLOCO DE CONCRETO PARA VEDAÇÃO - 9 X 19 X 39 CM - CLASSE D - M-10</t>
  </si>
  <si>
    <t>CANTONEIRA DE AÇO GALVANIZADO COM ABAS IGUAIS DE 1" X 1/8" - 25,4 X 3,17 MM - (L x E) - 1,20 KG/M</t>
  </si>
  <si>
    <t>CERÂMICA ESMALTADA EXTRA OU 1ª QUALIDADE PARA PISO, PEI-5</t>
  </si>
  <si>
    <t>DESMOLDANTE PARA FÔRMAS - BASE DE ÓLEO MINERAL EMULSIONADO</t>
  </si>
  <si>
    <t>ELEMENTO VAZADO DE CONCRETO (COBOGÓ) - 33 X 33 X 9 CM - 16 FUROS</t>
  </si>
  <si>
    <t>ELETRODO REVESTIDO AWS - E7018, DIAMETRO IGUAL A 4,00 MM</t>
  </si>
  <si>
    <t>FERRO REDONDO (1/2") - CA-50</t>
  </si>
  <si>
    <t>coeficientes CPOS 04.40.030</t>
  </si>
  <si>
    <t>MANTENDO DO CONTRATO ANTERIOR - veio da PINI</t>
  </si>
  <si>
    <t>mantendo contrato anterior</t>
  </si>
  <si>
    <t>coeficientes TCPO PINI</t>
  </si>
  <si>
    <t>sabesp - serviço custa R$ 5,67 considerando 28% de BDI - 7 0 1 8 0 0 4 2</t>
  </si>
  <si>
    <t>sabesp - serviço custa R$ 49,31 considerando 28% de BDI - 7 0 1 8 0 0 6 7</t>
  </si>
  <si>
    <t>Mantive contrato vigente - retirado da SINAPI 72897</t>
  </si>
  <si>
    <t>Mantive contrato vigente - retirado da SINAPI 72898</t>
  </si>
  <si>
    <t>mantido do contrato vigente</t>
  </si>
  <si>
    <t>MANTIDO DO CONTRATO VIGENTE</t>
  </si>
  <si>
    <t>MANTIDO CONTRATO VIGENTE</t>
  </si>
  <si>
    <t>3.2.10</t>
  </si>
  <si>
    <t>PINTURA DE SINALIZAÇÃO HORIZONTAL COM TINTA RETRORREFLETIVA A BASE DE RESINA ACRÍLICA COM MICROESFERAS DE VIDRO</t>
  </si>
  <si>
    <t>HIDROJATEAMENTO DE ALTA PRESSÃO C/ÁGUA QUENTE OU FRIA E SOLUÇÃO LIMPADORA ATÉ DE 17 MPA</t>
  </si>
  <si>
    <t>MANTIVE CONTRATO VIGENTE</t>
  </si>
  <si>
    <t>LIXA PARA SUPERFICIE METÁLICA, GRANA 150</t>
  </si>
  <si>
    <t>LIXA PARA SUPERFÍCIE/MASSA, GRANA 120</t>
  </si>
  <si>
    <t>MASSA CORRIDA PVA PARA PAREDES INTERNAS</t>
  </si>
  <si>
    <t>CV00508</t>
  </si>
  <si>
    <t xml:space="preserve">FUNDO PREPARADOR </t>
  </si>
  <si>
    <t>MÁQUINA DEMARCADORA DE FAIXA DE TRÁFEGO À FRIO, AUTOPROPELIDA, POTÊNCIA 38 HP</t>
  </si>
  <si>
    <t>2.30</t>
  </si>
  <si>
    <t>MICROESFERAS DE VIDRO PARA SINALIZACAO HORIZONTAL VIARIA, TIPO I-B (PREMIX) - NBR 16184</t>
  </si>
  <si>
    <t>coeficientes SINAPI 72947</t>
  </si>
  <si>
    <t xml:space="preserve">UN </t>
  </si>
  <si>
    <t>lixar, hidrojatear, esperar secar, fundo preparador e pintura acrílica - balancim pela altura</t>
  </si>
  <si>
    <t>coeficiente de balancim mantido do contrato anterior</t>
  </si>
  <si>
    <t>coeficientes CPOS 03.10.140 e 55.01.030; SINAPI 88489 e 88485</t>
  </si>
  <si>
    <t>EQ04486</t>
  </si>
  <si>
    <t>BALANCIM LEVE TRADICIONAL - PLATAFORMA 3,00 M COM GUINCHO MANUAL, NR 18 (LOCAÇÃO MENSAL + TRANSPORTE)</t>
  </si>
  <si>
    <t>coeficientes CPOS 33.11.050</t>
  </si>
  <si>
    <t>FUNDO PREPARADOR BASE ÁGUA PARA MADEIRA E METAIS</t>
  </si>
  <si>
    <t>coeficiente SINAPI 73978/1</t>
  </si>
  <si>
    <t>mesmos do contrato vigente</t>
  </si>
  <si>
    <t>fala que é impermeabilização de piso cimentado</t>
  </si>
  <si>
    <t>coeficientes SINAPI 79460</t>
  </si>
  <si>
    <t>CV00379</t>
  </si>
  <si>
    <t>CV00182</t>
  </si>
  <si>
    <t>CAL HIDRATADA CH III - NBR 7175</t>
  </si>
  <si>
    <t>CV00198</t>
  </si>
  <si>
    <t>PARAFUSO DE ACO TIPO CHUMBADOR PARABOLT, DIAMETRO 1/2", COMPRIMENTO 75 MM</t>
  </si>
  <si>
    <t>PONTALETE DE MADEIRA NAO APARELHADA - 7,5 X 7,5 CM (3 X 3 ")</t>
  </si>
  <si>
    <t>CV00521</t>
  </si>
  <si>
    <t>H.05.000.032421</t>
  </si>
  <si>
    <t>coeficiente SINAPI 74245/1</t>
  </si>
  <si>
    <t>mantido contrato vigente</t>
  </si>
  <si>
    <t>coeficientes SINAPI 89710</t>
  </si>
  <si>
    <t>igual ao do contrato vigente</t>
  </si>
  <si>
    <t>RALO SECO DE PVC RÍGIDO, 100 X 40 MM</t>
  </si>
  <si>
    <t>GRELHA METÁLICA DE 100 X 100 MM, PARA CAIXA SIFONADA OU RALO</t>
  </si>
  <si>
    <t>O.05.000.067549</t>
  </si>
  <si>
    <t>1.97</t>
  </si>
  <si>
    <t>4.4</t>
  </si>
  <si>
    <t>foi retirado da SINAPI 89711</t>
  </si>
  <si>
    <t>4.5</t>
  </si>
  <si>
    <t>REGISTRO PVC DE ESFERA SOLDÁVEL, COM VOLANTE, Ø 40 MM</t>
  </si>
  <si>
    <t xml:space="preserve">coeficientes TCPO 13.119.000036.SER </t>
  </si>
  <si>
    <t>mantido do contrato anterior</t>
  </si>
  <si>
    <t>coeficientes SINAPI 83735</t>
  </si>
  <si>
    <t>CIMENTO IMPERMEABILIZANTE DE PEGA ULTRARRAPIDA PARA TAMPONAMENTOS</t>
  </si>
  <si>
    <t>1.12</t>
  </si>
  <si>
    <t>1.13</t>
  </si>
  <si>
    <t>IMPERMEABILIZANTE FLEXIVEL BRANCO DE BASE ACRILICA</t>
  </si>
  <si>
    <t>coeficientes SINAPI 74066/2</t>
  </si>
  <si>
    <t>LONA PLASTICA PRETA, E= 150 MICRA</t>
  </si>
  <si>
    <t>coeficientes SINAPI 68053</t>
  </si>
  <si>
    <t>coeficientes CPOS 40.01.020</t>
  </si>
  <si>
    <t>CAIXA DE LUZ "4 X 2" EM ACO ESMALTADA</t>
  </si>
  <si>
    <t>3.10.4</t>
  </si>
  <si>
    <t>3.10.5</t>
  </si>
  <si>
    <t>3.10.6</t>
  </si>
  <si>
    <t>3.11.1</t>
  </si>
  <si>
    <t>3.11.2</t>
  </si>
  <si>
    <t>foi retirado do SINAPI 72132</t>
  </si>
  <si>
    <t>foi retirado do SINAPI 72131</t>
  </si>
  <si>
    <t>foi retirado do SINAPI 87448</t>
  </si>
  <si>
    <t>TELA DE AÇO SOLDADA GALVANIZADA/ZINCADA PARA ALVENARIA, FIO D = 1,20 A 1,70 MM, MALHA 15 X 15 MM, (C X L) 50 X 7,5CM</t>
  </si>
  <si>
    <t>assemelha-se aos coeficientes SINAPI 73937/3</t>
  </si>
  <si>
    <t>coeficientes SINAPI 96995</t>
  </si>
  <si>
    <t>3.4.8</t>
  </si>
  <si>
    <t>coeficientes CPOS 06.02.020</t>
  </si>
  <si>
    <t>coeficientes CPOS 06.02.040</t>
  </si>
  <si>
    <t>coeficientes CPOS 07.02.020</t>
  </si>
  <si>
    <t>2.32</t>
  </si>
  <si>
    <t>Coeficientes CPOS 11.18.040</t>
  </si>
  <si>
    <t>foi retirado da TCPO  04.102.000200.SER e 04.102.000015.SER</t>
  </si>
  <si>
    <t>3.5.5</t>
  </si>
  <si>
    <t>coeficiente SINAPI 94991</t>
  </si>
  <si>
    <t>mais 3cm de lastro de brita (material e servente)</t>
  </si>
  <si>
    <t>referencia SINAPI 96622</t>
  </si>
  <si>
    <t>coeficientes SINAPI 94964</t>
  </si>
  <si>
    <t>coeficiente SINAPI 94990</t>
  </si>
  <si>
    <t>lastro SINAPI 96622</t>
  </si>
  <si>
    <t>coeficientes CPOS 11.05.040</t>
  </si>
  <si>
    <t>TELA DE AÇO SOLDADA, CA-60 (MÉDIA DAS BITOLAS)</t>
  </si>
  <si>
    <t>3.6.3</t>
  </si>
  <si>
    <t>coeficientes CPOS 10.02.020</t>
  </si>
  <si>
    <t>4.6</t>
  </si>
  <si>
    <t>CAIXA SIFONADA PVC, 150 X 150 X 50 MM, COM GRELHA REDONDA BRANCA</t>
  </si>
  <si>
    <t>coeficientes SINAPI 89708</t>
  </si>
  <si>
    <t>VIBRADOR DE IMERSÃO COM MANGOTE 5,00 M - CHP</t>
  </si>
  <si>
    <t>2.35</t>
  </si>
  <si>
    <t>3.2.11</t>
  </si>
  <si>
    <t>GRELHA EM FERRO FUNDIDO COM REQUADRO, CARGA MAXIMA 12,5 T, 300 X 1000 MM, E = 15 MM</t>
  </si>
  <si>
    <t>coeficientes CPOS 49.06.020</t>
  </si>
  <si>
    <t>parece ter sido tirada da SINAPI - preços compatíveis</t>
  </si>
  <si>
    <t>coeficientes SINAPI 87630</t>
  </si>
  <si>
    <t>retirado da SINAPI 74202/1</t>
  </si>
  <si>
    <t>retirado SINAPI 92543</t>
  </si>
  <si>
    <t>EMASSAMENTO DE PAREDE COM MASSA PVA PARA PINTURA LÁTEX</t>
  </si>
  <si>
    <t>PINTURA LÁTEX ACRÍLICA EM ALVENARIA OU CONCRETO EM GERAL</t>
  </si>
  <si>
    <t>4.7</t>
  </si>
  <si>
    <t>4.8</t>
  </si>
  <si>
    <t>coeficientes TCPO 04.107.000032.SER</t>
  </si>
  <si>
    <t>considera 5 reutilizações</t>
  </si>
  <si>
    <t>assentamento - CPOS 35.04.120</t>
  </si>
  <si>
    <t>coeficientes SINAPI 88497</t>
  </si>
  <si>
    <t>coeficientes CPOS 03.10.140; SINAPI 88489 e adaptação 88485</t>
  </si>
  <si>
    <t>idem 6.6</t>
  </si>
  <si>
    <t>mudou o tipo de portão da composição 3.1.6</t>
  </si>
  <si>
    <t>mantendo os coeficientes</t>
  </si>
  <si>
    <t>tirado da SINAPI 94807</t>
  </si>
  <si>
    <t>coeficientes SINAPI 73933/3</t>
  </si>
  <si>
    <t>TUBO DE PVC RÍGIDO SOLDÁVEL MARROM, DN = 25MM (3/4') - NBR 5648</t>
  </si>
  <si>
    <t>TUBO DE PVC RÍGIDO SOLDÁVEL MARROM, DN = 40MM (1.1/4') - NBR 5648</t>
  </si>
  <si>
    <t>TUBO DE PVC RÍGIDO SOLDÁVEL MARROM, DN = 50MM (1.1/2') - NBR 5648</t>
  </si>
  <si>
    <t>4.9</t>
  </si>
  <si>
    <t>4.10</t>
  </si>
  <si>
    <t>HM01612</t>
  </si>
  <si>
    <t>HM01614</t>
  </si>
  <si>
    <t>HM01615</t>
  </si>
  <si>
    <t>coeficientes CPOS 46.01.020</t>
  </si>
  <si>
    <t>coeficientes CPOS 46.01.040</t>
  </si>
  <si>
    <t>coeficientes CPOS 46.01.050</t>
  </si>
  <si>
    <t>TUBO PVC SERIE NORMAL, DN 40 MM, PARA ESGOTO PREDIAL (NBR 5688)</t>
  </si>
  <si>
    <t>TUBO PVC, PL, SERIE R, DN 100 MM, PARA AGUAS PLUVIAIS PREDIAL (NBR 5688)</t>
  </si>
  <si>
    <t>4.11</t>
  </si>
  <si>
    <t>coeficientes SINAPI 89712</t>
  </si>
  <si>
    <t>TUBO PVC SERIE NORMAL, DN 50 MM, PARA ESGOTO PREDIAL (NBR 5688)</t>
  </si>
  <si>
    <t>TUBO PVC SERIE NORMAL, DN 100 MM, PARA ESGOTO PREDIAL (NBR 5688)</t>
  </si>
  <si>
    <t>coeficientes SINAPI 89714</t>
  </si>
  <si>
    <t>Coeficientes da CPOS 24.20.020</t>
  </si>
  <si>
    <t>Mantido do contrato vigente</t>
  </si>
  <si>
    <t xml:space="preserve">TINTA ESMALTE SINTETICO PREMIUM </t>
  </si>
  <si>
    <t>coeficientes CPOS 24.01.030</t>
  </si>
  <si>
    <t>2.1.1</t>
  </si>
  <si>
    <t>2.1.2</t>
  </si>
  <si>
    <t>2.1.3</t>
  </si>
  <si>
    <t>2.1.4</t>
  </si>
  <si>
    <t>2.1.5</t>
  </si>
  <si>
    <t>2.1.6</t>
  </si>
  <si>
    <t>2.1.7</t>
  </si>
  <si>
    <t>2.2.1</t>
  </si>
  <si>
    <t>2.2.2</t>
  </si>
  <si>
    <t>2.2.3</t>
  </si>
  <si>
    <t>CONE DE SINALIZACAO EM PVC RIGIDO COM FAIXA REFLETIVA, H = 70 / 76 CM</t>
  </si>
  <si>
    <t>TELA PLASTICA TECIDA LISTRADA BRANCA E LARANJA, TIPO GUARDA CORPO, EM POLIETILENO MONOFILADO, ROLO 1,20 X 50 M (L X C)</t>
  </si>
  <si>
    <t>FITA PLASTICA ZEBRADA PARA DEMARCACAO DE AREAS, LARGURA = 7 CM</t>
  </si>
  <si>
    <t xml:space="preserve">SARRAFO 3A. CONSTRUÇÃO (SEÇÃO TRANSVERSAL: 1X2" - 2,5CM X 5,0CM) </t>
  </si>
  <si>
    <t>PARAFUSO FRANCES ZINCADO, DIAMETRO 1/2", COMPRIMENTO 4", COM PORCA E ARRUELA</t>
  </si>
  <si>
    <t>PLACA DE SINALIZACAO EM CHAPA DE AÇO Nº 16 COM PINTURA REFLETIVA</t>
  </si>
  <si>
    <t>igual reforma sede</t>
  </si>
  <si>
    <t>DOBRADICA EM AÇO/FERRO, 3" X 2 1/2", CROMADO OU ZINCADO, COM PARAFUSOS</t>
  </si>
  <si>
    <t>retirado da SINAPI 94563</t>
  </si>
  <si>
    <t>preço compatível com SABESP - 70110084</t>
  </si>
  <si>
    <t>retirado da SINAPI 91341</t>
  </si>
  <si>
    <t>coeficientes SINAPI 94207</t>
  </si>
  <si>
    <t>retirado da SINAPI 94228</t>
  </si>
  <si>
    <t>coeficientes SINAPI 94231</t>
  </si>
  <si>
    <t>retirado da SINAPI 72122</t>
  </si>
  <si>
    <t>coefientes SINAPI 72116</t>
  </si>
  <si>
    <t>compatível com SABESP - 70090063</t>
  </si>
  <si>
    <t>R$610,56/m3</t>
  </si>
  <si>
    <t>BDI MÃO DE OBRA E SERVIÇOS</t>
  </si>
  <si>
    <t>GB</t>
  </si>
  <si>
    <t>M3.KM</t>
  </si>
  <si>
    <t>M.MÊS</t>
  </si>
  <si>
    <t>DEMOLIÇÃO MANUAL DE CALÇADAS E PISOS CIMENTADOS</t>
  </si>
  <si>
    <t>DEMOLIÇÃO MECANIZADA DE CALÇADAS E PISOS CIMENTADOS</t>
  </si>
  <si>
    <t>REMOÇÃO MANUAL DE GUIAS EM CONCRETO, COM OU SEM REAPROVEITAMENTO</t>
  </si>
  <si>
    <t>DEMOLIÇÃO DE SARJETAS EM CONCRETO</t>
  </si>
  <si>
    <t>REMOÇÃO MANUAL DE PORTÃO, GRADE DE PROTEÇÃO E ESQUADRIAS METÁLICAS EM GERAL, COM OU SEM REAPROVEITAMENTO</t>
  </si>
  <si>
    <t>REMOÇÃO DE CALHAS, RUFOS, PINGADEIRAS E CONDUTORES VERTICAIS</t>
  </si>
  <si>
    <t>CARGA MANUAL DE MATERIAIS PROVENIENTES DE DEMOLIÇÕES EM GERAL</t>
  </si>
  <si>
    <t>CARGA MECANIZADA DE MATERIAIS PROVENIENTES DE DEMOLIÇÕES EM GERAL</t>
  </si>
  <si>
    <t>BOTA-FORA E DESCARGA DE MATERIAIS PROVENIENTES DE DEMOLIÇÕES EM GERAL</t>
  </si>
  <si>
    <t>SINALIZAÇÃO DE OBRA COM CONE DE PVC COM PINTURA REFLEXIVA H = 0,70 M</t>
  </si>
  <si>
    <t>ISOLAMENTO DE OBRA COM TELA PLÁSTICA COM MALHA DE 5 MM</t>
  </si>
  <si>
    <t>SINALIZAÇÃO DE TRÂNSITO COM CAVALETE DE MADEIRA SIMPLES</t>
  </si>
  <si>
    <t>PINTURA LÁTEX ACRÍLICA NA COR BRANCA EM PILARETES E MURETAS</t>
  </si>
  <si>
    <t>PINTURA EM ESMALTE SINTÉTICO SOBRE FUNDO ANTICORROSIVO - 02 DEMÃOS</t>
  </si>
  <si>
    <t>PINTURA DE TUBULAÇÕES ELEVADAS EM ESMALTE SINTÉTICO AZUL FRANÇA SOBRE FUNDO ANTICORROSIVO 2 DEMÃOS</t>
  </si>
  <si>
    <t>PINTURA ESMALTE SINTÉTICO SOBRE FUNDO ANTICORROSIVO EM ESCADA/GRADIL, 2 DEMÃOS</t>
  </si>
  <si>
    <t>PINTURA HIDROFUGANTE A BASE DE SILICONE, INCOLOR, 1 DEMÃO</t>
  </si>
  <si>
    <t>PINTURA COM TINTA EPOXI, DUAS DEMÃOS</t>
  </si>
  <si>
    <t>PINTURA DO LOGOTIPO “SEMAE“ NA FACE DO RESERVATÓRIO</t>
  </si>
  <si>
    <t>PINTURA DE PISO NA COR GRAFITE, DUAS DEMÃOS</t>
  </si>
  <si>
    <t>PINTURA TIPO CAIAÇÃO DE GUIAS</t>
  </si>
  <si>
    <t>ALAMBRADO COM TELA DE ARAME GALVANIZADO, FIXADA EM MOURÃO DE CONCRETO ARMADO, INCLUINDO MURETA DE CONCRETO</t>
  </si>
  <si>
    <t>ALTEAMENTO DE PROTEÇÃO EM ARAME COM LÂMINAS - CONCERTINA AÇO GALVANIZADO - FORNECIMENTO E INSTALAÇÃO</t>
  </si>
  <si>
    <t>EXECUÇÃO DE PORTA PARA RESERVATÓRIOS</t>
  </si>
  <si>
    <t>FORNECIMENTO E INSTALAÇÃO DE ESQUADRIA METÁLICA EM VENEZIANA/CHAPA DE FERRO, SOB MEDIDA</t>
  </si>
  <si>
    <t>RECOLOCAÇÃO DE ESQUADRIAS METÁLICAS NO GERAL</t>
  </si>
  <si>
    <t>FORNECIMENTO ABRIGO DE PROTEÇÃO PARA POÇOS (REFORÇADO)</t>
  </si>
  <si>
    <t>JANELA DE AÇO  TIPO BASCULANTE, FIXAÇÃO COM ARGAMASSA</t>
  </si>
  <si>
    <t>JANELA DE AÇO DE CORRER, TIPO VENEZIANA, FIXAÇÃO COM ARGAMASSA</t>
  </si>
  <si>
    <t>TAMPA METÁLICA EM CHAPA DE AÇO GALVANIZADA Nº 16 - PADRÃO SEMAE</t>
  </si>
  <si>
    <t>GRADE DE PROTEÇÃO DE FERRO EM BARRA CHATA</t>
  </si>
  <si>
    <t>GRELHA EM FERRO FUNDIDO PARA CAIXAS E CANALETAS</t>
  </si>
  <si>
    <t>PORTA EM ALUMÍNIO TIPO VENEZIANA, 1 FOLHA, ACABAMENTO EM PINTURA ELETROSTÁTICA BRANCA, 60 MICRAS, CONFORME MEMORIAL, INCLUSIVE FERRAGENS (TRÊS DOBRADIÇAS E DOIS FERROLHOS COM PORTA-CADEADO)</t>
  </si>
  <si>
    <t>RECUPERAÇÃO E EXECUÇÃO DE MURETA</t>
  </si>
  <si>
    <t>ALVENARIA DE TIJOLO MACIÇO CERÂMICO 1/2 VEZ</t>
  </si>
  <si>
    <t>ALVENARIA DE TIJOLO MACIÇO CERÂMICO 1 VEZ</t>
  </si>
  <si>
    <t>ALVENARIA EM BLOCO DE CONCRETO 9 X 19 X 39 CM</t>
  </si>
  <si>
    <t>ALVENARIA COM ELEMENTO VAZADO DE CONCRETO (COBOGÓ), ESPESSURA PAREDE 9CM</t>
  </si>
  <si>
    <t>coeficientes CPOS 10.01.040</t>
  </si>
  <si>
    <t xml:space="preserve">REATERRO E APILOAMENTO MANUAL DE SOLO </t>
  </si>
  <si>
    <t xml:space="preserve">REATERRO MANUAL COM COMPACTAÇÃO MECANIZADA DE SOLO, SEM CONTROLE TECNOLÓGICO </t>
  </si>
  <si>
    <t xml:space="preserve">ESCAVAÇÃO MANUAL EM SOLO DE 1ª CATEGORIA COM PROFUNDIDADE ATÉ 1,50 M </t>
  </si>
  <si>
    <t xml:space="preserve">ESCAVAÇÃO MANUAL EM SOLO DE 1ª CATEGORIA COM PROFUNDIDADE ACIMA DE 1,50 M </t>
  </si>
  <si>
    <t xml:space="preserve">ESCAVAÇÃO MECANIZADA DE  VALA EM SOLO DE 1ª CATEGORIA COM PROFUNDIDADE ATÉ 2,0M </t>
  </si>
  <si>
    <t xml:space="preserve">CONCRETO ESTRUTURAL USINADO, FCK=20 MPA </t>
  </si>
  <si>
    <t xml:space="preserve">CONCRETO ESTRUTURAL VIRADO EM OBRA, FCK 20MPA </t>
  </si>
  <si>
    <t xml:space="preserve">FORMA PLANA COMUM </t>
  </si>
  <si>
    <t xml:space="preserve">ARMADURA EM BARRA DE AÇO CA 50/60 (CORTE, DOBRA E MONTAGEM) </t>
  </si>
  <si>
    <t xml:space="preserve">ARMADURA EM TELA SOLDADA DE AÇO CA 50/60 (CORTE, DOBRA E MONTAGEM) </t>
  </si>
  <si>
    <t xml:space="preserve">BROCA EM CONCRETO ARMADO, DIÂMETRO DE 20CM, COMPLETA </t>
  </si>
  <si>
    <t xml:space="preserve">CHAPISCO COM ARGAMASSA DE CIMENTO E AREIA TRAÇO 1:3, E=5 MM </t>
  </si>
  <si>
    <t xml:space="preserve">RECUPERAÇÃO E REGULARIZAÇÃO DO REVESTIMENTO EM EMBOÇO/MASSA ÚNICA/REBOCO </t>
  </si>
  <si>
    <t xml:space="preserve">CONTRAPISO EM ARGAMASSA, ADERIDO, TRAÇO 1:4, E=3 CM, COM ADITIVO ADESIVO </t>
  </si>
  <si>
    <t xml:space="preserve">PISO COM CERÂMICA ESMALTADA PEI-5 </t>
  </si>
  <si>
    <t xml:space="preserve">CAMADA DE REGULARIZAÇÃO EM ARGAMASSA DESEMPENADA E=3CM, IMPERMEABILIZANTE E ADITIVO ADESIVO </t>
  </si>
  <si>
    <t>TRAMA DE MADEIRA COMPOSTA POR TERÇAS PARA TELHADOS DE ATÉ 2 ÁGUAS PARA TELHA ONDULADA DE FIBROCIMENTO, METÁLICA, PLÁSTICA OU TERMOACÚSTICA</t>
  </si>
  <si>
    <t xml:space="preserve">TELHA DE FIBROCIMENTO ONDULADA E=6MM </t>
  </si>
  <si>
    <t>CALHA DE CHAPA GALVANIZADA N° 26</t>
  </si>
  <si>
    <t xml:space="preserve">RUFO / PINGADEIRA DE CHAPA GALVANIZADA Nº 26 </t>
  </si>
  <si>
    <t xml:space="preserve">VIDRO FANTASIA, COLOCADO EM CAIXILIO COM OU SEM BAGUETE, DUAS DEMÃOS DE MASSA E= 4 MM </t>
  </si>
  <si>
    <t xml:space="preserve">IDENTIFICAÇÃO DE TRINCAS, MAPEAMENTO, PREPARAÇÃO  E TRATAMENTO COM MASTIQUE </t>
  </si>
  <si>
    <t xml:space="preserve">IMPERMEABILIZACAO DE SUPERFICIE COM CIMENTO IMPERMEABILIZANTE DE PEGA ULTRARRAPIDA </t>
  </si>
  <si>
    <t xml:space="preserve">IMPERMEABILIZACAO DE SUPERFICIE COM IMPERMEABILIZANTE FLEXIVEL A BASE DE RESINA ACRÍLICA </t>
  </si>
  <si>
    <t xml:space="preserve">TRATAMENTO FLEXÍVEL C/INJEÇÃO DE SELANTE À BASE DE POLIURETANO HIDROATIVADO E GEL </t>
  </si>
  <si>
    <t>GUIA PRÉ-MOLDADA PARA PASSEIOS E JARDINS INTERNOS</t>
  </si>
  <si>
    <t>BARRA DE FERRO RETANGULAR, BARRA CHATA  (QUALQUER DIMENSÃO / VALOR MÉDIO)</t>
  </si>
  <si>
    <t>preço SABESP - R$1.128,03/m</t>
  </si>
  <si>
    <t>coeficientes TCPO/PINI - C2768 (SEINFRA)</t>
  </si>
  <si>
    <t>FORNECIMENTO E INSTALAÇÃO DE ESCADA TIPO MARINHEIRO COM GUARDA CORPO DE PROTEÇÃO</t>
  </si>
  <si>
    <t>coeficientes CPOS 08.01.100</t>
  </si>
  <si>
    <t>coeficientes CPOS 12.05.010</t>
  </si>
  <si>
    <t>DATA-BASE</t>
  </si>
  <si>
    <t xml:space="preserve">LAJE PRE-MOLDADA P/FORRO, E=8CM, C/LAJOTAS E CAP.C/CONC FCK=20MPA, 3CM, INTER-EIXO 38CM, C/ESCORAMENTO E FERRAGEM NEGATIVA </t>
  </si>
  <si>
    <t>RALO SECO DE PVC RÍGIDO, ALTURA 50MM, DIÂMETRO DE ENTRADA 40MM, COM GRELHA QUADRADA DE PVC BRANCO, DIMENSÕES 100X100MM</t>
  </si>
  <si>
    <t>RALO SECO DE PVC RÍGIDO, ALTURA 50MM, DIÂMETRO DE ENTRADA 40MM, COM GRELHA QUADRADA METÁLICA, DIMENSÕES 100X100MM</t>
  </si>
  <si>
    <t xml:space="preserve">CAIXA SIFONADA DE PVC RÍGIDO, ALTURA DE 50MM, COM GRELHA REDONDA DE PVC BRANCO, NAS DIMENSÕES DN = 150MM </t>
  </si>
  <si>
    <t>CONDUTOR VERTICAL DE ÁGUAS PLUVIAIS EM TUBO PVC, SÉRIE R, ÁGUA PLUVIAL, DN 100 MM, INCLUSIVE CONEXÕES</t>
  </si>
  <si>
    <t>TUBO PVC RÍGIDO SOLDÁVEL MARROM, DN = 25 MM (3/4'), INCLUSE CONEXÕES</t>
  </si>
  <si>
    <t>TUBO PVC RÍGIDO SOLDÁVEL MARROM, DN = 40 MM (1.1/4'), INCLUSE CONEXÕES</t>
  </si>
  <si>
    <t>TUBO PVC RÍGIDO SOLDÁVEL MARROM, DN = 50 MM (1.1/2'), INCLUSE CONEXÕES</t>
  </si>
  <si>
    <t>TUBO EM PVC RÍGIDO BRANCO, SÉRIE NORMAL, INCLUSIVE CONEXÕES, DN =  40 MM</t>
  </si>
  <si>
    <t>TUBO EM PVC RÍGIDO BRANCO, SÉRIE NORMAL, INCLUSIVE CONEXÕES, DN =  50 MM</t>
  </si>
  <si>
    <t>TUBO EM PVC RÍGIDO BRANCO, SÉRIE NORMAL, INCLUSIVE CONEXÕES, DN =  100 MM</t>
  </si>
  <si>
    <t>REGISTRO DE ESFERA PVC, SOLDÁVEL, COM VOLANTE, Ø 40 MM</t>
  </si>
  <si>
    <t>5.2</t>
  </si>
  <si>
    <t>5.3</t>
  </si>
  <si>
    <t>5.4</t>
  </si>
  <si>
    <t>FORNECIMENTO E INSTALAÇÃO DE LONA PLASTICA PRETA PARA IMPERMEABILIZAÇÃO</t>
  </si>
  <si>
    <t>FORNECIMENTO E INSTALAÇÃO DE CAIXA RETANGULAR 4"X2", DE EMBUTIR</t>
  </si>
  <si>
    <t>LOCAÇÃO DE ANDAIMES METÁLICOS TIPO TORRE</t>
  </si>
  <si>
    <t>ANDAIMES METÁLICOS TIPO TORRE - MONTAGEM E DESMONTAGEM</t>
  </si>
  <si>
    <t>FORNECIMENTO E INSTALAÇÃO DE BANCO PRÉ-FABRICADO DE CONCRETO, ESTILO EUROPEU</t>
  </si>
  <si>
    <t>CIMBRAMENTO DE MADEIRA</t>
  </si>
  <si>
    <t>GUIA PRÉ-MOLDADA DE CONCRETO, ASSENTADA COM CONCRETO FCK=15MPA</t>
  </si>
  <si>
    <t>SARJETA DE CONCRETO INCLUINDO PREPARO DE CAIXA, CONCRETO FCK=18MPA</t>
  </si>
  <si>
    <t>CORTE COM SERRA CLIPPER EM PISO CIMENTADO OU PAVIMENTAÇÃO ASFÁLTICA</t>
  </si>
  <si>
    <t xml:space="preserve">REBOCO/MASSA ÚNICA, PAREDE INTERNA/EXTERNA COM ARGAMASSA DE CIMENTO, CAL E AREIA 1:2:8, E=20 MM </t>
  </si>
  <si>
    <t xml:space="preserve">CALÇADAS E PISOS EM CONCRETO FCK=20 MPA, PREPARO MECÂNICO, ACABAMENTO CONVENCIONAL, INCLUSIVE PREPARO DE CAIXA </t>
  </si>
  <si>
    <t xml:space="preserve">CALÇADAS E PISOS EM CONCRETO FCK = 20 MPA, USINADO, ACABAMENTO CONVENCIONAL, INCLUSIVE PREPARO DE CAIXA </t>
  </si>
  <si>
    <r>
      <t xml:space="preserve">PINTURA DE </t>
    </r>
    <r>
      <rPr>
        <b/>
        <sz val="12"/>
        <rFont val="Times New Roman"/>
        <family val="1"/>
      </rPr>
      <t>RESERV. ELEVADO</t>
    </r>
    <r>
      <rPr>
        <sz val="12"/>
        <rFont val="Times New Roman"/>
        <family val="1"/>
      </rPr>
      <t xml:space="preserve"> DE CONCRETO - LÁTEX ACRÍLICO FOSCO COR BRANCA 2 DEMÃOS E FAIXAS AZUIS CONFORME PADRÃO SEMAE</t>
    </r>
  </si>
  <si>
    <r>
      <t xml:space="preserve">PINTURA DE </t>
    </r>
    <r>
      <rPr>
        <b/>
        <sz val="12"/>
        <rFont val="Times New Roman"/>
        <family val="1"/>
      </rPr>
      <t>RESERV. APOIADO</t>
    </r>
    <r>
      <rPr>
        <sz val="12"/>
        <rFont val="Times New Roman"/>
        <family val="1"/>
      </rPr>
      <t xml:space="preserve"> DE CONCRETO - LÁTEX ACRÍLICO FOSCO COR BRANCA 2 DEMÃOS E FAIXAS AZUIS CONFORME PADRÃO SEMAE</t>
    </r>
  </si>
  <si>
    <t xml:space="preserve">OBS:  </t>
  </si>
  <si>
    <t>1)     PREÇOS UTILIZADOS SEM DESONERAÇÃO</t>
  </si>
  <si>
    <t>- VALOR DA TABELA CONSULTIVA SABESP: R$ 72,77/3,06 = R$ 23,78 (FATOR K = 3,06)</t>
  </si>
  <si>
    <t>- ENCARGOS COMPLEMENTARES:</t>
  </si>
  <si>
    <t xml:space="preserve">          - 88237 - EPI - ENCARGOS COMPLEMENTARES HORISTA --------&gt; R$ 0,89</t>
  </si>
  <si>
    <t xml:space="preserve">          - 37372 - EXAMES - HORISTA --------&gt; R$ 0,34</t>
  </si>
  <si>
    <t xml:space="preserve">          - 37373 - SEGURO - HORISTA --------&gt; R$ 0,05</t>
  </si>
  <si>
    <t xml:space="preserve">          - TOTAL - R$ 25,06 (COM LEIS SOCIAIS COMPLEMENTARES)</t>
  </si>
  <si>
    <t>3)     PARA CÁLCULO DO ITEM 74000068 - TÉCNICO DE SEGURANÇA DO TRABALHO COM ENCARGOS COMPLEMENTARES: R$ 25,06/H</t>
  </si>
  <si>
    <t>- VALOR DA TABELA CONSULTIVA SABESP: R$ 121,70/3,06 = R$ 39,77 (FATOR K = 3,06)</t>
  </si>
  <si>
    <t xml:space="preserve">          - TOTAL - R$ 41,05 (COM LEIS SOCIAIS COMPLEMENTARES)</t>
  </si>
  <si>
    <t>2)     PARA CÁLCULO DO ITEM 74000013 - PROJETISTA PLENO COM ENCARGOS COMPLEMENTARES: R$ 41,05/H</t>
  </si>
  <si>
    <t>EXECUÇÃO DE SERVIÇO DE REFORMA CIVIL, CONSTRUÇÕES E MANUTENÇÕES GERAIS  PARA MELHORIAS NAS ÁREAS DE PROPRIEDADE E/OU DE RESPONSABILIDADE DO SEMAE.</t>
  </si>
  <si>
    <t>MO adaptada</t>
  </si>
  <si>
    <t>EQUIP</t>
  </si>
  <si>
    <t>MEDIÇÃO MENSAL</t>
  </si>
  <si>
    <t>MEDIÇÕES MENSAIS ACUMULADAS</t>
  </si>
  <si>
    <t>SALDO CONTRATUAL</t>
  </si>
  <si>
    <t>1º MÊS</t>
  </si>
  <si>
    <t>2ºMÊS</t>
  </si>
  <si>
    <t>3º MÊS</t>
  </si>
  <si>
    <t>4º MÊS</t>
  </si>
  <si>
    <t>5º MÊS</t>
  </si>
  <si>
    <t>6º MÊS</t>
  </si>
  <si>
    <t>7º MÊS</t>
  </si>
  <si>
    <t>8º MÊS</t>
  </si>
  <si>
    <t>9º MÊS</t>
  </si>
  <si>
    <t>10º MÊS</t>
  </si>
  <si>
    <t>11º MÊS</t>
  </si>
  <si>
    <t>12º MÊS</t>
  </si>
  <si>
    <t>DATA-BASE:</t>
  </si>
  <si>
    <t>HORISTA</t>
  </si>
  <si>
    <t>MENSALISTA</t>
  </si>
  <si>
    <t>A1 – PREVIDÊNCIA SOCIAL (INSS)*</t>
  </si>
  <si>
    <t>A2 – SERVIÇO SOCIAL DA INDÚSTRIA (SESI)</t>
  </si>
  <si>
    <t>A3 – SERVIÇO NACIONAL DE APRENDIZAGEM INDUSTRIAL (SENAI)</t>
  </si>
  <si>
    <t>A4 – INSTITUTO NACIONAL DE COLONIZAÇÃO E REFORMA AGRÁRIA (INCRA)</t>
  </si>
  <si>
    <t>A5 – SERVIÇO DE APOIO A PEQUENA E MÉDIA EMPRESA (SEBRAE)</t>
  </si>
  <si>
    <t>A6 – SALÁRIO EDUCAÇÃO</t>
  </si>
  <si>
    <t>A7 – SEGURO CONTRA ACIDENTES DE TRABALHO</t>
  </si>
  <si>
    <t>A8 – FUNDO DE GARANTIA POR TEMPO DE SERVIÇO (FGTS)</t>
  </si>
  <si>
    <t>A9 – SECONCI ( APLICÁVEL AS EMPRESAS CONSTANTES DO III GRUPO DA CLT)</t>
  </si>
  <si>
    <t>A – TOTAL DOS ENCARGOS SOCIAIS BÁSICOS</t>
  </si>
  <si>
    <t>B1 – REPOUSO SEMANAL REMUNERADO</t>
  </si>
  <si>
    <t>B2 – FERIADOS</t>
  </si>
  <si>
    <t>B3 – AUXÍLIO - ENFERMIDADE</t>
  </si>
  <si>
    <t>B4 – 13º SALÁRIO</t>
  </si>
  <si>
    <t>B5 –  LICENÇA PATERNIDADE</t>
  </si>
  <si>
    <t>B6 –  FALTAS JUSTIFICADAS</t>
  </si>
  <si>
    <t>B7 –  DIAS DE CHUVA</t>
  </si>
  <si>
    <t>B8 – AUXÍLIO ACIDENTE DE TRABALHO</t>
  </si>
  <si>
    <t>B9 – FÉRIAS GOZADAS</t>
  </si>
  <si>
    <t>B10 – SALÁRIO MATERNIDADE</t>
  </si>
  <si>
    <t>B – TOTAL DOS ENCARGOS QUE RECEBEM AS INCIDÊNCIAS DE A</t>
  </si>
  <si>
    <t>C1 – AVISO PRÉVIO INDENIZADO</t>
  </si>
  <si>
    <t>C2 – AVISO PRÉVIO TRABALHADO</t>
  </si>
  <si>
    <t>C3 – FÉRIAS INDENIZADAS</t>
  </si>
  <si>
    <t>C4 – DEPÓSITO RESCISÃO SEM JUSTA CAUSA</t>
  </si>
  <si>
    <t>C5 – INDENIZAÇÃO ADICIONAL</t>
  </si>
  <si>
    <t>C – TOTAL DOS ENCARGOS SOCIAIS QUE NÃO RECEBEM INCIDÊNCIAS DE A</t>
  </si>
  <si>
    <t>D1 – REINCIDÊNCIA DO GRUPO A SOBRE GRUPO B</t>
  </si>
  <si>
    <t>D2 – REINCIDÊNCIA DO GRUPO A SOBRE AVISO PRÉVIO TRABALHADO (C2) E REINCIDÊNCIA DO FGTS (A8) SOBRE AVISO PRÉVIO INDENIZADO (C1)</t>
  </si>
  <si>
    <t>D – TOTAL DE REINCIDÊNCIAS DE UM GRUPO SOBRE O OUTRO</t>
  </si>
  <si>
    <t>PORCENTAGEM TOTAL</t>
  </si>
  <si>
    <t xml:space="preserve"> (*) CASO A LICITANTE APRESENTE PROPOSTA DESONERADA, APRESENTAR A ALÍQUOTA CORRESPONDENTE</t>
  </si>
  <si>
    <t>CAMINHÃO BASCULANTE, INCLUINDO CACAMBA METÁLICA DE 6 M3 - CHP</t>
  </si>
  <si>
    <t>CAMINHÃO BASCULANTE, INCLUINDO CACAMBA METÁLICA DE 6 M3 - CHI</t>
  </si>
  <si>
    <t>UNxMÊS</t>
  </si>
  <si>
    <t>CDHU</t>
  </si>
  <si>
    <t>SANITÁRIO PORTÁTIL QUÍMICO INDIVIDUAL - TIPO STANDARD, COM LIMPEZA E DESCARTE CONFORME EXIGÊNCIAS DA CETESB</t>
  </si>
  <si>
    <t>MxMÊS</t>
  </si>
  <si>
    <t>ANDAIME METÁLICO TUBULAR DE ENCAIXE TIPO TORRE - LARGURA ATÉ 1,5M X ALTURA = 1,0M, INCLUINDO SAPATAS FIXAS OU RODÍZIOS</t>
  </si>
  <si>
    <t>BETONEIRA, CAPACIDADE NOMINAL DE 400L, MOTOR ELÉTRICO TRIFÁSICO DE  2CV - CHI</t>
  </si>
  <si>
    <t>BETONEIRA, CAPACIDADE NOMINAL DE 400L, MOTOR ELÉTRICO TRIFÁSICO DE  2CV - CHP</t>
  </si>
  <si>
    <t>COMPACTADOR A PERCUSSÃO TIPO SAPO MECÂNICO 3CV - CHP</t>
  </si>
  <si>
    <t>COMPRESSOR DE AR REBOCÁVEL, VAZÃO 189 PCM, PRESSÃO DE TRABALHO 102 PSI, MOTOR DIESEL, POT. 63 CV - CHP</t>
  </si>
  <si>
    <t>GRUPO DE SOLDA 600A, GERADOR DIESEL 60 CV PARA SOLDA ELÉTRICA, SOBRE RODAS, MOTOR 4 CILINDROS - CHP</t>
  </si>
  <si>
    <t>MÁQUINA DE LAVAGEM A PRESSÃO, TIPO VAP (ÁGUA FRIA, PRESSÃO 1700PSI) - CHP</t>
  </si>
  <si>
    <t>2.16</t>
  </si>
  <si>
    <t>2.31</t>
  </si>
  <si>
    <t>1.98</t>
  </si>
  <si>
    <t>PLACA DE OBRA (IDENTIFICAÇÃO) PARA CONSTRUÇÃO CIVIL EM CHAPA GALVANIZADA Nº 22 - COMPLETA</t>
  </si>
  <si>
    <t>coeficientes CDHU 03.01.250</t>
  </si>
  <si>
    <t>MARTELETE OU ROMPEDOR PNEUMÁTICO MANUAL, 28 KG, COM SILENCIADOR - CHP</t>
  </si>
  <si>
    <t>7.12</t>
  </si>
  <si>
    <t>7.13</t>
  </si>
  <si>
    <t>7.14</t>
  </si>
  <si>
    <t>7.15</t>
  </si>
  <si>
    <t>7.16</t>
  </si>
  <si>
    <t>COLA BRANCA BASE PVA</t>
  </si>
  <si>
    <t>JANELA BASCULANTE, AÇO, COM BATENTE/REQUADRO, 60X80 CM, SEM VIDROS</t>
  </si>
  <si>
    <t>JANELA DE CORRER, ACO, BATENTE 6 A 14 CM, VENEZIANA, PINT ANTICORROSIVA, SEM VIDRO, 4 FLS, 120 X 150 CM</t>
  </si>
  <si>
    <t>RIPA DE MADEIRA NAO APARELHADA - 1,5 X 5 CM (P/FORMA)</t>
  </si>
  <si>
    <t>ALVENARIA EM BLOCO DE CONCRETO 14 X 19 X 39 CM</t>
  </si>
  <si>
    <t>2.3.1</t>
  </si>
  <si>
    <t xml:space="preserve">VIDRO COMUM LISO, COLOCADO EM CAIXILHO COM OU SEM BAGUETE, DUAS DEMÃOS DE MASSA E= 4 MM </t>
  </si>
  <si>
    <t>ALVENARIA EM BLOCO DE CONCRETO 19 X 19 X 39 CM</t>
  </si>
  <si>
    <t>3.11.3</t>
  </si>
  <si>
    <t>BLOCO DE CONCRETO ESTRUTURAL 14 x 19 x 39 CM - CLASSE A NBR 6136</t>
  </si>
  <si>
    <t>BLOCO DE CONCRETO ESTRUTURAL 19 x 19 x 39 CM - CLASSE A NBR 6136</t>
  </si>
  <si>
    <t xml:space="preserve">REMOÇÃO DE VIDRO COMUM </t>
  </si>
  <si>
    <t>97638 SINAPI</t>
  </si>
  <si>
    <t>FORNECIMENTO E LANÇAMENTO DE ELETRODUTO FLEXÍVEL CORRUGADO REFORÇADO, PVC, DN 25 MM (3/4")</t>
  </si>
  <si>
    <t>SINAPI 91855</t>
  </si>
  <si>
    <t>FORNECIMENTO E LANÇAMENTO DE ELETRODUTO FLEXÍVEL CORRUGADO REFORÇADO, PVC, DN 32 MM (1")</t>
  </si>
  <si>
    <t>ELETRODUTO PVC FLEXIVEL CORRUGADO, REFORCADO, COR LARANJA, DE 32 MM, 1"</t>
  </si>
  <si>
    <t>ELETRODUTO PVC FLEXIVEL CORRUGADO, REFORCADO, COR LARANJA, DE 25 MM, 3/4"</t>
  </si>
  <si>
    <t>SINAPI 91857</t>
  </si>
  <si>
    <t>FORNECIMENTO E LANÇAMENTO DE ELETRODUTO FLEXÍVEL CORRUGADO, PEAD, DN 50 (1 1/2")</t>
  </si>
  <si>
    <t>ELETRODUTO/DUTO PEAD FLEXIVEL PAREDE SIMPLES, CORRUGACAO HELICOIDAL, COR PRETA, DE 1 1/2"</t>
  </si>
  <si>
    <t>SINAPI 97667</t>
  </si>
  <si>
    <t>FORNECIMENTO E LANÇAMENTO DE ELETRODUTO FLEXÍVEL CORRUGADO, PEAD, DN 63 (2")</t>
  </si>
  <si>
    <t>ELETRODUTO/DUTO PEAD FLEXIVEL PAREDE SIMPLES, CORRUGACAO HELICOIDAL, COR PRETA, DE 2"</t>
  </si>
  <si>
    <t>SINAPI 97668</t>
  </si>
  <si>
    <t>ORSE</t>
  </si>
  <si>
    <t>2.3.2</t>
  </si>
  <si>
    <t>2.3.3</t>
  </si>
  <si>
    <t>2.3.4</t>
  </si>
  <si>
    <t xml:space="preserve">TELHA TIPO KALHETA E=8MM, COM FIO SINTÉTICO CRFS - PERFIL TRAPEZOIDAL DE 44CM </t>
  </si>
  <si>
    <t>AZULEJO CERÂMICO ESMALTADO EXTRA, ASSENTADO COM ARGAMASSA COLANTE, JUNTAS A PRUMO, INCLUSO REJUNTAMENTO</t>
  </si>
  <si>
    <t>REVESTIMENTO EM CERAMICA ESMALTADA EXTRA, PEI MAIOR OU IGUAL A 4 FORMATO MAIOR A 2025CM2</t>
  </si>
  <si>
    <t>3.4.9</t>
  </si>
  <si>
    <t>CV00217</t>
  </si>
  <si>
    <t>CV00210</t>
  </si>
  <si>
    <t>CV00208</t>
  </si>
  <si>
    <t>PEDRA BRITADA Nº 1 GRANULOMETRIA ENTRE (9,5 E 25,00 MM)</t>
  </si>
  <si>
    <t>PEDRA BRITADA Nº 2 GRANULOMETRIA ENTRE (21,0 E 32,0 MM)</t>
  </si>
  <si>
    <t>PEDRISCO GRANULOMETRIA ENTRE (0,075 E 4,8 MM) NBR 7225</t>
  </si>
  <si>
    <t>LANÇAMENTO, ESPALHAMENTO E ACOMODAÇÃO MECANIZADA DE BRITA PARA COBERTURA DE PÁTIO</t>
  </si>
  <si>
    <t>LASTRO DE BRITA APILOADO</t>
  </si>
  <si>
    <t>LOCAL LICENCIADO PARA DEPÓSITO DE BOTA FORA</t>
  </si>
  <si>
    <t>BETONEIRA REVERSIVEL COM CARREGADOR, CAPACIDADE DE 320 LITROS, ACIONAMENTO DO MOTOR COMBUSTÃO INTERNA (DIESEL E GASOLINA) OU MOTOR ELÉTRICO ALFA 320</t>
  </si>
  <si>
    <t>S.01.000.080125</t>
  </si>
  <si>
    <t>B.06.000.021560</t>
  </si>
  <si>
    <t>ALUGUEL DE CONTAINER PARA DEPÓSITO, METÁLICO EM AÇO GALVANIZADO, 6,0X2,30X2,50M, VÃO LIVRE, PISO DE CONCRETO, CIMENTADO OU MADEIRA</t>
  </si>
  <si>
    <t>CONCERTINA CLIPADA (DUPLA) EM ACO GALVANIZADO DE ALTA RESISTENCIA, ESPIRAL DE 300 MM, D = 2,76 MM</t>
  </si>
  <si>
    <t>PÁ  CARREGADEIRA A DIESEL SOBRE PNEUS - CAÇAMBA DE 1,70 A 2,80 M3 - 128 HP - CHP</t>
  </si>
  <si>
    <t>CORTADORA DE PISO A GASOLINA, 13 HP, COM DISCO DE CORTE DIAMANTADO PARA CONCRETO Ø 350MM - CHP</t>
  </si>
  <si>
    <t>2.29</t>
  </si>
  <si>
    <t>2.33</t>
  </si>
  <si>
    <t>2.34</t>
  </si>
  <si>
    <t>2.36</t>
  </si>
  <si>
    <t>RETRO ESCAVADEIRA A DIESEL SOBRE PNEUS - CAÇAMBA PÁ CARREGADEIRA DE 0,75 M3 - POTÊNCIA 75 CV - CHP</t>
  </si>
  <si>
    <t>RETRO ESCAVADEIRA A DIESEL SOBRE PNEUS - CAÇAMBA PÁ CARREGADEIRA DE 0,75 M3 - POTÊNCIA 75 CV - CHI</t>
  </si>
  <si>
    <t>VALOR</t>
  </si>
  <si>
    <t>FONTE</t>
  </si>
  <si>
    <t>CÓDIGO</t>
  </si>
  <si>
    <t>DATA</t>
  </si>
  <si>
    <t>1.99</t>
  </si>
  <si>
    <t>GUIA DE CONCRETO PRE-MOLDADO 19 X 6,5/6,5 CM (H X L1/L2)</t>
  </si>
  <si>
    <t>TOTAL DE MATERIAIS</t>
  </si>
  <si>
    <t xml:space="preserve">TOTAL DE EQUIPAMENTOS E SERVIÇOS </t>
  </si>
  <si>
    <t>TOTAL DE MÃO DE OBRA</t>
  </si>
  <si>
    <t>CP</t>
  </si>
  <si>
    <t>TRIBUTOS - COFINS E PIS</t>
  </si>
  <si>
    <t>PIS</t>
  </si>
  <si>
    <t>COFINS</t>
  </si>
  <si>
    <t>ISS</t>
  </si>
  <si>
    <t>TRIBUTOS - ISS</t>
  </si>
  <si>
    <t>ISS – IMPOSTO SOBRE SERVIÇOS</t>
  </si>
  <si>
    <t>CPRB</t>
  </si>
  <si>
    <t>TRIBUTOS - CONTRIBUIÇÃO PREVIDENCIÁRIA SOBRE A RENDA BRUTA</t>
  </si>
  <si>
    <t>DESONERAÇÃO - 0% OU 4,5%</t>
  </si>
  <si>
    <t xml:space="preserve">ARGAMASSA GROUT (PREPARO E LANÇAMENTO DE ARGAMASSA DE CIMENTO, AREIA E PEDRISCO 1:3:2) </t>
  </si>
  <si>
    <t xml:space="preserve"> </t>
  </si>
  <si>
    <t>VIGIA NOTURNO COM ENCARGOS COMPLEMENTARES</t>
  </si>
  <si>
    <t>EQ04499</t>
  </si>
  <si>
    <t>EQ05158</t>
  </si>
  <si>
    <t>6.1.1</t>
  </si>
  <si>
    <t>6.1.2</t>
  </si>
  <si>
    <t>PREPARAÇÃO DE SUPERFÍCIE PARA PINTURA COM RETIRADA DE LIMO, MATERIAIS DESAGREGADOS (CASCAS DE MATERIAIS CIMENTÍCIOS) ATRAVÉS DE HIDROJATEAMENTO</t>
  </si>
  <si>
    <t>HIDROJATEAMENTO SIMPLES</t>
  </si>
  <si>
    <t>MAQUINA DE LAVAGEM DE PRESSÃO IPO VAP (ÁGUA FRIA, PRESSÃO 1700PSI)</t>
  </si>
  <si>
    <t>S.04.000.080237</t>
  </si>
  <si>
    <t>CDHU - 55.01.030</t>
  </si>
  <si>
    <t>HIDROJATEAMENTO  DE RESERVATÓRIO ELEVADO</t>
  </si>
  <si>
    <t>UND.MÊS</t>
  </si>
  <si>
    <t>OPERAÇÃO DE GERADOR - MATERIAS DE CONSUMO</t>
  </si>
  <si>
    <t>CV00625</t>
  </si>
  <si>
    <t>5.5</t>
  </si>
  <si>
    <t>TRATAMENTO DE CONCRETO COM ARMADURAS OXIDADADAS E RECOMPOSIÇÃO COM ARGAMASSA POLIMÉRICA</t>
  </si>
  <si>
    <t>MATERIAIS DE OPERAÇÃO - GERADOR MONOFÁSICO 13CV</t>
  </si>
  <si>
    <t>ALUGUEL DE GERADOR 15 KVA, BIVOLT</t>
  </si>
  <si>
    <t>asd</t>
  </si>
  <si>
    <t>GERADOR PORTÁTIL A DIESEL POTÊNCIA=10KVA MONOFÁSICO BI-VOLT</t>
  </si>
  <si>
    <t>EQ07295</t>
  </si>
  <si>
    <t>PICAPE LEVE CABINE SIMPLES - CARGA ÚTIL 700KG - 85 A 95CV - STRADA WORKING OU SIMILAR</t>
  </si>
  <si>
    <t>PORTÃO DE ABRIR EM GRADE DE AÇO, MALHA 65 X 132 MM, MANUAL DO LOTEADOR</t>
  </si>
  <si>
    <t>VIGILANTE PARA ÁREAS EM OBRA</t>
  </si>
  <si>
    <t>SANITÁRIO QUÍMICO</t>
  </si>
  <si>
    <t>2.2.4</t>
  </si>
  <si>
    <t>coeficientes SINAPI 101173</t>
  </si>
  <si>
    <t>Coeficientes Sinapi 89453</t>
  </si>
  <si>
    <t>Reduzido perda para 5%</t>
  </si>
  <si>
    <t>SICRO</t>
  </si>
  <si>
    <t>E9093</t>
  </si>
  <si>
    <t>E9093I</t>
  </si>
  <si>
    <t>EQ04774</t>
  </si>
  <si>
    <t>CAMINHÃO - CARROCERIA FIXA ABERTA DE MADEIRA COM CAPACIDADE 5 T *160CV - CHP</t>
  </si>
  <si>
    <t>CAMINHÃO - CARROCERIA FIXA ABERTA DE MADEIRA COM CAPACIDADE 5 T *160CV - CHI</t>
  </si>
  <si>
    <t>EQ04495</t>
  </si>
  <si>
    <t>EQ04496</t>
  </si>
  <si>
    <t>CONTAINER</t>
  </si>
  <si>
    <t>SINAPI 104789 - CONSIDERADO ESPESSURA 5CM</t>
  </si>
  <si>
    <t>SINAPI 104790 - CONSIDERADO ESPESSURA 10CM</t>
  </si>
  <si>
    <t>13º MÊS</t>
  </si>
  <si>
    <t>15º MÊS</t>
  </si>
  <si>
    <t>14º MÊS</t>
  </si>
  <si>
    <t>16º MÊS</t>
  </si>
  <si>
    <t>17º MÊS</t>
  </si>
  <si>
    <t>18º MÊS</t>
  </si>
  <si>
    <t>19º MÊS</t>
  </si>
  <si>
    <t>20º MÊS</t>
  </si>
  <si>
    <t>21º MÊS</t>
  </si>
  <si>
    <t>22º MÊS</t>
  </si>
  <si>
    <t>23º MÊS</t>
  </si>
  <si>
    <t>24º MÊS</t>
  </si>
  <si>
    <t>RETIRADAS E DEMOLIÇÕES - ITEM 7.1 DO TERMO DE REFERÊNCIA</t>
  </si>
  <si>
    <t>CARGA, TRANSPORTE E DESCARGA - ITEM 7.2 DO TERMO DE REFERÊNCIA</t>
  </si>
  <si>
    <t>SINALIZAÇÃO DE TRÂNSITO - ITEM 7.3 DO TERMO DE REFERÊNCIA</t>
  </si>
  <si>
    <t>PROTEÇÃO DE ÁREA DE RESERVATÓRIO - PORTÕES, ALAMBRADOS E ITENS CONSTITUINTES - ITENS 8.1.1 A 8.1.8 DO TERMO DE REFERÊNCIA</t>
  </si>
  <si>
    <t>ESQUADRIAS E ELEMENTOS METÁLICOS - ITENS 8.2.1 A 8.2.10 DO TERMO DE REFERÊNCIA</t>
  </si>
  <si>
    <t>CANTEIRO DE OBRAS (ITEM 6.0 DO TERMO DE REFERÊNCIA)</t>
  </si>
  <si>
    <t>PLACA DE IDENTIFICAÇÃO DE OBRA, CONFORME PADRÃO SEMAE (ITEM 6.8 DO TERMO DE REFERÊNCIA)</t>
  </si>
  <si>
    <t>ALVENARIAS - ITENS 8.3.1 E 8.3.2 DO TERMO DE REFERÊNCIA</t>
  </si>
  <si>
    <t>MOVIMENTO DE TERRA - ITENS 8.4.1 A 8.4.6 DO TERMO DE REFERÊNCIA</t>
  </si>
  <si>
    <t>CONCRETO - ITENS 8.5.1 A 8.5.4 DO TERMO DE REFERÊNCIA</t>
  </si>
  <si>
    <t>FORMAS E ARMADURAS - ITENS 8.6.1 E 8.6.2 DO TERMO DE REFERÊNCIA</t>
  </si>
  <si>
    <t>ELEMENTOS CONSTRUTIVOS - ITENS 8.7.1 A 8.7.3 DO TERMO DE REFERÊNCIA</t>
  </si>
  <si>
    <t>REVESTIMENTOS - ITENS 8.8.1 A 8.8.3 DO TERMO DE REFERÊNCIA</t>
  </si>
  <si>
    <t>REVESTIMENTOS CERÂMICOS - ITENS 8.9.1 A 8.9.4 DO TERMO DE REFERÊNCIA</t>
  </si>
  <si>
    <t>COBERTURA - ITENS 8.10.1 A 8.10.4 DO TERMO DE REFERÊNCIA</t>
  </si>
  <si>
    <t>VIDRO - ITEM 8.11 DO TERMO DE REFERÊNCIA</t>
  </si>
  <si>
    <t>FORNECIMENTO E INSTALAÇÕES HIDRAULICAS - ITEM 9.0 DO TERMO DE REFERÊNCIA</t>
  </si>
  <si>
    <t>RECUPERAÇÃO E TRATAMENTO DE SUPERFÍCIES EM CONCRETO ARMADO - ITEM 10.0 DO TERMO DE REFERÊNCIA</t>
  </si>
  <si>
    <t>PINTURAS - ITEM 11.0 DO TERMO DE REFERÊNCIA</t>
  </si>
  <si>
    <t>SERVIÇOS COMPLEMENTARES - ITEM 12.0 DO TERMO DE REFERÊNCIA</t>
  </si>
  <si>
    <t>REMOÇÃO COMPLETA DE CERCA DE ALAMBRADO COM OU SEM REAPROVEITAMENTO</t>
  </si>
  <si>
    <t>FORNECIMENTO E INSTALAÇÃO DE CONJUNTO DE PORTÕES DE ABRIR EM BARRA CHATA, SOB MEDIDA, COMPLETO, PADRÃO ANEXO X.I-A, PORTÃO SOCIAL (1,00 X 2,6) E PORTÃO DE VEÍCULOS (4,00 X 2,60), INCLUSIVE PILARES DE FIXAÇÃO</t>
  </si>
  <si>
    <t>3.1.2</t>
  </si>
  <si>
    <t>3.1.3</t>
  </si>
  <si>
    <t>6.2</t>
  </si>
  <si>
    <t>6.3</t>
  </si>
  <si>
    <t>6.5</t>
  </si>
  <si>
    <t>6.7</t>
  </si>
  <si>
    <t>7.1</t>
  </si>
  <si>
    <t>7.10</t>
  </si>
  <si>
    <t>7.11</t>
  </si>
  <si>
    <t>3.3.8</t>
  </si>
  <si>
    <t>3.3.9</t>
  </si>
  <si>
    <t>CONSTRUÇÃO DE MURO EM ALVENARIA EM BLOCO DE CONCRETO 14 X 19 X 39 CM COM 2,60M DE ALTURA, INCLUSIVE FUNDAÇÕES E GROUT - CONFORME MANUAL DO EMPREENDEDOR 2026</t>
  </si>
  <si>
    <t>CONSTRUÇÃO DE ABRIGO ELÉTRICO EM ALVENARIA EM BLOCO DE CONCRETO 14 X 19 X 37 CM INCLUSIVE INSTALAÇÃO DE PORTA VENEZIANA E ELETRODUTOS - CONFORME MANUAL DO EMPREENDENDOR 2026</t>
  </si>
  <si>
    <t>1.17</t>
  </si>
  <si>
    <t>2.12</t>
  </si>
  <si>
    <t>RECUPERAÇÃO DE CONCRETO ARMADO COM ARMADURAS OXIDADAS E RECOMPOSIÇÃO COM ARGAMASSA POLIMÉRICA</t>
  </si>
  <si>
    <t>AJUDANTE DE CARPINTEIRO</t>
  </si>
  <si>
    <t>CADEADO SIMPLES, CORPO EM LATAO MACICO, COM LARGURA DE 50 MM E ALTURA DE APROX 40 MM, HASTE CEMENTADA EM ACO TEMPERADO COM DIAMETRO DE APROX 8,0 MM, INCLUINDO 2 CHAVES</t>
  </si>
  <si>
    <t>TELHA ESTRUTURAL DE FIBROCIMENTO 1 ABA, DE 0,52 X 4,00 M (SEM AMIANTO)</t>
  </si>
  <si>
    <t>HASTE RETA PARA GANCHO DE FERRO GALVANIZADO, COM ROSCA 5/16" X 45 CM PARA FIXACAO DE TELHA DE FIBROCIMENTO, INCLUI PORCA E ARRUELAS DE VEDACAO</t>
  </si>
  <si>
    <t>EQ08236</t>
  </si>
  <si>
    <t>EQ08237</t>
  </si>
  <si>
    <t>H.09.000.031613</t>
  </si>
  <si>
    <t>BANCO DE CONCRETO PRE-FABRICADO  (C=140CM E L= 35CM)</t>
  </si>
  <si>
    <t>SIURB</t>
  </si>
  <si>
    <t>07-2025</t>
  </si>
  <si>
    <t>1.121</t>
  </si>
  <si>
    <t>HASTE RETA DE ACO GALVANIZADO, H = *30* CM, BASE RETANGULAR, PARA FIXACAO DE CONCERTINA SIMPLES DE 30 CM (NAO INCLUI OS FIXADORES)</t>
  </si>
  <si>
    <t>SINAPI - 105128</t>
  </si>
  <si>
    <t>PINTURA DA LOGOMARCA DO MUNICÍPIO DE SÃO JOSÉ DO RIO PRETO E NOME DO SISTEMA</t>
  </si>
  <si>
    <t>FORNECIMENTO E MONTAGEM/INSTALAÇÃO DE PLACAS DE SINALIZAÇÃO COM PINTURA REFLETIVA PARA APROVEITAMENTO</t>
  </si>
  <si>
    <t>ANEXO V.A - CRONOGRAMA FÍSICO-FINANCEIRO - LICITANTE</t>
  </si>
  <si>
    <t>RESPONSÁVEL TÉCNICO</t>
  </si>
  <si>
    <t>_________________________________</t>
  </si>
  <si>
    <t>TIMBRE LICITANTE</t>
  </si>
  <si>
    <t>ANEXO IV.A - PLANILHA DE ORÇAMENTO BASE - LICITANTE</t>
  </si>
  <si>
    <t>ANEXO VI.A - PLANILHA  DE COMPOSIÇÕES UNITÁRIAS DE SERVIÇOS - LICITANTE</t>
  </si>
  <si>
    <t>ANEXO VII.A - PLANILHA DE CUSTOS UNITÁRIOS DE INSUMOS / SERVIÇOS - LICITANTE</t>
  </si>
  <si>
    <t>ANEXO VIII.A - DEMONSTRATIVO DA COMPOSIÇÃO DAS TAXAS DE BDI - LICITANTE</t>
  </si>
  <si>
    <t>ANEXO IX.A - DEMONSTRATIVO DA COMPOSIÇÃO DOS ENCARGOS SOCIAIS E TRABALHISTAS - LICITANTE</t>
  </si>
  <si>
    <t>1) O presente arquivo eletrônico é composto pelas seguintes planilhas:</t>
  </si>
  <si>
    <t>2) A Licitante deverá preencher todos os campos em amarelo com o valor proposto, nas seguintes planilhas, podendo iniciar o preenchimento em qualquer sequência:</t>
  </si>
  <si>
    <r>
      <t xml:space="preserve">  •    PLANILHA DE ORÇAMENTO BASE – LICITANTE -</t>
    </r>
    <r>
      <rPr>
        <sz val="10"/>
        <color theme="1"/>
        <rFont val="Arial"/>
        <family val="2"/>
      </rPr>
      <t xml:space="preserve"> ANEXO IV.A</t>
    </r>
  </si>
  <si>
    <r>
      <t xml:space="preserve">  •    CRONOGRAMA FÍSICO-FINANCEIRO – LICITANTE </t>
    </r>
    <r>
      <rPr>
        <sz val="10"/>
        <color theme="1"/>
        <rFont val="Arial"/>
        <family val="2"/>
      </rPr>
      <t xml:space="preserve"> - ANEXO V.A</t>
    </r>
  </si>
  <si>
    <r>
      <t xml:space="preserve">  •    PLANILHA DE COMPOSIÇÕES UNITÁRIAS DE SERVIÇOS – LICITANTE</t>
    </r>
    <r>
      <rPr>
        <sz val="10"/>
        <color theme="1"/>
        <rFont val="Arial"/>
        <family val="2"/>
      </rPr>
      <t xml:space="preserve"> - ANEXO VI.A</t>
    </r>
  </si>
  <si>
    <r>
      <t xml:space="preserve">  •    PLANILHA DE CUSTOS UNITÁRIOS DE INSUMOS/SERVIÇOS – LICITANTE</t>
    </r>
    <r>
      <rPr>
        <sz val="10"/>
        <color theme="1"/>
        <rFont val="Arial"/>
        <family val="2"/>
      </rPr>
      <t xml:space="preserve"> - ANEXO VII.A</t>
    </r>
  </si>
  <si>
    <r>
      <t xml:space="preserve">  •    PLANILHA DE COMPOSIÇÃO DAS TAXAS DE BDI - LICITANTE </t>
    </r>
    <r>
      <rPr>
        <sz val="10"/>
        <color theme="1"/>
        <rFont val="Arial"/>
        <family val="2"/>
      </rPr>
      <t>- ANEXO VIII.A</t>
    </r>
  </si>
  <si>
    <r>
      <t xml:space="preserve">  •    PLANILHA DOS ENCARGOS SOCIAIS E TRABALHISTAS - LICITANTE </t>
    </r>
    <r>
      <rPr>
        <sz val="10"/>
        <color theme="1"/>
        <rFont val="Arial"/>
        <family val="2"/>
      </rPr>
      <t>- ANEXO IX.A</t>
    </r>
  </si>
  <si>
    <r>
      <t>3) O</t>
    </r>
    <r>
      <rPr>
        <b/>
        <sz val="10"/>
        <color theme="1"/>
        <rFont val="Arial"/>
        <family val="2"/>
      </rPr>
      <t xml:space="preserve"> CRONOGRAMA FÍSICO-FINANCEIRO</t>
    </r>
    <r>
      <rPr>
        <sz val="10"/>
        <color theme="1"/>
        <rFont val="Arial"/>
        <family val="2"/>
      </rPr>
      <t xml:space="preserve"> (ANEXO V.A) não receberá valores, pois está em conformidade com o Cronograma de desembolso previsto pela experiência da Equipe Técnica do SeMAE.</t>
    </r>
  </si>
  <si>
    <r>
      <t xml:space="preserve">4) Como sugestão, a Licitante poderá seguir a seguinte sequência: iniciar o preenchimento pela definição da Taxa de Benefícios e Despesas Indiretas (BDI) e dos Encargos Sociais e Trabalhistas, a partir das planilhas </t>
    </r>
    <r>
      <rPr>
        <b/>
        <sz val="10"/>
        <color theme="1"/>
        <rFont val="Arial"/>
        <family val="2"/>
      </rPr>
      <t>"PLANILHA DE COMPOSIÇÃO DAS TAXAS DE BDI – LICITANTE - ANEXO VIII.A"</t>
    </r>
    <r>
      <rPr>
        <sz val="10"/>
        <color theme="1"/>
        <rFont val="Arial"/>
        <family val="2"/>
      </rPr>
      <t xml:space="preserve"> e </t>
    </r>
    <r>
      <rPr>
        <b/>
        <sz val="10"/>
        <color theme="1"/>
        <rFont val="Arial"/>
        <family val="2"/>
      </rPr>
      <t>"PLANILHA DOS ENCARGOS SOCIAIS E TRABALHISTAS – LICITANTE - ANEXO IX.A".</t>
    </r>
  </si>
  <si>
    <r>
      <t>5) Em seguida, preencher a "</t>
    </r>
    <r>
      <rPr>
        <b/>
        <sz val="10"/>
        <color theme="1"/>
        <rFont val="Arial"/>
        <family val="2"/>
      </rPr>
      <t>PLANILHA DE CUSTOS UNITÁRIOS DE INSUMOS/SERVIÇOS - LICITANTE - ANEXO VII.A</t>
    </r>
    <r>
      <rPr>
        <sz val="10"/>
        <color theme="1"/>
        <rFont val="Arial"/>
        <family val="2"/>
      </rPr>
      <t>". A "</t>
    </r>
    <r>
      <rPr>
        <b/>
        <sz val="10"/>
        <color theme="1"/>
        <rFont val="Arial"/>
        <family val="2"/>
      </rPr>
      <t>PLANILHA DE COMPOSIÇÕES UNITÁRIAS DE SERVIÇOS - LICITANTE - ANEXO VI.A</t>
    </r>
    <r>
      <rPr>
        <sz val="10"/>
        <color theme="1"/>
        <rFont val="Arial"/>
        <family val="2"/>
      </rPr>
      <t>" mantém os coeficientes utilizados pelo SeMAE, os quais poderão ser alterados pela Licitante.</t>
    </r>
  </si>
  <si>
    <r>
      <t>6) Por fim, a Licitante deverá preencher a "</t>
    </r>
    <r>
      <rPr>
        <b/>
        <sz val="10"/>
        <color theme="1"/>
        <rFont val="Arial"/>
        <family val="2"/>
      </rPr>
      <t>PLANILHA DE ORÇAMENTO – LICITANTE - ANEXO IV.A</t>
    </r>
    <r>
      <rPr>
        <sz val="10"/>
        <color theme="1"/>
        <rFont val="Arial"/>
        <family val="2"/>
      </rPr>
      <t>" nos campos destinados ao TIMBRE DA LICITANTE e o responsável pelo preenchimento.</t>
    </r>
  </si>
  <si>
    <t>7)  ANEXAR ESTE ARQUIVO ELETRÔNICO COM A FINALIDADE DE FACILITAR A ANÁLISE DA REFERIDA PROPOSTA POR PARTE DA COMISSÃO.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</si>
</sst>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4" formatCode="_-&quot;R$&quot;\ * #,##0.00_-;\-&quot;R$&quot;\ * #,##0.00_-;_-&quot;R$&quot;\ * &quot;-&quot;??_-;_-@_-"/>
    <numFmt numFmtId="43" formatCode="_-* #,##0.00_-;\-* #,##0.00_-;_-* &quot;-&quot;??_-;_-@_-"/>
    <numFmt numFmtId="164" formatCode="_-&quot;R$&quot;* #,##0.00_-;\-&quot;R$&quot;* #,##0.00_-;_-&quot;R$&quot;* &quot;-&quot;??_-;_-@_-"/>
    <numFmt numFmtId="165" formatCode="&quot;R$ &quot;#,##0.00_);\(&quot;R$ &quot;#,##0.00\)"/>
    <numFmt numFmtId="166" formatCode="_(&quot;R$ &quot;* #,##0.00_);_(&quot;R$ &quot;* \(#,##0.00\);_(&quot;R$ &quot;* &quot;-&quot;??_);_(@_)"/>
    <numFmt numFmtId="167" formatCode="_(* #,##0.00_);_(* \(#,##0.00\);_(* &quot;-&quot;??_);_(@_)"/>
    <numFmt numFmtId="168" formatCode="0.00_);[Red]\(0.00\)"/>
    <numFmt numFmtId="169" formatCode="#,###"/>
    <numFmt numFmtId="170" formatCode="[$R$-416]\ #,##0.00;[Red]\-[$R$-416]\ #,##0.00"/>
    <numFmt numFmtId="171" formatCode="#,###.00;[Red]\-#,###.00"/>
    <numFmt numFmtId="172" formatCode="0.000%"/>
    <numFmt numFmtId="173" formatCode="0.0000"/>
    <numFmt numFmtId="174" formatCode="_(* #,##0.00_);_(* \(#,##0.00\);_(* \-??_);_(@_)"/>
    <numFmt numFmtId="175" formatCode="0.0"/>
    <numFmt numFmtId="176" formatCode="[$-416]mmm\-yy;@"/>
    <numFmt numFmtId="177" formatCode="#,##0.0"/>
    <numFmt numFmtId="178" formatCode="&quot;R$ &quot;#,##0.00"/>
    <numFmt numFmtId="179" formatCode="_-* #,##0.00_-;\-* #,##0.00_-;_-* \-??_-;_-@_-"/>
    <numFmt numFmtId="180" formatCode="#,##0.00_ ;[Red]\-#,##0.00\ "/>
    <numFmt numFmtId="181" formatCode="#,##0.00000"/>
    <numFmt numFmtId="182" formatCode="#,##0.0000"/>
    <numFmt numFmtId="183" formatCode="#,##0.0000;[Red]\-#,##0.0000"/>
  </numFmts>
  <fonts count="8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color indexed="8"/>
      <name val="Times New Roman"/>
      <family val="1"/>
    </font>
    <font>
      <b/>
      <sz val="10"/>
      <name val="Arial"/>
      <family val="2"/>
    </font>
    <font>
      <b/>
      <sz val="10"/>
      <name val="Times New Roman"/>
      <family val="1"/>
    </font>
    <font>
      <sz val="10"/>
      <name val="Times New Roman"/>
      <family val="1"/>
    </font>
    <font>
      <sz val="11"/>
      <name val="Times New Roman"/>
      <family val="1"/>
    </font>
    <font>
      <b/>
      <sz val="13"/>
      <color indexed="8"/>
      <name val="Times New Roman"/>
      <family val="1"/>
    </font>
    <font>
      <sz val="8"/>
      <name val="Arial"/>
      <family val="2"/>
    </font>
    <font>
      <sz val="9"/>
      <name val="Times New Roman"/>
      <family val="1"/>
    </font>
    <font>
      <b/>
      <sz val="12"/>
      <color indexed="8"/>
      <name val="Times New Roman"/>
      <family val="1"/>
    </font>
    <font>
      <sz val="10"/>
      <name val="Arial"/>
      <family val="2"/>
    </font>
    <font>
      <sz val="10"/>
      <name val="Arial"/>
      <family val="2"/>
    </font>
    <font>
      <b/>
      <sz val="11"/>
      <name val="Times New Roman"/>
      <family val="1"/>
    </font>
    <font>
      <b/>
      <sz val="12"/>
      <name val="Times New Roman"/>
      <family val="1"/>
    </font>
    <font>
      <b/>
      <u/>
      <sz val="10"/>
      <name val="Times New Roman"/>
      <family val="1"/>
    </font>
    <font>
      <b/>
      <sz val="14"/>
      <name val="Times New Roman"/>
      <family val="1"/>
    </font>
    <font>
      <b/>
      <sz val="10"/>
      <color indexed="12"/>
      <name val="Times New Roman"/>
      <family val="1"/>
    </font>
    <font>
      <b/>
      <sz val="11"/>
      <color indexed="8"/>
      <name val="Times New Roman"/>
      <family val="1"/>
    </font>
    <font>
      <b/>
      <sz val="15"/>
      <color indexed="62"/>
      <name val="Calibri"/>
      <family val="2"/>
    </font>
    <font>
      <sz val="10"/>
      <color indexed="10"/>
      <name val="Times New Roman"/>
      <family val="1"/>
    </font>
    <font>
      <u/>
      <sz val="8"/>
      <color indexed="12"/>
      <name val="Arial"/>
      <family val="2"/>
    </font>
    <font>
      <b/>
      <sz val="15"/>
      <color indexed="56"/>
      <name val="Calibri"/>
      <family val="2"/>
    </font>
    <font>
      <sz val="8"/>
      <name val="Arial"/>
      <family val="2"/>
    </font>
    <font>
      <b/>
      <sz val="10"/>
      <color indexed="8"/>
      <name val="Times New Roman"/>
      <family val="1"/>
    </font>
    <font>
      <sz val="10"/>
      <color indexed="9"/>
      <name val="Times New Roman"/>
      <family val="1"/>
    </font>
    <font>
      <b/>
      <sz val="10"/>
      <color indexed="18"/>
      <name val="Times New Roman"/>
      <family val="1"/>
    </font>
    <font>
      <b/>
      <sz val="10"/>
      <color theme="6" tint="-0.499984740745262"/>
      <name val="Times New Roman"/>
      <family val="1"/>
    </font>
    <font>
      <sz val="10"/>
      <color theme="9" tint="-0.499984740745262"/>
      <name val="Times New Roman"/>
      <family val="1"/>
    </font>
    <font>
      <b/>
      <sz val="9"/>
      <name val="Times New Roman"/>
      <family val="1"/>
    </font>
    <font>
      <sz val="12"/>
      <name val="Times New Roman"/>
      <family val="1"/>
    </font>
    <font>
      <b/>
      <sz val="16"/>
      <name val="Times New Roman"/>
      <family val="1"/>
    </font>
    <font>
      <sz val="8"/>
      <name val="Times New Roman"/>
      <family val="1"/>
    </font>
    <font>
      <sz val="11"/>
      <color indexed="8"/>
      <name val="Times New Roman"/>
      <family val="1"/>
    </font>
    <font>
      <sz val="14"/>
      <name val="Times New Roman"/>
      <family val="1"/>
    </font>
    <font>
      <sz val="9"/>
      <name val="Arial"/>
      <family val="2"/>
    </font>
    <font>
      <b/>
      <sz val="10"/>
      <color theme="5" tint="-0.499984740745262"/>
      <name val="Times New Roman"/>
      <family val="1"/>
    </font>
    <font>
      <b/>
      <sz val="10"/>
      <color theme="3" tint="-0.249977111117893"/>
      <name val="Times New Roman"/>
      <family val="1"/>
    </font>
    <font>
      <sz val="12"/>
      <color indexed="8"/>
      <name val="Calibri"/>
      <family val="2"/>
    </font>
    <font>
      <i/>
      <sz val="9"/>
      <name val="Times New Roman"/>
      <family val="1"/>
    </font>
    <font>
      <b/>
      <u/>
      <sz val="16"/>
      <name val="Times New Roman"/>
      <family val="1"/>
    </font>
    <font>
      <sz val="16"/>
      <name val="Arial"/>
      <family val="2"/>
    </font>
    <font>
      <sz val="10"/>
      <color rgb="FFFF0000"/>
      <name val="Times New Roman"/>
      <family val="1"/>
    </font>
    <font>
      <b/>
      <sz val="10"/>
      <color theme="2" tint="-0.749992370372631"/>
      <name val="Times New Roman"/>
      <family val="1"/>
    </font>
    <font>
      <b/>
      <sz val="12"/>
      <color indexed="12"/>
      <name val="Times New Roman"/>
      <family val="1"/>
    </font>
    <font>
      <b/>
      <sz val="12.5"/>
      <name val="Times New Roman"/>
      <family val="1"/>
    </font>
    <font>
      <b/>
      <sz val="12"/>
      <name val="Times New Roman"/>
      <family val="1"/>
    </font>
    <font>
      <sz val="12"/>
      <name val="Times New Roman"/>
      <family val="1"/>
    </font>
    <font>
      <sz val="11"/>
      <name val="Times New Roman"/>
      <family val="1"/>
    </font>
    <font>
      <b/>
      <sz val="11"/>
      <name val="Times New Roman"/>
      <family val="1"/>
    </font>
    <font>
      <sz val="10"/>
      <color indexed="8"/>
      <name val="Times New Roman"/>
      <family val="1"/>
    </font>
    <font>
      <sz val="12"/>
      <color indexed="8"/>
      <name val="Times New Roman"/>
      <family val="1"/>
    </font>
    <font>
      <sz val="11"/>
      <color indexed="8"/>
      <name val="Times New Roman"/>
      <family val="1"/>
    </font>
    <font>
      <b/>
      <sz val="12"/>
      <color indexed="8"/>
      <name val="Times New Roman"/>
      <family val="1"/>
    </font>
    <font>
      <b/>
      <sz val="10"/>
      <name val="Arial"/>
      <family val="2"/>
    </font>
    <font>
      <b/>
      <sz val="11"/>
      <name val="Arial"/>
      <family val="2"/>
    </font>
    <font>
      <b/>
      <sz val="12"/>
      <color indexed="8"/>
      <name val="Calibri"/>
      <family val="2"/>
    </font>
    <font>
      <sz val="12"/>
      <color indexed="8"/>
      <name val="Calibri"/>
      <family val="2"/>
    </font>
    <font>
      <b/>
      <sz val="10"/>
      <color rgb="FFFF0000"/>
      <name val="Times New Roman"/>
      <family val="1"/>
    </font>
    <font>
      <b/>
      <i/>
      <sz val="11"/>
      <name val="Times New Roman"/>
      <family val="1"/>
    </font>
    <font>
      <b/>
      <i/>
      <sz val="11"/>
      <color indexed="8"/>
      <name val="Times New Roman"/>
      <family val="1"/>
    </font>
    <font>
      <sz val="14"/>
      <color indexed="8"/>
      <name val="Times New Roman"/>
      <family val="1"/>
    </font>
    <font>
      <b/>
      <sz val="11"/>
      <name val="Calibri"/>
      <family val="2"/>
    </font>
    <font>
      <b/>
      <sz val="10"/>
      <name val="Calibri"/>
      <family val="2"/>
    </font>
    <font>
      <sz val="8"/>
      <color rgb="FF000000"/>
      <name val="ArialMT"/>
    </font>
    <font>
      <sz val="10"/>
      <color theme="9" tint="-0.249977111117893"/>
      <name val="Times New Roman"/>
      <family val="1"/>
    </font>
    <font>
      <b/>
      <sz val="14"/>
      <color indexed="8"/>
      <name val="Times New Roman"/>
      <family val="1"/>
    </font>
    <font>
      <sz val="10"/>
      <color rgb="FF0070C0"/>
      <name val="Times New Roman"/>
      <family val="1"/>
    </font>
    <font>
      <b/>
      <sz val="10"/>
      <color rgb="FF7030A0"/>
      <name val="Times New Roman"/>
      <family val="1"/>
    </font>
    <font>
      <sz val="10"/>
      <color rgb="FF7030A0"/>
      <name val="Times New Roman"/>
      <family val="1"/>
    </font>
    <font>
      <sz val="10"/>
      <color theme="9" tint="0.39997558519241921"/>
      <name val="Times New Roman"/>
      <family val="1"/>
    </font>
    <font>
      <b/>
      <sz val="18"/>
      <name val="Times New Roman"/>
      <family val="1"/>
    </font>
    <font>
      <sz val="10"/>
      <color theme="1"/>
      <name val="Arial"/>
      <family val="2"/>
    </font>
    <font>
      <b/>
      <sz val="14"/>
      <color theme="1"/>
      <name val="Calibri"/>
      <family val="2"/>
      <scheme val="minor"/>
    </font>
    <font>
      <b/>
      <sz val="10"/>
      <color theme="1"/>
      <name val="Arial"/>
      <family val="2"/>
    </font>
  </fonts>
  <fills count="18">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9"/>
        <bgColor indexed="34"/>
      </patternFill>
    </fill>
    <fill>
      <patternFill patternType="solid">
        <fgColor indexed="9"/>
        <bgColor indexed="27"/>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FFFFC9"/>
        <bgColor indexed="64"/>
      </patternFill>
    </fill>
    <fill>
      <patternFill patternType="solid">
        <fgColor rgb="FFE1FFFF"/>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FFCC"/>
        <bgColor indexed="64"/>
      </patternFill>
    </fill>
    <fill>
      <patternFill patternType="solid">
        <fgColor theme="5" tint="0.59999389629810485"/>
        <bgColor indexed="64"/>
      </patternFill>
    </fill>
    <fill>
      <patternFill patternType="solid">
        <fgColor theme="9" tint="-0.249977111117893"/>
        <bgColor indexed="64"/>
      </patternFill>
    </fill>
    <fill>
      <patternFill patternType="solid">
        <fgColor rgb="FFFFFFCD"/>
        <bgColor indexed="64"/>
      </patternFill>
    </fill>
  </fills>
  <borders count="126">
    <border>
      <left/>
      <right/>
      <top/>
      <bottom/>
      <diagonal/>
    </border>
    <border>
      <left/>
      <right/>
      <top/>
      <bottom style="thick">
        <color indexed="49"/>
      </bottom>
      <diagonal/>
    </border>
    <border>
      <left/>
      <right/>
      <top/>
      <bottom style="thick">
        <color indexed="62"/>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right style="thin">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medium">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right/>
      <top style="double">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
      <left style="hair">
        <color indexed="64"/>
      </left>
      <right style="hair">
        <color indexed="64"/>
      </right>
      <top style="hair">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bottom style="thin">
        <color indexed="64"/>
      </bottom>
      <diagonal/>
    </border>
    <border>
      <left/>
      <right style="double">
        <color indexed="64"/>
      </right>
      <top/>
      <bottom/>
      <diagonal/>
    </border>
    <border>
      <left/>
      <right/>
      <top/>
      <bottom style="double">
        <color indexed="64"/>
      </bottom>
      <diagonal/>
    </border>
    <border>
      <left/>
      <right style="double">
        <color indexed="64"/>
      </right>
      <top/>
      <bottom style="double">
        <color indexed="64"/>
      </bottom>
      <diagonal/>
    </border>
    <border>
      <left style="thin">
        <color indexed="64"/>
      </left>
      <right style="double">
        <color indexed="64"/>
      </right>
      <top style="double">
        <color indexed="64"/>
      </top>
      <bottom/>
      <diagonal/>
    </border>
    <border>
      <left/>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bottom style="hair">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hair">
        <color indexed="64"/>
      </right>
      <top style="medium">
        <color indexed="64"/>
      </top>
      <bottom style="hair">
        <color indexed="64"/>
      </bottom>
      <diagonal/>
    </border>
    <border>
      <left style="medium">
        <color indexed="64"/>
      </left>
      <right/>
      <top style="hair">
        <color indexed="64"/>
      </top>
      <bottom style="hair">
        <color indexed="64"/>
      </bottom>
      <diagonal/>
    </border>
    <border>
      <left style="double">
        <color indexed="64"/>
      </left>
      <right style="thin">
        <color indexed="64"/>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hair">
        <color indexed="64"/>
      </left>
      <right/>
      <top style="medium">
        <color indexed="64"/>
      </top>
      <bottom style="hair">
        <color indexed="64"/>
      </bottom>
      <diagonal/>
    </border>
    <border>
      <left style="hair">
        <color indexed="64"/>
      </left>
      <right/>
      <top style="hair">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medium">
        <color rgb="FF808080"/>
      </left>
      <right style="medium">
        <color rgb="FF808080"/>
      </right>
      <top style="medium">
        <color rgb="FF808080"/>
      </top>
      <bottom style="medium">
        <color rgb="FF808080"/>
      </bottom>
      <diagonal/>
    </border>
    <border>
      <left style="hair">
        <color indexed="64"/>
      </left>
      <right style="hair">
        <color indexed="64"/>
      </right>
      <top style="hair">
        <color indexed="64"/>
      </top>
      <bottom/>
      <diagonal/>
    </border>
    <border>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double">
        <color indexed="64"/>
      </left>
      <right style="thin">
        <color indexed="64"/>
      </right>
      <top/>
      <bottom style="double">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right style="double">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right style="hair">
        <color indexed="64"/>
      </right>
      <top/>
      <bottom style="hair">
        <color indexed="64"/>
      </bottom>
      <diagonal/>
    </border>
    <border>
      <left style="hair">
        <color indexed="64"/>
      </left>
      <right style="medium">
        <color indexed="64"/>
      </right>
      <top style="hair">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bottom style="medium">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right/>
      <top style="hair">
        <color auto="1"/>
      </top>
      <bottom/>
      <diagonal/>
    </border>
    <border>
      <left/>
      <right style="medium">
        <color indexed="64"/>
      </right>
      <top style="hair">
        <color indexed="64"/>
      </top>
      <bottom/>
      <diagonal/>
    </border>
  </borders>
  <cellStyleXfs count="40">
    <xf numFmtId="0" fontId="0" fillId="0" borderId="0"/>
    <xf numFmtId="0" fontId="16" fillId="0" borderId="0"/>
    <xf numFmtId="0" fontId="16" fillId="0" borderId="0"/>
    <xf numFmtId="0" fontId="26" fillId="0" borderId="0" applyNumberFormat="0" applyFill="0" applyBorder="0" applyAlignment="0" applyProtection="0">
      <alignment vertical="top"/>
      <protection locked="0"/>
    </xf>
    <xf numFmtId="44" fontId="17" fillId="0" borderId="0" applyFont="0" applyFill="0" applyBorder="0" applyAlignment="0" applyProtection="0"/>
    <xf numFmtId="176" fontId="16" fillId="0" borderId="0" applyFont="0" applyFill="0" applyBorder="0" applyAlignment="0" applyProtection="0"/>
    <xf numFmtId="176"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6" fillId="0" borderId="0"/>
    <xf numFmtId="0" fontId="16" fillId="0" borderId="0"/>
    <xf numFmtId="9" fontId="16" fillId="0" borderId="0" applyFill="0" applyBorder="0" applyAlignment="0" applyProtection="0"/>
    <xf numFmtId="9" fontId="16" fillId="0" borderId="0"/>
    <xf numFmtId="9" fontId="16" fillId="0" borderId="0"/>
    <xf numFmtId="174" fontId="16" fillId="0" borderId="0" applyFill="0" applyBorder="0" applyAlignment="0" applyProtection="0"/>
    <xf numFmtId="179" fontId="16" fillId="0" borderId="0"/>
    <xf numFmtId="179" fontId="16" fillId="0" borderId="0"/>
    <xf numFmtId="179" fontId="16" fillId="0" borderId="0"/>
    <xf numFmtId="179" fontId="16" fillId="0" borderId="0"/>
    <xf numFmtId="179" fontId="16" fillId="0" borderId="0"/>
    <xf numFmtId="167" fontId="16" fillId="0" borderId="0" applyFont="0" applyFill="0" applyBorder="0" applyAlignment="0" applyProtection="0"/>
    <xf numFmtId="0" fontId="24" fillId="0" borderId="1"/>
    <xf numFmtId="0" fontId="27" fillId="0" borderId="2"/>
    <xf numFmtId="0" fontId="16" fillId="0" borderId="0"/>
    <xf numFmtId="9" fontId="16" fillId="0" borderId="0" applyFont="0" applyFill="0" applyBorder="0" applyAlignment="0" applyProtection="0"/>
    <xf numFmtId="0" fontId="5" fillId="0" borderId="0"/>
    <xf numFmtId="0" fontId="5" fillId="0" borderId="0"/>
    <xf numFmtId="0" fontId="4" fillId="0" borderId="0"/>
    <xf numFmtId="9" fontId="6" fillId="0" borderId="0" applyFont="0" applyFill="0" applyBorder="0" applyAlignment="0" applyProtection="0"/>
    <xf numFmtId="0" fontId="4" fillId="0" borderId="0"/>
    <xf numFmtId="9" fontId="16" fillId="0" borderId="0"/>
    <xf numFmtId="0" fontId="3" fillId="0" borderId="0"/>
    <xf numFmtId="167" fontId="16" fillId="0" borderId="0" applyFont="0" applyFill="0" applyBorder="0" applyAlignment="0" applyProtection="0"/>
    <xf numFmtId="166" fontId="16" fillId="0" borderId="0"/>
    <xf numFmtId="0" fontId="2" fillId="0" borderId="0"/>
    <xf numFmtId="0" fontId="10" fillId="0" borderId="0"/>
    <xf numFmtId="0" fontId="1" fillId="0" borderId="0"/>
  </cellStyleXfs>
  <cellXfs count="936">
    <xf numFmtId="0" fontId="0" fillId="0" borderId="0" xfId="0"/>
    <xf numFmtId="4" fontId="15" fillId="3" borderId="0" xfId="4" applyNumberFormat="1" applyFont="1" applyFill="1" applyBorder="1" applyAlignment="1" applyProtection="1">
      <alignment horizontal="center" vertical="center"/>
    </xf>
    <xf numFmtId="10" fontId="42" fillId="0" borderId="0" xfId="14" applyNumberFormat="1" applyFont="1" applyFill="1" applyBorder="1" applyAlignment="1" applyProtection="1">
      <alignment horizontal="center" vertical="center"/>
    </xf>
    <xf numFmtId="166" fontId="9" fillId="13" borderId="17" xfId="6" applyNumberFormat="1" applyFont="1" applyFill="1" applyBorder="1" applyAlignment="1" applyProtection="1">
      <alignment horizontal="center" vertical="center"/>
    </xf>
    <xf numFmtId="166" fontId="9" fillId="13" borderId="23" xfId="6" applyNumberFormat="1" applyFont="1" applyFill="1" applyBorder="1" applyAlignment="1" applyProtection="1">
      <alignment horizontal="center" vertical="center"/>
    </xf>
    <xf numFmtId="10" fontId="10" fillId="14" borderId="13" xfId="27" applyNumberFormat="1" applyFont="1" applyFill="1" applyBorder="1" applyAlignment="1" applyProtection="1">
      <alignment horizontal="center" vertical="center" wrapText="1"/>
      <protection locked="0"/>
    </xf>
    <xf numFmtId="10" fontId="44" fillId="14" borderId="27" xfId="27" applyNumberFormat="1" applyFont="1" applyFill="1" applyBorder="1" applyAlignment="1" applyProtection="1">
      <alignment horizontal="center" vertical="center" wrapText="1"/>
      <protection locked="0"/>
    </xf>
    <xf numFmtId="10" fontId="44" fillId="14" borderId="13" xfId="27" applyNumberFormat="1" applyFont="1" applyFill="1" applyBorder="1" applyAlignment="1" applyProtection="1">
      <alignment horizontal="center" vertical="center" wrapText="1"/>
      <protection locked="0"/>
    </xf>
    <xf numFmtId="10" fontId="9" fillId="0" borderId="30" xfId="27" applyNumberFormat="1" applyFont="1" applyBorder="1" applyAlignment="1" applyProtection="1">
      <alignment horizontal="center" vertical="center" wrapText="1"/>
    </xf>
    <xf numFmtId="10" fontId="10" fillId="14" borderId="27" xfId="27" applyNumberFormat="1" applyFont="1" applyFill="1" applyBorder="1" applyAlignment="1" applyProtection="1">
      <alignment horizontal="center" vertical="center" wrapText="1"/>
      <protection locked="0"/>
    </xf>
    <xf numFmtId="9" fontId="49" fillId="0" borderId="0" xfId="27" applyFont="1" applyBorder="1" applyAlignment="1" applyProtection="1">
      <alignment horizontal="center" vertical="center" wrapText="1"/>
    </xf>
    <xf numFmtId="43" fontId="29" fillId="3" borderId="15" xfId="4" applyNumberFormat="1" applyFont="1" applyFill="1" applyBorder="1" applyAlignment="1" applyProtection="1">
      <alignment horizontal="justify" vertical="center"/>
    </xf>
    <xf numFmtId="10" fontId="9" fillId="8" borderId="84" xfId="14" applyNumberFormat="1" applyFont="1" applyFill="1" applyBorder="1" applyAlignment="1" applyProtection="1">
      <alignment horizontal="center" vertical="center"/>
    </xf>
    <xf numFmtId="10" fontId="9" fillId="8" borderId="86" xfId="14" applyNumberFormat="1" applyFont="1" applyFill="1" applyBorder="1" applyAlignment="1" applyProtection="1">
      <alignment horizontal="center" vertical="center"/>
    </xf>
    <xf numFmtId="44" fontId="10" fillId="10" borderId="40" xfId="0" applyNumberFormat="1" applyFont="1" applyFill="1" applyBorder="1" applyAlignment="1" applyProtection="1">
      <alignment horizontal="center" vertical="center"/>
      <protection locked="0"/>
    </xf>
    <xf numFmtId="172" fontId="18" fillId="0" borderId="50" xfId="5" applyNumberFormat="1" applyFont="1" applyFill="1" applyBorder="1" applyAlignment="1" applyProtection="1">
      <alignment horizontal="center" vertical="center"/>
    </xf>
    <xf numFmtId="172" fontId="18" fillId="0" borderId="51" xfId="5" applyNumberFormat="1" applyFont="1" applyFill="1" applyBorder="1" applyAlignment="1" applyProtection="1">
      <alignment horizontal="center" vertical="center"/>
    </xf>
    <xf numFmtId="4" fontId="11" fillId="0" borderId="38" xfId="14" applyNumberFormat="1" applyFont="1" applyFill="1" applyBorder="1" applyAlignment="1" applyProtection="1">
      <alignment horizontal="center" vertical="center"/>
    </xf>
    <xf numFmtId="10" fontId="18" fillId="0" borderId="54" xfId="14" applyNumberFormat="1" applyFont="1" applyFill="1" applyBorder="1" applyAlignment="1" applyProtection="1">
      <alignment horizontal="center" vertical="center"/>
    </xf>
    <xf numFmtId="178" fontId="18" fillId="0" borderId="0" xfId="5" applyNumberFormat="1" applyFont="1" applyFill="1" applyBorder="1" applyAlignment="1" applyProtection="1">
      <alignment vertical="center"/>
    </xf>
    <xf numFmtId="182" fontId="10" fillId="10" borderId="0" xfId="0" applyNumberFormat="1" applyFont="1" applyFill="1" applyAlignment="1" applyProtection="1">
      <alignment horizontal="center" vertical="center"/>
      <protection locked="0"/>
    </xf>
    <xf numFmtId="44" fontId="10" fillId="10" borderId="63" xfId="0" applyNumberFormat="1" applyFont="1" applyFill="1" applyBorder="1" applyAlignment="1" applyProtection="1">
      <alignment horizontal="center" vertical="center"/>
      <protection locked="0"/>
    </xf>
    <xf numFmtId="174" fontId="51" fillId="12" borderId="14" xfId="17" applyFont="1" applyFill="1" applyBorder="1" applyAlignment="1" applyProtection="1">
      <alignment horizontal="center" vertical="center"/>
    </xf>
    <xf numFmtId="10" fontId="51" fillId="7" borderId="43" xfId="14" applyNumberFormat="1" applyFont="1" applyFill="1" applyBorder="1" applyAlignment="1" applyProtection="1">
      <alignment horizontal="center" vertical="center"/>
    </xf>
    <xf numFmtId="10" fontId="52" fillId="7" borderId="7" xfId="14" applyNumberFormat="1" applyFont="1" applyFill="1" applyBorder="1" applyAlignment="1" applyProtection="1">
      <alignment horizontal="center" vertical="center"/>
    </xf>
    <xf numFmtId="10" fontId="51" fillId="7" borderId="7" xfId="14" applyNumberFormat="1" applyFont="1" applyFill="1" applyBorder="1" applyAlignment="1" applyProtection="1">
      <alignment horizontal="center" vertical="center"/>
    </xf>
    <xf numFmtId="10" fontId="51" fillId="7" borderId="59" xfId="14" applyNumberFormat="1" applyFont="1" applyFill="1" applyBorder="1" applyAlignment="1" applyProtection="1">
      <alignment horizontal="center" vertical="center"/>
    </xf>
    <xf numFmtId="10" fontId="51" fillId="4" borderId="48" xfId="14" applyNumberFormat="1" applyFont="1" applyFill="1" applyBorder="1" applyAlignment="1" applyProtection="1">
      <alignment horizontal="center" vertical="center"/>
    </xf>
    <xf numFmtId="10" fontId="51" fillId="4" borderId="11" xfId="14" applyNumberFormat="1" applyFont="1" applyFill="1" applyBorder="1" applyAlignment="1" applyProtection="1">
      <alignment horizontal="center" vertical="center"/>
    </xf>
    <xf numFmtId="10" fontId="51" fillId="4" borderId="45" xfId="14" applyNumberFormat="1" applyFont="1" applyFill="1" applyBorder="1" applyAlignment="1" applyProtection="1">
      <alignment horizontal="center" vertical="center"/>
    </xf>
    <xf numFmtId="10" fontId="59" fillId="7" borderId="43" xfId="14" applyNumberFormat="1" applyFont="1" applyFill="1" applyBorder="1" applyAlignment="1" applyProtection="1">
      <alignment horizontal="center" vertical="center"/>
    </xf>
    <xf numFmtId="10" fontId="59" fillId="7" borderId="7" xfId="14" applyNumberFormat="1" applyFont="1" applyFill="1" applyBorder="1" applyAlignment="1" applyProtection="1">
      <alignment horizontal="center" vertical="center"/>
    </xf>
    <xf numFmtId="10" fontId="59" fillId="7" borderId="59" xfId="14" applyNumberFormat="1" applyFont="1" applyFill="1" applyBorder="1" applyAlignment="1" applyProtection="1">
      <alignment horizontal="center" vertical="center"/>
    </xf>
    <xf numFmtId="10" fontId="51" fillId="0" borderId="43" xfId="14" applyNumberFormat="1" applyFont="1" applyFill="1" applyBorder="1" applyAlignment="1" applyProtection="1">
      <alignment horizontal="center" vertical="center"/>
    </xf>
    <xf numFmtId="10" fontId="51" fillId="0" borderId="7" xfId="14" applyNumberFormat="1" applyFont="1" applyFill="1" applyBorder="1" applyAlignment="1" applyProtection="1">
      <alignment horizontal="center" vertical="center"/>
    </xf>
    <xf numFmtId="10" fontId="51" fillId="0" borderId="59" xfId="14" applyNumberFormat="1" applyFont="1" applyFill="1" applyBorder="1" applyAlignment="1" applyProtection="1">
      <alignment horizontal="center" vertical="center"/>
    </xf>
    <xf numFmtId="10" fontId="51" fillId="7" borderId="48" xfId="14" applyNumberFormat="1" applyFont="1" applyFill="1" applyBorder="1" applyAlignment="1" applyProtection="1">
      <alignment horizontal="center" vertical="center"/>
    </xf>
    <xf numFmtId="10" fontId="52" fillId="7" borderId="11" xfId="14" applyNumberFormat="1" applyFont="1" applyFill="1" applyBorder="1" applyAlignment="1" applyProtection="1">
      <alignment horizontal="center" vertical="center"/>
    </xf>
    <xf numFmtId="10" fontId="51" fillId="7" borderId="11" xfId="14" applyNumberFormat="1" applyFont="1" applyFill="1" applyBorder="1" applyAlignment="1" applyProtection="1">
      <alignment horizontal="center" vertical="center"/>
    </xf>
    <xf numFmtId="10" fontId="51" fillId="7" borderId="45" xfId="14" applyNumberFormat="1" applyFont="1" applyFill="1" applyBorder="1" applyAlignment="1" applyProtection="1">
      <alignment horizontal="center" vertical="center"/>
    </xf>
    <xf numFmtId="10" fontId="52" fillId="0" borderId="7" xfId="14" applyNumberFormat="1" applyFont="1" applyFill="1" applyBorder="1" applyAlignment="1" applyProtection="1">
      <alignment horizontal="center" vertical="center"/>
    </xf>
    <xf numFmtId="10" fontId="10" fillId="14" borderId="22" xfId="27" applyNumberFormat="1" applyFont="1" applyFill="1" applyBorder="1" applyAlignment="1" applyProtection="1">
      <alignment horizontal="center" vertical="center" wrapText="1"/>
      <protection locked="0"/>
    </xf>
    <xf numFmtId="10" fontId="10" fillId="14" borderId="95" xfId="27" applyNumberFormat="1" applyFont="1" applyFill="1" applyBorder="1" applyAlignment="1" applyProtection="1">
      <alignment horizontal="center" vertical="center" wrapText="1"/>
      <protection locked="0"/>
    </xf>
    <xf numFmtId="10" fontId="9" fillId="0" borderId="96" xfId="27" applyNumberFormat="1" applyFont="1" applyBorder="1" applyAlignment="1" applyProtection="1">
      <alignment horizontal="center" vertical="center" wrapText="1"/>
    </xf>
    <xf numFmtId="10" fontId="64" fillId="9" borderId="9" xfId="14" applyNumberFormat="1" applyFont="1" applyFill="1" applyBorder="1" applyAlignment="1" applyProtection="1">
      <alignment horizontal="center" vertical="center"/>
    </xf>
    <xf numFmtId="10" fontId="64" fillId="9" borderId="4" xfId="14" applyNumberFormat="1" applyFont="1" applyFill="1" applyBorder="1" applyAlignment="1" applyProtection="1">
      <alignment horizontal="center" vertical="center"/>
    </xf>
    <xf numFmtId="10" fontId="64" fillId="9" borderId="31" xfId="14" applyNumberFormat="1" applyFont="1" applyFill="1" applyBorder="1" applyAlignment="1" applyProtection="1">
      <alignment horizontal="center" vertical="center"/>
    </xf>
    <xf numFmtId="172" fontId="18" fillId="9" borderId="50" xfId="5" applyNumberFormat="1" applyFont="1" applyFill="1" applyBorder="1" applyAlignment="1" applyProtection="1">
      <alignment horizontal="center" vertical="center"/>
    </xf>
    <xf numFmtId="172" fontId="18" fillId="0" borderId="51" xfId="14" applyNumberFormat="1" applyFont="1" applyFill="1" applyBorder="1" applyAlignment="1" applyProtection="1">
      <alignment horizontal="center" vertical="center"/>
    </xf>
    <xf numFmtId="178" fontId="18" fillId="0" borderId="0" xfId="5" applyNumberFormat="1" applyFont="1" applyFill="1" applyBorder="1" applyAlignment="1" applyProtection="1">
      <alignment horizontal="center" vertical="center"/>
    </xf>
    <xf numFmtId="172" fontId="60" fillId="0" borderId="0" xfId="14" applyNumberFormat="1" applyFont="1" applyFill="1" applyBorder="1" applyAlignment="1" applyProtection="1">
      <alignment vertical="center"/>
    </xf>
    <xf numFmtId="10" fontId="11" fillId="0" borderId="59" xfId="14" applyNumberFormat="1" applyFont="1" applyFill="1" applyBorder="1" applyAlignment="1" applyProtection="1">
      <alignment horizontal="center" vertical="center"/>
    </xf>
    <xf numFmtId="172" fontId="9" fillId="10" borderId="14" xfId="31" applyNumberFormat="1" applyFont="1" applyFill="1" applyBorder="1" applyAlignment="1" applyProtection="1">
      <alignment horizontal="center" vertical="center"/>
      <protection locked="0"/>
    </xf>
    <xf numFmtId="172" fontId="10" fillId="10" borderId="105" xfId="31" applyNumberFormat="1" applyFont="1" applyFill="1" applyBorder="1" applyAlignment="1" applyProtection="1">
      <alignment horizontal="center" vertical="center"/>
      <protection locked="0"/>
    </xf>
    <xf numFmtId="172" fontId="10" fillId="10" borderId="90" xfId="31" applyNumberFormat="1" applyFont="1" applyFill="1" applyBorder="1" applyAlignment="1" applyProtection="1">
      <alignment horizontal="center" vertical="center"/>
      <protection locked="0"/>
    </xf>
    <xf numFmtId="172" fontId="51" fillId="9" borderId="46" xfId="14" applyNumberFormat="1" applyFont="1" applyFill="1" applyBorder="1" applyAlignment="1" applyProtection="1">
      <alignment horizontal="center" vertical="center"/>
    </xf>
    <xf numFmtId="10" fontId="64" fillId="9" borderId="44" xfId="14" applyNumberFormat="1" applyFont="1" applyFill="1" applyBorder="1" applyAlignment="1" applyProtection="1">
      <alignment horizontal="center" vertical="center"/>
    </xf>
    <xf numFmtId="44" fontId="9" fillId="13" borderId="17" xfId="6" applyNumberFormat="1" applyFont="1" applyFill="1" applyBorder="1" applyAlignment="1" applyProtection="1">
      <alignment horizontal="center" vertical="center"/>
    </xf>
    <xf numFmtId="172" fontId="19" fillId="9" borderId="46" xfId="14" applyNumberFormat="1" applyFont="1" applyFill="1" applyBorder="1" applyAlignment="1" applyProtection="1">
      <alignment horizontal="center" vertical="center"/>
    </xf>
    <xf numFmtId="44" fontId="10" fillId="10" borderId="83" xfId="0" applyNumberFormat="1" applyFont="1" applyFill="1" applyBorder="1" applyAlignment="1" applyProtection="1">
      <alignment horizontal="center" vertical="center"/>
      <protection locked="0"/>
    </xf>
    <xf numFmtId="44" fontId="10" fillId="10" borderId="39" xfId="0" applyNumberFormat="1" applyFont="1" applyFill="1" applyBorder="1" applyAlignment="1" applyProtection="1">
      <alignment horizontal="center" vertical="center"/>
      <protection locked="0"/>
    </xf>
    <xf numFmtId="44" fontId="10" fillId="10" borderId="108" xfId="0" applyNumberFormat="1" applyFont="1" applyFill="1" applyBorder="1" applyAlignment="1" applyProtection="1">
      <alignment horizontal="center" vertical="center"/>
      <protection locked="0"/>
    </xf>
    <xf numFmtId="0" fontId="9" fillId="13" borderId="24" xfId="6" applyNumberFormat="1" applyFont="1" applyFill="1" applyBorder="1" applyAlignment="1" applyProtection="1">
      <alignment horizontal="center" vertical="center"/>
    </xf>
    <xf numFmtId="0" fontId="9" fillId="13" borderId="18" xfId="6" applyNumberFormat="1" applyFont="1" applyFill="1" applyBorder="1" applyAlignment="1" applyProtection="1">
      <alignment horizontal="center" vertical="center"/>
    </xf>
    <xf numFmtId="0" fontId="9" fillId="13" borderId="17" xfId="6" applyNumberFormat="1" applyFont="1" applyFill="1" applyBorder="1" applyAlignment="1" applyProtection="1">
      <alignment horizontal="center" vertical="center"/>
    </xf>
    <xf numFmtId="44" fontId="10" fillId="10" borderId="84" xfId="0" applyNumberFormat="1" applyFont="1" applyFill="1" applyBorder="1" applyAlignment="1" applyProtection="1">
      <alignment horizontal="center" vertical="center"/>
      <protection locked="0"/>
    </xf>
    <xf numFmtId="44" fontId="10" fillId="10" borderId="86" xfId="0" applyNumberFormat="1" applyFont="1" applyFill="1" applyBorder="1" applyAlignment="1" applyProtection="1">
      <alignment horizontal="center" vertical="center"/>
      <protection locked="0"/>
    </xf>
    <xf numFmtId="44" fontId="10" fillId="10" borderId="86" xfId="4" applyFont="1" applyFill="1" applyBorder="1" applyAlignment="1" applyProtection="1">
      <alignment horizontal="center" vertical="center"/>
      <protection locked="0"/>
    </xf>
    <xf numFmtId="44" fontId="10" fillId="10" borderId="119" xfId="0" applyNumberFormat="1" applyFont="1" applyFill="1" applyBorder="1" applyAlignment="1" applyProtection="1">
      <alignment horizontal="center" vertical="center"/>
      <protection locked="0"/>
    </xf>
    <xf numFmtId="44" fontId="10" fillId="10" borderId="120" xfId="0" applyNumberFormat="1" applyFont="1" applyFill="1" applyBorder="1" applyAlignment="1" applyProtection="1">
      <alignment horizontal="center" vertical="center"/>
      <protection locked="0"/>
    </xf>
    <xf numFmtId="44" fontId="10" fillId="10" borderId="121" xfId="0" applyNumberFormat="1" applyFont="1" applyFill="1" applyBorder="1" applyAlignment="1" applyProtection="1">
      <alignment horizontal="center" vertical="center"/>
      <protection locked="0"/>
    </xf>
    <xf numFmtId="0" fontId="77" fillId="0" borderId="0" xfId="26" applyFont="1"/>
    <xf numFmtId="0" fontId="77" fillId="0" borderId="25" xfId="26" applyFont="1" applyBorder="1"/>
    <xf numFmtId="0" fontId="77" fillId="0" borderId="26" xfId="26" applyFont="1" applyBorder="1"/>
    <xf numFmtId="0" fontId="77" fillId="0" borderId="27" xfId="26" applyFont="1" applyBorder="1"/>
    <xf numFmtId="0" fontId="79" fillId="0" borderId="93" xfId="26" quotePrefix="1" applyFont="1" applyBorder="1"/>
    <xf numFmtId="0" fontId="77" fillId="0" borderId="102" xfId="26" applyFont="1" applyBorder="1"/>
    <xf numFmtId="0" fontId="77" fillId="0" borderId="122" xfId="26" applyFont="1" applyBorder="1"/>
    <xf numFmtId="0" fontId="77" fillId="0" borderId="12" xfId="26" applyFont="1" applyBorder="1"/>
    <xf numFmtId="0" fontId="77" fillId="0" borderId="13" xfId="26" applyFont="1" applyBorder="1"/>
    <xf numFmtId="0" fontId="77" fillId="0" borderId="0" xfId="26" applyFont="1" applyAlignment="1">
      <alignment horizontal="justify"/>
    </xf>
    <xf numFmtId="0" fontId="79" fillId="0" borderId="12" xfId="26" applyFont="1" applyBorder="1" applyAlignment="1">
      <alignment vertical="center" wrapText="1"/>
    </xf>
    <xf numFmtId="0" fontId="79" fillId="0" borderId="0" xfId="26" applyFont="1" applyAlignment="1">
      <alignment vertical="center" wrapText="1"/>
    </xf>
    <xf numFmtId="0" fontId="79" fillId="0" borderId="13" xfId="26" applyFont="1" applyBorder="1" applyAlignment="1">
      <alignment vertical="center" wrapText="1"/>
    </xf>
    <xf numFmtId="0" fontId="79" fillId="0" borderId="12" xfId="26" applyFont="1" applyBorder="1" applyAlignment="1">
      <alignment horizontal="center" vertical="center" wrapText="1"/>
    </xf>
    <xf numFmtId="44" fontId="77" fillId="0" borderId="0" xfId="39" applyNumberFormat="1" applyFont="1" applyAlignment="1">
      <alignment vertical="center"/>
    </xf>
    <xf numFmtId="0" fontId="16" fillId="0" borderId="0" xfId="26" applyAlignment="1">
      <alignment vertical="center"/>
    </xf>
    <xf numFmtId="49" fontId="77" fillId="0" borderId="0" xfId="39" applyNumberFormat="1" applyFont="1" applyAlignment="1">
      <alignment vertical="center"/>
    </xf>
    <xf numFmtId="176" fontId="53" fillId="0" borderId="0" xfId="0" applyNumberFormat="1" applyFont="1" applyAlignment="1" applyProtection="1">
      <alignment vertical="center"/>
    </xf>
    <xf numFmtId="176" fontId="52" fillId="4" borderId="12" xfId="0" applyNumberFormat="1" applyFont="1" applyFill="1" applyBorder="1" applyAlignment="1" applyProtection="1">
      <alignment vertical="center"/>
    </xf>
    <xf numFmtId="176" fontId="52" fillId="4" borderId="0" xfId="0" applyNumberFormat="1" applyFont="1" applyFill="1" applyAlignment="1" applyProtection="1">
      <alignment vertical="center"/>
    </xf>
    <xf numFmtId="176" fontId="52" fillId="4" borderId="13" xfId="0" applyNumberFormat="1" applyFont="1" applyFill="1" applyBorder="1" applyAlignment="1" applyProtection="1">
      <alignment vertical="center"/>
    </xf>
    <xf numFmtId="176" fontId="52" fillId="4" borderId="29" xfId="0" applyNumberFormat="1" applyFont="1" applyFill="1" applyBorder="1" applyAlignment="1" applyProtection="1">
      <alignment horizontal="center" vertical="center"/>
    </xf>
    <xf numFmtId="176" fontId="52" fillId="4" borderId="20" xfId="0" applyNumberFormat="1" applyFont="1" applyFill="1" applyBorder="1" applyAlignment="1" applyProtection="1">
      <alignment horizontal="justify" vertical="center"/>
    </xf>
    <xf numFmtId="176" fontId="52" fillId="4" borderId="20" xfId="0" applyNumberFormat="1" applyFont="1" applyFill="1" applyBorder="1" applyAlignment="1" applyProtection="1">
      <alignment horizontal="center" vertical="center"/>
    </xf>
    <xf numFmtId="4" fontId="52" fillId="4" borderId="20" xfId="0" applyNumberFormat="1" applyFont="1" applyFill="1" applyBorder="1" applyAlignment="1" applyProtection="1">
      <alignment horizontal="center" vertical="center"/>
    </xf>
    <xf numFmtId="167" fontId="52" fillId="4" borderId="20" xfId="0" applyNumberFormat="1" applyFont="1" applyFill="1" applyBorder="1" applyAlignment="1" applyProtection="1">
      <alignment vertical="center"/>
    </xf>
    <xf numFmtId="2" fontId="52" fillId="4" borderId="20" xfId="0" applyNumberFormat="1" applyFont="1" applyFill="1" applyBorder="1" applyAlignment="1" applyProtection="1">
      <alignment horizontal="center" vertical="center"/>
    </xf>
    <xf numFmtId="2" fontId="52" fillId="4" borderId="20" xfId="17" applyNumberFormat="1" applyFont="1" applyFill="1" applyBorder="1" applyAlignment="1" applyProtection="1">
      <alignment horizontal="center" vertical="center"/>
    </xf>
    <xf numFmtId="172" fontId="53" fillId="4" borderId="30" xfId="17" applyNumberFormat="1" applyFont="1" applyFill="1" applyBorder="1" applyAlignment="1" applyProtection="1">
      <alignment horizontal="center" vertical="center"/>
    </xf>
    <xf numFmtId="169" fontId="19" fillId="4" borderId="21" xfId="0" applyNumberFormat="1" applyFont="1" applyFill="1" applyBorder="1" applyAlignment="1" applyProtection="1">
      <alignment vertical="center"/>
    </xf>
    <xf numFmtId="169" fontId="19" fillId="4" borderId="10" xfId="0" applyNumberFormat="1" applyFont="1" applyFill="1" applyBorder="1" applyAlignment="1" applyProtection="1">
      <alignment vertical="center"/>
    </xf>
    <xf numFmtId="169" fontId="19" fillId="4" borderId="28" xfId="0" applyNumberFormat="1" applyFont="1" applyFill="1" applyBorder="1" applyAlignment="1" applyProtection="1">
      <alignment vertical="center"/>
    </xf>
    <xf numFmtId="176" fontId="52" fillId="0" borderId="12" xfId="0" applyNumberFormat="1" applyFont="1" applyBorder="1" applyAlignment="1" applyProtection="1">
      <alignment horizontal="center" vertical="center"/>
    </xf>
    <xf numFmtId="176" fontId="51" fillId="0" borderId="91" xfId="0" applyNumberFormat="1" applyFont="1" applyBorder="1" applyAlignment="1" applyProtection="1">
      <alignment horizontal="justify" vertical="center"/>
    </xf>
    <xf numFmtId="176" fontId="52" fillId="0" borderId="100" xfId="0" applyNumberFormat="1" applyFont="1" applyBorder="1" applyAlignment="1" applyProtection="1">
      <alignment horizontal="center" vertical="center"/>
    </xf>
    <xf numFmtId="4" fontId="52" fillId="0" borderId="100" xfId="0" applyNumberFormat="1" applyFont="1" applyBorder="1" applyAlignment="1" applyProtection="1">
      <alignment horizontal="center" vertical="center"/>
    </xf>
    <xf numFmtId="176" fontId="52" fillId="0" borderId="100" xfId="0" applyNumberFormat="1" applyFont="1" applyBorder="1" applyAlignment="1" applyProtection="1">
      <alignment vertical="center"/>
    </xf>
    <xf numFmtId="176" fontId="51" fillId="0" borderId="93" xfId="0" applyNumberFormat="1" applyFont="1" applyBorder="1" applyAlignment="1" applyProtection="1">
      <alignment horizontal="justify" vertical="center"/>
    </xf>
    <xf numFmtId="176" fontId="52" fillId="0" borderId="102" xfId="0" applyNumberFormat="1" applyFont="1" applyBorder="1" applyAlignment="1" applyProtection="1">
      <alignment horizontal="center" vertical="center"/>
    </xf>
    <xf numFmtId="4" fontId="52" fillId="0" borderId="102" xfId="0" applyNumberFormat="1" applyFont="1" applyBorder="1" applyAlignment="1" applyProtection="1">
      <alignment horizontal="center" vertical="center"/>
    </xf>
    <xf numFmtId="176" fontId="52" fillId="0" borderId="102" xfId="0" applyNumberFormat="1" applyFont="1" applyBorder="1" applyAlignment="1" applyProtection="1">
      <alignment vertical="center"/>
    </xf>
    <xf numFmtId="167" fontId="51" fillId="9" borderId="58" xfId="0" applyNumberFormat="1" applyFont="1" applyFill="1" applyBorder="1" applyAlignment="1" applyProtection="1">
      <alignment horizontal="center" vertical="center"/>
    </xf>
    <xf numFmtId="4" fontId="51" fillId="9" borderId="8" xfId="0" applyNumberFormat="1" applyFont="1" applyFill="1" applyBorder="1" applyAlignment="1" applyProtection="1">
      <alignment horizontal="center" vertical="center"/>
    </xf>
    <xf numFmtId="4" fontId="51" fillId="9" borderId="6" xfId="0" applyNumberFormat="1" applyFont="1" applyFill="1" applyBorder="1" applyAlignment="1" applyProtection="1">
      <alignment horizontal="center" vertical="center"/>
    </xf>
    <xf numFmtId="4" fontId="51" fillId="9" borderId="15" xfId="0" applyNumberFormat="1" applyFont="1" applyFill="1" applyBorder="1" applyAlignment="1" applyProtection="1">
      <alignment horizontal="center" vertical="center"/>
    </xf>
    <xf numFmtId="4" fontId="51" fillId="9" borderId="64" xfId="0" applyNumberFormat="1" applyFont="1" applyFill="1" applyBorder="1" applyAlignment="1" applyProtection="1">
      <alignment horizontal="center" vertical="center"/>
    </xf>
    <xf numFmtId="4" fontId="51" fillId="9" borderId="58" xfId="0" applyNumberFormat="1" applyFont="1" applyFill="1" applyBorder="1" applyAlignment="1" applyProtection="1">
      <alignment horizontal="center" vertical="center"/>
    </xf>
    <xf numFmtId="167" fontId="51" fillId="9" borderId="6" xfId="0" applyNumberFormat="1" applyFont="1" applyFill="1" applyBorder="1" applyAlignment="1" applyProtection="1">
      <alignment horizontal="center" vertical="center"/>
    </xf>
    <xf numFmtId="0" fontId="55" fillId="0" borderId="0" xfId="0" applyFont="1" applyAlignment="1" applyProtection="1">
      <alignment vertical="center"/>
    </xf>
    <xf numFmtId="167" fontId="51" fillId="9" borderId="59" xfId="0" applyNumberFormat="1" applyFont="1" applyFill="1" applyBorder="1" applyAlignment="1" applyProtection="1">
      <alignment horizontal="center" vertical="center"/>
    </xf>
    <xf numFmtId="4" fontId="51" fillId="9" borderId="43" xfId="0" applyNumberFormat="1" applyFont="1" applyFill="1" applyBorder="1" applyAlignment="1" applyProtection="1">
      <alignment horizontal="center" vertical="center"/>
    </xf>
    <xf numFmtId="4" fontId="51" fillId="9" borderId="7" xfId="0" applyNumberFormat="1" applyFont="1" applyFill="1" applyBorder="1" applyAlignment="1" applyProtection="1">
      <alignment horizontal="center" vertical="center"/>
    </xf>
    <xf numFmtId="4" fontId="51" fillId="9" borderId="33" xfId="0" applyNumberFormat="1" applyFont="1" applyFill="1" applyBorder="1" applyAlignment="1" applyProtection="1">
      <alignment horizontal="center" vertical="center"/>
    </xf>
    <xf numFmtId="4" fontId="19" fillId="9" borderId="65" xfId="0" applyNumberFormat="1" applyFont="1" applyFill="1" applyBorder="1" applyAlignment="1" applyProtection="1">
      <alignment horizontal="center" vertical="center"/>
    </xf>
    <xf numFmtId="4" fontId="19" fillId="9" borderId="7" xfId="0" applyNumberFormat="1" applyFont="1" applyFill="1" applyBorder="1" applyAlignment="1" applyProtection="1">
      <alignment horizontal="center" vertical="center"/>
    </xf>
    <xf numFmtId="4" fontId="19" fillId="9" borderId="59" xfId="0" applyNumberFormat="1" applyFont="1" applyFill="1" applyBorder="1" applyAlignment="1" applyProtection="1">
      <alignment horizontal="center" vertical="center"/>
    </xf>
    <xf numFmtId="167" fontId="51" fillId="9" borderId="7" xfId="0" applyNumberFormat="1" applyFont="1" applyFill="1" applyBorder="1" applyAlignment="1" applyProtection="1">
      <alignment horizontal="center" vertical="center"/>
    </xf>
    <xf numFmtId="176" fontId="51" fillId="4" borderId="0" xfId="0" applyNumberFormat="1" applyFont="1" applyFill="1" applyAlignment="1" applyProtection="1">
      <alignment vertical="center"/>
    </xf>
    <xf numFmtId="176" fontId="51" fillId="4" borderId="0" xfId="0" applyNumberFormat="1" applyFont="1" applyFill="1" applyAlignment="1" applyProtection="1">
      <alignment horizontal="center" vertical="center"/>
    </xf>
    <xf numFmtId="167" fontId="51" fillId="9" borderId="8" xfId="0" applyNumberFormat="1" applyFont="1" applyFill="1" applyBorder="1" applyAlignment="1" applyProtection="1">
      <alignment horizontal="center" vertical="center"/>
    </xf>
    <xf numFmtId="167" fontId="51" fillId="9" borderId="81" xfId="0" applyNumberFormat="1" applyFont="1" applyFill="1" applyBorder="1" applyAlignment="1" applyProtection="1">
      <alignment horizontal="center" vertical="center"/>
    </xf>
    <xf numFmtId="0" fontId="35" fillId="8" borderId="9" xfId="0" applyFont="1" applyFill="1" applyBorder="1" applyAlignment="1" applyProtection="1">
      <alignment horizontal="center" vertical="center" wrapText="1"/>
    </xf>
    <xf numFmtId="0" fontId="35" fillId="0" borderId="4" xfId="0" applyFont="1" applyBorder="1" applyAlignment="1" applyProtection="1">
      <alignment horizontal="justify" vertical="center" wrapText="1"/>
    </xf>
    <xf numFmtId="168" fontId="35" fillId="8" borderId="4" xfId="0" applyNumberFormat="1" applyFont="1" applyFill="1" applyBorder="1" applyAlignment="1" applyProtection="1">
      <alignment horizontal="center" vertical="center" wrapText="1"/>
    </xf>
    <xf numFmtId="4" fontId="35" fillId="0" borderId="4" xfId="0" applyNumberFormat="1" applyFont="1" applyBorder="1" applyAlignment="1" applyProtection="1">
      <alignment horizontal="center" vertical="center" wrapText="1"/>
    </xf>
    <xf numFmtId="4" fontId="35" fillId="8" borderId="44" xfId="0" applyNumberFormat="1" applyFont="1" applyFill="1" applyBorder="1" applyAlignment="1" applyProtection="1">
      <alignment horizontal="center" vertical="center" wrapText="1"/>
    </xf>
    <xf numFmtId="4" fontId="35" fillId="9" borderId="9" xfId="0" applyNumberFormat="1" applyFont="1" applyFill="1" applyBorder="1" applyAlignment="1" applyProtection="1">
      <alignment horizontal="center" vertical="center" wrapText="1"/>
    </xf>
    <xf numFmtId="4" fontId="35" fillId="9" borderId="4" xfId="0" applyNumberFormat="1" applyFont="1" applyFill="1" applyBorder="1" applyAlignment="1" applyProtection="1">
      <alignment horizontal="center" vertical="center" wrapText="1"/>
    </xf>
    <xf numFmtId="4" fontId="35" fillId="9" borderId="31" xfId="0" applyNumberFormat="1" applyFont="1" applyFill="1" applyBorder="1" applyAlignment="1" applyProtection="1">
      <alignment horizontal="center" vertical="center" wrapText="1"/>
    </xf>
    <xf numFmtId="40" fontId="35" fillId="9" borderId="46" xfId="0" applyNumberFormat="1" applyFont="1" applyFill="1" applyBorder="1" applyAlignment="1" applyProtection="1">
      <alignment horizontal="center" vertical="center" wrapText="1"/>
    </xf>
    <xf numFmtId="40" fontId="35" fillId="8" borderId="5" xfId="0" applyNumberFormat="1" applyFont="1" applyFill="1" applyBorder="1" applyAlignment="1" applyProtection="1">
      <alignment horizontal="center" vertical="center" wrapText="1"/>
    </xf>
    <xf numFmtId="10" fontId="11" fillId="8" borderId="31" xfId="0" applyNumberFormat="1" applyFont="1" applyFill="1" applyBorder="1" applyAlignment="1" applyProtection="1">
      <alignment horizontal="center" vertical="center" wrapText="1"/>
    </xf>
    <xf numFmtId="180" fontId="55" fillId="16" borderId="0" xfId="0" applyNumberFormat="1" applyFont="1" applyFill="1" applyAlignment="1" applyProtection="1">
      <alignment vertical="center"/>
    </xf>
    <xf numFmtId="0" fontId="55" fillId="16" borderId="0" xfId="0" applyFont="1" applyFill="1" applyAlignment="1" applyProtection="1">
      <alignment vertical="center"/>
    </xf>
    <xf numFmtId="0" fontId="55" fillId="15" borderId="0" xfId="0" applyFont="1" applyFill="1" applyAlignment="1" applyProtection="1">
      <alignment vertical="center"/>
    </xf>
    <xf numFmtId="0" fontId="35" fillId="8" borderId="48" xfId="0" applyFont="1" applyFill="1" applyBorder="1" applyAlignment="1" applyProtection="1">
      <alignment horizontal="center" vertical="center" wrapText="1"/>
    </xf>
    <xf numFmtId="168" fontId="35" fillId="8" borderId="11" xfId="0" applyNumberFormat="1" applyFont="1" applyFill="1" applyBorder="1" applyAlignment="1" applyProtection="1">
      <alignment horizontal="center" vertical="center" wrapText="1"/>
    </xf>
    <xf numFmtId="4" fontId="35" fillId="0" borderId="11" xfId="0" applyNumberFormat="1" applyFont="1" applyBorder="1" applyAlignment="1" applyProtection="1">
      <alignment horizontal="center" vertical="center" wrapText="1"/>
    </xf>
    <xf numFmtId="4" fontId="35" fillId="9" borderId="48" xfId="0" applyNumberFormat="1" applyFont="1" applyFill="1" applyBorder="1" applyAlignment="1" applyProtection="1">
      <alignment horizontal="center" vertical="center" wrapText="1"/>
    </xf>
    <xf numFmtId="4" fontId="35" fillId="9" borderId="11" xfId="0" applyNumberFormat="1" applyFont="1" applyFill="1" applyBorder="1" applyAlignment="1" applyProtection="1">
      <alignment horizontal="center" vertical="center" wrapText="1"/>
    </xf>
    <xf numFmtId="4" fontId="35" fillId="9" borderId="32" xfId="0" applyNumberFormat="1" applyFont="1" applyFill="1" applyBorder="1" applyAlignment="1" applyProtection="1">
      <alignment horizontal="center" vertical="center" wrapText="1"/>
    </xf>
    <xf numFmtId="0" fontId="35" fillId="8" borderId="43" xfId="0" applyFont="1" applyFill="1" applyBorder="1" applyAlignment="1" applyProtection="1">
      <alignment horizontal="center" vertical="center" wrapText="1"/>
    </xf>
    <xf numFmtId="0" fontId="35" fillId="0" borderId="7" xfId="0" applyFont="1" applyBorder="1" applyAlignment="1" applyProtection="1">
      <alignment horizontal="justify" vertical="center" wrapText="1"/>
    </xf>
    <xf numFmtId="0" fontId="35" fillId="8" borderId="7" xfId="0" applyFont="1" applyFill="1" applyBorder="1" applyAlignment="1" applyProtection="1">
      <alignment horizontal="center" vertical="center"/>
    </xf>
    <xf numFmtId="4" fontId="35" fillId="8" borderId="7" xfId="0" applyNumberFormat="1" applyFont="1" applyFill="1" applyBorder="1" applyAlignment="1" applyProtection="1">
      <alignment horizontal="center" vertical="center" wrapText="1"/>
    </xf>
    <xf numFmtId="4" fontId="35" fillId="8" borderId="59" xfId="0" applyNumberFormat="1" applyFont="1" applyFill="1" applyBorder="1" applyAlignment="1" applyProtection="1">
      <alignment horizontal="center" vertical="center" wrapText="1"/>
    </xf>
    <xf numFmtId="4" fontId="35" fillId="9" borderId="43" xfId="0" applyNumberFormat="1" applyFont="1" applyFill="1" applyBorder="1" applyAlignment="1" applyProtection="1">
      <alignment horizontal="center" vertical="center" wrapText="1"/>
    </xf>
    <xf numFmtId="4" fontId="35" fillId="9" borderId="7" xfId="0" applyNumberFormat="1" applyFont="1" applyFill="1" applyBorder="1" applyAlignment="1" applyProtection="1">
      <alignment horizontal="center" vertical="center" wrapText="1"/>
    </xf>
    <xf numFmtId="4" fontId="35" fillId="9" borderId="33" xfId="0" applyNumberFormat="1" applyFont="1" applyFill="1" applyBorder="1" applyAlignment="1" applyProtection="1">
      <alignment horizontal="center" vertical="center" wrapText="1"/>
    </xf>
    <xf numFmtId="40" fontId="35" fillId="9" borderId="88" xfId="0" applyNumberFormat="1" applyFont="1" applyFill="1" applyBorder="1" applyAlignment="1" applyProtection="1">
      <alignment horizontal="center" vertical="center" wrapText="1"/>
    </xf>
    <xf numFmtId="10" fontId="11" fillId="8" borderId="33" xfId="0" applyNumberFormat="1" applyFont="1" applyFill="1" applyBorder="1" applyAlignment="1" applyProtection="1">
      <alignment horizontal="center" vertical="center" wrapText="1"/>
    </xf>
    <xf numFmtId="0" fontId="58" fillId="0" borderId="0" xfId="0" applyFont="1" applyAlignment="1" applyProtection="1">
      <alignment vertical="center" wrapText="1"/>
    </xf>
    <xf numFmtId="49" fontId="19" fillId="0" borderId="9" xfId="0" applyNumberFormat="1" applyFont="1" applyBorder="1" applyAlignment="1" applyProtection="1">
      <alignment horizontal="center" vertical="center"/>
    </xf>
    <xf numFmtId="0" fontId="19" fillId="0" borderId="44" xfId="0" applyFont="1" applyBorder="1" applyAlignment="1" applyProtection="1">
      <alignment vertical="center" wrapText="1"/>
    </xf>
    <xf numFmtId="0" fontId="19" fillId="0" borderId="62" xfId="0" applyFont="1" applyBorder="1" applyAlignment="1" applyProtection="1">
      <alignment vertical="center" wrapText="1"/>
    </xf>
    <xf numFmtId="0" fontId="19" fillId="0" borderId="46" xfId="0" applyFont="1" applyBorder="1" applyAlignment="1" applyProtection="1">
      <alignment vertical="center" wrapText="1"/>
    </xf>
    <xf numFmtId="0" fontId="35" fillId="0" borderId="9" xfId="0" applyFont="1" applyBorder="1" applyAlignment="1" applyProtection="1">
      <alignment horizontal="center" vertical="center" wrapText="1"/>
    </xf>
    <xf numFmtId="0" fontId="35" fillId="0" borderId="4" xfId="0" applyFont="1" applyBorder="1" applyAlignment="1" applyProtection="1">
      <alignment horizontal="center" vertical="center"/>
    </xf>
    <xf numFmtId="4" fontId="35" fillId="0" borderId="44" xfId="0" applyNumberFormat="1" applyFont="1" applyBorder="1" applyAlignment="1" applyProtection="1">
      <alignment horizontal="center" vertical="center" wrapText="1"/>
    </xf>
    <xf numFmtId="4" fontId="35" fillId="9" borderId="44" xfId="0" applyNumberFormat="1" applyFont="1" applyFill="1" applyBorder="1" applyAlignment="1" applyProtection="1">
      <alignment horizontal="center" vertical="center" wrapText="1"/>
    </xf>
    <xf numFmtId="40" fontId="35" fillId="0" borderId="9" xfId="0" applyNumberFormat="1" applyFont="1" applyBorder="1" applyAlignment="1" applyProtection="1">
      <alignment horizontal="center" vertical="center" wrapText="1"/>
    </xf>
    <xf numFmtId="10" fontId="11" fillId="0" borderId="31" xfId="0" applyNumberFormat="1" applyFont="1" applyBorder="1" applyAlignment="1" applyProtection="1">
      <alignment horizontal="center" vertical="center" wrapText="1"/>
    </xf>
    <xf numFmtId="0" fontId="35" fillId="0" borderId="4" xfId="0" applyFont="1" applyBorder="1" applyAlignment="1" applyProtection="1">
      <alignment horizontal="justify" vertical="center"/>
    </xf>
    <xf numFmtId="168" fontId="35" fillId="0" borderId="4" xfId="0" applyNumberFormat="1" applyFont="1" applyBorder="1" applyAlignment="1" applyProtection="1">
      <alignment horizontal="center" vertical="center" wrapText="1"/>
    </xf>
    <xf numFmtId="168" fontId="35" fillId="0" borderId="11" xfId="0" applyNumberFormat="1" applyFont="1" applyBorder="1" applyAlignment="1" applyProtection="1">
      <alignment horizontal="center" vertical="center" wrapText="1"/>
    </xf>
    <xf numFmtId="4" fontId="35" fillId="9" borderId="45" xfId="0" applyNumberFormat="1" applyFont="1" applyFill="1" applyBorder="1" applyAlignment="1" applyProtection="1">
      <alignment horizontal="center" vertical="center" wrapText="1"/>
    </xf>
    <xf numFmtId="40" fontId="35" fillId="0" borderId="43" xfId="0" applyNumberFormat="1" applyFont="1" applyBorder="1" applyAlignment="1" applyProtection="1">
      <alignment horizontal="center" vertical="center" wrapText="1"/>
    </xf>
    <xf numFmtId="4" fontId="19" fillId="4" borderId="26" xfId="0" applyNumberFormat="1" applyFont="1" applyFill="1" applyBorder="1" applyAlignment="1" applyProtection="1">
      <alignment vertical="center" wrapText="1"/>
    </xf>
    <xf numFmtId="4" fontId="19" fillId="4" borderId="0" xfId="0" applyNumberFormat="1" applyFont="1" applyFill="1" applyAlignment="1" applyProtection="1">
      <alignment vertical="center" wrapText="1"/>
    </xf>
    <xf numFmtId="4" fontId="19" fillId="9" borderId="8" xfId="0" applyNumberFormat="1" applyFont="1" applyFill="1" applyBorder="1" applyAlignment="1" applyProtection="1">
      <alignment horizontal="center" vertical="center"/>
    </xf>
    <xf numFmtId="4" fontId="19" fillId="9" borderId="6" xfId="0" applyNumberFormat="1" applyFont="1" applyFill="1" applyBorder="1" applyAlignment="1" applyProtection="1">
      <alignment horizontal="center" vertical="center"/>
    </xf>
    <xf numFmtId="4" fontId="19" fillId="9" borderId="58" xfId="0" applyNumberFormat="1" applyFont="1" applyFill="1" applyBorder="1" applyAlignment="1" applyProtection="1">
      <alignment horizontal="center" vertical="center"/>
    </xf>
    <xf numFmtId="167" fontId="19" fillId="9" borderId="8" xfId="0" applyNumberFormat="1" applyFont="1" applyFill="1" applyBorder="1" applyAlignment="1" applyProtection="1">
      <alignment horizontal="center" vertical="center"/>
    </xf>
    <xf numFmtId="167" fontId="19" fillId="9" borderId="6" xfId="0" applyNumberFormat="1" applyFont="1" applyFill="1" applyBorder="1" applyAlignment="1" applyProtection="1">
      <alignment horizontal="center" vertical="center"/>
    </xf>
    <xf numFmtId="167" fontId="19" fillId="9" borderId="15" xfId="0" applyNumberFormat="1" applyFont="1" applyFill="1" applyBorder="1" applyAlignment="1" applyProtection="1">
      <alignment horizontal="center" vertical="center"/>
    </xf>
    <xf numFmtId="1" fontId="35" fillId="0" borderId="9" xfId="0" applyNumberFormat="1" applyFont="1" applyBorder="1" applyAlignment="1" applyProtection="1">
      <alignment horizontal="center" vertical="center"/>
    </xf>
    <xf numFmtId="0" fontId="55" fillId="11" borderId="0" xfId="0" applyFont="1" applyFill="1" applyAlignment="1" applyProtection="1">
      <alignment vertical="center"/>
    </xf>
    <xf numFmtId="0" fontId="35" fillId="0" borderId="44" xfId="0" applyFont="1" applyBorder="1" applyAlignment="1" applyProtection="1">
      <alignment horizontal="justify" vertical="center"/>
    </xf>
    <xf numFmtId="1" fontId="35" fillId="8" borderId="9" xfId="0" applyNumberFormat="1" applyFont="1" applyFill="1" applyBorder="1" applyAlignment="1" applyProtection="1">
      <alignment horizontal="center" vertical="center"/>
    </xf>
    <xf numFmtId="0" fontId="35" fillId="8" borderId="4" xfId="0" applyFont="1" applyFill="1" applyBorder="1" applyAlignment="1" applyProtection="1">
      <alignment horizontal="center" vertical="center"/>
    </xf>
    <xf numFmtId="0" fontId="55" fillId="8" borderId="0" xfId="0" applyFont="1" applyFill="1" applyAlignment="1" applyProtection="1">
      <alignment vertical="center"/>
    </xf>
    <xf numFmtId="4" fontId="35" fillId="8" borderId="4" xfId="0" applyNumberFormat="1" applyFont="1" applyFill="1" applyBorder="1" applyAlignment="1" applyProtection="1">
      <alignment horizontal="center" vertical="center" wrapText="1"/>
    </xf>
    <xf numFmtId="2" fontId="35" fillId="0" borderId="9" xfId="0" applyNumberFormat="1" applyFont="1" applyBorder="1" applyAlignment="1" applyProtection="1">
      <alignment horizontal="center" vertical="center"/>
    </xf>
    <xf numFmtId="0" fontId="35" fillId="0" borderId="4" xfId="0" applyFont="1" applyBorder="1" applyAlignment="1" applyProtection="1">
      <alignment horizontal="left" vertical="center" wrapText="1"/>
    </xf>
    <xf numFmtId="0" fontId="35" fillId="0" borderId="4" xfId="0" applyFont="1" applyBorder="1" applyAlignment="1" applyProtection="1">
      <alignment horizontal="center" vertical="center" wrapText="1"/>
    </xf>
    <xf numFmtId="2" fontId="35" fillId="0" borderId="4" xfId="0" applyNumberFormat="1" applyFont="1" applyBorder="1" applyAlignment="1" applyProtection="1">
      <alignment horizontal="center" vertical="center" wrapText="1"/>
    </xf>
    <xf numFmtId="0" fontId="35" fillId="0" borderId="43" xfId="0" applyFont="1" applyBorder="1" applyAlignment="1" applyProtection="1">
      <alignment horizontal="center" vertical="center"/>
    </xf>
    <xf numFmtId="0" fontId="35" fillId="0" borderId="7" xfId="0" applyFont="1" applyBorder="1" applyAlignment="1" applyProtection="1">
      <alignment horizontal="justify" vertical="center"/>
    </xf>
    <xf numFmtId="168" fontId="35" fillId="0" borderId="7" xfId="0" applyNumberFormat="1" applyFont="1" applyBorder="1" applyAlignment="1" applyProtection="1">
      <alignment horizontal="center" vertical="center" wrapText="1"/>
    </xf>
    <xf numFmtId="4" fontId="35" fillId="0" borderId="7" xfId="0" applyNumberFormat="1" applyFont="1" applyBorder="1" applyAlignment="1" applyProtection="1">
      <alignment horizontal="center" vertical="center"/>
    </xf>
    <xf numFmtId="4" fontId="35" fillId="0" borderId="59" xfId="0" applyNumberFormat="1" applyFont="1" applyBorder="1" applyAlignment="1" applyProtection="1">
      <alignment horizontal="center" vertical="center" wrapText="1"/>
    </xf>
    <xf numFmtId="4" fontId="35" fillId="9" borderId="43" xfId="0" applyNumberFormat="1" applyFont="1" applyFill="1" applyBorder="1" applyAlignment="1" applyProtection="1">
      <alignment horizontal="center" vertical="center"/>
    </xf>
    <xf numFmtId="4" fontId="35" fillId="9" borderId="7" xfId="0" applyNumberFormat="1" applyFont="1" applyFill="1" applyBorder="1" applyAlignment="1" applyProtection="1">
      <alignment horizontal="center" vertical="center"/>
    </xf>
    <xf numFmtId="4" fontId="35" fillId="9" borderId="59" xfId="0" applyNumberFormat="1" applyFont="1" applyFill="1" applyBorder="1" applyAlignment="1" applyProtection="1">
      <alignment horizontal="center" vertical="center" wrapText="1"/>
    </xf>
    <xf numFmtId="10" fontId="11" fillId="0" borderId="33" xfId="0" applyNumberFormat="1" applyFont="1" applyBorder="1" applyAlignment="1" applyProtection="1">
      <alignment horizontal="center" vertical="center" wrapText="1"/>
    </xf>
    <xf numFmtId="0" fontId="19" fillId="4" borderId="0" xfId="0" applyFont="1" applyFill="1" applyAlignment="1" applyProtection="1">
      <alignment vertical="center"/>
    </xf>
    <xf numFmtId="4" fontId="19" fillId="9" borderId="15" xfId="0" applyNumberFormat="1" applyFont="1" applyFill="1" applyBorder="1" applyAlignment="1" applyProtection="1">
      <alignment horizontal="center" vertical="center"/>
    </xf>
    <xf numFmtId="167" fontId="19" fillId="9" borderId="81" xfId="0" applyNumberFormat="1" applyFont="1" applyFill="1" applyBorder="1" applyAlignment="1" applyProtection="1">
      <alignment horizontal="center" vertical="center"/>
    </xf>
    <xf numFmtId="0" fontId="35" fillId="8" borderId="9" xfId="0" applyFont="1" applyFill="1" applyBorder="1" applyAlignment="1" applyProtection="1">
      <alignment horizontal="center" vertical="center"/>
    </xf>
    <xf numFmtId="4" fontId="35" fillId="8" borderId="4" xfId="0" applyNumberFormat="1" applyFont="1" applyFill="1" applyBorder="1" applyAlignment="1" applyProtection="1">
      <alignment horizontal="center" vertical="center"/>
    </xf>
    <xf numFmtId="4" fontId="35" fillId="8" borderId="44" xfId="0" applyNumberFormat="1" applyFont="1" applyFill="1" applyBorder="1" applyAlignment="1" applyProtection="1">
      <alignment horizontal="center" vertical="center"/>
    </xf>
    <xf numFmtId="4" fontId="35" fillId="9" borderId="9" xfId="0" applyNumberFormat="1" applyFont="1" applyFill="1" applyBorder="1" applyAlignment="1" applyProtection="1">
      <alignment horizontal="center" vertical="center"/>
    </xf>
    <xf numFmtId="4" fontId="35" fillId="9" borderId="4" xfId="0" applyNumberFormat="1" applyFont="1" applyFill="1" applyBorder="1" applyAlignment="1" applyProtection="1">
      <alignment horizontal="center" vertical="center"/>
    </xf>
    <xf numFmtId="40" fontId="35" fillId="0" borderId="5" xfId="0" applyNumberFormat="1" applyFont="1" applyBorder="1" applyAlignment="1" applyProtection="1">
      <alignment horizontal="center" vertical="center" wrapText="1"/>
    </xf>
    <xf numFmtId="4" fontId="35" fillId="9" borderId="48" xfId="0" applyNumberFormat="1" applyFont="1" applyFill="1" applyBorder="1" applyAlignment="1" applyProtection="1">
      <alignment horizontal="center" vertical="center"/>
    </xf>
    <xf numFmtId="4" fontId="35" fillId="9" borderId="11" xfId="0" applyNumberFormat="1" applyFont="1" applyFill="1" applyBorder="1" applyAlignment="1" applyProtection="1">
      <alignment horizontal="center" vertical="center"/>
    </xf>
    <xf numFmtId="0" fontId="35" fillId="0" borderId="11" xfId="0" applyFont="1" applyBorder="1" applyAlignment="1" applyProtection="1">
      <alignment horizontal="justify" vertical="center"/>
    </xf>
    <xf numFmtId="0" fontId="35" fillId="8" borderId="11" xfId="0" applyFont="1" applyFill="1" applyBorder="1" applyAlignment="1" applyProtection="1">
      <alignment horizontal="center" vertical="center"/>
    </xf>
    <xf numFmtId="0" fontId="35" fillId="8" borderId="43" xfId="0" applyFont="1" applyFill="1" applyBorder="1" applyAlignment="1" applyProtection="1">
      <alignment horizontal="center" vertical="center"/>
    </xf>
    <xf numFmtId="4" fontId="35" fillId="8" borderId="7" xfId="0" applyNumberFormat="1" applyFont="1" applyFill="1" applyBorder="1" applyAlignment="1" applyProtection="1">
      <alignment horizontal="center" vertical="center"/>
    </xf>
    <xf numFmtId="4" fontId="35" fillId="8" borderId="59" xfId="0" applyNumberFormat="1" applyFont="1" applyFill="1" applyBorder="1" applyAlignment="1" applyProtection="1">
      <alignment horizontal="center" vertical="center"/>
    </xf>
    <xf numFmtId="4" fontId="35" fillId="0" borderId="65" xfId="0" applyNumberFormat="1" applyFont="1" applyBorder="1" applyAlignment="1" applyProtection="1">
      <alignment horizontal="center" vertical="center"/>
    </xf>
    <xf numFmtId="0" fontId="35" fillId="0" borderId="9" xfId="0" applyFont="1" applyBorder="1" applyAlignment="1" applyProtection="1">
      <alignment horizontal="center" vertical="center"/>
    </xf>
    <xf numFmtId="49" fontId="35" fillId="0" borderId="4" xfId="0" applyNumberFormat="1" applyFont="1" applyBorder="1" applyAlignment="1" applyProtection="1">
      <alignment horizontal="justify" vertical="center" wrapText="1"/>
    </xf>
    <xf numFmtId="4" fontId="35" fillId="0" borderId="4" xfId="0" applyNumberFormat="1" applyFont="1" applyBorder="1" applyAlignment="1" applyProtection="1">
      <alignment horizontal="center" vertical="center"/>
    </xf>
    <xf numFmtId="4" fontId="35" fillId="0" borderId="44" xfId="0" applyNumberFormat="1" applyFont="1" applyBorder="1" applyAlignment="1" applyProtection="1">
      <alignment horizontal="center" vertical="center"/>
    </xf>
    <xf numFmtId="49" fontId="35" fillId="0" borderId="11" xfId="0" applyNumberFormat="1" applyFont="1" applyBorder="1" applyAlignment="1" applyProtection="1">
      <alignment horizontal="justify" vertical="center" wrapText="1"/>
    </xf>
    <xf numFmtId="49" fontId="35" fillId="0" borderId="7" xfId="0" applyNumberFormat="1" applyFont="1" applyBorder="1" applyAlignment="1" applyProtection="1">
      <alignment horizontal="justify" vertical="center" wrapText="1"/>
    </xf>
    <xf numFmtId="4" fontId="35" fillId="0" borderId="59" xfId="0" applyNumberFormat="1" applyFont="1" applyBorder="1" applyAlignment="1" applyProtection="1">
      <alignment horizontal="center" vertical="center"/>
    </xf>
    <xf numFmtId="0" fontId="19" fillId="0" borderId="9" xfId="0" applyFont="1" applyBorder="1" applyAlignment="1" applyProtection="1">
      <alignment horizontal="center" vertical="center"/>
    </xf>
    <xf numFmtId="168" fontId="35" fillId="4" borderId="4" xfId="0" applyNumberFormat="1" applyFont="1" applyFill="1" applyBorder="1" applyAlignment="1" applyProtection="1">
      <alignment horizontal="center" vertical="center" wrapText="1"/>
    </xf>
    <xf numFmtId="4" fontId="35" fillId="4" borderId="44" xfId="0" applyNumberFormat="1" applyFont="1" applyFill="1" applyBorder="1" applyAlignment="1" applyProtection="1">
      <alignment horizontal="center" vertical="center"/>
    </xf>
    <xf numFmtId="40" fontId="35" fillId="0" borderId="65" xfId="0" applyNumberFormat="1" applyFont="1" applyBorder="1" applyAlignment="1" applyProtection="1">
      <alignment horizontal="center" vertical="center" wrapText="1"/>
    </xf>
    <xf numFmtId="4" fontId="10" fillId="0" borderId="4" xfId="0" applyNumberFormat="1" applyFont="1" applyBorder="1" applyAlignment="1" applyProtection="1">
      <alignment horizontal="center" vertical="center"/>
    </xf>
    <xf numFmtId="4" fontId="35" fillId="4" borderId="4" xfId="0" applyNumberFormat="1" applyFont="1" applyFill="1" applyBorder="1" applyAlignment="1" applyProtection="1">
      <alignment horizontal="center" vertical="center"/>
    </xf>
    <xf numFmtId="0" fontId="58" fillId="0" borderId="20" xfId="0" applyFont="1" applyBorder="1" applyAlignment="1" applyProtection="1">
      <alignment vertical="center" wrapText="1"/>
    </xf>
    <xf numFmtId="167" fontId="51" fillId="7" borderId="14" xfId="0" applyNumberFormat="1" applyFont="1" applyFill="1" applyBorder="1" applyAlignment="1" applyProtection="1">
      <alignment horizontal="center" vertical="center"/>
    </xf>
    <xf numFmtId="172" fontId="54" fillId="7" borderId="14" xfId="0" applyNumberFormat="1" applyFont="1" applyFill="1" applyBorder="1" applyAlignment="1" applyProtection="1">
      <alignment horizontal="center" vertical="center"/>
    </xf>
    <xf numFmtId="4" fontId="53" fillId="0" borderId="0" xfId="0" applyNumberFormat="1" applyFont="1" applyAlignment="1" applyProtection="1">
      <alignment vertical="center"/>
    </xf>
    <xf numFmtId="167" fontId="51" fillId="12" borderId="14" xfId="0" applyNumberFormat="1" applyFont="1" applyFill="1" applyBorder="1" applyAlignment="1" applyProtection="1">
      <alignment horizontal="center" vertical="center"/>
    </xf>
    <xf numFmtId="10" fontId="54" fillId="12" borderId="14" xfId="0" applyNumberFormat="1" applyFont="1" applyFill="1" applyBorder="1" applyAlignment="1" applyProtection="1">
      <alignment horizontal="center" vertical="center"/>
    </xf>
    <xf numFmtId="0" fontId="58" fillId="0" borderId="26" xfId="0" applyFont="1" applyBorder="1" applyAlignment="1" applyProtection="1">
      <alignment vertical="center"/>
    </xf>
    <xf numFmtId="4" fontId="51" fillId="0" borderId="8" xfId="0" applyNumberFormat="1" applyFont="1" applyBorder="1" applyAlignment="1" applyProtection="1">
      <alignment horizontal="center" vertical="center"/>
    </xf>
    <xf numFmtId="4" fontId="51" fillId="0" borderId="6" xfId="0" applyNumberFormat="1" applyFont="1" applyBorder="1" applyAlignment="1" applyProtection="1">
      <alignment horizontal="center" vertical="center"/>
    </xf>
    <xf numFmtId="4" fontId="51" fillId="0" borderId="58" xfId="0" applyNumberFormat="1" applyFont="1" applyBorder="1" applyAlignment="1" applyProtection="1">
      <alignment horizontal="center" vertical="center"/>
    </xf>
    <xf numFmtId="167" fontId="51" fillId="0" borderId="6" xfId="0" applyNumberFormat="1" applyFont="1" applyBorder="1" applyAlignment="1" applyProtection="1">
      <alignment horizontal="center" vertical="center"/>
    </xf>
    <xf numFmtId="4" fontId="51" fillId="0" borderId="43" xfId="0" applyNumberFormat="1" applyFont="1" applyBorder="1" applyAlignment="1" applyProtection="1">
      <alignment horizontal="center" vertical="center"/>
    </xf>
    <xf numFmtId="4" fontId="51" fillId="0" borderId="7" xfId="0" applyNumberFormat="1" applyFont="1" applyBorder="1" applyAlignment="1" applyProtection="1">
      <alignment horizontal="center" vertical="center"/>
    </xf>
    <xf numFmtId="4" fontId="51" fillId="0" borderId="59" xfId="0" applyNumberFormat="1" applyFont="1" applyBorder="1" applyAlignment="1" applyProtection="1">
      <alignment horizontal="center" vertical="center"/>
    </xf>
    <xf numFmtId="167" fontId="51" fillId="0" borderId="7" xfId="0" applyNumberFormat="1" applyFont="1" applyBorder="1" applyAlignment="1" applyProtection="1">
      <alignment horizontal="center" vertical="center"/>
    </xf>
    <xf numFmtId="4" fontId="51" fillId="7" borderId="8" xfId="0" applyNumberFormat="1" applyFont="1" applyFill="1" applyBorder="1" applyAlignment="1" applyProtection="1">
      <alignment horizontal="center" vertical="center"/>
    </xf>
    <xf numFmtId="4" fontId="51" fillId="7" borderId="6" xfId="0" applyNumberFormat="1" applyFont="1" applyFill="1" applyBorder="1" applyAlignment="1" applyProtection="1">
      <alignment horizontal="center" vertical="center"/>
    </xf>
    <xf numFmtId="4" fontId="51" fillId="7" borderId="58" xfId="0" applyNumberFormat="1" applyFont="1" applyFill="1" applyBorder="1" applyAlignment="1" applyProtection="1">
      <alignment horizontal="center" vertical="center"/>
    </xf>
    <xf numFmtId="4" fontId="52" fillId="7" borderId="6" xfId="0" applyNumberFormat="1" applyFont="1" applyFill="1" applyBorder="1" applyAlignment="1" applyProtection="1">
      <alignment horizontal="center" vertical="center"/>
    </xf>
    <xf numFmtId="4" fontId="52" fillId="7" borderId="7" xfId="0" applyNumberFormat="1" applyFont="1" applyFill="1" applyBorder="1" applyAlignment="1" applyProtection="1">
      <alignment horizontal="center" vertical="center"/>
    </xf>
    <xf numFmtId="4" fontId="51" fillId="4" borderId="49" xfId="0" applyNumberFormat="1" applyFont="1" applyFill="1" applyBorder="1" applyAlignment="1" applyProtection="1">
      <alignment horizontal="center" vertical="center"/>
    </xf>
    <xf numFmtId="4" fontId="51" fillId="4" borderId="3" xfId="0" applyNumberFormat="1" applyFont="1" applyFill="1" applyBorder="1" applyAlignment="1" applyProtection="1">
      <alignment horizontal="center" vertical="center"/>
    </xf>
    <xf numFmtId="4" fontId="51" fillId="4" borderId="60" xfId="0" applyNumberFormat="1" applyFont="1" applyFill="1" applyBorder="1" applyAlignment="1" applyProtection="1">
      <alignment horizontal="center" vertical="center"/>
    </xf>
    <xf numFmtId="4" fontId="52" fillId="4" borderId="3" xfId="0" applyNumberFormat="1" applyFont="1" applyFill="1" applyBorder="1" applyAlignment="1" applyProtection="1">
      <alignment horizontal="center" vertical="center"/>
    </xf>
    <xf numFmtId="4" fontId="52" fillId="4" borderId="6" xfId="0" applyNumberFormat="1" applyFont="1" applyFill="1" applyBorder="1" applyAlignment="1" applyProtection="1">
      <alignment horizontal="center" vertical="center"/>
    </xf>
    <xf numFmtId="4" fontId="52" fillId="4" borderId="7" xfId="0" applyNumberFormat="1" applyFont="1" applyFill="1" applyBorder="1" applyAlignment="1" applyProtection="1">
      <alignment horizontal="center" vertical="center"/>
    </xf>
    <xf numFmtId="4" fontId="52" fillId="0" borderId="6" xfId="0" applyNumberFormat="1" applyFont="1" applyBorder="1" applyAlignment="1" applyProtection="1">
      <alignment horizontal="center" vertical="center"/>
    </xf>
    <xf numFmtId="4" fontId="52" fillId="0" borderId="7" xfId="0" applyNumberFormat="1" applyFont="1" applyBorder="1" applyAlignment="1" applyProtection="1">
      <alignment horizontal="center" vertical="center"/>
    </xf>
    <xf numFmtId="4" fontId="51" fillId="7" borderId="49" xfId="0" applyNumberFormat="1" applyFont="1" applyFill="1" applyBorder="1" applyAlignment="1" applyProtection="1">
      <alignment horizontal="center" vertical="center"/>
    </xf>
    <xf numFmtId="4" fontId="51" fillId="7" borderId="3" xfId="0" applyNumberFormat="1" applyFont="1" applyFill="1" applyBorder="1" applyAlignment="1" applyProtection="1">
      <alignment horizontal="center" vertical="center"/>
    </xf>
    <xf numFmtId="4" fontId="51" fillId="7" borderId="60" xfId="0" applyNumberFormat="1" applyFont="1" applyFill="1" applyBorder="1" applyAlignment="1" applyProtection="1">
      <alignment horizontal="center" vertical="center"/>
    </xf>
    <xf numFmtId="4" fontId="52" fillId="7" borderId="3" xfId="0" applyNumberFormat="1" applyFont="1" applyFill="1" applyBorder="1" applyAlignment="1" applyProtection="1">
      <alignment horizontal="center" vertical="center"/>
    </xf>
    <xf numFmtId="4" fontId="52" fillId="7" borderId="11" xfId="0" applyNumberFormat="1" applyFont="1" applyFill="1" applyBorder="1" applyAlignment="1" applyProtection="1">
      <alignment horizontal="center" vertical="center"/>
    </xf>
    <xf numFmtId="0" fontId="58" fillId="0" borderId="0" xfId="0" applyFont="1" applyAlignment="1" applyProtection="1">
      <alignment horizontal="center" vertical="center"/>
    </xf>
    <xf numFmtId="0" fontId="56" fillId="0" borderId="0" xfId="0" applyFont="1" applyAlignment="1" applyProtection="1">
      <alignment horizontal="justify" vertical="center"/>
    </xf>
    <xf numFmtId="168" fontId="56" fillId="0" borderId="0" xfId="0" applyNumberFormat="1" applyFont="1" applyAlignment="1" applyProtection="1">
      <alignment vertical="center"/>
    </xf>
    <xf numFmtId="4" fontId="52" fillId="0" borderId="0" xfId="0" applyNumberFormat="1" applyFont="1" applyAlignment="1" applyProtection="1">
      <alignment vertical="center"/>
    </xf>
    <xf numFmtId="4" fontId="56" fillId="0" borderId="0" xfId="0" applyNumberFormat="1" applyFont="1" applyAlignment="1" applyProtection="1">
      <alignment horizontal="center" vertical="center"/>
    </xf>
    <xf numFmtId="168" fontId="56" fillId="0" borderId="58" xfId="0" applyNumberFormat="1" applyFont="1" applyBorder="1" applyAlignment="1" applyProtection="1">
      <alignment horizontal="center" vertical="center"/>
    </xf>
    <xf numFmtId="168" fontId="56" fillId="0" borderId="59" xfId="0" applyNumberFormat="1" applyFont="1" applyBorder="1" applyAlignment="1" applyProtection="1">
      <alignment horizontal="center" vertical="center"/>
    </xf>
    <xf numFmtId="4" fontId="58" fillId="0" borderId="0" xfId="0" applyNumberFormat="1" applyFont="1" applyAlignment="1" applyProtection="1">
      <alignment vertical="center"/>
    </xf>
    <xf numFmtId="4" fontId="58" fillId="0" borderId="0" xfId="0" applyNumberFormat="1" applyFont="1" applyAlignment="1" applyProtection="1">
      <alignment horizontal="center" vertical="center"/>
    </xf>
    <xf numFmtId="4" fontId="58" fillId="0" borderId="0" xfId="0" applyNumberFormat="1" applyFont="1" applyAlignment="1" applyProtection="1">
      <alignment horizontal="left" vertical="center"/>
    </xf>
    <xf numFmtId="4" fontId="15" fillId="0" borderId="0" xfId="0" applyNumberFormat="1" applyFont="1" applyAlignment="1" applyProtection="1">
      <alignment horizontal="right" vertical="center"/>
    </xf>
    <xf numFmtId="4" fontId="15" fillId="0" borderId="0" xfId="0" quotePrefix="1" applyNumberFormat="1" applyFont="1" applyAlignment="1" applyProtection="1">
      <alignment vertical="center"/>
    </xf>
    <xf numFmtId="4" fontId="15" fillId="0" borderId="0" xfId="0" quotePrefix="1" applyNumberFormat="1" applyFont="1" applyAlignment="1" applyProtection="1">
      <alignment horizontal="right" vertical="center"/>
    </xf>
    <xf numFmtId="168" fontId="56" fillId="0" borderId="0" xfId="0" applyNumberFormat="1" applyFont="1" applyAlignment="1" applyProtection="1">
      <alignment horizontal="center" vertical="center"/>
    </xf>
    <xf numFmtId="10" fontId="57" fillId="0" borderId="0" xfId="0" applyNumberFormat="1" applyFont="1" applyAlignment="1" applyProtection="1">
      <alignment horizontal="center" vertical="center"/>
    </xf>
    <xf numFmtId="168" fontId="61" fillId="0" borderId="0" xfId="0" applyNumberFormat="1" applyFont="1" applyAlignment="1" applyProtection="1">
      <alignment horizontal="right" vertical="center"/>
    </xf>
    <xf numFmtId="168" fontId="61" fillId="0" borderId="0" xfId="0" applyNumberFormat="1" applyFont="1" applyAlignment="1" applyProtection="1">
      <alignment vertical="center"/>
    </xf>
    <xf numFmtId="168" fontId="61" fillId="0" borderId="0" xfId="0" applyNumberFormat="1" applyFont="1" applyAlignment="1" applyProtection="1">
      <alignment horizontal="center" vertical="center"/>
    </xf>
    <xf numFmtId="0" fontId="61" fillId="0" borderId="0" xfId="0" applyFont="1" applyAlignment="1" applyProtection="1">
      <alignment horizontal="center" vertical="center"/>
    </xf>
    <xf numFmtId="0" fontId="43" fillId="0" borderId="0" xfId="0" applyFont="1" applyAlignment="1" applyProtection="1">
      <alignment vertical="center"/>
    </xf>
    <xf numFmtId="168" fontId="62" fillId="0" borderId="0" xfId="0" applyNumberFormat="1" applyFont="1" applyAlignment="1" applyProtection="1">
      <alignment vertical="center"/>
    </xf>
    <xf numFmtId="4" fontId="62" fillId="0" borderId="0" xfId="0" applyNumberFormat="1" applyFont="1" applyAlignment="1" applyProtection="1">
      <alignment vertical="center"/>
    </xf>
    <xf numFmtId="4" fontId="62" fillId="0" borderId="0" xfId="0" applyNumberFormat="1" applyFont="1" applyAlignment="1" applyProtection="1">
      <alignment horizontal="center" vertical="center"/>
    </xf>
    <xf numFmtId="168" fontId="62" fillId="0" borderId="0" xfId="0" applyNumberFormat="1" applyFont="1" applyAlignment="1" applyProtection="1">
      <alignment horizontal="center" vertical="center"/>
    </xf>
    <xf numFmtId="172" fontId="62" fillId="0" borderId="0" xfId="0" applyNumberFormat="1" applyFont="1" applyAlignment="1" applyProtection="1">
      <alignment horizontal="center" vertical="center"/>
    </xf>
    <xf numFmtId="0" fontId="62" fillId="0" borderId="0" xfId="0" applyFont="1" applyAlignment="1" applyProtection="1">
      <alignment vertical="center"/>
    </xf>
    <xf numFmtId="4" fontId="56" fillId="0" borderId="0" xfId="0" applyNumberFormat="1" applyFont="1" applyAlignment="1" applyProtection="1">
      <alignment horizontal="justify" vertical="center"/>
    </xf>
    <xf numFmtId="4" fontId="52" fillId="0" borderId="0" xfId="0" applyNumberFormat="1" applyFont="1" applyAlignment="1" applyProtection="1">
      <alignment horizontal="center" vertical="center"/>
    </xf>
    <xf numFmtId="40" fontId="56" fillId="0" borderId="0" xfId="0" applyNumberFormat="1" applyFont="1" applyAlignment="1" applyProtection="1">
      <alignment horizontal="center" vertical="center"/>
    </xf>
    <xf numFmtId="0" fontId="55" fillId="0" borderId="0" xfId="0" applyFont="1" applyAlignment="1" applyProtection="1">
      <alignment horizontal="center" vertical="center"/>
    </xf>
    <xf numFmtId="49" fontId="56" fillId="0" borderId="0" xfId="0" applyNumberFormat="1" applyFont="1" applyAlignment="1" applyProtection="1">
      <alignment horizontal="center" vertical="center"/>
    </xf>
    <xf numFmtId="10" fontId="57" fillId="0" borderId="0" xfId="0" applyNumberFormat="1" applyFont="1" applyAlignment="1" applyProtection="1">
      <alignment vertical="center"/>
    </xf>
    <xf numFmtId="4" fontId="55" fillId="0" borderId="0" xfId="0" applyNumberFormat="1" applyFont="1" applyAlignment="1" applyProtection="1">
      <alignment vertical="center"/>
    </xf>
    <xf numFmtId="0" fontId="38" fillId="0" borderId="0" xfId="0" applyFont="1" applyProtection="1"/>
    <xf numFmtId="2" fontId="38" fillId="0" borderId="0" xfId="0" applyNumberFormat="1" applyFont="1" applyProtection="1"/>
    <xf numFmtId="0" fontId="11" fillId="0" borderId="0" xfId="0" applyFont="1" applyProtection="1"/>
    <xf numFmtId="0" fontId="66" fillId="0" borderId="0" xfId="0" applyFont="1" applyProtection="1"/>
    <xf numFmtId="0" fontId="18" fillId="0" borderId="0" xfId="0" applyFont="1" applyAlignment="1" applyProtection="1">
      <alignment horizontal="center" vertical="center" wrapText="1"/>
    </xf>
    <xf numFmtId="168" fontId="23" fillId="6" borderId="52" xfId="0" applyNumberFormat="1" applyFont="1" applyFill="1" applyBorder="1" applyAlignment="1" applyProtection="1">
      <alignment horizontal="center" vertical="center" wrapText="1"/>
    </xf>
    <xf numFmtId="168" fontId="23" fillId="6" borderId="11" xfId="0" applyNumberFormat="1" applyFont="1" applyFill="1" applyBorder="1" applyAlignment="1" applyProtection="1">
      <alignment horizontal="center" vertical="center" wrapText="1"/>
    </xf>
    <xf numFmtId="171" fontId="23" fillId="6" borderId="11" xfId="0" applyNumberFormat="1" applyFont="1" applyFill="1" applyBorder="1" applyAlignment="1" applyProtection="1">
      <alignment horizontal="center" vertical="center" wrapText="1"/>
    </xf>
    <xf numFmtId="171" fontId="23" fillId="6" borderId="53" xfId="0" applyNumberFormat="1" applyFont="1" applyFill="1" applyBorder="1" applyAlignment="1" applyProtection="1">
      <alignment horizontal="center" vertical="center" wrapText="1"/>
    </xf>
    <xf numFmtId="4" fontId="38" fillId="0" borderId="0" xfId="0" applyNumberFormat="1" applyFont="1" applyProtection="1"/>
    <xf numFmtId="4" fontId="23" fillId="0" borderId="4" xfId="0" applyNumberFormat="1" applyFont="1" applyBorder="1" applyAlignment="1" applyProtection="1">
      <alignment horizontal="center" vertical="center" wrapText="1"/>
    </xf>
    <xf numFmtId="10" fontId="23" fillId="0" borderId="4" xfId="0" applyNumberFormat="1" applyFont="1" applyBorder="1" applyAlignment="1" applyProtection="1">
      <alignment horizontal="center" vertical="center" wrapText="1"/>
    </xf>
    <xf numFmtId="2" fontId="38" fillId="0" borderId="0" xfId="0" applyNumberFormat="1" applyFont="1" applyAlignment="1" applyProtection="1">
      <alignment horizontal="center"/>
    </xf>
    <xf numFmtId="0" fontId="38" fillId="0" borderId="0" xfId="0" applyFont="1" applyAlignment="1" applyProtection="1">
      <alignment horizontal="center"/>
    </xf>
    <xf numFmtId="4" fontId="23" fillId="9" borderId="4" xfId="0" applyNumberFormat="1" applyFont="1" applyFill="1" applyBorder="1" applyAlignment="1" applyProtection="1">
      <alignment horizontal="center" vertical="center" wrapText="1"/>
    </xf>
    <xf numFmtId="10" fontId="23" fillId="9" borderId="4" xfId="0" applyNumberFormat="1" applyFont="1" applyFill="1" applyBorder="1" applyAlignment="1" applyProtection="1">
      <alignment horizontal="center" vertical="center" wrapText="1"/>
    </xf>
    <xf numFmtId="10" fontId="23" fillId="0" borderId="57" xfId="0" applyNumberFormat="1" applyFont="1" applyBorder="1" applyAlignment="1" applyProtection="1">
      <alignment horizontal="center" vertical="center" wrapText="1"/>
    </xf>
    <xf numFmtId="0" fontId="18" fillId="0" borderId="47" xfId="0" applyFont="1" applyBorder="1" applyAlignment="1" applyProtection="1">
      <alignment vertical="center"/>
    </xf>
    <xf numFmtId="40" fontId="11" fillId="0" borderId="0" xfId="0" applyNumberFormat="1" applyFont="1" applyAlignment="1" applyProtection="1">
      <alignment horizontal="center"/>
    </xf>
    <xf numFmtId="183" fontId="11" fillId="0" borderId="0" xfId="0" applyNumberFormat="1" applyFont="1" applyAlignment="1" applyProtection="1">
      <alignment horizontal="center"/>
    </xf>
    <xf numFmtId="0" fontId="18" fillId="0" borderId="0" xfId="0" applyFont="1" applyAlignment="1" applyProtection="1">
      <alignment vertical="center"/>
    </xf>
    <xf numFmtId="176" fontId="11" fillId="0" borderId="55" xfId="0" applyNumberFormat="1" applyFont="1" applyBorder="1" applyAlignment="1" applyProtection="1">
      <alignment horizontal="center" vertical="center"/>
    </xf>
    <xf numFmtId="176" fontId="11" fillId="0" borderId="56" xfId="0" applyNumberFormat="1" applyFont="1" applyBorder="1" applyAlignment="1" applyProtection="1">
      <alignment horizontal="center" vertical="center"/>
    </xf>
    <xf numFmtId="4" fontId="11" fillId="0" borderId="4" xfId="0" applyNumberFormat="1" applyFont="1" applyBorder="1" applyAlignment="1" applyProtection="1">
      <alignment horizontal="center" vertical="center"/>
    </xf>
    <xf numFmtId="4" fontId="11" fillId="0" borderId="44" xfId="0" applyNumberFormat="1" applyFont="1" applyBorder="1" applyAlignment="1" applyProtection="1">
      <alignment horizontal="center" vertical="center"/>
    </xf>
    <xf numFmtId="4" fontId="11" fillId="0" borderId="5" xfId="0" applyNumberFormat="1" applyFont="1" applyBorder="1" applyAlignment="1" applyProtection="1">
      <alignment horizontal="center" vertical="center"/>
    </xf>
    <xf numFmtId="4" fontId="11" fillId="0" borderId="50" xfId="0" applyNumberFormat="1" applyFont="1" applyBorder="1" applyAlignment="1" applyProtection="1">
      <alignment horizontal="center" vertical="center"/>
    </xf>
    <xf numFmtId="176" fontId="11" fillId="0" borderId="54" xfId="0" applyNumberFormat="1" applyFont="1" applyBorder="1" applyAlignment="1" applyProtection="1">
      <alignment horizontal="center" vertical="center"/>
    </xf>
    <xf numFmtId="4" fontId="11" fillId="0" borderId="57" xfId="0" applyNumberFormat="1" applyFont="1" applyBorder="1" applyAlignment="1" applyProtection="1">
      <alignment horizontal="center" vertical="center"/>
    </xf>
    <xf numFmtId="4" fontId="11" fillId="0" borderId="51" xfId="0" applyNumberFormat="1" applyFont="1" applyBorder="1" applyAlignment="1" applyProtection="1">
      <alignment horizontal="center" vertical="center"/>
    </xf>
    <xf numFmtId="0" fontId="18" fillId="0" borderId="0" xfId="0" applyFont="1" applyAlignment="1" applyProtection="1">
      <alignment horizontal="center" vertical="center"/>
    </xf>
    <xf numFmtId="170" fontId="18" fillId="0" borderId="0" xfId="0" applyNumberFormat="1" applyFont="1" applyAlignment="1" applyProtection="1">
      <alignment horizontal="center" vertical="center"/>
    </xf>
    <xf numFmtId="44" fontId="38" fillId="0" borderId="0" xfId="4" applyFont="1" applyAlignment="1" applyProtection="1">
      <alignment horizontal="center"/>
    </xf>
    <xf numFmtId="164" fontId="38" fillId="0" borderId="0" xfId="0" applyNumberFormat="1" applyFont="1" applyAlignment="1" applyProtection="1">
      <alignment horizontal="center"/>
    </xf>
    <xf numFmtId="168" fontId="38" fillId="0" borderId="0" xfId="0" applyNumberFormat="1" applyFont="1" applyAlignment="1" applyProtection="1">
      <alignment vertical="center"/>
    </xf>
    <xf numFmtId="171" fontId="38" fillId="0" borderId="0" xfId="0" applyNumberFormat="1" applyFont="1" applyAlignment="1" applyProtection="1">
      <alignment horizontal="center" vertical="center"/>
    </xf>
    <xf numFmtId="168" fontId="38" fillId="0" borderId="0" xfId="0" applyNumberFormat="1" applyFont="1" applyAlignment="1" applyProtection="1">
      <alignment horizontal="center" vertical="center"/>
    </xf>
    <xf numFmtId="0" fontId="38" fillId="0" borderId="0" xfId="0" applyFont="1" applyAlignment="1" applyProtection="1">
      <alignment horizontal="center" vertical="center"/>
    </xf>
    <xf numFmtId="176" fontId="20" fillId="0" borderId="0" xfId="0" applyNumberFormat="1" applyFont="1" applyAlignment="1" applyProtection="1">
      <alignment horizontal="center" vertical="center"/>
    </xf>
    <xf numFmtId="4" fontId="10" fillId="0" borderId="0" xfId="0" applyNumberFormat="1" applyFont="1" applyAlignment="1" applyProtection="1">
      <alignment horizontal="center" vertical="center"/>
    </xf>
    <xf numFmtId="176" fontId="10" fillId="0" borderId="0" xfId="0" applyNumberFormat="1" applyFont="1" applyAlignment="1" applyProtection="1">
      <alignment horizontal="center" vertical="center"/>
    </xf>
    <xf numFmtId="176" fontId="25" fillId="0" borderId="0" xfId="0" applyNumberFormat="1" applyFont="1" applyAlignment="1" applyProtection="1">
      <alignment horizontal="center" vertical="center"/>
    </xf>
    <xf numFmtId="176" fontId="31" fillId="0" borderId="0" xfId="0" applyNumberFormat="1" applyFont="1" applyAlignment="1" applyProtection="1">
      <alignment horizontal="center" vertical="center"/>
    </xf>
    <xf numFmtId="0" fontId="10" fillId="0" borderId="0" xfId="0" applyFont="1" applyProtection="1"/>
    <xf numFmtId="0" fontId="0" fillId="0" borderId="0" xfId="0" applyProtection="1"/>
    <xf numFmtId="176" fontId="34" fillId="0" borderId="0" xfId="0" applyNumberFormat="1" applyFont="1" applyAlignment="1" applyProtection="1">
      <alignment horizontal="center" vertical="center"/>
    </xf>
    <xf numFmtId="176" fontId="14" fillId="0" borderId="0" xfId="0" applyNumberFormat="1" applyFont="1" applyAlignment="1" applyProtection="1">
      <alignment horizontal="center" vertical="center"/>
    </xf>
    <xf numFmtId="169" fontId="19" fillId="0" borderId="0" xfId="0" applyNumberFormat="1" applyFont="1" applyAlignment="1" applyProtection="1">
      <alignment horizontal="center" vertical="center" wrapText="1"/>
    </xf>
    <xf numFmtId="169" fontId="18" fillId="0" borderId="0" xfId="0" applyNumberFormat="1" applyFont="1" applyAlignment="1" applyProtection="1">
      <alignment horizontal="center" vertical="center" wrapText="1"/>
    </xf>
    <xf numFmtId="176" fontId="10" fillId="0" borderId="0" xfId="0" applyNumberFormat="1" applyFont="1" applyAlignment="1" applyProtection="1">
      <alignment vertical="center"/>
    </xf>
    <xf numFmtId="14" fontId="9" fillId="2" borderId="0" xfId="0" applyNumberFormat="1" applyFont="1" applyFill="1" applyAlignment="1" applyProtection="1">
      <alignment horizontal="center" vertical="center"/>
    </xf>
    <xf numFmtId="14" fontId="10" fillId="2" borderId="0" xfId="0" applyNumberFormat="1" applyFont="1" applyFill="1" applyAlignment="1" applyProtection="1">
      <alignment horizontal="center" vertical="center"/>
    </xf>
    <xf numFmtId="4" fontId="9" fillId="2" borderId="0" xfId="0" applyNumberFormat="1" applyFont="1" applyFill="1" applyAlignment="1" applyProtection="1">
      <alignment horizontal="center" vertical="center"/>
    </xf>
    <xf numFmtId="4" fontId="10" fillId="2" borderId="0" xfId="0" applyNumberFormat="1" applyFont="1" applyFill="1" applyAlignment="1" applyProtection="1">
      <alignment horizontal="center" vertical="center"/>
    </xf>
    <xf numFmtId="4" fontId="9" fillId="0" borderId="0" xfId="0" applyNumberFormat="1" applyFont="1" applyAlignment="1" applyProtection="1">
      <alignment horizontal="center" vertical="center"/>
    </xf>
    <xf numFmtId="3" fontId="10" fillId="4" borderId="10" xfId="0" applyNumberFormat="1" applyFont="1" applyFill="1" applyBorder="1" applyAlignment="1" applyProtection="1">
      <alignment vertical="center"/>
    </xf>
    <xf numFmtId="0" fontId="10" fillId="4" borderId="10" xfId="0" applyFont="1" applyFill="1" applyBorder="1" applyAlignment="1" applyProtection="1">
      <alignment horizontal="justify" vertical="center"/>
    </xf>
    <xf numFmtId="0" fontId="10" fillId="4" borderId="10" xfId="0" applyFont="1" applyFill="1" applyBorder="1" applyAlignment="1" applyProtection="1">
      <alignment vertical="center"/>
    </xf>
    <xf numFmtId="44" fontId="10" fillId="4" borderId="10" xfId="0" applyNumberFormat="1" applyFont="1" applyFill="1" applyBorder="1" applyAlignment="1" applyProtection="1">
      <alignment vertical="center"/>
    </xf>
    <xf numFmtId="4" fontId="30" fillId="0" borderId="0" xfId="0" applyNumberFormat="1" applyFont="1" applyAlignment="1" applyProtection="1">
      <alignment horizontal="center" vertical="center"/>
    </xf>
    <xf numFmtId="181" fontId="30" fillId="0" borderId="0" xfId="0" applyNumberFormat="1" applyFont="1" applyAlignment="1" applyProtection="1">
      <alignment horizontal="center" vertical="center"/>
    </xf>
    <xf numFmtId="4" fontId="25" fillId="0" borderId="0" xfId="0" applyNumberFormat="1" applyFont="1" applyAlignment="1" applyProtection="1">
      <alignment horizontal="left" vertical="center"/>
    </xf>
    <xf numFmtId="4" fontId="31" fillId="0" borderId="0" xfId="0" applyNumberFormat="1" applyFont="1" applyAlignment="1" applyProtection="1">
      <alignment horizontal="center" vertical="center"/>
    </xf>
    <xf numFmtId="4" fontId="32" fillId="0" borderId="0" xfId="0" applyNumberFormat="1" applyFont="1" applyAlignment="1" applyProtection="1">
      <alignment horizontal="center" vertical="center"/>
    </xf>
    <xf numFmtId="2" fontId="33" fillId="0" borderId="0" xfId="0" applyNumberFormat="1" applyFont="1" applyAlignment="1" applyProtection="1">
      <alignment horizontal="center" vertical="center"/>
    </xf>
    <xf numFmtId="4" fontId="33" fillId="0" borderId="0" xfId="0" applyNumberFormat="1" applyFont="1" applyAlignment="1" applyProtection="1">
      <alignment horizontal="center" vertical="center"/>
    </xf>
    <xf numFmtId="2" fontId="10" fillId="0" borderId="0" xfId="0" applyNumberFormat="1" applyFont="1" applyAlignment="1" applyProtection="1">
      <alignment horizontal="center" vertical="center"/>
    </xf>
    <xf numFmtId="4" fontId="48" fillId="0" borderId="0" xfId="0" applyNumberFormat="1" applyFont="1" applyAlignment="1" applyProtection="1">
      <alignment horizontal="center" vertical="center"/>
    </xf>
    <xf numFmtId="3" fontId="9" fillId="3" borderId="8" xfId="0" applyNumberFormat="1" applyFont="1" applyFill="1" applyBorder="1" applyAlignment="1" applyProtection="1">
      <alignment horizontal="center" vertical="center" wrapText="1"/>
    </xf>
    <xf numFmtId="176" fontId="9" fillId="3" borderId="6" xfId="0" applyNumberFormat="1" applyFont="1" applyFill="1" applyBorder="1" applyAlignment="1" applyProtection="1">
      <alignment horizontal="justify" vertical="center" wrapText="1"/>
    </xf>
    <xf numFmtId="44" fontId="29" fillId="3" borderId="6" xfId="0" applyNumberFormat="1" applyFont="1" applyFill="1" applyBorder="1" applyAlignment="1" applyProtection="1">
      <alignment horizontal="center" vertical="center" wrapText="1"/>
    </xf>
    <xf numFmtId="4" fontId="25" fillId="0" borderId="0" xfId="0" applyNumberFormat="1" applyFont="1" applyAlignment="1" applyProtection="1">
      <alignment horizontal="center" vertical="center"/>
    </xf>
    <xf numFmtId="3" fontId="9" fillId="0" borderId="12" xfId="0" applyNumberFormat="1" applyFont="1" applyBorder="1" applyAlignment="1" applyProtection="1">
      <alignment horizontal="center" vertical="center" wrapText="1"/>
    </xf>
    <xf numFmtId="176" fontId="9" fillId="0" borderId="0" xfId="0" applyNumberFormat="1" applyFont="1" applyAlignment="1" applyProtection="1">
      <alignment horizontal="left" vertical="center" wrapText="1"/>
    </xf>
    <xf numFmtId="176" fontId="9" fillId="0" borderId="0" xfId="0" applyNumberFormat="1" applyFont="1" applyAlignment="1" applyProtection="1">
      <alignment horizontal="center" vertical="center"/>
    </xf>
    <xf numFmtId="44" fontId="9" fillId="0" borderId="0" xfId="0" applyNumberFormat="1" applyFont="1" applyAlignment="1" applyProtection="1">
      <alignment horizontal="center" vertical="center" wrapText="1"/>
    </xf>
    <xf numFmtId="43" fontId="9" fillId="0" borderId="13" xfId="0" applyNumberFormat="1" applyFont="1" applyBorder="1" applyAlignment="1" applyProtection="1">
      <alignment horizontal="center" vertical="center"/>
    </xf>
    <xf numFmtId="4" fontId="10" fillId="3" borderId="0" xfId="0" applyNumberFormat="1" applyFont="1" applyFill="1" applyAlignment="1" applyProtection="1">
      <alignment horizontal="right" vertical="center"/>
    </xf>
    <xf numFmtId="181" fontId="10" fillId="0" borderId="0" xfId="0" applyNumberFormat="1" applyFont="1" applyAlignment="1" applyProtection="1">
      <alignment horizontal="center" vertical="center"/>
    </xf>
    <xf numFmtId="176" fontId="10" fillId="0" borderId="0" xfId="0" applyNumberFormat="1" applyFont="1" applyAlignment="1" applyProtection="1">
      <alignment horizontal="left" vertical="center"/>
    </xf>
    <xf numFmtId="4" fontId="10" fillId="0" borderId="0" xfId="0" applyNumberFormat="1" applyFont="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center" vertical="center"/>
    </xf>
    <xf numFmtId="3" fontId="10" fillId="0" borderId="12" xfId="0" applyNumberFormat="1" applyFont="1" applyBorder="1" applyAlignment="1" applyProtection="1">
      <alignment horizontal="center" vertical="center" wrapText="1"/>
    </xf>
    <xf numFmtId="176" fontId="10" fillId="0" borderId="0" xfId="0" applyNumberFormat="1" applyFont="1" applyAlignment="1" applyProtection="1">
      <alignment horizontal="left" vertical="center" wrapText="1"/>
    </xf>
    <xf numFmtId="44" fontId="10" fillId="11" borderId="0" xfId="0" applyNumberFormat="1" applyFont="1" applyFill="1" applyAlignment="1" applyProtection="1">
      <alignment horizontal="center" vertical="center"/>
    </xf>
    <xf numFmtId="43" fontId="10" fillId="0" borderId="13" xfId="0" applyNumberFormat="1" applyFont="1" applyBorder="1" applyAlignment="1" applyProtection="1">
      <alignment horizontal="justify" vertical="center"/>
    </xf>
    <xf numFmtId="2" fontId="14" fillId="0" borderId="0" xfId="0" applyNumberFormat="1" applyFont="1" applyAlignment="1" applyProtection="1">
      <alignment horizontal="center" vertical="center"/>
    </xf>
    <xf numFmtId="4" fontId="22" fillId="0" borderId="0" xfId="0" applyNumberFormat="1" applyFont="1" applyAlignment="1" applyProtection="1">
      <alignment horizontal="center" vertical="center"/>
    </xf>
    <xf numFmtId="4" fontId="22" fillId="3" borderId="0" xfId="0" applyNumberFormat="1" applyFont="1" applyFill="1" applyAlignment="1" applyProtection="1">
      <alignment horizontal="center" vertical="center"/>
    </xf>
    <xf numFmtId="4" fontId="7" fillId="0" borderId="0" xfId="0" quotePrefix="1" applyNumberFormat="1" applyFont="1" applyAlignment="1" applyProtection="1">
      <alignment horizontal="center" vertical="center"/>
    </xf>
    <xf numFmtId="3" fontId="10" fillId="0" borderId="12" xfId="0" applyNumberFormat="1" applyFont="1" applyBorder="1" applyAlignment="1" applyProtection="1">
      <alignment horizontal="center" vertical="center"/>
    </xf>
    <xf numFmtId="0" fontId="10" fillId="0" borderId="0" xfId="0" applyFont="1" applyAlignment="1" applyProtection="1">
      <alignment horizontal="justify" vertical="center"/>
    </xf>
    <xf numFmtId="0" fontId="41" fillId="0" borderId="0" xfId="0" applyFont="1" applyAlignment="1" applyProtection="1">
      <alignment horizontal="right" vertical="center"/>
    </xf>
    <xf numFmtId="173" fontId="41" fillId="0" borderId="0" xfId="0" applyNumberFormat="1" applyFont="1" applyAlignment="1" applyProtection="1">
      <alignment horizontal="center" vertical="center"/>
    </xf>
    <xf numFmtId="0" fontId="41" fillId="0" borderId="0" xfId="0" applyFont="1" applyAlignment="1" applyProtection="1">
      <alignment horizontal="center" vertical="center"/>
    </xf>
    <xf numFmtId="44" fontId="41" fillId="0" borderId="0" xfId="0" applyNumberFormat="1" applyFont="1" applyAlignment="1" applyProtection="1">
      <alignment horizontal="center" vertical="center"/>
    </xf>
    <xf numFmtId="43" fontId="41" fillId="0" borderId="13" xfId="0" applyNumberFormat="1" applyFont="1" applyBorder="1" applyAlignment="1" applyProtection="1">
      <alignment horizontal="justify" vertical="center"/>
    </xf>
    <xf numFmtId="0" fontId="42" fillId="0" borderId="0" xfId="0" applyFont="1" applyAlignment="1" applyProtection="1">
      <alignment horizontal="right" vertical="center"/>
    </xf>
    <xf numFmtId="0" fontId="42" fillId="0" borderId="0" xfId="0" applyFont="1" applyAlignment="1" applyProtection="1">
      <alignment horizontal="center" vertical="center"/>
    </xf>
    <xf numFmtId="44" fontId="42" fillId="0" borderId="0" xfId="0" applyNumberFormat="1" applyFont="1" applyAlignment="1" applyProtection="1">
      <alignment horizontal="center" vertical="center"/>
    </xf>
    <xf numFmtId="43" fontId="42" fillId="0" borderId="13" xfId="0" applyNumberFormat="1" applyFont="1" applyBorder="1" applyAlignment="1" applyProtection="1">
      <alignment horizontal="justify" vertical="center"/>
    </xf>
    <xf numFmtId="3" fontId="10" fillId="9" borderId="12" xfId="0" applyNumberFormat="1" applyFont="1" applyFill="1" applyBorder="1" applyAlignment="1" applyProtection="1">
      <alignment horizontal="center" vertical="center"/>
    </xf>
    <xf numFmtId="0" fontId="42" fillId="9" borderId="0" xfId="0" applyFont="1" applyFill="1" applyAlignment="1" applyProtection="1">
      <alignment horizontal="right" vertical="center"/>
    </xf>
    <xf numFmtId="0" fontId="42" fillId="9" borderId="0" xfId="0" applyFont="1" applyFill="1" applyAlignment="1" applyProtection="1">
      <alignment vertical="center"/>
    </xf>
    <xf numFmtId="44" fontId="42" fillId="9" borderId="0" xfId="0" applyNumberFormat="1" applyFont="1" applyFill="1" applyAlignment="1" applyProtection="1">
      <alignment vertical="center"/>
    </xf>
    <xf numFmtId="43" fontId="42" fillId="9" borderId="13" xfId="0" applyNumberFormat="1" applyFont="1" applyFill="1" applyBorder="1" applyAlignment="1" applyProtection="1">
      <alignment horizontal="justify" vertical="center"/>
    </xf>
    <xf numFmtId="3" fontId="9" fillId="0" borderId="12" xfId="0" applyNumberFormat="1" applyFont="1" applyBorder="1" applyAlignment="1" applyProtection="1">
      <alignment horizontal="center" vertical="center"/>
    </xf>
    <xf numFmtId="176" fontId="9" fillId="0" borderId="0" xfId="0" applyNumberFormat="1" applyFont="1" applyAlignment="1" applyProtection="1">
      <alignment horizontal="justify" vertical="center" wrapText="1"/>
    </xf>
    <xf numFmtId="0" fontId="9" fillId="0" borderId="0" xfId="0" applyFont="1" applyAlignment="1" applyProtection="1">
      <alignment horizontal="center" vertical="center"/>
    </xf>
    <xf numFmtId="173" fontId="9" fillId="0" borderId="0" xfId="0" applyNumberFormat="1" applyFont="1" applyAlignment="1" applyProtection="1">
      <alignment horizontal="center" vertical="center"/>
    </xf>
    <xf numFmtId="44" fontId="9" fillId="0" borderId="0" xfId="0" applyNumberFormat="1" applyFont="1" applyAlignment="1" applyProtection="1">
      <alignment horizontal="center" vertical="center"/>
    </xf>
    <xf numFmtId="3" fontId="10" fillId="9" borderId="29" xfId="0" applyNumberFormat="1" applyFont="1" applyFill="1" applyBorder="1" applyAlignment="1" applyProtection="1">
      <alignment horizontal="center" vertical="center"/>
    </xf>
    <xf numFmtId="0" fontId="42" fillId="9" borderId="20" xfId="0" applyFont="1" applyFill="1" applyBorder="1" applyAlignment="1" applyProtection="1">
      <alignment horizontal="right" vertical="center"/>
    </xf>
    <xf numFmtId="0" fontId="42" fillId="9" borderId="20" xfId="0" applyFont="1" applyFill="1" applyBorder="1" applyAlignment="1" applyProtection="1">
      <alignment vertical="center"/>
    </xf>
    <xf numFmtId="44" fontId="42" fillId="9" borderId="20" xfId="0" applyNumberFormat="1" applyFont="1" applyFill="1" applyBorder="1" applyAlignment="1" applyProtection="1">
      <alignment vertical="center"/>
    </xf>
    <xf numFmtId="43" fontId="42" fillId="9" borderId="30" xfId="0" applyNumberFormat="1" applyFont="1" applyFill="1" applyBorder="1" applyAlignment="1" applyProtection="1">
      <alignment horizontal="justify" vertical="center"/>
    </xf>
    <xf numFmtId="43" fontId="10" fillId="4" borderId="10" xfId="0" applyNumberFormat="1" applyFont="1" applyFill="1" applyBorder="1" applyAlignment="1" applyProtection="1">
      <alignment horizontal="justify" vertical="center"/>
    </xf>
    <xf numFmtId="44" fontId="41" fillId="0" borderId="13" xfId="0" applyNumberFormat="1" applyFont="1" applyBorder="1" applyAlignment="1" applyProtection="1">
      <alignment horizontal="justify" vertical="center"/>
    </xf>
    <xf numFmtId="44" fontId="42" fillId="0" borderId="13" xfId="0" applyNumberFormat="1" applyFont="1" applyBorder="1" applyAlignment="1" applyProtection="1">
      <alignment horizontal="justify" vertical="center"/>
    </xf>
    <xf numFmtId="44" fontId="42" fillId="9" borderId="13" xfId="0" applyNumberFormat="1" applyFont="1" applyFill="1" applyBorder="1" applyAlignment="1" applyProtection="1">
      <alignment horizontal="justify" vertical="center"/>
    </xf>
    <xf numFmtId="0" fontId="10" fillId="0" borderId="0" xfId="0" applyFont="1" applyAlignment="1" applyProtection="1">
      <alignment horizontal="justify" vertical="center" wrapText="1"/>
    </xf>
    <xf numFmtId="4" fontId="73" fillId="0" borderId="0" xfId="0" applyNumberFormat="1" applyFont="1" applyAlignment="1" applyProtection="1">
      <alignment horizontal="left" vertical="center"/>
    </xf>
    <xf numFmtId="4" fontId="63" fillId="0" borderId="0" xfId="0" applyNumberFormat="1" applyFont="1" applyAlignment="1" applyProtection="1">
      <alignment vertical="center"/>
    </xf>
    <xf numFmtId="4" fontId="63" fillId="0" borderId="0" xfId="0" applyNumberFormat="1" applyFont="1" applyAlignment="1" applyProtection="1">
      <alignment horizontal="center" vertical="center"/>
    </xf>
    <xf numFmtId="3" fontId="10" fillId="4" borderId="26" xfId="0" applyNumberFormat="1" applyFont="1" applyFill="1" applyBorder="1" applyAlignment="1" applyProtection="1">
      <alignment vertical="center"/>
    </xf>
    <xf numFmtId="0" fontId="10" fillId="4" borderId="26" xfId="0" applyFont="1" applyFill="1" applyBorder="1" applyAlignment="1" applyProtection="1">
      <alignment horizontal="justify" vertical="center"/>
    </xf>
    <xf numFmtId="0" fontId="10" fillId="4" borderId="26" xfId="0" applyFont="1" applyFill="1" applyBorder="1" applyAlignment="1" applyProtection="1">
      <alignment vertical="center"/>
    </xf>
    <xf numFmtId="44" fontId="10" fillId="4" borderId="26" xfId="0" applyNumberFormat="1" applyFont="1" applyFill="1" applyBorder="1" applyAlignment="1" applyProtection="1">
      <alignment vertical="center"/>
    </xf>
    <xf numFmtId="43" fontId="10" fillId="4" borderId="26" xfId="0" applyNumberFormat="1" applyFont="1" applyFill="1" applyBorder="1" applyAlignment="1" applyProtection="1">
      <alignment horizontal="justify" vertical="center"/>
    </xf>
    <xf numFmtId="182" fontId="10" fillId="0" borderId="0" xfId="0" applyNumberFormat="1" applyFont="1" applyAlignment="1" applyProtection="1">
      <alignment horizontal="center" vertical="center"/>
    </xf>
    <xf numFmtId="0" fontId="63" fillId="0" borderId="0" xfId="0" applyFont="1" applyAlignment="1" applyProtection="1">
      <alignment horizontal="center" vertical="center"/>
    </xf>
    <xf numFmtId="176" fontId="63" fillId="0" borderId="0" xfId="0" applyNumberFormat="1" applyFont="1" applyAlignment="1" applyProtection="1">
      <alignment horizontal="center" vertical="center"/>
    </xf>
    <xf numFmtId="3" fontId="10" fillId="0" borderId="20" xfId="0" applyNumberFormat="1" applyFont="1" applyBorder="1" applyAlignment="1" applyProtection="1">
      <alignment horizontal="center" vertical="center"/>
    </xf>
    <xf numFmtId="0" fontId="42" fillId="0" borderId="20" xfId="0" applyFont="1" applyBorder="1" applyAlignment="1" applyProtection="1">
      <alignment horizontal="right" vertical="center"/>
    </xf>
    <xf numFmtId="0" fontId="42" fillId="0" borderId="20" xfId="0" applyFont="1" applyBorder="1" applyAlignment="1" applyProtection="1">
      <alignment vertical="center"/>
    </xf>
    <xf numFmtId="44" fontId="42" fillId="0" borderId="20" xfId="0" applyNumberFormat="1" applyFont="1" applyBorder="1" applyAlignment="1" applyProtection="1">
      <alignment vertical="center"/>
    </xf>
    <xf numFmtId="43" fontId="42" fillId="0" borderId="20" xfId="0" applyNumberFormat="1" applyFont="1" applyBorder="1" applyAlignment="1" applyProtection="1">
      <alignment horizontal="justify" vertical="center"/>
    </xf>
    <xf numFmtId="2" fontId="10" fillId="0" borderId="12" xfId="0" applyNumberFormat="1" applyFont="1" applyBorder="1" applyAlignment="1" applyProtection="1">
      <alignment horizontal="center" vertical="center" wrapText="1"/>
    </xf>
    <xf numFmtId="4" fontId="73" fillId="0" borderId="0" xfId="0" applyNumberFormat="1" applyFont="1" applyAlignment="1" applyProtection="1">
      <alignment horizontal="center" vertical="center"/>
    </xf>
    <xf numFmtId="3" fontId="10" fillId="8" borderId="20" xfId="0" applyNumberFormat="1" applyFont="1" applyFill="1" applyBorder="1" applyAlignment="1" applyProtection="1">
      <alignment horizontal="center" vertical="center"/>
    </xf>
    <xf numFmtId="0" fontId="42" fillId="8" borderId="20" xfId="0" applyFont="1" applyFill="1" applyBorder="1" applyAlignment="1" applyProtection="1">
      <alignment horizontal="right" vertical="center"/>
    </xf>
    <xf numFmtId="0" fontId="42" fillId="8" borderId="20" xfId="0" applyFont="1" applyFill="1" applyBorder="1" applyAlignment="1" applyProtection="1">
      <alignment vertical="center"/>
    </xf>
    <xf numFmtId="44" fontId="42" fillId="8" borderId="20" xfId="0" applyNumberFormat="1" applyFont="1" applyFill="1" applyBorder="1" applyAlignment="1" applyProtection="1">
      <alignment vertical="center"/>
    </xf>
    <xf numFmtId="43" fontId="42" fillId="8" borderId="20" xfId="0" applyNumberFormat="1" applyFont="1" applyFill="1" applyBorder="1" applyAlignment="1" applyProtection="1">
      <alignment horizontal="justify" vertical="center"/>
    </xf>
    <xf numFmtId="49" fontId="10" fillId="0" borderId="12" xfId="0" applyNumberFormat="1" applyFont="1" applyBorder="1" applyAlignment="1" applyProtection="1">
      <alignment horizontal="center" vertical="center" wrapText="1"/>
    </xf>
    <xf numFmtId="0" fontId="10" fillId="0" borderId="0" xfId="0" applyFont="1" applyAlignment="1" applyProtection="1">
      <alignment horizontal="left" vertical="center"/>
    </xf>
    <xf numFmtId="176" fontId="47" fillId="0" borderId="0" xfId="0" applyNumberFormat="1" applyFont="1" applyAlignment="1" applyProtection="1">
      <alignment horizontal="left" vertical="center" wrapText="1"/>
    </xf>
    <xf numFmtId="3" fontId="10" fillId="0" borderId="12" xfId="0" quotePrefix="1" applyNumberFormat="1" applyFont="1" applyBorder="1" applyAlignment="1" applyProtection="1">
      <alignment horizontal="center" vertical="center" wrapText="1"/>
    </xf>
    <xf numFmtId="4" fontId="47" fillId="0" borderId="0" xfId="0" applyNumberFormat="1" applyFont="1" applyAlignment="1" applyProtection="1">
      <alignment horizontal="center" vertical="center"/>
    </xf>
    <xf numFmtId="3" fontId="10" fillId="4" borderId="0" xfId="0" applyNumberFormat="1" applyFont="1" applyFill="1" applyAlignment="1" applyProtection="1">
      <alignment vertical="center"/>
    </xf>
    <xf numFmtId="0" fontId="10" fillId="4" borderId="0" xfId="0" applyFont="1" applyFill="1" applyAlignment="1" applyProtection="1">
      <alignment horizontal="justify" vertical="center"/>
    </xf>
    <xf numFmtId="0" fontId="10" fillId="4" borderId="0" xfId="0" applyFont="1" applyFill="1" applyAlignment="1" applyProtection="1">
      <alignment vertical="center"/>
    </xf>
    <xf numFmtId="44" fontId="10" fillId="4" borderId="0" xfId="0" applyNumberFormat="1" applyFont="1" applyFill="1" applyAlignment="1" applyProtection="1">
      <alignment vertical="center"/>
    </xf>
    <xf numFmtId="43" fontId="10" fillId="4" borderId="0" xfId="0" applyNumberFormat="1" applyFont="1" applyFill="1" applyAlignment="1" applyProtection="1">
      <alignment horizontal="justify" vertical="center"/>
    </xf>
    <xf numFmtId="0" fontId="9" fillId="3" borderId="6" xfId="0" applyFont="1" applyFill="1" applyBorder="1" applyAlignment="1" applyProtection="1">
      <alignment horizontal="justify" vertical="center" wrapText="1"/>
    </xf>
    <xf numFmtId="3" fontId="10" fillId="0" borderId="0" xfId="0" applyNumberFormat="1" applyFont="1" applyAlignment="1" applyProtection="1">
      <alignment horizontal="center" vertical="center"/>
    </xf>
    <xf numFmtId="173" fontId="10" fillId="0" borderId="0" xfId="0" applyNumberFormat="1" applyFont="1" applyAlignment="1" applyProtection="1">
      <alignment horizontal="center" vertical="center"/>
    </xf>
    <xf numFmtId="44" fontId="10" fillId="0" borderId="0" xfId="0" applyNumberFormat="1" applyFont="1" applyAlignment="1" applyProtection="1">
      <alignment horizontal="center" vertical="center"/>
    </xf>
    <xf numFmtId="3" fontId="10" fillId="0" borderId="0" xfId="0" applyNumberFormat="1" applyFont="1" applyProtection="1"/>
    <xf numFmtId="0" fontId="10" fillId="0" borderId="0" xfId="0" applyFont="1" applyAlignment="1" applyProtection="1">
      <alignment horizontal="justify"/>
    </xf>
    <xf numFmtId="182" fontId="74" fillId="10" borderId="0" xfId="0" applyNumberFormat="1" applyFont="1" applyFill="1" applyAlignment="1" applyProtection="1">
      <alignment horizontal="center" vertical="center"/>
      <protection locked="0"/>
    </xf>
    <xf numFmtId="0" fontId="46" fillId="0" borderId="0" xfId="0" applyFont="1" applyProtection="1"/>
    <xf numFmtId="176" fontId="36" fillId="8" borderId="0" xfId="0" applyNumberFormat="1" applyFont="1" applyFill="1" applyAlignment="1" applyProtection="1">
      <alignment vertical="center"/>
    </xf>
    <xf numFmtId="4" fontId="40" fillId="0" borderId="0" xfId="0" applyNumberFormat="1" applyFont="1" applyAlignment="1" applyProtection="1">
      <alignment vertical="center"/>
    </xf>
    <xf numFmtId="176" fontId="16" fillId="0" borderId="0" xfId="0" applyNumberFormat="1" applyFont="1" applyAlignment="1" applyProtection="1">
      <alignment horizontal="left" vertical="center"/>
    </xf>
    <xf numFmtId="176" fontId="16" fillId="0" borderId="0" xfId="0" applyNumberFormat="1" applyFont="1" applyAlignment="1" applyProtection="1">
      <alignment vertical="center"/>
    </xf>
    <xf numFmtId="4" fontId="14" fillId="0" borderId="0" xfId="0" applyNumberFormat="1" applyFont="1" applyAlignment="1" applyProtection="1">
      <alignment vertical="center"/>
    </xf>
    <xf numFmtId="49" fontId="9" fillId="13" borderId="22" xfId="0" applyNumberFormat="1" applyFont="1" applyFill="1" applyBorder="1" applyAlignment="1" applyProtection="1">
      <alignment horizontal="center" vertical="center"/>
    </xf>
    <xf numFmtId="176" fontId="9" fillId="13" borderId="23" xfId="0" applyNumberFormat="1" applyFont="1" applyFill="1" applyBorder="1" applyAlignment="1" applyProtection="1">
      <alignment horizontal="justify" vertical="center"/>
    </xf>
    <xf numFmtId="176" fontId="9" fillId="13" borderId="23" xfId="0" applyNumberFormat="1" applyFont="1" applyFill="1" applyBorder="1" applyAlignment="1" applyProtection="1">
      <alignment horizontal="center" vertical="center"/>
    </xf>
    <xf numFmtId="176" fontId="9" fillId="13" borderId="13" xfId="0" applyNumberFormat="1" applyFont="1" applyFill="1" applyBorder="1" applyAlignment="1" applyProtection="1">
      <alignment horizontal="center" vertical="center"/>
    </xf>
    <xf numFmtId="0" fontId="37" fillId="0" borderId="0" xfId="0" applyFont="1" applyAlignment="1" applyProtection="1">
      <alignment vertical="center"/>
    </xf>
    <xf numFmtId="49" fontId="10" fillId="0" borderId="82" xfId="0" applyNumberFormat="1" applyFont="1" applyBorder="1" applyAlignment="1" applyProtection="1">
      <alignment horizontal="center" vertical="center"/>
    </xf>
    <xf numFmtId="0" fontId="10" fillId="0" borderId="83" xfId="0" applyFont="1" applyBorder="1" applyAlignment="1" applyProtection="1">
      <alignment horizontal="justify" vertical="center"/>
    </xf>
    <xf numFmtId="0" fontId="10" fillId="0" borderId="83" xfId="0" applyFont="1" applyBorder="1" applyAlignment="1" applyProtection="1">
      <alignment horizontal="center" vertical="center"/>
    </xf>
    <xf numFmtId="0" fontId="10" fillId="10" borderId="83" xfId="0" applyFont="1" applyFill="1" applyBorder="1" applyAlignment="1" applyProtection="1">
      <alignment horizontal="center" vertical="center"/>
    </xf>
    <xf numFmtId="176" fontId="10" fillId="10" borderId="86" xfId="0" applyNumberFormat="1" applyFont="1" applyFill="1" applyBorder="1" applyAlignment="1" applyProtection="1">
      <alignment horizontal="center" vertical="center"/>
    </xf>
    <xf numFmtId="0" fontId="10" fillId="0" borderId="0" xfId="0" applyFont="1" applyAlignment="1" applyProtection="1">
      <alignment horizontal="right" vertical="center"/>
    </xf>
    <xf numFmtId="49" fontId="10" fillId="0" borderId="85" xfId="0" applyNumberFormat="1" applyFont="1" applyBorder="1" applyAlignment="1" applyProtection="1">
      <alignment horizontal="center" vertical="center"/>
    </xf>
    <xf numFmtId="0" fontId="10" fillId="0" borderId="40" xfId="0" applyFont="1" applyBorder="1" applyAlignment="1" applyProtection="1">
      <alignment horizontal="justify" vertical="center"/>
    </xf>
    <xf numFmtId="0" fontId="10" fillId="0" borderId="40" xfId="0" applyFont="1" applyBorder="1" applyAlignment="1" applyProtection="1">
      <alignment horizontal="center" vertical="center"/>
    </xf>
    <xf numFmtId="0" fontId="10" fillId="10" borderId="40" xfId="0" applyFont="1" applyFill="1" applyBorder="1" applyAlignment="1" applyProtection="1">
      <alignment horizontal="center" vertical="center"/>
    </xf>
    <xf numFmtId="0" fontId="10" fillId="0" borderId="40" xfId="0" applyFont="1" applyBorder="1" applyAlignment="1" applyProtection="1">
      <alignment horizontal="justify" vertical="center" wrapText="1"/>
    </xf>
    <xf numFmtId="176" fontId="10" fillId="10" borderId="86" xfId="0" quotePrefix="1" applyNumberFormat="1" applyFont="1" applyFill="1" applyBorder="1" applyAlignment="1" applyProtection="1">
      <alignment horizontal="center" vertical="center"/>
    </xf>
    <xf numFmtId="0" fontId="10" fillId="8" borderId="40" xfId="0" applyFont="1" applyFill="1" applyBorder="1" applyAlignment="1" applyProtection="1">
      <alignment horizontal="justify" vertical="center" wrapText="1"/>
    </xf>
    <xf numFmtId="0" fontId="10" fillId="8" borderId="40" xfId="0" applyFont="1" applyFill="1" applyBorder="1" applyAlignment="1" applyProtection="1">
      <alignment horizontal="center" vertical="center"/>
    </xf>
    <xf numFmtId="167" fontId="10" fillId="10" borderId="40" xfId="23" applyFont="1" applyFill="1" applyBorder="1" applyAlignment="1" applyProtection="1">
      <alignment horizontal="center" vertical="center"/>
    </xf>
    <xf numFmtId="0" fontId="10" fillId="0" borderId="63" xfId="0" applyFont="1" applyBorder="1" applyAlignment="1" applyProtection="1">
      <alignment horizontal="justify" vertical="center"/>
    </xf>
    <xf numFmtId="0" fontId="10" fillId="0" borderId="63" xfId="0" applyFont="1" applyBorder="1" applyAlignment="1" applyProtection="1">
      <alignment horizontal="center" vertical="center"/>
    </xf>
    <xf numFmtId="44" fontId="10" fillId="10" borderId="63" xfId="0" applyNumberFormat="1" applyFont="1" applyFill="1" applyBorder="1" applyAlignment="1" applyProtection="1">
      <alignment horizontal="center" vertical="center"/>
    </xf>
    <xf numFmtId="167" fontId="10" fillId="10" borderId="63" xfId="23" applyFont="1" applyFill="1" applyBorder="1" applyAlignment="1" applyProtection="1">
      <alignment horizontal="center" vertical="center"/>
    </xf>
    <xf numFmtId="0" fontId="10" fillId="10" borderId="63" xfId="0" applyFont="1" applyFill="1" applyBorder="1" applyAlignment="1" applyProtection="1">
      <alignment horizontal="center" vertical="center"/>
    </xf>
    <xf numFmtId="176" fontId="9" fillId="13" borderId="16" xfId="0" applyNumberFormat="1" applyFont="1" applyFill="1" applyBorder="1" applyAlignment="1" applyProtection="1">
      <alignment horizontal="justify" vertical="center"/>
    </xf>
    <xf numFmtId="176" fontId="9" fillId="13" borderId="17" xfId="0" applyNumberFormat="1" applyFont="1" applyFill="1" applyBorder="1" applyAlignment="1" applyProtection="1">
      <alignment horizontal="justify" vertical="center"/>
    </xf>
    <xf numFmtId="176" fontId="9" fillId="13" borderId="17" xfId="0" applyNumberFormat="1" applyFont="1" applyFill="1" applyBorder="1" applyAlignment="1" applyProtection="1">
      <alignment horizontal="center" vertical="center"/>
    </xf>
    <xf numFmtId="0" fontId="10" fillId="10" borderId="118" xfId="0" applyFont="1" applyFill="1" applyBorder="1" applyAlignment="1" applyProtection="1">
      <alignment horizontal="center" vertical="center"/>
    </xf>
    <xf numFmtId="0" fontId="10" fillId="10" borderId="39" xfId="0" applyFont="1" applyFill="1" applyBorder="1" applyAlignment="1" applyProtection="1">
      <alignment horizontal="center" vertical="center"/>
    </xf>
    <xf numFmtId="0" fontId="10" fillId="10" borderId="61" xfId="0" applyFont="1" applyFill="1" applyBorder="1" applyAlignment="1" applyProtection="1">
      <alignment horizontal="center" vertical="center"/>
    </xf>
    <xf numFmtId="167" fontId="10" fillId="10" borderId="61" xfId="23" applyFont="1" applyFill="1" applyBorder="1" applyAlignment="1" applyProtection="1">
      <alignment horizontal="center" vertical="center"/>
    </xf>
    <xf numFmtId="0" fontId="10" fillId="10" borderId="40" xfId="23" applyNumberFormat="1" applyFont="1" applyFill="1" applyBorder="1" applyAlignment="1" applyProtection="1">
      <alignment horizontal="center" vertical="center"/>
    </xf>
    <xf numFmtId="49" fontId="10" fillId="0" borderId="104" xfId="0" applyNumberFormat="1" applyFont="1" applyBorder="1" applyAlignment="1" applyProtection="1">
      <alignment horizontal="center" vertical="center"/>
    </xf>
    <xf numFmtId="49" fontId="10" fillId="0" borderId="87" xfId="0" applyNumberFormat="1" applyFont="1" applyBorder="1" applyAlignment="1" applyProtection="1">
      <alignment horizontal="center" vertical="center"/>
    </xf>
    <xf numFmtId="0" fontId="10" fillId="0" borderId="39" xfId="0" applyFont="1" applyBorder="1" applyAlignment="1" applyProtection="1">
      <alignment horizontal="justify" vertical="center"/>
    </xf>
    <xf numFmtId="0" fontId="10" fillId="0" borderId="39" xfId="0" applyFont="1" applyBorder="1" applyAlignment="1" applyProtection="1">
      <alignment horizontal="center" vertical="center"/>
    </xf>
    <xf numFmtId="44" fontId="72" fillId="10" borderId="39" xfId="0" applyNumberFormat="1" applyFont="1" applyFill="1" applyBorder="1" applyAlignment="1" applyProtection="1">
      <alignment horizontal="center" vertical="center"/>
    </xf>
    <xf numFmtId="44" fontId="72" fillId="10" borderId="40" xfId="0" applyNumberFormat="1" applyFont="1" applyFill="1" applyBorder="1" applyAlignment="1" applyProtection="1">
      <alignment horizontal="center" vertical="center"/>
    </xf>
    <xf numFmtId="176" fontId="10" fillId="10" borderId="0" xfId="0" applyNumberFormat="1" applyFont="1" applyFill="1" applyAlignment="1" applyProtection="1">
      <alignment horizontal="center" vertical="center"/>
    </xf>
    <xf numFmtId="176" fontId="9" fillId="13" borderId="16" xfId="0" applyNumberFormat="1" applyFont="1" applyFill="1" applyBorder="1" applyAlignment="1" applyProtection="1">
      <alignment horizontal="center" vertical="center"/>
    </xf>
    <xf numFmtId="176" fontId="9" fillId="13" borderId="18" xfId="0" applyNumberFormat="1" applyFont="1" applyFill="1" applyBorder="1" applyAlignment="1" applyProtection="1">
      <alignment horizontal="center" vertical="center"/>
    </xf>
    <xf numFmtId="0" fontId="37" fillId="13" borderId="0" xfId="0" applyFont="1" applyFill="1" applyAlignment="1" applyProtection="1">
      <alignment vertical="center"/>
    </xf>
    <xf numFmtId="0" fontId="10" fillId="13" borderId="0" xfId="0" applyFont="1" applyFill="1" applyAlignment="1" applyProtection="1">
      <alignment vertical="center"/>
    </xf>
    <xf numFmtId="175" fontId="10" fillId="0" borderId="87" xfId="0" applyNumberFormat="1" applyFont="1" applyBorder="1" applyAlignment="1" applyProtection="1">
      <alignment horizontal="center" vertical="center"/>
    </xf>
    <xf numFmtId="0" fontId="10" fillId="0" borderId="39" xfId="0" applyFont="1" applyBorder="1" applyAlignment="1" applyProtection="1">
      <alignment horizontal="justify" vertical="center" wrapText="1"/>
    </xf>
    <xf numFmtId="175" fontId="10" fillId="0" borderId="85" xfId="0" applyNumberFormat="1" applyFont="1" applyBorder="1" applyAlignment="1" applyProtection="1">
      <alignment horizontal="center" vertical="center"/>
    </xf>
    <xf numFmtId="0" fontId="72" fillId="10" borderId="40" xfId="0" applyFont="1" applyFill="1" applyBorder="1" applyAlignment="1" applyProtection="1">
      <alignment horizontal="center" vertical="center"/>
    </xf>
    <xf numFmtId="0" fontId="75" fillId="10" borderId="40" xfId="0" applyFont="1" applyFill="1" applyBorder="1" applyAlignment="1" applyProtection="1">
      <alignment horizontal="center" vertical="center"/>
    </xf>
    <xf numFmtId="0" fontId="69" fillId="0" borderId="107" xfId="0" applyFont="1" applyBorder="1" applyAlignment="1" applyProtection="1">
      <alignment vertical="center" wrapText="1"/>
    </xf>
    <xf numFmtId="0" fontId="70" fillId="0" borderId="0" xfId="0" applyFont="1" applyAlignment="1" applyProtection="1">
      <alignment vertical="center"/>
    </xf>
    <xf numFmtId="0" fontId="74" fillId="10" borderId="40" xfId="0" applyFont="1" applyFill="1" applyBorder="1" applyAlignment="1" applyProtection="1">
      <alignment horizontal="center" vertical="center"/>
    </xf>
    <xf numFmtId="0" fontId="10" fillId="0" borderId="108" xfId="0" applyFont="1" applyBorder="1" applyAlignment="1" applyProtection="1">
      <alignment horizontal="justify" vertical="center"/>
    </xf>
    <xf numFmtId="0" fontId="10" fillId="0" borderId="108" xfId="0" applyFont="1" applyBorder="1" applyAlignment="1" applyProtection="1">
      <alignment horizontal="center" vertical="center"/>
    </xf>
    <xf numFmtId="0" fontId="10" fillId="10" borderId="108" xfId="0" applyFont="1" applyFill="1" applyBorder="1" applyAlignment="1" applyProtection="1">
      <alignment horizontal="center" vertical="center"/>
    </xf>
    <xf numFmtId="0" fontId="75" fillId="10" borderId="108" xfId="0" applyFont="1" applyFill="1" applyBorder="1" applyAlignment="1" applyProtection="1">
      <alignment horizontal="center" vertical="center"/>
    </xf>
    <xf numFmtId="176" fontId="36" fillId="0" borderId="26" xfId="0" applyNumberFormat="1" applyFont="1" applyBorder="1" applyAlignment="1" applyProtection="1">
      <alignment horizontal="center" vertical="center"/>
    </xf>
    <xf numFmtId="176" fontId="9" fillId="0" borderId="26" xfId="0" applyNumberFormat="1" applyFont="1" applyBorder="1" applyAlignment="1" applyProtection="1">
      <alignment horizontal="justify" vertical="center"/>
    </xf>
    <xf numFmtId="44" fontId="36" fillId="0" borderId="26" xfId="0" applyNumberFormat="1" applyFont="1" applyBorder="1" applyAlignment="1" applyProtection="1">
      <alignment horizontal="center" vertical="center"/>
    </xf>
    <xf numFmtId="0" fontId="36" fillId="0" borderId="26" xfId="0" applyFont="1" applyBorder="1" applyAlignment="1" applyProtection="1">
      <alignment horizontal="center" vertical="center"/>
    </xf>
    <xf numFmtId="0" fontId="9" fillId="0" borderId="26" xfId="0" applyFont="1" applyBorder="1" applyAlignment="1" applyProtection="1">
      <alignment horizontal="center" vertical="center"/>
    </xf>
    <xf numFmtId="0" fontId="37" fillId="13" borderId="0" xfId="0" applyFont="1" applyFill="1" applyAlignment="1" applyProtection="1">
      <alignment horizontal="center" vertical="center"/>
    </xf>
    <xf numFmtId="175" fontId="10" fillId="0" borderId="82" xfId="0" applyNumberFormat="1" applyFont="1" applyBorder="1" applyAlignment="1" applyProtection="1">
      <alignment horizontal="center" vertical="center"/>
    </xf>
    <xf numFmtId="166" fontId="10" fillId="0" borderId="0" xfId="0" applyNumberFormat="1" applyFont="1" applyAlignment="1" applyProtection="1">
      <alignment vertical="center"/>
    </xf>
    <xf numFmtId="164" fontId="10" fillId="0" borderId="0" xfId="0" applyNumberFormat="1" applyFont="1" applyAlignment="1" applyProtection="1">
      <alignment vertical="center"/>
    </xf>
    <xf numFmtId="44" fontId="10" fillId="0" borderId="0" xfId="0" applyNumberFormat="1" applyFont="1" applyAlignment="1" applyProtection="1">
      <alignment vertical="center"/>
    </xf>
    <xf numFmtId="175" fontId="10" fillId="0" borderId="104" xfId="0" applyNumberFormat="1" applyFont="1" applyBorder="1" applyAlignment="1" applyProtection="1">
      <alignment horizontal="center" vertical="center"/>
    </xf>
    <xf numFmtId="176" fontId="37" fillId="0" borderId="0" xfId="0" applyNumberFormat="1" applyFont="1" applyAlignment="1" applyProtection="1">
      <alignment horizontal="center" vertical="center"/>
    </xf>
    <xf numFmtId="0" fontId="37" fillId="0" borderId="0" xfId="0" applyFont="1" applyAlignment="1" applyProtection="1">
      <alignment horizontal="center" vertical="center"/>
    </xf>
    <xf numFmtId="44" fontId="37" fillId="0" borderId="0" xfId="0" applyNumberFormat="1" applyFont="1" applyAlignment="1" applyProtection="1">
      <alignment horizontal="center" vertical="center"/>
    </xf>
    <xf numFmtId="3" fontId="9" fillId="0" borderId="0" xfId="36" applyNumberFormat="1" applyFont="1" applyAlignment="1" applyProtection="1">
      <alignment horizontal="left" vertical="center"/>
    </xf>
    <xf numFmtId="176" fontId="10" fillId="0" borderId="0" xfId="36" applyNumberFormat="1" applyFont="1" applyAlignment="1" applyProtection="1">
      <alignment horizontal="left" vertical="center"/>
    </xf>
    <xf numFmtId="164" fontId="37" fillId="0" borderId="0" xfId="0" applyNumberFormat="1" applyFont="1" applyAlignment="1" applyProtection="1">
      <alignment vertical="center"/>
    </xf>
    <xf numFmtId="3" fontId="10" fillId="0" borderId="0" xfId="36" applyNumberFormat="1" applyFont="1" applyAlignment="1" applyProtection="1">
      <alignment horizontal="center" vertical="center"/>
    </xf>
    <xf numFmtId="176" fontId="10" fillId="0" borderId="0" xfId="36" quotePrefix="1" applyNumberFormat="1" applyFont="1" applyAlignment="1" applyProtection="1">
      <alignment horizontal="left" vertical="center"/>
    </xf>
    <xf numFmtId="4" fontId="37" fillId="0" borderId="0" xfId="0" applyNumberFormat="1" applyFont="1" applyAlignment="1" applyProtection="1">
      <alignment horizontal="center" vertical="center"/>
    </xf>
    <xf numFmtId="4" fontId="67" fillId="4" borderId="0" xfId="38" applyNumberFormat="1" applyFont="1" applyFill="1" applyAlignment="1" applyProtection="1">
      <alignment vertical="center"/>
    </xf>
    <xf numFmtId="4" fontId="67" fillId="4" borderId="26" xfId="38" applyNumberFormat="1" applyFont="1" applyFill="1" applyBorder="1" applyAlignment="1" applyProtection="1">
      <alignment vertical="center"/>
    </xf>
    <xf numFmtId="0" fontId="2" fillId="4" borderId="0" xfId="37" applyFill="1" applyAlignment="1" applyProtection="1">
      <alignment vertical="center"/>
    </xf>
    <xf numFmtId="49" fontId="68" fillId="4" borderId="0" xfId="38" applyNumberFormat="1" applyFont="1" applyFill="1" applyAlignment="1" applyProtection="1">
      <alignment vertical="center"/>
    </xf>
    <xf numFmtId="49" fontId="67" fillId="4" borderId="0" xfId="38" applyNumberFormat="1" applyFont="1" applyFill="1" applyAlignment="1" applyProtection="1">
      <alignment vertical="center"/>
    </xf>
    <xf numFmtId="0" fontId="10" fillId="0" borderId="0" xfId="37" applyFont="1" applyProtection="1"/>
    <xf numFmtId="0" fontId="10" fillId="0" borderId="0" xfId="37" applyFont="1" applyAlignment="1" applyProtection="1">
      <alignment horizontal="center"/>
    </xf>
    <xf numFmtId="0" fontId="9" fillId="0" borderId="0" xfId="37" applyFont="1" applyAlignment="1" applyProtection="1">
      <alignment horizontal="left" vertical="center"/>
    </xf>
    <xf numFmtId="0" fontId="9" fillId="3" borderId="21" xfId="37" applyFont="1" applyFill="1" applyBorder="1" applyAlignment="1" applyProtection="1">
      <alignment horizontal="center" vertical="center"/>
    </xf>
    <xf numFmtId="0" fontId="9" fillId="3" borderId="80" xfId="37" applyFont="1" applyFill="1" applyBorder="1" applyAlignment="1" applyProtection="1">
      <alignment vertical="center" wrapText="1"/>
    </xf>
    <xf numFmtId="0" fontId="10" fillId="0" borderId="0" xfId="37" applyFont="1" applyAlignment="1" applyProtection="1">
      <alignment vertical="center"/>
    </xf>
    <xf numFmtId="172" fontId="9" fillId="3" borderId="14" xfId="31" applyNumberFormat="1" applyFont="1" applyFill="1" applyBorder="1" applyAlignment="1" applyProtection="1">
      <alignment horizontal="center" vertical="center"/>
    </xf>
    <xf numFmtId="0" fontId="10" fillId="0" borderId="25" xfId="37" applyFont="1" applyBorder="1" applyAlignment="1" applyProtection="1">
      <alignment horizontal="center" vertical="center"/>
    </xf>
    <xf numFmtId="0" fontId="37" fillId="0" borderId="58" xfId="37" applyFont="1" applyBorder="1" applyAlignment="1" applyProtection="1">
      <alignment horizontal="justify" vertical="center" wrapText="1"/>
    </xf>
    <xf numFmtId="0" fontId="10" fillId="0" borderId="29" xfId="37" applyFont="1" applyBorder="1" applyAlignment="1" applyProtection="1">
      <alignment horizontal="center" vertical="center"/>
    </xf>
    <xf numFmtId="0" fontId="37" fillId="0" borderId="59" xfId="37" applyFont="1" applyBorder="1" applyAlignment="1" applyProtection="1">
      <alignment horizontal="justify" vertical="center" wrapText="1"/>
    </xf>
    <xf numFmtId="0" fontId="10" fillId="0" borderId="12" xfId="37" applyFont="1" applyBorder="1" applyAlignment="1" applyProtection="1">
      <alignment horizontal="center" vertical="center"/>
    </xf>
    <xf numFmtId="0" fontId="37" fillId="0" borderId="44" xfId="37" applyFont="1" applyBorder="1" applyAlignment="1" applyProtection="1">
      <alignment horizontal="justify" vertical="center" wrapText="1"/>
    </xf>
    <xf numFmtId="0" fontId="34" fillId="3" borderId="80" xfId="37" applyFont="1" applyFill="1" applyBorder="1" applyAlignment="1" applyProtection="1">
      <alignment horizontal="justify" vertical="center" wrapText="1"/>
    </xf>
    <xf numFmtId="10" fontId="18" fillId="3" borderId="14" xfId="31" applyNumberFormat="1" applyFont="1" applyFill="1" applyBorder="1" applyAlignment="1" applyProtection="1">
      <alignment horizontal="center" vertical="center"/>
    </xf>
    <xf numFmtId="0" fontId="10" fillId="0" borderId="0" xfId="37" applyFont="1" applyAlignment="1" applyProtection="1">
      <alignment horizontal="center" vertical="center"/>
    </xf>
    <xf numFmtId="10" fontId="10" fillId="0" borderId="0" xfId="31" applyNumberFormat="1" applyFont="1" applyAlignment="1" applyProtection="1">
      <alignment vertical="center"/>
    </xf>
    <xf numFmtId="0" fontId="10" fillId="8" borderId="0" xfId="37" applyFont="1" applyFill="1" applyAlignment="1" applyProtection="1">
      <alignment horizontal="left"/>
    </xf>
    <xf numFmtId="0" fontId="10" fillId="8" borderId="0" xfId="37" applyFont="1" applyFill="1" applyProtection="1"/>
    <xf numFmtId="0" fontId="10" fillId="8" borderId="0" xfId="37" applyFont="1" applyFill="1" applyAlignment="1" applyProtection="1">
      <alignment horizontal="center"/>
    </xf>
    <xf numFmtId="0" fontId="11" fillId="8" borderId="0" xfId="37" applyFont="1" applyFill="1" applyAlignment="1" applyProtection="1">
      <alignment vertical="center"/>
    </xf>
    <xf numFmtId="172" fontId="9" fillId="17" borderId="14" xfId="31" applyNumberFormat="1" applyFont="1" applyFill="1" applyBorder="1" applyAlignment="1" applyProtection="1">
      <alignment horizontal="center" vertical="center"/>
      <protection locked="0"/>
    </xf>
    <xf numFmtId="176" fontId="0" fillId="0" borderId="0" xfId="0" applyNumberFormat="1" applyProtection="1"/>
    <xf numFmtId="176" fontId="0" fillId="8" borderId="0" xfId="0" applyNumberFormat="1" applyFill="1" applyAlignment="1" applyProtection="1">
      <alignment vertical="center"/>
    </xf>
    <xf numFmtId="176" fontId="0" fillId="8" borderId="0" xfId="0" applyNumberFormat="1" applyFill="1" applyAlignment="1" applyProtection="1">
      <alignment horizontal="justify" vertical="center"/>
    </xf>
    <xf numFmtId="0" fontId="13" fillId="0" borderId="0" xfId="0" applyFont="1" applyProtection="1"/>
    <xf numFmtId="0" fontId="18" fillId="3" borderId="9" xfId="26" applyFont="1" applyFill="1" applyBorder="1" applyAlignment="1" applyProtection="1">
      <alignment horizontal="center" vertical="center"/>
    </xf>
    <xf numFmtId="0" fontId="18" fillId="3" borderId="31" xfId="26" applyFont="1" applyFill="1" applyBorder="1" applyAlignment="1" applyProtection="1">
      <alignment horizontal="center" vertical="center"/>
    </xf>
    <xf numFmtId="0" fontId="9" fillId="3" borderId="43" xfId="26" applyFont="1" applyFill="1" applyBorder="1" applyAlignment="1" applyProtection="1">
      <alignment horizontal="center" vertical="center" wrapText="1"/>
    </xf>
    <xf numFmtId="0" fontId="9" fillId="3" borderId="33" xfId="26" applyFont="1" applyFill="1" applyBorder="1" applyAlignment="1" applyProtection="1">
      <alignment horizontal="center" vertical="center" wrapText="1"/>
    </xf>
    <xf numFmtId="0" fontId="10" fillId="0" borderId="25" xfId="26" applyFont="1" applyBorder="1" applyAlignment="1" applyProtection="1">
      <alignment vertical="center" wrapText="1"/>
    </xf>
    <xf numFmtId="0" fontId="10" fillId="0" borderId="12" xfId="26" applyFont="1" applyBorder="1" applyAlignment="1" applyProtection="1">
      <alignment vertical="center" wrapText="1"/>
    </xf>
    <xf numFmtId="0" fontId="9" fillId="0" borderId="29" xfId="26" applyFont="1" applyBorder="1" applyAlignment="1" applyProtection="1">
      <alignment vertical="center" wrapText="1"/>
    </xf>
    <xf numFmtId="10" fontId="9" fillId="0" borderId="96" xfId="26" applyNumberFormat="1" applyFont="1" applyBorder="1" applyAlignment="1" applyProtection="1">
      <alignment horizontal="center" vertical="center" wrapText="1"/>
    </xf>
    <xf numFmtId="10" fontId="9" fillId="0" borderId="30" xfId="26" applyNumberFormat="1" applyFont="1" applyBorder="1" applyAlignment="1" applyProtection="1">
      <alignment horizontal="center" vertical="center" wrapText="1"/>
    </xf>
    <xf numFmtId="0" fontId="10" fillId="0" borderId="36" xfId="26" applyFont="1" applyBorder="1" applyAlignment="1" applyProtection="1">
      <alignment vertical="center" wrapText="1"/>
    </xf>
    <xf numFmtId="0" fontId="10" fillId="0" borderId="35" xfId="26" applyFont="1" applyBorder="1" applyAlignment="1" applyProtection="1">
      <alignment vertical="center" wrapText="1"/>
    </xf>
    <xf numFmtId="0" fontId="9" fillId="0" borderId="34" xfId="26" applyFont="1" applyBorder="1" applyAlignment="1" applyProtection="1">
      <alignment vertical="center" wrapText="1"/>
    </xf>
    <xf numFmtId="0" fontId="10" fillId="0" borderId="35" xfId="26" applyFont="1" applyBorder="1" applyAlignment="1" applyProtection="1">
      <alignment horizontal="justify" vertical="center" wrapText="1"/>
    </xf>
    <xf numFmtId="0" fontId="9" fillId="3" borderId="21" xfId="26" applyFont="1" applyFill="1" applyBorder="1" applyAlignment="1" applyProtection="1">
      <alignment vertical="center" wrapText="1"/>
    </xf>
    <xf numFmtId="10" fontId="9" fillId="3" borderId="16" xfId="26" applyNumberFormat="1" applyFont="1" applyFill="1" applyBorder="1" applyAlignment="1" applyProtection="1">
      <alignment horizontal="center" vertical="center" wrapText="1"/>
    </xf>
    <xf numFmtId="10" fontId="9" fillId="3" borderId="30" xfId="26" applyNumberFormat="1" applyFont="1" applyFill="1" applyBorder="1" applyAlignment="1" applyProtection="1">
      <alignment horizontal="center" vertical="center" wrapText="1"/>
    </xf>
    <xf numFmtId="0" fontId="10" fillId="8" borderId="12" xfId="26" applyFont="1" applyFill="1" applyBorder="1" applyAlignment="1" applyProtection="1">
      <alignment vertical="center"/>
    </xf>
    <xf numFmtId="0" fontId="10" fillId="8" borderId="0" xfId="26" applyFont="1" applyFill="1" applyAlignment="1" applyProtection="1">
      <alignment vertical="center"/>
    </xf>
    <xf numFmtId="0" fontId="10" fillId="8" borderId="13" xfId="26" applyFont="1" applyFill="1" applyBorder="1" applyAlignment="1" applyProtection="1">
      <alignment vertical="center"/>
    </xf>
    <xf numFmtId="0" fontId="12" fillId="5" borderId="0" xfId="0" applyFont="1" applyFill="1" applyAlignment="1" applyProtection="1">
      <alignment horizontal="center" vertical="center"/>
    </xf>
    <xf numFmtId="168" fontId="7" fillId="4" borderId="0" xfId="0" applyNumberFormat="1" applyFont="1" applyFill="1" applyAlignment="1" applyProtection="1">
      <alignment vertical="center"/>
    </xf>
    <xf numFmtId="4" fontId="15" fillId="0" borderId="0" xfId="0" applyNumberFormat="1" applyFont="1" applyAlignment="1" applyProtection="1">
      <alignment vertical="center"/>
    </xf>
    <xf numFmtId="10" fontId="10" fillId="0" borderId="95" xfId="27" applyNumberFormat="1" applyFont="1" applyFill="1" applyBorder="1" applyAlignment="1" applyProtection="1">
      <alignment horizontal="center" vertical="center" wrapText="1"/>
      <protection locked="0"/>
    </xf>
    <xf numFmtId="10" fontId="10" fillId="0" borderId="13" xfId="27" applyNumberFormat="1" applyFont="1" applyFill="1" applyBorder="1" applyAlignment="1" applyProtection="1">
      <alignment horizontal="center" vertical="center" wrapText="1"/>
      <protection locked="0"/>
    </xf>
    <xf numFmtId="0" fontId="77" fillId="0" borderId="93" xfId="26" applyFont="1" applyBorder="1" applyAlignment="1">
      <alignment horizontal="justify" vertical="center" wrapText="1"/>
    </xf>
    <xf numFmtId="0" fontId="77" fillId="0" borderId="102" xfId="26" applyFont="1" applyBorder="1" applyAlignment="1">
      <alignment horizontal="justify" vertical="center" wrapText="1"/>
    </xf>
    <xf numFmtId="0" fontId="77" fillId="0" borderId="122" xfId="26" applyFont="1" applyBorder="1" applyAlignment="1">
      <alignment horizontal="justify" vertical="center" wrapText="1"/>
    </xf>
    <xf numFmtId="0" fontId="79" fillId="0" borderId="123" xfId="26" applyFont="1" applyBorder="1" applyAlignment="1">
      <alignment horizontal="justify" vertical="center" wrapText="1"/>
    </xf>
    <xf numFmtId="0" fontId="79" fillId="0" borderId="124" xfId="26" applyFont="1" applyBorder="1" applyAlignment="1">
      <alignment horizontal="justify" vertical="center" wrapText="1"/>
    </xf>
    <xf numFmtId="0" fontId="79" fillId="0" borderId="125" xfId="26" applyFont="1" applyBorder="1" applyAlignment="1">
      <alignment horizontal="justify" vertical="center" wrapText="1"/>
    </xf>
    <xf numFmtId="0" fontId="79" fillId="0" borderId="29" xfId="26" applyFont="1" applyBorder="1" applyAlignment="1">
      <alignment horizontal="justify" vertical="center" wrapText="1"/>
    </xf>
    <xf numFmtId="0" fontId="79" fillId="0" borderId="20" xfId="26" applyFont="1" applyBorder="1" applyAlignment="1">
      <alignment horizontal="justify" vertical="center" wrapText="1"/>
    </xf>
    <xf numFmtId="0" fontId="79" fillId="0" borderId="30" xfId="26" applyFont="1" applyBorder="1" applyAlignment="1">
      <alignment horizontal="justify" vertical="center" wrapText="1"/>
    </xf>
    <xf numFmtId="0" fontId="77" fillId="0" borderId="0" xfId="26" applyFont="1" applyAlignment="1">
      <alignment horizontal="center"/>
    </xf>
    <xf numFmtId="0" fontId="77" fillId="0" borderId="20" xfId="26" applyFont="1" applyBorder="1" applyAlignment="1">
      <alignment horizontal="center"/>
    </xf>
    <xf numFmtId="0" fontId="79" fillId="0" borderId="21" xfId="26" applyFont="1" applyBorder="1" applyAlignment="1">
      <alignment horizontal="center" vertical="center"/>
    </xf>
    <xf numFmtId="0" fontId="79" fillId="0" borderId="10" xfId="26" applyFont="1" applyBorder="1" applyAlignment="1">
      <alignment horizontal="center" vertical="center"/>
    </xf>
    <xf numFmtId="0" fontId="79" fillId="0" borderId="28" xfId="26" applyFont="1" applyBorder="1" applyAlignment="1">
      <alignment horizontal="center" vertical="center"/>
    </xf>
    <xf numFmtId="0" fontId="77" fillId="0" borderId="93" xfId="26" applyFont="1" applyBorder="1" applyAlignment="1">
      <alignment horizontal="justify"/>
    </xf>
    <xf numFmtId="0" fontId="77" fillId="0" borderId="102" xfId="26" applyFont="1" applyBorder="1" applyAlignment="1">
      <alignment horizontal="justify"/>
    </xf>
    <xf numFmtId="0" fontId="77" fillId="0" borderId="122" xfId="26" applyFont="1" applyBorder="1" applyAlignment="1">
      <alignment horizontal="justify"/>
    </xf>
    <xf numFmtId="49" fontId="19" fillId="9" borderId="8" xfId="0" applyNumberFormat="1" applyFont="1" applyFill="1" applyBorder="1" applyAlignment="1" applyProtection="1">
      <alignment horizontal="center" vertical="center"/>
    </xf>
    <xf numFmtId="49" fontId="19" fillId="9" borderId="9" xfId="0" applyNumberFormat="1" applyFont="1" applyFill="1" applyBorder="1" applyAlignment="1" applyProtection="1">
      <alignment horizontal="center" vertical="center"/>
    </xf>
    <xf numFmtId="176" fontId="19" fillId="9" borderId="6" xfId="0" applyNumberFormat="1" applyFont="1" applyFill="1" applyBorder="1" applyAlignment="1" applyProtection="1">
      <alignment horizontal="center" vertical="center"/>
    </xf>
    <xf numFmtId="176" fontId="19" fillId="9" borderId="58" xfId="0" applyNumberFormat="1" applyFont="1" applyFill="1" applyBorder="1" applyAlignment="1" applyProtection="1">
      <alignment horizontal="center" vertical="center"/>
    </xf>
    <xf numFmtId="176" fontId="19" fillId="9" borderId="4" xfId="0" applyNumberFormat="1" applyFont="1" applyFill="1" applyBorder="1" applyAlignment="1" applyProtection="1">
      <alignment horizontal="center" vertical="center"/>
    </xf>
    <xf numFmtId="176" fontId="19" fillId="9" borderId="44" xfId="0" applyNumberFormat="1" applyFont="1" applyFill="1" applyBorder="1" applyAlignment="1" applyProtection="1">
      <alignment horizontal="center" vertical="center"/>
    </xf>
    <xf numFmtId="172" fontId="54" fillId="0" borderId="24" xfId="14" applyNumberFormat="1" applyFont="1" applyFill="1" applyBorder="1" applyAlignment="1" applyProtection="1">
      <alignment horizontal="center" vertical="center"/>
    </xf>
    <xf numFmtId="172" fontId="54" fillId="0" borderId="19" xfId="14" applyNumberFormat="1" applyFont="1" applyFill="1" applyBorder="1" applyAlignment="1" applyProtection="1">
      <alignment horizontal="center" vertical="center"/>
    </xf>
    <xf numFmtId="4" fontId="51" fillId="0" borderId="6" xfId="0" applyNumberFormat="1" applyFont="1" applyBorder="1" applyAlignment="1" applyProtection="1">
      <alignment horizontal="center" vertical="center"/>
    </xf>
    <xf numFmtId="4" fontId="51" fillId="0" borderId="7" xfId="0" applyNumberFormat="1" applyFont="1" applyBorder="1" applyAlignment="1" applyProtection="1">
      <alignment horizontal="center" vertical="center"/>
    </xf>
    <xf numFmtId="167" fontId="19" fillId="9" borderId="37" xfId="0" applyNumberFormat="1" applyFont="1" applyFill="1" applyBorder="1" applyAlignment="1" applyProtection="1">
      <alignment horizontal="center" vertical="center"/>
    </xf>
    <xf numFmtId="167" fontId="19" fillId="9" borderId="106" xfId="0" applyNumberFormat="1" applyFont="1" applyFill="1" applyBorder="1" applyAlignment="1" applyProtection="1">
      <alignment horizontal="center" vertical="center"/>
    </xf>
    <xf numFmtId="177" fontId="51" fillId="0" borderId="25" xfId="0" applyNumberFormat="1" applyFont="1" applyBorder="1" applyAlignment="1" applyProtection="1">
      <alignment vertical="center"/>
    </xf>
    <xf numFmtId="177" fontId="51" fillId="0" borderId="26" xfId="0" applyNumberFormat="1" applyFont="1" applyBorder="1" applyAlignment="1" applyProtection="1">
      <alignment vertical="center"/>
    </xf>
    <xf numFmtId="177" fontId="51" fillId="0" borderId="29" xfId="0" applyNumberFormat="1" applyFont="1" applyBorder="1" applyAlignment="1" applyProtection="1">
      <alignment vertical="center"/>
    </xf>
    <xf numFmtId="177" fontId="51" fillId="0" borderId="20" xfId="0" applyNumberFormat="1" applyFont="1" applyBorder="1" applyAlignment="1" applyProtection="1">
      <alignment vertical="center"/>
    </xf>
    <xf numFmtId="49" fontId="51" fillId="0" borderId="36" xfId="0" applyNumberFormat="1" applyFont="1" applyBorder="1" applyAlignment="1" applyProtection="1">
      <alignment horizontal="center" vertical="center"/>
    </xf>
    <xf numFmtId="0" fontId="51" fillId="0" borderId="34" xfId="0" applyFont="1" applyBorder="1" applyAlignment="1" applyProtection="1">
      <alignment horizontal="center" vertical="center"/>
    </xf>
    <xf numFmtId="49" fontId="51" fillId="4" borderId="8" xfId="0" applyNumberFormat="1" applyFont="1" applyFill="1" applyBorder="1" applyAlignment="1" applyProtection="1">
      <alignment horizontal="center" vertical="center"/>
    </xf>
    <xf numFmtId="49" fontId="51" fillId="4" borderId="48" xfId="0" applyNumberFormat="1" applyFont="1" applyFill="1" applyBorder="1" applyAlignment="1" applyProtection="1">
      <alignment horizontal="center" vertical="center"/>
    </xf>
    <xf numFmtId="49" fontId="51" fillId="4" borderId="25" xfId="0" applyNumberFormat="1" applyFont="1" applyFill="1" applyBorder="1" applyAlignment="1" applyProtection="1">
      <alignment horizontal="left" vertical="center"/>
    </xf>
    <xf numFmtId="49" fontId="51" fillId="4" borderId="26" xfId="0" applyNumberFormat="1" applyFont="1" applyFill="1" applyBorder="1" applyAlignment="1" applyProtection="1">
      <alignment horizontal="left" vertical="center"/>
    </xf>
    <xf numFmtId="49" fontId="51" fillId="4" borderId="12" xfId="0" applyNumberFormat="1" applyFont="1" applyFill="1" applyBorder="1" applyAlignment="1" applyProtection="1">
      <alignment horizontal="left" vertical="center"/>
    </xf>
    <xf numFmtId="49" fontId="51" fillId="4" borderId="0" xfId="0" applyNumberFormat="1" applyFont="1" applyFill="1" applyAlignment="1" applyProtection="1">
      <alignment horizontal="left" vertical="center"/>
    </xf>
    <xf numFmtId="4" fontId="51" fillId="4" borderId="6" xfId="0" applyNumberFormat="1" applyFont="1" applyFill="1" applyBorder="1" applyAlignment="1" applyProtection="1">
      <alignment horizontal="center" vertical="center"/>
    </xf>
    <xf numFmtId="4" fontId="51" fillId="4" borderId="11" xfId="0" applyNumberFormat="1" applyFont="1" applyFill="1" applyBorder="1" applyAlignment="1" applyProtection="1">
      <alignment horizontal="center" vertical="center"/>
    </xf>
    <xf numFmtId="172" fontId="54" fillId="7" borderId="24" xfId="14" applyNumberFormat="1" applyFont="1" applyFill="1" applyBorder="1" applyAlignment="1" applyProtection="1">
      <alignment horizontal="center" vertical="center"/>
    </xf>
    <xf numFmtId="172" fontId="54" fillId="7" borderId="19" xfId="14" applyNumberFormat="1" applyFont="1" applyFill="1" applyBorder="1" applyAlignment="1" applyProtection="1">
      <alignment horizontal="center" vertical="center"/>
    </xf>
    <xf numFmtId="4" fontId="51" fillId="7" borderId="6" xfId="0" applyNumberFormat="1" applyFont="1" applyFill="1" applyBorder="1" applyAlignment="1" applyProtection="1">
      <alignment horizontal="center" vertical="center"/>
    </xf>
    <xf numFmtId="4" fontId="51" fillId="7" borderId="4" xfId="0" applyNumberFormat="1" applyFont="1" applyFill="1" applyBorder="1" applyAlignment="1" applyProtection="1">
      <alignment horizontal="center" vertical="center"/>
    </xf>
    <xf numFmtId="176" fontId="19" fillId="12" borderId="21" xfId="0" applyNumberFormat="1" applyFont="1" applyFill="1" applyBorder="1" applyAlignment="1" applyProtection="1">
      <alignment horizontal="justify" vertical="center" wrapText="1"/>
    </xf>
    <xf numFmtId="0" fontId="0" fillId="0" borderId="10" xfId="0" applyBorder="1" applyAlignment="1" applyProtection="1">
      <alignment horizontal="justify" vertical="center" wrapText="1"/>
    </xf>
    <xf numFmtId="0" fontId="0" fillId="0" borderId="28" xfId="0" applyBorder="1" applyAlignment="1" applyProtection="1">
      <alignment horizontal="justify" vertical="center" wrapText="1"/>
    </xf>
    <xf numFmtId="176" fontId="51" fillId="0" borderId="6" xfId="0" applyNumberFormat="1" applyFont="1" applyBorder="1" applyAlignment="1" applyProtection="1">
      <alignment horizontal="left" vertical="center"/>
    </xf>
    <xf numFmtId="176" fontId="51" fillId="0" borderId="58" xfId="0" applyNumberFormat="1" applyFont="1" applyBorder="1" applyAlignment="1" applyProtection="1">
      <alignment horizontal="left" vertical="center"/>
    </xf>
    <xf numFmtId="176" fontId="51" fillId="0" borderId="7" xfId="0" applyNumberFormat="1" applyFont="1" applyBorder="1" applyAlignment="1" applyProtection="1">
      <alignment horizontal="left" vertical="center"/>
    </xf>
    <xf numFmtId="176" fontId="51" fillId="0" borderId="59" xfId="0" applyNumberFormat="1" applyFont="1" applyBorder="1" applyAlignment="1" applyProtection="1">
      <alignment horizontal="left" vertical="center"/>
    </xf>
    <xf numFmtId="10" fontId="54" fillId="0" borderId="15" xfId="0" applyNumberFormat="1" applyFont="1" applyBorder="1" applyAlignment="1" applyProtection="1">
      <alignment horizontal="center" vertical="center"/>
    </xf>
    <xf numFmtId="10" fontId="54" fillId="0" borderId="33" xfId="0" applyNumberFormat="1" applyFont="1" applyBorder="1" applyAlignment="1" applyProtection="1">
      <alignment horizontal="center" vertical="center"/>
    </xf>
    <xf numFmtId="176" fontId="21" fillId="4" borderId="12" xfId="0" applyNumberFormat="1" applyFont="1" applyFill="1" applyBorder="1" applyAlignment="1" applyProtection="1">
      <alignment horizontal="center" vertical="center"/>
    </xf>
    <xf numFmtId="176" fontId="21" fillId="4" borderId="0" xfId="0" applyNumberFormat="1" applyFont="1" applyFill="1" applyAlignment="1" applyProtection="1">
      <alignment horizontal="center" vertical="center"/>
    </xf>
    <xf numFmtId="176" fontId="21" fillId="4" borderId="13" xfId="0" applyNumberFormat="1" applyFont="1" applyFill="1" applyBorder="1" applyAlignment="1" applyProtection="1">
      <alignment horizontal="center" vertical="center"/>
    </xf>
    <xf numFmtId="176" fontId="51" fillId="9" borderId="6" xfId="0" applyNumberFormat="1" applyFont="1" applyFill="1" applyBorder="1" applyAlignment="1" applyProtection="1">
      <alignment horizontal="center" vertical="center"/>
    </xf>
    <xf numFmtId="176" fontId="51" fillId="9" borderId="58" xfId="0" applyNumberFormat="1" applyFont="1" applyFill="1" applyBorder="1" applyAlignment="1" applyProtection="1">
      <alignment horizontal="center" vertical="center"/>
    </xf>
    <xf numFmtId="176" fontId="51" fillId="9" borderId="4" xfId="0" applyNumberFormat="1" applyFont="1" applyFill="1" applyBorder="1" applyAlignment="1" applyProtection="1">
      <alignment horizontal="center" vertical="center"/>
    </xf>
    <xf numFmtId="176" fontId="51" fillId="9" borderId="44" xfId="0" applyNumberFormat="1" applyFont="1" applyFill="1" applyBorder="1" applyAlignment="1" applyProtection="1">
      <alignment horizontal="center" vertical="center"/>
    </xf>
    <xf numFmtId="169" fontId="51" fillId="9" borderId="8" xfId="0" applyNumberFormat="1" applyFont="1" applyFill="1" applyBorder="1" applyAlignment="1" applyProtection="1">
      <alignment horizontal="center" vertical="center"/>
    </xf>
    <xf numFmtId="169" fontId="51" fillId="9" borderId="9" xfId="0" applyNumberFormat="1" applyFont="1" applyFill="1" applyBorder="1" applyAlignment="1" applyProtection="1">
      <alignment horizontal="center" vertical="center"/>
    </xf>
    <xf numFmtId="167" fontId="51" fillId="9" borderId="8" xfId="0" applyNumberFormat="1" applyFont="1" applyFill="1" applyBorder="1" applyAlignment="1" applyProtection="1">
      <alignment horizontal="center" vertical="center"/>
    </xf>
    <xf numFmtId="167" fontId="51" fillId="9" borderId="9" xfId="0" applyNumberFormat="1" applyFont="1" applyFill="1" applyBorder="1" applyAlignment="1" applyProtection="1">
      <alignment horizontal="center" vertical="center"/>
    </xf>
    <xf numFmtId="167" fontId="51" fillId="9" borderId="64" xfId="0" applyNumberFormat="1" applyFont="1" applyFill="1" applyBorder="1" applyAlignment="1" applyProtection="1">
      <alignment horizontal="center" vertical="center"/>
    </xf>
    <xf numFmtId="167" fontId="51" fillId="9" borderId="5" xfId="0" applyNumberFormat="1" applyFont="1" applyFill="1" applyBorder="1" applyAlignment="1" applyProtection="1">
      <alignment horizontal="center" vertical="center"/>
    </xf>
    <xf numFmtId="176" fontId="19" fillId="0" borderId="12" xfId="0" applyNumberFormat="1" applyFont="1" applyBorder="1" applyAlignment="1" applyProtection="1">
      <alignment horizontal="center" vertical="center"/>
    </xf>
    <xf numFmtId="176" fontId="19" fillId="0" borderId="13" xfId="0" applyNumberFormat="1" applyFont="1" applyBorder="1" applyAlignment="1" applyProtection="1">
      <alignment horizontal="center" vertical="center"/>
    </xf>
    <xf numFmtId="10" fontId="54" fillId="9" borderId="15" xfId="0" applyNumberFormat="1" applyFont="1" applyFill="1" applyBorder="1" applyAlignment="1" applyProtection="1">
      <alignment horizontal="center" vertical="center"/>
    </xf>
    <xf numFmtId="10" fontId="54" fillId="9" borderId="31" xfId="0" applyNumberFormat="1" applyFont="1" applyFill="1" applyBorder="1" applyAlignment="1" applyProtection="1">
      <alignment horizontal="center" vertical="center"/>
    </xf>
    <xf numFmtId="4" fontId="19" fillId="0" borderId="25" xfId="0" applyNumberFormat="1" applyFont="1" applyBorder="1" applyAlignment="1" applyProtection="1">
      <alignment horizontal="justify" vertical="center"/>
    </xf>
    <xf numFmtId="4" fontId="19" fillId="0" borderId="26" xfId="0" applyNumberFormat="1" applyFont="1" applyBorder="1" applyAlignment="1" applyProtection="1">
      <alignment horizontal="justify" vertical="center"/>
    </xf>
    <xf numFmtId="4" fontId="19" fillId="0" borderId="27" xfId="0" applyNumberFormat="1" applyFont="1" applyBorder="1" applyAlignment="1" applyProtection="1">
      <alignment horizontal="justify" vertical="center"/>
    </xf>
    <xf numFmtId="4" fontId="19" fillId="0" borderId="29" xfId="0" applyNumberFormat="1" applyFont="1" applyBorder="1" applyAlignment="1" applyProtection="1">
      <alignment horizontal="justify" vertical="center"/>
    </xf>
    <xf numFmtId="4" fontId="19" fillId="0" borderId="20" xfId="0" applyNumberFormat="1" applyFont="1" applyBorder="1" applyAlignment="1" applyProtection="1">
      <alignment horizontal="justify" vertical="center"/>
    </xf>
    <xf numFmtId="4" fontId="19" fillId="0" borderId="30" xfId="0" applyNumberFormat="1" applyFont="1" applyBorder="1" applyAlignment="1" applyProtection="1">
      <alignment horizontal="justify" vertical="center"/>
    </xf>
    <xf numFmtId="10" fontId="51" fillId="0" borderId="97" xfId="14" applyNumberFormat="1" applyFont="1" applyBorder="1" applyAlignment="1" applyProtection="1">
      <alignment horizontal="center" vertical="center"/>
    </xf>
    <xf numFmtId="10" fontId="51" fillId="0" borderId="101" xfId="14" applyNumberFormat="1" applyFont="1" applyBorder="1" applyAlignment="1" applyProtection="1">
      <alignment horizontal="center" vertical="center"/>
    </xf>
    <xf numFmtId="10" fontId="51" fillId="0" borderId="98" xfId="14" applyNumberFormat="1" applyFont="1" applyBorder="1" applyAlignment="1" applyProtection="1">
      <alignment horizontal="center" vertical="center"/>
    </xf>
    <xf numFmtId="10" fontId="51" fillId="0" borderId="103" xfId="14" applyNumberFormat="1" applyFont="1" applyBorder="1" applyAlignment="1" applyProtection="1">
      <alignment horizontal="center" vertical="center"/>
    </xf>
    <xf numFmtId="10" fontId="54" fillId="9" borderId="33" xfId="0" applyNumberFormat="1" applyFont="1" applyFill="1" applyBorder="1" applyAlignment="1" applyProtection="1">
      <alignment horizontal="center" vertical="center"/>
    </xf>
    <xf numFmtId="176" fontId="51" fillId="9" borderId="6" xfId="0" applyNumberFormat="1" applyFont="1" applyFill="1" applyBorder="1" applyAlignment="1" applyProtection="1">
      <alignment horizontal="justify" vertical="center"/>
    </xf>
    <xf numFmtId="176" fontId="51" fillId="9" borderId="7" xfId="0" applyNumberFormat="1" applyFont="1" applyFill="1" applyBorder="1" applyAlignment="1" applyProtection="1">
      <alignment horizontal="justify" vertical="center"/>
    </xf>
    <xf numFmtId="176" fontId="51" fillId="9" borderId="7" xfId="0" applyNumberFormat="1" applyFont="1" applyFill="1" applyBorder="1" applyAlignment="1" applyProtection="1">
      <alignment horizontal="center" vertical="center"/>
    </xf>
    <xf numFmtId="176" fontId="51" fillId="9" borderId="43" xfId="0" applyNumberFormat="1" applyFont="1" applyFill="1" applyBorder="1" applyAlignment="1" applyProtection="1">
      <alignment horizontal="center" vertical="center"/>
    </xf>
    <xf numFmtId="4" fontId="51" fillId="9" borderId="6" xfId="0" applyNumberFormat="1" applyFont="1" applyFill="1" applyBorder="1" applyAlignment="1" applyProtection="1">
      <alignment horizontal="center" vertical="center"/>
    </xf>
    <xf numFmtId="4" fontId="51" fillId="9" borderId="7" xfId="0" applyNumberFormat="1" applyFont="1" applyFill="1" applyBorder="1" applyAlignment="1" applyProtection="1">
      <alignment horizontal="center" vertical="center"/>
    </xf>
    <xf numFmtId="10" fontId="18" fillId="9" borderId="15" xfId="0" applyNumberFormat="1" applyFont="1" applyFill="1" applyBorder="1" applyAlignment="1" applyProtection="1">
      <alignment horizontal="center" vertical="center"/>
    </xf>
    <xf numFmtId="10" fontId="18" fillId="9" borderId="31" xfId="0" applyNumberFormat="1" applyFont="1" applyFill="1" applyBorder="1" applyAlignment="1" applyProtection="1">
      <alignment horizontal="center" vertical="center"/>
    </xf>
    <xf numFmtId="167" fontId="19" fillId="9" borderId="64" xfId="0" applyNumberFormat="1" applyFont="1" applyFill="1" applyBorder="1" applyAlignment="1" applyProtection="1">
      <alignment horizontal="center" vertical="center"/>
    </xf>
    <xf numFmtId="167" fontId="19" fillId="9" borderId="5" xfId="0" applyNumberFormat="1" applyFont="1" applyFill="1" applyBorder="1" applyAlignment="1" applyProtection="1">
      <alignment horizontal="center" vertical="center"/>
    </xf>
    <xf numFmtId="169" fontId="51" fillId="9" borderId="6" xfId="0" applyNumberFormat="1" applyFont="1" applyFill="1" applyBorder="1" applyAlignment="1" applyProtection="1">
      <alignment horizontal="justify" vertical="center" wrapText="1"/>
    </xf>
    <xf numFmtId="169" fontId="51" fillId="9" borderId="4" xfId="0" applyNumberFormat="1" applyFont="1" applyFill="1" applyBorder="1" applyAlignment="1" applyProtection="1">
      <alignment horizontal="justify" vertical="center" wrapText="1"/>
    </xf>
    <xf numFmtId="49" fontId="19" fillId="9" borderId="6" xfId="0" applyNumberFormat="1" applyFont="1" applyFill="1" applyBorder="1" applyAlignment="1" applyProtection="1">
      <alignment horizontal="justify" vertical="center" wrapText="1"/>
    </xf>
    <xf numFmtId="49" fontId="19" fillId="9" borderId="4" xfId="0" applyNumberFormat="1" applyFont="1" applyFill="1" applyBorder="1" applyAlignment="1" applyProtection="1">
      <alignment horizontal="justify" vertical="center" wrapText="1"/>
    </xf>
    <xf numFmtId="169" fontId="19" fillId="9" borderId="6" xfId="0" applyNumberFormat="1" applyFont="1" applyFill="1" applyBorder="1" applyAlignment="1" applyProtection="1">
      <alignment horizontal="justify" vertical="center" wrapText="1"/>
    </xf>
    <xf numFmtId="169" fontId="19" fillId="9" borderId="4" xfId="0" applyNumberFormat="1" applyFont="1" applyFill="1" applyBorder="1" applyAlignment="1" applyProtection="1">
      <alignment horizontal="justify" vertical="center" wrapText="1"/>
    </xf>
    <xf numFmtId="167" fontId="19" fillId="9" borderId="8" xfId="0" applyNumberFormat="1" applyFont="1" applyFill="1" applyBorder="1" applyAlignment="1" applyProtection="1">
      <alignment horizontal="center" vertical="center"/>
    </xf>
    <xf numFmtId="167" fontId="19" fillId="9" borderId="9" xfId="0" applyNumberFormat="1" applyFont="1" applyFill="1" applyBorder="1" applyAlignment="1" applyProtection="1">
      <alignment horizontal="center" vertical="center"/>
    </xf>
    <xf numFmtId="49" fontId="51" fillId="9" borderId="8" xfId="0" applyNumberFormat="1" applyFont="1" applyFill="1" applyBorder="1" applyAlignment="1" applyProtection="1">
      <alignment horizontal="center" vertical="center"/>
    </xf>
    <xf numFmtId="49" fontId="51" fillId="9" borderId="9" xfId="0" applyNumberFormat="1" applyFont="1" applyFill="1" applyBorder="1" applyAlignment="1" applyProtection="1">
      <alignment horizontal="center" vertical="center"/>
    </xf>
    <xf numFmtId="3" fontId="19" fillId="9" borderId="8" xfId="0" applyNumberFormat="1" applyFont="1" applyFill="1" applyBorder="1" applyAlignment="1" applyProtection="1">
      <alignment horizontal="center" vertical="center"/>
    </xf>
    <xf numFmtId="3" fontId="19" fillId="9" borderId="9" xfId="0" applyNumberFormat="1" applyFont="1" applyFill="1" applyBorder="1" applyAlignment="1" applyProtection="1">
      <alignment horizontal="center" vertical="center"/>
    </xf>
    <xf numFmtId="10" fontId="18" fillId="9" borderId="24" xfId="0" applyNumberFormat="1" applyFont="1" applyFill="1" applyBorder="1" applyAlignment="1" applyProtection="1">
      <alignment horizontal="center" vertical="center"/>
    </xf>
    <xf numFmtId="10" fontId="18" fillId="9" borderId="99" xfId="0" applyNumberFormat="1" applyFont="1" applyFill="1" applyBorder="1" applyAlignment="1" applyProtection="1">
      <alignment horizontal="center" vertical="center"/>
    </xf>
    <xf numFmtId="49" fontId="51" fillId="7" borderId="25" xfId="0" applyNumberFormat="1" applyFont="1" applyFill="1" applyBorder="1" applyAlignment="1" applyProtection="1">
      <alignment horizontal="left" vertical="center"/>
    </xf>
    <xf numFmtId="49" fontId="51" fillId="7" borderId="26" xfId="0" applyNumberFormat="1" applyFont="1" applyFill="1" applyBorder="1" applyAlignment="1" applyProtection="1">
      <alignment horizontal="left" vertical="center"/>
    </xf>
    <xf numFmtId="49" fontId="51" fillId="7" borderId="29" xfId="0" applyNumberFormat="1" applyFont="1" applyFill="1" applyBorder="1" applyAlignment="1" applyProtection="1">
      <alignment horizontal="left" vertical="center"/>
    </xf>
    <xf numFmtId="49" fontId="51" fillId="7" borderId="20" xfId="0" applyNumberFormat="1" applyFont="1" applyFill="1" applyBorder="1" applyAlignment="1" applyProtection="1">
      <alignment horizontal="left" vertical="center"/>
    </xf>
    <xf numFmtId="4" fontId="51" fillId="7" borderId="7" xfId="0" applyNumberFormat="1" applyFont="1" applyFill="1" applyBorder="1" applyAlignment="1" applyProtection="1">
      <alignment horizontal="center" vertical="center"/>
    </xf>
    <xf numFmtId="49" fontId="51" fillId="7" borderId="36" xfId="0" applyNumberFormat="1" applyFont="1" applyFill="1" applyBorder="1" applyAlignment="1" applyProtection="1">
      <alignment horizontal="center" vertical="center"/>
    </xf>
    <xf numFmtId="0" fontId="51" fillId="7" borderId="34" xfId="0" applyFont="1" applyFill="1" applyBorder="1" applyAlignment="1" applyProtection="1">
      <alignment horizontal="center" vertical="center"/>
    </xf>
    <xf numFmtId="177" fontId="19" fillId="9" borderId="8" xfId="0" applyNumberFormat="1" applyFont="1" applyFill="1" applyBorder="1" applyAlignment="1" applyProtection="1">
      <alignment horizontal="center" vertical="center"/>
    </xf>
    <xf numFmtId="177" fontId="19" fillId="9" borderId="9" xfId="0" applyNumberFormat="1" applyFont="1" applyFill="1" applyBorder="1" applyAlignment="1" applyProtection="1">
      <alignment horizontal="center" vertical="center"/>
    </xf>
    <xf numFmtId="169" fontId="51" fillId="7" borderId="8" xfId="0" applyNumberFormat="1" applyFont="1" applyFill="1" applyBorder="1" applyAlignment="1" applyProtection="1">
      <alignment horizontal="center" vertical="center"/>
    </xf>
    <xf numFmtId="169" fontId="51" fillId="7" borderId="9" xfId="0" applyNumberFormat="1" applyFont="1" applyFill="1" applyBorder="1" applyAlignment="1" applyProtection="1">
      <alignment horizontal="center" vertical="center"/>
    </xf>
    <xf numFmtId="176" fontId="51" fillId="0" borderId="8" xfId="0" applyNumberFormat="1" applyFont="1" applyBorder="1" applyAlignment="1" applyProtection="1">
      <alignment horizontal="left" vertical="center"/>
    </xf>
    <xf numFmtId="176" fontId="51" fillId="0" borderId="43" xfId="0" applyNumberFormat="1" applyFont="1" applyBorder="1" applyAlignment="1" applyProtection="1">
      <alignment horizontal="left" vertical="center"/>
    </xf>
    <xf numFmtId="169" fontId="51" fillId="7" borderId="25" xfId="0" applyNumberFormat="1" applyFont="1" applyFill="1" applyBorder="1" applyAlignment="1" applyProtection="1">
      <alignment horizontal="left" vertical="center"/>
    </xf>
    <xf numFmtId="169" fontId="51" fillId="7" borderId="26" xfId="0" applyNumberFormat="1" applyFont="1" applyFill="1" applyBorder="1" applyAlignment="1" applyProtection="1">
      <alignment horizontal="left" vertical="center"/>
    </xf>
    <xf numFmtId="169" fontId="51" fillId="7" borderId="66" xfId="0" applyNumberFormat="1" applyFont="1" applyFill="1" applyBorder="1" applyAlignment="1" applyProtection="1">
      <alignment horizontal="left" vertical="center"/>
    </xf>
    <xf numFmtId="169" fontId="51" fillId="7" borderId="67" xfId="0" applyNumberFormat="1" applyFont="1" applyFill="1" applyBorder="1" applyAlignment="1" applyProtection="1">
      <alignment horizontal="left" vertical="center"/>
    </xf>
    <xf numFmtId="49" fontId="19" fillId="9" borderId="22" xfId="0" applyNumberFormat="1" applyFont="1" applyFill="1" applyBorder="1" applyAlignment="1" applyProtection="1">
      <alignment horizontal="center" vertical="center"/>
    </xf>
    <xf numFmtId="49" fontId="19" fillId="9" borderId="49" xfId="0" applyNumberFormat="1" applyFont="1" applyFill="1" applyBorder="1" applyAlignment="1" applyProtection="1">
      <alignment horizontal="center" vertical="center"/>
    </xf>
    <xf numFmtId="169" fontId="19" fillId="9" borderId="23" xfId="0" applyNumberFormat="1" applyFont="1" applyFill="1" applyBorder="1" applyAlignment="1" applyProtection="1">
      <alignment horizontal="justify" vertical="center" wrapText="1"/>
    </xf>
    <xf numFmtId="169" fontId="19" fillId="9" borderId="3" xfId="0" applyNumberFormat="1" applyFont="1" applyFill="1" applyBorder="1" applyAlignment="1" applyProtection="1">
      <alignment horizontal="justify" vertical="center" wrapText="1"/>
    </xf>
    <xf numFmtId="176" fontId="19" fillId="9" borderId="41" xfId="0" applyNumberFormat="1" applyFont="1" applyFill="1" applyBorder="1" applyAlignment="1" applyProtection="1">
      <alignment horizontal="center" vertical="center"/>
    </xf>
    <xf numFmtId="176" fontId="19" fillId="9" borderId="26" xfId="0" applyNumberFormat="1" applyFont="1" applyFill="1" applyBorder="1" applyAlignment="1" applyProtection="1">
      <alignment horizontal="center" vertical="center"/>
    </xf>
    <xf numFmtId="176" fontId="19" fillId="9" borderId="27" xfId="0" applyNumberFormat="1" applyFont="1" applyFill="1" applyBorder="1" applyAlignment="1" applyProtection="1">
      <alignment horizontal="center" vertical="center"/>
    </xf>
    <xf numFmtId="176" fontId="19" fillId="9" borderId="60" xfId="0" applyNumberFormat="1" applyFont="1" applyFill="1" applyBorder="1" applyAlignment="1" applyProtection="1">
      <alignment horizontal="center" vertical="center"/>
    </xf>
    <xf numFmtId="176" fontId="19" fillId="9" borderId="67" xfId="0" applyNumberFormat="1" applyFont="1" applyFill="1" applyBorder="1" applyAlignment="1" applyProtection="1">
      <alignment horizontal="center" vertical="center"/>
    </xf>
    <xf numFmtId="176" fontId="19" fillId="9" borderId="89" xfId="0" applyNumberFormat="1" applyFont="1" applyFill="1" applyBorder="1" applyAlignment="1" applyProtection="1">
      <alignment horizontal="center" vertical="center"/>
    </xf>
    <xf numFmtId="176" fontId="51" fillId="7" borderId="21" xfId="0" applyNumberFormat="1" applyFont="1" applyFill="1" applyBorder="1" applyAlignment="1" applyProtection="1">
      <alignment horizontal="justify" vertical="center" wrapText="1"/>
    </xf>
    <xf numFmtId="176" fontId="51" fillId="7" borderId="10" xfId="0" applyNumberFormat="1" applyFont="1" applyFill="1" applyBorder="1" applyAlignment="1" applyProtection="1">
      <alignment horizontal="justify" vertical="center" wrapText="1"/>
    </xf>
    <xf numFmtId="176" fontId="51" fillId="7" borderId="28" xfId="0" applyNumberFormat="1" applyFont="1" applyFill="1" applyBorder="1" applyAlignment="1" applyProtection="1">
      <alignment horizontal="justify" vertical="center" wrapText="1"/>
    </xf>
    <xf numFmtId="172" fontId="54" fillId="4" borderId="15" xfId="14" applyNumberFormat="1" applyFont="1" applyFill="1" applyBorder="1" applyAlignment="1" applyProtection="1">
      <alignment horizontal="center" vertical="center"/>
    </xf>
    <xf numFmtId="172" fontId="54" fillId="4" borderId="32" xfId="14" applyNumberFormat="1" applyFont="1" applyFill="1" applyBorder="1" applyAlignment="1" applyProtection="1">
      <alignment horizontal="center" vertical="center"/>
    </xf>
    <xf numFmtId="4" fontId="51" fillId="7" borderId="11" xfId="0" applyNumberFormat="1" applyFont="1" applyFill="1" applyBorder="1" applyAlignment="1" applyProtection="1">
      <alignment horizontal="center" vertical="center"/>
    </xf>
    <xf numFmtId="49" fontId="51" fillId="0" borderId="25" xfId="0" applyNumberFormat="1" applyFont="1" applyBorder="1" applyAlignment="1" applyProtection="1">
      <alignment horizontal="left" vertical="center"/>
    </xf>
    <xf numFmtId="49" fontId="51" fillId="0" borderId="26" xfId="0" applyNumberFormat="1" applyFont="1" applyBorder="1" applyAlignment="1" applyProtection="1">
      <alignment horizontal="left" vertical="center"/>
    </xf>
    <xf numFmtId="49" fontId="51" fillId="0" borderId="29" xfId="0" applyNumberFormat="1" applyFont="1" applyBorder="1" applyAlignment="1" applyProtection="1">
      <alignment horizontal="left" vertical="center"/>
    </xf>
    <xf numFmtId="49" fontId="51" fillId="0" borderId="20" xfId="0" applyNumberFormat="1" applyFont="1" applyBorder="1" applyAlignment="1" applyProtection="1">
      <alignment horizontal="left" vertical="center"/>
    </xf>
    <xf numFmtId="177" fontId="51" fillId="0" borderId="36" xfId="0" applyNumberFormat="1" applyFont="1" applyBorder="1" applyAlignment="1" applyProtection="1">
      <alignment horizontal="center" vertical="center"/>
    </xf>
    <xf numFmtId="4" fontId="15" fillId="10" borderId="0" xfId="0" quotePrefix="1" applyNumberFormat="1" applyFont="1" applyFill="1" applyAlignment="1" applyProtection="1">
      <alignment horizontal="center" vertical="center"/>
      <protection locked="0"/>
    </xf>
    <xf numFmtId="4" fontId="56" fillId="10" borderId="0" xfId="0" applyNumberFormat="1" applyFont="1" applyFill="1" applyAlignment="1" applyProtection="1">
      <alignment horizontal="center" vertical="center"/>
      <protection locked="0"/>
    </xf>
    <xf numFmtId="176" fontId="36" fillId="10" borderId="25" xfId="0" applyNumberFormat="1" applyFont="1" applyFill="1" applyBorder="1" applyAlignment="1" applyProtection="1">
      <alignment horizontal="center" vertical="center"/>
      <protection locked="0"/>
    </xf>
    <xf numFmtId="176" fontId="36" fillId="10" borderId="26" xfId="0" applyNumberFormat="1" applyFont="1" applyFill="1" applyBorder="1" applyAlignment="1" applyProtection="1">
      <alignment horizontal="center" vertical="center"/>
      <protection locked="0"/>
    </xf>
    <xf numFmtId="176" fontId="36" fillId="10" borderId="27" xfId="0" applyNumberFormat="1" applyFont="1" applyFill="1" applyBorder="1" applyAlignment="1" applyProtection="1">
      <alignment horizontal="center" vertical="center"/>
      <protection locked="0"/>
    </xf>
    <xf numFmtId="176" fontId="36" fillId="10" borderId="12" xfId="0" applyNumberFormat="1" applyFont="1" applyFill="1" applyBorder="1" applyAlignment="1" applyProtection="1">
      <alignment horizontal="center" vertical="center"/>
      <protection locked="0"/>
    </xf>
    <xf numFmtId="176" fontId="36" fillId="10" borderId="0" xfId="0" applyNumberFormat="1" applyFont="1" applyFill="1" applyAlignment="1" applyProtection="1">
      <alignment horizontal="center" vertical="center"/>
      <protection locked="0"/>
    </xf>
    <xf numFmtId="176" fontId="36" fillId="10" borderId="13" xfId="0" applyNumberFormat="1" applyFont="1" applyFill="1" applyBorder="1" applyAlignment="1" applyProtection="1">
      <alignment horizontal="center" vertical="center"/>
      <protection locked="0"/>
    </xf>
    <xf numFmtId="0" fontId="71" fillId="0" borderId="0" xfId="0" applyFont="1" applyAlignment="1" applyProtection="1">
      <alignment horizontal="center" vertical="center"/>
    </xf>
    <xf numFmtId="44" fontId="58" fillId="0" borderId="0" xfId="4" applyFont="1" applyAlignment="1" applyProtection="1">
      <alignment horizontal="center" vertical="center"/>
    </xf>
    <xf numFmtId="44" fontId="15" fillId="0" borderId="0" xfId="4" quotePrefix="1" applyFont="1" applyAlignment="1" applyProtection="1">
      <alignment horizontal="center" vertical="center"/>
    </xf>
    <xf numFmtId="172" fontId="54" fillId="7" borderId="15" xfId="14" applyNumberFormat="1" applyFont="1" applyFill="1" applyBorder="1" applyAlignment="1" applyProtection="1">
      <alignment horizontal="center" vertical="center"/>
    </xf>
    <xf numFmtId="172" fontId="54" fillId="7" borderId="32" xfId="14" applyNumberFormat="1" applyFont="1" applyFill="1" applyBorder="1" applyAlignment="1" applyProtection="1">
      <alignment horizontal="center" vertical="center"/>
    </xf>
    <xf numFmtId="177" fontId="51" fillId="7" borderId="25" xfId="0" applyNumberFormat="1" applyFont="1" applyFill="1" applyBorder="1" applyAlignment="1" applyProtection="1">
      <alignment vertical="center"/>
    </xf>
    <xf numFmtId="177" fontId="51" fillId="7" borderId="26" xfId="0" applyNumberFormat="1" applyFont="1" applyFill="1" applyBorder="1" applyAlignment="1" applyProtection="1">
      <alignment vertical="center"/>
    </xf>
    <xf numFmtId="177" fontId="51" fillId="7" borderId="29" xfId="0" applyNumberFormat="1" applyFont="1" applyFill="1" applyBorder="1" applyAlignment="1" applyProtection="1">
      <alignment vertical="center"/>
    </xf>
    <xf numFmtId="177" fontId="51" fillId="7" borderId="20" xfId="0" applyNumberFormat="1" applyFont="1" applyFill="1" applyBorder="1" applyAlignment="1" applyProtection="1">
      <alignment vertical="center"/>
    </xf>
    <xf numFmtId="4" fontId="58" fillId="0" borderId="0" xfId="0" applyNumberFormat="1" applyFont="1" applyAlignment="1" applyProtection="1">
      <alignment horizontal="center" vertical="center"/>
    </xf>
    <xf numFmtId="168" fontId="71" fillId="0" borderId="0" xfId="0" applyNumberFormat="1" applyFont="1" applyAlignment="1" applyProtection="1">
      <alignment horizontal="center" vertical="center"/>
    </xf>
    <xf numFmtId="4" fontId="51" fillId="0" borderId="105" xfId="0" applyNumberFormat="1" applyFont="1" applyBorder="1" applyAlignment="1" applyProtection="1">
      <alignment horizontal="center" vertical="center"/>
    </xf>
    <xf numFmtId="4" fontId="51" fillId="0" borderId="90" xfId="0" applyNumberFormat="1" applyFont="1" applyBorder="1" applyAlignment="1" applyProtection="1">
      <alignment horizontal="center" vertical="center"/>
    </xf>
    <xf numFmtId="10" fontId="54" fillId="0" borderId="81" xfId="0" applyNumberFormat="1" applyFont="1" applyBorder="1" applyAlignment="1" applyProtection="1">
      <alignment horizontal="center" vertical="center"/>
    </xf>
    <xf numFmtId="10" fontId="54" fillId="0" borderId="88" xfId="0" applyNumberFormat="1" applyFont="1" applyBorder="1" applyAlignment="1" applyProtection="1">
      <alignment horizontal="center" vertical="center"/>
    </xf>
    <xf numFmtId="172" fontId="54" fillId="7" borderId="33" xfId="14" applyNumberFormat="1" applyFont="1" applyFill="1" applyBorder="1" applyAlignment="1" applyProtection="1">
      <alignment horizontal="center" vertical="center"/>
    </xf>
    <xf numFmtId="49" fontId="51" fillId="7" borderId="25" xfId="0" applyNumberFormat="1" applyFont="1" applyFill="1" applyBorder="1" applyAlignment="1" applyProtection="1">
      <alignment vertical="center"/>
    </xf>
    <xf numFmtId="49" fontId="51" fillId="7" borderId="26" xfId="0" applyNumberFormat="1" applyFont="1" applyFill="1" applyBorder="1" applyAlignment="1" applyProtection="1">
      <alignment vertical="center"/>
    </xf>
    <xf numFmtId="49" fontId="51" fillId="7" borderId="29" xfId="0" applyNumberFormat="1" applyFont="1" applyFill="1" applyBorder="1" applyAlignment="1" applyProtection="1">
      <alignment vertical="center"/>
    </xf>
    <xf numFmtId="49" fontId="51" fillId="7" borderId="20" xfId="0" applyNumberFormat="1" applyFont="1" applyFill="1" applyBorder="1" applyAlignment="1" applyProtection="1">
      <alignment vertical="center"/>
    </xf>
    <xf numFmtId="177" fontId="51" fillId="7" borderId="36" xfId="0" applyNumberFormat="1" applyFont="1" applyFill="1" applyBorder="1" applyAlignment="1" applyProtection="1">
      <alignment horizontal="center" vertical="center"/>
    </xf>
    <xf numFmtId="176" fontId="18" fillId="0" borderId="0" xfId="0" applyNumberFormat="1" applyFont="1" applyAlignment="1" applyProtection="1">
      <alignment horizontal="center" vertical="center"/>
    </xf>
    <xf numFmtId="176" fontId="18" fillId="0" borderId="71" xfId="0" applyNumberFormat="1" applyFont="1" applyBorder="1" applyAlignment="1" applyProtection="1">
      <alignment horizontal="center" vertical="center"/>
    </xf>
    <xf numFmtId="44" fontId="18" fillId="0" borderId="44" xfId="0" applyNumberFormat="1" applyFont="1" applyBorder="1" applyAlignment="1" applyProtection="1">
      <alignment horizontal="center" vertical="center"/>
    </xf>
    <xf numFmtId="44" fontId="18" fillId="0" borderId="62" xfId="0" applyNumberFormat="1" applyFont="1" applyBorder="1" applyAlignment="1" applyProtection="1">
      <alignment horizontal="center" vertical="center"/>
    </xf>
    <xf numFmtId="44" fontId="18" fillId="0" borderId="5" xfId="0" applyNumberFormat="1" applyFont="1" applyBorder="1" applyAlignment="1" applyProtection="1">
      <alignment horizontal="center" vertical="center"/>
    </xf>
    <xf numFmtId="44" fontId="18" fillId="0" borderId="115" xfId="0" applyNumberFormat="1" applyFont="1" applyBorder="1" applyAlignment="1" applyProtection="1">
      <alignment horizontal="center" vertical="center"/>
    </xf>
    <xf numFmtId="2" fontId="18" fillId="0" borderId="52" xfId="0" applyNumberFormat="1" applyFont="1" applyBorder="1" applyAlignment="1" applyProtection="1">
      <alignment horizontal="center" vertical="center" wrapText="1"/>
    </xf>
    <xf numFmtId="2" fontId="18" fillId="0" borderId="94" xfId="0" applyNumberFormat="1" applyFont="1" applyBorder="1" applyAlignment="1" applyProtection="1">
      <alignment horizontal="center" vertical="center" wrapText="1"/>
    </xf>
    <xf numFmtId="2" fontId="18" fillId="0" borderId="111" xfId="0" applyNumberFormat="1" applyFont="1" applyBorder="1" applyAlignment="1" applyProtection="1">
      <alignment horizontal="center" vertical="center" wrapText="1"/>
    </xf>
    <xf numFmtId="2" fontId="18" fillId="0" borderId="11" xfId="0" applyNumberFormat="1" applyFont="1" applyBorder="1" applyAlignment="1" applyProtection="1">
      <alignment horizontal="justify" vertical="center" wrapText="1"/>
    </xf>
    <xf numFmtId="2" fontId="18" fillId="0" borderId="42" xfId="0" applyNumberFormat="1" applyFont="1" applyBorder="1" applyAlignment="1" applyProtection="1">
      <alignment horizontal="justify" vertical="center" wrapText="1"/>
    </xf>
    <xf numFmtId="2" fontId="18" fillId="0" borderId="110" xfId="0" applyNumberFormat="1" applyFont="1" applyBorder="1" applyAlignment="1" applyProtection="1">
      <alignment horizontal="justify" vertical="center" wrapText="1"/>
    </xf>
    <xf numFmtId="4" fontId="23" fillId="0" borderId="11" xfId="0" applyNumberFormat="1" applyFont="1" applyBorder="1" applyAlignment="1" applyProtection="1">
      <alignment horizontal="center" vertical="center" wrapText="1"/>
    </xf>
    <xf numFmtId="4" fontId="23" fillId="0" borderId="3" xfId="0" applyNumberFormat="1" applyFont="1" applyBorder="1" applyAlignment="1" applyProtection="1">
      <alignment horizontal="center" vertical="center" wrapText="1"/>
    </xf>
    <xf numFmtId="4" fontId="23" fillId="0" borderId="44" xfId="0" applyNumberFormat="1" applyFont="1" applyBorder="1" applyAlignment="1" applyProtection="1">
      <alignment horizontal="center" vertical="center" wrapText="1"/>
    </xf>
    <xf numFmtId="4" fontId="23" fillId="0" borderId="62" xfId="0" applyNumberFormat="1" applyFont="1" applyBorder="1" applyAlignment="1" applyProtection="1">
      <alignment horizontal="center" vertical="center" wrapText="1"/>
    </xf>
    <xf numFmtId="4" fontId="23" fillId="0" borderId="5" xfId="0" applyNumberFormat="1" applyFont="1" applyBorder="1" applyAlignment="1" applyProtection="1">
      <alignment horizontal="center" vertical="center" wrapText="1"/>
    </xf>
    <xf numFmtId="4" fontId="18" fillId="0" borderId="0" xfId="0" applyNumberFormat="1" applyFont="1" applyAlignment="1" applyProtection="1">
      <alignment horizontal="center" vertical="center"/>
    </xf>
    <xf numFmtId="44" fontId="18" fillId="0" borderId="69" xfId="0" applyNumberFormat="1" applyFont="1" applyBorder="1" applyAlignment="1" applyProtection="1">
      <alignment horizontal="center" vertical="center"/>
    </xf>
    <xf numFmtId="44" fontId="18" fillId="0" borderId="75" xfId="0" applyNumberFormat="1" applyFont="1" applyBorder="1" applyAlignment="1" applyProtection="1">
      <alignment horizontal="center" vertical="center"/>
    </xf>
    <xf numFmtId="44" fontId="18" fillId="0" borderId="68" xfId="0" applyNumberFormat="1" applyFont="1" applyBorder="1" applyAlignment="1" applyProtection="1">
      <alignment horizontal="center" vertical="center"/>
    </xf>
    <xf numFmtId="44" fontId="18" fillId="0" borderId="113" xfId="0" applyNumberFormat="1" applyFont="1" applyBorder="1" applyAlignment="1" applyProtection="1">
      <alignment horizontal="center" vertical="center"/>
    </xf>
    <xf numFmtId="44" fontId="18" fillId="0" borderId="74" xfId="5" applyNumberFormat="1" applyFont="1" applyFill="1" applyBorder="1" applyAlignment="1" applyProtection="1">
      <alignment horizontal="center" vertical="center"/>
    </xf>
    <xf numFmtId="44" fontId="18" fillId="0" borderId="70" xfId="5" applyNumberFormat="1" applyFont="1" applyFill="1" applyBorder="1" applyAlignment="1" applyProtection="1">
      <alignment horizontal="center" vertical="center"/>
    </xf>
    <xf numFmtId="172" fontId="64" fillId="0" borderId="78" xfId="14" applyNumberFormat="1" applyFont="1" applyFill="1" applyBorder="1" applyAlignment="1" applyProtection="1">
      <alignment horizontal="center" vertical="center"/>
    </xf>
    <xf numFmtId="172" fontId="64" fillId="0" borderId="79" xfId="14" applyNumberFormat="1" applyFont="1" applyFill="1" applyBorder="1" applyAlignment="1" applyProtection="1">
      <alignment horizontal="center" vertical="center"/>
    </xf>
    <xf numFmtId="172" fontId="64" fillId="0" borderId="109" xfId="14" applyNumberFormat="1" applyFont="1" applyFill="1" applyBorder="1" applyAlignment="1" applyProtection="1">
      <alignment horizontal="center" vertical="center"/>
    </xf>
    <xf numFmtId="44" fontId="18" fillId="0" borderId="53" xfId="5" applyNumberFormat="1" applyFont="1" applyFill="1" applyBorder="1" applyAlignment="1" applyProtection="1">
      <alignment horizontal="center" vertical="center"/>
    </xf>
    <xf numFmtId="10" fontId="65" fillId="0" borderId="78" xfId="0" applyNumberFormat="1" applyFont="1" applyBorder="1" applyAlignment="1" applyProtection="1">
      <alignment horizontal="center" vertical="center" wrapText="1"/>
    </xf>
    <xf numFmtId="10" fontId="65" fillId="0" borderId="79" xfId="0" applyNumberFormat="1" applyFont="1" applyBorder="1" applyAlignment="1" applyProtection="1">
      <alignment horizontal="center" vertical="center" wrapText="1"/>
    </xf>
    <xf numFmtId="10" fontId="65" fillId="0" borderId="109" xfId="0" applyNumberFormat="1" applyFont="1" applyBorder="1" applyAlignment="1" applyProtection="1">
      <alignment horizontal="center" vertical="center" wrapText="1"/>
    </xf>
    <xf numFmtId="175" fontId="18" fillId="0" borderId="11" xfId="0" applyNumberFormat="1" applyFont="1" applyBorder="1" applyAlignment="1" applyProtection="1">
      <alignment horizontal="justify" vertical="center" wrapText="1"/>
    </xf>
    <xf numFmtId="175" fontId="18" fillId="0" borderId="42" xfId="0" applyNumberFormat="1" applyFont="1" applyBorder="1" applyAlignment="1" applyProtection="1">
      <alignment horizontal="justify" vertical="center" wrapText="1"/>
    </xf>
    <xf numFmtId="175" fontId="18" fillId="0" borderId="3" xfId="0" applyNumberFormat="1" applyFont="1" applyBorder="1" applyAlignment="1" applyProtection="1">
      <alignment horizontal="justify" vertical="center" wrapText="1"/>
    </xf>
    <xf numFmtId="176" fontId="18" fillId="0" borderId="0" xfId="0" applyNumberFormat="1" applyFont="1" applyAlignment="1" applyProtection="1">
      <alignment horizontal="center" vertical="center" wrapText="1"/>
    </xf>
    <xf numFmtId="176" fontId="18" fillId="0" borderId="71" xfId="0" applyNumberFormat="1" applyFont="1" applyBorder="1" applyAlignment="1" applyProtection="1">
      <alignment horizontal="center" vertical="center" wrapText="1"/>
    </xf>
    <xf numFmtId="165" fontId="18" fillId="0" borderId="76" xfId="14" applyNumberFormat="1" applyFont="1" applyFill="1" applyBorder="1" applyAlignment="1" applyProtection="1">
      <alignment horizontal="center" vertical="center"/>
    </xf>
    <xf numFmtId="165" fontId="18" fillId="0" borderId="77" xfId="14" applyNumberFormat="1" applyFont="1" applyFill="1" applyBorder="1" applyAlignment="1" applyProtection="1">
      <alignment horizontal="center" vertical="center"/>
    </xf>
    <xf numFmtId="44" fontId="18" fillId="4" borderId="69" xfId="0" applyNumberFormat="1" applyFont="1" applyFill="1" applyBorder="1" applyAlignment="1" applyProtection="1">
      <alignment horizontal="center" vertical="center"/>
    </xf>
    <xf numFmtId="44" fontId="18" fillId="4" borderId="75" xfId="0" applyNumberFormat="1" applyFont="1" applyFill="1" applyBorder="1" applyAlignment="1" applyProtection="1">
      <alignment horizontal="center" vertical="center"/>
    </xf>
    <xf numFmtId="44" fontId="18" fillId="4" borderId="68" xfId="0" applyNumberFormat="1" applyFont="1" applyFill="1" applyBorder="1" applyAlignment="1" applyProtection="1">
      <alignment horizontal="center" vertical="center"/>
    </xf>
    <xf numFmtId="10" fontId="65" fillId="0" borderId="44" xfId="0" applyNumberFormat="1" applyFont="1" applyBorder="1" applyAlignment="1" applyProtection="1">
      <alignment horizontal="center" vertical="center" wrapText="1"/>
    </xf>
    <xf numFmtId="10" fontId="65" fillId="0" borderId="62" xfId="0" applyNumberFormat="1" applyFont="1" applyBorder="1" applyAlignment="1" applyProtection="1">
      <alignment horizontal="center" vertical="center" wrapText="1"/>
    </xf>
    <xf numFmtId="10" fontId="65" fillId="0" borderId="5" xfId="0" applyNumberFormat="1" applyFont="1" applyBorder="1" applyAlignment="1" applyProtection="1">
      <alignment horizontal="center" vertical="center" wrapText="1"/>
    </xf>
    <xf numFmtId="175" fontId="18" fillId="9" borderId="52" xfId="0" applyNumberFormat="1" applyFont="1" applyFill="1" applyBorder="1" applyAlignment="1" applyProtection="1">
      <alignment horizontal="center" vertical="center" wrapText="1"/>
    </xf>
    <xf numFmtId="175" fontId="18" fillId="9" borderId="94" xfId="0" applyNumberFormat="1" applyFont="1" applyFill="1" applyBorder="1" applyAlignment="1" applyProtection="1">
      <alignment horizontal="center" vertical="center" wrapText="1"/>
    </xf>
    <xf numFmtId="175" fontId="18" fillId="9" borderId="77" xfId="0" applyNumberFormat="1" applyFont="1" applyFill="1" applyBorder="1" applyAlignment="1" applyProtection="1">
      <alignment horizontal="center" vertical="center" wrapText="1"/>
    </xf>
    <xf numFmtId="175" fontId="18" fillId="9" borderId="11" xfId="0" applyNumberFormat="1" applyFont="1" applyFill="1" applyBorder="1" applyAlignment="1" applyProtection="1">
      <alignment horizontal="justify" vertical="center" wrapText="1"/>
    </xf>
    <xf numFmtId="175" fontId="18" fillId="9" borderId="42" xfId="0" applyNumberFormat="1" applyFont="1" applyFill="1" applyBorder="1" applyAlignment="1" applyProtection="1">
      <alignment horizontal="justify" vertical="center" wrapText="1"/>
    </xf>
    <xf numFmtId="175" fontId="18" fillId="9" borderId="3" xfId="0" applyNumberFormat="1" applyFont="1" applyFill="1" applyBorder="1" applyAlignment="1" applyProtection="1">
      <alignment horizontal="justify" vertical="center" wrapText="1"/>
    </xf>
    <xf numFmtId="4" fontId="23" fillId="9" borderId="11" xfId="0" applyNumberFormat="1" applyFont="1" applyFill="1" applyBorder="1" applyAlignment="1" applyProtection="1">
      <alignment horizontal="center" vertical="center" wrapText="1"/>
    </xf>
    <xf numFmtId="4" fontId="23" fillId="9" borderId="3" xfId="0" applyNumberFormat="1" applyFont="1" applyFill="1" applyBorder="1" applyAlignment="1" applyProtection="1">
      <alignment horizontal="center" vertical="center" wrapText="1"/>
    </xf>
    <xf numFmtId="4" fontId="23" fillId="9" borderId="44" xfId="0" applyNumberFormat="1" applyFont="1" applyFill="1" applyBorder="1" applyAlignment="1" applyProtection="1">
      <alignment horizontal="center" vertical="center" wrapText="1"/>
    </xf>
    <xf numFmtId="4" fontId="23" fillId="9" borderId="62" xfId="0" applyNumberFormat="1" applyFont="1" applyFill="1" applyBorder="1" applyAlignment="1" applyProtection="1">
      <alignment horizontal="center" vertical="center" wrapText="1"/>
    </xf>
    <xf numFmtId="4" fontId="23" fillId="9" borderId="5" xfId="0" applyNumberFormat="1" applyFont="1" applyFill="1" applyBorder="1" applyAlignment="1" applyProtection="1">
      <alignment horizontal="center" vertical="center" wrapText="1"/>
    </xf>
    <xf numFmtId="44" fontId="18" fillId="9" borderId="53" xfId="5" applyNumberFormat="1" applyFont="1" applyFill="1" applyBorder="1" applyAlignment="1" applyProtection="1">
      <alignment horizontal="center" vertical="center"/>
    </xf>
    <xf numFmtId="44" fontId="18" fillId="9" borderId="70" xfId="5" applyNumberFormat="1" applyFont="1" applyFill="1" applyBorder="1" applyAlignment="1" applyProtection="1">
      <alignment horizontal="center" vertical="center"/>
    </xf>
    <xf numFmtId="10" fontId="65" fillId="9" borderId="44" xfId="0" applyNumberFormat="1" applyFont="1" applyFill="1" applyBorder="1" applyAlignment="1" applyProtection="1">
      <alignment horizontal="center" vertical="center" wrapText="1"/>
    </xf>
    <xf numFmtId="10" fontId="65" fillId="9" borderId="62" xfId="0" applyNumberFormat="1" applyFont="1" applyFill="1" applyBorder="1" applyAlignment="1" applyProtection="1">
      <alignment horizontal="center" vertical="center" wrapText="1"/>
    </xf>
    <xf numFmtId="10" fontId="65" fillId="9" borderId="5" xfId="0" applyNumberFormat="1" applyFont="1" applyFill="1" applyBorder="1" applyAlignment="1" applyProtection="1">
      <alignment horizontal="center" vertical="center" wrapText="1"/>
    </xf>
    <xf numFmtId="175" fontId="18" fillId="0" borderId="52" xfId="0" applyNumberFormat="1" applyFont="1" applyBorder="1" applyAlignment="1" applyProtection="1">
      <alignment horizontal="center" vertical="center" wrapText="1"/>
    </xf>
    <xf numFmtId="175" fontId="18" fillId="0" borderId="94" xfId="0" applyNumberFormat="1" applyFont="1" applyBorder="1" applyAlignment="1" applyProtection="1">
      <alignment horizontal="center" vertical="center" wrapText="1"/>
    </xf>
    <xf numFmtId="175" fontId="18" fillId="0" borderId="77" xfId="0" applyNumberFormat="1" applyFont="1" applyBorder="1" applyAlignment="1" applyProtection="1">
      <alignment horizontal="center" vertical="center" wrapText="1"/>
    </xf>
    <xf numFmtId="2" fontId="18" fillId="0" borderId="77" xfId="0" applyNumberFormat="1" applyFont="1" applyBorder="1" applyAlignment="1" applyProtection="1">
      <alignment horizontal="center" vertical="center" wrapText="1"/>
    </xf>
    <xf numFmtId="2" fontId="18" fillId="0" borderId="3" xfId="0" applyNumberFormat="1" applyFont="1" applyBorder="1" applyAlignment="1" applyProtection="1">
      <alignment horizontal="justify" vertical="center" wrapText="1"/>
    </xf>
    <xf numFmtId="2" fontId="18" fillId="9" borderId="52" xfId="0" applyNumberFormat="1" applyFont="1" applyFill="1" applyBorder="1" applyAlignment="1" applyProtection="1">
      <alignment horizontal="center" vertical="center" wrapText="1"/>
    </xf>
    <xf numFmtId="2" fontId="18" fillId="9" borderId="94" xfId="0" applyNumberFormat="1" applyFont="1" applyFill="1" applyBorder="1" applyAlignment="1" applyProtection="1">
      <alignment horizontal="center" vertical="center" wrapText="1"/>
    </xf>
    <xf numFmtId="2" fontId="18" fillId="9" borderId="77" xfId="0" applyNumberFormat="1" applyFont="1" applyFill="1" applyBorder="1" applyAlignment="1" applyProtection="1">
      <alignment horizontal="center" vertical="center" wrapText="1"/>
    </xf>
    <xf numFmtId="2" fontId="18" fillId="9" borderId="11" xfId="0" applyNumberFormat="1" applyFont="1" applyFill="1" applyBorder="1" applyAlignment="1" applyProtection="1">
      <alignment horizontal="justify" vertical="center" wrapText="1"/>
    </xf>
    <xf numFmtId="2" fontId="18" fillId="9" borderId="42" xfId="0" applyNumberFormat="1" applyFont="1" applyFill="1" applyBorder="1" applyAlignment="1" applyProtection="1">
      <alignment horizontal="justify" vertical="center" wrapText="1"/>
    </xf>
    <xf numFmtId="2" fontId="18" fillId="9" borderId="3" xfId="0" applyNumberFormat="1" applyFont="1" applyFill="1" applyBorder="1" applyAlignment="1" applyProtection="1">
      <alignment horizontal="justify" vertical="center" wrapText="1"/>
    </xf>
    <xf numFmtId="2" fontId="18" fillId="0" borderId="114" xfId="0" applyNumberFormat="1" applyFont="1" applyBorder="1" applyAlignment="1" applyProtection="1">
      <alignment horizontal="justify" vertical="center" wrapText="1"/>
    </xf>
    <xf numFmtId="4" fontId="23" fillId="0" borderId="114" xfId="0" applyNumberFormat="1" applyFont="1" applyBorder="1" applyAlignment="1" applyProtection="1">
      <alignment horizontal="center" vertical="center" wrapText="1"/>
    </xf>
    <xf numFmtId="4" fontId="23" fillId="0" borderId="69" xfId="0" applyNumberFormat="1" applyFont="1" applyBorder="1" applyAlignment="1" applyProtection="1">
      <alignment horizontal="center" vertical="center" wrapText="1"/>
    </xf>
    <xf numFmtId="4" fontId="23" fillId="0" borderId="75" xfId="0" applyNumberFormat="1" applyFont="1" applyBorder="1" applyAlignment="1" applyProtection="1">
      <alignment horizontal="center" vertical="center" wrapText="1"/>
    </xf>
    <xf numFmtId="4" fontId="23" fillId="0" borderId="68" xfId="0" applyNumberFormat="1" applyFont="1" applyBorder="1" applyAlignment="1" applyProtection="1">
      <alignment horizontal="center" vertical="center" wrapText="1"/>
    </xf>
    <xf numFmtId="49" fontId="18" fillId="0" borderId="76" xfId="0" applyNumberFormat="1" applyFont="1" applyBorder="1" applyAlignment="1" applyProtection="1">
      <alignment horizontal="center" vertical="center" wrapText="1"/>
    </xf>
    <xf numFmtId="49" fontId="18" fillId="0" borderId="94" xfId="0" applyNumberFormat="1" applyFont="1" applyBorder="1" applyAlignment="1" applyProtection="1">
      <alignment horizontal="center" vertical="center" wrapText="1"/>
    </xf>
    <xf numFmtId="49" fontId="18" fillId="0" borderId="77" xfId="0" applyNumberFormat="1" applyFont="1" applyBorder="1" applyAlignment="1" applyProtection="1">
      <alignment horizontal="center" vertical="center" wrapText="1"/>
    </xf>
    <xf numFmtId="0" fontId="18" fillId="6" borderId="0" xfId="0" applyFont="1" applyFill="1" applyAlignment="1" applyProtection="1">
      <alignment horizontal="justify" vertical="center" wrapText="1"/>
    </xf>
    <xf numFmtId="0" fontId="18" fillId="6" borderId="71" xfId="0" applyFont="1" applyFill="1" applyBorder="1" applyAlignment="1" applyProtection="1">
      <alignment horizontal="justify" vertical="center" wrapText="1"/>
    </xf>
    <xf numFmtId="0" fontId="18" fillId="6" borderId="72" xfId="0" applyFont="1" applyFill="1" applyBorder="1" applyAlignment="1" applyProtection="1">
      <alignment horizontal="justify" vertical="center" wrapText="1"/>
    </xf>
    <xf numFmtId="0" fontId="18" fillId="6" borderId="73" xfId="0" applyFont="1" applyFill="1" applyBorder="1" applyAlignment="1" applyProtection="1">
      <alignment horizontal="justify" vertical="center" wrapText="1"/>
    </xf>
    <xf numFmtId="168" fontId="23" fillId="6" borderId="55" xfId="0" applyNumberFormat="1" applyFont="1" applyFill="1" applyBorder="1" applyAlignment="1" applyProtection="1">
      <alignment horizontal="center" vertical="center" wrapText="1"/>
    </xf>
    <xf numFmtId="168" fontId="23" fillId="6" borderId="116" xfId="0" applyNumberFormat="1" applyFont="1" applyFill="1" applyBorder="1" applyAlignment="1" applyProtection="1">
      <alignment horizontal="center" vertical="center" wrapText="1"/>
    </xf>
    <xf numFmtId="168" fontId="23" fillId="6" borderId="117" xfId="0" applyNumberFormat="1" applyFont="1" applyFill="1" applyBorder="1" applyAlignment="1" applyProtection="1">
      <alignment horizontal="center" vertical="center" wrapText="1"/>
    </xf>
    <xf numFmtId="168" fontId="23" fillId="6" borderId="112" xfId="0" applyNumberFormat="1" applyFont="1" applyFill="1" applyBorder="1" applyAlignment="1" applyProtection="1">
      <alignment horizontal="center" vertical="center" wrapText="1"/>
    </xf>
    <xf numFmtId="168" fontId="23" fillId="6" borderId="75" xfId="0" applyNumberFormat="1" applyFont="1" applyFill="1" applyBorder="1" applyAlignment="1" applyProtection="1">
      <alignment horizontal="center" vertical="center" wrapText="1"/>
    </xf>
    <xf numFmtId="168" fontId="23" fillId="6" borderId="68" xfId="0" applyNumberFormat="1" applyFont="1" applyFill="1" applyBorder="1" applyAlignment="1" applyProtection="1">
      <alignment horizontal="center" vertical="center" wrapText="1"/>
    </xf>
    <xf numFmtId="168" fontId="23" fillId="6" borderId="69" xfId="0" applyNumberFormat="1" applyFont="1" applyFill="1" applyBorder="1" applyAlignment="1" applyProtection="1">
      <alignment horizontal="center" vertical="center" wrapText="1"/>
    </xf>
    <xf numFmtId="168" fontId="23" fillId="6" borderId="113" xfId="0" applyNumberFormat="1" applyFont="1" applyFill="1" applyBorder="1" applyAlignment="1" applyProtection="1">
      <alignment horizontal="center" vertical="center" wrapText="1"/>
    </xf>
    <xf numFmtId="176" fontId="39" fillId="4" borderId="0" xfId="0" applyNumberFormat="1" applyFont="1" applyFill="1" applyAlignment="1" applyProtection="1">
      <alignment horizontal="center" vertical="center"/>
    </xf>
    <xf numFmtId="176" fontId="11" fillId="4" borderId="0" xfId="0" applyNumberFormat="1" applyFont="1" applyFill="1" applyAlignment="1" applyProtection="1">
      <alignment horizontal="center" vertical="center"/>
    </xf>
    <xf numFmtId="0" fontId="18" fillId="0" borderId="0" xfId="0" applyFont="1" applyAlignment="1" applyProtection="1">
      <alignment horizontal="center" vertical="center" wrapText="1"/>
    </xf>
    <xf numFmtId="176" fontId="76" fillId="4" borderId="0" xfId="0" applyNumberFormat="1" applyFont="1" applyFill="1" applyAlignment="1" applyProtection="1">
      <alignment horizontal="center" vertical="center"/>
    </xf>
    <xf numFmtId="4" fontId="29" fillId="3" borderId="58" xfId="0" quotePrefix="1" applyNumberFormat="1" applyFont="1" applyFill="1" applyBorder="1" applyAlignment="1" applyProtection="1">
      <alignment horizontal="center" vertical="center"/>
    </xf>
    <xf numFmtId="4" fontId="29" fillId="3" borderId="64" xfId="0" quotePrefix="1" applyNumberFormat="1" applyFont="1" applyFill="1" applyBorder="1" applyAlignment="1" applyProtection="1">
      <alignment horizontal="center" vertical="center"/>
    </xf>
    <xf numFmtId="4" fontId="63" fillId="0" borderId="0" xfId="0" applyNumberFormat="1" applyFont="1" applyAlignment="1" applyProtection="1">
      <alignment horizontal="center" vertical="center"/>
    </xf>
    <xf numFmtId="0" fontId="21" fillId="8" borderId="25" xfId="0" applyFont="1" applyFill="1" applyBorder="1" applyAlignment="1" applyProtection="1">
      <alignment horizontal="center" vertical="center"/>
    </xf>
    <xf numFmtId="0" fontId="21" fillId="8" borderId="26" xfId="0" applyFont="1" applyFill="1" applyBorder="1" applyAlignment="1" applyProtection="1">
      <alignment horizontal="center" vertical="center"/>
    </xf>
    <xf numFmtId="0" fontId="21" fillId="8" borderId="27" xfId="0" applyFont="1" applyFill="1" applyBorder="1" applyAlignment="1" applyProtection="1">
      <alignment horizontal="center" vertical="center"/>
    </xf>
    <xf numFmtId="0" fontId="21" fillId="8" borderId="12" xfId="0" applyFont="1" applyFill="1" applyBorder="1" applyAlignment="1" applyProtection="1">
      <alignment horizontal="center" vertical="center"/>
    </xf>
    <xf numFmtId="0" fontId="21" fillId="8" borderId="0" xfId="0" applyFont="1" applyFill="1" applyAlignment="1" applyProtection="1">
      <alignment horizontal="center" vertical="center"/>
    </xf>
    <xf numFmtId="0" fontId="21" fillId="8" borderId="13" xfId="0" applyFont="1" applyFill="1" applyBorder="1" applyAlignment="1" applyProtection="1">
      <alignment horizontal="center" vertical="center"/>
    </xf>
    <xf numFmtId="3" fontId="10" fillId="8" borderId="12" xfId="0" applyNumberFormat="1" applyFont="1" applyFill="1" applyBorder="1" applyAlignment="1" applyProtection="1">
      <alignment horizontal="center" vertical="center"/>
    </xf>
    <xf numFmtId="3" fontId="10" fillId="8" borderId="0" xfId="0" applyNumberFormat="1" applyFont="1" applyFill="1" applyAlignment="1" applyProtection="1">
      <alignment horizontal="center" vertical="center"/>
    </xf>
    <xf numFmtId="3" fontId="10" fillId="8" borderId="13" xfId="0" applyNumberFormat="1" applyFont="1" applyFill="1" applyBorder="1" applyAlignment="1" applyProtection="1">
      <alignment horizontal="center" vertical="center"/>
    </xf>
    <xf numFmtId="3" fontId="21" fillId="0" borderId="21" xfId="14" applyNumberFormat="1" applyFont="1" applyBorder="1" applyAlignment="1" applyProtection="1">
      <alignment horizontal="center" vertical="center" wrapText="1"/>
    </xf>
    <xf numFmtId="3" fontId="21" fillId="0" borderId="10" xfId="14" applyNumberFormat="1" applyFont="1" applyBorder="1" applyAlignment="1" applyProtection="1">
      <alignment horizontal="center" vertical="center" wrapText="1"/>
    </xf>
    <xf numFmtId="3" fontId="21" fillId="0" borderId="28" xfId="14" applyNumberFormat="1" applyFont="1" applyBorder="1" applyAlignment="1" applyProtection="1">
      <alignment horizontal="center" vertical="center" wrapText="1"/>
    </xf>
    <xf numFmtId="176" fontId="9" fillId="8" borderId="36" xfId="0" applyNumberFormat="1" applyFont="1" applyFill="1" applyBorder="1" applyAlignment="1" applyProtection="1">
      <alignment horizontal="center" vertical="center"/>
    </xf>
    <xf numFmtId="176" fontId="9" fillId="8" borderId="35" xfId="0" applyNumberFormat="1" applyFont="1" applyFill="1" applyBorder="1" applyAlignment="1" applyProtection="1">
      <alignment horizontal="center" vertical="center"/>
    </xf>
    <xf numFmtId="0" fontId="50" fillId="8" borderId="29" xfId="0" applyFont="1" applyFill="1" applyBorder="1" applyAlignment="1" applyProtection="1">
      <alignment horizontal="center" vertical="center" wrapText="1"/>
    </xf>
    <xf numFmtId="0" fontId="50" fillId="8" borderId="20" xfId="0" applyFont="1" applyFill="1" applyBorder="1" applyAlignment="1" applyProtection="1">
      <alignment horizontal="center" vertical="center" wrapText="1"/>
    </xf>
    <xf numFmtId="0" fontId="50" fillId="8" borderId="30" xfId="0" applyFont="1" applyFill="1" applyBorder="1" applyAlignment="1" applyProtection="1">
      <alignment horizontal="center" vertical="center" wrapText="1"/>
    </xf>
    <xf numFmtId="44" fontId="9" fillId="8" borderId="36" xfId="0" applyNumberFormat="1" applyFont="1" applyFill="1" applyBorder="1" applyAlignment="1" applyProtection="1">
      <alignment horizontal="center" vertical="center"/>
    </xf>
    <xf numFmtId="44" fontId="9" fillId="8" borderId="35" xfId="0" applyNumberFormat="1" applyFont="1" applyFill="1" applyBorder="1" applyAlignment="1" applyProtection="1">
      <alignment horizontal="center" vertical="center"/>
    </xf>
    <xf numFmtId="9" fontId="9" fillId="8" borderId="91" xfId="14" applyFont="1" applyFill="1" applyBorder="1" applyAlignment="1" applyProtection="1">
      <alignment horizontal="justify" vertical="center" wrapText="1"/>
    </xf>
    <xf numFmtId="9" fontId="9" fillId="8" borderId="100" xfId="14" applyFont="1" applyFill="1" applyBorder="1" applyAlignment="1" applyProtection="1">
      <alignment horizontal="justify" vertical="center" wrapText="1"/>
    </xf>
    <xf numFmtId="9" fontId="9" fillId="8" borderId="92" xfId="14" applyFont="1" applyFill="1" applyBorder="1" applyAlignment="1" applyProtection="1">
      <alignment horizontal="justify" vertical="center" wrapText="1"/>
    </xf>
    <xf numFmtId="9" fontId="9" fillId="8" borderId="93" xfId="14" applyFont="1" applyFill="1" applyBorder="1" applyAlignment="1" applyProtection="1">
      <alignment horizontal="justify" vertical="center" wrapText="1"/>
    </xf>
    <xf numFmtId="9" fontId="9" fillId="8" borderId="102" xfId="14" applyFont="1" applyFill="1" applyBorder="1" applyAlignment="1" applyProtection="1">
      <alignment horizontal="justify" vertical="center" wrapText="1"/>
    </xf>
    <xf numFmtId="9" fontId="9" fillId="8" borderId="61" xfId="14" applyFont="1" applyFill="1" applyBorder="1" applyAlignment="1" applyProtection="1">
      <alignment horizontal="justify" vertical="center" wrapText="1"/>
    </xf>
    <xf numFmtId="176" fontId="37" fillId="0" borderId="0" xfId="0" applyNumberFormat="1" applyFont="1" applyAlignment="1" applyProtection="1">
      <alignment horizontal="center" vertical="center"/>
    </xf>
    <xf numFmtId="176" fontId="16" fillId="0" borderId="0" xfId="0" applyNumberFormat="1" applyFont="1" applyAlignment="1" applyProtection="1">
      <alignment horizontal="center" vertical="center"/>
    </xf>
    <xf numFmtId="176" fontId="21" fillId="8" borderId="0" xfId="0" applyNumberFormat="1" applyFont="1" applyFill="1" applyAlignment="1" applyProtection="1">
      <alignment horizontal="center" vertical="center"/>
    </xf>
    <xf numFmtId="4" fontId="19" fillId="8" borderId="0" xfId="0" applyNumberFormat="1" applyFont="1" applyFill="1" applyAlignment="1" applyProtection="1">
      <alignment horizontal="justify" vertical="center" wrapText="1"/>
    </xf>
    <xf numFmtId="4" fontId="19" fillId="8" borderId="20" xfId="0" applyNumberFormat="1" applyFont="1" applyFill="1" applyBorder="1" applyAlignment="1" applyProtection="1">
      <alignment horizontal="justify" vertical="center" wrapText="1"/>
    </xf>
    <xf numFmtId="4" fontId="45" fillId="8" borderId="0" xfId="0" applyNumberFormat="1" applyFont="1" applyFill="1" applyAlignment="1" applyProtection="1">
      <alignment horizontal="center" vertical="center"/>
    </xf>
    <xf numFmtId="0" fontId="10" fillId="0" borderId="10" xfId="37" applyFont="1" applyBorder="1" applyAlignment="1" applyProtection="1">
      <alignment horizontal="center"/>
    </xf>
    <xf numFmtId="0" fontId="11" fillId="8" borderId="0" xfId="37" applyFont="1" applyFill="1" applyAlignment="1" applyProtection="1">
      <alignment horizontal="justify" vertical="center"/>
    </xf>
    <xf numFmtId="4" fontId="68" fillId="4" borderId="0" xfId="38" applyNumberFormat="1" applyFont="1" applyFill="1" applyAlignment="1" applyProtection="1">
      <alignment horizontal="center" vertical="center"/>
    </xf>
    <xf numFmtId="0" fontId="9" fillId="0" borderId="20" xfId="37" applyFont="1" applyBorder="1" applyAlignment="1" applyProtection="1">
      <alignment horizontal="center" vertical="center"/>
    </xf>
    <xf numFmtId="0" fontId="9" fillId="3" borderId="21" xfId="37" applyFont="1" applyFill="1" applyBorder="1" applyAlignment="1" applyProtection="1">
      <alignment horizontal="center" vertical="center"/>
    </xf>
    <xf numFmtId="0" fontId="9" fillId="3" borderId="10" xfId="37" applyFont="1" applyFill="1" applyBorder="1" applyAlignment="1" applyProtection="1">
      <alignment horizontal="center" vertical="center"/>
    </xf>
    <xf numFmtId="0" fontId="9" fillId="3" borderId="28" xfId="37" applyFont="1" applyFill="1" applyBorder="1" applyAlignment="1" applyProtection="1">
      <alignment horizontal="center" vertical="center"/>
    </xf>
    <xf numFmtId="0" fontId="78" fillId="4" borderId="0" xfId="37" applyFont="1" applyFill="1" applyAlignment="1" applyProtection="1">
      <alignment horizontal="center" vertical="center"/>
    </xf>
    <xf numFmtId="176" fontId="10" fillId="8" borderId="12" xfId="26" applyNumberFormat="1" applyFont="1" applyFill="1" applyBorder="1" applyAlignment="1" applyProtection="1">
      <alignment horizontal="left" vertical="center"/>
    </xf>
    <xf numFmtId="176" fontId="10" fillId="8" borderId="0" xfId="26" applyNumberFormat="1" applyFont="1" applyFill="1" applyAlignment="1" applyProtection="1">
      <alignment horizontal="left" vertical="center"/>
    </xf>
    <xf numFmtId="176" fontId="10" fillId="8" borderId="13" xfId="26" applyNumberFormat="1" applyFont="1" applyFill="1" applyBorder="1" applyAlignment="1" applyProtection="1">
      <alignment horizontal="left" vertical="center"/>
    </xf>
    <xf numFmtId="176" fontId="10" fillId="8" borderId="29" xfId="26" applyNumberFormat="1" applyFont="1" applyFill="1" applyBorder="1" applyAlignment="1" applyProtection="1">
      <alignment horizontal="left" vertical="center"/>
    </xf>
    <xf numFmtId="176" fontId="10" fillId="8" borderId="20" xfId="26" applyNumberFormat="1" applyFont="1" applyFill="1" applyBorder="1" applyAlignment="1" applyProtection="1">
      <alignment horizontal="left" vertical="center"/>
    </xf>
    <xf numFmtId="176" fontId="10" fillId="8" borderId="30" xfId="26" applyNumberFormat="1" applyFont="1" applyFill="1" applyBorder="1" applyAlignment="1" applyProtection="1">
      <alignment horizontal="left" vertical="center"/>
    </xf>
    <xf numFmtId="176" fontId="10" fillId="8" borderId="12" xfId="26" applyNumberFormat="1" applyFont="1" applyFill="1" applyBorder="1" applyAlignment="1" applyProtection="1">
      <alignment horizontal="justify" vertical="center" wrapText="1"/>
    </xf>
    <xf numFmtId="176" fontId="10" fillId="8" borderId="0" xfId="26" applyNumberFormat="1" applyFont="1" applyFill="1" applyAlignment="1" applyProtection="1">
      <alignment horizontal="justify" vertical="center" wrapText="1"/>
    </xf>
    <xf numFmtId="176" fontId="10" fillId="8" borderId="13" xfId="26" applyNumberFormat="1" applyFont="1" applyFill="1" applyBorder="1" applyAlignment="1" applyProtection="1">
      <alignment horizontal="justify" vertical="center" wrapText="1"/>
    </xf>
    <xf numFmtId="0" fontId="34" fillId="8" borderId="0" xfId="26" applyFont="1" applyFill="1" applyAlignment="1" applyProtection="1">
      <alignment horizontal="center" vertical="center"/>
    </xf>
    <xf numFmtId="176" fontId="8" fillId="0" borderId="0" xfId="0" applyNumberFormat="1" applyFont="1" applyAlignment="1" applyProtection="1">
      <alignment horizontal="justify" vertical="center" wrapText="1"/>
    </xf>
    <xf numFmtId="0" fontId="9" fillId="3" borderId="25" xfId="26" applyFont="1" applyFill="1" applyBorder="1" applyAlignment="1" applyProtection="1">
      <alignment horizontal="center" vertical="center"/>
    </xf>
    <xf numFmtId="0" fontId="9" fillId="3" borderId="12" xfId="26" applyFont="1" applyFill="1" applyBorder="1" applyAlignment="1" applyProtection="1">
      <alignment horizontal="center" vertical="center"/>
    </xf>
    <xf numFmtId="0" fontId="9" fillId="3" borderId="29" xfId="26" applyFont="1" applyFill="1" applyBorder="1" applyAlignment="1" applyProtection="1">
      <alignment horizontal="center" vertical="center"/>
    </xf>
    <xf numFmtId="0" fontId="9" fillId="3" borderId="25" xfId="26" applyFont="1" applyFill="1" applyBorder="1" applyAlignment="1" applyProtection="1">
      <alignment horizontal="center" vertical="center" wrapText="1"/>
    </xf>
    <xf numFmtId="0" fontId="9" fillId="3" borderId="12" xfId="26" applyFont="1" applyFill="1" applyBorder="1" applyAlignment="1" applyProtection="1">
      <alignment horizontal="center" vertical="center" wrapText="1"/>
    </xf>
    <xf numFmtId="0" fontId="9" fillId="3" borderId="29" xfId="26" applyFont="1" applyFill="1" applyBorder="1" applyAlignment="1" applyProtection="1">
      <alignment horizontal="center" vertical="center" wrapText="1"/>
    </xf>
    <xf numFmtId="0" fontId="9" fillId="0" borderId="36" xfId="26" applyFont="1" applyBorder="1" applyAlignment="1" applyProtection="1">
      <alignment horizontal="center" vertical="center"/>
    </xf>
    <xf numFmtId="0" fontId="9" fillId="0" borderId="35" xfId="26" applyFont="1" applyBorder="1" applyAlignment="1" applyProtection="1">
      <alignment horizontal="center" vertical="center"/>
    </xf>
    <xf numFmtId="0" fontId="9" fillId="0" borderId="34" xfId="26" applyFont="1" applyBorder="1" applyAlignment="1" applyProtection="1">
      <alignment horizontal="center" vertical="center"/>
    </xf>
    <xf numFmtId="0" fontId="18" fillId="3" borderId="8" xfId="26" applyFont="1" applyFill="1" applyBorder="1" applyAlignment="1" applyProtection="1">
      <alignment horizontal="center" vertical="center"/>
    </xf>
    <xf numFmtId="0" fontId="18" fillId="3" borderId="15" xfId="26" applyFont="1" applyFill="1" applyBorder="1" applyAlignment="1" applyProtection="1">
      <alignment horizontal="center" vertical="center"/>
    </xf>
    <xf numFmtId="0" fontId="21" fillId="0" borderId="0" xfId="26" applyFont="1" applyAlignment="1" applyProtection="1">
      <alignment horizontal="center" vertical="center"/>
    </xf>
  </cellXfs>
  <cellStyles count="40">
    <cellStyle name="Excel Built-in Normal" xfId="1" xr:uid="{00000000-0005-0000-0000-000000000000}"/>
    <cellStyle name="Excel Built-in Normal 1" xfId="2" xr:uid="{00000000-0005-0000-0000-000001000000}"/>
    <cellStyle name="Hiperlink 2" xfId="3" xr:uid="{00000000-0005-0000-0000-000002000000}"/>
    <cellStyle name="Moeda" xfId="4" builtinId="4"/>
    <cellStyle name="Moeda_Anexo 02 - Orçamento e Cronograma Reforma ETA - Final - Revisão 3" xfId="5" xr:uid="{00000000-0005-0000-0000-000004000000}"/>
    <cellStyle name="Moeda_INSUMOS SeMAE" xfId="6" xr:uid="{00000000-0005-0000-0000-000005000000}"/>
    <cellStyle name="Normal" xfId="0" builtinId="0"/>
    <cellStyle name="Normal 12" xfId="34" xr:uid="{00000000-0005-0000-0000-000007000000}"/>
    <cellStyle name="Normal 2" xfId="7" xr:uid="{00000000-0005-0000-0000-000008000000}"/>
    <cellStyle name="Normal 2 2" xfId="26" xr:uid="{00000000-0005-0000-0000-000009000000}"/>
    <cellStyle name="Normal 2 8" xfId="36" xr:uid="{00000000-0005-0000-0000-00000A000000}"/>
    <cellStyle name="Normal 26" xfId="39" xr:uid="{03C2F24E-6D31-4A7E-A1CB-9585DAB67C97}"/>
    <cellStyle name="Normal 3" xfId="8" xr:uid="{00000000-0005-0000-0000-00000B000000}"/>
    <cellStyle name="Normal 3 2 2 2" xfId="28" xr:uid="{00000000-0005-0000-0000-00000C000000}"/>
    <cellStyle name="Normal 3 2 2 2 2" xfId="32" xr:uid="{00000000-0005-0000-0000-00000D000000}"/>
    <cellStyle name="Normal 4" xfId="9" xr:uid="{00000000-0005-0000-0000-00000E000000}"/>
    <cellStyle name="Normal 5" xfId="10" xr:uid="{00000000-0005-0000-0000-00000F000000}"/>
    <cellStyle name="Normal 6" xfId="11" xr:uid="{00000000-0005-0000-0000-000010000000}"/>
    <cellStyle name="Normal 7" xfId="12" xr:uid="{00000000-0005-0000-0000-000011000000}"/>
    <cellStyle name="Normal 8 2" xfId="29" xr:uid="{00000000-0005-0000-0000-000012000000}"/>
    <cellStyle name="Normal 8 2 2" xfId="30" xr:uid="{00000000-0005-0000-0000-000013000000}"/>
    <cellStyle name="Normal 9" xfId="13" xr:uid="{00000000-0005-0000-0000-000014000000}"/>
    <cellStyle name="Normal 9 2" xfId="37" xr:uid="{44619466-B9EA-4AA7-80F8-DF51B52E0F18}"/>
    <cellStyle name="Normal_Bombinhas_SES_ABR_04" xfId="38" xr:uid="{F8A23D36-92BA-4961-B97A-8FCB33F51344}"/>
    <cellStyle name="Porcentagem" xfId="14" builtinId="5"/>
    <cellStyle name="Porcentagem 2" xfId="15" xr:uid="{00000000-0005-0000-0000-000017000000}"/>
    <cellStyle name="Porcentagem 2 2" xfId="27" xr:uid="{00000000-0005-0000-0000-000018000000}"/>
    <cellStyle name="Porcentagem 3" xfId="31" xr:uid="{00000000-0005-0000-0000-000019000000}"/>
    <cellStyle name="Porcentagem 5" xfId="33" xr:uid="{00000000-0005-0000-0000-00001A000000}"/>
    <cellStyle name="Porcentagem 9" xfId="16" xr:uid="{00000000-0005-0000-0000-00001B000000}"/>
    <cellStyle name="Separador de milhares 2" xfId="18" xr:uid="{00000000-0005-0000-0000-00001C000000}"/>
    <cellStyle name="Separador de milhares 3" xfId="19" xr:uid="{00000000-0005-0000-0000-00001D000000}"/>
    <cellStyle name="Separador de milhares 4" xfId="20" xr:uid="{00000000-0005-0000-0000-00001E000000}"/>
    <cellStyle name="Separador de milhares 5" xfId="21" xr:uid="{00000000-0005-0000-0000-00001F000000}"/>
    <cellStyle name="Separador de milhares 6" xfId="22" xr:uid="{00000000-0005-0000-0000-000020000000}"/>
    <cellStyle name="Separador de milhares_ANEXO 02, 03, 06, 08 e 10 - Floresta Park - Concreto" xfId="23" xr:uid="{00000000-0005-0000-0000-000021000000}"/>
    <cellStyle name="Título 1 1" xfId="24" xr:uid="{00000000-0005-0000-0000-000022000000}"/>
    <cellStyle name="Título 1 1 1" xfId="25" xr:uid="{00000000-0005-0000-0000-000023000000}"/>
    <cellStyle name="Vírgula" xfId="17" builtinId="3"/>
    <cellStyle name="Vírgula 2" xfId="35" xr:uid="{00000000-0005-0000-0000-00002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6E6E6"/>
      <rgbColor rgb="00E6E6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C9"/>
      <color rgb="FFE1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externalLink" Target="externalLinks/externalLink8.xml"/><Relationship Id="rId10" Type="http://schemas.openxmlformats.org/officeDocument/2006/relationships/externalLink" Target="externalLinks/externalLink3.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3</xdr:col>
      <xdr:colOff>484308</xdr:colOff>
      <xdr:row>0</xdr:row>
      <xdr:rowOff>47337</xdr:rowOff>
    </xdr:from>
    <xdr:to>
      <xdr:col>6</xdr:col>
      <xdr:colOff>119423</xdr:colOff>
      <xdr:row>1</xdr:row>
      <xdr:rowOff>510886</xdr:rowOff>
    </xdr:to>
    <xdr:pic>
      <xdr:nvPicPr>
        <xdr:cNvPr id="2" name="Imagem 1">
          <a:extLst>
            <a:ext uri="{FF2B5EF4-FFF2-40B4-BE49-F238E27FC236}">
              <a16:creationId xmlns:a16="http://schemas.microsoft.com/office/drawing/2014/main" id="{4E06A3CF-9744-425E-9DCD-D257E1274F1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882" t="36955" r="4706" b="20812"/>
        <a:stretch/>
      </xdr:blipFill>
      <xdr:spPr bwMode="auto">
        <a:xfrm>
          <a:off x="2313108" y="47337"/>
          <a:ext cx="1463915" cy="625474"/>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297655</xdr:colOff>
      <xdr:row>157</xdr:row>
      <xdr:rowOff>0</xdr:rowOff>
    </xdr:from>
    <xdr:to>
      <xdr:col>4</xdr:col>
      <xdr:colOff>761999</xdr:colOff>
      <xdr:row>157</xdr:row>
      <xdr:rowOff>83345</xdr:rowOff>
    </xdr:to>
    <xdr:sp macro="" textlink="">
      <xdr:nvSpPr>
        <xdr:cNvPr id="2" name="Text Box 9">
          <a:extLst>
            <a:ext uri="{FF2B5EF4-FFF2-40B4-BE49-F238E27FC236}">
              <a16:creationId xmlns:a16="http://schemas.microsoft.com/office/drawing/2014/main" id="{E207B68E-A773-43CB-84DC-EB91485179B2}"/>
            </a:ext>
          </a:extLst>
        </xdr:cNvPr>
        <xdr:cNvSpPr txBox="1">
          <a:spLocks noChangeArrowheads="1"/>
        </xdr:cNvSpPr>
      </xdr:nvSpPr>
      <xdr:spPr bwMode="auto">
        <a:xfrm>
          <a:off x="297655" y="43895542"/>
          <a:ext cx="4405313" cy="991022"/>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Times New Roman"/>
              <a:cs typeface="Times New Roman"/>
            </a:rPr>
            <a:t>______________________________________</a:t>
          </a:r>
        </a:p>
        <a:p>
          <a:pPr algn="ctr" rtl="1">
            <a:defRPr sz="1000"/>
          </a:pPr>
          <a:r>
            <a:rPr lang="pt-BR" sz="1200" b="1" i="1" strike="noStrike" baseline="0">
              <a:solidFill>
                <a:srgbClr val="000000"/>
              </a:solidFill>
              <a:latin typeface="+mn-lt"/>
              <a:cs typeface="Times New Roman"/>
            </a:rPr>
            <a:t>José Augusto Alexandrino Santana</a:t>
          </a:r>
        </a:p>
        <a:p>
          <a:pPr algn="ctr" rtl="1">
            <a:defRPr sz="1000"/>
          </a:pPr>
          <a:r>
            <a:rPr lang="pt-BR" sz="1200" b="0" i="1" strike="noStrike">
              <a:solidFill>
                <a:srgbClr val="000000"/>
              </a:solidFill>
              <a:latin typeface="+mn-lt"/>
              <a:cs typeface="Times New Roman"/>
            </a:rPr>
            <a:t>Agente</a:t>
          </a:r>
          <a:r>
            <a:rPr lang="pt-BR" sz="1200" b="0" i="1" strike="noStrike" baseline="0">
              <a:solidFill>
                <a:srgbClr val="000000"/>
              </a:solidFill>
              <a:latin typeface="+mn-lt"/>
              <a:cs typeface="Times New Roman"/>
            </a:rPr>
            <a:t> de Saneamento - Téc. edificações</a:t>
          </a:r>
          <a:endParaRPr lang="pt-BR" sz="1200" b="0" i="1" strike="noStrike">
            <a:solidFill>
              <a:srgbClr val="000000"/>
            </a:solidFill>
            <a:latin typeface="+mn-lt"/>
            <a:cs typeface="Times New Roman"/>
          </a:endParaRPr>
        </a:p>
      </xdr:txBody>
    </xdr:sp>
    <xdr:clientData/>
  </xdr:twoCellAnchor>
  <xdr:twoCellAnchor>
    <xdr:from>
      <xdr:col>16</xdr:col>
      <xdr:colOff>390526</xdr:colOff>
      <xdr:row>157</xdr:row>
      <xdr:rowOff>0</xdr:rowOff>
    </xdr:from>
    <xdr:to>
      <xdr:col>23</xdr:col>
      <xdr:colOff>734405</xdr:colOff>
      <xdr:row>157</xdr:row>
      <xdr:rowOff>59954</xdr:rowOff>
    </xdr:to>
    <xdr:sp macro="" textlink="">
      <xdr:nvSpPr>
        <xdr:cNvPr id="3" name="Text Box 9">
          <a:extLst>
            <a:ext uri="{FF2B5EF4-FFF2-40B4-BE49-F238E27FC236}">
              <a16:creationId xmlns:a16="http://schemas.microsoft.com/office/drawing/2014/main" id="{7AACD7B7-3F48-424E-9611-16B23A166466}"/>
            </a:ext>
          </a:extLst>
        </xdr:cNvPr>
        <xdr:cNvSpPr txBox="1">
          <a:spLocks noChangeArrowheads="1"/>
        </xdr:cNvSpPr>
      </xdr:nvSpPr>
      <xdr:spPr bwMode="auto">
        <a:xfrm>
          <a:off x="14475620" y="43886439"/>
          <a:ext cx="6773254" cy="976734"/>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Times New Roman"/>
              <a:cs typeface="Times New Roman"/>
            </a:rPr>
            <a:t>______________________________________</a:t>
          </a:r>
        </a:p>
        <a:p>
          <a:pPr algn="ctr" rtl="1">
            <a:defRPr sz="1000"/>
          </a:pPr>
          <a:r>
            <a:rPr lang="pt-BR" sz="1200" b="1" i="1" strike="noStrike" baseline="0">
              <a:solidFill>
                <a:srgbClr val="000000"/>
              </a:solidFill>
              <a:latin typeface="+mn-lt"/>
              <a:cs typeface="Times New Roman"/>
            </a:rPr>
            <a:t>Fábio Augusto Zambon Furlan</a:t>
          </a:r>
        </a:p>
        <a:p>
          <a:pPr algn="ctr" rtl="1">
            <a:defRPr sz="1000"/>
          </a:pPr>
          <a:r>
            <a:rPr lang="pt-BR" sz="1200" b="0" i="1" strike="noStrike" baseline="0">
              <a:solidFill>
                <a:srgbClr val="000000"/>
              </a:solidFill>
              <a:latin typeface="+mn-lt"/>
              <a:cs typeface="Times New Roman"/>
            </a:rPr>
            <a:t>Coordenador de Manutenção de Redes, Civil e Ambiental</a:t>
          </a:r>
        </a:p>
        <a:p>
          <a:pPr algn="ctr" rtl="1">
            <a:defRPr sz="1000"/>
          </a:pPr>
          <a:endParaRPr lang="pt-BR" sz="1200" b="0" i="1" strike="noStrike" baseline="0">
            <a:solidFill>
              <a:srgbClr val="000000"/>
            </a:solidFill>
            <a:latin typeface="+mn-lt"/>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52919</xdr:colOff>
      <xdr:row>29</xdr:row>
      <xdr:rowOff>126998</xdr:rowOff>
    </xdr:from>
    <xdr:to>
      <xdr:col>2</xdr:col>
      <xdr:colOff>84668</xdr:colOff>
      <xdr:row>32</xdr:row>
      <xdr:rowOff>63499</xdr:rowOff>
    </xdr:to>
    <xdr:pic>
      <xdr:nvPicPr>
        <xdr:cNvPr id="5" name="Imagem 4">
          <a:extLst>
            <a:ext uri="{FF2B5EF4-FFF2-40B4-BE49-F238E27FC236}">
              <a16:creationId xmlns:a16="http://schemas.microsoft.com/office/drawing/2014/main" id="{16487FA1-8E96-471E-A9FB-839BFA774842}"/>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2919" y="8432798"/>
          <a:ext cx="4489449" cy="4222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E\Relat&#243;rio%205\ORIGINAIS%20-%20N&#195;O%20MEXER\C&#193;LCULOS%20SANCAD\REDE13\Planilhas%20para%20Memorial\REDE14I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scadelai\Desktop\Concorr&#234;ncia%202019-001%20-%20Reforma%20ETA%20-%20PAC-FIN%20-%20ELEVA&#199;&#195;O\Originais%20-%202019\REFORMA%20E%20AMPLIA&#199;&#195;O%20ETA%20-%20REV%203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scadelai\Desktop\Licita&#231;&#227;o%20Reforma%20ETA%20-%20PAC-FIN\Originais%20-%202019\REFORMA%20E%20AMPLIA&#199;&#195;O%20ETA%20-%20REV%203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ocuments%20and%20Settings\mscadelai\Desktop\Manuten&#231;&#227;o%20Civil\Originais\Anexos%20II,%20III,%20IV,%20V,%20VI%20e%20VII%20-%20SeMAE.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CONTRATOS\ATIVOS\Centroprojekt%20-%20Contrato%20036.15%20-%20Reforma%20e%20Ampliacao%20ETA%20-%20PAC-FIN\Fiscaliza&#231;&#227;o\Medi&#231;&#245;es\Medi&#231;&#227;o%2007\Caixa\01.%20Boletim%20de%20Medi&#231;&#227;o%20-%207&#170;%20Medi&#231;&#227;o.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GOM-A/Manuten&#231;&#227;o/DIVIS&#195;O%20DE%20MANUTEN&#199;&#195;O%20CIVIL/Contratos%20em%20processo%20de%20elabora&#231;&#227;o/Contrato%202026%20-%20Manuten&#231;&#227;o%20Civil/Tabelas%20de%20Refer&#234;ncia/SINAPI-2026-01-formato-xlsx/SINAPI_Refer&#234;ncia_2026_0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jasantana\Downloads\BANCO%20DE%20PRE&#199;OS\BANCO%20DE%20PRE&#199;OS\CDHU\insumos.200.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SeMAE\Back-up\James%20-%20Semae\Tabelas%20de%20Pre&#231;os\SINAPI\2024-02\SINAPI_ref_Insumos_Composicoes_SP_202402_NaoDesonerado\SINAPI_Preco_Ref_Insumos_SP_202402_NaoDesoner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adrao"/>
      <sheetName val="Resumo"/>
      <sheetName val="Dados"/>
      <sheetName val="Parametros"/>
    </sheetNames>
    <sheetDataSet>
      <sheetData sheetId="0"/>
      <sheetData sheetId="1"/>
      <sheetData sheetId="2"/>
      <sheetData sheetId="3">
        <row r="2">
          <cell r="K2">
            <v>150</v>
          </cell>
          <cell r="L2">
            <v>0.45</v>
          </cell>
        </row>
        <row r="3">
          <cell r="K3">
            <v>10150</v>
          </cell>
          <cell r="L3">
            <v>0.5</v>
          </cell>
          <cell r="M3">
            <v>0.5</v>
          </cell>
          <cell r="N3">
            <v>0.6</v>
          </cell>
          <cell r="O3">
            <v>0.65</v>
          </cell>
          <cell r="P3">
            <v>0.85</v>
          </cell>
        </row>
        <row r="4">
          <cell r="K4">
            <v>20150</v>
          </cell>
          <cell r="L4">
            <v>0.6</v>
          </cell>
          <cell r="M4">
            <v>0.6</v>
          </cell>
          <cell r="N4">
            <v>0.7</v>
          </cell>
          <cell r="O4">
            <v>0.75</v>
          </cell>
          <cell r="P4">
            <v>0.85</v>
          </cell>
        </row>
        <row r="5">
          <cell r="K5">
            <v>200</v>
          </cell>
          <cell r="L5">
            <v>0.55000000000000004</v>
          </cell>
          <cell r="M5">
            <v>0.55000000000000004</v>
          </cell>
          <cell r="N5">
            <v>0.65</v>
          </cell>
          <cell r="O5">
            <v>0.7</v>
          </cell>
          <cell r="P5">
            <v>0.9</v>
          </cell>
        </row>
        <row r="6">
          <cell r="K6">
            <v>10200</v>
          </cell>
          <cell r="L6">
            <v>0.55000000000000004</v>
          </cell>
          <cell r="M6">
            <v>0.55000000000000004</v>
          </cell>
          <cell r="N6">
            <v>0.65</v>
          </cell>
          <cell r="O6">
            <v>0.7</v>
          </cell>
          <cell r="P6">
            <v>0.9</v>
          </cell>
        </row>
        <row r="7">
          <cell r="K7">
            <v>20200</v>
          </cell>
          <cell r="L7">
            <v>0.65</v>
          </cell>
          <cell r="M7">
            <v>0.65</v>
          </cell>
          <cell r="N7">
            <v>0.75</v>
          </cell>
          <cell r="O7">
            <v>0.8</v>
          </cell>
          <cell r="P7">
            <v>0.9</v>
          </cell>
        </row>
        <row r="8">
          <cell r="K8">
            <v>250</v>
          </cell>
          <cell r="L8">
            <v>0.6</v>
          </cell>
          <cell r="M8">
            <v>0.6</v>
          </cell>
          <cell r="N8">
            <v>0.7</v>
          </cell>
          <cell r="O8">
            <v>0.75</v>
          </cell>
          <cell r="P8">
            <v>0.95</v>
          </cell>
        </row>
        <row r="9">
          <cell r="K9">
            <v>10250</v>
          </cell>
          <cell r="L9">
            <v>0.6</v>
          </cell>
          <cell r="M9">
            <v>0.6</v>
          </cell>
          <cell r="N9">
            <v>0.7</v>
          </cell>
          <cell r="O9">
            <v>0.75</v>
          </cell>
          <cell r="P9">
            <v>0.95</v>
          </cell>
        </row>
        <row r="10">
          <cell r="K10">
            <v>20250</v>
          </cell>
          <cell r="L10">
            <v>0.7</v>
          </cell>
          <cell r="M10">
            <v>0.7</v>
          </cell>
          <cell r="N10">
            <v>0.8</v>
          </cell>
          <cell r="O10">
            <v>0.85</v>
          </cell>
          <cell r="P10">
            <v>0.95</v>
          </cell>
        </row>
        <row r="11">
          <cell r="K11">
            <v>300</v>
          </cell>
          <cell r="L11">
            <v>0.65</v>
          </cell>
          <cell r="M11">
            <v>0.65</v>
          </cell>
          <cell r="N11">
            <v>0.75</v>
          </cell>
          <cell r="O11">
            <v>0.8</v>
          </cell>
          <cell r="P11">
            <v>1</v>
          </cell>
        </row>
        <row r="12">
          <cell r="K12">
            <v>10300</v>
          </cell>
          <cell r="L12">
            <v>0.65</v>
          </cell>
          <cell r="M12">
            <v>0.65</v>
          </cell>
          <cell r="N12">
            <v>0.75</v>
          </cell>
          <cell r="O12">
            <v>0.8</v>
          </cell>
          <cell r="P12">
            <v>1</v>
          </cell>
        </row>
        <row r="13">
          <cell r="K13">
            <v>20300</v>
          </cell>
          <cell r="L13">
            <v>0.75</v>
          </cell>
          <cell r="M13">
            <v>0.75</v>
          </cell>
          <cell r="N13">
            <v>0.85</v>
          </cell>
          <cell r="O13">
            <v>0.9</v>
          </cell>
          <cell r="P13">
            <v>1</v>
          </cell>
        </row>
        <row r="14">
          <cell r="K14">
            <v>350</v>
          </cell>
          <cell r="L14">
            <v>0.7</v>
          </cell>
          <cell r="M14">
            <v>0.7</v>
          </cell>
          <cell r="N14">
            <v>0.8</v>
          </cell>
          <cell r="O14">
            <v>0.85</v>
          </cell>
          <cell r="P14">
            <v>1.05</v>
          </cell>
        </row>
        <row r="15">
          <cell r="K15">
            <v>10350</v>
          </cell>
          <cell r="L15">
            <v>0.7</v>
          </cell>
          <cell r="M15">
            <v>0.7</v>
          </cell>
          <cell r="N15">
            <v>0.8</v>
          </cell>
          <cell r="O15">
            <v>0.85</v>
          </cell>
          <cell r="P15">
            <v>1.05</v>
          </cell>
        </row>
        <row r="16">
          <cell r="K16">
            <v>20350</v>
          </cell>
          <cell r="L16">
            <v>0.8</v>
          </cell>
          <cell r="M16">
            <v>0.8</v>
          </cell>
          <cell r="N16">
            <v>0.9</v>
          </cell>
          <cell r="O16">
            <v>0.95</v>
          </cell>
          <cell r="P16">
            <v>1.05</v>
          </cell>
        </row>
        <row r="17">
          <cell r="K17">
            <v>400</v>
          </cell>
          <cell r="L17">
            <v>0.75</v>
          </cell>
          <cell r="M17">
            <v>0.75</v>
          </cell>
          <cell r="N17">
            <v>0.85</v>
          </cell>
          <cell r="O17">
            <v>0.9</v>
          </cell>
          <cell r="P17">
            <v>1.1000000000000001</v>
          </cell>
        </row>
        <row r="18">
          <cell r="K18">
            <v>10400</v>
          </cell>
          <cell r="L18">
            <v>0.75</v>
          </cell>
          <cell r="M18">
            <v>0.75</v>
          </cell>
          <cell r="N18">
            <v>0.85</v>
          </cell>
          <cell r="O18">
            <v>0.9</v>
          </cell>
          <cell r="P18">
            <v>1.1000000000000001</v>
          </cell>
        </row>
        <row r="19">
          <cell r="K19">
            <v>20400</v>
          </cell>
          <cell r="L19">
            <v>0.85</v>
          </cell>
          <cell r="M19">
            <v>0.85</v>
          </cell>
          <cell r="N19">
            <v>0.95</v>
          </cell>
          <cell r="O19">
            <v>1</v>
          </cell>
          <cell r="P19">
            <v>1.1000000000000001</v>
          </cell>
        </row>
        <row r="20">
          <cell r="K20">
            <v>500</v>
          </cell>
          <cell r="L20">
            <v>0.85</v>
          </cell>
          <cell r="M20">
            <v>0.85</v>
          </cell>
          <cell r="N20">
            <v>0.95</v>
          </cell>
          <cell r="O20">
            <v>1</v>
          </cell>
          <cell r="P20">
            <v>1.2</v>
          </cell>
        </row>
        <row r="21">
          <cell r="K21">
            <v>10500</v>
          </cell>
          <cell r="L21">
            <v>0.85</v>
          </cell>
          <cell r="M21">
            <v>0.85</v>
          </cell>
          <cell r="N21">
            <v>0.95</v>
          </cell>
          <cell r="O21">
            <v>1</v>
          </cell>
          <cell r="P21">
            <v>1.2</v>
          </cell>
        </row>
        <row r="22">
          <cell r="K22">
            <v>20500</v>
          </cell>
          <cell r="L22">
            <v>0.95</v>
          </cell>
          <cell r="M22">
            <v>0.95</v>
          </cell>
          <cell r="N22">
            <v>1.05</v>
          </cell>
          <cell r="O22">
            <v>1.1000000000000001</v>
          </cell>
          <cell r="P22">
            <v>1.2</v>
          </cell>
        </row>
        <row r="23">
          <cell r="K23">
            <v>600</v>
          </cell>
          <cell r="L23">
            <v>0.95</v>
          </cell>
          <cell r="M23">
            <v>0.95</v>
          </cell>
          <cell r="N23">
            <v>1.05</v>
          </cell>
          <cell r="O23">
            <v>1.1000000000000001</v>
          </cell>
          <cell r="P23">
            <v>1.3</v>
          </cell>
        </row>
        <row r="24">
          <cell r="K24">
            <v>10600</v>
          </cell>
          <cell r="L24">
            <v>0.95</v>
          </cell>
          <cell r="M24">
            <v>0.95</v>
          </cell>
          <cell r="N24">
            <v>1.05</v>
          </cell>
          <cell r="O24">
            <v>1.1000000000000001</v>
          </cell>
          <cell r="P24">
            <v>1.3</v>
          </cell>
        </row>
        <row r="25">
          <cell r="K25">
            <v>20600</v>
          </cell>
          <cell r="L25">
            <v>1.05</v>
          </cell>
          <cell r="M25">
            <v>1.05</v>
          </cell>
          <cell r="N25">
            <v>1.1499999999999999</v>
          </cell>
          <cell r="O25">
            <v>1.2</v>
          </cell>
          <cell r="P25">
            <v>1.3</v>
          </cell>
        </row>
        <row r="26">
          <cell r="K26">
            <v>700</v>
          </cell>
          <cell r="L26">
            <v>1.3</v>
          </cell>
          <cell r="M26">
            <v>1.3</v>
          </cell>
          <cell r="N26">
            <v>1.4</v>
          </cell>
          <cell r="O26">
            <v>1.45</v>
          </cell>
          <cell r="P26">
            <v>1.65</v>
          </cell>
        </row>
        <row r="27">
          <cell r="K27">
            <v>10700</v>
          </cell>
          <cell r="L27">
            <v>1.3</v>
          </cell>
          <cell r="M27">
            <v>1.3</v>
          </cell>
          <cell r="N27">
            <v>1.4</v>
          </cell>
          <cell r="O27">
            <v>1.45</v>
          </cell>
          <cell r="P27">
            <v>1.65</v>
          </cell>
        </row>
        <row r="28">
          <cell r="K28">
            <v>20700</v>
          </cell>
          <cell r="L28">
            <v>1.4</v>
          </cell>
          <cell r="M28">
            <v>1.4</v>
          </cell>
          <cell r="N28">
            <v>1.5</v>
          </cell>
          <cell r="O28">
            <v>1.55</v>
          </cell>
          <cell r="P28">
            <v>1.65</v>
          </cell>
        </row>
        <row r="29">
          <cell r="K29">
            <v>800</v>
          </cell>
          <cell r="L29">
            <v>1.4</v>
          </cell>
          <cell r="M29">
            <v>1.4</v>
          </cell>
          <cell r="N29">
            <v>1.5</v>
          </cell>
          <cell r="O29">
            <v>1.55</v>
          </cell>
          <cell r="P29">
            <v>1.75</v>
          </cell>
        </row>
        <row r="30">
          <cell r="K30">
            <v>10800</v>
          </cell>
          <cell r="L30">
            <v>1.4</v>
          </cell>
          <cell r="M30">
            <v>1.4</v>
          </cell>
          <cell r="N30">
            <v>1.5</v>
          </cell>
          <cell r="O30">
            <v>1.55</v>
          </cell>
          <cell r="P30">
            <v>1.75</v>
          </cell>
        </row>
        <row r="31">
          <cell r="K31">
            <v>20800</v>
          </cell>
          <cell r="L31">
            <v>1.5</v>
          </cell>
          <cell r="M31">
            <v>1.5</v>
          </cell>
          <cell r="N31">
            <v>1.6</v>
          </cell>
          <cell r="O31">
            <v>1.65</v>
          </cell>
          <cell r="P31">
            <v>1.75</v>
          </cell>
        </row>
        <row r="32">
          <cell r="K32">
            <v>900</v>
          </cell>
          <cell r="N32">
            <v>1.6</v>
          </cell>
          <cell r="O32">
            <v>1.65</v>
          </cell>
          <cell r="P32">
            <v>1.85</v>
          </cell>
        </row>
        <row r="33">
          <cell r="K33">
            <v>10900</v>
          </cell>
          <cell r="N33">
            <v>1.6</v>
          </cell>
          <cell r="O33">
            <v>1.65</v>
          </cell>
          <cell r="P33">
            <v>1.85</v>
          </cell>
        </row>
        <row r="34">
          <cell r="K34">
            <v>20900</v>
          </cell>
          <cell r="N34">
            <v>1.7</v>
          </cell>
          <cell r="O34">
            <v>1.75</v>
          </cell>
          <cell r="P34">
            <v>1.85</v>
          </cell>
        </row>
        <row r="35">
          <cell r="K35">
            <v>1000</v>
          </cell>
          <cell r="P35">
            <v>1.95</v>
          </cell>
        </row>
        <row r="36">
          <cell r="K36">
            <v>11000</v>
          </cell>
          <cell r="P36">
            <v>1.95</v>
          </cell>
        </row>
        <row r="37">
          <cell r="K37">
            <v>21000</v>
          </cell>
          <cell r="N37">
            <v>1.85</v>
          </cell>
          <cell r="O37">
            <v>1.85</v>
          </cell>
          <cell r="P37">
            <v>1.95</v>
          </cell>
        </row>
        <row r="38">
          <cell r="K38">
            <v>1200</v>
          </cell>
        </row>
        <row r="39">
          <cell r="K39">
            <v>11200</v>
          </cell>
        </row>
        <row r="40">
          <cell r="K40">
            <v>21200</v>
          </cell>
          <cell r="O40">
            <v>2.0499999999999998</v>
          </cell>
          <cell r="P40">
            <v>2.15</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II"/>
      <sheetName val="II.1"/>
      <sheetName val="II.2"/>
      <sheetName val="II.3"/>
      <sheetName val="II.4"/>
      <sheetName val="II.5"/>
      <sheetName val="II.6"/>
      <sheetName val="II.7"/>
      <sheetName val="II.8"/>
      <sheetName val="II.9"/>
      <sheetName val="II.10"/>
      <sheetName val="II.11"/>
      <sheetName val="II.12"/>
      <sheetName val="II.13"/>
      <sheetName val="II.14"/>
      <sheetName val="II.15"/>
      <sheetName val="III"/>
      <sheetName val="IV"/>
      <sheetName val="V"/>
      <sheetName val="VI-1"/>
      <sheetName val="VI-2"/>
      <sheetName val="Anexo VII"/>
      <sheetName val="Anexo VIII"/>
      <sheetName val="Esgotamento"/>
      <sheetName val="MC - PAINÉIS"/>
      <sheetName val="Série Histórica IPCA"/>
      <sheetName val="Justificativas"/>
      <sheetName val="COTAÇÕES"/>
      <sheetName val="MC - ATUADORES"/>
      <sheetName val="MC - ITEM 2.3"/>
      <sheetName val="MC - ITEM 3.3"/>
      <sheetName val="MC - ITEM 4.3"/>
      <sheetName val="MC - ITEM 5.3"/>
      <sheetName val="MC - ITEM 6.3"/>
      <sheetName val="MC - ITEM 7.3"/>
      <sheetName val="MC - ITEM 10.3.1"/>
      <sheetName val="MC - ITEM 10.3.2-10.3.8"/>
      <sheetName val="MC - ITEM 13"/>
      <sheetName val="MC - ITEM 14"/>
      <sheetName val="MC - DESMONTAGEM"/>
      <sheetName val="MC - MB - AT"/>
      <sheetName val="MC - CABOS EQUIP"/>
      <sheetName val="MC - CABOS PAINÉIS"/>
      <sheetName val="MC - CABOS ATUADORE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sheetData sheetId="13"/>
      <sheetData sheetId="14"/>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II"/>
      <sheetName val="II.1"/>
      <sheetName val="II.2"/>
      <sheetName val="II.3"/>
      <sheetName val="II.4"/>
      <sheetName val="II.5"/>
      <sheetName val="II.6"/>
      <sheetName val="II.7"/>
      <sheetName val="II.8"/>
      <sheetName val="II.9"/>
      <sheetName val="II.10"/>
      <sheetName val="II.11"/>
      <sheetName val="II.12"/>
      <sheetName val="II.13"/>
      <sheetName val="II.14"/>
      <sheetName val="II.15"/>
      <sheetName val="III"/>
      <sheetName val="IV"/>
      <sheetName val="V"/>
      <sheetName val="VI-1"/>
      <sheetName val="VI-2"/>
      <sheetName val="Anexo VII"/>
      <sheetName val="Anexo VIII"/>
      <sheetName val="Esgotamento"/>
      <sheetName val="MC - PAINÉIS"/>
      <sheetName val="Série Histórica IPCA"/>
      <sheetName val="Justificativas"/>
      <sheetName val="COTAÇÕES"/>
      <sheetName val="MC - ATUADORES"/>
      <sheetName val="MC - ITEM 2.3"/>
      <sheetName val="MC - ITEM 3.3"/>
      <sheetName val="MC - ITEM 4.3"/>
      <sheetName val="MC - ITEM 5.3"/>
      <sheetName val="MC - ITEM 6.3"/>
      <sheetName val="MC - ITEM 7.3"/>
      <sheetName val="MC - ITEM 10.3.1"/>
      <sheetName val="MC - ITEM 10.3.2-10.3.8"/>
      <sheetName val="MC - ITEM 13"/>
      <sheetName val="MC - ITEM 14"/>
      <sheetName val="MC - DESMONTAGEM"/>
      <sheetName val="MC - MB - AT"/>
      <sheetName val="MC - CABOS EQUIP"/>
      <sheetName val="MC - CABOS PAINÉIS"/>
      <sheetName val="MC - CABOS ATUADORES"/>
      <sheetName val="PREENCHIMENTO"/>
      <sheetName val="Preços Mat. Elé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II"/>
      <sheetName val="Anexo III"/>
      <sheetName val="Anexo IV"/>
      <sheetName val="Anexo V insumos"/>
      <sheetName val="Anexo VI  BDI"/>
      <sheetName val="Anexo VII Leis sociais"/>
      <sheetName val="Anexo VIII"/>
    </sheetNames>
    <sheetDataSet>
      <sheetData sheetId="0">
        <row r="2">
          <cell r="O2">
            <v>0</v>
          </cell>
        </row>
        <row r="12">
          <cell r="A12" t="str">
            <v>ITEM</v>
          </cell>
          <cell r="B12" t="str">
            <v>SERVIÇO</v>
          </cell>
          <cell r="C12" t="str">
            <v>UNID.</v>
          </cell>
          <cell r="D12" t="str">
            <v>QUANT.</v>
          </cell>
          <cell r="E12" t="str">
            <v>PREÇO</v>
          </cell>
          <cell r="F12" t="str">
            <v>MAT</v>
          </cell>
          <cell r="G12">
            <v>0</v>
          </cell>
          <cell r="H12" t="str">
            <v>SERVIÇO</v>
          </cell>
          <cell r="I12">
            <v>0</v>
          </cell>
          <cell r="J12" t="str">
            <v>MO</v>
          </cell>
          <cell r="K12">
            <v>0</v>
          </cell>
          <cell r="L12" t="str">
            <v>PREÇO</v>
          </cell>
          <cell r="M12" t="str">
            <v>%</v>
          </cell>
        </row>
        <row r="13">
          <cell r="A13">
            <v>0</v>
          </cell>
          <cell r="B13">
            <v>0</v>
          </cell>
          <cell r="C13">
            <v>0</v>
          </cell>
          <cell r="D13">
            <v>0</v>
          </cell>
          <cell r="E13" t="str">
            <v>UNIT.(R$)</v>
          </cell>
          <cell r="F13" t="str">
            <v>R$</v>
          </cell>
          <cell r="G13">
            <v>0</v>
          </cell>
          <cell r="H13" t="str">
            <v>R$</v>
          </cell>
          <cell r="I13">
            <v>0</v>
          </cell>
          <cell r="J13" t="str">
            <v>R$</v>
          </cell>
          <cell r="K13">
            <v>0</v>
          </cell>
          <cell r="L13" t="str">
            <v>TOTAL(R$)</v>
          </cell>
          <cell r="M13">
            <v>0</v>
          </cell>
        </row>
        <row r="14">
          <cell r="A14">
            <v>0</v>
          </cell>
          <cell r="B14">
            <v>0</v>
          </cell>
          <cell r="C14">
            <v>0</v>
          </cell>
          <cell r="D14">
            <v>0</v>
          </cell>
          <cell r="E14">
            <v>0</v>
          </cell>
          <cell r="F14">
            <v>0</v>
          </cell>
          <cell r="G14">
            <v>0</v>
          </cell>
          <cell r="H14">
            <v>0</v>
          </cell>
          <cell r="I14">
            <v>0</v>
          </cell>
          <cell r="J14">
            <v>0</v>
          </cell>
          <cell r="K14">
            <v>0</v>
          </cell>
          <cell r="L14">
            <v>0</v>
          </cell>
          <cell r="M14">
            <v>0</v>
          </cell>
        </row>
        <row r="15">
          <cell r="A15" t="str">
            <v>1.0</v>
          </cell>
          <cell r="B15" t="str">
            <v>CANTEIRO DE OBRAS</v>
          </cell>
          <cell r="C15" t="str">
            <v>SUB-TOTAL</v>
          </cell>
          <cell r="D15">
            <v>0</v>
          </cell>
          <cell r="E15">
            <v>0</v>
          </cell>
          <cell r="F15">
            <v>2261.4299999999998</v>
          </cell>
          <cell r="G15">
            <v>2261.4299999999998</v>
          </cell>
          <cell r="H15">
            <v>204869.90000000002</v>
          </cell>
          <cell r="I15">
            <v>204869.90000000002</v>
          </cell>
          <cell r="J15">
            <v>295.56</v>
          </cell>
          <cell r="K15">
            <v>295.56</v>
          </cell>
          <cell r="L15">
            <v>207426.89</v>
          </cell>
          <cell r="M15">
            <v>2.4687000000000001E-2</v>
          </cell>
        </row>
        <row r="16">
          <cell r="A16">
            <v>0</v>
          </cell>
          <cell r="B16">
            <v>0</v>
          </cell>
          <cell r="C16">
            <v>0</v>
          </cell>
          <cell r="D16">
            <v>0</v>
          </cell>
          <cell r="E16">
            <v>0</v>
          </cell>
          <cell r="F16">
            <v>1.0902E-2</v>
          </cell>
          <cell r="G16" t="str">
            <v>sim</v>
          </cell>
          <cell r="H16">
            <v>0.98767300000000002</v>
          </cell>
          <cell r="I16" t="str">
            <v>sim</v>
          </cell>
          <cell r="J16">
            <v>1.4250000000000001E-3</v>
          </cell>
          <cell r="K16" t="str">
            <v>sim</v>
          </cell>
          <cell r="L16">
            <v>0</v>
          </cell>
          <cell r="M16">
            <v>0</v>
          </cell>
        </row>
        <row r="17">
          <cell r="A17" t="str">
            <v>1.1</v>
          </cell>
          <cell r="B17" t="str">
            <v>Instalação de Canteiro de Obras (DER/SP) (Item 5.1 do MD)</v>
          </cell>
          <cell r="C17" t="str">
            <v>vb</v>
          </cell>
          <cell r="D17">
            <v>1</v>
          </cell>
          <cell r="E17">
            <v>122921.94</v>
          </cell>
          <cell r="F17">
            <v>0</v>
          </cell>
          <cell r="G17">
            <v>0</v>
          </cell>
          <cell r="H17">
            <v>122921.94</v>
          </cell>
          <cell r="I17">
            <v>122921.94</v>
          </cell>
          <cell r="J17">
            <v>0</v>
          </cell>
          <cell r="K17">
            <v>0</v>
          </cell>
          <cell r="L17">
            <v>122921.94</v>
          </cell>
          <cell r="M17">
            <v>1.4630000000000001E-2</v>
          </cell>
        </row>
        <row r="18">
          <cell r="A18" t="str">
            <v>1.2</v>
          </cell>
          <cell r="B18" t="str">
            <v>Operação e Manutenção de Canteiro de Obras (DER/SP) (Item 5.1 do MD)</v>
          </cell>
          <cell r="C18" t="str">
            <v>vb</v>
          </cell>
          <cell r="D18">
            <v>1</v>
          </cell>
          <cell r="E18">
            <v>71704.460000000006</v>
          </cell>
          <cell r="F18">
            <v>0</v>
          </cell>
          <cell r="G18">
            <v>0</v>
          </cell>
          <cell r="H18">
            <v>71704.460000000006</v>
          </cell>
          <cell r="I18">
            <v>71704.460000000006</v>
          </cell>
          <cell r="J18">
            <v>0</v>
          </cell>
          <cell r="K18">
            <v>0</v>
          </cell>
          <cell r="L18">
            <v>71704.460000000006</v>
          </cell>
          <cell r="M18">
            <v>8.5339999999999999E-3</v>
          </cell>
        </row>
        <row r="19">
          <cell r="A19" t="str">
            <v>1.3</v>
          </cell>
          <cell r="B19" t="str">
            <v>Desmobilização de Canteiro de Obras (DER/SP) (Item 5.1 do MD)</v>
          </cell>
          <cell r="C19" t="str">
            <v>vb</v>
          </cell>
          <cell r="D19">
            <v>1</v>
          </cell>
          <cell r="E19">
            <v>10243.5</v>
          </cell>
          <cell r="F19">
            <v>0</v>
          </cell>
          <cell r="G19">
            <v>0</v>
          </cell>
          <cell r="H19">
            <v>10243.5</v>
          </cell>
          <cell r="I19">
            <v>10243.5</v>
          </cell>
          <cell r="J19">
            <v>0</v>
          </cell>
          <cell r="K19">
            <v>0</v>
          </cell>
          <cell r="L19">
            <v>10243.5</v>
          </cell>
          <cell r="M19">
            <v>1.219E-3</v>
          </cell>
        </row>
        <row r="20">
          <cell r="A20" t="str">
            <v>1.4</v>
          </cell>
          <cell r="B20" t="str">
            <v>Placa de identificação de obra, conforme padrão SeMAE (Item 5.1 do MD)</v>
          </cell>
          <cell r="C20" t="str">
            <v>m2</v>
          </cell>
          <cell r="D20">
            <v>9</v>
          </cell>
          <cell r="E20">
            <v>284.11</v>
          </cell>
          <cell r="F20">
            <v>251.27000000000004</v>
          </cell>
          <cell r="G20">
            <v>2261.4299999999998</v>
          </cell>
          <cell r="H20">
            <v>0</v>
          </cell>
          <cell r="I20">
            <v>0</v>
          </cell>
          <cell r="J20">
            <v>32.840000000000003</v>
          </cell>
          <cell r="K20">
            <v>295.56</v>
          </cell>
          <cell r="L20">
            <v>2556.9899999999998</v>
          </cell>
          <cell r="M20">
            <v>3.0400000000000002E-4</v>
          </cell>
        </row>
        <row r="21">
          <cell r="A21">
            <v>0</v>
          </cell>
          <cell r="B21">
            <v>0</v>
          </cell>
          <cell r="C21">
            <v>0</v>
          </cell>
          <cell r="D21">
            <v>0</v>
          </cell>
          <cell r="E21">
            <v>0</v>
          </cell>
          <cell r="F21">
            <v>0</v>
          </cell>
          <cell r="G21">
            <v>0</v>
          </cell>
          <cell r="H21">
            <v>0</v>
          </cell>
          <cell r="I21">
            <v>0</v>
          </cell>
          <cell r="J21">
            <v>0</v>
          </cell>
          <cell r="K21">
            <v>0</v>
          </cell>
          <cell r="L21">
            <v>0</v>
          </cell>
          <cell r="M21">
            <v>0</v>
          </cell>
        </row>
        <row r="22">
          <cell r="A22" t="str">
            <v>2.0</v>
          </cell>
          <cell r="B22" t="str">
            <v>SERVIÇOS INICIAIS</v>
          </cell>
          <cell r="C22" t="str">
            <v>SUB-TOTAL</v>
          </cell>
          <cell r="D22">
            <v>0</v>
          </cell>
          <cell r="E22">
            <v>0</v>
          </cell>
          <cell r="F22">
            <v>13525</v>
          </cell>
          <cell r="G22">
            <v>13525</v>
          </cell>
          <cell r="H22">
            <v>134717</v>
          </cell>
          <cell r="I22">
            <v>134717</v>
          </cell>
          <cell r="J22">
            <v>241867.5</v>
          </cell>
          <cell r="K22">
            <v>241867.5</v>
          </cell>
          <cell r="L22">
            <v>390109.5</v>
          </cell>
          <cell r="M22">
            <v>4.6428999999999998E-2</v>
          </cell>
        </row>
        <row r="23">
          <cell r="A23">
            <v>0</v>
          </cell>
          <cell r="B23">
            <v>0</v>
          </cell>
          <cell r="C23">
            <v>0</v>
          </cell>
          <cell r="D23">
            <v>0</v>
          </cell>
          <cell r="E23">
            <v>0</v>
          </cell>
          <cell r="F23">
            <v>3.4669999999999999E-2</v>
          </cell>
          <cell r="G23" t="str">
            <v>sim</v>
          </cell>
          <cell r="H23">
            <v>0.345331</v>
          </cell>
          <cell r="I23" t="str">
            <v>sim</v>
          </cell>
          <cell r="J23">
            <v>0.61999899999999997</v>
          </cell>
          <cell r="K23" t="str">
            <v>sim</v>
          </cell>
          <cell r="L23">
            <v>0</v>
          </cell>
          <cell r="M23">
            <v>0</v>
          </cell>
        </row>
        <row r="24">
          <cell r="A24" t="str">
            <v>2.1</v>
          </cell>
          <cell r="B24" t="str">
            <v>Limpeza mecanizada de terreno - remoção de terra vegetal (Item 5.2.1 do MD)</v>
          </cell>
          <cell r="C24" t="str">
            <v>m2</v>
          </cell>
          <cell r="D24">
            <v>5500</v>
          </cell>
          <cell r="E24">
            <v>1.05</v>
          </cell>
          <cell r="F24">
            <v>0</v>
          </cell>
          <cell r="G24">
            <v>0</v>
          </cell>
          <cell r="H24">
            <v>1</v>
          </cell>
          <cell r="I24">
            <v>5500</v>
          </cell>
          <cell r="J24">
            <v>0.05</v>
          </cell>
          <cell r="K24">
            <v>275</v>
          </cell>
          <cell r="L24">
            <v>5775</v>
          </cell>
          <cell r="M24">
            <v>6.87E-4</v>
          </cell>
        </row>
        <row r="25">
          <cell r="A25" t="str">
            <v>2.2</v>
          </cell>
          <cell r="B25" t="str">
            <v>Limpeza de áreas públicas ou áreas do SeMAE para retirada de entulhos ou materiais diversos</v>
          </cell>
          <cell r="C25" t="str">
            <v>un</v>
          </cell>
          <cell r="D25">
            <v>500</v>
          </cell>
          <cell r="E25">
            <v>238.04000000000002</v>
          </cell>
          <cell r="F25">
            <v>0</v>
          </cell>
          <cell r="G25">
            <v>0</v>
          </cell>
          <cell r="H25">
            <v>173.66000000000003</v>
          </cell>
          <cell r="I25">
            <v>86830</v>
          </cell>
          <cell r="J25">
            <v>64.38</v>
          </cell>
          <cell r="K25">
            <v>32190</v>
          </cell>
          <cell r="L25">
            <v>119020</v>
          </cell>
          <cell r="M25">
            <v>1.4165000000000001E-2</v>
          </cell>
        </row>
        <row r="26">
          <cell r="A26" t="str">
            <v>2.3</v>
          </cell>
          <cell r="B26" t="str">
            <v>Limpeza de boca de lobo (Item 5.2.2 do MD)</v>
          </cell>
          <cell r="C26" t="str">
            <v>un</v>
          </cell>
          <cell r="D26">
            <v>500</v>
          </cell>
          <cell r="E26">
            <v>46.44</v>
          </cell>
          <cell r="F26">
            <v>0</v>
          </cell>
          <cell r="G26">
            <v>0</v>
          </cell>
          <cell r="H26">
            <v>0</v>
          </cell>
          <cell r="I26">
            <v>0</v>
          </cell>
          <cell r="J26">
            <v>46.44</v>
          </cell>
          <cell r="K26">
            <v>23220</v>
          </cell>
          <cell r="L26">
            <v>23220</v>
          </cell>
          <cell r="M26">
            <v>2.764E-3</v>
          </cell>
        </row>
        <row r="27">
          <cell r="A27" t="str">
            <v>2.4</v>
          </cell>
          <cell r="B27" t="str">
            <v>Tapume chapa compensada resinada 10 mm (Item 5.2.3 do MD)</v>
          </cell>
          <cell r="C27" t="str">
            <v>m2</v>
          </cell>
          <cell r="D27">
            <v>500</v>
          </cell>
          <cell r="E27">
            <v>45.67</v>
          </cell>
          <cell r="F27">
            <v>19.399999999999999</v>
          </cell>
          <cell r="G27">
            <v>9700</v>
          </cell>
          <cell r="H27">
            <v>0</v>
          </cell>
          <cell r="I27">
            <v>0</v>
          </cell>
          <cell r="J27">
            <v>26.27</v>
          </cell>
          <cell r="K27">
            <v>13135</v>
          </cell>
          <cell r="L27">
            <v>22835</v>
          </cell>
          <cell r="M27">
            <v>2.7179999999999999E-3</v>
          </cell>
        </row>
        <row r="28">
          <cell r="A28" t="str">
            <v>2.5</v>
          </cell>
          <cell r="B28" t="str">
            <v>Escavação manual de valas em solo de 1ª categoria com profundidade até 2,0 m (Item 5.2.4 do MD)</v>
          </cell>
          <cell r="C28" t="str">
            <v>m3</v>
          </cell>
          <cell r="D28">
            <v>100</v>
          </cell>
          <cell r="E28">
            <v>53.379999999999995</v>
          </cell>
          <cell r="F28">
            <v>0</v>
          </cell>
          <cell r="G28">
            <v>0</v>
          </cell>
          <cell r="H28">
            <v>0</v>
          </cell>
          <cell r="I28">
            <v>0</v>
          </cell>
          <cell r="J28">
            <v>53.379999999999995</v>
          </cell>
          <cell r="K28">
            <v>5338</v>
          </cell>
          <cell r="L28">
            <v>5338</v>
          </cell>
          <cell r="M28">
            <v>6.3500000000000004E-4</v>
          </cell>
        </row>
        <row r="29">
          <cell r="A29" t="str">
            <v>2.6</v>
          </cell>
          <cell r="B29" t="str">
            <v>Escavação, carga e transporte de material de 1ª Categoria com trator sobre esteiras - DMT 50 a 200m  (Item 5.2.4 do MD)</v>
          </cell>
          <cell r="C29" t="str">
            <v>m3</v>
          </cell>
          <cell r="D29">
            <v>600</v>
          </cell>
          <cell r="E29">
            <v>4.7999999999999989</v>
          </cell>
          <cell r="F29">
            <v>0</v>
          </cell>
          <cell r="G29">
            <v>0</v>
          </cell>
          <cell r="H29">
            <v>4.629999999999999</v>
          </cell>
          <cell r="I29">
            <v>2778</v>
          </cell>
          <cell r="J29">
            <v>0.17</v>
          </cell>
          <cell r="K29">
            <v>102</v>
          </cell>
          <cell r="L29">
            <v>2880</v>
          </cell>
          <cell r="M29">
            <v>3.4299999999999999E-4</v>
          </cell>
        </row>
        <row r="30">
          <cell r="A30" t="str">
            <v>2.7</v>
          </cell>
          <cell r="B30" t="str">
            <v>Escavação mecanizada de valas em solo de 1ª categoria com profundidade acima de 2,0 m (Item 5.2.4 do MD)</v>
          </cell>
          <cell r="C30" t="str">
            <v>m3</v>
          </cell>
          <cell r="D30">
            <v>200</v>
          </cell>
          <cell r="E30">
            <v>6.49</v>
          </cell>
          <cell r="F30">
            <v>0</v>
          </cell>
          <cell r="G30">
            <v>0</v>
          </cell>
          <cell r="H30">
            <v>5.76</v>
          </cell>
          <cell r="I30">
            <v>1152</v>
          </cell>
          <cell r="J30">
            <v>0.73000000000000009</v>
          </cell>
          <cell r="K30">
            <v>146</v>
          </cell>
          <cell r="L30">
            <v>1298</v>
          </cell>
          <cell r="M30">
            <v>1.54E-4</v>
          </cell>
        </row>
        <row r="31">
          <cell r="A31" t="str">
            <v>2.8</v>
          </cell>
          <cell r="B31" t="str">
            <v>Escoramento contínuo de valas, misto, com perfil I de 8"</v>
          </cell>
          <cell r="C31" t="str">
            <v>m2</v>
          </cell>
          <cell r="D31">
            <v>100</v>
          </cell>
          <cell r="E31">
            <v>116.47</v>
          </cell>
          <cell r="F31">
            <v>38.25</v>
          </cell>
          <cell r="G31">
            <v>3825</v>
          </cell>
          <cell r="H31">
            <v>25.33</v>
          </cell>
          <cell r="I31">
            <v>2533</v>
          </cell>
          <cell r="J31">
            <v>52.89</v>
          </cell>
          <cell r="K31">
            <v>5289</v>
          </cell>
          <cell r="L31">
            <v>11647</v>
          </cell>
          <cell r="M31">
            <v>1.3860000000000001E-3</v>
          </cell>
        </row>
        <row r="32">
          <cell r="A32" t="str">
            <v>2.9</v>
          </cell>
          <cell r="B32" t="str">
            <v>Compactação mecânica com controle do GC &gt;= 95% do PN (Com motoniveladora e rolo compressor) (Item 5.2.5 do MD)</v>
          </cell>
          <cell r="C32" t="str">
            <v>m3</v>
          </cell>
          <cell r="D32">
            <v>600</v>
          </cell>
          <cell r="E32">
            <v>3.66</v>
          </cell>
          <cell r="F32">
            <v>0</v>
          </cell>
          <cell r="G32">
            <v>0</v>
          </cell>
          <cell r="H32">
            <v>3.1900000000000004</v>
          </cell>
          <cell r="I32">
            <v>1914</v>
          </cell>
          <cell r="J32">
            <v>0.47</v>
          </cell>
          <cell r="K32">
            <v>282</v>
          </cell>
          <cell r="L32">
            <v>2196</v>
          </cell>
          <cell r="M32">
            <v>2.61E-4</v>
          </cell>
        </row>
        <row r="33">
          <cell r="A33" t="str">
            <v>2.10</v>
          </cell>
          <cell r="B33" t="str">
            <v>Reaterro manual de valas apiloado (Item 5.2.5 do MD)</v>
          </cell>
          <cell r="C33" t="str">
            <v>m3</v>
          </cell>
          <cell r="D33">
            <v>100</v>
          </cell>
          <cell r="E33">
            <v>42.9</v>
          </cell>
          <cell r="F33">
            <v>0</v>
          </cell>
          <cell r="G33">
            <v>0</v>
          </cell>
          <cell r="H33">
            <v>0</v>
          </cell>
          <cell r="I33">
            <v>0</v>
          </cell>
          <cell r="J33">
            <v>42.9</v>
          </cell>
          <cell r="K33">
            <v>4290</v>
          </cell>
          <cell r="L33">
            <v>4290</v>
          </cell>
          <cell r="M33">
            <v>5.1099999999999995E-4</v>
          </cell>
        </row>
        <row r="34">
          <cell r="A34" t="str">
            <v>2.11</v>
          </cell>
          <cell r="B34" t="str">
            <v>Reaterro mecanizado de valas (Item 5.2.5 do MD)</v>
          </cell>
          <cell r="C34" t="str">
            <v>m3</v>
          </cell>
          <cell r="D34">
            <v>200</v>
          </cell>
          <cell r="E34">
            <v>19.580000000000002</v>
          </cell>
          <cell r="F34">
            <v>0</v>
          </cell>
          <cell r="G34">
            <v>0</v>
          </cell>
          <cell r="H34">
            <v>5.28</v>
          </cell>
          <cell r="I34">
            <v>1056</v>
          </cell>
          <cell r="J34">
            <v>14.3</v>
          </cell>
          <cell r="K34">
            <v>2860</v>
          </cell>
          <cell r="L34">
            <v>3916</v>
          </cell>
          <cell r="M34">
            <v>4.66E-4</v>
          </cell>
        </row>
        <row r="35">
          <cell r="A35" t="str">
            <v>2.12</v>
          </cell>
          <cell r="B35" t="str">
            <v xml:space="preserve">Demolição de calçadas e pisos cimentados (Item 5.2.6 do MD) </v>
          </cell>
          <cell r="C35" t="str">
            <v>m2</v>
          </cell>
          <cell r="D35">
            <v>100</v>
          </cell>
          <cell r="E35">
            <v>23.229999999999997</v>
          </cell>
          <cell r="F35">
            <v>0</v>
          </cell>
          <cell r="G35">
            <v>0</v>
          </cell>
          <cell r="H35">
            <v>0</v>
          </cell>
          <cell r="I35">
            <v>0</v>
          </cell>
          <cell r="J35">
            <v>23.229999999999997</v>
          </cell>
          <cell r="K35">
            <v>2323</v>
          </cell>
          <cell r="L35">
            <v>2323</v>
          </cell>
          <cell r="M35">
            <v>2.7599999999999999E-4</v>
          </cell>
        </row>
        <row r="36">
          <cell r="A36" t="str">
            <v>2.13</v>
          </cell>
          <cell r="B36" t="str">
            <v>Demolição de alvenaria em geral s/ reaproveitamento (Item 5.2.6 do MD)</v>
          </cell>
          <cell r="C36" t="str">
            <v>m2</v>
          </cell>
          <cell r="D36">
            <v>100</v>
          </cell>
          <cell r="E36">
            <v>68.87</v>
          </cell>
          <cell r="F36">
            <v>0</v>
          </cell>
          <cell r="G36">
            <v>0</v>
          </cell>
          <cell r="H36">
            <v>0</v>
          </cell>
          <cell r="I36">
            <v>0</v>
          </cell>
          <cell r="J36">
            <v>68.87</v>
          </cell>
          <cell r="K36">
            <v>6887</v>
          </cell>
          <cell r="L36">
            <v>6887</v>
          </cell>
          <cell r="M36">
            <v>8.1999999999999998E-4</v>
          </cell>
        </row>
        <row r="37">
          <cell r="A37" t="str">
            <v>2.14</v>
          </cell>
          <cell r="B37" t="str">
            <v>Demolição de concreto simples (Item 5.2.6do MD)</v>
          </cell>
          <cell r="C37" t="str">
            <v>m3</v>
          </cell>
          <cell r="D37">
            <v>100</v>
          </cell>
          <cell r="E37">
            <v>223.8</v>
          </cell>
          <cell r="F37">
            <v>0</v>
          </cell>
          <cell r="G37">
            <v>0</v>
          </cell>
          <cell r="H37">
            <v>0</v>
          </cell>
          <cell r="I37">
            <v>0</v>
          </cell>
          <cell r="J37">
            <v>223.8</v>
          </cell>
          <cell r="K37">
            <v>22380</v>
          </cell>
          <cell r="L37">
            <v>22380</v>
          </cell>
          <cell r="M37">
            <v>2.6640000000000001E-3</v>
          </cell>
        </row>
        <row r="38">
          <cell r="A38" t="str">
            <v>2.15</v>
          </cell>
          <cell r="B38" t="str">
            <v>Demolição de concreto armado com utilização de martelo rompedor  (Item 5.2.6 do MD)</v>
          </cell>
          <cell r="C38" t="str">
            <v>m3</v>
          </cell>
          <cell r="D38">
            <v>100</v>
          </cell>
          <cell r="E38">
            <v>295.59000000000003</v>
          </cell>
          <cell r="F38">
            <v>0</v>
          </cell>
          <cell r="G38">
            <v>0</v>
          </cell>
          <cell r="H38">
            <v>121.66000000000001</v>
          </cell>
          <cell r="I38">
            <v>12166</v>
          </cell>
          <cell r="J38">
            <v>173.93</v>
          </cell>
          <cell r="K38">
            <v>17393</v>
          </cell>
          <cell r="L38">
            <v>29559</v>
          </cell>
          <cell r="M38">
            <v>3.5179999999999999E-3</v>
          </cell>
        </row>
        <row r="39">
          <cell r="A39" t="str">
            <v>2.16</v>
          </cell>
          <cell r="B39" t="str">
            <v>Remoção de guias em concreto  (Item 5.2.6 do MD)</v>
          </cell>
          <cell r="C39" t="str">
            <v>m</v>
          </cell>
          <cell r="D39">
            <v>500</v>
          </cell>
          <cell r="E39">
            <v>8.64</v>
          </cell>
          <cell r="F39">
            <v>0</v>
          </cell>
          <cell r="G39">
            <v>0</v>
          </cell>
          <cell r="H39">
            <v>0</v>
          </cell>
          <cell r="I39">
            <v>0</v>
          </cell>
          <cell r="J39">
            <v>8.64</v>
          </cell>
          <cell r="K39">
            <v>4320</v>
          </cell>
          <cell r="L39">
            <v>4320</v>
          </cell>
          <cell r="M39">
            <v>5.1400000000000003E-4</v>
          </cell>
        </row>
        <row r="40">
          <cell r="A40" t="str">
            <v>2.17</v>
          </cell>
          <cell r="B40" t="str">
            <v>Remoção de sarjetas em concreto  (Item 5.2.6 do MD)</v>
          </cell>
          <cell r="C40" t="str">
            <v>m</v>
          </cell>
          <cell r="D40">
            <v>500</v>
          </cell>
          <cell r="E40">
            <v>15.479999999999999</v>
          </cell>
          <cell r="F40">
            <v>0</v>
          </cell>
          <cell r="G40">
            <v>0</v>
          </cell>
          <cell r="H40">
            <v>0</v>
          </cell>
          <cell r="I40">
            <v>0</v>
          </cell>
          <cell r="J40">
            <v>15.479999999999999</v>
          </cell>
          <cell r="K40">
            <v>7740</v>
          </cell>
          <cell r="L40">
            <v>7740</v>
          </cell>
          <cell r="M40">
            <v>9.2100000000000005E-4</v>
          </cell>
        </row>
        <row r="41">
          <cell r="A41" t="str">
            <v>2.18</v>
          </cell>
          <cell r="B41" t="str">
            <v>Remoção de pisos em mosaico português  (Item 5.2.6 do MD)</v>
          </cell>
          <cell r="C41" t="str">
            <v>m2</v>
          </cell>
          <cell r="D41">
            <v>600</v>
          </cell>
          <cell r="E41">
            <v>12.38</v>
          </cell>
          <cell r="F41">
            <v>0</v>
          </cell>
          <cell r="G41">
            <v>0</v>
          </cell>
          <cell r="H41">
            <v>0</v>
          </cell>
          <cell r="I41">
            <v>0</v>
          </cell>
          <cell r="J41">
            <v>12.38</v>
          </cell>
          <cell r="K41">
            <v>7428</v>
          </cell>
          <cell r="L41">
            <v>7428</v>
          </cell>
          <cell r="M41">
            <v>8.8400000000000002E-4</v>
          </cell>
        </row>
        <row r="42">
          <cell r="A42" t="str">
            <v>2.19</v>
          </cell>
          <cell r="B42" t="str">
            <v>Remoção de pisos em paralelepípedos  (Item 5.2.6 do MD)</v>
          </cell>
          <cell r="C42" t="str">
            <v>m2</v>
          </cell>
          <cell r="D42">
            <v>600</v>
          </cell>
          <cell r="E42">
            <v>18.579999999999998</v>
          </cell>
          <cell r="F42">
            <v>0</v>
          </cell>
          <cell r="G42">
            <v>0</v>
          </cell>
          <cell r="H42">
            <v>0</v>
          </cell>
          <cell r="I42">
            <v>0</v>
          </cell>
          <cell r="J42">
            <v>18.579999999999998</v>
          </cell>
          <cell r="K42">
            <v>11148</v>
          </cell>
          <cell r="L42">
            <v>11148</v>
          </cell>
          <cell r="M42">
            <v>1.3270000000000001E-3</v>
          </cell>
        </row>
        <row r="43">
          <cell r="A43" t="str">
            <v>2.20</v>
          </cell>
          <cell r="B43" t="str">
            <v>Remoção de pisos em lajotas sextavadas de concreto, inclusive base (Item 5.2.6 do MD)</v>
          </cell>
          <cell r="C43" t="str">
            <v>m2</v>
          </cell>
          <cell r="D43">
            <v>600</v>
          </cell>
          <cell r="E43">
            <v>22.39</v>
          </cell>
          <cell r="F43">
            <v>0</v>
          </cell>
          <cell r="G43">
            <v>0</v>
          </cell>
          <cell r="H43">
            <v>2.37</v>
          </cell>
          <cell r="I43">
            <v>1422</v>
          </cell>
          <cell r="J43">
            <v>20.02</v>
          </cell>
          <cell r="K43">
            <v>12012</v>
          </cell>
          <cell r="L43">
            <v>13434</v>
          </cell>
          <cell r="M43">
            <v>1.5989999999999999E-3</v>
          </cell>
        </row>
        <row r="44">
          <cell r="A44" t="str">
            <v>2.21</v>
          </cell>
          <cell r="B44" t="str">
            <v>Carga manual de materiais provenientes de demolições em geral  (Item 5.2.7 do MD)</v>
          </cell>
          <cell r="C44" t="str">
            <v>m3</v>
          </cell>
          <cell r="D44">
            <v>100</v>
          </cell>
          <cell r="E44">
            <v>10.84</v>
          </cell>
          <cell r="F44">
            <v>0</v>
          </cell>
          <cell r="G44">
            <v>0</v>
          </cell>
          <cell r="H44">
            <v>0</v>
          </cell>
          <cell r="I44">
            <v>0</v>
          </cell>
          <cell r="J44">
            <v>10.84</v>
          </cell>
          <cell r="K44">
            <v>1084</v>
          </cell>
          <cell r="L44">
            <v>1084</v>
          </cell>
          <cell r="M44">
            <v>1.2899999999999999E-4</v>
          </cell>
        </row>
        <row r="45">
          <cell r="A45" t="str">
            <v>2.22</v>
          </cell>
          <cell r="B45" t="str">
            <v>Carga manual e remoção de entulho com transporte até 1 km em caminhão basculante 8 m3 (Item 5.2.7 do MD)</v>
          </cell>
          <cell r="C45" t="str">
            <v>m3</v>
          </cell>
          <cell r="D45">
            <v>100</v>
          </cell>
          <cell r="E45">
            <v>24.07</v>
          </cell>
          <cell r="F45">
            <v>0</v>
          </cell>
          <cell r="G45">
            <v>0</v>
          </cell>
          <cell r="H45">
            <v>5.49</v>
          </cell>
          <cell r="I45">
            <v>549</v>
          </cell>
          <cell r="J45">
            <v>18.579999999999998</v>
          </cell>
          <cell r="K45">
            <v>1858</v>
          </cell>
          <cell r="L45">
            <v>2407</v>
          </cell>
          <cell r="M45">
            <v>2.8600000000000001E-4</v>
          </cell>
        </row>
        <row r="46">
          <cell r="A46" t="str">
            <v>2.23</v>
          </cell>
          <cell r="B46" t="str">
            <v>Carga mecanizada de materiais provenientes de demolições em geral  (Item 5.2.7 do MD)</v>
          </cell>
          <cell r="C46" t="str">
            <v>m3</v>
          </cell>
          <cell r="D46">
            <v>150</v>
          </cell>
          <cell r="E46">
            <v>3.53</v>
          </cell>
          <cell r="F46">
            <v>0</v>
          </cell>
          <cell r="G46">
            <v>0</v>
          </cell>
          <cell r="H46">
            <v>3.53</v>
          </cell>
          <cell r="I46">
            <v>529.5</v>
          </cell>
          <cell r="J46">
            <v>0</v>
          </cell>
          <cell r="K46">
            <v>0</v>
          </cell>
          <cell r="L46">
            <v>529.5</v>
          </cell>
          <cell r="M46">
            <v>6.3E-5</v>
          </cell>
        </row>
        <row r="47">
          <cell r="A47" t="str">
            <v>2.24</v>
          </cell>
          <cell r="B47" t="str">
            <v>Bota-fora e descarga de materiais provenientes de demolições em geral (Item 5.2.7 do MD)</v>
          </cell>
          <cell r="C47" t="str">
            <v>m³xKm</v>
          </cell>
          <cell r="D47">
            <v>2000</v>
          </cell>
          <cell r="E47">
            <v>1.77</v>
          </cell>
          <cell r="F47">
            <v>0</v>
          </cell>
          <cell r="G47">
            <v>0</v>
          </cell>
          <cell r="H47">
            <v>1.77</v>
          </cell>
          <cell r="I47">
            <v>3540</v>
          </cell>
          <cell r="J47">
            <v>0</v>
          </cell>
          <cell r="K47">
            <v>0</v>
          </cell>
          <cell r="L47">
            <v>3540</v>
          </cell>
          <cell r="M47">
            <v>4.2099999999999999E-4</v>
          </cell>
        </row>
        <row r="48">
          <cell r="A48" t="str">
            <v>2.25</v>
          </cell>
          <cell r="B48" t="str">
            <v>Locação Topográfica  (Item 5.2.8 do MD)</v>
          </cell>
          <cell r="C48" t="str">
            <v>un</v>
          </cell>
          <cell r="D48">
            <v>250</v>
          </cell>
          <cell r="E48">
            <v>267.95999999999998</v>
          </cell>
          <cell r="F48">
            <v>0</v>
          </cell>
          <cell r="G48">
            <v>0</v>
          </cell>
          <cell r="H48">
            <v>32.83</v>
          </cell>
          <cell r="I48">
            <v>8207.5</v>
          </cell>
          <cell r="J48">
            <v>235.13</v>
          </cell>
          <cell r="K48">
            <v>58782.5</v>
          </cell>
          <cell r="L48">
            <v>66990</v>
          </cell>
          <cell r="M48">
            <v>7.9729999999999992E-3</v>
          </cell>
        </row>
        <row r="49">
          <cell r="A49" t="str">
            <v>2.26</v>
          </cell>
          <cell r="B49" t="str">
            <v>Demolição de alambrado (Item 5.2.9 do MD)</v>
          </cell>
          <cell r="C49" t="str">
            <v>m</v>
          </cell>
          <cell r="D49">
            <v>500</v>
          </cell>
          <cell r="E49">
            <v>15.85</v>
          </cell>
          <cell r="F49">
            <v>0</v>
          </cell>
          <cell r="G49">
            <v>0</v>
          </cell>
          <cell r="H49">
            <v>13.08</v>
          </cell>
          <cell r="I49">
            <v>6540</v>
          </cell>
          <cell r="J49">
            <v>2.77</v>
          </cell>
          <cell r="K49">
            <v>1385</v>
          </cell>
          <cell r="L49">
            <v>7925</v>
          </cell>
          <cell r="M49">
            <v>9.4300000000000004E-4</v>
          </cell>
        </row>
        <row r="50">
          <cell r="A50">
            <v>0</v>
          </cell>
          <cell r="B50">
            <v>0</v>
          </cell>
          <cell r="C50">
            <v>0</v>
          </cell>
          <cell r="D50">
            <v>0</v>
          </cell>
          <cell r="E50">
            <v>0</v>
          </cell>
          <cell r="F50">
            <v>0</v>
          </cell>
          <cell r="G50">
            <v>0</v>
          </cell>
          <cell r="H50">
            <v>0</v>
          </cell>
          <cell r="I50">
            <v>0</v>
          </cell>
          <cell r="J50">
            <v>0</v>
          </cell>
          <cell r="K50">
            <v>0</v>
          </cell>
          <cell r="L50">
            <v>0</v>
          </cell>
          <cell r="M50">
            <v>0</v>
          </cell>
        </row>
        <row r="51">
          <cell r="A51" t="str">
            <v>3.0</v>
          </cell>
          <cell r="B51" t="str">
            <v>FECHAMENTOS, PROTEÇÕES E ALVENARIAS EM GERAL</v>
          </cell>
          <cell r="C51" t="str">
            <v>SUB-TOTAL</v>
          </cell>
          <cell r="D51">
            <v>0</v>
          </cell>
          <cell r="E51">
            <v>0</v>
          </cell>
          <cell r="F51">
            <v>2074990.9</v>
          </cell>
          <cell r="G51">
            <v>2074990.9</v>
          </cell>
          <cell r="H51">
            <v>261382.3</v>
          </cell>
          <cell r="I51">
            <v>261382.3</v>
          </cell>
          <cell r="J51">
            <v>877566.00000000012</v>
          </cell>
          <cell r="K51">
            <v>877566.00000000012</v>
          </cell>
          <cell r="L51">
            <v>3213939.2</v>
          </cell>
          <cell r="M51">
            <v>0.38251099999999999</v>
          </cell>
        </row>
        <row r="52">
          <cell r="A52">
            <v>0</v>
          </cell>
          <cell r="B52">
            <v>0</v>
          </cell>
          <cell r="C52">
            <v>0</v>
          </cell>
          <cell r="D52">
            <v>0</v>
          </cell>
          <cell r="E52">
            <v>0</v>
          </cell>
          <cell r="F52">
            <v>0.64562200000000003</v>
          </cell>
          <cell r="G52" t="str">
            <v>sim</v>
          </cell>
          <cell r="H52">
            <v>8.1327999999999998E-2</v>
          </cell>
          <cell r="I52" t="str">
            <v>sim</v>
          </cell>
          <cell r="J52">
            <v>0.27305000000000001</v>
          </cell>
          <cell r="K52" t="str">
            <v>sim</v>
          </cell>
          <cell r="L52">
            <v>0</v>
          </cell>
          <cell r="M52">
            <v>0</v>
          </cell>
        </row>
        <row r="53">
          <cell r="A53" t="str">
            <v>3.1</v>
          </cell>
          <cell r="B53" t="str">
            <v>Proteção de Área de Reservatório - Portões, Alambrados e Itens Constituintes</v>
          </cell>
          <cell r="C53">
            <v>0</v>
          </cell>
          <cell r="D53">
            <v>0</v>
          </cell>
          <cell r="E53">
            <v>0</v>
          </cell>
          <cell r="F53">
            <v>0</v>
          </cell>
          <cell r="G53">
            <v>0</v>
          </cell>
          <cell r="H53">
            <v>0</v>
          </cell>
          <cell r="I53">
            <v>0</v>
          </cell>
          <cell r="J53">
            <v>0</v>
          </cell>
          <cell r="K53">
            <v>0</v>
          </cell>
          <cell r="L53">
            <v>0</v>
          </cell>
          <cell r="M53">
            <v>0</v>
          </cell>
        </row>
        <row r="54">
          <cell r="A54" t="str">
            <v>3.1.1</v>
          </cell>
          <cell r="B54" t="str">
            <v>Fornecimento e montagem de alambrado em mourões de concreto (Item 5.3.1 do MD)</v>
          </cell>
          <cell r="C54" t="str">
            <v>m</v>
          </cell>
          <cell r="D54">
            <v>2000</v>
          </cell>
          <cell r="E54">
            <v>114.5</v>
          </cell>
          <cell r="F54">
            <v>68.13</v>
          </cell>
          <cell r="G54">
            <v>136260</v>
          </cell>
          <cell r="H54">
            <v>0</v>
          </cell>
          <cell r="I54">
            <v>0</v>
          </cell>
          <cell r="J54">
            <v>46.370000000000005</v>
          </cell>
          <cell r="K54">
            <v>92740</v>
          </cell>
          <cell r="L54">
            <v>229000</v>
          </cell>
          <cell r="M54">
            <v>2.7255000000000001E-2</v>
          </cell>
        </row>
        <row r="55">
          <cell r="A55" t="str">
            <v>3.1.2</v>
          </cell>
          <cell r="B55" t="str">
            <v>Fornecimento e montagem de alambrado em tela eletro-soldada (Item 5.3.2 do MD)</v>
          </cell>
          <cell r="C55" t="str">
            <v>m</v>
          </cell>
          <cell r="D55">
            <v>200</v>
          </cell>
          <cell r="E55">
            <v>269.54000000000002</v>
          </cell>
          <cell r="F55">
            <v>244.25</v>
          </cell>
          <cell r="G55">
            <v>48850</v>
          </cell>
          <cell r="H55">
            <v>0</v>
          </cell>
          <cell r="I55">
            <v>0</v>
          </cell>
          <cell r="J55">
            <v>25.29</v>
          </cell>
          <cell r="K55">
            <v>5058</v>
          </cell>
          <cell r="L55">
            <v>53908</v>
          </cell>
          <cell r="M55">
            <v>6.4159999999999998E-3</v>
          </cell>
        </row>
        <row r="56">
          <cell r="A56" t="str">
            <v>3.1.3</v>
          </cell>
          <cell r="B56" t="str">
            <v>Fornecimento e instalação de portão em tubo metálico (Item 5.3.3 do MD)</v>
          </cell>
          <cell r="C56" t="str">
            <v>m2</v>
          </cell>
          <cell r="D56">
            <v>120</v>
          </cell>
          <cell r="E56">
            <v>400.5</v>
          </cell>
          <cell r="F56">
            <v>296.69</v>
          </cell>
          <cell r="G56">
            <v>35602.800000000003</v>
          </cell>
          <cell r="H56">
            <v>30.05</v>
          </cell>
          <cell r="I56">
            <v>3606</v>
          </cell>
          <cell r="J56">
            <v>73.759999999999991</v>
          </cell>
          <cell r="K56">
            <v>8851.2000000000007</v>
          </cell>
          <cell r="L56">
            <v>48060</v>
          </cell>
          <cell r="M56">
            <v>5.7200000000000003E-3</v>
          </cell>
        </row>
        <row r="57">
          <cell r="A57" t="str">
            <v>3.1.4</v>
          </cell>
          <cell r="B57" t="str">
            <v>Fornecimento e instalação de portão em tela eletro-soldada (Item 5.3.4 do MD)</v>
          </cell>
          <cell r="C57" t="str">
            <v>m2</v>
          </cell>
          <cell r="D57">
            <v>60</v>
          </cell>
          <cell r="E57">
            <v>418.71</v>
          </cell>
          <cell r="F57">
            <v>361.66999999999996</v>
          </cell>
          <cell r="G57">
            <v>21700.2</v>
          </cell>
          <cell r="H57">
            <v>0</v>
          </cell>
          <cell r="I57">
            <v>0</v>
          </cell>
          <cell r="J57">
            <v>57.040000000000006</v>
          </cell>
          <cell r="K57">
            <v>3422.4</v>
          </cell>
          <cell r="L57">
            <v>25122.600000000002</v>
          </cell>
          <cell r="M57">
            <v>2.99E-3</v>
          </cell>
        </row>
        <row r="58">
          <cell r="A58" t="str">
            <v>3.1.5</v>
          </cell>
          <cell r="B58" t="str">
            <v>Fornecimento e instalação de tela de alambrado (Item 5.3.5 do MD)</v>
          </cell>
          <cell r="C58" t="str">
            <v>m</v>
          </cell>
          <cell r="D58">
            <v>600</v>
          </cell>
          <cell r="E58">
            <v>45.269999999999996</v>
          </cell>
          <cell r="F58">
            <v>32.07</v>
          </cell>
          <cell r="G58">
            <v>19242</v>
          </cell>
          <cell r="H58">
            <v>0</v>
          </cell>
          <cell r="I58">
            <v>0</v>
          </cell>
          <cell r="J58">
            <v>13.2</v>
          </cell>
          <cell r="K58">
            <v>7920</v>
          </cell>
          <cell r="L58">
            <v>27162</v>
          </cell>
          <cell r="M58">
            <v>3.2330000000000002E-3</v>
          </cell>
        </row>
        <row r="59">
          <cell r="A59" t="str">
            <v>3.1.6</v>
          </cell>
          <cell r="B59" t="str">
            <v>Fornecimento e instalação de tela eletro-soldada (Item 5.3.5 do MD)</v>
          </cell>
          <cell r="C59" t="str">
            <v>m</v>
          </cell>
          <cell r="D59">
            <v>200</v>
          </cell>
          <cell r="E59">
            <v>140.29</v>
          </cell>
          <cell r="F59">
            <v>125.03999999999999</v>
          </cell>
          <cell r="G59">
            <v>25008</v>
          </cell>
          <cell r="H59">
            <v>0</v>
          </cell>
          <cell r="I59">
            <v>0</v>
          </cell>
          <cell r="J59">
            <v>15.25</v>
          </cell>
          <cell r="K59">
            <v>3050</v>
          </cell>
          <cell r="L59">
            <v>28058</v>
          </cell>
          <cell r="M59">
            <v>3.339E-3</v>
          </cell>
        </row>
        <row r="60">
          <cell r="A60" t="str">
            <v>3.1.7</v>
          </cell>
          <cell r="B60" t="str">
            <v>Revisão de alambrado (Item 5.3.6 do MD)</v>
          </cell>
          <cell r="C60" t="str">
            <v>m</v>
          </cell>
          <cell r="D60">
            <v>1000</v>
          </cell>
          <cell r="E60">
            <v>19.04</v>
          </cell>
          <cell r="F60">
            <v>2.8600000000000003</v>
          </cell>
          <cell r="G60">
            <v>2860</v>
          </cell>
          <cell r="H60">
            <v>0</v>
          </cell>
          <cell r="I60">
            <v>0</v>
          </cell>
          <cell r="J60">
            <v>16.18</v>
          </cell>
          <cell r="K60">
            <v>16180</v>
          </cell>
          <cell r="L60">
            <v>19040</v>
          </cell>
          <cell r="M60">
            <v>2.2659999999999998E-3</v>
          </cell>
        </row>
        <row r="61">
          <cell r="A61" t="str">
            <v>3.1.8</v>
          </cell>
          <cell r="B61" t="str">
            <v>Fornecimento e instalação de mourões avulsos em concreto (Item 5.3.7 do MD)</v>
          </cell>
          <cell r="C61" t="str">
            <v>un</v>
          </cell>
          <cell r="D61">
            <v>80</v>
          </cell>
          <cell r="E61">
            <v>79.47</v>
          </cell>
          <cell r="F61">
            <v>67.36</v>
          </cell>
          <cell r="G61">
            <v>5388.8</v>
          </cell>
          <cell r="H61">
            <v>0</v>
          </cell>
          <cell r="I61">
            <v>0</v>
          </cell>
          <cell r="J61">
            <v>12.11</v>
          </cell>
          <cell r="K61">
            <v>968.8</v>
          </cell>
          <cell r="L61">
            <v>6357.6</v>
          </cell>
          <cell r="M61">
            <v>7.5699999999999997E-4</v>
          </cell>
        </row>
        <row r="62">
          <cell r="A62" t="str">
            <v>3.1.9</v>
          </cell>
          <cell r="B62" t="str">
            <v>Fornecimento e instalação de pilares avulsos metálicos (Item 5.3.7 do MD)</v>
          </cell>
          <cell r="C62" t="str">
            <v>un</v>
          </cell>
          <cell r="D62">
            <v>30</v>
          </cell>
          <cell r="E62">
            <v>165.42000000000002</v>
          </cell>
          <cell r="F62">
            <v>153.31</v>
          </cell>
          <cell r="G62">
            <v>4599.3</v>
          </cell>
          <cell r="H62">
            <v>0</v>
          </cell>
          <cell r="I62">
            <v>0</v>
          </cell>
          <cell r="J62">
            <v>12.11</v>
          </cell>
          <cell r="K62">
            <v>363.3</v>
          </cell>
          <cell r="L62">
            <v>4962.6000000000004</v>
          </cell>
          <cell r="M62">
            <v>5.9100000000000005E-4</v>
          </cell>
        </row>
        <row r="63">
          <cell r="A63" t="str">
            <v>3.1.10</v>
          </cell>
          <cell r="B63" t="str">
            <v>Fornecimento e instalação de trava de segurança para porta "tipo ferrolho" com cadeado E40 e dispositivo anti arrombamento (Item 5.3.8.1 do MD e Anexo XII)</v>
          </cell>
          <cell r="C63" t="str">
            <v>un</v>
          </cell>
          <cell r="D63">
            <v>50</v>
          </cell>
          <cell r="E63">
            <v>147.75</v>
          </cell>
          <cell r="F63">
            <v>79.41</v>
          </cell>
          <cell r="G63">
            <v>3970.5</v>
          </cell>
          <cell r="H63">
            <v>44.85</v>
          </cell>
          <cell r="I63">
            <v>2242.5</v>
          </cell>
          <cell r="J63">
            <v>23.49</v>
          </cell>
          <cell r="K63">
            <v>1174.5</v>
          </cell>
          <cell r="L63">
            <v>7387.5</v>
          </cell>
          <cell r="M63">
            <v>8.7900000000000001E-4</v>
          </cell>
        </row>
        <row r="64">
          <cell r="A64" t="str">
            <v>3.1.11</v>
          </cell>
          <cell r="B64" t="str">
            <v>Fornecimento e instalação de trava de segurança para porta "tipo fechadura" com cadeado E45 e dispositivo anti arrombamento (Item 5.3.8.2 do MD e Anexo XIII )</v>
          </cell>
          <cell r="C64" t="str">
            <v>un</v>
          </cell>
          <cell r="D64">
            <v>50</v>
          </cell>
          <cell r="E64">
            <v>207.58999999999997</v>
          </cell>
          <cell r="F64">
            <v>118.74</v>
          </cell>
          <cell r="G64">
            <v>5937</v>
          </cell>
          <cell r="H64">
            <v>58.3</v>
          </cell>
          <cell r="I64">
            <v>2915</v>
          </cell>
          <cell r="J64">
            <v>30.549999999999997</v>
          </cell>
          <cell r="K64">
            <v>1527.5</v>
          </cell>
          <cell r="L64">
            <v>10379.5</v>
          </cell>
          <cell r="M64">
            <v>1.235E-3</v>
          </cell>
        </row>
        <row r="65">
          <cell r="A65" t="str">
            <v>3.2</v>
          </cell>
          <cell r="B65" t="str">
            <v>Proteção de Área de Poços</v>
          </cell>
          <cell r="C65">
            <v>0</v>
          </cell>
          <cell r="D65">
            <v>0</v>
          </cell>
          <cell r="E65">
            <v>0</v>
          </cell>
          <cell r="F65">
            <v>0</v>
          </cell>
          <cell r="G65">
            <v>0</v>
          </cell>
          <cell r="H65">
            <v>0</v>
          </cell>
          <cell r="I65">
            <v>0</v>
          </cell>
          <cell r="J65">
            <v>0</v>
          </cell>
          <cell r="K65">
            <v>0</v>
          </cell>
          <cell r="L65">
            <v>0</v>
          </cell>
          <cell r="M65">
            <v>0</v>
          </cell>
        </row>
        <row r="66">
          <cell r="A66" t="str">
            <v>3.2.1</v>
          </cell>
          <cell r="B66" t="str">
            <v>Fornecimento abrigo de proteção para poços. (Item 5.3.9 do MD)</v>
          </cell>
          <cell r="C66" t="str">
            <v>un</v>
          </cell>
          <cell r="D66">
            <v>50</v>
          </cell>
          <cell r="E66">
            <v>1498.96</v>
          </cell>
          <cell r="F66">
            <v>609.33999999999992</v>
          </cell>
          <cell r="G66">
            <v>30467</v>
          </cell>
          <cell r="H66">
            <v>365.36</v>
          </cell>
          <cell r="I66">
            <v>18268</v>
          </cell>
          <cell r="J66">
            <v>524.26</v>
          </cell>
          <cell r="K66">
            <v>26213</v>
          </cell>
          <cell r="L66">
            <v>74948</v>
          </cell>
          <cell r="M66">
            <v>8.9200000000000008E-3</v>
          </cell>
        </row>
        <row r="67">
          <cell r="A67" t="str">
            <v>3.2.2</v>
          </cell>
          <cell r="B67" t="str">
            <v>Fornecimento abrigo de proteção para poços (REFORÇADO). (Item 5.3.9 do MD)</v>
          </cell>
          <cell r="C67" t="str">
            <v>un</v>
          </cell>
          <cell r="D67">
            <v>50</v>
          </cell>
          <cell r="E67">
            <v>1931.49</v>
          </cell>
          <cell r="F67">
            <v>692.39</v>
          </cell>
          <cell r="G67">
            <v>34619.5</v>
          </cell>
          <cell r="H67">
            <v>551.29999999999995</v>
          </cell>
          <cell r="I67">
            <v>27565</v>
          </cell>
          <cell r="J67">
            <v>687.8</v>
          </cell>
          <cell r="K67">
            <v>34390</v>
          </cell>
          <cell r="L67">
            <v>96574.5</v>
          </cell>
          <cell r="M67">
            <v>1.1494000000000001E-2</v>
          </cell>
        </row>
        <row r="68">
          <cell r="A68" t="str">
            <v>3.3</v>
          </cell>
          <cell r="B68" t="str">
            <v xml:space="preserve">Esquadrias e Elementos Metálicos para Proteção de Reservatórios </v>
          </cell>
          <cell r="C68">
            <v>0</v>
          </cell>
          <cell r="D68">
            <v>0</v>
          </cell>
          <cell r="E68">
            <v>0</v>
          </cell>
          <cell r="F68">
            <v>0</v>
          </cell>
          <cell r="G68">
            <v>0</v>
          </cell>
          <cell r="H68">
            <v>0</v>
          </cell>
          <cell r="I68">
            <v>0</v>
          </cell>
          <cell r="J68">
            <v>0</v>
          </cell>
          <cell r="K68">
            <v>0</v>
          </cell>
          <cell r="L68">
            <v>0</v>
          </cell>
          <cell r="M68">
            <v>0</v>
          </cell>
        </row>
        <row r="69">
          <cell r="A69" t="str">
            <v>3.3.1</v>
          </cell>
          <cell r="B69" t="str">
            <v>Execução de porta para Reservatórios (Item 5.3.10 do MD)</v>
          </cell>
          <cell r="C69" t="str">
            <v>un</v>
          </cell>
          <cell r="D69">
            <v>100</v>
          </cell>
          <cell r="E69">
            <v>1766.6200000000001</v>
          </cell>
          <cell r="F69">
            <v>1720.6000000000001</v>
          </cell>
          <cell r="G69">
            <v>172060</v>
          </cell>
          <cell r="H69">
            <v>0</v>
          </cell>
          <cell r="I69">
            <v>0</v>
          </cell>
          <cell r="J69">
            <v>46.019999999999996</v>
          </cell>
          <cell r="K69">
            <v>4602</v>
          </cell>
          <cell r="L69">
            <v>176662</v>
          </cell>
          <cell r="M69">
            <v>2.1026E-2</v>
          </cell>
        </row>
        <row r="70">
          <cell r="A70" t="str">
            <v>3.3.2</v>
          </cell>
          <cell r="B70" t="str">
            <v>Recuperação de porta de Reservatórios (Item 5.3.11 do MD)</v>
          </cell>
          <cell r="C70" t="str">
            <v>m2</v>
          </cell>
          <cell r="D70">
            <v>20</v>
          </cell>
          <cell r="E70">
            <v>224.24</v>
          </cell>
          <cell r="F70">
            <v>56.6</v>
          </cell>
          <cell r="G70">
            <v>1132</v>
          </cell>
          <cell r="H70">
            <v>89.7</v>
          </cell>
          <cell r="I70">
            <v>1794</v>
          </cell>
          <cell r="J70">
            <v>77.94</v>
          </cell>
          <cell r="K70">
            <v>1558.8</v>
          </cell>
          <cell r="L70">
            <v>4484.8</v>
          </cell>
          <cell r="M70">
            <v>5.3399999999999997E-4</v>
          </cell>
        </row>
        <row r="71">
          <cell r="A71" t="str">
            <v>3.3.3</v>
          </cell>
          <cell r="B71" t="str">
            <v>Execução de escada tipo marinheiro com guarda corpo (Item 5.3.12 do MD)</v>
          </cell>
          <cell r="C71" t="str">
            <v>m</v>
          </cell>
          <cell r="D71">
            <v>40</v>
          </cell>
          <cell r="E71">
            <v>180.72000000000003</v>
          </cell>
          <cell r="F71">
            <v>79.510000000000005</v>
          </cell>
          <cell r="G71">
            <v>3180.4</v>
          </cell>
          <cell r="H71">
            <v>44.85</v>
          </cell>
          <cell r="I71">
            <v>1794</v>
          </cell>
          <cell r="J71">
            <v>56.36</v>
          </cell>
          <cell r="K71">
            <v>2254.4</v>
          </cell>
          <cell r="L71">
            <v>7228.7999999999993</v>
          </cell>
          <cell r="M71">
            <v>8.5999999999999998E-4</v>
          </cell>
        </row>
        <row r="72">
          <cell r="A72" t="str">
            <v>3.3.4</v>
          </cell>
          <cell r="B72" t="str">
            <v>Fornecimento e instalação de alçapão para reservatório elevado ou apoiado em alumínio (Item 5.3.13.1 do MD)</v>
          </cell>
          <cell r="C72" t="str">
            <v>m2</v>
          </cell>
          <cell r="D72">
            <v>40</v>
          </cell>
          <cell r="E72">
            <v>355.57000000000005</v>
          </cell>
          <cell r="F72">
            <v>243.90000000000003</v>
          </cell>
          <cell r="G72">
            <v>9756</v>
          </cell>
          <cell r="H72">
            <v>22.43</v>
          </cell>
          <cell r="I72">
            <v>897.2</v>
          </cell>
          <cell r="J72">
            <v>89.24</v>
          </cell>
          <cell r="K72">
            <v>3569.6</v>
          </cell>
          <cell r="L72">
            <v>14222.800000000001</v>
          </cell>
          <cell r="M72">
            <v>1.6930000000000001E-3</v>
          </cell>
        </row>
        <row r="73">
          <cell r="A73" t="str">
            <v>3.3.5</v>
          </cell>
          <cell r="B73" t="str">
            <v>Fornecimento e instalação de alçapão para reservatório elevado ou apoiado ferro galvanizado (Item 5.3.13.2 do MD)</v>
          </cell>
          <cell r="C73" t="str">
            <v>m2</v>
          </cell>
          <cell r="D73">
            <v>40</v>
          </cell>
          <cell r="E73">
            <v>210.76</v>
          </cell>
          <cell r="F73">
            <v>99.090000000000018</v>
          </cell>
          <cell r="G73">
            <v>3963.6</v>
          </cell>
          <cell r="H73">
            <v>22.43</v>
          </cell>
          <cell r="I73">
            <v>897.2</v>
          </cell>
          <cell r="J73">
            <v>89.24</v>
          </cell>
          <cell r="K73">
            <v>3569.6</v>
          </cell>
          <cell r="L73">
            <v>8430.4</v>
          </cell>
          <cell r="M73">
            <v>1.003E-3</v>
          </cell>
        </row>
        <row r="74">
          <cell r="A74" t="str">
            <v>3.3.6</v>
          </cell>
          <cell r="B74" t="str">
            <v>Grade externa de proteção (Item 5.3.15 do MD)</v>
          </cell>
          <cell r="C74" t="str">
            <v>m2</v>
          </cell>
          <cell r="D74">
            <v>50</v>
          </cell>
          <cell r="E74">
            <v>279.01</v>
          </cell>
          <cell r="F74">
            <v>98.55</v>
          </cell>
          <cell r="G74">
            <v>4927.5</v>
          </cell>
          <cell r="H74">
            <v>89.7</v>
          </cell>
          <cell r="I74">
            <v>4485</v>
          </cell>
          <cell r="J74">
            <v>90.759999999999991</v>
          </cell>
          <cell r="K74">
            <v>4538</v>
          </cell>
          <cell r="L74">
            <v>13950.5</v>
          </cell>
          <cell r="M74">
            <v>1.66E-3</v>
          </cell>
        </row>
        <row r="75">
          <cell r="A75" t="str">
            <v>3.3.7</v>
          </cell>
          <cell r="B75" t="str">
            <v>Tela de proteção para caixilhos (Item 5.3.16)</v>
          </cell>
          <cell r="C75" t="str">
            <v>m2</v>
          </cell>
          <cell r="D75">
            <v>40</v>
          </cell>
          <cell r="E75">
            <v>173.06</v>
          </cell>
          <cell r="F75">
            <v>116.02</v>
          </cell>
          <cell r="G75">
            <v>4640.8</v>
          </cell>
          <cell r="H75">
            <v>0</v>
          </cell>
          <cell r="I75">
            <v>0</v>
          </cell>
          <cell r="J75">
            <v>57.040000000000006</v>
          </cell>
          <cell r="K75">
            <v>2281.6</v>
          </cell>
          <cell r="L75">
            <v>6922.4</v>
          </cell>
          <cell r="M75">
            <v>8.2399999999999997E-4</v>
          </cell>
        </row>
        <row r="76">
          <cell r="A76" t="str">
            <v>3.3.8</v>
          </cell>
          <cell r="B76" t="str">
            <v>Alçapão de acesso (Item 5.3.14 do MD)</v>
          </cell>
          <cell r="C76" t="str">
            <v>m2</v>
          </cell>
          <cell r="D76">
            <v>20</v>
          </cell>
          <cell r="E76">
            <v>396.04999999999995</v>
          </cell>
          <cell r="F76">
            <v>270.28999999999996</v>
          </cell>
          <cell r="G76">
            <v>5405.8</v>
          </cell>
          <cell r="H76">
            <v>67.28</v>
          </cell>
          <cell r="I76">
            <v>1345.6</v>
          </cell>
          <cell r="J76">
            <v>58.48</v>
          </cell>
          <cell r="K76">
            <v>1169.5999999999999</v>
          </cell>
          <cell r="L76">
            <v>7921</v>
          </cell>
          <cell r="M76">
            <v>9.4300000000000004E-4</v>
          </cell>
        </row>
        <row r="77">
          <cell r="A77" t="str">
            <v>3.3.9</v>
          </cell>
          <cell r="B77" t="str">
            <v>Porta veneziana em alumínio, batente em alumínio, conforme memorial, inclusive ferragens (três dobradiças e dois ferrolhos com porta-cadeado) (Item 5.3.44 do MD)</v>
          </cell>
          <cell r="C77" t="str">
            <v>un</v>
          </cell>
          <cell r="D77">
            <v>20</v>
          </cell>
          <cell r="E77">
            <v>911.47</v>
          </cell>
          <cell r="F77">
            <v>846.12</v>
          </cell>
          <cell r="G77">
            <v>16922.400000000001</v>
          </cell>
          <cell r="H77">
            <v>0</v>
          </cell>
          <cell r="I77">
            <v>0</v>
          </cell>
          <cell r="J77">
            <v>65.349999999999994</v>
          </cell>
          <cell r="K77">
            <v>1307</v>
          </cell>
          <cell r="L77">
            <v>18229.400000000001</v>
          </cell>
          <cell r="M77">
            <v>2.1700000000000001E-3</v>
          </cell>
        </row>
        <row r="78">
          <cell r="A78" t="str">
            <v>3.3.10</v>
          </cell>
          <cell r="B78" t="str">
            <v>Porta abrir tipo veneziana em alumínio anodizado, batente em alumínio, conforme memorial, inclusive ferragens (três dobradiças e fechadura) (Item 5.3.45 do MD)</v>
          </cell>
          <cell r="C78" t="str">
            <v>m2</v>
          </cell>
          <cell r="D78">
            <v>120</v>
          </cell>
          <cell r="E78">
            <v>558.66</v>
          </cell>
          <cell r="F78">
            <v>495.85999999999996</v>
          </cell>
          <cell r="G78">
            <v>59503.199999999997</v>
          </cell>
          <cell r="H78">
            <v>0</v>
          </cell>
          <cell r="I78">
            <v>0</v>
          </cell>
          <cell r="J78">
            <v>62.8</v>
          </cell>
          <cell r="K78">
            <v>7536</v>
          </cell>
          <cell r="L78">
            <v>67039.199999999997</v>
          </cell>
          <cell r="M78">
            <v>7.979E-3</v>
          </cell>
        </row>
        <row r="79">
          <cell r="A79" t="str">
            <v>3.3.11</v>
          </cell>
          <cell r="B79" t="str">
            <v>Janela em alumínio anodizado tipo "maxim-ar"  com vidro temperado incolor e=6mm  (item 5.3.46 do MD)</v>
          </cell>
          <cell r="C79" t="str">
            <v>m2</v>
          </cell>
          <cell r="D79">
            <v>120</v>
          </cell>
          <cell r="E79">
            <v>750.24000000000012</v>
          </cell>
          <cell r="F79">
            <v>718.55000000000007</v>
          </cell>
          <cell r="G79">
            <v>86226</v>
          </cell>
          <cell r="H79">
            <v>0</v>
          </cell>
          <cell r="I79">
            <v>0</v>
          </cell>
          <cell r="J79">
            <v>31.69</v>
          </cell>
          <cell r="K79">
            <v>3802.8</v>
          </cell>
          <cell r="L79">
            <v>90028.800000000003</v>
          </cell>
          <cell r="M79">
            <v>1.0715000000000001E-2</v>
          </cell>
        </row>
        <row r="80">
          <cell r="A80" t="str">
            <v>3.3.12</v>
          </cell>
          <cell r="B80" t="str">
            <v xml:space="preserve">Instalação sem fornecimento de material de gradil com corrimão de fibra de vidro (conforme item 5.3.47 do MD) </v>
          </cell>
          <cell r="C80" t="str">
            <v>m</v>
          </cell>
          <cell r="D80">
            <v>2500</v>
          </cell>
          <cell r="E80">
            <v>29.450000000000003</v>
          </cell>
          <cell r="F80">
            <v>0</v>
          </cell>
          <cell r="G80">
            <v>0</v>
          </cell>
          <cell r="H80">
            <v>0</v>
          </cell>
          <cell r="I80">
            <v>0</v>
          </cell>
          <cell r="J80">
            <v>29.450000000000003</v>
          </cell>
          <cell r="K80">
            <v>73625</v>
          </cell>
          <cell r="L80">
            <v>73625</v>
          </cell>
          <cell r="M80">
            <v>8.763E-3</v>
          </cell>
        </row>
        <row r="81">
          <cell r="A81" t="str">
            <v>3.3.13</v>
          </cell>
          <cell r="B81" t="str">
            <v>Instalação com fornecimento de material de Veneziana PVC tipo COMOVENT (conforme item 5.3.48 do MD)</v>
          </cell>
          <cell r="C81" t="str">
            <v>m2</v>
          </cell>
          <cell r="D81">
            <v>350</v>
          </cell>
          <cell r="E81">
            <v>182.03</v>
          </cell>
          <cell r="F81">
            <v>0</v>
          </cell>
          <cell r="G81">
            <v>0</v>
          </cell>
          <cell r="H81">
            <v>182.03</v>
          </cell>
          <cell r="I81">
            <v>63710.5</v>
          </cell>
          <cell r="J81">
            <v>0</v>
          </cell>
          <cell r="K81">
            <v>0</v>
          </cell>
          <cell r="L81">
            <v>63710.5</v>
          </cell>
          <cell r="M81">
            <v>7.5830000000000003E-3</v>
          </cell>
        </row>
        <row r="82">
          <cell r="A82" t="str">
            <v>3.4</v>
          </cell>
          <cell r="B82" t="str">
            <v>Placas de identificação</v>
          </cell>
          <cell r="C82">
            <v>0</v>
          </cell>
          <cell r="D82">
            <v>0</v>
          </cell>
          <cell r="E82">
            <v>0</v>
          </cell>
          <cell r="F82">
            <v>0</v>
          </cell>
          <cell r="G82">
            <v>0</v>
          </cell>
          <cell r="H82">
            <v>0</v>
          </cell>
          <cell r="I82">
            <v>0</v>
          </cell>
          <cell r="J82">
            <v>0</v>
          </cell>
          <cell r="K82">
            <v>0</v>
          </cell>
          <cell r="L82">
            <v>0</v>
          </cell>
          <cell r="M82">
            <v>0</v>
          </cell>
        </row>
        <row r="83">
          <cell r="A83" t="str">
            <v>3.4.1</v>
          </cell>
          <cell r="B83" t="str">
            <v>Fornecimento  de placa de identificação (Item 5.3.17 do MD)</v>
          </cell>
          <cell r="C83" t="str">
            <v>un</v>
          </cell>
          <cell r="D83">
            <v>30</v>
          </cell>
          <cell r="E83">
            <v>196.65</v>
          </cell>
          <cell r="F83">
            <v>196.65</v>
          </cell>
          <cell r="G83">
            <v>5899.5</v>
          </cell>
          <cell r="H83">
            <v>0</v>
          </cell>
          <cell r="I83">
            <v>0</v>
          </cell>
          <cell r="J83">
            <v>0</v>
          </cell>
          <cell r="K83">
            <v>0</v>
          </cell>
          <cell r="L83">
            <v>5899.5</v>
          </cell>
          <cell r="M83">
            <v>7.0200000000000004E-4</v>
          </cell>
        </row>
        <row r="84">
          <cell r="A84" t="str">
            <v>3.4.2</v>
          </cell>
          <cell r="B84" t="str">
            <v>Base de fixação de placa de identificação  (Item 5.3.17 do MD)</v>
          </cell>
          <cell r="C84" t="str">
            <v>un</v>
          </cell>
          <cell r="D84">
            <v>30</v>
          </cell>
          <cell r="E84">
            <v>60.669999999999995</v>
          </cell>
          <cell r="F84">
            <v>8.9499999999999993</v>
          </cell>
          <cell r="G84">
            <v>268.5</v>
          </cell>
          <cell r="H84">
            <v>18.849999999999998</v>
          </cell>
          <cell r="I84">
            <v>565.5</v>
          </cell>
          <cell r="J84">
            <v>32.869999999999997</v>
          </cell>
          <cell r="K84">
            <v>986.1</v>
          </cell>
          <cell r="L84">
            <v>1820.1</v>
          </cell>
          <cell r="M84">
            <v>2.1699999999999999E-4</v>
          </cell>
        </row>
        <row r="85">
          <cell r="A85" t="str">
            <v>3.4.3</v>
          </cell>
          <cell r="B85" t="str">
            <v>Fixação de placa de identificação (Item 5.3.17 do MD)</v>
          </cell>
          <cell r="C85" t="str">
            <v>un</v>
          </cell>
          <cell r="D85">
            <v>60</v>
          </cell>
          <cell r="E85">
            <v>18.95</v>
          </cell>
          <cell r="F85">
            <v>3.4699999999999998</v>
          </cell>
          <cell r="G85">
            <v>208.2</v>
          </cell>
          <cell r="H85">
            <v>0</v>
          </cell>
          <cell r="I85">
            <v>0</v>
          </cell>
          <cell r="J85">
            <v>15.479999999999999</v>
          </cell>
          <cell r="K85">
            <v>928.8</v>
          </cell>
          <cell r="L85">
            <v>1137</v>
          </cell>
          <cell r="M85">
            <v>1.35E-4</v>
          </cell>
        </row>
        <row r="86">
          <cell r="A86" t="str">
            <v>3.5</v>
          </cell>
          <cell r="B86" t="str">
            <v>Alvenarias</v>
          </cell>
          <cell r="C86">
            <v>0</v>
          </cell>
          <cell r="D86">
            <v>0</v>
          </cell>
          <cell r="E86">
            <v>0</v>
          </cell>
          <cell r="F86">
            <v>0</v>
          </cell>
          <cell r="G86">
            <v>0</v>
          </cell>
          <cell r="H86">
            <v>0</v>
          </cell>
          <cell r="I86">
            <v>0</v>
          </cell>
          <cell r="J86">
            <v>0</v>
          </cell>
          <cell r="K86">
            <v>0</v>
          </cell>
          <cell r="L86">
            <v>0</v>
          </cell>
          <cell r="M86">
            <v>0</v>
          </cell>
        </row>
        <row r="87">
          <cell r="A87" t="str">
            <v>3.5.1</v>
          </cell>
          <cell r="B87" t="str">
            <v>Recuperação e execução de mureta (Item 5.3.18 do MD)</v>
          </cell>
          <cell r="C87" t="str">
            <v>m</v>
          </cell>
          <cell r="D87">
            <v>30</v>
          </cell>
          <cell r="E87">
            <v>24.970000000000006</v>
          </cell>
          <cell r="F87">
            <v>7.3800000000000008</v>
          </cell>
          <cell r="G87">
            <v>221.4</v>
          </cell>
          <cell r="H87">
            <v>0</v>
          </cell>
          <cell r="I87">
            <v>0</v>
          </cell>
          <cell r="J87">
            <v>17.590000000000003</v>
          </cell>
          <cell r="K87">
            <v>527.70000000000005</v>
          </cell>
          <cell r="L87">
            <v>749.1</v>
          </cell>
          <cell r="M87">
            <v>8.8999999999999995E-5</v>
          </cell>
        </row>
        <row r="88">
          <cell r="A88" t="str">
            <v>3.5.2</v>
          </cell>
          <cell r="B88" t="str">
            <v>Alvenaria de tijolo pó de mico 1/2 vez (Item 5.3.19.1 do MD)</v>
          </cell>
          <cell r="C88" t="str">
            <v>m2</v>
          </cell>
          <cell r="D88">
            <v>100</v>
          </cell>
          <cell r="E88">
            <v>92.23</v>
          </cell>
          <cell r="F88">
            <v>45.03</v>
          </cell>
          <cell r="G88">
            <v>4503</v>
          </cell>
          <cell r="H88">
            <v>0</v>
          </cell>
          <cell r="I88">
            <v>0</v>
          </cell>
          <cell r="J88">
            <v>47.2</v>
          </cell>
          <cell r="K88">
            <v>4720</v>
          </cell>
          <cell r="L88">
            <v>9223</v>
          </cell>
          <cell r="M88">
            <v>1.098E-3</v>
          </cell>
        </row>
        <row r="89">
          <cell r="A89" t="str">
            <v>3.5.3</v>
          </cell>
          <cell r="B89" t="str">
            <v>Alvenaria de tijolo pó de mico 1 vez (Item 5.3.19.1 do MD)</v>
          </cell>
          <cell r="C89" t="str">
            <v>m2</v>
          </cell>
          <cell r="D89">
            <v>100</v>
          </cell>
          <cell r="E89">
            <v>149.63</v>
          </cell>
          <cell r="F89">
            <v>77.699999999999989</v>
          </cell>
          <cell r="G89">
            <v>7770</v>
          </cell>
          <cell r="H89">
            <v>0</v>
          </cell>
          <cell r="I89">
            <v>0</v>
          </cell>
          <cell r="J89">
            <v>71.929999999999993</v>
          </cell>
          <cell r="K89">
            <v>7193</v>
          </cell>
          <cell r="L89">
            <v>14963</v>
          </cell>
          <cell r="M89">
            <v>1.781E-3</v>
          </cell>
        </row>
        <row r="90">
          <cell r="A90" t="str">
            <v>3.5.4</v>
          </cell>
          <cell r="B90" t="str">
            <v>Alvenaria em bloco de concreto 9 x 19 x 39 cm (Item 5.3.19.2 do MD)</v>
          </cell>
          <cell r="C90" t="str">
            <v>m2</v>
          </cell>
          <cell r="D90">
            <v>100</v>
          </cell>
          <cell r="E90">
            <v>48.67</v>
          </cell>
          <cell r="F90">
            <v>27.39</v>
          </cell>
          <cell r="G90">
            <v>2739</v>
          </cell>
          <cell r="H90">
            <v>0</v>
          </cell>
          <cell r="I90">
            <v>0</v>
          </cell>
          <cell r="J90">
            <v>21.28</v>
          </cell>
          <cell r="K90">
            <v>2128</v>
          </cell>
          <cell r="L90">
            <v>4867</v>
          </cell>
          <cell r="M90">
            <v>5.7899999999999998E-4</v>
          </cell>
        </row>
        <row r="91">
          <cell r="A91" t="str">
            <v>3.5.5</v>
          </cell>
          <cell r="B91" t="str">
            <v>Alvenaria em bloco de concreto 14 x 19 x 39 cm (Item 5.3.19.2 do MD)</v>
          </cell>
          <cell r="C91" t="str">
            <v>m2</v>
          </cell>
          <cell r="D91">
            <v>170</v>
          </cell>
          <cell r="E91">
            <v>56.48</v>
          </cell>
          <cell r="F91">
            <v>33.459999999999994</v>
          </cell>
          <cell r="G91">
            <v>5688.2</v>
          </cell>
          <cell r="H91">
            <v>0</v>
          </cell>
          <cell r="I91">
            <v>0</v>
          </cell>
          <cell r="J91">
            <v>23.020000000000003</v>
          </cell>
          <cell r="K91">
            <v>3913.4</v>
          </cell>
          <cell r="L91">
            <v>9601.6</v>
          </cell>
          <cell r="M91">
            <v>1.1429999999999999E-3</v>
          </cell>
        </row>
        <row r="92">
          <cell r="A92" t="str">
            <v>3.5.6</v>
          </cell>
          <cell r="B92" t="str">
            <v>Alvenaria em bloco de concreto 19 x 19 x 39 cm (Item 5.3.19.2 do MD)</v>
          </cell>
          <cell r="C92" t="str">
            <v>m2</v>
          </cell>
          <cell r="D92">
            <v>500</v>
          </cell>
          <cell r="E92">
            <v>65.09</v>
          </cell>
          <cell r="F92">
            <v>41.099999999999994</v>
          </cell>
          <cell r="G92">
            <v>20550</v>
          </cell>
          <cell r="H92">
            <v>0</v>
          </cell>
          <cell r="I92">
            <v>0</v>
          </cell>
          <cell r="J92">
            <v>23.990000000000002</v>
          </cell>
          <cell r="K92">
            <v>11995</v>
          </cell>
          <cell r="L92">
            <v>32545</v>
          </cell>
          <cell r="M92">
            <v>3.8730000000000001E-3</v>
          </cell>
        </row>
        <row r="93">
          <cell r="A93" t="str">
            <v>3.5.7</v>
          </cell>
          <cell r="B93" t="str">
            <v>Alvenaria de vedação com bloco de concreto, 9 x 19 x 39 cm, esp. da parede 9cm, juntas de 10 mm com argamassa de  cimento, cal e areia traço 1:0,5:8, incluindo ferragens e grout (Item 5.3.19.2 do MD)</v>
          </cell>
          <cell r="C93" t="str">
            <v>m2</v>
          </cell>
          <cell r="D93">
            <v>190</v>
          </cell>
          <cell r="E93">
            <v>55.030000000000008</v>
          </cell>
          <cell r="F93">
            <v>31.350000000000005</v>
          </cell>
          <cell r="G93">
            <v>5956.5</v>
          </cell>
          <cell r="H93">
            <v>0</v>
          </cell>
          <cell r="I93">
            <v>0</v>
          </cell>
          <cell r="J93">
            <v>23.680000000000003</v>
          </cell>
          <cell r="K93">
            <v>4499.2</v>
          </cell>
          <cell r="L93">
            <v>10455.700000000001</v>
          </cell>
          <cell r="M93">
            <v>1.2440000000000001E-3</v>
          </cell>
        </row>
        <row r="94">
          <cell r="A94" t="str">
            <v>3.5.8</v>
          </cell>
          <cell r="B94" t="str">
            <v>Alvenaria com elemento vazado de concreto (cobogó), espessura da parede 9cm (Item 5.3.19.2 do MD)</v>
          </cell>
          <cell r="C94" t="str">
            <v>m2</v>
          </cell>
          <cell r="D94">
            <v>20</v>
          </cell>
          <cell r="E94">
            <v>210.31</v>
          </cell>
          <cell r="F94">
            <v>177.44</v>
          </cell>
          <cell r="G94">
            <v>3548.8</v>
          </cell>
          <cell r="H94">
            <v>0</v>
          </cell>
          <cell r="I94">
            <v>0</v>
          </cell>
          <cell r="J94">
            <v>32.869999999999997</v>
          </cell>
          <cell r="K94">
            <v>657.4</v>
          </cell>
          <cell r="L94">
            <v>4206.2</v>
          </cell>
          <cell r="M94">
            <v>5.0100000000000003E-4</v>
          </cell>
        </row>
        <row r="95">
          <cell r="A95" t="str">
            <v>3.5.9</v>
          </cell>
          <cell r="B95" t="str">
            <v>Alvenaria de tijolo cerâmico 9 x 19 x 19 cm 1/2 vez (Item 5.3.19.3 do MD)</v>
          </cell>
          <cell r="C95" t="str">
            <v>m2</v>
          </cell>
          <cell r="D95">
            <v>30</v>
          </cell>
          <cell r="E95">
            <v>58.26</v>
          </cell>
          <cell r="F95">
            <v>25.39</v>
          </cell>
          <cell r="G95">
            <v>761.7</v>
          </cell>
          <cell r="H95">
            <v>0</v>
          </cell>
          <cell r="I95">
            <v>0</v>
          </cell>
          <cell r="J95">
            <v>32.869999999999997</v>
          </cell>
          <cell r="K95">
            <v>986.1</v>
          </cell>
          <cell r="L95">
            <v>1747.8000000000002</v>
          </cell>
          <cell r="M95">
            <v>2.0799999999999999E-4</v>
          </cell>
        </row>
        <row r="96">
          <cell r="A96" t="str">
            <v>3.5.10</v>
          </cell>
          <cell r="B96" t="str">
            <v>Alvenaria de tijolo cerâmico 9 x 19 x 19 cm  1 vez (Item 5.3.19.3 do MD)</v>
          </cell>
          <cell r="C96" t="str">
            <v>m2</v>
          </cell>
          <cell r="D96">
            <v>30</v>
          </cell>
          <cell r="E96">
            <v>99.53</v>
          </cell>
          <cell r="F96">
            <v>56.79</v>
          </cell>
          <cell r="G96">
            <v>1703.7</v>
          </cell>
          <cell r="H96">
            <v>0</v>
          </cell>
          <cell r="I96">
            <v>0</v>
          </cell>
          <cell r="J96">
            <v>42.74</v>
          </cell>
          <cell r="K96">
            <v>1282.2</v>
          </cell>
          <cell r="L96">
            <v>2985.9</v>
          </cell>
          <cell r="M96">
            <v>3.5500000000000001E-4</v>
          </cell>
        </row>
        <row r="97">
          <cell r="A97" t="str">
            <v>3.5.11</v>
          </cell>
          <cell r="B97" t="str">
            <v>Caixa de inspeção 0,50x0,75x0,50m em alvenaria de 1/2 tijolo, com tampa de concreto pré-moldada removível com requadro metálico e fundo em brita. (Item 5.3.49 do MD)</v>
          </cell>
          <cell r="C97" t="str">
            <v>un</v>
          </cell>
          <cell r="D97">
            <v>200</v>
          </cell>
          <cell r="E97">
            <v>211.67000000000002</v>
          </cell>
          <cell r="F97">
            <v>63.749999999999993</v>
          </cell>
          <cell r="G97">
            <v>12750</v>
          </cell>
          <cell r="H97">
            <v>0</v>
          </cell>
          <cell r="I97">
            <v>0</v>
          </cell>
          <cell r="J97">
            <v>147.92000000000002</v>
          </cell>
          <cell r="K97">
            <v>29584</v>
          </cell>
          <cell r="L97">
            <v>42334</v>
          </cell>
          <cell r="M97">
            <v>5.0379999999999999E-3</v>
          </cell>
        </row>
        <row r="98">
          <cell r="A98" t="str">
            <v>3.6</v>
          </cell>
          <cell r="B98" t="str">
            <v>Movimento de terra</v>
          </cell>
          <cell r="C98">
            <v>0</v>
          </cell>
          <cell r="D98">
            <v>0</v>
          </cell>
          <cell r="E98">
            <v>0</v>
          </cell>
          <cell r="F98">
            <v>0</v>
          </cell>
          <cell r="G98">
            <v>0</v>
          </cell>
          <cell r="H98">
            <v>0</v>
          </cell>
          <cell r="I98">
            <v>0</v>
          </cell>
          <cell r="J98">
            <v>0</v>
          </cell>
          <cell r="K98">
            <v>0</v>
          </cell>
          <cell r="L98">
            <v>0</v>
          </cell>
          <cell r="M98">
            <v>0</v>
          </cell>
        </row>
        <row r="99">
          <cell r="A99" t="str">
            <v>3.6.1</v>
          </cell>
          <cell r="B99" t="str">
            <v>Fornecimento de solo de 1º categoria - aterro (Item 5.3.20 do MD)</v>
          </cell>
          <cell r="C99" t="str">
            <v>m3</v>
          </cell>
          <cell r="D99">
            <v>50</v>
          </cell>
          <cell r="E99">
            <v>15.73</v>
          </cell>
          <cell r="F99">
            <v>0</v>
          </cell>
          <cell r="G99">
            <v>0</v>
          </cell>
          <cell r="H99">
            <v>15.73</v>
          </cell>
          <cell r="I99">
            <v>786.5</v>
          </cell>
          <cell r="J99">
            <v>0</v>
          </cell>
          <cell r="K99">
            <v>0</v>
          </cell>
          <cell r="L99">
            <v>786.5</v>
          </cell>
          <cell r="M99">
            <v>9.3999999999999994E-5</v>
          </cell>
        </row>
        <row r="100">
          <cell r="A100" t="str">
            <v>3.6.2</v>
          </cell>
          <cell r="B100" t="str">
            <v>Apiloamento manual de solo (Item 5.3.21 do MD)</v>
          </cell>
          <cell r="C100" t="str">
            <v>m2</v>
          </cell>
          <cell r="D100">
            <v>110</v>
          </cell>
          <cell r="E100">
            <v>5.0999999999999996</v>
          </cell>
          <cell r="F100">
            <v>0</v>
          </cell>
          <cell r="G100">
            <v>0</v>
          </cell>
          <cell r="H100">
            <v>0</v>
          </cell>
          <cell r="I100">
            <v>0</v>
          </cell>
          <cell r="J100">
            <v>5.0999999999999996</v>
          </cell>
          <cell r="K100">
            <v>561</v>
          </cell>
          <cell r="L100">
            <v>561</v>
          </cell>
          <cell r="M100">
            <v>6.7000000000000002E-5</v>
          </cell>
        </row>
        <row r="101">
          <cell r="A101" t="str">
            <v>3.6.3</v>
          </cell>
          <cell r="B101" t="str">
            <v>Compactação mecanizada de solo, sem controle tecnológico (Item 5.3.22 do MD)</v>
          </cell>
          <cell r="C101" t="str">
            <v>m3</v>
          </cell>
          <cell r="D101">
            <v>320</v>
          </cell>
          <cell r="E101">
            <v>19.580000000000002</v>
          </cell>
          <cell r="F101">
            <v>0</v>
          </cell>
          <cell r="G101">
            <v>0</v>
          </cell>
          <cell r="H101">
            <v>5.28</v>
          </cell>
          <cell r="I101">
            <v>1689.6</v>
          </cell>
          <cell r="J101">
            <v>14.3</v>
          </cell>
          <cell r="K101">
            <v>4576</v>
          </cell>
          <cell r="L101">
            <v>6265.6</v>
          </cell>
          <cell r="M101">
            <v>7.4600000000000003E-4</v>
          </cell>
        </row>
        <row r="102">
          <cell r="A102" t="str">
            <v>3.6.4</v>
          </cell>
          <cell r="B102" t="str">
            <v>Estaca a trado (broca) D=25cm c/ concreto Fck=15MPa (Item 5.3.23 do MD)</v>
          </cell>
          <cell r="C102" t="str">
            <v>m</v>
          </cell>
          <cell r="D102">
            <v>350</v>
          </cell>
          <cell r="E102">
            <v>61.36</v>
          </cell>
          <cell r="F102">
            <v>23.09</v>
          </cell>
          <cell r="G102">
            <v>8081.5</v>
          </cell>
          <cell r="H102">
            <v>0</v>
          </cell>
          <cell r="I102">
            <v>0</v>
          </cell>
          <cell r="J102">
            <v>38.270000000000003</v>
          </cell>
          <cell r="K102">
            <v>13394.5</v>
          </cell>
          <cell r="L102">
            <v>21476</v>
          </cell>
          <cell r="M102">
            <v>2.5560000000000001E-3</v>
          </cell>
        </row>
        <row r="103">
          <cell r="A103" t="str">
            <v>3.6.5</v>
          </cell>
          <cell r="B103" t="str">
            <v>Lastro de areia lavada tipo média (Item 5.3.24 do MD)</v>
          </cell>
          <cell r="C103" t="str">
            <v>m3</v>
          </cell>
          <cell r="D103">
            <v>330</v>
          </cell>
          <cell r="E103">
            <v>110.86</v>
          </cell>
          <cell r="F103">
            <v>79.91</v>
          </cell>
          <cell r="G103">
            <v>26370.3</v>
          </cell>
          <cell r="H103">
            <v>0</v>
          </cell>
          <cell r="I103">
            <v>0</v>
          </cell>
          <cell r="J103">
            <v>30.95</v>
          </cell>
          <cell r="K103">
            <v>10213.5</v>
          </cell>
          <cell r="L103">
            <v>36583.800000000003</v>
          </cell>
          <cell r="M103">
            <v>4.3540000000000002E-3</v>
          </cell>
        </row>
        <row r="104">
          <cell r="A104" t="str">
            <v>3.6.6</v>
          </cell>
          <cell r="B104" t="str">
            <v>Lastro de brita 1 apiloado (Item 5.3.25 do MD)</v>
          </cell>
          <cell r="C104" t="str">
            <v>m3</v>
          </cell>
          <cell r="D104">
            <v>330</v>
          </cell>
          <cell r="E104">
            <v>101.49000000000001</v>
          </cell>
          <cell r="F104">
            <v>70.540000000000006</v>
          </cell>
          <cell r="G104">
            <v>23278.2</v>
          </cell>
          <cell r="H104">
            <v>0</v>
          </cell>
          <cell r="I104">
            <v>0</v>
          </cell>
          <cell r="J104">
            <v>30.95</v>
          </cell>
          <cell r="K104">
            <v>10213.5</v>
          </cell>
          <cell r="L104">
            <v>33491.699999999997</v>
          </cell>
          <cell r="M104">
            <v>3.986E-3</v>
          </cell>
        </row>
        <row r="105">
          <cell r="A105" t="str">
            <v>3.6.7</v>
          </cell>
          <cell r="B105" t="str">
            <v>Transporte de terra por caminhão basculante, à partir de 1 Km (Item 5.3.26 do MD)</v>
          </cell>
          <cell r="C105" t="str">
            <v>m3xkm</v>
          </cell>
          <cell r="D105">
            <v>1400</v>
          </cell>
          <cell r="E105">
            <v>1.77</v>
          </cell>
          <cell r="F105">
            <v>0</v>
          </cell>
          <cell r="G105">
            <v>0</v>
          </cell>
          <cell r="H105">
            <v>1.77</v>
          </cell>
          <cell r="I105">
            <v>2478</v>
          </cell>
          <cell r="J105">
            <v>0</v>
          </cell>
          <cell r="K105">
            <v>0</v>
          </cell>
          <cell r="L105">
            <v>2478</v>
          </cell>
          <cell r="M105">
            <v>2.9500000000000001E-4</v>
          </cell>
        </row>
        <row r="106">
          <cell r="A106" t="str">
            <v>3.7</v>
          </cell>
          <cell r="B106" t="str">
            <v>Concreto</v>
          </cell>
          <cell r="C106">
            <v>0</v>
          </cell>
          <cell r="D106">
            <v>0</v>
          </cell>
          <cell r="E106">
            <v>0</v>
          </cell>
          <cell r="F106">
            <v>0</v>
          </cell>
          <cell r="G106">
            <v>0</v>
          </cell>
          <cell r="H106">
            <v>0</v>
          </cell>
          <cell r="I106">
            <v>0</v>
          </cell>
          <cell r="J106">
            <v>0</v>
          </cell>
          <cell r="K106">
            <v>0</v>
          </cell>
          <cell r="L106">
            <v>0</v>
          </cell>
          <cell r="M106">
            <v>0</v>
          </cell>
        </row>
        <row r="107">
          <cell r="A107" t="str">
            <v>3.7.1</v>
          </cell>
          <cell r="B107" t="str">
            <v>Concreto estrutural usinado, Fck=15 MPa (Item 5.3.27 do MD)</v>
          </cell>
          <cell r="C107" t="str">
            <v>m3</v>
          </cell>
          <cell r="D107">
            <v>60</v>
          </cell>
          <cell r="E107">
            <v>443.26</v>
          </cell>
          <cell r="F107">
            <v>313.43</v>
          </cell>
          <cell r="G107">
            <v>18805.8</v>
          </cell>
          <cell r="H107">
            <v>0.26</v>
          </cell>
          <cell r="I107">
            <v>15.6</v>
          </cell>
          <cell r="J107">
            <v>129.57000000000002</v>
          </cell>
          <cell r="K107">
            <v>7774.2</v>
          </cell>
          <cell r="L107">
            <v>26595.599999999999</v>
          </cell>
          <cell r="M107">
            <v>3.1649999999999998E-3</v>
          </cell>
        </row>
        <row r="108">
          <cell r="A108" t="str">
            <v>3.7.2</v>
          </cell>
          <cell r="B108" t="str">
            <v>Concreto estrutural usinado, Fck=20 MPa (Item 5.3.27 do MD)</v>
          </cell>
          <cell r="C108" t="str">
            <v>m3</v>
          </cell>
          <cell r="D108">
            <v>110</v>
          </cell>
          <cell r="E108">
            <v>453.90999999999997</v>
          </cell>
          <cell r="F108">
            <v>324.08</v>
          </cell>
          <cell r="G108">
            <v>35648.800000000003</v>
          </cell>
          <cell r="H108">
            <v>0.26</v>
          </cell>
          <cell r="I108">
            <v>28.6</v>
          </cell>
          <cell r="J108">
            <v>129.57000000000002</v>
          </cell>
          <cell r="K108">
            <v>14252.7</v>
          </cell>
          <cell r="L108">
            <v>49930.100000000006</v>
          </cell>
          <cell r="M108">
            <v>5.9420000000000002E-3</v>
          </cell>
        </row>
        <row r="109">
          <cell r="A109" t="str">
            <v>3.7.3</v>
          </cell>
          <cell r="B109" t="str">
            <v>Concreto estrutural usinado, Fck=25 MPa (Item 5.3.27 do MD)</v>
          </cell>
          <cell r="C109" t="str">
            <v>m3</v>
          </cell>
          <cell r="D109">
            <v>50</v>
          </cell>
          <cell r="E109">
            <v>502.21000000000004</v>
          </cell>
          <cell r="F109">
            <v>354.61</v>
          </cell>
          <cell r="G109">
            <v>17730.5</v>
          </cell>
          <cell r="H109">
            <v>2.56</v>
          </cell>
          <cell r="I109">
            <v>128</v>
          </cell>
          <cell r="J109">
            <v>145.04</v>
          </cell>
          <cell r="K109">
            <v>7252</v>
          </cell>
          <cell r="L109">
            <v>25110.5</v>
          </cell>
          <cell r="M109">
            <v>2.9889999999999999E-3</v>
          </cell>
        </row>
        <row r="110">
          <cell r="A110" t="str">
            <v>3.7.4</v>
          </cell>
          <cell r="B110" t="str">
            <v>Envelopamento de tubulação (Item 5.3.28 do MD)</v>
          </cell>
          <cell r="C110" t="str">
            <v>m</v>
          </cell>
          <cell r="D110">
            <v>50</v>
          </cell>
          <cell r="E110">
            <v>29.36</v>
          </cell>
          <cell r="F110">
            <v>13.73</v>
          </cell>
          <cell r="G110">
            <v>686.5</v>
          </cell>
          <cell r="H110">
            <v>0</v>
          </cell>
          <cell r="I110">
            <v>0</v>
          </cell>
          <cell r="J110">
            <v>15.629999999999999</v>
          </cell>
          <cell r="K110">
            <v>781.5</v>
          </cell>
          <cell r="L110">
            <v>1468</v>
          </cell>
          <cell r="M110">
            <v>1.75E-4</v>
          </cell>
        </row>
        <row r="111">
          <cell r="A111" t="str">
            <v>3.7.5</v>
          </cell>
          <cell r="B111" t="str">
            <v>Execução de calçada em concreto 1:3:5 em concreto (Fck=12 MPa) preparo mecânico E=7 cm (Item 5.3.29 do MD)</v>
          </cell>
          <cell r="C111" t="str">
            <v>m2</v>
          </cell>
          <cell r="D111">
            <v>1000</v>
          </cell>
          <cell r="E111">
            <v>45.28</v>
          </cell>
          <cell r="F111">
            <v>24.200000000000003</v>
          </cell>
          <cell r="G111">
            <v>24200</v>
          </cell>
          <cell r="H111">
            <v>1.98</v>
          </cell>
          <cell r="I111">
            <v>1980</v>
          </cell>
          <cell r="J111">
            <v>19.100000000000001</v>
          </cell>
          <cell r="K111">
            <v>19100</v>
          </cell>
          <cell r="L111">
            <v>45280</v>
          </cell>
          <cell r="M111">
            <v>5.3889999999999997E-3</v>
          </cell>
        </row>
        <row r="112">
          <cell r="A112" t="str">
            <v>3.7.6</v>
          </cell>
          <cell r="B112" t="str">
            <v>Grout (preparo e lançamento de argamassa de cimento, areia e pedrisco 1:3:2) (Item 5.3.30 do MD)</v>
          </cell>
          <cell r="C112" t="str">
            <v>m3</v>
          </cell>
          <cell r="D112">
            <v>60</v>
          </cell>
          <cell r="E112">
            <v>509.84000000000003</v>
          </cell>
          <cell r="F112">
            <v>266.87</v>
          </cell>
          <cell r="G112">
            <v>16012.2</v>
          </cell>
          <cell r="H112">
            <v>1.23</v>
          </cell>
          <cell r="I112">
            <v>73.8</v>
          </cell>
          <cell r="J112">
            <v>241.73999999999998</v>
          </cell>
          <cell r="K112">
            <v>14504.4</v>
          </cell>
          <cell r="L112">
            <v>30590.400000000001</v>
          </cell>
          <cell r="M112">
            <v>3.6410000000000001E-3</v>
          </cell>
        </row>
        <row r="113">
          <cell r="A113" t="str">
            <v>3.7.7</v>
          </cell>
          <cell r="B113" t="str">
            <v>Lastro de concreto traço 1:2,5:5 - espessura 10 cm, preparo mecânico (Item 5.3.31 do MD)</v>
          </cell>
          <cell r="C113" t="str">
            <v>m2</v>
          </cell>
          <cell r="D113">
            <v>100</v>
          </cell>
          <cell r="E113">
            <v>51.91</v>
          </cell>
          <cell r="F113">
            <v>30.83</v>
          </cell>
          <cell r="G113">
            <v>3083</v>
          </cell>
          <cell r="H113">
            <v>1.98</v>
          </cell>
          <cell r="I113">
            <v>198</v>
          </cell>
          <cell r="J113">
            <v>19.100000000000001</v>
          </cell>
          <cell r="K113">
            <v>1910</v>
          </cell>
          <cell r="L113">
            <v>5191</v>
          </cell>
          <cell r="M113">
            <v>6.1799999999999995E-4</v>
          </cell>
        </row>
        <row r="114">
          <cell r="A114" t="str">
            <v>3.8</v>
          </cell>
          <cell r="B114" t="str">
            <v>Formas e Armaduras</v>
          </cell>
          <cell r="C114">
            <v>0</v>
          </cell>
          <cell r="D114">
            <v>0</v>
          </cell>
          <cell r="E114">
            <v>0</v>
          </cell>
          <cell r="F114">
            <v>0</v>
          </cell>
          <cell r="G114">
            <v>0</v>
          </cell>
          <cell r="H114">
            <v>0</v>
          </cell>
          <cell r="I114">
            <v>0</v>
          </cell>
          <cell r="J114">
            <v>0</v>
          </cell>
          <cell r="K114">
            <v>0</v>
          </cell>
          <cell r="L114">
            <v>0</v>
          </cell>
          <cell r="M114">
            <v>0</v>
          </cell>
        </row>
        <row r="115">
          <cell r="A115" t="str">
            <v>3.8.1</v>
          </cell>
          <cell r="B115" t="str">
            <v>Forma plana comum (Item 5.3.32 do MD)</v>
          </cell>
          <cell r="C115" t="str">
            <v>m2</v>
          </cell>
          <cell r="D115">
            <v>120</v>
          </cell>
          <cell r="E115">
            <v>52.86</v>
          </cell>
          <cell r="F115">
            <v>29.42</v>
          </cell>
          <cell r="G115">
            <v>3530.4</v>
          </cell>
          <cell r="H115">
            <v>0</v>
          </cell>
          <cell r="I115">
            <v>0</v>
          </cell>
          <cell r="J115">
            <v>23.439999999999998</v>
          </cell>
          <cell r="K115">
            <v>2812.8</v>
          </cell>
          <cell r="L115">
            <v>6343.2000000000007</v>
          </cell>
          <cell r="M115">
            <v>7.5500000000000003E-4</v>
          </cell>
        </row>
        <row r="116">
          <cell r="A116" t="str">
            <v>3.8.2</v>
          </cell>
          <cell r="B116" t="str">
            <v>Armadura de aço CA 50/60 (corte, dobra e montagem) (Item 5.3.33 do MD)</v>
          </cell>
          <cell r="C116" t="str">
            <v>kg</v>
          </cell>
          <cell r="D116">
            <v>2500</v>
          </cell>
          <cell r="E116">
            <v>8.09</v>
          </cell>
          <cell r="F116">
            <v>4.79</v>
          </cell>
          <cell r="G116">
            <v>11975</v>
          </cell>
          <cell r="H116">
            <v>0</v>
          </cell>
          <cell r="I116">
            <v>0</v>
          </cell>
          <cell r="J116">
            <v>3.3</v>
          </cell>
          <cell r="K116">
            <v>8250</v>
          </cell>
          <cell r="L116">
            <v>20225</v>
          </cell>
          <cell r="M116">
            <v>2.4069999999999999E-3</v>
          </cell>
        </row>
        <row r="117">
          <cell r="A117" t="str">
            <v>3.9</v>
          </cell>
          <cell r="B117" t="str">
            <v>Revestimentos</v>
          </cell>
          <cell r="C117">
            <v>0</v>
          </cell>
          <cell r="D117">
            <v>0</v>
          </cell>
          <cell r="E117">
            <v>0</v>
          </cell>
          <cell r="F117">
            <v>0</v>
          </cell>
          <cell r="G117">
            <v>0</v>
          </cell>
          <cell r="H117">
            <v>0</v>
          </cell>
          <cell r="I117">
            <v>0</v>
          </cell>
          <cell r="J117">
            <v>0</v>
          </cell>
          <cell r="K117">
            <v>0</v>
          </cell>
          <cell r="L117">
            <v>0</v>
          </cell>
          <cell r="M117">
            <v>0</v>
          </cell>
        </row>
        <row r="118">
          <cell r="A118" t="str">
            <v>3.9.1</v>
          </cell>
          <cell r="B118" t="str">
            <v>CHAPISCO com argamassa de cimento e areia traço 1:3, e=5 mm (Item 5.3.34 do MD)</v>
          </cell>
          <cell r="C118" t="str">
            <v>m2</v>
          </cell>
          <cell r="D118">
            <v>2300</v>
          </cell>
          <cell r="E118">
            <v>5.63</v>
          </cell>
          <cell r="F118">
            <v>1.5700000000000003</v>
          </cell>
          <cell r="G118">
            <v>3611</v>
          </cell>
          <cell r="H118">
            <v>0</v>
          </cell>
          <cell r="I118">
            <v>0</v>
          </cell>
          <cell r="J118">
            <v>4.0599999999999996</v>
          </cell>
          <cell r="K118">
            <v>9338</v>
          </cell>
          <cell r="L118">
            <v>12949</v>
          </cell>
          <cell r="M118">
            <v>1.5410000000000001E-3</v>
          </cell>
        </row>
        <row r="119">
          <cell r="A119" t="str">
            <v>3.9.2</v>
          </cell>
          <cell r="B119" t="str">
            <v>EMBOÇO desempenado - argamassa mista cimento, cal e areia - traço 1:2:8 e = 20mm (Item 5.3.35 do MD)</v>
          </cell>
          <cell r="C119" t="str">
            <v>m2</v>
          </cell>
          <cell r="D119">
            <v>2300</v>
          </cell>
          <cell r="E119">
            <v>28.55</v>
          </cell>
          <cell r="F119">
            <v>5.7400000000000011</v>
          </cell>
          <cell r="G119">
            <v>13202</v>
          </cell>
          <cell r="H119">
            <v>0</v>
          </cell>
          <cell r="I119">
            <v>0</v>
          </cell>
          <cell r="J119">
            <v>22.81</v>
          </cell>
          <cell r="K119">
            <v>52463</v>
          </cell>
          <cell r="L119">
            <v>65665</v>
          </cell>
          <cell r="M119">
            <v>7.8150000000000008E-3</v>
          </cell>
        </row>
        <row r="120">
          <cell r="A120" t="str">
            <v>3.9.3</v>
          </cell>
          <cell r="B120" t="str">
            <v>REBOCO - parede interna com argamassa de cal e areia traço 1:4,5, e=5 mm (Item 5.3.36 do MD)</v>
          </cell>
          <cell r="C120" t="str">
            <v>m2</v>
          </cell>
          <cell r="D120">
            <v>3000</v>
          </cell>
          <cell r="E120">
            <v>18.66</v>
          </cell>
          <cell r="F120">
            <v>0.88</v>
          </cell>
          <cell r="G120">
            <v>2640</v>
          </cell>
          <cell r="H120">
            <v>0</v>
          </cell>
          <cell r="I120">
            <v>0</v>
          </cell>
          <cell r="J120">
            <v>17.78</v>
          </cell>
          <cell r="K120">
            <v>53340</v>
          </cell>
          <cell r="L120">
            <v>55980</v>
          </cell>
          <cell r="M120">
            <v>6.6629999999999997E-3</v>
          </cell>
        </row>
        <row r="121">
          <cell r="A121" t="str">
            <v>3.9.4</v>
          </cell>
          <cell r="B121" t="str">
            <v>Recuperação e regularização do revestimento em reboco (Item 5.3.37 do MD)</v>
          </cell>
          <cell r="C121" t="str">
            <v>m2</v>
          </cell>
          <cell r="D121">
            <v>500</v>
          </cell>
          <cell r="E121">
            <v>22.669999999999998</v>
          </cell>
          <cell r="F121">
            <v>1.35</v>
          </cell>
          <cell r="G121">
            <v>675</v>
          </cell>
          <cell r="H121">
            <v>0</v>
          </cell>
          <cell r="I121">
            <v>0</v>
          </cell>
          <cell r="J121">
            <v>21.319999999999997</v>
          </cell>
          <cell r="K121">
            <v>10660</v>
          </cell>
          <cell r="L121">
            <v>11335</v>
          </cell>
          <cell r="M121">
            <v>1.3489999999999999E-3</v>
          </cell>
        </row>
        <row r="122">
          <cell r="A122" t="str">
            <v>3.9.5</v>
          </cell>
          <cell r="B122" t="str">
            <v>Execução de piso cimentado, e=5cm (Item 5.3.38 do MD)</v>
          </cell>
          <cell r="C122" t="str">
            <v>m2</v>
          </cell>
          <cell r="D122">
            <v>480</v>
          </cell>
          <cell r="E122">
            <v>42.36</v>
          </cell>
          <cell r="F122">
            <v>21.28</v>
          </cell>
          <cell r="G122">
            <v>10214.4</v>
          </cell>
          <cell r="H122">
            <v>1.98</v>
          </cell>
          <cell r="I122">
            <v>950.4</v>
          </cell>
          <cell r="J122">
            <v>19.100000000000001</v>
          </cell>
          <cell r="K122">
            <v>9168</v>
          </cell>
          <cell r="L122">
            <v>20332.8</v>
          </cell>
          <cell r="M122">
            <v>2.4199999999999998E-3</v>
          </cell>
        </row>
        <row r="123">
          <cell r="A123" t="str">
            <v>3.10</v>
          </cell>
          <cell r="B123" t="str">
            <v>Laje</v>
          </cell>
          <cell r="C123">
            <v>0</v>
          </cell>
          <cell r="D123">
            <v>0</v>
          </cell>
          <cell r="E123">
            <v>0</v>
          </cell>
          <cell r="F123">
            <v>0</v>
          </cell>
          <cell r="G123">
            <v>0</v>
          </cell>
          <cell r="H123">
            <v>0</v>
          </cell>
          <cell r="I123">
            <v>0</v>
          </cell>
          <cell r="J123">
            <v>0</v>
          </cell>
          <cell r="K123">
            <v>0</v>
          </cell>
          <cell r="L123">
            <v>0</v>
          </cell>
          <cell r="M123">
            <v>0</v>
          </cell>
        </row>
        <row r="124">
          <cell r="A124" t="str">
            <v>3.10.1</v>
          </cell>
          <cell r="B124" t="str">
            <v>Laje pré-fabricada treliçada para piso/cobertura, largura 25 cm, e=10 cm, maciça (capeamento 3 cm e laje 7 cm) (Item 5.3.39 do MD)</v>
          </cell>
          <cell r="C124" t="str">
            <v>m2</v>
          </cell>
          <cell r="D124">
            <v>140</v>
          </cell>
          <cell r="E124">
            <v>110.12</v>
          </cell>
          <cell r="F124">
            <v>69.61</v>
          </cell>
          <cell r="G124">
            <v>9745.4</v>
          </cell>
          <cell r="H124">
            <v>0</v>
          </cell>
          <cell r="I124">
            <v>0</v>
          </cell>
          <cell r="J124">
            <v>40.51</v>
          </cell>
          <cell r="K124">
            <v>5671.4</v>
          </cell>
          <cell r="L124">
            <v>15416.8</v>
          </cell>
          <cell r="M124">
            <v>1.835E-3</v>
          </cell>
        </row>
        <row r="125">
          <cell r="A125" t="str">
            <v>3.11</v>
          </cell>
          <cell r="B125" t="str">
            <v>Revestimentos Cerâmicos</v>
          </cell>
          <cell r="C125">
            <v>0</v>
          </cell>
          <cell r="D125">
            <v>0</v>
          </cell>
          <cell r="E125">
            <v>0</v>
          </cell>
          <cell r="F125">
            <v>0</v>
          </cell>
          <cell r="G125">
            <v>0</v>
          </cell>
          <cell r="H125">
            <v>0</v>
          </cell>
          <cell r="I125">
            <v>0</v>
          </cell>
          <cell r="J125">
            <v>0</v>
          </cell>
          <cell r="K125">
            <v>0</v>
          </cell>
          <cell r="L125">
            <v>0</v>
          </cell>
          <cell r="M125">
            <v>0</v>
          </cell>
        </row>
        <row r="126">
          <cell r="A126" t="str">
            <v>3.11.1</v>
          </cell>
          <cell r="B126" t="str">
            <v>Azulejo branco 15 x 15 cm, assentado com argamassa colante, juntas a prumo, inclusive rejuntamento. (Item 5.3.40 do MD)</v>
          </cell>
          <cell r="C126" t="str">
            <v>m2</v>
          </cell>
          <cell r="D126">
            <v>320</v>
          </cell>
          <cell r="E126">
            <v>36.039999999999992</v>
          </cell>
          <cell r="F126">
            <v>26.519999999999996</v>
          </cell>
          <cell r="G126">
            <v>8486.4</v>
          </cell>
          <cell r="H126">
            <v>0</v>
          </cell>
          <cell r="I126">
            <v>0</v>
          </cell>
          <cell r="J126">
            <v>9.52</v>
          </cell>
          <cell r="K126">
            <v>3046.4</v>
          </cell>
          <cell r="L126">
            <v>11532.8</v>
          </cell>
          <cell r="M126">
            <v>1.3730000000000001E-3</v>
          </cell>
        </row>
        <row r="127">
          <cell r="A127" t="str">
            <v>3.11.2</v>
          </cell>
          <cell r="B127" t="str">
            <v>Litocerâmica assentada com cimento colante (Item 5.3.41 do MD)</v>
          </cell>
          <cell r="C127" t="str">
            <v>m2</v>
          </cell>
          <cell r="D127">
            <v>1200</v>
          </cell>
          <cell r="E127">
            <v>38.699999999999996</v>
          </cell>
          <cell r="F127">
            <v>27.179999999999996</v>
          </cell>
          <cell r="G127">
            <v>32616</v>
          </cell>
          <cell r="H127">
            <v>0</v>
          </cell>
          <cell r="I127">
            <v>0</v>
          </cell>
          <cell r="J127">
            <v>11.52</v>
          </cell>
          <cell r="K127">
            <v>13824</v>
          </cell>
          <cell r="L127">
            <v>46440</v>
          </cell>
          <cell r="M127">
            <v>5.5269999999999998E-3</v>
          </cell>
        </row>
        <row r="128">
          <cell r="A128" t="str">
            <v>3.11.3</v>
          </cell>
          <cell r="B128" t="str">
            <v>Piso com cerâmica esmaltada PEI-5 (Item 5.3.42 do MD)</v>
          </cell>
          <cell r="C128" t="str">
            <v>m2</v>
          </cell>
          <cell r="D128">
            <v>60</v>
          </cell>
          <cell r="E128">
            <v>65.089999999999989</v>
          </cell>
          <cell r="F128">
            <v>44.599999999999994</v>
          </cell>
          <cell r="G128">
            <v>2676</v>
          </cell>
          <cell r="H128">
            <v>0</v>
          </cell>
          <cell r="I128">
            <v>0</v>
          </cell>
          <cell r="J128">
            <v>20.49</v>
          </cell>
          <cell r="K128">
            <v>1229.4000000000001</v>
          </cell>
          <cell r="L128">
            <v>3905.4</v>
          </cell>
          <cell r="M128">
            <v>4.6500000000000003E-4</v>
          </cell>
        </row>
        <row r="129">
          <cell r="A129" t="str">
            <v>3.11.4</v>
          </cell>
          <cell r="B129" t="str">
            <v>Camada de regularização em argamassa desempenada e=3cm, impermeabilizante e aditivo adesivo (Item 5.3.43 do MD)</v>
          </cell>
          <cell r="C129" t="str">
            <v>m2</v>
          </cell>
          <cell r="D129">
            <v>7500</v>
          </cell>
          <cell r="E129">
            <v>28.79</v>
          </cell>
          <cell r="F129">
            <v>20.57</v>
          </cell>
          <cell r="G129">
            <v>154275</v>
          </cell>
          <cell r="H129">
            <v>0</v>
          </cell>
          <cell r="I129">
            <v>0</v>
          </cell>
          <cell r="J129">
            <v>8.2199999999999989</v>
          </cell>
          <cell r="K129">
            <v>61650</v>
          </cell>
          <cell r="L129">
            <v>215925</v>
          </cell>
          <cell r="M129">
            <v>2.5699E-2</v>
          </cell>
        </row>
        <row r="130">
          <cell r="A130" t="str">
            <v>3.12</v>
          </cell>
          <cell r="B130" t="str">
            <v>Cobertura</v>
          </cell>
          <cell r="C130">
            <v>0</v>
          </cell>
          <cell r="D130">
            <v>0</v>
          </cell>
          <cell r="E130">
            <v>0</v>
          </cell>
          <cell r="F130">
            <v>0</v>
          </cell>
          <cell r="G130">
            <v>0</v>
          </cell>
          <cell r="H130">
            <v>0</v>
          </cell>
          <cell r="I130">
            <v>0</v>
          </cell>
          <cell r="J130">
            <v>0</v>
          </cell>
          <cell r="K130">
            <v>0</v>
          </cell>
          <cell r="L130">
            <v>0</v>
          </cell>
          <cell r="M130">
            <v>0</v>
          </cell>
        </row>
        <row r="131">
          <cell r="A131" t="str">
            <v>3.12.1</v>
          </cell>
          <cell r="B131" t="str">
            <v>Fornecimento de estrutura metálica aço ASTM A-36 (Item 5.3.50 do MD)</v>
          </cell>
          <cell r="C131" t="str">
            <v>kg</v>
          </cell>
          <cell r="D131">
            <v>25000</v>
          </cell>
          <cell r="E131">
            <v>11.2</v>
          </cell>
          <cell r="F131">
            <v>11.2</v>
          </cell>
          <cell r="G131">
            <v>280000</v>
          </cell>
          <cell r="H131">
            <v>0</v>
          </cell>
          <cell r="I131">
            <v>0</v>
          </cell>
          <cell r="J131">
            <v>0</v>
          </cell>
          <cell r="K131">
            <v>0</v>
          </cell>
          <cell r="L131">
            <v>280000</v>
          </cell>
          <cell r="M131">
            <v>3.3325E-2</v>
          </cell>
        </row>
        <row r="132">
          <cell r="A132" t="str">
            <v>3.12.2</v>
          </cell>
          <cell r="B132" t="str">
            <v>Montagem e pintura de estrutura metálica (Item 5.3.51 do MD)</v>
          </cell>
          <cell r="C132" t="str">
            <v>kg</v>
          </cell>
          <cell r="D132">
            <v>25000</v>
          </cell>
          <cell r="E132">
            <v>7.2900000000000009</v>
          </cell>
          <cell r="F132">
            <v>3.3600000000000003</v>
          </cell>
          <cell r="G132">
            <v>84000</v>
          </cell>
          <cell r="H132">
            <v>3.93</v>
          </cell>
          <cell r="I132">
            <v>98250</v>
          </cell>
          <cell r="J132">
            <v>0</v>
          </cell>
          <cell r="K132">
            <v>0</v>
          </cell>
          <cell r="L132">
            <v>182250</v>
          </cell>
          <cell r="M132">
            <v>2.1690999999999998E-2</v>
          </cell>
        </row>
        <row r="133">
          <cell r="A133" t="str">
            <v>3.12.3</v>
          </cell>
          <cell r="B133" t="str">
            <v>Fechamento lateral com placa cimentícia CRFS 300cm x 120cm x 10mm</v>
          </cell>
          <cell r="C133" t="str">
            <v>m2</v>
          </cell>
          <cell r="D133">
            <v>180</v>
          </cell>
          <cell r="E133">
            <v>60.57</v>
          </cell>
          <cell r="F133">
            <v>44.39</v>
          </cell>
          <cell r="G133">
            <v>7990.2</v>
          </cell>
          <cell r="H133">
            <v>0</v>
          </cell>
          <cell r="I133">
            <v>0</v>
          </cell>
          <cell r="J133">
            <v>16.18</v>
          </cell>
          <cell r="K133">
            <v>2912.4</v>
          </cell>
          <cell r="L133">
            <v>10902.6</v>
          </cell>
          <cell r="M133">
            <v>1.2979999999999999E-3</v>
          </cell>
        </row>
        <row r="134">
          <cell r="A134" t="str">
            <v>3.12.4</v>
          </cell>
          <cell r="B134" t="str">
            <v>Telha aço galvanizado acabamento natural ondulada E=0,65mm (Item 5.3.52 do MD)</v>
          </cell>
          <cell r="C134" t="str">
            <v>m2</v>
          </cell>
          <cell r="D134">
            <v>500</v>
          </cell>
          <cell r="E134">
            <v>61.15</v>
          </cell>
          <cell r="F134">
            <v>44.97</v>
          </cell>
          <cell r="G134">
            <v>22485</v>
          </cell>
          <cell r="H134">
            <v>0</v>
          </cell>
          <cell r="I134">
            <v>0</v>
          </cell>
          <cell r="J134">
            <v>16.18</v>
          </cell>
          <cell r="K134">
            <v>8090</v>
          </cell>
          <cell r="L134">
            <v>30575</v>
          </cell>
          <cell r="M134">
            <v>3.6389999999999999E-3</v>
          </cell>
        </row>
        <row r="135">
          <cell r="A135" t="str">
            <v>3.12.5</v>
          </cell>
          <cell r="B135" t="str">
            <v>Telha aço galvanizado acabamento natural ondulada E=0,8mm (Item 5.3.52 do MD)</v>
          </cell>
          <cell r="C135" t="str">
            <v>m2</v>
          </cell>
          <cell r="D135">
            <v>500</v>
          </cell>
          <cell r="E135">
            <v>71.19</v>
          </cell>
          <cell r="F135">
            <v>55.010000000000005</v>
          </cell>
          <cell r="G135">
            <v>27505</v>
          </cell>
          <cell r="H135">
            <v>0</v>
          </cell>
          <cell r="I135">
            <v>0</v>
          </cell>
          <cell r="J135">
            <v>16.18</v>
          </cell>
          <cell r="K135">
            <v>8090</v>
          </cell>
          <cell r="L135">
            <v>35595</v>
          </cell>
          <cell r="M135">
            <v>4.2360000000000002E-3</v>
          </cell>
        </row>
        <row r="136">
          <cell r="A136" t="str">
            <v>3.12.6</v>
          </cell>
          <cell r="B136" t="str">
            <v>Telha de aço galvanizada pintada 1 face pó ou coil-coating ondulada E=0,8mm (Item 5.3.52 do MD)</v>
          </cell>
          <cell r="C136" t="str">
            <v>m2</v>
          </cell>
          <cell r="D136">
            <v>500</v>
          </cell>
          <cell r="E136">
            <v>75.27000000000001</v>
          </cell>
          <cell r="F136">
            <v>59.09</v>
          </cell>
          <cell r="G136">
            <v>29545</v>
          </cell>
          <cell r="H136">
            <v>0</v>
          </cell>
          <cell r="I136">
            <v>0</v>
          </cell>
          <cell r="J136">
            <v>16.18</v>
          </cell>
          <cell r="K136">
            <v>8090</v>
          </cell>
          <cell r="L136">
            <v>37635</v>
          </cell>
          <cell r="M136">
            <v>4.4790000000000003E-3</v>
          </cell>
        </row>
        <row r="137">
          <cell r="A137" t="str">
            <v>3.12.7</v>
          </cell>
          <cell r="B137" t="str">
            <v>Telha de aço galvanizado pintada 2 faces auto portante e=0,8mm H=180mm (Item 5.3.52 do MD)</v>
          </cell>
          <cell r="C137" t="str">
            <v>m2</v>
          </cell>
          <cell r="D137">
            <v>1230</v>
          </cell>
          <cell r="E137">
            <v>83.19</v>
          </cell>
          <cell r="F137">
            <v>58.92</v>
          </cell>
          <cell r="G137">
            <v>72471.600000000006</v>
          </cell>
          <cell r="H137">
            <v>0</v>
          </cell>
          <cell r="I137">
            <v>0</v>
          </cell>
          <cell r="J137">
            <v>24.269999999999996</v>
          </cell>
          <cell r="K137">
            <v>29852.1</v>
          </cell>
          <cell r="L137">
            <v>102323.70000000001</v>
          </cell>
          <cell r="M137">
            <v>1.2178E-2</v>
          </cell>
        </row>
        <row r="138">
          <cell r="A138" t="str">
            <v>3.12.8</v>
          </cell>
          <cell r="B138" t="str">
            <v>Telha de aço galvanizado pintada 2 faces auto portante e=0,8mm H=260mm (Item 5.3.52 do MD)</v>
          </cell>
          <cell r="C138" t="str">
            <v>m2</v>
          </cell>
          <cell r="D138">
            <v>630</v>
          </cell>
          <cell r="E138">
            <v>71.28</v>
          </cell>
          <cell r="F138">
            <v>55.1</v>
          </cell>
          <cell r="G138">
            <v>34713</v>
          </cell>
          <cell r="H138">
            <v>0</v>
          </cell>
          <cell r="I138">
            <v>0</v>
          </cell>
          <cell r="J138">
            <v>16.18</v>
          </cell>
          <cell r="K138">
            <v>10193.4</v>
          </cell>
          <cell r="L138">
            <v>44906.400000000001</v>
          </cell>
          <cell r="M138">
            <v>5.3449999999999999E-3</v>
          </cell>
        </row>
        <row r="139">
          <cell r="A139" t="str">
            <v>3.12.9</v>
          </cell>
          <cell r="B139" t="str">
            <v>Telha de aço galvanizado trapezoidal sand poliuretano pintura 2 faces chapa 0,5mm E=30mm (Item 5.3.52 do MD)</v>
          </cell>
          <cell r="C139" t="str">
            <v>m2</v>
          </cell>
          <cell r="D139">
            <v>320</v>
          </cell>
          <cell r="E139">
            <v>128.59</v>
          </cell>
          <cell r="F139">
            <v>112.41</v>
          </cell>
          <cell r="G139">
            <v>35971.199999999997</v>
          </cell>
          <cell r="H139">
            <v>0</v>
          </cell>
          <cell r="I139">
            <v>0</v>
          </cell>
          <cell r="J139">
            <v>16.18</v>
          </cell>
          <cell r="K139">
            <v>5177.6000000000004</v>
          </cell>
          <cell r="L139">
            <v>41148.799999999996</v>
          </cell>
          <cell r="M139">
            <v>4.8970000000000003E-3</v>
          </cell>
        </row>
        <row r="140">
          <cell r="A140" t="str">
            <v>3.12.10</v>
          </cell>
          <cell r="B140" t="str">
            <v>Telha de aço galvanizado trapezoidal sand poliuretano pintura 2 faces chapa 0,5mm E=50mm (Item 5.3.52 do MD)</v>
          </cell>
          <cell r="C140" t="str">
            <v>m2</v>
          </cell>
          <cell r="D140">
            <v>320</v>
          </cell>
          <cell r="E140">
            <v>144.70000000000002</v>
          </cell>
          <cell r="F140">
            <v>128.52000000000001</v>
          </cell>
          <cell r="G140">
            <v>41126.400000000001</v>
          </cell>
          <cell r="H140">
            <v>0</v>
          </cell>
          <cell r="I140">
            <v>0</v>
          </cell>
          <cell r="J140">
            <v>16.18</v>
          </cell>
          <cell r="K140">
            <v>5177.6000000000004</v>
          </cell>
          <cell r="L140">
            <v>46304</v>
          </cell>
          <cell r="M140">
            <v>5.5110000000000003E-3</v>
          </cell>
        </row>
        <row r="141">
          <cell r="A141" t="str">
            <v>3.12.11</v>
          </cell>
          <cell r="B141" t="str">
            <v>Telha tecnologia CRFS ondulada E=6mm (Item 5.3.52 do MD)</v>
          </cell>
          <cell r="C141" t="str">
            <v>m2</v>
          </cell>
          <cell r="D141">
            <v>1000</v>
          </cell>
          <cell r="E141">
            <v>31.659999999999997</v>
          </cell>
          <cell r="F141">
            <v>22.759999999999998</v>
          </cell>
          <cell r="G141">
            <v>22760</v>
          </cell>
          <cell r="H141">
            <v>0</v>
          </cell>
          <cell r="I141">
            <v>0</v>
          </cell>
          <cell r="J141">
            <v>8.9</v>
          </cell>
          <cell r="K141">
            <v>8900</v>
          </cell>
          <cell r="L141">
            <v>31660</v>
          </cell>
          <cell r="M141">
            <v>3.7680000000000001E-3</v>
          </cell>
        </row>
        <row r="142">
          <cell r="A142" t="str">
            <v>3.12.12</v>
          </cell>
          <cell r="B142" t="str">
            <v>Telha tecnologia CRFS ondulada E=8mm (Item 5.3.52 do MD)</v>
          </cell>
          <cell r="C142" t="str">
            <v>m2</v>
          </cell>
          <cell r="D142">
            <v>1000</v>
          </cell>
          <cell r="E142">
            <v>39.339999999999996</v>
          </cell>
          <cell r="F142">
            <v>30.439999999999998</v>
          </cell>
          <cell r="G142">
            <v>30440</v>
          </cell>
          <cell r="H142">
            <v>0</v>
          </cell>
          <cell r="I142">
            <v>0</v>
          </cell>
          <cell r="J142">
            <v>8.9</v>
          </cell>
          <cell r="K142">
            <v>8900</v>
          </cell>
          <cell r="L142">
            <v>39340</v>
          </cell>
          <cell r="M142">
            <v>4.6820000000000004E-3</v>
          </cell>
        </row>
        <row r="143">
          <cell r="A143" t="str">
            <v>3.12.13</v>
          </cell>
          <cell r="B143" t="str">
            <v>Cumeeira de aço galvanizado natural perfil trapezoidal E=0,5mm H=100mm (Item 5.3.53 do MD)</v>
          </cell>
          <cell r="C143" t="str">
            <v>m</v>
          </cell>
          <cell r="D143">
            <v>300</v>
          </cell>
          <cell r="E143">
            <v>59.2</v>
          </cell>
          <cell r="F143">
            <v>30.93</v>
          </cell>
          <cell r="G143">
            <v>9279</v>
          </cell>
          <cell r="H143">
            <v>0</v>
          </cell>
          <cell r="I143">
            <v>0</v>
          </cell>
          <cell r="J143">
            <v>28.270000000000003</v>
          </cell>
          <cell r="K143">
            <v>8481</v>
          </cell>
          <cell r="L143">
            <v>17760</v>
          </cell>
          <cell r="M143">
            <v>2.114E-3</v>
          </cell>
        </row>
        <row r="144">
          <cell r="A144" t="str">
            <v>3.12.14</v>
          </cell>
          <cell r="B144" t="str">
            <v>Cumeeira perfil para telha autoportante  aço galvanizado natural E=0,80mm perfil 700/800 (Item 5.3.53 do MD)</v>
          </cell>
          <cell r="C144" t="str">
            <v>m</v>
          </cell>
          <cell r="D144">
            <v>60</v>
          </cell>
          <cell r="E144">
            <v>477.56</v>
          </cell>
          <cell r="F144">
            <v>464.41</v>
          </cell>
          <cell r="G144">
            <v>27864.6</v>
          </cell>
          <cell r="H144">
            <v>0</v>
          </cell>
          <cell r="I144">
            <v>0</v>
          </cell>
          <cell r="J144">
            <v>13.150000000000002</v>
          </cell>
          <cell r="K144">
            <v>789</v>
          </cell>
          <cell r="L144">
            <v>28653.599999999999</v>
          </cell>
          <cell r="M144">
            <v>3.4099999999999998E-3</v>
          </cell>
        </row>
        <row r="145">
          <cell r="A145" t="str">
            <v>3.12.15</v>
          </cell>
          <cell r="B145" t="str">
            <v>Contra rufo trapezoidal de alumínio espessura 0,8mm (Item 5.3.54 do MD)</v>
          </cell>
          <cell r="C145" t="str">
            <v>m</v>
          </cell>
          <cell r="D145">
            <v>300</v>
          </cell>
          <cell r="E145">
            <v>66.459999999999994</v>
          </cell>
          <cell r="F145">
            <v>39.659999999999997</v>
          </cell>
          <cell r="G145">
            <v>11898</v>
          </cell>
          <cell r="H145">
            <v>0</v>
          </cell>
          <cell r="I145">
            <v>0</v>
          </cell>
          <cell r="J145">
            <v>26.799999999999997</v>
          </cell>
          <cell r="K145">
            <v>8040</v>
          </cell>
          <cell r="L145">
            <v>19938</v>
          </cell>
          <cell r="M145">
            <v>2.3730000000000001E-3</v>
          </cell>
        </row>
        <row r="146">
          <cell r="A146" t="str">
            <v>3.12.16</v>
          </cell>
          <cell r="B146" t="str">
            <v>Rufo liso de alumínio acabamento natural E=0,8mm corte 0,50mm (Item 5.3.54 do MD)</v>
          </cell>
          <cell r="C146" t="str">
            <v>m</v>
          </cell>
          <cell r="D146">
            <v>300</v>
          </cell>
          <cell r="E146">
            <v>77.08</v>
          </cell>
          <cell r="F146">
            <v>27.12</v>
          </cell>
          <cell r="G146">
            <v>8136</v>
          </cell>
          <cell r="H146">
            <v>0</v>
          </cell>
          <cell r="I146">
            <v>0</v>
          </cell>
          <cell r="J146">
            <v>49.96</v>
          </cell>
          <cell r="K146">
            <v>14988</v>
          </cell>
          <cell r="L146">
            <v>23124</v>
          </cell>
          <cell r="M146">
            <v>2.7520000000000001E-3</v>
          </cell>
        </row>
        <row r="147">
          <cell r="A147" t="str">
            <v>3.12.17</v>
          </cell>
          <cell r="B147" t="str">
            <v>Rufo trapezoidal de alumínio acabamento natural espessura 0,8mm (Item 5.3.54 do MD)</v>
          </cell>
          <cell r="C147" t="str">
            <v>m</v>
          </cell>
          <cell r="D147">
            <v>300</v>
          </cell>
          <cell r="E147">
            <v>70.599999999999994</v>
          </cell>
          <cell r="F147">
            <v>31.310000000000002</v>
          </cell>
          <cell r="G147">
            <v>9393</v>
          </cell>
          <cell r="H147">
            <v>0</v>
          </cell>
          <cell r="I147">
            <v>0</v>
          </cell>
          <cell r="J147">
            <v>39.29</v>
          </cell>
          <cell r="K147">
            <v>11787</v>
          </cell>
          <cell r="L147">
            <v>21180</v>
          </cell>
          <cell r="M147">
            <v>2.5209999999999998E-3</v>
          </cell>
        </row>
        <row r="148">
          <cell r="A148" t="str">
            <v>3.12.18</v>
          </cell>
          <cell r="B148" t="str">
            <v>Rufo para telha tecnologia CRFS ondulada (Item 5.3.54 do MD)</v>
          </cell>
          <cell r="C148" t="str">
            <v>m</v>
          </cell>
          <cell r="D148">
            <v>300</v>
          </cell>
          <cell r="E148">
            <v>32.94</v>
          </cell>
          <cell r="F148">
            <v>30.32</v>
          </cell>
          <cell r="G148">
            <v>9096</v>
          </cell>
          <cell r="H148">
            <v>0</v>
          </cell>
          <cell r="I148">
            <v>0</v>
          </cell>
          <cell r="J148">
            <v>2.62</v>
          </cell>
          <cell r="K148">
            <v>786</v>
          </cell>
          <cell r="L148">
            <v>9882</v>
          </cell>
          <cell r="M148">
            <v>1.176E-3</v>
          </cell>
        </row>
        <row r="149">
          <cell r="A149" t="str">
            <v>3.12.19</v>
          </cell>
          <cell r="B149" t="str">
            <v>Sub-cobertura com manta aluminizada</v>
          </cell>
          <cell r="C149" t="str">
            <v>m2</v>
          </cell>
          <cell r="D149">
            <v>2500</v>
          </cell>
          <cell r="E149">
            <v>24.54</v>
          </cell>
          <cell r="F149">
            <v>17.97</v>
          </cell>
          <cell r="G149">
            <v>44925</v>
          </cell>
          <cell r="H149">
            <v>0</v>
          </cell>
          <cell r="I149">
            <v>0</v>
          </cell>
          <cell r="J149">
            <v>6.57</v>
          </cell>
          <cell r="K149">
            <v>16425</v>
          </cell>
          <cell r="L149">
            <v>61350</v>
          </cell>
          <cell r="M149">
            <v>7.3020000000000003E-3</v>
          </cell>
        </row>
        <row r="150">
          <cell r="A150" t="str">
            <v>3.13</v>
          </cell>
          <cell r="B150" t="str">
            <v>Vidro</v>
          </cell>
          <cell r="C150">
            <v>0</v>
          </cell>
          <cell r="D150">
            <v>0</v>
          </cell>
          <cell r="E150">
            <v>0</v>
          </cell>
          <cell r="F150">
            <v>0</v>
          </cell>
          <cell r="G150">
            <v>0</v>
          </cell>
          <cell r="H150">
            <v>0</v>
          </cell>
          <cell r="I150">
            <v>0</v>
          </cell>
          <cell r="J150">
            <v>0</v>
          </cell>
          <cell r="K150">
            <v>0</v>
          </cell>
          <cell r="L150">
            <v>0</v>
          </cell>
          <cell r="M150">
            <v>0</v>
          </cell>
        </row>
        <row r="151">
          <cell r="A151" t="str">
            <v>3.13.1</v>
          </cell>
          <cell r="B151" t="str">
            <v>Vidro cristal comum liso, colocado em caixilho com ou sem baguete, duas demãos de massa e= 3 mm (Item 5.3.56 do MD)</v>
          </cell>
          <cell r="C151" t="str">
            <v>m2</v>
          </cell>
          <cell r="D151">
            <v>100</v>
          </cell>
          <cell r="E151">
            <v>76.31</v>
          </cell>
          <cell r="F151">
            <v>62.400000000000006</v>
          </cell>
          <cell r="G151">
            <v>6240</v>
          </cell>
          <cell r="H151">
            <v>0</v>
          </cell>
          <cell r="I151">
            <v>0</v>
          </cell>
          <cell r="J151">
            <v>13.91</v>
          </cell>
          <cell r="K151">
            <v>1391</v>
          </cell>
          <cell r="L151">
            <v>7631</v>
          </cell>
          <cell r="M151">
            <v>9.0799999999999995E-4</v>
          </cell>
        </row>
        <row r="152">
          <cell r="A152" t="str">
            <v>3.13.2</v>
          </cell>
          <cell r="B152" t="str">
            <v>Vidro temperado transparente, colocado em caixilho de alumínio e= 6 mm (Item 5.3.56 do MD)</v>
          </cell>
          <cell r="C152" t="str">
            <v>m2</v>
          </cell>
          <cell r="D152">
            <v>100</v>
          </cell>
          <cell r="E152">
            <v>172.49</v>
          </cell>
          <cell r="F152">
            <v>155.09</v>
          </cell>
          <cell r="G152">
            <v>15509</v>
          </cell>
          <cell r="H152">
            <v>0</v>
          </cell>
          <cell r="I152">
            <v>0</v>
          </cell>
          <cell r="J152">
            <v>17.399999999999999</v>
          </cell>
          <cell r="K152">
            <v>1740</v>
          </cell>
          <cell r="L152">
            <v>17249</v>
          </cell>
          <cell r="M152">
            <v>2.0530000000000001E-3</v>
          </cell>
        </row>
        <row r="153">
          <cell r="A153" t="str">
            <v>3.14</v>
          </cell>
          <cell r="B153" t="str">
            <v>Perfurações e Cortes em Estruturas de Concreto</v>
          </cell>
          <cell r="C153">
            <v>0</v>
          </cell>
          <cell r="D153">
            <v>0</v>
          </cell>
          <cell r="E153">
            <v>0</v>
          </cell>
          <cell r="F153">
            <v>0</v>
          </cell>
          <cell r="G153">
            <v>0</v>
          </cell>
          <cell r="H153">
            <v>0</v>
          </cell>
          <cell r="I153">
            <v>0</v>
          </cell>
          <cell r="J153">
            <v>0</v>
          </cell>
          <cell r="K153">
            <v>0</v>
          </cell>
          <cell r="L153">
            <v>0</v>
          </cell>
          <cell r="M153">
            <v>0</v>
          </cell>
        </row>
        <row r="154">
          <cell r="A154" t="str">
            <v>3.14.1</v>
          </cell>
          <cell r="B154" t="str">
            <v>Execução de furo em reservatório com perfuratriz de coroa diamantada de 2"a 8" - Com mobilização (Item 5.3.57 do MD)</v>
          </cell>
          <cell r="C154" t="str">
            <v>un</v>
          </cell>
          <cell r="D154">
            <v>14</v>
          </cell>
          <cell r="E154">
            <v>327.75</v>
          </cell>
          <cell r="F154">
            <v>0</v>
          </cell>
          <cell r="G154">
            <v>0</v>
          </cell>
          <cell r="H154">
            <v>327.75</v>
          </cell>
          <cell r="I154">
            <v>4588.5</v>
          </cell>
          <cell r="J154">
            <v>0</v>
          </cell>
          <cell r="K154">
            <v>0</v>
          </cell>
          <cell r="L154">
            <v>4588.5</v>
          </cell>
          <cell r="M154">
            <v>5.4600000000000004E-4</v>
          </cell>
        </row>
        <row r="155">
          <cell r="A155" t="str">
            <v>3.14.2</v>
          </cell>
          <cell r="B155" t="str">
            <v>Execução de furo em reservatório com perfuratriz de coroa diamantada de 2"a 8" - Sem mobilização (Item 5.3.57 do MD)</v>
          </cell>
          <cell r="C155" t="str">
            <v>un</v>
          </cell>
          <cell r="D155">
            <v>10</v>
          </cell>
          <cell r="E155">
            <v>131.1</v>
          </cell>
          <cell r="F155">
            <v>0</v>
          </cell>
          <cell r="G155">
            <v>0</v>
          </cell>
          <cell r="H155">
            <v>131.1</v>
          </cell>
          <cell r="I155">
            <v>1311</v>
          </cell>
          <cell r="J155">
            <v>0</v>
          </cell>
          <cell r="K155">
            <v>0</v>
          </cell>
          <cell r="L155">
            <v>1311</v>
          </cell>
          <cell r="M155">
            <v>1.56E-4</v>
          </cell>
        </row>
        <row r="156">
          <cell r="A156" t="str">
            <v>3.14.3</v>
          </cell>
          <cell r="B156" t="str">
            <v>Execução de furo em reservatório com perfuratriz de coroa diamantada 10"a 16" (Item 5.3.57 do MD)</v>
          </cell>
          <cell r="C156" t="str">
            <v>un</v>
          </cell>
          <cell r="D156">
            <v>10</v>
          </cell>
          <cell r="E156">
            <v>1321.49</v>
          </cell>
          <cell r="F156">
            <v>0</v>
          </cell>
          <cell r="G156">
            <v>0</v>
          </cell>
          <cell r="H156">
            <v>1321.49</v>
          </cell>
          <cell r="I156">
            <v>13214.9</v>
          </cell>
          <cell r="J156">
            <v>0</v>
          </cell>
          <cell r="K156">
            <v>0</v>
          </cell>
          <cell r="L156">
            <v>13214.9</v>
          </cell>
          <cell r="M156">
            <v>1.573E-3</v>
          </cell>
        </row>
        <row r="157">
          <cell r="A157" t="str">
            <v>3.14.4</v>
          </cell>
          <cell r="B157" t="str">
            <v>Corte com serra diamantada em estrutura de concreto com profundidade até 15 cm (Item 5.3.57 do MD)</v>
          </cell>
          <cell r="C157" t="str">
            <v>m</v>
          </cell>
          <cell r="D157">
            <v>20</v>
          </cell>
          <cell r="E157">
            <v>72.489999999999995</v>
          </cell>
          <cell r="F157">
            <v>0</v>
          </cell>
          <cell r="G157">
            <v>0</v>
          </cell>
          <cell r="H157">
            <v>72.489999999999995</v>
          </cell>
          <cell r="I157">
            <v>1449.8</v>
          </cell>
          <cell r="J157">
            <v>0</v>
          </cell>
          <cell r="K157">
            <v>0</v>
          </cell>
          <cell r="L157">
            <v>1449.8</v>
          </cell>
          <cell r="M157">
            <v>1.73E-4</v>
          </cell>
        </row>
        <row r="158">
          <cell r="A158" t="str">
            <v>3.14.5</v>
          </cell>
          <cell r="B158" t="str">
            <v>Corte com serra diamantada em estrutura de concreto com profundidade até 40 cm (Item 5.3.57 do MD)</v>
          </cell>
          <cell r="C158" t="str">
            <v>m</v>
          </cell>
          <cell r="D158">
            <v>15</v>
          </cell>
          <cell r="E158">
            <v>276.94</v>
          </cell>
          <cell r="F158">
            <v>0</v>
          </cell>
          <cell r="G158">
            <v>0</v>
          </cell>
          <cell r="H158">
            <v>276.94</v>
          </cell>
          <cell r="I158">
            <v>4154.1000000000004</v>
          </cell>
          <cell r="J158">
            <v>0</v>
          </cell>
          <cell r="K158">
            <v>0</v>
          </cell>
          <cell r="L158">
            <v>4154.1000000000004</v>
          </cell>
          <cell r="M158">
            <v>4.9399999999999997E-4</v>
          </cell>
        </row>
        <row r="159">
          <cell r="A159" t="str">
            <v>3.15</v>
          </cell>
          <cell r="B159" t="str">
            <v>Tamponamento</v>
          </cell>
          <cell r="C159">
            <v>0</v>
          </cell>
          <cell r="D159">
            <v>0</v>
          </cell>
          <cell r="E159">
            <v>0</v>
          </cell>
          <cell r="F159">
            <v>0</v>
          </cell>
          <cell r="G159">
            <v>0</v>
          </cell>
          <cell r="H159">
            <v>0</v>
          </cell>
          <cell r="I159">
            <v>0</v>
          </cell>
          <cell r="J159">
            <v>0</v>
          </cell>
          <cell r="K159">
            <v>0</v>
          </cell>
          <cell r="L159">
            <v>0</v>
          </cell>
          <cell r="M159">
            <v>0</v>
          </cell>
        </row>
        <row r="160">
          <cell r="A160" t="str">
            <v>3.15.1</v>
          </cell>
          <cell r="B160" t="str">
            <v>Tamponamento de abertura em estrutura de concreto (face lateral/superior de reservatório) com espuma expansiva (2"a 8") (Item 5.3.58 do MD)</v>
          </cell>
          <cell r="C160" t="str">
            <v>un</v>
          </cell>
          <cell r="D160">
            <v>20</v>
          </cell>
          <cell r="E160">
            <v>100.19</v>
          </cell>
          <cell r="F160">
            <v>65.41</v>
          </cell>
          <cell r="G160">
            <v>1308.2</v>
          </cell>
          <cell r="H160">
            <v>0</v>
          </cell>
          <cell r="I160">
            <v>0</v>
          </cell>
          <cell r="J160">
            <v>34.78</v>
          </cell>
          <cell r="K160">
            <v>695.6</v>
          </cell>
          <cell r="L160">
            <v>2003.8000000000002</v>
          </cell>
          <cell r="M160">
            <v>2.3800000000000001E-4</v>
          </cell>
        </row>
        <row r="161">
          <cell r="A161">
            <v>0</v>
          </cell>
          <cell r="B161">
            <v>0</v>
          </cell>
          <cell r="C161">
            <v>0</v>
          </cell>
          <cell r="D161">
            <v>0</v>
          </cell>
          <cell r="E161">
            <v>0</v>
          </cell>
          <cell r="F161">
            <v>0</v>
          </cell>
          <cell r="G161">
            <v>0</v>
          </cell>
          <cell r="H161">
            <v>0</v>
          </cell>
          <cell r="I161">
            <v>0</v>
          </cell>
          <cell r="J161">
            <v>0</v>
          </cell>
          <cell r="K161">
            <v>0</v>
          </cell>
          <cell r="L161">
            <v>0</v>
          </cell>
          <cell r="M161">
            <v>0</v>
          </cell>
        </row>
        <row r="162">
          <cell r="A162" t="str">
            <v>4.0</v>
          </cell>
          <cell r="B162" t="str">
            <v>INSTALAÇÕES ELÉTRICAS</v>
          </cell>
          <cell r="C162" t="str">
            <v>SUB-TOTAL</v>
          </cell>
          <cell r="D162">
            <v>0</v>
          </cell>
          <cell r="E162">
            <v>0</v>
          </cell>
          <cell r="F162">
            <v>127364.8</v>
          </cell>
          <cell r="G162">
            <v>127364.8</v>
          </cell>
          <cell r="H162">
            <v>289.2</v>
          </cell>
          <cell r="I162">
            <v>289.2</v>
          </cell>
          <cell r="J162">
            <v>69264.7</v>
          </cell>
          <cell r="K162">
            <v>69264.7</v>
          </cell>
          <cell r="L162">
            <v>196918.7</v>
          </cell>
          <cell r="M162">
            <v>2.3435999999999998E-2</v>
          </cell>
        </row>
        <row r="163">
          <cell r="A163">
            <v>0</v>
          </cell>
          <cell r="B163">
            <v>0</v>
          </cell>
          <cell r="C163">
            <v>0</v>
          </cell>
          <cell r="D163">
            <v>0</v>
          </cell>
          <cell r="E163">
            <v>0</v>
          </cell>
          <cell r="F163">
            <v>0.64678899999999995</v>
          </cell>
          <cell r="G163" t="str">
            <v>sim</v>
          </cell>
          <cell r="H163">
            <v>1.469E-3</v>
          </cell>
          <cell r="I163" t="str">
            <v>sim</v>
          </cell>
          <cell r="J163">
            <v>0.35174299999999997</v>
          </cell>
          <cell r="K163" t="str">
            <v>sim</v>
          </cell>
          <cell r="L163">
            <v>0</v>
          </cell>
          <cell r="M163">
            <v>0</v>
          </cell>
        </row>
        <row r="164">
          <cell r="A164" t="str">
            <v>4.1</v>
          </cell>
          <cell r="B164" t="str">
            <v>Eletrodutos</v>
          </cell>
          <cell r="C164">
            <v>0</v>
          </cell>
          <cell r="D164">
            <v>0</v>
          </cell>
          <cell r="E164">
            <v>0</v>
          </cell>
          <cell r="F164">
            <v>0</v>
          </cell>
          <cell r="G164">
            <v>0</v>
          </cell>
          <cell r="H164">
            <v>0</v>
          </cell>
          <cell r="I164">
            <v>0</v>
          </cell>
          <cell r="J164">
            <v>0</v>
          </cell>
          <cell r="K164">
            <v>0</v>
          </cell>
          <cell r="L164">
            <v>0</v>
          </cell>
          <cell r="M164">
            <v>0</v>
          </cell>
        </row>
        <row r="165">
          <cell r="A165" t="str">
            <v>4.1.1</v>
          </cell>
          <cell r="B165" t="str">
            <v xml:space="preserve">Fornecimento e Lançamento de Eletroduto Flexível 3/4" (Item 5.4.1 do MD)   </v>
          </cell>
          <cell r="C165" t="str">
            <v>m</v>
          </cell>
          <cell r="D165">
            <v>1500</v>
          </cell>
          <cell r="E165">
            <v>2.7700000000000005</v>
          </cell>
          <cell r="F165">
            <v>1.4700000000000002</v>
          </cell>
          <cell r="G165">
            <v>2205</v>
          </cell>
          <cell r="H165">
            <v>0</v>
          </cell>
          <cell r="I165">
            <v>0</v>
          </cell>
          <cell r="J165">
            <v>1.3</v>
          </cell>
          <cell r="K165">
            <v>1950</v>
          </cell>
          <cell r="L165">
            <v>4155</v>
          </cell>
          <cell r="M165">
            <v>4.95E-4</v>
          </cell>
        </row>
        <row r="166">
          <cell r="A166" t="str">
            <v>4.1.2</v>
          </cell>
          <cell r="B166" t="str">
            <v xml:space="preserve">Fornecimento e Lançamento de Eletroduto Flexível 1" (Item 5.4.1 do MD)   </v>
          </cell>
          <cell r="C166" t="str">
            <v>m</v>
          </cell>
          <cell r="D166">
            <v>1500</v>
          </cell>
          <cell r="E166">
            <v>3.23</v>
          </cell>
          <cell r="F166">
            <v>1.93</v>
          </cell>
          <cell r="G166">
            <v>2895</v>
          </cell>
          <cell r="H166">
            <v>0</v>
          </cell>
          <cell r="I166">
            <v>0</v>
          </cell>
          <cell r="J166">
            <v>1.3</v>
          </cell>
          <cell r="K166">
            <v>1950</v>
          </cell>
          <cell r="L166">
            <v>4845</v>
          </cell>
          <cell r="M166">
            <v>5.7700000000000004E-4</v>
          </cell>
        </row>
        <row r="167">
          <cell r="A167" t="str">
            <v>4.1.3</v>
          </cell>
          <cell r="B167" t="str">
            <v xml:space="preserve">Fornecimento e Lançamento de Eletroduto Flexível 2" (Item 5.4.1 do MD)     </v>
          </cell>
          <cell r="C167" t="str">
            <v>m</v>
          </cell>
          <cell r="D167">
            <v>600</v>
          </cell>
          <cell r="E167">
            <v>10.030000000000001</v>
          </cell>
          <cell r="F167">
            <v>8.73</v>
          </cell>
          <cell r="G167">
            <v>5238</v>
          </cell>
          <cell r="H167">
            <v>0</v>
          </cell>
          <cell r="I167">
            <v>0</v>
          </cell>
          <cell r="J167">
            <v>1.3</v>
          </cell>
          <cell r="K167">
            <v>780</v>
          </cell>
          <cell r="L167">
            <v>6018</v>
          </cell>
          <cell r="M167">
            <v>7.1599999999999995E-4</v>
          </cell>
        </row>
        <row r="168">
          <cell r="A168" t="str">
            <v>4.2</v>
          </cell>
          <cell r="B168" t="str">
            <v>Luminárias, Tomadas, Interruptores, Pontos de Automação e Caixas de Passagem</v>
          </cell>
          <cell r="C168">
            <v>0</v>
          </cell>
          <cell r="D168">
            <v>0</v>
          </cell>
          <cell r="E168">
            <v>0</v>
          </cell>
          <cell r="F168">
            <v>0</v>
          </cell>
          <cell r="G168">
            <v>0</v>
          </cell>
          <cell r="H168">
            <v>0</v>
          </cell>
          <cell r="I168">
            <v>0</v>
          </cell>
          <cell r="J168">
            <v>0</v>
          </cell>
          <cell r="K168">
            <v>0</v>
          </cell>
          <cell r="L168">
            <v>0</v>
          </cell>
          <cell r="M168">
            <v>0</v>
          </cell>
        </row>
        <row r="169">
          <cell r="A169" t="str">
            <v>4.2.1</v>
          </cell>
          <cell r="B169" t="str">
            <v>Fornecimento e Instalação de arandela em alumínio fundido pintado (Epóxi), com grade de proteção e vidro óptico, para lâmpada de 100W. (Item 5.4.2 do MD)</v>
          </cell>
          <cell r="C169" t="str">
            <v>un</v>
          </cell>
          <cell r="D169">
            <v>250</v>
          </cell>
          <cell r="E169">
            <v>158.56</v>
          </cell>
          <cell r="F169">
            <v>133.15</v>
          </cell>
          <cell r="G169">
            <v>33287.5</v>
          </cell>
          <cell r="H169">
            <v>0</v>
          </cell>
          <cell r="I169">
            <v>0</v>
          </cell>
          <cell r="J169">
            <v>25.410000000000004</v>
          </cell>
          <cell r="K169">
            <v>6352.5</v>
          </cell>
          <cell r="L169">
            <v>39640</v>
          </cell>
          <cell r="M169">
            <v>4.718E-3</v>
          </cell>
        </row>
        <row r="170">
          <cell r="A170" t="str">
            <v>4.2.2</v>
          </cell>
          <cell r="B170" t="str">
            <v>Instalação de ponto com tomada alta simples, dois pólos + terra 20 A/250 V, completa, fiação 2,5 mm² (Item 5.4.2 do MD)</v>
          </cell>
          <cell r="C170" t="str">
            <v>un</v>
          </cell>
          <cell r="D170">
            <v>200</v>
          </cell>
          <cell r="E170">
            <v>81.92</v>
          </cell>
          <cell r="F170">
            <v>46.58</v>
          </cell>
          <cell r="G170">
            <v>9316</v>
          </cell>
          <cell r="H170">
            <v>0</v>
          </cell>
          <cell r="I170">
            <v>0</v>
          </cell>
          <cell r="J170">
            <v>35.340000000000003</v>
          </cell>
          <cell r="K170">
            <v>7068</v>
          </cell>
          <cell r="L170">
            <v>16384</v>
          </cell>
          <cell r="M170">
            <v>1.9499999999999999E-3</v>
          </cell>
        </row>
        <row r="171">
          <cell r="A171" t="str">
            <v>4.2.3</v>
          </cell>
          <cell r="B171" t="str">
            <v>Instalação de ponto com interruptor 1  tecla paralelo 10 A - 250 V, completo, fiação 1,5 mm² (Item 5.4.2 do MD)</v>
          </cell>
          <cell r="C171" t="str">
            <v>un</v>
          </cell>
          <cell r="D171">
            <v>200</v>
          </cell>
          <cell r="E171">
            <v>67.11</v>
          </cell>
          <cell r="F171">
            <v>31.769999999999996</v>
          </cell>
          <cell r="G171">
            <v>6354</v>
          </cell>
          <cell r="H171">
            <v>0</v>
          </cell>
          <cell r="I171">
            <v>0</v>
          </cell>
          <cell r="J171">
            <v>35.340000000000003</v>
          </cell>
          <cell r="K171">
            <v>7068</v>
          </cell>
          <cell r="L171">
            <v>13422</v>
          </cell>
          <cell r="M171">
            <v>1.5969999999999999E-3</v>
          </cell>
        </row>
        <row r="172">
          <cell r="A172" t="str">
            <v>4.2.4</v>
          </cell>
          <cell r="B172" t="str">
            <v>Instalação de ponto de automação (Item 5.4.2 do MD)</v>
          </cell>
          <cell r="C172" t="str">
            <v>un</v>
          </cell>
          <cell r="D172">
            <v>50</v>
          </cell>
          <cell r="E172">
            <v>65.75</v>
          </cell>
          <cell r="F172">
            <v>14.04</v>
          </cell>
          <cell r="G172">
            <v>702</v>
          </cell>
          <cell r="H172">
            <v>0</v>
          </cell>
          <cell r="I172">
            <v>0</v>
          </cell>
          <cell r="J172">
            <v>51.709999999999994</v>
          </cell>
          <cell r="K172">
            <v>2585.5</v>
          </cell>
          <cell r="L172">
            <v>3287.5</v>
          </cell>
          <cell r="M172">
            <v>3.9100000000000002E-4</v>
          </cell>
        </row>
        <row r="173">
          <cell r="A173" t="str">
            <v>4.2.5</v>
          </cell>
          <cell r="B173" t="str">
            <v>Caixa de passagem elétrica 15 x15 cm (Item 5.4.2 do MD)</v>
          </cell>
          <cell r="C173" t="str">
            <v>un</v>
          </cell>
          <cell r="D173">
            <v>50</v>
          </cell>
          <cell r="E173">
            <v>35.82</v>
          </cell>
          <cell r="F173">
            <v>11.059999999999999</v>
          </cell>
          <cell r="G173">
            <v>553</v>
          </cell>
          <cell r="H173">
            <v>0</v>
          </cell>
          <cell r="I173">
            <v>0</v>
          </cell>
          <cell r="J173">
            <v>24.76</v>
          </cell>
          <cell r="K173">
            <v>1238</v>
          </cell>
          <cell r="L173">
            <v>1791</v>
          </cell>
          <cell r="M173">
            <v>2.13E-4</v>
          </cell>
        </row>
        <row r="174">
          <cell r="A174" t="str">
            <v>4.3</v>
          </cell>
          <cell r="B174" t="str">
            <v>Iluminação de Poços e Reservatórios</v>
          </cell>
          <cell r="C174">
            <v>0</v>
          </cell>
          <cell r="D174">
            <v>0</v>
          </cell>
          <cell r="E174">
            <v>0</v>
          </cell>
          <cell r="F174">
            <v>0</v>
          </cell>
          <cell r="G174">
            <v>0</v>
          </cell>
          <cell r="H174">
            <v>0</v>
          </cell>
          <cell r="I174">
            <v>0</v>
          </cell>
          <cell r="J174">
            <v>0</v>
          </cell>
          <cell r="K174">
            <v>0</v>
          </cell>
          <cell r="L174">
            <v>0</v>
          </cell>
          <cell r="M174">
            <v>0</v>
          </cell>
        </row>
        <row r="175">
          <cell r="A175" t="str">
            <v>4.3.1</v>
          </cell>
          <cell r="B175" t="str">
            <v>Fornecimento e instalação de luminária no poste ou no Reservatório (Item 5.4.3 do MD)</v>
          </cell>
          <cell r="C175" t="str">
            <v>un</v>
          </cell>
          <cell r="D175">
            <v>250</v>
          </cell>
          <cell r="E175">
            <v>340.71000000000004</v>
          </cell>
          <cell r="F175">
            <v>234.33</v>
          </cell>
          <cell r="G175">
            <v>58582.5</v>
          </cell>
          <cell r="H175">
            <v>0.35000000000000003</v>
          </cell>
          <cell r="I175">
            <v>87.5</v>
          </cell>
          <cell r="J175">
            <v>106.03</v>
          </cell>
          <cell r="K175">
            <v>26507.5</v>
          </cell>
          <cell r="L175">
            <v>85177.5</v>
          </cell>
          <cell r="M175">
            <v>1.0137E-2</v>
          </cell>
        </row>
        <row r="176">
          <cell r="A176" t="str">
            <v>4.3.2</v>
          </cell>
          <cell r="B176" t="str">
            <v>Instalação do ramal em eletroduto rígido (Item 5.4.3 do MD)</v>
          </cell>
          <cell r="C176" t="str">
            <v>m</v>
          </cell>
          <cell r="D176">
            <v>500</v>
          </cell>
          <cell r="E176">
            <v>40.21</v>
          </cell>
          <cell r="F176">
            <v>14.45</v>
          </cell>
          <cell r="G176">
            <v>7225</v>
          </cell>
          <cell r="H176">
            <v>0.35000000000000003</v>
          </cell>
          <cell r="I176">
            <v>175</v>
          </cell>
          <cell r="J176">
            <v>25.410000000000004</v>
          </cell>
          <cell r="K176">
            <v>12705</v>
          </cell>
          <cell r="L176">
            <v>20105</v>
          </cell>
          <cell r="M176">
            <v>2.3930000000000002E-3</v>
          </cell>
        </row>
        <row r="177">
          <cell r="A177" t="str">
            <v>4.3.3</v>
          </cell>
          <cell r="B177" t="str">
            <v>Montagem e alimentação no painel (Item 5.4.3 do MD)</v>
          </cell>
          <cell r="C177" t="str">
            <v>un</v>
          </cell>
          <cell r="D177">
            <v>30</v>
          </cell>
          <cell r="E177">
            <v>69.790000000000006</v>
          </cell>
          <cell r="F177">
            <v>33.56</v>
          </cell>
          <cell r="G177">
            <v>1006.8</v>
          </cell>
          <cell r="H177">
            <v>0.89</v>
          </cell>
          <cell r="I177">
            <v>26.7</v>
          </cell>
          <cell r="J177">
            <v>35.340000000000003</v>
          </cell>
          <cell r="K177">
            <v>1060.2</v>
          </cell>
          <cell r="L177">
            <v>2093.6999999999998</v>
          </cell>
          <cell r="M177">
            <v>2.4899999999999998E-4</v>
          </cell>
        </row>
        <row r="178">
          <cell r="A178">
            <v>0</v>
          </cell>
          <cell r="B178">
            <v>0</v>
          </cell>
          <cell r="C178">
            <v>0</v>
          </cell>
          <cell r="D178">
            <v>0</v>
          </cell>
          <cell r="E178">
            <v>0</v>
          </cell>
          <cell r="F178">
            <v>0</v>
          </cell>
          <cell r="G178">
            <v>0</v>
          </cell>
          <cell r="H178">
            <v>0</v>
          </cell>
          <cell r="I178">
            <v>0</v>
          </cell>
          <cell r="J178">
            <v>0</v>
          </cell>
          <cell r="K178">
            <v>0</v>
          </cell>
          <cell r="L178">
            <v>0</v>
          </cell>
          <cell r="M178">
            <v>0</v>
          </cell>
        </row>
        <row r="179">
          <cell r="A179" t="str">
            <v>5.0</v>
          </cell>
          <cell r="B179" t="str">
            <v>INSTALAÇÕES HIDRAULICAS</v>
          </cell>
          <cell r="C179" t="str">
            <v>SUB-TOTAL</v>
          </cell>
          <cell r="D179">
            <v>0</v>
          </cell>
          <cell r="E179">
            <v>0</v>
          </cell>
          <cell r="F179">
            <v>83090.100000000006</v>
          </cell>
          <cell r="G179">
            <v>83090.100000000006</v>
          </cell>
          <cell r="H179">
            <v>60693.599999999999</v>
          </cell>
          <cell r="I179">
            <v>60693.599999999999</v>
          </cell>
          <cell r="J179">
            <v>317263.09999999998</v>
          </cell>
          <cell r="K179">
            <v>317263.09999999998</v>
          </cell>
          <cell r="L179">
            <v>461046.80000000005</v>
          </cell>
          <cell r="M179">
            <v>5.4871999999999997E-2</v>
          </cell>
        </row>
        <row r="180">
          <cell r="A180">
            <v>0</v>
          </cell>
          <cell r="B180">
            <v>0</v>
          </cell>
          <cell r="C180">
            <v>0</v>
          </cell>
          <cell r="D180">
            <v>0</v>
          </cell>
          <cell r="E180">
            <v>0</v>
          </cell>
          <cell r="F180">
            <v>0.18022099999999999</v>
          </cell>
          <cell r="G180" t="str">
            <v>sim</v>
          </cell>
          <cell r="H180">
            <v>0.13164300000000001</v>
          </cell>
          <cell r="I180" t="str">
            <v>sim</v>
          </cell>
          <cell r="J180">
            <v>0.68813599999999997</v>
          </cell>
          <cell r="K180" t="str">
            <v>sim</v>
          </cell>
          <cell r="L180">
            <v>0</v>
          </cell>
          <cell r="M180">
            <v>0</v>
          </cell>
        </row>
        <row r="181">
          <cell r="A181" t="str">
            <v>5.1</v>
          </cell>
          <cell r="B181" t="str">
            <v>Casas de Cloro e Flúor</v>
          </cell>
          <cell r="C181">
            <v>0</v>
          </cell>
          <cell r="D181">
            <v>0</v>
          </cell>
          <cell r="E181">
            <v>0</v>
          </cell>
          <cell r="F181">
            <v>0</v>
          </cell>
          <cell r="G181">
            <v>0</v>
          </cell>
          <cell r="H181">
            <v>0</v>
          </cell>
          <cell r="I181">
            <v>0</v>
          </cell>
          <cell r="J181">
            <v>0</v>
          </cell>
          <cell r="K181">
            <v>0</v>
          </cell>
          <cell r="L181">
            <v>0</v>
          </cell>
          <cell r="M181">
            <v>0</v>
          </cell>
        </row>
        <row r="182">
          <cell r="A182" t="str">
            <v>5.1.1</v>
          </cell>
          <cell r="B182" t="str">
            <v>Instalação de ralo seco de PVC rígido, altura de 50mm, diâmetro de entrada de 40mm, com grelha quadrada de PVC branco, nas dimensões 100x100mm. (Item 5.5.1 do MD)</v>
          </cell>
          <cell r="C182" t="str">
            <v>un</v>
          </cell>
          <cell r="D182">
            <v>200</v>
          </cell>
          <cell r="E182">
            <v>22.049999999999997</v>
          </cell>
          <cell r="F182">
            <v>7.7900000000000009</v>
          </cell>
          <cell r="G182">
            <v>1558</v>
          </cell>
          <cell r="H182">
            <v>0</v>
          </cell>
          <cell r="I182">
            <v>0</v>
          </cell>
          <cell r="J182">
            <v>14.259999999999998</v>
          </cell>
          <cell r="K182">
            <v>2852</v>
          </cell>
          <cell r="L182">
            <v>4410</v>
          </cell>
          <cell r="M182">
            <v>5.2499999999999997E-4</v>
          </cell>
        </row>
        <row r="183">
          <cell r="A183" t="str">
            <v>5.1.2</v>
          </cell>
          <cell r="B183" t="str">
            <v>Instalação tubo em PVC, com conexões Ø 40 mm, da bomba dosadora até a caixa de dosagem química ou do ralo até a caixa de drenagem (Item 5.5.1 do MD)</v>
          </cell>
          <cell r="C183" t="str">
            <v>m</v>
          </cell>
          <cell r="D183">
            <v>200</v>
          </cell>
          <cell r="E183">
            <v>24.060000000000002</v>
          </cell>
          <cell r="F183">
            <v>6.1899999999999995</v>
          </cell>
          <cell r="G183">
            <v>1238</v>
          </cell>
          <cell r="H183">
            <v>0</v>
          </cell>
          <cell r="I183">
            <v>0</v>
          </cell>
          <cell r="J183">
            <v>17.87</v>
          </cell>
          <cell r="K183">
            <v>3574</v>
          </cell>
          <cell r="L183">
            <v>4812</v>
          </cell>
          <cell r="M183">
            <v>5.7300000000000005E-4</v>
          </cell>
        </row>
        <row r="184">
          <cell r="A184" t="str">
            <v>5.1.3</v>
          </cell>
          <cell r="B184" t="str">
            <v>Fornecimento e Instalação de abraçadeira completa para ponto de dosagem (Item 5.5.1 do MD)</v>
          </cell>
          <cell r="C184" t="str">
            <v>un</v>
          </cell>
          <cell r="D184">
            <v>250</v>
          </cell>
          <cell r="E184">
            <v>105.11999999999998</v>
          </cell>
          <cell r="F184">
            <v>69.419999999999987</v>
          </cell>
          <cell r="G184">
            <v>17355</v>
          </cell>
          <cell r="H184">
            <v>0</v>
          </cell>
          <cell r="I184">
            <v>0</v>
          </cell>
          <cell r="J184">
            <v>35.699999999999996</v>
          </cell>
          <cell r="K184">
            <v>8925</v>
          </cell>
          <cell r="L184">
            <v>26280</v>
          </cell>
          <cell r="M184">
            <v>3.1280000000000001E-3</v>
          </cell>
        </row>
        <row r="185">
          <cell r="A185" t="str">
            <v>5.1.4</v>
          </cell>
          <cell r="B185" t="str">
            <v>Fornecimento e Instalação de mangueira de polietileno de baixa densidade 1/4"  entre bomba dosadora e ponto de aplicação do produto químico (Item 5.5.1 do MD)</v>
          </cell>
          <cell r="C185" t="str">
            <v>m</v>
          </cell>
          <cell r="D185">
            <v>2000</v>
          </cell>
          <cell r="E185">
            <v>5.5200000000000005</v>
          </cell>
          <cell r="F185">
            <v>1.93</v>
          </cell>
          <cell r="G185">
            <v>3860</v>
          </cell>
          <cell r="H185">
            <v>0</v>
          </cell>
          <cell r="I185">
            <v>0</v>
          </cell>
          <cell r="J185">
            <v>3.5900000000000003</v>
          </cell>
          <cell r="K185">
            <v>7180</v>
          </cell>
          <cell r="L185">
            <v>11040</v>
          </cell>
          <cell r="M185">
            <v>1.3140000000000001E-3</v>
          </cell>
        </row>
        <row r="186">
          <cell r="A186" t="str">
            <v>5.2</v>
          </cell>
          <cell r="B186" t="str">
            <v>Cavaletes e Poços</v>
          </cell>
          <cell r="C186">
            <v>0</v>
          </cell>
          <cell r="D186">
            <v>0</v>
          </cell>
          <cell r="E186">
            <v>0</v>
          </cell>
          <cell r="F186">
            <v>0</v>
          </cell>
          <cell r="G186">
            <v>0</v>
          </cell>
          <cell r="H186">
            <v>0</v>
          </cell>
          <cell r="I186">
            <v>0</v>
          </cell>
          <cell r="J186">
            <v>0</v>
          </cell>
          <cell r="K186">
            <v>0</v>
          </cell>
          <cell r="L186">
            <v>0</v>
          </cell>
          <cell r="M186">
            <v>0</v>
          </cell>
        </row>
        <row r="187">
          <cell r="A187" t="str">
            <v>5.2.1</v>
          </cell>
          <cell r="B187" t="str">
            <v>Desmontagem de cavalete. (Item 5.5.2 do MD)</v>
          </cell>
          <cell r="C187" t="str">
            <v>un</v>
          </cell>
          <cell r="D187">
            <v>200</v>
          </cell>
          <cell r="E187">
            <v>133.30000000000001</v>
          </cell>
          <cell r="F187">
            <v>0</v>
          </cell>
          <cell r="G187">
            <v>0</v>
          </cell>
          <cell r="H187">
            <v>0</v>
          </cell>
          <cell r="I187">
            <v>0</v>
          </cell>
          <cell r="J187">
            <v>133.30000000000001</v>
          </cell>
          <cell r="K187">
            <v>26660</v>
          </cell>
          <cell r="L187">
            <v>26660</v>
          </cell>
          <cell r="M187">
            <v>3.173E-3</v>
          </cell>
        </row>
        <row r="188">
          <cell r="A188" t="str">
            <v>5.2.2</v>
          </cell>
          <cell r="B188" t="str">
            <v>Montagem de cavalete 2" (modelo I) (Item 5.5.2 do MD)</v>
          </cell>
          <cell r="C188" t="str">
            <v>un</v>
          </cell>
          <cell r="D188">
            <v>100</v>
          </cell>
          <cell r="E188">
            <v>279.19</v>
          </cell>
          <cell r="F188">
            <v>12.59</v>
          </cell>
          <cell r="G188">
            <v>1259</v>
          </cell>
          <cell r="H188">
            <v>0</v>
          </cell>
          <cell r="I188">
            <v>0</v>
          </cell>
          <cell r="J188">
            <v>266.60000000000002</v>
          </cell>
          <cell r="K188">
            <v>26660</v>
          </cell>
          <cell r="L188">
            <v>27919</v>
          </cell>
          <cell r="M188">
            <v>3.323E-3</v>
          </cell>
        </row>
        <row r="189">
          <cell r="A189" t="str">
            <v>5.2.3</v>
          </cell>
          <cell r="B189" t="str">
            <v>Montagem de cavalete 3" (modelo III) (Item 5.5.2 do MD)</v>
          </cell>
          <cell r="C189" t="str">
            <v>un</v>
          </cell>
          <cell r="D189">
            <v>100</v>
          </cell>
          <cell r="E189">
            <v>351.3</v>
          </cell>
          <cell r="F189">
            <v>18.04</v>
          </cell>
          <cell r="G189">
            <v>1804</v>
          </cell>
          <cell r="H189">
            <v>0</v>
          </cell>
          <cell r="I189">
            <v>0</v>
          </cell>
          <cell r="J189">
            <v>333.26</v>
          </cell>
          <cell r="K189">
            <v>33326</v>
          </cell>
          <cell r="L189">
            <v>35130</v>
          </cell>
          <cell r="M189">
            <v>4.1809999999999998E-3</v>
          </cell>
        </row>
        <row r="190">
          <cell r="A190" t="str">
            <v>5.3</v>
          </cell>
          <cell r="B190" t="str">
            <v>Execução de rosca</v>
          </cell>
          <cell r="C190">
            <v>0</v>
          </cell>
          <cell r="D190">
            <v>0</v>
          </cell>
          <cell r="E190">
            <v>0</v>
          </cell>
          <cell r="F190">
            <v>0</v>
          </cell>
          <cell r="G190">
            <v>0</v>
          </cell>
          <cell r="H190">
            <v>0</v>
          </cell>
          <cell r="I190">
            <v>0</v>
          </cell>
          <cell r="J190">
            <v>0</v>
          </cell>
          <cell r="K190">
            <v>0</v>
          </cell>
          <cell r="L190">
            <v>0</v>
          </cell>
          <cell r="M190">
            <v>0</v>
          </cell>
        </row>
        <row r="191">
          <cell r="A191" t="str">
            <v>5.3.1</v>
          </cell>
          <cell r="B191" t="str">
            <v>Execução de rosca em tubo de aço carbono galvanizado 2" (Item 5.5.2 do MD)</v>
          </cell>
          <cell r="C191" t="str">
            <v>un</v>
          </cell>
          <cell r="D191">
            <v>200</v>
          </cell>
          <cell r="E191">
            <v>18.920000000000002</v>
          </cell>
          <cell r="F191">
            <v>0</v>
          </cell>
          <cell r="G191">
            <v>0</v>
          </cell>
          <cell r="H191">
            <v>18.920000000000002</v>
          </cell>
          <cell r="I191">
            <v>3784</v>
          </cell>
          <cell r="J191">
            <v>0</v>
          </cell>
          <cell r="K191">
            <v>0</v>
          </cell>
          <cell r="L191">
            <v>3784</v>
          </cell>
          <cell r="M191">
            <v>4.4999999999999999E-4</v>
          </cell>
        </row>
        <row r="192">
          <cell r="A192" t="str">
            <v>5.3.2</v>
          </cell>
          <cell r="B192" t="str">
            <v>Execução de rosca em tubo de aço carbono galvanizado 3" (Item 5.5.2 do MD)</v>
          </cell>
          <cell r="C192" t="str">
            <v>un</v>
          </cell>
          <cell r="D192">
            <v>200</v>
          </cell>
          <cell r="E192">
            <v>23.65</v>
          </cell>
          <cell r="F192">
            <v>0</v>
          </cell>
          <cell r="G192">
            <v>0</v>
          </cell>
          <cell r="H192">
            <v>23.65</v>
          </cell>
          <cell r="I192">
            <v>4730</v>
          </cell>
          <cell r="J192">
            <v>0</v>
          </cell>
          <cell r="K192">
            <v>0</v>
          </cell>
          <cell r="L192">
            <v>4730</v>
          </cell>
          <cell r="M192">
            <v>5.6300000000000002E-4</v>
          </cell>
        </row>
        <row r="193">
          <cell r="A193" t="str">
            <v>5.3.3</v>
          </cell>
          <cell r="B193" t="str">
            <v>Execução de rosca em tubo de aço carbono galvanizado 4" (Item 5.5.2 do MD)</v>
          </cell>
          <cell r="C193" t="str">
            <v>un</v>
          </cell>
          <cell r="D193">
            <v>200</v>
          </cell>
          <cell r="E193">
            <v>28.37</v>
          </cell>
          <cell r="F193">
            <v>0</v>
          </cell>
          <cell r="G193">
            <v>0</v>
          </cell>
          <cell r="H193">
            <v>28.37</v>
          </cell>
          <cell r="I193">
            <v>5674</v>
          </cell>
          <cell r="J193">
            <v>0</v>
          </cell>
          <cell r="K193">
            <v>0</v>
          </cell>
          <cell r="L193">
            <v>5674</v>
          </cell>
          <cell r="M193">
            <v>6.7500000000000004E-4</v>
          </cell>
        </row>
        <row r="194">
          <cell r="A194" t="str">
            <v>5.3.4</v>
          </cell>
          <cell r="B194" t="str">
            <v>Execução de rosca em tubo de aço carbono galvanizado 6" (Item 5.5.2 do MD)</v>
          </cell>
          <cell r="C194" t="str">
            <v>un</v>
          </cell>
          <cell r="D194">
            <v>200</v>
          </cell>
          <cell r="E194">
            <v>37.840000000000003</v>
          </cell>
          <cell r="F194">
            <v>0</v>
          </cell>
          <cell r="G194">
            <v>0</v>
          </cell>
          <cell r="H194">
            <v>37.840000000000003</v>
          </cell>
          <cell r="I194">
            <v>7568</v>
          </cell>
          <cell r="J194">
            <v>0</v>
          </cell>
          <cell r="K194">
            <v>0</v>
          </cell>
          <cell r="L194">
            <v>7568</v>
          </cell>
          <cell r="M194">
            <v>9.01E-4</v>
          </cell>
        </row>
        <row r="195">
          <cell r="A195" t="str">
            <v>5.4</v>
          </cell>
          <cell r="B195" t="str">
            <v>Rebaixamento e Alteamento de Poços</v>
          </cell>
          <cell r="C195">
            <v>0</v>
          </cell>
          <cell r="D195">
            <v>0</v>
          </cell>
          <cell r="E195">
            <v>0</v>
          </cell>
          <cell r="F195">
            <v>0</v>
          </cell>
          <cell r="G195">
            <v>0</v>
          </cell>
          <cell r="H195">
            <v>0</v>
          </cell>
          <cell r="I195">
            <v>0</v>
          </cell>
          <cell r="J195">
            <v>0</v>
          </cell>
          <cell r="K195">
            <v>0</v>
          </cell>
          <cell r="L195">
            <v>0</v>
          </cell>
          <cell r="M195">
            <v>0</v>
          </cell>
        </row>
        <row r="196">
          <cell r="A196" t="str">
            <v>5.4.1</v>
          </cell>
          <cell r="B196" t="str">
            <v>Rebaixamento do tubo de boca do poço (Item 5.5.2 do MD)</v>
          </cell>
          <cell r="C196" t="str">
            <v>un</v>
          </cell>
          <cell r="D196">
            <v>30</v>
          </cell>
          <cell r="E196">
            <v>309.27</v>
          </cell>
          <cell r="F196">
            <v>0</v>
          </cell>
          <cell r="G196">
            <v>0</v>
          </cell>
          <cell r="H196">
            <v>192.35999999999999</v>
          </cell>
          <cell r="I196">
            <v>5770.8</v>
          </cell>
          <cell r="J196">
            <v>116.91000000000001</v>
          </cell>
          <cell r="K196">
            <v>3507.3</v>
          </cell>
          <cell r="L196">
            <v>9278.1</v>
          </cell>
          <cell r="M196">
            <v>1.1039999999999999E-3</v>
          </cell>
        </row>
        <row r="197">
          <cell r="A197" t="str">
            <v>5.4.2</v>
          </cell>
          <cell r="B197" t="str">
            <v>Alteamento do tubo de boca do poço (Item 5.5.2 do MD)</v>
          </cell>
          <cell r="C197" t="str">
            <v>un</v>
          </cell>
          <cell r="D197">
            <v>30</v>
          </cell>
          <cell r="E197">
            <v>333.69</v>
          </cell>
          <cell r="F197">
            <v>24.419999999999998</v>
          </cell>
          <cell r="G197">
            <v>732.6</v>
          </cell>
          <cell r="H197">
            <v>192.35999999999999</v>
          </cell>
          <cell r="I197">
            <v>5770.8</v>
          </cell>
          <cell r="J197">
            <v>116.91000000000001</v>
          </cell>
          <cell r="K197">
            <v>3507.3</v>
          </cell>
          <cell r="L197">
            <v>10010.700000000001</v>
          </cell>
          <cell r="M197">
            <v>1.191E-3</v>
          </cell>
        </row>
        <row r="198">
          <cell r="A198" t="str">
            <v>5.5</v>
          </cell>
          <cell r="B198" t="str">
            <v>Içamento</v>
          </cell>
          <cell r="C198">
            <v>0</v>
          </cell>
          <cell r="D198">
            <v>0</v>
          </cell>
          <cell r="E198">
            <v>0</v>
          </cell>
          <cell r="F198">
            <v>0</v>
          </cell>
          <cell r="G198">
            <v>0</v>
          </cell>
          <cell r="H198">
            <v>0</v>
          </cell>
          <cell r="I198">
            <v>0</v>
          </cell>
          <cell r="J198">
            <v>0</v>
          </cell>
          <cell r="K198">
            <v>0</v>
          </cell>
          <cell r="L198">
            <v>0</v>
          </cell>
          <cell r="M198">
            <v>0</v>
          </cell>
        </row>
        <row r="199">
          <cell r="A199" t="str">
            <v>5.5.1</v>
          </cell>
          <cell r="B199" t="str">
            <v>Içamento do conjunto moto-bomba para substituição de conexões do poço (Item 5.5.2 do MD)</v>
          </cell>
          <cell r="C199" t="str">
            <v>un</v>
          </cell>
          <cell r="D199">
            <v>30</v>
          </cell>
          <cell r="E199">
            <v>321.39999999999998</v>
          </cell>
          <cell r="F199">
            <v>0</v>
          </cell>
          <cell r="G199">
            <v>0</v>
          </cell>
          <cell r="H199">
            <v>321.39999999999998</v>
          </cell>
          <cell r="I199">
            <v>9642</v>
          </cell>
          <cell r="J199">
            <v>0</v>
          </cell>
          <cell r="K199">
            <v>0</v>
          </cell>
          <cell r="L199">
            <v>9642</v>
          </cell>
          <cell r="M199">
            <v>1.1479999999999999E-3</v>
          </cell>
        </row>
        <row r="200">
          <cell r="A200" t="str">
            <v>5.6</v>
          </cell>
          <cell r="B200" t="str">
            <v>Barrilete</v>
          </cell>
          <cell r="C200">
            <v>0</v>
          </cell>
          <cell r="D200">
            <v>0</v>
          </cell>
          <cell r="E200">
            <v>0</v>
          </cell>
          <cell r="F200">
            <v>0</v>
          </cell>
          <cell r="G200">
            <v>0</v>
          </cell>
          <cell r="H200">
            <v>0</v>
          </cell>
          <cell r="I200">
            <v>0</v>
          </cell>
          <cell r="J200">
            <v>0</v>
          </cell>
          <cell r="K200">
            <v>0</v>
          </cell>
          <cell r="L200">
            <v>0</v>
          </cell>
          <cell r="M200">
            <v>0</v>
          </cell>
        </row>
        <row r="201">
          <cell r="A201" t="str">
            <v>5.6.1</v>
          </cell>
          <cell r="B201" t="str">
            <v>Execução de barrilete com duas unificações (Item 5.5.2 do MD)</v>
          </cell>
          <cell r="C201" t="str">
            <v>un</v>
          </cell>
          <cell r="D201">
            <v>50</v>
          </cell>
          <cell r="E201">
            <v>202.98000000000002</v>
          </cell>
          <cell r="F201">
            <v>3.41</v>
          </cell>
          <cell r="G201">
            <v>170.5</v>
          </cell>
          <cell r="H201">
            <v>0</v>
          </cell>
          <cell r="I201">
            <v>0</v>
          </cell>
          <cell r="J201">
            <v>199.57000000000002</v>
          </cell>
          <cell r="K201">
            <v>9978.5</v>
          </cell>
          <cell r="L201">
            <v>10149</v>
          </cell>
          <cell r="M201">
            <v>1.2080000000000001E-3</v>
          </cell>
        </row>
        <row r="202">
          <cell r="A202" t="str">
            <v>5.6.2</v>
          </cell>
          <cell r="B202" t="str">
            <v>Execução de barrilete com três unificações (Item 5.5.2 do MD)</v>
          </cell>
          <cell r="C202" t="str">
            <v>un</v>
          </cell>
          <cell r="D202">
            <v>50</v>
          </cell>
          <cell r="E202">
            <v>320.91000000000003</v>
          </cell>
          <cell r="F202">
            <v>4.6100000000000003</v>
          </cell>
          <cell r="G202">
            <v>230.5</v>
          </cell>
          <cell r="H202">
            <v>0</v>
          </cell>
          <cell r="I202">
            <v>0</v>
          </cell>
          <cell r="J202">
            <v>316.3</v>
          </cell>
          <cell r="K202">
            <v>15815</v>
          </cell>
          <cell r="L202">
            <v>16045.5</v>
          </cell>
          <cell r="M202">
            <v>1.91E-3</v>
          </cell>
        </row>
        <row r="203">
          <cell r="A203" t="str">
            <v>5.6.3</v>
          </cell>
          <cell r="B203" t="str">
            <v>Execução de barrilete com quatro unificações (Item 5.5.2 do MD)</v>
          </cell>
          <cell r="C203" t="str">
            <v>un</v>
          </cell>
          <cell r="D203">
            <v>50</v>
          </cell>
          <cell r="E203">
            <v>472.82</v>
          </cell>
          <cell r="F203">
            <v>5.87</v>
          </cell>
          <cell r="G203">
            <v>293.5</v>
          </cell>
          <cell r="H203">
            <v>0</v>
          </cell>
          <cell r="I203">
            <v>0</v>
          </cell>
          <cell r="J203">
            <v>466.95</v>
          </cell>
          <cell r="K203">
            <v>23347.5</v>
          </cell>
          <cell r="L203">
            <v>23641</v>
          </cell>
          <cell r="M203">
            <v>2.8140000000000001E-3</v>
          </cell>
        </row>
        <row r="204">
          <cell r="A204" t="str">
            <v>5.7</v>
          </cell>
          <cell r="B204" t="str">
            <v>Tubulações para Unificação</v>
          </cell>
          <cell r="C204">
            <v>0</v>
          </cell>
          <cell r="D204">
            <v>0</v>
          </cell>
          <cell r="E204">
            <v>0</v>
          </cell>
          <cell r="F204">
            <v>0</v>
          </cell>
          <cell r="G204">
            <v>0</v>
          </cell>
          <cell r="H204">
            <v>0</v>
          </cell>
          <cell r="I204">
            <v>0</v>
          </cell>
          <cell r="J204">
            <v>0</v>
          </cell>
          <cell r="K204">
            <v>0</v>
          </cell>
          <cell r="L204">
            <v>0</v>
          </cell>
          <cell r="M204">
            <v>0</v>
          </cell>
        </row>
        <row r="205">
          <cell r="A205" t="str">
            <v>5.7.1</v>
          </cell>
          <cell r="B205" t="str">
            <v>Execução de tubulação para unificação de poços no Reservatório (Horizontal - PVC 2") com conexões (Item 5.5.2 do MD)</v>
          </cell>
          <cell r="C205" t="str">
            <v>m</v>
          </cell>
          <cell r="D205">
            <v>30</v>
          </cell>
          <cell r="E205">
            <v>16.18</v>
          </cell>
          <cell r="F205">
            <v>0</v>
          </cell>
          <cell r="G205">
            <v>0</v>
          </cell>
          <cell r="H205">
            <v>0</v>
          </cell>
          <cell r="I205">
            <v>0</v>
          </cell>
          <cell r="J205">
            <v>16.18</v>
          </cell>
          <cell r="K205">
            <v>485.4</v>
          </cell>
          <cell r="L205">
            <v>485.4</v>
          </cell>
          <cell r="M205">
            <v>5.8E-5</v>
          </cell>
        </row>
        <row r="206">
          <cell r="A206" t="str">
            <v>5.7.2</v>
          </cell>
          <cell r="B206" t="str">
            <v>Execução de tubulação para unificação de poços no Reservatório (Horizontal - PVC 2 1/2") com conexões (Item 5.5.2 do MD)</v>
          </cell>
          <cell r="C206" t="str">
            <v>m</v>
          </cell>
          <cell r="D206">
            <v>30</v>
          </cell>
          <cell r="E206">
            <v>16.95</v>
          </cell>
          <cell r="F206">
            <v>0</v>
          </cell>
          <cell r="G206">
            <v>0</v>
          </cell>
          <cell r="H206">
            <v>0</v>
          </cell>
          <cell r="I206">
            <v>0</v>
          </cell>
          <cell r="J206">
            <v>16.95</v>
          </cell>
          <cell r="K206">
            <v>508.5</v>
          </cell>
          <cell r="L206">
            <v>508.5</v>
          </cell>
          <cell r="M206">
            <v>6.0999999999999999E-5</v>
          </cell>
        </row>
        <row r="207">
          <cell r="A207" t="str">
            <v>5.7.3</v>
          </cell>
          <cell r="B207" t="str">
            <v>Execução de tubulação para unificação dos poços no Reservatório (Horizontal - PVC 3") com conexões (Item 5.5.2 do MD)</v>
          </cell>
          <cell r="C207" t="str">
            <v>m</v>
          </cell>
          <cell r="D207">
            <v>60</v>
          </cell>
          <cell r="E207">
            <v>17.71</v>
          </cell>
          <cell r="F207">
            <v>0</v>
          </cell>
          <cell r="G207">
            <v>0</v>
          </cell>
          <cell r="H207">
            <v>0</v>
          </cell>
          <cell r="I207">
            <v>0</v>
          </cell>
          <cell r="J207">
            <v>17.71</v>
          </cell>
          <cell r="K207">
            <v>1062.5999999999999</v>
          </cell>
          <cell r="L207">
            <v>1062.5999999999999</v>
          </cell>
          <cell r="M207">
            <v>1.26E-4</v>
          </cell>
        </row>
        <row r="208">
          <cell r="A208" t="str">
            <v>5.7.4</v>
          </cell>
          <cell r="B208" t="str">
            <v>Execução de tubulação para unificação dos poços no Reservatório (Horizontal - PVC 4") com conexões (Item 5.5.2 do MD)</v>
          </cell>
          <cell r="C208" t="str">
            <v>m</v>
          </cell>
          <cell r="D208">
            <v>300</v>
          </cell>
          <cell r="E208">
            <v>17.71</v>
          </cell>
          <cell r="F208">
            <v>0</v>
          </cell>
          <cell r="G208">
            <v>0</v>
          </cell>
          <cell r="H208">
            <v>0</v>
          </cell>
          <cell r="I208">
            <v>0</v>
          </cell>
          <cell r="J208">
            <v>17.71</v>
          </cell>
          <cell r="K208">
            <v>5313</v>
          </cell>
          <cell r="L208">
            <v>5313</v>
          </cell>
          <cell r="M208">
            <v>6.3199999999999997E-4</v>
          </cell>
        </row>
        <row r="209">
          <cell r="A209" t="str">
            <v>5.7.5</v>
          </cell>
          <cell r="B209" t="str">
            <v>Execução de tubulação para unificação dos poços no Reservatório (Horizontal - PVC 6") com conexões (Item 5.5.2 do MD)</v>
          </cell>
          <cell r="C209" t="str">
            <v>m</v>
          </cell>
          <cell r="D209">
            <v>300</v>
          </cell>
          <cell r="E209">
            <v>21.16</v>
          </cell>
          <cell r="F209">
            <v>0</v>
          </cell>
          <cell r="G209">
            <v>0</v>
          </cell>
          <cell r="H209">
            <v>0</v>
          </cell>
          <cell r="I209">
            <v>0</v>
          </cell>
          <cell r="J209">
            <v>21.16</v>
          </cell>
          <cell r="K209">
            <v>6348</v>
          </cell>
          <cell r="L209">
            <v>6348</v>
          </cell>
          <cell r="M209">
            <v>7.5600000000000005E-4</v>
          </cell>
        </row>
        <row r="210">
          <cell r="A210" t="str">
            <v>5.7.6</v>
          </cell>
          <cell r="B210" t="str">
            <v>Execução de tubulação para unificação dos poços no Reservatório (Horizontal - FoGo 4") com conexões (Item 5.5.2 do MD)</v>
          </cell>
          <cell r="C210" t="str">
            <v>m</v>
          </cell>
          <cell r="D210">
            <v>300</v>
          </cell>
          <cell r="E210">
            <v>79.05</v>
          </cell>
          <cell r="F210">
            <v>0.52</v>
          </cell>
          <cell r="G210">
            <v>156</v>
          </cell>
          <cell r="H210">
            <v>0</v>
          </cell>
          <cell r="I210">
            <v>0</v>
          </cell>
          <cell r="J210">
            <v>78.53</v>
          </cell>
          <cell r="K210">
            <v>23559</v>
          </cell>
          <cell r="L210">
            <v>23715</v>
          </cell>
          <cell r="M210">
            <v>2.8219999999999999E-3</v>
          </cell>
        </row>
        <row r="211">
          <cell r="A211" t="str">
            <v>5.7.7</v>
          </cell>
          <cell r="B211" t="str">
            <v>Execução de tubulação para unificação dos poços no Reservatório (Horizontal - FoGo 6") com conexões (Item 5.5.2 do MD)</v>
          </cell>
          <cell r="C211" t="str">
            <v>m</v>
          </cell>
          <cell r="D211">
            <v>300</v>
          </cell>
          <cell r="E211">
            <v>95.309999999999988</v>
          </cell>
          <cell r="F211">
            <v>0.71000000000000008</v>
          </cell>
          <cell r="G211">
            <v>213</v>
          </cell>
          <cell r="H211">
            <v>0</v>
          </cell>
          <cell r="I211">
            <v>0</v>
          </cell>
          <cell r="J211">
            <v>94.6</v>
          </cell>
          <cell r="K211">
            <v>28380</v>
          </cell>
          <cell r="L211">
            <v>28593</v>
          </cell>
          <cell r="M211">
            <v>3.4030000000000002E-3</v>
          </cell>
        </row>
        <row r="212">
          <cell r="A212" t="str">
            <v>5.7.8</v>
          </cell>
          <cell r="B212" t="str">
            <v>Execução de tubulação para unificação dos poços no Reservatório (Vertical - FoGo 4") com conexões (Item 5.5.2 do MD)</v>
          </cell>
          <cell r="C212" t="str">
            <v>m</v>
          </cell>
          <cell r="D212">
            <v>300</v>
          </cell>
          <cell r="E212">
            <v>99.23</v>
          </cell>
          <cell r="F212">
            <v>6.66</v>
          </cell>
          <cell r="G212">
            <v>1998</v>
          </cell>
          <cell r="H212">
            <v>14.04</v>
          </cell>
          <cell r="I212">
            <v>4212</v>
          </cell>
          <cell r="J212">
            <v>78.53</v>
          </cell>
          <cell r="K212">
            <v>23559</v>
          </cell>
          <cell r="L212">
            <v>29769</v>
          </cell>
          <cell r="M212">
            <v>3.5430000000000001E-3</v>
          </cell>
        </row>
        <row r="213">
          <cell r="A213" t="str">
            <v>5.7.9</v>
          </cell>
          <cell r="B213" t="str">
            <v>Execução de tubulação para unificação dos poços no Reservatório (Vertical - FoGo 6") com conexões (Item 5.5.2 do MD)</v>
          </cell>
          <cell r="C213" t="str">
            <v>m</v>
          </cell>
          <cell r="D213">
            <v>500</v>
          </cell>
          <cell r="E213">
            <v>115.3</v>
          </cell>
          <cell r="F213">
            <v>6.66</v>
          </cell>
          <cell r="G213">
            <v>3330</v>
          </cell>
          <cell r="H213">
            <v>14.04</v>
          </cell>
          <cell r="I213">
            <v>7020</v>
          </cell>
          <cell r="J213">
            <v>94.6</v>
          </cell>
          <cell r="K213">
            <v>47300</v>
          </cell>
          <cell r="L213">
            <v>57650</v>
          </cell>
          <cell r="M213">
            <v>6.8609999999999999E-3</v>
          </cell>
        </row>
        <row r="214">
          <cell r="A214" t="str">
            <v>5.7.10</v>
          </cell>
          <cell r="B214" t="str">
            <v>Retirada de tubulação desativada do Reservatório (Item 5.5.2 do MD)</v>
          </cell>
          <cell r="C214" t="str">
            <v>m</v>
          </cell>
          <cell r="D214">
            <v>600</v>
          </cell>
          <cell r="E214">
            <v>13.2</v>
          </cell>
          <cell r="F214">
            <v>0</v>
          </cell>
          <cell r="G214">
            <v>0</v>
          </cell>
          <cell r="H214">
            <v>10.87</v>
          </cell>
          <cell r="I214">
            <v>6522</v>
          </cell>
          <cell r="J214">
            <v>2.33</v>
          </cell>
          <cell r="K214">
            <v>1398</v>
          </cell>
          <cell r="L214">
            <v>7920</v>
          </cell>
          <cell r="M214">
            <v>9.4300000000000004E-4</v>
          </cell>
        </row>
        <row r="215">
          <cell r="A215" t="str">
            <v>5.7.11</v>
          </cell>
          <cell r="B215" t="str">
            <v>Laje de proteção para poços (Item 5.5.2 do MD)</v>
          </cell>
          <cell r="C215" t="str">
            <v>m3</v>
          </cell>
          <cell r="D215">
            <v>100</v>
          </cell>
          <cell r="E215">
            <v>629.09</v>
          </cell>
          <cell r="F215">
            <v>488.92</v>
          </cell>
          <cell r="G215">
            <v>48892</v>
          </cell>
          <cell r="H215">
            <v>0</v>
          </cell>
          <cell r="I215">
            <v>0</v>
          </cell>
          <cell r="J215">
            <v>140.16999999999999</v>
          </cell>
          <cell r="K215">
            <v>14017</v>
          </cell>
          <cell r="L215">
            <v>62909</v>
          </cell>
          <cell r="M215">
            <v>7.4869999999999997E-3</v>
          </cell>
        </row>
        <row r="216">
          <cell r="A216">
            <v>0</v>
          </cell>
          <cell r="B216">
            <v>0</v>
          </cell>
          <cell r="C216">
            <v>0</v>
          </cell>
          <cell r="D216">
            <v>0</v>
          </cell>
          <cell r="E216">
            <v>0</v>
          </cell>
          <cell r="F216">
            <v>0</v>
          </cell>
          <cell r="G216">
            <v>0</v>
          </cell>
          <cell r="H216">
            <v>0</v>
          </cell>
          <cell r="I216">
            <v>0</v>
          </cell>
          <cell r="J216">
            <v>0</v>
          </cell>
          <cell r="K216">
            <v>0</v>
          </cell>
          <cell r="L216">
            <v>0</v>
          </cell>
          <cell r="M216">
            <v>0</v>
          </cell>
        </row>
        <row r="217">
          <cell r="A217" t="str">
            <v>6.0</v>
          </cell>
          <cell r="B217" t="str">
            <v>RECUPERAÇÃO E TRATAMENTO DE SUPERFÍCIES EM CONCRETO ARMADO</v>
          </cell>
          <cell r="C217" t="str">
            <v>SUB-TOTAL</v>
          </cell>
          <cell r="D217">
            <v>0</v>
          </cell>
          <cell r="E217">
            <v>0</v>
          </cell>
          <cell r="F217">
            <v>176496.25</v>
          </cell>
          <cell r="G217">
            <v>176496.25</v>
          </cell>
          <cell r="H217">
            <v>69447</v>
          </cell>
          <cell r="I217">
            <v>69447</v>
          </cell>
          <cell r="J217">
            <v>191311.75</v>
          </cell>
          <cell r="K217">
            <v>191311.75</v>
          </cell>
          <cell r="L217">
            <v>437255</v>
          </cell>
          <cell r="M217">
            <v>5.2040000000000003E-2</v>
          </cell>
        </row>
        <row r="218">
          <cell r="A218">
            <v>0</v>
          </cell>
          <cell r="B218">
            <v>0</v>
          </cell>
          <cell r="C218">
            <v>0</v>
          </cell>
          <cell r="D218">
            <v>0</v>
          </cell>
          <cell r="E218">
            <v>0</v>
          </cell>
          <cell r="F218">
            <v>0.403646</v>
          </cell>
          <cell r="G218" t="str">
            <v>sim</v>
          </cell>
          <cell r="H218">
            <v>0.15882499999999999</v>
          </cell>
          <cell r="I218" t="str">
            <v>sim</v>
          </cell>
          <cell r="J218">
            <v>0.437529</v>
          </cell>
          <cell r="K218" t="str">
            <v>sim</v>
          </cell>
          <cell r="L218">
            <v>0</v>
          </cell>
          <cell r="M218">
            <v>0</v>
          </cell>
        </row>
        <row r="219">
          <cell r="A219" t="str">
            <v>6.1</v>
          </cell>
          <cell r="B219" t="str">
            <v>Tratamento e Recuperação</v>
          </cell>
          <cell r="C219">
            <v>0</v>
          </cell>
          <cell r="D219">
            <v>0</v>
          </cell>
          <cell r="E219">
            <v>0</v>
          </cell>
          <cell r="F219">
            <v>0</v>
          </cell>
          <cell r="G219">
            <v>0</v>
          </cell>
          <cell r="H219">
            <v>0</v>
          </cell>
          <cell r="I219">
            <v>0</v>
          </cell>
          <cell r="J219">
            <v>0</v>
          </cell>
          <cell r="K219">
            <v>0</v>
          </cell>
          <cell r="L219">
            <v>0</v>
          </cell>
          <cell r="M219">
            <v>0</v>
          </cell>
        </row>
        <row r="220">
          <cell r="A220" t="str">
            <v>6.1.1</v>
          </cell>
          <cell r="B220" t="str">
            <v>Tratamento  das paredes e lajes, com retirada de materiais soltos e desagregados através de hidrojateamento (Item 5.6 do MD)</v>
          </cell>
          <cell r="C220" t="str">
            <v>m2</v>
          </cell>
          <cell r="D220">
            <v>4000</v>
          </cell>
          <cell r="E220">
            <v>12.830000000000002</v>
          </cell>
          <cell r="F220">
            <v>0</v>
          </cell>
          <cell r="G220">
            <v>0</v>
          </cell>
          <cell r="H220">
            <v>12.830000000000002</v>
          </cell>
          <cell r="I220">
            <v>51320</v>
          </cell>
          <cell r="J220">
            <v>0</v>
          </cell>
          <cell r="K220">
            <v>0</v>
          </cell>
          <cell r="L220">
            <v>51320</v>
          </cell>
          <cell r="M220">
            <v>6.1079999999999997E-3</v>
          </cell>
        </row>
        <row r="221">
          <cell r="A221" t="str">
            <v>6.1.2</v>
          </cell>
          <cell r="B221" t="str">
            <v>Identificação de trincas, mapeamento, preparação  e tratamento com  aplicação de mástique (Item 5.6 do MD)</v>
          </cell>
          <cell r="C221" t="str">
            <v>m</v>
          </cell>
          <cell r="D221">
            <v>500</v>
          </cell>
          <cell r="E221">
            <v>37.51</v>
          </cell>
          <cell r="F221">
            <v>17.399999999999999</v>
          </cell>
          <cell r="G221">
            <v>8700</v>
          </cell>
          <cell r="H221">
            <v>0</v>
          </cell>
          <cell r="I221">
            <v>0</v>
          </cell>
          <cell r="J221">
            <v>20.11</v>
          </cell>
          <cell r="K221">
            <v>10055</v>
          </cell>
          <cell r="L221">
            <v>18755</v>
          </cell>
          <cell r="M221">
            <v>2.232E-3</v>
          </cell>
        </row>
        <row r="222">
          <cell r="A222" t="str">
            <v>6.1.3</v>
          </cell>
          <cell r="B222" t="str">
            <v>Escarificação mecânica até a profundidade de 4,0 cm (Item 5.6 do MD)</v>
          </cell>
          <cell r="C222" t="str">
            <v>m2</v>
          </cell>
          <cell r="D222">
            <v>500</v>
          </cell>
          <cell r="E222">
            <v>5.97</v>
          </cell>
          <cell r="F222">
            <v>0</v>
          </cell>
          <cell r="G222">
            <v>0</v>
          </cell>
          <cell r="H222">
            <v>5.97</v>
          </cell>
          <cell r="I222">
            <v>2985</v>
          </cell>
          <cell r="J222">
            <v>0</v>
          </cell>
          <cell r="K222">
            <v>0</v>
          </cell>
          <cell r="L222">
            <v>2985</v>
          </cell>
          <cell r="M222">
            <v>3.5500000000000001E-4</v>
          </cell>
        </row>
        <row r="223">
          <cell r="A223" t="str">
            <v>6.1.4</v>
          </cell>
          <cell r="B223" t="str">
            <v>Limpeza manual da ferragem (para tirar a oxidação) e tratamento com primer anti-corrosivo (Item 5.6 do MD)</v>
          </cell>
          <cell r="C223" t="str">
            <v>m</v>
          </cell>
          <cell r="D223">
            <v>1050</v>
          </cell>
          <cell r="E223">
            <v>14.499999999999998</v>
          </cell>
          <cell r="F223">
            <v>2.82</v>
          </cell>
          <cell r="G223">
            <v>2961</v>
          </cell>
          <cell r="H223">
            <v>3.46</v>
          </cell>
          <cell r="I223">
            <v>3633</v>
          </cell>
          <cell r="J223">
            <v>8.2199999999999989</v>
          </cell>
          <cell r="K223">
            <v>8631</v>
          </cell>
          <cell r="L223">
            <v>15225</v>
          </cell>
          <cell r="M223">
            <v>1.812E-3</v>
          </cell>
        </row>
        <row r="224">
          <cell r="A224" t="str">
            <v>6.1.5</v>
          </cell>
          <cell r="B224" t="str">
            <v>Argamassa à base de cimento modificada com polímeros espessura até 3 cm (Item 5.6 do MD)</v>
          </cell>
          <cell r="C224" t="str">
            <v>m2</v>
          </cell>
          <cell r="D224">
            <v>500</v>
          </cell>
          <cell r="E224">
            <v>194.34</v>
          </cell>
          <cell r="F224">
            <v>158.01</v>
          </cell>
          <cell r="G224">
            <v>79005</v>
          </cell>
          <cell r="H224">
            <v>3.46</v>
          </cell>
          <cell r="I224">
            <v>1730</v>
          </cell>
          <cell r="J224">
            <v>32.869999999999997</v>
          </cell>
          <cell r="K224">
            <v>16435</v>
          </cell>
          <cell r="L224">
            <v>97170</v>
          </cell>
          <cell r="M224">
            <v>1.1565000000000001E-2</v>
          </cell>
        </row>
        <row r="225">
          <cell r="A225" t="str">
            <v>6.1.6</v>
          </cell>
          <cell r="B225" t="str">
            <v>Recuperação estrutural com substituição/complementação de armaduras (Item 5.6 do MD)</v>
          </cell>
          <cell r="C225" t="str">
            <v>kg</v>
          </cell>
          <cell r="D225">
            <v>525</v>
          </cell>
          <cell r="E225">
            <v>11.96</v>
          </cell>
          <cell r="F225">
            <v>4.5500000000000007</v>
          </cell>
          <cell r="G225">
            <v>2388.75</v>
          </cell>
          <cell r="H225">
            <v>3.46</v>
          </cell>
          <cell r="I225">
            <v>1816.5</v>
          </cell>
          <cell r="J225">
            <v>3.9499999999999997</v>
          </cell>
          <cell r="K225">
            <v>2073.75</v>
          </cell>
          <cell r="L225">
            <v>6279</v>
          </cell>
          <cell r="M225">
            <v>7.4700000000000005E-4</v>
          </cell>
        </row>
        <row r="226">
          <cell r="A226" t="str">
            <v>6.1.7</v>
          </cell>
          <cell r="B226" t="str">
            <v>Execução de mísula com tela de poliéster reforçada, malha 2 x 2 mm (Item 5.6 do MD)</v>
          </cell>
          <cell r="C226" t="str">
            <v>m</v>
          </cell>
          <cell r="D226">
            <v>250</v>
          </cell>
          <cell r="E226">
            <v>34.43</v>
          </cell>
          <cell r="F226">
            <v>1.56</v>
          </cell>
          <cell r="G226">
            <v>390</v>
          </cell>
          <cell r="H226">
            <v>0</v>
          </cell>
          <cell r="I226">
            <v>0</v>
          </cell>
          <cell r="J226">
            <v>32.869999999999997</v>
          </cell>
          <cell r="K226">
            <v>8217.5</v>
          </cell>
          <cell r="L226">
            <v>8607.5</v>
          </cell>
          <cell r="M226">
            <v>1.024E-3</v>
          </cell>
        </row>
        <row r="227">
          <cell r="A227" t="str">
            <v>6.1.8</v>
          </cell>
          <cell r="B227" t="str">
            <v>Tratamento Rápido de trinca localizada (Item 5.6 do MD )</v>
          </cell>
          <cell r="C227" t="str">
            <v>un</v>
          </cell>
          <cell r="D227">
            <v>250</v>
          </cell>
          <cell r="E227">
            <v>48.95</v>
          </cell>
          <cell r="F227">
            <v>10.71</v>
          </cell>
          <cell r="G227">
            <v>2677.5</v>
          </cell>
          <cell r="H227">
            <v>4.17</v>
          </cell>
          <cell r="I227">
            <v>1042.5</v>
          </cell>
          <cell r="J227">
            <v>34.07</v>
          </cell>
          <cell r="K227">
            <v>8517.5</v>
          </cell>
          <cell r="L227">
            <v>12237.5</v>
          </cell>
          <cell r="M227">
            <v>1.456E-3</v>
          </cell>
        </row>
        <row r="228">
          <cell r="A228" t="str">
            <v>6.2</v>
          </cell>
          <cell r="B228" t="str">
            <v>Impermeabilização</v>
          </cell>
          <cell r="C228">
            <v>0</v>
          </cell>
          <cell r="D228">
            <v>0</v>
          </cell>
          <cell r="E228">
            <v>0</v>
          </cell>
          <cell r="F228">
            <v>0</v>
          </cell>
          <cell r="G228">
            <v>0</v>
          </cell>
          <cell r="H228">
            <v>0</v>
          </cell>
          <cell r="I228">
            <v>0</v>
          </cell>
          <cell r="J228">
            <v>0</v>
          </cell>
          <cell r="K228">
            <v>0</v>
          </cell>
          <cell r="L228">
            <v>0</v>
          </cell>
          <cell r="M228">
            <v>0</v>
          </cell>
        </row>
        <row r="229">
          <cell r="A229" t="str">
            <v>6.2.1</v>
          </cell>
          <cell r="B229" t="str">
            <v>Aplicação de impermeabilização semi-flexível na laje de fundo e paredes, consumo de 2,5 kg/m2 de impermeabilizante semi-flexível, aplicado em duas demãos cruzadas, estruturada com tela de reforço em poliéster entre demãos  (Item 5.6 do MD )</v>
          </cell>
          <cell r="C229" t="str">
            <v>m2</v>
          </cell>
          <cell r="D229">
            <v>2000</v>
          </cell>
          <cell r="E229">
            <v>49.83</v>
          </cell>
          <cell r="F229">
            <v>13.32</v>
          </cell>
          <cell r="G229">
            <v>26640</v>
          </cell>
          <cell r="H229">
            <v>1.73</v>
          </cell>
          <cell r="I229">
            <v>3460</v>
          </cell>
          <cell r="J229">
            <v>34.78</v>
          </cell>
          <cell r="K229">
            <v>69560</v>
          </cell>
          <cell r="L229">
            <v>99660</v>
          </cell>
          <cell r="M229">
            <v>1.1861E-2</v>
          </cell>
        </row>
        <row r="230">
          <cell r="A230" t="str">
            <v>6.2.2</v>
          </cell>
          <cell r="B230" t="str">
            <v>Aplicação de impermeabilização semi-flexível interna à laje de tampa, uma demão, consumo de 2,0 kg/m2 de impermeabilizante, para proteção à corrosão.  (Item 5.6 do MD )</v>
          </cell>
          <cell r="C230" t="str">
            <v>m2</v>
          </cell>
          <cell r="D230">
            <v>1000</v>
          </cell>
          <cell r="E230">
            <v>30.04</v>
          </cell>
          <cell r="F230">
            <v>7.4499999999999993</v>
          </cell>
          <cell r="G230">
            <v>7450</v>
          </cell>
          <cell r="H230">
            <v>3.46</v>
          </cell>
          <cell r="I230">
            <v>3460</v>
          </cell>
          <cell r="J230">
            <v>19.13</v>
          </cell>
          <cell r="K230">
            <v>19130</v>
          </cell>
          <cell r="L230">
            <v>30040</v>
          </cell>
          <cell r="M230">
            <v>3.5750000000000001E-3</v>
          </cell>
        </row>
        <row r="231">
          <cell r="A231" t="str">
            <v>6.2.3</v>
          </cell>
          <cell r="B231" t="str">
            <v>Aplicação de impermeabilização flexível na laje de fundo e 1/3 paredes, consumo de 3,5 kg/m2 de impermeabilizante flexível, aplicado em duas demãos cruzadas, estruturada com tela de reforço em poliéster entre demãos  (Item 5.6 do MD )</v>
          </cell>
          <cell r="C231" t="str">
            <v>m2</v>
          </cell>
          <cell r="D231">
            <v>1400</v>
          </cell>
          <cell r="E231">
            <v>67.84</v>
          </cell>
          <cell r="F231">
            <v>33.06</v>
          </cell>
          <cell r="G231">
            <v>46284</v>
          </cell>
          <cell r="H231">
            <v>0</v>
          </cell>
          <cell r="I231">
            <v>0</v>
          </cell>
          <cell r="J231">
            <v>34.78</v>
          </cell>
          <cell r="K231">
            <v>48692</v>
          </cell>
          <cell r="L231">
            <v>94976</v>
          </cell>
          <cell r="M231">
            <v>1.1304E-2</v>
          </cell>
        </row>
        <row r="232">
          <cell r="A232">
            <v>0</v>
          </cell>
          <cell r="B232">
            <v>0</v>
          </cell>
          <cell r="C232">
            <v>0</v>
          </cell>
          <cell r="D232">
            <v>0</v>
          </cell>
          <cell r="E232">
            <v>0</v>
          </cell>
          <cell r="F232">
            <v>0</v>
          </cell>
          <cell r="G232">
            <v>0</v>
          </cell>
          <cell r="H232">
            <v>0</v>
          </cell>
          <cell r="I232">
            <v>0</v>
          </cell>
          <cell r="J232">
            <v>0</v>
          </cell>
          <cell r="K232">
            <v>0</v>
          </cell>
          <cell r="L232">
            <v>0</v>
          </cell>
          <cell r="M232">
            <v>0</v>
          </cell>
        </row>
        <row r="233">
          <cell r="A233" t="str">
            <v>7.0</v>
          </cell>
          <cell r="B233" t="str">
            <v>PINTURAS</v>
          </cell>
          <cell r="C233" t="str">
            <v>SUB-TOTAL</v>
          </cell>
          <cell r="D233">
            <v>0</v>
          </cell>
          <cell r="E233">
            <v>0</v>
          </cell>
          <cell r="F233">
            <v>756462.8</v>
          </cell>
          <cell r="G233">
            <v>756462.8</v>
          </cell>
          <cell r="H233">
            <v>245401.8</v>
          </cell>
          <cell r="I233">
            <v>245401.8</v>
          </cell>
          <cell r="J233">
            <v>1915515</v>
          </cell>
          <cell r="K233">
            <v>1915515</v>
          </cell>
          <cell r="L233">
            <v>2917379.5999999996</v>
          </cell>
          <cell r="M233">
            <v>0.347215</v>
          </cell>
        </row>
        <row r="234">
          <cell r="A234">
            <v>0</v>
          </cell>
          <cell r="B234">
            <v>0</v>
          </cell>
          <cell r="C234">
            <v>0</v>
          </cell>
          <cell r="D234">
            <v>0</v>
          </cell>
          <cell r="E234">
            <v>0</v>
          </cell>
          <cell r="F234">
            <v>0.259295</v>
          </cell>
          <cell r="G234" t="str">
            <v>sim</v>
          </cell>
          <cell r="H234">
            <v>8.4116999999999997E-2</v>
          </cell>
          <cell r="I234" t="str">
            <v>sim</v>
          </cell>
          <cell r="J234">
            <v>0.65658799999999995</v>
          </cell>
          <cell r="K234" t="str">
            <v>sim</v>
          </cell>
          <cell r="L234">
            <v>0</v>
          </cell>
          <cell r="M234">
            <v>0</v>
          </cell>
        </row>
        <row r="235">
          <cell r="A235" t="str">
            <v>7.1</v>
          </cell>
          <cell r="B235" t="str">
            <v>Preparação de superfícies para pintura, com retirada de limos, materiais soltos e desagregados (cascas de materiais cimentícios) através de hidrojateamento (Reservatório Apoiado e Edificações Térreas)(Item 5.7 do MD)</v>
          </cell>
          <cell r="C235" t="str">
            <v>m2</v>
          </cell>
          <cell r="D235">
            <v>1300</v>
          </cell>
          <cell r="E235">
            <v>3.71</v>
          </cell>
          <cell r="F235">
            <v>0</v>
          </cell>
          <cell r="G235">
            <v>0</v>
          </cell>
          <cell r="H235">
            <v>0.26</v>
          </cell>
          <cell r="I235">
            <v>338</v>
          </cell>
          <cell r="J235">
            <v>3.4499999999999997</v>
          </cell>
          <cell r="K235">
            <v>4485</v>
          </cell>
          <cell r="L235">
            <v>4823</v>
          </cell>
          <cell r="M235">
            <v>5.7399999999999997E-4</v>
          </cell>
        </row>
        <row r="236">
          <cell r="A236" t="str">
            <v>7.2</v>
          </cell>
          <cell r="B236" t="str">
            <v>Preparação de superfícies para pintura, com retirada de limos, materiais soltos e desagregados (cascas de materiais cimentícios) através de hidrojateamento (Reservatório Elevado)(Item 5.7 do MD)</v>
          </cell>
          <cell r="C236" t="str">
            <v>m2</v>
          </cell>
          <cell r="D236">
            <v>800</v>
          </cell>
          <cell r="E236">
            <v>5.15</v>
          </cell>
          <cell r="F236">
            <v>0</v>
          </cell>
          <cell r="G236">
            <v>0</v>
          </cell>
          <cell r="H236">
            <v>0.85000000000000009</v>
          </cell>
          <cell r="I236">
            <v>680</v>
          </cell>
          <cell r="J236">
            <v>4.3000000000000007</v>
          </cell>
          <cell r="K236">
            <v>3440</v>
          </cell>
          <cell r="L236">
            <v>4120</v>
          </cell>
          <cell r="M236">
            <v>4.8999999999999998E-4</v>
          </cell>
        </row>
        <row r="237">
          <cell r="A237" t="str">
            <v>7.3</v>
          </cell>
          <cell r="B237" t="str">
            <v>Emassamento de parede com massa acrílica para pintura látex com 1 demão (Item 5.7 do MD)</v>
          </cell>
          <cell r="C237" t="str">
            <v>m2</v>
          </cell>
          <cell r="D237">
            <v>600</v>
          </cell>
          <cell r="E237">
            <v>8.6900000000000013</v>
          </cell>
          <cell r="F237">
            <v>3.38</v>
          </cell>
          <cell r="G237">
            <v>2028</v>
          </cell>
          <cell r="H237">
            <v>0</v>
          </cell>
          <cell r="I237">
            <v>0</v>
          </cell>
          <cell r="J237">
            <v>5.3100000000000005</v>
          </cell>
          <cell r="K237">
            <v>3186</v>
          </cell>
          <cell r="L237">
            <v>5214</v>
          </cell>
          <cell r="M237">
            <v>6.2100000000000002E-4</v>
          </cell>
        </row>
        <row r="238">
          <cell r="A238" t="str">
            <v>7.4</v>
          </cell>
          <cell r="B238" t="str">
            <v>Esmalte com massa niveladora em esquadrias de madeira (Item 5.7 do MD)</v>
          </cell>
          <cell r="C238" t="str">
            <v>m2</v>
          </cell>
          <cell r="D238">
            <v>200</v>
          </cell>
          <cell r="E238">
            <v>38.19</v>
          </cell>
          <cell r="F238">
            <v>12.66</v>
          </cell>
          <cell r="G238">
            <v>2532</v>
          </cell>
          <cell r="H238">
            <v>0</v>
          </cell>
          <cell r="I238">
            <v>0</v>
          </cell>
          <cell r="J238">
            <v>25.529999999999998</v>
          </cell>
          <cell r="K238">
            <v>5106</v>
          </cell>
          <cell r="L238">
            <v>7638</v>
          </cell>
          <cell r="M238">
            <v>9.0899999999999998E-4</v>
          </cell>
        </row>
        <row r="239">
          <cell r="A239" t="str">
            <v>7.5</v>
          </cell>
          <cell r="B239" t="str">
            <v>Esmalte a base de água em esquadrias de ferro (Item 5.7 do MD)</v>
          </cell>
          <cell r="C239" t="str">
            <v>m2</v>
          </cell>
          <cell r="D239">
            <v>200</v>
          </cell>
          <cell r="E239">
            <v>28.72</v>
          </cell>
          <cell r="F239">
            <v>9.7899999999999991</v>
          </cell>
          <cell r="G239">
            <v>1958</v>
          </cell>
          <cell r="H239">
            <v>0</v>
          </cell>
          <cell r="I239">
            <v>0</v>
          </cell>
          <cell r="J239">
            <v>18.93</v>
          </cell>
          <cell r="K239">
            <v>3786</v>
          </cell>
          <cell r="L239">
            <v>5744</v>
          </cell>
          <cell r="M239">
            <v>6.8400000000000004E-4</v>
          </cell>
        </row>
        <row r="240">
          <cell r="A240" t="str">
            <v>7.6</v>
          </cell>
          <cell r="B240" t="str">
            <v>Fundo anti-oxidante em esquadrias (Item 5.7 do MD)</v>
          </cell>
          <cell r="C240" t="str">
            <v>m2</v>
          </cell>
          <cell r="D240">
            <v>600</v>
          </cell>
          <cell r="E240">
            <v>26.97</v>
          </cell>
          <cell r="F240">
            <v>8.0399999999999991</v>
          </cell>
          <cell r="G240">
            <v>4824</v>
          </cell>
          <cell r="H240">
            <v>0</v>
          </cell>
          <cell r="I240">
            <v>0</v>
          </cell>
          <cell r="J240">
            <v>18.93</v>
          </cell>
          <cell r="K240">
            <v>11358</v>
          </cell>
          <cell r="L240">
            <v>16182</v>
          </cell>
          <cell r="M240">
            <v>1.926E-3</v>
          </cell>
        </row>
        <row r="241">
          <cell r="A241" t="str">
            <v>7.7</v>
          </cell>
          <cell r="B241" t="str">
            <v>Pintura látex PVA em alvenaria em geral (Item 5.7 do MD)</v>
          </cell>
          <cell r="C241" t="str">
            <v>m2</v>
          </cell>
          <cell r="D241">
            <v>3000</v>
          </cell>
          <cell r="E241">
            <v>18.2</v>
          </cell>
          <cell r="F241">
            <v>5.4300000000000006</v>
          </cell>
          <cell r="G241">
            <v>16290</v>
          </cell>
          <cell r="H241">
            <v>0</v>
          </cell>
          <cell r="I241">
            <v>0</v>
          </cell>
          <cell r="J241">
            <v>12.77</v>
          </cell>
          <cell r="K241">
            <v>38310</v>
          </cell>
          <cell r="L241">
            <v>54600</v>
          </cell>
          <cell r="M241">
            <v>6.4980000000000003E-3</v>
          </cell>
        </row>
        <row r="242">
          <cell r="A242" t="str">
            <v>7.8</v>
          </cell>
          <cell r="B242" t="str">
            <v>Pintura látex acrílica em alvenaria em geral (Item 5.7 do MD)</v>
          </cell>
          <cell r="C242" t="str">
            <v>m2</v>
          </cell>
          <cell r="D242">
            <v>3700</v>
          </cell>
          <cell r="E242">
            <v>18.55</v>
          </cell>
          <cell r="F242">
            <v>5.78</v>
          </cell>
          <cell r="G242">
            <v>21386</v>
          </cell>
          <cell r="H242">
            <v>0</v>
          </cell>
          <cell r="I242">
            <v>0</v>
          </cell>
          <cell r="J242">
            <v>12.77</v>
          </cell>
          <cell r="K242">
            <v>47249</v>
          </cell>
          <cell r="L242">
            <v>68635</v>
          </cell>
          <cell r="M242">
            <v>8.1689999999999992E-3</v>
          </cell>
        </row>
        <row r="243">
          <cell r="A243" t="str">
            <v>7.9</v>
          </cell>
          <cell r="B243" t="str">
            <v>Pintura látex acrílica na cor branca em pilaretes e muretas  (Item 5.7 do MD)</v>
          </cell>
          <cell r="C243" t="str">
            <v>m2</v>
          </cell>
          <cell r="D243">
            <v>2500</v>
          </cell>
          <cell r="E243">
            <v>18.55</v>
          </cell>
          <cell r="F243">
            <v>5.78</v>
          </cell>
          <cell r="G243">
            <v>14450</v>
          </cell>
          <cell r="H243">
            <v>0</v>
          </cell>
          <cell r="I243">
            <v>0</v>
          </cell>
          <cell r="J243">
            <v>12.77</v>
          </cell>
          <cell r="K243">
            <v>31925</v>
          </cell>
          <cell r="L243">
            <v>46375</v>
          </cell>
          <cell r="M243">
            <v>5.5189999999999996E-3</v>
          </cell>
        </row>
        <row r="244">
          <cell r="A244" t="str">
            <v>7.10</v>
          </cell>
          <cell r="B244" t="str">
            <v>Pintura de sinalização horizontal para vaga acessível (acessibilidade) (Item 5.7 do MD)</v>
          </cell>
          <cell r="C244" t="str">
            <v>un</v>
          </cell>
          <cell r="D244">
            <v>100</v>
          </cell>
          <cell r="E244">
            <v>286.95</v>
          </cell>
          <cell r="F244">
            <v>84.07</v>
          </cell>
          <cell r="G244">
            <v>8407</v>
          </cell>
          <cell r="H244">
            <v>0</v>
          </cell>
          <cell r="I244">
            <v>0</v>
          </cell>
          <cell r="J244">
            <v>202.88</v>
          </cell>
          <cell r="K244">
            <v>20288</v>
          </cell>
          <cell r="L244">
            <v>28695</v>
          </cell>
          <cell r="M244">
            <v>3.4150000000000001E-3</v>
          </cell>
        </row>
        <row r="245">
          <cell r="A245" t="str">
            <v>7.11</v>
          </cell>
          <cell r="B245" t="str">
            <v>Pintura do reservatório de concreto em látex acrílico fosco na cor branca 02 (duas) demãos, com faixas azuis conforme Padrão SeMAE (Res. Elevado) (Item 5.7 do MD)</v>
          </cell>
          <cell r="C245" t="str">
            <v>m2</v>
          </cell>
          <cell r="D245">
            <v>32000</v>
          </cell>
          <cell r="E245">
            <v>27.03</v>
          </cell>
          <cell r="F245">
            <v>5.78</v>
          </cell>
          <cell r="G245">
            <v>184960</v>
          </cell>
          <cell r="H245">
            <v>2.5</v>
          </cell>
          <cell r="I245">
            <v>80000</v>
          </cell>
          <cell r="J245">
            <v>18.75</v>
          </cell>
          <cell r="K245">
            <v>600000</v>
          </cell>
          <cell r="L245">
            <v>864960</v>
          </cell>
          <cell r="M245">
            <v>0.10294399999999999</v>
          </cell>
        </row>
        <row r="246">
          <cell r="A246" t="str">
            <v>7.12</v>
          </cell>
          <cell r="B246" t="str">
            <v>Pintura do reservatório de concreto em látex acrílico fosco na cor branca 02 (duas) demãos, com faixas azuis conforme Padrão SeMAE (Res. Apoiado) (Item 5.7 do MD)</v>
          </cell>
          <cell r="C246" t="str">
            <v>m2</v>
          </cell>
          <cell r="D246">
            <v>25000</v>
          </cell>
          <cell r="E246">
            <v>20.23</v>
          </cell>
          <cell r="F246">
            <v>5.78</v>
          </cell>
          <cell r="G246">
            <v>144500</v>
          </cell>
          <cell r="H246">
            <v>0</v>
          </cell>
          <cell r="I246">
            <v>0</v>
          </cell>
          <cell r="J246">
            <v>14.45</v>
          </cell>
          <cell r="K246">
            <v>361250</v>
          </cell>
          <cell r="L246">
            <v>505750</v>
          </cell>
          <cell r="M246">
            <v>6.0192000000000002E-2</v>
          </cell>
        </row>
        <row r="247">
          <cell r="A247" t="str">
            <v>7.13</v>
          </cell>
          <cell r="B247" t="str">
            <v>Pintura do reservatório de concreto em látex acrílico fosco na cor branca 02 (duas) demãos, com faixas azuis conforme Padrão SeMAE (Res. Taça) (Item 5.7 do MD)</v>
          </cell>
          <cell r="C247" t="str">
            <v>m2</v>
          </cell>
          <cell r="D247">
            <v>8000</v>
          </cell>
          <cell r="E247">
            <v>31.959999999999997</v>
          </cell>
          <cell r="F247">
            <v>5.78</v>
          </cell>
          <cell r="G247">
            <v>46240</v>
          </cell>
          <cell r="H247">
            <v>3.13</v>
          </cell>
          <cell r="I247">
            <v>25040</v>
          </cell>
          <cell r="J247">
            <v>23.049999999999997</v>
          </cell>
          <cell r="K247">
            <v>184400</v>
          </cell>
          <cell r="L247">
            <v>255680</v>
          </cell>
          <cell r="M247">
            <v>3.0429999999999999E-2</v>
          </cell>
        </row>
        <row r="248">
          <cell r="A248" t="str">
            <v>7.14</v>
          </cell>
          <cell r="B248" t="str">
            <v>Pintura do reservatório metálico em esmalte alquídico na cor branca, com faixas azuis conforme Padrão SeMAE (Res. Elevado) (Item 5.7 do MD)</v>
          </cell>
          <cell r="C248" t="str">
            <v>m2</v>
          </cell>
          <cell r="D248">
            <v>5000</v>
          </cell>
          <cell r="E248">
            <v>43.349999999999994</v>
          </cell>
          <cell r="F248">
            <v>17.170000000000002</v>
          </cell>
          <cell r="G248">
            <v>85850</v>
          </cell>
          <cell r="H248">
            <v>3.13</v>
          </cell>
          <cell r="I248">
            <v>15650</v>
          </cell>
          <cell r="J248">
            <v>23.049999999999997</v>
          </cell>
          <cell r="K248">
            <v>115250</v>
          </cell>
          <cell r="L248">
            <v>216750</v>
          </cell>
          <cell r="M248">
            <v>2.5797E-2</v>
          </cell>
        </row>
        <row r="249">
          <cell r="A249" t="str">
            <v>7.15</v>
          </cell>
          <cell r="B249" t="str">
            <v>Pintura do reservatório metálico em esmalte alquídico na cor branca, com faixas azuis conforme Padrão SeMAE (Res. Apoiado) (Item 5.7 do MD)</v>
          </cell>
          <cell r="C249" t="str">
            <v>m2</v>
          </cell>
          <cell r="D249">
            <v>5000</v>
          </cell>
          <cell r="E249">
            <v>37.97</v>
          </cell>
          <cell r="F249">
            <v>18.299999999999997</v>
          </cell>
          <cell r="G249">
            <v>91500</v>
          </cell>
          <cell r="H249">
            <v>0</v>
          </cell>
          <cell r="I249">
            <v>0</v>
          </cell>
          <cell r="J249">
            <v>19.670000000000002</v>
          </cell>
          <cell r="K249">
            <v>98350</v>
          </cell>
          <cell r="L249">
            <v>189850</v>
          </cell>
          <cell r="M249">
            <v>2.2595000000000001E-2</v>
          </cell>
        </row>
        <row r="250">
          <cell r="A250" t="str">
            <v>7.16</v>
          </cell>
          <cell r="B250" t="str">
            <v>Pintura  de proteção em tubulação metálica aérea (tinta betuminosa alcatrão de hulha), incluindo conexões (Item 5.7 do MD)</v>
          </cell>
          <cell r="C250" t="str">
            <v>m2</v>
          </cell>
          <cell r="D250">
            <v>1000</v>
          </cell>
          <cell r="E250">
            <v>45.6</v>
          </cell>
          <cell r="F250">
            <v>0</v>
          </cell>
          <cell r="G250">
            <v>0</v>
          </cell>
          <cell r="H250">
            <v>45.6</v>
          </cell>
          <cell r="I250">
            <v>45600</v>
          </cell>
          <cell r="J250">
            <v>0</v>
          </cell>
          <cell r="K250">
            <v>0</v>
          </cell>
          <cell r="L250">
            <v>45600</v>
          </cell>
          <cell r="M250">
            <v>5.4270000000000004E-3</v>
          </cell>
        </row>
        <row r="251">
          <cell r="A251" t="str">
            <v>7.17</v>
          </cell>
          <cell r="B251" t="str">
            <v>Pintura em esmalte sintético AZUL FRANÇA sobre fundo anticorrosivo - 02 demãos (Item 5.7 do MD)</v>
          </cell>
          <cell r="C251" t="str">
            <v>m2</v>
          </cell>
          <cell r="D251">
            <v>600</v>
          </cell>
          <cell r="E251">
            <v>26.57</v>
          </cell>
          <cell r="F251">
            <v>9.64</v>
          </cell>
          <cell r="G251">
            <v>5784</v>
          </cell>
          <cell r="H251">
            <v>0</v>
          </cell>
          <cell r="I251">
            <v>0</v>
          </cell>
          <cell r="J251">
            <v>16.93</v>
          </cell>
          <cell r="K251">
            <v>10158</v>
          </cell>
          <cell r="L251">
            <v>15942</v>
          </cell>
          <cell r="M251">
            <v>1.897E-3</v>
          </cell>
        </row>
        <row r="252">
          <cell r="A252" t="str">
            <v>7.18</v>
          </cell>
          <cell r="B252" t="str">
            <v>Pintura de tubulações elevadas em esmalte sintético AZUL FRANÇA sobre fundo anticorrosivo 2 demãos (Item 5.7 do MD)</v>
          </cell>
          <cell r="C252" t="str">
            <v>m2</v>
          </cell>
          <cell r="D252">
            <v>500</v>
          </cell>
          <cell r="E252">
            <v>43.21</v>
          </cell>
          <cell r="F252">
            <v>9.01</v>
          </cell>
          <cell r="G252">
            <v>4505</v>
          </cell>
          <cell r="H252">
            <v>3.75</v>
          </cell>
          <cell r="I252">
            <v>1875</v>
          </cell>
          <cell r="J252">
            <v>30.45</v>
          </cell>
          <cell r="K252">
            <v>15225</v>
          </cell>
          <cell r="L252">
            <v>21605</v>
          </cell>
          <cell r="M252">
            <v>2.5709999999999999E-3</v>
          </cell>
        </row>
        <row r="253">
          <cell r="A253" t="str">
            <v>7.19</v>
          </cell>
          <cell r="B253" t="str">
            <v>Pintura em alambrado de tela eletro-soldada em esmalte sintético na cor BRANCA sob fundo anti-corrosivo (Item 5.7 do MD)</v>
          </cell>
          <cell r="C253" t="str">
            <v>m</v>
          </cell>
          <cell r="D253">
            <v>1000</v>
          </cell>
          <cell r="E253">
            <v>20.62</v>
          </cell>
          <cell r="F253">
            <v>5.410000000000001</v>
          </cell>
          <cell r="G253">
            <v>5410</v>
          </cell>
          <cell r="H253">
            <v>0</v>
          </cell>
          <cell r="I253">
            <v>0</v>
          </cell>
          <cell r="J253">
            <v>15.21</v>
          </cell>
          <cell r="K253">
            <v>15210</v>
          </cell>
          <cell r="L253">
            <v>20620</v>
          </cell>
          <cell r="M253">
            <v>2.454E-3</v>
          </cell>
        </row>
        <row r="254">
          <cell r="A254" t="str">
            <v>7.20</v>
          </cell>
          <cell r="B254" t="str">
            <v>Pintura da escada e gradil em esmalte sintético AZUL FRANÇA sobre fundo anticorrosivo - 02 demãos (Item 5.7 do MD)</v>
          </cell>
          <cell r="C254" t="str">
            <v>m2</v>
          </cell>
          <cell r="D254">
            <v>1200</v>
          </cell>
          <cell r="E254">
            <v>24.630000000000003</v>
          </cell>
          <cell r="F254">
            <v>7.55</v>
          </cell>
          <cell r="G254">
            <v>9060</v>
          </cell>
          <cell r="H254">
            <v>1.8699999999999999</v>
          </cell>
          <cell r="I254">
            <v>2244</v>
          </cell>
          <cell r="J254">
            <v>15.21</v>
          </cell>
          <cell r="K254">
            <v>18252</v>
          </cell>
          <cell r="L254">
            <v>29556</v>
          </cell>
          <cell r="M254">
            <v>3.5179999999999999E-3</v>
          </cell>
        </row>
        <row r="255">
          <cell r="A255" t="str">
            <v>7.21</v>
          </cell>
          <cell r="B255" t="str">
            <v>Pintura impermeabilizante interna para laje de forro com primer e 2 demãos de verniz acrílico incolor base água (Item 5.7 do MD)</v>
          </cell>
          <cell r="C255" t="str">
            <v>m2</v>
          </cell>
          <cell r="D255">
            <v>600</v>
          </cell>
          <cell r="E255">
            <v>27.54</v>
          </cell>
          <cell r="F255">
            <v>13.45</v>
          </cell>
          <cell r="G255">
            <v>8070</v>
          </cell>
          <cell r="H255">
            <v>0</v>
          </cell>
          <cell r="I255">
            <v>0</v>
          </cell>
          <cell r="J255">
            <v>14.09</v>
          </cell>
          <cell r="K255">
            <v>8454</v>
          </cell>
          <cell r="L255">
            <v>16524</v>
          </cell>
          <cell r="M255">
            <v>1.967E-3</v>
          </cell>
        </row>
        <row r="256">
          <cell r="A256" t="str">
            <v>7.22</v>
          </cell>
          <cell r="B256" t="str">
            <v>Pintura impermeabilizante externa para gradil corrimão de fibra de vidro com duas demãos de verniz acrílico incolor base silicone. (Item 5.7 do MD)</v>
          </cell>
          <cell r="C256" t="str">
            <v>m2</v>
          </cell>
          <cell r="D256">
            <v>800</v>
          </cell>
          <cell r="E256">
            <v>32.33</v>
          </cell>
          <cell r="F256">
            <v>26.080000000000002</v>
          </cell>
          <cell r="G256">
            <v>20864</v>
          </cell>
          <cell r="H256">
            <v>0</v>
          </cell>
          <cell r="I256">
            <v>0</v>
          </cell>
          <cell r="J256">
            <v>6.25</v>
          </cell>
          <cell r="K256">
            <v>5000</v>
          </cell>
          <cell r="L256">
            <v>25864</v>
          </cell>
          <cell r="M256">
            <v>3.078E-3</v>
          </cell>
        </row>
        <row r="257">
          <cell r="A257" t="str">
            <v>7.23</v>
          </cell>
          <cell r="B257" t="str">
            <v>Pintura do logotipo “SeMAE“ na face do reservatório.  (Item 5.7 do MD)</v>
          </cell>
          <cell r="C257" t="str">
            <v>un</v>
          </cell>
          <cell r="D257">
            <v>260</v>
          </cell>
          <cell r="E257">
            <v>861.68000000000006</v>
          </cell>
          <cell r="F257">
            <v>141.44</v>
          </cell>
          <cell r="G257">
            <v>36774.400000000001</v>
          </cell>
          <cell r="H257">
            <v>133.49</v>
          </cell>
          <cell r="I257">
            <v>34707.4</v>
          </cell>
          <cell r="J257">
            <v>586.75</v>
          </cell>
          <cell r="K257">
            <v>152555</v>
          </cell>
          <cell r="L257">
            <v>224036.8</v>
          </cell>
          <cell r="M257">
            <v>2.6664E-2</v>
          </cell>
        </row>
        <row r="258">
          <cell r="A258" t="str">
            <v>7.24</v>
          </cell>
          <cell r="B258" t="str">
            <v>Pintura da logomarca do Município de São José do Rio Preto (Item 5.7 do MD)</v>
          </cell>
          <cell r="C258" t="str">
            <v>un</v>
          </cell>
          <cell r="D258">
            <v>260</v>
          </cell>
          <cell r="E258">
            <v>861.68000000000006</v>
          </cell>
          <cell r="F258">
            <v>141.44</v>
          </cell>
          <cell r="G258">
            <v>36774.400000000001</v>
          </cell>
          <cell r="H258">
            <v>133.49</v>
          </cell>
          <cell r="I258">
            <v>34707.4</v>
          </cell>
          <cell r="J258">
            <v>586.75</v>
          </cell>
          <cell r="K258">
            <v>152555</v>
          </cell>
          <cell r="L258">
            <v>224036.8</v>
          </cell>
          <cell r="M258">
            <v>2.6664E-2</v>
          </cell>
        </row>
        <row r="259">
          <cell r="A259" t="str">
            <v>7.25</v>
          </cell>
          <cell r="B259" t="str">
            <v>Pintura de piso na cor grafite (Item 5.7 do MD)</v>
          </cell>
          <cell r="C259" t="str">
            <v>m2</v>
          </cell>
          <cell r="D259">
            <v>1000</v>
          </cell>
          <cell r="E259">
            <v>12.78</v>
          </cell>
          <cell r="F259">
            <v>4.17</v>
          </cell>
          <cell r="G259">
            <v>4170</v>
          </cell>
          <cell r="H259">
            <v>0</v>
          </cell>
          <cell r="I259">
            <v>0</v>
          </cell>
          <cell r="J259">
            <v>8.61</v>
          </cell>
          <cell r="K259">
            <v>8610</v>
          </cell>
          <cell r="L259">
            <v>12780</v>
          </cell>
          <cell r="M259">
            <v>1.521E-3</v>
          </cell>
        </row>
        <row r="260">
          <cell r="A260" t="str">
            <v>7.26</v>
          </cell>
          <cell r="B260" t="str">
            <v>Pintura tipo caiação de guias (Item 5.7 do MD)</v>
          </cell>
          <cell r="C260" t="str">
            <v>m</v>
          </cell>
          <cell r="D260">
            <v>700</v>
          </cell>
          <cell r="E260">
            <v>1.7699999999999998</v>
          </cell>
          <cell r="F260">
            <v>0.18000000000000002</v>
          </cell>
          <cell r="G260">
            <v>126</v>
          </cell>
          <cell r="H260">
            <v>0</v>
          </cell>
          <cell r="I260">
            <v>0</v>
          </cell>
          <cell r="J260">
            <v>1.5899999999999999</v>
          </cell>
          <cell r="K260">
            <v>1113</v>
          </cell>
          <cell r="L260">
            <v>1239</v>
          </cell>
          <cell r="M260">
            <v>1.47E-4</v>
          </cell>
        </row>
        <row r="261">
          <cell r="A261" t="str">
            <v>7.27</v>
          </cell>
          <cell r="B261" t="str">
            <v>Pintura  para proteção de tubulação enterrada galvanizada (tinta betuminosa), incluído conexões (Item 5.7 do MD)</v>
          </cell>
          <cell r="C261" t="str">
            <v>m2</v>
          </cell>
          <cell r="D261">
            <v>100</v>
          </cell>
          <cell r="E261">
            <v>45.6</v>
          </cell>
          <cell r="F261">
            <v>0</v>
          </cell>
          <cell r="G261">
            <v>0</v>
          </cell>
          <cell r="H261">
            <v>45.6</v>
          </cell>
          <cell r="I261">
            <v>4560</v>
          </cell>
          <cell r="J261">
            <v>0</v>
          </cell>
          <cell r="K261">
            <v>0</v>
          </cell>
          <cell r="L261">
            <v>4560</v>
          </cell>
          <cell r="M261">
            <v>5.4299999999999997E-4</v>
          </cell>
        </row>
        <row r="262">
          <cell r="A262">
            <v>0</v>
          </cell>
          <cell r="B262">
            <v>0</v>
          </cell>
          <cell r="C262">
            <v>0</v>
          </cell>
          <cell r="D262">
            <v>0</v>
          </cell>
          <cell r="E262">
            <v>0</v>
          </cell>
          <cell r="F262">
            <v>0</v>
          </cell>
          <cell r="G262">
            <v>0</v>
          </cell>
          <cell r="H262">
            <v>0</v>
          </cell>
          <cell r="I262">
            <v>0</v>
          </cell>
          <cell r="J262">
            <v>0</v>
          </cell>
          <cell r="K262">
            <v>0</v>
          </cell>
          <cell r="L262">
            <v>0</v>
          </cell>
          <cell r="M262">
            <v>0</v>
          </cell>
        </row>
        <row r="263">
          <cell r="A263" t="str">
            <v>8.0</v>
          </cell>
          <cell r="B263" t="str">
            <v>SERVIÇOS COMPLEMENTARES</v>
          </cell>
          <cell r="C263" t="str">
            <v>SUB-TOTAL</v>
          </cell>
          <cell r="D263">
            <v>0</v>
          </cell>
          <cell r="E263">
            <v>0</v>
          </cell>
          <cell r="F263">
            <v>342484.6</v>
          </cell>
          <cell r="G263">
            <v>342484.6</v>
          </cell>
          <cell r="H263">
            <v>32990.81</v>
          </cell>
          <cell r="I263">
            <v>32990.81</v>
          </cell>
          <cell r="J263">
            <v>202672.03999999998</v>
          </cell>
          <cell r="K263">
            <v>202672.03999999998</v>
          </cell>
          <cell r="L263">
            <v>578147.44999999995</v>
          </cell>
          <cell r="M263">
            <v>6.8808999999999995E-2</v>
          </cell>
        </row>
        <row r="264">
          <cell r="A264">
            <v>0</v>
          </cell>
          <cell r="B264">
            <v>0</v>
          </cell>
          <cell r="C264">
            <v>0</v>
          </cell>
          <cell r="D264">
            <v>0</v>
          </cell>
          <cell r="E264">
            <v>0</v>
          </cell>
          <cell r="F264">
            <v>0.59238299999999999</v>
          </cell>
          <cell r="G264" t="str">
            <v>sim</v>
          </cell>
          <cell r="H264">
            <v>5.7063000000000003E-2</v>
          </cell>
          <cell r="I264" t="str">
            <v>sim</v>
          </cell>
          <cell r="J264">
            <v>0.35055399999999998</v>
          </cell>
          <cell r="K264" t="str">
            <v>sim</v>
          </cell>
          <cell r="L264">
            <v>0</v>
          </cell>
          <cell r="M264">
            <v>0</v>
          </cell>
        </row>
        <row r="265">
          <cell r="A265" t="str">
            <v>8.1</v>
          </cell>
          <cell r="B265" t="str">
            <v>Esgotamento com bombas de superfície ou submersas (Item 5.8.1 do MD)</v>
          </cell>
          <cell r="C265" t="str">
            <v>h</v>
          </cell>
          <cell r="D265">
            <v>200</v>
          </cell>
          <cell r="E265">
            <v>4.2799999999999994</v>
          </cell>
          <cell r="F265">
            <v>0</v>
          </cell>
          <cell r="G265">
            <v>0</v>
          </cell>
          <cell r="H265">
            <v>2.25</v>
          </cell>
          <cell r="I265">
            <v>450</v>
          </cell>
          <cell r="J265">
            <v>2.0299999999999998</v>
          </cell>
          <cell r="K265">
            <v>406</v>
          </cell>
          <cell r="L265">
            <v>856</v>
          </cell>
          <cell r="M265">
            <v>1.02E-4</v>
          </cell>
        </row>
        <row r="266">
          <cell r="A266" t="str">
            <v>8.2</v>
          </cell>
          <cell r="B266" t="str">
            <v>Impermeabilização de calhas ou lajes com manta asfáltica pré fabricada e=4mm (Item 5.8.2 do MD)</v>
          </cell>
          <cell r="C266" t="str">
            <v>m2</v>
          </cell>
          <cell r="D266">
            <v>198</v>
          </cell>
          <cell r="E266">
            <v>97.79</v>
          </cell>
          <cell r="F266">
            <v>0</v>
          </cell>
          <cell r="G266">
            <v>0</v>
          </cell>
          <cell r="H266">
            <v>97.79</v>
          </cell>
          <cell r="I266">
            <v>19362.419999999998</v>
          </cell>
          <cell r="J266">
            <v>0</v>
          </cell>
          <cell r="K266">
            <v>0</v>
          </cell>
          <cell r="L266">
            <v>19362.419999999998</v>
          </cell>
          <cell r="M266">
            <v>2.3040000000000001E-3</v>
          </cell>
        </row>
        <row r="267">
          <cell r="A267" t="str">
            <v>8.3</v>
          </cell>
          <cell r="B267" t="str">
            <v>Locação de andaime metálico tipo fachadeiro - Inclusive montagem/desmontagem</v>
          </cell>
          <cell r="C267" t="str">
            <v>m2/mês</v>
          </cell>
          <cell r="D267">
            <v>250</v>
          </cell>
          <cell r="E267">
            <v>9.8800000000000008</v>
          </cell>
          <cell r="F267">
            <v>0</v>
          </cell>
          <cell r="G267">
            <v>0</v>
          </cell>
          <cell r="H267">
            <v>5.58</v>
          </cell>
          <cell r="I267">
            <v>1395</v>
          </cell>
          <cell r="J267">
            <v>4.3000000000000007</v>
          </cell>
          <cell r="K267">
            <v>1075</v>
          </cell>
          <cell r="L267">
            <v>2470</v>
          </cell>
          <cell r="M267">
            <v>2.9399999999999999E-4</v>
          </cell>
        </row>
        <row r="268">
          <cell r="A268" t="str">
            <v>8.4</v>
          </cell>
          <cell r="B268" t="str">
            <v>Locação de andaimes metálicos tipo torre (Item 5.8.3 do MD)</v>
          </cell>
          <cell r="C268" t="str">
            <v>m/mês</v>
          </cell>
          <cell r="D268">
            <v>300</v>
          </cell>
          <cell r="E268">
            <v>19.009999999999998</v>
          </cell>
          <cell r="F268">
            <v>0</v>
          </cell>
          <cell r="G268">
            <v>0</v>
          </cell>
          <cell r="H268">
            <v>19.009999999999998</v>
          </cell>
          <cell r="I268">
            <v>5703</v>
          </cell>
          <cell r="J268">
            <v>0</v>
          </cell>
          <cell r="K268">
            <v>0</v>
          </cell>
          <cell r="L268">
            <v>5703</v>
          </cell>
          <cell r="M268">
            <v>6.7900000000000002E-4</v>
          </cell>
        </row>
        <row r="269">
          <cell r="A269" t="str">
            <v>8.5</v>
          </cell>
          <cell r="B269" t="str">
            <v>Andaimes metálicos tipo torre - montagem e desmontagem (Item 5.8.3 do MD)</v>
          </cell>
          <cell r="C269" t="str">
            <v>m</v>
          </cell>
          <cell r="D269">
            <v>300</v>
          </cell>
          <cell r="E269">
            <v>8.57</v>
          </cell>
          <cell r="F269">
            <v>0</v>
          </cell>
          <cell r="G269">
            <v>0</v>
          </cell>
          <cell r="H269">
            <v>0</v>
          </cell>
          <cell r="I269">
            <v>0</v>
          </cell>
          <cell r="J269">
            <v>8.57</v>
          </cell>
          <cell r="K269">
            <v>2571</v>
          </cell>
          <cell r="L269">
            <v>2571</v>
          </cell>
          <cell r="M269">
            <v>3.0600000000000001E-4</v>
          </cell>
        </row>
        <row r="270">
          <cell r="A270" t="str">
            <v>8.6</v>
          </cell>
          <cell r="B270" t="str">
            <v>Banco de concreto Banco de concreto (BC-22 - FDE)  (Item 5.8.4 do MD)</v>
          </cell>
          <cell r="C270" t="str">
            <v>m</v>
          </cell>
          <cell r="D270">
            <v>200</v>
          </cell>
          <cell r="E270">
            <v>228.96999999999997</v>
          </cell>
          <cell r="F270">
            <v>100.69999999999997</v>
          </cell>
          <cell r="G270">
            <v>20140</v>
          </cell>
          <cell r="H270">
            <v>0</v>
          </cell>
          <cell r="I270">
            <v>0</v>
          </cell>
          <cell r="J270">
            <v>128.27000000000001</v>
          </cell>
          <cell r="K270">
            <v>25654</v>
          </cell>
          <cell r="L270">
            <v>45794</v>
          </cell>
          <cell r="M270">
            <v>5.45E-3</v>
          </cell>
        </row>
        <row r="271">
          <cell r="A271" t="str">
            <v>8.7</v>
          </cell>
          <cell r="B271" t="str">
            <v>Cimbramento de madeira (Item 5.8.5 do MD)</v>
          </cell>
          <cell r="C271" t="str">
            <v>m3</v>
          </cell>
          <cell r="D271">
            <v>200</v>
          </cell>
          <cell r="E271">
            <v>35.28</v>
          </cell>
          <cell r="F271">
            <v>18.830000000000002</v>
          </cell>
          <cell r="G271">
            <v>3766</v>
          </cell>
          <cell r="H271">
            <v>0</v>
          </cell>
          <cell r="I271">
            <v>0</v>
          </cell>
          <cell r="J271">
            <v>16.45</v>
          </cell>
          <cell r="K271">
            <v>3290</v>
          </cell>
          <cell r="L271">
            <v>7056</v>
          </cell>
          <cell r="M271">
            <v>8.4000000000000003E-4</v>
          </cell>
        </row>
        <row r="272">
          <cell r="A272" t="str">
            <v>8.8</v>
          </cell>
          <cell r="B272" t="str">
            <v>Taxa de mobilização de equipamento para estaca escavada</v>
          </cell>
          <cell r="C272" t="str">
            <v>un</v>
          </cell>
          <cell r="D272">
            <v>1</v>
          </cell>
          <cell r="E272">
            <v>1693.23</v>
          </cell>
          <cell r="F272">
            <v>0</v>
          </cell>
          <cell r="G272">
            <v>0</v>
          </cell>
          <cell r="H272">
            <v>1691.79</v>
          </cell>
          <cell r="I272">
            <v>1691.79</v>
          </cell>
          <cell r="J272">
            <v>1.4400000000000002</v>
          </cell>
          <cell r="K272">
            <v>1.44</v>
          </cell>
          <cell r="L272">
            <v>1693.23</v>
          </cell>
          <cell r="M272">
            <v>2.02E-4</v>
          </cell>
        </row>
        <row r="273">
          <cell r="A273" t="str">
            <v>8.9</v>
          </cell>
          <cell r="B273" t="str">
            <v>Estaca escavada mecanicamente - Diâmetro 25cm - Capacidade até 20 tf</v>
          </cell>
          <cell r="C273" t="str">
            <v>m</v>
          </cell>
          <cell r="D273">
            <v>240</v>
          </cell>
          <cell r="E273">
            <v>35.099999999999994</v>
          </cell>
          <cell r="F273">
            <v>16.75</v>
          </cell>
          <cell r="G273">
            <v>4020</v>
          </cell>
          <cell r="H273">
            <v>16.91</v>
          </cell>
          <cell r="I273">
            <v>4058.4</v>
          </cell>
          <cell r="J273">
            <v>1.4400000000000002</v>
          </cell>
          <cell r="K273">
            <v>345.6</v>
          </cell>
          <cell r="L273">
            <v>8424</v>
          </cell>
          <cell r="M273">
            <v>1.003E-3</v>
          </cell>
        </row>
        <row r="274">
          <cell r="A274" t="str">
            <v>8.10</v>
          </cell>
          <cell r="B274" t="str">
            <v>Estaca escavada mecanicamente - Diâmetro 30cm - Capacidade até 30 tf</v>
          </cell>
          <cell r="C274" t="str">
            <v>m</v>
          </cell>
          <cell r="D274">
            <v>120</v>
          </cell>
          <cell r="E274">
            <v>49.989999999999995</v>
          </cell>
          <cell r="F274">
            <v>18.39</v>
          </cell>
          <cell r="G274">
            <v>2206.8000000000002</v>
          </cell>
          <cell r="H274">
            <v>1.56</v>
          </cell>
          <cell r="I274">
            <v>187.2</v>
          </cell>
          <cell r="J274">
            <v>30.039999999999996</v>
          </cell>
          <cell r="K274">
            <v>3604.8</v>
          </cell>
          <cell r="L274">
            <v>5998.8</v>
          </cell>
          <cell r="M274">
            <v>7.1400000000000001E-4</v>
          </cell>
        </row>
        <row r="275">
          <cell r="A275" t="str">
            <v>8.11</v>
          </cell>
          <cell r="B275" t="str">
            <v>Pavimentação de concreto armado para pátio industrial, Fck = 25 MPa, e = 12 cm, sobre lastro de brita graduada e = 10 cm, capacidade para cargas de até 4 t/m² e empilhadeiras com cargas de até 1 t</v>
          </cell>
          <cell r="C275" t="str">
            <v>m2</v>
          </cell>
          <cell r="D275">
            <v>1400</v>
          </cell>
          <cell r="E275">
            <v>130.94999999999999</v>
          </cell>
          <cell r="F275">
            <v>106.57</v>
          </cell>
          <cell r="G275">
            <v>149198</v>
          </cell>
          <cell r="H275">
            <v>0</v>
          </cell>
          <cell r="I275">
            <v>0</v>
          </cell>
          <cell r="J275">
            <v>24.380000000000003</v>
          </cell>
          <cell r="K275">
            <v>34132</v>
          </cell>
          <cell r="L275">
            <v>183330</v>
          </cell>
          <cell r="M275">
            <v>2.1819000000000002E-2</v>
          </cell>
        </row>
        <row r="276">
          <cell r="A276" t="str">
            <v>8.12</v>
          </cell>
          <cell r="B276" t="str">
            <v>Guia pré-fabricada de concreto, assentada com concreto Fck=15MPa (Item 5.8.6 do MD)</v>
          </cell>
          <cell r="C276" t="str">
            <v>m</v>
          </cell>
          <cell r="D276">
            <v>300</v>
          </cell>
          <cell r="E276">
            <v>37.44</v>
          </cell>
          <cell r="F276">
            <v>30.589999999999996</v>
          </cell>
          <cell r="G276">
            <v>9177</v>
          </cell>
          <cell r="H276">
            <v>0.28000000000000003</v>
          </cell>
          <cell r="I276">
            <v>84</v>
          </cell>
          <cell r="J276">
            <v>6.57</v>
          </cell>
          <cell r="K276">
            <v>1971</v>
          </cell>
          <cell r="L276">
            <v>11232</v>
          </cell>
          <cell r="M276">
            <v>1.3370000000000001E-3</v>
          </cell>
        </row>
        <row r="277">
          <cell r="A277" t="str">
            <v>8.13</v>
          </cell>
          <cell r="B277" t="str">
            <v>Sarjeta de concreto incluindo preparo de caixa, concreto Fck=15MPa (Item 5.8.7 do MD)</v>
          </cell>
          <cell r="C277" t="str">
            <v>m3</v>
          </cell>
          <cell r="D277">
            <v>20</v>
          </cell>
          <cell r="E277">
            <v>453.05</v>
          </cell>
          <cell r="F277">
            <v>351.49</v>
          </cell>
          <cell r="G277">
            <v>7029.8</v>
          </cell>
          <cell r="H277">
            <v>2.95</v>
          </cell>
          <cell r="I277">
            <v>59</v>
          </cell>
          <cell r="J277">
            <v>98.61</v>
          </cell>
          <cell r="K277">
            <v>1972.2</v>
          </cell>
          <cell r="L277">
            <v>9061</v>
          </cell>
          <cell r="M277">
            <v>1.078E-3</v>
          </cell>
        </row>
        <row r="278">
          <cell r="A278" t="str">
            <v>8.14</v>
          </cell>
          <cell r="B278" t="str">
            <v>Recomposição de pavimentação em lajotas de concreto sextavado para pavimentação (30 x 30 e=10cm) rejuntado com areia , sem fornecimento da lajota (Item 5.8.8 do MD)</v>
          </cell>
          <cell r="C278" t="str">
            <v>m2</v>
          </cell>
          <cell r="D278">
            <v>1000</v>
          </cell>
          <cell r="E278">
            <v>34.949999999999996</v>
          </cell>
          <cell r="F278">
            <v>13.899999999999999</v>
          </cell>
          <cell r="G278">
            <v>13900</v>
          </cell>
          <cell r="H278">
            <v>0</v>
          </cell>
          <cell r="I278">
            <v>0</v>
          </cell>
          <cell r="J278">
            <v>21.049999999999997</v>
          </cell>
          <cell r="K278">
            <v>21050</v>
          </cell>
          <cell r="L278">
            <v>34950</v>
          </cell>
          <cell r="M278">
            <v>4.1599999999999996E-3</v>
          </cell>
        </row>
        <row r="279">
          <cell r="A279" t="str">
            <v>8.15</v>
          </cell>
          <cell r="B279" t="str">
            <v>Recomposição de pavimentação em lajotas de concreto sextavado para pavimentação (30 x 30 e=10cm) rejuntado com areia , com fornecimento da lajota (Item 5.8.8 do MD)</v>
          </cell>
          <cell r="C279" t="str">
            <v>m2</v>
          </cell>
          <cell r="D279">
            <v>700</v>
          </cell>
          <cell r="E279">
            <v>84.96</v>
          </cell>
          <cell r="F279">
            <v>68.55</v>
          </cell>
          <cell r="G279">
            <v>47985</v>
          </cell>
          <cell r="H279">
            <v>0</v>
          </cell>
          <cell r="I279">
            <v>0</v>
          </cell>
          <cell r="J279">
            <v>16.41</v>
          </cell>
          <cell r="K279">
            <v>11487</v>
          </cell>
          <cell r="L279">
            <v>59472</v>
          </cell>
          <cell r="M279">
            <v>7.0780000000000001E-3</v>
          </cell>
        </row>
        <row r="280">
          <cell r="A280" t="str">
            <v>8.16</v>
          </cell>
          <cell r="B280" t="str">
            <v>Recomposição de pavimentação em paralelepípedo com argamassa, sem fornecimento do paralelepípedo (Item 5.8.8 do MD)</v>
          </cell>
          <cell r="C280" t="str">
            <v>m2</v>
          </cell>
          <cell r="D280">
            <v>200</v>
          </cell>
          <cell r="E280">
            <v>36.53</v>
          </cell>
          <cell r="F280">
            <v>9.44</v>
          </cell>
          <cell r="G280">
            <v>1888</v>
          </cell>
          <cell r="H280">
            <v>0</v>
          </cell>
          <cell r="I280">
            <v>0</v>
          </cell>
          <cell r="J280">
            <v>27.09</v>
          </cell>
          <cell r="K280">
            <v>5418</v>
          </cell>
          <cell r="L280">
            <v>7306</v>
          </cell>
          <cell r="M280">
            <v>8.7000000000000001E-4</v>
          </cell>
        </row>
        <row r="281">
          <cell r="A281" t="str">
            <v>8.17</v>
          </cell>
          <cell r="B281" t="str">
            <v>Recomposição de pavimentação em paralelepípedo com argamassa, com fornecimento do paralelepípedo (Item 5.8.8 do MD)</v>
          </cell>
          <cell r="C281" t="str">
            <v>m2</v>
          </cell>
          <cell r="D281">
            <v>1000</v>
          </cell>
          <cell r="E281">
            <v>75.47</v>
          </cell>
          <cell r="F281">
            <v>48.379999999999995</v>
          </cell>
          <cell r="G281">
            <v>48380</v>
          </cell>
          <cell r="H281">
            <v>0</v>
          </cell>
          <cell r="I281">
            <v>0</v>
          </cell>
          <cell r="J281">
            <v>27.09</v>
          </cell>
          <cell r="K281">
            <v>27090</v>
          </cell>
          <cell r="L281">
            <v>75470</v>
          </cell>
          <cell r="M281">
            <v>8.9820000000000004E-3</v>
          </cell>
        </row>
        <row r="282">
          <cell r="A282" t="str">
            <v>8.18</v>
          </cell>
          <cell r="B282" t="str">
            <v>Recomposição de mosaico português, sem fornecimento do mosaico (Item 5.8.9 do MD)</v>
          </cell>
          <cell r="C282" t="str">
            <v>m2</v>
          </cell>
          <cell r="D282">
            <v>900</v>
          </cell>
          <cell r="E282">
            <v>38.700000000000003</v>
          </cell>
          <cell r="F282">
            <v>3.9200000000000004</v>
          </cell>
          <cell r="G282">
            <v>3528</v>
          </cell>
          <cell r="H282">
            <v>0</v>
          </cell>
          <cell r="I282">
            <v>0</v>
          </cell>
          <cell r="J282">
            <v>34.78</v>
          </cell>
          <cell r="K282">
            <v>31302</v>
          </cell>
          <cell r="L282">
            <v>34830</v>
          </cell>
          <cell r="M282">
            <v>4.1450000000000002E-3</v>
          </cell>
        </row>
        <row r="283">
          <cell r="A283" t="str">
            <v>8.19</v>
          </cell>
          <cell r="B283" t="str">
            <v>Recomposição de mosaico português, com fornecimento do mosaico (Item 5.8.9 do MD)</v>
          </cell>
          <cell r="C283" t="str">
            <v>m2</v>
          </cell>
          <cell r="D283">
            <v>900</v>
          </cell>
          <cell r="E283">
            <v>69.52000000000001</v>
          </cell>
          <cell r="F283">
            <v>34.74</v>
          </cell>
          <cell r="G283">
            <v>31266</v>
          </cell>
          <cell r="H283">
            <v>0</v>
          </cell>
          <cell r="I283">
            <v>0</v>
          </cell>
          <cell r="J283">
            <v>34.78</v>
          </cell>
          <cell r="K283">
            <v>31302</v>
          </cell>
          <cell r="L283">
            <v>62568</v>
          </cell>
          <cell r="M283">
            <v>7.4469999999999996E-3</v>
          </cell>
        </row>
        <row r="284">
          <cell r="A284">
            <v>0</v>
          </cell>
          <cell r="B284">
            <v>0</v>
          </cell>
          <cell r="C284">
            <v>0</v>
          </cell>
          <cell r="D284">
            <v>0</v>
          </cell>
          <cell r="E284">
            <v>0</v>
          </cell>
          <cell r="F284">
            <v>0</v>
          </cell>
          <cell r="G284">
            <v>0</v>
          </cell>
          <cell r="H284">
            <v>0</v>
          </cell>
          <cell r="I284">
            <v>0</v>
          </cell>
          <cell r="J284">
            <v>0</v>
          </cell>
          <cell r="K284">
            <v>0</v>
          </cell>
          <cell r="L284">
            <v>0</v>
          </cell>
          <cell r="M284">
            <v>0</v>
          </cell>
        </row>
        <row r="285">
          <cell r="A285" t="str">
            <v>TOTAL GERAL</v>
          </cell>
          <cell r="B285">
            <v>0</v>
          </cell>
          <cell r="C285">
            <v>0</v>
          </cell>
          <cell r="D285">
            <v>0</v>
          </cell>
          <cell r="E285">
            <v>0</v>
          </cell>
          <cell r="F285">
            <v>0</v>
          </cell>
          <cell r="G285">
            <v>0</v>
          </cell>
          <cell r="H285">
            <v>0</v>
          </cell>
          <cell r="I285">
            <v>0</v>
          </cell>
          <cell r="J285">
            <v>0</v>
          </cell>
          <cell r="K285">
            <v>0</v>
          </cell>
          <cell r="L285">
            <v>8402223.1400000006</v>
          </cell>
          <cell r="M285">
            <v>1</v>
          </cell>
        </row>
        <row r="286">
          <cell r="A286" t="str">
            <v>Total de materiais</v>
          </cell>
          <cell r="B286">
            <v>0</v>
          </cell>
          <cell r="C286">
            <v>0</v>
          </cell>
          <cell r="D286">
            <v>0</v>
          </cell>
          <cell r="E286">
            <v>0</v>
          </cell>
          <cell r="F286">
            <v>0</v>
          </cell>
          <cell r="G286">
            <v>0</v>
          </cell>
          <cell r="H286">
            <v>0</v>
          </cell>
          <cell r="I286">
            <v>0</v>
          </cell>
          <cell r="J286">
            <v>0</v>
          </cell>
          <cell r="K286">
            <v>0</v>
          </cell>
          <cell r="L286">
            <v>3576675.8800000004</v>
          </cell>
          <cell r="M286">
            <v>0.42568</v>
          </cell>
        </row>
        <row r="287">
          <cell r="A287" t="str">
            <v>Total de empreiteiros e serviços</v>
          </cell>
          <cell r="B287">
            <v>0</v>
          </cell>
          <cell r="C287">
            <v>0</v>
          </cell>
          <cell r="D287">
            <v>0</v>
          </cell>
          <cell r="E287">
            <v>0</v>
          </cell>
          <cell r="F287">
            <v>0</v>
          </cell>
          <cell r="G287">
            <v>0</v>
          </cell>
          <cell r="H287">
            <v>0</v>
          </cell>
          <cell r="I287">
            <v>0</v>
          </cell>
          <cell r="J287">
            <v>0</v>
          </cell>
          <cell r="K287">
            <v>0</v>
          </cell>
          <cell r="L287">
            <v>1009791.61</v>
          </cell>
          <cell r="M287">
            <v>0.12018</v>
          </cell>
        </row>
      </sheetData>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M"/>
      <sheetName val="Summary 2004$"/>
    </sheetNames>
    <sheetDataSet>
      <sheetData sheetId="0">
        <row r="32">
          <cell r="A32" t="str">
            <v>Empreitada por Preço Unitário ou Tarefa</v>
          </cell>
        </row>
      </sheetData>
      <sheetData sheetId="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Busca"/>
      <sheetName val="ISD"/>
      <sheetName val="ICD"/>
      <sheetName val="ISE"/>
      <sheetName val="CSD"/>
      <sheetName val="CCD"/>
      <sheetName val="CSE"/>
      <sheetName val="Analítico"/>
      <sheetName val="Analítico com Custo"/>
    </sheetNames>
    <sheetDataSet>
      <sheetData sheetId="0"/>
      <sheetData sheetId="1"/>
      <sheetData sheetId="2">
        <row r="11">
          <cell r="B11">
            <v>45333</v>
          </cell>
          <cell r="C11" t="str">
            <v>ABERTURA PARA ENCAIXE DE CUBA OU LAVATORIO EM BANCADA DE MARMORE/ GRANITO OU OUTRO TIPO DE PEDRA NATURAL</v>
          </cell>
          <cell r="D11" t="str">
            <v>UN</v>
          </cell>
          <cell r="E11" t="str">
            <v>CR</v>
          </cell>
          <cell r="F11">
            <v>189.89</v>
          </cell>
        </row>
        <row r="12">
          <cell r="B12">
            <v>11270</v>
          </cell>
          <cell r="C12" t="str">
            <v>ABRACADEIRA DE LATAO PARA FIXACAO DE CABO PARA-RAIO, DIMENSOES 32 X 24 X 24 MM</v>
          </cell>
          <cell r="D12" t="str">
            <v>UN</v>
          </cell>
          <cell r="E12" t="str">
            <v>CR</v>
          </cell>
          <cell r="F12">
            <v>2.52</v>
          </cell>
        </row>
        <row r="13">
          <cell r="B13">
            <v>412</v>
          </cell>
          <cell r="C13" t="str">
            <v>ABRACADEIRA DE NYLON PARA AMARRACAO DE CABOS, COMPRIMENTO DE *230* X *7,6* MM</v>
          </cell>
          <cell r="D13" t="str">
            <v>UN</v>
          </cell>
          <cell r="E13" t="str">
            <v>CR</v>
          </cell>
          <cell r="F13">
            <v>1.1299999999999999</v>
          </cell>
        </row>
        <row r="14">
          <cell r="B14">
            <v>414</v>
          </cell>
          <cell r="C14" t="str">
            <v>ABRACADEIRA DE NYLON PARA AMARRACAO DE CABOS, COMPRIMENTO DE 100 X 2,5 MM</v>
          </cell>
          <cell r="D14" t="str">
            <v>UN</v>
          </cell>
          <cell r="E14" t="str">
            <v>CR</v>
          </cell>
          <cell r="F14">
            <v>7.0000000000000007E-2</v>
          </cell>
        </row>
        <row r="15">
          <cell r="B15">
            <v>410</v>
          </cell>
          <cell r="C15" t="str">
            <v>ABRACADEIRA DE NYLON PARA AMARRACAO DE CABOS, COMPRIMENTO DE 150 X *3,6* MM</v>
          </cell>
          <cell r="D15" t="str">
            <v>UN</v>
          </cell>
          <cell r="E15" t="str">
            <v>CR</v>
          </cell>
          <cell r="F15">
            <v>0.17</v>
          </cell>
        </row>
        <row r="16">
          <cell r="B16">
            <v>411</v>
          </cell>
          <cell r="C16" t="str">
            <v>ABRACADEIRA DE NYLON PARA AMARRACAO DE CABOS, COMPRIMENTO DE 200 X *4,6* MM</v>
          </cell>
          <cell r="D16" t="str">
            <v>UN</v>
          </cell>
          <cell r="E16" t="str">
            <v>C</v>
          </cell>
          <cell r="F16">
            <v>0.22</v>
          </cell>
        </row>
        <row r="17">
          <cell r="B17">
            <v>408</v>
          </cell>
          <cell r="C17" t="str">
            <v>ABRACADEIRA DE NYLON PARA AMARRACAO DE CABOS, COMPRIMENTO DE 390 X *4,6* MM</v>
          </cell>
          <cell r="D17" t="str">
            <v>UN</v>
          </cell>
          <cell r="E17" t="str">
            <v>CR</v>
          </cell>
          <cell r="F17">
            <v>1.0900000000000001</v>
          </cell>
        </row>
        <row r="18">
          <cell r="B18">
            <v>39131</v>
          </cell>
          <cell r="C18" t="str">
            <v>ABRACADEIRA EM ACO PARA AMARRACAO DE ELETRODUTOS, TIPO D, COM 1 1/2" E CUNHA DE FIXACAO</v>
          </cell>
          <cell r="D18" t="str">
            <v>UN</v>
          </cell>
          <cell r="E18" t="str">
            <v>CR</v>
          </cell>
          <cell r="F18">
            <v>3.35</v>
          </cell>
        </row>
        <row r="19">
          <cell r="B19">
            <v>394</v>
          </cell>
          <cell r="C19" t="str">
            <v>ABRACADEIRA EM ACO PARA AMARRACAO DE ELETRODUTOS, TIPO D, COM 1 1/2" E PARAFUSO DE FIXACAO</v>
          </cell>
          <cell r="D19" t="str">
            <v>UN</v>
          </cell>
          <cell r="E19" t="str">
            <v>CR</v>
          </cell>
          <cell r="F19">
            <v>3.39</v>
          </cell>
        </row>
        <row r="20">
          <cell r="B20">
            <v>39130</v>
          </cell>
          <cell r="C20" t="str">
            <v>ABRACADEIRA EM ACO PARA AMARRACAO DE ELETRODUTOS, TIPO D, COM 1 1/4" E CUNHA DE FIXACAO</v>
          </cell>
          <cell r="D20" t="str">
            <v>UN</v>
          </cell>
          <cell r="E20" t="str">
            <v>CR</v>
          </cell>
          <cell r="F20">
            <v>3.05</v>
          </cell>
        </row>
        <row r="21">
          <cell r="B21">
            <v>395</v>
          </cell>
          <cell r="C21" t="str">
            <v>ABRACADEIRA EM ACO PARA AMARRACAO DE ELETRODUTOS, TIPO D, COM 1 1/4" E PARAFUSO DE FIXACAO</v>
          </cell>
          <cell r="D21" t="str">
            <v>UN</v>
          </cell>
          <cell r="E21" t="str">
            <v>CR</v>
          </cell>
          <cell r="F21">
            <v>3.26</v>
          </cell>
        </row>
        <row r="22">
          <cell r="B22">
            <v>39129</v>
          </cell>
          <cell r="C22" t="str">
            <v>ABRACADEIRA EM ACO PARA AMARRACAO DE ELETRODUTOS, TIPO D, COM 1" E CUNHA DE FIXACAO</v>
          </cell>
          <cell r="D22" t="str">
            <v>UN</v>
          </cell>
          <cell r="E22" t="str">
            <v>CR</v>
          </cell>
          <cell r="F22">
            <v>1.88</v>
          </cell>
        </row>
        <row r="23">
          <cell r="B23">
            <v>393</v>
          </cell>
          <cell r="C23" t="str">
            <v>ABRACADEIRA EM ACO PARA AMARRACAO DE ELETRODUTOS, TIPO D, COM 1" E PARAFUSO DE FIXACAO</v>
          </cell>
          <cell r="D23" t="str">
            <v>UN</v>
          </cell>
          <cell r="E23" t="str">
            <v>C</v>
          </cell>
          <cell r="F23">
            <v>1.97</v>
          </cell>
        </row>
        <row r="24">
          <cell r="B24">
            <v>39127</v>
          </cell>
          <cell r="C24" t="str">
            <v>ABRACADEIRA EM ACO PARA AMARRACAO DE ELETRODUTOS, TIPO D, COM 1/2" E CUNHA DE FIXACAO</v>
          </cell>
          <cell r="D24" t="str">
            <v>UN</v>
          </cell>
          <cell r="E24" t="str">
            <v>CR</v>
          </cell>
          <cell r="F24">
            <v>1.61</v>
          </cell>
        </row>
        <row r="25">
          <cell r="B25">
            <v>392</v>
          </cell>
          <cell r="C25" t="str">
            <v>ABRACADEIRA EM ACO PARA AMARRACAO DE ELETRODUTOS, TIPO D, COM 1/2" E PARAFUSO DE FIXACAO</v>
          </cell>
          <cell r="D25" t="str">
            <v>UN</v>
          </cell>
          <cell r="E25" t="str">
            <v>CR</v>
          </cell>
          <cell r="F25">
            <v>1.65</v>
          </cell>
        </row>
        <row r="26">
          <cell r="B26">
            <v>39133</v>
          </cell>
          <cell r="C26" t="str">
            <v>ABRACADEIRA EM ACO PARA AMARRACAO DE ELETRODUTOS, TIPO D, COM 2 1/2" E CUNHA DE FIXACAO</v>
          </cell>
          <cell r="D26" t="str">
            <v>UN</v>
          </cell>
          <cell r="E26" t="str">
            <v>CR</v>
          </cell>
          <cell r="F26">
            <v>4.4000000000000004</v>
          </cell>
        </row>
        <row r="27">
          <cell r="B27">
            <v>397</v>
          </cell>
          <cell r="C27" t="str">
            <v>ABRACADEIRA EM ACO PARA AMARRACAO DE ELETRODUTOS, TIPO D, COM 2 1/2" E PARAFUSO DE FIXACAO</v>
          </cell>
          <cell r="D27" t="str">
            <v>UN</v>
          </cell>
          <cell r="E27" t="str">
            <v>CR</v>
          </cell>
          <cell r="F27">
            <v>4.8600000000000003</v>
          </cell>
        </row>
        <row r="28">
          <cell r="B28">
            <v>39132</v>
          </cell>
          <cell r="C28" t="str">
            <v>ABRACADEIRA EM ACO PARA AMARRACAO DE ELETRODUTOS, TIPO D, COM 2" E CUNHA DE FIXACAO</v>
          </cell>
          <cell r="D28" t="str">
            <v>UN</v>
          </cell>
          <cell r="E28" t="str">
            <v>CR</v>
          </cell>
          <cell r="F28">
            <v>3.52</v>
          </cell>
        </row>
        <row r="29">
          <cell r="B29">
            <v>396</v>
          </cell>
          <cell r="C29" t="str">
            <v>ABRACADEIRA EM ACO PARA AMARRACAO DE ELETRODUTOS, TIPO D, COM 2" E PARAFUSO DE FIXACAO</v>
          </cell>
          <cell r="D29" t="str">
            <v>UN</v>
          </cell>
          <cell r="E29" t="str">
            <v>CR</v>
          </cell>
          <cell r="F29">
            <v>3.77</v>
          </cell>
        </row>
        <row r="30">
          <cell r="B30">
            <v>39135</v>
          </cell>
          <cell r="C30" t="str">
            <v>ABRACADEIRA EM ACO PARA AMARRACAO DE ELETRODUTOS, TIPO D, COM 3 1/2" E CUNHA DE FIXACAO</v>
          </cell>
          <cell r="D30" t="str">
            <v>UN</v>
          </cell>
          <cell r="E30" t="str">
            <v>CR</v>
          </cell>
          <cell r="F30">
            <v>7.04</v>
          </cell>
        </row>
        <row r="31">
          <cell r="B31">
            <v>39134</v>
          </cell>
          <cell r="C31" t="str">
            <v>ABRACADEIRA EM ACO PARA AMARRACAO DE ELETRODUTOS, TIPO D, COM 3" E CUNHA DE FIXACAO</v>
          </cell>
          <cell r="D31" t="str">
            <v>UN</v>
          </cell>
          <cell r="E31" t="str">
            <v>CR</v>
          </cell>
          <cell r="F31">
            <v>5.86</v>
          </cell>
        </row>
        <row r="32">
          <cell r="B32">
            <v>398</v>
          </cell>
          <cell r="C32" t="str">
            <v>ABRACADEIRA EM ACO PARA AMARRACAO DE ELETRODUTOS, TIPO D, COM 3" E PARAFUSO DE FIXACAO</v>
          </cell>
          <cell r="D32" t="str">
            <v>UN</v>
          </cell>
          <cell r="E32" t="str">
            <v>CR</v>
          </cell>
          <cell r="F32">
            <v>5.4</v>
          </cell>
        </row>
        <row r="33">
          <cell r="B33">
            <v>39128</v>
          </cell>
          <cell r="C33" t="str">
            <v>ABRACADEIRA EM ACO PARA AMARRACAO DE ELETRODUTOS, TIPO D, COM 3/4" E CUNHA DE FIXACAO</v>
          </cell>
          <cell r="D33" t="str">
            <v>UN</v>
          </cell>
          <cell r="E33" t="str">
            <v>CR</v>
          </cell>
          <cell r="F33">
            <v>1.76</v>
          </cell>
        </row>
        <row r="34">
          <cell r="B34">
            <v>400</v>
          </cell>
          <cell r="C34" t="str">
            <v>ABRACADEIRA EM ACO PARA AMARRACAO DE ELETRODUTOS, TIPO D, COM 3/4" E PARAFUSO DE FIXACAO</v>
          </cell>
          <cell r="D34" t="str">
            <v>UN</v>
          </cell>
          <cell r="E34" t="str">
            <v>CR</v>
          </cell>
          <cell r="F34">
            <v>1.71</v>
          </cell>
        </row>
        <row r="35">
          <cell r="B35">
            <v>39125</v>
          </cell>
          <cell r="C35" t="str">
            <v>ABRACADEIRA EM ACO PARA AMARRACAO DE ELETRODUTOS, TIPO D, COM 3/8" E PARAFUSO DE FIXACAO</v>
          </cell>
          <cell r="D35" t="str">
            <v>UN</v>
          </cell>
          <cell r="E35" t="str">
            <v>CR</v>
          </cell>
          <cell r="F35">
            <v>1.76</v>
          </cell>
        </row>
        <row r="36">
          <cell r="B36">
            <v>39126</v>
          </cell>
          <cell r="C36" t="str">
            <v>ABRACADEIRA EM ACO PARA AMARRACAO DE ELETRODUTOS, TIPO D, COM 4" E CUNHA DE FIXACAO</v>
          </cell>
          <cell r="D36" t="str">
            <v>UN</v>
          </cell>
          <cell r="E36" t="str">
            <v>CR</v>
          </cell>
          <cell r="F36">
            <v>7.92</v>
          </cell>
        </row>
        <row r="37">
          <cell r="B37">
            <v>399</v>
          </cell>
          <cell r="C37" t="str">
            <v>ABRACADEIRA EM ACO PARA AMARRACAO DE ELETRODUTOS, TIPO D, COM 4" E PARAFUSO DE FIXACAO</v>
          </cell>
          <cell r="D37" t="str">
            <v>UN</v>
          </cell>
          <cell r="E37" t="str">
            <v>CR</v>
          </cell>
          <cell r="F37">
            <v>6.97</v>
          </cell>
        </row>
        <row r="38">
          <cell r="B38">
            <v>39158</v>
          </cell>
          <cell r="C38" t="str">
            <v>ABRACADEIRA EM ACO PARA AMARRACAO DE ELETRODUTOS, TIPO ECONOMICA (GOTA), COM 8"</v>
          </cell>
          <cell r="D38" t="str">
            <v>UN</v>
          </cell>
          <cell r="E38" t="str">
            <v>CR</v>
          </cell>
          <cell r="F38">
            <v>18.73</v>
          </cell>
        </row>
        <row r="39">
          <cell r="B39">
            <v>39141</v>
          </cell>
          <cell r="C39" t="str">
            <v>ABRACADEIRA EM ACO PARA AMARRACAO DE ELETRODUTOS, TIPO U SIMPLES, COM 1 1/2"</v>
          </cell>
          <cell r="D39" t="str">
            <v>UN</v>
          </cell>
          <cell r="E39" t="str">
            <v>CR</v>
          </cell>
          <cell r="F39">
            <v>1.36</v>
          </cell>
        </row>
        <row r="40">
          <cell r="B40">
            <v>39140</v>
          </cell>
          <cell r="C40" t="str">
            <v>ABRACADEIRA EM ACO PARA AMARRACAO DE ELETRODUTOS, TIPO U SIMPLES, COM 1 1/4"</v>
          </cell>
          <cell r="D40" t="str">
            <v>UN</v>
          </cell>
          <cell r="E40" t="str">
            <v>CR</v>
          </cell>
          <cell r="F40">
            <v>1.23</v>
          </cell>
        </row>
        <row r="41">
          <cell r="B41">
            <v>39139</v>
          </cell>
          <cell r="C41" t="str">
            <v>ABRACADEIRA EM ACO PARA AMARRACAO DE ELETRODUTOS, TIPO U SIMPLES, COM 1"</v>
          </cell>
          <cell r="D41" t="str">
            <v>UN</v>
          </cell>
          <cell r="E41" t="str">
            <v>CR</v>
          </cell>
          <cell r="F41">
            <v>1.02</v>
          </cell>
        </row>
        <row r="42">
          <cell r="B42">
            <v>39137</v>
          </cell>
          <cell r="C42" t="str">
            <v>ABRACADEIRA EM ACO PARA AMARRACAO DE ELETRODUTOS, TIPO U SIMPLES, COM 1/2"</v>
          </cell>
          <cell r="D42" t="str">
            <v>UN</v>
          </cell>
          <cell r="E42" t="str">
            <v>CR</v>
          </cell>
          <cell r="F42">
            <v>0.71</v>
          </cell>
        </row>
        <row r="43">
          <cell r="B43">
            <v>39143</v>
          </cell>
          <cell r="C43" t="str">
            <v>ABRACADEIRA EM ACO PARA AMARRACAO DE ELETRODUTOS, TIPO U SIMPLES, COM 2 1/2"</v>
          </cell>
          <cell r="D43" t="str">
            <v>UN</v>
          </cell>
          <cell r="E43" t="str">
            <v>CR</v>
          </cell>
          <cell r="F43">
            <v>2.8</v>
          </cell>
        </row>
        <row r="44">
          <cell r="B44">
            <v>39142</v>
          </cell>
          <cell r="C44" t="str">
            <v>ABRACADEIRA EM ACO PARA AMARRACAO DE ELETRODUTOS, TIPO U SIMPLES, COM 2"</v>
          </cell>
          <cell r="D44" t="str">
            <v>UN</v>
          </cell>
          <cell r="E44" t="str">
            <v>CR</v>
          </cell>
          <cell r="F44">
            <v>2.0099999999999998</v>
          </cell>
        </row>
        <row r="45">
          <cell r="B45">
            <v>39144</v>
          </cell>
          <cell r="C45" t="str">
            <v>ABRACADEIRA EM ACO PARA AMARRACAO DE ELETRODUTOS, TIPO U SIMPLES, COM 3"</v>
          </cell>
          <cell r="D45" t="str">
            <v>UN</v>
          </cell>
          <cell r="E45" t="str">
            <v>CR</v>
          </cell>
          <cell r="F45">
            <v>3.26</v>
          </cell>
        </row>
        <row r="46">
          <cell r="B46">
            <v>39138</v>
          </cell>
          <cell r="C46" t="str">
            <v>ABRACADEIRA EM ACO PARA AMARRACAO DE ELETRODUTOS, TIPO U SIMPLES, COM 3/4"</v>
          </cell>
          <cell r="D46" t="str">
            <v>UN</v>
          </cell>
          <cell r="E46" t="str">
            <v>CR</v>
          </cell>
          <cell r="F46">
            <v>0.75</v>
          </cell>
        </row>
        <row r="47">
          <cell r="B47">
            <v>39136</v>
          </cell>
          <cell r="C47" t="str">
            <v>ABRACADEIRA EM ACO PARA AMARRACAO DE ELETRODUTOS, TIPO U SIMPLES, COM 3/8"</v>
          </cell>
          <cell r="D47" t="str">
            <v>UN</v>
          </cell>
          <cell r="E47" t="str">
            <v>CR</v>
          </cell>
          <cell r="F47">
            <v>0.5</v>
          </cell>
        </row>
        <row r="48">
          <cell r="B48">
            <v>39145</v>
          </cell>
          <cell r="C48" t="str">
            <v>ABRACADEIRA EM ACO PARA AMARRACAO DE ELETRODUTOS, TIPO U SIMPLES, COM 4"</v>
          </cell>
          <cell r="D48" t="str">
            <v>UN</v>
          </cell>
          <cell r="E48" t="str">
            <v>CR</v>
          </cell>
          <cell r="F48">
            <v>5.38</v>
          </cell>
        </row>
        <row r="49">
          <cell r="B49">
            <v>12615</v>
          </cell>
          <cell r="C49" t="str">
            <v>ABRACADEIRA PVC, PARA CALHA PLUVIAL, DIAMETRO ENTRE *80 E 100* MM, PARA DRENAGEM PLUVIAL PREDIAL</v>
          </cell>
          <cell r="D49" t="str">
            <v>UN</v>
          </cell>
          <cell r="E49" t="str">
            <v>CR</v>
          </cell>
          <cell r="F49">
            <v>15.03</v>
          </cell>
        </row>
        <row r="50">
          <cell r="B50">
            <v>11927</v>
          </cell>
          <cell r="C50" t="str">
            <v>ABRACADEIRA, GALVANIZADA/ZINCADA, ROSCA SEM FIM, PARAFUSO INOX, LARGURA FITA *12,6 A *14 MM, D = 2" A 2 1/2"</v>
          </cell>
          <cell r="D50" t="str">
            <v>UN</v>
          </cell>
          <cell r="E50" t="str">
            <v>CR</v>
          </cell>
          <cell r="F50">
            <v>7.52</v>
          </cell>
        </row>
        <row r="51">
          <cell r="B51">
            <v>11928</v>
          </cell>
          <cell r="C51" t="str">
            <v>ABRACADEIRA, GALVANIZADA/ZINCADA, ROSCA SEM FIM, PARAFUSO INOX, LARGURA FITA *12,6 A *14 MM, D = 3" A 3 3/4"</v>
          </cell>
          <cell r="D51" t="str">
            <v>UN</v>
          </cell>
          <cell r="E51" t="str">
            <v>CR</v>
          </cell>
          <cell r="F51">
            <v>8.61</v>
          </cell>
        </row>
        <row r="52">
          <cell r="B52">
            <v>11929</v>
          </cell>
          <cell r="C52" t="str">
            <v>ABRACADEIRA, GALVANIZADA/ZINCADA, ROSCA SEM FIM, PARAFUSO INOX, LARGURA FITA *12,6 A *14 MM, D = 4" A 4 3/4"</v>
          </cell>
          <cell r="D52" t="str">
            <v>UN</v>
          </cell>
          <cell r="E52" t="str">
            <v>CR</v>
          </cell>
          <cell r="F52">
            <v>13.33</v>
          </cell>
        </row>
        <row r="53">
          <cell r="B53">
            <v>36801</v>
          </cell>
          <cell r="C53" t="str">
            <v>ACABAMENTO DE METAL CROMADO PARA REGISTRO PEQUENO, DE PAREDE, 1/2" OU 3/4"</v>
          </cell>
          <cell r="D53" t="str">
            <v>UN</v>
          </cell>
          <cell r="E53" t="str">
            <v>CR</v>
          </cell>
          <cell r="F53">
            <v>30.6</v>
          </cell>
        </row>
        <row r="54">
          <cell r="B54">
            <v>36246</v>
          </cell>
          <cell r="C54" t="str">
            <v>ACABAMENTO SIMPLES/CONVENCIONAL PARA FORRO PVC, TIPO "U" OU "C", COR BRANCA, COMPRIMENTO 6 M</v>
          </cell>
          <cell r="D54" t="str">
            <v>M</v>
          </cell>
          <cell r="E54" t="str">
            <v>CR</v>
          </cell>
          <cell r="F54">
            <v>4.09</v>
          </cell>
        </row>
        <row r="55">
          <cell r="B55">
            <v>37600</v>
          </cell>
          <cell r="C55" t="str">
            <v>ACESSORIO DE LIGACAO NAO ELETRICO PARA CARGAS EXPLOSIVAS, TUBO DE 6 M</v>
          </cell>
          <cell r="D55" t="str">
            <v>UN</v>
          </cell>
          <cell r="E55" t="str">
            <v>CR</v>
          </cell>
          <cell r="F55">
            <v>104.86</v>
          </cell>
        </row>
        <row r="56">
          <cell r="B56">
            <v>37599</v>
          </cell>
          <cell r="C56" t="str">
            <v>ACESSORIO INICIADOR NAO ELETRICO, TUBO DE 6 M, TEMPO DE RETARDO DE *160* MS</v>
          </cell>
          <cell r="D56" t="str">
            <v>UN</v>
          </cell>
          <cell r="E56" t="str">
            <v>CR</v>
          </cell>
          <cell r="F56">
            <v>97.6</v>
          </cell>
        </row>
        <row r="57">
          <cell r="B57">
            <v>1</v>
          </cell>
          <cell r="C57" t="str">
            <v>ACETILENO - RECARGA DE GAS PARA CILINDRO (NAO INCLUI TROCA/MANUTENCAO DO CILINDRO)</v>
          </cell>
          <cell r="D57" t="str">
            <v>KG</v>
          </cell>
          <cell r="E57" t="str">
            <v>C</v>
          </cell>
          <cell r="F57">
            <v>110</v>
          </cell>
        </row>
        <row r="58">
          <cell r="B58">
            <v>3</v>
          </cell>
          <cell r="C58" t="str">
            <v>ACIDO CLORIDRICO / ACIDO MURIATICO, DILUICAO 10% A 12% PARA USO EM LIMPEZA</v>
          </cell>
          <cell r="D58" t="str">
            <v>L</v>
          </cell>
          <cell r="E58" t="str">
            <v>CR</v>
          </cell>
          <cell r="F58">
            <v>19.12</v>
          </cell>
        </row>
        <row r="59">
          <cell r="B59">
            <v>43054</v>
          </cell>
          <cell r="C59" t="str">
            <v>ACO CA-25, 10,0 MM, OU 12,5 MM, OU 16,0 MM, OU 20,0 MM, OU 25,0 MM, VERGALHAO</v>
          </cell>
          <cell r="D59" t="str">
            <v>KG</v>
          </cell>
          <cell r="E59" t="str">
            <v>CR</v>
          </cell>
          <cell r="F59">
            <v>6.7</v>
          </cell>
        </row>
        <row r="60">
          <cell r="B60">
            <v>42402</v>
          </cell>
          <cell r="C60" t="str">
            <v>ACO CA-25, 16,0 MM, BARRA DE TRANSFERENCIA</v>
          </cell>
          <cell r="D60" t="str">
            <v>KG</v>
          </cell>
          <cell r="E60" t="str">
            <v>CR</v>
          </cell>
          <cell r="F60">
            <v>6.4</v>
          </cell>
        </row>
        <row r="61">
          <cell r="B61">
            <v>42403</v>
          </cell>
          <cell r="C61" t="str">
            <v>ACO CA-25, 20,0 MM, BARRA DE TRANSFERENCIA</v>
          </cell>
          <cell r="D61" t="str">
            <v>KG</v>
          </cell>
          <cell r="E61" t="str">
            <v>CR</v>
          </cell>
          <cell r="F61">
            <v>8.2100000000000009</v>
          </cell>
        </row>
        <row r="62">
          <cell r="B62">
            <v>42404</v>
          </cell>
          <cell r="C62" t="str">
            <v>ACO CA-25, 25,0 MM, BARRA DE TRANSFERENCIA</v>
          </cell>
          <cell r="D62" t="str">
            <v>KG</v>
          </cell>
          <cell r="E62" t="str">
            <v>CR</v>
          </cell>
          <cell r="F62">
            <v>8.16</v>
          </cell>
        </row>
        <row r="63">
          <cell r="B63">
            <v>42405</v>
          </cell>
          <cell r="C63" t="str">
            <v>ACO CA-25, 32,0 MM, BARRA DE TRANSFERENCIA</v>
          </cell>
          <cell r="D63" t="str">
            <v>KG</v>
          </cell>
          <cell r="E63" t="str">
            <v>CR</v>
          </cell>
          <cell r="F63">
            <v>8.6999999999999993</v>
          </cell>
        </row>
        <row r="64">
          <cell r="B64">
            <v>34341</v>
          </cell>
          <cell r="C64" t="str">
            <v>ACO CA-25, 32,0 MM, VERGALHAO</v>
          </cell>
          <cell r="D64" t="str">
            <v>KG</v>
          </cell>
          <cell r="E64" t="str">
            <v>CR</v>
          </cell>
          <cell r="F64">
            <v>7.55</v>
          </cell>
        </row>
        <row r="65">
          <cell r="B65">
            <v>43053</v>
          </cell>
          <cell r="C65" t="str">
            <v>ACO CA-25, 6,3 MM OU 8,0 MM, VERGALHAO</v>
          </cell>
          <cell r="D65" t="str">
            <v>KG</v>
          </cell>
          <cell r="E65" t="str">
            <v>CR</v>
          </cell>
          <cell r="F65">
            <v>5.98</v>
          </cell>
        </row>
        <row r="66">
          <cell r="B66">
            <v>43058</v>
          </cell>
          <cell r="C66" t="str">
            <v>ACO CA-50, 10,0 MM, OU 12,5 MM, OU 16,0 MM, OU 20,0 MM, DOBRADO E CORTADO</v>
          </cell>
          <cell r="D66" t="str">
            <v>KG</v>
          </cell>
          <cell r="E66" t="str">
            <v>CR</v>
          </cell>
          <cell r="F66">
            <v>6.2</v>
          </cell>
        </row>
        <row r="67">
          <cell r="B67">
            <v>34</v>
          </cell>
          <cell r="C67" t="str">
            <v>ACO CA-50, 10,0 MM, VERGALHAO</v>
          </cell>
          <cell r="D67" t="str">
            <v>KG</v>
          </cell>
          <cell r="E67" t="str">
            <v>CR</v>
          </cell>
          <cell r="F67">
            <v>6.23</v>
          </cell>
        </row>
        <row r="68">
          <cell r="B68">
            <v>43055</v>
          </cell>
          <cell r="C68" t="str">
            <v>ACO CA-50, 12,5 MM OU 16,0 MM, VERGALHAO</v>
          </cell>
          <cell r="D68" t="str">
            <v>KG</v>
          </cell>
          <cell r="E68" t="str">
            <v>C</v>
          </cell>
          <cell r="F68">
            <v>5.4</v>
          </cell>
        </row>
        <row r="69">
          <cell r="B69">
            <v>43056</v>
          </cell>
          <cell r="C69" t="str">
            <v>ACO CA-50, 20,0 MM OU 25,0 MM, VERGALHAO</v>
          </cell>
          <cell r="D69" t="str">
            <v>KG</v>
          </cell>
          <cell r="E69" t="str">
            <v>CR</v>
          </cell>
          <cell r="F69">
            <v>6.22</v>
          </cell>
        </row>
        <row r="70">
          <cell r="B70">
            <v>43057</v>
          </cell>
          <cell r="C70" t="str">
            <v>ACO CA-50, 32,0 MM, VERGALHAO</v>
          </cell>
          <cell r="D70" t="str">
            <v>KG</v>
          </cell>
          <cell r="E70" t="str">
            <v>CR</v>
          </cell>
          <cell r="F70">
            <v>6.84</v>
          </cell>
        </row>
        <row r="71">
          <cell r="B71">
            <v>34449</v>
          </cell>
          <cell r="C71" t="str">
            <v>ACO CA-50, 6,3 MM, DOBRADO E CORTADO</v>
          </cell>
          <cell r="D71" t="str">
            <v>KG</v>
          </cell>
          <cell r="E71" t="str">
            <v>CR</v>
          </cell>
          <cell r="F71">
            <v>7.31</v>
          </cell>
        </row>
        <row r="72">
          <cell r="B72">
            <v>32</v>
          </cell>
          <cell r="C72" t="str">
            <v>ACO CA-50, 6,3 MM, VERGALHAO</v>
          </cell>
          <cell r="D72" t="str">
            <v>KG</v>
          </cell>
          <cell r="E72" t="str">
            <v>CR</v>
          </cell>
          <cell r="F72">
            <v>6.57</v>
          </cell>
        </row>
        <row r="73">
          <cell r="B73">
            <v>33</v>
          </cell>
          <cell r="C73" t="str">
            <v>ACO CA-50, 8,0 MM, VERGALHAO</v>
          </cell>
          <cell r="D73" t="str">
            <v>KG</v>
          </cell>
          <cell r="E73" t="str">
            <v>CR</v>
          </cell>
          <cell r="F73">
            <v>6.61</v>
          </cell>
        </row>
        <row r="74">
          <cell r="B74">
            <v>43061</v>
          </cell>
          <cell r="C74" t="str">
            <v>ACO CA-60, 4,2 MM OU 5,0 MM, DOBRADO E CORTADO</v>
          </cell>
          <cell r="D74" t="str">
            <v>KG</v>
          </cell>
          <cell r="E74" t="str">
            <v>CR</v>
          </cell>
          <cell r="F74">
            <v>6.18</v>
          </cell>
        </row>
        <row r="75">
          <cell r="B75">
            <v>43059</v>
          </cell>
          <cell r="C75" t="str">
            <v>ACO CA-60, 4,2 MM, OU 5,0 MM, OU 6,0 MM, OU 7,0 MM, VERGALHAO</v>
          </cell>
          <cell r="D75" t="str">
            <v>KG</v>
          </cell>
          <cell r="E75" t="str">
            <v>CR</v>
          </cell>
          <cell r="F75">
            <v>5.9</v>
          </cell>
        </row>
        <row r="76">
          <cell r="B76">
            <v>43062</v>
          </cell>
          <cell r="C76" t="str">
            <v>ACO CA-60, 6,0 MM OU 7,0 MM, DOBRADO E CORTADO</v>
          </cell>
          <cell r="D76" t="str">
            <v>KG</v>
          </cell>
          <cell r="E76" t="str">
            <v>CR</v>
          </cell>
          <cell r="F76">
            <v>6.54</v>
          </cell>
        </row>
        <row r="77">
          <cell r="B77">
            <v>43060</v>
          </cell>
          <cell r="C77" t="str">
            <v>ACO CA-60, 8,0 MM OU 9,5 MM, VERGALHAO</v>
          </cell>
          <cell r="D77" t="str">
            <v>KG</v>
          </cell>
          <cell r="E77" t="str">
            <v>CR</v>
          </cell>
          <cell r="F77">
            <v>5.14</v>
          </cell>
        </row>
        <row r="78">
          <cell r="B78">
            <v>40410</v>
          </cell>
          <cell r="C78" t="str">
            <v>ACOPLAMENTO RIGIDO EM FERRO FUNDIDO PARA SISTEMA DE TUBULACAO RANHURADA, DN 50 MM (2")</v>
          </cell>
          <cell r="D78" t="str">
            <v>UN</v>
          </cell>
          <cell r="E78" t="str">
            <v>C</v>
          </cell>
          <cell r="F78">
            <v>21.99</v>
          </cell>
        </row>
        <row r="79">
          <cell r="B79">
            <v>40411</v>
          </cell>
          <cell r="C79" t="str">
            <v>ACOPLAMENTO RIGIDO EM FERRO FUNDIDO PARA SISTEMA DE TUBULACAO RANHURADA, DN 65 MM (2 1/2")</v>
          </cell>
          <cell r="D79" t="str">
            <v>UN</v>
          </cell>
          <cell r="E79" t="str">
            <v>CR</v>
          </cell>
          <cell r="F79">
            <v>23.86</v>
          </cell>
        </row>
        <row r="80">
          <cell r="B80">
            <v>40412</v>
          </cell>
          <cell r="C80" t="str">
            <v>ACOPLAMENTO RIGIDO EM FERRO FUNDIDO PARA SISTEMA DE TUBULACAO RANHURADA, DN 80 MM (3")</v>
          </cell>
          <cell r="D80" t="str">
            <v>UN</v>
          </cell>
          <cell r="E80" t="str">
            <v>CR</v>
          </cell>
          <cell r="F80">
            <v>26.78</v>
          </cell>
        </row>
        <row r="81">
          <cell r="B81">
            <v>44254</v>
          </cell>
          <cell r="C81" t="str">
            <v>ADAPTADOR CPVC, ROSCAVEL, COM FLANGES E ANEL DE VEDACAO, 15 MM, CAIXA D'AGUA PARA AGUA QUENTE</v>
          </cell>
          <cell r="D81" t="str">
            <v>UN</v>
          </cell>
          <cell r="E81" t="str">
            <v>CR</v>
          </cell>
          <cell r="F81">
            <v>28.59</v>
          </cell>
        </row>
        <row r="82">
          <cell r="B82">
            <v>44255</v>
          </cell>
          <cell r="C82" t="str">
            <v>ADAPTADOR CPVC, ROSCAVEL, COM FLANGES E ANEL DE VEDACAO, 22 MM, CAIXA D'AGUA PARA AGUA QUENTE</v>
          </cell>
          <cell r="D82" t="str">
            <v>UN</v>
          </cell>
          <cell r="E82" t="str">
            <v>CR</v>
          </cell>
          <cell r="F82">
            <v>31.69</v>
          </cell>
        </row>
        <row r="83">
          <cell r="B83">
            <v>44256</v>
          </cell>
          <cell r="C83" t="str">
            <v>ADAPTADOR CPVC, ROSCAVEL, COM FLANGES E ANEL DE VEDACAO, 28 MM, CAIXA D'AGUA PARA AGUA QUENTE</v>
          </cell>
          <cell r="D83" t="str">
            <v>UN</v>
          </cell>
          <cell r="E83" t="str">
            <v>CR</v>
          </cell>
          <cell r="F83">
            <v>35.79</v>
          </cell>
        </row>
        <row r="84">
          <cell r="B84">
            <v>44257</v>
          </cell>
          <cell r="C84" t="str">
            <v>ADAPTADOR CPVC, ROSCAVEL, COM FLANGES E ANEL DE VEDACAO, 35 MM, CAIXA D'AGUA PARA AGUA QUENTE</v>
          </cell>
          <cell r="D84" t="str">
            <v>UN</v>
          </cell>
          <cell r="E84" t="str">
            <v>CR</v>
          </cell>
          <cell r="F84">
            <v>56.62</v>
          </cell>
        </row>
        <row r="85">
          <cell r="B85">
            <v>44258</v>
          </cell>
          <cell r="C85" t="str">
            <v>ADAPTADOR CPVC, ROSCAVEL, COM FLANGES E ANEL DE VEDACAO, 42 MM, CAIXA D'AGUA PARA AGUA QUENTE</v>
          </cell>
          <cell r="D85" t="str">
            <v>UN</v>
          </cell>
          <cell r="E85" t="str">
            <v>CR</v>
          </cell>
          <cell r="F85">
            <v>64.709999999999994</v>
          </cell>
        </row>
        <row r="86">
          <cell r="B86">
            <v>44259</v>
          </cell>
          <cell r="C86" t="str">
            <v>ADAPTADOR CPVC, ROSCAVEL, COM FLANGES E ANEL DE VEDACAO, 54 MM, CAIXA D'AGUA PARA AGUA QUENTE</v>
          </cell>
          <cell r="D86" t="str">
            <v>UN</v>
          </cell>
          <cell r="E86" t="str">
            <v>CR</v>
          </cell>
          <cell r="F86">
            <v>88.82</v>
          </cell>
        </row>
        <row r="87">
          <cell r="B87">
            <v>37997</v>
          </cell>
          <cell r="C87" t="str">
            <v>ADAPTADOR CPVC, SOLDAVEL, 15 MM, PARA AGUA QUENTE</v>
          </cell>
          <cell r="D87" t="str">
            <v>UN</v>
          </cell>
          <cell r="E87" t="str">
            <v>CR</v>
          </cell>
          <cell r="F87">
            <v>17.03</v>
          </cell>
        </row>
        <row r="88">
          <cell r="B88">
            <v>37998</v>
          </cell>
          <cell r="C88" t="str">
            <v>ADAPTADOR CPVC, SOLDAVEL, 22 MM, PARA AGUA QUENTE</v>
          </cell>
          <cell r="D88" t="str">
            <v>UN</v>
          </cell>
          <cell r="E88" t="str">
            <v>CR</v>
          </cell>
          <cell r="F88">
            <v>22.8</v>
          </cell>
        </row>
        <row r="89">
          <cell r="B89">
            <v>55</v>
          </cell>
          <cell r="C89" t="str">
            <v>ADAPTADOR DE COMPRESSAO EM POLIPROPILENO (PP), PARA TUBO EM PEAD, 20 MM X 1/2", PARA LIGACAO PREDIAL DE AGUA (NTS 179)</v>
          </cell>
          <cell r="D89" t="str">
            <v>UN</v>
          </cell>
          <cell r="E89" t="str">
            <v>C</v>
          </cell>
          <cell r="F89">
            <v>4.76</v>
          </cell>
        </row>
        <row r="90">
          <cell r="B90">
            <v>61</v>
          </cell>
          <cell r="C90" t="str">
            <v>ADAPTADOR DE COMPRESSAO EM POLIPROPILENO (PP), PARA TUBO EM PEAD, 20 MM X 3/4", PARA LIGACAO PREDIAL DE AGUA (NTS 179)</v>
          </cell>
          <cell r="D90" t="str">
            <v>UN</v>
          </cell>
          <cell r="E90" t="str">
            <v>CR</v>
          </cell>
          <cell r="F90">
            <v>4.5</v>
          </cell>
        </row>
        <row r="91">
          <cell r="B91">
            <v>62</v>
          </cell>
          <cell r="C91" t="str">
            <v>ADAPTADOR DE COMPRESSAO EM POLIPROPILENO (PP), PARA TUBO EM PEAD, 32 MM X 1", PARA LIGACAO PREDIAL DE AGUA (NTS 179)</v>
          </cell>
          <cell r="D91" t="str">
            <v>UN</v>
          </cell>
          <cell r="E91" t="str">
            <v>CR</v>
          </cell>
          <cell r="F91">
            <v>9.33</v>
          </cell>
        </row>
        <row r="92">
          <cell r="B92">
            <v>10899</v>
          </cell>
          <cell r="C92" t="str">
            <v>ADAPTADOR EM LATAO, ENGATE RAPIDO 2 1/2" X ROSCA INTERNA 5 FIOS 2 1/2", PARA INSTALACAO PREDIAL DE COMBATE A INCENDIO</v>
          </cell>
          <cell r="D92" t="str">
            <v>UN</v>
          </cell>
          <cell r="E92" t="str">
            <v>CR</v>
          </cell>
          <cell r="F92">
            <v>144.88999999999999</v>
          </cell>
        </row>
        <row r="93">
          <cell r="B93">
            <v>10900</v>
          </cell>
          <cell r="C93" t="str">
            <v>ADAPTADOR EM LATAO, ENGATE RAPIDO1 1/2" X ROSCA INTERNA 5 FIOS 2 1/2", PARA INSTALACAO PREDIAL DE COMBATE A INCENDIO</v>
          </cell>
          <cell r="D93" t="str">
            <v>UN</v>
          </cell>
          <cell r="E93" t="str">
            <v>CR</v>
          </cell>
          <cell r="F93">
            <v>113.39</v>
          </cell>
        </row>
        <row r="94">
          <cell r="B94">
            <v>47</v>
          </cell>
          <cell r="C94" t="str">
            <v>ADAPTADOR PVC PBA, BOLSA/ROSCA, JE, DN 100 / DE 110 MM</v>
          </cell>
          <cell r="D94" t="str">
            <v>UN</v>
          </cell>
          <cell r="E94" t="str">
            <v>CR</v>
          </cell>
          <cell r="F94">
            <v>97.81</v>
          </cell>
        </row>
        <row r="95">
          <cell r="B95">
            <v>48</v>
          </cell>
          <cell r="C95" t="str">
            <v>ADAPTADOR PVC PBA, BOLSA/ROSCA, JE, DN 50 / DE 60 MM</v>
          </cell>
          <cell r="D95" t="str">
            <v>UN</v>
          </cell>
          <cell r="E95" t="str">
            <v>CR</v>
          </cell>
          <cell r="F95">
            <v>25.51</v>
          </cell>
        </row>
        <row r="96">
          <cell r="B96">
            <v>46</v>
          </cell>
          <cell r="C96" t="str">
            <v>ADAPTADOR PVC PBA, BOLSA/ROSCA, JE, DN 75 / DE 85 MM</v>
          </cell>
          <cell r="D96" t="str">
            <v>UN</v>
          </cell>
          <cell r="E96" t="str">
            <v>CR</v>
          </cell>
          <cell r="F96">
            <v>57.2</v>
          </cell>
        </row>
        <row r="97">
          <cell r="B97">
            <v>52</v>
          </cell>
          <cell r="C97" t="str">
            <v>ADAPTADOR PVC PBA, PONTA/ROSCA, JE, DN 50 / DE 60 MM</v>
          </cell>
          <cell r="D97" t="str">
            <v>UN</v>
          </cell>
          <cell r="E97" t="str">
            <v>CR</v>
          </cell>
          <cell r="F97">
            <v>19.38</v>
          </cell>
        </row>
        <row r="98">
          <cell r="B98">
            <v>43</v>
          </cell>
          <cell r="C98" t="str">
            <v>ADAPTADOR PVC PBA, PONTA/ROSCA, JE, DN 75 / DE 85 MM</v>
          </cell>
          <cell r="D98" t="str">
            <v>UN</v>
          </cell>
          <cell r="E98" t="str">
            <v>CR</v>
          </cell>
          <cell r="F98">
            <v>65.41</v>
          </cell>
        </row>
        <row r="99">
          <cell r="B99">
            <v>103</v>
          </cell>
          <cell r="C99" t="str">
            <v>ADAPTADOR PVC SOLDAVEL CURTO COM BOLSA E ROSCA, 110 MM X 4", PARA AGUA FRIA</v>
          </cell>
          <cell r="D99" t="str">
            <v>UN</v>
          </cell>
          <cell r="E99" t="str">
            <v>CR</v>
          </cell>
          <cell r="F99">
            <v>50.93</v>
          </cell>
        </row>
        <row r="100">
          <cell r="B100">
            <v>107</v>
          </cell>
          <cell r="C100" t="str">
            <v>ADAPTADOR PVC SOLDAVEL CURTO COM BOLSA E ROSCA, 20 MM X 1/2", PARA AGUA FRIA</v>
          </cell>
          <cell r="D100" t="str">
            <v>UN</v>
          </cell>
          <cell r="E100" t="str">
            <v>CR</v>
          </cell>
          <cell r="F100">
            <v>0.96</v>
          </cell>
        </row>
        <row r="101">
          <cell r="B101">
            <v>65</v>
          </cell>
          <cell r="C101" t="str">
            <v>ADAPTADOR PVC SOLDAVEL CURTO COM BOLSA E ROSCA, 25 MM X 3/4", PARA AGUA FRIA</v>
          </cell>
          <cell r="D101" t="str">
            <v>UN</v>
          </cell>
          <cell r="E101" t="str">
            <v>CR</v>
          </cell>
          <cell r="F101">
            <v>1.05</v>
          </cell>
        </row>
        <row r="102">
          <cell r="B102">
            <v>108</v>
          </cell>
          <cell r="C102" t="str">
            <v>ADAPTADOR PVC SOLDAVEL CURTO COM BOLSA E ROSCA, 32 MM X 1", PARA AGUA FRIA</v>
          </cell>
          <cell r="D102" t="str">
            <v>UN</v>
          </cell>
          <cell r="E102" t="str">
            <v>CR</v>
          </cell>
          <cell r="F102">
            <v>2.11</v>
          </cell>
        </row>
        <row r="103">
          <cell r="B103">
            <v>110</v>
          </cell>
          <cell r="C103" t="str">
            <v>ADAPTADOR PVC SOLDAVEL CURTO COM BOLSA E ROSCA, 40 MM X 1 1/2", PARA AGUA FRIA</v>
          </cell>
          <cell r="D103" t="str">
            <v>UN</v>
          </cell>
          <cell r="E103" t="str">
            <v>CR</v>
          </cell>
          <cell r="F103">
            <v>7.33</v>
          </cell>
        </row>
        <row r="104">
          <cell r="B104">
            <v>109</v>
          </cell>
          <cell r="C104" t="str">
            <v>ADAPTADOR PVC SOLDAVEL CURTO COM BOLSA E ROSCA, 40 MM X 1 1/4", PARA AGUA FRIA</v>
          </cell>
          <cell r="D104" t="str">
            <v>UN</v>
          </cell>
          <cell r="E104" t="str">
            <v>CR</v>
          </cell>
          <cell r="F104">
            <v>4.3600000000000003</v>
          </cell>
        </row>
        <row r="105">
          <cell r="B105">
            <v>111</v>
          </cell>
          <cell r="C105" t="str">
            <v>ADAPTADOR PVC SOLDAVEL CURTO COM BOLSA E ROSCA, 50 MM X 1 1/4", PARA AGUA FRIA</v>
          </cell>
          <cell r="D105" t="str">
            <v>UN</v>
          </cell>
          <cell r="E105" t="str">
            <v>CR</v>
          </cell>
          <cell r="F105">
            <v>9.91</v>
          </cell>
        </row>
        <row r="106">
          <cell r="B106">
            <v>112</v>
          </cell>
          <cell r="C106" t="str">
            <v>ADAPTADOR PVC SOLDAVEL CURTO COM BOLSA E ROSCA, 50 MM X1 1/2", PARA AGUA FRIA</v>
          </cell>
          <cell r="D106" t="str">
            <v>UN</v>
          </cell>
          <cell r="E106" t="str">
            <v>CR</v>
          </cell>
          <cell r="F106">
            <v>5.25</v>
          </cell>
        </row>
        <row r="107">
          <cell r="B107">
            <v>113</v>
          </cell>
          <cell r="C107" t="str">
            <v>ADAPTADOR PVC SOLDAVEL CURTO COM BOLSA E ROSCA, 60 MM X 2", PARA AGUA FRIA</v>
          </cell>
          <cell r="D107" t="str">
            <v>UN</v>
          </cell>
          <cell r="E107" t="str">
            <v>CR</v>
          </cell>
          <cell r="F107">
            <v>13.15</v>
          </cell>
        </row>
        <row r="108">
          <cell r="B108">
            <v>104</v>
          </cell>
          <cell r="C108" t="str">
            <v>ADAPTADOR PVC SOLDAVEL CURTO COM BOLSA E ROSCA, 75 MM X 2 1/2", PARA AGUA FRIA</v>
          </cell>
          <cell r="D108" t="str">
            <v>UN</v>
          </cell>
          <cell r="E108" t="str">
            <v>CR</v>
          </cell>
          <cell r="F108">
            <v>22.89</v>
          </cell>
        </row>
        <row r="109">
          <cell r="B109">
            <v>102</v>
          </cell>
          <cell r="C109" t="str">
            <v>ADAPTADOR PVC SOLDAVEL CURTO COM BOLSA E ROSCA, 85 MM X 3", PARA AGUA FRIA</v>
          </cell>
          <cell r="D109" t="str">
            <v>UN</v>
          </cell>
          <cell r="E109" t="str">
            <v>CR</v>
          </cell>
          <cell r="F109">
            <v>31.56</v>
          </cell>
        </row>
        <row r="110">
          <cell r="B110">
            <v>95</v>
          </cell>
          <cell r="C110" t="str">
            <v>ADAPTADOR PVC SOLDAVEL, COM FLANGE E ANEL DE VEDACAO, 20 MM X 1/2", PARA CAIXA D'AGUA</v>
          </cell>
          <cell r="D110" t="str">
            <v>UN</v>
          </cell>
          <cell r="E110" t="str">
            <v>CR</v>
          </cell>
          <cell r="F110">
            <v>13.34</v>
          </cell>
        </row>
        <row r="111">
          <cell r="B111">
            <v>96</v>
          </cell>
          <cell r="C111" t="str">
            <v>ADAPTADOR PVC SOLDAVEL, COM FLANGE E ANEL DE VEDACAO, 25 MM X 3/4", PARA CAIXA D'AGUA</v>
          </cell>
          <cell r="D111" t="str">
            <v>UN</v>
          </cell>
          <cell r="E111" t="str">
            <v>CR</v>
          </cell>
          <cell r="F111">
            <v>14.51</v>
          </cell>
        </row>
        <row r="112">
          <cell r="B112">
            <v>97</v>
          </cell>
          <cell r="C112" t="str">
            <v>ADAPTADOR PVC SOLDAVEL, COM FLANGE E ANEL DE VEDACAO, 32 MM X 1", PARA CAIXA D'AGUA</v>
          </cell>
          <cell r="D112" t="str">
            <v>UN</v>
          </cell>
          <cell r="E112" t="str">
            <v>CR</v>
          </cell>
          <cell r="F112">
            <v>21.82</v>
          </cell>
        </row>
        <row r="113">
          <cell r="B113">
            <v>98</v>
          </cell>
          <cell r="C113" t="str">
            <v>ADAPTADOR PVC SOLDAVEL, COM FLANGE E ANEL DE VEDACAO, 40 MM X 1 1/4", PARA CAIXA D'AGUA</v>
          </cell>
          <cell r="D113" t="str">
            <v>UN</v>
          </cell>
          <cell r="E113" t="str">
            <v>CR</v>
          </cell>
          <cell r="F113">
            <v>32.67</v>
          </cell>
        </row>
        <row r="114">
          <cell r="B114">
            <v>99</v>
          </cell>
          <cell r="C114" t="str">
            <v>ADAPTADOR PVC SOLDAVEL, COM FLANGE E ANEL DE VEDACAO, 50 MM X 1 1/2", PARA CAIXA D'AGUA</v>
          </cell>
          <cell r="D114" t="str">
            <v>UN</v>
          </cell>
          <cell r="E114" t="str">
            <v>CR</v>
          </cell>
          <cell r="F114">
            <v>30.88</v>
          </cell>
        </row>
        <row r="115">
          <cell r="B115">
            <v>60</v>
          </cell>
          <cell r="C115" t="str">
            <v>ADAPTADOR PVC, COM REGISTRO, PARA PEAD, 20 MM X 3/4", PARA LIGACAO PREDIAL DE AGUA</v>
          </cell>
          <cell r="D115" t="str">
            <v>UN</v>
          </cell>
          <cell r="E115" t="str">
            <v>CR</v>
          </cell>
          <cell r="F115">
            <v>6.17</v>
          </cell>
        </row>
        <row r="116">
          <cell r="B116">
            <v>72</v>
          </cell>
          <cell r="C116" t="str">
            <v>ADAPTADOR PVC, ROSCAVEL, COM FLANGES E ANEL DE VEDACAO, 1 1/2", PARA CAIXA D'AGUA</v>
          </cell>
          <cell r="D116" t="str">
            <v>UN</v>
          </cell>
          <cell r="E116" t="str">
            <v>CR</v>
          </cell>
          <cell r="F116">
            <v>59.22</v>
          </cell>
        </row>
        <row r="117">
          <cell r="B117">
            <v>71</v>
          </cell>
          <cell r="C117" t="str">
            <v>ADAPTADOR PVC, ROSCAVEL, COM FLANGES E ANEL DE VEDACAO, 1", PARA CAIXA D'AGUA</v>
          </cell>
          <cell r="D117" t="str">
            <v>UN</v>
          </cell>
          <cell r="E117" t="str">
            <v>CR</v>
          </cell>
          <cell r="F117">
            <v>36.57</v>
          </cell>
        </row>
        <row r="118">
          <cell r="B118">
            <v>67</v>
          </cell>
          <cell r="C118" t="str">
            <v>ADAPTADOR PVC, ROSCAVEL, COM FLANGES E ANEL DE VEDACAO, 1/2", PARA CAIXA D'AGUA</v>
          </cell>
          <cell r="D118" t="str">
            <v>UN</v>
          </cell>
          <cell r="E118" t="str">
            <v>CR</v>
          </cell>
          <cell r="F118">
            <v>19.149999999999999</v>
          </cell>
        </row>
        <row r="119">
          <cell r="B119">
            <v>73</v>
          </cell>
          <cell r="C119" t="str">
            <v>ADAPTADOR PVC, ROSCAVEL, COM FLANGES E ANEL DE VEDACAO, 3/4", PARA CAIXA D'AGUA</v>
          </cell>
          <cell r="D119" t="str">
            <v>UN</v>
          </cell>
          <cell r="E119" t="str">
            <v>CR</v>
          </cell>
          <cell r="F119">
            <v>18.32</v>
          </cell>
        </row>
        <row r="120">
          <cell r="B120">
            <v>100</v>
          </cell>
          <cell r="C120" t="str">
            <v>ADAPTADOR PVC, SOLDAVEL, COM FLANGES E ANEL DE VEDACAO, 60 MM X 2", PARA CAIXA D'AGUA</v>
          </cell>
          <cell r="D120" t="str">
            <v>UN</v>
          </cell>
          <cell r="E120" t="str">
            <v>CR</v>
          </cell>
          <cell r="F120">
            <v>53.95</v>
          </cell>
        </row>
        <row r="121">
          <cell r="B121">
            <v>75</v>
          </cell>
          <cell r="C121" t="str">
            <v>ADAPTADOR PVC, SOLDAVEL, COM FLANGES LIVRES, 110 MM X 4", PARA CAIXA D'AGUA</v>
          </cell>
          <cell r="D121" t="str">
            <v>UN</v>
          </cell>
          <cell r="E121" t="str">
            <v>CR</v>
          </cell>
          <cell r="F121">
            <v>314.52999999999997</v>
          </cell>
        </row>
        <row r="122">
          <cell r="B122">
            <v>83</v>
          </cell>
          <cell r="C122" t="str">
            <v>ADAPTADOR PVC, SOLDAVEL, COM FLANGES LIVRES, 75 MM X 2 1/2", PARA CAIXA D'AGUA</v>
          </cell>
          <cell r="D122" t="str">
            <v>UN</v>
          </cell>
          <cell r="E122" t="str">
            <v>CR</v>
          </cell>
          <cell r="F122">
            <v>251.45</v>
          </cell>
        </row>
        <row r="123">
          <cell r="B123">
            <v>74</v>
          </cell>
          <cell r="C123" t="str">
            <v>ADAPTADOR PVC, SOLDAVEL, COM FLANGES LIVRES, 85 MM X 3", PARA CAIXA D'AGUA</v>
          </cell>
          <cell r="D123" t="str">
            <v>UN</v>
          </cell>
          <cell r="E123" t="str">
            <v>CR</v>
          </cell>
          <cell r="F123">
            <v>359.51</v>
          </cell>
        </row>
        <row r="124">
          <cell r="B124">
            <v>106</v>
          </cell>
          <cell r="C124" t="str">
            <v>ADAPTADOR PVC, SOLDAVEL, LONGO, COM FLANGE LIVRE, 110 MM X 4", PARA CAIXA D'AGUA</v>
          </cell>
          <cell r="D124" t="str">
            <v>UN</v>
          </cell>
          <cell r="E124" t="str">
            <v>CR</v>
          </cell>
          <cell r="F124">
            <v>454.61</v>
          </cell>
        </row>
        <row r="125">
          <cell r="B125">
            <v>88</v>
          </cell>
          <cell r="C125" t="str">
            <v>ADAPTADOR PVC, SOLDAVEL, LONGO, COM FLANGE LIVRE, 32 MM X 1", PARA CAIXA D'AGUA</v>
          </cell>
          <cell r="D125" t="str">
            <v>UN</v>
          </cell>
          <cell r="E125" t="str">
            <v>CR</v>
          </cell>
          <cell r="F125">
            <v>12.78</v>
          </cell>
        </row>
        <row r="126">
          <cell r="B126">
            <v>82</v>
          </cell>
          <cell r="C126" t="str">
            <v>ADAPTADOR PVC, SOLDAVEL, LONGO, COM FLANGE LIVRE, 75 MM X 2 1/2", PARA CAIXA D'AGUA</v>
          </cell>
          <cell r="D126" t="str">
            <v>UN</v>
          </cell>
          <cell r="E126" t="str">
            <v>CR</v>
          </cell>
          <cell r="F126">
            <v>239.24</v>
          </cell>
        </row>
        <row r="127">
          <cell r="B127">
            <v>105</v>
          </cell>
          <cell r="C127" t="str">
            <v>ADAPTADOR PVC, SOLDAVEL, LONGO, COM FLANGE LIVRE, 85 MM X 3", PARA CAIXA D'AGUA</v>
          </cell>
          <cell r="D127" t="str">
            <v>UN</v>
          </cell>
          <cell r="E127" t="str">
            <v>CR</v>
          </cell>
          <cell r="F127">
            <v>339</v>
          </cell>
        </row>
        <row r="128">
          <cell r="B128">
            <v>39719</v>
          </cell>
          <cell r="C128" t="str">
            <v>ADESIVO / COLA DE CONTATO LIQUIDO, A BASE DE RESINAS, PARA COLAGEM DE ESPUMA PARA ISOLAMENTO TERMICO FLEXIVEL</v>
          </cell>
          <cell r="D128" t="str">
            <v>L</v>
          </cell>
          <cell r="E128" t="str">
            <v>CR</v>
          </cell>
          <cell r="F128">
            <v>158.12</v>
          </cell>
        </row>
        <row r="129">
          <cell r="B129">
            <v>3410</v>
          </cell>
          <cell r="C129" t="str">
            <v>ADESIVO / COLA PARA EPS (ISOPOR) E OUTROS MATERIAIS</v>
          </cell>
          <cell r="D129" t="str">
            <v>KG</v>
          </cell>
          <cell r="E129" t="str">
            <v>CR</v>
          </cell>
          <cell r="F129">
            <v>35.57</v>
          </cell>
        </row>
        <row r="130">
          <cell r="B130">
            <v>4791</v>
          </cell>
          <cell r="C130" t="str">
            <v>ADESIVO ACRILICO DE BASE AQUOSA / COLA DE CONTATO</v>
          </cell>
          <cell r="D130" t="str">
            <v>KG</v>
          </cell>
          <cell r="E130" t="str">
            <v>CR</v>
          </cell>
          <cell r="F130">
            <v>53.89</v>
          </cell>
        </row>
        <row r="131">
          <cell r="B131">
            <v>157</v>
          </cell>
          <cell r="C131" t="str">
            <v>ADESIVO ESTRUTURAL A BASE DE RESINA EPOXI PARA INJECAO EM TRINCAS, BICOMPONENTE, BAIXA VISCOSIDADE</v>
          </cell>
          <cell r="D131" t="str">
            <v>KG</v>
          </cell>
          <cell r="E131" t="str">
            <v>CR</v>
          </cell>
          <cell r="F131">
            <v>139.88</v>
          </cell>
        </row>
        <row r="132">
          <cell r="B132">
            <v>156</v>
          </cell>
          <cell r="C132" t="str">
            <v>ADESIVO ESTRUTURAL A BASE DE RESINA EPOXI, BICOMPONENTE, FLUIDO</v>
          </cell>
          <cell r="D132" t="str">
            <v>KG</v>
          </cell>
          <cell r="E132" t="str">
            <v>CR</v>
          </cell>
          <cell r="F132">
            <v>49.8</v>
          </cell>
        </row>
        <row r="133">
          <cell r="B133">
            <v>131</v>
          </cell>
          <cell r="C133" t="str">
            <v>ADESIVO ESTRUTURAL A BASE DE RESINA EPOXI, BICOMPONENTE, PASTOSO (TIXOTROPICO)</v>
          </cell>
          <cell r="D133" t="str">
            <v>KG</v>
          </cell>
          <cell r="E133" t="str">
            <v>CR</v>
          </cell>
          <cell r="F133">
            <v>42.59</v>
          </cell>
        </row>
        <row r="134">
          <cell r="B134">
            <v>21114</v>
          </cell>
          <cell r="C134" t="str">
            <v>ADESIVO PARA TUBOS CPVC, *75* G</v>
          </cell>
          <cell r="D134" t="str">
            <v>UN</v>
          </cell>
          <cell r="E134" t="str">
            <v>CR</v>
          </cell>
          <cell r="F134">
            <v>31.17</v>
          </cell>
        </row>
        <row r="135">
          <cell r="B135">
            <v>119</v>
          </cell>
          <cell r="C135" t="str">
            <v>ADESIVO PLASTICO PARA PVC, BISNAGA COM 75 GR</v>
          </cell>
          <cell r="D135" t="str">
            <v>UN</v>
          </cell>
          <cell r="E135" t="str">
            <v>C</v>
          </cell>
          <cell r="F135">
            <v>7.9</v>
          </cell>
        </row>
        <row r="136">
          <cell r="B136">
            <v>122</v>
          </cell>
          <cell r="C136" t="str">
            <v>ADESIVO PLASTICO PARA PVC, FRASCO COM *850* GR</v>
          </cell>
          <cell r="D136" t="str">
            <v>UN</v>
          </cell>
          <cell r="E136" t="str">
            <v>CR</v>
          </cell>
          <cell r="F136">
            <v>60.78</v>
          </cell>
        </row>
        <row r="137">
          <cell r="B137">
            <v>20080</v>
          </cell>
          <cell r="C137" t="str">
            <v>ADESIVO PLASTICO PARA PVC, FRASCO COM 175 GR</v>
          </cell>
          <cell r="D137" t="str">
            <v>UN</v>
          </cell>
          <cell r="E137" t="str">
            <v>CR</v>
          </cell>
          <cell r="F137">
            <v>19.84</v>
          </cell>
        </row>
        <row r="138">
          <cell r="B138">
            <v>124</v>
          </cell>
          <cell r="C138" t="str">
            <v>ADITIVO ACELERADOR DE PEGA E ENDURECIMENTO PARA ARGAMASSAS E CONCRETOS, LIQUIDO E ISENTO DE CLORETOS</v>
          </cell>
          <cell r="D138" t="str">
            <v>L</v>
          </cell>
          <cell r="E138" t="str">
            <v>CR</v>
          </cell>
          <cell r="F138">
            <v>16.420000000000002</v>
          </cell>
        </row>
        <row r="139">
          <cell r="B139">
            <v>7334</v>
          </cell>
          <cell r="C139" t="str">
            <v>ADITIVO ADESIVO LIQUIDO PARA ARGAMASSAS DE REVESTIMENTOS CIMENTICIOS</v>
          </cell>
          <cell r="D139" t="str">
            <v>L</v>
          </cell>
          <cell r="E139" t="str">
            <v>CR</v>
          </cell>
          <cell r="F139">
            <v>14.39</v>
          </cell>
        </row>
        <row r="140">
          <cell r="B140">
            <v>45146</v>
          </cell>
          <cell r="C140" t="str">
            <v>ADITIVO IMPERMEABILIZANTE CRISTALIZANTE PARA CONCRETO</v>
          </cell>
          <cell r="D140" t="str">
            <v>KG</v>
          </cell>
          <cell r="E140" t="str">
            <v>CR</v>
          </cell>
          <cell r="F140">
            <v>31.49</v>
          </cell>
        </row>
        <row r="141">
          <cell r="B141">
            <v>123</v>
          </cell>
          <cell r="C141" t="str">
            <v>ADITIVO IMPERMEABILIZANTE DE PEGA NORMAL PARA ARGAMASSAS E CONCRETOS SEM ARMACAO, LIQUIDO E ISENTO DE CLORETOS</v>
          </cell>
          <cell r="D141" t="str">
            <v>L</v>
          </cell>
          <cell r="E141" t="str">
            <v>C</v>
          </cell>
          <cell r="F141">
            <v>6.72</v>
          </cell>
        </row>
        <row r="142">
          <cell r="B142">
            <v>127</v>
          </cell>
          <cell r="C142" t="str">
            <v>ADITIVO IMPERMEABILIZANTE DE PEGA ULTRARRAPIDA, LIQUIDO E ISENTO DE CLORETOS</v>
          </cell>
          <cell r="D142" t="str">
            <v>L</v>
          </cell>
          <cell r="E142" t="str">
            <v>CR</v>
          </cell>
          <cell r="F142">
            <v>16.04</v>
          </cell>
        </row>
        <row r="143">
          <cell r="B143">
            <v>133</v>
          </cell>
          <cell r="C143" t="str">
            <v>ADITIVO LIQUIDO INCORPORADOR DE AR PARA CONCRETO E ARGAMASSA, LIQUIDO E ISENTO DE CLORETOS</v>
          </cell>
          <cell r="D143" t="str">
            <v>L</v>
          </cell>
          <cell r="E143" t="str">
            <v>CR</v>
          </cell>
          <cell r="F143">
            <v>6.66</v>
          </cell>
        </row>
        <row r="144">
          <cell r="B144">
            <v>43617</v>
          </cell>
          <cell r="C144" t="str">
            <v>ADITIVO PLASTIFICANTE E ESTABILIZADOR PARA ARGAMASSAS DE ASSENTAMENTO E REBOCO, LIQUIDO E ISENTO DE CLORETOS</v>
          </cell>
          <cell r="D144" t="str">
            <v>L</v>
          </cell>
          <cell r="E144" t="str">
            <v>CR</v>
          </cell>
          <cell r="F144">
            <v>7.44</v>
          </cell>
        </row>
        <row r="145">
          <cell r="B145">
            <v>132</v>
          </cell>
          <cell r="C145" t="str">
            <v>ADITIVO PLASTIFICANTE RETARDADOR DE PEGA E REDUTOR DE AGUA PARA CONCRETO, LIQUIDO E ISENTO DE CLORETOS</v>
          </cell>
          <cell r="D145" t="str">
            <v>L</v>
          </cell>
          <cell r="E145" t="str">
            <v>CR</v>
          </cell>
          <cell r="F145">
            <v>6.91</v>
          </cell>
        </row>
        <row r="146">
          <cell r="B146">
            <v>43618</v>
          </cell>
          <cell r="C146" t="str">
            <v>ADITIVO SUPERPLASTIFICANTE DE PEGA NORMAL PARA CONCRETO, LIQUIDO E ISENTO DE CLORETOS</v>
          </cell>
          <cell r="D146" t="str">
            <v>KG</v>
          </cell>
          <cell r="E146" t="str">
            <v>CR</v>
          </cell>
          <cell r="F146">
            <v>17.39</v>
          </cell>
        </row>
        <row r="147">
          <cell r="B147">
            <v>37476</v>
          </cell>
          <cell r="C147" t="str">
            <v>ADUELA/ GALERIA PRE-MOLDADA DE CONCRETO ARMADO, SECAO QUADRADA INTERNA DE 1,50 X 1,50 M (L X A), MISULA DE 20 X 20 CM, C = 1,00 M, ESPESSURA MIN = 15 CM, TB-45 E FCK DO CONCRETO = 30 MPA</v>
          </cell>
          <cell r="D147" t="str">
            <v>UN</v>
          </cell>
          <cell r="E147" t="str">
            <v>CR</v>
          </cell>
          <cell r="F147">
            <v>4457.49</v>
          </cell>
        </row>
        <row r="148">
          <cell r="B148">
            <v>37478</v>
          </cell>
          <cell r="C148" t="str">
            <v>ADUELA/ GALERIA PRE-MOLDADA DE CONCRETO ARMADO, SECAO RETANGULAR INTERNA DE 2,00 X 2,00 M (L X A), MISULA DE 20 X 20 CM, C = 1,00 M, ESPESSURA MIN = 15 CM, TB-45 E FCK DO CONCRETO = 30 MPA</v>
          </cell>
          <cell r="D148" t="str">
            <v>UN</v>
          </cell>
          <cell r="E148" t="str">
            <v>CR</v>
          </cell>
          <cell r="F148">
            <v>5583.12</v>
          </cell>
        </row>
        <row r="149">
          <cell r="B149">
            <v>37477</v>
          </cell>
          <cell r="C149" t="str">
            <v>ADUELA/ GALERIA PRE-MOLDADA DE CONCRETO ARMADO, SECAO RETANGULAR INTERNA DE 2,50 X 2,50 M (L X A), MISULA DE 20 X 20 CM, C = 1,00 M, ESPESSURA MIN = 15 CM, TB-45 E FCK DO CONCRETO = 30 MPA</v>
          </cell>
          <cell r="D149" t="str">
            <v>UN</v>
          </cell>
          <cell r="E149" t="str">
            <v>CR</v>
          </cell>
          <cell r="F149">
            <v>7564.23</v>
          </cell>
        </row>
        <row r="150">
          <cell r="B150">
            <v>37479</v>
          </cell>
          <cell r="C150" t="str">
            <v>ADUELA/ GALERIA PRE-MOLDADA DE CONCRETO ARMADO, SECAO RETANGULAR INTERNA DE 3,00 X 3,00 M (L X A), MISULA DE 20 X 20 CM, C = 1.00 M, ESPESSURA MIN = 20 CM, TB-45 E FCK DO CONCRETO = 30 MPA</v>
          </cell>
          <cell r="D150" t="str">
            <v>UN</v>
          </cell>
          <cell r="E150" t="str">
            <v>CR</v>
          </cell>
          <cell r="F150">
            <v>8971.27</v>
          </cell>
        </row>
        <row r="151">
          <cell r="B151">
            <v>4319</v>
          </cell>
          <cell r="C151" t="str">
            <v>AFASTADOR PARA TELHA DE FIBROCIMENTO CANALETE 90 OU KALHETAO</v>
          </cell>
          <cell r="D151" t="str">
            <v>UN</v>
          </cell>
          <cell r="E151" t="str">
            <v>CR</v>
          </cell>
          <cell r="F151">
            <v>1.76</v>
          </cell>
        </row>
        <row r="152">
          <cell r="B152">
            <v>42409</v>
          </cell>
          <cell r="C152" t="str">
            <v>AGENTE DE CURA, PROTETOR DA EVAPORACAO DA AGUA DE HIDRATACAO DO CONCRETO</v>
          </cell>
          <cell r="D152" t="str">
            <v>KG</v>
          </cell>
          <cell r="E152" t="str">
            <v>CR</v>
          </cell>
          <cell r="F152">
            <v>10.95</v>
          </cell>
        </row>
        <row r="153">
          <cell r="B153">
            <v>40553</v>
          </cell>
          <cell r="C153" t="str">
            <v>AGREGADO RECICLADO, TIPO RACHAO RECICLADO CINZA, CLASSE A</v>
          </cell>
          <cell r="D153" t="str">
            <v>M3</v>
          </cell>
          <cell r="E153" t="str">
            <v>C</v>
          </cell>
          <cell r="F153">
            <v>65</v>
          </cell>
        </row>
        <row r="154">
          <cell r="B154">
            <v>6114</v>
          </cell>
          <cell r="C154" t="str">
            <v>AJUDANTE DE ARMADOR (HORISTA)</v>
          </cell>
          <cell r="D154" t="str">
            <v>H</v>
          </cell>
          <cell r="E154" t="str">
            <v>CR</v>
          </cell>
          <cell r="F154">
            <v>23.93</v>
          </cell>
        </row>
        <row r="155">
          <cell r="B155">
            <v>40912</v>
          </cell>
          <cell r="C155" t="str">
            <v>AJUDANTE DE ARMADOR (MENSALISTA)</v>
          </cell>
          <cell r="D155" t="str">
            <v>MES</v>
          </cell>
          <cell r="E155" t="str">
            <v>CR</v>
          </cell>
          <cell r="F155">
            <v>4194.5200000000004</v>
          </cell>
        </row>
        <row r="156">
          <cell r="B156">
            <v>247</v>
          </cell>
          <cell r="C156" t="str">
            <v>AJUDANTE DE ELETRICISTA (HORISTA)</v>
          </cell>
          <cell r="D156" t="str">
            <v>H</v>
          </cell>
          <cell r="E156" t="str">
            <v>CR</v>
          </cell>
          <cell r="F156">
            <v>23.93</v>
          </cell>
        </row>
        <row r="157">
          <cell r="B157">
            <v>40919</v>
          </cell>
          <cell r="C157" t="str">
            <v>AJUDANTE DE ELETRICISTA (MENSALISTA)</v>
          </cell>
          <cell r="D157" t="str">
            <v>MES</v>
          </cell>
          <cell r="E157" t="str">
            <v>CR</v>
          </cell>
          <cell r="F157">
            <v>4194.5200000000004</v>
          </cell>
        </row>
        <row r="158">
          <cell r="B158">
            <v>44499</v>
          </cell>
          <cell r="C158" t="str">
            <v>AJUDANTE DE ESTRUTURAS METALICAS (HORISTA)</v>
          </cell>
          <cell r="D158" t="str">
            <v>H</v>
          </cell>
          <cell r="E158" t="str">
            <v>CR</v>
          </cell>
          <cell r="F158">
            <v>23.93</v>
          </cell>
        </row>
        <row r="159">
          <cell r="B159">
            <v>40984</v>
          </cell>
          <cell r="C159" t="str">
            <v>AJUDANTE DE ESTRUTURAS METALICAS (MENSALISTA)</v>
          </cell>
          <cell r="D159" t="str">
            <v>MES</v>
          </cell>
          <cell r="E159" t="str">
            <v>CR</v>
          </cell>
          <cell r="F159">
            <v>4194.5200000000004</v>
          </cell>
        </row>
        <row r="160">
          <cell r="B160">
            <v>248</v>
          </cell>
          <cell r="C160" t="str">
            <v>AJUDANTE DE OPERACAO EM GERAL (HORISTA)</v>
          </cell>
          <cell r="D160" t="str">
            <v>H</v>
          </cell>
          <cell r="E160" t="str">
            <v>CR</v>
          </cell>
          <cell r="F160">
            <v>21.5</v>
          </cell>
        </row>
        <row r="161">
          <cell r="B161">
            <v>41086</v>
          </cell>
          <cell r="C161" t="str">
            <v>AJUDANTE DE OPERACAO EM GERAL (MENSALISTA)</v>
          </cell>
          <cell r="D161" t="str">
            <v>MES</v>
          </cell>
          <cell r="E161" t="str">
            <v>CR</v>
          </cell>
          <cell r="F161">
            <v>3767.99</v>
          </cell>
        </row>
        <row r="162">
          <cell r="B162">
            <v>34466</v>
          </cell>
          <cell r="C162" t="str">
            <v>AJUDANTE DE PINTOR (HORISTA)</v>
          </cell>
          <cell r="D162" t="str">
            <v>H</v>
          </cell>
          <cell r="E162" t="str">
            <v>CR</v>
          </cell>
          <cell r="F162">
            <v>23.93</v>
          </cell>
        </row>
        <row r="163">
          <cell r="B163">
            <v>41083</v>
          </cell>
          <cell r="C163" t="str">
            <v>AJUDANTE DE PINTOR (MENSALISTA)</v>
          </cell>
          <cell r="D163" t="str">
            <v>MES</v>
          </cell>
          <cell r="E163" t="str">
            <v>CR</v>
          </cell>
          <cell r="F163">
            <v>4194.5200000000004</v>
          </cell>
        </row>
        <row r="164">
          <cell r="B164">
            <v>252</v>
          </cell>
          <cell r="C164" t="str">
            <v>AJUDANTE DE SERRALHEIRO (HORISTA)</v>
          </cell>
          <cell r="D164" t="str">
            <v>H</v>
          </cell>
          <cell r="E164" t="str">
            <v>CR</v>
          </cell>
          <cell r="F164">
            <v>23.93</v>
          </cell>
        </row>
        <row r="165">
          <cell r="B165">
            <v>40909</v>
          </cell>
          <cell r="C165" t="str">
            <v>AJUDANTE DE SERRALHEIRO (MENSALISTA)</v>
          </cell>
          <cell r="D165" t="str">
            <v>MES</v>
          </cell>
          <cell r="E165" t="str">
            <v>CR</v>
          </cell>
          <cell r="F165">
            <v>4194.5200000000004</v>
          </cell>
        </row>
        <row r="166">
          <cell r="B166">
            <v>242</v>
          </cell>
          <cell r="C166" t="str">
            <v>AJUDANTE ESPECIALIZADO (HORISTA)</v>
          </cell>
          <cell r="D166" t="str">
            <v>H</v>
          </cell>
          <cell r="E166" t="str">
            <v>CR</v>
          </cell>
          <cell r="F166">
            <v>23</v>
          </cell>
        </row>
        <row r="167">
          <cell r="B167">
            <v>41085</v>
          </cell>
          <cell r="C167" t="str">
            <v>AJUDANTE ESPECIALIZADO (MENSALISTA)</v>
          </cell>
          <cell r="D167" t="str">
            <v>MES</v>
          </cell>
          <cell r="E167" t="str">
            <v>CR</v>
          </cell>
          <cell r="F167">
            <v>4032.21</v>
          </cell>
        </row>
        <row r="168">
          <cell r="B168">
            <v>427</v>
          </cell>
          <cell r="C168" t="str">
            <v>ALCA PREFORMADA DE CONTRA POSTE, EM ACO GALVANIZADO, PARA CABO 3/16", COMPRIMENTO *860* MM</v>
          </cell>
          <cell r="D168" t="str">
            <v>UN</v>
          </cell>
          <cell r="E168" t="str">
            <v>CR</v>
          </cell>
          <cell r="F168">
            <v>6.55</v>
          </cell>
        </row>
        <row r="169">
          <cell r="B169">
            <v>417</v>
          </cell>
          <cell r="C169" t="str">
            <v>ALCA PREFORMADA DE DISTRIBUICAO, EM ACO GALVANIZADO, PARA CABO DE ALUMINIO DIAMETRO 16 A 25 MM</v>
          </cell>
          <cell r="D169" t="str">
            <v>UN</v>
          </cell>
          <cell r="E169" t="str">
            <v>CR</v>
          </cell>
          <cell r="F169">
            <v>3.08</v>
          </cell>
        </row>
        <row r="170">
          <cell r="B170">
            <v>11273</v>
          </cell>
          <cell r="C170" t="str">
            <v>ALCA PREFORMADA DE DISTRIBUICAO, EM ACO GALVANIZADO, PARA CONDUTORES DE ALUMINIO AWG 1/0 (CAA 6/1 OU CA 7 FIOS)</v>
          </cell>
          <cell r="D170" t="str">
            <v>UN</v>
          </cell>
          <cell r="E170" t="str">
            <v>CR</v>
          </cell>
          <cell r="F170">
            <v>9.58</v>
          </cell>
        </row>
        <row r="171">
          <cell r="B171">
            <v>11272</v>
          </cell>
          <cell r="C171" t="str">
            <v>ALCA PREFORMADA DE DISTRIBUICAO, EM ACO GALVANIZADO, PARA CONDUTORES DE ALUMINIO AWG 2 (CAA 6/1 OU CA 7 FIOS)</v>
          </cell>
          <cell r="D171" t="str">
            <v>UN</v>
          </cell>
          <cell r="E171" t="str">
            <v>CR</v>
          </cell>
          <cell r="F171">
            <v>5.78</v>
          </cell>
        </row>
        <row r="172">
          <cell r="B172">
            <v>11275</v>
          </cell>
          <cell r="C172" t="str">
            <v>ALCA PREFORMADA DE SERVICO, EM ACO GALVANIZADO, PARA CONDUTORES DE ALUMINIO AWG 4 (CAA 6/1)</v>
          </cell>
          <cell r="D172" t="str">
            <v>UN</v>
          </cell>
          <cell r="E172" t="str">
            <v>CR</v>
          </cell>
          <cell r="F172">
            <v>2.3199999999999998</v>
          </cell>
        </row>
        <row r="173">
          <cell r="B173">
            <v>11274</v>
          </cell>
          <cell r="C173" t="str">
            <v>ALCA PREFORMADA DE SERVICO, EM ACO GALVANIZADO, PARA CONDUTORES DE ALUMINIO AWG 6 (CAA 6/1)</v>
          </cell>
          <cell r="D173" t="str">
            <v>UN</v>
          </cell>
          <cell r="E173" t="str">
            <v>CR</v>
          </cell>
          <cell r="F173">
            <v>1.77</v>
          </cell>
        </row>
        <row r="174">
          <cell r="B174">
            <v>45208</v>
          </cell>
          <cell r="C174" t="str">
            <v>ALICATE AMPERIMETRO, TENSAO AC/DC, CAPACIDADE MAXIMA 1000 A</v>
          </cell>
          <cell r="D174" t="str">
            <v>UN</v>
          </cell>
          <cell r="E174" t="str">
            <v>CR</v>
          </cell>
          <cell r="F174">
            <v>227.55</v>
          </cell>
        </row>
        <row r="175">
          <cell r="B175">
            <v>45250</v>
          </cell>
          <cell r="C175" t="str">
            <v>ALICATE BICO LONGO (MEIA CANA) 6", COM ISOLAMENTO ATE 1000 V</v>
          </cell>
          <cell r="D175" t="str">
            <v>UN</v>
          </cell>
          <cell r="E175" t="str">
            <v>CR</v>
          </cell>
          <cell r="F175">
            <v>38.840000000000003</v>
          </cell>
        </row>
        <row r="176">
          <cell r="B176">
            <v>38470</v>
          </cell>
          <cell r="C176" t="str">
            <v>ALICATE DE CORTE DIAGONAL 6" COM ISOLAMENTO</v>
          </cell>
          <cell r="D176" t="str">
            <v>UN</v>
          </cell>
          <cell r="E176" t="str">
            <v>CR</v>
          </cell>
          <cell r="F176">
            <v>39.76</v>
          </cell>
        </row>
        <row r="177">
          <cell r="B177">
            <v>38547</v>
          </cell>
          <cell r="C177" t="str">
            <v>ALICATE DE CRIMPAR RJ11, RJ12 E RJ45, COM CATRACA</v>
          </cell>
          <cell r="D177" t="str">
            <v>UN</v>
          </cell>
          <cell r="E177" t="str">
            <v>CR</v>
          </cell>
          <cell r="F177">
            <v>263.95</v>
          </cell>
        </row>
        <row r="178">
          <cell r="B178">
            <v>38467</v>
          </cell>
          <cell r="C178" t="str">
            <v>ALICATE DE PRESSAO 11" PARA SOLDA, TIPO C</v>
          </cell>
          <cell r="D178" t="str">
            <v>UN</v>
          </cell>
          <cell r="E178" t="str">
            <v>CR</v>
          </cell>
          <cell r="F178">
            <v>135.38999999999999</v>
          </cell>
        </row>
        <row r="179">
          <cell r="B179">
            <v>38468</v>
          </cell>
          <cell r="C179" t="str">
            <v>ALICATE DE PRESSAO 11" PARA SOLDA, TIPO U</v>
          </cell>
          <cell r="D179" t="str">
            <v>UN</v>
          </cell>
          <cell r="E179" t="str">
            <v>CR</v>
          </cell>
          <cell r="F179">
            <v>169</v>
          </cell>
        </row>
        <row r="180">
          <cell r="B180">
            <v>38469</v>
          </cell>
          <cell r="C180" t="str">
            <v>ALICATE DE PRESSAO PARA SOLDA DE CHAPA 18"</v>
          </cell>
          <cell r="D180" t="str">
            <v>UN</v>
          </cell>
          <cell r="E180" t="str">
            <v>CR</v>
          </cell>
          <cell r="F180">
            <v>252.03</v>
          </cell>
        </row>
        <row r="181">
          <cell r="B181">
            <v>45197</v>
          </cell>
          <cell r="C181" t="str">
            <v>ALICATE DESENCAPADOR AUTOMATICO 8"</v>
          </cell>
          <cell r="D181" t="str">
            <v>UN</v>
          </cell>
          <cell r="E181" t="str">
            <v>CR</v>
          </cell>
          <cell r="F181">
            <v>201</v>
          </cell>
        </row>
        <row r="182">
          <cell r="B182">
            <v>38471</v>
          </cell>
          <cell r="C182" t="str">
            <v>ALICATE PARA ANEIS DE PISTAO, CAPACIDADE *50* A 100 MM</v>
          </cell>
          <cell r="D182" t="str">
            <v>UN</v>
          </cell>
          <cell r="E182" t="str">
            <v>CR</v>
          </cell>
          <cell r="F182">
            <v>269.56</v>
          </cell>
        </row>
        <row r="183">
          <cell r="B183">
            <v>45206</v>
          </cell>
          <cell r="C183" t="str">
            <v>ALICATE PROFISSIONAL 8", UNIVERSAL, COM ISOLAMENTO ATE 1000 V</v>
          </cell>
          <cell r="D183" t="str">
            <v>UN</v>
          </cell>
          <cell r="E183" t="str">
            <v>CR</v>
          </cell>
          <cell r="F183">
            <v>53.26</v>
          </cell>
        </row>
        <row r="184">
          <cell r="B184">
            <v>37370</v>
          </cell>
          <cell r="C184" t="str">
            <v>ALIMENTACAO - HORISTA (COLETADO CAIXA - ENCARGOS COMPLEMENTARES)</v>
          </cell>
          <cell r="D184" t="str">
            <v>H</v>
          </cell>
          <cell r="E184" t="str">
            <v>C</v>
          </cell>
          <cell r="F184">
            <v>4.4800000000000004</v>
          </cell>
        </row>
        <row r="185">
          <cell r="B185">
            <v>40862</v>
          </cell>
          <cell r="C185" t="str">
            <v>ALIMENTACAO - MENSALISTA (COLETADO CAIXA - ENCARGOS COMPLEMENTARES)</v>
          </cell>
          <cell r="D185" t="str">
            <v>MES</v>
          </cell>
          <cell r="E185" t="str">
            <v>C</v>
          </cell>
          <cell r="F185">
            <v>743.12</v>
          </cell>
        </row>
        <row r="186">
          <cell r="B186">
            <v>10658</v>
          </cell>
          <cell r="C186" t="str">
            <v>ALISADORA DE CONCRETO COM MOTOR A GASOLINA DE 5,5 HP, PESO COM MOTOR DE 78 KG, 4 PAS</v>
          </cell>
          <cell r="D186" t="str">
            <v>UN</v>
          </cell>
          <cell r="E186" t="str">
            <v>C</v>
          </cell>
          <cell r="F186">
            <v>10193.450000000001</v>
          </cell>
        </row>
        <row r="187">
          <cell r="B187">
            <v>253</v>
          </cell>
          <cell r="C187" t="str">
            <v>ALMOXARIFE (HORISTA)</v>
          </cell>
          <cell r="D187" t="str">
            <v>H</v>
          </cell>
          <cell r="E187" t="str">
            <v>C</v>
          </cell>
          <cell r="F187">
            <v>38.25</v>
          </cell>
        </row>
        <row r="188">
          <cell r="B188">
            <v>40809</v>
          </cell>
          <cell r="C188" t="str">
            <v>ALMOXARIFE (MENSALISTA)</v>
          </cell>
          <cell r="D188" t="str">
            <v>MES</v>
          </cell>
          <cell r="E188" t="str">
            <v>CR</v>
          </cell>
          <cell r="F188">
            <v>6699.64</v>
          </cell>
        </row>
        <row r="189">
          <cell r="B189">
            <v>42428</v>
          </cell>
          <cell r="C189" t="str">
            <v>ALONGADOR COM TRES ALTURAS, EM TUBO DE ACO CARBONO, PINTURA NO PROCESSO ELETROSTATICO - EQUIPAMENTO DE GINASTICA PARA ACADEMIA AO AR LIVRE / ACADEMIA DA TERCEIRA IDADE - ATI</v>
          </cell>
          <cell r="D189" t="str">
            <v>UN</v>
          </cell>
          <cell r="E189" t="str">
            <v>C</v>
          </cell>
          <cell r="F189">
            <v>2271</v>
          </cell>
        </row>
        <row r="190">
          <cell r="B190">
            <v>301</v>
          </cell>
          <cell r="C190" t="str">
            <v>ANEL BORRACHA PARA TUBO ESGOTO PREDIAL, DN 100 MM (NBR 5688)</v>
          </cell>
          <cell r="D190" t="str">
            <v>UN</v>
          </cell>
          <cell r="E190" t="str">
            <v>C</v>
          </cell>
          <cell r="F190">
            <v>2.6</v>
          </cell>
        </row>
        <row r="191">
          <cell r="B191">
            <v>296</v>
          </cell>
          <cell r="C191" t="str">
            <v>ANEL BORRACHA PARA TUBO ESGOTO PREDIAL, DN 50 MM (NBR 5688)</v>
          </cell>
          <cell r="D191" t="str">
            <v>UN</v>
          </cell>
          <cell r="E191" t="str">
            <v>CR</v>
          </cell>
          <cell r="F191">
            <v>1.47</v>
          </cell>
        </row>
        <row r="192">
          <cell r="B192">
            <v>297</v>
          </cell>
          <cell r="C192" t="str">
            <v>ANEL BORRACHA PARA TUBO ESGOTO PREDIAL, DN 75 MM (NBR 5688)</v>
          </cell>
          <cell r="D192" t="str">
            <v>UN</v>
          </cell>
          <cell r="E192" t="str">
            <v>CR</v>
          </cell>
          <cell r="F192">
            <v>2.16</v>
          </cell>
        </row>
        <row r="193">
          <cell r="B193">
            <v>299</v>
          </cell>
          <cell r="C193" t="str">
            <v>ANEL BORRACHA, DN 100 MM, PARA TUBO SERIE REFORCADA ESGOTO PREDIAL</v>
          </cell>
          <cell r="D193" t="str">
            <v>UN</v>
          </cell>
          <cell r="E193" t="str">
            <v>CR</v>
          </cell>
          <cell r="F193">
            <v>3.05</v>
          </cell>
        </row>
        <row r="194">
          <cell r="B194">
            <v>300</v>
          </cell>
          <cell r="C194" t="str">
            <v>ANEL BORRACHA, DN 150 MM, PARA TUBO SERIE REFORCADA ESGOTO PREDIAL</v>
          </cell>
          <cell r="D194" t="str">
            <v>UN</v>
          </cell>
          <cell r="E194" t="str">
            <v>CR</v>
          </cell>
          <cell r="F194">
            <v>10.55</v>
          </cell>
        </row>
        <row r="195">
          <cell r="B195">
            <v>20085</v>
          </cell>
          <cell r="C195" t="str">
            <v>ANEL BORRACHA, DN 50 MM, PARA TUBO SERIE REFORCADA ESGOTO PREDIAL</v>
          </cell>
          <cell r="D195" t="str">
            <v>UN</v>
          </cell>
          <cell r="E195" t="str">
            <v>CR</v>
          </cell>
          <cell r="F195">
            <v>1.93</v>
          </cell>
        </row>
        <row r="196">
          <cell r="B196">
            <v>298</v>
          </cell>
          <cell r="C196" t="str">
            <v>ANEL BORRACHA, DN 75 MM, PARA TUBO SERIE REFORCADA ESGOTO PREDIAL</v>
          </cell>
          <cell r="D196" t="str">
            <v>UN</v>
          </cell>
          <cell r="E196" t="str">
            <v>CR</v>
          </cell>
          <cell r="F196">
            <v>2.34</v>
          </cell>
        </row>
        <row r="197">
          <cell r="B197">
            <v>311</v>
          </cell>
          <cell r="C197" t="str">
            <v>ANEL BORRACHA, PARA TUBO PVC DEFOFO, DN 100 MM (NBR 7665)</v>
          </cell>
          <cell r="D197" t="str">
            <v>UN</v>
          </cell>
          <cell r="E197" t="str">
            <v>CR</v>
          </cell>
          <cell r="F197">
            <v>8.6999999999999993</v>
          </cell>
        </row>
        <row r="198">
          <cell r="B198">
            <v>318</v>
          </cell>
          <cell r="C198" t="str">
            <v>ANEL BORRACHA, PARA TUBO PVC DEFOFO, DN 150 MM (NBR 7665)</v>
          </cell>
          <cell r="D198" t="str">
            <v>UN</v>
          </cell>
          <cell r="E198" t="str">
            <v>CR</v>
          </cell>
          <cell r="F198">
            <v>17.53</v>
          </cell>
        </row>
        <row r="199">
          <cell r="B199">
            <v>319</v>
          </cell>
          <cell r="C199" t="str">
            <v>ANEL BORRACHA, PARA TUBO PVC DEFOFO, DN 200 MM (NBR 7665)</v>
          </cell>
          <cell r="D199" t="str">
            <v>UN</v>
          </cell>
          <cell r="E199" t="str">
            <v>CR</v>
          </cell>
          <cell r="F199">
            <v>27.48</v>
          </cell>
        </row>
        <row r="200">
          <cell r="B200">
            <v>303</v>
          </cell>
          <cell r="C200" t="str">
            <v>ANEL BORRACHA, PARA TUBO PVC, REDE COLETOR ESGOTO, DN 100 MM (NBR 7362)</v>
          </cell>
          <cell r="D200" t="str">
            <v>UN</v>
          </cell>
          <cell r="E200" t="str">
            <v>CR</v>
          </cell>
          <cell r="F200">
            <v>2.88</v>
          </cell>
        </row>
        <row r="201">
          <cell r="B201">
            <v>305</v>
          </cell>
          <cell r="C201" t="str">
            <v>ANEL BORRACHA, PARA TUBO PVC, REDE COLETOR ESGOTO, DN 150 MM (NBR 7362)</v>
          </cell>
          <cell r="D201" t="str">
            <v>UN</v>
          </cell>
          <cell r="E201" t="str">
            <v>CR</v>
          </cell>
          <cell r="F201">
            <v>9.06</v>
          </cell>
        </row>
        <row r="202">
          <cell r="B202">
            <v>306</v>
          </cell>
          <cell r="C202" t="str">
            <v>ANEL BORRACHA, PARA TUBO PVC, REDE COLETOR ESGOTO, DN 200 MM (NBR 7362)</v>
          </cell>
          <cell r="D202" t="str">
            <v>UN</v>
          </cell>
          <cell r="E202" t="str">
            <v>CR</v>
          </cell>
          <cell r="F202">
            <v>13.74</v>
          </cell>
        </row>
        <row r="203">
          <cell r="B203">
            <v>307</v>
          </cell>
          <cell r="C203" t="str">
            <v>ANEL BORRACHA, PARA TUBO PVC, REDE COLETOR ESGOTO, DN 250 MM (NBR 7362)</v>
          </cell>
          <cell r="D203" t="str">
            <v>UN</v>
          </cell>
          <cell r="E203" t="str">
            <v>CR</v>
          </cell>
          <cell r="F203">
            <v>34.72</v>
          </cell>
        </row>
        <row r="204">
          <cell r="B204">
            <v>309</v>
          </cell>
          <cell r="C204" t="str">
            <v>ANEL BORRACHA, PARA TUBO PVC, REDE COLETOR ESGOTO, DN 350 MM (NBR 7362)</v>
          </cell>
          <cell r="D204" t="str">
            <v>UN</v>
          </cell>
          <cell r="E204" t="str">
            <v>CR</v>
          </cell>
          <cell r="F204">
            <v>56.87</v>
          </cell>
        </row>
        <row r="205">
          <cell r="B205">
            <v>310</v>
          </cell>
          <cell r="C205" t="str">
            <v>ANEL BORRACHA, PARA TUBO PVC, REDE COLETOR ESGOTO, DN 400 MM (NBR 7362)</v>
          </cell>
          <cell r="D205" t="str">
            <v>UN</v>
          </cell>
          <cell r="E205" t="str">
            <v>CR</v>
          </cell>
          <cell r="F205">
            <v>78.819999999999993</v>
          </cell>
        </row>
        <row r="206">
          <cell r="B206">
            <v>308</v>
          </cell>
          <cell r="C206" t="str">
            <v>ANEL BORRACHA, PARA TUBO, PVC REDE COLETOR ESGOTO, DN 300 MM (NBR 7362)</v>
          </cell>
          <cell r="D206" t="str">
            <v>UN</v>
          </cell>
          <cell r="E206" t="str">
            <v>CR</v>
          </cell>
          <cell r="F206">
            <v>77.48</v>
          </cell>
        </row>
        <row r="207">
          <cell r="B207">
            <v>328</v>
          </cell>
          <cell r="C207" t="str">
            <v>ANEL BORRACHA, PARA TUBO/CONEXAO PVC PBA, DN 100 MM, PARA REDE AGUA</v>
          </cell>
          <cell r="D207" t="str">
            <v>UN</v>
          </cell>
          <cell r="E207" t="str">
            <v>CR</v>
          </cell>
          <cell r="F207">
            <v>6.89</v>
          </cell>
        </row>
        <row r="208">
          <cell r="B208">
            <v>325</v>
          </cell>
          <cell r="C208" t="str">
            <v>ANEL BORRACHA, PARA TUBO/CONEXAO PVC PBA, DN 50 MM, PARA REDE AGUA</v>
          </cell>
          <cell r="D208" t="str">
            <v>UN</v>
          </cell>
          <cell r="E208" t="str">
            <v>CR</v>
          </cell>
          <cell r="F208">
            <v>2.0299999999999998</v>
          </cell>
        </row>
        <row r="209">
          <cell r="B209">
            <v>20326</v>
          </cell>
          <cell r="C209" t="str">
            <v>ANEL BORRACHA, PARA TUBO/CONEXAO PVC PBA, DN 60 MM, PARA REDE AGUA</v>
          </cell>
          <cell r="D209" t="str">
            <v>UN</v>
          </cell>
          <cell r="E209" t="str">
            <v>CR</v>
          </cell>
          <cell r="F209">
            <v>3.72</v>
          </cell>
        </row>
        <row r="210">
          <cell r="B210">
            <v>329</v>
          </cell>
          <cell r="C210" t="str">
            <v>ANEL BORRACHA, PARA TUBO/CONEXAO PVC PBA, DN 75 MM, PARA REDE AGUA</v>
          </cell>
          <cell r="D210" t="str">
            <v>UN</v>
          </cell>
          <cell r="E210" t="str">
            <v>CR</v>
          </cell>
          <cell r="F210">
            <v>5.76</v>
          </cell>
        </row>
        <row r="211">
          <cell r="B211">
            <v>39642</v>
          </cell>
          <cell r="C211" t="str">
            <v>ANEL DE BORRACHA PARA VEDACAO DE DUTO PEAD CORRUGADO PARA ELETRICA, DN 1 1/2" (NBR 15715)</v>
          </cell>
          <cell r="D211" t="str">
            <v>UN</v>
          </cell>
          <cell r="E211" t="str">
            <v>CR</v>
          </cell>
          <cell r="F211">
            <v>2.5499999999999998</v>
          </cell>
        </row>
        <row r="212">
          <cell r="B212">
            <v>39641</v>
          </cell>
          <cell r="C212" t="str">
            <v>ANEL DE BORRACHA PARA VEDACAO DE DUTO PEAD CORRUGADO PARA ELETRICA, DN 1 1/4" (NBR 15715)</v>
          </cell>
          <cell r="D212" t="str">
            <v>UN</v>
          </cell>
          <cell r="E212" t="str">
            <v>CR</v>
          </cell>
          <cell r="F212">
            <v>2.2400000000000002</v>
          </cell>
        </row>
        <row r="213">
          <cell r="B213">
            <v>39643</v>
          </cell>
          <cell r="C213" t="str">
            <v>ANEL DE BORRACHA PARA VEDACAO DE DUTO PEAD CORRUGADO PARA ELETRICA, DN 2" (NBR 15715)</v>
          </cell>
          <cell r="D213" t="str">
            <v>UN</v>
          </cell>
          <cell r="E213" t="str">
            <v>CR</v>
          </cell>
          <cell r="F213">
            <v>3</v>
          </cell>
        </row>
        <row r="214">
          <cell r="B214">
            <v>39644</v>
          </cell>
          <cell r="C214" t="str">
            <v>ANEL DE BORRACHA PARA VEDACAO DE DUTO PEAD CORRUGADO PARA ELETRICA, DN 3" (NBR 15715)</v>
          </cell>
          <cell r="D214" t="str">
            <v>UN</v>
          </cell>
          <cell r="E214" t="str">
            <v>CR</v>
          </cell>
          <cell r="F214">
            <v>4.6500000000000004</v>
          </cell>
        </row>
        <row r="215">
          <cell r="B215">
            <v>39645</v>
          </cell>
          <cell r="C215" t="str">
            <v>ANEL DE BORRACHA PARA VEDACAO DE DUTO PEAD CORRUGADO PARA ELETRICA, DN 4" (NBR 15715)</v>
          </cell>
          <cell r="D215" t="str">
            <v>UN</v>
          </cell>
          <cell r="E215" t="str">
            <v>CR</v>
          </cell>
          <cell r="F215">
            <v>5.09</v>
          </cell>
        </row>
        <row r="216">
          <cell r="B216">
            <v>41610</v>
          </cell>
          <cell r="C216" t="str">
            <v>ANEL DE CONCRETO ARMADO COM FUNDO, PARA FOSSA E POCO 1,50 X *0,50* M</v>
          </cell>
          <cell r="D216" t="str">
            <v>UN</v>
          </cell>
          <cell r="E216" t="str">
            <v>CR</v>
          </cell>
          <cell r="F216">
            <v>826.97</v>
          </cell>
        </row>
        <row r="217">
          <cell r="B217">
            <v>41611</v>
          </cell>
          <cell r="C217" t="str">
            <v>ANEL DE CONCRETO ARMADO COM FUNDO, PARA FOSSA E POCO 2,00 X *0,50* M</v>
          </cell>
          <cell r="D217" t="str">
            <v>UN</v>
          </cell>
          <cell r="E217" t="str">
            <v>CR</v>
          </cell>
          <cell r="F217">
            <v>1303.47</v>
          </cell>
        </row>
        <row r="218">
          <cell r="B218">
            <v>41612</v>
          </cell>
          <cell r="C218" t="str">
            <v>ANEL DE CONCRETO ARMADO COM FUNDO, PARA FOSSA E POCO 2,50 X *0,50* M</v>
          </cell>
          <cell r="D218" t="str">
            <v>UN</v>
          </cell>
          <cell r="E218" t="str">
            <v>CR</v>
          </cell>
          <cell r="F218">
            <v>1830.27</v>
          </cell>
        </row>
        <row r="219">
          <cell r="B219">
            <v>41637</v>
          </cell>
          <cell r="C219" t="str">
            <v>ANEL DE CONCRETO ARMADO, COM FUROS/DRENO PARA SUMIDOURO, D = 0,80 M, H = 0,50 M</v>
          </cell>
          <cell r="D219" t="str">
            <v>UN</v>
          </cell>
          <cell r="E219" t="str">
            <v>CR</v>
          </cell>
          <cell r="F219">
            <v>171.09</v>
          </cell>
        </row>
        <row r="220">
          <cell r="B220">
            <v>41638</v>
          </cell>
          <cell r="C220" t="str">
            <v>ANEL DE CONCRETO ARMADO, COM FUROS/DRENO PARA SUMIDOURO, D = 1,00 M, H = 0,50M</v>
          </cell>
          <cell r="D220" t="str">
            <v>UN</v>
          </cell>
          <cell r="E220" t="str">
            <v>CR</v>
          </cell>
          <cell r="F220">
            <v>222.87</v>
          </cell>
        </row>
        <row r="221">
          <cell r="B221">
            <v>41639</v>
          </cell>
          <cell r="C221" t="str">
            <v>ANEL DE CONCRETO ARMADO, COM FUROS/DRENO PARA SUMIDOURO, D = 1,50 M, H = 0,50 M</v>
          </cell>
          <cell r="D221" t="str">
            <v>UN</v>
          </cell>
          <cell r="E221" t="str">
            <v>CR</v>
          </cell>
          <cell r="F221">
            <v>539.16999999999996</v>
          </cell>
        </row>
        <row r="222">
          <cell r="B222">
            <v>11789</v>
          </cell>
          <cell r="C222" t="str">
            <v>ANEL DE DISTRIBUICAO EM ACO GALVANIZADO PARA FIO FE-160</v>
          </cell>
          <cell r="D222" t="str">
            <v>UN</v>
          </cell>
          <cell r="E222" t="str">
            <v>CR</v>
          </cell>
          <cell r="F222">
            <v>0.87</v>
          </cell>
        </row>
        <row r="223">
          <cell r="B223">
            <v>20975</v>
          </cell>
          <cell r="C223" t="str">
            <v>ANEL DE EXPANSAO EM COBRE, ENGATE RAPIDO 1 1/2", PARA EMPATACAO MANGUEIRA DE COMBATE A INCENDIO PREDIAL</v>
          </cell>
          <cell r="D223" t="str">
            <v>UN</v>
          </cell>
          <cell r="E223" t="str">
            <v>CR</v>
          </cell>
          <cell r="F223">
            <v>22.72</v>
          </cell>
        </row>
        <row r="224">
          <cell r="B224">
            <v>20976</v>
          </cell>
          <cell r="C224" t="str">
            <v>ANEL DE EXPANSAO EM COBRE, ENGATE RAPIDO 2 1/2", PARA EMPATACAO MANGUEIRA DE COMBATE A INCENDIO PREDIAL</v>
          </cell>
          <cell r="D224" t="str">
            <v>UN</v>
          </cell>
          <cell r="E224" t="str">
            <v>CR</v>
          </cell>
          <cell r="F224">
            <v>34.33</v>
          </cell>
        </row>
        <row r="225">
          <cell r="B225">
            <v>6138</v>
          </cell>
          <cell r="C225" t="str">
            <v>ANEL DE VEDACAO, PVC FLEXIVEL, 100 MM, PARA SAIDA DE BACIA / VASO SANITARIO</v>
          </cell>
          <cell r="D225" t="str">
            <v>UN</v>
          </cell>
          <cell r="E225" t="str">
            <v>CR</v>
          </cell>
          <cell r="F225">
            <v>12.11</v>
          </cell>
        </row>
        <row r="226">
          <cell r="B226">
            <v>40340</v>
          </cell>
          <cell r="C226" t="str">
            <v>ANEL DE VEDACAO/JUNTA ELASTICA, H = *16* MM, PARA TUBO DE CONCRETO, DN 300 MM</v>
          </cell>
          <cell r="D226" t="str">
            <v>UN</v>
          </cell>
          <cell r="E226" t="str">
            <v>CR</v>
          </cell>
          <cell r="F226">
            <v>19.12</v>
          </cell>
        </row>
        <row r="227">
          <cell r="B227">
            <v>40341</v>
          </cell>
          <cell r="C227" t="str">
            <v>ANEL DE VEDACAO/JUNTA ELASTICA, H = *16* MM, PARA TUBO DE CONCRETO, DN 400 MM</v>
          </cell>
          <cell r="D227" t="str">
            <v>UN</v>
          </cell>
          <cell r="E227" t="str">
            <v>CR</v>
          </cell>
          <cell r="F227">
            <v>22.82</v>
          </cell>
        </row>
        <row r="228">
          <cell r="B228">
            <v>40342</v>
          </cell>
          <cell r="C228" t="str">
            <v>ANEL DE VEDACAO/JUNTA ELASTICA, H = *16* MM, PARA TUBO DE CONCRETO, DN 500 MM</v>
          </cell>
          <cell r="D228" t="str">
            <v>UN</v>
          </cell>
          <cell r="E228" t="str">
            <v>CR</v>
          </cell>
          <cell r="F228">
            <v>27.22</v>
          </cell>
        </row>
        <row r="229">
          <cell r="B229">
            <v>40343</v>
          </cell>
          <cell r="C229" t="str">
            <v>ANEL DE VEDACAO/JUNTA ELASTICA, H = *16* MM, PARA TUBO DE CONCRETO, DN 600 MM</v>
          </cell>
          <cell r="D229" t="str">
            <v>UN</v>
          </cell>
          <cell r="E229" t="str">
            <v>CR</v>
          </cell>
          <cell r="F229">
            <v>32.29</v>
          </cell>
        </row>
        <row r="230">
          <cell r="B230">
            <v>40344</v>
          </cell>
          <cell r="C230" t="str">
            <v>ANEL DE VEDACAO/JUNTA ELASTICA, H = *18* MM, PARA TUBO DE CONCRETO, DN 700 MM</v>
          </cell>
          <cell r="D230" t="str">
            <v>UN</v>
          </cell>
          <cell r="E230" t="str">
            <v>CR</v>
          </cell>
          <cell r="F230">
            <v>44.02</v>
          </cell>
        </row>
        <row r="231">
          <cell r="B231">
            <v>40345</v>
          </cell>
          <cell r="C231" t="str">
            <v>ANEL DE VEDACAO/JUNTA ELASTICA, H = *19* MM, PARA TUBO DE CONCRETO, DN 800 MM</v>
          </cell>
          <cell r="D231" t="str">
            <v>UN</v>
          </cell>
          <cell r="E231" t="str">
            <v>CR</v>
          </cell>
          <cell r="F231">
            <v>54.24</v>
          </cell>
        </row>
        <row r="232">
          <cell r="B232">
            <v>40346</v>
          </cell>
          <cell r="C232" t="str">
            <v>ANEL DE VEDACAO/JUNTA ELASTICA, H = *19* MM, PARA TUBO DE CONCRETO, DN 900 MM</v>
          </cell>
          <cell r="D232" t="str">
            <v>UN</v>
          </cell>
          <cell r="E232" t="str">
            <v>CR</v>
          </cell>
          <cell r="F232">
            <v>62.92</v>
          </cell>
        </row>
        <row r="233">
          <cell r="B233">
            <v>40347</v>
          </cell>
          <cell r="C233" t="str">
            <v>ANEL DE VEDACAO/JUNTA ELASTICA, H = *21* MM, PARA TUBO DE CONCRETO, DN 1000 MM</v>
          </cell>
          <cell r="D233" t="str">
            <v>UN</v>
          </cell>
          <cell r="E233" t="str">
            <v>CR</v>
          </cell>
          <cell r="F233">
            <v>79.05</v>
          </cell>
        </row>
        <row r="234">
          <cell r="B234">
            <v>43424</v>
          </cell>
          <cell r="C234" t="str">
            <v>ANEL EM CONCRETO ARMADO, LISO, PARA FOSSAS SEPTICAS E SUMIDOUROS, COM FUNDO, DIAMETRO INTERNO DE 1,20 M E ALTURA DE 0,50 M</v>
          </cell>
          <cell r="D234" t="str">
            <v>UN</v>
          </cell>
          <cell r="E234" t="str">
            <v>CR</v>
          </cell>
          <cell r="F234">
            <v>692.87</v>
          </cell>
        </row>
        <row r="235">
          <cell r="B235">
            <v>43426</v>
          </cell>
          <cell r="C235" t="str">
            <v>ANEL EM CONCRETO ARMADO, LISO, PARA FOSSAS SEPTICAS E SUMIDOUROS, COM FUNDO, DIAMETRO INTERNO DE 3,00 M E ALTURA DE 0,50 M</v>
          </cell>
          <cell r="D235" t="str">
            <v>UN</v>
          </cell>
          <cell r="E235" t="str">
            <v>CR</v>
          </cell>
          <cell r="F235">
            <v>2389.71</v>
          </cell>
        </row>
        <row r="236">
          <cell r="B236">
            <v>12565</v>
          </cell>
          <cell r="C236" t="str">
            <v>ANEL EM CONCRETO ARMADO, LISO, PARA FOSSAS SEPTICAS E SUMIDOUROS, SEM FUNDO, DIAMETRO INTERNO DE 2,00 M E ALTURA DE 0,50 M</v>
          </cell>
          <cell r="D236" t="str">
            <v>UN</v>
          </cell>
          <cell r="E236" t="str">
            <v>CR</v>
          </cell>
          <cell r="F236">
            <v>838.04</v>
          </cell>
        </row>
        <row r="237">
          <cell r="B237">
            <v>12567</v>
          </cell>
          <cell r="C237" t="str">
            <v>ANEL EM CONCRETO ARMADO, LISO, PARA FOSSAS SEPTICAS E SUMIDOUROS, SEM FUNDO, DIAMETRO INTERNO DE 2,50 M E ALTURA DE 0,50 M</v>
          </cell>
          <cell r="D237" t="str">
            <v>UN</v>
          </cell>
          <cell r="E237" t="str">
            <v>CR</v>
          </cell>
          <cell r="F237">
            <v>1125.6300000000001</v>
          </cell>
        </row>
        <row r="238">
          <cell r="B238">
            <v>12568</v>
          </cell>
          <cell r="C238" t="str">
            <v>ANEL EM CONCRETO ARMADO, LISO, PARA FOSSAS SEPTICAS E SUMIDOUROS, SEM FUNDO, DIAMETRO INTERNO DE 3,00 M E ALTURA DE 0,50 M</v>
          </cell>
          <cell r="D238" t="str">
            <v>UN</v>
          </cell>
          <cell r="E238" t="str">
            <v>CR</v>
          </cell>
          <cell r="F238">
            <v>1575.88</v>
          </cell>
        </row>
        <row r="239">
          <cell r="B239">
            <v>43441</v>
          </cell>
          <cell r="C239" t="str">
            <v>ANEL EM CONCRETO ARMADO, LISO, PARA POCOS DE INSPECAO, COM FUNDO, DIAMETRO INTERNO DE 0,60 M E ALTURA DE 0,50 M</v>
          </cell>
          <cell r="D239" t="str">
            <v>UN</v>
          </cell>
          <cell r="E239" t="str">
            <v>CR</v>
          </cell>
          <cell r="F239">
            <v>202.61</v>
          </cell>
        </row>
        <row r="240">
          <cell r="B240">
            <v>43423</v>
          </cell>
          <cell r="C240" t="str">
            <v>ANEL EM CONCRETO ARMADO, LISO, PARA POCOS DE INSPECAO, SEM FUNDO, DIAMETRO INTERNO DE 0,60 M E ALTURA DE 0,20 M</v>
          </cell>
          <cell r="D240" t="str">
            <v>UN</v>
          </cell>
          <cell r="E240" t="str">
            <v>CR</v>
          </cell>
          <cell r="F240">
            <v>94.55</v>
          </cell>
        </row>
        <row r="241">
          <cell r="B241">
            <v>12532</v>
          </cell>
          <cell r="C241" t="str">
            <v>ANEL EM CONCRETO ARMADO, LISO, PARA POCOS DE INSPECAO, SEM FUNDO, DIAMETRO INTERNO DE 0,60 M E ALTURA DE 0,50 M</v>
          </cell>
          <cell r="D241" t="str">
            <v>UN</v>
          </cell>
          <cell r="E241" t="str">
            <v>CR</v>
          </cell>
          <cell r="F241">
            <v>145.82</v>
          </cell>
        </row>
        <row r="242">
          <cell r="B242">
            <v>43444</v>
          </cell>
          <cell r="C242" t="str">
            <v>ANEL EM CONCRETO ARMADO, LISO, PARA POCOS DE VISITA, POCOS DE INSPECAO, FOSSAS SEPTICAS E SUMIDOUROS, COM FUNDO, DIAMETRO INTERNO DE 1,20 M E ALTURA DE 0,75 M</v>
          </cell>
          <cell r="D242" t="str">
            <v>UN</v>
          </cell>
          <cell r="E242" t="str">
            <v>CR</v>
          </cell>
          <cell r="F242">
            <v>489.64</v>
          </cell>
        </row>
        <row r="243">
          <cell r="B243">
            <v>12551</v>
          </cell>
          <cell r="C243" t="str">
            <v>ANEL EM CONCRETO ARMADO, LISO, PARA POCOS DE VISITA, POCOS DE INSPECAO, FOSSAS SEPTICAS E SUMIDOUROS, SEM FUNDO, DIAMETRO INTERNO DE 1,20 M E ALTURA DE 0,50 M</v>
          </cell>
          <cell r="D243" t="str">
            <v>UN</v>
          </cell>
          <cell r="E243" t="str">
            <v>CR</v>
          </cell>
          <cell r="F243">
            <v>349.35</v>
          </cell>
        </row>
        <row r="244">
          <cell r="B244">
            <v>43442</v>
          </cell>
          <cell r="C244" t="str">
            <v>ANEL EM CONCRETO ARMADO, LISO, PARA POCOS DE VISITAS, POCOS DE INSPECAO, FOSSAS SEPTICAS E SUMIDOUROS, COM FUNDO, DIAMETRO INTERNO DE 0,80 M E ALTURA DE 0,50 M</v>
          </cell>
          <cell r="D244" t="str">
            <v>UN</v>
          </cell>
          <cell r="E244" t="str">
            <v>CR</v>
          </cell>
          <cell r="F244">
            <v>270.14999999999998</v>
          </cell>
        </row>
        <row r="245">
          <cell r="B245">
            <v>43443</v>
          </cell>
          <cell r="C245" t="str">
            <v>ANEL EM CONCRETO ARMADO, LISO, PARA POCOS DE VISITAS, POCOS DE INSPECAO, FOSSAS SEPTICAS E SUMIDOUROS, COM FUNDO, DIAMETRO INTERNO DE 1,00 M E ALTURA DE 0,50 M</v>
          </cell>
          <cell r="D245" t="str">
            <v>UN</v>
          </cell>
          <cell r="E245" t="str">
            <v>CR</v>
          </cell>
          <cell r="F245">
            <v>354.57</v>
          </cell>
        </row>
        <row r="246">
          <cell r="B246">
            <v>12544</v>
          </cell>
          <cell r="C246" t="str">
            <v>ANEL EM CONCRETO ARMADO, LISO, PARA POCOS DE VISITAS, POCOS DE INSPECAO, FOSSAS SEPTICAS E SUMIDOUROS, SEM FUNDO, DIAMETRO INTERNO DE 0,80 M E ALTURA DE 0,50 M</v>
          </cell>
          <cell r="D246" t="str">
            <v>UN</v>
          </cell>
          <cell r="E246" t="str">
            <v>CR</v>
          </cell>
          <cell r="F246">
            <v>191.35</v>
          </cell>
        </row>
        <row r="247">
          <cell r="B247">
            <v>12547</v>
          </cell>
          <cell r="C247" t="str">
            <v>ANEL EM CONCRETO ARMADO, LISO, PARA POCOS DE VISITAS, POCOS DE INSPECAO, FOSSAS SEPTICAS E SUMIDOUROS, SEM FUNDO, DIAMETRO INTERNO DE 1,00 M E ALTURA DE 0,50 M</v>
          </cell>
          <cell r="D247" t="str">
            <v>UN</v>
          </cell>
          <cell r="E247" t="str">
            <v>CR</v>
          </cell>
          <cell r="F247">
            <v>257.36</v>
          </cell>
        </row>
        <row r="248">
          <cell r="B248">
            <v>43445</v>
          </cell>
          <cell r="C248" t="str">
            <v>ANEL EM CONCRETO ARMADO, LISO, PARA, POCOS DE VISITA, POCOS DE INSPECAO, FOSSAS SEPTICAS E SUMIDOUROS, COM FUNDO, DIAMETRO INTERNO DE 1,50 M E ALTURA DE 1,00 M</v>
          </cell>
          <cell r="D248" t="str">
            <v>UN</v>
          </cell>
          <cell r="E248" t="str">
            <v>CR</v>
          </cell>
          <cell r="F248">
            <v>675.37</v>
          </cell>
        </row>
        <row r="249">
          <cell r="B249">
            <v>12563</v>
          </cell>
          <cell r="C249" t="str">
            <v>ANEL EM CONCRETO ARMADO, LISO, PARA, POCOS DE VISITA, POCOS DE INSPECAO, FOSSAS SEPTICAS E SUMIDOUROS, SEM FUNDO, DIAMETRO INTERNO DE 1,50 M E ALTURA DE 0,50 M</v>
          </cell>
          <cell r="D249" t="str">
            <v>UN</v>
          </cell>
          <cell r="E249" t="str">
            <v>CR</v>
          </cell>
          <cell r="F249">
            <v>483.21</v>
          </cell>
        </row>
        <row r="250">
          <cell r="B250">
            <v>43425</v>
          </cell>
          <cell r="C250" t="str">
            <v>ANEL EM CONCRETO ARMADO, PERFURADO, PARA FOSSAS SEPTICAS E SUMIDOUROS, SEM FUNDO, DIAMETRO INTERNO DE 1,20 M E ALTURA DE 0,50 M</v>
          </cell>
          <cell r="D250" t="str">
            <v>UN</v>
          </cell>
          <cell r="E250" t="str">
            <v>CR</v>
          </cell>
          <cell r="F250">
            <v>303.92</v>
          </cell>
        </row>
        <row r="251">
          <cell r="B251">
            <v>43446</v>
          </cell>
          <cell r="C251" t="str">
            <v>ANEL EM CONCRETO ARMADO, PERFURADO, PARA FOSSAS SEPTICAS E SUMIDOUROS, SEM FUNDO, DIAMETRO INTERNO DE 2,00 M E ALTURA DE 0,50 M</v>
          </cell>
          <cell r="D251" t="str">
            <v>UN</v>
          </cell>
          <cell r="E251" t="str">
            <v>CR</v>
          </cell>
          <cell r="F251">
            <v>641.6</v>
          </cell>
        </row>
        <row r="252">
          <cell r="B252">
            <v>43447</v>
          </cell>
          <cell r="C252" t="str">
            <v>ANEL EM CONCRETO ARMADO, PERFURADO, PARA FOSSAS SEPTICAS E SUMIDOUROS, SEM FUNDO, DIAMETRO INTERNO DE 2,50 M E ALTURA DE 0,50 M</v>
          </cell>
          <cell r="D252" t="str">
            <v>UN</v>
          </cell>
          <cell r="E252" t="str">
            <v>CR</v>
          </cell>
          <cell r="F252">
            <v>787.94</v>
          </cell>
        </row>
        <row r="253">
          <cell r="B253">
            <v>43448</v>
          </cell>
          <cell r="C253" t="str">
            <v>ANEL EM CONCRETO ARMADO, PERFURADO, PARA FOSSAS SEPTICAS E SUMIDOUROS, SEM FUNDO, DIAMETRO INTERNO DE 3,00 M E ALTURA DE 0,50 M</v>
          </cell>
          <cell r="D253" t="str">
            <v>UN</v>
          </cell>
          <cell r="E253" t="str">
            <v>CR</v>
          </cell>
          <cell r="F253">
            <v>1103.1099999999999</v>
          </cell>
        </row>
        <row r="254">
          <cell r="B254">
            <v>13761</v>
          </cell>
          <cell r="C254" t="str">
            <v>APARELHO CORTE OXI-ACETILENO PARA SOLDA E CORTE CONTENDO MACARICO SOLDA, BICO DE CORTE, CILINDROS, REGULADORES, MANGUEIRAS E CARRINHO</v>
          </cell>
          <cell r="D254" t="str">
            <v>UN</v>
          </cell>
          <cell r="E254" t="str">
            <v>CR</v>
          </cell>
          <cell r="F254">
            <v>3412.15</v>
          </cell>
        </row>
        <row r="255">
          <cell r="B255">
            <v>4814</v>
          </cell>
          <cell r="C255" t="str">
            <v>APARELHO SINALIZADOR LUMINOSO COM LED, PARA SAIDA GARAGEM, COM 2 LENTES EM POLICARBONATO, BIVOLT (INCLUI SUPORTE DE FIXACAO)</v>
          </cell>
          <cell r="D255" t="str">
            <v>UN</v>
          </cell>
          <cell r="E255" t="str">
            <v>CR</v>
          </cell>
          <cell r="F255">
            <v>45.43</v>
          </cell>
        </row>
        <row r="256">
          <cell r="B256">
            <v>44473</v>
          </cell>
          <cell r="C256" t="str">
            <v>APOIO DO PORTA DENTE PARA FRESADORA DE ASFALTO</v>
          </cell>
          <cell r="D256" t="str">
            <v>UN</v>
          </cell>
          <cell r="E256" t="str">
            <v>CR</v>
          </cell>
          <cell r="F256">
            <v>2527.1</v>
          </cell>
        </row>
        <row r="257">
          <cell r="B257">
            <v>6122</v>
          </cell>
          <cell r="C257" t="str">
            <v>APONTADOR OU APROPRIADOR DE MAO DE OBRA (HORISTA)</v>
          </cell>
          <cell r="D257" t="str">
            <v>H</v>
          </cell>
          <cell r="E257" t="str">
            <v>CR</v>
          </cell>
          <cell r="F257">
            <v>39.64</v>
          </cell>
        </row>
        <row r="258">
          <cell r="B258">
            <v>40810</v>
          </cell>
          <cell r="C258" t="str">
            <v>APONTADOR OU APROPRIADOR DE MAO DE OBRA (MENSALISTA)</v>
          </cell>
          <cell r="D258" t="str">
            <v>MES</v>
          </cell>
          <cell r="E258" t="str">
            <v>CR</v>
          </cell>
          <cell r="F258">
            <v>6945.45</v>
          </cell>
        </row>
        <row r="259">
          <cell r="B259">
            <v>34469</v>
          </cell>
          <cell r="C259" t="str">
            <v>AQUECEDOR SOLAR COM RESERVATORIO TERMICO DE 1000 L E *5* PLACAS COLETORAS DE *2,0* M2 (NAO INCLUI ACESSORIOS) (SEM INSTALACAO)</v>
          </cell>
          <cell r="D259" t="str">
            <v>UN</v>
          </cell>
          <cell r="E259" t="str">
            <v>CR</v>
          </cell>
          <cell r="F259">
            <v>10530.81</v>
          </cell>
        </row>
        <row r="260">
          <cell r="B260">
            <v>34476</v>
          </cell>
          <cell r="C260" t="str">
            <v>AQUECEDOR SOLAR COM RESERVATORIO TERMICO DE 400 L E *2* PLACAS COLETORAS DE *2,0* M2 (NAO INCLUI ACESSORIOS) (SEM INSTALACAO)</v>
          </cell>
          <cell r="D260" t="str">
            <v>UN</v>
          </cell>
          <cell r="E260" t="str">
            <v>CR</v>
          </cell>
          <cell r="F260">
            <v>5492.26</v>
          </cell>
        </row>
        <row r="261">
          <cell r="B261">
            <v>34477</v>
          </cell>
          <cell r="C261" t="str">
            <v>AQUECEDOR SOLAR COM RESERVATORIO TERMICO DE 600 L E *3* PLACAS COLETORAS DE *2,0* M2 (NAO INCLUI ACESSORIOS) (SEM INSTALACAO)</v>
          </cell>
          <cell r="D261" t="str">
            <v>UN</v>
          </cell>
          <cell r="E261" t="str">
            <v>CR</v>
          </cell>
          <cell r="F261">
            <v>7289.29</v>
          </cell>
        </row>
        <row r="262">
          <cell r="B262">
            <v>34482</v>
          </cell>
          <cell r="C262" t="str">
            <v>AQUECEDOR SOLAR COM RESERVATORIO TERMICO DE 800 L E *4* PLACAS COLETORAS DE *2,0* M2 (NAO INCLUI ACESSORIOS) (SEM INSTALACAO)</v>
          </cell>
          <cell r="D262" t="str">
            <v>UN</v>
          </cell>
          <cell r="E262" t="str">
            <v>CR</v>
          </cell>
          <cell r="F262">
            <v>6807.79</v>
          </cell>
        </row>
        <row r="263">
          <cell r="B263">
            <v>34472</v>
          </cell>
          <cell r="C263" t="str">
            <v>AQUECEDOR SOLAR DE INSTALACAO EXTERNA, KIT COMPACTO, CONJUNTO COM RESERVATORIO TERMICO DE 200 L, PLACA COLETORA DE *2,0* M2 E INCLUSO ACESSORIOS (RESIDENCIAS ATE 120,00 M2 E DE 4 A 5 BANHOS POR DIA) (SEM INSTALACAO)</v>
          </cell>
          <cell r="D263" t="str">
            <v>UN</v>
          </cell>
          <cell r="E263" t="str">
            <v>C</v>
          </cell>
          <cell r="F263">
            <v>3240</v>
          </cell>
        </row>
        <row r="264">
          <cell r="B264">
            <v>42425</v>
          </cell>
          <cell r="C264" t="str">
            <v>AR CONDICIONADO SPLIT INVERTER, HI-WALL (PAREDE), 12000 BTU/H, CICLO FRIO, 60HZ, CLASSIFICACAO A (SELO PROCEL), GAS HFC, CONTROLE S/FIO</v>
          </cell>
          <cell r="D264" t="str">
            <v>UN</v>
          </cell>
          <cell r="E264" t="str">
            <v>CR</v>
          </cell>
          <cell r="F264">
            <v>2438.48</v>
          </cell>
        </row>
        <row r="265">
          <cell r="B265">
            <v>42422</v>
          </cell>
          <cell r="C265" t="str">
            <v>AR CONDICIONADO SPLIT INVERTER, HI-WALL (PAREDE), 18000 BTU/H, CICLO FRIO, 60HZ, CLASSIFICACAO A (SELO PROCEL), GAS HFC, CONTROLE S/FIO</v>
          </cell>
          <cell r="D265" t="str">
            <v>UN</v>
          </cell>
          <cell r="E265" t="str">
            <v>C</v>
          </cell>
          <cell r="F265">
            <v>3620</v>
          </cell>
        </row>
        <row r="266">
          <cell r="B266">
            <v>43184</v>
          </cell>
          <cell r="C266" t="str">
            <v>AR CONDICIONADO SPLIT INVERTER, HI-WALL (PAREDE), 24000 BTU/H, CICLO FRIO, 60HZ, CLASSIFICACAO A (SELO PROCEL), GAS HFC, CONTROLE S/FIO</v>
          </cell>
          <cell r="D266" t="str">
            <v>UN</v>
          </cell>
          <cell r="E266" t="str">
            <v>CR</v>
          </cell>
          <cell r="F266">
            <v>5003.1899999999996</v>
          </cell>
        </row>
        <row r="267">
          <cell r="B267">
            <v>42424</v>
          </cell>
          <cell r="C267" t="str">
            <v>AR CONDICIONADO SPLIT INVERTER, HI-WALL (PAREDE), 9000 BTU/H, CICLO FRIO, 60HZ, CLASSIFICACAO A (SELO PROCEL), GAS HFC, CONTROLE S/FIO</v>
          </cell>
          <cell r="D267" t="str">
            <v>UN</v>
          </cell>
          <cell r="E267" t="str">
            <v>CR</v>
          </cell>
          <cell r="F267">
            <v>2177.77</v>
          </cell>
        </row>
        <row r="268">
          <cell r="B268">
            <v>42416</v>
          </cell>
          <cell r="C268" t="str">
            <v>AR CONDICIONADO SPLIT INVERTER, PISO TETO, 18000 BTU/H, CICLO FRIO, 60HZ, CLASSIFICACAO ENERGETICA A OU B (SELO PROCEL), GAS HFC, CONTROLE S/FIO</v>
          </cell>
          <cell r="D268" t="str">
            <v>UN</v>
          </cell>
          <cell r="E268" t="str">
            <v>CR</v>
          </cell>
          <cell r="F268">
            <v>9388.1200000000008</v>
          </cell>
        </row>
        <row r="269">
          <cell r="B269">
            <v>42417</v>
          </cell>
          <cell r="C269" t="str">
            <v>AR CONDICIONADO SPLIT INVERTER, PISO TETO, 24000 BTU/H, CICLO FRIO, 60HZ, CLASSIFICACAO ENERGETICA A OU B (SELO PROCEL), GAS HFC, CONTROLE S/FIO</v>
          </cell>
          <cell r="D269" t="str">
            <v>UN</v>
          </cell>
          <cell r="E269" t="str">
            <v>CR</v>
          </cell>
          <cell r="F269">
            <v>10524.85</v>
          </cell>
        </row>
        <row r="270">
          <cell r="B270">
            <v>42419</v>
          </cell>
          <cell r="C270" t="str">
            <v>AR CONDICIONADO SPLIT INVERTER, PISO TETO, 36000 BTU/H, CICLO FRIO, 60HZ, CLASSIFICACAO ENERGETICA A OU B (SELO PROCEL), GAS HFC, CONTROLE S/FIO</v>
          </cell>
          <cell r="D270" t="str">
            <v>UN</v>
          </cell>
          <cell r="E270" t="str">
            <v>CR</v>
          </cell>
          <cell r="F270">
            <v>11890.85</v>
          </cell>
        </row>
        <row r="271">
          <cell r="B271">
            <v>42420</v>
          </cell>
          <cell r="C271" t="str">
            <v>AR CONDICIONADO SPLIT INVERTER, PISO TETO, 48000 BTU/H, CICLO FRIO, 60HZ, CLASSIFICACAO ENERGETICA A OU B (SELO PROCEL), GAS HFC, CONTROLE S/FIO</v>
          </cell>
          <cell r="D271" t="str">
            <v>UN</v>
          </cell>
          <cell r="E271" t="str">
            <v>CR</v>
          </cell>
          <cell r="F271">
            <v>16343.09</v>
          </cell>
        </row>
        <row r="272">
          <cell r="B272">
            <v>42421</v>
          </cell>
          <cell r="C272" t="str">
            <v>AR CONDICIONADO SPLIT INVERTER, PISO TETO, APRESENTANDO ENTRE 54000 E 58000 BTU/H, CICLO FRIO, 60HZ, CLASSIFICACAO ENERGETICA A OU B (SELO PROCEL), GAS HFC, CONTROLE S/FIO</v>
          </cell>
          <cell r="D272" t="str">
            <v>UN</v>
          </cell>
          <cell r="E272" t="str">
            <v>CR</v>
          </cell>
          <cell r="F272">
            <v>19828.37</v>
          </cell>
        </row>
        <row r="273">
          <cell r="B273">
            <v>39556</v>
          </cell>
          <cell r="C273" t="str">
            <v>AR CONDICIONADO SPLIT ON/OFF, CASSETE (TETO), 18000 BTUS/H, CICLO QUENTE/FRIO, 60 HZ, CLASSIFICACAO ENERGETICA C - SELO PROCEL, GAS HFC, CONTROLE S/ FIO</v>
          </cell>
          <cell r="D273" t="str">
            <v>UN</v>
          </cell>
          <cell r="E273" t="str">
            <v>CR</v>
          </cell>
          <cell r="F273">
            <v>6885.95</v>
          </cell>
        </row>
        <row r="274">
          <cell r="B274">
            <v>39557</v>
          </cell>
          <cell r="C274" t="str">
            <v>AR CONDICIONADO SPLIT ON/OFF, CASSETE (TETO), 24000 BTUS/H, CICLO QUENTE/FRIO, 60 HZ, CLASSIFICACAO ENERGETICA C - SELO PROCEL, GAS HFC, CONTROLE S/ FIO</v>
          </cell>
          <cell r="D274" t="str">
            <v>UN</v>
          </cell>
          <cell r="E274" t="str">
            <v>CR</v>
          </cell>
          <cell r="F274">
            <v>7414.66</v>
          </cell>
        </row>
        <row r="275">
          <cell r="B275">
            <v>39559</v>
          </cell>
          <cell r="C275" t="str">
            <v>AR CONDICIONADO SPLIT ON/OFF, CASSETE (TETO), 36000 BTUS/H, CICLO QUENTE/FRIO, 60 HZ, CLASSIFICACAO ENERGETICA A - SELO PROCEL, GAS HFC, CONTROLE S/ FIO</v>
          </cell>
          <cell r="D275" t="str">
            <v>UN</v>
          </cell>
          <cell r="E275" t="str">
            <v>CR</v>
          </cell>
          <cell r="F275">
            <v>10957.45</v>
          </cell>
        </row>
        <row r="276">
          <cell r="B276">
            <v>39560</v>
          </cell>
          <cell r="C276" t="str">
            <v>AR CONDICIONADO SPLIT ON/OFF, CASSETE (TETO), 48000 BTUS/H, CICLO QUENTE/FRIO, 60 HZ, CLASSIFICACAO ENERGETICA A - SELO PROCEL, GAS HFC, CONTROLE S/ FIO</v>
          </cell>
          <cell r="D276" t="str">
            <v>UN</v>
          </cell>
          <cell r="E276" t="str">
            <v>CR</v>
          </cell>
          <cell r="F276">
            <v>12676.7</v>
          </cell>
        </row>
        <row r="277">
          <cell r="B277">
            <v>39561</v>
          </cell>
          <cell r="C277" t="str">
            <v>AR CONDICIONADO SPLIT ON/OFF, CASSETE (TETO), 60000 BTUS/H, CICLO QUENTE/FRIO, 60 HZ, CLASSIFICACAO ENERGETICA A - SELO PROCEL, GAS HFC, CONTROLE S/ FIO</v>
          </cell>
          <cell r="D277" t="str">
            <v>UN</v>
          </cell>
          <cell r="E277" t="str">
            <v>CR</v>
          </cell>
          <cell r="F277">
            <v>13261.44</v>
          </cell>
        </row>
        <row r="278">
          <cell r="B278">
            <v>43195</v>
          </cell>
          <cell r="C278" t="str">
            <v>AR CONDICIONADO SPLIT ON/OFF, CASSETE (TETO), FRIO 4 VIAS 18000 BTUS/H, CLASSIFICACAO ENERGETICA C - SELO PROCEL, GAS HFC, CONTROLE S/ FIO</v>
          </cell>
          <cell r="D278" t="str">
            <v>UN</v>
          </cell>
          <cell r="E278" t="str">
            <v>CR</v>
          </cell>
          <cell r="F278">
            <v>5754.63</v>
          </cell>
        </row>
        <row r="279">
          <cell r="B279">
            <v>43196</v>
          </cell>
          <cell r="C279" t="str">
            <v>AR CONDICIONADO SPLIT ON/OFF, CASSETE (TETO), FRIO 4 VIAS 24000 BTUS/H, CLASSIFICACAO ENERGETICA C - SELO PROCEL, GAS HFC, CONTROLE S/ FIO</v>
          </cell>
          <cell r="D279" t="str">
            <v>UN</v>
          </cell>
          <cell r="E279" t="str">
            <v>CR</v>
          </cell>
          <cell r="F279">
            <v>7132.04</v>
          </cell>
        </row>
        <row r="280">
          <cell r="B280">
            <v>43198</v>
          </cell>
          <cell r="C280" t="str">
            <v>AR CONDICIONADO SPLIT ON/OFF, CASSETE (TETO), FRIO 4 VIAS 36000 BTUS/H, CLASSIFICACAO ENERGETICA C - SELO PROCEL, GAS HFC, CONTROLE S/ FIO</v>
          </cell>
          <cell r="D280" t="str">
            <v>UN</v>
          </cell>
          <cell r="E280" t="str">
            <v>CR</v>
          </cell>
          <cell r="F280">
            <v>10598.05</v>
          </cell>
        </row>
        <row r="281">
          <cell r="B281">
            <v>43199</v>
          </cell>
          <cell r="C281" t="str">
            <v>AR CONDICIONADO SPLIT ON/OFF, CASSETE (TETO), FRIO 4 VIAS 48000 BTUS/H, CLASSIFICACAO ENERGETICA C - SELO PROCEL, GAS HFC, CONTROLE S/ FIO</v>
          </cell>
          <cell r="D281" t="str">
            <v>UN</v>
          </cell>
          <cell r="E281" t="str">
            <v>CR</v>
          </cell>
          <cell r="F281">
            <v>10986.4</v>
          </cell>
        </row>
        <row r="282">
          <cell r="B282">
            <v>43200</v>
          </cell>
          <cell r="C282" t="str">
            <v>AR CONDICIONADO SPLIT ON/OFF, CASSETE (TETO), FRIO 4 VIAS 60000 BTUS/H, CLASSIFICACAO ENERGETICA C - SELO PROCEL, GAS HFC, CONTROLE S/ FIO</v>
          </cell>
          <cell r="D282" t="str">
            <v>UN</v>
          </cell>
          <cell r="E282" t="str">
            <v>CR</v>
          </cell>
          <cell r="F282">
            <v>12607.69</v>
          </cell>
        </row>
        <row r="283">
          <cell r="B283">
            <v>43190</v>
          </cell>
          <cell r="C283" t="str">
            <v>AR CONDICIONADO SPLIT ON/OFF, HI-WALL (PAREDE), 12000 BTUS/H, CICLO FRIO, 60 HZ, CLASSIFICACAO ENERGETICA A - SELO PROCEL, GAS HFC, CONTROLE S/ FIO</v>
          </cell>
          <cell r="D283" t="str">
            <v>UN</v>
          </cell>
          <cell r="E283" t="str">
            <v>CR</v>
          </cell>
          <cell r="F283">
            <v>1957.04</v>
          </cell>
        </row>
        <row r="284">
          <cell r="B284">
            <v>39555</v>
          </cell>
          <cell r="C284" t="str">
            <v>AR CONDICIONADO SPLIT ON/OFF, HI-WALL (PAREDE), 12000 BTUS/H, CICLO QUENTE/FRIO, 60 HZ, CLASSIFICACAO ENERGETICA A - SELO PROCEL, GAS HFC, CONTROLE S/ FIO</v>
          </cell>
          <cell r="D284" t="str">
            <v>UN</v>
          </cell>
          <cell r="E284" t="str">
            <v>CR</v>
          </cell>
          <cell r="F284">
            <v>2117.0100000000002</v>
          </cell>
        </row>
        <row r="285">
          <cell r="B285">
            <v>43191</v>
          </cell>
          <cell r="C285" t="str">
            <v>AR CONDICIONADO SPLIT ON/OFF, HI-WALL (PAREDE), 18000 BTUS/H, CICLO FRIO, 60 HZ, CLASSIFICACAO ENERGETICA A - SELO PROCEL, GAS HFC, CONTROLE S/ FIO</v>
          </cell>
          <cell r="D285" t="str">
            <v>UN</v>
          </cell>
          <cell r="E285" t="str">
            <v>CR</v>
          </cell>
          <cell r="F285">
            <v>2815.91</v>
          </cell>
        </row>
        <row r="286">
          <cell r="B286">
            <v>39548</v>
          </cell>
          <cell r="C286" t="str">
            <v>AR CONDICIONADO SPLIT ON/OFF, HI-WALL (PAREDE), 18000 BTUS/H, CICLO QUENTE/FRIO, 60 HZ, CLASSIFICACAO ENERGETICA A - SELO PROCEL, GAS HFC, CONTROLE S/ FIO</v>
          </cell>
          <cell r="D286" t="str">
            <v>UN</v>
          </cell>
          <cell r="E286" t="str">
            <v>CR</v>
          </cell>
          <cell r="F286">
            <v>3140.18</v>
          </cell>
        </row>
        <row r="287">
          <cell r="B287">
            <v>43192</v>
          </cell>
          <cell r="C287" t="str">
            <v>AR CONDICIONADO SPLIT ON/OFF, HI-WALL (PAREDE), 24000 BTUS/H, CICLO FRIO, 60 HZ, CLASSIFICACAO ENERGETICA A - SELO PROCEL, GAS HFC, CONTROLE S/ FIO</v>
          </cell>
          <cell r="D287" t="str">
            <v>UN</v>
          </cell>
          <cell r="E287" t="str">
            <v>CR</v>
          </cell>
          <cell r="F287">
            <v>3688.6</v>
          </cell>
        </row>
        <row r="288">
          <cell r="B288">
            <v>39554</v>
          </cell>
          <cell r="C288" t="str">
            <v>AR CONDICIONADO SPLIT ON/OFF, HI-WALL (PAREDE), 24000 BTUS/H, CICLO QUENTE/FRIO, 60 HZ, CLASSIFICACAO ENERGETICA A - SELO PROCEL, GAS HFC, CONTROLE S/ FIO</v>
          </cell>
          <cell r="D288" t="str">
            <v>UN</v>
          </cell>
          <cell r="E288" t="str">
            <v>CR</v>
          </cell>
          <cell r="F288">
            <v>4152.42</v>
          </cell>
        </row>
        <row r="289">
          <cell r="B289">
            <v>43194</v>
          </cell>
          <cell r="C289" t="str">
            <v>AR CONDICIONADO SPLIT ON/OFF, HI-WALL (PAREDE), 9000 BTUS/H, CICLO FRIO, 60 HZ, CLASSIFICACAO ENERGETICA A - SELO PROCEL, GAS HFC, CONTROLE S/ FIO</v>
          </cell>
          <cell r="D289" t="str">
            <v>UN</v>
          </cell>
          <cell r="E289" t="str">
            <v>CR</v>
          </cell>
          <cell r="F289">
            <v>1676.53</v>
          </cell>
        </row>
        <row r="290">
          <cell r="B290">
            <v>39551</v>
          </cell>
          <cell r="C290" t="str">
            <v>AR CONDICIONADO SPLIT ON/OFF, HI-WALL (PAREDE), 9000 BTUS/H, CICLO QUENTE/FRIO, 60 HZ, CLASSIFICACAO ENERGETICA A - SELO PROCEL, GAS HFC, CONTROLE S/ FIO</v>
          </cell>
          <cell r="D290" t="str">
            <v>UN</v>
          </cell>
          <cell r="E290" t="str">
            <v>CR</v>
          </cell>
          <cell r="F290">
            <v>1846.04</v>
          </cell>
        </row>
        <row r="291">
          <cell r="B291">
            <v>43185</v>
          </cell>
          <cell r="C291" t="str">
            <v>AR CONDICIONADO SPLIT ON/OFF, PISO TETO, 18.000 BTU/H, CICLO FRIO, 60HZ, CLASSIFICACAO ENERGETICA C - SELO PROCEL, GAS HFC, CONTROLE S/FIO</v>
          </cell>
          <cell r="D291" t="str">
            <v>UN</v>
          </cell>
          <cell r="E291" t="str">
            <v>CR</v>
          </cell>
          <cell r="F291">
            <v>5246.13</v>
          </cell>
        </row>
        <row r="292">
          <cell r="B292">
            <v>43186</v>
          </cell>
          <cell r="C292" t="str">
            <v>AR CONDICIONADO SPLIT ON/OFF, PISO TETO, 24.000 BTU/H, CICLO FRIO, 60HZ, CLASSIFICACAO ENERGETICA C - SELO PROCEL, GAS HFC, CONTROLE S/FIO</v>
          </cell>
          <cell r="D292" t="str">
            <v>UN</v>
          </cell>
          <cell r="E292" t="str">
            <v>CR</v>
          </cell>
          <cell r="F292">
            <v>5533.61</v>
          </cell>
        </row>
        <row r="293">
          <cell r="B293">
            <v>43187</v>
          </cell>
          <cell r="C293" t="str">
            <v>AR CONDICIONADO SPLIT ON/OFF, PISO TETO, 36.000 BTU/H, CICLO FRIO, 60HZ, CLASSIFICACAO ENERGETICA C - SELO PROCEL, GAS HFC, CONTROLE S/FIO</v>
          </cell>
          <cell r="D293" t="str">
            <v>UN</v>
          </cell>
          <cell r="E293" t="str">
            <v>CR</v>
          </cell>
          <cell r="F293">
            <v>7343.15</v>
          </cell>
        </row>
        <row r="294">
          <cell r="B294">
            <v>43188</v>
          </cell>
          <cell r="C294" t="str">
            <v>AR CONDICIONADO SPLIT ON/OFF, PISO TETO, 48.000 BTU/H, CICLO FRIO, 60HZ, CLASSIFICACAO ENERGETICA C - SELO PROCEL, GAS HFC, CONTROLE S/FIO</v>
          </cell>
          <cell r="D294" t="str">
            <v>UN</v>
          </cell>
          <cell r="E294" t="str">
            <v>CR</v>
          </cell>
          <cell r="F294">
            <v>8897.2000000000007</v>
          </cell>
        </row>
        <row r="295">
          <cell r="B295">
            <v>43189</v>
          </cell>
          <cell r="C295" t="str">
            <v>AR CONDICIONADO SPLIT ON/OFF, PISO TETO, 60.000 BTU/H, CICLO FRIO, 60HZ, CLASSIFICACAO ENERGETICA C - SELO PROCEL, GAS HFC, CONTROLE S/FIO</v>
          </cell>
          <cell r="D295" t="str">
            <v>UN</v>
          </cell>
          <cell r="E295" t="str">
            <v>CR</v>
          </cell>
          <cell r="F295">
            <v>10007.870000000001</v>
          </cell>
        </row>
        <row r="296">
          <cell r="B296">
            <v>346</v>
          </cell>
          <cell r="C296" t="str">
            <v>ARAME DE ACO OVALADO 15 X 17 (45,7 KG, 700 KGF), ROLO 1000 M</v>
          </cell>
          <cell r="D296" t="str">
            <v>KG</v>
          </cell>
          <cell r="E296" t="str">
            <v>CR</v>
          </cell>
          <cell r="F296">
            <v>25.66</v>
          </cell>
        </row>
        <row r="297">
          <cell r="B297">
            <v>3312</v>
          </cell>
          <cell r="C297" t="str">
            <v>ARAME DE AMARRACAO PARA GABIAO GALVANIZADO, DIAMETRO 2,2 MM</v>
          </cell>
          <cell r="D297" t="str">
            <v>KG</v>
          </cell>
          <cell r="E297" t="str">
            <v>CR</v>
          </cell>
          <cell r="F297">
            <v>22.72</v>
          </cell>
        </row>
        <row r="298">
          <cell r="B298">
            <v>339</v>
          </cell>
          <cell r="C298" t="str">
            <v>ARAME FARPADO GALVANIZADO, 14 BWG (2,11 MM), CLASSE 250</v>
          </cell>
          <cell r="D298" t="str">
            <v>M</v>
          </cell>
          <cell r="E298" t="str">
            <v>CR</v>
          </cell>
          <cell r="F298">
            <v>1.32</v>
          </cell>
        </row>
        <row r="299">
          <cell r="B299">
            <v>340</v>
          </cell>
          <cell r="C299" t="str">
            <v>ARAME FARPADO GALVANIZADO, 16 BWG (1,65 MM), CLASSE 250</v>
          </cell>
          <cell r="D299" t="str">
            <v>M</v>
          </cell>
          <cell r="E299" t="str">
            <v>CR</v>
          </cell>
          <cell r="F299">
            <v>1.19</v>
          </cell>
        </row>
        <row r="300">
          <cell r="B300">
            <v>43130</v>
          </cell>
          <cell r="C300" t="str">
            <v>ARAME GALVANIZADO 12 BWG, D = 2,76 MM (0,048 KG/M) OU 14 BWG, D = 2,11 MM (0,026 KG/M)</v>
          </cell>
          <cell r="D300" t="str">
            <v>KG</v>
          </cell>
          <cell r="E300" t="str">
            <v>C</v>
          </cell>
          <cell r="F300">
            <v>21.66</v>
          </cell>
        </row>
        <row r="301">
          <cell r="B301">
            <v>344</v>
          </cell>
          <cell r="C301" t="str">
            <v>ARAME GALVANIZADO 16 BWG, D = 1,65MM (0,0166 KG/M)</v>
          </cell>
          <cell r="D301" t="str">
            <v>KG</v>
          </cell>
          <cell r="E301" t="str">
            <v>CR</v>
          </cell>
          <cell r="F301">
            <v>28.47</v>
          </cell>
        </row>
        <row r="302">
          <cell r="B302">
            <v>345</v>
          </cell>
          <cell r="C302" t="str">
            <v>ARAME GALVANIZADO 18 BWG, D = 1,24MM (0,009 KG/M)</v>
          </cell>
          <cell r="D302" t="str">
            <v>KG</v>
          </cell>
          <cell r="E302" t="str">
            <v>CR</v>
          </cell>
          <cell r="F302">
            <v>30.89</v>
          </cell>
        </row>
        <row r="303">
          <cell r="B303">
            <v>43131</v>
          </cell>
          <cell r="C303" t="str">
            <v>ARAME GALVANIZADO 6 BWG, D = 5,16 MM (0,157 KG/M), OU 8 BWG, D = 4,19 MM (0,101 KG/M), OU 10 BWG, D = 3,40 MM (0,0713 KG/M)</v>
          </cell>
          <cell r="D303" t="str">
            <v>KG</v>
          </cell>
          <cell r="E303" t="str">
            <v>CR</v>
          </cell>
          <cell r="F303">
            <v>25.16</v>
          </cell>
        </row>
        <row r="304">
          <cell r="B304">
            <v>3313</v>
          </cell>
          <cell r="C304" t="str">
            <v>ARAME PROTEGIDO COM POLIMERO PARA GABIAO, DIAMETRO 2,2 MM</v>
          </cell>
          <cell r="D304" t="str">
            <v>KG</v>
          </cell>
          <cell r="E304" t="str">
            <v>CR</v>
          </cell>
          <cell r="F304">
            <v>29.24</v>
          </cell>
        </row>
        <row r="305">
          <cell r="B305">
            <v>43132</v>
          </cell>
          <cell r="C305" t="str">
            <v>ARAME RECOZIDO 16 BWG, D = 1,65 MM (0,016 KG/M) OU 18 BWG, D = 1,25 MM (0,01 KG/M)</v>
          </cell>
          <cell r="D305" t="str">
            <v>KG</v>
          </cell>
          <cell r="E305" t="str">
            <v>CR</v>
          </cell>
          <cell r="F305">
            <v>21.66</v>
          </cell>
        </row>
        <row r="306">
          <cell r="B306">
            <v>45245</v>
          </cell>
          <cell r="C306" t="str">
            <v>ARCO DE SERRA REGULAVEL PARA LAMINAS DE 8" A 12"</v>
          </cell>
          <cell r="D306" t="str">
            <v>UN</v>
          </cell>
          <cell r="E306" t="str">
            <v>CR</v>
          </cell>
          <cell r="F306">
            <v>42.7</v>
          </cell>
        </row>
        <row r="307">
          <cell r="B307">
            <v>39577</v>
          </cell>
          <cell r="C307" t="str">
            <v>AR-CONDICIONADO FRIO SPLITAO MODULAR 10 TR</v>
          </cell>
          <cell r="D307" t="str">
            <v>UN</v>
          </cell>
          <cell r="E307" t="str">
            <v>CR</v>
          </cell>
          <cell r="F307">
            <v>24684.92</v>
          </cell>
        </row>
        <row r="308">
          <cell r="B308">
            <v>39578</v>
          </cell>
          <cell r="C308" t="str">
            <v>AR-CONDICIONADO FRIO SPLITAO MODULAR 15 TR</v>
          </cell>
          <cell r="D308" t="str">
            <v>UN</v>
          </cell>
          <cell r="E308" t="str">
            <v>CR</v>
          </cell>
          <cell r="F308">
            <v>31856.38</v>
          </cell>
        </row>
        <row r="309">
          <cell r="B309">
            <v>39579</v>
          </cell>
          <cell r="C309" t="str">
            <v>AR-CONDICIONADO FRIO SPLITAO MODULAR 20 TR</v>
          </cell>
          <cell r="D309" t="str">
            <v>UN</v>
          </cell>
          <cell r="E309" t="str">
            <v>CR</v>
          </cell>
          <cell r="F309">
            <v>46348.54</v>
          </cell>
        </row>
        <row r="310">
          <cell r="B310">
            <v>39826</v>
          </cell>
          <cell r="C310" t="str">
            <v>AR-CONDICIONADO SPLIT INVERTER, PISO TETO, 24000 BTU/H, QUENTE/FRIO, 60HZ, CLASSIFICACAO ENERGETICA A - SELO PROCEL, GAS HFC, CONTROLE S/FIO</v>
          </cell>
          <cell r="D310" t="str">
            <v>UN</v>
          </cell>
          <cell r="E310" t="str">
            <v>CR</v>
          </cell>
          <cell r="F310">
            <v>5692.44</v>
          </cell>
        </row>
        <row r="311">
          <cell r="B311">
            <v>366</v>
          </cell>
          <cell r="C311" t="str">
            <v>AREIA FINA - POSTO JAZIDA/FORNECEDOR (RETIRADO NA JAZIDA, SEM TRANSPORTE)</v>
          </cell>
          <cell r="D311" t="str">
            <v>M3</v>
          </cell>
          <cell r="E311" t="str">
            <v>C</v>
          </cell>
          <cell r="F311">
            <v>85</v>
          </cell>
        </row>
        <row r="312">
          <cell r="B312">
            <v>367</v>
          </cell>
          <cell r="C312" t="str">
            <v>AREIA GROSSA - POSTO JAZIDA/FORNECEDOR (RETIRADO NA JAZIDA, SEM TRANSPORTE)</v>
          </cell>
          <cell r="D312" t="str">
            <v>M3</v>
          </cell>
          <cell r="E312" t="str">
            <v>CR</v>
          </cell>
          <cell r="F312">
            <v>86.11</v>
          </cell>
        </row>
        <row r="313">
          <cell r="B313">
            <v>370</v>
          </cell>
          <cell r="C313" t="str">
            <v>AREIA MEDIA - POSTO JAZIDA/FORNECEDOR (RETIRADO NA JAZIDA, SEM TRANSPORTE)</v>
          </cell>
          <cell r="D313" t="str">
            <v>M3</v>
          </cell>
          <cell r="E313" t="str">
            <v>CR</v>
          </cell>
          <cell r="F313">
            <v>85</v>
          </cell>
        </row>
        <row r="314">
          <cell r="B314">
            <v>368</v>
          </cell>
          <cell r="C314" t="str">
            <v>AREIA PARA ATERRO - POSTO JAZIDA/FORNECEDOR (RETIRADO NA JAZIDA, SEM TRANSPORTE)</v>
          </cell>
          <cell r="D314" t="str">
            <v>M3</v>
          </cell>
          <cell r="E314" t="str">
            <v>CR</v>
          </cell>
          <cell r="F314">
            <v>42.5</v>
          </cell>
        </row>
        <row r="315">
          <cell r="B315">
            <v>11075</v>
          </cell>
          <cell r="C315" t="str">
            <v>AREIA PARA LEITO FILTRANTE (0,42 A 1,68 MM) - POSTO JAZIDA/FORNECEDOR (RETIRADO NA JAZIDA, SEM TRANSPORTE)</v>
          </cell>
          <cell r="D315" t="str">
            <v>M3</v>
          </cell>
          <cell r="E315" t="str">
            <v>CR</v>
          </cell>
          <cell r="F315">
            <v>975.53</v>
          </cell>
        </row>
        <row r="316">
          <cell r="B316">
            <v>1381</v>
          </cell>
          <cell r="C316" t="str">
            <v>ARGAMASSA COLANTE AC I PARA CERAMICAS</v>
          </cell>
          <cell r="D316" t="str">
            <v>KG</v>
          </cell>
          <cell r="E316" t="str">
            <v>C</v>
          </cell>
          <cell r="F316">
            <v>0.8</v>
          </cell>
        </row>
        <row r="317">
          <cell r="B317">
            <v>34353</v>
          </cell>
          <cell r="C317" t="str">
            <v>ARGAMASSA COLANTE AC II</v>
          </cell>
          <cell r="D317" t="str">
            <v>KG</v>
          </cell>
          <cell r="E317" t="str">
            <v>CR</v>
          </cell>
          <cell r="F317">
            <v>1.49</v>
          </cell>
        </row>
        <row r="318">
          <cell r="B318">
            <v>37595</v>
          </cell>
          <cell r="C318" t="str">
            <v>ARGAMASSA COLANTE TIPO AC III</v>
          </cell>
          <cell r="D318" t="str">
            <v>KG</v>
          </cell>
          <cell r="E318" t="str">
            <v>CR</v>
          </cell>
          <cell r="F318">
            <v>2.46</v>
          </cell>
        </row>
        <row r="319">
          <cell r="B319">
            <v>37596</v>
          </cell>
          <cell r="C319" t="str">
            <v>ARGAMASSA COLANTE TIPO AC III E</v>
          </cell>
          <cell r="D319" t="str">
            <v>KG</v>
          </cell>
          <cell r="E319" t="str">
            <v>CR</v>
          </cell>
          <cell r="F319">
            <v>2.82</v>
          </cell>
        </row>
        <row r="320">
          <cell r="B320">
            <v>371</v>
          </cell>
          <cell r="C320" t="str">
            <v>ARGAMASSA INDUSTRIALIZADA MULTIUSO, PARA REVESTIMENTO INTERNO E EXTERNO E ASSENTAMENTO DE BLOCOS DIVERSOS</v>
          </cell>
          <cell r="D320" t="str">
            <v>KG</v>
          </cell>
          <cell r="E320" t="str">
            <v>CR</v>
          </cell>
          <cell r="F320">
            <v>0.87</v>
          </cell>
        </row>
        <row r="321">
          <cell r="B321">
            <v>37553</v>
          </cell>
          <cell r="C321" t="str">
            <v>ARGAMASSA INDUSTRIALIZADA PARA CHAPISCO COLANTE</v>
          </cell>
          <cell r="D321" t="str">
            <v>KG</v>
          </cell>
          <cell r="E321" t="str">
            <v>CR</v>
          </cell>
          <cell r="F321">
            <v>1.63</v>
          </cell>
        </row>
        <row r="322">
          <cell r="B322">
            <v>37552</v>
          </cell>
          <cell r="C322" t="str">
            <v>ARGAMASSA INDUSTRIALIZADA PARA CHAPISCO ROLADO</v>
          </cell>
          <cell r="D322" t="str">
            <v>KG</v>
          </cell>
          <cell r="E322" t="str">
            <v>CR</v>
          </cell>
          <cell r="F322">
            <v>2.63</v>
          </cell>
        </row>
        <row r="323">
          <cell r="B323">
            <v>36880</v>
          </cell>
          <cell r="C323" t="str">
            <v>ARGAMASSA PARA REVESTIMENTO DECORATIVO MONOCAMADA</v>
          </cell>
          <cell r="D323" t="str">
            <v>KG</v>
          </cell>
          <cell r="E323" t="str">
            <v>CR</v>
          </cell>
          <cell r="F323">
            <v>2.67</v>
          </cell>
        </row>
        <row r="324">
          <cell r="B324">
            <v>34355</v>
          </cell>
          <cell r="C324" t="str">
            <v>ARGAMASSA PISO SOBRE PISO</v>
          </cell>
          <cell r="D324" t="str">
            <v>KG</v>
          </cell>
          <cell r="E324" t="str">
            <v>CR</v>
          </cell>
          <cell r="F324">
            <v>2.2999999999999998</v>
          </cell>
        </row>
        <row r="325">
          <cell r="B325">
            <v>130</v>
          </cell>
          <cell r="C325" t="str">
            <v>ARGAMASSA POLIMERICA DE REPARO ESTRUTURAL, BICOMPONENTE</v>
          </cell>
          <cell r="D325" t="str">
            <v>KG</v>
          </cell>
          <cell r="E325" t="str">
            <v>CR</v>
          </cell>
          <cell r="F325">
            <v>3.83</v>
          </cell>
        </row>
        <row r="326">
          <cell r="B326">
            <v>135</v>
          </cell>
          <cell r="C326" t="str">
            <v>ARGAMASSA POLIMERICA IMPERMEABILIZANTE SEMIFLEXIVEL, BICOMPONENTE, A BASE DE CIMENTO E ADITIVOS</v>
          </cell>
          <cell r="D326" t="str">
            <v>KG</v>
          </cell>
          <cell r="E326" t="str">
            <v>CR</v>
          </cell>
          <cell r="F326">
            <v>3.08</v>
          </cell>
        </row>
        <row r="327">
          <cell r="B327">
            <v>36886</v>
          </cell>
          <cell r="C327" t="str">
            <v>ARGAMASSA PRONTA PARA CONTRAPISO</v>
          </cell>
          <cell r="D327" t="str">
            <v>KG</v>
          </cell>
          <cell r="E327" t="str">
            <v>CR</v>
          </cell>
          <cell r="F327">
            <v>0.83</v>
          </cell>
        </row>
        <row r="328">
          <cell r="B328">
            <v>38546</v>
          </cell>
          <cell r="C328" t="str">
            <v>ARGAMASSA USINADA AUTOADENSAVEL E AUTONIVELANTE PARA CONTRAPISO, COM BOMBEAMENTO (DISPONIBILIZACAO DE BOMBA), SEM O LANCAMENTO</v>
          </cell>
          <cell r="D328" t="str">
            <v>M3</v>
          </cell>
          <cell r="E328" t="str">
            <v>CR</v>
          </cell>
          <cell r="F328">
            <v>470.4</v>
          </cell>
        </row>
        <row r="329">
          <cell r="B329">
            <v>34549</v>
          </cell>
          <cell r="C329" t="str">
            <v>ARGILA EXPANDIDA, GRANULOMETRIA 2215</v>
          </cell>
          <cell r="D329" t="str">
            <v>M3</v>
          </cell>
          <cell r="E329" t="str">
            <v>CR</v>
          </cell>
          <cell r="F329">
            <v>775.28</v>
          </cell>
        </row>
        <row r="330">
          <cell r="B330">
            <v>6081</v>
          </cell>
          <cell r="C330" t="str">
            <v>ARGILA OU BARRO PARA ATERRO/REATERRO (COM TRANSPORTE ATE 10 KM)</v>
          </cell>
          <cell r="D330" t="str">
            <v>M3</v>
          </cell>
          <cell r="E330" t="str">
            <v>CR</v>
          </cell>
          <cell r="F330">
            <v>54.26</v>
          </cell>
        </row>
        <row r="331">
          <cell r="B331">
            <v>6077</v>
          </cell>
          <cell r="C331" t="str">
            <v>ARGILA OU BARRO PARA ATERRO/REATERRO (RETIRADO NA JAZIDA, SEM TRANSPORTE)</v>
          </cell>
          <cell r="D331" t="str">
            <v>M3</v>
          </cell>
          <cell r="E331" t="str">
            <v>CR</v>
          </cell>
          <cell r="F331">
            <v>38.76</v>
          </cell>
        </row>
        <row r="332">
          <cell r="B332">
            <v>6079</v>
          </cell>
          <cell r="C332" t="str">
            <v>ARGILA, ARGILA VERMELHA OU ARGILA ARENOSA (RETIRADA NA JAZIDA, SEM TRANSPORTE)</v>
          </cell>
          <cell r="D332" t="str">
            <v>M3</v>
          </cell>
          <cell r="E332" t="str">
            <v>CR</v>
          </cell>
          <cell r="F332">
            <v>38.76</v>
          </cell>
        </row>
        <row r="333">
          <cell r="B333">
            <v>1091</v>
          </cell>
          <cell r="C333" t="str">
            <v>ARMACAO VERTICAL COM HASTE E CONTRA-PINO, EM CHAPA DE ACO GALVANIZADO 3/16", COM 1 ESTRIBO E 1 ISOLADOR</v>
          </cell>
          <cell r="D333" t="str">
            <v>UN</v>
          </cell>
          <cell r="E333" t="str">
            <v>CR</v>
          </cell>
          <cell r="F333">
            <v>26.08</v>
          </cell>
        </row>
        <row r="334">
          <cell r="B334">
            <v>1094</v>
          </cell>
          <cell r="C334" t="str">
            <v>ARMACAO VERTICAL COM HASTE E CONTRA-PINO, EM CHAPA DE ACO GALVANIZADO 3/16", COM 1 ESTRIBO, SEM ISOLADOR</v>
          </cell>
          <cell r="D334" t="str">
            <v>UN</v>
          </cell>
          <cell r="E334" t="str">
            <v>CR</v>
          </cell>
          <cell r="F334">
            <v>18.239999999999998</v>
          </cell>
        </row>
        <row r="335">
          <cell r="B335">
            <v>1095</v>
          </cell>
          <cell r="C335" t="str">
            <v>ARMACAO VERTICAL COM HASTE E CONTRA-PINO, EM CHAPA DE ACO GALVANIZADO 3/16", COM 2 ESTRIBOS, E 2 ISOLADORES</v>
          </cell>
          <cell r="D335" t="str">
            <v>UN</v>
          </cell>
          <cell r="E335" t="str">
            <v>CR</v>
          </cell>
          <cell r="F335">
            <v>38.770000000000003</v>
          </cell>
        </row>
        <row r="336">
          <cell r="B336">
            <v>1092</v>
          </cell>
          <cell r="C336" t="str">
            <v>ARMACAO VERTICAL COM HASTE E CONTRA-PINO, EM CHAPA DE ACO GALVANIZADO 3/16", COM 2 ESTRIBOS, SEM ISOLADOR</v>
          </cell>
          <cell r="D336" t="str">
            <v>UN</v>
          </cell>
          <cell r="E336" t="str">
            <v>C</v>
          </cell>
          <cell r="F336">
            <v>30</v>
          </cell>
        </row>
        <row r="337">
          <cell r="B337">
            <v>1093</v>
          </cell>
          <cell r="C337" t="str">
            <v>ARMACAO VERTICAL COM HASTE E CONTRA-PINO, EM CHAPA DE ACO GALVANIZADO 3/16", COM 3 ESTRIBOS E 3 ISOLADORES</v>
          </cell>
          <cell r="D337" t="str">
            <v>UN</v>
          </cell>
          <cell r="E337" t="str">
            <v>CR</v>
          </cell>
          <cell r="F337">
            <v>70.06</v>
          </cell>
        </row>
        <row r="338">
          <cell r="B338">
            <v>1090</v>
          </cell>
          <cell r="C338" t="str">
            <v>ARMACAO VERTICAL COM HASTE E CONTRA-PINO, EM CHAPA DE ACO GALVANIZADO 3/16", COM 3 ESTRIBOS, SEM ISOLADOR</v>
          </cell>
          <cell r="D338" t="str">
            <v>UN</v>
          </cell>
          <cell r="E338" t="str">
            <v>CR</v>
          </cell>
          <cell r="F338">
            <v>50.16</v>
          </cell>
        </row>
        <row r="339">
          <cell r="B339">
            <v>1096</v>
          </cell>
          <cell r="C339" t="str">
            <v>ARMACAO VERTICAL COM HASTE E CONTRA-PINO, EM CHAPA DE ACO GALVANIZADO 3/16", COM 4 ESTRIBOS E 4 ISOLADORES</v>
          </cell>
          <cell r="D339" t="str">
            <v>UN</v>
          </cell>
          <cell r="E339" t="str">
            <v>CR</v>
          </cell>
          <cell r="F339">
            <v>90.27</v>
          </cell>
        </row>
        <row r="340">
          <cell r="B340">
            <v>1097</v>
          </cell>
          <cell r="C340" t="str">
            <v>ARMACAO VERTICAL COM HASTE E CONTRA-PINO, EM CHAPA DE ACO GALVANIZADO 3/16", COM 4 ESTRIBOS, SEM ISOLADOR</v>
          </cell>
          <cell r="D340" t="str">
            <v>UN</v>
          </cell>
          <cell r="E340" t="str">
            <v>CR</v>
          </cell>
          <cell r="F340">
            <v>76.63</v>
          </cell>
        </row>
        <row r="341">
          <cell r="B341">
            <v>378</v>
          </cell>
          <cell r="C341" t="str">
            <v>ARMADOR (HORISTA)</v>
          </cell>
          <cell r="D341" t="str">
            <v>H</v>
          </cell>
          <cell r="E341" t="str">
            <v>CR</v>
          </cell>
          <cell r="F341">
            <v>26.03</v>
          </cell>
        </row>
        <row r="342">
          <cell r="B342">
            <v>40911</v>
          </cell>
          <cell r="C342" t="str">
            <v>ARMADOR (MENSALISTA)</v>
          </cell>
          <cell r="D342" t="str">
            <v>MES</v>
          </cell>
          <cell r="E342" t="str">
            <v>CR</v>
          </cell>
          <cell r="F342">
            <v>4560.57</v>
          </cell>
        </row>
        <row r="343">
          <cell r="B343">
            <v>33939</v>
          </cell>
          <cell r="C343" t="str">
            <v>ARQUITETO JUNIOR (HORISTA)</v>
          </cell>
          <cell r="D343" t="str">
            <v>H</v>
          </cell>
          <cell r="E343" t="str">
            <v>CR</v>
          </cell>
          <cell r="F343">
            <v>130.44</v>
          </cell>
        </row>
        <row r="344">
          <cell r="B344">
            <v>40815</v>
          </cell>
          <cell r="C344" t="str">
            <v>ARQUITETO JUNIOR (MENSALISTA)</v>
          </cell>
          <cell r="D344" t="str">
            <v>MES</v>
          </cell>
          <cell r="E344" t="str">
            <v>CR</v>
          </cell>
          <cell r="F344">
            <v>22850.080000000002</v>
          </cell>
        </row>
        <row r="345">
          <cell r="B345">
            <v>33952</v>
          </cell>
          <cell r="C345" t="str">
            <v>ARQUITETO PLENO (HORISTA)</v>
          </cell>
          <cell r="D345" t="str">
            <v>H</v>
          </cell>
          <cell r="E345" t="str">
            <v>CR</v>
          </cell>
          <cell r="F345">
            <v>137.62</v>
          </cell>
        </row>
        <row r="346">
          <cell r="B346">
            <v>40816</v>
          </cell>
          <cell r="C346" t="str">
            <v>ARQUITETO PLENO (MENSALISTA)</v>
          </cell>
          <cell r="D346" t="str">
            <v>MES</v>
          </cell>
          <cell r="E346" t="str">
            <v>CR</v>
          </cell>
          <cell r="F346">
            <v>24107.599999999999</v>
          </cell>
        </row>
        <row r="347">
          <cell r="B347">
            <v>33953</v>
          </cell>
          <cell r="C347" t="str">
            <v>ARQUITETO SENIOR (HORISTA)</v>
          </cell>
          <cell r="D347" t="str">
            <v>H</v>
          </cell>
          <cell r="E347" t="str">
            <v>CR</v>
          </cell>
          <cell r="F347">
            <v>147.13</v>
          </cell>
        </row>
        <row r="348">
          <cell r="B348">
            <v>40817</v>
          </cell>
          <cell r="C348" t="str">
            <v>ARQUITETO SENIOR (MENSALISTA)</v>
          </cell>
          <cell r="D348" t="str">
            <v>MES</v>
          </cell>
          <cell r="E348" t="str">
            <v>CR</v>
          </cell>
          <cell r="F348">
            <v>25772.89</v>
          </cell>
        </row>
        <row r="349">
          <cell r="B349">
            <v>13348</v>
          </cell>
          <cell r="C349" t="str">
            <v>ARRUELA EM ACO GALVANIZADO, DIAMETRO EXTERNO = 35MM, ESPESSURA = 3MM, DIAMETRO DO FURO= 18MM</v>
          </cell>
          <cell r="D349" t="str">
            <v>UN</v>
          </cell>
          <cell r="E349" t="str">
            <v>CR</v>
          </cell>
          <cell r="F349">
            <v>1.63</v>
          </cell>
        </row>
        <row r="350">
          <cell r="B350">
            <v>39212</v>
          </cell>
          <cell r="C350" t="str">
            <v>ARRUELA EM ALUMINIO, COM ROSCA, DE 1 1/2", PARA ELETRODUTO</v>
          </cell>
          <cell r="D350" t="str">
            <v>UN</v>
          </cell>
          <cell r="E350" t="str">
            <v>CR</v>
          </cell>
          <cell r="F350">
            <v>2.21</v>
          </cell>
        </row>
        <row r="351">
          <cell r="B351">
            <v>39211</v>
          </cell>
          <cell r="C351" t="str">
            <v>ARRUELA EM ALUMINIO, COM ROSCA, DE 1 1/4", PARA ELETRODUTO</v>
          </cell>
          <cell r="D351" t="str">
            <v>UN</v>
          </cell>
          <cell r="E351" t="str">
            <v>CR</v>
          </cell>
          <cell r="F351">
            <v>1.98</v>
          </cell>
        </row>
        <row r="352">
          <cell r="B352">
            <v>39210</v>
          </cell>
          <cell r="C352" t="str">
            <v>ARRUELA EM ALUMINIO, COM ROSCA, DE 1", PARA ELETRODUTO</v>
          </cell>
          <cell r="D352" t="str">
            <v>UN</v>
          </cell>
          <cell r="E352" t="str">
            <v>CR</v>
          </cell>
          <cell r="F352">
            <v>1.1100000000000001</v>
          </cell>
        </row>
        <row r="353">
          <cell r="B353">
            <v>39208</v>
          </cell>
          <cell r="C353" t="str">
            <v>ARRUELA EM ALUMINIO, COM ROSCA, DE 1/2", PARA ELETRODUTO</v>
          </cell>
          <cell r="D353" t="str">
            <v>UN</v>
          </cell>
          <cell r="E353" t="str">
            <v>CR</v>
          </cell>
          <cell r="F353">
            <v>0.6</v>
          </cell>
        </row>
        <row r="354">
          <cell r="B354">
            <v>39214</v>
          </cell>
          <cell r="C354" t="str">
            <v>ARRUELA EM ALUMINIO, COM ROSCA, DE 2 1/2", PARA ELETRODUTO</v>
          </cell>
          <cell r="D354" t="str">
            <v>UN</v>
          </cell>
          <cell r="E354" t="str">
            <v>CR</v>
          </cell>
          <cell r="F354">
            <v>4.09</v>
          </cell>
        </row>
        <row r="355">
          <cell r="B355">
            <v>39213</v>
          </cell>
          <cell r="C355" t="str">
            <v>ARRUELA EM ALUMINIO, COM ROSCA, DE 2", PARA ELETRODUTO</v>
          </cell>
          <cell r="D355" t="str">
            <v>UN</v>
          </cell>
          <cell r="E355" t="str">
            <v>CR</v>
          </cell>
          <cell r="F355">
            <v>2.89</v>
          </cell>
        </row>
        <row r="356">
          <cell r="B356">
            <v>39215</v>
          </cell>
          <cell r="C356" t="str">
            <v>ARRUELA EM ALUMINIO, COM ROSCA, DE 3", PARA ELETRODUTO</v>
          </cell>
          <cell r="D356" t="str">
            <v>UN</v>
          </cell>
          <cell r="E356" t="str">
            <v>CR</v>
          </cell>
          <cell r="F356">
            <v>7.45</v>
          </cell>
        </row>
        <row r="357">
          <cell r="B357">
            <v>39209</v>
          </cell>
          <cell r="C357" t="str">
            <v>ARRUELA EM ALUMINIO, COM ROSCA, DE 3/4", PARA ELETRODUTO</v>
          </cell>
          <cell r="D357" t="str">
            <v>UN</v>
          </cell>
          <cell r="E357" t="str">
            <v>CR</v>
          </cell>
          <cell r="F357">
            <v>0.71</v>
          </cell>
        </row>
        <row r="358">
          <cell r="B358">
            <v>39207</v>
          </cell>
          <cell r="C358" t="str">
            <v>ARRUELA EM ALUMINIO, COM ROSCA, DE 3/8", PARA ELETRODUTO</v>
          </cell>
          <cell r="D358" t="str">
            <v>UN</v>
          </cell>
          <cell r="E358" t="str">
            <v>CR</v>
          </cell>
          <cell r="F358">
            <v>1.1100000000000001</v>
          </cell>
        </row>
        <row r="359">
          <cell r="B359">
            <v>39216</v>
          </cell>
          <cell r="C359" t="str">
            <v>ARRUELA EM ALUMINIO, COM ROSCA, DE 4", PARA ELETRODUTO</v>
          </cell>
          <cell r="D359" t="str">
            <v>UN</v>
          </cell>
          <cell r="E359" t="str">
            <v>CR</v>
          </cell>
          <cell r="F359">
            <v>10.39</v>
          </cell>
        </row>
        <row r="360">
          <cell r="B360">
            <v>11267</v>
          </cell>
          <cell r="C360" t="str">
            <v>ARRUELA LISA, REDONDA, DE LATAO POLIDO, DIAMETRO NOMINAL 5/8", DIAMETRO EXTERNO = 34 MM, DIAMETRO DO FURO = 17 MM, ESPESSURA = *2,5* MM</v>
          </cell>
          <cell r="D360" t="str">
            <v>UN</v>
          </cell>
          <cell r="E360" t="str">
            <v>CR</v>
          </cell>
          <cell r="F360">
            <v>1.43</v>
          </cell>
        </row>
        <row r="361">
          <cell r="B361">
            <v>379</v>
          </cell>
          <cell r="C361" t="str">
            <v>ARRUELA QUADRADA EM ACO GALVANIZADO, DIMENSAO = 38 MM, ESPESSURA = 3MM, DIAMETRO DO FURO= 18 MM</v>
          </cell>
          <cell r="D361" t="str">
            <v>UN</v>
          </cell>
          <cell r="E361" t="str">
            <v>CR</v>
          </cell>
          <cell r="F361">
            <v>1.43</v>
          </cell>
        </row>
        <row r="362">
          <cell r="B362">
            <v>510</v>
          </cell>
          <cell r="C362" t="str">
            <v>ASFALTO MODIFICADO TIPO I - NBR 9910 (ASFALTO OXIDADO PARA IMPERMEABILIZACAO, COEFICIENTE DE PENETRACAO 25-40)</v>
          </cell>
          <cell r="D362" t="str">
            <v>KG</v>
          </cell>
          <cell r="E362" t="str">
            <v>CR</v>
          </cell>
          <cell r="F362">
            <v>12.64</v>
          </cell>
        </row>
        <row r="363">
          <cell r="B363">
            <v>516</v>
          </cell>
          <cell r="C363" t="str">
            <v>ASFALTO MODIFICADO TIPO II - NBR 9910 (ASFALTO OXIDADO PARA IMPERMEABILIZACAO, COEFICIENTE DE PENETRACAO 20-35)</v>
          </cell>
          <cell r="D363" t="str">
            <v>KG</v>
          </cell>
          <cell r="E363" t="str">
            <v>CR</v>
          </cell>
          <cell r="F363">
            <v>14.97</v>
          </cell>
        </row>
        <row r="364">
          <cell r="B364">
            <v>509</v>
          </cell>
          <cell r="C364" t="str">
            <v>ASFALTO MODIFICADO TIPO III - NBR 9910 (ASFALTO OXIDADO PARA IMPERMEABILIZACAO, COEFICIENTE DE PENETRACAO 15-25)</v>
          </cell>
          <cell r="D364" t="str">
            <v>KG</v>
          </cell>
          <cell r="E364" t="str">
            <v>CR</v>
          </cell>
          <cell r="F364">
            <v>16.8</v>
          </cell>
        </row>
        <row r="365">
          <cell r="B365">
            <v>40331</v>
          </cell>
          <cell r="C365" t="str">
            <v>ASSENTADOR DE MANILHAS (HORISTA)</v>
          </cell>
          <cell r="D365" t="str">
            <v>H</v>
          </cell>
          <cell r="E365" t="str">
            <v>CR</v>
          </cell>
          <cell r="F365">
            <v>23.73</v>
          </cell>
        </row>
        <row r="366">
          <cell r="B366">
            <v>40930</v>
          </cell>
          <cell r="C366" t="str">
            <v>ASSENTADOR DE MANILHAS (MENSALISTA)</v>
          </cell>
          <cell r="D366" t="str">
            <v>MES</v>
          </cell>
          <cell r="E366" t="str">
            <v>CR</v>
          </cell>
          <cell r="F366">
            <v>4158.97</v>
          </cell>
        </row>
        <row r="367">
          <cell r="B367">
            <v>377</v>
          </cell>
          <cell r="C367" t="str">
            <v>ASSENTO SANITARIO DE PLASTICO, TIPO CONVENCIONAL</v>
          </cell>
          <cell r="D367" t="str">
            <v>UN</v>
          </cell>
          <cell r="E367" t="str">
            <v>C</v>
          </cell>
          <cell r="F367">
            <v>40.200000000000003</v>
          </cell>
        </row>
        <row r="368">
          <cell r="B368">
            <v>11761</v>
          </cell>
          <cell r="C368" t="str">
            <v>ASSENTO VASO SANITARIO INFANTIL EM PLASTICO BRANCO</v>
          </cell>
          <cell r="D368" t="str">
            <v>UN</v>
          </cell>
          <cell r="E368" t="str">
            <v>CR</v>
          </cell>
          <cell r="F368">
            <v>85.55</v>
          </cell>
        </row>
        <row r="369">
          <cell r="B369">
            <v>7588</v>
          </cell>
          <cell r="C369" t="str">
            <v>AUTOMATICO DE BOIA SUPERIOR / INFERIOR, *15* A / 250 V</v>
          </cell>
          <cell r="D369" t="str">
            <v>UN</v>
          </cell>
          <cell r="E369" t="str">
            <v>C</v>
          </cell>
          <cell r="F369">
            <v>43.78</v>
          </cell>
        </row>
        <row r="370">
          <cell r="B370">
            <v>34551</v>
          </cell>
          <cell r="C370" t="str">
            <v>AUXILIAR DE AZULEJISTA (HORISTA)</v>
          </cell>
          <cell r="D370" t="str">
            <v>H</v>
          </cell>
          <cell r="E370" t="str">
            <v>CR</v>
          </cell>
          <cell r="F370">
            <v>21.39</v>
          </cell>
        </row>
        <row r="371">
          <cell r="B371">
            <v>41078</v>
          </cell>
          <cell r="C371" t="str">
            <v>AUXILIAR DE AZULEJISTA (MENSALISTA)</v>
          </cell>
          <cell r="D371" t="str">
            <v>MES</v>
          </cell>
          <cell r="E371" t="str">
            <v>CR</v>
          </cell>
          <cell r="F371">
            <v>3748.94</v>
          </cell>
        </row>
        <row r="372">
          <cell r="B372">
            <v>246</v>
          </cell>
          <cell r="C372" t="str">
            <v>AUXILIAR DE ENCANADOR OU BOMBEIRO HIDRAULICO (HORISTA)</v>
          </cell>
          <cell r="D372" t="str">
            <v>H</v>
          </cell>
          <cell r="E372" t="str">
            <v>CR</v>
          </cell>
          <cell r="F372">
            <v>23.93</v>
          </cell>
        </row>
        <row r="373">
          <cell r="B373">
            <v>40927</v>
          </cell>
          <cell r="C373" t="str">
            <v>AUXILIAR DE ENCANADOR OU BOMBEIRO HIDRAULICO (MENSALISTA)</v>
          </cell>
          <cell r="D373" t="str">
            <v>MES</v>
          </cell>
          <cell r="E373" t="str">
            <v>CR</v>
          </cell>
          <cell r="F373">
            <v>4194.5200000000004</v>
          </cell>
        </row>
        <row r="374">
          <cell r="B374">
            <v>2350</v>
          </cell>
          <cell r="C374" t="str">
            <v>AUXILIAR DE ESCRITORIO (HORISTA)</v>
          </cell>
          <cell r="D374" t="str">
            <v>H</v>
          </cell>
          <cell r="E374" t="str">
            <v>CR</v>
          </cell>
          <cell r="F374">
            <v>32.81</v>
          </cell>
        </row>
        <row r="375">
          <cell r="B375">
            <v>40812</v>
          </cell>
          <cell r="C375" t="str">
            <v>AUXILIAR DE ESCRITORIO (MENSALISTA)</v>
          </cell>
          <cell r="D375" t="str">
            <v>MES</v>
          </cell>
          <cell r="E375" t="str">
            <v>CR</v>
          </cell>
          <cell r="F375">
            <v>5748.54</v>
          </cell>
        </row>
        <row r="376">
          <cell r="B376">
            <v>245</v>
          </cell>
          <cell r="C376" t="str">
            <v>AUXILIAR DE LABORATORISTA DE SOLOS E DE CONCRETO (HORISTA)</v>
          </cell>
          <cell r="D376" t="str">
            <v>H</v>
          </cell>
          <cell r="E376" t="str">
            <v>CR</v>
          </cell>
          <cell r="F376">
            <v>41.69</v>
          </cell>
        </row>
        <row r="377">
          <cell r="B377">
            <v>41090</v>
          </cell>
          <cell r="C377" t="str">
            <v>AUXILIAR DE LABORATORISTA DE SOLOS E DE CONCRETO (MENSALISTA)</v>
          </cell>
          <cell r="D377" t="str">
            <v>MES</v>
          </cell>
          <cell r="E377" t="str">
            <v>CR</v>
          </cell>
          <cell r="F377">
            <v>7303.99</v>
          </cell>
        </row>
        <row r="378">
          <cell r="B378">
            <v>251</v>
          </cell>
          <cell r="C378" t="str">
            <v>AUXILIAR DE MECANICO (HORISTA)</v>
          </cell>
          <cell r="D378" t="str">
            <v>H</v>
          </cell>
          <cell r="E378" t="str">
            <v>CR</v>
          </cell>
          <cell r="F378">
            <v>23.93</v>
          </cell>
        </row>
        <row r="379">
          <cell r="B379">
            <v>40975</v>
          </cell>
          <cell r="C379" t="str">
            <v>AUXILIAR DE MECANICO (MENSALISTA)</v>
          </cell>
          <cell r="D379" t="str">
            <v>MES</v>
          </cell>
          <cell r="E379" t="str">
            <v>CR</v>
          </cell>
          <cell r="F379">
            <v>4194.5200000000004</v>
          </cell>
        </row>
        <row r="380">
          <cell r="B380">
            <v>6127</v>
          </cell>
          <cell r="C380" t="str">
            <v>AUXILIAR DE PEDREIRO (HORISTA)</v>
          </cell>
          <cell r="D380" t="str">
            <v>H</v>
          </cell>
          <cell r="E380" t="str">
            <v>CR</v>
          </cell>
          <cell r="F380">
            <v>23.93</v>
          </cell>
        </row>
        <row r="381">
          <cell r="B381">
            <v>41072</v>
          </cell>
          <cell r="C381" t="str">
            <v>AUXILIAR DE PEDREIRO (MENSALISTA)</v>
          </cell>
          <cell r="D381" t="str">
            <v>MES</v>
          </cell>
          <cell r="E381" t="str">
            <v>CR</v>
          </cell>
          <cell r="F381">
            <v>4194.5200000000004</v>
          </cell>
        </row>
        <row r="382">
          <cell r="B382">
            <v>6121</v>
          </cell>
          <cell r="C382" t="str">
            <v>AUXILIAR DE SERVICOS GERAIS (HORISTA)</v>
          </cell>
          <cell r="D382" t="str">
            <v>H</v>
          </cell>
          <cell r="E382" t="str">
            <v>CR</v>
          </cell>
          <cell r="F382">
            <v>21.5</v>
          </cell>
        </row>
        <row r="383">
          <cell r="B383">
            <v>41071</v>
          </cell>
          <cell r="C383" t="str">
            <v>AUXILIAR DE SERVICOS GERAIS (MENSALISTA)</v>
          </cell>
          <cell r="D383" t="str">
            <v>MES</v>
          </cell>
          <cell r="E383" t="str">
            <v>CR</v>
          </cell>
          <cell r="F383">
            <v>3765.96</v>
          </cell>
        </row>
        <row r="384">
          <cell r="B384">
            <v>244</v>
          </cell>
          <cell r="C384" t="str">
            <v>AUXILIAR DE TOPOGRAFO (HORISTA)</v>
          </cell>
          <cell r="D384" t="str">
            <v>H</v>
          </cell>
          <cell r="E384" t="str">
            <v>CR</v>
          </cell>
          <cell r="F384">
            <v>36.159999999999997</v>
          </cell>
        </row>
        <row r="385">
          <cell r="B385">
            <v>41093</v>
          </cell>
          <cell r="C385" t="str">
            <v>AUXILIAR DE TOPOGRAFO (MENSALISTA)</v>
          </cell>
          <cell r="D385" t="str">
            <v>MES</v>
          </cell>
          <cell r="E385" t="str">
            <v>CR</v>
          </cell>
          <cell r="F385">
            <v>6335.13</v>
          </cell>
        </row>
        <row r="386">
          <cell r="B386">
            <v>532</v>
          </cell>
          <cell r="C386" t="str">
            <v>AUXILIAR TECNICO / ASSISTENTE DE ENGENHARIA (HORISTA)</v>
          </cell>
          <cell r="D386" t="str">
            <v>H</v>
          </cell>
          <cell r="E386" t="str">
            <v>CR</v>
          </cell>
          <cell r="F386">
            <v>39.130000000000003</v>
          </cell>
        </row>
        <row r="387">
          <cell r="B387">
            <v>40931</v>
          </cell>
          <cell r="C387" t="str">
            <v>AUXILIAR TECNICO / ASSISTENTE DE ENGENHARIA (MENSALISTA)</v>
          </cell>
          <cell r="D387" t="str">
            <v>MES</v>
          </cell>
          <cell r="E387" t="str">
            <v>CR</v>
          </cell>
          <cell r="F387">
            <v>6856.68</v>
          </cell>
        </row>
        <row r="388">
          <cell r="B388">
            <v>36150</v>
          </cell>
          <cell r="C388" t="str">
            <v>AVENTAL DE SEGURANCA DE RASPA DE COURO 1,00 X 0,60 M</v>
          </cell>
          <cell r="D388" t="str">
            <v>UN</v>
          </cell>
          <cell r="E388" t="str">
            <v>CR</v>
          </cell>
          <cell r="F388">
            <v>45.01</v>
          </cell>
        </row>
        <row r="389">
          <cell r="B389">
            <v>45262</v>
          </cell>
          <cell r="C389" t="str">
            <v>AVENTAL EM PVC, FORRADO, *0,3* MM DE ESPESSURA, *1,15 X 0,70* M (COMPRIMENTO X LARGURA), 100% IMPERMEAVEL</v>
          </cell>
          <cell r="D389" t="str">
            <v>UN</v>
          </cell>
          <cell r="E389" t="str">
            <v>CR</v>
          </cell>
          <cell r="F389">
            <v>13.4</v>
          </cell>
        </row>
        <row r="390">
          <cell r="B390">
            <v>4760</v>
          </cell>
          <cell r="C390" t="str">
            <v>AZULEJISTA OU LADRILHEIRO (HORISTA)</v>
          </cell>
          <cell r="D390" t="str">
            <v>H</v>
          </cell>
          <cell r="E390" t="str">
            <v>CR</v>
          </cell>
          <cell r="F390">
            <v>26.03</v>
          </cell>
        </row>
        <row r="391">
          <cell r="B391">
            <v>41069</v>
          </cell>
          <cell r="C391" t="str">
            <v>AZULEJISTA OU LADRILHEIRO (MENSALISTA)</v>
          </cell>
          <cell r="D391" t="str">
            <v>MES</v>
          </cell>
          <cell r="E391" t="str">
            <v>CR</v>
          </cell>
          <cell r="F391">
            <v>4560.57</v>
          </cell>
        </row>
        <row r="392">
          <cell r="B392">
            <v>10422</v>
          </cell>
          <cell r="C392" t="str">
            <v>BACIA SANITARIA (VASO) COM CAIXA ACOPLADA, SIFAO APARENTE, DE LOUCA BRANCA (SEM ASSENTO)</v>
          </cell>
          <cell r="D392" t="str">
            <v>UN</v>
          </cell>
          <cell r="E392" t="str">
            <v>CR</v>
          </cell>
          <cell r="F392">
            <v>402.62</v>
          </cell>
        </row>
        <row r="393">
          <cell r="B393">
            <v>44019</v>
          </cell>
          <cell r="C393" t="str">
            <v>BACIA SANITARIA (VASO) COM CAIXA ACOPLADA, SIFAO OCULTO / CARENADO, DE LOUCA BRANCA (SEM ASSENTO) - PADRAO ALTO</v>
          </cell>
          <cell r="D393" t="str">
            <v>UN</v>
          </cell>
          <cell r="E393" t="str">
            <v>CR</v>
          </cell>
          <cell r="F393">
            <v>557.33000000000004</v>
          </cell>
        </row>
        <row r="394">
          <cell r="B394">
            <v>36520</v>
          </cell>
          <cell r="C394" t="str">
            <v>BACIA SANITARIA (VASO) CONVENCIONAL PARA PCD, SEM FURO FRONTAL, DE LOUCA BRANCA (SEM ASSENTO)</v>
          </cell>
          <cell r="D394" t="str">
            <v>UN</v>
          </cell>
          <cell r="E394" t="str">
            <v>CR</v>
          </cell>
          <cell r="F394">
            <v>677.65</v>
          </cell>
        </row>
        <row r="395">
          <cell r="B395">
            <v>42319</v>
          </cell>
          <cell r="C395" t="str">
            <v>BACIA SANITARIA (VASO) CONVENCIONAL PARA USO ESPECIFICO (HOSPITAIS, CLINICAS), COM FURO FRONTAL, DE LOUCA BRANCA, SEM ASSENTO</v>
          </cell>
          <cell r="D395" t="str">
            <v>UN</v>
          </cell>
          <cell r="E395" t="str">
            <v>CR</v>
          </cell>
          <cell r="F395">
            <v>607.21</v>
          </cell>
        </row>
        <row r="396">
          <cell r="B396">
            <v>10420</v>
          </cell>
          <cell r="C396" t="str">
            <v>BACIA SANITARIA (VASO) CONVENCIONAL, DE LOUCA BRANCA, SIFAO APARENTE, SAIDA VERTICAL (SEM ASSENTO)</v>
          </cell>
          <cell r="D396" t="str">
            <v>UN</v>
          </cell>
          <cell r="E396" t="str">
            <v>C</v>
          </cell>
          <cell r="F396">
            <v>215.4</v>
          </cell>
        </row>
        <row r="397">
          <cell r="B397">
            <v>10421</v>
          </cell>
          <cell r="C397" t="str">
            <v>BACIA SANITARIA (VASO) CONVENCIONAL, DE LOUCA COLORIDA, SIFAO APARENTE, SAIDA VERTICAL (SEM ASSENTO)</v>
          </cell>
          <cell r="D397" t="str">
            <v>UN</v>
          </cell>
          <cell r="E397" t="str">
            <v>CR</v>
          </cell>
          <cell r="F397">
            <v>236.7</v>
          </cell>
        </row>
        <row r="398">
          <cell r="B398">
            <v>11786</v>
          </cell>
          <cell r="C398" t="str">
            <v>BACIA SANITARIA (VASO) INFANTIL, SIFONADO, DE LOUCA BRANCA, (SEM ASSENTO)</v>
          </cell>
          <cell r="D398" t="str">
            <v>UN</v>
          </cell>
          <cell r="E398" t="str">
            <v>CR</v>
          </cell>
          <cell r="F398">
            <v>477.27</v>
          </cell>
        </row>
        <row r="399">
          <cell r="B399">
            <v>45195</v>
          </cell>
          <cell r="C399" t="str">
            <v>BALANCIM INDIVIDUAL, TIPO CADEIRA SUSPENSA SOBE E DESCE</v>
          </cell>
          <cell r="D399" t="str">
            <v>UN</v>
          </cell>
          <cell r="E399" t="str">
            <v>CR</v>
          </cell>
          <cell r="F399">
            <v>5066.6000000000004</v>
          </cell>
        </row>
        <row r="400">
          <cell r="B400">
            <v>45226</v>
          </cell>
          <cell r="C400" t="str">
            <v>BALDE DE PLASTICO CAPACIDADE 12 L</v>
          </cell>
          <cell r="D400" t="str">
            <v>UN</v>
          </cell>
          <cell r="E400" t="str">
            <v>CR</v>
          </cell>
          <cell r="F400">
            <v>16.690000000000001</v>
          </cell>
        </row>
        <row r="401">
          <cell r="B401">
            <v>4815</v>
          </cell>
          <cell r="C401" t="str">
            <v>BALDE VERMELHO PARA SINALIZACAO DE VIAS</v>
          </cell>
          <cell r="D401" t="str">
            <v>UN</v>
          </cell>
          <cell r="E401" t="str">
            <v>CR</v>
          </cell>
          <cell r="F401">
            <v>11.02</v>
          </cell>
        </row>
        <row r="402">
          <cell r="B402">
            <v>541</v>
          </cell>
          <cell r="C402" t="str">
            <v>BANCADA DE MARMORE SINTETICO COM UMA CUBA, 120 X *60* CM</v>
          </cell>
          <cell r="D402" t="str">
            <v>UN</v>
          </cell>
          <cell r="E402" t="str">
            <v>C</v>
          </cell>
          <cell r="F402">
            <v>275.89999999999998</v>
          </cell>
        </row>
        <row r="403">
          <cell r="B403">
            <v>542</v>
          </cell>
          <cell r="C403" t="str">
            <v>BANCADA DE MARMORE SINTETICO COM UMA CUBA, 150 X *60* CM</v>
          </cell>
          <cell r="D403" t="str">
            <v>UN</v>
          </cell>
          <cell r="E403" t="str">
            <v>CR</v>
          </cell>
          <cell r="F403">
            <v>345.84</v>
          </cell>
        </row>
        <row r="404">
          <cell r="B404">
            <v>540</v>
          </cell>
          <cell r="C404" t="str">
            <v>BANCADA DE MARMORE SINTETICO COM UMA CUBA, 200 X *60* CM</v>
          </cell>
          <cell r="D404" t="str">
            <v>UN</v>
          </cell>
          <cell r="E404" t="str">
            <v>CR</v>
          </cell>
          <cell r="F404">
            <v>779.35</v>
          </cell>
        </row>
        <row r="405">
          <cell r="B405">
            <v>38364</v>
          </cell>
          <cell r="C405" t="str">
            <v>BANCADA/ BANCA EM GRANITO, POLIDO, TIPO ANDORINHA/ QUARTZ/ CASTELO/ CORUMBA OU OUTROS EQUIVALENTES DA REGIAO, COM CUBA INOX, FORMATO *120 X 60* CM, E= *2* CM</v>
          </cell>
          <cell r="D405" t="str">
            <v>UN</v>
          </cell>
          <cell r="E405" t="str">
            <v>CR</v>
          </cell>
          <cell r="F405">
            <v>932.91</v>
          </cell>
        </row>
        <row r="406">
          <cell r="B406">
            <v>11692</v>
          </cell>
          <cell r="C406" t="str">
            <v>BANCADA/ BANCA/ BALCAO/ TAMPO EM MARMORE BRANCO COMUM, POLIDO, LISO, ACABAMENTO RETO, E= *3* CM (SEM FUROS)</v>
          </cell>
          <cell r="D406" t="str">
            <v>M2</v>
          </cell>
          <cell r="E406" t="str">
            <v>CR</v>
          </cell>
          <cell r="F406">
            <v>642.71</v>
          </cell>
        </row>
        <row r="407">
          <cell r="B407">
            <v>1746</v>
          </cell>
          <cell r="C407" t="str">
            <v>BANCADA/BANCA/PIA DE ACO INOXIDAVEL (AISI 430) COM 1 CUBA CENTRAL, COM VALVULA, ESCORREDOR DUPLO, DE *0,55 X 1,20* M</v>
          </cell>
          <cell r="D407" t="str">
            <v>UN</v>
          </cell>
          <cell r="E407" t="str">
            <v>C</v>
          </cell>
          <cell r="F407">
            <v>249.9</v>
          </cell>
        </row>
        <row r="408">
          <cell r="B408">
            <v>1748</v>
          </cell>
          <cell r="C408" t="str">
            <v>BANCADA/BANCA/PIA DE ACO INOXIDAVEL (AISI 430) COM 1 CUBA CENTRAL, COM VALVULA, ESCORREDOR DUPLO, DE *0,55 X 1,40* M</v>
          </cell>
          <cell r="D408" t="str">
            <v>UN</v>
          </cell>
          <cell r="E408" t="str">
            <v>CR</v>
          </cell>
          <cell r="F408">
            <v>332.3</v>
          </cell>
        </row>
        <row r="409">
          <cell r="B409">
            <v>1749</v>
          </cell>
          <cell r="C409" t="str">
            <v>BANCADA/BANCA/PIA DE ACO INOXIDAVEL (AISI 430) COM 1 CUBA CENTRAL, COM VALVULA, ESCORREDOR DUPLO, DE *0,55 X 1,80* M</v>
          </cell>
          <cell r="D409" t="str">
            <v>UN</v>
          </cell>
          <cell r="E409" t="str">
            <v>CR</v>
          </cell>
          <cell r="F409">
            <v>481.45</v>
          </cell>
        </row>
        <row r="410">
          <cell r="B410">
            <v>37412</v>
          </cell>
          <cell r="C410" t="str">
            <v>BANCADA/BANCA/PIA DE ACO INOXIDAVEL (AISI 430) COM 1 CUBA CENTRAL, COM VALVULA, LISA (SEM ESCORREDOR), DE *0,55 X 1,20* M</v>
          </cell>
          <cell r="D410" t="str">
            <v>UN</v>
          </cell>
          <cell r="E410" t="str">
            <v>CR</v>
          </cell>
          <cell r="F410">
            <v>244.28</v>
          </cell>
        </row>
        <row r="411">
          <cell r="B411">
            <v>1745</v>
          </cell>
          <cell r="C411" t="str">
            <v>BANCADA/BANCA/PIA DE ACO INOXIDAVEL (AISI 430) COM 1 CUBA CENTRAL, SEM VALVULA, ESCORREDOR DUPLO, DE *0,55 X 1,60* M</v>
          </cell>
          <cell r="D411" t="str">
            <v>UN</v>
          </cell>
          <cell r="E411" t="str">
            <v>CR</v>
          </cell>
          <cell r="F411">
            <v>290.47000000000003</v>
          </cell>
        </row>
        <row r="412">
          <cell r="B412">
            <v>1750</v>
          </cell>
          <cell r="C412" t="str">
            <v>BANCADA/BANCA/PIA DE ACO INOXIDAVEL (AISI 430) COM 2 CUBAS, COM VALVULAS, ESCORREDOR DUPLO, DE *0,55 X 2,00* M</v>
          </cell>
          <cell r="D412" t="str">
            <v>UN</v>
          </cell>
          <cell r="E412" t="str">
            <v>CR</v>
          </cell>
          <cell r="F412">
            <v>678.8</v>
          </cell>
        </row>
        <row r="413">
          <cell r="B413">
            <v>11687</v>
          </cell>
          <cell r="C413" t="str">
            <v>BANCADA/TAMPO ACO INOX (AISI 304), LARGURA 60 CM, COM RODABANCA (NAO INCLUI PES DE APOIO)</v>
          </cell>
          <cell r="D413" t="str">
            <v>M</v>
          </cell>
          <cell r="E413" t="str">
            <v>CR</v>
          </cell>
          <cell r="F413">
            <v>1081.54</v>
          </cell>
        </row>
        <row r="414">
          <cell r="B414">
            <v>11689</v>
          </cell>
          <cell r="C414" t="str">
            <v>BANCADA/TAMPO ACO INOX (AISI 304), LARGURA 70 CM, COM RODABANCA (NAO INCLUI PES DE APOIO)</v>
          </cell>
          <cell r="D414" t="str">
            <v>M</v>
          </cell>
          <cell r="E414" t="str">
            <v>CR</v>
          </cell>
          <cell r="F414">
            <v>1355.1</v>
          </cell>
        </row>
        <row r="415">
          <cell r="B415">
            <v>11693</v>
          </cell>
          <cell r="C415" t="str">
            <v>BANCADA/TAMPO LISO (SEM CUBA) EM MARMORE SINTETICO</v>
          </cell>
          <cell r="D415" t="str">
            <v>M2</v>
          </cell>
          <cell r="E415" t="str">
            <v>CR</v>
          </cell>
          <cell r="F415">
            <v>305.91000000000003</v>
          </cell>
        </row>
        <row r="416">
          <cell r="B416">
            <v>36215</v>
          </cell>
          <cell r="C416" t="str">
            <v>BANCO ARTICULADO PARA BANHO, EM ACO INOX POLIDO, 70* CM X 45* CM</v>
          </cell>
          <cell r="D416" t="str">
            <v>UN</v>
          </cell>
          <cell r="E416" t="str">
            <v>CR</v>
          </cell>
          <cell r="F416">
            <v>863.27</v>
          </cell>
        </row>
        <row r="417">
          <cell r="B417">
            <v>42439</v>
          </cell>
          <cell r="C417" t="str">
            <v>BANCO COM ENCOSTO, 1,60M* DE COMPRIMENTO, EM TUBO DE ACO CARBONO E PINTURA NO PROCESSO ELETROSTATICO - PARA ACADEMIA AO AR LIVRE / ACADEMIA DA TERCEIRA IDADE - ATI</v>
          </cell>
          <cell r="D417" t="str">
            <v>UN</v>
          </cell>
          <cell r="E417" t="str">
            <v>CR</v>
          </cell>
          <cell r="F417">
            <v>1207.8399999999999</v>
          </cell>
        </row>
        <row r="418">
          <cell r="B418">
            <v>38381</v>
          </cell>
          <cell r="C418" t="str">
            <v>BANDEJA DE PINTURA PARA ROLO 23 CM</v>
          </cell>
          <cell r="D418" t="str">
            <v>UN</v>
          </cell>
          <cell r="E418" t="str">
            <v>CR</v>
          </cell>
          <cell r="F418">
            <v>13.35</v>
          </cell>
        </row>
        <row r="419">
          <cell r="B419">
            <v>39621</v>
          </cell>
          <cell r="C419" t="str">
            <v>BARRA ANTIPANICO DUPLA, CEGA EM LADO OPOSTO, COR CINZA</v>
          </cell>
          <cell r="D419" t="str">
            <v>PAR</v>
          </cell>
          <cell r="E419" t="str">
            <v>CR</v>
          </cell>
          <cell r="F419">
            <v>1398.41</v>
          </cell>
        </row>
        <row r="420">
          <cell r="B420">
            <v>39624</v>
          </cell>
          <cell r="C420" t="str">
            <v>BARRA ANTIPANICO DUPLA, PARA PORTA DE VIDRO, COR CINZA</v>
          </cell>
          <cell r="D420" t="str">
            <v>PAR</v>
          </cell>
          <cell r="E420" t="str">
            <v>CR</v>
          </cell>
          <cell r="F420">
            <v>1542.6</v>
          </cell>
        </row>
        <row r="421">
          <cell r="B421">
            <v>39615</v>
          </cell>
          <cell r="C421" t="str">
            <v>BARRA ANTIPANICO SIMPLES, CEGA EM LADO OPOSTO, COR CINZA</v>
          </cell>
          <cell r="D421" t="str">
            <v>UN</v>
          </cell>
          <cell r="E421" t="str">
            <v>CR</v>
          </cell>
          <cell r="F421">
            <v>623.35</v>
          </cell>
        </row>
        <row r="422">
          <cell r="B422">
            <v>39620</v>
          </cell>
          <cell r="C422" t="str">
            <v>BARRA ANTIPANICO SIMPLES, COM FECHADURA LADO OPOSTO, COR CINZA</v>
          </cell>
          <cell r="D422" t="str">
            <v>UN</v>
          </cell>
          <cell r="E422" t="str">
            <v>CR</v>
          </cell>
          <cell r="F422">
            <v>952.03</v>
          </cell>
        </row>
        <row r="423">
          <cell r="B423">
            <v>39623</v>
          </cell>
          <cell r="C423" t="str">
            <v>BARRA ANTIPANICO SIMPLES, PARA PORTA DE VIDRO, COR CINZA</v>
          </cell>
          <cell r="D423" t="str">
            <v>UN</v>
          </cell>
          <cell r="E423" t="str">
            <v>CR</v>
          </cell>
          <cell r="F423">
            <v>1019.7</v>
          </cell>
        </row>
        <row r="424">
          <cell r="B424">
            <v>546</v>
          </cell>
          <cell r="C424" t="str">
            <v>BARRA DE ACO CHATA, RETANGULAR (QUALQUER BITOLA)</v>
          </cell>
          <cell r="D424" t="str">
            <v>KG</v>
          </cell>
          <cell r="E424" t="str">
            <v>C</v>
          </cell>
          <cell r="F424">
            <v>9.24</v>
          </cell>
        </row>
        <row r="425">
          <cell r="B425">
            <v>566</v>
          </cell>
          <cell r="C425" t="str">
            <v>BARRA DE ACO CHATO, RETANGULAR, 19,05 MM X 3,17 MM (L X E), 0,47 KG/M</v>
          </cell>
          <cell r="D425" t="str">
            <v>M</v>
          </cell>
          <cell r="E425" t="str">
            <v>CR</v>
          </cell>
          <cell r="F425">
            <v>4.38</v>
          </cell>
        </row>
        <row r="426">
          <cell r="B426">
            <v>565</v>
          </cell>
          <cell r="C426" t="str">
            <v>BARRA DE ACO CHATO, RETANGULAR, 25,4 MM X 4,76 MM (L X E), 0,94 KG/M</v>
          </cell>
          <cell r="D426" t="str">
            <v>M</v>
          </cell>
          <cell r="E426" t="str">
            <v>CR</v>
          </cell>
          <cell r="F426">
            <v>8.69</v>
          </cell>
        </row>
        <row r="427">
          <cell r="B427">
            <v>555</v>
          </cell>
          <cell r="C427" t="str">
            <v>BARRA DE ACO CHATO, RETANGULAR, 25,4 MM X 6,35 MM (L X E), 1,2265 KG/M</v>
          </cell>
          <cell r="D427" t="str">
            <v>M</v>
          </cell>
          <cell r="E427" t="str">
            <v>CR</v>
          </cell>
          <cell r="F427">
            <v>11.33</v>
          </cell>
        </row>
        <row r="428">
          <cell r="B428">
            <v>557</v>
          </cell>
          <cell r="C428" t="str">
            <v>BARRA DE ACO CHATO, RETANGULAR, 38,1 MM X 12,7 MM (L X E), 3,79 KG/M</v>
          </cell>
          <cell r="D428" t="str">
            <v>M</v>
          </cell>
          <cell r="E428" t="str">
            <v>CR</v>
          </cell>
          <cell r="F428">
            <v>35.549999999999997</v>
          </cell>
        </row>
        <row r="429">
          <cell r="B429">
            <v>552</v>
          </cell>
          <cell r="C429" t="str">
            <v>BARRA DE ACO CHATO, RETANGULAR, 38,1 MM X 6,35 MM (L X E), 1,89 KG/M</v>
          </cell>
          <cell r="D429" t="str">
            <v>M</v>
          </cell>
          <cell r="E429" t="str">
            <v>CR</v>
          </cell>
          <cell r="F429">
            <v>17.64</v>
          </cell>
        </row>
        <row r="430">
          <cell r="B430">
            <v>563</v>
          </cell>
          <cell r="C430" t="str">
            <v>BARRA DE ACO CHATO, RETANGULAR, 38,1 MM X 9,53 MM (L X E), 2,84 KG/M</v>
          </cell>
          <cell r="D430" t="str">
            <v>M</v>
          </cell>
          <cell r="E430" t="str">
            <v>CR</v>
          </cell>
          <cell r="F430">
            <v>26.5</v>
          </cell>
        </row>
        <row r="431">
          <cell r="B431">
            <v>549</v>
          </cell>
          <cell r="C431" t="str">
            <v>BARRA DE ACO CHATO, RETANGULAR, 50,8 MM X 12,7 MM (L X E), 5,06 KG/M</v>
          </cell>
          <cell r="D431" t="str">
            <v>M</v>
          </cell>
          <cell r="E431" t="str">
            <v>CR</v>
          </cell>
          <cell r="F431">
            <v>47.7</v>
          </cell>
        </row>
        <row r="432">
          <cell r="B432">
            <v>551</v>
          </cell>
          <cell r="C432" t="str">
            <v>BARRA DE ACO CHATO, RETANGULAR, 50,8 MM X 25,4 MM (L X E), 10,12 KG/M</v>
          </cell>
          <cell r="D432" t="str">
            <v>M</v>
          </cell>
          <cell r="E432" t="str">
            <v>CR</v>
          </cell>
          <cell r="F432">
            <v>94.46</v>
          </cell>
        </row>
        <row r="433">
          <cell r="B433">
            <v>559</v>
          </cell>
          <cell r="C433" t="str">
            <v>BARRA DE ACO CHATO, RETANGULAR, 50,8 MM X 6,35 MM (L X E), 2,53 KG/M</v>
          </cell>
          <cell r="D433" t="str">
            <v>M</v>
          </cell>
          <cell r="E433" t="str">
            <v>CR</v>
          </cell>
          <cell r="F433">
            <v>23.61</v>
          </cell>
        </row>
        <row r="434">
          <cell r="B434">
            <v>560</v>
          </cell>
          <cell r="C434" t="str">
            <v>BARRA DE ACO CHATO, RETANGULAR, 50,8 MM X 7,94 MM (L X E), 3,162 KG/M</v>
          </cell>
          <cell r="D434" t="str">
            <v>M</v>
          </cell>
          <cell r="E434" t="str">
            <v>CR</v>
          </cell>
          <cell r="F434">
            <v>29.54</v>
          </cell>
        </row>
        <row r="435">
          <cell r="B435">
            <v>547</v>
          </cell>
          <cell r="C435" t="str">
            <v>BARRA DE ACO CHATO, RETANGULAR, 50,8 MM X 9,53 MM (L X E), 3,79KG/M</v>
          </cell>
          <cell r="D435" t="str">
            <v>M</v>
          </cell>
          <cell r="E435" t="str">
            <v>CR</v>
          </cell>
          <cell r="F435">
            <v>35.369999999999997</v>
          </cell>
        </row>
        <row r="436">
          <cell r="B436">
            <v>36207</v>
          </cell>
          <cell r="C436" t="str">
            <v>BARRA DE APOIO EM "L", EM ACO INOX POLIDO 70 X 70 CM, DIAMETRO MINIMO 3 CM</v>
          </cell>
          <cell r="D436" t="str">
            <v>UN</v>
          </cell>
          <cell r="E436" t="str">
            <v>CR</v>
          </cell>
          <cell r="F436">
            <v>382.37</v>
          </cell>
        </row>
        <row r="437">
          <cell r="B437">
            <v>36209</v>
          </cell>
          <cell r="C437" t="str">
            <v>BARRA DE APOIO EM "L", EM ACO INOX POLIDO 80 X 80 CM, DIAMETRO MINIMO 3 CM</v>
          </cell>
          <cell r="D437" t="str">
            <v>UN</v>
          </cell>
          <cell r="E437" t="str">
            <v>CR</v>
          </cell>
          <cell r="F437">
            <v>438.83</v>
          </cell>
        </row>
        <row r="438">
          <cell r="B438">
            <v>36210</v>
          </cell>
          <cell r="C438" t="str">
            <v>BARRA DE APOIO LATERAL ARTICULADA, COM TRAVA, EM ACO INOX POLIDO, 70 CM, DIAMETRO MINIMO 3 CM</v>
          </cell>
          <cell r="D438" t="str">
            <v>UN</v>
          </cell>
          <cell r="E438" t="str">
            <v>CR</v>
          </cell>
          <cell r="F438">
            <v>474.8</v>
          </cell>
        </row>
        <row r="439">
          <cell r="B439">
            <v>36204</v>
          </cell>
          <cell r="C439" t="str">
            <v>BARRA DE APOIO RETA, EM ACO INOX POLIDO, COMPRIMENTO 60CM, DIAMETRO MINIMO 3 CM</v>
          </cell>
          <cell r="D439" t="str">
            <v>UN</v>
          </cell>
          <cell r="E439" t="str">
            <v>CR</v>
          </cell>
          <cell r="F439">
            <v>168.34</v>
          </cell>
        </row>
        <row r="440">
          <cell r="B440">
            <v>36205</v>
          </cell>
          <cell r="C440" t="str">
            <v>BARRA DE APOIO RETA, EM ACO INOX POLIDO, COMPRIMENTO 70CM, DIAMETRO MINIMO 3 CM</v>
          </cell>
          <cell r="D440" t="str">
            <v>UN</v>
          </cell>
          <cell r="E440" t="str">
            <v>CR</v>
          </cell>
          <cell r="F440">
            <v>186.96</v>
          </cell>
        </row>
        <row r="441">
          <cell r="B441">
            <v>36081</v>
          </cell>
          <cell r="C441" t="str">
            <v>BARRA DE APOIO RETA, EM ACO INOX POLIDO, COMPRIMENTO 80CM, DIAMETRO MINIMO 3 CM</v>
          </cell>
          <cell r="D441" t="str">
            <v>UN</v>
          </cell>
          <cell r="E441" t="str">
            <v>C</v>
          </cell>
          <cell r="F441">
            <v>199.35</v>
          </cell>
        </row>
        <row r="442">
          <cell r="B442">
            <v>36206</v>
          </cell>
          <cell r="C442" t="str">
            <v>BARRA DE APOIO RETA, EM ACO INOX POLIDO, COMPRIMENTO 90 CM, DIAMETRO MINIMO 3 CM</v>
          </cell>
          <cell r="D442" t="str">
            <v>UN</v>
          </cell>
          <cell r="E442" t="str">
            <v>CR</v>
          </cell>
          <cell r="F442">
            <v>208.85</v>
          </cell>
        </row>
        <row r="443">
          <cell r="B443">
            <v>36218</v>
          </cell>
          <cell r="C443" t="str">
            <v>BARRA DE APOIO RETA, EM ALUMINIO, COMPRIMENTO 60CM, DIAMETRO MINIMO 3 CM</v>
          </cell>
          <cell r="D443" t="str">
            <v>UN</v>
          </cell>
          <cell r="E443" t="str">
            <v>CR</v>
          </cell>
          <cell r="F443">
            <v>173.26</v>
          </cell>
        </row>
        <row r="444">
          <cell r="B444">
            <v>36220</v>
          </cell>
          <cell r="C444" t="str">
            <v>BARRA DE APOIO RETA, EM ALUMINIO, COMPRIMENTO 70CM, DIAMETRO MINIMO 3 CM</v>
          </cell>
          <cell r="D444" t="str">
            <v>UN</v>
          </cell>
          <cell r="E444" t="str">
            <v>CR</v>
          </cell>
          <cell r="F444">
            <v>198.68</v>
          </cell>
        </row>
        <row r="445">
          <cell r="B445">
            <v>36080</v>
          </cell>
          <cell r="C445" t="str">
            <v>BARRA DE APOIO RETA, EM ALUMINIO, COMPRIMENTO 80 CM, DIAMETRO MINIMO 3 CM</v>
          </cell>
          <cell r="D445" t="str">
            <v>UN</v>
          </cell>
          <cell r="E445" t="str">
            <v>C</v>
          </cell>
          <cell r="F445">
            <v>214.9</v>
          </cell>
        </row>
        <row r="446">
          <cell r="B446">
            <v>36223</v>
          </cell>
          <cell r="C446" t="str">
            <v>BARRA DE APOIO RETA, EM ALUMINIO, COMPRIMENTO 90 CM, DIAMETRO MINIMO 3 CM</v>
          </cell>
          <cell r="D446" t="str">
            <v>UN</v>
          </cell>
          <cell r="E446" t="str">
            <v>CR</v>
          </cell>
          <cell r="F446">
            <v>225.03</v>
          </cell>
        </row>
        <row r="447">
          <cell r="B447">
            <v>38127</v>
          </cell>
          <cell r="C447" t="str">
            <v>BASE DE MISTURADOR MONOCOMANDO PARA CHUVEIRO, DE PAREDE (NAO INCLUI ACABAMENTOS)</v>
          </cell>
          <cell r="D447" t="str">
            <v>UN</v>
          </cell>
          <cell r="E447" t="str">
            <v>CR</v>
          </cell>
          <cell r="F447">
            <v>389.65</v>
          </cell>
        </row>
        <row r="448">
          <cell r="B448">
            <v>38060</v>
          </cell>
          <cell r="C448" t="str">
            <v>BASE PARA MASTRO DE PARA-RAIOS DIAMETRO NOMINAL 1 1/2"</v>
          </cell>
          <cell r="D448" t="str">
            <v>UN</v>
          </cell>
          <cell r="E448" t="str">
            <v>CR</v>
          </cell>
          <cell r="F448">
            <v>56.49</v>
          </cell>
        </row>
        <row r="449">
          <cell r="B449">
            <v>10956</v>
          </cell>
          <cell r="C449" t="str">
            <v>BASE PARA MASTRO DE PARA-RAIOS DIAMETRO NOMINAL 2"</v>
          </cell>
          <cell r="D449" t="str">
            <v>UN</v>
          </cell>
          <cell r="E449" t="str">
            <v>CR</v>
          </cell>
          <cell r="F449">
            <v>61.95</v>
          </cell>
        </row>
        <row r="450">
          <cell r="B450">
            <v>39380</v>
          </cell>
          <cell r="C450" t="str">
            <v>BASE PARA RELE COM SUPORTE METALICO</v>
          </cell>
          <cell r="D450" t="str">
            <v>UN</v>
          </cell>
          <cell r="E450" t="str">
            <v>CR</v>
          </cell>
          <cell r="F450">
            <v>18.32</v>
          </cell>
        </row>
        <row r="451">
          <cell r="B451">
            <v>44172</v>
          </cell>
          <cell r="C451" t="str">
            <v>BASTIDOR PARA BLOCO M10</v>
          </cell>
          <cell r="D451" t="str">
            <v>UN</v>
          </cell>
          <cell r="E451" t="str">
            <v>CR</v>
          </cell>
          <cell r="F451">
            <v>7.43</v>
          </cell>
        </row>
        <row r="452">
          <cell r="B452">
            <v>37597</v>
          </cell>
          <cell r="C452" t="str">
            <v>BATE-ESTACAS POR GRAVIDADE, POTENCIA160 HP, PESO DO MARTELO ATE 3 TONELADAS</v>
          </cell>
          <cell r="D452" t="str">
            <v>UN</v>
          </cell>
          <cell r="E452" t="str">
            <v>CR</v>
          </cell>
          <cell r="F452">
            <v>656464.84</v>
          </cell>
        </row>
        <row r="453">
          <cell r="B453">
            <v>183</v>
          </cell>
          <cell r="C453" t="str">
            <v>BATENTE / PORTAL / ADUELA / MARCO EM MADEIRA MACICA COM REBAIXO, E = *3* CM, L = *14* CM, PARA PORTAS DE GIRO DE *60 CM A 120* CM X *210* CM, CEDRINHO / ANGELIM COMERCIAL / TAURI / CURUPIXA / PEROBA / CUMARU OU EQUIVALENTE DA REGIAO (NAO INCLUI ALIZARES)</v>
          </cell>
          <cell r="D453" t="str">
            <v>JG</v>
          </cell>
          <cell r="E453" t="str">
            <v>C</v>
          </cell>
          <cell r="F453">
            <v>280</v>
          </cell>
        </row>
        <row r="454">
          <cell r="B454">
            <v>184</v>
          </cell>
          <cell r="C454" t="str">
            <v>BATENTE / PORTAL / ADUELA / MARCO EM MADEIRA MACICA COM REBAIXO, E = *3* CM, L = *14* CM, PARA PORTAS DE GIRO DE *60 CM A 120* CM X *210* CM, PINUS / EUCALIPTO / VIROLA OU EQUIVALENTE DA REGIAO (NAO INCLUI ALIZARES)</v>
          </cell>
          <cell r="D454" t="str">
            <v>JG</v>
          </cell>
          <cell r="E454" t="str">
            <v>CR</v>
          </cell>
          <cell r="F454">
            <v>173.41</v>
          </cell>
        </row>
        <row r="455">
          <cell r="B455">
            <v>181</v>
          </cell>
          <cell r="C455" t="str">
            <v>BATENTE / PORTAL / ADUELA / MARCO EM MADEIRA MACICA COM REBAIXO, E = *3* CM, L = *16* CM, PARA PORTAS DE GIRO DE *60 CM A 120* CM X *210* CM, CEDRINHO / ANGELIM COMERCIAL / TAURI / CURUPIXA / PEROBA / CUMARU OU EQUIVALENTE DA REGIAO (NAO INCLUI ALIZARES)</v>
          </cell>
          <cell r="D455" t="str">
            <v>JG</v>
          </cell>
          <cell r="E455" t="str">
            <v>CR</v>
          </cell>
          <cell r="F455">
            <v>373.93</v>
          </cell>
        </row>
        <row r="456">
          <cell r="B456">
            <v>20001</v>
          </cell>
          <cell r="C456" t="str">
            <v>BATENTE / PORTAL / ADUELA / MARCO EM MADEIRA MACICA COM REBAIXO, E = *3* CM, L = *16* CM, PARA PORTAS DE GIRO DE *60 CM A 120* CM X *210* CM, PINUS / EUCALIPTO / VIROLA OU EQUIVALENTE DA REGIAO (NAO INCLUI ALIZARES)</v>
          </cell>
          <cell r="D456" t="str">
            <v>JG</v>
          </cell>
          <cell r="E456" t="str">
            <v>CR</v>
          </cell>
          <cell r="F456">
            <v>216.77</v>
          </cell>
        </row>
        <row r="457">
          <cell r="B457">
            <v>39837</v>
          </cell>
          <cell r="C457" t="str">
            <v>BATENTE/PORTAL/ADUELA/MARCO, EM MDF/PVC WOOD/POLIESTIRENO OU MADEIRA LAMINADA, L = *9,0* CM COM GUARNICAO REGULAVEL 2 FACES = *35* MM, PRIMER</v>
          </cell>
          <cell r="D457" t="str">
            <v>JG</v>
          </cell>
          <cell r="E457" t="str">
            <v>CR</v>
          </cell>
          <cell r="F457">
            <v>397.22</v>
          </cell>
        </row>
        <row r="458">
          <cell r="B458">
            <v>43366</v>
          </cell>
          <cell r="C458" t="str">
            <v>BENTONITA, ARGILA CONSTITUIDA POR MONTMORILONITA</v>
          </cell>
          <cell r="D458" t="str">
            <v>KG</v>
          </cell>
          <cell r="E458" t="str">
            <v>CR</v>
          </cell>
          <cell r="F458">
            <v>1.64</v>
          </cell>
        </row>
        <row r="459">
          <cell r="B459">
            <v>10535</v>
          </cell>
          <cell r="C459" t="str">
            <v>BETONEIRA, CAPACIDADE NOMINAL 400 L, CAPACIDADE DE MISTURA 280 L, MOTOR ELETRICO TRIFASICO 220/380 V, POTENCIA 2 CV, SEM CARREGADOR</v>
          </cell>
          <cell r="D459" t="str">
            <v>UN</v>
          </cell>
          <cell r="E459" t="str">
            <v>C</v>
          </cell>
          <cell r="F459">
            <v>5399.5</v>
          </cell>
        </row>
        <row r="460">
          <cell r="B460">
            <v>10537</v>
          </cell>
          <cell r="C460" t="str">
            <v>BETONEIRA, CAPACIDADE NOMINAL 400 L, CAPACIDADE DE MISTURA 310 L, MOTOR A DIESEL, POTENCIA 5 CV, SEM CARREGADOR</v>
          </cell>
          <cell r="D460" t="str">
            <v>UN</v>
          </cell>
          <cell r="E460" t="str">
            <v>CR</v>
          </cell>
          <cell r="F460">
            <v>7363.45</v>
          </cell>
        </row>
        <row r="461">
          <cell r="B461">
            <v>13891</v>
          </cell>
          <cell r="C461" t="str">
            <v>BETONEIRA, CAPACIDADE NOMINAL 400 L, CAPACIDADE DE MISTURA 310 L, MOTOR A GASOLINA, POTENCIA 5,5 CV, SEM CARREGADOR</v>
          </cell>
          <cell r="D461" t="str">
            <v>UN</v>
          </cell>
          <cell r="E461" t="str">
            <v>CR</v>
          </cell>
          <cell r="F461">
            <v>6753.95</v>
          </cell>
        </row>
        <row r="462">
          <cell r="B462">
            <v>36397</v>
          </cell>
          <cell r="C462" t="str">
            <v>BETONEIRA, CAPACIDADE NOMINAL 600 L, CAPACIDADE DE MISTURA 360 L, MOTOR ELETRICO TRIFASICO 220/380V, POTENCIA 4CV, SEM CARREGADOR</v>
          </cell>
          <cell r="D462" t="str">
            <v>UN</v>
          </cell>
          <cell r="E462" t="str">
            <v>CR</v>
          </cell>
          <cell r="F462">
            <v>21964.06</v>
          </cell>
        </row>
        <row r="463">
          <cell r="B463">
            <v>36398</v>
          </cell>
          <cell r="C463" t="str">
            <v>BETONEIRA, CAPACIDADE NOMINAL 600 L, CAPACIDADE DE MISTURA 440 L, MOTOR A DIESEL, POTENCIA 10 CV, COM CARREGADOR</v>
          </cell>
          <cell r="D463" t="str">
            <v>UN</v>
          </cell>
          <cell r="E463" t="str">
            <v>CR</v>
          </cell>
          <cell r="F463">
            <v>26695.49</v>
          </cell>
        </row>
        <row r="464">
          <cell r="B464">
            <v>647</v>
          </cell>
          <cell r="C464" t="str">
            <v>BLASTER, DINAMITADOR OU CABO DE FOGO (HORISTA)</v>
          </cell>
          <cell r="D464" t="str">
            <v>H</v>
          </cell>
          <cell r="E464" t="str">
            <v>CR</v>
          </cell>
          <cell r="F464">
            <v>32.049999999999997</v>
          </cell>
        </row>
        <row r="465">
          <cell r="B465">
            <v>40920</v>
          </cell>
          <cell r="C465" t="str">
            <v>BLASTER, DINAMITADOR OU CABO DE FOGO (MENSALISTA)</v>
          </cell>
          <cell r="D465" t="str">
            <v>MES</v>
          </cell>
          <cell r="E465" t="str">
            <v>CR</v>
          </cell>
          <cell r="F465">
            <v>5616.96</v>
          </cell>
        </row>
        <row r="466">
          <cell r="B466">
            <v>715</v>
          </cell>
          <cell r="C466" t="str">
            <v>BLOCO / TIJOLO DE VIDRO INCOLOR, CANELADO / ONDULADO, *19 X 19 X 8* CM (A X L X E)</v>
          </cell>
          <cell r="D466" t="str">
            <v>UN</v>
          </cell>
          <cell r="E466" t="str">
            <v>C</v>
          </cell>
          <cell r="F466">
            <v>18.97</v>
          </cell>
        </row>
        <row r="467">
          <cell r="B467">
            <v>716</v>
          </cell>
          <cell r="C467" t="str">
            <v>BLOCO / TIJOLO DE VIDRO INCOLOR, XADREZ, *20 X 20 X 10* CM (A X L X E)</v>
          </cell>
          <cell r="D467" t="str">
            <v>UN</v>
          </cell>
          <cell r="E467" t="str">
            <v>CR</v>
          </cell>
          <cell r="F467">
            <v>21.45</v>
          </cell>
        </row>
        <row r="468">
          <cell r="B468">
            <v>7270</v>
          </cell>
          <cell r="C468" t="str">
            <v>BLOCO CERAMICO / TIJOLO VAZADO PARA ALVENARIA DE VEDACAO, 4 FUROS NA HORIZONTAL DE 9 X 9 X 19 CM (L X A X C)</v>
          </cell>
          <cell r="D468" t="str">
            <v>UN</v>
          </cell>
          <cell r="E468" t="str">
            <v>CR</v>
          </cell>
          <cell r="F468">
            <v>0.76</v>
          </cell>
        </row>
        <row r="469">
          <cell r="B469">
            <v>44460</v>
          </cell>
          <cell r="C469" t="str">
            <v>BLOCO CERAMICO / TIJOLO VAZADO PARA ALVENARIA DE VEDACAO, 6 FUROS NA HORIZONTAL DE 11,5 X 19 X 29 CM (L X A X C)</v>
          </cell>
          <cell r="D469" t="str">
            <v>UN</v>
          </cell>
          <cell r="E469" t="str">
            <v>CR</v>
          </cell>
          <cell r="F469">
            <v>1.28</v>
          </cell>
        </row>
        <row r="470">
          <cell r="B470">
            <v>44461</v>
          </cell>
          <cell r="C470" t="str">
            <v>BLOCO CERAMICO / TIJOLO VAZADO PARA ALVENARIA DE VEDACAO, 6 FUROS NA HORIZONTAL DE 11,5 X 19 X 39 CM (L X A X C)</v>
          </cell>
          <cell r="D470" t="str">
            <v>UN</v>
          </cell>
          <cell r="E470" t="str">
            <v>CR</v>
          </cell>
          <cell r="F470">
            <v>1.75</v>
          </cell>
        </row>
        <row r="471">
          <cell r="B471">
            <v>7267</v>
          </cell>
          <cell r="C471" t="str">
            <v>BLOCO CERAMICO / TIJOLO VAZADO PARA ALVENARIA DE VEDACAO, 6 FUROS NA HORIZONTAL DE 9 X 14 X 19 CM (L X A X C)</v>
          </cell>
          <cell r="D471" t="str">
            <v>UN</v>
          </cell>
          <cell r="E471" t="str">
            <v>CR</v>
          </cell>
          <cell r="F471">
            <v>0.64</v>
          </cell>
        </row>
        <row r="472">
          <cell r="B472">
            <v>44458</v>
          </cell>
          <cell r="C472" t="str">
            <v>BLOCO CERAMICO / TIJOLO VAZADO PARA ALVENARIA DE VEDACAO, 6 FUROS NA HORIZONTAL DE 9 X 14 X 24 CM (L X A X C)</v>
          </cell>
          <cell r="D472" t="str">
            <v>UN</v>
          </cell>
          <cell r="E472" t="str">
            <v>CR</v>
          </cell>
          <cell r="F472">
            <v>0.78</v>
          </cell>
        </row>
        <row r="473">
          <cell r="B473">
            <v>44457</v>
          </cell>
          <cell r="C473" t="str">
            <v>BLOCO CERAMICO / TIJOLO VAZADO PARA ALVENARIA DE VEDACAO, 6 FUROS NA HORIZONTAL DE 9 X 19 X 39 CM (L X A X C)</v>
          </cell>
          <cell r="D473" t="str">
            <v>UN</v>
          </cell>
          <cell r="E473" t="str">
            <v>CR</v>
          </cell>
          <cell r="F473">
            <v>1.52</v>
          </cell>
        </row>
        <row r="474">
          <cell r="B474">
            <v>7271</v>
          </cell>
          <cell r="C474" t="str">
            <v>BLOCO CERAMICO / TIJOLO VAZADO PARA ALVENARIA DE VEDACAO, 8 FUROS NA HORIZONTAL DE 9 X 19 X 19 CM (L X A X C)</v>
          </cell>
          <cell r="D474" t="str">
            <v>UN</v>
          </cell>
          <cell r="E474" t="str">
            <v>C</v>
          </cell>
          <cell r="F474">
            <v>0.82</v>
          </cell>
        </row>
        <row r="475">
          <cell r="B475">
            <v>7268</v>
          </cell>
          <cell r="C475" t="str">
            <v>BLOCO CERAMICO / TIJOLO VAZADO PARA ALVENARIA DE VEDACAO, 8 FUROS NA HORIZONTAL DE 9 X 19 X 29 CM (L X A X C)</v>
          </cell>
          <cell r="D475" t="str">
            <v>UN</v>
          </cell>
          <cell r="E475" t="str">
            <v>CR</v>
          </cell>
          <cell r="F475">
            <v>1.28</v>
          </cell>
        </row>
        <row r="476">
          <cell r="B476">
            <v>44459</v>
          </cell>
          <cell r="C476" t="str">
            <v>BLOCO CERAMICO / TIJOLO VAZADO PARA ALVENARIA DE VEDACAO, 9 FUROS NA HORIZONTAL DE 11,5 X 14 X 24 CM (L X A X C)</v>
          </cell>
          <cell r="D476" t="str">
            <v>UN</v>
          </cell>
          <cell r="E476" t="str">
            <v>CR</v>
          </cell>
          <cell r="F476">
            <v>0.82</v>
          </cell>
        </row>
        <row r="477">
          <cell r="B477">
            <v>44462</v>
          </cell>
          <cell r="C477" t="str">
            <v>BLOCO CERAMICO / TIJOLO VAZADO PARA ALVENARIA DE VEDACAO, 9 FUROS NA HORIZONTAL DE 14 X 19 X 29 CM (L X A X C)</v>
          </cell>
          <cell r="D477" t="str">
            <v>UN</v>
          </cell>
          <cell r="E477" t="str">
            <v>CR</v>
          </cell>
          <cell r="F477">
            <v>1.46</v>
          </cell>
        </row>
        <row r="478">
          <cell r="B478">
            <v>44463</v>
          </cell>
          <cell r="C478" t="str">
            <v>BLOCO CERAMICO / TIJOLO VAZADO PARA ALVENARIA DE VEDACAO, 9 FUROS NA HORIZONTAL DE 14 X 19 X 39 CM (L X A X C)</v>
          </cell>
          <cell r="D478" t="str">
            <v>UN</v>
          </cell>
          <cell r="E478" t="str">
            <v>CR</v>
          </cell>
          <cell r="F478">
            <v>1.88</v>
          </cell>
        </row>
        <row r="479">
          <cell r="B479">
            <v>44464</v>
          </cell>
          <cell r="C479" t="str">
            <v>BLOCO CERAMICO / TIJOLO VAZADO PARA ALVENARIA DE VEDACAO, 9 FUROS NA HORIZONTAL DE 19 X 19 X 29 CM (L X A X C)</v>
          </cell>
          <cell r="D479" t="str">
            <v>UN</v>
          </cell>
          <cell r="E479" t="str">
            <v>CR</v>
          </cell>
          <cell r="F479">
            <v>1.95</v>
          </cell>
        </row>
        <row r="480">
          <cell r="B480">
            <v>44465</v>
          </cell>
          <cell r="C480" t="str">
            <v>BLOCO CERAMICO / TIJOLO VAZADO PARA ALVENARIA DE VEDACAO, 9 FUROS NA HORIZONTAL DE 19 X 19 X 39 CM (L X A X C)</v>
          </cell>
          <cell r="D480" t="str">
            <v>UN</v>
          </cell>
          <cell r="E480" t="str">
            <v>CR</v>
          </cell>
          <cell r="F480">
            <v>2.68</v>
          </cell>
        </row>
        <row r="481">
          <cell r="B481">
            <v>38783</v>
          </cell>
          <cell r="C481" t="str">
            <v>BLOCO CERAMICO / TIJOLO VAZADO PARA ALVENARIA DE VEDACAO, FUROS NA HORIZONTAL DE 11,5 X 19 X 19 CM (L X A X C)</v>
          </cell>
          <cell r="D481" t="str">
            <v>UN</v>
          </cell>
          <cell r="E481" t="str">
            <v>CR</v>
          </cell>
          <cell r="F481">
            <v>0.93</v>
          </cell>
        </row>
        <row r="482">
          <cell r="B482">
            <v>44466</v>
          </cell>
          <cell r="C482" t="str">
            <v>BLOCO CERAMICO / TIJOLO VAZADO PARA ALVENARIA DE VEDACAO, FUROS NA VERTICAL DE 11,5 X 19 X 29 CM (L X A X C)</v>
          </cell>
          <cell r="D482" t="str">
            <v>UN</v>
          </cell>
          <cell r="E482" t="str">
            <v>CR</v>
          </cell>
          <cell r="F482">
            <v>1.9</v>
          </cell>
        </row>
        <row r="483">
          <cell r="B483">
            <v>44467</v>
          </cell>
          <cell r="C483" t="str">
            <v>BLOCO CERAMICO / TIJOLO VAZADO PARA ALVENARIA DE VEDACAO, FUROS NA VERTICAL DE 11,5 X 19 X 39 CM (L X A X C)</v>
          </cell>
          <cell r="D483" t="str">
            <v>UN</v>
          </cell>
          <cell r="E483" t="str">
            <v>CR</v>
          </cell>
          <cell r="F483">
            <v>2.29</v>
          </cell>
        </row>
        <row r="484">
          <cell r="B484">
            <v>44468</v>
          </cell>
          <cell r="C484" t="str">
            <v>BLOCO CERAMICO / TIJOLO VAZADO PARA ALVENARIA DE VEDACAO, FUROS NA VERTICAL DE 14 X 19 X 29 CM (L X A X C)</v>
          </cell>
          <cell r="D484" t="str">
            <v>UN</v>
          </cell>
          <cell r="E484" t="str">
            <v>CR</v>
          </cell>
          <cell r="F484">
            <v>1.99</v>
          </cell>
        </row>
        <row r="485">
          <cell r="B485">
            <v>37593</v>
          </cell>
          <cell r="C485" t="str">
            <v>BLOCO CERAMICO / TIJOLO VAZADO PARA ALVENARIA DE VEDACAO, FUROS NA VERTICAL DE 14 X 19 X 39 CM (L X A X C)</v>
          </cell>
          <cell r="D485" t="str">
            <v>UN</v>
          </cell>
          <cell r="E485" t="str">
            <v>CR</v>
          </cell>
          <cell r="F485">
            <v>2.56</v>
          </cell>
        </row>
        <row r="486">
          <cell r="B486">
            <v>37594</v>
          </cell>
          <cell r="C486" t="str">
            <v>BLOCO CERAMICO / TIJOLO VAZADO PARA ALVENARIA DE VEDACAO, FUROS NA VERTICAL DE 19 X 19 X 39 CM (L X A X C)</v>
          </cell>
          <cell r="D486" t="str">
            <v>UN</v>
          </cell>
          <cell r="E486" t="str">
            <v>CR</v>
          </cell>
          <cell r="F486">
            <v>3.04</v>
          </cell>
        </row>
        <row r="487">
          <cell r="B487">
            <v>37592</v>
          </cell>
          <cell r="C487" t="str">
            <v>BLOCO CERAMICO / TIJOLO VAZADO PARA ALVENARIA DE VEDACAO, FUROS NA VERTICAL DE 9 X 19 X 39 CM (L X A X C)</v>
          </cell>
          <cell r="D487" t="str">
            <v>UN</v>
          </cell>
          <cell r="E487" t="str">
            <v>CR</v>
          </cell>
          <cell r="F487">
            <v>2.02</v>
          </cell>
        </row>
        <row r="488">
          <cell r="B488">
            <v>41372</v>
          </cell>
          <cell r="C488" t="str">
            <v>BLOCO CONCRETO CELULAR AUTOCLAVADO 12,5 X 30 X 60 CM (E X A X C)</v>
          </cell>
          <cell r="D488" t="str">
            <v>M2</v>
          </cell>
          <cell r="E488" t="str">
            <v>CR</v>
          </cell>
          <cell r="F488">
            <v>145.57</v>
          </cell>
        </row>
        <row r="489">
          <cell r="B489">
            <v>41371</v>
          </cell>
          <cell r="C489" t="str">
            <v>BLOCO CONCRETO CELULAR AUTOCLAVADO 7,5 X 30 X 60 CM (E X A X C)</v>
          </cell>
          <cell r="D489" t="str">
            <v>M2</v>
          </cell>
          <cell r="E489" t="str">
            <v>CR</v>
          </cell>
          <cell r="F489">
            <v>86.04</v>
          </cell>
        </row>
        <row r="490">
          <cell r="B490">
            <v>34556</v>
          </cell>
          <cell r="C490" t="str">
            <v>BLOCO DE CONCRETO ESTRUTURAL 14 X 19 X 29 CM, FBK 10 MPA (NBR 6136)</v>
          </cell>
          <cell r="D490" t="str">
            <v>UN</v>
          </cell>
          <cell r="E490" t="str">
            <v>CR</v>
          </cell>
          <cell r="F490">
            <v>4.66</v>
          </cell>
        </row>
        <row r="491">
          <cell r="B491">
            <v>37873</v>
          </cell>
          <cell r="C491" t="str">
            <v>BLOCO DE CONCRETO ESTRUTURAL 14 X 19 X 29 CM, FBK 12 MPA (NBR 6136)</v>
          </cell>
          <cell r="D491" t="str">
            <v>UN</v>
          </cell>
          <cell r="E491" t="str">
            <v>CR</v>
          </cell>
          <cell r="F491">
            <v>4.75</v>
          </cell>
        </row>
        <row r="492">
          <cell r="B492">
            <v>34564</v>
          </cell>
          <cell r="C492" t="str">
            <v>BLOCO DE CONCRETO ESTRUTURAL 14 X 19 X 29 CM, FBK 14 MPA (NBR 6136)</v>
          </cell>
          <cell r="D492" t="str">
            <v>UN</v>
          </cell>
          <cell r="E492" t="str">
            <v>CR</v>
          </cell>
          <cell r="F492">
            <v>4.97</v>
          </cell>
        </row>
        <row r="493">
          <cell r="B493">
            <v>34565</v>
          </cell>
          <cell r="C493" t="str">
            <v>BLOCO DE CONCRETO ESTRUTURAL 14 X 19 X 29 CM, FBK 16 MPA (NBR 6136)</v>
          </cell>
          <cell r="D493" t="str">
            <v>UN</v>
          </cell>
          <cell r="E493" t="str">
            <v>CR</v>
          </cell>
          <cell r="F493">
            <v>5.26</v>
          </cell>
        </row>
        <row r="494">
          <cell r="B494">
            <v>38590</v>
          </cell>
          <cell r="C494" t="str">
            <v>BLOCO DE CONCRETO ESTRUTURAL 14 X 19 X 29 CM, FBK 4,5 MPA (NBR 6136)</v>
          </cell>
          <cell r="D494" t="str">
            <v>UN</v>
          </cell>
          <cell r="E494" t="str">
            <v>CR</v>
          </cell>
          <cell r="F494">
            <v>3.89</v>
          </cell>
        </row>
        <row r="495">
          <cell r="B495">
            <v>34566</v>
          </cell>
          <cell r="C495" t="str">
            <v>BLOCO DE CONCRETO ESTRUTURAL 14 X 19 X 29 CM, FBK 6 MPA (NBR 6136)</v>
          </cell>
          <cell r="D495" t="str">
            <v>UN</v>
          </cell>
          <cell r="E495" t="str">
            <v>CR</v>
          </cell>
          <cell r="F495">
            <v>4.08</v>
          </cell>
        </row>
        <row r="496">
          <cell r="B496">
            <v>34567</v>
          </cell>
          <cell r="C496" t="str">
            <v>BLOCO DE CONCRETO ESTRUTURAL 14 X 19 X 29 CM, FBK 8 MPA (NBR 6136)</v>
          </cell>
          <cell r="D496" t="str">
            <v>UN</v>
          </cell>
          <cell r="E496" t="str">
            <v>CR</v>
          </cell>
          <cell r="F496">
            <v>4.33</v>
          </cell>
        </row>
        <row r="497">
          <cell r="B497">
            <v>38591</v>
          </cell>
          <cell r="C497" t="str">
            <v>BLOCO DE CONCRETO ESTRUTURAL 14 X 19 X 34 CM, FBK 4,5 MPA (NBR 6136)</v>
          </cell>
          <cell r="D497" t="str">
            <v>UN</v>
          </cell>
          <cell r="E497" t="str">
            <v>CR</v>
          </cell>
          <cell r="F497">
            <v>3.93</v>
          </cell>
        </row>
        <row r="498">
          <cell r="B498">
            <v>34568</v>
          </cell>
          <cell r="C498" t="str">
            <v>BLOCO DE CONCRETO ESTRUTURAL 14 X 19 X 39 CM, FBK 10 MPA (NBR 6136)</v>
          </cell>
          <cell r="D498" t="str">
            <v>UN</v>
          </cell>
          <cell r="E498" t="str">
            <v>CR</v>
          </cell>
          <cell r="F498">
            <v>5.1100000000000003</v>
          </cell>
        </row>
        <row r="499">
          <cell r="B499">
            <v>34569</v>
          </cell>
          <cell r="C499" t="str">
            <v>BLOCO DE CONCRETO ESTRUTURAL 14 X 19 X 39 CM, FBK 12 MPA (NBR 6136)</v>
          </cell>
          <cell r="D499" t="str">
            <v>UN</v>
          </cell>
          <cell r="E499" t="str">
            <v>CR</v>
          </cell>
          <cell r="F499">
            <v>5.26</v>
          </cell>
        </row>
        <row r="500">
          <cell r="B500">
            <v>34570</v>
          </cell>
          <cell r="C500" t="str">
            <v>BLOCO DE CONCRETO ESTRUTURAL 14 X 19 X 39 CM, FBK 14 MPA (NBR 6136)</v>
          </cell>
          <cell r="D500" t="str">
            <v>UN</v>
          </cell>
          <cell r="E500" t="str">
            <v>CR</v>
          </cell>
          <cell r="F500">
            <v>5.71</v>
          </cell>
        </row>
        <row r="501">
          <cell r="B501">
            <v>25070</v>
          </cell>
          <cell r="C501" t="str">
            <v>BLOCO DE CONCRETO ESTRUTURAL 14 X 19 X 39 CM, FBK 4,5 MPA (NBR 6136)</v>
          </cell>
          <cell r="D501" t="str">
            <v>UN</v>
          </cell>
          <cell r="E501" t="str">
            <v>CR</v>
          </cell>
          <cell r="F501">
            <v>4.29</v>
          </cell>
        </row>
        <row r="502">
          <cell r="B502">
            <v>34571</v>
          </cell>
          <cell r="C502" t="str">
            <v>BLOCO DE CONCRETO ESTRUTURAL 14 X 19 X 39 CM, FBK 6 MPA (NBR 6136)</v>
          </cell>
          <cell r="D502" t="str">
            <v>UN</v>
          </cell>
          <cell r="E502" t="str">
            <v>CR</v>
          </cell>
          <cell r="F502">
            <v>4.34</v>
          </cell>
        </row>
        <row r="503">
          <cell r="B503">
            <v>34573</v>
          </cell>
          <cell r="C503" t="str">
            <v>BLOCO DE CONCRETO ESTRUTURAL 14 X 19 X 39 CM, FBK 8 MPA (NBR 6136)</v>
          </cell>
          <cell r="D503" t="str">
            <v>UN</v>
          </cell>
          <cell r="E503" t="str">
            <v>CR</v>
          </cell>
          <cell r="F503">
            <v>4.5599999999999996</v>
          </cell>
        </row>
        <row r="504">
          <cell r="B504">
            <v>37107</v>
          </cell>
          <cell r="C504" t="str">
            <v>BLOCO DE CONCRETO ESTRUTURAL 14 X 19 X 39, FCK 16 MPA (NBR 6136)</v>
          </cell>
          <cell r="D504" t="str">
            <v>UN</v>
          </cell>
          <cell r="E504" t="str">
            <v>CR</v>
          </cell>
          <cell r="F504">
            <v>6.03</v>
          </cell>
        </row>
        <row r="505">
          <cell r="B505">
            <v>34576</v>
          </cell>
          <cell r="C505" t="str">
            <v>BLOCO DE CONCRETO ESTRUTURAL 19 X 19 X 39 CM, FBK 10 MPA (NBR 6136)</v>
          </cell>
          <cell r="D505" t="str">
            <v>UN</v>
          </cell>
          <cell r="E505" t="str">
            <v>CR</v>
          </cell>
          <cell r="F505">
            <v>6.65</v>
          </cell>
        </row>
        <row r="506">
          <cell r="B506">
            <v>34577</v>
          </cell>
          <cell r="C506" t="str">
            <v>BLOCO DE CONCRETO ESTRUTURAL 19 X 19 X 39 CM, FBK 12 MPA (NBR 6136)</v>
          </cell>
          <cell r="D506" t="str">
            <v>UN</v>
          </cell>
          <cell r="E506" t="str">
            <v>CR</v>
          </cell>
          <cell r="F506">
            <v>6.94</v>
          </cell>
        </row>
        <row r="507">
          <cell r="B507">
            <v>34578</v>
          </cell>
          <cell r="C507" t="str">
            <v>BLOCO DE CONCRETO ESTRUTURAL 19 X 19 X 39 CM, FBK 14 MPA (NBR 6136)</v>
          </cell>
          <cell r="D507" t="str">
            <v>UN</v>
          </cell>
          <cell r="E507" t="str">
            <v>CR</v>
          </cell>
          <cell r="F507">
            <v>7.52</v>
          </cell>
        </row>
        <row r="508">
          <cell r="B508">
            <v>34579</v>
          </cell>
          <cell r="C508" t="str">
            <v>BLOCO DE CONCRETO ESTRUTURAL 19 X 19 X 39 CM, FBK 16 MPA (NBR 6136)</v>
          </cell>
          <cell r="D508" t="str">
            <v>UN</v>
          </cell>
          <cell r="E508" t="str">
            <v>CR</v>
          </cell>
          <cell r="F508">
            <v>8.02</v>
          </cell>
        </row>
        <row r="509">
          <cell r="B509">
            <v>25067</v>
          </cell>
          <cell r="C509" t="str">
            <v>BLOCO DE CONCRETO ESTRUTURAL 19 X 19 X 39 CM, FBK 4,5 MPA (NBR 6136)</v>
          </cell>
          <cell r="D509" t="str">
            <v>UN</v>
          </cell>
          <cell r="E509" t="str">
            <v>CR</v>
          </cell>
          <cell r="F509">
            <v>5.37</v>
          </cell>
        </row>
        <row r="510">
          <cell r="B510">
            <v>34580</v>
          </cell>
          <cell r="C510" t="str">
            <v>BLOCO DE CONCRETO ESTRUTURAL 19 X 19 X 39 CM, FBK 8 MPA (NBR 6136)</v>
          </cell>
          <cell r="D510" t="str">
            <v>UN</v>
          </cell>
          <cell r="E510" t="str">
            <v>CR</v>
          </cell>
          <cell r="F510">
            <v>5.99</v>
          </cell>
        </row>
        <row r="511">
          <cell r="B511">
            <v>25071</v>
          </cell>
          <cell r="C511" t="str">
            <v>BLOCO DE CONCRETO ESTRUTURAL 9 X 19 X 39 CM, FBK 4,5 MPA (NBR 6136)</v>
          </cell>
          <cell r="D511" t="str">
            <v>UN</v>
          </cell>
          <cell r="E511" t="str">
            <v>CR</v>
          </cell>
          <cell r="F511">
            <v>2.98</v>
          </cell>
        </row>
        <row r="512">
          <cell r="B512">
            <v>44171</v>
          </cell>
          <cell r="C512" t="str">
            <v>BLOCO DE ENGATE RAPIDO PARA BASTIDOR TIPO M10</v>
          </cell>
          <cell r="D512" t="str">
            <v>UN</v>
          </cell>
          <cell r="E512" t="str">
            <v>CR</v>
          </cell>
          <cell r="F512">
            <v>21.21</v>
          </cell>
        </row>
        <row r="513">
          <cell r="B513">
            <v>38395</v>
          </cell>
          <cell r="C513" t="str">
            <v>BLOCO DE ESPUMA MULTIUSO *23X 13 X 8* CM</v>
          </cell>
          <cell r="D513" t="str">
            <v>UN</v>
          </cell>
          <cell r="E513" t="str">
            <v>CR</v>
          </cell>
          <cell r="F513">
            <v>9.64</v>
          </cell>
        </row>
        <row r="514">
          <cell r="B514">
            <v>34583</v>
          </cell>
          <cell r="C514" t="str">
            <v>BLOCO DE GESSO COMPACTO / MACICO, BRANCO, E = 10 CM, DIMENSOES *67 X 50* CM</v>
          </cell>
          <cell r="D514" t="str">
            <v>M2</v>
          </cell>
          <cell r="E514" t="str">
            <v>CR</v>
          </cell>
          <cell r="F514">
            <v>57.92</v>
          </cell>
        </row>
        <row r="515">
          <cell r="B515">
            <v>34584</v>
          </cell>
          <cell r="C515" t="str">
            <v>BLOCO DE GESSO VAZADO, BRANCO, E = *7* CM, DIMENSOES *67 X 50* CM</v>
          </cell>
          <cell r="D515" t="str">
            <v>M2</v>
          </cell>
          <cell r="E515" t="str">
            <v>CR</v>
          </cell>
          <cell r="F515">
            <v>42.48</v>
          </cell>
        </row>
        <row r="516">
          <cell r="B516">
            <v>709</v>
          </cell>
          <cell r="C516" t="str">
            <v>BLOCO DE POLIETILENO ALTA DENSIDADE, *27* X *30* X *100* CM, ACOMPANHADOS PLACAS TERMINAIS E LONGARINAS, PARA FUNDO DE FILTRO</v>
          </cell>
          <cell r="D516" t="str">
            <v>M2</v>
          </cell>
          <cell r="E516" t="str">
            <v>CR</v>
          </cell>
          <cell r="F516">
            <v>784.9</v>
          </cell>
        </row>
        <row r="517">
          <cell r="B517">
            <v>34592</v>
          </cell>
          <cell r="C517" t="str">
            <v>BLOCO DE VEDACAO CONCRETO 14 X 19 X 29 CM (CLASSE C - NBR 6136)</v>
          </cell>
          <cell r="D517" t="str">
            <v>UN</v>
          </cell>
          <cell r="E517" t="str">
            <v>CR</v>
          </cell>
          <cell r="F517">
            <v>3.41</v>
          </cell>
        </row>
        <row r="518">
          <cell r="B518">
            <v>34599</v>
          </cell>
          <cell r="C518" t="str">
            <v>BLOCO DE VEDACAO CONCRETO APARENTE 9 X 19 X 39 CM (CLASSE C - NBR 6136)</v>
          </cell>
          <cell r="D518" t="str">
            <v>UN</v>
          </cell>
          <cell r="E518" t="str">
            <v>CR</v>
          </cell>
          <cell r="F518">
            <v>3.07</v>
          </cell>
        </row>
        <row r="519">
          <cell r="B519">
            <v>651</v>
          </cell>
          <cell r="C519" t="str">
            <v>BLOCO DE VEDACAO DE CONCRETO 14 X 19 X 39 CM (CLASSE C - NBR 6136)</v>
          </cell>
          <cell r="D519" t="str">
            <v>UN</v>
          </cell>
          <cell r="E519" t="str">
            <v>CR</v>
          </cell>
          <cell r="F519">
            <v>3.76</v>
          </cell>
        </row>
        <row r="520">
          <cell r="B520">
            <v>654</v>
          </cell>
          <cell r="C520" t="str">
            <v>BLOCO DE VEDACAO DE CONCRETO 19 X 19 X 39 CM (CLASSE C - NBR 6136)</v>
          </cell>
          <cell r="D520" t="str">
            <v>UN</v>
          </cell>
          <cell r="E520" t="str">
            <v>CR</v>
          </cell>
          <cell r="F520">
            <v>4.66</v>
          </cell>
        </row>
        <row r="521">
          <cell r="B521">
            <v>37103</v>
          </cell>
          <cell r="C521" t="str">
            <v>BLOCO DE VEDACAO DE CONCRETO APARENTE 14 X 19 X 39 CM (CLASSE C - NBR 6136)</v>
          </cell>
          <cell r="D521" t="str">
            <v>UN</v>
          </cell>
          <cell r="E521" t="str">
            <v>CR</v>
          </cell>
          <cell r="F521">
            <v>3.91</v>
          </cell>
        </row>
        <row r="522">
          <cell r="B522">
            <v>34555</v>
          </cell>
          <cell r="C522" t="str">
            <v>BLOCO DE VEDACAO DE CONCRETO APARENTE 19 X 19 X 39 CM (CLASSE C - NBR 6136)</v>
          </cell>
          <cell r="D522" t="str">
            <v>UN</v>
          </cell>
          <cell r="E522" t="str">
            <v>CR</v>
          </cell>
          <cell r="F522">
            <v>4.96</v>
          </cell>
        </row>
        <row r="523">
          <cell r="B523">
            <v>674</v>
          </cell>
          <cell r="C523" t="str">
            <v>BLOCO DE VEDACAO DE CONCRETO CELULAR AUTOCLAVADO 10 X 30 X 60 CM (E X A X C)</v>
          </cell>
          <cell r="D523" t="str">
            <v>M2</v>
          </cell>
          <cell r="E523" t="str">
            <v>CR</v>
          </cell>
          <cell r="F523">
            <v>103.72</v>
          </cell>
        </row>
        <row r="524">
          <cell r="B524">
            <v>34600</v>
          </cell>
          <cell r="C524" t="str">
            <v>BLOCO DE VEDACAO DE CONCRETO CELULAR AUTOCLAVADO 15 X 30 X 60 CM (E X A X C)</v>
          </cell>
          <cell r="D524" t="str">
            <v>M2</v>
          </cell>
          <cell r="E524" t="str">
            <v>C</v>
          </cell>
          <cell r="F524">
            <v>152.35</v>
          </cell>
        </row>
        <row r="525">
          <cell r="B525">
            <v>652</v>
          </cell>
          <cell r="C525" t="str">
            <v>BLOCO DE VEDACAO DE CONCRETO CELULAR AUTOCLAVADO 20 X 30 X 60 CM (E X A X C)</v>
          </cell>
          <cell r="D525" t="str">
            <v>M2</v>
          </cell>
          <cell r="E525" t="str">
            <v>CR</v>
          </cell>
          <cell r="F525">
            <v>233.38</v>
          </cell>
        </row>
        <row r="526">
          <cell r="B526">
            <v>650</v>
          </cell>
          <cell r="C526" t="str">
            <v>BLOCO DE VEDACAO DE CONCRETO, 9 X 19 X 39 CM (CLASSE C - NBR 6136)</v>
          </cell>
          <cell r="D526" t="str">
            <v>UN</v>
          </cell>
          <cell r="E526" t="str">
            <v>C</v>
          </cell>
          <cell r="F526">
            <v>3.01</v>
          </cell>
        </row>
        <row r="527">
          <cell r="B527">
            <v>718</v>
          </cell>
          <cell r="C527" t="str">
            <v>BLOCO DE VIDRO / ELEMENTO VAZADO, INCOLOR, VENEZIANA, *20 X 20 X 6* CM (A X L X E)</v>
          </cell>
          <cell r="D527" t="str">
            <v>UN</v>
          </cell>
          <cell r="E527" t="str">
            <v>CR</v>
          </cell>
          <cell r="F527">
            <v>18.739999999999998</v>
          </cell>
        </row>
        <row r="528">
          <cell r="B528">
            <v>11981</v>
          </cell>
          <cell r="C528" t="str">
            <v>BLOCO DE VIDRO / ELEMENTO VAZADO, INCOLOR, VENEZIANA, DE *20 X 10 X 8* CM (A X L X E)</v>
          </cell>
          <cell r="D528" t="str">
            <v>UN</v>
          </cell>
          <cell r="E528" t="str">
            <v>CR</v>
          </cell>
          <cell r="F528">
            <v>18.21</v>
          </cell>
        </row>
        <row r="529">
          <cell r="B529">
            <v>34586</v>
          </cell>
          <cell r="C529" t="str">
            <v>BLOCO ESTRUTURAL CERAMICO DE 14 X 19 X 29 CM (L X A X C) E 6,0 MPA</v>
          </cell>
          <cell r="D529" t="str">
            <v>UN</v>
          </cell>
          <cell r="E529" t="str">
            <v>CR</v>
          </cell>
          <cell r="F529">
            <v>2.02</v>
          </cell>
        </row>
        <row r="530">
          <cell r="B530">
            <v>38603</v>
          </cell>
          <cell r="C530" t="str">
            <v>BLOCO ESTRUTURAL CERAMICO DE 14 X 19 X 34 CM (L X A X C) E 6,0 MPA</v>
          </cell>
          <cell r="D530" t="str">
            <v>UN</v>
          </cell>
          <cell r="E530" t="str">
            <v>CR</v>
          </cell>
          <cell r="F530">
            <v>2.4</v>
          </cell>
        </row>
        <row r="531">
          <cell r="B531">
            <v>34588</v>
          </cell>
          <cell r="C531" t="str">
            <v>BLOCO ESTRUTURAL CERAMICO DE 14 X 19 X 39 CM (L X A X C) E 6,0 MPA</v>
          </cell>
          <cell r="D531" t="str">
            <v>UN</v>
          </cell>
          <cell r="E531" t="str">
            <v>CR</v>
          </cell>
          <cell r="F531">
            <v>2.73</v>
          </cell>
        </row>
        <row r="532">
          <cell r="B532">
            <v>34590</v>
          </cell>
          <cell r="C532" t="str">
            <v>BLOCO ESTRUTURAL CERAMICO DE 19 X 19 X 29 CM (L X A X C) E 6,0 MPA</v>
          </cell>
          <cell r="D532" t="str">
            <v>UN</v>
          </cell>
          <cell r="E532" t="str">
            <v>CR</v>
          </cell>
          <cell r="F532">
            <v>2.7</v>
          </cell>
        </row>
        <row r="533">
          <cell r="B533">
            <v>34591</v>
          </cell>
          <cell r="C533" t="str">
            <v>BLOCO ESTRUTURAL CERAMICO DE 19 X 19 X 39 CM (L X A X C) E 6,0 MPA</v>
          </cell>
          <cell r="D533" t="str">
            <v>UN</v>
          </cell>
          <cell r="E533" t="str">
            <v>CR</v>
          </cell>
          <cell r="F533">
            <v>3.3</v>
          </cell>
        </row>
        <row r="534">
          <cell r="B534">
            <v>40517</v>
          </cell>
          <cell r="C534" t="str">
            <v>BLOQUETE/PISO DE CONCRETO - MODELO PISOGRAMA/CONCREGRAMA 2 FUROS, DIMENSOES APROX. DE *35 X 15* CM E ESPESSURA DE 7 CM (+/- 1 CM), COR NATURAL</v>
          </cell>
          <cell r="D534" t="str">
            <v>M2</v>
          </cell>
          <cell r="E534" t="str">
            <v>CR</v>
          </cell>
          <cell r="F534">
            <v>84.86</v>
          </cell>
        </row>
        <row r="535">
          <cell r="B535">
            <v>40515</v>
          </cell>
          <cell r="C535" t="str">
            <v>BLOQUETE/PISO DE CONCRETO - MODELO PISOGRAMA/CONCREGRAMA/PAVI-GRADE/GRAMEIRO, DIMENSOES APROXIMADAS DE *60 X 45* CM E ESPESSURA DE 8 CM (+/- 1 CM), COR NATURAL</v>
          </cell>
          <cell r="D535" t="str">
            <v>M2</v>
          </cell>
          <cell r="E535" t="str">
            <v>CR</v>
          </cell>
          <cell r="F535">
            <v>93.35</v>
          </cell>
        </row>
        <row r="536">
          <cell r="B536">
            <v>40524</v>
          </cell>
          <cell r="C536" t="str">
            <v>BLOQUETE/PISO INTERTRAVADO DE CONCRETO - MODELO ONDA/16 FACES/RETANGULAR/TIJOLINHO/PAVER/HOLANDES/PARALELEPIPEDO, *20 X 10* CM, E = 10 CM, RESISTENCIA DE 35 MPA, COR NATURAL</v>
          </cell>
          <cell r="D536" t="str">
            <v>M2</v>
          </cell>
          <cell r="E536" t="str">
            <v>CR</v>
          </cell>
          <cell r="F536">
            <v>96.98</v>
          </cell>
        </row>
        <row r="537">
          <cell r="B537">
            <v>40529</v>
          </cell>
          <cell r="C537" t="str">
            <v>BLOQUETE/PISO INTERTRAVADO DE CONCRETO - MODELO ONDA/16 FACES/RETANGULAR/TIJOLINHO/PAVER/HOLANDES/PARALELEPIPEDO, *20 X 10* CM, E = 10 CM, RESISTENCIA DE 50 MPA, COR NATURAL</v>
          </cell>
          <cell r="D537" t="str">
            <v>M2</v>
          </cell>
          <cell r="E537" t="str">
            <v>CR</v>
          </cell>
          <cell r="F537">
            <v>153.77000000000001</v>
          </cell>
        </row>
        <row r="538">
          <cell r="B538">
            <v>36156</v>
          </cell>
          <cell r="C538" t="str">
            <v>BLOQUETE/PISO INTERTRAVADO DE CONCRETO - MODELO ONDA/16 FACES/RETANGULAR/TIJOLINHO/PAVER/HOLANDES/PARALELEPIPEDO, *20 X 10* CM, E = 6 CM, RESISTENCIA DE 35 MPA, COLORIDO</v>
          </cell>
          <cell r="D538" t="str">
            <v>M2</v>
          </cell>
          <cell r="E538" t="str">
            <v>CR</v>
          </cell>
          <cell r="F538">
            <v>91.88</v>
          </cell>
        </row>
        <row r="539">
          <cell r="B539">
            <v>36155</v>
          </cell>
          <cell r="C539" t="str">
            <v>BLOQUETE/PISO INTERTRAVADO DE CONCRETO - MODELO ONDA/16 FACES/RETANGULAR/TIJOLINHO/PAVER/HOLANDES/PARALELEPIPEDO, *20 X 10* CM, E = 6 CM, RESISTENCIA DE 35 MPA, COR NATURAL</v>
          </cell>
          <cell r="D539" t="str">
            <v>M2</v>
          </cell>
          <cell r="E539" t="str">
            <v>CR</v>
          </cell>
          <cell r="F539">
            <v>72.739999999999995</v>
          </cell>
        </row>
        <row r="540">
          <cell r="B540">
            <v>36154</v>
          </cell>
          <cell r="C540" t="str">
            <v>BLOQUETE/PISO INTERTRAVADO DE CONCRETO - MODELO ONDA/16 FACES/RETANGULAR/TIJOLINHO/PAVER/HOLANDES/PARALELEPIPEDO, *20 X 10* CM, E = 8 CM, RESISTENCIA DE 35 MPA, COLORIDO</v>
          </cell>
          <cell r="D540" t="str">
            <v>M2</v>
          </cell>
          <cell r="E540" t="str">
            <v>CR</v>
          </cell>
          <cell r="F540">
            <v>109.74</v>
          </cell>
        </row>
        <row r="541">
          <cell r="B541">
            <v>36170</v>
          </cell>
          <cell r="C541" t="str">
            <v>BLOQUETE/PISO INTERTRAVADO DE CONCRETO - MODELO ONDA/16 FACES/RETANGULAR/TIJOLINHO/PAVER/HOLANDES/PARALELEPIPEDO, *20 X 10* CM, E = 8 CM, RESISTENCIA DE 35 MPA, COR NATURAL</v>
          </cell>
          <cell r="D541" t="str">
            <v>M2</v>
          </cell>
          <cell r="E541" t="str">
            <v>C</v>
          </cell>
          <cell r="F541">
            <v>82.95</v>
          </cell>
        </row>
        <row r="542">
          <cell r="B542">
            <v>695</v>
          </cell>
          <cell r="C542" t="str">
            <v>BLOQUETE/PISO INTERTRAVADO DE CONCRETO - MODELO RAQUETE, *22 X 13,5* CM, E = 6 CM, RESISTENCIA DE 35 MPA, COR NATURAL</v>
          </cell>
          <cell r="D542" t="str">
            <v>M2</v>
          </cell>
          <cell r="E542" t="str">
            <v>CR</v>
          </cell>
          <cell r="F542">
            <v>92.2</v>
          </cell>
        </row>
        <row r="543">
          <cell r="B543">
            <v>679</v>
          </cell>
          <cell r="C543" t="str">
            <v>BLOQUETE/PISO INTERTRAVADO DE CONCRETO - MODELO SEXTAVADO / HEXAGONAL, *25 X 25* CM, E = 10 CM, RESISTENCIA DE 35 MPA, COR NATURAL</v>
          </cell>
          <cell r="D543" t="str">
            <v>M2</v>
          </cell>
          <cell r="E543" t="str">
            <v>CR</v>
          </cell>
          <cell r="F543">
            <v>131.57</v>
          </cell>
        </row>
        <row r="544">
          <cell r="B544">
            <v>711</v>
          </cell>
          <cell r="C544" t="str">
            <v>BLOQUETE/PISO INTERTRAVADO DE CONCRETO - MODELO SEXTAVADO / HEXAGONAL, *25 X 25* CM, E = 6 CM, RESISTENCIA DE 35 MPA, COR NATURAL</v>
          </cell>
          <cell r="D544" t="str">
            <v>M2</v>
          </cell>
          <cell r="E544" t="str">
            <v>CR</v>
          </cell>
          <cell r="F544">
            <v>82.95</v>
          </cell>
        </row>
        <row r="545">
          <cell r="B545">
            <v>712</v>
          </cell>
          <cell r="C545" t="str">
            <v>BLOQUETE/PISO INTERTRAVADO DE CONCRETO - MODELO SEXTAVADO / HEXAGONAL, *25 X 25* CM, E = 8 CM, RESISTENCIA DE 35 MPA, COR NATURAL</v>
          </cell>
          <cell r="D545" t="str">
            <v>M2</v>
          </cell>
          <cell r="E545" t="str">
            <v>CR</v>
          </cell>
          <cell r="F545">
            <v>99.54</v>
          </cell>
        </row>
        <row r="546">
          <cell r="B546">
            <v>12614</v>
          </cell>
          <cell r="C546" t="str">
            <v>BOCAL PVC, PARA CALHA PLUVIAL, DIAMETRO DA SAIDA ENTRE *75 E 120* MM, PARA DRENAGEM PLUVIAL PREDIAL</v>
          </cell>
          <cell r="D546" t="str">
            <v>UN</v>
          </cell>
          <cell r="E546" t="str">
            <v>CR</v>
          </cell>
          <cell r="F546">
            <v>64.8</v>
          </cell>
        </row>
        <row r="547">
          <cell r="B547">
            <v>6140</v>
          </cell>
          <cell r="C547" t="str">
            <v>BOLSA DE LIGACAO EM PVC FLEXIVEL PARA VASO SANITARIO 40 MM (1 1/2")</v>
          </cell>
          <cell r="D547" t="str">
            <v>UN</v>
          </cell>
          <cell r="E547" t="str">
            <v>CR</v>
          </cell>
          <cell r="F547">
            <v>4.4000000000000004</v>
          </cell>
        </row>
        <row r="548">
          <cell r="B548">
            <v>38399</v>
          </cell>
          <cell r="C548" t="str">
            <v>BOLSA DE LONA PARA FERRAMENTAS *50 X 35 X 25* CM</v>
          </cell>
          <cell r="D548" t="str">
            <v>UN</v>
          </cell>
          <cell r="E548" t="str">
            <v>CR</v>
          </cell>
          <cell r="F548">
            <v>197.64</v>
          </cell>
        </row>
        <row r="549">
          <cell r="B549">
            <v>729</v>
          </cell>
          <cell r="C549" t="str">
            <v>BOMBA CENTRIFUGA COM MOTOR ELETRICO MONOFASICO, POTENCIA 0,33 HP, BOCAIS 1" X 3/4", DIAMETRO DO ROTOR 99 MM, HM/Q = 4 MCA / 8,5 M3/H A 18 MCA / 0,90 M3/H</v>
          </cell>
          <cell r="D549" t="str">
            <v>UN</v>
          </cell>
          <cell r="E549" t="str">
            <v>C</v>
          </cell>
          <cell r="F549">
            <v>752.45</v>
          </cell>
        </row>
        <row r="550">
          <cell r="B550">
            <v>39925</v>
          </cell>
          <cell r="C550" t="str">
            <v>BOMBA CENTRIFUGA MONOESTAGIO COM MOTOR ELETRICO MONOFASICO, POTENCIA 15 HP, DIAMETRO DO ROTOR *173* MM, HM/Q = *30* MCA / *90* M3/H A *45* MCA / *55* M3/H</v>
          </cell>
          <cell r="D550" t="str">
            <v>UN</v>
          </cell>
          <cell r="E550" t="str">
            <v>CR</v>
          </cell>
          <cell r="F550">
            <v>10872.83</v>
          </cell>
        </row>
        <row r="551">
          <cell r="B551">
            <v>731</v>
          </cell>
          <cell r="C551" t="str">
            <v>BOMBA CENTRIFUGA MOTOR ELETRICO MONOFASICO 0,49 HP BOCAIS 1" X 3/4", DIAMETRO DO ROTOR 110 MM, HM/Q: 6 M / 8,3 M3/H A 20 M / 1,2 M3/H</v>
          </cell>
          <cell r="D551" t="str">
            <v>UN</v>
          </cell>
          <cell r="E551" t="str">
            <v>CR</v>
          </cell>
          <cell r="F551">
            <v>732.32</v>
          </cell>
        </row>
        <row r="552">
          <cell r="B552">
            <v>732</v>
          </cell>
          <cell r="C552" t="str">
            <v>BOMBA CENTRIFUGA MOTOR ELETRICO TRIFASICO 0,99HP DIAMETRO DE SUCCAO X ELEVACAO 1" X 1", DIAMETRO DO ROTOR 145 MM, HM/Q: 14 M / 8,4 M3/H A 40 M / 0,60 M3/H</v>
          </cell>
          <cell r="D552" t="str">
            <v>UN</v>
          </cell>
          <cell r="E552" t="str">
            <v>CR</v>
          </cell>
          <cell r="F552">
            <v>1234.45</v>
          </cell>
        </row>
        <row r="553">
          <cell r="B553">
            <v>735</v>
          </cell>
          <cell r="C553" t="str">
            <v>BOMBA CENTRIFUGA MOTOR ELETRICO TRIFASICO 1,48HP DIAMETRO DE SUCCAO X ELEVACAO 1" X 1", 4 ESTAGIOS, DIAMETRO DOS ROTORES 3 X 107 MM + 1 X 100 MM, HM/Q: 10 M / 5,3 M3/H A 70 M / 1,8 M3/H</v>
          </cell>
          <cell r="D553" t="str">
            <v>UN</v>
          </cell>
          <cell r="E553" t="str">
            <v>CR</v>
          </cell>
          <cell r="F553">
            <v>2196.0100000000002</v>
          </cell>
        </row>
        <row r="554">
          <cell r="B554">
            <v>736</v>
          </cell>
          <cell r="C554" t="str">
            <v>BOMBA CENTRIFUGA MOTOR ELETRICO TRIFASICO 2,96HP, DIAMETRO DE SUCCAO X ELEVACAO 1 1/2" X 1 1/4", DIAMETRO DO ROTOR 148 MM, HM/Q: 34 M / 14,80 M3/H A 40 M / 8,60 M3/H</v>
          </cell>
          <cell r="D554" t="str">
            <v>UN</v>
          </cell>
          <cell r="E554" t="str">
            <v>CR</v>
          </cell>
          <cell r="F554">
            <v>1846.45</v>
          </cell>
        </row>
        <row r="555">
          <cell r="B555">
            <v>740</v>
          </cell>
          <cell r="C555" t="str">
            <v>BOMBA CENTRIFUGA MOTOR ELETRICO TRIFASICO 9,86 DIAMETRO DE SUCCAO X ELEVACAO 1" X 1", 4 ESTAGIOS, DIAMETRO DOS ROTORES 4 X 146 MM, HM/Q: 85 M / 14,9 M3/H A 140 M / 4,2 M3/H</v>
          </cell>
          <cell r="D555" t="str">
            <v>UN</v>
          </cell>
          <cell r="E555" t="str">
            <v>CR</v>
          </cell>
          <cell r="F555">
            <v>6512.17</v>
          </cell>
        </row>
        <row r="556">
          <cell r="B556">
            <v>734</v>
          </cell>
          <cell r="C556" t="str">
            <v>BOMBA CENTRIFUGA, MOTOR ELETRICO TRIFASICO 1,48HP DIAMETRO DE SUCCAO X ELEVACAO 1 1/2" X 1", DIAMETRO DO ROTOR 117 MM, HM/Q: 10 M / 21,9 M3/H A 24 M / 6,1 M3/H</v>
          </cell>
          <cell r="D556" t="str">
            <v>UN</v>
          </cell>
          <cell r="E556" t="str">
            <v>CR</v>
          </cell>
          <cell r="F556">
            <v>1323.32</v>
          </cell>
        </row>
        <row r="557">
          <cell r="B557">
            <v>39008</v>
          </cell>
          <cell r="C557" t="str">
            <v>BOMBA DE PROJECAO DE CONCRETO SECO, POTENCIA 10 CV, VAZAO 3 M3/H</v>
          </cell>
          <cell r="D557" t="str">
            <v>UN</v>
          </cell>
          <cell r="E557" t="str">
            <v>CR</v>
          </cell>
          <cell r="F557">
            <v>65821.55</v>
          </cell>
        </row>
        <row r="558">
          <cell r="B558">
            <v>39009</v>
          </cell>
          <cell r="C558" t="str">
            <v>BOMBA DE PROJECAO DE CONCRETO SECO, POTENCIA 10 CV, VAZAO 6 M3/H</v>
          </cell>
          <cell r="D558" t="str">
            <v>UN</v>
          </cell>
          <cell r="E558" t="str">
            <v>CR</v>
          </cell>
          <cell r="F558">
            <v>70519.64</v>
          </cell>
        </row>
        <row r="559">
          <cell r="B559">
            <v>10592</v>
          </cell>
          <cell r="C559" t="str">
            <v>BOMBA SUBMERSIVEL, ELETRICA, TRIFASICA, POTENCIA 0,99 HP, DIAMETRO ROTOR 98 MM SEMIABERTO, BOCAL DE SAIDA DIAMETRO 2 POLEGADAS, HM/Q = 2 M / 28,90 M3/H A 14 M / 7 M3/H</v>
          </cell>
          <cell r="D559" t="str">
            <v>UN</v>
          </cell>
          <cell r="E559" t="str">
            <v>C</v>
          </cell>
          <cell r="F559">
            <v>5360</v>
          </cell>
        </row>
        <row r="560">
          <cell r="B560">
            <v>751</v>
          </cell>
          <cell r="C560" t="str">
            <v>BOMBA SUBMERSIVEL, ELETRICA, TRIFASICA, POTENCIA 2,96 HP, DIAMETRO DO ROTOR 144 MM SEMIABERTO, BOCAL DE SAIDA DIAMETRO DE DUAS POLEGADAS, HM/Q = 2 M / 38,8 M3/H A 28 M / 5 M3/H</v>
          </cell>
          <cell r="D560" t="str">
            <v>UN</v>
          </cell>
          <cell r="E560" t="str">
            <v>CR</v>
          </cell>
          <cell r="F560">
            <v>6331.5</v>
          </cell>
        </row>
        <row r="561">
          <cell r="B561">
            <v>754</v>
          </cell>
          <cell r="C561" t="str">
            <v>BOMBA SUBMERSIVEL, ELETRICA, TRIFASICA, POTENCIA 3,75 HP, DIAMETRO DO ROTOR 90 MM SEMIABERTO, BOCAL DE SAIDA DIAMETRO DE 2 POLEGADAS, HM/Q = 5 M / 61,2 M3/H A 25,5 M / 3,6 M3/H</v>
          </cell>
          <cell r="D561" t="str">
            <v>UN</v>
          </cell>
          <cell r="E561" t="str">
            <v>CR</v>
          </cell>
          <cell r="F561">
            <v>10050</v>
          </cell>
        </row>
        <row r="562">
          <cell r="B562">
            <v>39917</v>
          </cell>
          <cell r="C562" t="str">
            <v>BOMBA TRIPLEX, PARA INJECAO DE CALDA DE CIMENTO, VAZAO MAXIMA DE *100* LITROS/MINUTO, PRESSAO MAXIMA DE *70* BAR, POTENCIA DE 15 CV</v>
          </cell>
          <cell r="D562" t="str">
            <v>UN</v>
          </cell>
          <cell r="E562" t="str">
            <v>CR</v>
          </cell>
          <cell r="F562">
            <v>101106.65</v>
          </cell>
        </row>
        <row r="563">
          <cell r="B563">
            <v>38167</v>
          </cell>
          <cell r="C563" t="str">
            <v>BORBOLETA PARA JANELA TIPO GUILHOTINA, EM ZAMAC CROMADO</v>
          </cell>
          <cell r="D563" t="str">
            <v>PAR</v>
          </cell>
          <cell r="E563" t="str">
            <v>CR</v>
          </cell>
          <cell r="F563">
            <v>27.25</v>
          </cell>
        </row>
        <row r="564">
          <cell r="B564">
            <v>36145</v>
          </cell>
          <cell r="C564" t="str">
            <v>BOTA DE PVC PRETA, CANO MEDIO, SEM FORRO</v>
          </cell>
          <cell r="D564" t="str">
            <v>PAR</v>
          </cell>
          <cell r="E564" t="str">
            <v>CR</v>
          </cell>
          <cell r="F564">
            <v>48.23</v>
          </cell>
        </row>
        <row r="565">
          <cell r="B565">
            <v>12893</v>
          </cell>
          <cell r="C565" t="str">
            <v>BOTA DE SEGURANCA COM BIQUEIRA DE ACO E COLARINHO ACOLCHOADO</v>
          </cell>
          <cell r="D565" t="str">
            <v>PAR</v>
          </cell>
          <cell r="E565" t="str">
            <v>CR</v>
          </cell>
          <cell r="F565">
            <v>84.88</v>
          </cell>
        </row>
        <row r="566">
          <cell r="B566">
            <v>11685</v>
          </cell>
          <cell r="C566" t="str">
            <v>BRACO / CANO PARA CHUVEIRO ELETRICO, EM ALUMINIO, 30 CM X 1/2"</v>
          </cell>
          <cell r="D566" t="str">
            <v>UN</v>
          </cell>
          <cell r="E566" t="str">
            <v>CR</v>
          </cell>
          <cell r="F566">
            <v>27.39</v>
          </cell>
        </row>
        <row r="567">
          <cell r="B567">
            <v>11680</v>
          </cell>
          <cell r="C567" t="str">
            <v>BRACO OU HASTE COM CANOPLA PLASTICA, 1/2", PARA CHUVEIRO SIMPLES</v>
          </cell>
          <cell r="D567" t="str">
            <v>UN</v>
          </cell>
          <cell r="E567" t="str">
            <v>CR</v>
          </cell>
          <cell r="F567">
            <v>18.53</v>
          </cell>
        </row>
        <row r="568">
          <cell r="B568">
            <v>11679</v>
          </cell>
          <cell r="C568" t="str">
            <v>BRACO OU HASTE RETA COM CANOPLA PLASTICA, 1/2", PARA CHUVEIRO ELETRICO</v>
          </cell>
          <cell r="D568" t="str">
            <v>UN</v>
          </cell>
          <cell r="E568" t="str">
            <v>CR</v>
          </cell>
          <cell r="F568">
            <v>25.12</v>
          </cell>
        </row>
        <row r="569">
          <cell r="B569">
            <v>2512</v>
          </cell>
          <cell r="C569" t="str">
            <v>BRACO P/ LUMINARIA PUBLICA 1 X 1,50M ROMAGNOLE OU EQUIV</v>
          </cell>
          <cell r="D569" t="str">
            <v>UN</v>
          </cell>
          <cell r="E569" t="str">
            <v>CR</v>
          </cell>
          <cell r="F569">
            <v>35.22</v>
          </cell>
        </row>
        <row r="570">
          <cell r="B570">
            <v>45203</v>
          </cell>
          <cell r="C570" t="str">
            <v>BROCHA RETANGULAR, *15 X 5* CM</v>
          </cell>
          <cell r="D570" t="str">
            <v>UN</v>
          </cell>
          <cell r="E570" t="str">
            <v>CR</v>
          </cell>
          <cell r="F570">
            <v>9.07</v>
          </cell>
        </row>
        <row r="571">
          <cell r="B571">
            <v>4374</v>
          </cell>
          <cell r="C571" t="str">
            <v>BUCHA DE NYLON SEM ABA S10</v>
          </cell>
          <cell r="D571" t="str">
            <v>UN</v>
          </cell>
          <cell r="E571" t="str">
            <v>CR</v>
          </cell>
          <cell r="F571">
            <v>0.18</v>
          </cell>
        </row>
        <row r="572">
          <cell r="B572">
            <v>7568</v>
          </cell>
          <cell r="C572" t="str">
            <v>BUCHA DE NYLON SEM ABA S10, COM PARAFUSO DE 6,10 X 65 MM EM ACO ZINCADO COM ROSCA SOBERBA, CABECA CHATA E FENDA PHILLIPS</v>
          </cell>
          <cell r="D572" t="str">
            <v>UN</v>
          </cell>
          <cell r="E572" t="str">
            <v>CR</v>
          </cell>
          <cell r="F572">
            <v>0.3</v>
          </cell>
        </row>
        <row r="573">
          <cell r="B573">
            <v>7584</v>
          </cell>
          <cell r="C573" t="str">
            <v>BUCHA DE NYLON SEM ABA S12, COM PARAFUSO DE 5/16" X 80 MM EM ACO ZINCADO COM ROSCA SOBERBA E CABECA SEXTAVADA</v>
          </cell>
          <cell r="D573" t="str">
            <v>UN</v>
          </cell>
          <cell r="E573" t="str">
            <v>CR</v>
          </cell>
          <cell r="F573">
            <v>0.46</v>
          </cell>
        </row>
        <row r="574">
          <cell r="B574">
            <v>11945</v>
          </cell>
          <cell r="C574" t="str">
            <v>BUCHA DE NYLON SEM ABA S4</v>
          </cell>
          <cell r="D574" t="str">
            <v>UN</v>
          </cell>
          <cell r="E574" t="str">
            <v>CR</v>
          </cell>
          <cell r="F574">
            <v>0.03</v>
          </cell>
        </row>
        <row r="575">
          <cell r="B575">
            <v>11946</v>
          </cell>
          <cell r="C575" t="str">
            <v>BUCHA DE NYLON SEM ABA S5</v>
          </cell>
          <cell r="D575" t="str">
            <v>UN</v>
          </cell>
          <cell r="E575" t="str">
            <v>CR</v>
          </cell>
          <cell r="F575">
            <v>0.03</v>
          </cell>
        </row>
        <row r="576">
          <cell r="B576">
            <v>4375</v>
          </cell>
          <cell r="C576" t="str">
            <v>BUCHA DE NYLON SEM ABA S6</v>
          </cell>
          <cell r="D576" t="str">
            <v>UN</v>
          </cell>
          <cell r="E576" t="str">
            <v>C</v>
          </cell>
          <cell r="F576">
            <v>0.05</v>
          </cell>
        </row>
        <row r="577">
          <cell r="B577">
            <v>11950</v>
          </cell>
          <cell r="C577" t="str">
            <v>BUCHA DE NYLON SEM ABA S6, COM PARAFUSO DE 4,20 X 40 MM EM ACO ZINCADO COM ROSCA SOBERBA, CABECA CHATA E FENDA PHILLIPS</v>
          </cell>
          <cell r="D577" t="str">
            <v>UN</v>
          </cell>
          <cell r="E577" t="str">
            <v>CR</v>
          </cell>
          <cell r="F577">
            <v>0.1</v>
          </cell>
        </row>
        <row r="578">
          <cell r="B578">
            <v>4376</v>
          </cell>
          <cell r="C578" t="str">
            <v>BUCHA DE NYLON SEM ABA S8</v>
          </cell>
          <cell r="D578" t="str">
            <v>UN</v>
          </cell>
          <cell r="E578" t="str">
            <v>CR</v>
          </cell>
          <cell r="F578">
            <v>0.09</v>
          </cell>
        </row>
        <row r="579">
          <cell r="B579">
            <v>7583</v>
          </cell>
          <cell r="C579" t="str">
            <v>BUCHA DE NYLON SEM ABA S8, COM PARAFUSO DE 4,80 X 50 MM EM ACO ZINCADO COM ROSCA SOBERBA, CABECA CHATA E FENDA PHILLIPS</v>
          </cell>
          <cell r="D579" t="str">
            <v>UN</v>
          </cell>
          <cell r="E579" t="str">
            <v>CR</v>
          </cell>
          <cell r="F579">
            <v>0.2</v>
          </cell>
        </row>
        <row r="580">
          <cell r="B580">
            <v>4350</v>
          </cell>
          <cell r="C580" t="str">
            <v>BUCHA DE NYLON, DIAMETRO DO FURO 8 MM, COMPRIMENTO 40 MM, COM PARAFUSO DE ROSCA SOBERBA, CABECA CHATA, FENDA SIMPLES, 4,8 X 50 MM</v>
          </cell>
          <cell r="D580" t="str">
            <v>UN</v>
          </cell>
          <cell r="E580" t="str">
            <v>CR</v>
          </cell>
          <cell r="F580">
            <v>0.62</v>
          </cell>
        </row>
        <row r="581">
          <cell r="B581">
            <v>44400</v>
          </cell>
          <cell r="C581" t="str">
            <v>BUCHA DE REDUCAO CPVC, SOLDAVEL, 54 X 28 MM, PARA AGUA QUENTE</v>
          </cell>
          <cell r="D581" t="str">
            <v>UN</v>
          </cell>
          <cell r="E581" t="str">
            <v>CR</v>
          </cell>
          <cell r="F581">
            <v>31.57</v>
          </cell>
        </row>
        <row r="582">
          <cell r="B582">
            <v>39886</v>
          </cell>
          <cell r="C582" t="str">
            <v>BUCHA DE REDUCAO DE COBRE SEM ANEL DE SOLDA, PONTA X BOLSA, 22 X 15 MM</v>
          </cell>
          <cell r="D582" t="str">
            <v>UN</v>
          </cell>
          <cell r="E582" t="str">
            <v>CR</v>
          </cell>
          <cell r="F582">
            <v>6.3</v>
          </cell>
        </row>
        <row r="583">
          <cell r="B583">
            <v>39887</v>
          </cell>
          <cell r="C583" t="str">
            <v>BUCHA DE REDUCAO DE COBRE SEM ANEL DE SOLDA, PONTA X BOLSA, 28 X 22 MM</v>
          </cell>
          <cell r="D583" t="str">
            <v>UN</v>
          </cell>
          <cell r="E583" t="str">
            <v>CR</v>
          </cell>
          <cell r="F583">
            <v>9.4600000000000009</v>
          </cell>
        </row>
        <row r="584">
          <cell r="B584">
            <v>39888</v>
          </cell>
          <cell r="C584" t="str">
            <v>BUCHA DE REDUCAO DE COBRE SEM ANEL DE SOLDA, PONTA X BOLSA, 35 X 28 MM</v>
          </cell>
          <cell r="D584" t="str">
            <v>UN</v>
          </cell>
          <cell r="E584" t="str">
            <v>CR</v>
          </cell>
          <cell r="F584">
            <v>21.63</v>
          </cell>
        </row>
        <row r="585">
          <cell r="B585">
            <v>39890</v>
          </cell>
          <cell r="C585" t="str">
            <v>BUCHA DE REDUCAO DE COBRE SEM ANEL DE SOLDA, PONTA X BOLSA, 42 X 35 MM</v>
          </cell>
          <cell r="D585" t="str">
            <v>UN</v>
          </cell>
          <cell r="E585" t="str">
            <v>CR</v>
          </cell>
          <cell r="F585">
            <v>36.92</v>
          </cell>
        </row>
        <row r="586">
          <cell r="B586">
            <v>39891</v>
          </cell>
          <cell r="C586" t="str">
            <v>BUCHA DE REDUCAO DE COBRE SEM ANEL DE SOLDA, PONTA X BOLSA, 54 X 42 MM</v>
          </cell>
          <cell r="D586" t="str">
            <v>UN</v>
          </cell>
          <cell r="E586" t="str">
            <v>CR</v>
          </cell>
          <cell r="F586">
            <v>52.06</v>
          </cell>
        </row>
        <row r="587">
          <cell r="B587">
            <v>39892</v>
          </cell>
          <cell r="C587" t="str">
            <v>BUCHA DE REDUCAO DE COBRE SEM ANEL DE SOLDA, PONTA X BOLSA, 66 X 54 MM</v>
          </cell>
          <cell r="D587" t="str">
            <v>UN</v>
          </cell>
          <cell r="E587" t="str">
            <v>CR</v>
          </cell>
          <cell r="F587">
            <v>162.29</v>
          </cell>
        </row>
        <row r="588">
          <cell r="B588">
            <v>790</v>
          </cell>
          <cell r="C588" t="str">
            <v>BUCHA DE REDUCAO DE FERRO GALVANIZADO, COM ROSCA BSP, DE 1 1/2" X 1 1/4"</v>
          </cell>
          <cell r="D588" t="str">
            <v>UN</v>
          </cell>
          <cell r="E588" t="str">
            <v>CR</v>
          </cell>
          <cell r="F588">
            <v>21.58</v>
          </cell>
        </row>
        <row r="589">
          <cell r="B589">
            <v>791</v>
          </cell>
          <cell r="C589" t="str">
            <v>BUCHA DE REDUCAO DE FERRO GALVANIZADO, COM ROSCA BSP, DE 1 1/2" X 1"</v>
          </cell>
          <cell r="D589" t="str">
            <v>UN</v>
          </cell>
          <cell r="E589" t="str">
            <v>CR</v>
          </cell>
          <cell r="F589">
            <v>21.58</v>
          </cell>
        </row>
        <row r="590">
          <cell r="B590">
            <v>766</v>
          </cell>
          <cell r="C590" t="str">
            <v>BUCHA DE REDUCAO DE FERRO GALVANIZADO, COM ROSCA BSP, DE 1 1/2" X 1/2"</v>
          </cell>
          <cell r="D590" t="str">
            <v>UN</v>
          </cell>
          <cell r="E590" t="str">
            <v>CR</v>
          </cell>
          <cell r="F590">
            <v>21.58</v>
          </cell>
        </row>
        <row r="591">
          <cell r="B591">
            <v>767</v>
          </cell>
          <cell r="C591" t="str">
            <v>BUCHA DE REDUCAO DE FERRO GALVANIZADO, COM ROSCA BSP, DE 1 1/2" X 3/4"</v>
          </cell>
          <cell r="D591" t="str">
            <v>UN</v>
          </cell>
          <cell r="E591" t="str">
            <v>CR</v>
          </cell>
          <cell r="F591">
            <v>21.58</v>
          </cell>
        </row>
        <row r="592">
          <cell r="B592">
            <v>789</v>
          </cell>
          <cell r="C592" t="str">
            <v>BUCHA DE REDUCAO DE FERRO GALVANIZADO, COM ROSCA BSP, DE 1 1/4" X 1"</v>
          </cell>
          <cell r="D592" t="str">
            <v>UN</v>
          </cell>
          <cell r="E592" t="str">
            <v>CR</v>
          </cell>
          <cell r="F592">
            <v>16.579999999999998</v>
          </cell>
        </row>
        <row r="593">
          <cell r="B593">
            <v>768</v>
          </cell>
          <cell r="C593" t="str">
            <v>BUCHA DE REDUCAO DE FERRO GALVANIZADO, COM ROSCA BSP, DE 1 1/4" X 1/2"</v>
          </cell>
          <cell r="D593" t="str">
            <v>UN</v>
          </cell>
          <cell r="E593" t="str">
            <v>CR</v>
          </cell>
          <cell r="F593">
            <v>16.95</v>
          </cell>
        </row>
        <row r="594">
          <cell r="B594">
            <v>769</v>
          </cell>
          <cell r="C594" t="str">
            <v>BUCHA DE REDUCAO DE FERRO GALVANIZADO, COM ROSCA BSP, DE 1 1/4" X 3/4"</v>
          </cell>
          <cell r="D594" t="str">
            <v>UN</v>
          </cell>
          <cell r="E594" t="str">
            <v>CR</v>
          </cell>
          <cell r="F594">
            <v>16.95</v>
          </cell>
        </row>
        <row r="595">
          <cell r="B595">
            <v>764</v>
          </cell>
          <cell r="C595" t="str">
            <v>BUCHA DE REDUCAO DE FERRO GALVANIZADO, COM ROSCA BSP, DE 1" X 1/2"</v>
          </cell>
          <cell r="D595" t="str">
            <v>UN</v>
          </cell>
          <cell r="E595" t="str">
            <v>C</v>
          </cell>
          <cell r="F595">
            <v>10.43</v>
          </cell>
        </row>
        <row r="596">
          <cell r="B596">
            <v>765</v>
          </cell>
          <cell r="C596" t="str">
            <v>BUCHA DE REDUCAO DE FERRO GALVANIZADO, COM ROSCA BSP, DE 1" X 3/4"</v>
          </cell>
          <cell r="D596" t="str">
            <v>UN</v>
          </cell>
          <cell r="E596" t="str">
            <v>CR</v>
          </cell>
          <cell r="F596">
            <v>10.43</v>
          </cell>
        </row>
        <row r="597">
          <cell r="B597">
            <v>770</v>
          </cell>
          <cell r="C597" t="str">
            <v>BUCHA DE REDUCAO DE FERRO GALVANIZADO, COM ROSCA BSP, DE 1/2" X 1/4"</v>
          </cell>
          <cell r="D597" t="str">
            <v>UN</v>
          </cell>
          <cell r="E597" t="str">
            <v>CR</v>
          </cell>
          <cell r="F597">
            <v>5.98</v>
          </cell>
        </row>
        <row r="598">
          <cell r="B598">
            <v>12394</v>
          </cell>
          <cell r="C598" t="str">
            <v>BUCHA DE REDUCAO DE FERRO GALVANIZADO, COM ROSCA BSP, DE 1/2" X 3/8"</v>
          </cell>
          <cell r="D598" t="str">
            <v>UN</v>
          </cell>
          <cell r="E598" t="str">
            <v>CR</v>
          </cell>
          <cell r="F598">
            <v>5.98</v>
          </cell>
        </row>
        <row r="599">
          <cell r="B599">
            <v>787</v>
          </cell>
          <cell r="C599" t="str">
            <v>BUCHA DE REDUCAO DE FERRO GALVANIZADO, COM ROSCA BSP, DE 2 1/2" X 1 1/2"</v>
          </cell>
          <cell r="D599" t="str">
            <v>UN</v>
          </cell>
          <cell r="E599" t="str">
            <v>CR</v>
          </cell>
          <cell r="F599">
            <v>46.59</v>
          </cell>
        </row>
        <row r="600">
          <cell r="B600">
            <v>774</v>
          </cell>
          <cell r="C600" t="str">
            <v>BUCHA DE REDUCAO DE FERRO GALVANIZADO, COM ROSCA BSP, DE 2 1/2" X 1 1/4"</v>
          </cell>
          <cell r="D600" t="str">
            <v>UN</v>
          </cell>
          <cell r="E600" t="str">
            <v>CR</v>
          </cell>
          <cell r="F600">
            <v>46.59</v>
          </cell>
        </row>
        <row r="601">
          <cell r="B601">
            <v>773</v>
          </cell>
          <cell r="C601" t="str">
            <v>BUCHA DE REDUCAO DE FERRO GALVANIZADO, COM ROSCA BSP, DE 2 1/2" X 1"</v>
          </cell>
          <cell r="D601" t="str">
            <v>UN</v>
          </cell>
          <cell r="E601" t="str">
            <v>CR</v>
          </cell>
          <cell r="F601">
            <v>46.59</v>
          </cell>
        </row>
        <row r="602">
          <cell r="B602">
            <v>775</v>
          </cell>
          <cell r="C602" t="str">
            <v>BUCHA DE REDUCAO DE FERRO GALVANIZADO, COM ROSCA BSP, DE 2 1/2" X 2"</v>
          </cell>
          <cell r="D602" t="str">
            <v>UN</v>
          </cell>
          <cell r="E602" t="str">
            <v>CR</v>
          </cell>
          <cell r="F602">
            <v>46.59</v>
          </cell>
        </row>
        <row r="603">
          <cell r="B603">
            <v>788</v>
          </cell>
          <cell r="C603" t="str">
            <v>BUCHA DE REDUCAO DE FERRO GALVANIZADO, COM ROSCA BSP, DE 2" X 1 1/2"</v>
          </cell>
          <cell r="D603" t="str">
            <v>UN</v>
          </cell>
          <cell r="E603" t="str">
            <v>CR</v>
          </cell>
          <cell r="F603">
            <v>28.96</v>
          </cell>
        </row>
        <row r="604">
          <cell r="B604">
            <v>772</v>
          </cell>
          <cell r="C604" t="str">
            <v>BUCHA DE REDUCAO DE FERRO GALVANIZADO, COM ROSCA BSP, DE 2" X 1 1/4"</v>
          </cell>
          <cell r="D604" t="str">
            <v>UN</v>
          </cell>
          <cell r="E604" t="str">
            <v>CR</v>
          </cell>
          <cell r="F604">
            <v>28.96</v>
          </cell>
        </row>
        <row r="605">
          <cell r="B605">
            <v>771</v>
          </cell>
          <cell r="C605" t="str">
            <v>BUCHA DE REDUCAO DE FERRO GALVANIZADO, COM ROSCA BSP, DE 2" X 1"</v>
          </cell>
          <cell r="D605" t="str">
            <v>UN</v>
          </cell>
          <cell r="E605" t="str">
            <v>CR</v>
          </cell>
          <cell r="F605">
            <v>28.96</v>
          </cell>
        </row>
        <row r="606">
          <cell r="B606">
            <v>776</v>
          </cell>
          <cell r="C606" t="str">
            <v>BUCHA DE REDUCAO DE FERRO GALVANIZADO, COM ROSCA BSP, DE 3" X 1 1/2"</v>
          </cell>
          <cell r="D606" t="str">
            <v>UN</v>
          </cell>
          <cell r="E606" t="str">
            <v>CR</v>
          </cell>
          <cell r="F606">
            <v>68.680000000000007</v>
          </cell>
        </row>
        <row r="607">
          <cell r="B607">
            <v>777</v>
          </cell>
          <cell r="C607" t="str">
            <v>BUCHA DE REDUCAO DE FERRO GALVANIZADO, COM ROSCA BSP, DE 3" X 1 1/4"</v>
          </cell>
          <cell r="D607" t="str">
            <v>UN</v>
          </cell>
          <cell r="E607" t="str">
            <v>CR</v>
          </cell>
          <cell r="F607">
            <v>66.77</v>
          </cell>
        </row>
        <row r="608">
          <cell r="B608">
            <v>780</v>
          </cell>
          <cell r="C608" t="str">
            <v>BUCHA DE REDUCAO DE FERRO GALVANIZADO, COM ROSCA BSP, DE 3" X 2 1/2"</v>
          </cell>
          <cell r="D608" t="str">
            <v>UN</v>
          </cell>
          <cell r="E608" t="str">
            <v>CR</v>
          </cell>
          <cell r="F608">
            <v>67.099999999999994</v>
          </cell>
        </row>
        <row r="609">
          <cell r="B609">
            <v>778</v>
          </cell>
          <cell r="C609" t="str">
            <v>BUCHA DE REDUCAO DE FERRO GALVANIZADO, COM ROSCA BSP, DE 3" X 2"</v>
          </cell>
          <cell r="D609" t="str">
            <v>UN</v>
          </cell>
          <cell r="E609" t="str">
            <v>CR</v>
          </cell>
          <cell r="F609">
            <v>68.680000000000007</v>
          </cell>
        </row>
        <row r="610">
          <cell r="B610">
            <v>779</v>
          </cell>
          <cell r="C610" t="str">
            <v>BUCHA DE REDUCAO DE FERRO GALVANIZADO, COM ROSCA BSP, DE 3/4" X 1/2"</v>
          </cell>
          <cell r="D610" t="str">
            <v>UN</v>
          </cell>
          <cell r="E610" t="str">
            <v>CR</v>
          </cell>
          <cell r="F610">
            <v>7.2</v>
          </cell>
        </row>
        <row r="611">
          <cell r="B611">
            <v>781</v>
          </cell>
          <cell r="C611" t="str">
            <v>BUCHA DE REDUCAO DE FERRO GALVANIZADO, COM ROSCA BSP, DE 4" X 2 1/2"</v>
          </cell>
          <cell r="D611" t="str">
            <v>UN</v>
          </cell>
          <cell r="E611" t="str">
            <v>CR</v>
          </cell>
          <cell r="F611">
            <v>126.9</v>
          </cell>
        </row>
        <row r="612">
          <cell r="B612">
            <v>786</v>
          </cell>
          <cell r="C612" t="str">
            <v>BUCHA DE REDUCAO DE FERRO GALVANIZADO, COM ROSCA BSP, DE 4" X 2"</v>
          </cell>
          <cell r="D612" t="str">
            <v>UN</v>
          </cell>
          <cell r="E612" t="str">
            <v>CR</v>
          </cell>
          <cell r="F612">
            <v>126.9</v>
          </cell>
        </row>
        <row r="613">
          <cell r="B613">
            <v>782</v>
          </cell>
          <cell r="C613" t="str">
            <v>BUCHA DE REDUCAO DE FERRO GALVANIZADO, COM ROSCA BSP, DE 4" X 3"</v>
          </cell>
          <cell r="D613" t="str">
            <v>UN</v>
          </cell>
          <cell r="E613" t="str">
            <v>CR</v>
          </cell>
          <cell r="F613">
            <v>126.9</v>
          </cell>
        </row>
        <row r="614">
          <cell r="B614">
            <v>783</v>
          </cell>
          <cell r="C614" t="str">
            <v>BUCHA DE REDUCAO DE FERRO GALVANIZADO, COM ROSCA BSP, DE 5" X 4"</v>
          </cell>
          <cell r="D614" t="str">
            <v>UN</v>
          </cell>
          <cell r="E614" t="str">
            <v>CR</v>
          </cell>
          <cell r="F614">
            <v>347.3</v>
          </cell>
        </row>
        <row r="615">
          <cell r="B615">
            <v>785</v>
          </cell>
          <cell r="C615" t="str">
            <v>BUCHA DE REDUCAO DE FERRO GALVANIZADO, COM ROSCA BSP, DE 6" X 4"</v>
          </cell>
          <cell r="D615" t="str">
            <v>UN</v>
          </cell>
          <cell r="E615" t="str">
            <v>CR</v>
          </cell>
          <cell r="F615">
            <v>366.96</v>
          </cell>
        </row>
        <row r="616">
          <cell r="B616">
            <v>784</v>
          </cell>
          <cell r="C616" t="str">
            <v>BUCHA DE REDUCAO DE FERRO GALVANIZADO, COM ROSCA BSP, DE 6" X 5"</v>
          </cell>
          <cell r="D616" t="str">
            <v>UN</v>
          </cell>
          <cell r="E616" t="str">
            <v>CR</v>
          </cell>
          <cell r="F616">
            <v>393.66</v>
          </cell>
        </row>
        <row r="617">
          <cell r="B617">
            <v>828</v>
          </cell>
          <cell r="C617" t="str">
            <v>BUCHA DE REDUCAO DE PVC, SOLDAVEL, CURTA, COM 25 X 20 MM, PARA AGUA FRIA PREDIAL</v>
          </cell>
          <cell r="D617" t="str">
            <v>UN</v>
          </cell>
          <cell r="E617" t="str">
            <v>CR</v>
          </cell>
          <cell r="F617">
            <v>0.7</v>
          </cell>
        </row>
        <row r="618">
          <cell r="B618">
            <v>829</v>
          </cell>
          <cell r="C618" t="str">
            <v>BUCHA DE REDUCAO DE PVC, SOLDAVEL, CURTA, COM 32 X 25 MM, PARA AGUA FRIA PREDIAL</v>
          </cell>
          <cell r="D618" t="str">
            <v>UN</v>
          </cell>
          <cell r="E618" t="str">
            <v>CR</v>
          </cell>
          <cell r="F618">
            <v>1.1200000000000001</v>
          </cell>
        </row>
        <row r="619">
          <cell r="B619">
            <v>812</v>
          </cell>
          <cell r="C619" t="str">
            <v>BUCHA DE REDUCAO DE PVC, SOLDAVEL, CURTA, COM 40 X 32 MM, PARA AGUA FRIA PREDIAL</v>
          </cell>
          <cell r="D619" t="str">
            <v>UN</v>
          </cell>
          <cell r="E619" t="str">
            <v>CR</v>
          </cell>
          <cell r="F619">
            <v>2.48</v>
          </cell>
        </row>
        <row r="620">
          <cell r="B620">
            <v>819</v>
          </cell>
          <cell r="C620" t="str">
            <v>BUCHA DE REDUCAO DE PVC, SOLDAVEL, CURTA, COM 50 X 40 MM, PARA AGUA FRIA PREDIAL</v>
          </cell>
          <cell r="D620" t="str">
            <v>UN</v>
          </cell>
          <cell r="E620" t="str">
            <v>CR</v>
          </cell>
          <cell r="F620">
            <v>4.3</v>
          </cell>
        </row>
        <row r="621">
          <cell r="B621">
            <v>818</v>
          </cell>
          <cell r="C621" t="str">
            <v>BUCHA DE REDUCAO DE PVC, SOLDAVEL, CURTA, COM 60 X 50 MM, PARA AGUA FRIA PREDIAL</v>
          </cell>
          <cell r="D621" t="str">
            <v>UN</v>
          </cell>
          <cell r="E621" t="str">
            <v>CR</v>
          </cell>
          <cell r="F621">
            <v>8.0299999999999994</v>
          </cell>
        </row>
        <row r="622">
          <cell r="B622">
            <v>20086</v>
          </cell>
          <cell r="C622" t="str">
            <v>BUCHA DE REDUCAO DE PVC, SOLDAVEL, LONGA, 50 X 40 MM, PARA ESGOTO PREDIAL</v>
          </cell>
          <cell r="D622" t="str">
            <v>UN</v>
          </cell>
          <cell r="E622" t="str">
            <v>CR</v>
          </cell>
          <cell r="F622">
            <v>3.71</v>
          </cell>
        </row>
        <row r="623">
          <cell r="B623">
            <v>832</v>
          </cell>
          <cell r="C623" t="str">
            <v>BUCHA DE REDUCAO DE PVC, SOLDAVEL, LONGA, COM 32 X 20 MM, PARA AGUA FRIA PREDIAL</v>
          </cell>
          <cell r="D623" t="str">
            <v>UN</v>
          </cell>
          <cell r="E623" t="str">
            <v>CR</v>
          </cell>
          <cell r="F623">
            <v>3.31</v>
          </cell>
        </row>
        <row r="624">
          <cell r="B624">
            <v>834</v>
          </cell>
          <cell r="C624" t="str">
            <v>BUCHA DE REDUCAO DE PVC, SOLDAVEL, LONGA, COM 40 X 25 MM, PARA AGUA FRIA PREDIAL</v>
          </cell>
          <cell r="D624" t="str">
            <v>UN</v>
          </cell>
          <cell r="E624" t="str">
            <v>CR</v>
          </cell>
          <cell r="F624">
            <v>4.29</v>
          </cell>
        </row>
        <row r="625">
          <cell r="B625">
            <v>813</v>
          </cell>
          <cell r="C625" t="str">
            <v>BUCHA DE REDUCAO DE PVC, SOLDAVEL, LONGA, COM 50 X 25 MM, PARA AGUA FRIA PREDIAL</v>
          </cell>
          <cell r="D625" t="str">
            <v>UN</v>
          </cell>
          <cell r="E625" t="str">
            <v>CR</v>
          </cell>
          <cell r="F625">
            <v>4.99</v>
          </cell>
        </row>
        <row r="626">
          <cell r="B626">
            <v>820</v>
          </cell>
          <cell r="C626" t="str">
            <v>BUCHA DE REDUCAO DE PVC, SOLDAVEL, LONGA, COM 50 X 32 MM, PARA AGUA FRIA PREDIAL</v>
          </cell>
          <cell r="D626" t="str">
            <v>UN</v>
          </cell>
          <cell r="E626" t="str">
            <v>CR</v>
          </cell>
          <cell r="F626">
            <v>6.72</v>
          </cell>
        </row>
        <row r="627">
          <cell r="B627">
            <v>816</v>
          </cell>
          <cell r="C627" t="str">
            <v>BUCHA DE REDUCAO DE PVC, SOLDAVEL, LONGA, COM 60 X 25 MM, PARA AGUA FRIA PREDIAL</v>
          </cell>
          <cell r="D627" t="str">
            <v>UN</v>
          </cell>
          <cell r="E627" t="str">
            <v>CR</v>
          </cell>
          <cell r="F627">
            <v>11.98</v>
          </cell>
        </row>
        <row r="628">
          <cell r="B628">
            <v>814</v>
          </cell>
          <cell r="C628" t="str">
            <v>BUCHA DE REDUCAO DE PVC, SOLDAVEL, LONGA, COM 60 X 32 MM, PARA AGUA FRIA PREDIAL</v>
          </cell>
          <cell r="D628" t="str">
            <v>UN</v>
          </cell>
          <cell r="E628" t="str">
            <v>CR</v>
          </cell>
          <cell r="F628">
            <v>14.88</v>
          </cell>
        </row>
        <row r="629">
          <cell r="B629">
            <v>822</v>
          </cell>
          <cell r="C629" t="str">
            <v>BUCHA DE REDUCAO DE PVC, SOLDAVEL, LONGA, COM 60 X 50 MM, PARA AGUA FRIA PREDIAL</v>
          </cell>
          <cell r="D629" t="str">
            <v>UN</v>
          </cell>
          <cell r="E629" t="str">
            <v>CR</v>
          </cell>
          <cell r="F629">
            <v>19.43</v>
          </cell>
        </row>
        <row r="630">
          <cell r="B630">
            <v>821</v>
          </cell>
          <cell r="C630" t="str">
            <v>BUCHA DE REDUCAO DE PVC, SOLDAVEL, LONGA, COM 75 X 50 MM, PARA AGUA FRIA PREDIAL</v>
          </cell>
          <cell r="D630" t="str">
            <v>UN</v>
          </cell>
          <cell r="E630" t="str">
            <v>CR</v>
          </cell>
          <cell r="F630">
            <v>22.22</v>
          </cell>
        </row>
        <row r="631">
          <cell r="B631">
            <v>39191</v>
          </cell>
          <cell r="C631" t="str">
            <v>BUCHA DE REDUCAO EM ALUMINIO, COM ROSCA, DE 1 1/2" X 1 1/4", PARA ELETRODUTO</v>
          </cell>
          <cell r="D631" t="str">
            <v>UN</v>
          </cell>
          <cell r="E631" t="str">
            <v>CR</v>
          </cell>
          <cell r="F631">
            <v>23.21</v>
          </cell>
        </row>
        <row r="632">
          <cell r="B632">
            <v>39190</v>
          </cell>
          <cell r="C632" t="str">
            <v>BUCHA DE REDUCAO EM ALUMINIO, COM ROSCA, DE 1 1/2" X 1", PARA ELETRODUTO</v>
          </cell>
          <cell r="D632" t="str">
            <v>UN</v>
          </cell>
          <cell r="E632" t="str">
            <v>CR</v>
          </cell>
          <cell r="F632">
            <v>24.25</v>
          </cell>
        </row>
        <row r="633">
          <cell r="B633">
            <v>39189</v>
          </cell>
          <cell r="C633" t="str">
            <v>BUCHA DE REDUCAO EM ALUMINIO, COM ROSCA, DE 1 1/2" X 3/4", PARA ELETRODUTO</v>
          </cell>
          <cell r="D633" t="str">
            <v>UN</v>
          </cell>
          <cell r="E633" t="str">
            <v>CR</v>
          </cell>
          <cell r="F633">
            <v>25.66</v>
          </cell>
        </row>
        <row r="634">
          <cell r="B634">
            <v>39188</v>
          </cell>
          <cell r="C634" t="str">
            <v>BUCHA DE REDUCAO EM ALUMINIO, COM ROSCA, DE 1 1/4" X 1", PARA ELETRODUTO</v>
          </cell>
          <cell r="D634" t="str">
            <v>UN</v>
          </cell>
          <cell r="E634" t="str">
            <v>CR</v>
          </cell>
          <cell r="F634">
            <v>18.89</v>
          </cell>
        </row>
        <row r="635">
          <cell r="B635">
            <v>39186</v>
          </cell>
          <cell r="C635" t="str">
            <v>BUCHA DE REDUCAO EM ALUMINIO, COM ROSCA, DE 1 1/4" X 1/2", PARA ELETRODUTO</v>
          </cell>
          <cell r="D635" t="str">
            <v>UN</v>
          </cell>
          <cell r="E635" t="str">
            <v>CR</v>
          </cell>
          <cell r="F635">
            <v>22.96</v>
          </cell>
        </row>
        <row r="636">
          <cell r="B636">
            <v>39187</v>
          </cell>
          <cell r="C636" t="str">
            <v>BUCHA DE REDUCAO EM ALUMINIO, COM ROSCA, DE 1 1/4" X 3/4", PARA ELETRODUTO</v>
          </cell>
          <cell r="D636" t="str">
            <v>UN</v>
          </cell>
          <cell r="E636" t="str">
            <v>CR</v>
          </cell>
          <cell r="F636">
            <v>19.8</v>
          </cell>
        </row>
        <row r="637">
          <cell r="B637">
            <v>39184</v>
          </cell>
          <cell r="C637" t="str">
            <v>BUCHA DE REDUCAO EM ALUMINIO, COM ROSCA, DE 1" X 1/2", PARA ELETRODUTO</v>
          </cell>
          <cell r="D637" t="str">
            <v>UN</v>
          </cell>
          <cell r="E637" t="str">
            <v>CR</v>
          </cell>
          <cell r="F637">
            <v>7.45</v>
          </cell>
        </row>
        <row r="638">
          <cell r="B638">
            <v>39185</v>
          </cell>
          <cell r="C638" t="str">
            <v>BUCHA DE REDUCAO EM ALUMINIO, COM ROSCA, DE 1" X 3/4", PARA ELETRODUTO</v>
          </cell>
          <cell r="D638" t="str">
            <v>UN</v>
          </cell>
          <cell r="E638" t="str">
            <v>CR</v>
          </cell>
          <cell r="F638">
            <v>6.79</v>
          </cell>
        </row>
        <row r="639">
          <cell r="B639">
            <v>39198</v>
          </cell>
          <cell r="C639" t="str">
            <v>BUCHA DE REDUCAO EM ALUMINIO, COM ROSCA, DE 2 1/2" X 1 1/2", PARA ELETRODUTO</v>
          </cell>
          <cell r="D639" t="str">
            <v>UN</v>
          </cell>
          <cell r="E639" t="str">
            <v>CR</v>
          </cell>
          <cell r="F639">
            <v>76.14</v>
          </cell>
        </row>
        <row r="640">
          <cell r="B640">
            <v>39197</v>
          </cell>
          <cell r="C640" t="str">
            <v>BUCHA DE REDUCAO EM ALUMINIO, COM ROSCA, DE 2 1/2" X 1 1/4", PARA ELETRODUTO</v>
          </cell>
          <cell r="D640" t="str">
            <v>UN</v>
          </cell>
          <cell r="E640" t="str">
            <v>CR</v>
          </cell>
          <cell r="F640">
            <v>79.540000000000006</v>
          </cell>
        </row>
        <row r="641">
          <cell r="B641">
            <v>39196</v>
          </cell>
          <cell r="C641" t="str">
            <v>BUCHA DE REDUCAO EM ALUMINIO, COM ROSCA, DE 2 1/2" X 1", PARA ELETRODUTO</v>
          </cell>
          <cell r="D641" t="str">
            <v>UN</v>
          </cell>
          <cell r="E641" t="str">
            <v>CR</v>
          </cell>
          <cell r="F641">
            <v>82.03</v>
          </cell>
        </row>
        <row r="642">
          <cell r="B642">
            <v>39199</v>
          </cell>
          <cell r="C642" t="str">
            <v>BUCHA DE REDUCAO EM ALUMINIO, COM ROSCA, DE 2 1/2" X 2", PARA ELETRODUTO</v>
          </cell>
          <cell r="D642" t="str">
            <v>UN</v>
          </cell>
          <cell r="E642" t="str">
            <v>CR</v>
          </cell>
          <cell r="F642">
            <v>73.28</v>
          </cell>
        </row>
        <row r="643">
          <cell r="B643">
            <v>39195</v>
          </cell>
          <cell r="C643" t="str">
            <v>BUCHA DE REDUCAO EM ALUMINIO, COM ROSCA, DE 2" X 1 1/2", PARA ELETRODUTO</v>
          </cell>
          <cell r="D643" t="str">
            <v>UN</v>
          </cell>
          <cell r="E643" t="str">
            <v>CR</v>
          </cell>
          <cell r="F643">
            <v>42.29</v>
          </cell>
        </row>
        <row r="644">
          <cell r="B644">
            <v>39194</v>
          </cell>
          <cell r="C644" t="str">
            <v>BUCHA DE REDUCAO EM ALUMINIO, COM ROSCA, DE 2" X 1 1/4", PARA ELETRODUTO</v>
          </cell>
          <cell r="D644" t="str">
            <v>UN</v>
          </cell>
          <cell r="E644" t="str">
            <v>CR</v>
          </cell>
          <cell r="F644">
            <v>45.26</v>
          </cell>
        </row>
        <row r="645">
          <cell r="B645">
            <v>39193</v>
          </cell>
          <cell r="C645" t="str">
            <v>BUCHA DE REDUCAO EM ALUMINIO, COM ROSCA, DE 2" X 1", PARA ELETRODUTO</v>
          </cell>
          <cell r="D645" t="str">
            <v>UN</v>
          </cell>
          <cell r="E645" t="str">
            <v>CR</v>
          </cell>
          <cell r="F645">
            <v>49.61</v>
          </cell>
        </row>
        <row r="646">
          <cell r="B646">
            <v>39192</v>
          </cell>
          <cell r="C646" t="str">
            <v>BUCHA DE REDUCAO EM ALUMINIO, COM ROSCA, DE 2" X 3/4", PARA ELETRODUTO</v>
          </cell>
          <cell r="D646" t="str">
            <v>UN</v>
          </cell>
          <cell r="E646" t="str">
            <v>CR</v>
          </cell>
          <cell r="F646">
            <v>51.6</v>
          </cell>
        </row>
        <row r="647">
          <cell r="B647">
            <v>39201</v>
          </cell>
          <cell r="C647" t="str">
            <v>BUCHA DE REDUCAO EM ALUMINIO, COM ROSCA, DE 3" X 1 1/2", PARA ELETRODUTO</v>
          </cell>
          <cell r="D647" t="str">
            <v>UN</v>
          </cell>
          <cell r="E647" t="str">
            <v>CR</v>
          </cell>
          <cell r="F647">
            <v>91.03</v>
          </cell>
        </row>
        <row r="648">
          <cell r="B648">
            <v>39200</v>
          </cell>
          <cell r="C648" t="str">
            <v>BUCHA DE REDUCAO EM ALUMINIO, COM ROSCA, DE 3" X 1 1/4", PARA ELETRODUTO</v>
          </cell>
          <cell r="D648" t="str">
            <v>UN</v>
          </cell>
          <cell r="E648" t="str">
            <v>CR</v>
          </cell>
          <cell r="F648">
            <v>91.77</v>
          </cell>
        </row>
        <row r="649">
          <cell r="B649">
            <v>39203</v>
          </cell>
          <cell r="C649" t="str">
            <v>BUCHA DE REDUCAO EM ALUMINIO, COM ROSCA, DE 3" X 2 1/2", PARA ELETRODUTO</v>
          </cell>
          <cell r="D649" t="str">
            <v>UN</v>
          </cell>
          <cell r="E649" t="str">
            <v>CR</v>
          </cell>
          <cell r="F649">
            <v>74.099999999999994</v>
          </cell>
        </row>
        <row r="650">
          <cell r="B650">
            <v>39202</v>
          </cell>
          <cell r="C650" t="str">
            <v>BUCHA DE REDUCAO EM ALUMINIO, COM ROSCA, DE 3" X 2", PARA ELETRODUTO</v>
          </cell>
          <cell r="D650" t="str">
            <v>UN</v>
          </cell>
          <cell r="E650" t="str">
            <v>CR</v>
          </cell>
          <cell r="F650">
            <v>87.04</v>
          </cell>
        </row>
        <row r="651">
          <cell r="B651">
            <v>39920</v>
          </cell>
          <cell r="C651" t="str">
            <v>BUCHA DE REDUCAO EM ALUMINIO, COM ROSCA, DE 3/4" X 1/2", PARA ELETRODUTO</v>
          </cell>
          <cell r="D651" t="str">
            <v>UN</v>
          </cell>
          <cell r="E651" t="str">
            <v>CR</v>
          </cell>
          <cell r="F651">
            <v>6.25</v>
          </cell>
        </row>
        <row r="652">
          <cell r="B652">
            <v>39205</v>
          </cell>
          <cell r="C652" t="str">
            <v>BUCHA DE REDUCAO EM ALUMINIO, COM ROSCA, DE 4" X 2 1/2", PARA ELETRODUTO</v>
          </cell>
          <cell r="D652" t="str">
            <v>UN</v>
          </cell>
          <cell r="E652" t="str">
            <v>CR</v>
          </cell>
          <cell r="F652">
            <v>145.22</v>
          </cell>
        </row>
        <row r="653">
          <cell r="B653">
            <v>39204</v>
          </cell>
          <cell r="C653" t="str">
            <v>BUCHA DE REDUCAO EM ALUMINIO, COM ROSCA, DE 4" X 2", PARA ELETRODUTO</v>
          </cell>
          <cell r="D653" t="str">
            <v>UN</v>
          </cell>
          <cell r="E653" t="str">
            <v>CR</v>
          </cell>
          <cell r="F653">
            <v>148.72999999999999</v>
          </cell>
        </row>
        <row r="654">
          <cell r="B654">
            <v>39206</v>
          </cell>
          <cell r="C654" t="str">
            <v>BUCHA DE REDUCAO EM ALUMINIO, COM ROSCA, DE 4" X 3", PARA ELETRODUTO</v>
          </cell>
          <cell r="D654" t="str">
            <v>UN</v>
          </cell>
          <cell r="E654" t="str">
            <v>CR</v>
          </cell>
          <cell r="F654">
            <v>141.1</v>
          </cell>
        </row>
        <row r="655">
          <cell r="B655">
            <v>798</v>
          </cell>
          <cell r="C655" t="str">
            <v>BUCHA DE REDUCAO PVC ROSCAVEL 3/4" X 1/2"</v>
          </cell>
          <cell r="D655" t="str">
            <v>UN</v>
          </cell>
          <cell r="E655" t="str">
            <v>CR</v>
          </cell>
          <cell r="F655">
            <v>1.38</v>
          </cell>
        </row>
        <row r="656">
          <cell r="B656">
            <v>797</v>
          </cell>
          <cell r="C656" t="str">
            <v>BUCHA DE REDUCAO PVC, ROSCAVEL 1 1/2" X 1"</v>
          </cell>
          <cell r="D656" t="str">
            <v>UN</v>
          </cell>
          <cell r="E656" t="str">
            <v>CR</v>
          </cell>
          <cell r="F656">
            <v>10.06</v>
          </cell>
        </row>
        <row r="657">
          <cell r="B657">
            <v>796</v>
          </cell>
          <cell r="C657" t="str">
            <v>BUCHA DE REDUCAO PVC, ROSCAVEL, 1 1/2" X 3/4"</v>
          </cell>
          <cell r="D657" t="str">
            <v>UN</v>
          </cell>
          <cell r="E657" t="str">
            <v>CR</v>
          </cell>
          <cell r="F657">
            <v>8.5500000000000007</v>
          </cell>
        </row>
        <row r="658">
          <cell r="B658">
            <v>799</v>
          </cell>
          <cell r="C658" t="str">
            <v>BUCHA DE REDUCAO PVC, ROSCAVEL, 1" X 1/2"</v>
          </cell>
          <cell r="D658" t="str">
            <v>UN</v>
          </cell>
          <cell r="E658" t="str">
            <v>CR</v>
          </cell>
          <cell r="F658">
            <v>4.13</v>
          </cell>
        </row>
        <row r="659">
          <cell r="B659">
            <v>792</v>
          </cell>
          <cell r="C659" t="str">
            <v>BUCHA DE REDUCAO PVC, ROSCAVEL, 1" X 3/4"</v>
          </cell>
          <cell r="D659" t="str">
            <v>UN</v>
          </cell>
          <cell r="E659" t="str">
            <v>CR</v>
          </cell>
          <cell r="F659">
            <v>4</v>
          </cell>
        </row>
        <row r="660">
          <cell r="B660">
            <v>38001</v>
          </cell>
          <cell r="C660" t="str">
            <v>BUCHA DE REDUCAO, CPVC, SOLDAVEL, 22 X 15 MM, PARA AGUA QUENTE</v>
          </cell>
          <cell r="D660" t="str">
            <v>UN</v>
          </cell>
          <cell r="E660" t="str">
            <v>CR</v>
          </cell>
          <cell r="F660">
            <v>1.17</v>
          </cell>
        </row>
        <row r="661">
          <cell r="B661">
            <v>38002</v>
          </cell>
          <cell r="C661" t="str">
            <v>BUCHA DE REDUCAO, CPVC, SOLDAVEL, 28 X 22 MM, PARA AGUA QUENTE</v>
          </cell>
          <cell r="D661" t="str">
            <v>UN</v>
          </cell>
          <cell r="E661" t="str">
            <v>CR</v>
          </cell>
          <cell r="F661">
            <v>4.07</v>
          </cell>
        </row>
        <row r="662">
          <cell r="B662">
            <v>38003</v>
          </cell>
          <cell r="C662" t="str">
            <v>BUCHA DE REDUCAO, CPVC, SOLDAVEL, 35 X 28 MM, PARA AGUA QUENTE</v>
          </cell>
          <cell r="D662" t="str">
            <v>UN</v>
          </cell>
          <cell r="E662" t="str">
            <v>CR</v>
          </cell>
          <cell r="F662">
            <v>27.84</v>
          </cell>
        </row>
        <row r="663">
          <cell r="B663">
            <v>38004</v>
          </cell>
          <cell r="C663" t="str">
            <v>BUCHA DE REDUCAO, CPVC, SOLDAVEL, 42 X 22 MM, PARA AGUA QUENTE</v>
          </cell>
          <cell r="D663" t="str">
            <v>UN</v>
          </cell>
          <cell r="E663" t="str">
            <v>CR</v>
          </cell>
          <cell r="F663">
            <v>32.01</v>
          </cell>
        </row>
        <row r="664">
          <cell r="B664">
            <v>44263</v>
          </cell>
          <cell r="C664" t="str">
            <v>BUCHA DE REDUCAO, CPVC, SOLDAVEL, 54 X 35 MM, PARA AGUA QUENTE</v>
          </cell>
          <cell r="D664" t="str">
            <v>UN</v>
          </cell>
          <cell r="E664" t="str">
            <v>CR</v>
          </cell>
          <cell r="F664">
            <v>57.47</v>
          </cell>
        </row>
        <row r="665">
          <cell r="B665">
            <v>36327</v>
          </cell>
          <cell r="C665" t="str">
            <v>BUCHA DE REDUCAO, PPR, DN 25 X 20 MM, PARA AGUA QUENTE PREDIAL</v>
          </cell>
          <cell r="D665" t="str">
            <v>UN</v>
          </cell>
          <cell r="E665" t="str">
            <v>CR</v>
          </cell>
          <cell r="F665">
            <v>4.57</v>
          </cell>
        </row>
        <row r="666">
          <cell r="B666">
            <v>38992</v>
          </cell>
          <cell r="C666" t="str">
            <v>BUCHA DE REDUCAO, PPR, DN 32 X 25 MM, PARA AGUA QUENTE E FRIA PREDIAL</v>
          </cell>
          <cell r="D666" t="str">
            <v>UN</v>
          </cell>
          <cell r="E666" t="str">
            <v>CR</v>
          </cell>
          <cell r="F666">
            <v>5.56</v>
          </cell>
        </row>
        <row r="667">
          <cell r="B667">
            <v>38993</v>
          </cell>
          <cell r="C667" t="str">
            <v>BUCHA DE REDUCAO, PPR, DN 40 X 25 MM, PARA AGUA QUENTE E FRIA PREDIAL</v>
          </cell>
          <cell r="D667" t="str">
            <v>UN</v>
          </cell>
          <cell r="E667" t="str">
            <v>CR</v>
          </cell>
          <cell r="F667">
            <v>14.45</v>
          </cell>
        </row>
        <row r="668">
          <cell r="B668">
            <v>44175</v>
          </cell>
          <cell r="C668" t="str">
            <v>BUCHA DE REDUCAO, PPR, DN 50 X 25 MM, PARA AGUA QUENTE E FRIA PREDIAL</v>
          </cell>
          <cell r="D668" t="str">
            <v>UN</v>
          </cell>
          <cell r="E668" t="str">
            <v>CR</v>
          </cell>
          <cell r="F668">
            <v>25.21</v>
          </cell>
        </row>
        <row r="669">
          <cell r="B669">
            <v>44177</v>
          </cell>
          <cell r="C669" t="str">
            <v>BUCHA DE REDUCAO, PPR, DN 50 X 32 MM, PARA AGUA QUENTE E FRIA PREDIAL</v>
          </cell>
          <cell r="D669" t="str">
            <v>UN</v>
          </cell>
          <cell r="E669" t="str">
            <v>CR</v>
          </cell>
          <cell r="F669">
            <v>18.84</v>
          </cell>
        </row>
        <row r="670">
          <cell r="B670">
            <v>38418</v>
          </cell>
          <cell r="C670" t="str">
            <v>BUCHA DE REDUCAO, PVC, LONGA, SERIE R, DN 50 X 40 MM, PARA ESGOTO PREDIAL</v>
          </cell>
          <cell r="D670" t="str">
            <v>UN</v>
          </cell>
          <cell r="E670" t="str">
            <v>CR</v>
          </cell>
          <cell r="F670">
            <v>6.37</v>
          </cell>
        </row>
        <row r="671">
          <cell r="B671">
            <v>39178</v>
          </cell>
          <cell r="C671" t="str">
            <v>BUCHA EM ALUMINIO, COM ROSCA, DE 1 1/2", PARA ELETRODUTO</v>
          </cell>
          <cell r="D671" t="str">
            <v>UN</v>
          </cell>
          <cell r="E671" t="str">
            <v>CR</v>
          </cell>
          <cell r="F671">
            <v>2.5099999999999998</v>
          </cell>
        </row>
        <row r="672">
          <cell r="B672">
            <v>39177</v>
          </cell>
          <cell r="C672" t="str">
            <v>BUCHA EM ALUMINIO, COM ROSCA, DE 1 1/4", PARA ELETRODUTO</v>
          </cell>
          <cell r="D672" t="str">
            <v>UN</v>
          </cell>
          <cell r="E672" t="str">
            <v>CR</v>
          </cell>
          <cell r="F672">
            <v>2.27</v>
          </cell>
        </row>
        <row r="673">
          <cell r="B673">
            <v>39176</v>
          </cell>
          <cell r="C673" t="str">
            <v>BUCHA EM ALUMINIO, COM ROSCA, DE 1", PARA ELETRODUTO</v>
          </cell>
          <cell r="D673" t="str">
            <v>UN</v>
          </cell>
          <cell r="E673" t="str">
            <v>CR</v>
          </cell>
          <cell r="F673">
            <v>1.49</v>
          </cell>
        </row>
        <row r="674">
          <cell r="B674">
            <v>39174</v>
          </cell>
          <cell r="C674" t="str">
            <v>BUCHA EM ALUMINIO, COM ROSCA, DE 1/2", PARA ELETRODUTO</v>
          </cell>
          <cell r="D674" t="str">
            <v>UN</v>
          </cell>
          <cell r="E674" t="str">
            <v>CR</v>
          </cell>
          <cell r="F674">
            <v>1.1299999999999999</v>
          </cell>
        </row>
        <row r="675">
          <cell r="B675">
            <v>39180</v>
          </cell>
          <cell r="C675" t="str">
            <v>BUCHA EM ALUMINIO, COM ROSCA, DE 2 1/2", PARA ELETRODUTO</v>
          </cell>
          <cell r="D675" t="str">
            <v>UN</v>
          </cell>
          <cell r="E675" t="str">
            <v>CR</v>
          </cell>
          <cell r="F675">
            <v>6.82</v>
          </cell>
        </row>
        <row r="676">
          <cell r="B676">
            <v>39179</v>
          </cell>
          <cell r="C676" t="str">
            <v>BUCHA EM ALUMINIO, COM ROSCA, DE 2", PARA ELETRODUTO</v>
          </cell>
          <cell r="D676" t="str">
            <v>UN</v>
          </cell>
          <cell r="E676" t="str">
            <v>CR</v>
          </cell>
          <cell r="F676">
            <v>6.03</v>
          </cell>
        </row>
        <row r="677">
          <cell r="B677">
            <v>39181</v>
          </cell>
          <cell r="C677" t="str">
            <v>BUCHA EM ALUMINIO, COM ROSCA, DE 3", PARA ELETRODUTO</v>
          </cell>
          <cell r="D677" t="str">
            <v>UN</v>
          </cell>
          <cell r="E677" t="str">
            <v>CR</v>
          </cell>
          <cell r="F677">
            <v>9.14</v>
          </cell>
        </row>
        <row r="678">
          <cell r="B678">
            <v>39175</v>
          </cell>
          <cell r="C678" t="str">
            <v>BUCHA EM ALUMINIO, COM ROSCA, DE 3/4", PARA ELETRODUTO</v>
          </cell>
          <cell r="D678" t="str">
            <v>UN</v>
          </cell>
          <cell r="E678" t="str">
            <v>CR</v>
          </cell>
          <cell r="F678">
            <v>1.38</v>
          </cell>
        </row>
        <row r="679">
          <cell r="B679">
            <v>39217</v>
          </cell>
          <cell r="C679" t="str">
            <v>BUCHA EM ALUMINIO, COM ROSCA, DE 3/8", PARA ELETRODUTO</v>
          </cell>
          <cell r="D679" t="str">
            <v>UN</v>
          </cell>
          <cell r="E679" t="str">
            <v>CR</v>
          </cell>
          <cell r="F679">
            <v>1.07</v>
          </cell>
        </row>
        <row r="680">
          <cell r="B680">
            <v>39182</v>
          </cell>
          <cell r="C680" t="str">
            <v>BUCHA EM ALUMINIO, COM ROSCA, DE 4", PARA ELETRODUTO</v>
          </cell>
          <cell r="D680" t="str">
            <v>UN</v>
          </cell>
          <cell r="E680" t="str">
            <v>CR</v>
          </cell>
          <cell r="F680">
            <v>12.85</v>
          </cell>
        </row>
        <row r="681">
          <cell r="B681">
            <v>12616</v>
          </cell>
          <cell r="C681" t="str">
            <v>CABECEIRA DIREITA OU ESQUERDA, PVC, PARA CALHA PLUVIAL, DIAMETRO ENTRE *119 E 170* MM, PARA DRENAGEM PLUVIAL PREDIAL</v>
          </cell>
          <cell r="D681" t="str">
            <v>UN</v>
          </cell>
          <cell r="E681" t="str">
            <v>CR</v>
          </cell>
          <cell r="F681">
            <v>19.649999999999999</v>
          </cell>
        </row>
        <row r="682">
          <cell r="B682">
            <v>1049</v>
          </cell>
          <cell r="C682" t="str">
            <v>CABECOTE PARA ENTRADA DE LINHA DE ALIMENTACAO PARA ELETRODUTO, EM LIGA DE ALUMINIO COM ACABAMENTO ANTI CORROSIVO, COM FIXACAO POR ENCAIXE LISO DE 360 GRAUS, DE 1 1/2"</v>
          </cell>
          <cell r="D682" t="str">
            <v>UN</v>
          </cell>
          <cell r="E682" t="str">
            <v>CR</v>
          </cell>
          <cell r="F682">
            <v>10.76</v>
          </cell>
        </row>
        <row r="683">
          <cell r="B683">
            <v>1099</v>
          </cell>
          <cell r="C683" t="str">
            <v>CABECOTE PARA ENTRADA DE LINHA DE ALIMENTACAO PARA ELETRODUTO, EM LIGA DE ALUMINIO COM ACABAMENTO ANTI CORROSIVO, COM FIXACAO POR ENCAIXE LISO DE 360 GRAUS, DE 1 1/4"</v>
          </cell>
          <cell r="D683" t="str">
            <v>UN</v>
          </cell>
          <cell r="E683" t="str">
            <v>CR</v>
          </cell>
          <cell r="F683">
            <v>8.23</v>
          </cell>
        </row>
        <row r="684">
          <cell r="B684">
            <v>1050</v>
          </cell>
          <cell r="C684" t="str">
            <v>CABECOTE PARA ENTRADA DE LINHA DE ALIMENTACAO PARA ELETRODUTO, EM LIGA DE ALUMINIO COM ACABAMENTO ANTI CORROSIVO, COM FIXACAO POR ENCAIXE LISO DE 360 GRAUS, DE 1"</v>
          </cell>
          <cell r="D684" t="str">
            <v>UN</v>
          </cell>
          <cell r="E684" t="str">
            <v>CR</v>
          </cell>
          <cell r="F684">
            <v>5.63</v>
          </cell>
        </row>
        <row r="685">
          <cell r="B685">
            <v>39678</v>
          </cell>
          <cell r="C685" t="str">
            <v>CABECOTE PARA ENTRADA DE LINHA DE ALIMENTACAO PARA ELETRODUTO, EM LIGA DE ALUMINIO COM ACABAMENTO ANTI CORROSIVO, COM FIXACAO POR ENCAIXE LISO DE 360 GRAUS, DE 1/2"</v>
          </cell>
          <cell r="D685" t="str">
            <v>UN</v>
          </cell>
          <cell r="E685" t="str">
            <v>CR</v>
          </cell>
          <cell r="F685">
            <v>3.32</v>
          </cell>
        </row>
        <row r="686">
          <cell r="B686">
            <v>1101</v>
          </cell>
          <cell r="C686" t="str">
            <v>CABECOTE PARA ENTRADA DE LINHA DE ALIMENTACAO PARA ELETRODUTO, EM LIGA DE ALUMINIO COM ACABAMENTO ANTI CORROSIVO, COM FIXACAO POR ENCAIXE LISO DE 360 GRAUS, DE 2 1/2"</v>
          </cell>
          <cell r="D686" t="str">
            <v>UN</v>
          </cell>
          <cell r="E686" t="str">
            <v>CR</v>
          </cell>
          <cell r="F686">
            <v>35.49</v>
          </cell>
        </row>
        <row r="687">
          <cell r="B687">
            <v>1100</v>
          </cell>
          <cell r="C687" t="str">
            <v>CABECOTE PARA ENTRADA DE LINHA DE ALIMENTACAO PARA ELETRODUTO, EM LIGA DE ALUMINIO COM ACABAMENTO ANTI CORROSIVO, COM FIXACAO POR ENCAIXE LISO DE 360 GRAUS, DE 2"</v>
          </cell>
          <cell r="D687" t="str">
            <v>UN</v>
          </cell>
          <cell r="E687" t="str">
            <v>CR</v>
          </cell>
          <cell r="F687">
            <v>18.309999999999999</v>
          </cell>
        </row>
        <row r="688">
          <cell r="B688">
            <v>39679</v>
          </cell>
          <cell r="C688" t="str">
            <v>CABECOTE PARA ENTRADA DE LINHA DE ALIMENTACAO PARA ELETRODUTO, EM LIGA DE ALUMINIO COM ACABAMENTO ANTI CORROSIVO, COM FIXACAO POR ENCAIXE LISO DE 360 GRAUS, DE 3 1/2"</v>
          </cell>
          <cell r="D688" t="str">
            <v>UN</v>
          </cell>
          <cell r="E688" t="str">
            <v>CR</v>
          </cell>
          <cell r="F688">
            <v>70.72</v>
          </cell>
        </row>
        <row r="689">
          <cell r="B689">
            <v>1102</v>
          </cell>
          <cell r="C689" t="str">
            <v>CABECOTE PARA ENTRADA DE LINHA DE ALIMENTACAO PARA ELETRODUTO, EM LIGA DE ALUMINIO COM ACABAMENTO ANTI CORROSIVO, COM FIXACAO POR ENCAIXE LISO DE 360 GRAUS, DE 3"</v>
          </cell>
          <cell r="D689" t="str">
            <v>UN</v>
          </cell>
          <cell r="E689" t="str">
            <v>CR</v>
          </cell>
          <cell r="F689">
            <v>52.92</v>
          </cell>
        </row>
        <row r="690">
          <cell r="B690">
            <v>1098</v>
          </cell>
          <cell r="C690" t="str">
            <v>CABECOTE PARA ENTRADA DE LINHA DE ALIMENTACAO PARA ELETRODUTO, EM LIGA DE ALUMINIO COM ACABAMENTO ANTI CORROSIVO, COM FIXACAO POR ENCAIXE LISO DE 360 GRAUS, DE 3/4"</v>
          </cell>
          <cell r="D690" t="str">
            <v>UN</v>
          </cell>
          <cell r="E690" t="str">
            <v>CR</v>
          </cell>
          <cell r="F690">
            <v>4.3899999999999997</v>
          </cell>
        </row>
        <row r="691">
          <cell r="B691">
            <v>1051</v>
          </cell>
          <cell r="C691" t="str">
            <v>CABECOTE PARA ENTRADA DE LINHA DE ALIMENTACAO PARA ELETRODUTO, EM LIGA DE ALUMINIO COM ACABAMENTO ANTI CORROSIVO, COM FIXACAO POR ENCAIXE LISO DE 360 GRAUS, DE 4"</v>
          </cell>
          <cell r="D691" t="str">
            <v>UN</v>
          </cell>
          <cell r="E691" t="str">
            <v>CR</v>
          </cell>
          <cell r="F691">
            <v>76.91</v>
          </cell>
        </row>
        <row r="692">
          <cell r="B692">
            <v>37399</v>
          </cell>
          <cell r="C692" t="str">
            <v>CABIDE/GANCHO DE BANHEIRO SIMPLES EM METAL CROMADO</v>
          </cell>
          <cell r="D692" t="str">
            <v>UN</v>
          </cell>
          <cell r="E692" t="str">
            <v>CR</v>
          </cell>
          <cell r="F692">
            <v>31.25</v>
          </cell>
        </row>
        <row r="693">
          <cell r="B693">
            <v>43834</v>
          </cell>
          <cell r="C693" t="str">
            <v>CABO COAXIAL RG11 95% DE MALHA</v>
          </cell>
          <cell r="D693" t="str">
            <v>M</v>
          </cell>
          <cell r="E693" t="str">
            <v>CR</v>
          </cell>
          <cell r="F693">
            <v>22.56</v>
          </cell>
        </row>
        <row r="694">
          <cell r="B694">
            <v>43835</v>
          </cell>
          <cell r="C694" t="str">
            <v>CABO COAXIAL RG59 95% DE MALHA</v>
          </cell>
          <cell r="D694" t="str">
            <v>M</v>
          </cell>
          <cell r="E694" t="str">
            <v>CR</v>
          </cell>
          <cell r="F694">
            <v>2.02</v>
          </cell>
        </row>
        <row r="695">
          <cell r="B695">
            <v>43833</v>
          </cell>
          <cell r="C695" t="str">
            <v>CABO COAXIAL RG6 95% DE MALHA</v>
          </cell>
          <cell r="D695" t="str">
            <v>M</v>
          </cell>
          <cell r="E695" t="str">
            <v>CR</v>
          </cell>
          <cell r="F695">
            <v>2.1</v>
          </cell>
        </row>
        <row r="696">
          <cell r="B696">
            <v>41955</v>
          </cell>
          <cell r="C696" t="str">
            <v>CABO DE ACO GALVANIZADO, DIAMETRO 12,7 MM (1/2"), COM ALMA DE ACO CABO INDEPENDENTE 6 X 25 F</v>
          </cell>
          <cell r="D696" t="str">
            <v>KG</v>
          </cell>
          <cell r="E696" t="str">
            <v>CR</v>
          </cell>
          <cell r="F696">
            <v>72.489999999999995</v>
          </cell>
        </row>
        <row r="697">
          <cell r="B697">
            <v>41953</v>
          </cell>
          <cell r="C697" t="str">
            <v>CABO DE ACO GALVANIZADO, DIAMETRO 12,7 MM (1/2"), COM ALMA DE FIBRA 6 X 25 F</v>
          </cell>
          <cell r="D697" t="str">
            <v>KG</v>
          </cell>
          <cell r="E697" t="str">
            <v>CR</v>
          </cell>
          <cell r="F697">
            <v>69.180000000000007</v>
          </cell>
        </row>
        <row r="698">
          <cell r="B698">
            <v>41954</v>
          </cell>
          <cell r="C698" t="str">
            <v>CABO DE ACO GALVANIZADO, DIAMETRO 9,53 MM (3/8"), COM ALMA DE FIBRA 6 X 25 F</v>
          </cell>
          <cell r="D698" t="str">
            <v>KG</v>
          </cell>
          <cell r="E698" t="str">
            <v>CR</v>
          </cell>
          <cell r="F698">
            <v>68.52</v>
          </cell>
        </row>
        <row r="699">
          <cell r="B699">
            <v>25004</v>
          </cell>
          <cell r="C699" t="str">
            <v>CABO DE ALUMINIO NU COM ALMA DE ACO, BITOLA 1/0 AWG</v>
          </cell>
          <cell r="D699" t="str">
            <v>KG</v>
          </cell>
          <cell r="E699" t="str">
            <v>CR</v>
          </cell>
          <cell r="F699">
            <v>52.39</v>
          </cell>
        </row>
        <row r="700">
          <cell r="B700">
            <v>25002</v>
          </cell>
          <cell r="C700" t="str">
            <v>CABO DE ALUMINIO NU COM ALMA DE ACO, BITOLA 2 AWG</v>
          </cell>
          <cell r="D700" t="str">
            <v>KG</v>
          </cell>
          <cell r="E700" t="str">
            <v>CR</v>
          </cell>
          <cell r="F700">
            <v>52.39</v>
          </cell>
        </row>
        <row r="701">
          <cell r="B701">
            <v>37409</v>
          </cell>
          <cell r="C701" t="str">
            <v>CABO DE ALUMINIO NU COM ALMA DE ACO, BITOLA 2/0 AWG</v>
          </cell>
          <cell r="D701" t="str">
            <v>KG</v>
          </cell>
          <cell r="E701" t="str">
            <v>CR</v>
          </cell>
          <cell r="F701">
            <v>52.39</v>
          </cell>
        </row>
        <row r="702">
          <cell r="B702">
            <v>841</v>
          </cell>
          <cell r="C702" t="str">
            <v>CABO DE ALUMINIO NU COM ALMA DE ACO, BITOLA 4 AWG</v>
          </cell>
          <cell r="D702" t="str">
            <v>KG</v>
          </cell>
          <cell r="E702" t="str">
            <v>CR</v>
          </cell>
          <cell r="F702">
            <v>53.03</v>
          </cell>
        </row>
        <row r="703">
          <cell r="B703">
            <v>25005</v>
          </cell>
          <cell r="C703" t="str">
            <v>CABO DE ALUMINIO NU SEM ALMA DE ACO, BITOLA 1/0 AWG</v>
          </cell>
          <cell r="D703" t="str">
            <v>KG</v>
          </cell>
          <cell r="E703" t="str">
            <v>CR</v>
          </cell>
          <cell r="F703">
            <v>57.49</v>
          </cell>
        </row>
        <row r="704">
          <cell r="B704">
            <v>25003</v>
          </cell>
          <cell r="C704" t="str">
            <v>CABO DE ALUMINIO NU SEM ALMA DE ACO, BITOLA 2 AWG</v>
          </cell>
          <cell r="D704" t="str">
            <v>KG</v>
          </cell>
          <cell r="E704" t="str">
            <v>CR</v>
          </cell>
          <cell r="F704">
            <v>58.35</v>
          </cell>
        </row>
        <row r="705">
          <cell r="B705">
            <v>37410</v>
          </cell>
          <cell r="C705" t="str">
            <v>CABO DE ALUMINIO NU SEM ALMA DE ACO, BITOLA 2/0 AWG</v>
          </cell>
          <cell r="D705" t="str">
            <v>KG</v>
          </cell>
          <cell r="E705" t="str">
            <v>CR</v>
          </cell>
          <cell r="F705">
            <v>57.49</v>
          </cell>
        </row>
        <row r="706">
          <cell r="B706">
            <v>842</v>
          </cell>
          <cell r="C706" t="str">
            <v>CABO DE ALUMINIO NU SEM ALMA DE ACO, BITOLA 4 AWG</v>
          </cell>
          <cell r="D706" t="str">
            <v>KG</v>
          </cell>
          <cell r="E706" t="str">
            <v>CR</v>
          </cell>
          <cell r="F706">
            <v>58.3</v>
          </cell>
        </row>
        <row r="707">
          <cell r="B707">
            <v>44391</v>
          </cell>
          <cell r="C707" t="str">
            <v>CABO DE COBRE FLEXIVEL NAO HALOGENADO, SEM EMISSAO DE FUMACA, 750V, SECAO NOMINAL 120 MM</v>
          </cell>
          <cell r="D707" t="str">
            <v>M</v>
          </cell>
          <cell r="E707" t="str">
            <v>CR</v>
          </cell>
          <cell r="F707">
            <v>124.24</v>
          </cell>
        </row>
        <row r="708">
          <cell r="B708">
            <v>44388</v>
          </cell>
          <cell r="C708" t="str">
            <v>CABO DE COBRE FLEXIVEL NAO HALOGENADO, SEM EMISSAO DE FUMACA, 750V, SECAO NOMINAL 2,5 MM</v>
          </cell>
          <cell r="D708" t="str">
            <v>M</v>
          </cell>
          <cell r="E708" t="str">
            <v>CR</v>
          </cell>
          <cell r="F708">
            <v>2.69</v>
          </cell>
        </row>
        <row r="709">
          <cell r="B709">
            <v>44392</v>
          </cell>
          <cell r="C709" t="str">
            <v>CABO DE COBRE FLEXIVEL NAO HALOGENADO, SEM EMISSAO DE FUMACA, 750V, SECAO NOMINAL 240 MM</v>
          </cell>
          <cell r="D709" t="str">
            <v>M</v>
          </cell>
          <cell r="E709" t="str">
            <v>CR</v>
          </cell>
          <cell r="F709">
            <v>247.37</v>
          </cell>
        </row>
        <row r="710">
          <cell r="B710">
            <v>44390</v>
          </cell>
          <cell r="C710" t="str">
            <v>CABO DE COBRE FLEXIVEL NAO HALOGENADO, SEM EMISSAO DE FUMACA, 750V, SECAO NOMINAL 50 MM</v>
          </cell>
          <cell r="D710" t="str">
            <v>M</v>
          </cell>
          <cell r="E710" t="str">
            <v>CR</v>
          </cell>
          <cell r="F710">
            <v>52.41</v>
          </cell>
        </row>
        <row r="711">
          <cell r="B711">
            <v>44389</v>
          </cell>
          <cell r="C711" t="str">
            <v>CABO DE COBRE FLEXIVEL NAO HALOGENADO, SEM EMISSAO DE FUMACA, 750V, SECAO NOMINAL 6,0 MM</v>
          </cell>
          <cell r="D711" t="str">
            <v>M</v>
          </cell>
          <cell r="E711" t="str">
            <v>CR</v>
          </cell>
          <cell r="F711">
            <v>6.19</v>
          </cell>
        </row>
        <row r="712">
          <cell r="B712">
            <v>862</v>
          </cell>
          <cell r="C712" t="str">
            <v>CABO DE COBRE NU 10 MM2 MEIO-DURO</v>
          </cell>
          <cell r="D712" t="str">
            <v>M</v>
          </cell>
          <cell r="E712" t="str">
            <v>CR</v>
          </cell>
          <cell r="F712">
            <v>11.33</v>
          </cell>
        </row>
        <row r="713">
          <cell r="B713">
            <v>866</v>
          </cell>
          <cell r="C713" t="str">
            <v>CABO DE COBRE NU 120 MM2 MEIO-DURO</v>
          </cell>
          <cell r="D713" t="str">
            <v>M</v>
          </cell>
          <cell r="E713" t="str">
            <v>CR</v>
          </cell>
          <cell r="F713">
            <v>144.04</v>
          </cell>
        </row>
        <row r="714">
          <cell r="B714">
            <v>892</v>
          </cell>
          <cell r="C714" t="str">
            <v>CABO DE COBRE NU 150 MM2 MEIO-DURO</v>
          </cell>
          <cell r="D714" t="str">
            <v>M</v>
          </cell>
          <cell r="E714" t="str">
            <v>CR</v>
          </cell>
          <cell r="F714">
            <v>174.36</v>
          </cell>
        </row>
        <row r="715">
          <cell r="B715">
            <v>857</v>
          </cell>
          <cell r="C715" t="str">
            <v>CABO DE COBRE NU 16 MM2 MEIO-DURO</v>
          </cell>
          <cell r="D715" t="str">
            <v>M</v>
          </cell>
          <cell r="E715" t="str">
            <v>CR</v>
          </cell>
          <cell r="F715">
            <v>18.96</v>
          </cell>
        </row>
        <row r="716">
          <cell r="B716">
            <v>37404</v>
          </cell>
          <cell r="C716" t="str">
            <v>CABO DE COBRE NU 185 MM2 MEIO-DURO</v>
          </cell>
          <cell r="D716" t="str">
            <v>M</v>
          </cell>
          <cell r="E716" t="str">
            <v>CR</v>
          </cell>
          <cell r="F716">
            <v>201.74</v>
          </cell>
        </row>
        <row r="717">
          <cell r="B717">
            <v>868</v>
          </cell>
          <cell r="C717" t="str">
            <v>CABO DE COBRE NU 25 MM2 MEIO-DURO</v>
          </cell>
          <cell r="D717" t="str">
            <v>M</v>
          </cell>
          <cell r="E717" t="str">
            <v>CR</v>
          </cell>
          <cell r="F717">
            <v>27.03</v>
          </cell>
        </row>
        <row r="718">
          <cell r="B718">
            <v>863</v>
          </cell>
          <cell r="C718" t="str">
            <v>CABO DE COBRE NU 35 MM2 MEIO-DURO</v>
          </cell>
          <cell r="D718" t="str">
            <v>M</v>
          </cell>
          <cell r="E718" t="str">
            <v>CR</v>
          </cell>
          <cell r="F718">
            <v>39.799999999999997</v>
          </cell>
        </row>
        <row r="719">
          <cell r="B719">
            <v>867</v>
          </cell>
          <cell r="C719" t="str">
            <v>CABO DE COBRE NU 50 MM2 MEIO-DURO</v>
          </cell>
          <cell r="D719" t="str">
            <v>M</v>
          </cell>
          <cell r="E719" t="str">
            <v>CR</v>
          </cell>
          <cell r="F719">
            <v>56.7</v>
          </cell>
        </row>
        <row r="720">
          <cell r="B720">
            <v>864</v>
          </cell>
          <cell r="C720" t="str">
            <v>CABO DE COBRE NU 70 MM2 MEIO-DURO</v>
          </cell>
          <cell r="D720" t="str">
            <v>M</v>
          </cell>
          <cell r="E720" t="str">
            <v>CR</v>
          </cell>
          <cell r="F720">
            <v>74.900000000000006</v>
          </cell>
        </row>
        <row r="721">
          <cell r="B721">
            <v>865</v>
          </cell>
          <cell r="C721" t="str">
            <v>CABO DE COBRE NU 95 MM2 MEIO-DURO</v>
          </cell>
          <cell r="D721" t="str">
            <v>M</v>
          </cell>
          <cell r="E721" t="str">
            <v>CR</v>
          </cell>
          <cell r="F721">
            <v>107.73</v>
          </cell>
        </row>
        <row r="722">
          <cell r="B722">
            <v>39251</v>
          </cell>
          <cell r="C722" t="str">
            <v>CABO DE COBRE, FLEXIVEL, CLASSE 4 OU 5, ISOLACAO EM PVC/A, ANTICHAMA BWF-B, 1 CONDUTOR, 450/750 V, SECAO NOMINAL 0,5 MM2</v>
          </cell>
          <cell r="D722" t="str">
            <v>M</v>
          </cell>
          <cell r="E722" t="str">
            <v>CR</v>
          </cell>
          <cell r="F722">
            <v>0.71</v>
          </cell>
        </row>
        <row r="723">
          <cell r="B723">
            <v>1011</v>
          </cell>
          <cell r="C723" t="str">
            <v>CABO DE COBRE, FLEXIVEL, CLASSE 4 OU 5, ISOLACAO EM PVC/A, ANTICHAMA BWF-B, 1 CONDUTOR, 450/750 V, SECAO NOMINAL 0,75 MM2</v>
          </cell>
          <cell r="D723" t="str">
            <v>M</v>
          </cell>
          <cell r="E723" t="str">
            <v>CR</v>
          </cell>
          <cell r="F723">
            <v>0.96</v>
          </cell>
        </row>
        <row r="724">
          <cell r="B724">
            <v>39252</v>
          </cell>
          <cell r="C724" t="str">
            <v>CABO DE COBRE, FLEXIVEL, CLASSE 4 OU 5, ISOLACAO EM PVC/A, ANTICHAMA BWF-B, 1 CONDUTOR, 450/750 V, SECAO NOMINAL 1,0 MM2</v>
          </cell>
          <cell r="D724" t="str">
            <v>M</v>
          </cell>
          <cell r="E724" t="str">
            <v>CR</v>
          </cell>
          <cell r="F724">
            <v>1.26</v>
          </cell>
        </row>
        <row r="725">
          <cell r="B725">
            <v>1013</v>
          </cell>
          <cell r="C725" t="str">
            <v>CABO DE COBRE, FLEXIVEL, CLASSE 4 OU 5, ISOLACAO EM PVC/A, ANTICHAMA BWF-B, 1 CONDUTOR, 450/750 V, SECAO NOMINAL 1,5 MM2</v>
          </cell>
          <cell r="D725" t="str">
            <v>M</v>
          </cell>
          <cell r="E725" t="str">
            <v>CR</v>
          </cell>
          <cell r="F725">
            <v>1.52</v>
          </cell>
        </row>
        <row r="726">
          <cell r="B726">
            <v>980</v>
          </cell>
          <cell r="C726" t="str">
            <v>CABO DE COBRE, FLEXIVEL, CLASSE 4 OU 5, ISOLACAO EM PVC/A, ANTICHAMA BWF-B, 1 CONDUTOR, 450/750 V, SECAO NOMINAL 10 MM2</v>
          </cell>
          <cell r="D726" t="str">
            <v>M</v>
          </cell>
          <cell r="E726" t="str">
            <v>CR</v>
          </cell>
          <cell r="F726">
            <v>10.96</v>
          </cell>
        </row>
        <row r="727">
          <cell r="B727">
            <v>39237</v>
          </cell>
          <cell r="C727" t="str">
            <v>CABO DE COBRE, FLEXIVEL, CLASSE 4 OU 5, ISOLACAO EM PVC/A, ANTICHAMA BWF-B, 1 CONDUTOR, 450/750 V, SECAO NOMINAL 120 MM2</v>
          </cell>
          <cell r="D727" t="str">
            <v>M</v>
          </cell>
          <cell r="E727" t="str">
            <v>CR</v>
          </cell>
          <cell r="F727">
            <v>116.61</v>
          </cell>
        </row>
        <row r="728">
          <cell r="B728">
            <v>39238</v>
          </cell>
          <cell r="C728" t="str">
            <v>CABO DE COBRE, FLEXIVEL, CLASSE 4 OU 5, ISOLACAO EM PVC/A, ANTICHAMA BWF-B, 1 CONDUTOR, 450/750 V, SECAO NOMINAL 150 MM2</v>
          </cell>
          <cell r="D728" t="str">
            <v>M</v>
          </cell>
          <cell r="E728" t="str">
            <v>CR</v>
          </cell>
          <cell r="F728">
            <v>147.07</v>
          </cell>
        </row>
        <row r="729">
          <cell r="B729">
            <v>979</v>
          </cell>
          <cell r="C729" t="str">
            <v>CABO DE COBRE, FLEXIVEL, CLASSE 4 OU 5, ISOLACAO EM PVC/A, ANTICHAMA BWF-B, 1 CONDUTOR, 450/750 V, SECAO NOMINAL 16 MM2</v>
          </cell>
          <cell r="D729" t="str">
            <v>M</v>
          </cell>
          <cell r="E729" t="str">
            <v>CR</v>
          </cell>
          <cell r="F729">
            <v>15.66</v>
          </cell>
        </row>
        <row r="730">
          <cell r="B730">
            <v>39239</v>
          </cell>
          <cell r="C730" t="str">
            <v>CABO DE COBRE, FLEXIVEL, CLASSE 4 OU 5, ISOLACAO EM PVC/A, ANTICHAMA BWF-B, 1 CONDUTOR, 450/750 V, SECAO NOMINAL 185 MM2</v>
          </cell>
          <cell r="D730" t="str">
            <v>M</v>
          </cell>
          <cell r="E730" t="str">
            <v>CR</v>
          </cell>
          <cell r="F730">
            <v>177.68</v>
          </cell>
        </row>
        <row r="731">
          <cell r="B731">
            <v>1014</v>
          </cell>
          <cell r="C731" t="str">
            <v>CABO DE COBRE, FLEXIVEL, CLASSE 4 OU 5, ISOLACAO EM PVC/A, ANTICHAMA BWF-B, 1 CONDUTOR, 450/750 V, SECAO NOMINAL 2,5 MM2</v>
          </cell>
          <cell r="D731" t="str">
            <v>M</v>
          </cell>
          <cell r="E731" t="str">
            <v>CR</v>
          </cell>
          <cell r="F731">
            <v>2.41</v>
          </cell>
        </row>
        <row r="732">
          <cell r="B732">
            <v>39240</v>
          </cell>
          <cell r="C732" t="str">
            <v>CABO DE COBRE, FLEXIVEL, CLASSE 4 OU 5, ISOLACAO EM PVC/A, ANTICHAMA BWF-B, 1 CONDUTOR, 450/750 V, SECAO NOMINAL 240 MM2</v>
          </cell>
          <cell r="D732" t="str">
            <v>M</v>
          </cell>
          <cell r="E732" t="str">
            <v>CR</v>
          </cell>
          <cell r="F732">
            <v>233.7</v>
          </cell>
        </row>
        <row r="733">
          <cell r="B733">
            <v>39232</v>
          </cell>
          <cell r="C733" t="str">
            <v>CABO DE COBRE, FLEXIVEL, CLASSE 4 OU 5, ISOLACAO EM PVC/A, ANTICHAMA BWF-B, 1 CONDUTOR, 450/750 V, SECAO NOMINAL 25 MM2</v>
          </cell>
          <cell r="D733" t="str">
            <v>M</v>
          </cell>
          <cell r="E733" t="str">
            <v>CR</v>
          </cell>
          <cell r="F733">
            <v>24.52</v>
          </cell>
        </row>
        <row r="734">
          <cell r="B734">
            <v>39233</v>
          </cell>
          <cell r="C734" t="str">
            <v>CABO DE COBRE, FLEXIVEL, CLASSE 4 OU 5, ISOLACAO EM PVC/A, ANTICHAMA BWF-B, 1 CONDUTOR, 450/750 V, SECAO NOMINAL 35 MM2</v>
          </cell>
          <cell r="D734" t="str">
            <v>M</v>
          </cell>
          <cell r="E734" t="str">
            <v>CR</v>
          </cell>
          <cell r="F734">
            <v>35.75</v>
          </cell>
        </row>
        <row r="735">
          <cell r="B735">
            <v>981</v>
          </cell>
          <cell r="C735" t="str">
            <v>CABO DE COBRE, FLEXIVEL, CLASSE 4 OU 5, ISOLACAO EM PVC/A, ANTICHAMA BWF-B, 1 CONDUTOR, 450/750 V, SECAO NOMINAL 4 MM2</v>
          </cell>
          <cell r="D735" t="str">
            <v>M</v>
          </cell>
          <cell r="E735" t="str">
            <v>C</v>
          </cell>
          <cell r="F735">
            <v>3.99</v>
          </cell>
        </row>
        <row r="736">
          <cell r="B736">
            <v>39234</v>
          </cell>
          <cell r="C736" t="str">
            <v>CABO DE COBRE, FLEXIVEL, CLASSE 4 OU 5, ISOLACAO EM PVC/A, ANTICHAMA BWF-B, 1 CONDUTOR, 450/750 V, SECAO NOMINAL 50 MM2</v>
          </cell>
          <cell r="D736" t="str">
            <v>M</v>
          </cell>
          <cell r="E736" t="str">
            <v>CR</v>
          </cell>
          <cell r="F736">
            <v>49.76</v>
          </cell>
        </row>
        <row r="737">
          <cell r="B737">
            <v>982</v>
          </cell>
          <cell r="C737" t="str">
            <v>CABO DE COBRE, FLEXIVEL, CLASSE 4 OU 5, ISOLACAO EM PVC/A, ANTICHAMA BWF-B, 1 CONDUTOR, 450/750 V, SECAO NOMINAL 6 MM2</v>
          </cell>
          <cell r="D737" t="str">
            <v>M</v>
          </cell>
          <cell r="E737" t="str">
            <v>CR</v>
          </cell>
          <cell r="F737">
            <v>5.73</v>
          </cell>
        </row>
        <row r="738">
          <cell r="B738">
            <v>39235</v>
          </cell>
          <cell r="C738" t="str">
            <v>CABO DE COBRE, FLEXIVEL, CLASSE 4 OU 5, ISOLACAO EM PVC/A, ANTICHAMA BWF-B, 1 CONDUTOR, 450/750 V, SECAO NOMINAL 70 MM2</v>
          </cell>
          <cell r="D738" t="str">
            <v>M</v>
          </cell>
          <cell r="E738" t="str">
            <v>CR</v>
          </cell>
          <cell r="F738">
            <v>73.39</v>
          </cell>
        </row>
        <row r="739">
          <cell r="B739">
            <v>39236</v>
          </cell>
          <cell r="C739" t="str">
            <v>CABO DE COBRE, FLEXIVEL, CLASSE 4 OU 5, ISOLACAO EM PVC/A, ANTICHAMA BWF-B, 1 CONDUTOR, 450/750 V, SECAO NOMINAL 95 MM2</v>
          </cell>
          <cell r="D739" t="str">
            <v>M</v>
          </cell>
          <cell r="E739" t="str">
            <v>CR</v>
          </cell>
          <cell r="F739">
            <v>97.26</v>
          </cell>
        </row>
        <row r="740">
          <cell r="B740">
            <v>993</v>
          </cell>
          <cell r="C740" t="str">
            <v>CABO DE COBRE, FLEXIVEL, CLASSE 4 OU 5, ISOLACAO EM PVC/A, ANTICHAMA BWF-B, COBERTURA PVC-ST1, ANTICHAMA BWF-B, 1 CONDUTOR, 0,6/1 KV, SECAO NOMINAL 1,5 MM2</v>
          </cell>
          <cell r="D740" t="str">
            <v>M</v>
          </cell>
          <cell r="E740" t="str">
            <v>CR</v>
          </cell>
          <cell r="F740">
            <v>2.0499999999999998</v>
          </cell>
        </row>
        <row r="741">
          <cell r="B741">
            <v>1020</v>
          </cell>
          <cell r="C741" t="str">
            <v>CABO DE COBRE, FLEXIVEL, CLASSE 4 OU 5, ISOLACAO EM PVC/A, ANTICHAMA BWF-B, COBERTURA PVC-ST1, ANTICHAMA BWF-B, 1 CONDUTOR, 0,6/1 KV, SECAO NOMINAL 10 MM2</v>
          </cell>
          <cell r="D741" t="str">
            <v>M</v>
          </cell>
          <cell r="E741" t="str">
            <v>CR</v>
          </cell>
          <cell r="F741">
            <v>10.45</v>
          </cell>
        </row>
        <row r="742">
          <cell r="B742">
            <v>1017</v>
          </cell>
          <cell r="C742" t="str">
            <v>CABO DE COBRE, FLEXIVEL, CLASSE 4 OU 5, ISOLACAO EM PVC/A, ANTICHAMA BWF-B, COBERTURA PVC-ST1, ANTICHAMA BWF-B, 1 CONDUTOR, 0,6/1 KV, SECAO NOMINAL 120 MM2</v>
          </cell>
          <cell r="D742" t="str">
            <v>M</v>
          </cell>
          <cell r="E742" t="str">
            <v>CR</v>
          </cell>
          <cell r="F742">
            <v>128.09</v>
          </cell>
        </row>
        <row r="743">
          <cell r="B743">
            <v>999</v>
          </cell>
          <cell r="C743" t="str">
            <v>CABO DE COBRE, FLEXIVEL, CLASSE 4 OU 5, ISOLACAO EM PVC/A, ANTICHAMA BWF-B, COBERTURA PVC-ST1, ANTICHAMA BWF-B, 1 CONDUTOR, 0,6/1 KV, SECAO NOMINAL 150 MM2</v>
          </cell>
          <cell r="D743" t="str">
            <v>M</v>
          </cell>
          <cell r="E743" t="str">
            <v>CR</v>
          </cell>
          <cell r="F743">
            <v>155.19</v>
          </cell>
        </row>
        <row r="744">
          <cell r="B744">
            <v>995</v>
          </cell>
          <cell r="C744" t="str">
            <v>CABO DE COBRE, FLEXIVEL, CLASSE 4 OU 5, ISOLACAO EM PVC/A, ANTICHAMA BWF-B, COBERTURA PVC-ST1, ANTICHAMA BWF-B, 1 CONDUTOR, 0,6/1 KV, SECAO NOMINAL 16 MM2</v>
          </cell>
          <cell r="D744" t="str">
            <v>M</v>
          </cell>
          <cell r="E744" t="str">
            <v>CR</v>
          </cell>
          <cell r="F744">
            <v>16.64</v>
          </cell>
        </row>
        <row r="745">
          <cell r="B745">
            <v>1000</v>
          </cell>
          <cell r="C745" t="str">
            <v>CABO DE COBRE, FLEXIVEL, CLASSE 4 OU 5, ISOLACAO EM PVC/A, ANTICHAMA BWF-B, COBERTURA PVC-ST1, ANTICHAMA BWF-B, 1 CONDUTOR, 0,6/1 KV, SECAO NOMINAL 185 MM2</v>
          </cell>
          <cell r="D745" t="str">
            <v>M</v>
          </cell>
          <cell r="E745" t="str">
            <v>CR</v>
          </cell>
          <cell r="F745">
            <v>190.62</v>
          </cell>
        </row>
        <row r="746">
          <cell r="B746">
            <v>1022</v>
          </cell>
          <cell r="C746" t="str">
            <v>CABO DE COBRE, FLEXIVEL, CLASSE 4 OU 5, ISOLACAO EM PVC/A, ANTICHAMA BWF-B, COBERTURA PVC-ST1, ANTICHAMA BWF-B, 1 CONDUTOR, 0,6/1 KV, SECAO NOMINAL 2,5 MM2</v>
          </cell>
          <cell r="D746" t="str">
            <v>M</v>
          </cell>
          <cell r="E746" t="str">
            <v>CR</v>
          </cell>
          <cell r="F746">
            <v>2.86</v>
          </cell>
        </row>
        <row r="747">
          <cell r="B747">
            <v>1015</v>
          </cell>
          <cell r="C747" t="str">
            <v>CABO DE COBRE, FLEXIVEL, CLASSE 4 OU 5, ISOLACAO EM PVC/A, ANTICHAMA BWF-B, COBERTURA PVC-ST1, ANTICHAMA BWF-B, 1 CONDUTOR, 0,6/1 KV, SECAO NOMINAL 240 MM2</v>
          </cell>
          <cell r="D747" t="str">
            <v>M</v>
          </cell>
          <cell r="E747" t="str">
            <v>CR</v>
          </cell>
          <cell r="F747">
            <v>253.3</v>
          </cell>
        </row>
        <row r="748">
          <cell r="B748">
            <v>996</v>
          </cell>
          <cell r="C748" t="str">
            <v>CABO DE COBRE, FLEXIVEL, CLASSE 4 OU 5, ISOLACAO EM PVC/A, ANTICHAMA BWF-B, COBERTURA PVC-ST1, ANTICHAMA BWF-B, 1 CONDUTOR, 0,6/1 KV, SECAO NOMINAL 25 MM2</v>
          </cell>
          <cell r="D748" t="str">
            <v>M</v>
          </cell>
          <cell r="E748" t="str">
            <v>CR</v>
          </cell>
          <cell r="F748">
            <v>25.81</v>
          </cell>
        </row>
        <row r="749">
          <cell r="B749">
            <v>1001</v>
          </cell>
          <cell r="C749" t="str">
            <v>CABO DE COBRE, FLEXIVEL, CLASSE 4 OU 5, ISOLACAO EM PVC/A, ANTICHAMA BWF-B, COBERTURA PVC-ST1, ANTICHAMA BWF-B, 1 CONDUTOR, 0,6/1 KV, SECAO NOMINAL 300 MM2</v>
          </cell>
          <cell r="D749" t="str">
            <v>M</v>
          </cell>
          <cell r="E749" t="str">
            <v>CR</v>
          </cell>
          <cell r="F749">
            <v>328.65</v>
          </cell>
        </row>
        <row r="750">
          <cell r="B750">
            <v>1019</v>
          </cell>
          <cell r="C750" t="str">
            <v>CABO DE COBRE, FLEXIVEL, CLASSE 4 OU 5, ISOLACAO EM PVC/A, ANTICHAMA BWF-B, COBERTURA PVC-ST1, ANTICHAMA BWF-B, 1 CONDUTOR, 0,6/1 KV, SECAO NOMINAL 35 MM2</v>
          </cell>
          <cell r="D750" t="str">
            <v>M</v>
          </cell>
          <cell r="E750" t="str">
            <v>CR</v>
          </cell>
          <cell r="F750">
            <v>36.47</v>
          </cell>
        </row>
        <row r="751">
          <cell r="B751">
            <v>1021</v>
          </cell>
          <cell r="C751" t="str">
            <v>CABO DE COBRE, FLEXIVEL, CLASSE 4 OU 5, ISOLACAO EM PVC/A, ANTICHAMA BWF-B, COBERTURA PVC-ST1, ANTICHAMA BWF-B, 1 CONDUTOR, 0,6/1 KV, SECAO NOMINAL 4 MM2</v>
          </cell>
          <cell r="D751" t="str">
            <v>M</v>
          </cell>
          <cell r="E751" t="str">
            <v>CR</v>
          </cell>
          <cell r="F751">
            <v>4.38</v>
          </cell>
        </row>
        <row r="752">
          <cell r="B752">
            <v>39249</v>
          </cell>
          <cell r="C752" t="str">
            <v>CABO DE COBRE, FLEXIVEL, CLASSE 4 OU 5, ISOLACAO EM PVC/A, ANTICHAMA BWF-B, COBERTURA PVC-ST1, ANTICHAMA BWF-B, 1 CONDUTOR, 0,6/1 KV, SECAO NOMINAL 400 MM2</v>
          </cell>
          <cell r="D752" t="str">
            <v>M</v>
          </cell>
          <cell r="E752" t="str">
            <v>CR</v>
          </cell>
          <cell r="F752">
            <v>441.9</v>
          </cell>
        </row>
        <row r="753">
          <cell r="B753">
            <v>1018</v>
          </cell>
          <cell r="C753" t="str">
            <v>CABO DE COBRE, FLEXIVEL, CLASSE 4 OU 5, ISOLACAO EM PVC/A, ANTICHAMA BWF-B, COBERTURA PVC-ST1, ANTICHAMA BWF-B, 1 CONDUTOR, 0,6/1 KV, SECAO NOMINAL 50 MM2</v>
          </cell>
          <cell r="D753" t="str">
            <v>M</v>
          </cell>
          <cell r="E753" t="str">
            <v>CR</v>
          </cell>
          <cell r="F753">
            <v>53.93</v>
          </cell>
        </row>
        <row r="754">
          <cell r="B754">
            <v>39250</v>
          </cell>
          <cell r="C754" t="str">
            <v>CABO DE COBRE, FLEXIVEL, CLASSE 4 OU 5, ISOLACAO EM PVC/A, ANTICHAMA BWF-B, COBERTURA PVC-ST1, ANTICHAMA BWF-B, 1 CONDUTOR, 0,6/1 KV, SECAO NOMINAL 500 MM2</v>
          </cell>
          <cell r="D754" t="str">
            <v>M</v>
          </cell>
          <cell r="E754" t="str">
            <v>CR</v>
          </cell>
          <cell r="F754">
            <v>528.61</v>
          </cell>
        </row>
        <row r="755">
          <cell r="B755">
            <v>994</v>
          </cell>
          <cell r="C755" t="str">
            <v>CABO DE COBRE, FLEXIVEL, CLASSE 4 OU 5, ISOLACAO EM PVC/A, ANTICHAMA BWF-B, COBERTURA PVC-ST1, ANTICHAMA BWF-B, 1 CONDUTOR, 0,6/1 KV, SECAO NOMINAL 6 MM2</v>
          </cell>
          <cell r="D755" t="str">
            <v>M</v>
          </cell>
          <cell r="E755" t="str">
            <v>CR</v>
          </cell>
          <cell r="F755">
            <v>6.38</v>
          </cell>
        </row>
        <row r="756">
          <cell r="B756">
            <v>977</v>
          </cell>
          <cell r="C756" t="str">
            <v>CABO DE COBRE, FLEXIVEL, CLASSE 4 OU 5, ISOLACAO EM PVC/A, ANTICHAMA BWF-B, COBERTURA PVC-ST1, ANTICHAMA BWF-B, 1 CONDUTOR, 0,6/1 KV, SECAO NOMINAL 70 MM2</v>
          </cell>
          <cell r="D756" t="str">
            <v>M</v>
          </cell>
          <cell r="E756" t="str">
            <v>CR</v>
          </cell>
          <cell r="F756">
            <v>75.44</v>
          </cell>
        </row>
        <row r="757">
          <cell r="B757">
            <v>998</v>
          </cell>
          <cell r="C757" t="str">
            <v>CABO DE COBRE, FLEXIVEL, CLASSE 4 OU 5, ISOLACAO EM PVC/A, ANTICHAMA BWF-B, COBERTURA PVC-ST1, ANTICHAMA BWF-B, 1 CONDUTOR, 0,6/1 KV, SECAO NOMINAL 95 MM2</v>
          </cell>
          <cell r="D757" t="str">
            <v>M</v>
          </cell>
          <cell r="E757" t="str">
            <v>CR</v>
          </cell>
          <cell r="F757">
            <v>97.95</v>
          </cell>
        </row>
        <row r="758">
          <cell r="B758">
            <v>1006</v>
          </cell>
          <cell r="C758" t="str">
            <v>CABO DE COBRE, RIGIDO, CLASSE 2, ISOLACAO EM PVC, ANTI-CHAMA BWF-B, 1 CONDUTOR, 450/750 V, DIAMETRO 120 MM2</v>
          </cell>
          <cell r="D758" t="str">
            <v>M</v>
          </cell>
          <cell r="E758" t="str">
            <v>CR</v>
          </cell>
          <cell r="F758">
            <v>129.79</v>
          </cell>
        </row>
        <row r="759">
          <cell r="B759">
            <v>990</v>
          </cell>
          <cell r="C759" t="str">
            <v>CABO DE COBRE, RIGIDO, CLASSE 2, ISOLACAO EM PVC/A, ANTICHAMA BWF-B, 1 CONDUTOR, 450/750 V, SECAO NOMINAL 150 MM2</v>
          </cell>
          <cell r="D759" t="str">
            <v>M</v>
          </cell>
          <cell r="E759" t="str">
            <v>CR</v>
          </cell>
          <cell r="F759">
            <v>172.58</v>
          </cell>
        </row>
        <row r="760">
          <cell r="B760">
            <v>39241</v>
          </cell>
          <cell r="C760" t="str">
            <v>CABO DE COBRE, RIGIDO, CLASSE 2, ISOLACAO EM PVC/A, ANTICHAMA BWF-B, 1 CONDUTOR, 450/750 V, SECAO NOMINAL 16 MM2</v>
          </cell>
          <cell r="D760" t="str">
            <v>M</v>
          </cell>
          <cell r="E760" t="str">
            <v>CR</v>
          </cell>
          <cell r="F760">
            <v>16.989999999999998</v>
          </cell>
        </row>
        <row r="761">
          <cell r="B761">
            <v>1005</v>
          </cell>
          <cell r="C761" t="str">
            <v>CABO DE COBRE, RIGIDO, CLASSE 2, ISOLACAO EM PVC/A, ANTICHAMA BWF-B, 1 CONDUTOR, 450/750 V, SECAO NOMINAL 185 MM2</v>
          </cell>
          <cell r="D761" t="str">
            <v>M</v>
          </cell>
          <cell r="E761" t="str">
            <v>CR</v>
          </cell>
          <cell r="F761">
            <v>214.87</v>
          </cell>
        </row>
        <row r="762">
          <cell r="B762">
            <v>991</v>
          </cell>
          <cell r="C762" t="str">
            <v>CABO DE COBRE, RIGIDO, CLASSE 2, ISOLACAO EM PVC/A, ANTICHAMA BWF-B, 1 CONDUTOR, 450/750 V, SECAO NOMINAL 240 MM2</v>
          </cell>
          <cell r="D762" t="str">
            <v>M</v>
          </cell>
          <cell r="E762" t="str">
            <v>CR</v>
          </cell>
          <cell r="F762">
            <v>281.44</v>
          </cell>
        </row>
        <row r="763">
          <cell r="B763">
            <v>986</v>
          </cell>
          <cell r="C763" t="str">
            <v>CABO DE COBRE, RIGIDO, CLASSE 2, ISOLACAO EM PVC/A, ANTICHAMA BWF-B, 1 CONDUTOR, 450/750 V, SECAO NOMINAL 25 MM2</v>
          </cell>
          <cell r="D763" t="str">
            <v>M</v>
          </cell>
          <cell r="E763" t="str">
            <v>CR</v>
          </cell>
          <cell r="F763">
            <v>26.84</v>
          </cell>
        </row>
        <row r="764">
          <cell r="B764">
            <v>987</v>
          </cell>
          <cell r="C764" t="str">
            <v>CABO DE COBRE, RIGIDO, CLASSE 2, ISOLACAO EM PVC/A, ANTICHAMA BWF-B, 1 CONDUTOR, 450/750 V, SECAO NOMINAL 35 MM2</v>
          </cell>
          <cell r="D764" t="str">
            <v>M</v>
          </cell>
          <cell r="E764" t="str">
            <v>CR</v>
          </cell>
          <cell r="F764">
            <v>36.75</v>
          </cell>
        </row>
        <row r="765">
          <cell r="B765">
            <v>1007</v>
          </cell>
          <cell r="C765" t="str">
            <v>CABO DE COBRE, RIGIDO, CLASSE 2, ISOLACAO EM PVC/A, ANTICHAMA BWF-B, 1 CONDUTOR, 450/750 V, SECAO NOMINAL 50 MM2</v>
          </cell>
          <cell r="D765" t="str">
            <v>M</v>
          </cell>
          <cell r="E765" t="str">
            <v>CR</v>
          </cell>
          <cell r="F765">
            <v>50.86</v>
          </cell>
        </row>
        <row r="766">
          <cell r="B766">
            <v>1008</v>
          </cell>
          <cell r="C766" t="str">
            <v>CABO DE COBRE, RIGIDO, CLASSE 2, ISOLACAO EM PVC/A, ANTICHAMA BWF-B, 1 CONDUTOR, 450/750 V, SECAO NOMINAL 6 MM2</v>
          </cell>
          <cell r="D766" t="str">
            <v>M</v>
          </cell>
          <cell r="E766" t="str">
            <v>CR</v>
          </cell>
          <cell r="F766">
            <v>6.46</v>
          </cell>
        </row>
        <row r="767">
          <cell r="B767">
            <v>988</v>
          </cell>
          <cell r="C767" t="str">
            <v>CABO DE COBRE, RIGIDO, CLASSE 2, ISOLACAO EM PVC/A, ANTICHAMA BWF-B, 1 CONDUTOR, 450/750 V, SECAO NOMINAL 70 MM2</v>
          </cell>
          <cell r="D767" t="str">
            <v>M</v>
          </cell>
          <cell r="E767" t="str">
            <v>CR</v>
          </cell>
          <cell r="F767">
            <v>70.14</v>
          </cell>
        </row>
        <row r="768">
          <cell r="B768">
            <v>989</v>
          </cell>
          <cell r="C768" t="str">
            <v>CABO DE COBRE, RIGIDO, CLASSE 2, ISOLACAO EM PVC/A, ANTICHAMA BWF-B, 1 CONDUTOR, 450/750 V, SECAO NOMINAL 95 MM2</v>
          </cell>
          <cell r="D768" t="str">
            <v>M</v>
          </cell>
          <cell r="E768" t="str">
            <v>CR</v>
          </cell>
          <cell r="F768">
            <v>96.81</v>
          </cell>
        </row>
        <row r="769">
          <cell r="B769">
            <v>43972</v>
          </cell>
          <cell r="C769" t="str">
            <v>CABO DE REDE, PAR TRANCADO U/UTP, 4 PARES, CATEGORIA 5E (CAT 5E), ISOLAMENTO PVC (CM)</v>
          </cell>
          <cell r="D769" t="str">
            <v>M</v>
          </cell>
          <cell r="E769" t="str">
            <v>CR</v>
          </cell>
          <cell r="F769">
            <v>4.3099999999999996</v>
          </cell>
        </row>
        <row r="770">
          <cell r="B770">
            <v>43971</v>
          </cell>
          <cell r="C770" t="str">
            <v>CABO DE REDE, PAR TRANCADO U/UTP, 4 PARES, CATEGORIA 5E (CAT 5E), ISOLAMENTO PVC (CMX)</v>
          </cell>
          <cell r="D770" t="str">
            <v>M</v>
          </cell>
          <cell r="E770" t="str">
            <v>C</v>
          </cell>
          <cell r="F770">
            <v>3.29</v>
          </cell>
        </row>
        <row r="771">
          <cell r="B771">
            <v>39598</v>
          </cell>
          <cell r="C771" t="str">
            <v>CABO DE REDE, PAR TRANCADO U/UTP, 4 PARES, CATEGORIA 5E (CAT 5E), ISOLAMENTO PVC (LSZH)</v>
          </cell>
          <cell r="D771" t="str">
            <v>M</v>
          </cell>
          <cell r="E771" t="str">
            <v>CR</v>
          </cell>
          <cell r="F771">
            <v>6.1</v>
          </cell>
        </row>
        <row r="772">
          <cell r="B772">
            <v>43973</v>
          </cell>
          <cell r="C772" t="str">
            <v>CABO DE REDE, PAR TRANCADO U/UTP, 4 PARES, CATEGORIA 6 (CAT 6), ISOLAMENTO PVC (CM)</v>
          </cell>
          <cell r="D772" t="str">
            <v>M</v>
          </cell>
          <cell r="E772" t="str">
            <v>CR</v>
          </cell>
          <cell r="F772">
            <v>4.5</v>
          </cell>
        </row>
        <row r="773">
          <cell r="B773">
            <v>39599</v>
          </cell>
          <cell r="C773" t="str">
            <v>CABO DE REDE, PAR TRANCADO UTP, 4 PARES, CATEGORIA 6 (CAT 6), ISOLAMENTO PVC (LSZH)</v>
          </cell>
          <cell r="D773" t="str">
            <v>M</v>
          </cell>
          <cell r="E773" t="str">
            <v>CR</v>
          </cell>
          <cell r="F773">
            <v>8.7799999999999994</v>
          </cell>
        </row>
        <row r="774">
          <cell r="B774">
            <v>43832</v>
          </cell>
          <cell r="C774" t="str">
            <v>CABO ELETRONICO CATEGORIA 6A U/UTP 23AWG X 4P</v>
          </cell>
          <cell r="D774" t="str">
            <v>M</v>
          </cell>
          <cell r="E774" t="str">
            <v>CR</v>
          </cell>
          <cell r="F774">
            <v>23.12</v>
          </cell>
        </row>
        <row r="775">
          <cell r="B775">
            <v>34602</v>
          </cell>
          <cell r="C775" t="str">
            <v>CABO FLEXIVEL PVC 750 V, 2 CONDUTORES DE 1,5 MM2</v>
          </cell>
          <cell r="D775" t="str">
            <v>M</v>
          </cell>
          <cell r="E775" t="str">
            <v>CR</v>
          </cell>
          <cell r="F775">
            <v>4.4400000000000004</v>
          </cell>
        </row>
        <row r="776">
          <cell r="B776">
            <v>34607</v>
          </cell>
          <cell r="C776" t="str">
            <v>CABO FLEXIVEL PVC 750 V, 2 CONDUTORES DE 4,0 MM2</v>
          </cell>
          <cell r="D776" t="str">
            <v>M</v>
          </cell>
          <cell r="E776" t="str">
            <v>CR</v>
          </cell>
          <cell r="F776">
            <v>10.88</v>
          </cell>
        </row>
        <row r="777">
          <cell r="B777">
            <v>34609</v>
          </cell>
          <cell r="C777" t="str">
            <v>CABO FLEXIVEL PVC 750 V, 2 CONDUTORES DE 6,0 MM2</v>
          </cell>
          <cell r="D777" t="str">
            <v>M</v>
          </cell>
          <cell r="E777" t="str">
            <v>CR</v>
          </cell>
          <cell r="F777">
            <v>15.83</v>
          </cell>
        </row>
        <row r="778">
          <cell r="B778">
            <v>34618</v>
          </cell>
          <cell r="C778" t="str">
            <v>CABO FLEXIVEL PVC 750 V, 3 CONDUTORES DE 1,5 MM2</v>
          </cell>
          <cell r="D778" t="str">
            <v>M</v>
          </cell>
          <cell r="E778" t="str">
            <v>CR</v>
          </cell>
          <cell r="F778">
            <v>6.05</v>
          </cell>
        </row>
        <row r="779">
          <cell r="B779">
            <v>34621</v>
          </cell>
          <cell r="C779" t="str">
            <v>CABO FLEXIVEL PVC 750 V, 3 CONDUTORES DE 4,0 MM2</v>
          </cell>
          <cell r="D779" t="str">
            <v>M</v>
          </cell>
          <cell r="E779" t="str">
            <v>CR</v>
          </cell>
          <cell r="F779">
            <v>15</v>
          </cell>
        </row>
        <row r="780">
          <cell r="B780">
            <v>34622</v>
          </cell>
          <cell r="C780" t="str">
            <v>CABO FLEXIVEL PVC 750 V, 3 CONDUTORES DE 6,0 MM2</v>
          </cell>
          <cell r="D780" t="str">
            <v>M</v>
          </cell>
          <cell r="E780" t="str">
            <v>CR</v>
          </cell>
          <cell r="F780">
            <v>22.29</v>
          </cell>
        </row>
        <row r="781">
          <cell r="B781">
            <v>34624</v>
          </cell>
          <cell r="C781" t="str">
            <v>CABO FLEXIVEL PVC 750 V, 4 CONDUTORES DE 1,5 MM2</v>
          </cell>
          <cell r="D781" t="str">
            <v>M</v>
          </cell>
          <cell r="E781" t="str">
            <v>CR</v>
          </cell>
          <cell r="F781">
            <v>8.08</v>
          </cell>
        </row>
        <row r="782">
          <cell r="B782">
            <v>34627</v>
          </cell>
          <cell r="C782" t="str">
            <v>CABO FLEXIVEL PVC 750 V, 4 CONDUTORES DE 4,0 MM2</v>
          </cell>
          <cell r="D782" t="str">
            <v>M</v>
          </cell>
          <cell r="E782" t="str">
            <v>CR</v>
          </cell>
          <cell r="F782">
            <v>19.489999999999998</v>
          </cell>
        </row>
        <row r="783">
          <cell r="B783">
            <v>34629</v>
          </cell>
          <cell r="C783" t="str">
            <v>CABO FLEXIVEL PVC 750 V, 4 CONDUTORES DE 6,0 MM2</v>
          </cell>
          <cell r="D783" t="str">
            <v>M</v>
          </cell>
          <cell r="E783" t="str">
            <v>CR</v>
          </cell>
          <cell r="F783">
            <v>29.78</v>
          </cell>
        </row>
        <row r="784">
          <cell r="B784">
            <v>39257</v>
          </cell>
          <cell r="C784" t="str">
            <v>CABO MULTIPOLAR DE COBRE, FLEXIVEL, CLASSE 4 OU 5, ISOLACAO EM HEPR, COBERTURA EM PVC-ST2, ANTICHAMA BWF-B, 0,6/1 KV, 3 CONDUTORES DE 1,5 MM2</v>
          </cell>
          <cell r="D784" t="str">
            <v>M</v>
          </cell>
          <cell r="E784" t="str">
            <v>CR</v>
          </cell>
          <cell r="F784">
            <v>6.06</v>
          </cell>
        </row>
        <row r="785">
          <cell r="B785">
            <v>39261</v>
          </cell>
          <cell r="C785" t="str">
            <v>CABO MULTIPOLAR DE COBRE, FLEXIVEL, CLASSE 4 OU 5, ISOLACAO EM HEPR, COBERTURA EM PVC-ST2, ANTICHAMA BWF-B, 0,6/1 KV, 3 CONDUTORES DE 10 MM2</v>
          </cell>
          <cell r="D785" t="str">
            <v>M</v>
          </cell>
          <cell r="E785" t="str">
            <v>CR</v>
          </cell>
          <cell r="F785">
            <v>34.700000000000003</v>
          </cell>
        </row>
        <row r="786">
          <cell r="B786">
            <v>39268</v>
          </cell>
          <cell r="C786" t="str">
            <v>CABO MULTIPOLAR DE COBRE, FLEXIVEL, CLASSE 4 OU 5, ISOLACAO EM HEPR, COBERTURA EM PVC-ST2, ANTICHAMA BWF-B, 0,6/1 KV, 3 CONDUTORES DE 120 MM2</v>
          </cell>
          <cell r="D786" t="str">
            <v>M</v>
          </cell>
          <cell r="E786" t="str">
            <v>CR</v>
          </cell>
          <cell r="F786">
            <v>542.32000000000005</v>
          </cell>
        </row>
        <row r="787">
          <cell r="B787">
            <v>39262</v>
          </cell>
          <cell r="C787" t="str">
            <v>CABO MULTIPOLAR DE COBRE, FLEXIVEL, CLASSE 4 OU 5, ISOLACAO EM HEPR, COBERTURA EM PVC-ST2, ANTICHAMA BWF-B, 0,6/1 KV, 3 CONDUTORES DE 16 MM2</v>
          </cell>
          <cell r="D787" t="str">
            <v>M</v>
          </cell>
          <cell r="E787" t="str">
            <v>CR</v>
          </cell>
          <cell r="F787">
            <v>55.25</v>
          </cell>
        </row>
        <row r="788">
          <cell r="B788">
            <v>39258</v>
          </cell>
          <cell r="C788" t="str">
            <v>CABO MULTIPOLAR DE COBRE, FLEXIVEL, CLASSE 4 OU 5, ISOLACAO EM HEPR, COBERTURA EM PVC-ST2, ANTICHAMA BWF-B, 0,6/1 KV, 3 CONDUTORES DE 2,5 MM2</v>
          </cell>
          <cell r="D788" t="str">
            <v>M</v>
          </cell>
          <cell r="E788" t="str">
            <v>CR</v>
          </cell>
          <cell r="F788">
            <v>9.1300000000000008</v>
          </cell>
        </row>
        <row r="789">
          <cell r="B789">
            <v>39263</v>
          </cell>
          <cell r="C789" t="str">
            <v>CABO MULTIPOLAR DE COBRE, FLEXIVEL, CLASSE 4 OU 5, ISOLACAO EM HEPR, COBERTURA EM PVC-ST2, ANTICHAMA BWF-B, 0,6/1 KV, 3 CONDUTORES DE 25 MM2</v>
          </cell>
          <cell r="D789" t="str">
            <v>M</v>
          </cell>
          <cell r="E789" t="str">
            <v>CR</v>
          </cell>
          <cell r="F789">
            <v>95.54</v>
          </cell>
        </row>
        <row r="790">
          <cell r="B790">
            <v>39264</v>
          </cell>
          <cell r="C790" t="str">
            <v>CABO MULTIPOLAR DE COBRE, FLEXIVEL, CLASSE 4 OU 5, ISOLACAO EM HEPR, COBERTURA EM PVC-ST2, ANTICHAMA BWF-B, 0,6/1 KV, 3 CONDUTORES DE 35 MM2</v>
          </cell>
          <cell r="D790" t="str">
            <v>M</v>
          </cell>
          <cell r="E790" t="str">
            <v>CR</v>
          </cell>
          <cell r="F790">
            <v>132.35</v>
          </cell>
        </row>
        <row r="791">
          <cell r="B791">
            <v>39259</v>
          </cell>
          <cell r="C791" t="str">
            <v>CABO MULTIPOLAR DE COBRE, FLEXIVEL, CLASSE 4 OU 5, ISOLACAO EM HEPR, COBERTURA EM PVC-ST2, ANTICHAMA BWF-B, 0,6/1 KV, 3 CONDUTORES DE 4 MM2</v>
          </cell>
          <cell r="D791" t="str">
            <v>M</v>
          </cell>
          <cell r="E791" t="str">
            <v>CR</v>
          </cell>
          <cell r="F791">
            <v>14.06</v>
          </cell>
        </row>
        <row r="792">
          <cell r="B792">
            <v>39265</v>
          </cell>
          <cell r="C792" t="str">
            <v>CABO MULTIPOLAR DE COBRE, FLEXIVEL, CLASSE 4 OU 5, ISOLACAO EM HEPR, COBERTURA EM PVC-ST2, ANTICHAMA BWF-B, 0,6/1 KV, 3 CONDUTORES DE 50 MM2</v>
          </cell>
          <cell r="D792" t="str">
            <v>M</v>
          </cell>
          <cell r="E792" t="str">
            <v>CR</v>
          </cell>
          <cell r="F792">
            <v>179.68</v>
          </cell>
        </row>
        <row r="793">
          <cell r="B793">
            <v>39260</v>
          </cell>
          <cell r="C793" t="str">
            <v>CABO MULTIPOLAR DE COBRE, FLEXIVEL, CLASSE 4 OU 5, ISOLACAO EM HEPR, COBERTURA EM PVC-ST2, ANTICHAMA BWF-B, 0,6/1 KV, 3 CONDUTORES DE 6 MM2</v>
          </cell>
          <cell r="D793" t="str">
            <v>M</v>
          </cell>
          <cell r="E793" t="str">
            <v>CR</v>
          </cell>
          <cell r="F793">
            <v>21.54</v>
          </cell>
        </row>
        <row r="794">
          <cell r="B794">
            <v>39266</v>
          </cell>
          <cell r="C794" t="str">
            <v>CABO MULTIPOLAR DE COBRE, FLEXIVEL, CLASSE 4 OU 5, ISOLACAO EM HEPR, COBERTURA EM PVC-ST2, ANTICHAMA BWF-B, 0,6/1 KV, 3 CONDUTORES DE 70 MM2</v>
          </cell>
          <cell r="D794" t="str">
            <v>M</v>
          </cell>
          <cell r="E794" t="str">
            <v>CR</v>
          </cell>
          <cell r="F794">
            <v>271.14</v>
          </cell>
        </row>
        <row r="795">
          <cell r="B795">
            <v>39267</v>
          </cell>
          <cell r="C795" t="str">
            <v>CABO MULTIPOLAR DE COBRE, FLEXIVEL, CLASSE 4 OU 5, ISOLACAO EM HEPR, COBERTURA EM PVC-ST2, ANTICHAMA BWF-B, 0,6/1 KV, 3 CONDUTORES DE 95 MM2</v>
          </cell>
          <cell r="D795" t="str">
            <v>M</v>
          </cell>
          <cell r="E795" t="str">
            <v>CR</v>
          </cell>
          <cell r="F795">
            <v>338.99</v>
          </cell>
        </row>
        <row r="796">
          <cell r="B796">
            <v>11901</v>
          </cell>
          <cell r="C796" t="str">
            <v>CABO TELEFONICO CCI 50, 1 PAR, USO INTERNO, SEM BLINDAGEM</v>
          </cell>
          <cell r="D796" t="str">
            <v>M</v>
          </cell>
          <cell r="E796" t="str">
            <v>CR</v>
          </cell>
          <cell r="F796">
            <v>0.79</v>
          </cell>
        </row>
        <row r="797">
          <cell r="B797">
            <v>11902</v>
          </cell>
          <cell r="C797" t="str">
            <v>CABO TELEFONICO CCI 50, 2 PARES, USO INTERNO, SEM BLINDAGEM</v>
          </cell>
          <cell r="D797" t="str">
            <v>M</v>
          </cell>
          <cell r="E797" t="str">
            <v>CR</v>
          </cell>
          <cell r="F797">
            <v>1.51</v>
          </cell>
        </row>
        <row r="798">
          <cell r="B798">
            <v>11903</v>
          </cell>
          <cell r="C798" t="str">
            <v>CABO TELEFONICO CCI 50, 3 PARES, USO INTERNO, SEM BLINDAGEM</v>
          </cell>
          <cell r="D798" t="str">
            <v>M</v>
          </cell>
          <cell r="E798" t="str">
            <v>CR</v>
          </cell>
          <cell r="F798">
            <v>1.6</v>
          </cell>
        </row>
        <row r="799">
          <cell r="B799">
            <v>11904</v>
          </cell>
          <cell r="C799" t="str">
            <v>CABO TELEFONICO CCI 50, 4 PARES, USO INTERNO, SEM BLINDAGEM</v>
          </cell>
          <cell r="D799" t="str">
            <v>M</v>
          </cell>
          <cell r="E799" t="str">
            <v>CR</v>
          </cell>
          <cell r="F799">
            <v>2.4300000000000002</v>
          </cell>
        </row>
        <row r="800">
          <cell r="B800">
            <v>11905</v>
          </cell>
          <cell r="C800" t="str">
            <v>CABO TELEFONICO CCI 50, 5 PARES, USO INTERNO, SEM BLINDAGEM</v>
          </cell>
          <cell r="D800" t="str">
            <v>M</v>
          </cell>
          <cell r="E800" t="str">
            <v>CR</v>
          </cell>
          <cell r="F800">
            <v>2.96</v>
          </cell>
        </row>
        <row r="801">
          <cell r="B801">
            <v>11906</v>
          </cell>
          <cell r="C801" t="str">
            <v>CABO TELEFONICO CCI 50, 6 PARES, USO INTERNO, SEM BLINDAGEM</v>
          </cell>
          <cell r="D801" t="str">
            <v>M</v>
          </cell>
          <cell r="E801" t="str">
            <v>CR</v>
          </cell>
          <cell r="F801">
            <v>3.77</v>
          </cell>
        </row>
        <row r="802">
          <cell r="B802">
            <v>11919</v>
          </cell>
          <cell r="C802" t="str">
            <v>CABO TELEFONICO CI 50, 10 PARES, USO INTERNO</v>
          </cell>
          <cell r="D802" t="str">
            <v>M</v>
          </cell>
          <cell r="E802" t="str">
            <v>CR</v>
          </cell>
          <cell r="F802">
            <v>6.9</v>
          </cell>
        </row>
        <row r="803">
          <cell r="B803">
            <v>11920</v>
          </cell>
          <cell r="C803" t="str">
            <v>CABO TELEFONICO CI 50, 20 PARES, USO INTERNO</v>
          </cell>
          <cell r="D803" t="str">
            <v>M</v>
          </cell>
          <cell r="E803" t="str">
            <v>CR</v>
          </cell>
          <cell r="F803">
            <v>13.11</v>
          </cell>
        </row>
        <row r="804">
          <cell r="B804">
            <v>11924</v>
          </cell>
          <cell r="C804" t="str">
            <v>CABO TELEFONICO CI 50, 200 PARES, USO INTERNO</v>
          </cell>
          <cell r="D804" t="str">
            <v>M</v>
          </cell>
          <cell r="E804" t="str">
            <v>CR</v>
          </cell>
          <cell r="F804">
            <v>110.07</v>
          </cell>
        </row>
        <row r="805">
          <cell r="B805">
            <v>11921</v>
          </cell>
          <cell r="C805" t="str">
            <v>CABO TELEFONICO CI 50, 30 PARES, USO INTERNO</v>
          </cell>
          <cell r="D805" t="str">
            <v>M</v>
          </cell>
          <cell r="E805" t="str">
            <v>CR</v>
          </cell>
          <cell r="F805">
            <v>19.18</v>
          </cell>
        </row>
        <row r="806">
          <cell r="B806">
            <v>11922</v>
          </cell>
          <cell r="C806" t="str">
            <v>CABO TELEFONICO CI 50, 50 PARES, USO INTERNO</v>
          </cell>
          <cell r="D806" t="str">
            <v>M</v>
          </cell>
          <cell r="E806" t="str">
            <v>CR</v>
          </cell>
          <cell r="F806">
            <v>31.02</v>
          </cell>
        </row>
        <row r="807">
          <cell r="B807">
            <v>11923</v>
          </cell>
          <cell r="C807" t="str">
            <v>CABO TELEFONICO CI 50, 75 PARES, USO INTERNO</v>
          </cell>
          <cell r="D807" t="str">
            <v>M</v>
          </cell>
          <cell r="E807" t="str">
            <v>CR</v>
          </cell>
          <cell r="F807">
            <v>45.41</v>
          </cell>
        </row>
        <row r="808">
          <cell r="B808">
            <v>11916</v>
          </cell>
          <cell r="C808" t="str">
            <v>CABO TELEFONICO CTP - APL - 50, 10 PARES, USO EXTERNO</v>
          </cell>
          <cell r="D808" t="str">
            <v>M</v>
          </cell>
          <cell r="E808" t="str">
            <v>CR</v>
          </cell>
          <cell r="F808">
            <v>9.44</v>
          </cell>
        </row>
        <row r="809">
          <cell r="B809">
            <v>11914</v>
          </cell>
          <cell r="C809" t="str">
            <v>CABO TELEFONICO CTP - APL - 50, 100 PARES, USO EXTERNO</v>
          </cell>
          <cell r="D809" t="str">
            <v>M</v>
          </cell>
          <cell r="E809" t="str">
            <v>CR</v>
          </cell>
          <cell r="F809">
            <v>68.040000000000006</v>
          </cell>
        </row>
        <row r="810">
          <cell r="B810">
            <v>11917</v>
          </cell>
          <cell r="C810" t="str">
            <v>CABO TELEFONICO CTP - APL - 50, 20 PARES, USO EXTERNO</v>
          </cell>
          <cell r="D810" t="str">
            <v>M</v>
          </cell>
          <cell r="E810" t="str">
            <v>CR</v>
          </cell>
          <cell r="F810">
            <v>16.63</v>
          </cell>
        </row>
        <row r="811">
          <cell r="B811">
            <v>11918</v>
          </cell>
          <cell r="C811" t="str">
            <v>CABO TELEFONICO CTP - APL - 50, 30 PARES, USO EXTERNO</v>
          </cell>
          <cell r="D811" t="str">
            <v>M</v>
          </cell>
          <cell r="E811" t="str">
            <v>CR</v>
          </cell>
          <cell r="F811">
            <v>19.73</v>
          </cell>
        </row>
        <row r="812">
          <cell r="B812">
            <v>37734</v>
          </cell>
          <cell r="C812" t="str">
            <v>CACAMBA METALICA BASCULANTE COM CAPACIDADE DE 10 M3 (INCLUI MONTAGEM, NAO INCLUI CAMINHAO)</v>
          </cell>
          <cell r="D812" t="str">
            <v>UN</v>
          </cell>
          <cell r="E812" t="str">
            <v>CR</v>
          </cell>
          <cell r="F812">
            <v>81335.039999999994</v>
          </cell>
        </row>
        <row r="813">
          <cell r="B813">
            <v>37733</v>
          </cell>
          <cell r="C813" t="str">
            <v>CACAMBA METALICA BASCULANTE COM CAPACIDADE DE 6 M3 (INCLUI MONTAGEM, NAO INCLUI CAMINHAO)</v>
          </cell>
          <cell r="D813" t="str">
            <v>UN</v>
          </cell>
          <cell r="E813" t="str">
            <v>CR</v>
          </cell>
          <cell r="F813">
            <v>60984.7</v>
          </cell>
        </row>
        <row r="814">
          <cell r="B814">
            <v>5090</v>
          </cell>
          <cell r="C814" t="str">
            <v>CADEADO SIMPLES, CORPO EM LATAO MACICO, COM LARGURA DE 25 MM E ALTURA DE APROX 25 MM, HASTE CEMENTADA (NAO LONGA), EM ACO TEMPERADO COM DIAMETRO DE APROX 5,0 MM, INCLUINDO 2 CHAVES</v>
          </cell>
          <cell r="D814" t="str">
            <v>UN</v>
          </cell>
          <cell r="E814" t="str">
            <v>C</v>
          </cell>
          <cell r="F814">
            <v>20</v>
          </cell>
        </row>
        <row r="815">
          <cell r="B815">
            <v>5085</v>
          </cell>
          <cell r="C815" t="str">
            <v>CADEADO SIMPLES, CORPO EM LATAO MACICO, COM LARGURA DE 35 MM E ALTURA DE APROX 30 MM, HASTE CEMENTADA (NAO LONGA), EM ACO TEMPERADO COM DIAMETRO DE APROX 6,0 MM, INCLUINDO 2 CHAVES</v>
          </cell>
          <cell r="D815" t="str">
            <v>UN</v>
          </cell>
          <cell r="E815" t="str">
            <v>CR</v>
          </cell>
          <cell r="F815">
            <v>29.77</v>
          </cell>
        </row>
        <row r="816">
          <cell r="B816">
            <v>43603</v>
          </cell>
          <cell r="C816" t="str">
            <v>CADEADO SIMPLES, CORPO EM LATAO MACICO, COM LARGURA DE 50 MM E ALTURA DE APROX 40 MM, HASTE CEMENTADA EM ACO TEMPERADO COM DIAMETRO DE APROX 8,0 MM, INCLUINDO 2 CHAVES</v>
          </cell>
          <cell r="D816" t="str">
            <v>UN</v>
          </cell>
          <cell r="E816" t="str">
            <v>CR</v>
          </cell>
          <cell r="F816">
            <v>42.53</v>
          </cell>
        </row>
        <row r="817">
          <cell r="B817">
            <v>38374</v>
          </cell>
          <cell r="C817" t="str">
            <v>CADEIRA SUSPENSA MANUAL / BALANCIM INDIVIDUAL (NBR 14751)</v>
          </cell>
          <cell r="D817" t="str">
            <v>UN</v>
          </cell>
          <cell r="E817" t="str">
            <v>CR</v>
          </cell>
          <cell r="F817">
            <v>889.65</v>
          </cell>
        </row>
        <row r="818">
          <cell r="B818">
            <v>4513</v>
          </cell>
          <cell r="C818" t="str">
            <v>CAIBRO 5 X 5 CM EM PINUS, MISTA OU EQUIVALENTE DA REGIAO - BRUTA</v>
          </cell>
          <cell r="D818" t="str">
            <v>M</v>
          </cell>
          <cell r="E818" t="str">
            <v>CR</v>
          </cell>
          <cell r="F818">
            <v>5.73</v>
          </cell>
        </row>
        <row r="819">
          <cell r="B819">
            <v>20212</v>
          </cell>
          <cell r="C819" t="str">
            <v>CAIBRO APARELHADO *6 X 8* CM, EM MACARANDUBA/MASSARANDUBA, ANGELIM OU EQUIVALENTE DA REGIAO</v>
          </cell>
          <cell r="D819" t="str">
            <v>M</v>
          </cell>
          <cell r="E819" t="str">
            <v>CR</v>
          </cell>
          <cell r="F819">
            <v>28.47</v>
          </cell>
        </row>
        <row r="820">
          <cell r="B820">
            <v>20209</v>
          </cell>
          <cell r="C820" t="str">
            <v>CAIBRO APARELHADO *7,5 X 7,5* CM, EM MACARANDUBA/MASSARANDUBA, ANGELIM OU EQUIVALENTE DA REGIAO</v>
          </cell>
          <cell r="D820" t="str">
            <v>M</v>
          </cell>
          <cell r="E820" t="str">
            <v>CR</v>
          </cell>
          <cell r="F820">
            <v>34</v>
          </cell>
        </row>
        <row r="821">
          <cell r="B821">
            <v>4430</v>
          </cell>
          <cell r="C821" t="str">
            <v>CAIBRO NAO APARELHADO *5 X 6* CM, EM MACARANDUBA/MASSARANDUBA, ANGELIM OU EQUIVALENTE DA REGIAO - BRUTA</v>
          </cell>
          <cell r="D821" t="str">
            <v>M</v>
          </cell>
          <cell r="E821" t="str">
            <v>C</v>
          </cell>
          <cell r="F821">
            <v>16.66</v>
          </cell>
        </row>
        <row r="822">
          <cell r="B822">
            <v>4433</v>
          </cell>
          <cell r="C822" t="str">
            <v>CAIBRO NAO APARELHADO *6 X 6* CM, EM MACARANDUBA/MASSARANDUBA, ANGELIM OU EQUIVALENTE DA REGIAO - BRUTA</v>
          </cell>
          <cell r="D822" t="str">
            <v>M</v>
          </cell>
          <cell r="E822" t="str">
            <v>CR</v>
          </cell>
          <cell r="F822">
            <v>32.58</v>
          </cell>
        </row>
        <row r="823">
          <cell r="B823">
            <v>4400</v>
          </cell>
          <cell r="C823" t="str">
            <v>CAIBRO NAO APARELHADO, *6 X 8* CM, EM MACARANDUBA/MASSARANDUBA, ANGELIM OU EQUIVALENTE DA REGIAO - BRUTA</v>
          </cell>
          <cell r="D823" t="str">
            <v>M</v>
          </cell>
          <cell r="E823" t="str">
            <v>CR</v>
          </cell>
          <cell r="F823">
            <v>26.51</v>
          </cell>
        </row>
        <row r="824">
          <cell r="B824">
            <v>2729</v>
          </cell>
          <cell r="C824" t="str">
            <v>CAIBRO ROLICO DE MADEIRA TRATADA, D = 4 A 7 CM, H = 3,00 M, EM EUCALIPTO OU EQUIVALENTE DA REGIAO</v>
          </cell>
          <cell r="D824" t="str">
            <v>UN</v>
          </cell>
          <cell r="E824" t="str">
            <v>CR</v>
          </cell>
          <cell r="F824">
            <v>29.95</v>
          </cell>
        </row>
        <row r="825">
          <cell r="B825">
            <v>37106</v>
          </cell>
          <cell r="C825" t="str">
            <v>CAIXA D'AGUA / RESERVATORIO EM POLIESTER REFORCADO COM FIBRA DE VIDRO, 10000 LITROS, COM TAMPA</v>
          </cell>
          <cell r="D825" t="str">
            <v>UN</v>
          </cell>
          <cell r="E825" t="str">
            <v>CR</v>
          </cell>
          <cell r="F825">
            <v>4929.7700000000004</v>
          </cell>
        </row>
        <row r="826">
          <cell r="B826">
            <v>11869</v>
          </cell>
          <cell r="C826" t="str">
            <v>CAIXA D'AGUA / RESERVATORIO EM POLIESTER REFORCADO COM FIBRA DE VIDRO, 1500 LITROS, COM TAMPA</v>
          </cell>
          <cell r="D826" t="str">
            <v>UN</v>
          </cell>
          <cell r="E826" t="str">
            <v>CR</v>
          </cell>
          <cell r="F826">
            <v>985.95</v>
          </cell>
        </row>
        <row r="827">
          <cell r="B827">
            <v>43981</v>
          </cell>
          <cell r="C827" t="str">
            <v>CAIXA D'AGUA / RESERVATORIO EM POLIESTER REFORCADO COM FIBRA DE VIDRO, 15000 LITROS, COM TAMPA</v>
          </cell>
          <cell r="D827" t="str">
            <v>UN</v>
          </cell>
          <cell r="E827" t="str">
            <v>CR</v>
          </cell>
          <cell r="F827">
            <v>7429.11</v>
          </cell>
        </row>
        <row r="828">
          <cell r="B828">
            <v>37104</v>
          </cell>
          <cell r="C828" t="str">
            <v>CAIXA D'AGUA / RESERVATORIO EM POLIESTER REFORCADO COM FIBRA DE VIDRO, 2000 LITROS, COM TAMPA</v>
          </cell>
          <cell r="D828" t="str">
            <v>UN</v>
          </cell>
          <cell r="E828" t="str">
            <v>CR</v>
          </cell>
          <cell r="F828">
            <v>1237.3900000000001</v>
          </cell>
        </row>
        <row r="829">
          <cell r="B829">
            <v>43982</v>
          </cell>
          <cell r="C829" t="str">
            <v>CAIXA D'AGUA / RESERVATORIO EM POLIESTER REFORCADO COM FIBRA DE VIDRO, 20000 LITROS, COM TAMPA</v>
          </cell>
          <cell r="D829" t="str">
            <v>UN</v>
          </cell>
          <cell r="E829" t="str">
            <v>CR</v>
          </cell>
          <cell r="F829">
            <v>11736.13</v>
          </cell>
        </row>
        <row r="830">
          <cell r="B830">
            <v>43978</v>
          </cell>
          <cell r="C830" t="str">
            <v>CAIXA D'AGUA / RESERVATORIO EM POLIESTER REFORCADO COM FIBRA DE VIDRO, 3000 LITROS, COM TAMPA</v>
          </cell>
          <cell r="D830" t="str">
            <v>UN</v>
          </cell>
          <cell r="E830" t="str">
            <v>CR</v>
          </cell>
          <cell r="F830">
            <v>1833.79</v>
          </cell>
        </row>
        <row r="831">
          <cell r="B831">
            <v>11871</v>
          </cell>
          <cell r="C831" t="str">
            <v>CAIXA D'AGUA / RESERVATORIO EM POLIESTER REFORCADO COM FIBRA DE VIDRO, 500 LITROS, COM TAMPA</v>
          </cell>
          <cell r="D831" t="str">
            <v>UN</v>
          </cell>
          <cell r="E831" t="str">
            <v>CR</v>
          </cell>
          <cell r="F831">
            <v>459.6</v>
          </cell>
        </row>
        <row r="832">
          <cell r="B832">
            <v>37105</v>
          </cell>
          <cell r="C832" t="str">
            <v>CAIXA D'AGUA / RESERVATORIO EM POLIESTER REFORCADO COM FIBRA DE VIDRO, 5000 LITROS, COM TAMPA</v>
          </cell>
          <cell r="D832" t="str">
            <v>UN</v>
          </cell>
          <cell r="E832" t="str">
            <v>CR</v>
          </cell>
          <cell r="F832">
            <v>2827.91</v>
          </cell>
        </row>
        <row r="833">
          <cell r="B833">
            <v>43980</v>
          </cell>
          <cell r="C833" t="str">
            <v>CAIXA D'AGUA / RESERVATORIO EM POLIESTER REFORCADO COM FIBRA DE VIDRO, 7000 LITROS, COM TAMPA</v>
          </cell>
          <cell r="D833" t="str">
            <v>UN</v>
          </cell>
          <cell r="E833" t="str">
            <v>CR</v>
          </cell>
          <cell r="F833">
            <v>3521.86</v>
          </cell>
        </row>
        <row r="834">
          <cell r="B834">
            <v>43979</v>
          </cell>
          <cell r="C834" t="str">
            <v>CAIXA D'AGUA / RESERVATORIO EM POLIESTER REFORCADO COM FIBRA DE VIDRO, 750 LITROS, COM TAMPA</v>
          </cell>
          <cell r="D834" t="str">
            <v>UN</v>
          </cell>
          <cell r="E834" t="str">
            <v>CR</v>
          </cell>
          <cell r="F834">
            <v>661.72</v>
          </cell>
        </row>
        <row r="835">
          <cell r="B835">
            <v>11868</v>
          </cell>
          <cell r="C835" t="str">
            <v>CAIXA D'AGUA / RESERVATORIO EM POLIESTER REFORCADO COM FIBRA DE VIDRO,1000 LITROS, COM TAMPA</v>
          </cell>
          <cell r="D835" t="str">
            <v>UN</v>
          </cell>
          <cell r="E835" t="str">
            <v>CR</v>
          </cell>
          <cell r="F835">
            <v>639.95000000000005</v>
          </cell>
        </row>
        <row r="836">
          <cell r="B836">
            <v>34636</v>
          </cell>
          <cell r="C836" t="str">
            <v>CAIXA D'AGUA / RESERVATORIO EM POLIETILENO, 1000 LITROS, COM TAMPA</v>
          </cell>
          <cell r="D836" t="str">
            <v>UN</v>
          </cell>
          <cell r="E836" t="str">
            <v>C</v>
          </cell>
          <cell r="F836">
            <v>454.45</v>
          </cell>
        </row>
        <row r="837">
          <cell r="B837">
            <v>34639</v>
          </cell>
          <cell r="C837" t="str">
            <v>CAIXA D'AGUA / RESERVATORIO EM POLIETILENO, 1500 LITROS, COM TAMPA</v>
          </cell>
          <cell r="D837" t="str">
            <v>UN</v>
          </cell>
          <cell r="E837" t="str">
            <v>CR</v>
          </cell>
          <cell r="F837">
            <v>1048.95</v>
          </cell>
        </row>
        <row r="838">
          <cell r="B838">
            <v>34640</v>
          </cell>
          <cell r="C838" t="str">
            <v>CAIXA D'AGUA / RESERVATORIO EM POLIETILENO, 2000 LITROS, COM TAMPA</v>
          </cell>
          <cell r="D838" t="str">
            <v>UN</v>
          </cell>
          <cell r="E838" t="str">
            <v>CR</v>
          </cell>
          <cell r="F838">
            <v>1189.8699999999999</v>
          </cell>
        </row>
        <row r="839">
          <cell r="B839">
            <v>43977</v>
          </cell>
          <cell r="C839" t="str">
            <v>CAIXA D'AGUA / RESERVATORIO EM POLIETILENO, 3000 LITROS, COM TAMPA</v>
          </cell>
          <cell r="D839" t="str">
            <v>UN</v>
          </cell>
          <cell r="E839" t="str">
            <v>CR</v>
          </cell>
          <cell r="F839">
            <v>2051.2600000000002</v>
          </cell>
        </row>
        <row r="840">
          <cell r="B840">
            <v>34637</v>
          </cell>
          <cell r="C840" t="str">
            <v>CAIXA D'AGUA / RESERVATORIO EM POLIETILENO, 500 LITROS, COM TAMPA</v>
          </cell>
          <cell r="D840" t="str">
            <v>UN</v>
          </cell>
          <cell r="E840" t="str">
            <v>CR</v>
          </cell>
          <cell r="F840">
            <v>274.82</v>
          </cell>
        </row>
        <row r="841">
          <cell r="B841">
            <v>34638</v>
          </cell>
          <cell r="C841" t="str">
            <v>CAIXA D'AGUA / RESERVATORIO EM POLIETILENO, 750 LITROS, COM TAMPA</v>
          </cell>
          <cell r="D841" t="str">
            <v>UN</v>
          </cell>
          <cell r="E841" t="str">
            <v>CR</v>
          </cell>
          <cell r="F841">
            <v>425.1</v>
          </cell>
        </row>
        <row r="842">
          <cell r="B842">
            <v>34641</v>
          </cell>
          <cell r="C842" t="str">
            <v>CAIXA DE ATERRAMENTO EM CONCRETO PRE-MOLDADO, DIAMETRO DE 0,30 M E ALTURA DE 0,35 M, SEM FUNDO E COM TAMPA</v>
          </cell>
          <cell r="D842" t="str">
            <v>UN</v>
          </cell>
          <cell r="E842" t="str">
            <v>CR</v>
          </cell>
          <cell r="F842">
            <v>124.93</v>
          </cell>
        </row>
        <row r="843">
          <cell r="B843">
            <v>43434</v>
          </cell>
          <cell r="C843" t="str">
            <v>CAIXA DE CONCRETO ARMADO PRE-MOLDADO, COM FUNDO E SEM TAMPA, DIMENSOES DE 0,30 X 0,30 X 0,30 M</v>
          </cell>
          <cell r="D843" t="str">
            <v>UN</v>
          </cell>
          <cell r="E843" t="str">
            <v>CR</v>
          </cell>
          <cell r="F843">
            <v>135.07</v>
          </cell>
        </row>
        <row r="844">
          <cell r="B844">
            <v>43435</v>
          </cell>
          <cell r="C844" t="str">
            <v>CAIXA DE CONCRETO ARMADO PRE-MOLDADO, COM FUNDO E SEM TAMPA, DIMENSOES DE 0,40 X 0,40 X 0,40 M</v>
          </cell>
          <cell r="D844" t="str">
            <v>UN</v>
          </cell>
          <cell r="E844" t="str">
            <v>CR</v>
          </cell>
          <cell r="F844">
            <v>247.63</v>
          </cell>
        </row>
        <row r="845">
          <cell r="B845">
            <v>43436</v>
          </cell>
          <cell r="C845" t="str">
            <v>CAIXA DE CONCRETO ARMADO PRE-MOLDADO, COM FUNDO E SEM TAMPA, DIMENSOES DE 0,60 X 0,60 X 0,50 M</v>
          </cell>
          <cell r="D845" t="str">
            <v>UN</v>
          </cell>
          <cell r="E845" t="str">
            <v>CR</v>
          </cell>
          <cell r="F845">
            <v>433.36</v>
          </cell>
        </row>
        <row r="846">
          <cell r="B846">
            <v>43437</v>
          </cell>
          <cell r="C846" t="str">
            <v>CAIXA DE CONCRETO ARMADO PRE-MOLDADO, COM FUNDO E SEM TAMPA, DIMENSOES DE 0,80 X 0,80 X 0,50 M</v>
          </cell>
          <cell r="D846" t="str">
            <v>UN</v>
          </cell>
          <cell r="E846" t="str">
            <v>CR</v>
          </cell>
          <cell r="F846">
            <v>785.68</v>
          </cell>
        </row>
        <row r="847">
          <cell r="B847">
            <v>43438</v>
          </cell>
          <cell r="C847" t="str">
            <v>CAIXA DE CONCRETO ARMADO PRE-MOLDADO, COM FUNDO E SEM TAMPA, DIMENSOES DE 1,00 X 1,00 X 0,50 M</v>
          </cell>
          <cell r="D847" t="str">
            <v>UN</v>
          </cell>
          <cell r="E847" t="str">
            <v>CR</v>
          </cell>
          <cell r="F847">
            <v>1407.03</v>
          </cell>
        </row>
        <row r="848">
          <cell r="B848">
            <v>41627</v>
          </cell>
          <cell r="C848" t="str">
            <v>CAIXA DE CONCRETO ARMADO PRE-MOLDADO, COM FUNDO E TAMPA, DIMENSOES DE 0,30 X 0,30 X 0,30 M</v>
          </cell>
          <cell r="D848" t="str">
            <v>UN</v>
          </cell>
          <cell r="E848" t="str">
            <v>CR</v>
          </cell>
          <cell r="F848">
            <v>208.24</v>
          </cell>
        </row>
        <row r="849">
          <cell r="B849">
            <v>41628</v>
          </cell>
          <cell r="C849" t="str">
            <v>CAIXA DE CONCRETO ARMADO PRE-MOLDADO, COM FUNDO E TAMPA, DIMENSOES DE 0,40 X 0,40 X 0,40 M</v>
          </cell>
          <cell r="D849" t="str">
            <v>UN</v>
          </cell>
          <cell r="E849" t="str">
            <v>CR</v>
          </cell>
          <cell r="F849">
            <v>382.71</v>
          </cell>
        </row>
        <row r="850">
          <cell r="B850">
            <v>41629</v>
          </cell>
          <cell r="C850" t="str">
            <v>CAIXA DE CONCRETO ARMADO PRE-MOLDADO, COM FUNDO E TAMPA, DIMENSOES DE 0,60 X 0,60 X 0,50 M</v>
          </cell>
          <cell r="D850" t="str">
            <v>UN</v>
          </cell>
          <cell r="E850" t="str">
            <v>CR</v>
          </cell>
          <cell r="F850">
            <v>486.27</v>
          </cell>
        </row>
        <row r="851">
          <cell r="B851">
            <v>43429</v>
          </cell>
          <cell r="C851" t="str">
            <v>CAIXA DE CONCRETO ARMADO PRE-MOLDADO, SEM FUNDO, QUADRADA, DIMENSOES DE 0,30 X 0,30 X 0,30 M</v>
          </cell>
          <cell r="D851" t="str">
            <v>UN</v>
          </cell>
          <cell r="E851" t="str">
            <v>CR</v>
          </cell>
          <cell r="F851">
            <v>107.74</v>
          </cell>
        </row>
        <row r="852">
          <cell r="B852">
            <v>43430</v>
          </cell>
          <cell r="C852" t="str">
            <v>CAIXA DE CONCRETO ARMADO PRE-MOLDADO, SEM FUNDO, QUADRADA, DIMENSOES DE 0,40 X 0,40 X 0,40 M</v>
          </cell>
          <cell r="D852" t="str">
            <v>UN</v>
          </cell>
          <cell r="E852" t="str">
            <v>CR</v>
          </cell>
          <cell r="F852">
            <v>178.97</v>
          </cell>
        </row>
        <row r="853">
          <cell r="B853">
            <v>43431</v>
          </cell>
          <cell r="C853" t="str">
            <v>CAIXA DE CONCRETO ARMADO PRE-MOLDADO, SEM FUNDO, QUADRADA, DIMENSOES DE 0,60 X 0,60 X 0,50 M</v>
          </cell>
          <cell r="D853" t="str">
            <v>UN</v>
          </cell>
          <cell r="E853" t="str">
            <v>CR</v>
          </cell>
          <cell r="F853">
            <v>346.69</v>
          </cell>
        </row>
        <row r="854">
          <cell r="B854">
            <v>43432</v>
          </cell>
          <cell r="C854" t="str">
            <v>CAIXA DE CONCRETO ARMADO PRE-MOLDADO, SEM FUNDO, QUADRADA, DIMENSOES DE 0,80 X 0,80 X 0,50 M</v>
          </cell>
          <cell r="D854" t="str">
            <v>UN</v>
          </cell>
          <cell r="E854" t="str">
            <v>CR</v>
          </cell>
          <cell r="F854">
            <v>720.4</v>
          </cell>
        </row>
        <row r="855">
          <cell r="B855">
            <v>43433</v>
          </cell>
          <cell r="C855" t="str">
            <v>CAIXA DE CONCRETO ARMADO PRE-MOLDADO, SEM FUNDO, QUADRADA, DIMENSOES DE 1,00 X 1,00 X 0,50 M</v>
          </cell>
          <cell r="D855" t="str">
            <v>UN</v>
          </cell>
          <cell r="E855" t="str">
            <v>CR</v>
          </cell>
          <cell r="F855">
            <v>1135.76</v>
          </cell>
        </row>
        <row r="856">
          <cell r="B856">
            <v>43094</v>
          </cell>
          <cell r="C856" t="str">
            <v>CAIXA DE DERIVACAO PARA MEDIDOR DE ENERGIA, COM BARRAMENTO MONOFASICO, EM POLICARBONATO / TERMOPLASTICO - MODULO (PADRAO CONCESSIONARIA LOCAL)</v>
          </cell>
          <cell r="D856" t="str">
            <v>UN</v>
          </cell>
          <cell r="E856" t="str">
            <v>CR</v>
          </cell>
          <cell r="F856">
            <v>241.71</v>
          </cell>
        </row>
        <row r="857">
          <cell r="B857">
            <v>43093</v>
          </cell>
          <cell r="C857" t="str">
            <v>CAIXA DE DERIVACAO PARA MEDIDOR DE ENERGIA, COM BARRAMENTO POLIFASICO, EM POLICARBONATO / TERMOPLASTICO - MODULO (PADRAO CONCESSIONARIA LOCAL)</v>
          </cell>
          <cell r="D857" t="str">
            <v>UN</v>
          </cell>
          <cell r="E857" t="str">
            <v>CR</v>
          </cell>
          <cell r="F857">
            <v>256.87</v>
          </cell>
        </row>
        <row r="858">
          <cell r="B858">
            <v>11694</v>
          </cell>
          <cell r="C858" t="str">
            <v>CAIXA DE DESCARGA PLASTICA PARA BACIA / VASO SANITARIO DE EMBUTIR, COM ESPELHO ACIONADOR EM PLASTICO, CAPACIDADE 6 A 10 LITROS, (COMPLETA - ACESSORIOS INCLUSOS)</v>
          </cell>
          <cell r="D858" t="str">
            <v>UN</v>
          </cell>
          <cell r="E858" t="str">
            <v>CR</v>
          </cell>
          <cell r="F858">
            <v>1116.97</v>
          </cell>
        </row>
        <row r="859">
          <cell r="B859">
            <v>1030</v>
          </cell>
          <cell r="C859" t="str">
            <v>CAIXA DE DESCARGA PLASTICA PARA BACIA / VASO SANITARIO, EXTERNA, CAPACIDADE 9 LITROS, PUXADOR FIO DE NYLON, NAO INCLUSO CANO, BOLSA, ENGATE</v>
          </cell>
          <cell r="D859" t="str">
            <v>UN</v>
          </cell>
          <cell r="E859" t="str">
            <v>C</v>
          </cell>
          <cell r="F859">
            <v>50.53</v>
          </cell>
        </row>
        <row r="860">
          <cell r="B860">
            <v>11881</v>
          </cell>
          <cell r="C860" t="str">
            <v>CAIXA DE GORDURA CILINDRICA EM CONCRETO SIMPLES, PRE-MOLDADA, COM DIAMETRO DE 40 CM E ALTURA DE 45 CM, COM TAMPA</v>
          </cell>
          <cell r="D860" t="str">
            <v>UN</v>
          </cell>
          <cell r="E860" t="str">
            <v>CR</v>
          </cell>
          <cell r="F860">
            <v>191.35</v>
          </cell>
        </row>
        <row r="861">
          <cell r="B861">
            <v>35277</v>
          </cell>
          <cell r="C861" t="str">
            <v>CAIXA DE GORDURA EM PVC, DIAMETRO MINIMO 300 MM, DIAMETRO DE SAIDA 100 MM, CAPACIDADE APROXIMADA 18 LITROS, COM TAMPA E CESTO</v>
          </cell>
          <cell r="D861" t="str">
            <v>UN</v>
          </cell>
          <cell r="E861" t="str">
            <v>CR</v>
          </cell>
          <cell r="F861">
            <v>397.38</v>
          </cell>
        </row>
        <row r="862">
          <cell r="B862">
            <v>10521</v>
          </cell>
          <cell r="C862" t="str">
            <v>CAIXA DE INCENDIO/ABRIGO PARA MANGUEIRA, DE EMBUTIR/INTERNA, COM 75 X 45 X 17 CM, EM CHAPA DE ACO, PORTA COM VENTILACAO, VISOR COM A INSCRICAO "INCENDIO", SUPORTE/CESTA INTERNA PARA A MANGUEIRA, PINTURA ELETROSTATICA VERMELHA</v>
          </cell>
          <cell r="D862" t="str">
            <v>UN</v>
          </cell>
          <cell r="E862" t="str">
            <v>CR</v>
          </cell>
          <cell r="F862">
            <v>403.25</v>
          </cell>
        </row>
        <row r="863">
          <cell r="B863">
            <v>10885</v>
          </cell>
          <cell r="C863" t="str">
            <v>CAIXA DE INCENDIO/ABRIGO PARA MANGUEIRA, DE EMBUTIR/INTERNA, COM 90 X 60 X 17 CM, EM CHAPA DE ACO, PORTA COM VENTILACAO, VISOR COM A INSCRICAO "INCENDIO", SUPORTE/CESTA INTERNA PARA A MANGUEIRA, PINTURA ELETROSTATICA VERMELHA</v>
          </cell>
          <cell r="D863" t="str">
            <v>UN</v>
          </cell>
          <cell r="E863" t="str">
            <v>CR</v>
          </cell>
          <cell r="F863">
            <v>510.07</v>
          </cell>
        </row>
        <row r="864">
          <cell r="B864">
            <v>20962</v>
          </cell>
          <cell r="C864" t="str">
            <v>CAIXA DE INCENDIO/ABRIGO PARA MANGUEIRA, DE SOBREPOR/EXTERNA, COM 75 X 45 X 17 CM, EM CHAPA DE ACO, PORTA COM VENTILACAO, VISOR COM A INSCRICAO "INCENDIO", SUPORTE/CESTA INTERNA PARA A MANGUEIRA, PINTURA ELETROSTATICA VERMELHA</v>
          </cell>
          <cell r="D864" t="str">
            <v>UN</v>
          </cell>
          <cell r="E864" t="str">
            <v>C</v>
          </cell>
          <cell r="F864">
            <v>422.46</v>
          </cell>
        </row>
        <row r="865">
          <cell r="B865">
            <v>20963</v>
          </cell>
          <cell r="C865" t="str">
            <v>CAIXA DE INCENDIO/ABRIGO PARA MANGUEIRA, DE SOBREPOR/EXTERNA, COM 90 X 60 X 17 CM, EM CHAPA DE ACO, PORTA COM VENTILACAO, VISOR COM A INSCRICAO "INCENDIO", SUPORTE/CESTA INTERNA PARA A MANGUEIRA, PINTURA ELETROSTATICA VERMELHA</v>
          </cell>
          <cell r="D865" t="str">
            <v>UN</v>
          </cell>
          <cell r="E865" t="str">
            <v>CR</v>
          </cell>
          <cell r="F865">
            <v>516.07000000000005</v>
          </cell>
        </row>
        <row r="866">
          <cell r="B866">
            <v>34643</v>
          </cell>
          <cell r="C866" t="str">
            <v>CAIXA DE INSPECAO PARA ATERRAMENTO E PARA RAIOS, EM POLIPROPILENO, DIAMETRO = 300 MM X ALTURA = 400 MM (INCLUIDA TAMPA SEM ESCOTILHA)</v>
          </cell>
          <cell r="D866" t="str">
            <v>UN</v>
          </cell>
          <cell r="E866" t="str">
            <v>CR</v>
          </cell>
          <cell r="F866">
            <v>45.76</v>
          </cell>
        </row>
        <row r="867">
          <cell r="B867">
            <v>41480</v>
          </cell>
          <cell r="C867" t="str">
            <v>CAIXA DE INSPECAO PARA ATERRAMENTO OU OUTRO USO, EM PVC, DN = 250 X 250 MM (INCLUIDA TAMPA EM FERRO FUNDIDO SEM ESCOTILHA)</v>
          </cell>
          <cell r="D867" t="str">
            <v>UN</v>
          </cell>
          <cell r="E867" t="str">
            <v>CR</v>
          </cell>
          <cell r="F867">
            <v>53.06</v>
          </cell>
        </row>
        <row r="868">
          <cell r="B868">
            <v>41474</v>
          </cell>
          <cell r="C868" t="str">
            <v>CAIXA DE INSPECAO PARA ATERRAMENTO OU OUTRO USO, EM PVC, DN = 300 X *300* MM (INCLUIDA TAMPA EM FERRO FUNDIDO SEM ESCOTILHA)</v>
          </cell>
          <cell r="D868" t="str">
            <v>UN</v>
          </cell>
          <cell r="E868" t="str">
            <v>CR</v>
          </cell>
          <cell r="F868">
            <v>84.76</v>
          </cell>
        </row>
        <row r="869">
          <cell r="B869">
            <v>41475</v>
          </cell>
          <cell r="C869" t="str">
            <v>CAIXA DE INSPECAO PARA ATERRAMENTO OU OUTRO USO, EM PVC, DN = 300 X 250 MM (INCLUIDA TAMPA EM FERRO FUNDIDO SEM ESCOTILHA)</v>
          </cell>
          <cell r="D869" t="str">
            <v>UN</v>
          </cell>
          <cell r="E869" t="str">
            <v>CR</v>
          </cell>
          <cell r="F869">
            <v>72.319999999999993</v>
          </cell>
        </row>
        <row r="870">
          <cell r="B870">
            <v>41476</v>
          </cell>
          <cell r="C870" t="str">
            <v>CAIXA DE INSPECAO PARA ATERRAMENTO OU OUTRO USO, EM PVC, DN = 300 X 600 MM (INCLUIDA TAMPA EM FERRO FUNDIDO SEM ESCOTILHA)</v>
          </cell>
          <cell r="D870" t="str">
            <v>UN</v>
          </cell>
          <cell r="E870" t="str">
            <v>CR</v>
          </cell>
          <cell r="F870">
            <v>158.36000000000001</v>
          </cell>
        </row>
        <row r="871">
          <cell r="B871">
            <v>2555</v>
          </cell>
          <cell r="C871" t="str">
            <v>CAIXA DE LUZ "3 X 3" EM ACO ESMALTADA</v>
          </cell>
          <cell r="D871" t="str">
            <v>UN</v>
          </cell>
          <cell r="E871" t="str">
            <v>CR</v>
          </cell>
          <cell r="F871">
            <v>1.29</v>
          </cell>
        </row>
        <row r="872">
          <cell r="B872">
            <v>2556</v>
          </cell>
          <cell r="C872" t="str">
            <v>CAIXA DE LUZ "4 X 2" EM ACO ESMALTADA</v>
          </cell>
          <cell r="D872" t="str">
            <v>UN</v>
          </cell>
          <cell r="E872" t="str">
            <v>CR</v>
          </cell>
          <cell r="F872">
            <v>1.33</v>
          </cell>
        </row>
        <row r="873">
          <cell r="B873">
            <v>2557</v>
          </cell>
          <cell r="C873" t="str">
            <v>CAIXA DE LUZ "4 X 4" EM ACO ESMALTADA</v>
          </cell>
          <cell r="D873" t="str">
            <v>UN</v>
          </cell>
          <cell r="E873" t="str">
            <v>CR</v>
          </cell>
          <cell r="F873">
            <v>2.82</v>
          </cell>
        </row>
        <row r="874">
          <cell r="B874">
            <v>10569</v>
          </cell>
          <cell r="C874" t="str">
            <v>CAIXA DE PASSAGEM / DERIVACAO / LUZ, OCTOGONAL 4 X4, EM ACO ESMALTADA, COM FUNDO MOVEL SIMPLES (FMS)</v>
          </cell>
          <cell r="D874" t="str">
            <v>UN</v>
          </cell>
          <cell r="E874" t="str">
            <v>CR</v>
          </cell>
          <cell r="F874">
            <v>2.82</v>
          </cell>
        </row>
        <row r="875">
          <cell r="B875">
            <v>39810</v>
          </cell>
          <cell r="C875" t="str">
            <v>CAIXA DE PASSAGEM ELETRICA DE PAREDE, DE EMBUTIR, EM PVC, COM TAMPA APARAFUSADA, DIMENSOES 120 X 120 X *75* MM</v>
          </cell>
          <cell r="D875" t="str">
            <v>UN</v>
          </cell>
          <cell r="E875" t="str">
            <v>CR</v>
          </cell>
          <cell r="F875">
            <v>32.619999999999997</v>
          </cell>
        </row>
        <row r="876">
          <cell r="B876">
            <v>39811</v>
          </cell>
          <cell r="C876" t="str">
            <v>CAIXA DE PASSAGEM ELETRICA DE PAREDE, DE EMBUTIR, EM PVC, COM TAMPA APARAFUSADA, DIMENSOES 150 X 150 X *75* MM</v>
          </cell>
          <cell r="D876" t="str">
            <v>UN</v>
          </cell>
          <cell r="E876" t="str">
            <v>CR</v>
          </cell>
          <cell r="F876">
            <v>39.9</v>
          </cell>
        </row>
        <row r="877">
          <cell r="B877">
            <v>39812</v>
          </cell>
          <cell r="C877" t="str">
            <v>CAIXA DE PASSAGEM ELETRICA DE PAREDE, DE EMBUTIR, EM PVC, COM TAMPA APARAFUSADA, DIMENSOES 200 X 200 X *90* MM</v>
          </cell>
          <cell r="D877" t="str">
            <v>UN</v>
          </cell>
          <cell r="E877" t="str">
            <v>CR</v>
          </cell>
          <cell r="F877">
            <v>65.599999999999994</v>
          </cell>
        </row>
        <row r="878">
          <cell r="B878">
            <v>43096</v>
          </cell>
          <cell r="C878" t="str">
            <v>CAIXA DE PASSAGEM ELETRICA DE PAREDE, DE EMBUTIR, EM TERMOPLASTICO / PVC, COM TAMPA APARAFUSADA, DIMENSOES 400 X 400 X *120* MM</v>
          </cell>
          <cell r="D878" t="str">
            <v>UN</v>
          </cell>
          <cell r="E878" t="str">
            <v>CR</v>
          </cell>
          <cell r="F878">
            <v>217.46</v>
          </cell>
        </row>
        <row r="879">
          <cell r="B879">
            <v>43102</v>
          </cell>
          <cell r="C879" t="str">
            <v>CAIXA DE PASSAGEM ELETRICA DE PAREDE, DE SOBREPOR, EM PVC, COM TAMPA APARAFUSADA, DIMENSOES 300 X 300 X *100* MM</v>
          </cell>
          <cell r="D879" t="str">
            <v>UN</v>
          </cell>
          <cell r="E879" t="str">
            <v>CR</v>
          </cell>
          <cell r="F879">
            <v>132.22999999999999</v>
          </cell>
        </row>
        <row r="880">
          <cell r="B880">
            <v>43103</v>
          </cell>
          <cell r="C880" t="str">
            <v>CAIXA DE PASSAGEM ELETRICA DE PAREDE, DE SOBREPOR, EM PVC, COM TAMPA APARAFUSADA, DIMENSOES, 400 X 400 X *120* MM</v>
          </cell>
          <cell r="D880" t="str">
            <v>UN</v>
          </cell>
          <cell r="E880" t="str">
            <v>CR</v>
          </cell>
          <cell r="F880">
            <v>194.71</v>
          </cell>
        </row>
        <row r="881">
          <cell r="B881">
            <v>43098</v>
          </cell>
          <cell r="C881" t="str">
            <v>CAIXA DE PASSAGEM ELETRICA DE PAREDE, DE SOBREPOR, EM TERMOPLASTICO / PVC, COM TAMPA APARAFUSADA, DIMENSOES 200 X 200 X *100* MM</v>
          </cell>
          <cell r="D881" t="str">
            <v>UN</v>
          </cell>
          <cell r="E881" t="str">
            <v>CR</v>
          </cell>
          <cell r="F881">
            <v>73.66</v>
          </cell>
        </row>
        <row r="882">
          <cell r="B882">
            <v>43097</v>
          </cell>
          <cell r="C882" t="str">
            <v>CAIXA DE PASSAGEM ELETRICA DE PAREDE, DE SOBREPOR, EM TERMOPLASTICO / PVC, COM TAMPA APARAFUSADA, DIMENSOES, 150 X 150 X *100* MM</v>
          </cell>
          <cell r="D882" t="str">
            <v>UN</v>
          </cell>
          <cell r="E882" t="str">
            <v>CR</v>
          </cell>
          <cell r="F882">
            <v>43.64</v>
          </cell>
        </row>
        <row r="883">
          <cell r="B883">
            <v>43104</v>
          </cell>
          <cell r="C883" t="str">
            <v>CAIXA DE PASSAGEM ELETRICA, PARA PISO, EM PVC, DIMENSOES DE 3/4" A 4"</v>
          </cell>
          <cell r="D883" t="str">
            <v>UN</v>
          </cell>
          <cell r="E883" t="str">
            <v>CR</v>
          </cell>
          <cell r="F883">
            <v>516.23</v>
          </cell>
        </row>
        <row r="884">
          <cell r="B884">
            <v>39771</v>
          </cell>
          <cell r="C884" t="str">
            <v>CAIXA DE PASSAGEM METALICA DE SOBREPOR COM TAMPA PARAFUSADA, DIMENSOES 20 X 20 X 10 CM</v>
          </cell>
          <cell r="D884" t="str">
            <v>UN</v>
          </cell>
          <cell r="E884" t="str">
            <v>CR</v>
          </cell>
          <cell r="F884">
            <v>27.09</v>
          </cell>
        </row>
        <row r="885">
          <cell r="B885">
            <v>39772</v>
          </cell>
          <cell r="C885" t="str">
            <v>CAIXA DE PASSAGEM METALICA DE SOBREPOR COM TAMPA PARAFUSADA, DIMENSOES 30 X 30 X 10 CM</v>
          </cell>
          <cell r="D885" t="str">
            <v>UN</v>
          </cell>
          <cell r="E885" t="str">
            <v>CR</v>
          </cell>
          <cell r="F885">
            <v>53.26</v>
          </cell>
        </row>
        <row r="886">
          <cell r="B886">
            <v>39773</v>
          </cell>
          <cell r="C886" t="str">
            <v>CAIXA DE PASSAGEM METALICA DE SOBREPOR COM TAMPA PARAFUSADA, DIMENSOES 40 X 40 X 15 CM</v>
          </cell>
          <cell r="D886" t="str">
            <v>UN</v>
          </cell>
          <cell r="E886" t="str">
            <v>CR</v>
          </cell>
          <cell r="F886">
            <v>85.6</v>
          </cell>
        </row>
        <row r="887">
          <cell r="B887">
            <v>39774</v>
          </cell>
          <cell r="C887" t="str">
            <v>CAIXA DE PASSAGEM METALICA DE SOBREPOR COM TAMPA PARAFUSADA, DIMENSOES 50 X 50 X 15 CM</v>
          </cell>
          <cell r="D887" t="str">
            <v>UN</v>
          </cell>
          <cell r="E887" t="str">
            <v>CR</v>
          </cell>
          <cell r="F887">
            <v>128.04</v>
          </cell>
        </row>
        <row r="888">
          <cell r="B888">
            <v>39775</v>
          </cell>
          <cell r="C888" t="str">
            <v>CAIXA DE PASSAGEM METALICA DE SOBREPOR COM TAMPA PARAFUSADA, DIMENSOES 60 X 60 X 20 CM</v>
          </cell>
          <cell r="D888" t="str">
            <v>UN</v>
          </cell>
          <cell r="E888" t="str">
            <v>CR</v>
          </cell>
          <cell r="F888">
            <v>170.89</v>
          </cell>
        </row>
        <row r="889">
          <cell r="B889">
            <v>39776</v>
          </cell>
          <cell r="C889" t="str">
            <v>CAIXA DE PASSAGEM METALICA DE SOBREPOR COM TAMPA PARAFUSADA, DIMENSOES 70 X 70 X 20 CM</v>
          </cell>
          <cell r="D889" t="str">
            <v>UN</v>
          </cell>
          <cell r="E889" t="str">
            <v>CR</v>
          </cell>
          <cell r="F889">
            <v>206.52</v>
          </cell>
        </row>
        <row r="890">
          <cell r="B890">
            <v>39777</v>
          </cell>
          <cell r="C890" t="str">
            <v>CAIXA DE PASSAGEM METALICA DE SOBREPOR COM TAMPA PARAFUSADA, DIMENSOES 80 X 80 X 20 CM</v>
          </cell>
          <cell r="D890" t="str">
            <v>UN</v>
          </cell>
          <cell r="E890" t="str">
            <v>CR</v>
          </cell>
          <cell r="F890">
            <v>261.76</v>
          </cell>
        </row>
        <row r="891">
          <cell r="B891">
            <v>20254</v>
          </cell>
          <cell r="C891" t="str">
            <v>CAIXA DE PASSAGEM METALICA, DE SOBREPOR, COM TAMPA APARAFUSADA, DIMENSOES 15 X 15 X *10* CM</v>
          </cell>
          <cell r="D891" t="str">
            <v>UN</v>
          </cell>
          <cell r="E891" t="str">
            <v>CR</v>
          </cell>
          <cell r="F891">
            <v>19</v>
          </cell>
        </row>
        <row r="892">
          <cell r="B892">
            <v>20253</v>
          </cell>
          <cell r="C892" t="str">
            <v>CAIXA DE PASSAGEM METALICA, DE SOBREPOR, COM TAMPA APARAFUSADA, DIMENSOES 35 X 35 X *12* CM</v>
          </cell>
          <cell r="D892" t="str">
            <v>UN</v>
          </cell>
          <cell r="E892" t="str">
            <v>CR</v>
          </cell>
          <cell r="F892">
            <v>62.39</v>
          </cell>
        </row>
        <row r="893">
          <cell r="B893">
            <v>1872</v>
          </cell>
          <cell r="C893" t="str">
            <v>CAIXA DE PASSAGEM, EM PVC, DE 4" X 2", PARA ELETRODUTO FLEXIVEL CORRUGADO</v>
          </cell>
          <cell r="D893" t="str">
            <v>UN</v>
          </cell>
          <cell r="E893" t="str">
            <v>CR</v>
          </cell>
          <cell r="F893">
            <v>1.93</v>
          </cell>
        </row>
        <row r="894">
          <cell r="B894">
            <v>1873</v>
          </cell>
          <cell r="C894" t="str">
            <v>CAIXA DE PASSAGEM, EM PVC, DE 4" X 4", PARA ELETRODUTO FLEXIVEL CORRUGADO</v>
          </cell>
          <cell r="D894" t="str">
            <v>UN</v>
          </cell>
          <cell r="E894" t="str">
            <v>CR</v>
          </cell>
          <cell r="F894">
            <v>3.84</v>
          </cell>
        </row>
        <row r="895">
          <cell r="B895">
            <v>14055</v>
          </cell>
          <cell r="C895" t="str">
            <v>CAIXA DE PASSAGEM/ LUZ / TELEFONIA, DE EMBUTIR, EM CHAPA DE ACO GALVANIZADO, DIMENSOES 120 X 120 X *12* CM (PADRAO CONCESSIONARIA LOCAL)</v>
          </cell>
          <cell r="D895" t="str">
            <v>UN</v>
          </cell>
          <cell r="E895" t="str">
            <v>CR</v>
          </cell>
          <cell r="F895">
            <v>570.12</v>
          </cell>
        </row>
        <row r="896">
          <cell r="B896">
            <v>11247</v>
          </cell>
          <cell r="C896" t="str">
            <v>CAIXA DE PASSAGEM/ LUZ / TELEFONIA, DE EMBUTIR, EM CHAPA DE ACO GALVANIZADO, DIMENSOES 150 X 150 X 15 CM (PADRAO CONCESSIONARIA LOCAL)</v>
          </cell>
          <cell r="D896" t="str">
            <v>UN</v>
          </cell>
          <cell r="E896" t="str">
            <v>CR</v>
          </cell>
          <cell r="F896">
            <v>1199.6600000000001</v>
          </cell>
        </row>
        <row r="897">
          <cell r="B897">
            <v>11250</v>
          </cell>
          <cell r="C897" t="str">
            <v>CAIXA DE PASSAGEM/ LUZ / TELEFONIA, DE EMBUTIR, EM CHAPA DE ACO GALVANIZADO, DIMENSOES 20 X 20 X *12* CM (PADRAO CONCESSIONARIA LOCAL)</v>
          </cell>
          <cell r="D897" t="str">
            <v>UN</v>
          </cell>
          <cell r="E897" t="str">
            <v>CR</v>
          </cell>
          <cell r="F897">
            <v>51.65</v>
          </cell>
        </row>
        <row r="898">
          <cell r="B898">
            <v>11249</v>
          </cell>
          <cell r="C898" t="str">
            <v>CAIXA DE PASSAGEM/ LUZ / TELEFONIA, DE EMBUTIR, EM CHAPA DE ACO GALVANIZADO, DIMENSOES 200 X 200 X 20 CM (PADRAO CONCESSIONARIA LOCAL)</v>
          </cell>
          <cell r="D898" t="str">
            <v>UN</v>
          </cell>
          <cell r="E898" t="str">
            <v>CR</v>
          </cell>
          <cell r="F898">
            <v>2343.37</v>
          </cell>
        </row>
        <row r="899">
          <cell r="B899">
            <v>11251</v>
          </cell>
          <cell r="C899" t="str">
            <v>CAIXA DE PASSAGEM/ LUZ / TELEFONIA, DE EMBUTIR, EM CHAPA DE ACO GALVANIZADO, DIMENSOES 40 X 40 X *12* CM (PADRAO CONCESSIONARIA LOCAL)</v>
          </cell>
          <cell r="D899" t="str">
            <v>UN</v>
          </cell>
          <cell r="E899" t="str">
            <v>CR</v>
          </cell>
          <cell r="F899">
            <v>114.4</v>
          </cell>
        </row>
        <row r="900">
          <cell r="B900">
            <v>11253</v>
          </cell>
          <cell r="C900" t="str">
            <v>CAIXA DE PASSAGEM/ LUZ / TELEFONIA, DE EMBUTIR, EM CHAPA DE ACO GALVANIZADO, DIMENSOES 60 X 60 X *12* CM (PADRAO CONCESSIONARIA LOCAL)</v>
          </cell>
          <cell r="D900" t="str">
            <v>UN</v>
          </cell>
          <cell r="E900" t="str">
            <v>CR</v>
          </cell>
          <cell r="F900">
            <v>189.57</v>
          </cell>
        </row>
        <row r="901">
          <cell r="B901">
            <v>11255</v>
          </cell>
          <cell r="C901" t="str">
            <v>CAIXA DE PASSAGEM/ LUZ / TELEFONIA, DE EMBUTIR, EM CHAPA DE ACO GALVANIZADO, DIMENSOES 80 X 80 X *12* CM (PADRAO CONCESSIONARIA LOCAL)</v>
          </cell>
          <cell r="D901" t="str">
            <v>UN</v>
          </cell>
          <cell r="E901" t="str">
            <v>CR</v>
          </cell>
          <cell r="F901">
            <v>283.41000000000003</v>
          </cell>
        </row>
        <row r="902">
          <cell r="B902">
            <v>11256</v>
          </cell>
          <cell r="C902" t="str">
            <v>CAIXA DE PASSAGEM/ LUZ / TELEFONIA, DE SOBREPOR, EM CHAPA DE ACO GALVANIZADO, DIMENSOES 80 X 80 X *12* CM (PADRAO CONCESSIONARIA LOCAL)</v>
          </cell>
          <cell r="D902" t="str">
            <v>UN</v>
          </cell>
          <cell r="E902" t="str">
            <v>CR</v>
          </cell>
          <cell r="F902">
            <v>355</v>
          </cell>
        </row>
        <row r="903">
          <cell r="B903">
            <v>39693</v>
          </cell>
          <cell r="C903" t="str">
            <v>CAIXA DE PROTECAO EXTERNA PARA MEDIDOR HOROSAZONAL, DE BAIXA TENSAO, COM MODULO, EM CHAPA DE ACO (PADRAO DA CONCESSIONARIA LOCAL)</v>
          </cell>
          <cell r="D903" t="str">
            <v>UN</v>
          </cell>
          <cell r="E903" t="str">
            <v>CR</v>
          </cell>
          <cell r="F903">
            <v>2229.58</v>
          </cell>
        </row>
        <row r="904">
          <cell r="B904">
            <v>39692</v>
          </cell>
          <cell r="C904" t="str">
            <v>CAIXA DE PROTECAO PARA TRANSFORMADOR CORRENTE, EM CHAPA DE ACO 18 USG (PADRAO DA CONCESSIONARIA LOCAL)</v>
          </cell>
          <cell r="D904" t="str">
            <v>UN</v>
          </cell>
          <cell r="E904" t="str">
            <v>CR</v>
          </cell>
          <cell r="F904">
            <v>713.41</v>
          </cell>
        </row>
        <row r="905">
          <cell r="B905">
            <v>1062</v>
          </cell>
          <cell r="C905" t="str">
            <v>CAIXA INTERNA/EXTERNA DE MEDICAO PARA 1 MEDIDOR TRIFASICO, COM VISOR, EM CHAPA DE ACO 18 USG (PADRAO DA CONCESSIONARIA LOCAL)</v>
          </cell>
          <cell r="D905" t="str">
            <v>UN</v>
          </cell>
          <cell r="E905" t="str">
            <v>CR</v>
          </cell>
          <cell r="F905">
            <v>226.09</v>
          </cell>
        </row>
        <row r="906">
          <cell r="B906">
            <v>39686</v>
          </cell>
          <cell r="C906" t="str">
            <v>CAIXA INTERNA/EXTERNA DE MEDICAO PARA 4 MEDIDORES MONOFASICOS, COM VISOR, EM CHAPA DE ACO 18 USG (PADRAO DA CONCESSIONARIA LOCAL)</v>
          </cell>
          <cell r="D906" t="str">
            <v>UN</v>
          </cell>
          <cell r="E906" t="str">
            <v>CR</v>
          </cell>
          <cell r="F906">
            <v>366.09</v>
          </cell>
        </row>
        <row r="907">
          <cell r="B907">
            <v>43095</v>
          </cell>
          <cell r="C907" t="str">
            <v>CAIXA MODULAR PARA MEDIDOR DE ENERGIA AGRUPADA, EM POLICARBONATO / TERMOPLASTICO, COM SUPORTE PARA DISJUNTOR (PADRAO DA CONCESSIONARIA LOCAL)</v>
          </cell>
          <cell r="D907" t="str">
            <v>UN</v>
          </cell>
          <cell r="E907" t="str">
            <v>CR</v>
          </cell>
          <cell r="F907">
            <v>143.30000000000001</v>
          </cell>
        </row>
        <row r="908">
          <cell r="B908">
            <v>1871</v>
          </cell>
          <cell r="C908" t="str">
            <v>CAIXA OCTOGONAL DE FUNDO MOVEL, EM PVC, DE 3" X 3", PARA ELETRODUTO FLEXIVEL CORRUGADO</v>
          </cell>
          <cell r="D908" t="str">
            <v>UN</v>
          </cell>
          <cell r="E908" t="str">
            <v>CR</v>
          </cell>
          <cell r="F908">
            <v>3.45</v>
          </cell>
        </row>
        <row r="909">
          <cell r="B909">
            <v>12001</v>
          </cell>
          <cell r="C909" t="str">
            <v>CAIXA OCTOGONAL DE FUNDO MOVEL, EM PVC, DE 4" X 4", PARA ELETRODUTO FLEXIVEL CORRUGADO</v>
          </cell>
          <cell r="D909" t="str">
            <v>UN</v>
          </cell>
          <cell r="E909" t="str">
            <v>CR</v>
          </cell>
          <cell r="F909">
            <v>4.99</v>
          </cell>
        </row>
        <row r="910">
          <cell r="B910">
            <v>11882</v>
          </cell>
          <cell r="C910" t="str">
            <v>CAIXA PARA HIDROMETRO CONCRETO PRE MOLDADO, *0,24 M X 0,45 M X 0,30* M (L X C X A)</v>
          </cell>
          <cell r="D910" t="str">
            <v>UN</v>
          </cell>
          <cell r="E910" t="str">
            <v>CR</v>
          </cell>
          <cell r="F910">
            <v>137.32</v>
          </cell>
        </row>
        <row r="911">
          <cell r="B911">
            <v>1068</v>
          </cell>
          <cell r="C911" t="str">
            <v>CAIXA PARA MEDICAO COLETIVA TIPO L, PADRAO BIFASICO OU TRIFASICO, PARA ATE 4 MEDIDORES, SEM BARRAMENTO E COM PORTAS INFERIOR E SUPERIOR</v>
          </cell>
          <cell r="D911" t="str">
            <v>UN</v>
          </cell>
          <cell r="E911" t="str">
            <v>CR</v>
          </cell>
          <cell r="F911">
            <v>1491.32</v>
          </cell>
        </row>
        <row r="912">
          <cell r="B912">
            <v>39690</v>
          </cell>
          <cell r="C912" t="str">
            <v>CAIXA PARA MEDICAO COLETIVA TIPO M, PADRAO BIFASICO OU TRIFASICO, PARA ATE 8 MEDIDORES, SEM BARRAMENTO E COM PORTAS INFERIOR E SUPERIOR</v>
          </cell>
          <cell r="D912" t="str">
            <v>UN</v>
          </cell>
          <cell r="E912" t="str">
            <v>CR</v>
          </cell>
          <cell r="F912">
            <v>2501.94</v>
          </cell>
        </row>
        <row r="913">
          <cell r="B913">
            <v>39691</v>
          </cell>
          <cell r="C913" t="str">
            <v>CAIXA PARA MEDICAO COLETIVA TIPO N, PADRAO BIFASICO OU TRIFASICO, PARA ATE 12 MEDIDORES, SEM BARRAMENTO E COM PORTAS INFERIOR E SUPERIOR</v>
          </cell>
          <cell r="D913" t="str">
            <v>UN</v>
          </cell>
          <cell r="E913" t="str">
            <v>CR</v>
          </cell>
          <cell r="F913">
            <v>3146.74</v>
          </cell>
        </row>
        <row r="914">
          <cell r="B914">
            <v>39808</v>
          </cell>
          <cell r="C914" t="str">
            <v>CAIXA PARA MEDIDOR MONOFASICO, EM POLICARBONATO / TERMOPLASTICO, PARA ALOJAR 1 DISJUNTOR (PADRAO DA CONCESSIONARIA LOCAL)</v>
          </cell>
          <cell r="D914" t="str">
            <v>UN</v>
          </cell>
          <cell r="E914" t="str">
            <v>CR</v>
          </cell>
          <cell r="F914">
            <v>74.81</v>
          </cell>
        </row>
        <row r="915">
          <cell r="B915">
            <v>39809</v>
          </cell>
          <cell r="C915" t="str">
            <v>CAIXA PARA MEDIDOR POLIFASICO, EM POLICARBONATO / TERMOPLASTICO, PARA ALOJAR 1 DISJUNTOR (PADRAO DA CONCESSIONARIA LOCAL)</v>
          </cell>
          <cell r="D915" t="str">
            <v>UN</v>
          </cell>
          <cell r="E915" t="str">
            <v>CR</v>
          </cell>
          <cell r="F915">
            <v>177.45</v>
          </cell>
        </row>
        <row r="916">
          <cell r="B916">
            <v>43439</v>
          </cell>
          <cell r="C916" t="str">
            <v>CAIXA PRE-MOLDADA PARA BOCA DE LOBO, EM CONCRETO ARMADO, COM FCK DE 25 MPA, COM DIMENSOES 1,10 X 0,65 X 1,00 M (COMPRIMENTO X LARGURA X ALTURA)</v>
          </cell>
          <cell r="D916" t="str">
            <v>UN</v>
          </cell>
          <cell r="E916" t="str">
            <v>CR</v>
          </cell>
          <cell r="F916">
            <v>630.35</v>
          </cell>
        </row>
        <row r="917">
          <cell r="B917">
            <v>5103</v>
          </cell>
          <cell r="C917" t="str">
            <v>CAIXA SIFONADA PVC, 100 X 100 X 50 MM, COM GRELHA REDONDA, BRANCA</v>
          </cell>
          <cell r="D917" t="str">
            <v>UN</v>
          </cell>
          <cell r="E917" t="str">
            <v>CR</v>
          </cell>
          <cell r="F917">
            <v>25.15</v>
          </cell>
        </row>
        <row r="918">
          <cell r="B918">
            <v>11880</v>
          </cell>
          <cell r="C918" t="str">
            <v>CAIXA SIFONADA PVC, 250 X 230 X 75 MM, COM TAMPA CEGA QUADRADA, BRANCA</v>
          </cell>
          <cell r="D918" t="str">
            <v>UN</v>
          </cell>
          <cell r="E918" t="str">
            <v>CR</v>
          </cell>
          <cell r="F918">
            <v>105.81</v>
          </cell>
        </row>
        <row r="919">
          <cell r="B919">
            <v>11714</v>
          </cell>
          <cell r="C919" t="str">
            <v>CAIXA SIFONADA, PVC, 150 X *185* X 75 MM, COM GRELHA QUADRADA, BRANCA</v>
          </cell>
          <cell r="D919" t="str">
            <v>UN</v>
          </cell>
          <cell r="E919" t="str">
            <v>CR</v>
          </cell>
          <cell r="F919">
            <v>72.08</v>
          </cell>
        </row>
        <row r="920">
          <cell r="B920">
            <v>11712</v>
          </cell>
          <cell r="C920" t="str">
            <v>CAIXA SIFONADA, PVC, 150 X 150 X 50 MM, COM GRELHA QUADRADA, BRANCA (NBR 5688)</v>
          </cell>
          <cell r="D920" t="str">
            <v>UN</v>
          </cell>
          <cell r="E920" t="str">
            <v>C</v>
          </cell>
          <cell r="F920">
            <v>47.07</v>
          </cell>
        </row>
        <row r="921">
          <cell r="B921">
            <v>11717</v>
          </cell>
          <cell r="C921" t="str">
            <v>CAIXA SIFONADA, PVC, 150 X 150 X 50 MM, COM GRELHA REDONDA, BRANCA</v>
          </cell>
          <cell r="D921" t="str">
            <v>UN</v>
          </cell>
          <cell r="E921" t="str">
            <v>CR</v>
          </cell>
          <cell r="F921">
            <v>56.74</v>
          </cell>
        </row>
        <row r="922">
          <cell r="B922">
            <v>1106</v>
          </cell>
          <cell r="C922" t="str">
            <v>CAL HIDRATADA CH-I PARA ARGAMASSAS</v>
          </cell>
          <cell r="D922" t="str">
            <v>KG</v>
          </cell>
          <cell r="E922" t="str">
            <v>C</v>
          </cell>
          <cell r="F922">
            <v>1.1399999999999999</v>
          </cell>
        </row>
        <row r="923">
          <cell r="B923">
            <v>11161</v>
          </cell>
          <cell r="C923" t="str">
            <v>CAL HIDRATADA PARA PINTURA</v>
          </cell>
          <cell r="D923" t="str">
            <v>KG</v>
          </cell>
          <cell r="E923" t="str">
            <v>CR</v>
          </cell>
          <cell r="F923">
            <v>1.9</v>
          </cell>
        </row>
        <row r="924">
          <cell r="B924">
            <v>1107</v>
          </cell>
          <cell r="C924" t="str">
            <v>CAL VIRGEM COMUM PARA ARGAMASSAS (NBR 6453)</v>
          </cell>
          <cell r="D924" t="str">
            <v>KG</v>
          </cell>
          <cell r="E924" t="str">
            <v>CR</v>
          </cell>
          <cell r="F924">
            <v>0.97</v>
          </cell>
        </row>
        <row r="925">
          <cell r="B925">
            <v>44479</v>
          </cell>
          <cell r="C925" t="str">
            <v>CALCARIO DOLOMITICO A (POSTO PEDREIRA/FORNECEDOR, SEM FRETE)</v>
          </cell>
          <cell r="D925" t="str">
            <v>KG</v>
          </cell>
          <cell r="E925" t="str">
            <v>CR</v>
          </cell>
          <cell r="F925">
            <v>0.12</v>
          </cell>
        </row>
        <row r="926">
          <cell r="B926">
            <v>4759</v>
          </cell>
          <cell r="C926" t="str">
            <v>CALCETEIRO / RASTELEIRO (HORISTA)</v>
          </cell>
          <cell r="D926" t="str">
            <v>H</v>
          </cell>
          <cell r="E926" t="str">
            <v>CR</v>
          </cell>
          <cell r="F926">
            <v>26.01</v>
          </cell>
        </row>
        <row r="927">
          <cell r="B927">
            <v>41068</v>
          </cell>
          <cell r="C927" t="str">
            <v>CALCETEIRO / RASTELEIRO (MENSALISTA)</v>
          </cell>
          <cell r="D927" t="str">
            <v>MES</v>
          </cell>
          <cell r="E927" t="str">
            <v>CR</v>
          </cell>
          <cell r="F927">
            <v>4560.54</v>
          </cell>
        </row>
        <row r="928">
          <cell r="B928">
            <v>12618</v>
          </cell>
          <cell r="C928" t="str">
            <v>CALHA / PERFIL PLUVIAL DE PVC, DIAMETRO ENTRE *119 E 170* MM, COMPRIMENTO DE 3 M, PARA DRENAGEM PLUVIAL PREDIAL</v>
          </cell>
          <cell r="D928" t="str">
            <v>UN</v>
          </cell>
          <cell r="E928" t="str">
            <v>CR</v>
          </cell>
          <cell r="F928">
            <v>200.54</v>
          </cell>
        </row>
        <row r="929">
          <cell r="B929">
            <v>1108</v>
          </cell>
          <cell r="C929" t="str">
            <v>CALHA MOLDURA AMERICANA DE CHAPA DE ACO GALVANIZADA NUM 26, CORTE 33 CM</v>
          </cell>
          <cell r="D929" t="str">
            <v>M</v>
          </cell>
          <cell r="E929" t="str">
            <v>CR</v>
          </cell>
          <cell r="F929">
            <v>24.32</v>
          </cell>
        </row>
        <row r="930">
          <cell r="B930">
            <v>1117</v>
          </cell>
          <cell r="C930" t="str">
            <v>CALHA PARA AGUA FURTADA DE CHAPA DE ACO GALVANIZADA NUM 26, CORTE 40 CM</v>
          </cell>
          <cell r="D930" t="str">
            <v>M</v>
          </cell>
          <cell r="E930" t="str">
            <v>CR</v>
          </cell>
          <cell r="F930">
            <v>24.51</v>
          </cell>
        </row>
        <row r="931">
          <cell r="B931">
            <v>1118</v>
          </cell>
          <cell r="C931" t="str">
            <v>CALHA PARA AGUA FURTADA DE CHAPA DE ACO GALVANIZADA NUM 26, CORTE 50 CM</v>
          </cell>
          <cell r="D931" t="str">
            <v>M</v>
          </cell>
          <cell r="E931" t="str">
            <v>CR</v>
          </cell>
          <cell r="F931">
            <v>28.97</v>
          </cell>
        </row>
        <row r="932">
          <cell r="B932">
            <v>1110</v>
          </cell>
          <cell r="C932" t="str">
            <v>CALHA PLATIBANDA DE CHAPA DE ACO GALVANIZADA NUM 26, CORTE 45 CM</v>
          </cell>
          <cell r="D932" t="str">
            <v>M</v>
          </cell>
          <cell r="E932" t="str">
            <v>CR</v>
          </cell>
          <cell r="F932">
            <v>28.97</v>
          </cell>
        </row>
        <row r="933">
          <cell r="B933">
            <v>40784</v>
          </cell>
          <cell r="C933" t="str">
            <v>CALHA QUADRADA DE CHAPA DE ACO GALVANIZADA NUM 24, CORTE 100 CM</v>
          </cell>
          <cell r="D933" t="str">
            <v>M</v>
          </cell>
          <cell r="E933" t="str">
            <v>CR</v>
          </cell>
          <cell r="F933">
            <v>79.900000000000006</v>
          </cell>
        </row>
        <row r="934">
          <cell r="B934">
            <v>40782</v>
          </cell>
          <cell r="C934" t="str">
            <v>CALHA QUADRADA DE CHAPA DE ACO GALVANIZADA NUM 24, CORTE 33 CM</v>
          </cell>
          <cell r="D934" t="str">
            <v>M</v>
          </cell>
          <cell r="E934" t="str">
            <v>CR</v>
          </cell>
          <cell r="F934">
            <v>31.35</v>
          </cell>
        </row>
        <row r="935">
          <cell r="B935">
            <v>40783</v>
          </cell>
          <cell r="C935" t="str">
            <v>CALHA QUADRADA DE CHAPA DE ACO GALVANIZADA NUM 24, CORTE 50 CM</v>
          </cell>
          <cell r="D935" t="str">
            <v>M</v>
          </cell>
          <cell r="E935" t="str">
            <v>CR</v>
          </cell>
          <cell r="F935">
            <v>40.840000000000003</v>
          </cell>
        </row>
        <row r="936">
          <cell r="B936">
            <v>1109</v>
          </cell>
          <cell r="C936" t="str">
            <v>CALHA QUADRADA DE CHAPA DE ACO GALVANIZADA NUM 26, CORTE 33 CM</v>
          </cell>
          <cell r="D936" t="str">
            <v>M</v>
          </cell>
          <cell r="E936" t="str">
            <v>CR</v>
          </cell>
          <cell r="F936">
            <v>24.32</v>
          </cell>
        </row>
        <row r="937">
          <cell r="B937">
            <v>1119</v>
          </cell>
          <cell r="C937" t="str">
            <v>CALHA QUADRADA DE CHAPA DE ACO GALVANIZADA NUM 28, CORTE 25 CM</v>
          </cell>
          <cell r="D937" t="str">
            <v>M</v>
          </cell>
          <cell r="E937" t="str">
            <v>CR</v>
          </cell>
          <cell r="F937">
            <v>15.67</v>
          </cell>
        </row>
        <row r="938">
          <cell r="B938">
            <v>13115</v>
          </cell>
          <cell r="C938" t="str">
            <v>CALHA/CANALETA DE CONCRETO SIMPLES, TIPO MEIA CANA, DIAMETRO DE 20 CM, PARA AGUA PLUVIAL</v>
          </cell>
          <cell r="D938" t="str">
            <v>M</v>
          </cell>
          <cell r="E938" t="str">
            <v>CR</v>
          </cell>
          <cell r="F938">
            <v>29.73</v>
          </cell>
        </row>
        <row r="939">
          <cell r="B939">
            <v>10541</v>
          </cell>
          <cell r="C939" t="str">
            <v>CALHA/CANALETA DE CONCRETO SIMPLES, TIPO MEIA CANA, DIAMETRO DE 30 CM, PARA AGUA PLUVIAL</v>
          </cell>
          <cell r="D939" t="str">
            <v>M</v>
          </cell>
          <cell r="E939" t="str">
            <v>CR</v>
          </cell>
          <cell r="F939">
            <v>36.33</v>
          </cell>
        </row>
        <row r="940">
          <cell r="B940">
            <v>10542</v>
          </cell>
          <cell r="C940" t="str">
            <v>CALHA/CANALETA DE CONCRETO SIMPLES, TIPO MEIA CANA, DIAMETRO DE 40 CM, PARA AGUA PLUVIAL</v>
          </cell>
          <cell r="D940" t="str">
            <v>M</v>
          </cell>
          <cell r="E940" t="str">
            <v>CR</v>
          </cell>
          <cell r="F940">
            <v>47.51</v>
          </cell>
        </row>
        <row r="941">
          <cell r="B941">
            <v>10543</v>
          </cell>
          <cell r="C941" t="str">
            <v>CALHA/CANALETA DE CONCRETO SIMPLES, TIPO MEIA CANA, DIAMETRO DE 50 CM, PARA AGUA PLUVIAL</v>
          </cell>
          <cell r="D941" t="str">
            <v>M</v>
          </cell>
          <cell r="E941" t="str">
            <v>CR</v>
          </cell>
          <cell r="F941">
            <v>77.08</v>
          </cell>
        </row>
        <row r="942">
          <cell r="B942">
            <v>10544</v>
          </cell>
          <cell r="C942" t="str">
            <v>CALHA/CANALETA DE CONCRETO SIMPLES, TIPO MEIA CANA, DIAMETRO DE 60 CM, PARA AGUA PLUVIAL</v>
          </cell>
          <cell r="D942" t="str">
            <v>M</v>
          </cell>
          <cell r="E942" t="str">
            <v>CR</v>
          </cell>
          <cell r="F942">
            <v>99.7</v>
          </cell>
        </row>
        <row r="943">
          <cell r="B943">
            <v>10545</v>
          </cell>
          <cell r="C943" t="str">
            <v>CALHA/CANALETA DE CONCRETO SIMPLES, TIPO MEIA CANA, DIAMETRO DE 80 CM, PARA AGUA PLUVIAL</v>
          </cell>
          <cell r="D943" t="str">
            <v>M</v>
          </cell>
          <cell r="E943" t="str">
            <v>CR</v>
          </cell>
          <cell r="F943">
            <v>186.32</v>
          </cell>
        </row>
        <row r="944">
          <cell r="B944">
            <v>38365</v>
          </cell>
          <cell r="C944" t="str">
            <v>CAMADA SEPARADORA DE FILME DE POLIETILENO 20 A 25 MICRA</v>
          </cell>
          <cell r="D944" t="str">
            <v>M2</v>
          </cell>
          <cell r="E944" t="str">
            <v>CR</v>
          </cell>
          <cell r="F944">
            <v>2.1800000000000002</v>
          </cell>
        </row>
        <row r="945">
          <cell r="B945">
            <v>44056</v>
          </cell>
          <cell r="C945" t="str">
            <v>CAMINHAO TOCO, PESO BRUTO TOTAL 10700 KG, CARGA UTIL MAXIMA 7400 KG, DISTANCIA ENTRE EIXOS 4,00 M, POTENCIA 175 CV (INCLUI CABINE E CHASSI, NAO INCLUI CARROCERIA)</v>
          </cell>
          <cell r="D945" t="str">
            <v>UN</v>
          </cell>
          <cell r="E945" t="str">
            <v>CR</v>
          </cell>
          <cell r="F945">
            <v>488284.66</v>
          </cell>
        </row>
        <row r="946">
          <cell r="B946">
            <v>44057</v>
          </cell>
          <cell r="C946" t="str">
            <v>CAMINHAO TOCO, PESO BRUTO TOTAL 13200 KG, CARGA UTIL MAXIMA 9200 KG, DISTANCIA ENTRE EIXOS 3,31 M, POTENCIA 175 CV (INCLUI CABINE E CHASSI, NAO INCLUI CARROCERIA)</v>
          </cell>
          <cell r="D946" t="str">
            <v>UN</v>
          </cell>
          <cell r="E946" t="str">
            <v>C</v>
          </cell>
          <cell r="F946">
            <v>521150</v>
          </cell>
        </row>
        <row r="947">
          <cell r="B947">
            <v>37754</v>
          </cell>
          <cell r="C947" t="str">
            <v>CAMINHAO TOCO, PESO BRUTO TOTAL 14300 KG, CARGA UTIL MAXIMA 9480 KG, DISTANCIA ENTRE EIXOS 4,80 M, POTENCIA 185 CV (INCLUI CABINE E CHASSI, NAO INCLUI CARROCERIA)</v>
          </cell>
          <cell r="D947" t="str">
            <v>UN</v>
          </cell>
          <cell r="E947" t="str">
            <v>CR</v>
          </cell>
          <cell r="F947">
            <v>538803.38</v>
          </cell>
        </row>
        <row r="948">
          <cell r="B948">
            <v>44058</v>
          </cell>
          <cell r="C948" t="str">
            <v>CAMINHAO TOCO, PESO BRUTO TOTAL 16000 KG, CARGA UTIL MAXIMA 10830 KG, DISTANCIA ENTRE EIXOS 3,56 M, POTENCIA 226 CV (INCLUI CABINE E CHASSI, NAO INCLUI CARROCERIA)</v>
          </cell>
          <cell r="D948" t="str">
            <v>UN</v>
          </cell>
          <cell r="E948" t="str">
            <v>CR</v>
          </cell>
          <cell r="F948">
            <v>568100.44999999995</v>
          </cell>
        </row>
        <row r="949">
          <cell r="B949">
            <v>37752</v>
          </cell>
          <cell r="C949" t="str">
            <v>CAMINHAO TOCO, PESO BRUTO TOTAL 16000 KG, CARGA UTIL MAXIMA 11030 KG, DISTANCIA ENTRE EIXOS 5,41 M, POTENCIA 185 CV (INCLUI CABINE E CHASSI, NAO INCLUI CARROCERIA)</v>
          </cell>
          <cell r="D949" t="str">
            <v>UN</v>
          </cell>
          <cell r="E949" t="str">
            <v>CR</v>
          </cell>
          <cell r="F949">
            <v>591575.65</v>
          </cell>
        </row>
        <row r="950">
          <cell r="B950">
            <v>37758</v>
          </cell>
          <cell r="C950" t="str">
            <v>CAMINHAO TRUCADO, PESO BRUTO TOTAL 23000 KG, CARGA UTIL MAXIMA 15285 KG, DISTANCIA ENTRE EIXOS 4,80 M, POTENCIA 326 CV (INCLUI CABINE E CHASSI, NAO INCLUI CARROCERIA)</v>
          </cell>
          <cell r="D950" t="str">
            <v>UN</v>
          </cell>
          <cell r="E950" t="str">
            <v>CR</v>
          </cell>
          <cell r="F950">
            <v>745573.13</v>
          </cell>
        </row>
        <row r="951">
          <cell r="B951">
            <v>44060</v>
          </cell>
          <cell r="C951" t="str">
            <v>CAMINHAO TRUCADO, PESO BRUTO TOTAL 23000 KG, CARGA UTIL MAXIMA 15460 KG, DISTANCIA ENTRE EIXOS 4,80 M, POTENCIA 286 CV (INCLUI CABINE E CHASSI, NAO INCLUI CARROCERIA)</v>
          </cell>
          <cell r="D951" t="str">
            <v>UN</v>
          </cell>
          <cell r="E951" t="str">
            <v>CR</v>
          </cell>
          <cell r="F951">
            <v>721158.92</v>
          </cell>
        </row>
        <row r="952">
          <cell r="B952">
            <v>44061</v>
          </cell>
          <cell r="C952" t="str">
            <v>CAMINHAO TRUCADO, PESO BRUTO TOTAL 23000 KG, CARGA UTIL MAXIMA 16540 KG, DISTANCIA ENTRE EIXOS 4,80 M, POTENCIA 256 CV (INCLUI CABINE E CHASSI, NAO INCLUI CARROCERIA)</v>
          </cell>
          <cell r="D952" t="str">
            <v>UN</v>
          </cell>
          <cell r="E952" t="str">
            <v>CR</v>
          </cell>
          <cell r="F952">
            <v>707073.8</v>
          </cell>
        </row>
        <row r="953">
          <cell r="B953">
            <v>1159</v>
          </cell>
          <cell r="C953" t="str">
            <v>CAMINHONETE COM MOTOR A DIESEL, POTENCIA *160* CV, CABINE DUPLA, 4X4</v>
          </cell>
          <cell r="D953" t="str">
            <v>UN</v>
          </cell>
          <cell r="E953" t="str">
            <v>C</v>
          </cell>
          <cell r="F953">
            <v>290543.33</v>
          </cell>
        </row>
        <row r="954">
          <cell r="B954">
            <v>12114</v>
          </cell>
          <cell r="C954" t="str">
            <v>CAMPAINHA ALTA POTENCIA 110V / 220V, DIAMETRO 150 MM</v>
          </cell>
          <cell r="D954" t="str">
            <v>UN</v>
          </cell>
          <cell r="E954" t="str">
            <v>CR</v>
          </cell>
          <cell r="F954">
            <v>147.31</v>
          </cell>
        </row>
        <row r="955">
          <cell r="B955">
            <v>38106</v>
          </cell>
          <cell r="C955" t="str">
            <v>CAMPAINHA CIGARRA 127 V / 220 V (APENAS MODULO)</v>
          </cell>
          <cell r="D955" t="str">
            <v>UN</v>
          </cell>
          <cell r="E955" t="str">
            <v>CR</v>
          </cell>
          <cell r="F955">
            <v>20.02</v>
          </cell>
        </row>
        <row r="956">
          <cell r="B956">
            <v>38085</v>
          </cell>
          <cell r="C956" t="str">
            <v>CAMPAINHA CIGARRA 127 V / 220 V, CONJUNTO MONTADO PARA EMBUTIR 4" X 2" (PLACA + SUPORTE + MODULO)</v>
          </cell>
          <cell r="D956" t="str">
            <v>UN</v>
          </cell>
          <cell r="E956" t="str">
            <v>CR</v>
          </cell>
          <cell r="F956">
            <v>23.65</v>
          </cell>
        </row>
        <row r="957">
          <cell r="B957">
            <v>659</v>
          </cell>
          <cell r="C957" t="str">
            <v>CANALETA DE CONCRETO 14 X 19 X 19 CM (CLASSE C - NBR 6136)</v>
          </cell>
          <cell r="D957" t="str">
            <v>UN</v>
          </cell>
          <cell r="E957" t="str">
            <v>CR</v>
          </cell>
          <cell r="F957">
            <v>2.78</v>
          </cell>
        </row>
        <row r="958">
          <cell r="B958">
            <v>660</v>
          </cell>
          <cell r="C958" t="str">
            <v>CANALETA DE CONCRETO 19 X 19 X 19 CM (CLASSE C - NBR 6136)</v>
          </cell>
          <cell r="D958" t="str">
            <v>UN</v>
          </cell>
          <cell r="E958" t="str">
            <v>CR</v>
          </cell>
          <cell r="F958">
            <v>3.33</v>
          </cell>
        </row>
        <row r="959">
          <cell r="B959">
            <v>658</v>
          </cell>
          <cell r="C959" t="str">
            <v>CANALETA DE CONCRETO 9 X 19 X 19 CM (CLASSE C - NBR 6136)</v>
          </cell>
          <cell r="D959" t="str">
            <v>UN</v>
          </cell>
          <cell r="E959" t="str">
            <v>CR</v>
          </cell>
          <cell r="F959">
            <v>1.88</v>
          </cell>
        </row>
        <row r="960">
          <cell r="B960">
            <v>38599</v>
          </cell>
          <cell r="C960" t="str">
            <v>CANALETA DE CONCRETO ESTRUTURAL 14 X 19 X 29 CM, FBK 14 MPA (NBR 6136)</v>
          </cell>
          <cell r="D960" t="str">
            <v>UN</v>
          </cell>
          <cell r="E960" t="str">
            <v>CR</v>
          </cell>
          <cell r="F960">
            <v>5.79</v>
          </cell>
        </row>
        <row r="961">
          <cell r="B961">
            <v>38596</v>
          </cell>
          <cell r="C961" t="str">
            <v>CANALETA DE CONCRETO ESTRUTURAL 14 X 19 X 29 CM, FBK 4,5 MPA (NBR 6136)</v>
          </cell>
          <cell r="D961" t="str">
            <v>UN</v>
          </cell>
          <cell r="E961" t="str">
            <v>CR</v>
          </cell>
          <cell r="F961">
            <v>4.8099999999999996</v>
          </cell>
        </row>
        <row r="962">
          <cell r="B962">
            <v>38600</v>
          </cell>
          <cell r="C962" t="str">
            <v>CANALETA DE CONCRETO ESTRUTURAL 14 X 19 X 39 CM, FBK 14 MPA (NBR 6136)</v>
          </cell>
          <cell r="D962" t="str">
            <v>UN</v>
          </cell>
          <cell r="E962" t="str">
            <v>CR</v>
          </cell>
          <cell r="F962">
            <v>6.14</v>
          </cell>
        </row>
        <row r="963">
          <cell r="B963">
            <v>38597</v>
          </cell>
          <cell r="C963" t="str">
            <v>CANALETA DE CONCRETO ESTRUTURAL 14 X 19 X 39 CM, FBK 4,5 MPA (NBR 6136)</v>
          </cell>
          <cell r="D963" t="str">
            <v>UN</v>
          </cell>
          <cell r="E963" t="str">
            <v>CR</v>
          </cell>
          <cell r="F963">
            <v>4.84</v>
          </cell>
        </row>
        <row r="964">
          <cell r="B964">
            <v>38548</v>
          </cell>
          <cell r="C964" t="str">
            <v>CANALETA ESTRUTURAL CERAMICA DE 14 X 19 X 19 CM (L X A X C) E 6,0 MPA</v>
          </cell>
          <cell r="D964" t="str">
            <v>UN</v>
          </cell>
          <cell r="E964" t="str">
            <v>CR</v>
          </cell>
          <cell r="F964">
            <v>1.84</v>
          </cell>
        </row>
        <row r="965">
          <cell r="B965">
            <v>34649</v>
          </cell>
          <cell r="C965" t="str">
            <v>CANALETA ESTRUTURAL CERAMICA DE 14 X 19 X 29 CM (L X A X C) E 6,0 MPA</v>
          </cell>
          <cell r="D965" t="str">
            <v>UN</v>
          </cell>
          <cell r="E965" t="str">
            <v>CR</v>
          </cell>
          <cell r="F965">
            <v>2.69</v>
          </cell>
        </row>
        <row r="966">
          <cell r="B966">
            <v>34655</v>
          </cell>
          <cell r="C966" t="str">
            <v>CANALETA ESTRUTURAL CERAMICA DE 14 X 19 X 39 CM (L X A X C) E 6,0 MPA</v>
          </cell>
          <cell r="D966" t="str">
            <v>UN</v>
          </cell>
          <cell r="E966" t="str">
            <v>CR</v>
          </cell>
          <cell r="F966">
            <v>3.96</v>
          </cell>
        </row>
        <row r="967">
          <cell r="B967">
            <v>40607</v>
          </cell>
          <cell r="C967" t="str">
            <v>CANOPLA ACABAMENTO CROMADO PARA INSTALACAO DE SPRINKLER, SOB FORRO, 15 MM</v>
          </cell>
          <cell r="D967" t="str">
            <v>UN</v>
          </cell>
          <cell r="E967" t="str">
            <v>CR</v>
          </cell>
          <cell r="F967">
            <v>5.99</v>
          </cell>
        </row>
        <row r="968">
          <cell r="B968">
            <v>567</v>
          </cell>
          <cell r="C968" t="str">
            <v>CANTONEIRA (ABAS IGUAIS) EM ACO CARBONO, 25,4 MM X 3,17 MM (L X E), 1,27KG/M</v>
          </cell>
          <cell r="D968" t="str">
            <v>M</v>
          </cell>
          <cell r="E968" t="str">
            <v>CR</v>
          </cell>
          <cell r="F968">
            <v>11.72</v>
          </cell>
        </row>
        <row r="969">
          <cell r="B969">
            <v>574</v>
          </cell>
          <cell r="C969" t="str">
            <v>CANTONEIRA (ABAS IGUAIS) EM ACO CARBONO, 38,1 MM X 3,17 MM (L X E), 3,48 KG/M</v>
          </cell>
          <cell r="D969" t="str">
            <v>M</v>
          </cell>
          <cell r="E969" t="str">
            <v>CR</v>
          </cell>
          <cell r="F969">
            <v>30.8</v>
          </cell>
        </row>
        <row r="970">
          <cell r="B970">
            <v>568</v>
          </cell>
          <cell r="C970" t="str">
            <v>CANTONEIRA (ABAS IGUAIS) EM ACO CARBONO, 50,8 MM X 9,53 MM (L X E), 6,99 KG/M</v>
          </cell>
          <cell r="D970" t="str">
            <v>M</v>
          </cell>
          <cell r="E970" t="str">
            <v>CR</v>
          </cell>
          <cell r="F970">
            <v>64.91</v>
          </cell>
        </row>
        <row r="971">
          <cell r="B971">
            <v>4777</v>
          </cell>
          <cell r="C971" t="str">
            <v>CANTONEIRA ACO ABAS IGUAIS (QUALQUER BITOLA), ESPESSURA ENTRE 1/8" E 1/4"</v>
          </cell>
          <cell r="D971" t="str">
            <v>KG</v>
          </cell>
          <cell r="E971" t="str">
            <v>CR</v>
          </cell>
          <cell r="F971">
            <v>8.02</v>
          </cell>
        </row>
        <row r="972">
          <cell r="B972">
            <v>592</v>
          </cell>
          <cell r="C972" t="str">
            <v>CANTONEIRA EM ALUMINIO, ABAS IGUAIS, LARGURA DE 25,40 MM (1"), ESPESSURA DE 3,17 MM (1/8") E PESO LINEAR DE APROXIMADAMENTE 0,408 KG/M</v>
          </cell>
          <cell r="D972" t="str">
            <v>KG</v>
          </cell>
          <cell r="E972" t="str">
            <v>C</v>
          </cell>
          <cell r="F972">
            <v>37</v>
          </cell>
        </row>
        <row r="973">
          <cell r="B973">
            <v>586</v>
          </cell>
          <cell r="C973" t="str">
            <v>CANTONEIRA EM ALUMINIO, ABAS IGUAIS, LARGURA DE 25,40 MM (1"), ESPESSURA DE 4,76 MM (3/16") E PESO LINEAR DE APROXIMADAMENTE 0,593 KG/M</v>
          </cell>
          <cell r="D973" t="str">
            <v>M</v>
          </cell>
          <cell r="E973" t="str">
            <v>CR</v>
          </cell>
          <cell r="F973">
            <v>21.75</v>
          </cell>
        </row>
        <row r="974">
          <cell r="B974">
            <v>588</v>
          </cell>
          <cell r="C974" t="str">
            <v>CANTONEIRA EM ALUMINIO, ABAS IGUAIS, LARGURA DE 31,75 MM (1 1/4"), ESPESSURA DE 4,76 MM (3/16") E PESO LINEAR DE APROXIMADAMENTE 0,755 KG/M</v>
          </cell>
          <cell r="D974" t="str">
            <v>M</v>
          </cell>
          <cell r="E974" t="str">
            <v>CR</v>
          </cell>
          <cell r="F974">
            <v>34.409999999999997</v>
          </cell>
        </row>
        <row r="975">
          <cell r="B975">
            <v>591</v>
          </cell>
          <cell r="C975" t="str">
            <v>CANTONEIRA EM ALUMINIO, ABAS IGUAIS, LARGURA DE 38,10 MM (1 1/2"), ESPESSURA DE 4,76 MM (3/16") E PESO LINEAR DE APROXIMADAMENTE 0,915 KG/M</v>
          </cell>
          <cell r="D975" t="str">
            <v>KG</v>
          </cell>
          <cell r="E975" t="str">
            <v>CR</v>
          </cell>
          <cell r="F975">
            <v>34.53</v>
          </cell>
        </row>
        <row r="976">
          <cell r="B976">
            <v>584</v>
          </cell>
          <cell r="C976" t="str">
            <v>CANTONEIRA EM ALUMINIO, ABAS IGUAIS, LARGURA DE 50,80 MM (2"), ESPESSURA DE 3,17 MM (1/8") E PESO LINEAR DE APROXIMADAMENTE 0,842 KG/M</v>
          </cell>
          <cell r="D976" t="str">
            <v>M</v>
          </cell>
          <cell r="E976" t="str">
            <v>CR</v>
          </cell>
          <cell r="F976">
            <v>36.75</v>
          </cell>
        </row>
        <row r="977">
          <cell r="B977">
            <v>589</v>
          </cell>
          <cell r="C977" t="str">
            <v>CANTONEIRA EM ALUMINIO, ABAS IGUAIS, LARGURA DE 50,80 MM (2"), ESPESSURA DE 6,35 MM (1/4") E PESO LINEAR DE APROXIMADAMENTE 1,630 KG/M</v>
          </cell>
          <cell r="D977" t="str">
            <v>M</v>
          </cell>
          <cell r="E977" t="str">
            <v>CR</v>
          </cell>
          <cell r="F977">
            <v>58.16</v>
          </cell>
        </row>
        <row r="978">
          <cell r="B978">
            <v>1165</v>
          </cell>
          <cell r="C978" t="str">
            <v>CAP OU TAMPAO DE FERRO GALVANIZADO, COM ROSCA BSP, DE 1 1/2"</v>
          </cell>
          <cell r="D978" t="str">
            <v>UN</v>
          </cell>
          <cell r="E978" t="str">
            <v>CR</v>
          </cell>
          <cell r="F978">
            <v>20</v>
          </cell>
        </row>
        <row r="979">
          <cell r="B979">
            <v>1164</v>
          </cell>
          <cell r="C979" t="str">
            <v>CAP OU TAMPAO DE FERRO GALVANIZADO, COM ROSCA BSP, DE 1 1/4"</v>
          </cell>
          <cell r="D979" t="str">
            <v>UN</v>
          </cell>
          <cell r="E979" t="str">
            <v>CR</v>
          </cell>
          <cell r="F979">
            <v>16.2</v>
          </cell>
        </row>
        <row r="980">
          <cell r="B980">
            <v>1170</v>
          </cell>
          <cell r="C980" t="str">
            <v>CAP OU TAMPAO DE FERRO GALVANIZADO, COM ROSCA BSP, DE 1"</v>
          </cell>
          <cell r="D980" t="str">
            <v>UN</v>
          </cell>
          <cell r="E980" t="str">
            <v>CR</v>
          </cell>
          <cell r="F980">
            <v>10.61</v>
          </cell>
        </row>
        <row r="981">
          <cell r="B981">
            <v>1162</v>
          </cell>
          <cell r="C981" t="str">
            <v>CAP OU TAMPAO DE FERRO GALVANIZADO, COM ROSCA BSP, DE 1/2"</v>
          </cell>
          <cell r="D981" t="str">
            <v>UN</v>
          </cell>
          <cell r="E981" t="str">
            <v>CR</v>
          </cell>
          <cell r="F981">
            <v>5.63</v>
          </cell>
        </row>
        <row r="982">
          <cell r="B982">
            <v>12395</v>
          </cell>
          <cell r="C982" t="str">
            <v>CAP OU TAMPAO DE FERRO GALVANIZADO, COM ROSCA BSP, DE 1/4"</v>
          </cell>
          <cell r="D982" t="str">
            <v>UN</v>
          </cell>
          <cell r="E982" t="str">
            <v>CR</v>
          </cell>
          <cell r="F982">
            <v>5.47</v>
          </cell>
        </row>
        <row r="983">
          <cell r="B983">
            <v>1169</v>
          </cell>
          <cell r="C983" t="str">
            <v>CAP OU TAMPAO DE FERRO GALVANIZADO, COM ROSCA BSP, DE 2 1/2"</v>
          </cell>
          <cell r="D983" t="str">
            <v>UN</v>
          </cell>
          <cell r="E983" t="str">
            <v>CR</v>
          </cell>
          <cell r="F983">
            <v>52.1</v>
          </cell>
        </row>
        <row r="984">
          <cell r="B984">
            <v>1166</v>
          </cell>
          <cell r="C984" t="str">
            <v>CAP OU TAMPAO DE FERRO GALVANIZADO, COM ROSCA BSP, DE 2"</v>
          </cell>
          <cell r="D984" t="str">
            <v>UN</v>
          </cell>
          <cell r="E984" t="str">
            <v>CR</v>
          </cell>
          <cell r="F984">
            <v>28.89</v>
          </cell>
        </row>
        <row r="985">
          <cell r="B985">
            <v>1168</v>
          </cell>
          <cell r="C985" t="str">
            <v>CAP OU TAMPAO DE FERRO GALVANIZADO, COM ROSCA BSP, DE 3"</v>
          </cell>
          <cell r="D985" t="str">
            <v>UN</v>
          </cell>
          <cell r="E985" t="str">
            <v>CR</v>
          </cell>
          <cell r="F985">
            <v>74.28</v>
          </cell>
        </row>
        <row r="986">
          <cell r="B986">
            <v>1163</v>
          </cell>
          <cell r="C986" t="str">
            <v>CAP OU TAMPAO DE FERRO GALVANIZADO, COM ROSCA BSP, DE 3/4"</v>
          </cell>
          <cell r="D986" t="str">
            <v>UN</v>
          </cell>
          <cell r="E986" t="str">
            <v>CR</v>
          </cell>
          <cell r="F986">
            <v>7.28</v>
          </cell>
        </row>
        <row r="987">
          <cell r="B987">
            <v>12396</v>
          </cell>
          <cell r="C987" t="str">
            <v>CAP OU TAMPAO DE FERRO GALVANIZADO, COM ROSCA BSP, DE 3/8"</v>
          </cell>
          <cell r="D987" t="str">
            <v>UN</v>
          </cell>
          <cell r="E987" t="str">
            <v>CR</v>
          </cell>
          <cell r="F987">
            <v>5.47</v>
          </cell>
        </row>
        <row r="988">
          <cell r="B988">
            <v>1167</v>
          </cell>
          <cell r="C988" t="str">
            <v>CAP OU TAMPAO DE FERRO GALVANIZADO, COM ROSCA BSP, DE 4"</v>
          </cell>
          <cell r="D988" t="str">
            <v>UN</v>
          </cell>
          <cell r="E988" t="str">
            <v>CR</v>
          </cell>
          <cell r="F988">
            <v>124.24</v>
          </cell>
        </row>
        <row r="989">
          <cell r="B989">
            <v>36331</v>
          </cell>
          <cell r="C989" t="str">
            <v>CAP PPR DN 20 MM, PARA AGUA QUENTE PREDIAL</v>
          </cell>
          <cell r="D989" t="str">
            <v>UN</v>
          </cell>
          <cell r="E989" t="str">
            <v>CR</v>
          </cell>
          <cell r="F989">
            <v>2.7</v>
          </cell>
        </row>
        <row r="990">
          <cell r="B990">
            <v>36346</v>
          </cell>
          <cell r="C990" t="str">
            <v>CAP PPR DN 25 MM, PARA AGUA QUENTE PREDIAL</v>
          </cell>
          <cell r="D990" t="str">
            <v>UN</v>
          </cell>
          <cell r="E990" t="str">
            <v>CR</v>
          </cell>
          <cell r="F990">
            <v>4.05</v>
          </cell>
        </row>
        <row r="991">
          <cell r="B991">
            <v>1202</v>
          </cell>
          <cell r="C991" t="str">
            <v>CAP PVC, ROSCAVEL, 1", PARA AGUA FRIA PREDIAL</v>
          </cell>
          <cell r="D991" t="str">
            <v>UN</v>
          </cell>
          <cell r="E991" t="str">
            <v>CR</v>
          </cell>
          <cell r="F991">
            <v>5.85</v>
          </cell>
        </row>
        <row r="992">
          <cell r="B992">
            <v>1197</v>
          </cell>
          <cell r="C992" t="str">
            <v>CAP PVC, ROSCAVEL, 1/2", PARA AGUA FRIA PREDIAL</v>
          </cell>
          <cell r="D992" t="str">
            <v>UN</v>
          </cell>
          <cell r="E992" t="str">
            <v>CR</v>
          </cell>
          <cell r="F992">
            <v>2.06</v>
          </cell>
        </row>
        <row r="993">
          <cell r="B993">
            <v>1198</v>
          </cell>
          <cell r="C993" t="str">
            <v>CAP PVC, ROSCAVEL, 3/4", PARA AGUA FRIA PREDIAL</v>
          </cell>
          <cell r="D993" t="str">
            <v>UN</v>
          </cell>
          <cell r="E993" t="str">
            <v>CR</v>
          </cell>
          <cell r="F993">
            <v>2.7</v>
          </cell>
        </row>
        <row r="994">
          <cell r="B994">
            <v>20088</v>
          </cell>
          <cell r="C994" t="str">
            <v>CAP PVC, SERIE R, DN 100 MM, PARA ESGOTO PREDIAL</v>
          </cell>
          <cell r="D994" t="str">
            <v>UN</v>
          </cell>
          <cell r="E994" t="str">
            <v>CR</v>
          </cell>
          <cell r="F994">
            <v>15.43</v>
          </cell>
        </row>
        <row r="995">
          <cell r="B995">
            <v>20089</v>
          </cell>
          <cell r="C995" t="str">
            <v>CAP PVC, SERIE R, DN 150 MM, PARA ESGOTO PREDIAL</v>
          </cell>
          <cell r="D995" t="str">
            <v>UN</v>
          </cell>
          <cell r="E995" t="str">
            <v>CR</v>
          </cell>
          <cell r="F995">
            <v>75.64</v>
          </cell>
        </row>
        <row r="996">
          <cell r="B996">
            <v>20087</v>
          </cell>
          <cell r="C996" t="str">
            <v>CAP PVC, SERIE R, DN 75 MM, PARA ESGOTO PREDIAL</v>
          </cell>
          <cell r="D996" t="str">
            <v>UN</v>
          </cell>
          <cell r="E996" t="str">
            <v>CR</v>
          </cell>
          <cell r="F996">
            <v>12.77</v>
          </cell>
        </row>
        <row r="997">
          <cell r="B997">
            <v>1191</v>
          </cell>
          <cell r="C997" t="str">
            <v>CAP PVC, SOLDAVEL, 20 MM, PARA AGUA FRIA PREDIAL</v>
          </cell>
          <cell r="D997" t="str">
            <v>UN</v>
          </cell>
          <cell r="E997" t="str">
            <v>CR</v>
          </cell>
          <cell r="F997">
            <v>1.47</v>
          </cell>
        </row>
        <row r="998">
          <cell r="B998">
            <v>1185</v>
          </cell>
          <cell r="C998" t="str">
            <v>CAP PVC, SOLDAVEL, 25 MM, PARA AGUA FRIA PREDIAL</v>
          </cell>
          <cell r="D998" t="str">
            <v>UN</v>
          </cell>
          <cell r="E998" t="str">
            <v>CR</v>
          </cell>
          <cell r="F998">
            <v>1.47</v>
          </cell>
        </row>
        <row r="999">
          <cell r="B999">
            <v>1189</v>
          </cell>
          <cell r="C999" t="str">
            <v>CAP PVC, SOLDAVEL, 32 MM, PARA AGUA FRIA PREDIAL</v>
          </cell>
          <cell r="D999" t="str">
            <v>UN</v>
          </cell>
          <cell r="E999" t="str">
            <v>CR</v>
          </cell>
          <cell r="F999">
            <v>2.41</v>
          </cell>
        </row>
        <row r="1000">
          <cell r="B1000">
            <v>1193</v>
          </cell>
          <cell r="C1000" t="str">
            <v>CAP PVC, SOLDAVEL, 40 MM, PARA AGUA FRIA PREDIAL</v>
          </cell>
          <cell r="D1000" t="str">
            <v>UN</v>
          </cell>
          <cell r="E1000" t="str">
            <v>CR</v>
          </cell>
          <cell r="F1000">
            <v>4.63</v>
          </cell>
        </row>
        <row r="1001">
          <cell r="B1001">
            <v>1194</v>
          </cell>
          <cell r="C1001" t="str">
            <v>CAP PVC, SOLDAVEL, 50 MM, PARA AGUA FRIA PREDIAL</v>
          </cell>
          <cell r="D1001" t="str">
            <v>UN</v>
          </cell>
          <cell r="E1001" t="str">
            <v>CR</v>
          </cell>
          <cell r="F1001">
            <v>8.35</v>
          </cell>
        </row>
        <row r="1002">
          <cell r="B1002">
            <v>1195</v>
          </cell>
          <cell r="C1002" t="str">
            <v>CAP PVC, SOLDAVEL, 60 MM, PARA AGUA FRIA PREDIAL</v>
          </cell>
          <cell r="D1002" t="str">
            <v>UN</v>
          </cell>
          <cell r="E1002" t="str">
            <v>CR</v>
          </cell>
          <cell r="F1002">
            <v>14.06</v>
          </cell>
        </row>
        <row r="1003">
          <cell r="B1003">
            <v>1204</v>
          </cell>
          <cell r="C1003" t="str">
            <v>CAP PVC, SOLDAVEL, 75 MM, PARA AGUA FRIA PREDIAL</v>
          </cell>
          <cell r="D1003" t="str">
            <v>UN</v>
          </cell>
          <cell r="E1003" t="str">
            <v>CR</v>
          </cell>
          <cell r="F1003">
            <v>24.6</v>
          </cell>
        </row>
        <row r="1004">
          <cell r="B1004">
            <v>1200</v>
          </cell>
          <cell r="C1004" t="str">
            <v>CAP PVC, SOLDAVEL, DN 100 MM, SERIE NORMAL, PARA ESGOTO PREDIAL</v>
          </cell>
          <cell r="D1004" t="str">
            <v>UN</v>
          </cell>
          <cell r="E1004" t="str">
            <v>CR</v>
          </cell>
          <cell r="F1004">
            <v>11.6</v>
          </cell>
        </row>
        <row r="1005">
          <cell r="B1005">
            <v>12909</v>
          </cell>
          <cell r="C1005" t="str">
            <v>CAP PVC, SOLDAVEL, DN 50 MM, SERIE NORMAL, PARA ESGOTO PREDIAL</v>
          </cell>
          <cell r="D1005" t="str">
            <v>UN</v>
          </cell>
          <cell r="E1005" t="str">
            <v>CR</v>
          </cell>
          <cell r="F1005">
            <v>5.38</v>
          </cell>
        </row>
        <row r="1006">
          <cell r="B1006">
            <v>12910</v>
          </cell>
          <cell r="C1006" t="str">
            <v>CAP PVC, SOLDAVEL, DN 75 MM, SERIE NORMAL, PARA ESGOTO PREDIAL</v>
          </cell>
          <cell r="D1006" t="str">
            <v>UN</v>
          </cell>
          <cell r="E1006" t="str">
            <v>CR</v>
          </cell>
          <cell r="F1006">
            <v>9.66</v>
          </cell>
        </row>
        <row r="1007">
          <cell r="B1007">
            <v>1207</v>
          </cell>
          <cell r="C1007" t="str">
            <v>CAP, PVC PBA, JE, DN 100 / DE 110 MM, PARA REDE DE AGUA (NBR 10351)</v>
          </cell>
          <cell r="D1007" t="str">
            <v>UN</v>
          </cell>
          <cell r="E1007" t="str">
            <v>CR</v>
          </cell>
          <cell r="F1007">
            <v>40.06</v>
          </cell>
        </row>
        <row r="1008">
          <cell r="B1008">
            <v>1206</v>
          </cell>
          <cell r="C1008" t="str">
            <v>CAP, PVC PBA, JE, DN 50 / DE 60 MM, PARA REDE DE AGUA (NBR 10351)</v>
          </cell>
          <cell r="D1008" t="str">
            <v>UN</v>
          </cell>
          <cell r="E1008" t="str">
            <v>CR</v>
          </cell>
          <cell r="F1008">
            <v>10.039999999999999</v>
          </cell>
        </row>
        <row r="1009">
          <cell r="B1009">
            <v>1183</v>
          </cell>
          <cell r="C1009" t="str">
            <v>CAP, PVC PBA, JE, DN 75 / DE 85 MM, PARA REDE DE AGUA (NBR 10351)</v>
          </cell>
          <cell r="D1009" t="str">
            <v>UN</v>
          </cell>
          <cell r="E1009" t="str">
            <v>CR</v>
          </cell>
          <cell r="F1009">
            <v>26.16</v>
          </cell>
        </row>
        <row r="1010">
          <cell r="B1010">
            <v>42685</v>
          </cell>
          <cell r="C1010" t="str">
            <v>CAP, PVC, JE, OCRE, DN 150 MM (CONEXAO PARA TUBO COLETOR DE ESGOTO)</v>
          </cell>
          <cell r="D1010" t="str">
            <v>UN</v>
          </cell>
          <cell r="E1010" t="str">
            <v>CR</v>
          </cell>
          <cell r="F1010">
            <v>78.39</v>
          </cell>
        </row>
        <row r="1011">
          <cell r="B1011">
            <v>42686</v>
          </cell>
          <cell r="C1011" t="str">
            <v>CAP, PVC, JE, OCRE, DN 200 MM (CONEXAO PARA TUBO COLETOR DE ESGOTO)</v>
          </cell>
          <cell r="D1011" t="str">
            <v>UN</v>
          </cell>
          <cell r="E1011" t="str">
            <v>CR</v>
          </cell>
          <cell r="F1011">
            <v>86.34</v>
          </cell>
        </row>
        <row r="1012">
          <cell r="B1012">
            <v>12894</v>
          </cell>
          <cell r="C1012" t="str">
            <v>CAPA PARA CHUVA EM PVC COM FORRO DE POLIESTER, COM CAPUZ (AMARELA OU AZUL)</v>
          </cell>
          <cell r="D1012" t="str">
            <v>UN</v>
          </cell>
          <cell r="E1012" t="str">
            <v>CR</v>
          </cell>
          <cell r="F1012">
            <v>23.09</v>
          </cell>
        </row>
        <row r="1013">
          <cell r="B1013">
            <v>12895</v>
          </cell>
          <cell r="C1013" t="str">
            <v>CAPACETE DE SEGURANCA ABA FRONTAL COM SUSPENSAO DE POLIETILENO, SEM JUGULAR (CLASSE B)</v>
          </cell>
          <cell r="D1013" t="str">
            <v>UN</v>
          </cell>
          <cell r="E1013" t="str">
            <v>C</v>
          </cell>
          <cell r="F1013">
            <v>15.5</v>
          </cell>
        </row>
        <row r="1014">
          <cell r="B1014">
            <v>1631</v>
          </cell>
          <cell r="C1014" t="str">
            <v>CAPACITOR TRIFASICO, POTENCIA 2,5 KVAR, TENSAO 220 V, FORNECIDO COM CAPA PROTETORA, RESISTOR INTERNO A UNIDADE CAPACITIVA</v>
          </cell>
          <cell r="D1014" t="str">
            <v>UN</v>
          </cell>
          <cell r="E1014" t="str">
            <v>CR</v>
          </cell>
          <cell r="F1014">
            <v>150.28</v>
          </cell>
        </row>
        <row r="1015">
          <cell r="B1015">
            <v>1633</v>
          </cell>
          <cell r="C1015" t="str">
            <v>CAPACITOR TRIFASICO, POTENCIA 5 KVAR, TENSAO 220 V, FORNECIDO COM CAPA PROTETORA, RESISTOR INTERNO A UNIDADE CAPACITIVA</v>
          </cell>
          <cell r="D1015" t="str">
            <v>UN</v>
          </cell>
          <cell r="E1015" t="str">
            <v>CR</v>
          </cell>
          <cell r="F1015">
            <v>255.33</v>
          </cell>
        </row>
        <row r="1016">
          <cell r="B1016">
            <v>10818</v>
          </cell>
          <cell r="C1016" t="str">
            <v>CAPIM BRAQUIARIA DECUMBENS/ BRAQUIARINHA, VC *70*% MINIMO</v>
          </cell>
          <cell r="D1016" t="str">
            <v>KG</v>
          </cell>
          <cell r="E1016" t="str">
            <v>CR</v>
          </cell>
          <cell r="F1016">
            <v>59.14</v>
          </cell>
        </row>
        <row r="1017">
          <cell r="B1017">
            <v>41410</v>
          </cell>
          <cell r="C1017" t="str">
            <v>CAPTOR FRANKLIN (4 PONTAS), EM LATAO CROMADO, H = 300 MM, DUAS DESCIDAS</v>
          </cell>
          <cell r="D1017" t="str">
            <v>UN</v>
          </cell>
          <cell r="E1017" t="str">
            <v>CR</v>
          </cell>
          <cell r="F1017">
            <v>79.83</v>
          </cell>
        </row>
        <row r="1018">
          <cell r="B1018">
            <v>41411</v>
          </cell>
          <cell r="C1018" t="str">
            <v>CAPTOR FRANKLIN (4 PONTAS), EM LATAO CROMADO, H = 300 MM, UMA DESCIDA</v>
          </cell>
          <cell r="D1018" t="str">
            <v>UN</v>
          </cell>
          <cell r="E1018" t="str">
            <v>CR</v>
          </cell>
          <cell r="F1018">
            <v>72.38</v>
          </cell>
        </row>
        <row r="1019">
          <cell r="B1019">
            <v>41412</v>
          </cell>
          <cell r="C1019" t="str">
            <v>CAPTOR FRANKLIN (4 PONTAS), EM LATAO CROMADO, H = 350 MM, DUAS DESCIDAS</v>
          </cell>
          <cell r="D1019" t="str">
            <v>UN</v>
          </cell>
          <cell r="E1019" t="str">
            <v>CR</v>
          </cell>
          <cell r="F1019">
            <v>139.99</v>
          </cell>
        </row>
        <row r="1020">
          <cell r="B1020">
            <v>41413</v>
          </cell>
          <cell r="C1020" t="str">
            <v>CAPTOR FRANKLIN (4 PONTAS), EM LATAO CROMADO, H=350 MM, UMA DESCIDA</v>
          </cell>
          <cell r="D1020" t="str">
            <v>UN</v>
          </cell>
          <cell r="E1020" t="str">
            <v>CR</v>
          </cell>
          <cell r="F1020">
            <v>125.97</v>
          </cell>
        </row>
        <row r="1021">
          <cell r="B1021">
            <v>39359</v>
          </cell>
          <cell r="C1021" t="str">
            <v>CARENAGEM /TAMPA, EM PLASTICO, COR BRANCA, UTILIZADO EM KIT CHASSI METALICO PARA INSTAL. HIDRAULICA DE CUBA SIMPLES SEM MAQUINA DE LAVAR ROUPA, *355* X *670* MM (L X H) (COM FUROS E DEMAIS ENCAIXES)</v>
          </cell>
          <cell r="D1021" t="str">
            <v>UN</v>
          </cell>
          <cell r="E1021" t="str">
            <v>CR</v>
          </cell>
          <cell r="F1021">
            <v>39.33</v>
          </cell>
        </row>
        <row r="1022">
          <cell r="B1022">
            <v>39360</v>
          </cell>
          <cell r="C1022" t="str">
            <v>CARENAGEM /TAMPA, EM PLASTICO, COR BRANCA, UTILIZADO EM KIT CHASSI METALICO PARA INSTAL. HIDRAULICA DE TANQUE COM MAQUINA DE LAVAR ROUPA, *360* X *470* MM (L X H) (COM FUROS E DEMAIS ENCAIXES)</v>
          </cell>
          <cell r="D1022" t="str">
            <v>UN</v>
          </cell>
          <cell r="E1022" t="str">
            <v>CR</v>
          </cell>
          <cell r="F1022">
            <v>39.33</v>
          </cell>
        </row>
        <row r="1023">
          <cell r="B1023">
            <v>10710</v>
          </cell>
          <cell r="C1023" t="str">
            <v>CARPETE DE NYLON EM MANTA PARA TRAFEGO COMERCIAL PESADO, E = 6 A 7 MM (INSTALADO)</v>
          </cell>
          <cell r="D1023" t="str">
            <v>M2</v>
          </cell>
          <cell r="E1023" t="str">
            <v>C</v>
          </cell>
          <cell r="F1023">
            <v>188</v>
          </cell>
        </row>
        <row r="1024">
          <cell r="B1024">
            <v>10709</v>
          </cell>
          <cell r="C1024" t="str">
            <v>CARPETE DE NYLON EM MANTA PARA TRAFEGO COMERCIAL PESADO, E = 9 A 10 MM (INSTALADO)</v>
          </cell>
          <cell r="D1024" t="str">
            <v>M2</v>
          </cell>
          <cell r="E1024" t="str">
            <v>CR</v>
          </cell>
          <cell r="F1024">
            <v>230.97</v>
          </cell>
        </row>
        <row r="1025">
          <cell r="B1025">
            <v>39636</v>
          </cell>
          <cell r="C1025" t="str">
            <v>CARPETE DE NYLON EM PLACAS 50 X 50 CM PARA TRAFEGO COMERCIAL PESADO, E = 6,5 MM (INSTALADO)</v>
          </cell>
          <cell r="D1025" t="str">
            <v>M2</v>
          </cell>
          <cell r="E1025" t="str">
            <v>CR</v>
          </cell>
          <cell r="F1025">
            <v>235.85</v>
          </cell>
        </row>
        <row r="1026">
          <cell r="B1026">
            <v>10708</v>
          </cell>
          <cell r="C1026" t="str">
            <v>CARPETE DE POLIESTER EM MANTA PARA TRAFEGO COMERCIAL PESADO, E = 4 A 5 MM (INSTALADO)</v>
          </cell>
          <cell r="D1026" t="str">
            <v>M2</v>
          </cell>
          <cell r="E1026" t="str">
            <v>CR</v>
          </cell>
          <cell r="F1026">
            <v>72.78</v>
          </cell>
        </row>
        <row r="1027">
          <cell r="B1027">
            <v>39635</v>
          </cell>
          <cell r="C1027" t="str">
            <v>CARPETE DE POLIPROPILENO EM MANTA PARA TRAFEGO COMERCIAL MEDIO, E = 5 A 6 MM (INSTALADO)</v>
          </cell>
          <cell r="D1027" t="str">
            <v>M2</v>
          </cell>
          <cell r="E1027" t="str">
            <v>CR</v>
          </cell>
          <cell r="F1027">
            <v>123.9</v>
          </cell>
        </row>
        <row r="1028">
          <cell r="B1028">
            <v>6117</v>
          </cell>
          <cell r="C1028" t="str">
            <v>CARPINTEIRO AUXILIAR (HORISTA)</v>
          </cell>
          <cell r="D1028" t="str">
            <v>H</v>
          </cell>
          <cell r="E1028" t="str">
            <v>CR</v>
          </cell>
          <cell r="F1028">
            <v>23.93</v>
          </cell>
        </row>
        <row r="1029">
          <cell r="B1029">
            <v>40913</v>
          </cell>
          <cell r="C1029" t="str">
            <v>CARPINTEIRO AUXILIAR (MENSALISTA)</v>
          </cell>
          <cell r="D1029" t="str">
            <v>MES</v>
          </cell>
          <cell r="E1029" t="str">
            <v>CR</v>
          </cell>
          <cell r="F1029">
            <v>4194.5200000000004</v>
          </cell>
        </row>
        <row r="1030">
          <cell r="B1030">
            <v>1214</v>
          </cell>
          <cell r="C1030" t="str">
            <v>CARPINTEIRO DE ESQUADRIAS (HORISTA)</v>
          </cell>
          <cell r="D1030" t="str">
            <v>H</v>
          </cell>
          <cell r="E1030" t="str">
            <v>CR</v>
          </cell>
          <cell r="F1030">
            <v>26.03</v>
          </cell>
        </row>
        <row r="1031">
          <cell r="B1031">
            <v>40915</v>
          </cell>
          <cell r="C1031" t="str">
            <v>CARPINTEIRO DE ESQUADRIAS (MENSALISTA)</v>
          </cell>
          <cell r="D1031" t="str">
            <v>MES</v>
          </cell>
          <cell r="E1031" t="str">
            <v>CR</v>
          </cell>
          <cell r="F1031">
            <v>4560.57</v>
          </cell>
        </row>
        <row r="1032">
          <cell r="B1032">
            <v>40914</v>
          </cell>
          <cell r="C1032" t="str">
            <v>CARPINTEIRO DE FORMAS OU OFICIAL (MENSALISTA)</v>
          </cell>
          <cell r="D1032" t="str">
            <v>MES</v>
          </cell>
          <cell r="E1032" t="str">
            <v>CR</v>
          </cell>
          <cell r="F1032">
            <v>4560.57</v>
          </cell>
        </row>
        <row r="1033">
          <cell r="B1033">
            <v>1213</v>
          </cell>
          <cell r="C1033" t="str">
            <v>CARPINTEIRO DE FORMAS PARA CONCRETO (HORISTA)</v>
          </cell>
          <cell r="D1033" t="str">
            <v>H</v>
          </cell>
          <cell r="E1033" t="str">
            <v>C</v>
          </cell>
          <cell r="F1033">
            <v>26.03</v>
          </cell>
        </row>
        <row r="1034">
          <cell r="B1034">
            <v>5091</v>
          </cell>
          <cell r="C1034" t="str">
            <v>CARRANCA PARA JANELA VENEZIANA DE ABRIR, EM LATAO CROMADO, SIMPLES, PARA APARAFUSAR NA PAREDE</v>
          </cell>
          <cell r="D1034" t="str">
            <v>UN</v>
          </cell>
          <cell r="E1034" t="str">
            <v>CR</v>
          </cell>
          <cell r="F1034">
            <v>19.53</v>
          </cell>
        </row>
        <row r="1035">
          <cell r="B1035">
            <v>2711</v>
          </cell>
          <cell r="C1035" t="str">
            <v>CARRINHO DE MAO, EM ACO, COM CAPACIDADE DE *45 A 65* L / *100* KG, PNEU COM CAMARA</v>
          </cell>
          <cell r="D1035" t="str">
            <v>UN</v>
          </cell>
          <cell r="E1035" t="str">
            <v>C</v>
          </cell>
          <cell r="F1035">
            <v>227.48</v>
          </cell>
        </row>
        <row r="1036">
          <cell r="B1036">
            <v>45235</v>
          </cell>
          <cell r="C1036" t="str">
            <v>CARRINHO PLATAFORMA EM MADEIRA COM ESTRUTURA EM ACO, 1500 X 800 MM, COM CAPACIDADE DE 600 KG, 4 RODAS/PNEUS/CAMARAS</v>
          </cell>
          <cell r="D1036" t="str">
            <v>UN</v>
          </cell>
          <cell r="E1036" t="str">
            <v>CR</v>
          </cell>
          <cell r="F1036">
            <v>1465.6</v>
          </cell>
        </row>
        <row r="1037">
          <cell r="B1037">
            <v>37727</v>
          </cell>
          <cell r="C1037" t="str">
            <v>CARROCERIA FIXA ABERTA DE MADEIRA PARA TRANSPORTE GERAL DE CARGA SECA DIMENSOES APROXIMADAS 2,25 X 4,10 X 0,50 M (INCLUI MONTAGEM, NAO INCLUI CAMINHAO)</v>
          </cell>
          <cell r="D1037" t="str">
            <v>UN</v>
          </cell>
          <cell r="E1037" t="str">
            <v>C</v>
          </cell>
          <cell r="F1037">
            <v>18958.29</v>
          </cell>
        </row>
        <row r="1038">
          <cell r="B1038">
            <v>37730</v>
          </cell>
          <cell r="C1038" t="str">
            <v>CARROCERIA FIXA ABERTA DE MADEIRA PARA TRANSPORTE GERAL DE CARGA SECA DIMENSOES APROXIMADAS 2,5 X 6,5 X 0,50 M (INCLUI MONTAGEM, NAO INCLUI CAMINHAO)</v>
          </cell>
          <cell r="D1038" t="str">
            <v>UN</v>
          </cell>
          <cell r="E1038" t="str">
            <v>CR</v>
          </cell>
          <cell r="F1038">
            <v>29962.05</v>
          </cell>
        </row>
        <row r="1039">
          <cell r="B1039">
            <v>37731</v>
          </cell>
          <cell r="C1039" t="str">
            <v>CARROCERIA FIXA ABERTA DE MADEIRA PARA TRANSPORTE GERAL DE CARGA SECA DIMENSOES APROXIMADAS 2,5 X 7,00 X 0,50 M (INCLUI MONTAGEM, NAO INCLUI CAMINHAO)</v>
          </cell>
          <cell r="D1039" t="str">
            <v>UN</v>
          </cell>
          <cell r="E1039" t="str">
            <v>CR</v>
          </cell>
          <cell r="F1039">
            <v>32083.26</v>
          </cell>
        </row>
        <row r="1040">
          <cell r="B1040">
            <v>37732</v>
          </cell>
          <cell r="C1040" t="str">
            <v>CARROCERIA FIXA ABERTA DE MADEIRA PARA TRANSPORTE GERAL DE CARGA SECA DIMENSOES APROXIMADAS 2,5 X 7,5 X 0,50 M (INCLUI MONTAGEM, NAO INCLUI CAMINHAO)</v>
          </cell>
          <cell r="D1040" t="str">
            <v>UN</v>
          </cell>
          <cell r="E1040" t="str">
            <v>CR</v>
          </cell>
          <cell r="F1040">
            <v>36590.82</v>
          </cell>
        </row>
        <row r="1041">
          <cell r="B1041">
            <v>45194</v>
          </cell>
          <cell r="C1041" t="str">
            <v>CAVALETE DE FERRO DOBRAVEL, ALTURA 80 CM</v>
          </cell>
          <cell r="D1041" t="str">
            <v>UN</v>
          </cell>
          <cell r="E1041" t="str">
            <v>CR</v>
          </cell>
          <cell r="F1041">
            <v>213.37</v>
          </cell>
        </row>
        <row r="1042">
          <cell r="B1042">
            <v>37762</v>
          </cell>
          <cell r="C1042" t="str">
            <v>CAVALO MECANICO TRACAO 4X2, PESO BRUTO TOTAL 16000 KG, CAPACIDADE MAXIMA DE TRACAO *36000* KG, DISTANCIA ENTRE EIXOS *3,56* M, POTENCIA *286* CV (INCLUI CABINE E CHASSI, NAO INCLUI SEMIRREBOQUE)</v>
          </cell>
          <cell r="D1042" t="str">
            <v>UN</v>
          </cell>
          <cell r="E1042" t="str">
            <v>CR</v>
          </cell>
          <cell r="F1042">
            <v>745258.65</v>
          </cell>
        </row>
        <row r="1043">
          <cell r="B1043">
            <v>37763</v>
          </cell>
          <cell r="C1043" t="str">
            <v>CAVALO MECANICO TRACAO 4X2, PESO BRUTO TOTAL 16000 KG, CAPACIDADE MAXIMA DE TRACAO *45000* KG, DISTANCIA ENTRE EIXOS *3,56* M, POTENCIA *330* CV (INCLUI CABINE E CHASSI, NAO INCLUI SEMIRREBOQUE)</v>
          </cell>
          <cell r="D1043" t="str">
            <v>UN</v>
          </cell>
          <cell r="E1043" t="str">
            <v>CR</v>
          </cell>
          <cell r="F1043">
            <v>754310.25</v>
          </cell>
        </row>
        <row r="1044">
          <cell r="B1044">
            <v>41992</v>
          </cell>
          <cell r="C1044" t="str">
            <v>CAVALO MECANICO TRACAO 4X2, PESO BRUTO TOTAL 16000 KG, CAPACIDADE MAXIMA DE TRACAO *80000* KG, POTENCIA *380* CV (INCLUI CABINE E CHASSI, NAO INCLUI SEMIRREBOQUE)</v>
          </cell>
          <cell r="D1044" t="str">
            <v>UN</v>
          </cell>
          <cell r="E1044" t="str">
            <v>C</v>
          </cell>
          <cell r="F1044">
            <v>857500</v>
          </cell>
        </row>
        <row r="1045">
          <cell r="B1045">
            <v>13215</v>
          </cell>
          <cell r="C1045" t="str">
            <v>CAVALO MECANICO TRACAO 6X2, PESO BRUTO TOTAL COMBINADO 56000 KG, CAPACIDADE MAXIMA DE TRACAO *66000* KG, POTENCIA *360* CV (INCLUI CABINE E CHASSI, NAO INCLUI SEMIRREBOQUE)</v>
          </cell>
          <cell r="D1045" t="str">
            <v>UN</v>
          </cell>
          <cell r="E1045" t="str">
            <v>CR</v>
          </cell>
          <cell r="F1045">
            <v>1051508.51</v>
          </cell>
        </row>
        <row r="1046">
          <cell r="B1046">
            <v>4235</v>
          </cell>
          <cell r="C1046" t="str">
            <v>CAVOUQUEIRO OU OPERADOR DE PERFURATRIZ / ROMPEDOR (HORISTA)</v>
          </cell>
          <cell r="D1046" t="str">
            <v>H</v>
          </cell>
          <cell r="E1046" t="str">
            <v>CR</v>
          </cell>
          <cell r="F1046">
            <v>38.83</v>
          </cell>
        </row>
        <row r="1047">
          <cell r="B1047">
            <v>40976</v>
          </cell>
          <cell r="C1047" t="str">
            <v>CAVOUQUEIRO OU OPERADOR DE PERFURATRIZ / ROMPEDOR (MENSALISTA)</v>
          </cell>
          <cell r="D1047" t="str">
            <v>MES</v>
          </cell>
          <cell r="E1047" t="str">
            <v>CR</v>
          </cell>
          <cell r="F1047">
            <v>6801.76</v>
          </cell>
        </row>
        <row r="1048">
          <cell r="B1048">
            <v>43091</v>
          </cell>
          <cell r="C1048" t="str">
            <v>CENTRO DE MEDICAO AGRUPADA, EM POLICARBONATO / PVC, COM 12 MEDIDORES E PROTECAO GERAL (INCLUI BARRAMENTO, DISJUNTORES E ACESSORIOS DE FIXACAO) (PADRAO CONCESSIONARIA LOCAL)</v>
          </cell>
          <cell r="D1048" t="str">
            <v>UN</v>
          </cell>
          <cell r="E1048" t="str">
            <v>CR</v>
          </cell>
          <cell r="F1048">
            <v>5985.39</v>
          </cell>
        </row>
        <row r="1049">
          <cell r="B1049">
            <v>43092</v>
          </cell>
          <cell r="C1049" t="str">
            <v>CENTRO DE MEDICAO AGRUPADA, EM POLICARBONATO / PVC, COM 16 MEDIDORES E PROTECAO GERAL (INCLUI BARRAMENTO, DISJUNTORES E ACESSORIOS DE FIXACAO) (PADRAO CONCESSIONARIA LOCAL)</v>
          </cell>
          <cell r="D1049" t="str">
            <v>UN</v>
          </cell>
          <cell r="E1049" t="str">
            <v>CR</v>
          </cell>
          <cell r="F1049">
            <v>7980.52</v>
          </cell>
        </row>
        <row r="1050">
          <cell r="B1050">
            <v>43089</v>
          </cell>
          <cell r="C1050" t="str">
            <v>CENTRO DE MEDICAO AGRUPADA, EM POLICARBONATO / PVC, COM 4 MEDIDORES E PROTECAO GERAL (INCLUI BARRAMENTO, DISJUNTORES E ACESSORIOS DE FIXACAO) (PADRAO CONCESSIONARIA LOCAL)</v>
          </cell>
          <cell r="D1050" t="str">
            <v>UN</v>
          </cell>
          <cell r="E1050" t="str">
            <v>CR</v>
          </cell>
          <cell r="F1050">
            <v>1390.83</v>
          </cell>
        </row>
        <row r="1051">
          <cell r="B1051">
            <v>43090</v>
          </cell>
          <cell r="C1051" t="str">
            <v>CENTRO DE MEDICAO AGRUPADA, EM POLICARBONATO / PVC, COM 8 MEDIDORES E PROTECAO GERAL (INCLUI BARRAMENTO, DISJUNTORES E ACESSORIOS DE FIXACAO) (PADRAO CONCESSIONARIA LOCAL)</v>
          </cell>
          <cell r="D1051" t="str">
            <v>UN</v>
          </cell>
          <cell r="E1051" t="str">
            <v>CR</v>
          </cell>
          <cell r="F1051">
            <v>3069.43</v>
          </cell>
        </row>
        <row r="1052">
          <cell r="B1052">
            <v>41967</v>
          </cell>
          <cell r="C1052" t="str">
            <v>CERA LIQUIDA INCOLOR MULTIPISO</v>
          </cell>
          <cell r="D1052" t="str">
            <v>L</v>
          </cell>
          <cell r="E1052" t="str">
            <v>CR</v>
          </cell>
          <cell r="F1052">
            <v>26.28</v>
          </cell>
        </row>
        <row r="1053">
          <cell r="B1053">
            <v>12760</v>
          </cell>
          <cell r="C1053" t="str">
            <v>CHAPA ACO INOX AISI 304 NUMERO 4 (E = 6 MM), ACABAMENTO NUMERO 1 (LAMINADO A QUENTE, FOSCO)</v>
          </cell>
          <cell r="D1053" t="str">
            <v>M2</v>
          </cell>
          <cell r="E1053" t="str">
            <v>CR</v>
          </cell>
          <cell r="F1053">
            <v>1453.16</v>
          </cell>
        </row>
        <row r="1054">
          <cell r="B1054">
            <v>12759</v>
          </cell>
          <cell r="C1054" t="str">
            <v>CHAPA ACO INOX AISI 304 NUMERO 9 (E = 4 MM), ACABAMENTO NUMERO 1 (LAMINADO A QUENTE, FOSCO)</v>
          </cell>
          <cell r="D1054" t="str">
            <v>M2</v>
          </cell>
          <cell r="E1054" t="str">
            <v>CR</v>
          </cell>
          <cell r="F1054">
            <v>968.76</v>
          </cell>
        </row>
        <row r="1055">
          <cell r="B1055">
            <v>43105</v>
          </cell>
          <cell r="C1055" t="str">
            <v>CHAPA DE ACO CARBONO GALVANIZADA, PERFURADA (GRADE FUROS) E = 1,5 MM, DIAMETRO DO FURO = 9,52 MM (FUROS ALTERNADOS HORIZ.)</v>
          </cell>
          <cell r="D1055" t="str">
            <v>KG</v>
          </cell>
          <cell r="E1055" t="str">
            <v>CR</v>
          </cell>
          <cell r="F1055">
            <v>31.63</v>
          </cell>
        </row>
        <row r="1056">
          <cell r="B1056">
            <v>40424</v>
          </cell>
          <cell r="C1056" t="str">
            <v>CHAPA DE ACO CARBONO LAMINADO A QUENTE, QUALIDADE ESTRUTURAL, BITOLA 3/16", E =4,75 MM (37,29 KG/M2)</v>
          </cell>
          <cell r="D1056" t="str">
            <v>KG</v>
          </cell>
          <cell r="E1056" t="str">
            <v>CR</v>
          </cell>
          <cell r="F1056">
            <v>8.0299999999999994</v>
          </cell>
        </row>
        <row r="1057">
          <cell r="B1057">
            <v>1325</v>
          </cell>
          <cell r="C1057" t="str">
            <v>CHAPA DE ACO FINA A FRIO BITOLA MSG 20, E = 0,90 MM (7,20 KG/M2)</v>
          </cell>
          <cell r="D1057" t="str">
            <v>KG</v>
          </cell>
          <cell r="E1057" t="str">
            <v>CR</v>
          </cell>
          <cell r="F1057">
            <v>8.8000000000000007</v>
          </cell>
        </row>
        <row r="1058">
          <cell r="B1058">
            <v>1327</v>
          </cell>
          <cell r="C1058" t="str">
            <v>CHAPA DE ACO FINA A FRIO BITOLA MSG 24, E = 0,60 MM (4,80 KG/M2)</v>
          </cell>
          <cell r="D1058" t="str">
            <v>KG</v>
          </cell>
          <cell r="E1058" t="str">
            <v>CR</v>
          </cell>
          <cell r="F1058">
            <v>9.3699999999999992</v>
          </cell>
        </row>
        <row r="1059">
          <cell r="B1059">
            <v>1328</v>
          </cell>
          <cell r="C1059" t="str">
            <v>CHAPA DE ACO FINA A FRIO BITOLA MSG 26, E = 0,45 MM (3,60 KG/M2)</v>
          </cell>
          <cell r="D1059" t="str">
            <v>KG</v>
          </cell>
          <cell r="E1059" t="str">
            <v>CR</v>
          </cell>
          <cell r="F1059">
            <v>8.82</v>
          </cell>
        </row>
        <row r="1060">
          <cell r="B1060">
            <v>1321</v>
          </cell>
          <cell r="C1060" t="str">
            <v>CHAPA DE ACO FINA A QUENTE BITOLA MSG 13, E = 2,25 MM (18,00 KG/M2)</v>
          </cell>
          <cell r="D1060" t="str">
            <v>KG</v>
          </cell>
          <cell r="E1060" t="str">
            <v>CR</v>
          </cell>
          <cell r="F1060">
            <v>8.17</v>
          </cell>
        </row>
        <row r="1061">
          <cell r="B1061">
            <v>1318</v>
          </cell>
          <cell r="C1061" t="str">
            <v>CHAPA DE ACO FINA A QUENTE BITOLA MSG 14, E = 2,00 MM (16,0 KG/M2)</v>
          </cell>
          <cell r="D1061" t="str">
            <v>KG</v>
          </cell>
          <cell r="E1061" t="str">
            <v>CR</v>
          </cell>
          <cell r="F1061">
            <v>8.17</v>
          </cell>
        </row>
        <row r="1062">
          <cell r="B1062">
            <v>1322</v>
          </cell>
          <cell r="C1062" t="str">
            <v>CHAPA DE ACO FINA A QUENTE BITOLA MSG 16, E = 1,50 MM (12,00 KG/M2)</v>
          </cell>
          <cell r="D1062" t="str">
            <v>KG</v>
          </cell>
          <cell r="E1062" t="str">
            <v>CR</v>
          </cell>
          <cell r="F1062">
            <v>8.6300000000000008</v>
          </cell>
        </row>
        <row r="1063">
          <cell r="B1063">
            <v>1323</v>
          </cell>
          <cell r="C1063" t="str">
            <v>CHAPA DE ACO FINA A QUENTE BITOLA MSG 18, E = 1,20 MM (9,60 KG/M2)</v>
          </cell>
          <cell r="D1063" t="str">
            <v>KG</v>
          </cell>
          <cell r="E1063" t="str">
            <v>CR</v>
          </cell>
          <cell r="F1063">
            <v>8.6300000000000008</v>
          </cell>
        </row>
        <row r="1064">
          <cell r="B1064">
            <v>1319</v>
          </cell>
          <cell r="C1064" t="str">
            <v>CHAPA DE ACO FINA A QUENTE BITOLA MSG 3/16", E = 4,75 MM (38,00 KG/M2)</v>
          </cell>
          <cell r="D1064" t="str">
            <v>KG</v>
          </cell>
          <cell r="E1064" t="str">
            <v>CR</v>
          </cell>
          <cell r="F1064">
            <v>7.28</v>
          </cell>
        </row>
        <row r="1065">
          <cell r="B1065">
            <v>11026</v>
          </cell>
          <cell r="C1065" t="str">
            <v>CHAPA DE ACO GALVANIZADA BITOLA GSG 14, E = 1,95 MM (15,60 KG/M2)</v>
          </cell>
          <cell r="D1065" t="str">
            <v>KG</v>
          </cell>
          <cell r="E1065" t="str">
            <v>CR</v>
          </cell>
          <cell r="F1065">
            <v>10.01</v>
          </cell>
        </row>
        <row r="1066">
          <cell r="B1066">
            <v>11027</v>
          </cell>
          <cell r="C1066" t="str">
            <v>CHAPA DE ACO GALVANIZADA BITOLA GSG 16, E = 1,55 MM (12,40 KG/M2)</v>
          </cell>
          <cell r="D1066" t="str">
            <v>KG</v>
          </cell>
          <cell r="E1066" t="str">
            <v>CR</v>
          </cell>
          <cell r="F1066">
            <v>10.42</v>
          </cell>
        </row>
        <row r="1067">
          <cell r="B1067">
            <v>11046</v>
          </cell>
          <cell r="C1067" t="str">
            <v>CHAPA DE ACO GALVANIZADA BITOLA GSG 18, E = 1,25 MM (10,00 KG/M2)</v>
          </cell>
          <cell r="D1067" t="str">
            <v>KG</v>
          </cell>
          <cell r="E1067" t="str">
            <v>CR</v>
          </cell>
          <cell r="F1067">
            <v>9.98</v>
          </cell>
        </row>
        <row r="1068">
          <cell r="B1068">
            <v>11047</v>
          </cell>
          <cell r="C1068" t="str">
            <v>CHAPA DE ACO GALVANIZADA BITOLA GSG 19, E = 1,11 MM (8,88 KG/M2)</v>
          </cell>
          <cell r="D1068" t="str">
            <v>KG</v>
          </cell>
          <cell r="E1068" t="str">
            <v>CR</v>
          </cell>
          <cell r="F1068">
            <v>10.88</v>
          </cell>
        </row>
        <row r="1069">
          <cell r="B1069">
            <v>43668</v>
          </cell>
          <cell r="C1069" t="str">
            <v>CHAPA DE ACO GALVANIZADA BITOLA GSG 20, E = 0,95 MM (7,60 KG/M2)</v>
          </cell>
          <cell r="D1069" t="str">
            <v>KG</v>
          </cell>
          <cell r="E1069" t="str">
            <v>CR</v>
          </cell>
          <cell r="F1069">
            <v>9.6</v>
          </cell>
        </row>
        <row r="1070">
          <cell r="B1070">
            <v>11049</v>
          </cell>
          <cell r="C1070" t="str">
            <v>CHAPA DE ACO GALVANIZADA BITOLA GSG 22, E = 0,80 MM (6,40 KG/M2)</v>
          </cell>
          <cell r="D1070" t="str">
            <v>KG</v>
          </cell>
          <cell r="E1070" t="str">
            <v>C</v>
          </cell>
          <cell r="F1070">
            <v>10.4</v>
          </cell>
        </row>
        <row r="1071">
          <cell r="B1071">
            <v>43106</v>
          </cell>
          <cell r="C1071" t="str">
            <v>CHAPA DE ACO GALVANIZADA BITOLA GSG 24, E = 0,64 (5,12 KG/M2)</v>
          </cell>
          <cell r="D1071" t="str">
            <v>KG</v>
          </cell>
          <cell r="E1071" t="str">
            <v>CR</v>
          </cell>
          <cell r="F1071">
            <v>10.46</v>
          </cell>
        </row>
        <row r="1072">
          <cell r="B1072">
            <v>11051</v>
          </cell>
          <cell r="C1072" t="str">
            <v>CHAPA DE ACO GALVANIZADA BITOLA GSG 26, E = 0,50 MM (4,00 KG/M2)</v>
          </cell>
          <cell r="D1072" t="str">
            <v>KG</v>
          </cell>
          <cell r="E1072" t="str">
            <v>CR</v>
          </cell>
          <cell r="F1072">
            <v>10.92</v>
          </cell>
        </row>
        <row r="1073">
          <cell r="B1073">
            <v>11061</v>
          </cell>
          <cell r="C1073" t="str">
            <v>CHAPA DE ACO GALVANIZADA BITOLA GSG 30, E = 0,35 MM (2,80 KG/M2)</v>
          </cell>
          <cell r="D1073" t="str">
            <v>KG</v>
          </cell>
          <cell r="E1073" t="str">
            <v>CR</v>
          </cell>
          <cell r="F1073">
            <v>13.1</v>
          </cell>
        </row>
        <row r="1074">
          <cell r="B1074">
            <v>43667</v>
          </cell>
          <cell r="C1074" t="str">
            <v>CHAPA DE ACO GROSSA, ASTM A36, E = 1" (25,40 MM) 199,18 KG/M2</v>
          </cell>
          <cell r="D1074" t="str">
            <v>KG</v>
          </cell>
          <cell r="E1074" t="str">
            <v>CR</v>
          </cell>
          <cell r="F1074">
            <v>9.52</v>
          </cell>
        </row>
        <row r="1075">
          <cell r="B1075">
            <v>1333</v>
          </cell>
          <cell r="C1075" t="str">
            <v>CHAPA DE ACO GROSSA, ASTM A36, E = 1/2" (12,70 MM) 99,59 KG/M2</v>
          </cell>
          <cell r="D1075" t="str">
            <v>KG</v>
          </cell>
          <cell r="E1075" t="str">
            <v>CR</v>
          </cell>
          <cell r="F1075">
            <v>7.93</v>
          </cell>
        </row>
        <row r="1076">
          <cell r="B1076">
            <v>1330</v>
          </cell>
          <cell r="C1076" t="str">
            <v>CHAPA DE ACO GROSSA, ASTM A36, E = 1/4" (6,35 MM) 49,79 KG/M2</v>
          </cell>
          <cell r="D1076" t="str">
            <v>KG</v>
          </cell>
          <cell r="E1076" t="str">
            <v>CR</v>
          </cell>
          <cell r="F1076">
            <v>7.85</v>
          </cell>
        </row>
        <row r="1077">
          <cell r="B1077">
            <v>10957</v>
          </cell>
          <cell r="C1077" t="str">
            <v>CHAPA DE ACO GROSSA, ASTM A36, E = 3/4" (19,05 MM) 149,39 KG/M2</v>
          </cell>
          <cell r="D1077" t="str">
            <v>KG</v>
          </cell>
          <cell r="E1077" t="str">
            <v>CR</v>
          </cell>
          <cell r="F1077">
            <v>9.06</v>
          </cell>
        </row>
        <row r="1078">
          <cell r="B1078">
            <v>1332</v>
          </cell>
          <cell r="C1078" t="str">
            <v>CHAPA DE ACO GROSSA, ASTM A36, E = 3/8" (9,53 MM) 74,69 KG/M2</v>
          </cell>
          <cell r="D1078" t="str">
            <v>KG</v>
          </cell>
          <cell r="E1078" t="str">
            <v>CR</v>
          </cell>
          <cell r="F1078">
            <v>8.06</v>
          </cell>
        </row>
        <row r="1079">
          <cell r="B1079">
            <v>1334</v>
          </cell>
          <cell r="C1079" t="str">
            <v>CHAPA DE ACO GROSSA, ASTM A36, E = 5/8" (15,88 MM) 124,49 KG/M2</v>
          </cell>
          <cell r="D1079" t="str">
            <v>KG</v>
          </cell>
          <cell r="E1079" t="str">
            <v>CR</v>
          </cell>
          <cell r="F1079">
            <v>8.93</v>
          </cell>
        </row>
        <row r="1080">
          <cell r="B1080">
            <v>1335</v>
          </cell>
          <cell r="C1080" t="str">
            <v>CHAPA DE ACO GROSSA, ASTM A36, E = 7/8" (22,23 MM) 174,28 KG/M2</v>
          </cell>
          <cell r="D1080" t="str">
            <v>KG</v>
          </cell>
          <cell r="E1080" t="str">
            <v>CR</v>
          </cell>
          <cell r="F1080">
            <v>9.23</v>
          </cell>
        </row>
        <row r="1081">
          <cell r="B1081">
            <v>40425</v>
          </cell>
          <cell r="C1081" t="str">
            <v>CHAPA DE ACO GROSSA, SAE 1020, BITOLA 1/4", E = 6,35 MM (49,85 KG/M2)</v>
          </cell>
          <cell r="D1081" t="str">
            <v>KG</v>
          </cell>
          <cell r="E1081" t="str">
            <v>CR</v>
          </cell>
          <cell r="F1081">
            <v>7.9</v>
          </cell>
        </row>
        <row r="1082">
          <cell r="B1082">
            <v>1337</v>
          </cell>
          <cell r="C1082" t="str">
            <v>CHAPA DE ACO XADREZ PARA PISOS, E = 1/4" (6,30 MM) 54,53 KG/M2</v>
          </cell>
          <cell r="D1082" t="str">
            <v>KG</v>
          </cell>
          <cell r="E1082" t="str">
            <v>CR</v>
          </cell>
          <cell r="F1082">
            <v>9.06</v>
          </cell>
        </row>
        <row r="1083">
          <cell r="B1083">
            <v>34659</v>
          </cell>
          <cell r="C1083" t="str">
            <v>CHAPA DE MDF BRANCO LISO 1 FACE, E = 12 MM, DE *2,75 X 1,85* M</v>
          </cell>
          <cell r="D1083" t="str">
            <v>M2</v>
          </cell>
          <cell r="E1083" t="str">
            <v>CR</v>
          </cell>
          <cell r="F1083">
            <v>43.8</v>
          </cell>
        </row>
        <row r="1084">
          <cell r="B1084">
            <v>34514</v>
          </cell>
          <cell r="C1084" t="str">
            <v>CHAPA DE MDF BRANCO LISO 1 FACE, E = 15 MM, DE *2,75 X 1,85* M</v>
          </cell>
          <cell r="D1084" t="str">
            <v>M2</v>
          </cell>
          <cell r="E1084" t="str">
            <v>C</v>
          </cell>
          <cell r="F1084">
            <v>48.52</v>
          </cell>
        </row>
        <row r="1085">
          <cell r="B1085">
            <v>34660</v>
          </cell>
          <cell r="C1085" t="str">
            <v>CHAPA DE MDF BRANCO LISO 1 FACE, E = 18 MM, DE *2,75 X 1,85* M</v>
          </cell>
          <cell r="D1085" t="str">
            <v>M2</v>
          </cell>
          <cell r="E1085" t="str">
            <v>CR</v>
          </cell>
          <cell r="F1085">
            <v>61.57</v>
          </cell>
        </row>
        <row r="1086">
          <cell r="B1086">
            <v>34661</v>
          </cell>
          <cell r="C1086" t="str">
            <v>CHAPA DE MDF BRANCO LISO 1 FACE, E = 25 MM, DE *2,75 X 1,85* M</v>
          </cell>
          <cell r="D1086" t="str">
            <v>M2</v>
          </cell>
          <cell r="E1086" t="str">
            <v>CR</v>
          </cell>
          <cell r="F1086">
            <v>88.44</v>
          </cell>
        </row>
        <row r="1087">
          <cell r="B1087">
            <v>34667</v>
          </cell>
          <cell r="C1087" t="str">
            <v>CHAPA DE MDF BRANCO LISO 1 FACE, E = 6 MM, DE *2,75 X 1,85* M</v>
          </cell>
          <cell r="D1087" t="str">
            <v>M2</v>
          </cell>
          <cell r="E1087" t="str">
            <v>CR</v>
          </cell>
          <cell r="F1087">
            <v>32.020000000000003</v>
          </cell>
        </row>
        <row r="1088">
          <cell r="B1088">
            <v>34668</v>
          </cell>
          <cell r="C1088" t="str">
            <v>CHAPA DE MDF BRANCO LISO 1 FACE, E = 9 MM, DE *2,75 X 1,85* M</v>
          </cell>
          <cell r="D1088" t="str">
            <v>M2</v>
          </cell>
          <cell r="E1088" t="str">
            <v>CR</v>
          </cell>
          <cell r="F1088">
            <v>41.85</v>
          </cell>
        </row>
        <row r="1089">
          <cell r="B1089">
            <v>34741</v>
          </cell>
          <cell r="C1089" t="str">
            <v>CHAPA DE MDF BRANCO LISO 2 FACES, E = 12 MM, DE *2,75 X 1,85* M</v>
          </cell>
          <cell r="D1089" t="str">
            <v>M2</v>
          </cell>
          <cell r="E1089" t="str">
            <v>CR</v>
          </cell>
          <cell r="F1089">
            <v>46.05</v>
          </cell>
        </row>
        <row r="1090">
          <cell r="B1090">
            <v>34664</v>
          </cell>
          <cell r="C1090" t="str">
            <v>CHAPA DE MDF BRANCO LISO 2 FACES, E = 15 MM, DE *2,75 X 1,85* M</v>
          </cell>
          <cell r="D1090" t="str">
            <v>M2</v>
          </cell>
          <cell r="E1090" t="str">
            <v>CR</v>
          </cell>
          <cell r="F1090">
            <v>50.25</v>
          </cell>
        </row>
        <row r="1091">
          <cell r="B1091">
            <v>34665</v>
          </cell>
          <cell r="C1091" t="str">
            <v>CHAPA DE MDF BRANCO LISO 2 FACES, E = 18 MM, DE *2,75 X 1,85* M</v>
          </cell>
          <cell r="D1091" t="str">
            <v>M2</v>
          </cell>
          <cell r="E1091" t="str">
            <v>CR</v>
          </cell>
          <cell r="F1091">
            <v>62.38</v>
          </cell>
        </row>
        <row r="1092">
          <cell r="B1092">
            <v>34666</v>
          </cell>
          <cell r="C1092" t="str">
            <v>CHAPA DE MDF BRANCO LISO 2 FACES, E = 25 MM, DE *2,75 X 1,85* M</v>
          </cell>
          <cell r="D1092" t="str">
            <v>M2</v>
          </cell>
          <cell r="E1092" t="str">
            <v>CR</v>
          </cell>
          <cell r="F1092">
            <v>94.22</v>
          </cell>
        </row>
        <row r="1093">
          <cell r="B1093">
            <v>34669</v>
          </cell>
          <cell r="C1093" t="str">
            <v>CHAPA DE MDF BRANCO LISO 2 FACES, E = 6 MM, DE *2,75 X 1,85* M</v>
          </cell>
          <cell r="D1093" t="str">
            <v>M2</v>
          </cell>
          <cell r="E1093" t="str">
            <v>CR</v>
          </cell>
          <cell r="F1093">
            <v>34.549999999999997</v>
          </cell>
        </row>
        <row r="1094">
          <cell r="B1094">
            <v>34670</v>
          </cell>
          <cell r="C1094" t="str">
            <v>CHAPA DE MDF BRANCO LISO 2 FACES, E = 9 MM, DE *2,75 X 1,85* M</v>
          </cell>
          <cell r="D1094" t="str">
            <v>M2</v>
          </cell>
          <cell r="E1094" t="str">
            <v>CR</v>
          </cell>
          <cell r="F1094">
            <v>42.25</v>
          </cell>
        </row>
        <row r="1095">
          <cell r="B1095">
            <v>34671</v>
          </cell>
          <cell r="C1095" t="str">
            <v>CHAPA DE MDF CRU, E = 12 MM, DE *2,75 X 1,85* M</v>
          </cell>
          <cell r="D1095" t="str">
            <v>M2</v>
          </cell>
          <cell r="E1095" t="str">
            <v>CR</v>
          </cell>
          <cell r="F1095">
            <v>35.270000000000003</v>
          </cell>
        </row>
        <row r="1096">
          <cell r="B1096">
            <v>34672</v>
          </cell>
          <cell r="C1096" t="str">
            <v>CHAPA DE MDF CRU, E = 15 MM, DE *2,75 X 1,85* M</v>
          </cell>
          <cell r="D1096" t="str">
            <v>M2</v>
          </cell>
          <cell r="E1096" t="str">
            <v>CR</v>
          </cell>
          <cell r="F1096">
            <v>37.19</v>
          </cell>
        </row>
        <row r="1097">
          <cell r="B1097">
            <v>34673</v>
          </cell>
          <cell r="C1097" t="str">
            <v>CHAPA DE MDF CRU, E = 18 MM, DE *2,75 X 1,85* M</v>
          </cell>
          <cell r="D1097" t="str">
            <v>M2</v>
          </cell>
          <cell r="E1097" t="str">
            <v>CR</v>
          </cell>
          <cell r="F1097">
            <v>45.38</v>
          </cell>
        </row>
        <row r="1098">
          <cell r="B1098">
            <v>34674</v>
          </cell>
          <cell r="C1098" t="str">
            <v>CHAPA DE MDF CRU, E = 20 MM, DE *2,75 X 1,85* M</v>
          </cell>
          <cell r="D1098" t="str">
            <v>M2</v>
          </cell>
          <cell r="E1098" t="str">
            <v>CR</v>
          </cell>
          <cell r="F1098">
            <v>60.34</v>
          </cell>
        </row>
        <row r="1099">
          <cell r="B1099">
            <v>34675</v>
          </cell>
          <cell r="C1099" t="str">
            <v>CHAPA DE MDF CRU, E = 25 MM, DE *2,75 X 1,85* M</v>
          </cell>
          <cell r="D1099" t="str">
            <v>M2</v>
          </cell>
          <cell r="E1099" t="str">
            <v>CR</v>
          </cell>
          <cell r="F1099">
            <v>73.56</v>
          </cell>
        </row>
        <row r="1100">
          <cell r="B1100">
            <v>34676</v>
          </cell>
          <cell r="C1100" t="str">
            <v>CHAPA DE MDF CRU, E = 6 MM, DE *2,75 X 1,85* M</v>
          </cell>
          <cell r="D1100" t="str">
            <v>M2</v>
          </cell>
          <cell r="E1100" t="str">
            <v>CR</v>
          </cell>
          <cell r="F1100">
            <v>21.18</v>
          </cell>
        </row>
        <row r="1101">
          <cell r="B1101">
            <v>34677</v>
          </cell>
          <cell r="C1101" t="str">
            <v>CHAPA DE MDF CRU, E = 9 MM, DE *2,75 X 1,85* M</v>
          </cell>
          <cell r="D1101" t="str">
            <v>M2</v>
          </cell>
          <cell r="E1101" t="str">
            <v>CR</v>
          </cell>
          <cell r="F1101">
            <v>28.47</v>
          </cell>
        </row>
        <row r="1102">
          <cell r="B1102">
            <v>43126</v>
          </cell>
          <cell r="C1102" t="str">
            <v>CHAPA EM ACO GALVANIZADO PARA STEEL DECK, COM NERVURAS TRAPEZOIDAIS, LARGURA UTIL DE 915 MM E ESPESSURA DE 0,80 MM</v>
          </cell>
          <cell r="D1102" t="str">
            <v>M2</v>
          </cell>
          <cell r="E1102" t="str">
            <v>CR</v>
          </cell>
          <cell r="F1102">
            <v>100.17</v>
          </cell>
        </row>
        <row r="1103">
          <cell r="B1103">
            <v>43124</v>
          </cell>
          <cell r="C1103" t="str">
            <v>CHAPA EM ACO GALVANIZADO PARA STEEL DECK, COM NERVURAS TRAPEZOIDAIS, LARGURA UTIL DE 915 MM E ESPESSURA DE 0,95 MM</v>
          </cell>
          <cell r="D1103" t="str">
            <v>M2</v>
          </cell>
          <cell r="E1103" t="str">
            <v>CR</v>
          </cell>
          <cell r="F1103">
            <v>116.97</v>
          </cell>
        </row>
        <row r="1104">
          <cell r="B1104">
            <v>43125</v>
          </cell>
          <cell r="C1104" t="str">
            <v>CHAPA EM ACO GALVANIZADO PARA STEEL DECK, COM NERVURAS TRAPEZOIDAIS, LARGURA UTIL DE 915 MM E ESPESSURA DE 1,25 MM</v>
          </cell>
          <cell r="D1104" t="str">
            <v>M2</v>
          </cell>
          <cell r="E1104" t="str">
            <v>CR</v>
          </cell>
          <cell r="F1104">
            <v>151.69</v>
          </cell>
        </row>
        <row r="1105">
          <cell r="B1105">
            <v>40623</v>
          </cell>
          <cell r="C1105" t="str">
            <v>CHAPA PARA EMENDA DE VIGA, EM ACO GROSSO, QUALIDADE ESTRUTURAL, BITOLA 3/16", E= 4,75 MM, 4 FUROS, LARGURA 45 MM, COMPRIMENTO 500 MM</v>
          </cell>
          <cell r="D1105" t="str">
            <v>PAR</v>
          </cell>
          <cell r="E1105" t="str">
            <v>CR</v>
          </cell>
          <cell r="F1105">
            <v>88.21</v>
          </cell>
        </row>
        <row r="1106">
          <cell r="B1106">
            <v>1345</v>
          </cell>
          <cell r="C1106" t="str">
            <v>CHAPA/PAINEL DE MADEIRA COMPENSADA PLASTIFICADA (MADEIRITE PLASTIFICADO) PARA FORMA DE CONCRETO, DE 2200 X 1100 MM, E = *17* MM</v>
          </cell>
          <cell r="D1106" t="str">
            <v>M2</v>
          </cell>
          <cell r="E1106" t="str">
            <v>CR</v>
          </cell>
          <cell r="F1106">
            <v>70.42</v>
          </cell>
        </row>
        <row r="1107">
          <cell r="B1107">
            <v>1346</v>
          </cell>
          <cell r="C1107" t="str">
            <v>CHAPA/PAINEL DE MADEIRA COMPENSADA PLASTIFICADA (MADEIRITE PLASTIFICADO) PARA FORMA DE CONCRETO, DE 2200 X 1100 MM, E = 10 MM</v>
          </cell>
          <cell r="D1107" t="str">
            <v>M2</v>
          </cell>
          <cell r="E1107" t="str">
            <v>CR</v>
          </cell>
          <cell r="F1107">
            <v>40.96</v>
          </cell>
        </row>
        <row r="1108">
          <cell r="B1108">
            <v>1347</v>
          </cell>
          <cell r="C1108" t="str">
            <v>CHAPA/PAINEL DE MADEIRA COMPENSADA PLASTIFICADA (MADEIRITE PLASTIFICADO) PARA FORMA DE CONCRETO, DE 2200 X 1100 MM, E = 12 MM</v>
          </cell>
          <cell r="D1108" t="str">
            <v>M2</v>
          </cell>
          <cell r="E1108" t="str">
            <v>CR</v>
          </cell>
          <cell r="F1108">
            <v>50.75</v>
          </cell>
        </row>
        <row r="1109">
          <cell r="B1109">
            <v>43678</v>
          </cell>
          <cell r="C1109" t="str">
            <v>CHAPA/PAINEL DE MADEIRA COMPENSADA PLASTIFICADA (MADEIRITE PLASTIFICADO) PARA FORMA DE CONCRETO, DE 2200 X 1100 MM, E = 14 MM</v>
          </cell>
          <cell r="D1109" t="str">
            <v>M2</v>
          </cell>
          <cell r="E1109" t="str">
            <v>CR</v>
          </cell>
          <cell r="F1109">
            <v>58.87</v>
          </cell>
        </row>
        <row r="1110">
          <cell r="B1110">
            <v>43680</v>
          </cell>
          <cell r="C1110" t="str">
            <v>CHAPA/PAINEL DE MADEIRA COMPENSADA PLASTIFICADA (MADEIRITE PLASTIFICADO) PARA FORMA DE CONCRETO, DE 2200 X 1100 MM, E = 20 MM</v>
          </cell>
          <cell r="D1110" t="str">
            <v>M2</v>
          </cell>
          <cell r="E1110" t="str">
            <v>CR</v>
          </cell>
          <cell r="F1110">
            <v>84.81</v>
          </cell>
        </row>
        <row r="1111">
          <cell r="B1111">
            <v>43679</v>
          </cell>
          <cell r="C1111" t="str">
            <v>CHAPA/PAINEL DE MADEIRA COMPENSADA PLASTIFICADA (MADEIRITE PLASTIFICADO) PARA FORMA DE CONCRETO, DE 2200 X 1100 MM, E = 6 MM</v>
          </cell>
          <cell r="D1111" t="str">
            <v>M2</v>
          </cell>
          <cell r="E1111" t="str">
            <v>CR</v>
          </cell>
          <cell r="F1111">
            <v>29.76</v>
          </cell>
        </row>
        <row r="1112">
          <cell r="B1112">
            <v>1355</v>
          </cell>
          <cell r="C1112" t="str">
            <v>CHAPA/PAINEL DE MADEIRA COMPENSADA RESINADA (MADEIRITE RESINADO ROSA) PARA FORMA DE CONCRETO, DE 2200 X 1100 MM, E = 14 MM</v>
          </cell>
          <cell r="D1112" t="str">
            <v>M2</v>
          </cell>
          <cell r="E1112" t="str">
            <v>CR</v>
          </cell>
          <cell r="F1112">
            <v>33.869999999999997</v>
          </cell>
        </row>
        <row r="1113">
          <cell r="B1113">
            <v>1358</v>
          </cell>
          <cell r="C1113" t="str">
            <v>CHAPA/PAINEL DE MADEIRA COMPENSADA RESINADA (MADEIRITE RESINADO ROSA) PARA FORMA DE CONCRETO, DE 2200 X 1100 MM, E = 17 MM</v>
          </cell>
          <cell r="D1113" t="str">
            <v>M2</v>
          </cell>
          <cell r="E1113" t="str">
            <v>CR</v>
          </cell>
          <cell r="F1113">
            <v>41.58</v>
          </cell>
        </row>
        <row r="1114">
          <cell r="B1114">
            <v>43677</v>
          </cell>
          <cell r="C1114" t="str">
            <v>CHAPA/PAINEL DE MADEIRA COMPENSADA RESINADA (MADEIRITE RESINADO ROSA) PARA FORMA DE CONCRETO, DE 2200 X 1100 MM, E = 20 MM</v>
          </cell>
          <cell r="D1114" t="str">
            <v>M2</v>
          </cell>
          <cell r="E1114" t="str">
            <v>CR</v>
          </cell>
          <cell r="F1114">
            <v>51.59</v>
          </cell>
        </row>
        <row r="1115">
          <cell r="B1115">
            <v>43682</v>
          </cell>
          <cell r="C1115" t="str">
            <v>CHAPA/PAINEL DE MADEIRA COMPENSADA RESINADA (MADEIRITE RESINADO ROSA) PARA FORMA DE CONCRETO, DE 2200 X 1100 MM, E = 6 MM</v>
          </cell>
          <cell r="D1115" t="str">
            <v>M2</v>
          </cell>
          <cell r="E1115" t="str">
            <v>CR</v>
          </cell>
          <cell r="F1115">
            <v>15.81</v>
          </cell>
        </row>
        <row r="1116">
          <cell r="B1116">
            <v>43681</v>
          </cell>
          <cell r="C1116" t="str">
            <v>CHAPA/PAINEL DE MADEIRA COMPENSADA RESINADA (MADEIRITE RESINADO ROSA) PARA FORMA DE CONCRETO, DE 2200 X 1100 MM, E = 8 A 12 MM</v>
          </cell>
          <cell r="D1116" t="str">
            <v>M2</v>
          </cell>
          <cell r="E1116" t="str">
            <v>C</v>
          </cell>
          <cell r="F1116">
            <v>26.2</v>
          </cell>
        </row>
        <row r="1117">
          <cell r="B1117">
            <v>45248</v>
          </cell>
          <cell r="C1117" t="str">
            <v>CHAVE AJUSTAVEL (INGLESA) 10"</v>
          </cell>
          <cell r="D1117" t="str">
            <v>UN</v>
          </cell>
          <cell r="E1117" t="str">
            <v>CR</v>
          </cell>
          <cell r="F1117">
            <v>71.8</v>
          </cell>
        </row>
        <row r="1118">
          <cell r="B1118">
            <v>45243</v>
          </cell>
          <cell r="C1118" t="str">
            <v>CHAVE AJUSTAVEL (INGLESA) 15"</v>
          </cell>
          <cell r="D1118" t="str">
            <v>UN</v>
          </cell>
          <cell r="E1118" t="str">
            <v>CR</v>
          </cell>
          <cell r="F1118">
            <v>232.16</v>
          </cell>
        </row>
        <row r="1119">
          <cell r="B1119">
            <v>45252</v>
          </cell>
          <cell r="C1119" t="str">
            <v>CHAVE AJUSTAVEL (INGLESA) 6"</v>
          </cell>
          <cell r="D1119" t="str">
            <v>UN</v>
          </cell>
          <cell r="E1119" t="str">
            <v>CR</v>
          </cell>
          <cell r="F1119">
            <v>40.72</v>
          </cell>
        </row>
        <row r="1120">
          <cell r="B1120">
            <v>45246</v>
          </cell>
          <cell r="C1120" t="str">
            <v>CHAVE DE GRIFO DE 24"</v>
          </cell>
          <cell r="D1120" t="str">
            <v>UN</v>
          </cell>
          <cell r="E1120" t="str">
            <v>CR</v>
          </cell>
          <cell r="F1120">
            <v>188.7</v>
          </cell>
        </row>
        <row r="1121">
          <cell r="B1121">
            <v>20971</v>
          </cell>
          <cell r="C1121" t="str">
            <v>CHAVE DUPLA PARA CONEXOES TIPO STORZ, ENGATE RAPIDO 1 1/2" X 2 1/2", EM LATAO, PARA INSTALACAO PREDIAL COMBATE A INCENDIO</v>
          </cell>
          <cell r="D1121" t="str">
            <v>UN</v>
          </cell>
          <cell r="E1121" t="str">
            <v>CR</v>
          </cell>
          <cell r="F1121">
            <v>31.49</v>
          </cell>
        </row>
        <row r="1122">
          <cell r="B1122">
            <v>45247</v>
          </cell>
          <cell r="C1122" t="str">
            <v>CHAVE FIXA 19 X 22 MM</v>
          </cell>
          <cell r="D1122" t="str">
            <v>UN</v>
          </cell>
          <cell r="E1122" t="str">
            <v>CR</v>
          </cell>
          <cell r="F1122">
            <v>27.37</v>
          </cell>
        </row>
        <row r="1123">
          <cell r="B1123">
            <v>39746</v>
          </cell>
          <cell r="C1123" t="str">
            <v>CHUMBADOR DE ACO GALVANIZADO, 1" X 600 MM, PARA POSTES DE ACO COM BASE, INCLUSO PORCA E ARRUELA</v>
          </cell>
          <cell r="D1123" t="str">
            <v>UN</v>
          </cell>
          <cell r="E1123" t="str">
            <v>CR</v>
          </cell>
          <cell r="F1123">
            <v>79.33</v>
          </cell>
        </row>
        <row r="1124">
          <cell r="B1124">
            <v>13279</v>
          </cell>
          <cell r="C1124" t="str">
            <v>CHUMBADOR DE ACO TIPO PARABOLT, * 5/8" X 200* MM, COM PORCA E ARRUELA</v>
          </cell>
          <cell r="D1124" t="str">
            <v>KG</v>
          </cell>
          <cell r="E1124" t="str">
            <v>CR</v>
          </cell>
          <cell r="F1124">
            <v>20.079999999999998</v>
          </cell>
        </row>
        <row r="1125">
          <cell r="B1125">
            <v>11977</v>
          </cell>
          <cell r="C1125" t="str">
            <v>CHUMBADOR DE ACO ZINCADO, DIAMETRO 1/2", COMPRIMENTO 75 MM</v>
          </cell>
          <cell r="D1125" t="str">
            <v>UN</v>
          </cell>
          <cell r="E1125" t="str">
            <v>CR</v>
          </cell>
          <cell r="F1125">
            <v>10.4</v>
          </cell>
        </row>
        <row r="1126">
          <cell r="B1126">
            <v>11976</v>
          </cell>
          <cell r="C1126" t="str">
            <v>CHUMBADOR DE ACO ZINCADO, DIAMETRO 1/4" COM PARAFUSO 1/4" X 40 MM</v>
          </cell>
          <cell r="D1126" t="str">
            <v>UN</v>
          </cell>
          <cell r="E1126" t="str">
            <v>CR</v>
          </cell>
          <cell r="F1126">
            <v>1.1599999999999999</v>
          </cell>
        </row>
        <row r="1127">
          <cell r="B1127">
            <v>11975</v>
          </cell>
          <cell r="C1127" t="str">
            <v>CHUMBADOR DE ACO ZINCADO, DIAMETRO 5/8", COMPRIMENTO 6", COM PORCA</v>
          </cell>
          <cell r="D1127" t="str">
            <v>UN</v>
          </cell>
          <cell r="E1127" t="str">
            <v>CR</v>
          </cell>
          <cell r="F1127">
            <v>22.8</v>
          </cell>
        </row>
        <row r="1128">
          <cell r="B1128">
            <v>1368</v>
          </cell>
          <cell r="C1128" t="str">
            <v>CHUVEIRO COMUM EM PLASTICO BRANCO, COM CANO, 3 TEMPERATURAS, 5500 W (110/220 V)</v>
          </cell>
          <cell r="D1128" t="str">
            <v>UN</v>
          </cell>
          <cell r="E1128" t="str">
            <v>C</v>
          </cell>
          <cell r="F1128">
            <v>103</v>
          </cell>
        </row>
        <row r="1129">
          <cell r="B1129">
            <v>1367</v>
          </cell>
          <cell r="C1129" t="str">
            <v>CHUVEIRO COMUM EM PLASTICO CROMADO, COM CANO, 4 TEMPERATURAS (110/220 V)</v>
          </cell>
          <cell r="D1129" t="str">
            <v>UN</v>
          </cell>
          <cell r="E1129" t="str">
            <v>CR</v>
          </cell>
          <cell r="F1129">
            <v>333.17</v>
          </cell>
        </row>
        <row r="1130">
          <cell r="B1130">
            <v>1380</v>
          </cell>
          <cell r="C1130" t="str">
            <v>CIMENTO BRANCO NAO ESTRUTURAL (CPB - NAO ESTRUTURAL)</v>
          </cell>
          <cell r="D1130" t="str">
            <v>KG</v>
          </cell>
          <cell r="E1130" t="str">
            <v>CR</v>
          </cell>
          <cell r="F1130">
            <v>4.4800000000000004</v>
          </cell>
        </row>
        <row r="1131">
          <cell r="B1131">
            <v>1375</v>
          </cell>
          <cell r="C1131" t="str">
            <v>CIMENTO IMPERMEABILIZANTE DE PEGA ULTRARRAPIDA PARA TAMPONAMENTOS</v>
          </cell>
          <cell r="D1131" t="str">
            <v>KG</v>
          </cell>
          <cell r="E1131" t="str">
            <v>CR</v>
          </cell>
          <cell r="F1131">
            <v>15.83</v>
          </cell>
        </row>
        <row r="1132">
          <cell r="B1132">
            <v>1379</v>
          </cell>
          <cell r="C1132" t="str">
            <v>CIMENTO PORTLAND COMPOSTO CP II-32</v>
          </cell>
          <cell r="D1132" t="str">
            <v>KG</v>
          </cell>
          <cell r="E1132" t="str">
            <v>C</v>
          </cell>
          <cell r="F1132">
            <v>0.67</v>
          </cell>
        </row>
        <row r="1133">
          <cell r="B1133">
            <v>13284</v>
          </cell>
          <cell r="C1133" t="str">
            <v>CIMENTO PORTLAND DE ALTO FORNO (AF) CP III-40</v>
          </cell>
          <cell r="D1133" t="str">
            <v>KG</v>
          </cell>
          <cell r="E1133" t="str">
            <v>CR</v>
          </cell>
          <cell r="F1133">
            <v>0.6</v>
          </cell>
        </row>
        <row r="1134">
          <cell r="B1134">
            <v>44528</v>
          </cell>
          <cell r="C1134" t="str">
            <v>CIMENTO PORTLAND ESTRUTURAL BRANCO CPB - 32 OU CPB - 40</v>
          </cell>
          <cell r="D1134" t="str">
            <v>KG</v>
          </cell>
          <cell r="E1134" t="str">
            <v>CR</v>
          </cell>
          <cell r="F1134">
            <v>3.57</v>
          </cell>
        </row>
        <row r="1135">
          <cell r="B1135">
            <v>34753</v>
          </cell>
          <cell r="C1135" t="str">
            <v>CIMENTO PORTLAND POZOLANICO CP IV-32</v>
          </cell>
          <cell r="D1135" t="str">
            <v>KG</v>
          </cell>
          <cell r="E1135" t="str">
            <v>CR</v>
          </cell>
          <cell r="F1135">
            <v>0.65</v>
          </cell>
        </row>
        <row r="1136">
          <cell r="B1136">
            <v>420</v>
          </cell>
          <cell r="C1136" t="str">
            <v>CINTA CIRCULAR EM ACO GALVANIZADO DE 150 MM DE DIAMETRO PARA FIXACAO DE CAIXA MEDICAO, INCLUI PARAFUSOS E PORCAS</v>
          </cell>
          <cell r="D1136" t="str">
            <v>UN</v>
          </cell>
          <cell r="E1136" t="str">
            <v>CR</v>
          </cell>
          <cell r="F1136">
            <v>27.2</v>
          </cell>
        </row>
        <row r="1137">
          <cell r="B1137">
            <v>12327</v>
          </cell>
          <cell r="C1137" t="str">
            <v>CINTA CIRCULAR EM ACO GALVANIZADO DE 210 MM DE DIAMETRO PARA INSTALACAO DE TRANSFORMADOR EM POSTE DE CONCRETO</v>
          </cell>
          <cell r="D1137" t="str">
            <v>UN</v>
          </cell>
          <cell r="E1137" t="str">
            <v>CR</v>
          </cell>
          <cell r="F1137">
            <v>32.4</v>
          </cell>
        </row>
        <row r="1138">
          <cell r="B1138">
            <v>36148</v>
          </cell>
          <cell r="C1138" t="str">
            <v>CINTURAO DE SEGURANCA TIPO PARAQUEDISTA, FIVELA EM ACO, AJUSTE NO SUSPENSORIO, CINTURA E PERNAS</v>
          </cell>
          <cell r="D1138" t="str">
            <v>UN</v>
          </cell>
          <cell r="E1138" t="str">
            <v>CR</v>
          </cell>
          <cell r="F1138">
            <v>170.81</v>
          </cell>
        </row>
        <row r="1139">
          <cell r="B1139">
            <v>12329</v>
          </cell>
          <cell r="C1139" t="str">
            <v>COBRE ELETROLITICO EM BARRA OU CHAPA</v>
          </cell>
          <cell r="D1139" t="str">
            <v>KG</v>
          </cell>
          <cell r="E1139" t="str">
            <v>CR</v>
          </cell>
          <cell r="F1139">
            <v>137.07</v>
          </cell>
        </row>
        <row r="1140">
          <cell r="B1140">
            <v>44396</v>
          </cell>
          <cell r="C1140" t="str">
            <v>COLA BRANCA BASE PVA</v>
          </cell>
          <cell r="D1140" t="str">
            <v>KG</v>
          </cell>
          <cell r="E1140" t="str">
            <v>CR</v>
          </cell>
          <cell r="F1140">
            <v>48.71</v>
          </cell>
        </row>
        <row r="1141">
          <cell r="B1141">
            <v>44327</v>
          </cell>
          <cell r="C1141" t="str">
            <v>COLA PARA TUBOS E MANTAS ELASTOMERICAS, A BASE DE SOLVENTE</v>
          </cell>
          <cell r="D1141" t="str">
            <v>L</v>
          </cell>
          <cell r="E1141" t="str">
            <v>CR</v>
          </cell>
          <cell r="F1141">
            <v>165.67</v>
          </cell>
        </row>
        <row r="1142">
          <cell r="B1142">
            <v>37418</v>
          </cell>
          <cell r="C1142" t="str">
            <v>COLAR DE TOMADA EM POLIPROPILENO, PP, COM PARAFUSOS, PARA PEAD, 63 X 1/2" - LIGACAO PREDIAL DE AGUA</v>
          </cell>
          <cell r="D1142" t="str">
            <v>UN</v>
          </cell>
          <cell r="E1142" t="str">
            <v>CR</v>
          </cell>
          <cell r="F1142">
            <v>18.940000000000001</v>
          </cell>
        </row>
        <row r="1143">
          <cell r="B1143">
            <v>37419</v>
          </cell>
          <cell r="C1143" t="str">
            <v>COLAR DE TOMADA EM POLIPROPILENO, PP, COM PARAFUSOS, PARA PEAD, 63 X 3/4" - LIGACAO PREDIAL DE AGUA</v>
          </cell>
          <cell r="D1143" t="str">
            <v>UN</v>
          </cell>
          <cell r="E1143" t="str">
            <v>CR</v>
          </cell>
          <cell r="F1143">
            <v>19.45</v>
          </cell>
        </row>
        <row r="1144">
          <cell r="B1144">
            <v>1427</v>
          </cell>
          <cell r="C1144" t="str">
            <v>COLAR TOMADA PVC, COM TRAVAS, SAIDA COM ROSCA, DE 110 MM X 1/2" OU 110 MM X 3/4", PARA LIGACAO PREDIAL DE AGUA</v>
          </cell>
          <cell r="D1144" t="str">
            <v>UN</v>
          </cell>
          <cell r="E1144" t="str">
            <v>CR</v>
          </cell>
          <cell r="F1144">
            <v>23.56</v>
          </cell>
        </row>
        <row r="1145">
          <cell r="B1145">
            <v>1402</v>
          </cell>
          <cell r="C1145" t="str">
            <v>COLAR TOMADA PVC, COM TRAVAS, SAIDA COM ROSCA, DE 32 MM X 1/2" OU 32 MM X 3/4", PARA LIGACAO PREDIAL DE AGUA</v>
          </cell>
          <cell r="D1145" t="str">
            <v>UN</v>
          </cell>
          <cell r="E1145" t="str">
            <v>CR</v>
          </cell>
          <cell r="F1145">
            <v>8.15</v>
          </cell>
        </row>
        <row r="1146">
          <cell r="B1146">
            <v>1420</v>
          </cell>
          <cell r="C1146" t="str">
            <v>COLAR TOMADA PVC, COM TRAVAS, SAIDA COM ROSCA, DE 40 MM X 1/2" OU 40 MM X 3/4", PARA LIGACAO PREDIAL DE AGUA</v>
          </cell>
          <cell r="D1146" t="str">
            <v>UN</v>
          </cell>
          <cell r="E1146" t="str">
            <v>CR</v>
          </cell>
          <cell r="F1146">
            <v>10.49</v>
          </cell>
        </row>
        <row r="1147">
          <cell r="B1147">
            <v>1419</v>
          </cell>
          <cell r="C1147" t="str">
            <v>COLAR TOMADA PVC, COM TRAVAS, SAIDA COM ROSCA, DE 50 MM X 1/2" OU 50 MM X 3/4", PARA LIGACAO PREDIAL DE AGUA</v>
          </cell>
          <cell r="D1147" t="str">
            <v>UN</v>
          </cell>
          <cell r="E1147" t="str">
            <v>CR</v>
          </cell>
          <cell r="F1147">
            <v>12.66</v>
          </cell>
        </row>
        <row r="1148">
          <cell r="B1148">
            <v>1414</v>
          </cell>
          <cell r="C1148" t="str">
            <v>COLAR TOMADA PVC, COM TRAVAS, SAIDA COM ROSCA, DE 60 MM X 1/2" OU 60 MM X 3/4", PARA LIGACAO PREDIAL DE AGUA</v>
          </cell>
          <cell r="D1148" t="str">
            <v>UN</v>
          </cell>
          <cell r="E1148" t="str">
            <v>CR</v>
          </cell>
          <cell r="F1148">
            <v>12.39</v>
          </cell>
        </row>
        <row r="1149">
          <cell r="B1149">
            <v>1413</v>
          </cell>
          <cell r="C1149" t="str">
            <v>COLAR TOMADA PVC, COM TRAVAS, SAIDA COM ROSCA, DE 75 MM X 1/2" OU 75 MM X 3/4", PARA LIGACAO PREDIAL DE AGUA</v>
          </cell>
          <cell r="D1149" t="str">
            <v>UN</v>
          </cell>
          <cell r="E1149" t="str">
            <v>CR</v>
          </cell>
          <cell r="F1149">
            <v>18.3</v>
          </cell>
        </row>
        <row r="1150">
          <cell r="B1150">
            <v>1412</v>
          </cell>
          <cell r="C1150" t="str">
            <v>COLAR TOMADA PVC, COM TRAVAS, SAIDA COM ROSCA, DE 85 MM X 1/2" OU 85 MM X 3/4", PARA LIGACAO PREDIAL DE AGUA</v>
          </cell>
          <cell r="D1150" t="str">
            <v>UN</v>
          </cell>
          <cell r="E1150" t="str">
            <v>CR</v>
          </cell>
          <cell r="F1150">
            <v>15.51</v>
          </cell>
        </row>
        <row r="1151">
          <cell r="B1151">
            <v>1406</v>
          </cell>
          <cell r="C1151" t="str">
            <v>COLAR TOMADA PVC, COM TRAVAS, SAIDA ROSCAVEL COM BUCHA DE LATAO, DE 60 MM X 1/2" OU 60 MM X 3/4", PARA LIGACAO PREDIAL DE AGUA</v>
          </cell>
          <cell r="D1151" t="str">
            <v>UN</v>
          </cell>
          <cell r="E1151" t="str">
            <v>CR</v>
          </cell>
          <cell r="F1151">
            <v>18.71</v>
          </cell>
        </row>
        <row r="1152">
          <cell r="B1152">
            <v>45237</v>
          </cell>
          <cell r="C1152" t="str">
            <v>COLHER DE PEDREIRO 9", EM ACO, COM CANTOS REDONDOS E CABO DE MADEIRA OU PLASTICO</v>
          </cell>
          <cell r="D1152" t="str">
            <v>UN</v>
          </cell>
          <cell r="E1152" t="str">
            <v>CR</v>
          </cell>
          <cell r="F1152">
            <v>21.84</v>
          </cell>
        </row>
        <row r="1153">
          <cell r="B1153">
            <v>11281</v>
          </cell>
          <cell r="C1153" t="str">
            <v>COMPACTADOR DE SOLO A PERCUSSAO (SOQUETE), A GASOLINA 4 TEMPOS, PESO 55 A 65 KG, FORCA DE IMPACTO 1.000 A 1.500 KGF, FREQ. 600 A 700 GOLPES P/ MINUTO, VELOCIDADE TRABALHO DE 10 A 15 M/MIN, POT. DE 2,00 A 3,00 HP</v>
          </cell>
          <cell r="D1153" t="str">
            <v>UN</v>
          </cell>
          <cell r="E1153" t="str">
            <v>C</v>
          </cell>
          <cell r="F1153">
            <v>13734.7</v>
          </cell>
        </row>
        <row r="1154">
          <cell r="B1154">
            <v>1442</v>
          </cell>
          <cell r="C1154" t="str">
            <v>COMPACTADOR DE SOLO TIPO PLACA VIBRATORIA REVERSIVEL, A GASOLINA 4 TEMPOS, PESO 125 A 150 KG, FORCA CENTRIF. 2500 A 2800 KGF, LARG. TRABALHO 400 A 450 MM, FREQ. VIBRACAO 4300 A 4500 RPM, VELOC. TRABALHO 15 A 20 M/MIN, POT. 5,5 A 6,0 HP</v>
          </cell>
          <cell r="D1154" t="str">
            <v>UN</v>
          </cell>
          <cell r="E1154" t="str">
            <v>CR</v>
          </cell>
          <cell r="F1154">
            <v>11530.18</v>
          </cell>
        </row>
        <row r="1155">
          <cell r="B1155">
            <v>13458</v>
          </cell>
          <cell r="C1155" t="str">
            <v>COMPACTADOR DE SOLOS DE PERCURSAO (SOQUETE) COM MOTOR A GASOLINA 4 TEMPOS DE 4 HP (4 CV)</v>
          </cell>
          <cell r="D1155" t="str">
            <v>UN</v>
          </cell>
          <cell r="E1155" t="str">
            <v>CR</v>
          </cell>
          <cell r="F1155">
            <v>17019.080000000002</v>
          </cell>
        </row>
        <row r="1156">
          <cell r="B1156">
            <v>11134</v>
          </cell>
          <cell r="C1156" t="str">
            <v>COMPENSADO NAVAL - CHAPA/PAINEL EM MADEIRA COMPENSADA PRENSADA, DE 2200 X 1600 MM, E = 10 MM</v>
          </cell>
          <cell r="D1156" t="str">
            <v>M2</v>
          </cell>
          <cell r="E1156" t="str">
            <v>CR</v>
          </cell>
          <cell r="F1156">
            <v>58.35</v>
          </cell>
        </row>
        <row r="1157">
          <cell r="B1157">
            <v>11135</v>
          </cell>
          <cell r="C1157" t="str">
            <v>COMPENSADO NAVAL - CHAPA/PAINEL EM MADEIRA COMPENSADA PRENSADA, DE 2200 X 1600 MM, E = 12 MM</v>
          </cell>
          <cell r="D1157" t="str">
            <v>M2</v>
          </cell>
          <cell r="E1157" t="str">
            <v>CR</v>
          </cell>
          <cell r="F1157">
            <v>63</v>
          </cell>
        </row>
        <row r="1158">
          <cell r="B1158">
            <v>11136</v>
          </cell>
          <cell r="C1158" t="str">
            <v>COMPENSADO NAVAL - CHAPA/PAINEL EM MADEIRA COMPENSADA PRENSADA, DE 2200 X 1600 MM, E = 15 MM</v>
          </cell>
          <cell r="D1158" t="str">
            <v>M2</v>
          </cell>
          <cell r="E1158" t="str">
            <v>CR</v>
          </cell>
          <cell r="F1158">
            <v>72.14</v>
          </cell>
        </row>
        <row r="1159">
          <cell r="B1159">
            <v>34743</v>
          </cell>
          <cell r="C1159" t="str">
            <v>COMPENSADO NAVAL - CHAPA/PAINEL EM MADEIRA COMPENSADA PRENSADA, DE 2200 X 1600 MM, E = 18 MM</v>
          </cell>
          <cell r="D1159" t="str">
            <v>M2</v>
          </cell>
          <cell r="E1159" t="str">
            <v>CR</v>
          </cell>
          <cell r="F1159">
            <v>87.04</v>
          </cell>
        </row>
        <row r="1160">
          <cell r="B1160">
            <v>11137</v>
          </cell>
          <cell r="C1160" t="str">
            <v>COMPENSADO NAVAL - CHAPA/PAINEL EM MADEIRA COMPENSADA PRENSADA, DE 2200 X 1600 MM, E = 20 MM</v>
          </cell>
          <cell r="D1160" t="str">
            <v>M2</v>
          </cell>
          <cell r="E1160" t="str">
            <v>CR</v>
          </cell>
          <cell r="F1160">
            <v>98.86</v>
          </cell>
        </row>
        <row r="1161">
          <cell r="B1161">
            <v>34745</v>
          </cell>
          <cell r="C1161" t="str">
            <v>COMPENSADO NAVAL - CHAPA/PAINEL EM MADEIRA COMPENSADA PRENSADA, DE 2200 X 1600 MM, E = 25 MM</v>
          </cell>
          <cell r="D1161" t="str">
            <v>M2</v>
          </cell>
          <cell r="E1161" t="str">
            <v>CR</v>
          </cell>
          <cell r="F1161">
            <v>117.57</v>
          </cell>
        </row>
        <row r="1162">
          <cell r="B1162">
            <v>34746</v>
          </cell>
          <cell r="C1162" t="str">
            <v>COMPENSADO NAVAL - CHAPA/PAINEL EM MADEIRA COMPENSADA PRENSADA, DE 2200 X 1600 MM, E = 4 MM</v>
          </cell>
          <cell r="D1162" t="str">
            <v>M2</v>
          </cell>
          <cell r="E1162" t="str">
            <v>CR</v>
          </cell>
          <cell r="F1162">
            <v>32.06</v>
          </cell>
        </row>
        <row r="1163">
          <cell r="B1163">
            <v>1360</v>
          </cell>
          <cell r="C1163" t="str">
            <v>COMPENSADO NAVAL - CHAPA/PAINEL EM MADEIRA COMPENSADA PRENSADA, DE 2200 X 1600 MM, E = 6 MM</v>
          </cell>
          <cell r="D1163" t="str">
            <v>M2</v>
          </cell>
          <cell r="E1163" t="str">
            <v>CR</v>
          </cell>
          <cell r="F1163">
            <v>37.4</v>
          </cell>
        </row>
        <row r="1164">
          <cell r="B1164">
            <v>45300</v>
          </cell>
          <cell r="C1164" t="str">
            <v>COMPRESSOR DE AR PROFISSIONAL 10 PCM, *110* L, 140 PSI, 110/220 VOLTS, MONOFASICO</v>
          </cell>
          <cell r="D1164" t="str">
            <v>UN</v>
          </cell>
          <cell r="E1164" t="str">
            <v>CR</v>
          </cell>
          <cell r="F1164">
            <v>2434.38</v>
          </cell>
        </row>
        <row r="1165">
          <cell r="B1165">
            <v>36526</v>
          </cell>
          <cell r="C1165" t="str">
            <v>COMPRESSOR DE AR REBOCAVEL VAZAO 400 PCM, PRESSAO EFETIVA DE TRABALHO 102 PSI, MOTOR DIESEL, POTENCIA 110 CV</v>
          </cell>
          <cell r="D1165" t="str">
            <v>UN</v>
          </cell>
          <cell r="E1165" t="str">
            <v>CR</v>
          </cell>
          <cell r="F1165">
            <v>156805.28</v>
          </cell>
        </row>
        <row r="1166">
          <cell r="B1166">
            <v>36523</v>
          </cell>
          <cell r="C1166" t="str">
            <v>COMPRESSOR DE AR REBOCAVEL VAZAO 748 PCM, PRESSAO EFETIVA DE TRABALHO 102 PSI, MOTOR DIESEL, POTENCIA 210 CV</v>
          </cell>
          <cell r="D1166" t="str">
            <v>UN</v>
          </cell>
          <cell r="E1166" t="str">
            <v>CR</v>
          </cell>
          <cell r="F1166">
            <v>335698.96</v>
          </cell>
        </row>
        <row r="1167">
          <cell r="B1167">
            <v>36522</v>
          </cell>
          <cell r="C1167" t="str">
            <v>COMPRESSOR DE AR REBOCAVEL, VAZAO 189 PCM, PRESSAO EFETIVA DE TRABALHO 102 PSI, MOTOR DIESEL, POTENCIA 63 CV</v>
          </cell>
          <cell r="D1167" t="str">
            <v>UN</v>
          </cell>
          <cell r="E1167" t="str">
            <v>CR</v>
          </cell>
          <cell r="F1167">
            <v>98734.35</v>
          </cell>
        </row>
        <row r="1168">
          <cell r="B1168">
            <v>36525</v>
          </cell>
          <cell r="C1168" t="str">
            <v>COMPRESSOR DE AR REBOCAVEL, VAZAO 250 PCM, PRESSAO EFETIVA DE TRABALHO 102 PSI, MOTOR DIESEL, POTENCIA 81 CV</v>
          </cell>
          <cell r="D1168" t="str">
            <v>UN</v>
          </cell>
          <cell r="E1168" t="str">
            <v>CR</v>
          </cell>
          <cell r="F1168">
            <v>132228.35</v>
          </cell>
        </row>
        <row r="1169">
          <cell r="B1169">
            <v>13803</v>
          </cell>
          <cell r="C1169" t="str">
            <v>COMPRESSOR DE AR REBOCAVEL, VAZAO 89 PCM, PRESSAO EFETIVA DE TRABALHO *102* PSI, MOTOR DIESEL, POTENCIA *20* CV</v>
          </cell>
          <cell r="D1169" t="str">
            <v>UN</v>
          </cell>
          <cell r="E1169" t="str">
            <v>C</v>
          </cell>
          <cell r="F1169">
            <v>131850</v>
          </cell>
        </row>
        <row r="1170">
          <cell r="B1170">
            <v>34348</v>
          </cell>
          <cell r="C1170" t="str">
            <v>CONCERTINA CLIPADA (DUPLA) EM ACO GALVANIZADO DE ALTA RESISTENCIA, COM ESPIRAL DE 300 MM, D = 2,76 MM</v>
          </cell>
          <cell r="D1170" t="str">
            <v>M</v>
          </cell>
          <cell r="E1170" t="str">
            <v>CR</v>
          </cell>
          <cell r="F1170">
            <v>22.69</v>
          </cell>
        </row>
        <row r="1171">
          <cell r="B1171">
            <v>34347</v>
          </cell>
          <cell r="C1171" t="str">
            <v>CONCERTINA SIMPLES EM ACO GALVANIZADO DE ALTA RESISTENCIA, COM ESPIRAL DE 300 MM, D = 2,76 MM</v>
          </cell>
          <cell r="D1171" t="str">
            <v>M</v>
          </cell>
          <cell r="E1171" t="str">
            <v>CR</v>
          </cell>
          <cell r="F1171">
            <v>16.22</v>
          </cell>
        </row>
        <row r="1172">
          <cell r="B1172">
            <v>11146</v>
          </cell>
          <cell r="C1172" t="str">
            <v>CONCRETO AUTOADENSAVEL (CAA) CLASSE DE RESISTENCIA C15, ESPALHAMENTO SF2, COM BOMBEAMENTO (DISPONIBILIZACAO DE BOMBA), SEM O LANCAMENTO (NBR 15823)</v>
          </cell>
          <cell r="D1172" t="str">
            <v>M3</v>
          </cell>
          <cell r="E1172" t="str">
            <v>CR</v>
          </cell>
          <cell r="F1172">
            <v>485.1</v>
          </cell>
        </row>
        <row r="1173">
          <cell r="B1173">
            <v>11147</v>
          </cell>
          <cell r="C1173" t="str">
            <v>CONCRETO AUTOADENSAVEL (CAA) CLASSE DE RESISTENCIA C20, ESPALHAMENTO SF2, COM BOMBEAMENTO (DISPONIBILIZACAO DE BOMBA), SEM O LANCAMENTO (NBR 15823)</v>
          </cell>
          <cell r="D1173" t="str">
            <v>M3</v>
          </cell>
          <cell r="E1173" t="str">
            <v>CR</v>
          </cell>
          <cell r="F1173">
            <v>504.09</v>
          </cell>
        </row>
        <row r="1174">
          <cell r="B1174">
            <v>34872</v>
          </cell>
          <cell r="C1174" t="str">
            <v>CONCRETO AUTOADENSAVEL (CAA) CLASSE DE RESISTENCIA C25, ESPALHAMENTO SF2, COM BOMBEAMENTO (DISPONIBILIZACAO DE BOMBA), SEM O LANCAMENTO (NBR 15823)</v>
          </cell>
          <cell r="D1174" t="str">
            <v>M3</v>
          </cell>
          <cell r="E1174" t="str">
            <v>CR</v>
          </cell>
          <cell r="F1174">
            <v>509.75</v>
          </cell>
        </row>
        <row r="1175">
          <cell r="B1175">
            <v>34491</v>
          </cell>
          <cell r="C1175" t="str">
            <v>CONCRETO AUTOADENSAVEL (CAA) CLASSE DE RESISTENCIA C30, ESPALHAMENTO SF2, COM BOMBEAMENTO (DISPONIBILIZACAO DE BOMBA), SEM O LANCAMENTO (NBR 15823)</v>
          </cell>
          <cell r="D1175" t="str">
            <v>M3</v>
          </cell>
          <cell r="E1175" t="str">
            <v>CR</v>
          </cell>
          <cell r="F1175">
            <v>524.52</v>
          </cell>
        </row>
        <row r="1176">
          <cell r="B1176">
            <v>34770</v>
          </cell>
          <cell r="C1176" t="str">
            <v>CONCRETO BETUMINOSO USINADO A QUENTE (CBUQ) PARA PAVIMENTACAO ASFALTICA, PADRAO DNIT, FAIXA C, COM CAP 30/45 - AQUISICAO POSTO USINA</v>
          </cell>
          <cell r="D1176" t="str">
            <v>T</v>
          </cell>
          <cell r="E1176" t="str">
            <v>CR</v>
          </cell>
          <cell r="F1176">
            <v>512.51</v>
          </cell>
        </row>
        <row r="1177">
          <cell r="B1177">
            <v>1518</v>
          </cell>
          <cell r="C1177" t="str">
            <v>CONCRETO BETUMINOSO USINADO A QUENTE (CBUQ) PARA PAVIMENTACAO ASFALTICA, PADRAO DNIT, FAIXA C, COM CAP 50/70 - AQUISICAO POSTO USINA</v>
          </cell>
          <cell r="D1177" t="str">
            <v>T</v>
          </cell>
          <cell r="E1177" t="str">
            <v>C</v>
          </cell>
          <cell r="F1177">
            <v>522.5</v>
          </cell>
        </row>
        <row r="1178">
          <cell r="B1178">
            <v>41965</v>
          </cell>
          <cell r="C1178" t="str">
            <v>CONCRETO BETUMINOSO USINADO A QUENTE (CBUQ) PARA PAVIMENTACAO ASFALTICA, PADRAO DNIT, PARA BINDER, COM CAP 50/70 - AQUISICAO POSTO USINA</v>
          </cell>
          <cell r="D1178" t="str">
            <v>T</v>
          </cell>
          <cell r="E1178" t="str">
            <v>CR</v>
          </cell>
          <cell r="F1178">
            <v>458.14</v>
          </cell>
        </row>
        <row r="1179">
          <cell r="B1179">
            <v>1524</v>
          </cell>
          <cell r="C1179" t="str">
            <v>CONCRETO USINADO BOMBEAVEL, CLASSE DE RESISTENCIA C20, BRITA 0 E 1, SLUMP = 100 +/- 20 MM, COM BOMBEAMENTO (DISPONIBILIZACAO DE BOMBA), SEM O LANCAMENTO (NBR 8953)</v>
          </cell>
          <cell r="D1179" t="str">
            <v>M3</v>
          </cell>
          <cell r="E1179" t="str">
            <v>CR</v>
          </cell>
          <cell r="F1179">
            <v>465.42</v>
          </cell>
        </row>
        <row r="1180">
          <cell r="B1180">
            <v>34492</v>
          </cell>
          <cell r="C1180" t="str">
            <v>CONCRETO USINADO BOMBEAVEL, CLASSE DE RESISTENCIA C20, COM BRITA 0 E 1, SLUMP = 100 +/- 20 MM, EXCLUI SERVICO DE BOMBEAMENTO (NBR 8953)</v>
          </cell>
          <cell r="D1180" t="str">
            <v>M3</v>
          </cell>
          <cell r="E1180" t="str">
            <v>C</v>
          </cell>
          <cell r="F1180">
            <v>431.11</v>
          </cell>
        </row>
        <row r="1181">
          <cell r="B1181">
            <v>38404</v>
          </cell>
          <cell r="C1181" t="str">
            <v>CONCRETO USINADO BOMBEAVEL, CLASSE DE RESISTENCIA C20, COM BRITA 0 E 1, SLUMP = 130 +/- 20 MM, EXCLUI SERVICO DE BOMBEAMENTO (NBR 8953)</v>
          </cell>
          <cell r="D1181" t="str">
            <v>M3</v>
          </cell>
          <cell r="E1181" t="str">
            <v>CR</v>
          </cell>
          <cell r="F1181">
            <v>446.54</v>
          </cell>
        </row>
        <row r="1182">
          <cell r="B1182">
            <v>39849</v>
          </cell>
          <cell r="C1182" t="str">
            <v>CONCRETO USINADO BOMBEAVEL, CLASSE DE RESISTENCIA C20, COM BRITA 0 E 1, SLUMP = 190 +/- 20 MM, COM BOMBEAMENTO (DISPONIBILIZACAO DE BOMBA), SEM O LANCAMENTO (NBR 8953)</v>
          </cell>
          <cell r="D1182" t="str">
            <v>M3</v>
          </cell>
          <cell r="E1182" t="str">
            <v>CR</v>
          </cell>
          <cell r="F1182">
            <v>511.74</v>
          </cell>
        </row>
        <row r="1183">
          <cell r="B1183">
            <v>38464</v>
          </cell>
          <cell r="C1183" t="str">
            <v>CONCRETO USINADO BOMBEAVEL, CLASSE DE RESISTENCIA C20, COM BRITA 0, SLUMP = 220 +/- 20 MM, COM BOMBEAMENTO (DISPONIBILIZACAO DE BOMBA), SEM O LANCAMENTO (NBR 8953)</v>
          </cell>
          <cell r="D1183" t="str">
            <v>M3</v>
          </cell>
          <cell r="E1183" t="str">
            <v>CR</v>
          </cell>
          <cell r="F1183">
            <v>519.16999999999996</v>
          </cell>
        </row>
        <row r="1184">
          <cell r="B1184">
            <v>1527</v>
          </cell>
          <cell r="C1184" t="str">
            <v>CONCRETO USINADO BOMBEAVEL, CLASSE DE RESISTENCIA C25, BRITA 0 E 1, SLUMP = 100 +/- 20 MM, COM BOMBEAMENTO (DISPONIBILIZACAO DE BOMBA), SEM O LANCAMENTO (NBR 8953)</v>
          </cell>
          <cell r="D1184" t="str">
            <v>M3</v>
          </cell>
          <cell r="E1184" t="str">
            <v>CR</v>
          </cell>
          <cell r="F1184">
            <v>480.2</v>
          </cell>
        </row>
        <row r="1185">
          <cell r="B1185">
            <v>34493</v>
          </cell>
          <cell r="C1185" t="str">
            <v>CONCRETO USINADO BOMBEAVEL, CLASSE DE RESISTENCIA C25, COM BRITA 0 E 1, SLUMP = 100 +/- 20 MM, EXCLUI SERVICO DE BOMBEAMENTO (NBR 8953)</v>
          </cell>
          <cell r="D1185" t="str">
            <v>M3</v>
          </cell>
          <cell r="E1185" t="str">
            <v>CR</v>
          </cell>
          <cell r="F1185">
            <v>443.26</v>
          </cell>
        </row>
        <row r="1186">
          <cell r="B1186">
            <v>38405</v>
          </cell>
          <cell r="C1186" t="str">
            <v>CONCRETO USINADO BOMBEAVEL, CLASSE DE RESISTENCIA C25, COM BRITA 0 E 1, SLUMP = 130 +/- 20 MM, EXCLUI SERVICO DE BOMBEAMENTO (NBR 8953)</v>
          </cell>
          <cell r="D1186" t="str">
            <v>M3</v>
          </cell>
          <cell r="E1186" t="str">
            <v>CR</v>
          </cell>
          <cell r="F1186">
            <v>460.32</v>
          </cell>
        </row>
        <row r="1187">
          <cell r="B1187">
            <v>38408</v>
          </cell>
          <cell r="C1187" t="str">
            <v>CONCRETO USINADO BOMBEAVEL, CLASSE DE RESISTENCIA C25, COM BRITA 0 E 1, SLUMP = 190 +/- 20 MM, EXCLUI SERVICO DE BOMBEAMENTO (NBR 8953)</v>
          </cell>
          <cell r="D1187" t="str">
            <v>M3</v>
          </cell>
          <cell r="E1187" t="str">
            <v>CR</v>
          </cell>
          <cell r="F1187">
            <v>509.52</v>
          </cell>
        </row>
        <row r="1188">
          <cell r="B1188">
            <v>1525</v>
          </cell>
          <cell r="C1188" t="str">
            <v>CONCRETO USINADO BOMBEAVEL, CLASSE DE RESISTENCIA C30, BRITA 0 E 1, SLUMP = 100 +/- 20 MM, COM BOMBEAMENTO (DISPONIBILIZACAO DE BOMBA), SEM O LANCAMENTO (NBR 8953)</v>
          </cell>
          <cell r="D1188" t="str">
            <v>M3</v>
          </cell>
          <cell r="E1188" t="str">
            <v>CR</v>
          </cell>
          <cell r="F1188">
            <v>494.97</v>
          </cell>
        </row>
        <row r="1189">
          <cell r="B1189">
            <v>34494</v>
          </cell>
          <cell r="C1189" t="str">
            <v>CONCRETO USINADO BOMBEAVEL, CLASSE DE RESISTENCIA C30, COM BRITA 0 E 1, SLUMP = 100 +/- 20 MM, EXCLUI SERVICO DE BOMBEAMENTO (NBR 8953)</v>
          </cell>
          <cell r="D1189" t="str">
            <v>M3</v>
          </cell>
          <cell r="E1189" t="str">
            <v>CR</v>
          </cell>
          <cell r="F1189">
            <v>458.03</v>
          </cell>
        </row>
        <row r="1190">
          <cell r="B1190">
            <v>38406</v>
          </cell>
          <cell r="C1190" t="str">
            <v>CONCRETO USINADO BOMBEAVEL, CLASSE DE RESISTENCIA C30, COM BRITA 0 E 1, SLUMP = 130 +/- 20 MM, EXCLUI SERVICO DE BOMBEAMENTO (NBR 8953)</v>
          </cell>
          <cell r="D1190" t="str">
            <v>M3</v>
          </cell>
          <cell r="E1190" t="str">
            <v>CR</v>
          </cell>
          <cell r="F1190">
            <v>486.06</v>
          </cell>
        </row>
        <row r="1191">
          <cell r="B1191">
            <v>38409</v>
          </cell>
          <cell r="C1191" t="str">
            <v>CONCRETO USINADO BOMBEAVEL, CLASSE DE RESISTENCIA C30, COM BRITA 0 E 1, SLUMP = 190 +/- 20 MM, EXCLUI SERVICO DE BOMBEAMENTO (NBR 8953)</v>
          </cell>
          <cell r="D1191" t="str">
            <v>M3</v>
          </cell>
          <cell r="E1191" t="str">
            <v>CR</v>
          </cell>
          <cell r="F1191">
            <v>513</v>
          </cell>
        </row>
        <row r="1192">
          <cell r="B1192">
            <v>43360</v>
          </cell>
          <cell r="C1192" t="str">
            <v>CONCRETO USINADO BOMBEAVEL, CLASSE DE RESISTENCIA C30, COM BRITA 0 E 1, SLUMP = 220 +/- 30 MM, EXCLUI SERVICO DE BOMBEAMENTO (NBR 8953)</v>
          </cell>
          <cell r="D1192" t="str">
            <v>M3</v>
          </cell>
          <cell r="E1192" t="str">
            <v>CR</v>
          </cell>
          <cell r="F1192">
            <v>534.91</v>
          </cell>
        </row>
        <row r="1193">
          <cell r="B1193">
            <v>11145</v>
          </cell>
          <cell r="C1193" t="str">
            <v>CONCRETO USINADO BOMBEAVEL, CLASSE DE RESISTENCIA C35, BRITA 0 E 1, SLUMP = 100 +/- 20 MM, COM BOMBEAMENTO (DISPONIBILIZACAO DE BOMBA), SEM O LANCAMENTO (NBR 8953)</v>
          </cell>
          <cell r="D1193" t="str">
            <v>M3</v>
          </cell>
          <cell r="E1193" t="str">
            <v>CR</v>
          </cell>
          <cell r="F1193">
            <v>509.75</v>
          </cell>
        </row>
        <row r="1194">
          <cell r="B1194">
            <v>34495</v>
          </cell>
          <cell r="C1194" t="str">
            <v>CONCRETO USINADO BOMBEAVEL, CLASSE DE RESISTENCIA C35, COM BRITA 0 E 1, SLUMP = 100 +/- 20 MM, EXCLUI SERVICO DE BOMBEAMENTO (NBR 8953)</v>
          </cell>
          <cell r="D1194" t="str">
            <v>M3</v>
          </cell>
          <cell r="E1194" t="str">
            <v>CR</v>
          </cell>
          <cell r="F1194">
            <v>472.81</v>
          </cell>
        </row>
        <row r="1195">
          <cell r="B1195">
            <v>34479</v>
          </cell>
          <cell r="C1195" t="str">
            <v>CONCRETO USINADO BOMBEAVEL, CLASSE DE RESISTENCIA C40, BRITA 0 E 1, SLUMP = 100 +/- 20 MM, COM BOMBEAMENTO (DISPONIBILIZACAO DE BOMBA), SEM O LANCAMENTO (NBR 8953)</v>
          </cell>
          <cell r="D1195" t="str">
            <v>M3</v>
          </cell>
          <cell r="E1195" t="str">
            <v>CR</v>
          </cell>
          <cell r="F1195">
            <v>524.52</v>
          </cell>
        </row>
        <row r="1196">
          <cell r="B1196">
            <v>34496</v>
          </cell>
          <cell r="C1196" t="str">
            <v>CONCRETO USINADO BOMBEAVEL, CLASSE DE RESISTENCIA C40, COM BRITA 0 E 1, SLUMP = 100 +/- 20 MM, EXCLUI SERVICO DE BOMBEAMENTO (NBR 8953)</v>
          </cell>
          <cell r="D1196" t="str">
            <v>M3</v>
          </cell>
          <cell r="E1196" t="str">
            <v>CR</v>
          </cell>
          <cell r="F1196">
            <v>493.22</v>
          </cell>
        </row>
        <row r="1197">
          <cell r="B1197">
            <v>34481</v>
          </cell>
          <cell r="C1197" t="str">
            <v>CONCRETO USINADO BOMBEAVEL, CLASSE DE RESISTENCIA C45, BRITA 0 E 1, SLUMP = 100 +/- 20 MM, COM BOMBEAMENTO (DISPONIBILIZACAO DE BOMBA), SEM O LANCAMENTO (NBR 8953)</v>
          </cell>
          <cell r="D1197" t="str">
            <v>M3</v>
          </cell>
          <cell r="E1197" t="str">
            <v>CR</v>
          </cell>
          <cell r="F1197">
            <v>548.05999999999995</v>
          </cell>
        </row>
        <row r="1198">
          <cell r="B1198">
            <v>34483</v>
          </cell>
          <cell r="C1198" t="str">
            <v>CONCRETO USINADO BOMBEAVEL, CLASSE DE RESISTENCIA C50, BRITA 0 E 1, SLUMP = 100 +/- 20 MM, COM BOMBEAMENTO (DISPONIBILIZACAO DE BOMBA), SEM O LANCAMENTO (NBR 8953)</v>
          </cell>
          <cell r="D1198" t="str">
            <v>M3</v>
          </cell>
          <cell r="E1198" t="str">
            <v>CR</v>
          </cell>
          <cell r="F1198">
            <v>585.57000000000005</v>
          </cell>
        </row>
        <row r="1199">
          <cell r="B1199">
            <v>34485</v>
          </cell>
          <cell r="C1199" t="str">
            <v>CONCRETO USINADO BOMBEAVEL, CLASSE DE RESISTENCIA C60, COM BRITA 0 E 1, SLUMP = 100 +/- 20 MM, COM BOMBEAMENTO (DISPONIBILIZACAO DE BOMBA), SEM O LANCAMENTO (NBR 8953)</v>
          </cell>
          <cell r="D1199" t="str">
            <v>M3</v>
          </cell>
          <cell r="E1199" t="str">
            <v>CR</v>
          </cell>
          <cell r="F1199">
            <v>626.20000000000005</v>
          </cell>
        </row>
        <row r="1200">
          <cell r="B1200">
            <v>14041</v>
          </cell>
          <cell r="C1200" t="str">
            <v>CONCRETO USINADO CONVENCIONAL (NAO BOMBEAVEL) CLASSE DE RESISTENCIA C10, COM BRITA 1 E 2, SLUMP = 80 MM +/- 10 MM (NBR 8953)</v>
          </cell>
          <cell r="D1200" t="str">
            <v>M3</v>
          </cell>
          <cell r="E1200" t="str">
            <v>CR</v>
          </cell>
          <cell r="F1200">
            <v>407.06</v>
          </cell>
        </row>
        <row r="1201">
          <cell r="B1201">
            <v>1523</v>
          </cell>
          <cell r="C1201" t="str">
            <v>CONCRETO USINADO CONVENCIONAL (NAO BOMBEAVEL) CLASSE DE RESISTENCIA C15, COM BRITA 1 E 2, SLUMP = 80 MM +/- 10 MM (NBR 8953)</v>
          </cell>
          <cell r="D1201" t="str">
            <v>M3</v>
          </cell>
          <cell r="E1201" t="str">
            <v>CR</v>
          </cell>
          <cell r="F1201">
            <v>413.71</v>
          </cell>
        </row>
        <row r="1202">
          <cell r="B1202">
            <v>14054</v>
          </cell>
          <cell r="C1202" t="str">
            <v>CONDULETE DE ALUMINIO TIPO B, PARA ELETRODUTO ROSCAVEL DE 1", COM TAMPA CEGA</v>
          </cell>
          <cell r="D1202" t="str">
            <v>UN</v>
          </cell>
          <cell r="E1202" t="str">
            <v>CR</v>
          </cell>
          <cell r="F1202">
            <v>19.32</v>
          </cell>
        </row>
        <row r="1203">
          <cell r="B1203">
            <v>14052</v>
          </cell>
          <cell r="C1203" t="str">
            <v>CONDULETE DE ALUMINIO TIPO B, PARA ELETRODUTO ROSCAVEL DE 1/2", COM TAMPA CEGA</v>
          </cell>
          <cell r="D1203" t="str">
            <v>UN</v>
          </cell>
          <cell r="E1203" t="str">
            <v>CR</v>
          </cell>
          <cell r="F1203">
            <v>14.86</v>
          </cell>
        </row>
        <row r="1204">
          <cell r="B1204">
            <v>14053</v>
          </cell>
          <cell r="C1204" t="str">
            <v>CONDULETE DE ALUMINIO TIPO B, PARA ELETRODUTO ROSCAVEL DE 3/4", COM TAMPA CEGA</v>
          </cell>
          <cell r="D1204" t="str">
            <v>UN</v>
          </cell>
          <cell r="E1204" t="str">
            <v>CR</v>
          </cell>
          <cell r="F1204">
            <v>15.09</v>
          </cell>
        </row>
        <row r="1205">
          <cell r="B1205">
            <v>2560</v>
          </cell>
          <cell r="C1205" t="str">
            <v>CONDULETE DE ALUMINIO TIPO C, PARA ELETRODUTO ROSCAVEL DE 1", COM TAMPA CEGA</v>
          </cell>
          <cell r="D1205" t="str">
            <v>UN</v>
          </cell>
          <cell r="E1205" t="str">
            <v>CR</v>
          </cell>
          <cell r="F1205">
            <v>19.989999999999998</v>
          </cell>
        </row>
        <row r="1206">
          <cell r="B1206">
            <v>2558</v>
          </cell>
          <cell r="C1206" t="str">
            <v>CONDULETE DE ALUMINIO TIPO C, PARA ELETRODUTO ROSCAVEL DE 1/2", COM TAMPA CEGA</v>
          </cell>
          <cell r="D1206" t="str">
            <v>UN</v>
          </cell>
          <cell r="E1206" t="str">
            <v>CR</v>
          </cell>
          <cell r="F1206">
            <v>11.36</v>
          </cell>
        </row>
        <row r="1207">
          <cell r="B1207">
            <v>2559</v>
          </cell>
          <cell r="C1207" t="str">
            <v>CONDULETE DE ALUMINIO TIPO C, PARA ELETRODUTO ROSCAVEL DE 3/4", COM TAMPA CEGA</v>
          </cell>
          <cell r="D1207" t="str">
            <v>UN</v>
          </cell>
          <cell r="E1207" t="str">
            <v>C</v>
          </cell>
          <cell r="F1207">
            <v>15.99</v>
          </cell>
        </row>
        <row r="1208">
          <cell r="B1208">
            <v>2592</v>
          </cell>
          <cell r="C1208" t="str">
            <v>CONDULETE DE ALUMINIO TIPO C, PARA ELETRODUTO ROSCAVEL DE 4", COM TAMPA CEGA</v>
          </cell>
          <cell r="D1208" t="str">
            <v>UN</v>
          </cell>
          <cell r="E1208" t="str">
            <v>CR</v>
          </cell>
          <cell r="F1208">
            <v>265.08</v>
          </cell>
        </row>
        <row r="1209">
          <cell r="B1209">
            <v>2589</v>
          </cell>
          <cell r="C1209" t="str">
            <v>CONDULETE DE ALUMINIO TIPO E, PARA ELETRODUTO ROSCAVEL DE 1 1/2", COM TAMPA CEGA</v>
          </cell>
          <cell r="D1209" t="str">
            <v>UN</v>
          </cell>
          <cell r="E1209" t="str">
            <v>CR</v>
          </cell>
          <cell r="F1209">
            <v>35.46</v>
          </cell>
        </row>
        <row r="1210">
          <cell r="B1210">
            <v>2566</v>
          </cell>
          <cell r="C1210" t="str">
            <v>CONDULETE DE ALUMINIO TIPO E, PARA ELETRODUTO ROSCAVEL DE 1 1/4", COM TAMPA CEGA</v>
          </cell>
          <cell r="D1210" t="str">
            <v>UN</v>
          </cell>
          <cell r="E1210" t="str">
            <v>CR</v>
          </cell>
          <cell r="F1210">
            <v>26.67</v>
          </cell>
        </row>
        <row r="1211">
          <cell r="B1211">
            <v>2590</v>
          </cell>
          <cell r="C1211" t="str">
            <v>CONDULETE DE ALUMINIO TIPO E, PARA ELETRODUTO ROSCAVEL DE 1", COM TAMPA CEGA</v>
          </cell>
          <cell r="D1211" t="str">
            <v>UN</v>
          </cell>
          <cell r="E1211" t="str">
            <v>CR</v>
          </cell>
          <cell r="F1211">
            <v>21.76</v>
          </cell>
        </row>
        <row r="1212">
          <cell r="B1212">
            <v>2591</v>
          </cell>
          <cell r="C1212" t="str">
            <v>CONDULETE DE ALUMINIO TIPO E, PARA ELETRODUTO ROSCAVEL DE 1/2", COM TAMPA CEGA</v>
          </cell>
          <cell r="D1212" t="str">
            <v>UN</v>
          </cell>
          <cell r="E1212" t="str">
            <v>CR</v>
          </cell>
          <cell r="F1212">
            <v>12.93</v>
          </cell>
        </row>
        <row r="1213">
          <cell r="B1213">
            <v>2567</v>
          </cell>
          <cell r="C1213" t="str">
            <v>CONDULETE DE ALUMINIO TIPO E, PARA ELETRODUTO ROSCAVEL DE 2", COM TAMPA CEGA</v>
          </cell>
          <cell r="D1213" t="str">
            <v>UN</v>
          </cell>
          <cell r="E1213" t="str">
            <v>CR</v>
          </cell>
          <cell r="F1213">
            <v>52.01</v>
          </cell>
        </row>
        <row r="1214">
          <cell r="B1214">
            <v>2568</v>
          </cell>
          <cell r="C1214" t="str">
            <v>CONDULETE DE ALUMINIO TIPO E, PARA ELETRODUTO ROSCAVEL DE 3", COM TAMPA CEGA</v>
          </cell>
          <cell r="D1214" t="str">
            <v>UN</v>
          </cell>
          <cell r="E1214" t="str">
            <v>CR</v>
          </cell>
          <cell r="F1214">
            <v>144.41999999999999</v>
          </cell>
        </row>
        <row r="1215">
          <cell r="B1215">
            <v>2565</v>
          </cell>
          <cell r="C1215" t="str">
            <v>CONDULETE DE ALUMINIO TIPO E, PARA ELETRODUTO ROSCAVEL DE 3/4", COM TAMPA CEGA</v>
          </cell>
          <cell r="D1215" t="str">
            <v>UN</v>
          </cell>
          <cell r="E1215" t="str">
            <v>CR</v>
          </cell>
          <cell r="F1215">
            <v>12.95</v>
          </cell>
        </row>
        <row r="1216">
          <cell r="B1216">
            <v>2594</v>
          </cell>
          <cell r="C1216" t="str">
            <v>CONDULETE DE ALUMINIO TIPO E, PARA ELETRODUTO ROSCAVEL DE 4", COM TAMPA CEGA</v>
          </cell>
          <cell r="D1216" t="str">
            <v>UN</v>
          </cell>
          <cell r="E1216" t="str">
            <v>CR</v>
          </cell>
          <cell r="F1216">
            <v>240.6</v>
          </cell>
        </row>
        <row r="1217">
          <cell r="B1217">
            <v>2587</v>
          </cell>
          <cell r="C1217" t="str">
            <v>CONDULETE DE ALUMINIO TIPO LR, PARA ELETRODUTO ROSCAVEL DE 1 1/2", COM TAMPA CEGA</v>
          </cell>
          <cell r="D1217" t="str">
            <v>UN</v>
          </cell>
          <cell r="E1217" t="str">
            <v>CR</v>
          </cell>
          <cell r="F1217">
            <v>41</v>
          </cell>
        </row>
        <row r="1218">
          <cell r="B1218">
            <v>2588</v>
          </cell>
          <cell r="C1218" t="str">
            <v>CONDULETE DE ALUMINIO TIPO LR, PARA ELETRODUTO ROSCAVEL DE 1 1/4", COM TAMPA CEGA</v>
          </cell>
          <cell r="D1218" t="str">
            <v>UN</v>
          </cell>
          <cell r="E1218" t="str">
            <v>CR</v>
          </cell>
          <cell r="F1218">
            <v>32.57</v>
          </cell>
        </row>
        <row r="1219">
          <cell r="B1219">
            <v>2570</v>
          </cell>
          <cell r="C1219" t="str">
            <v>CONDULETE DE ALUMINIO TIPO LR, PARA ELETRODUTO ROSCAVEL DE 1", COM TAMPA CEGA</v>
          </cell>
          <cell r="D1219" t="str">
            <v>UN</v>
          </cell>
          <cell r="E1219" t="str">
            <v>CR</v>
          </cell>
          <cell r="F1219">
            <v>21.04</v>
          </cell>
        </row>
        <row r="1220">
          <cell r="B1220">
            <v>2569</v>
          </cell>
          <cell r="C1220" t="str">
            <v>CONDULETE DE ALUMINIO TIPO LR, PARA ELETRODUTO ROSCAVEL DE 1/2", COM TAMPA CEGA</v>
          </cell>
          <cell r="D1220" t="str">
            <v>UN</v>
          </cell>
          <cell r="E1220" t="str">
            <v>CR</v>
          </cell>
          <cell r="F1220">
            <v>12.55</v>
          </cell>
        </row>
        <row r="1221">
          <cell r="B1221">
            <v>2571</v>
          </cell>
          <cell r="C1221" t="str">
            <v>CONDULETE DE ALUMINIO TIPO LR, PARA ELETRODUTO ROSCAVEL DE 2", COM TAMPA CEGA</v>
          </cell>
          <cell r="D1221" t="str">
            <v>UN</v>
          </cell>
          <cell r="E1221" t="str">
            <v>CR</v>
          </cell>
          <cell r="F1221">
            <v>62.45</v>
          </cell>
        </row>
        <row r="1222">
          <cell r="B1222">
            <v>2572</v>
          </cell>
          <cell r="C1222" t="str">
            <v>CONDULETE DE ALUMINIO TIPO LR, PARA ELETRODUTO ROSCAVEL DE 3", COM TAMPA CEGA</v>
          </cell>
          <cell r="D1222" t="str">
            <v>UN</v>
          </cell>
          <cell r="E1222" t="str">
            <v>CR</v>
          </cell>
          <cell r="F1222">
            <v>184.69</v>
          </cell>
        </row>
        <row r="1223">
          <cell r="B1223">
            <v>2593</v>
          </cell>
          <cell r="C1223" t="str">
            <v>CONDULETE DE ALUMINIO TIPO LR, PARA ELETRODUTO ROSCAVEL DE 3/4", COM TAMPA CEGA</v>
          </cell>
          <cell r="D1223" t="str">
            <v>UN</v>
          </cell>
          <cell r="E1223" t="str">
            <v>CR</v>
          </cell>
          <cell r="F1223">
            <v>13.38</v>
          </cell>
        </row>
        <row r="1224">
          <cell r="B1224">
            <v>2595</v>
          </cell>
          <cell r="C1224" t="str">
            <v>CONDULETE DE ALUMINIO TIPO LR, PARA ELETRODUTO ROSCAVEL DE 4", COM TAMPA CEGA</v>
          </cell>
          <cell r="D1224" t="str">
            <v>UN</v>
          </cell>
          <cell r="E1224" t="str">
            <v>CR</v>
          </cell>
          <cell r="F1224">
            <v>288.14999999999998</v>
          </cell>
        </row>
        <row r="1225">
          <cell r="B1225">
            <v>2576</v>
          </cell>
          <cell r="C1225" t="str">
            <v>CONDULETE DE ALUMINIO TIPO T, PARA ELETRODUTO ROSCAVEL DE 1 1/2", COM TAMPA CEGA</v>
          </cell>
          <cell r="D1225" t="str">
            <v>UN</v>
          </cell>
          <cell r="E1225" t="str">
            <v>CR</v>
          </cell>
          <cell r="F1225">
            <v>49.12</v>
          </cell>
        </row>
        <row r="1226">
          <cell r="B1226">
            <v>2575</v>
          </cell>
          <cell r="C1226" t="str">
            <v>CONDULETE DE ALUMINIO TIPO T, PARA ELETRODUTO ROSCAVEL DE 1 1/4", COM TAMPA CEGA</v>
          </cell>
          <cell r="D1226" t="str">
            <v>UN</v>
          </cell>
          <cell r="E1226" t="str">
            <v>CR</v>
          </cell>
          <cell r="F1226">
            <v>36.93</v>
          </cell>
        </row>
        <row r="1227">
          <cell r="B1227">
            <v>2586</v>
          </cell>
          <cell r="C1227" t="str">
            <v>CONDULETE DE ALUMINIO TIPO T, PARA ELETRODUTO ROSCAVEL DE 1", COM TAMPA CEGA</v>
          </cell>
          <cell r="D1227" t="str">
            <v>UN</v>
          </cell>
          <cell r="E1227" t="str">
            <v>CR</v>
          </cell>
          <cell r="F1227">
            <v>24.86</v>
          </cell>
        </row>
        <row r="1228">
          <cell r="B1228">
            <v>2573</v>
          </cell>
          <cell r="C1228" t="str">
            <v>CONDULETE DE ALUMINIO TIPO T, PARA ELETRODUTO ROSCAVEL DE 1/2", COM TAMPA CEGA</v>
          </cell>
          <cell r="D1228" t="str">
            <v>UN</v>
          </cell>
          <cell r="E1228" t="str">
            <v>CR</v>
          </cell>
          <cell r="F1228">
            <v>15.33</v>
          </cell>
        </row>
        <row r="1229">
          <cell r="B1229">
            <v>2577</v>
          </cell>
          <cell r="C1229" t="str">
            <v>CONDULETE DE ALUMINIO TIPO T, PARA ELETRODUTO ROSCAVEL DE 2", COM TAMPA CEGA</v>
          </cell>
          <cell r="D1229" t="str">
            <v>UN</v>
          </cell>
          <cell r="E1229" t="str">
            <v>CR</v>
          </cell>
          <cell r="F1229">
            <v>66.56</v>
          </cell>
        </row>
        <row r="1230">
          <cell r="B1230">
            <v>2578</v>
          </cell>
          <cell r="C1230" t="str">
            <v>CONDULETE DE ALUMINIO TIPO T, PARA ELETRODUTO ROSCAVEL DE 3", COM TAMPA CEGA</v>
          </cell>
          <cell r="D1230" t="str">
            <v>UN</v>
          </cell>
          <cell r="E1230" t="str">
            <v>CR</v>
          </cell>
          <cell r="F1230">
            <v>207.81</v>
          </cell>
        </row>
        <row r="1231">
          <cell r="B1231">
            <v>2574</v>
          </cell>
          <cell r="C1231" t="str">
            <v>CONDULETE DE ALUMINIO TIPO T, PARA ELETRODUTO ROSCAVEL DE 3/4", COM TAMPA CEGA</v>
          </cell>
          <cell r="D1231" t="str">
            <v>UN</v>
          </cell>
          <cell r="E1231" t="str">
            <v>CR</v>
          </cell>
          <cell r="F1231">
            <v>15.43</v>
          </cell>
        </row>
        <row r="1232">
          <cell r="B1232">
            <v>2585</v>
          </cell>
          <cell r="C1232" t="str">
            <v>CONDULETE DE ALUMINIO TIPO T, PARA ELETRODUTO ROSCAVEL DE 4", COM TAMPA CEGA</v>
          </cell>
          <cell r="D1232" t="str">
            <v>UN</v>
          </cell>
          <cell r="E1232" t="str">
            <v>CR</v>
          </cell>
          <cell r="F1232">
            <v>285.16000000000003</v>
          </cell>
        </row>
        <row r="1233">
          <cell r="B1233">
            <v>12008</v>
          </cell>
          <cell r="C1233" t="str">
            <v>CONDULETE DE ALUMINIO TIPO TB, PARA ELETRODUTO ROSCAVEL DE 3", COM TAMPA CEGA</v>
          </cell>
          <cell r="D1233" t="str">
            <v>UN</v>
          </cell>
          <cell r="E1233" t="str">
            <v>CR</v>
          </cell>
          <cell r="F1233">
            <v>153</v>
          </cell>
        </row>
        <row r="1234">
          <cell r="B1234">
            <v>2582</v>
          </cell>
          <cell r="C1234" t="str">
            <v>CONDULETE DE ALUMINIO TIPO X, PARA ELETRODUTO ROSCAVEL DE 1 1/2", COM TAMPA CEGA</v>
          </cell>
          <cell r="D1234" t="str">
            <v>UN</v>
          </cell>
          <cell r="E1234" t="str">
            <v>CR</v>
          </cell>
          <cell r="F1234">
            <v>45.56</v>
          </cell>
        </row>
        <row r="1235">
          <cell r="B1235">
            <v>2597</v>
          </cell>
          <cell r="C1235" t="str">
            <v>CONDULETE DE ALUMINIO TIPO X, PARA ELETRODUTO ROSCAVEL DE 1 1/4", COM TAMPA CEGA</v>
          </cell>
          <cell r="D1235" t="str">
            <v>UN</v>
          </cell>
          <cell r="E1235" t="str">
            <v>CR</v>
          </cell>
          <cell r="F1235">
            <v>39.049999999999997</v>
          </cell>
        </row>
        <row r="1236">
          <cell r="B1236">
            <v>2581</v>
          </cell>
          <cell r="C1236" t="str">
            <v>CONDULETE DE ALUMINIO TIPO X, PARA ELETRODUTO ROSCAVEL DE 1", COM TAMPA CEGA</v>
          </cell>
          <cell r="D1236" t="str">
            <v>UN</v>
          </cell>
          <cell r="E1236" t="str">
            <v>CR</v>
          </cell>
          <cell r="F1236">
            <v>23.79</v>
          </cell>
        </row>
        <row r="1237">
          <cell r="B1237">
            <v>2579</v>
          </cell>
          <cell r="C1237" t="str">
            <v>CONDULETE DE ALUMINIO TIPO X, PARA ELETRODUTO ROSCAVEL DE 1/2", COM TAMPA CEGA</v>
          </cell>
          <cell r="D1237" t="str">
            <v>UN</v>
          </cell>
          <cell r="E1237" t="str">
            <v>CR</v>
          </cell>
          <cell r="F1237">
            <v>18.59</v>
          </cell>
        </row>
        <row r="1238">
          <cell r="B1238">
            <v>2596</v>
          </cell>
          <cell r="C1238" t="str">
            <v>CONDULETE DE ALUMINIO TIPO X, PARA ELETRODUTO ROSCAVEL DE 2", COM TAMPA CEGA</v>
          </cell>
          <cell r="D1238" t="str">
            <v>UN</v>
          </cell>
          <cell r="E1238" t="str">
            <v>CR</v>
          </cell>
          <cell r="F1238">
            <v>70.36</v>
          </cell>
        </row>
        <row r="1239">
          <cell r="B1239">
            <v>2583</v>
          </cell>
          <cell r="C1239" t="str">
            <v>CONDULETE DE ALUMINIO TIPO X, PARA ELETRODUTO ROSCAVEL DE 3", COM TAMPA CEGA</v>
          </cell>
          <cell r="D1239" t="str">
            <v>UN</v>
          </cell>
          <cell r="E1239" t="str">
            <v>CR</v>
          </cell>
          <cell r="F1239">
            <v>171.12</v>
          </cell>
        </row>
        <row r="1240">
          <cell r="B1240">
            <v>2580</v>
          </cell>
          <cell r="C1240" t="str">
            <v>CONDULETE DE ALUMINIO TIPO X, PARA ELETRODUTO ROSCAVEL DE 3/4", COM TAMPA CEGA</v>
          </cell>
          <cell r="D1240" t="str">
            <v>UN</v>
          </cell>
          <cell r="E1240" t="str">
            <v>CR</v>
          </cell>
          <cell r="F1240">
            <v>20.38</v>
          </cell>
        </row>
        <row r="1241">
          <cell r="B1241">
            <v>2584</v>
          </cell>
          <cell r="C1241" t="str">
            <v>CONDULETE DE ALUMINIO TIPO X, PARA ELETRODUTO ROSCAVEL DE 4", COM TAMPA CEGA</v>
          </cell>
          <cell r="D1241" t="str">
            <v>UN</v>
          </cell>
          <cell r="E1241" t="str">
            <v>CR</v>
          </cell>
          <cell r="F1241">
            <v>284.87</v>
          </cell>
        </row>
        <row r="1242">
          <cell r="B1242">
            <v>39329</v>
          </cell>
          <cell r="C1242" t="str">
            <v>CONDULETE EM PVC, TIPO "B", SEM TAMPA, DE 1"</v>
          </cell>
          <cell r="D1242" t="str">
            <v>UN</v>
          </cell>
          <cell r="E1242" t="str">
            <v>CR</v>
          </cell>
          <cell r="F1242">
            <v>8.49</v>
          </cell>
        </row>
        <row r="1243">
          <cell r="B1243">
            <v>12010</v>
          </cell>
          <cell r="C1243" t="str">
            <v>CONDULETE EM PVC, TIPO "B", SEM TAMPA, DE 1/2" OU 3/4"</v>
          </cell>
          <cell r="D1243" t="str">
            <v>UN</v>
          </cell>
          <cell r="E1243" t="str">
            <v>CR</v>
          </cell>
          <cell r="F1243">
            <v>8.1199999999999992</v>
          </cell>
        </row>
        <row r="1244">
          <cell r="B1244">
            <v>39332</v>
          </cell>
          <cell r="C1244" t="str">
            <v>CONDULETE EM PVC, TIPO "C", SEM TAMPA, DE 1"</v>
          </cell>
          <cell r="D1244" t="str">
            <v>UN</v>
          </cell>
          <cell r="E1244" t="str">
            <v>CR</v>
          </cell>
          <cell r="F1244">
            <v>9.98</v>
          </cell>
        </row>
        <row r="1245">
          <cell r="B1245">
            <v>39330</v>
          </cell>
          <cell r="C1245" t="str">
            <v>CONDULETE EM PVC, TIPO "C", SEM TAMPA, DE 1/2"</v>
          </cell>
          <cell r="D1245" t="str">
            <v>UN</v>
          </cell>
          <cell r="E1245" t="str">
            <v>CR</v>
          </cell>
          <cell r="F1245">
            <v>8.93</v>
          </cell>
        </row>
        <row r="1246">
          <cell r="B1246">
            <v>39331</v>
          </cell>
          <cell r="C1246" t="str">
            <v>CONDULETE EM PVC, TIPO "C", SEM TAMPA, DE 3/4"</v>
          </cell>
          <cell r="D1246" t="str">
            <v>UN</v>
          </cell>
          <cell r="E1246" t="str">
            <v>CR</v>
          </cell>
          <cell r="F1246">
            <v>7.94</v>
          </cell>
        </row>
        <row r="1247">
          <cell r="B1247">
            <v>39335</v>
          </cell>
          <cell r="C1247" t="str">
            <v>CONDULETE EM PVC, TIPO "E", SEM TAMPA, DE 1"</v>
          </cell>
          <cell r="D1247" t="str">
            <v>UN</v>
          </cell>
          <cell r="E1247" t="str">
            <v>CR</v>
          </cell>
          <cell r="F1247">
            <v>8.9600000000000009</v>
          </cell>
        </row>
        <row r="1248">
          <cell r="B1248">
            <v>39333</v>
          </cell>
          <cell r="C1248" t="str">
            <v>CONDULETE EM PVC, TIPO "E", SEM TAMPA, DE 1/2"</v>
          </cell>
          <cell r="D1248" t="str">
            <v>UN</v>
          </cell>
          <cell r="E1248" t="str">
            <v>CR</v>
          </cell>
          <cell r="F1248">
            <v>7.75</v>
          </cell>
        </row>
        <row r="1249">
          <cell r="B1249">
            <v>39334</v>
          </cell>
          <cell r="C1249" t="str">
            <v>CONDULETE EM PVC, TIPO "E", SEM TAMPA, DE 3/4"</v>
          </cell>
          <cell r="D1249" t="str">
            <v>UN</v>
          </cell>
          <cell r="E1249" t="str">
            <v>CR</v>
          </cell>
          <cell r="F1249">
            <v>7.12</v>
          </cell>
        </row>
        <row r="1250">
          <cell r="B1250">
            <v>12015</v>
          </cell>
          <cell r="C1250" t="str">
            <v>CONDULETE EM PVC, TIPO "LB", SEM TAMPA, DE 1"</v>
          </cell>
          <cell r="D1250" t="str">
            <v>UN</v>
          </cell>
          <cell r="E1250" t="str">
            <v>CR</v>
          </cell>
          <cell r="F1250">
            <v>10.41</v>
          </cell>
        </row>
        <row r="1251">
          <cell r="B1251">
            <v>12016</v>
          </cell>
          <cell r="C1251" t="str">
            <v>CONDULETE EM PVC, TIPO "LB", SEM TAMPA, DE 1/2" OU 3/4"</v>
          </cell>
          <cell r="D1251" t="str">
            <v>UN</v>
          </cell>
          <cell r="E1251" t="str">
            <v>CR</v>
          </cell>
          <cell r="F1251">
            <v>8.94</v>
          </cell>
        </row>
        <row r="1252">
          <cell r="B1252">
            <v>12019</v>
          </cell>
          <cell r="C1252" t="str">
            <v>CONDULETE EM PVC, TIPO "LL", SEM TAMPA, DE 1"</v>
          </cell>
          <cell r="D1252" t="str">
            <v>UN</v>
          </cell>
          <cell r="E1252" t="str">
            <v>CR</v>
          </cell>
          <cell r="F1252">
            <v>10.41</v>
          </cell>
        </row>
        <row r="1253">
          <cell r="B1253">
            <v>12020</v>
          </cell>
          <cell r="C1253" t="str">
            <v>CONDULETE EM PVC, TIPO "LL", SEM TAMPA, DE 1/2" OU 3/4"</v>
          </cell>
          <cell r="D1253" t="str">
            <v>UN</v>
          </cell>
          <cell r="E1253" t="str">
            <v>CR</v>
          </cell>
          <cell r="F1253">
            <v>8.94</v>
          </cell>
        </row>
        <row r="1254">
          <cell r="B1254">
            <v>39338</v>
          </cell>
          <cell r="C1254" t="str">
            <v>CONDULETE EM PVC, TIPO "LR", SEM TAMPA, DE 1"</v>
          </cell>
          <cell r="D1254" t="str">
            <v>UN</v>
          </cell>
          <cell r="E1254" t="str">
            <v>CR</v>
          </cell>
          <cell r="F1254">
            <v>9.98</v>
          </cell>
        </row>
        <row r="1255">
          <cell r="B1255">
            <v>39336</v>
          </cell>
          <cell r="C1255" t="str">
            <v>CONDULETE EM PVC, TIPO "LR", SEM TAMPA, DE 1/2"</v>
          </cell>
          <cell r="D1255" t="str">
            <v>UN</v>
          </cell>
          <cell r="E1255" t="str">
            <v>CR</v>
          </cell>
          <cell r="F1255">
            <v>8.93</v>
          </cell>
        </row>
        <row r="1256">
          <cell r="B1256">
            <v>39337</v>
          </cell>
          <cell r="C1256" t="str">
            <v>CONDULETE EM PVC, TIPO "LR", SEM TAMPA, DE 3/4"</v>
          </cell>
          <cell r="D1256" t="str">
            <v>UN</v>
          </cell>
          <cell r="E1256" t="str">
            <v>CR</v>
          </cell>
          <cell r="F1256">
            <v>7.94</v>
          </cell>
        </row>
        <row r="1257">
          <cell r="B1257">
            <v>39341</v>
          </cell>
          <cell r="C1257" t="str">
            <v>CONDULETE EM PVC, TIPO "T", SEM TAMPA, DE 1"</v>
          </cell>
          <cell r="D1257" t="str">
            <v>UN</v>
          </cell>
          <cell r="E1257" t="str">
            <v>CR</v>
          </cell>
          <cell r="F1257">
            <v>13.01</v>
          </cell>
        </row>
        <row r="1258">
          <cell r="B1258">
            <v>39340</v>
          </cell>
          <cell r="C1258" t="str">
            <v>CONDULETE EM PVC, TIPO "T", SEM TAMPA, DE 3/4"</v>
          </cell>
          <cell r="D1258" t="str">
            <v>UN</v>
          </cell>
          <cell r="E1258" t="str">
            <v>CR</v>
          </cell>
          <cell r="F1258">
            <v>9.5500000000000007</v>
          </cell>
        </row>
        <row r="1259">
          <cell r="B1259">
            <v>39342</v>
          </cell>
          <cell r="C1259" t="str">
            <v>CONDULETE EM PVC, TIPO "TB", SEM TAMPA, DE 1"</v>
          </cell>
          <cell r="D1259" t="str">
            <v>UN</v>
          </cell>
          <cell r="E1259" t="str">
            <v>CR</v>
          </cell>
          <cell r="F1259">
            <v>13.01</v>
          </cell>
        </row>
        <row r="1260">
          <cell r="B1260">
            <v>12025</v>
          </cell>
          <cell r="C1260" t="str">
            <v>CONDULETE EM PVC, TIPO "TB", SEM TAMPA, DE 1/2" OU 3/4"</v>
          </cell>
          <cell r="D1260" t="str">
            <v>UN</v>
          </cell>
          <cell r="E1260" t="str">
            <v>CR</v>
          </cell>
          <cell r="F1260">
            <v>9.8699999999999992</v>
          </cell>
        </row>
        <row r="1261">
          <cell r="B1261">
            <v>39345</v>
          </cell>
          <cell r="C1261" t="str">
            <v>CONDULETE EM PVC, TIPO "X", SEM TAMPA, DE 1"</v>
          </cell>
          <cell r="D1261" t="str">
            <v>UN</v>
          </cell>
          <cell r="E1261" t="str">
            <v>CR</v>
          </cell>
          <cell r="F1261">
            <v>14.87</v>
          </cell>
        </row>
        <row r="1262">
          <cell r="B1262">
            <v>39343</v>
          </cell>
          <cell r="C1262" t="str">
            <v>CONDULETE EM PVC, TIPO "X", SEM TAMPA, DE 1/2"</v>
          </cell>
          <cell r="D1262" t="str">
            <v>UN</v>
          </cell>
          <cell r="E1262" t="str">
            <v>CR</v>
          </cell>
          <cell r="F1262">
            <v>10.99</v>
          </cell>
        </row>
        <row r="1263">
          <cell r="B1263">
            <v>39344</v>
          </cell>
          <cell r="C1263" t="str">
            <v>CONDULETE EM PVC, TIPO "X", SEM TAMPA, DE 3/4"</v>
          </cell>
          <cell r="D1263" t="str">
            <v>UN</v>
          </cell>
          <cell r="E1263" t="str">
            <v>CR</v>
          </cell>
          <cell r="F1263">
            <v>10.62</v>
          </cell>
        </row>
        <row r="1264">
          <cell r="B1264">
            <v>12623</v>
          </cell>
          <cell r="C1264" t="str">
            <v>CONDUTOR PLUVIAL, PVC, CIRCULAR, DIAMETRO ENTRE 80 E 100 MM, PARA DRENAGEM PLUVIAL PREDIAL</v>
          </cell>
          <cell r="D1264" t="str">
            <v>M</v>
          </cell>
          <cell r="E1264" t="str">
            <v>CR</v>
          </cell>
          <cell r="F1264">
            <v>52.87</v>
          </cell>
        </row>
        <row r="1265">
          <cell r="B1265">
            <v>34498</v>
          </cell>
          <cell r="C1265" t="str">
            <v>CONE DE SINALIZACAO EM PVC FLEXIVEL, H = 70 / 76 CM (NBR 15071)</v>
          </cell>
          <cell r="D1265" t="str">
            <v>UN</v>
          </cell>
          <cell r="E1265" t="str">
            <v>CR</v>
          </cell>
          <cell r="F1265">
            <v>117.35</v>
          </cell>
        </row>
        <row r="1266">
          <cell r="B1266">
            <v>13244</v>
          </cell>
          <cell r="C1266" t="str">
            <v>CONE DE SINALIZACAO EM PVC RIGIDO COM FAIXA REFLETIVA, H = 70 / 76 CM</v>
          </cell>
          <cell r="D1266" t="str">
            <v>UN</v>
          </cell>
          <cell r="E1266" t="str">
            <v>C</v>
          </cell>
          <cell r="F1266">
            <v>49.4</v>
          </cell>
        </row>
        <row r="1267">
          <cell r="B1267">
            <v>38998</v>
          </cell>
          <cell r="C1267" t="str">
            <v>CONECTOR / ADAPTADOR F/F, COM INSERTO METALICO, PPR, DN 25 MM X 1/2", PARA AGUA QUENTE E FRIA PREDIAL</v>
          </cell>
          <cell r="D1267" t="str">
            <v>UN</v>
          </cell>
          <cell r="E1267" t="str">
            <v>CR</v>
          </cell>
          <cell r="F1267">
            <v>12.15</v>
          </cell>
        </row>
        <row r="1268">
          <cell r="B1268">
            <v>38999</v>
          </cell>
          <cell r="C1268" t="str">
            <v>CONECTOR / ADAPTADOR F/F, COM INSERTO METALICO, PPR, DN 32 MM X 3/4", PARA AGUA QUENTE E FRIA PREDIAL</v>
          </cell>
          <cell r="D1268" t="str">
            <v>UN</v>
          </cell>
          <cell r="E1268" t="str">
            <v>CR</v>
          </cell>
          <cell r="F1268">
            <v>30.73</v>
          </cell>
        </row>
        <row r="1269">
          <cell r="B1269">
            <v>38996</v>
          </cell>
          <cell r="C1269" t="str">
            <v>CONECTOR / ADAPTADOR F/M, COM INSERTO METALICO, PPR, DN 25 MM X 1/2", PARA AGUA QUENTE E FRIA PREDIAL</v>
          </cell>
          <cell r="D1269" t="str">
            <v>UN</v>
          </cell>
          <cell r="E1269" t="str">
            <v>CR</v>
          </cell>
          <cell r="F1269">
            <v>21.72</v>
          </cell>
        </row>
        <row r="1270">
          <cell r="B1270">
            <v>44173</v>
          </cell>
          <cell r="C1270" t="str">
            <v>CONECTOR / ADAPTADOR F/M, COM INSERTO METALICO, PPR, DN 25 MM X 3/4", PARA AGUA QUENTE E FRIA PREDIAL</v>
          </cell>
          <cell r="D1270" t="str">
            <v>UN</v>
          </cell>
          <cell r="E1270" t="str">
            <v>CR</v>
          </cell>
          <cell r="F1270">
            <v>21.12</v>
          </cell>
        </row>
        <row r="1271">
          <cell r="B1271">
            <v>44174</v>
          </cell>
          <cell r="C1271" t="str">
            <v>CONECTOR / ADAPTADOR F/M, COM INSERTO METALICO, PPR, DN 32 MM X 1", PARA AGUA QUENTE E FRIA PREDIAL</v>
          </cell>
          <cell r="D1271" t="str">
            <v>UN</v>
          </cell>
          <cell r="E1271" t="str">
            <v>CR</v>
          </cell>
          <cell r="F1271">
            <v>34.57</v>
          </cell>
        </row>
        <row r="1272">
          <cell r="B1272">
            <v>38997</v>
          </cell>
          <cell r="C1272" t="str">
            <v>CONECTOR / ADAPTADOR F/M, COM INSERTO METALICO, PPR, DN 32 MM X 3/4", PARA AGUA QUENTE E FRIA PREDIAL</v>
          </cell>
          <cell r="D1272" t="str">
            <v>UN</v>
          </cell>
          <cell r="E1272" t="str">
            <v>CR</v>
          </cell>
          <cell r="F1272">
            <v>31.07</v>
          </cell>
        </row>
        <row r="1273">
          <cell r="B1273">
            <v>39600</v>
          </cell>
          <cell r="C1273" t="str">
            <v>CONECTOR / TOMADA FEMEA RJ 45, CATEGORIA 5 E (CAT 5E) PARA CABOS</v>
          </cell>
          <cell r="D1273" t="str">
            <v>UN</v>
          </cell>
          <cell r="E1273" t="str">
            <v>CR</v>
          </cell>
          <cell r="F1273">
            <v>17.25</v>
          </cell>
        </row>
        <row r="1274">
          <cell r="B1274">
            <v>39601</v>
          </cell>
          <cell r="C1274" t="str">
            <v>CONECTOR / TOMADA FEMEA RJ 45, CATEGORIA 6 (CAT 6) PARA CABOS</v>
          </cell>
          <cell r="D1274" t="str">
            <v>UN</v>
          </cell>
          <cell r="E1274" t="str">
            <v>CR</v>
          </cell>
          <cell r="F1274">
            <v>36.590000000000003</v>
          </cell>
        </row>
        <row r="1275">
          <cell r="B1275">
            <v>39862</v>
          </cell>
          <cell r="C1275" t="str">
            <v>CONECTOR BRONZE/LATAO SEM ANEL DE SOLDA, BOLSA X ROSCA F, 15 MM X 1/2"</v>
          </cell>
          <cell r="D1275" t="str">
            <v>UN</v>
          </cell>
          <cell r="E1275" t="str">
            <v>CR</v>
          </cell>
          <cell r="F1275">
            <v>14.74</v>
          </cell>
        </row>
        <row r="1276">
          <cell r="B1276">
            <v>39863</v>
          </cell>
          <cell r="C1276" t="str">
            <v>CONECTOR BRONZE/LATAO SEM ANEL DE SOLDA, BOLSA X ROSCA F, 22 MM X 1/2"</v>
          </cell>
          <cell r="D1276" t="str">
            <v>UN</v>
          </cell>
          <cell r="E1276" t="str">
            <v>CR</v>
          </cell>
          <cell r="F1276">
            <v>14.95</v>
          </cell>
        </row>
        <row r="1277">
          <cell r="B1277">
            <v>39864</v>
          </cell>
          <cell r="C1277" t="str">
            <v>CONECTOR BRONZE/LATAO SEM ANEL DE SOLDA, BOLSA X ROSCA F, 22 MM X 3/4"</v>
          </cell>
          <cell r="D1277" t="str">
            <v>UN</v>
          </cell>
          <cell r="E1277" t="str">
            <v>CR</v>
          </cell>
          <cell r="F1277">
            <v>18.55</v>
          </cell>
        </row>
        <row r="1278">
          <cell r="B1278">
            <v>39865</v>
          </cell>
          <cell r="C1278" t="str">
            <v>CONECTOR BRONZE/LATAO SEM ANEL DE SOLDA, BOLSA X ROSCA F, 28 MM X 1/2"</v>
          </cell>
          <cell r="D1278" t="str">
            <v>UN</v>
          </cell>
          <cell r="E1278" t="str">
            <v>CR</v>
          </cell>
          <cell r="F1278">
            <v>26.14</v>
          </cell>
        </row>
        <row r="1279">
          <cell r="B1279">
            <v>2517</v>
          </cell>
          <cell r="C1279" t="str">
            <v>CONECTOR CURVO 90 GRAUS DE ALUMINIO, BITOLA 1 1/2", PARA ADAPTAR ENTRADA DE ELETRODUTO METALICO FLEXIVEL EM QUADROS</v>
          </cell>
          <cell r="D1279" t="str">
            <v>UN</v>
          </cell>
          <cell r="E1279" t="str">
            <v>CR</v>
          </cell>
          <cell r="F1279">
            <v>28.38</v>
          </cell>
        </row>
        <row r="1280">
          <cell r="B1280">
            <v>2522</v>
          </cell>
          <cell r="C1280" t="str">
            <v>CONECTOR CURVO 90 GRAUS DE ALUMINIO, BITOLA 1 1/4", PARA ADAPTAR ENTRADA DE ELETRODUTO METALICO FLEXIVEL EM QUADROS</v>
          </cell>
          <cell r="D1280" t="str">
            <v>UN</v>
          </cell>
          <cell r="E1280" t="str">
            <v>CR</v>
          </cell>
          <cell r="F1280">
            <v>18.34</v>
          </cell>
        </row>
        <row r="1281">
          <cell r="B1281">
            <v>2516</v>
          </cell>
          <cell r="C1281" t="str">
            <v>CONECTOR CURVO 90 GRAUS DE ALUMINIO, BITOLA 1", PARA ADAPTAR ENTRADA DE ELETRODUTO METALICO FLEXIVEL EM QUADROS</v>
          </cell>
          <cell r="D1281" t="str">
            <v>UN</v>
          </cell>
          <cell r="E1281" t="str">
            <v>CR</v>
          </cell>
          <cell r="F1281">
            <v>14.73</v>
          </cell>
        </row>
        <row r="1282">
          <cell r="B1282">
            <v>2548</v>
          </cell>
          <cell r="C1282" t="str">
            <v>CONECTOR CURVO 90 GRAUS DE ALUMINIO, BITOLA 1/2", PARA ADAPTAR ENTRADA DE ELETRODUTO METALICO FLEXIVEL EM QUADROS</v>
          </cell>
          <cell r="D1282" t="str">
            <v>UN</v>
          </cell>
          <cell r="E1282" t="str">
            <v>CR</v>
          </cell>
          <cell r="F1282">
            <v>11.28</v>
          </cell>
        </row>
        <row r="1283">
          <cell r="B1283">
            <v>2518</v>
          </cell>
          <cell r="C1283" t="str">
            <v>CONECTOR CURVO 90 GRAUS DE ALUMINIO, BITOLA 2 1/2", PARA ADAPTAR ENTRADA DE ELETRODUTO METALICO FLEXIVEL EM QUADROS</v>
          </cell>
          <cell r="D1283" t="str">
            <v>UN</v>
          </cell>
          <cell r="E1283" t="str">
            <v>CR</v>
          </cell>
          <cell r="F1283">
            <v>135.1</v>
          </cell>
        </row>
        <row r="1284">
          <cell r="B1284">
            <v>2521</v>
          </cell>
          <cell r="C1284" t="str">
            <v>CONECTOR CURVO 90 GRAUS DE ALUMINIO, BITOLA 2", PARA ADAPTAR ENTRADA DE ELETRODUTO METALICO FLEXIVEL EM QUADROS</v>
          </cell>
          <cell r="D1284" t="str">
            <v>UN</v>
          </cell>
          <cell r="E1284" t="str">
            <v>CR</v>
          </cell>
          <cell r="F1284">
            <v>57.51</v>
          </cell>
        </row>
        <row r="1285">
          <cell r="B1285">
            <v>2519</v>
          </cell>
          <cell r="C1285" t="str">
            <v>CONECTOR CURVO 90 GRAUS DE ALUMINIO, BITOLA 3", PARA ADAPTAR ENTRADA DE ELETRODUTO METALICO FLEXIVEL EM QUADROS</v>
          </cell>
          <cell r="D1285" t="str">
            <v>UN</v>
          </cell>
          <cell r="E1285" t="str">
            <v>CR</v>
          </cell>
          <cell r="F1285">
            <v>162.9</v>
          </cell>
        </row>
        <row r="1286">
          <cell r="B1286">
            <v>2515</v>
          </cell>
          <cell r="C1286" t="str">
            <v>CONECTOR CURVO 90 GRAUS DE ALUMINIO, BITOLA 3/4", PARA ADAPTAR ENTRADA DE ELETRODUTO METALICO FLEXIVEL EM QUADROS</v>
          </cell>
          <cell r="D1286" t="str">
            <v>UN</v>
          </cell>
          <cell r="E1286" t="str">
            <v>CR</v>
          </cell>
          <cell r="F1286">
            <v>12.26</v>
          </cell>
        </row>
        <row r="1287">
          <cell r="B1287">
            <v>2520</v>
          </cell>
          <cell r="C1287" t="str">
            <v>CONECTOR CURVO 90 GRAUS DE ALUMINIO, BITOLA 4", PARA ADAPTAR ENTRADA DE ELETRODUTO METALICO FLEXIVEL EM QUADROS</v>
          </cell>
          <cell r="D1287" t="str">
            <v>UN</v>
          </cell>
          <cell r="E1287" t="str">
            <v>CR</v>
          </cell>
          <cell r="F1287">
            <v>299.83</v>
          </cell>
        </row>
        <row r="1288">
          <cell r="B1288">
            <v>1602</v>
          </cell>
          <cell r="C1288" t="str">
            <v>CONECTOR DE ALUMINIO TIPO PRENSA CABO, BITOLA 1 1/2", PARA CABOS DE DIAMETRO DE 37 A 40 MM</v>
          </cell>
          <cell r="D1288" t="str">
            <v>UN</v>
          </cell>
          <cell r="E1288" t="str">
            <v>CR</v>
          </cell>
          <cell r="F1288">
            <v>51.86</v>
          </cell>
        </row>
        <row r="1289">
          <cell r="B1289">
            <v>1601</v>
          </cell>
          <cell r="C1289" t="str">
            <v>CONECTOR DE ALUMINIO TIPO PRENSA CABO, BITOLA 1 1/4", PARA CABOS DE DIAMETRO DE 31 A 34 MM</v>
          </cell>
          <cell r="D1289" t="str">
            <v>UN</v>
          </cell>
          <cell r="E1289" t="str">
            <v>CR</v>
          </cell>
          <cell r="F1289">
            <v>46.22</v>
          </cell>
        </row>
        <row r="1290">
          <cell r="B1290">
            <v>1600</v>
          </cell>
          <cell r="C1290" t="str">
            <v>CONECTOR DE ALUMINIO TIPO PRENSA CABO, BITOLA 1", PARA CABOS DE DIAMETRO DE 22,5 A 25 MM</v>
          </cell>
          <cell r="D1290" t="str">
            <v>UN</v>
          </cell>
          <cell r="E1290" t="str">
            <v>CR</v>
          </cell>
          <cell r="F1290">
            <v>20.190000000000001</v>
          </cell>
        </row>
        <row r="1291">
          <cell r="B1291">
            <v>1598</v>
          </cell>
          <cell r="C1291" t="str">
            <v>CONECTOR DE ALUMINIO TIPO PRENSA CABO, BITOLA 1/2", PARA CABOS DE DIAMETRO DE 12,5 A 15 MM</v>
          </cell>
          <cell r="D1291" t="str">
            <v>UN</v>
          </cell>
          <cell r="E1291" t="str">
            <v>CR</v>
          </cell>
          <cell r="F1291">
            <v>13.68</v>
          </cell>
        </row>
        <row r="1292">
          <cell r="B1292">
            <v>1603</v>
          </cell>
          <cell r="C1292" t="str">
            <v>CONECTOR DE ALUMINIO TIPO PRENSA CABO, BITOLA 2", PARA CABOS DE DIAMETRO DE 47,5 A 50 MM</v>
          </cell>
          <cell r="D1292" t="str">
            <v>UN</v>
          </cell>
          <cell r="E1292" t="str">
            <v>CR</v>
          </cell>
          <cell r="F1292">
            <v>78.290000000000006</v>
          </cell>
        </row>
        <row r="1293">
          <cell r="B1293">
            <v>1599</v>
          </cell>
          <cell r="C1293" t="str">
            <v>CONECTOR DE ALUMINIO TIPO PRENSA CABO, BITOLA 3/4", PARA CABOS DE DIAMETRO DE 17,5 A 20 MM</v>
          </cell>
          <cell r="D1293" t="str">
            <v>UN</v>
          </cell>
          <cell r="E1293" t="str">
            <v>CR</v>
          </cell>
          <cell r="F1293">
            <v>15.87</v>
          </cell>
        </row>
        <row r="1294">
          <cell r="B1294">
            <v>1597</v>
          </cell>
          <cell r="C1294" t="str">
            <v>CONECTOR DE ALUMINIO TIPO PRENSA CABO, BITOLA 3/8", PARA CABOS DE DIAMETRO DE 9 A 10 MM</v>
          </cell>
          <cell r="D1294" t="str">
            <v>UN</v>
          </cell>
          <cell r="E1294" t="str">
            <v>CR</v>
          </cell>
          <cell r="F1294">
            <v>12.86</v>
          </cell>
        </row>
        <row r="1295">
          <cell r="B1295">
            <v>39602</v>
          </cell>
          <cell r="C1295" t="str">
            <v>CONECTOR MACHO RJ 45, CATEGORIA 5 E (CAT 5E) PARA CABOS</v>
          </cell>
          <cell r="D1295" t="str">
            <v>UN</v>
          </cell>
          <cell r="E1295" t="str">
            <v>CR</v>
          </cell>
          <cell r="F1295">
            <v>1.83</v>
          </cell>
        </row>
        <row r="1296">
          <cell r="B1296">
            <v>39603</v>
          </cell>
          <cell r="C1296" t="str">
            <v>CONECTOR MACHO RJ 45, CATEGORIA 6 (CAT 6) PARA CABOS</v>
          </cell>
          <cell r="D1296" t="str">
            <v>UN</v>
          </cell>
          <cell r="E1296" t="str">
            <v>CR</v>
          </cell>
          <cell r="F1296">
            <v>3.9</v>
          </cell>
        </row>
        <row r="1297">
          <cell r="B1297">
            <v>11821</v>
          </cell>
          <cell r="C1297" t="str">
            <v>CONECTOR METALICO TIPO PARAFUSO FENDIDO (SPLIT BOLT), COM SEPARADOR DE CABOS BIMETALICOS, PARA CABOS ATE 25 MM2</v>
          </cell>
          <cell r="D1297" t="str">
            <v>UN</v>
          </cell>
          <cell r="E1297" t="str">
            <v>CR</v>
          </cell>
          <cell r="F1297">
            <v>10.56</v>
          </cell>
        </row>
        <row r="1298">
          <cell r="B1298">
            <v>1562</v>
          </cell>
          <cell r="C1298" t="str">
            <v>CONECTOR METALICO TIPO PARAFUSO FENDIDO (SPLIT BOLT), COM SEPARADOR DE CABOS BIMETALICOS, PARA CABOS ATE 50 MM2</v>
          </cell>
          <cell r="D1298" t="str">
            <v>UN</v>
          </cell>
          <cell r="E1298" t="str">
            <v>CR</v>
          </cell>
          <cell r="F1298">
            <v>17.3</v>
          </cell>
        </row>
        <row r="1299">
          <cell r="B1299">
            <v>1563</v>
          </cell>
          <cell r="C1299" t="str">
            <v>CONECTOR METALICO TIPO PARAFUSO FENDIDO (SPLIT BOLT), COM SEPARADOR DE CABOS BIMETALICOS, PARA CABOS ATE 70 MM2</v>
          </cell>
          <cell r="D1299" t="str">
            <v>UN</v>
          </cell>
          <cell r="E1299" t="str">
            <v>CR</v>
          </cell>
          <cell r="F1299">
            <v>23.21</v>
          </cell>
        </row>
        <row r="1300">
          <cell r="B1300">
            <v>11856</v>
          </cell>
          <cell r="C1300" t="str">
            <v>CONECTOR METALICO TIPO PARAFUSO FENDIDO (SPLIT BOLT), PARA CABOS ATE 10 MM2</v>
          </cell>
          <cell r="D1300" t="str">
            <v>UN</v>
          </cell>
          <cell r="E1300" t="str">
            <v>C</v>
          </cell>
          <cell r="F1300">
            <v>6.92</v>
          </cell>
        </row>
        <row r="1301">
          <cell r="B1301">
            <v>11857</v>
          </cell>
          <cell r="C1301" t="str">
            <v>CONECTOR METALICO TIPO PARAFUSO FENDIDO (SPLIT BOLT), PARA CABOS ATE 120 MM2</v>
          </cell>
          <cell r="D1301" t="str">
            <v>UN</v>
          </cell>
          <cell r="E1301" t="str">
            <v>CR</v>
          </cell>
          <cell r="F1301">
            <v>36.42</v>
          </cell>
        </row>
        <row r="1302">
          <cell r="B1302">
            <v>11858</v>
          </cell>
          <cell r="C1302" t="str">
            <v>CONECTOR METALICO TIPO PARAFUSO FENDIDO (SPLIT BOLT), PARA CABOS ATE 150 MM2</v>
          </cell>
          <cell r="D1302" t="str">
            <v>UN</v>
          </cell>
          <cell r="E1302" t="str">
            <v>CR</v>
          </cell>
          <cell r="F1302">
            <v>45.2</v>
          </cell>
        </row>
        <row r="1303">
          <cell r="B1303">
            <v>1539</v>
          </cell>
          <cell r="C1303" t="str">
            <v>CONECTOR METALICO TIPO PARAFUSO FENDIDO (SPLIT BOLT), PARA CABOS ATE 16 MM2</v>
          </cell>
          <cell r="D1303" t="str">
            <v>UN</v>
          </cell>
          <cell r="E1303" t="str">
            <v>CR</v>
          </cell>
          <cell r="F1303">
            <v>8.1300000000000008</v>
          </cell>
        </row>
        <row r="1304">
          <cell r="B1304">
            <v>11859</v>
          </cell>
          <cell r="C1304" t="str">
            <v>CONECTOR METALICO TIPO PARAFUSO FENDIDO (SPLIT BOLT), PARA CABOS ATE 185 MM2</v>
          </cell>
          <cell r="D1304" t="str">
            <v>UN</v>
          </cell>
          <cell r="E1304" t="str">
            <v>CR</v>
          </cell>
          <cell r="F1304">
            <v>61.5</v>
          </cell>
        </row>
        <row r="1305">
          <cell r="B1305">
            <v>1550</v>
          </cell>
          <cell r="C1305" t="str">
            <v>CONECTOR METALICO TIPO PARAFUSO FENDIDO (SPLIT BOLT), PARA CABOS ATE 25 MM2</v>
          </cell>
          <cell r="D1305" t="str">
            <v>UN</v>
          </cell>
          <cell r="E1305" t="str">
            <v>CR</v>
          </cell>
          <cell r="F1305">
            <v>8.58</v>
          </cell>
        </row>
        <row r="1306">
          <cell r="B1306">
            <v>11854</v>
          </cell>
          <cell r="C1306" t="str">
            <v>CONECTOR METALICO TIPO PARAFUSO FENDIDO (SPLIT BOLT), PARA CABOS ATE 35 MM2</v>
          </cell>
          <cell r="D1306" t="str">
            <v>UN</v>
          </cell>
          <cell r="E1306" t="str">
            <v>CR</v>
          </cell>
          <cell r="F1306">
            <v>10.72</v>
          </cell>
        </row>
        <row r="1307">
          <cell r="B1307">
            <v>11862</v>
          </cell>
          <cell r="C1307" t="str">
            <v>CONECTOR METALICO TIPO PARAFUSO FENDIDO (SPLIT BOLT), PARA CABOS ATE 50 MM2</v>
          </cell>
          <cell r="D1307" t="str">
            <v>UN</v>
          </cell>
          <cell r="E1307" t="str">
            <v>CR</v>
          </cell>
          <cell r="F1307">
            <v>15.04</v>
          </cell>
        </row>
        <row r="1308">
          <cell r="B1308">
            <v>11863</v>
          </cell>
          <cell r="C1308" t="str">
            <v>CONECTOR METALICO TIPO PARAFUSO FENDIDO (SPLIT BOLT), PARA CABOS ATE 6 MM2</v>
          </cell>
          <cell r="D1308" t="str">
            <v>UN</v>
          </cell>
          <cell r="E1308" t="str">
            <v>CR</v>
          </cell>
          <cell r="F1308">
            <v>6.07</v>
          </cell>
        </row>
        <row r="1309">
          <cell r="B1309">
            <v>11855</v>
          </cell>
          <cell r="C1309" t="str">
            <v>CONECTOR METALICO TIPO PARAFUSO FENDIDO (SPLIT BOLT), PARA CABOS ATE 70 MM2</v>
          </cell>
          <cell r="D1309" t="str">
            <v>UN</v>
          </cell>
          <cell r="E1309" t="str">
            <v>CR</v>
          </cell>
          <cell r="F1309">
            <v>22.45</v>
          </cell>
        </row>
        <row r="1310">
          <cell r="B1310">
            <v>11864</v>
          </cell>
          <cell r="C1310" t="str">
            <v>CONECTOR METALICO TIPO PARAFUSO FENDIDO (SPLIT BOLT), PARA CABOS ATE 95 MM2</v>
          </cell>
          <cell r="D1310" t="str">
            <v>UN</v>
          </cell>
          <cell r="E1310" t="str">
            <v>CR</v>
          </cell>
          <cell r="F1310">
            <v>33.93</v>
          </cell>
        </row>
        <row r="1311">
          <cell r="B1311">
            <v>2527</v>
          </cell>
          <cell r="C1311" t="str">
            <v>CONECTOR RETO DE ALUMINIO PARA ELETRODUTO DE 1 1/2", PARA ADAPTAR ENTRADA DE ELETRODUTO METALICO FLEXIVEL EM QUADROS</v>
          </cell>
          <cell r="D1311" t="str">
            <v>UN</v>
          </cell>
          <cell r="E1311" t="str">
            <v>CR</v>
          </cell>
          <cell r="F1311">
            <v>10.16</v>
          </cell>
        </row>
        <row r="1312">
          <cell r="B1312">
            <v>2526</v>
          </cell>
          <cell r="C1312" t="str">
            <v>CONECTOR RETO DE ALUMINIO PARA ELETRODUTO DE 1 1/4", PARA ADAPTAR ENTRADA DE ELETRODUTO METALICO FLEXIVEL EM QUADROS</v>
          </cell>
          <cell r="D1312" t="str">
            <v>UN</v>
          </cell>
          <cell r="E1312" t="str">
            <v>CR</v>
          </cell>
          <cell r="F1312">
            <v>6.51</v>
          </cell>
        </row>
        <row r="1313">
          <cell r="B1313">
            <v>2483</v>
          </cell>
          <cell r="C1313" t="str">
            <v>CONECTOR RETO DE ALUMINIO PARA ELETRODUTO DE 1", PARA ADAPTAR ENTRADA DE ELETRODUTO METALICO FLEXIVEL EM QUADROS</v>
          </cell>
          <cell r="D1313" t="str">
            <v>UN</v>
          </cell>
          <cell r="E1313" t="str">
            <v>CR</v>
          </cell>
          <cell r="F1313">
            <v>4.63</v>
          </cell>
        </row>
        <row r="1314">
          <cell r="B1314">
            <v>2487</v>
          </cell>
          <cell r="C1314" t="str">
            <v>CONECTOR RETO DE ALUMINIO PARA ELETRODUTO DE 1/2", PARA ADAPTAR ENTRADA DE ELETRODUTO METALICO FLEXIVEL EM QUADROS</v>
          </cell>
          <cell r="D1314" t="str">
            <v>UN</v>
          </cell>
          <cell r="E1314" t="str">
            <v>CR</v>
          </cell>
          <cell r="F1314">
            <v>2.2200000000000002</v>
          </cell>
        </row>
        <row r="1315">
          <cell r="B1315">
            <v>2528</v>
          </cell>
          <cell r="C1315" t="str">
            <v>CONECTOR RETO DE ALUMINIO PARA ELETRODUTO DE 2 1/2", PARA ADAPTAR ENTRADA DE ELETRODUTO METALICO FLEXIVEL EM QUADROS</v>
          </cell>
          <cell r="D1315" t="str">
            <v>UN</v>
          </cell>
          <cell r="E1315" t="str">
            <v>CR</v>
          </cell>
          <cell r="F1315">
            <v>25.56</v>
          </cell>
        </row>
        <row r="1316">
          <cell r="B1316">
            <v>2489</v>
          </cell>
          <cell r="C1316" t="str">
            <v>CONECTOR RETO DE ALUMINIO PARA ELETRODUTO DE 2", PARA ADAPTAR ENTRADA DE ELETRODUTO METALICO FLEXIVEL EM QUADROS</v>
          </cell>
          <cell r="D1316" t="str">
            <v>UN</v>
          </cell>
          <cell r="E1316" t="str">
            <v>CR</v>
          </cell>
          <cell r="F1316">
            <v>11.26</v>
          </cell>
        </row>
        <row r="1317">
          <cell r="B1317">
            <v>2484</v>
          </cell>
          <cell r="C1317" t="str">
            <v>CONECTOR RETO DE ALUMINIO PARA ELETRODUTO DE 3", PARA ADAPTAR ENTRADA DE ELETRODUTO METALICO FLEXIVEL EM QUADROS</v>
          </cell>
          <cell r="D1317" t="str">
            <v>UN</v>
          </cell>
          <cell r="E1317" t="str">
            <v>CR</v>
          </cell>
          <cell r="F1317">
            <v>37.130000000000003</v>
          </cell>
        </row>
        <row r="1318">
          <cell r="B1318">
            <v>2488</v>
          </cell>
          <cell r="C1318" t="str">
            <v>CONECTOR RETO DE ALUMINIO PARA ELETRODUTO DE 3/4", PARA ADAPTAR ENTRADA DE ELETRODUTO METALICO FLEXIVEL EM QUADROS</v>
          </cell>
          <cell r="D1318" t="str">
            <v>UN</v>
          </cell>
          <cell r="E1318" t="str">
            <v>CR</v>
          </cell>
          <cell r="F1318">
            <v>2.6</v>
          </cell>
        </row>
        <row r="1319">
          <cell r="B1319">
            <v>2485</v>
          </cell>
          <cell r="C1319" t="str">
            <v>CONECTOR RETO DE ALUMINIO PARA ELETRODUTO DE 4", PARA ADAPTAR ENTRADA DE ELETRODUTO METALICO FLEXIVEL EM QUADROS</v>
          </cell>
          <cell r="D1319" t="str">
            <v>UN</v>
          </cell>
          <cell r="E1319" t="str">
            <v>CR</v>
          </cell>
          <cell r="F1319">
            <v>58.19</v>
          </cell>
        </row>
        <row r="1320">
          <cell r="B1320">
            <v>44247</v>
          </cell>
          <cell r="C1320" t="str">
            <v>CONECTOR, CPVC, SOLDAVEL, 114 MM X 4", PARA AGUA QUENTE</v>
          </cell>
          <cell r="D1320" t="str">
            <v>UN</v>
          </cell>
          <cell r="E1320" t="str">
            <v>CR</v>
          </cell>
          <cell r="F1320">
            <v>1570.15</v>
          </cell>
        </row>
        <row r="1321">
          <cell r="B1321">
            <v>38005</v>
          </cell>
          <cell r="C1321" t="str">
            <v>CONECTOR, CPVC, SOLDAVEL, 15 MM X 1/2", PARA AGUA QUENTE</v>
          </cell>
          <cell r="D1321" t="str">
            <v>UN</v>
          </cell>
          <cell r="E1321" t="str">
            <v>CR</v>
          </cell>
          <cell r="F1321">
            <v>18.670000000000002</v>
          </cell>
        </row>
        <row r="1322">
          <cell r="B1322">
            <v>38006</v>
          </cell>
          <cell r="C1322" t="str">
            <v>CONECTOR, CPVC, SOLDAVEL, 22 MM X 1/2", PARA AGUA QUENTE</v>
          </cell>
          <cell r="D1322" t="str">
            <v>UN</v>
          </cell>
          <cell r="E1322" t="str">
            <v>CR</v>
          </cell>
          <cell r="F1322">
            <v>24.81</v>
          </cell>
        </row>
        <row r="1323">
          <cell r="B1323">
            <v>38428</v>
          </cell>
          <cell r="C1323" t="str">
            <v>CONECTOR, CPVC, SOLDAVEL, 22 MM X 3/4", PARA AGUA QUENTE</v>
          </cell>
          <cell r="D1323" t="str">
            <v>UN</v>
          </cell>
          <cell r="E1323" t="str">
            <v>CR</v>
          </cell>
          <cell r="F1323">
            <v>22.22</v>
          </cell>
        </row>
        <row r="1324">
          <cell r="B1324">
            <v>38007</v>
          </cell>
          <cell r="C1324" t="str">
            <v>CONECTOR, CPVC, SOLDAVEL, 28 MM X 1", PARA AGUA QUENTE</v>
          </cell>
          <cell r="D1324" t="str">
            <v>UN</v>
          </cell>
          <cell r="E1324" t="str">
            <v>CR</v>
          </cell>
          <cell r="F1324">
            <v>28.62</v>
          </cell>
        </row>
        <row r="1325">
          <cell r="B1325">
            <v>38008</v>
          </cell>
          <cell r="C1325" t="str">
            <v>CONECTOR, CPVC, SOLDAVEL, 35 MM X 1 1/4", PARA AGUA QUENTE</v>
          </cell>
          <cell r="D1325" t="str">
            <v>UN</v>
          </cell>
          <cell r="E1325" t="str">
            <v>CR</v>
          </cell>
          <cell r="F1325">
            <v>45.8</v>
          </cell>
        </row>
        <row r="1326">
          <cell r="B1326">
            <v>38009</v>
          </cell>
          <cell r="C1326" t="str">
            <v>CONECTOR, CPVC, SOLDAVEL, 42 MM X 1 1/2", PARA AGUA QUENTE</v>
          </cell>
          <cell r="D1326" t="str">
            <v>UN</v>
          </cell>
          <cell r="E1326" t="str">
            <v>CR</v>
          </cell>
          <cell r="F1326">
            <v>56.07</v>
          </cell>
        </row>
        <row r="1327">
          <cell r="B1327">
            <v>44248</v>
          </cell>
          <cell r="C1327" t="str">
            <v>CONECTOR, CPVC, SOLDAVEL, 54 MM X 2", PARA AGUA QUENTE</v>
          </cell>
          <cell r="D1327" t="str">
            <v>UN</v>
          </cell>
          <cell r="E1327" t="str">
            <v>CR</v>
          </cell>
          <cell r="F1327">
            <v>91.4</v>
          </cell>
        </row>
        <row r="1328">
          <cell r="B1328">
            <v>44249</v>
          </cell>
          <cell r="C1328" t="str">
            <v>CONECTOR, CPVC, SOLDAVEL, 73 MM X 2 1/2", PARA AGUA QUENTE</v>
          </cell>
          <cell r="D1328" t="str">
            <v>UN</v>
          </cell>
          <cell r="E1328" t="str">
            <v>CR</v>
          </cell>
          <cell r="F1328">
            <v>352.63</v>
          </cell>
        </row>
        <row r="1329">
          <cell r="B1329">
            <v>44250</v>
          </cell>
          <cell r="C1329" t="str">
            <v>CONECTOR, CPVC, SOLDAVEL, 89 MM X 3", PARA AGUA QUENTE</v>
          </cell>
          <cell r="D1329" t="str">
            <v>UN</v>
          </cell>
          <cell r="E1329" t="str">
            <v>CR</v>
          </cell>
          <cell r="F1329">
            <v>512.1</v>
          </cell>
        </row>
        <row r="1330">
          <cell r="B1330">
            <v>39279</v>
          </cell>
          <cell r="C1330" t="str">
            <v>CONECTOR/ADAPTADOR FIXO, ROSCA FEMEA, EM PLASTICO, DN 16 MM X 1/2", PARA CONEXAO COM CRIMPAGEM, EM TUBO PEX PARA INST. AGUA QUENTE/FRIA</v>
          </cell>
          <cell r="D1330" t="str">
            <v>UN</v>
          </cell>
          <cell r="E1330" t="str">
            <v>CR</v>
          </cell>
          <cell r="F1330">
            <v>9.76</v>
          </cell>
        </row>
        <row r="1331">
          <cell r="B1331">
            <v>39280</v>
          </cell>
          <cell r="C1331" t="str">
            <v>CONECTOR/ADAPTADOR FIXO, ROSCA FEMEA, EM PLASTICO, DN 20 MM X 1/2", PARA CONEXAO COM CRIMPAGEM, EM TUBO PEX PARA INST. AGUA QUENTE/FRIA</v>
          </cell>
          <cell r="D1331" t="str">
            <v>UN</v>
          </cell>
          <cell r="E1331" t="str">
            <v>CR</v>
          </cell>
          <cell r="F1331">
            <v>10.94</v>
          </cell>
        </row>
        <row r="1332">
          <cell r="B1332">
            <v>39281</v>
          </cell>
          <cell r="C1332" t="str">
            <v>CONECTOR/ADAPTADOR FIXO, ROSCA FEMEA, EM PLASTICO, DN 20 MM X 3/4", PARA CONEXAO COM CRIMPAGEM, EM TUBO PEX PARA INST. AGUA QUENTE/FRIA</v>
          </cell>
          <cell r="D1332" t="str">
            <v>UN</v>
          </cell>
          <cell r="E1332" t="str">
            <v>CR</v>
          </cell>
          <cell r="F1332">
            <v>14.45</v>
          </cell>
        </row>
        <row r="1333">
          <cell r="B1333">
            <v>39282</v>
          </cell>
          <cell r="C1333" t="str">
            <v>CONECTOR/ADAPTADOR FIXO, ROSCA FEMEA, EM PLASTICO, DN 25 MM X 3/4", PARA CONEXAO COM CRIMPAGEM, EM TUBO PEX PARA INST. AGUA QUENTE/FRIA</v>
          </cell>
          <cell r="D1333" t="str">
            <v>UN</v>
          </cell>
          <cell r="E1333" t="str">
            <v>CR</v>
          </cell>
          <cell r="F1333">
            <v>20.18</v>
          </cell>
        </row>
        <row r="1334">
          <cell r="B1334">
            <v>38844</v>
          </cell>
          <cell r="C1334" t="str">
            <v>CONECTOR/ADAPTADOR FIXO, ROSCA FEMEA, METALICA, COM ANEL DESLIZANTE, DN 16 MM X 1/2", PARA TUBO PEX PARA INST. AGUA QUENTE/FRIA</v>
          </cell>
          <cell r="D1334" t="str">
            <v>UN</v>
          </cell>
          <cell r="E1334" t="str">
            <v>C</v>
          </cell>
          <cell r="F1334">
            <v>9.9</v>
          </cell>
        </row>
        <row r="1335">
          <cell r="B1335">
            <v>38846</v>
          </cell>
          <cell r="C1335" t="str">
            <v>CONECTOR/ADAPTADOR FIXO, ROSCA FEMEA, METALICA, COM ANEL DESLIZANTE, DN 20 MM X 1/2", PARA TUBO PEX PARA INST. AGUA QUENTE/FRIA</v>
          </cell>
          <cell r="D1335" t="str">
            <v>UN</v>
          </cell>
          <cell r="E1335" t="str">
            <v>CR</v>
          </cell>
          <cell r="F1335">
            <v>10.07</v>
          </cell>
        </row>
        <row r="1336">
          <cell r="B1336">
            <v>38847</v>
          </cell>
          <cell r="C1336" t="str">
            <v>CONECTOR/ADAPTADOR FIXO, ROSCA FEMEA, METALICA, COM ANEL DESLIZANTE, DN 20 MM X 3/4", PARA TUBO PEX PARA INST. AGUA QUENTE/FRIA</v>
          </cell>
          <cell r="D1336" t="str">
            <v>UN</v>
          </cell>
          <cell r="E1336" t="str">
            <v>CR</v>
          </cell>
          <cell r="F1336">
            <v>11.8</v>
          </cell>
        </row>
        <row r="1337">
          <cell r="B1337">
            <v>38850</v>
          </cell>
          <cell r="C1337" t="str">
            <v>CONECTOR/ADAPTADOR FIXO, ROSCA FEMEA, METALICA, COM ANEL DESLIZANTE, DN 25 MM X 1", PARA TUBO PEX PARA INST. AGUA QUENTE/FRIA</v>
          </cell>
          <cell r="D1337" t="str">
            <v>UN</v>
          </cell>
          <cell r="E1337" t="str">
            <v>CR</v>
          </cell>
          <cell r="F1337">
            <v>21.31</v>
          </cell>
        </row>
        <row r="1338">
          <cell r="B1338">
            <v>38848</v>
          </cell>
          <cell r="C1338" t="str">
            <v>CONECTOR/ADAPTADOR FIXO, ROSCA FEMEA, METALICA, COM ANEL DESLIZANTE, DN 25 MM X 3/4", PARA TUBO PEX PARA INST. AGUA QUENTE/FRIA</v>
          </cell>
          <cell r="D1338" t="str">
            <v>UN</v>
          </cell>
          <cell r="E1338" t="str">
            <v>CR</v>
          </cell>
          <cell r="F1338">
            <v>13.97</v>
          </cell>
        </row>
        <row r="1339">
          <cell r="B1339">
            <v>38851</v>
          </cell>
          <cell r="C1339" t="str">
            <v>CONECTOR/ADAPTADOR FIXO, ROSCA FEMEA, METALICA, COM ANEL DESLIZANTE, DN 32 MM X 1", PARA TUBO PEX PARA INST. AGUA QUENTE/FRIA</v>
          </cell>
          <cell r="D1339" t="str">
            <v>UN</v>
          </cell>
          <cell r="E1339" t="str">
            <v>CR</v>
          </cell>
          <cell r="F1339">
            <v>24.09</v>
          </cell>
        </row>
        <row r="1340">
          <cell r="B1340">
            <v>38854</v>
          </cell>
          <cell r="C1340" t="str">
            <v>CONECTOR/ADAPTADOR MOVEL, ROSCA FEMEA, METALICA, COM ANEL DESLIZANTE, DN 16 MM X 3/4", PARA TUBO PEX PARA INST. AGUA QUENTE/FRIA</v>
          </cell>
          <cell r="D1340" t="str">
            <v>UN</v>
          </cell>
          <cell r="E1340" t="str">
            <v>CR</v>
          </cell>
          <cell r="F1340">
            <v>10.46</v>
          </cell>
        </row>
        <row r="1341">
          <cell r="B1341">
            <v>3104</v>
          </cell>
          <cell r="C1341" t="str">
            <v>CONJ. DE FERRAGENS PARA PORTA DE VIDRO TEMPERADO, EM ZAMAC CROMADO, CONTEMPLANDO DOBRADICA INF., DOBRADICA SUP., PIVO PARA DOBRADICA INF., PIVO PARA DOBRADICA SUP., FECHADURA CENTRAL EM ZAMC. CROMADO, CONTRA FECHADURA DE PRESSAO</v>
          </cell>
          <cell r="D1341" t="str">
            <v>CJ</v>
          </cell>
          <cell r="E1341" t="str">
            <v>CR</v>
          </cell>
          <cell r="F1341">
            <v>185.54</v>
          </cell>
        </row>
        <row r="1342">
          <cell r="B1342">
            <v>1607</v>
          </cell>
          <cell r="C1342" t="str">
            <v>CONJUNTO ARRUELAS DE VEDACAO 5/16" PARA TELHA FIBROCIMENTO (UMA ARRUELA METALICA E UMA ARRUELA PVC - CONICAS)</v>
          </cell>
          <cell r="D1342" t="str">
            <v>CJ</v>
          </cell>
          <cell r="E1342" t="str">
            <v>CR</v>
          </cell>
          <cell r="F1342">
            <v>0.26</v>
          </cell>
        </row>
        <row r="1343">
          <cell r="B1343">
            <v>38169</v>
          </cell>
          <cell r="C1343" t="str">
            <v>CONJUNTO DE FERRAGENS PIVO, PARA PORTA PIVOTANTE DE ATE 100 KG, REGULAVEL COM ESFERA, CROMADO - SUPERIOR E INFERIOR - COMPLETO</v>
          </cell>
          <cell r="D1343" t="str">
            <v>CJ</v>
          </cell>
          <cell r="E1343" t="str">
            <v>CR</v>
          </cell>
          <cell r="F1343">
            <v>79.040000000000006</v>
          </cell>
        </row>
        <row r="1344">
          <cell r="B1344">
            <v>6142</v>
          </cell>
          <cell r="C1344" t="str">
            <v>CONJUNTO DE LIGACAO AJUSTAVEL, PARA VASO / BACIA SANITARIA, EM PLASTICO BRANCO, COM TUBO, CANOPLA E ESPUDE</v>
          </cell>
          <cell r="D1344" t="str">
            <v>UN</v>
          </cell>
          <cell r="E1344" t="str">
            <v>CR</v>
          </cell>
          <cell r="F1344">
            <v>9.56</v>
          </cell>
        </row>
        <row r="1345">
          <cell r="B1345">
            <v>11686</v>
          </cell>
          <cell r="C1345" t="str">
            <v>CONJUNTO DE LIGACAO PARA VASO / BACIA SANITARIA, EM PLASTICO BRANCO, COM TUBO, CANOPLA E ANEL DE EXPANSAO (TUBO 1.1/2" X 20 CM)</v>
          </cell>
          <cell r="D1345" t="str">
            <v>UN</v>
          </cell>
          <cell r="E1345" t="str">
            <v>CR</v>
          </cell>
          <cell r="F1345">
            <v>13.27</v>
          </cell>
        </row>
        <row r="1346">
          <cell r="B1346">
            <v>37598</v>
          </cell>
          <cell r="C1346" t="str">
            <v>CONJUNTO MONTADO ESTOPIM COM ESPOLETA COMUM NUMERO 8, COM CABECA ACENDEDORA, 1,5 M</v>
          </cell>
          <cell r="D1346" t="str">
            <v>UN</v>
          </cell>
          <cell r="E1346" t="str">
            <v>CR</v>
          </cell>
          <cell r="F1346">
            <v>38.11</v>
          </cell>
        </row>
        <row r="1347">
          <cell r="B1347">
            <v>25398</v>
          </cell>
          <cell r="C1347" t="str">
            <v>CONJUNTO PARA FUTSAL COM PAR DE TRAVES OFICIAIS DE 3,00 X 2,00 M EM TUBO DE ACO GALVANIZADO 3" COM REQUADROS EM TUBO DE 1", PINTURA EM PRIMER COM TINTA ESMALTE SINTETICO E REDES DE POLIETILENO FIO 4 MM</v>
          </cell>
          <cell r="D1347" t="str">
            <v>UN</v>
          </cell>
          <cell r="E1347" t="str">
            <v>CR</v>
          </cell>
          <cell r="F1347">
            <v>4079.76</v>
          </cell>
        </row>
        <row r="1348">
          <cell r="B1348">
            <v>25399</v>
          </cell>
          <cell r="C1348" t="str">
            <v>CONJUNTO PARA QUADRA DE VOLEI COM POSTES EM TUBO DE ACO GALVANIZADO 3", H = *255* CM, PINTURA EM TINTA ESMALTE SINTETICO, REDE DE NYLON COM 2 MM, MALHA 10 X 10 CM E ANTENAS OFICIAIS EM FIBRA DE VIDRO</v>
          </cell>
          <cell r="D1348" t="str">
            <v>UN</v>
          </cell>
          <cell r="E1348" t="str">
            <v>CR</v>
          </cell>
          <cell r="F1348">
            <v>2476.77</v>
          </cell>
        </row>
        <row r="1349">
          <cell r="B1349">
            <v>43440</v>
          </cell>
          <cell r="C1349" t="str">
            <v>CONJUNTO PRE-MOLDADO COMPOSTO POR GRELHA (0,99 X 0,45 M), QUADRO (1,10 X 0,52 M) E CANTONEIRA (1,10 X 0,35 M), EM CONCRETO ARMADO, COM FCK DE 21 MPA</v>
          </cell>
          <cell r="D1349" t="str">
            <v>UN</v>
          </cell>
          <cell r="E1349" t="str">
            <v>CR</v>
          </cell>
          <cell r="F1349">
            <v>543.66999999999996</v>
          </cell>
        </row>
        <row r="1350">
          <cell r="B1350">
            <v>1613</v>
          </cell>
          <cell r="C1350" t="str">
            <v>CONTATOR TRIPOLAR, CORRENTE DE *110* A, TENSAO NOMINAL DE *500* V, CATEGORIA AC-2 E AC-3</v>
          </cell>
          <cell r="D1350" t="str">
            <v>UN</v>
          </cell>
          <cell r="E1350" t="str">
            <v>CR</v>
          </cell>
          <cell r="F1350">
            <v>1508.3</v>
          </cell>
        </row>
        <row r="1351">
          <cell r="B1351">
            <v>1626</v>
          </cell>
          <cell r="C1351" t="str">
            <v>CONTATOR TRIPOLAR, CORRENTE DE *185* A, TENSAO NOMINAL DE *500* V, CATEGORIA AC-2 E AC-3</v>
          </cell>
          <cell r="D1351" t="str">
            <v>UN</v>
          </cell>
          <cell r="E1351" t="str">
            <v>CR</v>
          </cell>
          <cell r="F1351">
            <v>2255.84</v>
          </cell>
        </row>
        <row r="1352">
          <cell r="B1352">
            <v>1625</v>
          </cell>
          <cell r="C1352" t="str">
            <v>CONTATOR TRIPOLAR, CORRENTE DE *22* A, TENSAO NOMINAL DE *500* V, CATEGORIA AC-2 E AC-3</v>
          </cell>
          <cell r="D1352" t="str">
            <v>UN</v>
          </cell>
          <cell r="E1352" t="str">
            <v>CR</v>
          </cell>
          <cell r="F1352">
            <v>157.56</v>
          </cell>
        </row>
        <row r="1353">
          <cell r="B1353">
            <v>1622</v>
          </cell>
          <cell r="C1353" t="str">
            <v>CONTATOR TRIPOLAR, CORRENTE DE *265* A, TENSAO NOMINAL DE *500* V, CATEGORIA AC-2 E AC-3</v>
          </cell>
          <cell r="D1353" t="str">
            <v>UN</v>
          </cell>
          <cell r="E1353" t="str">
            <v>CR</v>
          </cell>
          <cell r="F1353">
            <v>5090.5200000000004</v>
          </cell>
        </row>
        <row r="1354">
          <cell r="B1354">
            <v>1620</v>
          </cell>
          <cell r="C1354" t="str">
            <v>CONTATOR TRIPOLAR, CORRENTE DE *38* A, TENSAO NOMINAL DE *500* V, CATEGORIA AC-2 E AC-3</v>
          </cell>
          <cell r="D1354" t="str">
            <v>UN</v>
          </cell>
          <cell r="E1354" t="str">
            <v>CR</v>
          </cell>
          <cell r="F1354">
            <v>331.91</v>
          </cell>
        </row>
        <row r="1355">
          <cell r="B1355">
            <v>1629</v>
          </cell>
          <cell r="C1355" t="str">
            <v>CONTATOR TRIPOLAR, CORRENTE DE *500* A, TENSAO NOMINAL DE *500* V, CATEGORIA AC-2 E AC-3</v>
          </cell>
          <cell r="D1355" t="str">
            <v>UN</v>
          </cell>
          <cell r="E1355" t="str">
            <v>CR</v>
          </cell>
          <cell r="F1355">
            <v>12389.11</v>
          </cell>
        </row>
        <row r="1356">
          <cell r="B1356">
            <v>1627</v>
          </cell>
          <cell r="C1356" t="str">
            <v>CONTATOR TRIPOLAR, CORRENTE DE *65* A, TENSAO NOMINAL DE *500* V, CATEGORIA AC-2 E AC-3</v>
          </cell>
          <cell r="D1356" t="str">
            <v>UN</v>
          </cell>
          <cell r="E1356" t="str">
            <v>CR</v>
          </cell>
          <cell r="F1356">
            <v>634.42999999999995</v>
          </cell>
        </row>
        <row r="1357">
          <cell r="B1357">
            <v>1623</v>
          </cell>
          <cell r="C1357" t="str">
            <v>CONTATOR TRIPOLAR, CORRENTE DE 12 A, TENSAO NOMINAL DE *500* V, CATEGORIA AC-2 E AC-3</v>
          </cell>
          <cell r="D1357" t="str">
            <v>UN</v>
          </cell>
          <cell r="E1357" t="str">
            <v>CR</v>
          </cell>
          <cell r="F1357">
            <v>128.5</v>
          </cell>
        </row>
        <row r="1358">
          <cell r="B1358">
            <v>1619</v>
          </cell>
          <cell r="C1358" t="str">
            <v>CONTATOR TRIPOLAR, CORRENTE DE 25 A, TENSAO NOMINAL DE *500* V, CATEGORIA AC-2 E AC-3</v>
          </cell>
          <cell r="D1358" t="str">
            <v>UN</v>
          </cell>
          <cell r="E1358" t="str">
            <v>CR</v>
          </cell>
          <cell r="F1358">
            <v>176.76</v>
          </cell>
        </row>
        <row r="1359">
          <cell r="B1359">
            <v>1630</v>
          </cell>
          <cell r="C1359" t="str">
            <v>CONTATOR TRIPOLAR, CORRENTE DE 250 A, TENSAO NOMINAL DE *500* V, PARA ACIONAMENTO DE CAPACITORES</v>
          </cell>
          <cell r="D1359" t="str">
            <v>UN</v>
          </cell>
          <cell r="E1359" t="str">
            <v>CR</v>
          </cell>
          <cell r="F1359">
            <v>3891.81</v>
          </cell>
        </row>
        <row r="1360">
          <cell r="B1360">
            <v>1616</v>
          </cell>
          <cell r="C1360" t="str">
            <v>CONTATOR TRIPOLAR, CORRENTE DE 300 A, TENSAO NOMINAL DE *500* V, CATEGORIA AC-2 E AC-3</v>
          </cell>
          <cell r="D1360" t="str">
            <v>UN</v>
          </cell>
          <cell r="E1360" t="str">
            <v>CR</v>
          </cell>
          <cell r="F1360">
            <v>5985.67</v>
          </cell>
        </row>
        <row r="1361">
          <cell r="B1361">
            <v>1614</v>
          </cell>
          <cell r="C1361" t="str">
            <v>CONTATOR TRIPOLAR, CORRENTE DE 32 A, TENSAO NOMINAL DE *500* V, CATEGORIA AC-2 E AC-3</v>
          </cell>
          <cell r="D1361" t="str">
            <v>UN</v>
          </cell>
          <cell r="E1361" t="str">
            <v>CR</v>
          </cell>
          <cell r="F1361">
            <v>273.56</v>
          </cell>
        </row>
        <row r="1362">
          <cell r="B1362">
            <v>1617</v>
          </cell>
          <cell r="C1362" t="str">
            <v>CONTATOR TRIPOLAR, CORRENTE DE 400 A, TENSAO NOMINAL DE *500* V, CATEGORIA AC-2 E AC-3</v>
          </cell>
          <cell r="D1362" t="str">
            <v>UN</v>
          </cell>
          <cell r="E1362" t="str">
            <v>CR</v>
          </cell>
          <cell r="F1362">
            <v>7145.59</v>
          </cell>
        </row>
        <row r="1363">
          <cell r="B1363">
            <v>1621</v>
          </cell>
          <cell r="C1363" t="str">
            <v>CONTATOR TRIPOLAR, CORRENTE DE 45 A, TENSAO NOMINAL DE *500* V, CATEGORIA AC-2 E AC-3</v>
          </cell>
          <cell r="D1363" t="str">
            <v>UN</v>
          </cell>
          <cell r="E1363" t="str">
            <v>CR</v>
          </cell>
          <cell r="F1363">
            <v>489.26</v>
          </cell>
        </row>
        <row r="1364">
          <cell r="B1364">
            <v>1624</v>
          </cell>
          <cell r="C1364" t="str">
            <v>CONTATOR TRIPOLAR, CORRENTE DE 630 A, TENSAO NOMINAL DE *500* V, CATEGORIA AC-2 E AC-3</v>
          </cell>
          <cell r="D1364" t="str">
            <v>UN</v>
          </cell>
          <cell r="E1364" t="str">
            <v>CR</v>
          </cell>
          <cell r="F1364">
            <v>17564.21</v>
          </cell>
        </row>
        <row r="1365">
          <cell r="B1365">
            <v>1615</v>
          </cell>
          <cell r="C1365" t="str">
            <v>CONTATOR TRIPOLAR, CORRENTE DE 75 A, TENSAO NOMINAL DE *500* V, CATEGORIA AC-2 E AC-3</v>
          </cell>
          <cell r="D1365" t="str">
            <v>UN</v>
          </cell>
          <cell r="E1365" t="str">
            <v>CR</v>
          </cell>
          <cell r="F1365">
            <v>918.76</v>
          </cell>
        </row>
        <row r="1366">
          <cell r="B1366">
            <v>1612</v>
          </cell>
          <cell r="C1366" t="str">
            <v>CONTATOR TRIPOLAR, CORRENTE DE 9 A, TENSAO NOMINAL DE *500* V, CATEGORIA AC-2 E AC-3</v>
          </cell>
          <cell r="D1366" t="str">
            <v>UN</v>
          </cell>
          <cell r="E1366" t="str">
            <v>C</v>
          </cell>
          <cell r="F1366">
            <v>121.01</v>
          </cell>
        </row>
        <row r="1367">
          <cell r="B1367">
            <v>1618</v>
          </cell>
          <cell r="C1367" t="str">
            <v>CONTATOR TRIPOLAR, CORRENTE DE 95 A, TENSAO NOMINAL DE *500* V, CATEGORIA AC-2 E AC-3</v>
          </cell>
          <cell r="D1367" t="str">
            <v>UN</v>
          </cell>
          <cell r="E1367" t="str">
            <v>CR</v>
          </cell>
          <cell r="F1367">
            <v>1262.52</v>
          </cell>
        </row>
        <row r="1368">
          <cell r="B1368">
            <v>43657</v>
          </cell>
          <cell r="C1368" t="str">
            <v>CONTRAMARCO DE ALUMINIO (PERFIL 25) PARA ESQUADRIAS, TIPO CONVENCIONAL / CADEIRINHA, 60 MM (CM-060), INCLUSO CONEXOES, GRAPAS E TRAVAMENTOS</v>
          </cell>
          <cell r="D1368" t="str">
            <v>M</v>
          </cell>
          <cell r="E1368" t="str">
            <v>CR</v>
          </cell>
          <cell r="F1368">
            <v>7.83</v>
          </cell>
        </row>
        <row r="1369">
          <cell r="B1369">
            <v>14211</v>
          </cell>
          <cell r="C1369" t="str">
            <v>CONTRA-PORCA SEXTAVADA, DIAMETRO NOMINAL 1 3/8", ALTURA 35 MM</v>
          </cell>
          <cell r="D1369" t="str">
            <v>UN</v>
          </cell>
          <cell r="E1369" t="str">
            <v>CR</v>
          </cell>
          <cell r="F1369">
            <v>43.46</v>
          </cell>
        </row>
        <row r="1370">
          <cell r="B1370">
            <v>38200</v>
          </cell>
          <cell r="C1370" t="str">
            <v>CORDA DE POLIAMIDA 12 MM TIPO BOMBEIRO, PARA TRABALHO EM ALTURA</v>
          </cell>
          <cell r="D1370" t="str">
            <v>100M</v>
          </cell>
          <cell r="E1370" t="str">
            <v>CR</v>
          </cell>
          <cell r="F1370">
            <v>440.93</v>
          </cell>
        </row>
        <row r="1371">
          <cell r="B1371">
            <v>39269</v>
          </cell>
          <cell r="C1371" t="str">
            <v>CORDAO DE COBRE, FLEXIVEL, TORCIDO, CLASSE 4 OU 5, ISOLACAO EM PVC/D, 300 V, 2 CONDUTORES DE 0,5 MM2</v>
          </cell>
          <cell r="D1371" t="str">
            <v>M</v>
          </cell>
          <cell r="E1371" t="str">
            <v>CR</v>
          </cell>
          <cell r="F1371">
            <v>1.44</v>
          </cell>
        </row>
        <row r="1372">
          <cell r="B1372">
            <v>11889</v>
          </cell>
          <cell r="C1372" t="str">
            <v>CORDAO DE COBRE, FLEXIVEL, TORCIDO, CLASSE 4 OU 5, ISOLACAO EM PVC/D, 300 V, 2 CONDUTORES DE 0,75 MM2</v>
          </cell>
          <cell r="D1372" t="str">
            <v>M</v>
          </cell>
          <cell r="E1372" t="str">
            <v>CR</v>
          </cell>
          <cell r="F1372">
            <v>1.98</v>
          </cell>
        </row>
        <row r="1373">
          <cell r="B1373">
            <v>39270</v>
          </cell>
          <cell r="C1373" t="str">
            <v>CORDAO DE COBRE, FLEXIVEL, TORCIDO, CLASSE 4 OU 5, ISOLACAO EM PVC/D, 300 V, 2 CONDUTORES DE 1,0 MM2</v>
          </cell>
          <cell r="D1373" t="str">
            <v>M</v>
          </cell>
          <cell r="E1373" t="str">
            <v>CR</v>
          </cell>
          <cell r="F1373">
            <v>2.58</v>
          </cell>
        </row>
        <row r="1374">
          <cell r="B1374">
            <v>11890</v>
          </cell>
          <cell r="C1374" t="str">
            <v>CORDAO DE COBRE, FLEXIVEL, TORCIDO, CLASSE 4 OU 5, ISOLACAO EM PVC/D, 300 V, 2 CONDUTORES DE 1,5 MM2</v>
          </cell>
          <cell r="D1374" t="str">
            <v>M</v>
          </cell>
          <cell r="E1374" t="str">
            <v>CR</v>
          </cell>
          <cell r="F1374">
            <v>3.51</v>
          </cell>
        </row>
        <row r="1375">
          <cell r="B1375">
            <v>11891</v>
          </cell>
          <cell r="C1375" t="str">
            <v>CORDAO DE COBRE, FLEXIVEL, TORCIDO, CLASSE 4 OU 5, ISOLACAO EM PVC/D, 300 V, 2 CONDUTORES DE 2,5 MM2</v>
          </cell>
          <cell r="D1375" t="str">
            <v>M</v>
          </cell>
          <cell r="E1375" t="str">
            <v>CR</v>
          </cell>
          <cell r="F1375">
            <v>5.69</v>
          </cell>
        </row>
        <row r="1376">
          <cell r="B1376">
            <v>11892</v>
          </cell>
          <cell r="C1376" t="str">
            <v>CORDAO DE COBRE, FLEXIVEL, TORCIDO, CLASSE 4 OU 5, ISOLACAO EM PVC/D, 300 V, 2 CONDUTORES DE 4 MM2</v>
          </cell>
          <cell r="D1376" t="str">
            <v>M</v>
          </cell>
          <cell r="E1376" t="str">
            <v>CR</v>
          </cell>
          <cell r="F1376">
            <v>9.3000000000000007</v>
          </cell>
        </row>
        <row r="1377">
          <cell r="B1377">
            <v>37601</v>
          </cell>
          <cell r="C1377" t="str">
            <v>CORDEL DETONANTE, NP 05 G/M</v>
          </cell>
          <cell r="D1377" t="str">
            <v>M</v>
          </cell>
          <cell r="E1377" t="str">
            <v>CR</v>
          </cell>
          <cell r="F1377">
            <v>8.4700000000000006</v>
          </cell>
        </row>
        <row r="1378">
          <cell r="B1378">
            <v>1634</v>
          </cell>
          <cell r="C1378" t="str">
            <v>CORDEL DETONANTE, NP 10 G/M</v>
          </cell>
          <cell r="D1378" t="str">
            <v>M</v>
          </cell>
          <cell r="E1378" t="str">
            <v>CR</v>
          </cell>
          <cell r="F1378">
            <v>8.75</v>
          </cell>
        </row>
        <row r="1379">
          <cell r="B1379">
            <v>44274</v>
          </cell>
          <cell r="C1379" t="str">
            <v>COROA PARA PERFURATRIZ T38, D = 2 1/2", 6 X 4 BOTOES BALISTICOS, FACE PLANA</v>
          </cell>
          <cell r="D1379" t="str">
            <v>UN</v>
          </cell>
          <cell r="E1379" t="str">
            <v>CR</v>
          </cell>
          <cell r="F1379">
            <v>700.02</v>
          </cell>
        </row>
        <row r="1380">
          <cell r="B1380">
            <v>5086</v>
          </cell>
          <cell r="C1380" t="str">
            <v>CORRENTE DE ELO CURTO COMUM, SOLDADA, GALVANIZADA, ESPESSURA DO ELO = 1/2" (12,5 MM)</v>
          </cell>
          <cell r="D1380" t="str">
            <v>KG</v>
          </cell>
          <cell r="E1380" t="str">
            <v>CR</v>
          </cell>
          <cell r="F1380">
            <v>32.72</v>
          </cell>
        </row>
        <row r="1381">
          <cell r="B1381">
            <v>11280</v>
          </cell>
          <cell r="C1381" t="str">
            <v>CORTADEIRA DE PISO DE CONCRETO E ASFALTO, PARA DISCO PADRAO DE DIAMETRO 350 MM (14") OU 450 MM (18"), MOTOR A GASOLINA, POTENCIA 13 HP, SEM DISCO</v>
          </cell>
          <cell r="D1381" t="str">
            <v>UN</v>
          </cell>
          <cell r="E1381" t="str">
            <v>CR</v>
          </cell>
          <cell r="F1381">
            <v>6023.06</v>
          </cell>
        </row>
        <row r="1382">
          <cell r="B1382">
            <v>45657</v>
          </cell>
          <cell r="C1382" t="str">
            <v>CORTADEIRA HIDRAULICA DE VERGALHAO, PARA ACO DE DIAMETRO ATE 50 MM, MOTOR ELETRICO TRIFASICO, POTENCIA DE 5,5 HP A 7,5 HP</v>
          </cell>
          <cell r="D1382" t="str">
            <v>UN</v>
          </cell>
          <cell r="E1382" t="str">
            <v>CR</v>
          </cell>
          <cell r="F1382">
            <v>137247.87</v>
          </cell>
        </row>
        <row r="1383">
          <cell r="B1383">
            <v>45244</v>
          </cell>
          <cell r="C1383" t="str">
            <v>CORTA-TUBOS COM CAPACIDADE DE 6 A 42 MM</v>
          </cell>
          <cell r="D1383" t="str">
            <v>UN</v>
          </cell>
          <cell r="E1383" t="str">
            <v>CR</v>
          </cell>
          <cell r="F1383">
            <v>107.8</v>
          </cell>
        </row>
        <row r="1384">
          <cell r="B1384">
            <v>3446</v>
          </cell>
          <cell r="C1384" t="str">
            <v>COTOVELO 45 GRAUS DE FERRO GALVANIZADO, COM ROSCA BSP, DE 1 1/2"</v>
          </cell>
          <cell r="D1384" t="str">
            <v>UN</v>
          </cell>
          <cell r="E1384" t="str">
            <v>CR</v>
          </cell>
          <cell r="F1384">
            <v>37.4</v>
          </cell>
        </row>
        <row r="1385">
          <cell r="B1385">
            <v>3445</v>
          </cell>
          <cell r="C1385" t="str">
            <v>COTOVELO 45 GRAUS DE FERRO GALVANIZADO, COM ROSCA BSP, DE 1 1/4"</v>
          </cell>
          <cell r="D1385" t="str">
            <v>UN</v>
          </cell>
          <cell r="E1385" t="str">
            <v>CR</v>
          </cell>
          <cell r="F1385">
            <v>30.54</v>
          </cell>
        </row>
        <row r="1386">
          <cell r="B1386">
            <v>3444</v>
          </cell>
          <cell r="C1386" t="str">
            <v>COTOVELO 45 GRAUS DE FERRO GALVANIZADO, COM ROSCA BSP, DE 1"</v>
          </cell>
          <cell r="D1386" t="str">
            <v>UN</v>
          </cell>
          <cell r="E1386" t="str">
            <v>CR</v>
          </cell>
          <cell r="F1386">
            <v>18.79</v>
          </cell>
        </row>
        <row r="1387">
          <cell r="B1387">
            <v>3441</v>
          </cell>
          <cell r="C1387" t="str">
            <v>COTOVELO 45 GRAUS DE FERRO GALVANIZADO, COM ROSCA BSP, DE 1/2"</v>
          </cell>
          <cell r="D1387" t="str">
            <v>UN</v>
          </cell>
          <cell r="E1387" t="str">
            <v>CR</v>
          </cell>
          <cell r="F1387">
            <v>8.6199999999999992</v>
          </cell>
        </row>
        <row r="1388">
          <cell r="B1388">
            <v>12402</v>
          </cell>
          <cell r="C1388" t="str">
            <v>COTOVELO 45 GRAUS DE FERRO GALVANIZADO, COM ROSCA BSP, DE 2 1/2"</v>
          </cell>
          <cell r="D1388" t="str">
            <v>UN</v>
          </cell>
          <cell r="E1388" t="str">
            <v>CR</v>
          </cell>
          <cell r="F1388">
            <v>105.14</v>
          </cell>
        </row>
        <row r="1389">
          <cell r="B1389">
            <v>3447</v>
          </cell>
          <cell r="C1389" t="str">
            <v>COTOVELO 45 GRAUS DE FERRO GALVANIZADO, COM ROSCA BSP, DE 2"</v>
          </cell>
          <cell r="D1389" t="str">
            <v>UN</v>
          </cell>
          <cell r="E1389" t="str">
            <v>CR</v>
          </cell>
          <cell r="F1389">
            <v>54.39</v>
          </cell>
        </row>
        <row r="1390">
          <cell r="B1390">
            <v>3448</v>
          </cell>
          <cell r="C1390" t="str">
            <v>COTOVELO 45 GRAUS DE FERRO GALVANIZADO, COM ROSCA BSP, DE 3"</v>
          </cell>
          <cell r="D1390" t="str">
            <v>UN</v>
          </cell>
          <cell r="E1390" t="str">
            <v>CR</v>
          </cell>
          <cell r="F1390">
            <v>153.71</v>
          </cell>
        </row>
        <row r="1391">
          <cell r="B1391">
            <v>3442</v>
          </cell>
          <cell r="C1391" t="str">
            <v>COTOVELO 45 GRAUS DE FERRO GALVANIZADO, COM ROSCA BSP, DE 3/4"</v>
          </cell>
          <cell r="D1391" t="str">
            <v>UN</v>
          </cell>
          <cell r="E1391" t="str">
            <v>CR</v>
          </cell>
          <cell r="F1391">
            <v>12.89</v>
          </cell>
        </row>
        <row r="1392">
          <cell r="B1392">
            <v>3449</v>
          </cell>
          <cell r="C1392" t="str">
            <v>COTOVELO 45 GRAUS DE FERRO GALVANIZADO, COM ROSCA BSP, DE 4"</v>
          </cell>
          <cell r="D1392" t="str">
            <v>UN</v>
          </cell>
          <cell r="E1392" t="str">
            <v>CR</v>
          </cell>
          <cell r="F1392">
            <v>269.33999999999997</v>
          </cell>
        </row>
        <row r="1393">
          <cell r="B1393">
            <v>37438</v>
          </cell>
          <cell r="C1393" t="str">
            <v>COTOVELO 45 GRAUS, PEAD PE 100, DE 125 MM, PARA ELETROFUSAO</v>
          </cell>
          <cell r="D1393" t="str">
            <v>UN</v>
          </cell>
          <cell r="E1393" t="str">
            <v>CR</v>
          </cell>
          <cell r="F1393">
            <v>246.08</v>
          </cell>
        </row>
        <row r="1394">
          <cell r="B1394">
            <v>37439</v>
          </cell>
          <cell r="C1394" t="str">
            <v>COTOVELO 45 GRAUS, PEAD PE 100, DE 200 MM, PARA ELETROFUSAO</v>
          </cell>
          <cell r="D1394" t="str">
            <v>UN</v>
          </cell>
          <cell r="E1394" t="str">
            <v>CR</v>
          </cell>
          <cell r="F1394">
            <v>1608.84</v>
          </cell>
        </row>
        <row r="1395">
          <cell r="B1395">
            <v>37435</v>
          </cell>
          <cell r="C1395" t="str">
            <v>COTOVELO 45 GRAUS, PEAD PE 100, DE 32 MM, PARA ELETROFUSAO</v>
          </cell>
          <cell r="D1395" t="str">
            <v>UN</v>
          </cell>
          <cell r="E1395" t="str">
            <v>CR</v>
          </cell>
          <cell r="F1395">
            <v>28.92</v>
          </cell>
        </row>
        <row r="1396">
          <cell r="B1396">
            <v>37436</v>
          </cell>
          <cell r="C1396" t="str">
            <v>COTOVELO 45 GRAUS, PEAD PE 100, DE 40 MM, PARA ELETROFUSAO</v>
          </cell>
          <cell r="D1396" t="str">
            <v>UN</v>
          </cell>
          <cell r="E1396" t="str">
            <v>CR</v>
          </cell>
          <cell r="F1396">
            <v>34.130000000000003</v>
          </cell>
        </row>
        <row r="1397">
          <cell r="B1397">
            <v>37437</v>
          </cell>
          <cell r="C1397" t="str">
            <v>COTOVELO 45 GRAUS, PEAD PE 100, DE 63 MM, PARA ELETROFUSAO</v>
          </cell>
          <cell r="D1397" t="str">
            <v>UN</v>
          </cell>
          <cell r="E1397" t="str">
            <v>CR</v>
          </cell>
          <cell r="F1397">
            <v>49.36</v>
          </cell>
        </row>
        <row r="1398">
          <cell r="B1398">
            <v>3473</v>
          </cell>
          <cell r="C1398" t="str">
            <v>COTOVELO 90 GRAUS DE FERRO GALVANIZADO, COM ROSCA BSP MACHO/FEMEA, DE 1 1/2"</v>
          </cell>
          <cell r="D1398" t="str">
            <v>UN</v>
          </cell>
          <cell r="E1398" t="str">
            <v>CR</v>
          </cell>
          <cell r="F1398">
            <v>42.29</v>
          </cell>
        </row>
        <row r="1399">
          <cell r="B1399">
            <v>3474</v>
          </cell>
          <cell r="C1399" t="str">
            <v>COTOVELO 90 GRAUS DE FERRO GALVANIZADO, COM ROSCA BSP MACHO/FEMEA, DE 1 1/4"</v>
          </cell>
          <cell r="D1399" t="str">
            <v>UN</v>
          </cell>
          <cell r="E1399" t="str">
            <v>CR</v>
          </cell>
          <cell r="F1399">
            <v>34.86</v>
          </cell>
        </row>
        <row r="1400">
          <cell r="B1400">
            <v>3443</v>
          </cell>
          <cell r="C1400" t="str">
            <v>COTOVELO 90 GRAUS DE FERRO GALVANIZADO, COM ROSCA BSP MACHO/FEMEA, DE 1"</v>
          </cell>
          <cell r="D1400" t="str">
            <v>UN</v>
          </cell>
          <cell r="E1400" t="str">
            <v>CR</v>
          </cell>
          <cell r="F1400">
            <v>21.69</v>
          </cell>
        </row>
        <row r="1401">
          <cell r="B1401">
            <v>3450</v>
          </cell>
          <cell r="C1401" t="str">
            <v>COTOVELO 90 GRAUS DE FERRO GALVANIZADO, COM ROSCA BSP MACHO/FEMEA, DE 1/2"</v>
          </cell>
          <cell r="D1401" t="str">
            <v>UN</v>
          </cell>
          <cell r="E1401" t="str">
            <v>CR</v>
          </cell>
          <cell r="F1401">
            <v>10.1</v>
          </cell>
        </row>
        <row r="1402">
          <cell r="B1402">
            <v>3453</v>
          </cell>
          <cell r="C1402" t="str">
            <v>COTOVELO 90 GRAUS DE FERRO GALVANIZADO, COM ROSCA BSP MACHO/FEMEA, DE 2 1/2"</v>
          </cell>
          <cell r="D1402" t="str">
            <v>UN</v>
          </cell>
          <cell r="E1402" t="str">
            <v>CR</v>
          </cell>
          <cell r="F1402">
            <v>123.44</v>
          </cell>
        </row>
        <row r="1403">
          <cell r="B1403">
            <v>3452</v>
          </cell>
          <cell r="C1403" t="str">
            <v>COTOVELO 90 GRAUS DE FERRO GALVANIZADO, COM ROSCA BSP MACHO/FEMEA, DE 2"</v>
          </cell>
          <cell r="D1403" t="str">
            <v>UN</v>
          </cell>
          <cell r="E1403" t="str">
            <v>CR</v>
          </cell>
          <cell r="F1403">
            <v>60.93</v>
          </cell>
        </row>
        <row r="1404">
          <cell r="B1404">
            <v>3454</v>
          </cell>
          <cell r="C1404" t="str">
            <v>COTOVELO 90 GRAUS DE FERRO GALVANIZADO, COM ROSCA BSP MACHO/FEMEA, DE 3"</v>
          </cell>
          <cell r="D1404" t="str">
            <v>UN</v>
          </cell>
          <cell r="E1404" t="str">
            <v>CR</v>
          </cell>
          <cell r="F1404">
            <v>187.75</v>
          </cell>
        </row>
        <row r="1405">
          <cell r="B1405">
            <v>3451</v>
          </cell>
          <cell r="C1405" t="str">
            <v>COTOVELO 90 GRAUS DE FERRO GALVANIZADO, COM ROSCA BSP MACHO/FEMEA, DE 3/4"</v>
          </cell>
          <cell r="D1405" t="str">
            <v>UN</v>
          </cell>
          <cell r="E1405" t="str">
            <v>CR</v>
          </cell>
          <cell r="F1405">
            <v>12.09</v>
          </cell>
        </row>
        <row r="1406">
          <cell r="B1406">
            <v>3458</v>
          </cell>
          <cell r="C1406" t="str">
            <v>COTOVELO 90 GRAUS DE FERRO GALVANIZADO, COM ROSCA BSP, DE 1 1/2"</v>
          </cell>
          <cell r="D1406" t="str">
            <v>UN</v>
          </cell>
          <cell r="E1406" t="str">
            <v>CR</v>
          </cell>
          <cell r="F1406">
            <v>33.9</v>
          </cell>
        </row>
        <row r="1407">
          <cell r="B1407">
            <v>3457</v>
          </cell>
          <cell r="C1407" t="str">
            <v>COTOVELO 90 GRAUS DE FERRO GALVANIZADO, COM ROSCA BSP, DE 1 1/4"</v>
          </cell>
          <cell r="D1407" t="str">
            <v>UN</v>
          </cell>
          <cell r="E1407" t="str">
            <v>CR</v>
          </cell>
          <cell r="F1407">
            <v>25.45</v>
          </cell>
        </row>
        <row r="1408">
          <cell r="B1408">
            <v>3472</v>
          </cell>
          <cell r="C1408" t="str">
            <v>COTOVELO 90 GRAUS DE FERRO GALVANIZADO, COM ROSCA BSP, DE 1"</v>
          </cell>
          <cell r="D1408" t="str">
            <v>UN</v>
          </cell>
          <cell r="E1408" t="str">
            <v>CR</v>
          </cell>
          <cell r="F1408">
            <v>16.239999999999998</v>
          </cell>
        </row>
        <row r="1409">
          <cell r="B1409">
            <v>3455</v>
          </cell>
          <cell r="C1409" t="str">
            <v>COTOVELO 90 GRAUS DE FERRO GALVANIZADO, COM ROSCA BSP, DE 1/2"</v>
          </cell>
          <cell r="D1409" t="str">
            <v>UN</v>
          </cell>
          <cell r="E1409" t="str">
            <v>CR</v>
          </cell>
          <cell r="F1409">
            <v>7.23</v>
          </cell>
        </row>
        <row r="1410">
          <cell r="B1410">
            <v>3470</v>
          </cell>
          <cell r="C1410" t="str">
            <v>COTOVELO 90 GRAUS DE FERRO GALVANIZADO, COM ROSCA BSP, DE 2 1/2"</v>
          </cell>
          <cell r="D1410" t="str">
            <v>UN</v>
          </cell>
          <cell r="E1410" t="str">
            <v>CR</v>
          </cell>
          <cell r="F1410">
            <v>94.65</v>
          </cell>
        </row>
        <row r="1411">
          <cell r="B1411">
            <v>3471</v>
          </cell>
          <cell r="C1411" t="str">
            <v>COTOVELO 90 GRAUS DE FERRO GALVANIZADO, COM ROSCA BSP, DE 2"</v>
          </cell>
          <cell r="D1411" t="str">
            <v>UN</v>
          </cell>
          <cell r="E1411" t="str">
            <v>CR</v>
          </cell>
          <cell r="F1411">
            <v>52.01</v>
          </cell>
        </row>
        <row r="1412">
          <cell r="B1412">
            <v>3459</v>
          </cell>
          <cell r="C1412" t="str">
            <v>COTOVELO 90 GRAUS DE FERRO GALVANIZADO, COM ROSCA BSP, DE 3"</v>
          </cell>
          <cell r="D1412" t="str">
            <v>UN</v>
          </cell>
          <cell r="E1412" t="str">
            <v>CR</v>
          </cell>
          <cell r="F1412">
            <v>133.51</v>
          </cell>
        </row>
        <row r="1413">
          <cell r="B1413">
            <v>3456</v>
          </cell>
          <cell r="C1413" t="str">
            <v>COTOVELO 90 GRAUS DE FERRO GALVANIZADO, COM ROSCA BSP, DE 3/4"</v>
          </cell>
          <cell r="D1413" t="str">
            <v>UN</v>
          </cell>
          <cell r="E1413" t="str">
            <v>CR</v>
          </cell>
          <cell r="F1413">
            <v>10.81</v>
          </cell>
        </row>
        <row r="1414">
          <cell r="B1414">
            <v>3469</v>
          </cell>
          <cell r="C1414" t="str">
            <v>COTOVELO 90 GRAUS DE FERRO GALVANIZADO, COM ROSCA BSP, DE 4"</v>
          </cell>
          <cell r="D1414" t="str">
            <v>UN</v>
          </cell>
          <cell r="E1414" t="str">
            <v>CR</v>
          </cell>
          <cell r="F1414">
            <v>253.9</v>
          </cell>
        </row>
        <row r="1415">
          <cell r="B1415">
            <v>3460</v>
          </cell>
          <cell r="C1415" t="str">
            <v>COTOVELO 90 GRAUS DE FERRO GALVANIZADO, COM ROSCA BSP, DE 5"</v>
          </cell>
          <cell r="D1415" t="str">
            <v>UN</v>
          </cell>
          <cell r="E1415" t="str">
            <v>CR</v>
          </cell>
          <cell r="F1415">
            <v>370.48</v>
          </cell>
        </row>
        <row r="1416">
          <cell r="B1416">
            <v>3461</v>
          </cell>
          <cell r="C1416" t="str">
            <v>COTOVELO 90 GRAUS DE FERRO GALVANIZADO, COM ROSCA BSP, DE 6"</v>
          </cell>
          <cell r="D1416" t="str">
            <v>UN</v>
          </cell>
          <cell r="E1416" t="str">
            <v>CR</v>
          </cell>
          <cell r="F1416">
            <v>946.93</v>
          </cell>
        </row>
        <row r="1417">
          <cell r="B1417">
            <v>37433</v>
          </cell>
          <cell r="C1417" t="str">
            <v>COTOVELO 90 GRAUS, PEAD PE 100, DE 125 MM, PARA ELETROFUSAO</v>
          </cell>
          <cell r="D1417" t="str">
            <v>UN</v>
          </cell>
          <cell r="E1417" t="str">
            <v>CR</v>
          </cell>
          <cell r="F1417">
            <v>246.08</v>
          </cell>
        </row>
        <row r="1418">
          <cell r="B1418">
            <v>37430</v>
          </cell>
          <cell r="C1418" t="str">
            <v>COTOVELO 90 GRAUS, PEAD PE 100, DE 20 MM, PARA ELETROFUSAO</v>
          </cell>
          <cell r="D1418" t="str">
            <v>UN</v>
          </cell>
          <cell r="E1418" t="str">
            <v>CR</v>
          </cell>
          <cell r="F1418">
            <v>30.84</v>
          </cell>
        </row>
        <row r="1419">
          <cell r="B1419">
            <v>37434</v>
          </cell>
          <cell r="C1419" t="str">
            <v>COTOVELO 90 GRAUS, PEAD PE 100, DE 200 MM, PARA ELETROFUSAO</v>
          </cell>
          <cell r="D1419" t="str">
            <v>UN</v>
          </cell>
          <cell r="E1419" t="str">
            <v>CR</v>
          </cell>
          <cell r="F1419">
            <v>2294.42</v>
          </cell>
        </row>
        <row r="1420">
          <cell r="B1420">
            <v>37431</v>
          </cell>
          <cell r="C1420" t="str">
            <v>COTOVELO 90 GRAUS, PEAD PE 100, DE 32 MM, PARA ELETROFUSAO</v>
          </cell>
          <cell r="D1420" t="str">
            <v>UN</v>
          </cell>
          <cell r="E1420" t="str">
            <v>CR</v>
          </cell>
          <cell r="F1420">
            <v>41.83</v>
          </cell>
        </row>
        <row r="1421">
          <cell r="B1421">
            <v>37432</v>
          </cell>
          <cell r="C1421" t="str">
            <v>COTOVELO 90 GRAUS, PEAD PE 100, DE 63 MM, PARA ELETROFUSAO</v>
          </cell>
          <cell r="D1421" t="str">
            <v>UN</v>
          </cell>
          <cell r="E1421" t="str">
            <v>CR</v>
          </cell>
          <cell r="F1421">
            <v>77.16</v>
          </cell>
        </row>
        <row r="1422">
          <cell r="B1422">
            <v>39869</v>
          </cell>
          <cell r="C1422" t="str">
            <v>COTOVELO BRONZE/LATAO SEM ANEL DE SOLDA, BOLSA X ROSCA F, 15MM X 1/2"</v>
          </cell>
          <cell r="D1422" t="str">
            <v>UN</v>
          </cell>
          <cell r="E1422" t="str">
            <v>CR</v>
          </cell>
          <cell r="F1422">
            <v>14.64</v>
          </cell>
        </row>
        <row r="1423">
          <cell r="B1423">
            <v>39870</v>
          </cell>
          <cell r="C1423" t="str">
            <v>COTOVELO BRONZE/LATAO SEM ANEL DE SOLDA, BOLSA X ROSCA F, 22MM X 1/2"</v>
          </cell>
          <cell r="D1423" t="str">
            <v>UN</v>
          </cell>
          <cell r="E1423" t="str">
            <v>CR</v>
          </cell>
          <cell r="F1423">
            <v>22.39</v>
          </cell>
        </row>
        <row r="1424">
          <cell r="B1424">
            <v>39871</v>
          </cell>
          <cell r="C1424" t="str">
            <v>COTOVELO BRONZE/LATAO SEM ANEL DE SOLDA, BOLSA X ROSCA F, 22MM X 3/4"</v>
          </cell>
          <cell r="D1424" t="str">
            <v>UN</v>
          </cell>
          <cell r="E1424" t="str">
            <v>CR</v>
          </cell>
          <cell r="F1424">
            <v>25.09</v>
          </cell>
        </row>
        <row r="1425">
          <cell r="B1425">
            <v>12722</v>
          </cell>
          <cell r="C1425" t="str">
            <v>COTOVELO DE COBRE 90 GRAUS SEM ANEL DE SOLDA, BOLSA X BOLSA, 104 MM</v>
          </cell>
          <cell r="D1425" t="str">
            <v>UN</v>
          </cell>
          <cell r="E1425" t="str">
            <v>CR</v>
          </cell>
          <cell r="F1425">
            <v>839.77</v>
          </cell>
        </row>
        <row r="1426">
          <cell r="B1426">
            <v>12714</v>
          </cell>
          <cell r="C1426" t="str">
            <v>COTOVELO DE COBRE 90 GRAUS SEM ANEL DE SOLDA, BOLSA X BOLSA, 15 MM</v>
          </cell>
          <cell r="D1426" t="str">
            <v>UN</v>
          </cell>
          <cell r="E1426" t="str">
            <v>CR</v>
          </cell>
          <cell r="F1426">
            <v>5.48</v>
          </cell>
        </row>
        <row r="1427">
          <cell r="B1427">
            <v>12715</v>
          </cell>
          <cell r="C1427" t="str">
            <v>COTOVELO DE COBRE 90 GRAUS SEM ANEL DE SOLDA, BOLSA X BOLSA, 22 MM</v>
          </cell>
          <cell r="D1427" t="str">
            <v>UN</v>
          </cell>
          <cell r="E1427" t="str">
            <v>CR</v>
          </cell>
          <cell r="F1427">
            <v>12.37</v>
          </cell>
        </row>
        <row r="1428">
          <cell r="B1428">
            <v>12716</v>
          </cell>
          <cell r="C1428" t="str">
            <v>COTOVELO DE COBRE 90 GRAUS SEM ANEL DE SOLDA, BOLSA X BOLSA, 28 MM</v>
          </cell>
          <cell r="D1428" t="str">
            <v>UN</v>
          </cell>
          <cell r="E1428" t="str">
            <v>CR</v>
          </cell>
          <cell r="F1428">
            <v>21.25</v>
          </cell>
        </row>
        <row r="1429">
          <cell r="B1429">
            <v>12717</v>
          </cell>
          <cell r="C1429" t="str">
            <v>COTOVELO DE COBRE 90 GRAUS SEM ANEL DE SOLDA, BOLSA X BOLSA, 35 MM</v>
          </cell>
          <cell r="D1429" t="str">
            <v>UN</v>
          </cell>
          <cell r="E1429" t="str">
            <v>CR</v>
          </cell>
          <cell r="F1429">
            <v>41.78</v>
          </cell>
        </row>
        <row r="1430">
          <cell r="B1430">
            <v>12718</v>
          </cell>
          <cell r="C1430" t="str">
            <v>COTOVELO DE COBRE 90 GRAUS SEM ANEL DE SOLDA, BOLSA X BOLSA, 42 MM</v>
          </cell>
          <cell r="D1430" t="str">
            <v>UN</v>
          </cell>
          <cell r="E1430" t="str">
            <v>CR</v>
          </cell>
          <cell r="F1430">
            <v>64.12</v>
          </cell>
        </row>
        <row r="1431">
          <cell r="B1431">
            <v>12719</v>
          </cell>
          <cell r="C1431" t="str">
            <v>COTOVELO DE COBRE 90 GRAUS SEM ANEL DE SOLDA, BOLSA X BOLSA, 54 MM</v>
          </cell>
          <cell r="D1431" t="str">
            <v>UN</v>
          </cell>
          <cell r="E1431" t="str">
            <v>CR</v>
          </cell>
          <cell r="F1431">
            <v>101.78</v>
          </cell>
        </row>
        <row r="1432">
          <cell r="B1432">
            <v>12720</v>
          </cell>
          <cell r="C1432" t="str">
            <v>COTOVELO DE COBRE 90 GRAUS SEM ANEL DE SOLDA, BOLSA X BOLSA, 66 MM</v>
          </cell>
          <cell r="D1432" t="str">
            <v>UN</v>
          </cell>
          <cell r="E1432" t="str">
            <v>CR</v>
          </cell>
          <cell r="F1432">
            <v>354.41</v>
          </cell>
        </row>
        <row r="1433">
          <cell r="B1433">
            <v>12721</v>
          </cell>
          <cell r="C1433" t="str">
            <v>COTOVELO DE COBRE 90 GRAUS SEM ANEL DE SOLDA, BOLSA X BOLSA, 79 MM</v>
          </cell>
          <cell r="D1433" t="str">
            <v>UN</v>
          </cell>
          <cell r="E1433" t="str">
            <v>CR</v>
          </cell>
          <cell r="F1433">
            <v>339.85</v>
          </cell>
        </row>
        <row r="1434">
          <cell r="B1434">
            <v>3468</v>
          </cell>
          <cell r="C1434" t="str">
            <v>COTOVELO DE REDUCAO 90 GRAUS DE FERRO GALVANIZADO, COM ROSCA BSP, DE 1 1/2" X 1"</v>
          </cell>
          <cell r="D1434" t="str">
            <v>UN</v>
          </cell>
          <cell r="E1434" t="str">
            <v>CR</v>
          </cell>
          <cell r="F1434">
            <v>44.25</v>
          </cell>
        </row>
        <row r="1435">
          <cell r="B1435">
            <v>3465</v>
          </cell>
          <cell r="C1435" t="str">
            <v>COTOVELO DE REDUCAO 90 GRAUS DE FERRO GALVANIZADO, COM ROSCA BSP, DE 1 1/2" X 3/4"</v>
          </cell>
          <cell r="D1435" t="str">
            <v>UN</v>
          </cell>
          <cell r="E1435" t="str">
            <v>CR</v>
          </cell>
          <cell r="F1435">
            <v>44.23</v>
          </cell>
        </row>
        <row r="1436">
          <cell r="B1436">
            <v>12403</v>
          </cell>
          <cell r="C1436" t="str">
            <v>COTOVELO DE REDUCAO 90 GRAUS DE FERRO GALVANIZADO, COM ROSCA BSP, DE 1 1/4" X 1"</v>
          </cell>
          <cell r="D1436" t="str">
            <v>UN</v>
          </cell>
          <cell r="E1436" t="str">
            <v>CR</v>
          </cell>
          <cell r="F1436">
            <v>31.53</v>
          </cell>
        </row>
        <row r="1437">
          <cell r="B1437">
            <v>3463</v>
          </cell>
          <cell r="C1437" t="str">
            <v>COTOVELO DE REDUCAO 90 GRAUS DE FERRO GALVANIZADO, COM ROSCA BSP, DE 1" X 1/2"</v>
          </cell>
          <cell r="D1437" t="str">
            <v>UN</v>
          </cell>
          <cell r="E1437" t="str">
            <v>CR</v>
          </cell>
          <cell r="F1437">
            <v>18.420000000000002</v>
          </cell>
        </row>
        <row r="1438">
          <cell r="B1438">
            <v>3464</v>
          </cell>
          <cell r="C1438" t="str">
            <v>COTOVELO DE REDUCAO 90 GRAUS DE FERRO GALVANIZADO, COM ROSCA BSP, DE 1" X 3/4"</v>
          </cell>
          <cell r="D1438" t="str">
            <v>UN</v>
          </cell>
          <cell r="E1438" t="str">
            <v>CR</v>
          </cell>
          <cell r="F1438">
            <v>18.420000000000002</v>
          </cell>
        </row>
        <row r="1439">
          <cell r="B1439">
            <v>3466</v>
          </cell>
          <cell r="C1439" t="str">
            <v>COTOVELO DE REDUCAO 90 GRAUS DE FERRO GALVANIZADO, COM ROSCA BSP, DE 2 1/2" X 2"</v>
          </cell>
          <cell r="D1439" t="str">
            <v>UN</v>
          </cell>
          <cell r="E1439" t="str">
            <v>CR</v>
          </cell>
          <cell r="F1439">
            <v>112.34</v>
          </cell>
        </row>
        <row r="1440">
          <cell r="B1440">
            <v>3467</v>
          </cell>
          <cell r="C1440" t="str">
            <v>COTOVELO DE REDUCAO 90 GRAUS DE FERRO GALVANIZADO, COM ROSCA BSP, DE 2" X 1 1/2"</v>
          </cell>
          <cell r="D1440" t="str">
            <v>UN</v>
          </cell>
          <cell r="E1440" t="str">
            <v>CR</v>
          </cell>
          <cell r="F1440">
            <v>63.45</v>
          </cell>
        </row>
        <row r="1441">
          <cell r="B1441">
            <v>3462</v>
          </cell>
          <cell r="C1441" t="str">
            <v>COTOVELO DE REDUCAO 90 GRAUS DE FERRO GALVANIZADO, COM ROSCA BSP, DE 3/4" X 1/2"</v>
          </cell>
          <cell r="D1441" t="str">
            <v>UN</v>
          </cell>
          <cell r="E1441" t="str">
            <v>CR</v>
          </cell>
          <cell r="F1441">
            <v>12.15</v>
          </cell>
        </row>
        <row r="1442">
          <cell r="B1442">
            <v>43917</v>
          </cell>
          <cell r="C1442" t="str">
            <v>COTOVELO HORIZONTAL RETO 90 GRAUS PARA ELETROCALHA, EM CHAPA PERFURADA DE ACO GALVANIZADO ESPESSURA #14, 700 X 50 MM (L X A), SEM VIROLA, SEM TAMPA</v>
          </cell>
          <cell r="D1442" t="str">
            <v>UN</v>
          </cell>
          <cell r="E1442" t="str">
            <v>CR</v>
          </cell>
          <cell r="F1442">
            <v>247.14</v>
          </cell>
        </row>
        <row r="1443">
          <cell r="B1443">
            <v>41808</v>
          </cell>
          <cell r="C1443" t="str">
            <v>COTOVELO HORIZONTAL RETO 90 GRAUS, PARA ELETROCALHA, EM CHAPA LISA DE ACO GALVANIZADO ESPESSURA # 22, 150 X 50 MM (L X A), SEM VIROLA, SEM TAMPA</v>
          </cell>
          <cell r="D1443" t="str">
            <v>UN</v>
          </cell>
          <cell r="E1443" t="str">
            <v>CR</v>
          </cell>
          <cell r="F1443">
            <v>17.97</v>
          </cell>
        </row>
        <row r="1444">
          <cell r="B1444">
            <v>41817</v>
          </cell>
          <cell r="C1444" t="str">
            <v>COTOVELO HORIZONTAL RETO 90 GRAUS, PARA ELETROCALHA, EM CHAPA LISA DE ACO GALVANIZADO ESPESSURA #14, 700 X 50 MM (L X A), SEM VIROLA, SEM TAMPA</v>
          </cell>
          <cell r="D1444" t="str">
            <v>UN</v>
          </cell>
          <cell r="E1444" t="str">
            <v>CR</v>
          </cell>
          <cell r="F1444">
            <v>204.26</v>
          </cell>
        </row>
        <row r="1445">
          <cell r="B1445">
            <v>41819</v>
          </cell>
          <cell r="C1445" t="str">
            <v>COTOVELO HORIZONTAL RETO 90 GRAUS, PARA ELETROCALHA, EM CHAPA LISA DE ACO GALVANIZADO ESPESSURA #14, 800 X 50 MM (L X A), SEM VIROLA, SEM TAMPA</v>
          </cell>
          <cell r="D1445" t="str">
            <v>UN</v>
          </cell>
          <cell r="E1445" t="str">
            <v>CR</v>
          </cell>
          <cell r="F1445">
            <v>307.29000000000002</v>
          </cell>
        </row>
        <row r="1446">
          <cell r="B1446">
            <v>41815</v>
          </cell>
          <cell r="C1446" t="str">
            <v>COTOVELO HORIZONTAL RETO 90 GRAUS, PARA ELETROCALHA, EM CHAPA LISA DE ACO GALVANIZADO ESPESSURA #16, 500 X 50 MM (L X A), SEM VIROLA, SEM TAMPA</v>
          </cell>
          <cell r="D1446" t="str">
            <v>UN</v>
          </cell>
          <cell r="E1446" t="str">
            <v>CR</v>
          </cell>
          <cell r="F1446">
            <v>90.83</v>
          </cell>
        </row>
        <row r="1447">
          <cell r="B1447">
            <v>41816</v>
          </cell>
          <cell r="C1447" t="str">
            <v>COTOVELO HORIZONTAL RETO 90 GRAUS, PARA ELETROCALHA, EM CHAPA LISA DE ACO GALVANIZADO ESPESSURA #16, 600 X 50 MM (L X A), SEM VIROLA, SEM TAMPA</v>
          </cell>
          <cell r="D1447" t="str">
            <v>UN</v>
          </cell>
          <cell r="E1447" t="str">
            <v>CR</v>
          </cell>
          <cell r="F1447">
            <v>151.52000000000001</v>
          </cell>
        </row>
        <row r="1448">
          <cell r="B1448">
            <v>41812</v>
          </cell>
          <cell r="C1448" t="str">
            <v>COTOVELO HORIZONTAL RETO 90 GRAUS, PARA ELETROCALHA, EM CHAPA LISA DE ACO GALVANIZADO ESPESSURA #18, 300 X 50 MM (L X A), SEM VIROLA, SEM TAMPA</v>
          </cell>
          <cell r="D1448" t="str">
            <v>UN</v>
          </cell>
          <cell r="E1448" t="str">
            <v>CR</v>
          </cell>
          <cell r="F1448">
            <v>44.06</v>
          </cell>
        </row>
        <row r="1449">
          <cell r="B1449">
            <v>41813</v>
          </cell>
          <cell r="C1449" t="str">
            <v>COTOVELO HORIZONTAL RETO 90 GRAUS, PARA ELETROCALHA, EM CHAPA LISA DE ACO GALVANIZADO ESPESSURA #18, 400 X 50 MM (L X A), SEM VIROLA, SEM TAMPA</v>
          </cell>
          <cell r="D1449" t="str">
            <v>UN</v>
          </cell>
          <cell r="E1449" t="str">
            <v>CR</v>
          </cell>
          <cell r="F1449">
            <v>64.83</v>
          </cell>
        </row>
        <row r="1450">
          <cell r="B1450">
            <v>41806</v>
          </cell>
          <cell r="C1450" t="str">
            <v>COTOVELO HORIZONTAL RETO 90 GRAUS, PARA ELETROCALHA, EM CHAPA LISA DE ACO GALVANIZADO ESPESSURA #22, 100 X 50 MM (L X A), SEM VIROLA, SEM TAMPA</v>
          </cell>
          <cell r="D1450" t="str">
            <v>UN</v>
          </cell>
          <cell r="E1450" t="str">
            <v>CR</v>
          </cell>
          <cell r="F1450">
            <v>11.69</v>
          </cell>
        </row>
        <row r="1451">
          <cell r="B1451">
            <v>41807</v>
          </cell>
          <cell r="C1451" t="str">
            <v>COTOVELO HORIZONTAL RETO 90 GRAUS, PARA ELETROCALHA, EM CHAPA LISA DE ACO GALVANIZADO ESPESSURA #22, 125 X 50 MM (L X A), SEM VIROLA, SEM TAMPA</v>
          </cell>
          <cell r="D1451" t="str">
            <v>UN</v>
          </cell>
          <cell r="E1451" t="str">
            <v>CR</v>
          </cell>
          <cell r="F1451">
            <v>13.04</v>
          </cell>
        </row>
        <row r="1452">
          <cell r="B1452">
            <v>41809</v>
          </cell>
          <cell r="C1452" t="str">
            <v>COTOVELO HORIZONTAL RETO 90 GRAUS, PARA ELETROCALHA, EM CHAPA LISA DE ACO GALVANIZADO ESPESSURA #22, 200 X 50 MM (L X A), SEM VIROLA, SEM TAMPA</v>
          </cell>
          <cell r="D1452" t="str">
            <v>UN</v>
          </cell>
          <cell r="E1452" t="str">
            <v>CR</v>
          </cell>
          <cell r="F1452">
            <v>21.34</v>
          </cell>
        </row>
        <row r="1453">
          <cell r="B1453">
            <v>41811</v>
          </cell>
          <cell r="C1453" t="str">
            <v>COTOVELO HORIZONTAL RETO 90 GRAUS, PARA ELETROCALHA, EM CHAPA LISA DE ACO GALVANIZADO ESPESSURA #22, 250 X 50 MM (L X A), SEM VIROLA, SEM TAMPA</v>
          </cell>
          <cell r="D1453" t="str">
            <v>UN</v>
          </cell>
          <cell r="E1453" t="str">
            <v>CR</v>
          </cell>
          <cell r="F1453">
            <v>27.33</v>
          </cell>
        </row>
        <row r="1454">
          <cell r="B1454">
            <v>41814</v>
          </cell>
          <cell r="C1454" t="str">
            <v>COTOVELO HORIZONTAL RETO 90 GRAUS, PARA ELETROCALHA, EM CHAPA LISA DE ACO GALVANIZADO ESPESSURA #22, 50 X 50 MM (L X A), SEM VIROLA, SEM TAMPA</v>
          </cell>
          <cell r="D1454" t="str">
            <v>UN</v>
          </cell>
          <cell r="E1454" t="str">
            <v>CR</v>
          </cell>
          <cell r="F1454">
            <v>8.0299999999999994</v>
          </cell>
        </row>
        <row r="1455">
          <cell r="B1455">
            <v>41818</v>
          </cell>
          <cell r="C1455" t="str">
            <v>COTOVELO HORIZONTAL RETO 90 GRAUS, PARA ELETROCALHA, EM CHAPA LISA DE ACO GALVANIZADO ESPESSURA #22, 75 X 50 MM (L X A), SEM VIROLA, SEM TAMPA</v>
          </cell>
          <cell r="D1455" t="str">
            <v>UN</v>
          </cell>
          <cell r="E1455" t="str">
            <v>CR</v>
          </cell>
          <cell r="F1455">
            <v>9.01</v>
          </cell>
        </row>
        <row r="1456">
          <cell r="B1456">
            <v>43919</v>
          </cell>
          <cell r="C1456" t="str">
            <v>COTOVELO HORIZONTAL RETO 90 GRAUS, PARA ELETROCALHA, EM CHAPA PERFURADA DE ACO GALVANIZADO ESPESSURA #14, 800 X 50 MM (L X A), SEM VIROLA, SEM TAMPA</v>
          </cell>
          <cell r="D1456" t="str">
            <v>UN</v>
          </cell>
          <cell r="E1456" t="str">
            <v>CR</v>
          </cell>
          <cell r="F1456">
            <v>307.29000000000002</v>
          </cell>
        </row>
        <row r="1457">
          <cell r="B1457">
            <v>43914</v>
          </cell>
          <cell r="C1457" t="str">
            <v>COTOVELO HORIZONTAL RETO 90 GRAUS, PARA ELETROCALHA, EM CHAPA PERFURADA DE ACO GALVANIZADO ESPESSURA #16, 500 X 50 MM (L X A), SEM VIROLA, SEM TAMPA</v>
          </cell>
          <cell r="D1457" t="str">
            <v>UN</v>
          </cell>
          <cell r="E1457" t="str">
            <v>CR</v>
          </cell>
          <cell r="F1457">
            <v>97.33</v>
          </cell>
        </row>
        <row r="1458">
          <cell r="B1458">
            <v>43916</v>
          </cell>
          <cell r="C1458" t="str">
            <v>COTOVELO HORIZONTAL RETO 90 GRAUS, PARA ELETROCALHA, EM CHAPA PERFURADA DE ACO GALVANIZADO ESPESSURA #16, 600 X 50 MM (L X A), SEM VIROLA, SEM TAMPA</v>
          </cell>
          <cell r="D1458" t="str">
            <v>UN</v>
          </cell>
          <cell r="E1458" t="str">
            <v>CR</v>
          </cell>
          <cell r="F1458">
            <v>137.44999999999999</v>
          </cell>
        </row>
        <row r="1459">
          <cell r="B1459">
            <v>43912</v>
          </cell>
          <cell r="C1459" t="str">
            <v>COTOVELO HORIZONTAL RETO 90 GRAUS, PARA ELETROCALHA, EM CHAPA PERFURADA DE ACO GALVANIZADO ESPESSURA #18, 300 X 50 MM (L X A), SEM VIROLA, SEM TAMPA</v>
          </cell>
          <cell r="D1459" t="str">
            <v>UN</v>
          </cell>
          <cell r="E1459" t="str">
            <v>CR</v>
          </cell>
          <cell r="F1459">
            <v>44.06</v>
          </cell>
        </row>
        <row r="1460">
          <cell r="B1460">
            <v>43913</v>
          </cell>
          <cell r="C1460" t="str">
            <v>COTOVELO HORIZONTAL RETO 90 GRAUS, PARA ELETROCALHA, EM CHAPA PERFURADA DE ACO GALVANIZADO ESPESSURA #18, 400 X 50 MM (L X A), SEM VIROLA, SEM TAMPA</v>
          </cell>
          <cell r="D1460" t="str">
            <v>UN</v>
          </cell>
          <cell r="E1460" t="str">
            <v>CR</v>
          </cell>
          <cell r="F1460">
            <v>64.83</v>
          </cell>
        </row>
        <row r="1461">
          <cell r="B1461">
            <v>43908</v>
          </cell>
          <cell r="C1461" t="str">
            <v>COTOVELO HORIZONTAL RETO 90 GRAUS, PARA ELETROCALHA, EM CHAPA PERFURADA DE ACO GALVANIZADO ESPESSURA #22, 125 X 50 MM (L X A), SEM VIROLA, SEM TAMPA</v>
          </cell>
          <cell r="D1461" t="str">
            <v>UN</v>
          </cell>
          <cell r="E1461" t="str">
            <v>CR</v>
          </cell>
          <cell r="F1461">
            <v>12.54</v>
          </cell>
        </row>
        <row r="1462">
          <cell r="B1462">
            <v>43909</v>
          </cell>
          <cell r="C1462" t="str">
            <v>COTOVELO HORIZONTAL RETO 90 GRAUS, PARA ELETROCALHA, EM CHAPA PERFURADA DE ACO GALVANIZADO ESPESSURA #22, 150 X 50 MM (L X A), SEM VIROLA, SEM TAMPA</v>
          </cell>
          <cell r="D1462" t="str">
            <v>UN</v>
          </cell>
          <cell r="E1462" t="str">
            <v>CR</v>
          </cell>
          <cell r="F1462">
            <v>14.55</v>
          </cell>
        </row>
        <row r="1463">
          <cell r="B1463">
            <v>43910</v>
          </cell>
          <cell r="C1463" t="str">
            <v>COTOVELO HORIZONTAL RETO 90 GRAUS, PARA ELETROCALHA, EM CHAPA PERFURADA DE ACO GALVANIZADO ESPESSURA #22, 200 X 50 MM (L X A), SEM VIROLA, SEM TAMPA</v>
          </cell>
          <cell r="D1463" t="str">
            <v>UN</v>
          </cell>
          <cell r="E1463" t="str">
            <v>CR</v>
          </cell>
          <cell r="F1463">
            <v>21.34</v>
          </cell>
        </row>
        <row r="1464">
          <cell r="B1464">
            <v>43911</v>
          </cell>
          <cell r="C1464" t="str">
            <v>COTOVELO HORIZONTAL RETO 90 GRAUS, PARA ELETROCALHA, EM CHAPA PERFURADA DE ACO GALVANIZADO ESPESSURA #22, 250 X 50 MM (L X A), SEM VIROLA, SEM TAMPA</v>
          </cell>
          <cell r="D1464" t="str">
            <v>UN</v>
          </cell>
          <cell r="E1464" t="str">
            <v>CR</v>
          </cell>
          <cell r="F1464">
            <v>27.33</v>
          </cell>
        </row>
        <row r="1465">
          <cell r="B1465">
            <v>43915</v>
          </cell>
          <cell r="C1465" t="str">
            <v>COTOVELO HORIZONTAL RETO 90 GRAUS, PARA ELETROCALHA, EM CHAPA PERFURADA DE ACO GALVANIZADO ESPESSURA #22, 50 X 50 MM (L X A), SEM VIROLA, SEM TAMPA</v>
          </cell>
          <cell r="D1465" t="str">
            <v>UN</v>
          </cell>
          <cell r="E1465" t="str">
            <v>CR</v>
          </cell>
          <cell r="F1465">
            <v>6.92</v>
          </cell>
        </row>
        <row r="1466">
          <cell r="B1466">
            <v>43918</v>
          </cell>
          <cell r="C1466" t="str">
            <v>COTOVELO HORIZONTAL RETO 90 GRAUS, PARA ELETROCALHA, EM CHAPA PERFURADA DE ACO GALVANIZADO ESPESSURA #22, 75 X 50 MM (L X A), SEM VIROLA, SEM TAMPA</v>
          </cell>
          <cell r="D1466" t="str">
            <v>UN</v>
          </cell>
          <cell r="E1466" t="str">
            <v>CR</v>
          </cell>
          <cell r="F1466">
            <v>8.5500000000000007</v>
          </cell>
        </row>
        <row r="1467">
          <cell r="B1467">
            <v>43907</v>
          </cell>
          <cell r="C1467" t="str">
            <v>COTOVELO HORIZONTAL RETO, 90 GRAUS, PARA ELETROCALHA, EM CHAPA PERFURADA DE ACO GALVANIZADO ESPESSURA #22, 100 X 50 MM (L X A), SEM VIROLA, SEM TAMPA</v>
          </cell>
          <cell r="D1467" t="str">
            <v>UN</v>
          </cell>
          <cell r="E1467" t="str">
            <v>CR</v>
          </cell>
          <cell r="F1467">
            <v>11.69</v>
          </cell>
        </row>
        <row r="1468">
          <cell r="B1468">
            <v>37416</v>
          </cell>
          <cell r="C1468" t="str">
            <v>COTOVELO/JOELHO 90 GRAUS, EM POLIPROPILENO, PN 16, PARA TUBOS PEAD, 20 X 20 MM - LIGACAO PREDIAL DE AGUA</v>
          </cell>
          <cell r="D1468" t="str">
            <v>UN</v>
          </cell>
          <cell r="E1468" t="str">
            <v>CR</v>
          </cell>
          <cell r="F1468">
            <v>4.0599999999999996</v>
          </cell>
        </row>
        <row r="1469">
          <cell r="B1469">
            <v>37417</v>
          </cell>
          <cell r="C1469" t="str">
            <v>COTOVELO/JOELHO 90 GRAUS, EM POLIPROPILENO, PN 16, PARA TUBOS PEAD, 32 X 32 MM - LIGACAO PREDIAL DE AGUA</v>
          </cell>
          <cell r="D1469" t="str">
            <v>UN</v>
          </cell>
          <cell r="E1469" t="str">
            <v>CR</v>
          </cell>
          <cell r="F1469">
            <v>5.83</v>
          </cell>
        </row>
        <row r="1470">
          <cell r="B1470">
            <v>37413</v>
          </cell>
          <cell r="C1470" t="str">
            <v>COTOVELO/JOELHO COM ADAPTADOR, 90 GRAUS, EM POLIPROPILENO, PN 16, PARA TUBOS PEAD, 20 MM X 1/2" - LIGACAO PREDIAL DE AGUA</v>
          </cell>
          <cell r="D1470" t="str">
            <v>UN</v>
          </cell>
          <cell r="E1470" t="str">
            <v>CR</v>
          </cell>
          <cell r="F1470">
            <v>4.34</v>
          </cell>
        </row>
        <row r="1471">
          <cell r="B1471">
            <v>37414</v>
          </cell>
          <cell r="C1471" t="str">
            <v>COTOVELO/JOELHO COM ADAPTADOR, 90 GRAUS, EM POLIPROPILENO, PN 16, PARA TUBOS PEAD, 20 MM X 3/4" - LIGACAO PREDIAL DE AGUA</v>
          </cell>
          <cell r="D1471" t="str">
            <v>UN</v>
          </cell>
          <cell r="E1471" t="str">
            <v>CR</v>
          </cell>
          <cell r="F1471">
            <v>4.92</v>
          </cell>
        </row>
        <row r="1472">
          <cell r="B1472">
            <v>37415</v>
          </cell>
          <cell r="C1472" t="str">
            <v>COTOVELO/JOELHO COM ADAPTADOR, 90 GRAUS, EM POLIPROPILENO, PN 16, PARA TUBOS PEAD, 32 MM X 1" - LIGACAO PREDIAL DE AGUA</v>
          </cell>
          <cell r="D1472" t="str">
            <v>UN</v>
          </cell>
          <cell r="E1472" t="str">
            <v>CR</v>
          </cell>
          <cell r="F1472">
            <v>8.9499999999999993</v>
          </cell>
        </row>
        <row r="1473">
          <cell r="B1473">
            <v>43590</v>
          </cell>
          <cell r="C1473" t="str">
            <v>CREMONA RETANGULAR INJETADA LISA COM CHAVE, COM CASTANHA / ALCA, EM LATAO, COM ACABAMENTO CROMADO, DE SOBREPOR / EMBUTIR</v>
          </cell>
          <cell r="D1473" t="str">
            <v>UN</v>
          </cell>
          <cell r="E1473" t="str">
            <v>CR</v>
          </cell>
          <cell r="F1473">
            <v>152.13</v>
          </cell>
        </row>
        <row r="1474">
          <cell r="B1474">
            <v>43589</v>
          </cell>
          <cell r="C1474" t="str">
            <v>CREMONA RETANGULAR INJETADA LISA, COM CASTANHA / ALCA, EM LATAO, COM ACABAMENTO CROMADO, DE SOBREPOR / EMBUTIR</v>
          </cell>
          <cell r="D1474" t="str">
            <v>UN</v>
          </cell>
          <cell r="E1474" t="str">
            <v>CR</v>
          </cell>
          <cell r="F1474">
            <v>27.52</v>
          </cell>
        </row>
        <row r="1475">
          <cell r="B1475">
            <v>34519</v>
          </cell>
          <cell r="C1475" t="str">
            <v>CRUZETA DE CONCRETO LEVE, COMP. 2000 MM SECAO, 90 X 90 MM</v>
          </cell>
          <cell r="D1475" t="str">
            <v>UN</v>
          </cell>
          <cell r="E1475" t="str">
            <v>CR</v>
          </cell>
          <cell r="F1475">
            <v>82.84</v>
          </cell>
        </row>
        <row r="1476">
          <cell r="B1476">
            <v>1649</v>
          </cell>
          <cell r="C1476" t="str">
            <v>CRUZETA DE FERRO GALVANIZADO, COM ROSCA BSP, DE 1 1/2"</v>
          </cell>
          <cell r="D1476" t="str">
            <v>UN</v>
          </cell>
          <cell r="E1476" t="str">
            <v>CR</v>
          </cell>
          <cell r="F1476">
            <v>79.94</v>
          </cell>
        </row>
        <row r="1477">
          <cell r="B1477">
            <v>1653</v>
          </cell>
          <cell r="C1477" t="str">
            <v>CRUZETA DE FERRO GALVANIZADO, COM ROSCA BSP, DE 1 1/4"</v>
          </cell>
          <cell r="D1477" t="str">
            <v>UN</v>
          </cell>
          <cell r="E1477" t="str">
            <v>CR</v>
          </cell>
          <cell r="F1477">
            <v>62.62</v>
          </cell>
        </row>
        <row r="1478">
          <cell r="B1478">
            <v>1648</v>
          </cell>
          <cell r="C1478" t="str">
            <v>CRUZETA DE FERRO GALVANIZADO, COM ROSCA BSP, DE 1"</v>
          </cell>
          <cell r="D1478" t="str">
            <v>UN</v>
          </cell>
          <cell r="E1478" t="str">
            <v>CR</v>
          </cell>
          <cell r="F1478">
            <v>43.05</v>
          </cell>
        </row>
        <row r="1479">
          <cell r="B1479">
            <v>1647</v>
          </cell>
          <cell r="C1479" t="str">
            <v>CRUZETA DE FERRO GALVANIZADO, COM ROSCA BSP, DE 1/2"</v>
          </cell>
          <cell r="D1479" t="str">
            <v>UN</v>
          </cell>
          <cell r="E1479" t="str">
            <v>CR</v>
          </cell>
          <cell r="F1479">
            <v>22.42</v>
          </cell>
        </row>
        <row r="1480">
          <cell r="B1480">
            <v>1651</v>
          </cell>
          <cell r="C1480" t="str">
            <v>CRUZETA DE FERRO GALVANIZADO, COM ROSCA BSP, DE 2 1/2"</v>
          </cell>
          <cell r="D1480" t="str">
            <v>UN</v>
          </cell>
          <cell r="E1480" t="str">
            <v>CR</v>
          </cell>
          <cell r="F1480">
            <v>199.73</v>
          </cell>
        </row>
        <row r="1481">
          <cell r="B1481">
            <v>1650</v>
          </cell>
          <cell r="C1481" t="str">
            <v>CRUZETA DE FERRO GALVANIZADO, COM ROSCA BSP, DE 2"</v>
          </cell>
          <cell r="D1481" t="str">
            <v>UN</v>
          </cell>
          <cell r="E1481" t="str">
            <v>CR</v>
          </cell>
          <cell r="F1481">
            <v>110.4</v>
          </cell>
        </row>
        <row r="1482">
          <cell r="B1482">
            <v>1652</v>
          </cell>
          <cell r="C1482" t="str">
            <v>CRUZETA DE FERRO GALVANIZADO, COM ROSCA BSP, DE 3"</v>
          </cell>
          <cell r="D1482" t="str">
            <v>UN</v>
          </cell>
          <cell r="E1482" t="str">
            <v>CR</v>
          </cell>
          <cell r="F1482">
            <v>286.67</v>
          </cell>
        </row>
        <row r="1483">
          <cell r="B1483">
            <v>1654</v>
          </cell>
          <cell r="C1483" t="str">
            <v>CRUZETA DE FERRO GALVANIZADO, COM ROSCA BSP, DE 3/4"</v>
          </cell>
          <cell r="D1483" t="str">
            <v>UN</v>
          </cell>
          <cell r="E1483" t="str">
            <v>CR</v>
          </cell>
          <cell r="F1483">
            <v>30.78</v>
          </cell>
        </row>
        <row r="1484">
          <cell r="B1484">
            <v>10510</v>
          </cell>
          <cell r="C1484" t="str">
            <v>CRUZETA DE MADEIRA TRATADA, *90 X 115 X 2400* MM, EM EUCALIPTO OU EQUIVALENTE DA REGIAO</v>
          </cell>
          <cell r="D1484" t="str">
            <v>UN</v>
          </cell>
          <cell r="E1484" t="str">
            <v>CR</v>
          </cell>
          <cell r="F1484">
            <v>155.08000000000001</v>
          </cell>
        </row>
        <row r="1485">
          <cell r="B1485">
            <v>1744</v>
          </cell>
          <cell r="C1485" t="str">
            <v>CUBA ACO INOX (AISI 304) DE EMBUTIR COM VALVULA 3 1/2", DE *40 X 34 X 12* CM</v>
          </cell>
          <cell r="D1485" t="str">
            <v>UN</v>
          </cell>
          <cell r="E1485" t="str">
            <v>CR</v>
          </cell>
          <cell r="F1485">
            <v>138.07</v>
          </cell>
        </row>
        <row r="1486">
          <cell r="B1486">
            <v>1743</v>
          </cell>
          <cell r="C1486" t="str">
            <v>CUBA ACO INOX (AISI 304) DE EMBUTIR COM VALVULA 3 1/2", DE *46 X 30 X 12* CM</v>
          </cell>
          <cell r="D1486" t="str">
            <v>UN</v>
          </cell>
          <cell r="E1486" t="str">
            <v>CR</v>
          </cell>
          <cell r="F1486">
            <v>181.31</v>
          </cell>
        </row>
        <row r="1487">
          <cell r="B1487">
            <v>1747</v>
          </cell>
          <cell r="C1487" t="str">
            <v>CUBA ACO INOX (AISI 304) DE EMBUTIR COM VALVULA DE 3 1/2", DE *56 X 33 X 12* CM</v>
          </cell>
          <cell r="D1487" t="str">
            <v>UN</v>
          </cell>
          <cell r="E1487" t="str">
            <v>CR</v>
          </cell>
          <cell r="F1487">
            <v>199.34</v>
          </cell>
        </row>
        <row r="1488">
          <cell r="B1488">
            <v>39640</v>
          </cell>
          <cell r="C1488" t="str">
            <v>CUMEEIRA ARTICULADA (ABA INFERIOR) PARA TELHA ONDULADA DE FIBROCIMENTO E = 4 MM, ABA *330* MM, COMPRIMENTO 500 MM (SEM AMIANTO)</v>
          </cell>
          <cell r="D1488" t="str">
            <v>UN</v>
          </cell>
          <cell r="E1488" t="str">
            <v>CR</v>
          </cell>
          <cell r="F1488">
            <v>11.31</v>
          </cell>
        </row>
        <row r="1489">
          <cell r="B1489">
            <v>7216</v>
          </cell>
          <cell r="C1489" t="str">
            <v>CUMEEIRA NORMAL PARA TELHA ESTRUTURAL DE FIBROCIMENTO 2 ABAS, E = 6 MM, DE 1050 X 935 MM (SEM AMIANTO)</v>
          </cell>
          <cell r="D1489" t="str">
            <v>UN</v>
          </cell>
          <cell r="E1489" t="str">
            <v>CR</v>
          </cell>
          <cell r="F1489">
            <v>60.74</v>
          </cell>
        </row>
        <row r="1490">
          <cell r="B1490">
            <v>20235</v>
          </cell>
          <cell r="C1490" t="str">
            <v>CUMEEIRA NORMAL PARA TELHA ONDULADA DE FIBROCIMENTO, E = 6 MM, ABA 300 MM, COMPRIMENTO 1100 MM (SEM AMIANTO)</v>
          </cell>
          <cell r="D1490" t="str">
            <v>UN</v>
          </cell>
          <cell r="E1490" t="str">
            <v>CR</v>
          </cell>
          <cell r="F1490">
            <v>48.83</v>
          </cell>
        </row>
        <row r="1491">
          <cell r="B1491">
            <v>7181</v>
          </cell>
          <cell r="C1491" t="str">
            <v>CUMEEIRA PARA TELHA CERAMICA, COMPRIMENTO DE *41* CM, RENDIMENTO DE *3* TELHAS/M</v>
          </cell>
          <cell r="D1491" t="str">
            <v>UN</v>
          </cell>
          <cell r="E1491" t="str">
            <v>CR</v>
          </cell>
          <cell r="F1491">
            <v>8.7799999999999994</v>
          </cell>
        </row>
        <row r="1492">
          <cell r="B1492">
            <v>40742</v>
          </cell>
          <cell r="C1492" t="str">
            <v>CUMEEIRA PARA TELHA DE CONCRETO, PARA 2 AGUAS DE TELHADO, COR CINZA, RENDIMENTO DE *3* TELHAS/M</v>
          </cell>
          <cell r="D1492" t="str">
            <v>UN</v>
          </cell>
          <cell r="E1492" t="str">
            <v>CR</v>
          </cell>
          <cell r="F1492">
            <v>11.26</v>
          </cell>
        </row>
        <row r="1493">
          <cell r="B1493">
            <v>7214</v>
          </cell>
          <cell r="C1493" t="str">
            <v>CUMEEIRA SHED PARA TELHA ONDULADA DE FIBROCIMENTO, E = 6 MM, ABA 280 MM, COMPRIMENTO 1100 MM (SEM AMIANTO)</v>
          </cell>
          <cell r="D1493" t="str">
            <v>UN</v>
          </cell>
          <cell r="E1493" t="str">
            <v>CR</v>
          </cell>
          <cell r="F1493">
            <v>59.31</v>
          </cell>
        </row>
        <row r="1494">
          <cell r="B1494">
            <v>7219</v>
          </cell>
          <cell r="C1494" t="str">
            <v>CUMEEIRA UNIVERSAL PARA TELHA ONDULADA DE FIBROCIMENTO, E = 6 MM, ABA 210 MM, COMPRIMENTO 1100 MM (SEM AMIANTO)</v>
          </cell>
          <cell r="D1494" t="str">
            <v>UN</v>
          </cell>
          <cell r="E1494" t="str">
            <v>CR</v>
          </cell>
          <cell r="F1494">
            <v>52.61</v>
          </cell>
        </row>
        <row r="1495">
          <cell r="B1495">
            <v>2628</v>
          </cell>
          <cell r="C1495" t="str">
            <v>CURVA 135 GRAUS PARA ELETRODUTO, EM ACO GALVANIZADO ELETROLITICO, COM ROSCA, DIAMETRO DE 100 MM (4")</v>
          </cell>
          <cell r="D1495" t="str">
            <v>UN</v>
          </cell>
          <cell r="E1495" t="str">
            <v>CR</v>
          </cell>
          <cell r="F1495">
            <v>179.31</v>
          </cell>
        </row>
        <row r="1496">
          <cell r="B1496">
            <v>2622</v>
          </cell>
          <cell r="C1496" t="str">
            <v>CURVA 135 GRAUS PARA ELETRODUTO, EM ACO GALVANIZADO ELETROLITICO, COM ROSCA, DIAMETRO DE 15 MM (1/2"), ESPESSURA DE 1,50 MM</v>
          </cell>
          <cell r="D1496" t="str">
            <v>UN</v>
          </cell>
          <cell r="E1496" t="str">
            <v>CR</v>
          </cell>
          <cell r="F1496">
            <v>4.26</v>
          </cell>
        </row>
        <row r="1497">
          <cell r="B1497">
            <v>2623</v>
          </cell>
          <cell r="C1497" t="str">
            <v>CURVA 135 GRAUS PARA ELETRODUTO, EM ACO GALVANIZADO ELETROLITICO, COM ROSCA, DIAMETRO DE 20 MM (3/4"), ESPESSURA DE 1,50 MM</v>
          </cell>
          <cell r="D1497" t="str">
            <v>UN</v>
          </cell>
          <cell r="E1497" t="str">
            <v>CR</v>
          </cell>
          <cell r="F1497">
            <v>5.12</v>
          </cell>
        </row>
        <row r="1498">
          <cell r="B1498">
            <v>2624</v>
          </cell>
          <cell r="C1498" t="str">
            <v>CURVA 135 GRAUS PARA ELETRODUTO, EM ACO GALVANIZADO ELETROLITICO, COM ROSCA, DIAMETRO DE 25 MM (1"), ESPESSURA DE 1,50 MM</v>
          </cell>
          <cell r="D1498" t="str">
            <v>UN</v>
          </cell>
          <cell r="E1498" t="str">
            <v>CR</v>
          </cell>
          <cell r="F1498">
            <v>8.15</v>
          </cell>
        </row>
        <row r="1499">
          <cell r="B1499">
            <v>2625</v>
          </cell>
          <cell r="C1499" t="str">
            <v>CURVA 135 GRAUS PARA ELETRODUTO, EM ACO GALVANIZADO ELETROLITICO, COM ROSCA, DIAMETRO DE 32 MM (1 1/4"), ESPESSURA DE 1,50 MM</v>
          </cell>
          <cell r="D1499" t="str">
            <v>UN</v>
          </cell>
          <cell r="E1499" t="str">
            <v>CR</v>
          </cell>
          <cell r="F1499">
            <v>17.2</v>
          </cell>
        </row>
        <row r="1500">
          <cell r="B1500">
            <v>2626</v>
          </cell>
          <cell r="C1500" t="str">
            <v>CURVA 135 GRAUS PARA ELETRODUTO, EM ACO GALVANIZADO ELETROLITICO, COM ROSCA, DIAMETRO DE 40 MM (1 1/2"), ESPESSURA DE 1,50 MM</v>
          </cell>
          <cell r="D1500" t="str">
            <v>UN</v>
          </cell>
          <cell r="E1500" t="str">
            <v>CR</v>
          </cell>
          <cell r="F1500">
            <v>25.21</v>
          </cell>
        </row>
        <row r="1501">
          <cell r="B1501">
            <v>2630</v>
          </cell>
          <cell r="C1501" t="str">
            <v>CURVA 135 GRAUS PARA ELETRODUTO, EM ACO GALVANIZADO ELETROLITICO, COM ROSCA, DIAMETRO DE 50 MM (2")</v>
          </cell>
          <cell r="D1501" t="str">
            <v>UN</v>
          </cell>
          <cell r="E1501" t="str">
            <v>CR</v>
          </cell>
          <cell r="F1501">
            <v>38.340000000000003</v>
          </cell>
        </row>
        <row r="1502">
          <cell r="B1502">
            <v>2627</v>
          </cell>
          <cell r="C1502" t="str">
            <v>CURVA 135 GRAUS PARA ELETRODUTO, EM ACO GALVANIZADO ELETROLITICO, COM ROSCA, DIAMETRO DE 65 MM (2 1/2")</v>
          </cell>
          <cell r="D1502" t="str">
            <v>UN</v>
          </cell>
          <cell r="E1502" t="str">
            <v>CR</v>
          </cell>
          <cell r="F1502">
            <v>67.540000000000006</v>
          </cell>
        </row>
        <row r="1503">
          <cell r="B1503">
            <v>2629</v>
          </cell>
          <cell r="C1503" t="str">
            <v>CURVA 135 GRAUS PARA ELETRODUTO, EM ACO GALVANIZADO ELETROLITICO, COM ROSCA, DIAMETRO DE 80 MM (3")</v>
          </cell>
          <cell r="D1503" t="str">
            <v>UN</v>
          </cell>
          <cell r="E1503" t="str">
            <v>CR</v>
          </cell>
          <cell r="F1503">
            <v>91.35</v>
          </cell>
        </row>
        <row r="1504">
          <cell r="B1504">
            <v>1880</v>
          </cell>
          <cell r="C1504" t="str">
            <v>CURVA 135 GRAUS, DE PVC RIGIDO ROSCAVEL, DE 1", PARA ELETRODUTO</v>
          </cell>
          <cell r="D1504" t="str">
            <v>UN</v>
          </cell>
          <cell r="E1504" t="str">
            <v>CR</v>
          </cell>
          <cell r="F1504">
            <v>2.65</v>
          </cell>
        </row>
        <row r="1505">
          <cell r="B1505">
            <v>39274</v>
          </cell>
          <cell r="C1505" t="str">
            <v>CURVA 135 GRAUS, DE PVC RIGIDO ROSCAVEL, DE 3/4", PARA ELETRODUTO</v>
          </cell>
          <cell r="D1505" t="str">
            <v>UN</v>
          </cell>
          <cell r="E1505" t="str">
            <v>CR</v>
          </cell>
          <cell r="F1505">
            <v>2.06</v>
          </cell>
        </row>
        <row r="1506">
          <cell r="B1506">
            <v>12033</v>
          </cell>
          <cell r="C1506" t="str">
            <v>CURVA 180 GRAUS, DE PVC RIGIDO ROSCAVEL, DE 1 1/2", PARA ELETRODUTO</v>
          </cell>
          <cell r="D1506" t="str">
            <v>UN</v>
          </cell>
          <cell r="E1506" t="str">
            <v>CR</v>
          </cell>
          <cell r="F1506">
            <v>8.48</v>
          </cell>
        </row>
        <row r="1507">
          <cell r="B1507">
            <v>40408</v>
          </cell>
          <cell r="C1507" t="str">
            <v>CURVA 180 GRAUS, DE PVC RIGIDO ROSCAVEL, DE 1 1/4", PARA ELETRODUTO</v>
          </cell>
          <cell r="D1507" t="str">
            <v>UN</v>
          </cell>
          <cell r="E1507" t="str">
            <v>CR</v>
          </cell>
          <cell r="F1507">
            <v>5.57</v>
          </cell>
        </row>
        <row r="1508">
          <cell r="B1508">
            <v>39276</v>
          </cell>
          <cell r="C1508" t="str">
            <v>CURVA 180 GRAUS, DE PVC RIGIDO ROSCAVEL, DE 1", PARA ELETRODUTO</v>
          </cell>
          <cell r="D1508" t="str">
            <v>UN</v>
          </cell>
          <cell r="E1508" t="str">
            <v>CR</v>
          </cell>
          <cell r="F1508">
            <v>5.0199999999999996</v>
          </cell>
        </row>
        <row r="1509">
          <cell r="B1509">
            <v>40409</v>
          </cell>
          <cell r="C1509" t="str">
            <v>CURVA 180 GRAUS, DE PVC RIGIDO ROSCAVEL, DE 1/2", PARA ELETRODUTO</v>
          </cell>
          <cell r="D1509" t="str">
            <v>UN</v>
          </cell>
          <cell r="E1509" t="str">
            <v>CR</v>
          </cell>
          <cell r="F1509">
            <v>1.97</v>
          </cell>
        </row>
        <row r="1510">
          <cell r="B1510">
            <v>39277</v>
          </cell>
          <cell r="C1510" t="str">
            <v>CURVA 180 GRAUS, DE PVC RIGIDO ROSCAVEL, DE 2", PARA ELETRODUTO</v>
          </cell>
          <cell r="D1510" t="str">
            <v>UN</v>
          </cell>
          <cell r="E1510" t="str">
            <v>CR</v>
          </cell>
          <cell r="F1510">
            <v>13.55</v>
          </cell>
        </row>
        <row r="1511">
          <cell r="B1511">
            <v>12034</v>
          </cell>
          <cell r="C1511" t="str">
            <v>CURVA 180 GRAUS, DE PVC RIGIDO ROSCAVEL, DE 3/4", PARA ELETRODUTO</v>
          </cell>
          <cell r="D1511" t="str">
            <v>UN</v>
          </cell>
          <cell r="E1511" t="str">
            <v>CR</v>
          </cell>
          <cell r="F1511">
            <v>3.84</v>
          </cell>
        </row>
        <row r="1512">
          <cell r="B1512">
            <v>39879</v>
          </cell>
          <cell r="C1512" t="str">
            <v>CURVA 45 GRAUS DE COBRE SEM ANEL DE SOLDA, BOLSA X BOLSA, 15 MM</v>
          </cell>
          <cell r="D1512" t="str">
            <v>UN</v>
          </cell>
          <cell r="E1512" t="str">
            <v>CR</v>
          </cell>
          <cell r="F1512">
            <v>5.45</v>
          </cell>
        </row>
        <row r="1513">
          <cell r="B1513">
            <v>39880</v>
          </cell>
          <cell r="C1513" t="str">
            <v>CURVA 45 GRAUS DE COBRE SEM ANEL DE SOLDA, BOLSA X BOLSA, 22 MM</v>
          </cell>
          <cell r="D1513" t="str">
            <v>UN</v>
          </cell>
          <cell r="E1513" t="str">
            <v>CR</v>
          </cell>
          <cell r="F1513">
            <v>12.06</v>
          </cell>
        </row>
        <row r="1514">
          <cell r="B1514">
            <v>39881</v>
          </cell>
          <cell r="C1514" t="str">
            <v>CURVA 45 GRAUS DE COBRE SEM ANEL DE SOLDA, BOLSA X BOLSA, 28 MM</v>
          </cell>
          <cell r="D1514" t="str">
            <v>UN</v>
          </cell>
          <cell r="E1514" t="str">
            <v>CR</v>
          </cell>
          <cell r="F1514">
            <v>19.37</v>
          </cell>
        </row>
        <row r="1515">
          <cell r="B1515">
            <v>39882</v>
          </cell>
          <cell r="C1515" t="str">
            <v>CURVA 45 GRAUS DE COBRE SEM ANEL DE SOLDA, BOLSA X BOLSA, 35 MM</v>
          </cell>
          <cell r="D1515" t="str">
            <v>UN</v>
          </cell>
          <cell r="E1515" t="str">
            <v>CR</v>
          </cell>
          <cell r="F1515">
            <v>51.02</v>
          </cell>
        </row>
        <row r="1516">
          <cell r="B1516">
            <v>39883</v>
          </cell>
          <cell r="C1516" t="str">
            <v>CURVA 45 GRAUS DE COBRE SEM ANEL DE SOLDA, BOLSA X BOLSA, 42 MM</v>
          </cell>
          <cell r="D1516" t="str">
            <v>UN</v>
          </cell>
          <cell r="E1516" t="str">
            <v>CR</v>
          </cell>
          <cell r="F1516">
            <v>81.47</v>
          </cell>
        </row>
        <row r="1517">
          <cell r="B1517">
            <v>39884</v>
          </cell>
          <cell r="C1517" t="str">
            <v>CURVA 45 GRAUS DE COBRE SEM ANEL DE SOLDA, BOLSA X BOLSA, 54 MM</v>
          </cell>
          <cell r="D1517" t="str">
            <v>UN</v>
          </cell>
          <cell r="E1517" t="str">
            <v>CR</v>
          </cell>
          <cell r="F1517">
            <v>121</v>
          </cell>
        </row>
        <row r="1518">
          <cell r="B1518">
            <v>39885</v>
          </cell>
          <cell r="C1518" t="str">
            <v>CURVA 45 GRAUS DE COBRE SEM ANEL DE SOLDA, BOLSA X BOLSA, 66 MM</v>
          </cell>
          <cell r="D1518" t="str">
            <v>UN</v>
          </cell>
          <cell r="E1518" t="str">
            <v>CR</v>
          </cell>
          <cell r="F1518">
            <v>287.58</v>
          </cell>
        </row>
        <row r="1519">
          <cell r="B1519">
            <v>1777</v>
          </cell>
          <cell r="C1519" t="str">
            <v>CURVA 45 GRAUS DE FERRO GALVANIZADO, COM ROSCA BSP FEMEA, DE 1 1/2"</v>
          </cell>
          <cell r="D1519" t="str">
            <v>UN</v>
          </cell>
          <cell r="E1519" t="str">
            <v>CR</v>
          </cell>
          <cell r="F1519">
            <v>86.19</v>
          </cell>
        </row>
        <row r="1520">
          <cell r="B1520">
            <v>1819</v>
          </cell>
          <cell r="C1520" t="str">
            <v>CURVA 45 GRAUS DE FERRO GALVANIZADO, COM ROSCA BSP FEMEA, DE 1 1/4"</v>
          </cell>
          <cell r="D1520" t="str">
            <v>UN</v>
          </cell>
          <cell r="E1520" t="str">
            <v>CR</v>
          </cell>
          <cell r="F1520">
            <v>62.71</v>
          </cell>
        </row>
        <row r="1521">
          <cell r="B1521">
            <v>1776</v>
          </cell>
          <cell r="C1521" t="str">
            <v>CURVA 45 GRAUS DE FERRO GALVANIZADO, COM ROSCA BSP FEMEA, DE 1"</v>
          </cell>
          <cell r="D1521" t="str">
            <v>UN</v>
          </cell>
          <cell r="E1521" t="str">
            <v>CR</v>
          </cell>
          <cell r="F1521">
            <v>51.02</v>
          </cell>
        </row>
        <row r="1522">
          <cell r="B1522">
            <v>1775</v>
          </cell>
          <cell r="C1522" t="str">
            <v>CURVA 45 GRAUS DE FERRO GALVANIZADO, COM ROSCA BSP FEMEA, DE 1/2"</v>
          </cell>
          <cell r="D1522" t="str">
            <v>UN</v>
          </cell>
          <cell r="E1522" t="str">
            <v>CR</v>
          </cell>
          <cell r="F1522">
            <v>18.75</v>
          </cell>
        </row>
        <row r="1523">
          <cell r="B1523">
            <v>1778</v>
          </cell>
          <cell r="C1523" t="str">
            <v>CURVA 45 GRAUS DE FERRO GALVANIZADO, COM ROSCA BSP FEMEA, DE 2 1/2"</v>
          </cell>
          <cell r="D1523" t="str">
            <v>UN</v>
          </cell>
          <cell r="E1523" t="str">
            <v>CR</v>
          </cell>
          <cell r="F1523">
            <v>208.64</v>
          </cell>
        </row>
        <row r="1524">
          <cell r="B1524">
            <v>1818</v>
          </cell>
          <cell r="C1524" t="str">
            <v>CURVA 45 GRAUS DE FERRO GALVANIZADO, COM ROSCA BSP FEMEA, DE 2"</v>
          </cell>
          <cell r="D1524" t="str">
            <v>UN</v>
          </cell>
          <cell r="E1524" t="str">
            <v>CR</v>
          </cell>
          <cell r="F1524">
            <v>138.49</v>
          </cell>
        </row>
        <row r="1525">
          <cell r="B1525">
            <v>1779</v>
          </cell>
          <cell r="C1525" t="str">
            <v>CURVA 45 GRAUS DE FERRO GALVANIZADO, COM ROSCA BSP FEMEA, DE 3"</v>
          </cell>
          <cell r="D1525" t="str">
            <v>UN</v>
          </cell>
          <cell r="E1525" t="str">
            <v>CR</v>
          </cell>
          <cell r="F1525">
            <v>303.43</v>
          </cell>
        </row>
        <row r="1526">
          <cell r="B1526">
            <v>1820</v>
          </cell>
          <cell r="C1526" t="str">
            <v>CURVA 45 GRAUS DE FERRO GALVANIZADO, COM ROSCA BSP FEMEA, DE 3/4"</v>
          </cell>
          <cell r="D1526" t="str">
            <v>UN</v>
          </cell>
          <cell r="E1526" t="str">
            <v>CR</v>
          </cell>
          <cell r="F1526">
            <v>27.08</v>
          </cell>
        </row>
        <row r="1527">
          <cell r="B1527">
            <v>1780</v>
          </cell>
          <cell r="C1527" t="str">
            <v>CURVA 45 GRAUS DE FERRO GALVANIZADO, COM ROSCA BSP FEMEA, DE 4"</v>
          </cell>
          <cell r="D1527" t="str">
            <v>UN</v>
          </cell>
          <cell r="E1527" t="str">
            <v>CR</v>
          </cell>
          <cell r="F1527">
            <v>625.53</v>
          </cell>
        </row>
        <row r="1528">
          <cell r="B1528">
            <v>1783</v>
          </cell>
          <cell r="C1528" t="str">
            <v>CURVA 45 GRAUS DE FERRO GALVANIZADO, COM ROSCA BSP MACHO/FEMEA, DE 1 1/2"</v>
          </cell>
          <cell r="D1528" t="str">
            <v>UN</v>
          </cell>
          <cell r="E1528" t="str">
            <v>CR</v>
          </cell>
          <cell r="F1528">
            <v>66.14</v>
          </cell>
        </row>
        <row r="1529">
          <cell r="B1529">
            <v>1782</v>
          </cell>
          <cell r="C1529" t="str">
            <v>CURVA 45 GRAUS DE FERRO GALVANIZADO, COM ROSCA BSP MACHO/FEMEA, DE 1 1/4"</v>
          </cell>
          <cell r="D1529" t="str">
            <v>UN</v>
          </cell>
          <cell r="E1529" t="str">
            <v>CR</v>
          </cell>
          <cell r="F1529">
            <v>52.29</v>
          </cell>
        </row>
        <row r="1530">
          <cell r="B1530">
            <v>1781</v>
          </cell>
          <cell r="C1530" t="str">
            <v>CURVA 45 GRAUS DE FERRO GALVANIZADO, COM ROSCA BSP MACHO/FEMEA, DE 1"</v>
          </cell>
          <cell r="D1530" t="str">
            <v>UN</v>
          </cell>
          <cell r="E1530" t="str">
            <v>CR</v>
          </cell>
          <cell r="F1530">
            <v>34.07</v>
          </cell>
        </row>
        <row r="1531">
          <cell r="B1531">
            <v>1817</v>
          </cell>
          <cell r="C1531" t="str">
            <v>CURVA 45 GRAUS DE FERRO GALVANIZADO, COM ROSCA BSP MACHO/FEMEA, DE 1/2"</v>
          </cell>
          <cell r="D1531" t="str">
            <v>UN</v>
          </cell>
          <cell r="E1531" t="str">
            <v>CR</v>
          </cell>
          <cell r="F1531">
            <v>15.58</v>
          </cell>
        </row>
        <row r="1532">
          <cell r="B1532">
            <v>1784</v>
          </cell>
          <cell r="C1532" t="str">
            <v>CURVA 45 GRAUS DE FERRO GALVANIZADO, COM ROSCA BSP MACHO/FEMEA, DE 2 1/2"</v>
          </cell>
          <cell r="D1532" t="str">
            <v>UN</v>
          </cell>
          <cell r="E1532" t="str">
            <v>CR</v>
          </cell>
          <cell r="F1532">
            <v>186.76</v>
          </cell>
        </row>
        <row r="1533">
          <cell r="B1533">
            <v>1810</v>
          </cell>
          <cell r="C1533" t="str">
            <v>CURVA 45 GRAUS DE FERRO GALVANIZADO, COM ROSCA BSP MACHO/FEMEA, DE 2"</v>
          </cell>
          <cell r="D1533" t="str">
            <v>UN</v>
          </cell>
          <cell r="E1533" t="str">
            <v>CR</v>
          </cell>
          <cell r="F1533">
            <v>103.59</v>
          </cell>
        </row>
        <row r="1534">
          <cell r="B1534">
            <v>1812</v>
          </cell>
          <cell r="C1534" t="str">
            <v>CURVA 45 GRAUS DE FERRO GALVANIZADO, COM ROSCA BSP MACHO/FEMEA, DE 3"</v>
          </cell>
          <cell r="D1534" t="str">
            <v>UN</v>
          </cell>
          <cell r="E1534" t="str">
            <v>CR</v>
          </cell>
          <cell r="F1534">
            <v>261.49</v>
          </cell>
        </row>
        <row r="1535">
          <cell r="B1535">
            <v>1811</v>
          </cell>
          <cell r="C1535" t="str">
            <v>CURVA 45 GRAUS DE FERRO GALVANIZADO, COM ROSCA BSP MACHO/FEMEA, DE 3/4"</v>
          </cell>
          <cell r="D1535" t="str">
            <v>UN</v>
          </cell>
          <cell r="E1535" t="str">
            <v>CR</v>
          </cell>
          <cell r="F1535">
            <v>22.41</v>
          </cell>
        </row>
        <row r="1536">
          <cell r="B1536">
            <v>40386</v>
          </cell>
          <cell r="C1536" t="str">
            <v>CURVA 45 GRAUS EM ACO CARBONO, SOLDAVEL, PRESSAO 3.000 LBS, DN 1 1/2"</v>
          </cell>
          <cell r="D1536" t="str">
            <v>UN</v>
          </cell>
          <cell r="E1536" t="str">
            <v>CR</v>
          </cell>
          <cell r="F1536">
            <v>89.73</v>
          </cell>
        </row>
        <row r="1537">
          <cell r="B1537">
            <v>40384</v>
          </cell>
          <cell r="C1537" t="str">
            <v>CURVA 45 GRAUS EM ACO CARBONO, SOLDAVEL, PRESSAO 3.000 LBS, DN 1 1/4"</v>
          </cell>
          <cell r="D1537" t="str">
            <v>UN</v>
          </cell>
          <cell r="E1537" t="str">
            <v>CR</v>
          </cell>
          <cell r="F1537">
            <v>61.43</v>
          </cell>
        </row>
        <row r="1538">
          <cell r="B1538">
            <v>40423</v>
          </cell>
          <cell r="C1538" t="str">
            <v>CURVA 45 GRAUS EM ACO CARBONO, SOLDAVEL, PRESSAO 3.000 LBS, DN 1"</v>
          </cell>
          <cell r="D1538" t="str">
            <v>UN</v>
          </cell>
          <cell r="E1538" t="str">
            <v>CR</v>
          </cell>
          <cell r="F1538">
            <v>40.19</v>
          </cell>
        </row>
        <row r="1539">
          <cell r="B1539">
            <v>40379</v>
          </cell>
          <cell r="C1539" t="str">
            <v>CURVA 45 GRAUS EM ACO CARBONO, SOLDAVEL, PRESSAO 3.000 LBS, DN 1/2"</v>
          </cell>
          <cell r="D1539" t="str">
            <v>UN</v>
          </cell>
          <cell r="E1539" t="str">
            <v>CR</v>
          </cell>
          <cell r="F1539">
            <v>21.24</v>
          </cell>
        </row>
        <row r="1540">
          <cell r="B1540">
            <v>40389</v>
          </cell>
          <cell r="C1540" t="str">
            <v>CURVA 45 GRAUS EM ACO CARBONO, SOLDAVEL, PRESSAO 3.000 LBS, DN 2 1/2"</v>
          </cell>
          <cell r="D1540" t="str">
            <v>UN</v>
          </cell>
          <cell r="E1540" t="str">
            <v>CR</v>
          </cell>
          <cell r="F1540">
            <v>254.88</v>
          </cell>
        </row>
        <row r="1541">
          <cell r="B1541">
            <v>40388</v>
          </cell>
          <cell r="C1541" t="str">
            <v>CURVA 45 GRAUS EM ACO CARBONO, SOLDAVEL, PRESSAO 3.000 LBS, DN 2"</v>
          </cell>
          <cell r="D1541" t="str">
            <v>UN</v>
          </cell>
          <cell r="E1541" t="str">
            <v>CR</v>
          </cell>
          <cell r="F1541">
            <v>127.58</v>
          </cell>
        </row>
        <row r="1542">
          <cell r="B1542">
            <v>40391</v>
          </cell>
          <cell r="C1542" t="str">
            <v>CURVA 45 GRAUS EM ACO CARBONO, SOLDAVEL, PRESSAO 3.000 LBS, DN 3"</v>
          </cell>
          <cell r="D1542" t="str">
            <v>UN</v>
          </cell>
          <cell r="E1542" t="str">
            <v>CR</v>
          </cell>
          <cell r="F1542">
            <v>661.54</v>
          </cell>
        </row>
        <row r="1543">
          <cell r="B1543">
            <v>40381</v>
          </cell>
          <cell r="C1543" t="str">
            <v>CURVA 45 GRAUS EM ACO CARBONO, SOLDAVEL, PRESSAO 3.000 LBS, DN 3/4"</v>
          </cell>
          <cell r="D1543" t="str">
            <v>UN</v>
          </cell>
          <cell r="E1543" t="str">
            <v>CR</v>
          </cell>
          <cell r="F1543">
            <v>28.32</v>
          </cell>
        </row>
        <row r="1544">
          <cell r="B1544">
            <v>2609</v>
          </cell>
          <cell r="C1544" t="str">
            <v>CURVA 45 GRAUS PARA ELETRODUTO, EM ACO GALVANIZADO ELETROLITICO, COM ROSCA, DIAMETRO DE 20 MM (3/4"), ESPESSURA DE 1,50 MM</v>
          </cell>
          <cell r="D1544" t="str">
            <v>UN</v>
          </cell>
          <cell r="E1544" t="str">
            <v>CR</v>
          </cell>
          <cell r="F1544">
            <v>4</v>
          </cell>
        </row>
        <row r="1545">
          <cell r="B1545">
            <v>2634</v>
          </cell>
          <cell r="C1545" t="str">
            <v>CURVA 45 GRAUS PARA ELETRODUTO, EM ACO GALVANIZADO ELETROLITICO, COM ROSCA, DIAMETRO DE 25 MM (1"), ESPESSURA DE 1,50 MM</v>
          </cell>
          <cell r="D1545" t="str">
            <v>UN</v>
          </cell>
          <cell r="E1545" t="str">
            <v>CR</v>
          </cell>
          <cell r="F1545">
            <v>5.25</v>
          </cell>
        </row>
        <row r="1546">
          <cell r="B1546">
            <v>2611</v>
          </cell>
          <cell r="C1546" t="str">
            <v>CURVA 45 GRAUS PARA ELETRODUTO, EM ACO GALVANIZADO ELETROLITICO, COM ROSCA, DIAMETRO DE 40 MM (1 1/2"), ESPESSURA DE 1,50 MM</v>
          </cell>
          <cell r="D1546" t="str">
            <v>UN</v>
          </cell>
          <cell r="E1546" t="str">
            <v>CR</v>
          </cell>
          <cell r="F1546">
            <v>14.81</v>
          </cell>
        </row>
        <row r="1547">
          <cell r="B1547">
            <v>40414</v>
          </cell>
          <cell r="C1547" t="str">
            <v>CURVA 45 GRAUS RANHURADA EM FERRO FUNDIDO, DN 50 MM (2")</v>
          </cell>
          <cell r="D1547" t="str">
            <v>UN</v>
          </cell>
          <cell r="E1547" t="str">
            <v>CR</v>
          </cell>
          <cell r="F1547">
            <v>19.25</v>
          </cell>
        </row>
        <row r="1548">
          <cell r="B1548">
            <v>40416</v>
          </cell>
          <cell r="C1548" t="str">
            <v>CURVA 45 GRAUS RANHURADA EM FERRO FUNDIDO, DN 65 MM (2 1/2")</v>
          </cell>
          <cell r="D1548" t="str">
            <v>UN</v>
          </cell>
          <cell r="E1548" t="str">
            <v>CR</v>
          </cell>
          <cell r="F1548">
            <v>26.61</v>
          </cell>
        </row>
        <row r="1549">
          <cell r="B1549">
            <v>40418</v>
          </cell>
          <cell r="C1549" t="str">
            <v>CURVA 45 GRAUS RANHURADA EM FERRO FUNDIDO, DN 80 MM (3")</v>
          </cell>
          <cell r="D1549" t="str">
            <v>UN</v>
          </cell>
          <cell r="E1549" t="str">
            <v>CR</v>
          </cell>
          <cell r="F1549">
            <v>31.74</v>
          </cell>
        </row>
        <row r="1550">
          <cell r="B1550">
            <v>34359</v>
          </cell>
          <cell r="C1550" t="str">
            <v>CURVA 90 GRAUS DE BARRA CHATA EM ALUMINIO 3/4" X 1/4" X 300 MM</v>
          </cell>
          <cell r="D1550" t="str">
            <v>UN</v>
          </cell>
          <cell r="E1550" t="str">
            <v>CR</v>
          </cell>
          <cell r="F1550">
            <v>10.97</v>
          </cell>
        </row>
        <row r="1551">
          <cell r="B1551">
            <v>1789</v>
          </cell>
          <cell r="C1551" t="str">
            <v>CURVA 90 GRAUS DE FERRO GALVANIZADO, COM ROSCA BSP FEMEA, DE 1 1/2"</v>
          </cell>
          <cell r="D1551" t="str">
            <v>UN</v>
          </cell>
          <cell r="E1551" t="str">
            <v>CR</v>
          </cell>
          <cell r="F1551">
            <v>82.73</v>
          </cell>
        </row>
        <row r="1552">
          <cell r="B1552">
            <v>1788</v>
          </cell>
          <cell r="C1552" t="str">
            <v>CURVA 90 GRAUS DE FERRO GALVANIZADO, COM ROSCA BSP FEMEA, DE 1 1/4"</v>
          </cell>
          <cell r="D1552" t="str">
            <v>UN</v>
          </cell>
          <cell r="E1552" t="str">
            <v>CR</v>
          </cell>
          <cell r="F1552">
            <v>66.31</v>
          </cell>
        </row>
        <row r="1553">
          <cell r="B1553">
            <v>1787</v>
          </cell>
          <cell r="C1553" t="str">
            <v>CURVA 90 GRAUS DE FERRO GALVANIZADO, COM ROSCA BSP FEMEA, DE 1"</v>
          </cell>
          <cell r="D1553" t="str">
            <v>UN</v>
          </cell>
          <cell r="E1553" t="str">
            <v>CR</v>
          </cell>
          <cell r="F1553">
            <v>39.43</v>
          </cell>
        </row>
        <row r="1554">
          <cell r="B1554">
            <v>1786</v>
          </cell>
          <cell r="C1554" t="str">
            <v>CURVA 90 GRAUS DE FERRO GALVANIZADO, COM ROSCA BSP FEMEA, DE 1/2"</v>
          </cell>
          <cell r="D1554" t="str">
            <v>UN</v>
          </cell>
          <cell r="E1554" t="str">
            <v>CR</v>
          </cell>
          <cell r="F1554">
            <v>16.46</v>
          </cell>
        </row>
        <row r="1555">
          <cell r="B1555">
            <v>1791</v>
          </cell>
          <cell r="C1555" t="str">
            <v>CURVA 90 GRAUS DE FERRO GALVANIZADO, COM ROSCA BSP FEMEA, DE 2 1/2"</v>
          </cell>
          <cell r="D1555" t="str">
            <v>UN</v>
          </cell>
          <cell r="E1555" t="str">
            <v>CR</v>
          </cell>
          <cell r="F1555">
            <v>239.08</v>
          </cell>
        </row>
        <row r="1556">
          <cell r="B1556">
            <v>1790</v>
          </cell>
          <cell r="C1556" t="str">
            <v>CURVA 90 GRAUS DE FERRO GALVANIZADO, COM ROSCA BSP FEMEA, DE 2"</v>
          </cell>
          <cell r="D1556" t="str">
            <v>UN</v>
          </cell>
          <cell r="E1556" t="str">
            <v>CR</v>
          </cell>
          <cell r="F1556">
            <v>137.77000000000001</v>
          </cell>
        </row>
        <row r="1557">
          <cell r="B1557">
            <v>1792</v>
          </cell>
          <cell r="C1557" t="str">
            <v>CURVA 90 GRAUS DE FERRO GALVANIZADO, COM ROSCA BSP FEMEA, DE 3"</v>
          </cell>
          <cell r="D1557" t="str">
            <v>UN</v>
          </cell>
          <cell r="E1557" t="str">
            <v>CR</v>
          </cell>
          <cell r="F1557">
            <v>322.72000000000003</v>
          </cell>
        </row>
        <row r="1558">
          <cell r="B1558">
            <v>1813</v>
          </cell>
          <cell r="C1558" t="str">
            <v>CURVA 90 GRAUS DE FERRO GALVANIZADO, COM ROSCA BSP FEMEA, DE 3/4"</v>
          </cell>
          <cell r="D1558" t="str">
            <v>UN</v>
          </cell>
          <cell r="E1558" t="str">
            <v>CR</v>
          </cell>
          <cell r="F1558">
            <v>26.13</v>
          </cell>
        </row>
        <row r="1559">
          <cell r="B1559">
            <v>1793</v>
          </cell>
          <cell r="C1559" t="str">
            <v>CURVA 90 GRAUS DE FERRO GALVANIZADO, COM ROSCA BSP FEMEA, DE 4"</v>
          </cell>
          <cell r="D1559" t="str">
            <v>UN</v>
          </cell>
          <cell r="E1559" t="str">
            <v>CR</v>
          </cell>
          <cell r="F1559">
            <v>652.12</v>
          </cell>
        </row>
        <row r="1560">
          <cell r="B1560">
            <v>1797</v>
          </cell>
          <cell r="C1560" t="str">
            <v>CURVA 90 GRAUS DE FERRO GALVANIZADO, COM ROSCA BSP MACHO, DE 1 1/2"</v>
          </cell>
          <cell r="D1560" t="str">
            <v>UN</v>
          </cell>
          <cell r="E1560" t="str">
            <v>CR</v>
          </cell>
          <cell r="F1560">
            <v>93.93</v>
          </cell>
        </row>
        <row r="1561">
          <cell r="B1561">
            <v>1796</v>
          </cell>
          <cell r="C1561" t="str">
            <v>CURVA 90 GRAUS DE FERRO GALVANIZADO, COM ROSCA BSP MACHO, DE 1 1/4"</v>
          </cell>
          <cell r="D1561" t="str">
            <v>UN</v>
          </cell>
          <cell r="E1561" t="str">
            <v>CR</v>
          </cell>
          <cell r="F1561">
            <v>72.05</v>
          </cell>
        </row>
        <row r="1562">
          <cell r="B1562">
            <v>1816</v>
          </cell>
          <cell r="C1562" t="str">
            <v>CURVA 90 GRAUS DE FERRO GALVANIZADO, COM ROSCA BSP MACHO, DE 1"</v>
          </cell>
          <cell r="D1562" t="str">
            <v>UN</v>
          </cell>
          <cell r="E1562" t="str">
            <v>CR</v>
          </cell>
          <cell r="F1562">
            <v>38.78</v>
          </cell>
        </row>
        <row r="1563">
          <cell r="B1563">
            <v>1794</v>
          </cell>
          <cell r="C1563" t="str">
            <v>CURVA 90 GRAUS DE FERRO GALVANIZADO, COM ROSCA BSP MACHO, DE 1/2"</v>
          </cell>
          <cell r="D1563" t="str">
            <v>UN</v>
          </cell>
          <cell r="E1563" t="str">
            <v>CR</v>
          </cell>
          <cell r="F1563">
            <v>17.2</v>
          </cell>
        </row>
        <row r="1564">
          <cell r="B1564">
            <v>1815</v>
          </cell>
          <cell r="C1564" t="str">
            <v>CURVA 90 GRAUS DE FERRO GALVANIZADO, COM ROSCA BSP MACHO, DE 2 1/2"</v>
          </cell>
          <cell r="D1564" t="str">
            <v>UN</v>
          </cell>
          <cell r="E1564" t="str">
            <v>CR</v>
          </cell>
          <cell r="F1564">
            <v>297.83</v>
          </cell>
        </row>
        <row r="1565">
          <cell r="B1565">
            <v>1798</v>
          </cell>
          <cell r="C1565" t="str">
            <v>CURVA 90 GRAUS DE FERRO GALVANIZADO, COM ROSCA BSP MACHO, DE 2"</v>
          </cell>
          <cell r="D1565" t="str">
            <v>UN</v>
          </cell>
          <cell r="E1565" t="str">
            <v>CR</v>
          </cell>
          <cell r="F1565">
            <v>133.27000000000001</v>
          </cell>
        </row>
        <row r="1566">
          <cell r="B1566">
            <v>1799</v>
          </cell>
          <cell r="C1566" t="str">
            <v>CURVA 90 GRAUS DE FERRO GALVANIZADO, COM ROSCA BSP MACHO, DE 3"</v>
          </cell>
          <cell r="D1566" t="str">
            <v>UN</v>
          </cell>
          <cell r="E1566" t="str">
            <v>CR</v>
          </cell>
          <cell r="F1566">
            <v>387.9</v>
          </cell>
        </row>
        <row r="1567">
          <cell r="B1567">
            <v>1795</v>
          </cell>
          <cell r="C1567" t="str">
            <v>CURVA 90 GRAUS DE FERRO GALVANIZADO, COM ROSCA BSP MACHO, DE 3/4"</v>
          </cell>
          <cell r="D1567" t="str">
            <v>UN</v>
          </cell>
          <cell r="E1567" t="str">
            <v>CR</v>
          </cell>
          <cell r="F1567">
            <v>23.83</v>
          </cell>
        </row>
        <row r="1568">
          <cell r="B1568">
            <v>1800</v>
          </cell>
          <cell r="C1568" t="str">
            <v>CURVA 90 GRAUS DE FERRO GALVANIZADO, COM ROSCA BSP MACHO, DE 4"</v>
          </cell>
          <cell r="D1568" t="str">
            <v>UN</v>
          </cell>
          <cell r="E1568" t="str">
            <v>CR</v>
          </cell>
          <cell r="F1568">
            <v>740.57</v>
          </cell>
        </row>
        <row r="1569">
          <cell r="B1569">
            <v>1802</v>
          </cell>
          <cell r="C1569" t="str">
            <v>CURVA 90 GRAUS DE FERRO GALVANIZADO, COM ROSCA BSP MACHO, DE 6"</v>
          </cell>
          <cell r="D1569" t="str">
            <v>UN</v>
          </cell>
          <cell r="E1569" t="str">
            <v>CR</v>
          </cell>
          <cell r="F1569">
            <v>1852.45</v>
          </cell>
        </row>
        <row r="1570">
          <cell r="B1570">
            <v>1809</v>
          </cell>
          <cell r="C1570" t="str">
            <v>CURVA 90 GRAUS DE FERRO GALVANIZADO, COM ROSCA BSP MACHO/FEMEA, DE 1 1/2"</v>
          </cell>
          <cell r="D1570" t="str">
            <v>UN</v>
          </cell>
          <cell r="E1570" t="str">
            <v>CR</v>
          </cell>
          <cell r="F1570">
            <v>77.56</v>
          </cell>
        </row>
        <row r="1571">
          <cell r="B1571">
            <v>1814</v>
          </cell>
          <cell r="C1571" t="str">
            <v>CURVA 90 GRAUS DE FERRO GALVANIZADO, COM ROSCA BSP MACHO/FEMEA, DE 1 1/4"</v>
          </cell>
          <cell r="D1571" t="str">
            <v>UN</v>
          </cell>
          <cell r="E1571" t="str">
            <v>CR</v>
          </cell>
          <cell r="F1571">
            <v>63.71</v>
          </cell>
        </row>
        <row r="1572">
          <cell r="B1572">
            <v>1805</v>
          </cell>
          <cell r="C1572" t="str">
            <v>CURVA 90 GRAUS DE FERRO GALVANIZADO, COM ROSCA BSP MACHO/FEMEA, DE 1"</v>
          </cell>
          <cell r="D1572" t="str">
            <v>UN</v>
          </cell>
          <cell r="E1572" t="str">
            <v>CR</v>
          </cell>
          <cell r="F1572">
            <v>36.979999999999997</v>
          </cell>
        </row>
        <row r="1573">
          <cell r="B1573">
            <v>1803</v>
          </cell>
          <cell r="C1573" t="str">
            <v>CURVA 90 GRAUS DE FERRO GALVANIZADO, COM ROSCA BSP MACHO/FEMEA, DE 1/2"</v>
          </cell>
          <cell r="D1573" t="str">
            <v>UN</v>
          </cell>
          <cell r="E1573" t="str">
            <v>CR</v>
          </cell>
          <cell r="F1573">
            <v>16.100000000000001</v>
          </cell>
        </row>
        <row r="1574">
          <cell r="B1574">
            <v>1821</v>
          </cell>
          <cell r="C1574" t="str">
            <v>CURVA 90 GRAUS DE FERRO GALVANIZADO, COM ROSCA BSP MACHO/FEMEA, DE 2 1/2"</v>
          </cell>
          <cell r="D1574" t="str">
            <v>UN</v>
          </cell>
          <cell r="E1574" t="str">
            <v>CR</v>
          </cell>
          <cell r="F1574">
            <v>218.44</v>
          </cell>
        </row>
        <row r="1575">
          <cell r="B1575">
            <v>1806</v>
          </cell>
          <cell r="C1575" t="str">
            <v>CURVA 90 GRAUS DE FERRO GALVANIZADO, COM ROSCA BSP MACHO/FEMEA, DE 2"</v>
          </cell>
          <cell r="D1575" t="str">
            <v>UN</v>
          </cell>
          <cell r="E1575" t="str">
            <v>CR</v>
          </cell>
          <cell r="F1575">
            <v>130.02000000000001</v>
          </cell>
        </row>
        <row r="1576">
          <cell r="B1576">
            <v>1807</v>
          </cell>
          <cell r="C1576" t="str">
            <v>CURVA 90 GRAUS DE FERRO GALVANIZADO, COM ROSCA BSP MACHO/FEMEA, DE 3"</v>
          </cell>
          <cell r="D1576" t="str">
            <v>UN</v>
          </cell>
          <cell r="E1576" t="str">
            <v>CR</v>
          </cell>
          <cell r="F1576">
            <v>312.39999999999998</v>
          </cell>
        </row>
        <row r="1577">
          <cell r="B1577">
            <v>1804</v>
          </cell>
          <cell r="C1577" t="str">
            <v>CURVA 90 GRAUS DE FERRO GALVANIZADO, COM ROSCA BSP MACHO/FEMEA, DE 3/4"</v>
          </cell>
          <cell r="D1577" t="str">
            <v>UN</v>
          </cell>
          <cell r="E1577" t="str">
            <v>CR</v>
          </cell>
          <cell r="F1577">
            <v>22.92</v>
          </cell>
        </row>
        <row r="1578">
          <cell r="B1578">
            <v>1808</v>
          </cell>
          <cell r="C1578" t="str">
            <v>CURVA 90 GRAUS DE FERRO GALVANIZADO, COM ROSCA BSP MACHO/FEMEA, DE 4"</v>
          </cell>
          <cell r="D1578" t="str">
            <v>UN</v>
          </cell>
          <cell r="E1578" t="str">
            <v>CR</v>
          </cell>
          <cell r="F1578">
            <v>626.29999999999995</v>
          </cell>
        </row>
        <row r="1579">
          <cell r="B1579">
            <v>40385</v>
          </cell>
          <cell r="C1579" t="str">
            <v>CURVA 90 GRAUS EM ACO CARBONO, RAIO CURTO, SOLDAVEL, PRESSAO 3.000 LBS, DN 1 1/2"</v>
          </cell>
          <cell r="D1579" t="str">
            <v>UN</v>
          </cell>
          <cell r="E1579" t="str">
            <v>CR</v>
          </cell>
          <cell r="F1579">
            <v>89.73</v>
          </cell>
        </row>
        <row r="1580">
          <cell r="B1580">
            <v>40383</v>
          </cell>
          <cell r="C1580" t="str">
            <v>CURVA 90 GRAUS EM ACO CARBONO, RAIO CURTO, SOLDAVEL, PRESSAO 3.000 LBS, DN 1 1/4"</v>
          </cell>
          <cell r="D1580" t="str">
            <v>UN</v>
          </cell>
          <cell r="E1580" t="str">
            <v>CR</v>
          </cell>
          <cell r="F1580">
            <v>61.43</v>
          </cell>
        </row>
        <row r="1581">
          <cell r="B1581">
            <v>40382</v>
          </cell>
          <cell r="C1581" t="str">
            <v>CURVA 90 GRAUS EM ACO CARBONO, RAIO CURTO, SOLDAVEL, PRESSAO 3.000 LBS, DN 1"</v>
          </cell>
          <cell r="D1581" t="str">
            <v>UN</v>
          </cell>
          <cell r="E1581" t="str">
            <v>CR</v>
          </cell>
          <cell r="F1581">
            <v>40.19</v>
          </cell>
        </row>
        <row r="1582">
          <cell r="B1582">
            <v>40378</v>
          </cell>
          <cell r="C1582" t="str">
            <v>CURVA 90 GRAUS EM ACO CARBONO, RAIO CURTO, SOLDAVEL, PRESSAO 3.000 LBS, DN 1/2"</v>
          </cell>
          <cell r="D1582" t="str">
            <v>UN</v>
          </cell>
          <cell r="E1582" t="str">
            <v>CR</v>
          </cell>
          <cell r="F1582">
            <v>21.24</v>
          </cell>
        </row>
        <row r="1583">
          <cell r="B1583">
            <v>40422</v>
          </cell>
          <cell r="C1583" t="str">
            <v>CURVA 90 GRAUS EM ACO CARBONO, RAIO CURTO, SOLDAVEL, PRESSAO 3.000 LBS, DN 2 1/2"</v>
          </cell>
          <cell r="D1583" t="str">
            <v>UN</v>
          </cell>
          <cell r="E1583" t="str">
            <v>CR</v>
          </cell>
          <cell r="F1583">
            <v>273.8</v>
          </cell>
        </row>
        <row r="1584">
          <cell r="B1584">
            <v>40387</v>
          </cell>
          <cell r="C1584" t="str">
            <v>CURVA 90 GRAUS EM ACO CARBONO, RAIO CURTO, SOLDAVEL, PRESSAO 3.000 LBS, DN 2"</v>
          </cell>
          <cell r="D1584" t="str">
            <v>UN</v>
          </cell>
          <cell r="E1584" t="str">
            <v>CR</v>
          </cell>
          <cell r="F1584">
            <v>139.41</v>
          </cell>
        </row>
        <row r="1585">
          <cell r="B1585">
            <v>40390</v>
          </cell>
          <cell r="C1585" t="str">
            <v>CURVA 90 GRAUS EM ACO CARBONO, RAIO CURTO, SOLDAVEL, PRESSAO 3.000 LBS, DN 3"</v>
          </cell>
          <cell r="D1585" t="str">
            <v>UN</v>
          </cell>
          <cell r="E1585" t="str">
            <v>CR</v>
          </cell>
          <cell r="F1585">
            <v>576.65</v>
          </cell>
        </row>
        <row r="1586">
          <cell r="B1586">
            <v>40380</v>
          </cell>
          <cell r="C1586" t="str">
            <v>CURVA 90 GRAUS EM ACO CARBONO, RAIO CURTO, SOLDAVEL, PRESSAO 3.000 LBS, DN 3/4"</v>
          </cell>
          <cell r="D1586" t="str">
            <v>UN</v>
          </cell>
          <cell r="E1586" t="str">
            <v>CR</v>
          </cell>
          <cell r="F1586">
            <v>28.32</v>
          </cell>
        </row>
        <row r="1587">
          <cell r="B1587">
            <v>2621</v>
          </cell>
          <cell r="C1587" t="str">
            <v>CURVA 90 GRAUS PARA ELETRODUTO, EM ACO GALVANIZADO ELETROLITICO, COM ROSCA, DIAMETRO DE 100 MM (4")</v>
          </cell>
          <cell r="D1587" t="str">
            <v>UN</v>
          </cell>
          <cell r="E1587" t="str">
            <v>CR</v>
          </cell>
          <cell r="F1587">
            <v>126.69</v>
          </cell>
        </row>
        <row r="1588">
          <cell r="B1588">
            <v>2616</v>
          </cell>
          <cell r="C1588" t="str">
            <v>CURVA 90 GRAUS PARA ELETRODUTO, EM ACO GALVANIZADO ELETROLITICO, COM ROSCA, DIAMETRO DE 15 MM (1/2"), ESPESSURA DE 1,50 MM</v>
          </cell>
          <cell r="D1588" t="str">
            <v>UN</v>
          </cell>
          <cell r="E1588" t="str">
            <v>CR</v>
          </cell>
          <cell r="F1588">
            <v>3.58</v>
          </cell>
        </row>
        <row r="1589">
          <cell r="B1589">
            <v>2633</v>
          </cell>
          <cell r="C1589" t="str">
            <v>CURVA 90 GRAUS PARA ELETRODUTO, EM ACO GALVANIZADO ELETROLITICO, COM ROSCA, DIAMETRO DE 20 MM (3/4"), ESPESSURA DE 1,50 MM</v>
          </cell>
          <cell r="D1589" t="str">
            <v>UN</v>
          </cell>
          <cell r="E1589" t="str">
            <v>CR</v>
          </cell>
          <cell r="F1589">
            <v>4.05</v>
          </cell>
        </row>
        <row r="1590">
          <cell r="B1590">
            <v>2617</v>
          </cell>
          <cell r="C1590" t="str">
            <v>CURVA 90 GRAUS PARA ELETRODUTO, EM ACO GALVANIZADO ELETROLITICO, COM ROSCA, DIAMETRO DE 25 MM (1"), ESPESSURA DE 1,50 MM</v>
          </cell>
          <cell r="D1590" t="str">
            <v>UN</v>
          </cell>
          <cell r="E1590" t="str">
            <v>CR</v>
          </cell>
          <cell r="F1590">
            <v>5.51</v>
          </cell>
        </row>
        <row r="1591">
          <cell r="B1591">
            <v>2618</v>
          </cell>
          <cell r="C1591" t="str">
            <v>CURVA 90 GRAUS PARA ELETRODUTO, EM ACO GALVANIZADO ELETROLITICO, COM ROSCA, DIAMETRO DE 32 MM (1 1/4"), ESPESSURA DE 1,50 MM</v>
          </cell>
          <cell r="D1591" t="str">
            <v>UN</v>
          </cell>
          <cell r="E1591" t="str">
            <v>CR</v>
          </cell>
          <cell r="F1591">
            <v>12.55</v>
          </cell>
        </row>
        <row r="1592">
          <cell r="B1592">
            <v>2632</v>
          </cell>
          <cell r="C1592" t="str">
            <v>CURVA 90 GRAUS PARA ELETRODUTO, EM ACO GALVANIZADO ELETROLITICO, COM ROSCA, DIAMETRO DE 40 MM (1 1/2"), ESPESSURA DE 1,50 MM</v>
          </cell>
          <cell r="D1592" t="str">
            <v>UN</v>
          </cell>
          <cell r="E1592" t="str">
            <v>CR</v>
          </cell>
          <cell r="F1592">
            <v>15.3</v>
          </cell>
        </row>
        <row r="1593">
          <cell r="B1593">
            <v>2631</v>
          </cell>
          <cell r="C1593" t="str">
            <v>CURVA 90 GRAUS PARA ELETRODUTO, EM ACO GALVANIZADO ELETROLITICO, COM ROSCA, DIAMETRO DE 50 MM (2")</v>
          </cell>
          <cell r="D1593" t="str">
            <v>UN</v>
          </cell>
          <cell r="E1593" t="str">
            <v>CR</v>
          </cell>
          <cell r="F1593">
            <v>22.47</v>
          </cell>
        </row>
        <row r="1594">
          <cell r="B1594">
            <v>2619</v>
          </cell>
          <cell r="C1594" t="str">
            <v>CURVA 90 GRAUS PARA ELETRODUTO, EM ACO GALVANIZADO ELETROLITICO, COM ROSCA, DIAMETRO DE 65 MM (2 1/2")</v>
          </cell>
          <cell r="D1594" t="str">
            <v>UN</v>
          </cell>
          <cell r="E1594" t="str">
            <v>CR</v>
          </cell>
          <cell r="F1594">
            <v>56.9</v>
          </cell>
        </row>
        <row r="1595">
          <cell r="B1595">
            <v>2620</v>
          </cell>
          <cell r="C1595" t="str">
            <v>CURVA 90 GRAUS PARA ELETRODUTO, EM ACO GALVANIZADO ELETROLITICO, COM ROSCA, DIAMETRO DE 80 MM (3")</v>
          </cell>
          <cell r="D1595" t="str">
            <v>UN</v>
          </cell>
          <cell r="E1595" t="str">
            <v>CR</v>
          </cell>
          <cell r="F1595">
            <v>74.7</v>
          </cell>
        </row>
        <row r="1596">
          <cell r="B1596">
            <v>40413</v>
          </cell>
          <cell r="C1596" t="str">
            <v>CURVA 90 GRAUS RANHURADA EM FERRO FUNDIDO, DN 50 MM (2")</v>
          </cell>
          <cell r="D1596" t="str">
            <v>UN</v>
          </cell>
          <cell r="E1596" t="str">
            <v>CR</v>
          </cell>
          <cell r="F1596">
            <v>20.91</v>
          </cell>
        </row>
        <row r="1597">
          <cell r="B1597">
            <v>40415</v>
          </cell>
          <cell r="C1597" t="str">
            <v>CURVA 90 GRAUS RANHURADA EM FERRO FUNDIDO, DN 65 MM (2 1/2")</v>
          </cell>
          <cell r="D1597" t="str">
            <v>UN</v>
          </cell>
          <cell r="E1597" t="str">
            <v>CR</v>
          </cell>
          <cell r="F1597">
            <v>29.8</v>
          </cell>
        </row>
        <row r="1598">
          <cell r="B1598">
            <v>40417</v>
          </cell>
          <cell r="C1598" t="str">
            <v>CURVA 90 GRAUS RANHURADA EM FERRO FUNDIDO, DN 80 MM (3")</v>
          </cell>
          <cell r="D1598" t="str">
            <v>UN</v>
          </cell>
          <cell r="E1598" t="str">
            <v>CR</v>
          </cell>
          <cell r="F1598">
            <v>35.15</v>
          </cell>
        </row>
        <row r="1599">
          <cell r="B1599">
            <v>39273</v>
          </cell>
          <cell r="C1599" t="str">
            <v>CURVA 90 GRAUS, CURTA, DE PVC RIGIDO ROSCAVEL, DE 1", PARA ELETRODUTO</v>
          </cell>
          <cell r="D1599" t="str">
            <v>UN</v>
          </cell>
          <cell r="E1599" t="str">
            <v>CR</v>
          </cell>
          <cell r="F1599">
            <v>2.9</v>
          </cell>
        </row>
        <row r="1600">
          <cell r="B1600">
            <v>39271</v>
          </cell>
          <cell r="C1600" t="str">
            <v>CURVA 90 GRAUS, CURTA, DE PVC RIGIDO ROSCAVEL, DE 1/2", PARA ELETRODUTO</v>
          </cell>
          <cell r="D1600" t="str">
            <v>UN</v>
          </cell>
          <cell r="E1600" t="str">
            <v>CR</v>
          </cell>
          <cell r="F1600">
            <v>1.71</v>
          </cell>
        </row>
        <row r="1601">
          <cell r="B1601">
            <v>39272</v>
          </cell>
          <cell r="C1601" t="str">
            <v>CURVA 90 GRAUS, CURTA, DE PVC RIGIDO ROSCAVEL, DE 3/4", PARA ELETRODUTO</v>
          </cell>
          <cell r="D1601" t="str">
            <v>UN</v>
          </cell>
          <cell r="E1601" t="str">
            <v>CR</v>
          </cell>
          <cell r="F1601">
            <v>2.1</v>
          </cell>
        </row>
        <row r="1602">
          <cell r="B1602">
            <v>1875</v>
          </cell>
          <cell r="C1602" t="str">
            <v>CURVA 90 GRAUS, LONGA, DE PVC RIGIDO ROSCAVEL, DE 1 1/2", PARA ELETRODUTO</v>
          </cell>
          <cell r="D1602" t="str">
            <v>UN</v>
          </cell>
          <cell r="E1602" t="str">
            <v>CR</v>
          </cell>
          <cell r="F1602">
            <v>4.63</v>
          </cell>
        </row>
        <row r="1603">
          <cell r="B1603">
            <v>1874</v>
          </cell>
          <cell r="C1603" t="str">
            <v>CURVA 90 GRAUS, LONGA, DE PVC RIGIDO ROSCAVEL, DE 1 1/4", PARA ELETRODUTO</v>
          </cell>
          <cell r="D1603" t="str">
            <v>UN</v>
          </cell>
          <cell r="E1603" t="str">
            <v>CR</v>
          </cell>
          <cell r="F1603">
            <v>3.83</v>
          </cell>
        </row>
        <row r="1604">
          <cell r="B1604">
            <v>1884</v>
          </cell>
          <cell r="C1604" t="str">
            <v>CURVA 90 GRAUS, LONGA, DE PVC RIGIDO ROSCAVEL, DE 1", PARA ELETRODUTO</v>
          </cell>
          <cell r="D1604" t="str">
            <v>UN</v>
          </cell>
          <cell r="E1604" t="str">
            <v>CR</v>
          </cell>
          <cell r="F1604">
            <v>3.39</v>
          </cell>
        </row>
        <row r="1605">
          <cell r="B1605">
            <v>1870</v>
          </cell>
          <cell r="C1605" t="str">
            <v>CURVA 90 GRAUS, LONGA, DE PVC RIGIDO ROSCAVEL, DE 1/2", PARA ELETRODUTO</v>
          </cell>
          <cell r="D1605" t="str">
            <v>UN</v>
          </cell>
          <cell r="E1605" t="str">
            <v>C</v>
          </cell>
          <cell r="F1605">
            <v>2.21</v>
          </cell>
        </row>
        <row r="1606">
          <cell r="B1606">
            <v>1887</v>
          </cell>
          <cell r="C1606" t="str">
            <v>CURVA 90 GRAUS, LONGA, DE PVC RIGIDO ROSCAVEL, DE 2 1/2", PARA ELETRODUTO</v>
          </cell>
          <cell r="D1606" t="str">
            <v>UN</v>
          </cell>
          <cell r="E1606" t="str">
            <v>CR</v>
          </cell>
          <cell r="F1606">
            <v>19.21</v>
          </cell>
        </row>
        <row r="1607">
          <cell r="B1607">
            <v>1876</v>
          </cell>
          <cell r="C1607" t="str">
            <v>CURVA 90 GRAUS, LONGA, DE PVC RIGIDO ROSCAVEL, DE 2", PARA ELETRODUTO</v>
          </cell>
          <cell r="D1607" t="str">
            <v>UN</v>
          </cell>
          <cell r="E1607" t="str">
            <v>CR</v>
          </cell>
          <cell r="F1607">
            <v>7.53</v>
          </cell>
        </row>
        <row r="1608">
          <cell r="B1608">
            <v>1877</v>
          </cell>
          <cell r="C1608" t="str">
            <v>CURVA 90 GRAUS, LONGA, DE PVC RIGIDO ROSCAVEL, DE 3", PARA ELETRODUTO</v>
          </cell>
          <cell r="D1608" t="str">
            <v>UN</v>
          </cell>
          <cell r="E1608" t="str">
            <v>CR</v>
          </cell>
          <cell r="F1608">
            <v>19.239999999999998</v>
          </cell>
        </row>
        <row r="1609">
          <cell r="B1609">
            <v>1879</v>
          </cell>
          <cell r="C1609" t="str">
            <v>CURVA 90 GRAUS, LONGA, DE PVC RIGIDO ROSCAVEL, DE 3/4", PARA ELETRODUTO</v>
          </cell>
          <cell r="D1609" t="str">
            <v>UN</v>
          </cell>
          <cell r="E1609" t="str">
            <v>CR</v>
          </cell>
          <cell r="F1609">
            <v>2.2400000000000002</v>
          </cell>
        </row>
        <row r="1610">
          <cell r="B1610">
            <v>1878</v>
          </cell>
          <cell r="C1610" t="str">
            <v>CURVA 90 GRAUS, LONGA, DE PVC RIGIDO ROSCAVEL, DE 4", PARA ELETRODUTO</v>
          </cell>
          <cell r="D1610" t="str">
            <v>UN</v>
          </cell>
          <cell r="E1610" t="str">
            <v>CR</v>
          </cell>
          <cell r="F1610">
            <v>38.65</v>
          </cell>
        </row>
        <row r="1611">
          <cell r="B1611">
            <v>37971</v>
          </cell>
          <cell r="C1611" t="str">
            <v>CURVA CPVC, 90 GRAUS, SOLDAVEL, 15 MM, PARA AGUA QUENTE</v>
          </cell>
          <cell r="D1611" t="str">
            <v>UN</v>
          </cell>
          <cell r="E1611" t="str">
            <v>CR</v>
          </cell>
          <cell r="F1611">
            <v>5.07</v>
          </cell>
        </row>
        <row r="1612">
          <cell r="B1612">
            <v>37972</v>
          </cell>
          <cell r="C1612" t="str">
            <v>CURVA CPVC, 90 GRAUS, SOLDAVEL, 22 MM, PARA AGUA QUENTE</v>
          </cell>
          <cell r="D1612" t="str">
            <v>UN</v>
          </cell>
          <cell r="E1612" t="str">
            <v>CR</v>
          </cell>
          <cell r="F1612">
            <v>7.2</v>
          </cell>
        </row>
        <row r="1613">
          <cell r="B1613">
            <v>37973</v>
          </cell>
          <cell r="C1613" t="str">
            <v>CURVA CPVC, 90 GRAUS, SOLDAVEL, 28 MM, PARA AGUA QUENTE</v>
          </cell>
          <cell r="D1613" t="str">
            <v>UN</v>
          </cell>
          <cell r="E1613" t="str">
            <v>CR</v>
          </cell>
          <cell r="F1613">
            <v>13.52</v>
          </cell>
        </row>
        <row r="1614">
          <cell r="B1614">
            <v>1926</v>
          </cell>
          <cell r="C1614" t="str">
            <v>CURVA DE PVC 45 GRAUS, SOLDAVEL, 20 MM, COR MARROM, PARA AGUA FRIA PREDIAL</v>
          </cell>
          <cell r="D1614" t="str">
            <v>UN</v>
          </cell>
          <cell r="E1614" t="str">
            <v>CR</v>
          </cell>
          <cell r="F1614">
            <v>2.57</v>
          </cell>
        </row>
        <row r="1615">
          <cell r="B1615">
            <v>1927</v>
          </cell>
          <cell r="C1615" t="str">
            <v>CURVA DE PVC 45 GRAUS, SOLDAVEL, 25 MM, COR MARROM, PARA AGUA FRIA PREDIAL</v>
          </cell>
          <cell r="D1615" t="str">
            <v>UN</v>
          </cell>
          <cell r="E1615" t="str">
            <v>CR</v>
          </cell>
          <cell r="F1615">
            <v>2.89</v>
          </cell>
        </row>
        <row r="1616">
          <cell r="B1616">
            <v>1923</v>
          </cell>
          <cell r="C1616" t="str">
            <v>CURVA DE PVC 45 GRAUS, SOLDAVEL, 32 MM, COR MARROM, PARA AGUA FRIA PREDIAL</v>
          </cell>
          <cell r="D1616" t="str">
            <v>UN</v>
          </cell>
          <cell r="E1616" t="str">
            <v>CR</v>
          </cell>
          <cell r="F1616">
            <v>5.26</v>
          </cell>
        </row>
        <row r="1617">
          <cell r="B1617">
            <v>1929</v>
          </cell>
          <cell r="C1617" t="str">
            <v>CURVA DE PVC 45 GRAUS, SOLDAVEL, 40 MM, COR MARROM, PARA AGUA FRIA PREDIAL</v>
          </cell>
          <cell r="D1617" t="str">
            <v>UN</v>
          </cell>
          <cell r="E1617" t="str">
            <v>CR</v>
          </cell>
          <cell r="F1617">
            <v>6.38</v>
          </cell>
        </row>
        <row r="1618">
          <cell r="B1618">
            <v>1930</v>
          </cell>
          <cell r="C1618" t="str">
            <v>CURVA DE PVC 45 GRAUS, SOLDAVEL, 50 MM, COR MARROM, PARA AGUA FRIA PREDIAL</v>
          </cell>
          <cell r="D1618" t="str">
            <v>UN</v>
          </cell>
          <cell r="E1618" t="str">
            <v>CR</v>
          </cell>
          <cell r="F1618">
            <v>10.92</v>
          </cell>
        </row>
        <row r="1619">
          <cell r="B1619">
            <v>1924</v>
          </cell>
          <cell r="C1619" t="str">
            <v>CURVA DE PVC 45 GRAUS, SOLDAVEL, 60 MM, COR MARROM, PARA AGUA FRIA PREDIAL</v>
          </cell>
          <cell r="D1619" t="str">
            <v>UN</v>
          </cell>
          <cell r="E1619" t="str">
            <v>CR</v>
          </cell>
          <cell r="F1619">
            <v>17.62</v>
          </cell>
        </row>
        <row r="1620">
          <cell r="B1620">
            <v>1922</v>
          </cell>
          <cell r="C1620" t="str">
            <v>CURVA DE PVC 45 GRAUS, SOLDAVEL, 75 MM, COR MARROM, PARA AGUA FRIA PREDIAL</v>
          </cell>
          <cell r="D1620" t="str">
            <v>UN</v>
          </cell>
          <cell r="E1620" t="str">
            <v>CR</v>
          </cell>
          <cell r="F1620">
            <v>36.450000000000003</v>
          </cell>
        </row>
        <row r="1621">
          <cell r="B1621">
            <v>1953</v>
          </cell>
          <cell r="C1621" t="str">
            <v>CURVA DE PVC 45 GRAUS, SOLDAVEL, 85 MM, COR MARROM, PARA AGUA FRIA PREDIAL</v>
          </cell>
          <cell r="D1621" t="str">
            <v>UN</v>
          </cell>
          <cell r="E1621" t="str">
            <v>CR</v>
          </cell>
          <cell r="F1621">
            <v>44.49</v>
          </cell>
        </row>
        <row r="1622">
          <cell r="B1622">
            <v>1962</v>
          </cell>
          <cell r="C1622" t="str">
            <v>CURVA DE PVC 90 GRAUS, SOLDAVEL, 110 MM, COR MARROM, PARA AGUA FRIA PREDIAL</v>
          </cell>
          <cell r="D1622" t="str">
            <v>UN</v>
          </cell>
          <cell r="E1622" t="str">
            <v>CR</v>
          </cell>
          <cell r="F1622">
            <v>216.17</v>
          </cell>
        </row>
        <row r="1623">
          <cell r="B1623">
            <v>1955</v>
          </cell>
          <cell r="C1623" t="str">
            <v>CURVA DE PVC 90 GRAUS, SOLDAVEL, 20 MM, COR MARROM, PARA AGUA FRIA PREDIAL</v>
          </cell>
          <cell r="D1623" t="str">
            <v>UN</v>
          </cell>
          <cell r="E1623" t="str">
            <v>CR</v>
          </cell>
          <cell r="F1623">
            <v>2.4900000000000002</v>
          </cell>
        </row>
        <row r="1624">
          <cell r="B1624">
            <v>1956</v>
          </cell>
          <cell r="C1624" t="str">
            <v>CURVA DE PVC 90 GRAUS, SOLDAVEL, 25 MM, COR MARROM, PARA AGUA FRIA PREDIAL</v>
          </cell>
          <cell r="D1624" t="str">
            <v>UN</v>
          </cell>
          <cell r="E1624" t="str">
            <v>CR</v>
          </cell>
          <cell r="F1624">
            <v>3.51</v>
          </cell>
        </row>
        <row r="1625">
          <cell r="B1625">
            <v>1957</v>
          </cell>
          <cell r="C1625" t="str">
            <v>CURVA DE PVC 90 GRAUS, SOLDAVEL, 32 MM, COR MARROM, PARA AGUA FRIA PREDIAL</v>
          </cell>
          <cell r="D1625" t="str">
            <v>UN</v>
          </cell>
          <cell r="E1625" t="str">
            <v>CR</v>
          </cell>
          <cell r="F1625">
            <v>7.6</v>
          </cell>
        </row>
        <row r="1626">
          <cell r="B1626">
            <v>1958</v>
          </cell>
          <cell r="C1626" t="str">
            <v>CURVA DE PVC 90 GRAUS, SOLDAVEL, 40 MM, COR MARROM, PARA AGUA FRIA PREDIAL</v>
          </cell>
          <cell r="D1626" t="str">
            <v>UN</v>
          </cell>
          <cell r="E1626" t="str">
            <v>CR</v>
          </cell>
          <cell r="F1626">
            <v>14.16</v>
          </cell>
        </row>
        <row r="1627">
          <cell r="B1627">
            <v>1959</v>
          </cell>
          <cell r="C1627" t="str">
            <v>CURVA DE PVC 90 GRAUS, SOLDAVEL, 50 MM, COR MARROM, PARA AGUA FRIA PREDIAL</v>
          </cell>
          <cell r="D1627" t="str">
            <v>UN</v>
          </cell>
          <cell r="E1627" t="str">
            <v>CR</v>
          </cell>
          <cell r="F1627">
            <v>15.36</v>
          </cell>
        </row>
        <row r="1628">
          <cell r="B1628">
            <v>1925</v>
          </cell>
          <cell r="C1628" t="str">
            <v>CURVA DE PVC 90 GRAUS, SOLDAVEL, 60 MM, COR MARROM, PARA AGUA FRIA PREDIAL</v>
          </cell>
          <cell r="D1628" t="str">
            <v>UN</v>
          </cell>
          <cell r="E1628" t="str">
            <v>CR</v>
          </cell>
          <cell r="F1628">
            <v>40.14</v>
          </cell>
        </row>
        <row r="1629">
          <cell r="B1629">
            <v>1960</v>
          </cell>
          <cell r="C1629" t="str">
            <v>CURVA DE PVC 90 GRAUS, SOLDAVEL, 75 MM, COR MARROM, PARA AGUA FRIA PREDIAL</v>
          </cell>
          <cell r="D1629" t="str">
            <v>UN</v>
          </cell>
          <cell r="E1629" t="str">
            <v>CR</v>
          </cell>
          <cell r="F1629">
            <v>61.64</v>
          </cell>
        </row>
        <row r="1630">
          <cell r="B1630">
            <v>1961</v>
          </cell>
          <cell r="C1630" t="str">
            <v>CURVA DE PVC 90 GRAUS, SOLDAVEL, 85 MM, COR MARROM, PARA AGUA FRIA PREDIAL</v>
          </cell>
          <cell r="D1630" t="str">
            <v>UN</v>
          </cell>
          <cell r="E1630" t="str">
            <v>CR</v>
          </cell>
          <cell r="F1630">
            <v>78.97</v>
          </cell>
        </row>
        <row r="1631">
          <cell r="B1631">
            <v>38423</v>
          </cell>
          <cell r="C1631" t="str">
            <v>CURVA DE PVC, 90 GRAUS, SERIE R, DN 100 MM, PARA ESGOTO PREDIAL</v>
          </cell>
          <cell r="D1631" t="str">
            <v>UN</v>
          </cell>
          <cell r="E1631" t="str">
            <v>CR</v>
          </cell>
          <cell r="F1631">
            <v>42.59</v>
          </cell>
        </row>
        <row r="1632">
          <cell r="B1632">
            <v>39866</v>
          </cell>
          <cell r="C1632" t="str">
            <v>CURVA DE TRANSPOSICAO BRONZE/LATAO SEM ANEL DE SOLDA, BOLSA X BOLSA, 15 MM</v>
          </cell>
          <cell r="D1632" t="str">
            <v>UN</v>
          </cell>
          <cell r="E1632" t="str">
            <v>CR</v>
          </cell>
          <cell r="F1632">
            <v>19.39</v>
          </cell>
        </row>
        <row r="1633">
          <cell r="B1633">
            <v>39867</v>
          </cell>
          <cell r="C1633" t="str">
            <v>CURVA DE TRANSPOSICAO BRONZE/LATAO SEM ANEL DE SOLDA, BOLSA X BOLSA, 22 MM</v>
          </cell>
          <cell r="D1633" t="str">
            <v>UN</v>
          </cell>
          <cell r="E1633" t="str">
            <v>CR</v>
          </cell>
          <cell r="F1633">
            <v>43.1</v>
          </cell>
        </row>
        <row r="1634">
          <cell r="B1634">
            <v>39868</v>
          </cell>
          <cell r="C1634" t="str">
            <v>CURVA DE TRANSPOSICAO BRONZE/LATAO SEM ANEL DE SOLDA, BOLSA X BOLSA, 28 MM</v>
          </cell>
          <cell r="D1634" t="str">
            <v>UN</v>
          </cell>
          <cell r="E1634" t="str">
            <v>CR</v>
          </cell>
          <cell r="F1634">
            <v>77.64</v>
          </cell>
        </row>
        <row r="1635">
          <cell r="B1635">
            <v>37999</v>
          </cell>
          <cell r="C1635" t="str">
            <v>CURVA DE TRANSPOSICAO, CPVC, SOLDAVEL, 15 MM</v>
          </cell>
          <cell r="D1635" t="str">
            <v>UN</v>
          </cell>
          <cell r="E1635" t="str">
            <v>CR</v>
          </cell>
          <cell r="F1635">
            <v>8.5500000000000007</v>
          </cell>
        </row>
        <row r="1636">
          <cell r="B1636">
            <v>38000</v>
          </cell>
          <cell r="C1636" t="str">
            <v>CURVA DE TRANSPOSICAO, CPVC, SOLDAVEL, 22 MM</v>
          </cell>
          <cell r="D1636" t="str">
            <v>UN</v>
          </cell>
          <cell r="E1636" t="str">
            <v>CR</v>
          </cell>
          <cell r="F1636">
            <v>9.99</v>
          </cell>
        </row>
        <row r="1637">
          <cell r="B1637">
            <v>38129</v>
          </cell>
          <cell r="C1637" t="str">
            <v>CURVA DE TRANSPOSICAO, PVC SOLDAVEL, 20 MM, COR MARROM, PARA AGUA FRIA PREDIAL</v>
          </cell>
          <cell r="D1637" t="str">
            <v>UN</v>
          </cell>
          <cell r="E1637" t="str">
            <v>CR</v>
          </cell>
          <cell r="F1637">
            <v>5.8</v>
          </cell>
        </row>
        <row r="1638">
          <cell r="B1638">
            <v>38025</v>
          </cell>
          <cell r="C1638" t="str">
            <v>CURVA DE TRANSPOSICAO, PVC, SOLDAVEL, 25 MM, COR MARROM, PARA AGUA FRIA PREDIAL</v>
          </cell>
          <cell r="D1638" t="str">
            <v>UN</v>
          </cell>
          <cell r="E1638" t="str">
            <v>CR</v>
          </cell>
          <cell r="F1638">
            <v>7.87</v>
          </cell>
        </row>
        <row r="1639">
          <cell r="B1639">
            <v>38026</v>
          </cell>
          <cell r="C1639" t="str">
            <v>CURVA DE TRANSPOSICAO, PVC, SOLDAVEL, 32 MM, COR MARROM, PARA AGUA FRIA PREDIAL</v>
          </cell>
          <cell r="D1639" t="str">
            <v>UN</v>
          </cell>
          <cell r="E1639" t="str">
            <v>CR</v>
          </cell>
          <cell r="F1639">
            <v>19.43</v>
          </cell>
        </row>
        <row r="1640">
          <cell r="B1640">
            <v>43955</v>
          </cell>
          <cell r="C1640" t="str">
            <v>CURVA HORIZONTAL 90 GRAUS PERFURADA, PARA ELETROCALHA, EM CHAPA DE ACO GALVANIZADO ESPESSURA #14, 700 X 50 MM (L X A), SEM VIROLA, SEM TAMPA</v>
          </cell>
          <cell r="D1640" t="str">
            <v>UN</v>
          </cell>
          <cell r="E1640" t="str">
            <v>CR</v>
          </cell>
          <cell r="F1640">
            <v>242.85</v>
          </cell>
        </row>
        <row r="1641">
          <cell r="B1641">
            <v>43957</v>
          </cell>
          <cell r="C1641" t="str">
            <v>CURVA HORIZONTAL 90 GRAUS PERFURADA, PARA ELETROCALHA, EM CHAPA DE ACO GALVANIZADO ESPESSURA #14, 800 X 50 MM (L X A), SEM VIROLA, SEM TAMPA</v>
          </cell>
          <cell r="D1641" t="str">
            <v>UN</v>
          </cell>
          <cell r="E1641" t="str">
            <v>CR</v>
          </cell>
          <cell r="F1641">
            <v>286.02999999999997</v>
          </cell>
        </row>
        <row r="1642">
          <cell r="B1642">
            <v>43950</v>
          </cell>
          <cell r="C1642" t="str">
            <v>CURVA HORIZONTAL 90 GRAUS PERFURADA, PARA ELETROCALHA, EM CHAPA DE ACO GALVANIZADO ESPESSURA #16, 500 X 50 MM (L X A), SEM VIROLA, SEM TAMPA</v>
          </cell>
          <cell r="D1642" t="str">
            <v>UN</v>
          </cell>
          <cell r="E1642" t="str">
            <v>CR</v>
          </cell>
          <cell r="F1642">
            <v>130.16999999999999</v>
          </cell>
        </row>
        <row r="1643">
          <cell r="B1643">
            <v>43954</v>
          </cell>
          <cell r="C1643" t="str">
            <v>CURVA HORIZONTAL 90 GRAUS PERFURADA, PARA ELETROCALHA, EM CHAPA DE ACO GALVANIZADO ESPESSURA #16, 600 X 50 MM (L X A), SEM VIROLA, SEM TAMPA</v>
          </cell>
          <cell r="D1643" t="str">
            <v>UN</v>
          </cell>
          <cell r="E1643" t="str">
            <v>CR</v>
          </cell>
          <cell r="F1643">
            <v>165.5</v>
          </cell>
        </row>
        <row r="1644">
          <cell r="B1644">
            <v>43945</v>
          </cell>
          <cell r="C1644" t="str">
            <v>CURVA HORIZONTAL 90 GRAUS PERFURADA, PARA ELETROCALHA, EM CHAPA DE ACO GALVANIZADO ESPESSURA #18, 300 X 50 MM (L X A), SEM VIROLA, SEM TAMPA</v>
          </cell>
          <cell r="D1644" t="str">
            <v>UN</v>
          </cell>
          <cell r="E1644" t="str">
            <v>CR</v>
          </cell>
          <cell r="F1644">
            <v>58.6</v>
          </cell>
        </row>
        <row r="1645">
          <cell r="B1645">
            <v>43947</v>
          </cell>
          <cell r="C1645" t="str">
            <v>CURVA HORIZONTAL 90 GRAUS PERFURADA, PARA ELETROCALHA, EM CHAPA DE ACO GALVANIZADO ESPESSURA #18, 400 X 50 MM (L X A), SEM VIROLA, SEM TAMPA</v>
          </cell>
          <cell r="D1645" t="str">
            <v>UN</v>
          </cell>
          <cell r="E1645" t="str">
            <v>CR</v>
          </cell>
          <cell r="F1645">
            <v>83.06</v>
          </cell>
        </row>
        <row r="1646">
          <cell r="B1646">
            <v>43920</v>
          </cell>
          <cell r="C1646" t="str">
            <v>CURVA HORIZONTAL 90 GRAUS PERFURADA, PARA ELETROCALHA, EM CHAPA DE ACO GALVANIZADO ESPESSURA #22, 100 X 50 MM (L X A), SEM VIROLA, SEM TAMPA</v>
          </cell>
          <cell r="D1646" t="str">
            <v>UN</v>
          </cell>
          <cell r="E1646" t="str">
            <v>CR</v>
          </cell>
          <cell r="F1646">
            <v>15.88</v>
          </cell>
        </row>
        <row r="1647">
          <cell r="B1647">
            <v>43921</v>
          </cell>
          <cell r="C1647" t="str">
            <v>CURVA HORIZONTAL 90 GRAUS PERFURADA, PARA ELETROCALHA, EM CHAPA DE ACO GALVANIZADO ESPESSURA #22, 125 X 50 MM (L X A), SEM VIROLA, SEM TAMPA</v>
          </cell>
          <cell r="D1647" t="str">
            <v>UN</v>
          </cell>
          <cell r="E1647" t="str">
            <v>CR</v>
          </cell>
          <cell r="F1647">
            <v>15.35</v>
          </cell>
        </row>
        <row r="1648">
          <cell r="B1648">
            <v>43922</v>
          </cell>
          <cell r="C1648" t="str">
            <v>CURVA HORIZONTAL 90 GRAUS PERFURADA, PARA ELETROCALHA, EM CHAPA DE ACO GALVANIZADO ESPESSURA #22, 150 X 50 MM (L X A), SEM VIROLA, SEM TAMPA</v>
          </cell>
          <cell r="D1648" t="str">
            <v>UN</v>
          </cell>
          <cell r="E1648" t="str">
            <v>CR</v>
          </cell>
          <cell r="F1648">
            <v>25.94</v>
          </cell>
        </row>
        <row r="1649">
          <cell r="B1649">
            <v>43923</v>
          </cell>
          <cell r="C1649" t="str">
            <v>CURVA HORIZONTAL 90 GRAUS PERFURADA, PARA ELETROCALHA, EM CHAPA DE ACO GALVANIZADO ESPESSURA #22, 200 X 50 MM (L X A), SEM VIROLA, SEM TAMPA</v>
          </cell>
          <cell r="D1649" t="str">
            <v>UN</v>
          </cell>
          <cell r="E1649" t="str">
            <v>CR</v>
          </cell>
          <cell r="F1649">
            <v>35.130000000000003</v>
          </cell>
        </row>
        <row r="1650">
          <cell r="B1650">
            <v>43924</v>
          </cell>
          <cell r="C1650" t="str">
            <v>CURVA HORIZONTAL 90 GRAUS PERFURADA, PARA ELETROCALHA, EM CHAPA DE ACO GALVANIZADO ESPESSURA #22, 250 X 50 MM (L X A), SEM VIROLA, SEM TAMPA</v>
          </cell>
          <cell r="D1650" t="str">
            <v>UN</v>
          </cell>
          <cell r="E1650" t="str">
            <v>CR</v>
          </cell>
          <cell r="F1650">
            <v>32.46</v>
          </cell>
        </row>
        <row r="1651">
          <cell r="B1651">
            <v>43952</v>
          </cell>
          <cell r="C1651" t="str">
            <v>CURVA HORIZONTAL 90 GRAUS PERFURADA, PARA ELETROCALHA, EM CHAPA DE ACO GALVANIZADO ESPESSURA #22, 50 X 50 MM (L X A), SEM VIROLA, SEM TAMPA</v>
          </cell>
          <cell r="D1651" t="str">
            <v>UN</v>
          </cell>
          <cell r="E1651" t="str">
            <v>CR</v>
          </cell>
          <cell r="F1651">
            <v>10.51</v>
          </cell>
        </row>
        <row r="1652">
          <cell r="B1652">
            <v>43956</v>
          </cell>
          <cell r="C1652" t="str">
            <v>CURVA HORIZONTAL 90 GRAUS PERFURADA, PARA ELETROCALHA, EM CHAPA DE ACO GALVANIZADO ESPESSURA #22, 75 X 50 MM (L X A), SEM VIROLA, SEM TAMPA</v>
          </cell>
          <cell r="D1652" t="str">
            <v>UN</v>
          </cell>
          <cell r="E1652" t="str">
            <v>CR</v>
          </cell>
          <cell r="F1652">
            <v>12.97</v>
          </cell>
        </row>
        <row r="1653">
          <cell r="B1653">
            <v>1858</v>
          </cell>
          <cell r="C1653" t="str">
            <v>CURVA LONGA PVC, PB, JE, 45 GRAUS, DN 100 MM, PARA REDE COLETORA ESGOTO</v>
          </cell>
          <cell r="D1653" t="str">
            <v>UN</v>
          </cell>
          <cell r="E1653" t="str">
            <v>CR</v>
          </cell>
          <cell r="F1653">
            <v>66</v>
          </cell>
        </row>
        <row r="1654">
          <cell r="B1654">
            <v>1844</v>
          </cell>
          <cell r="C1654" t="str">
            <v>CURVA LONGA PVC, PB, JE, 45 GRAUS, DN 150 MM, PARA REDE COLETORA ESGOTO</v>
          </cell>
          <cell r="D1654" t="str">
            <v>UN</v>
          </cell>
          <cell r="E1654" t="str">
            <v>CR</v>
          </cell>
          <cell r="F1654">
            <v>151.15</v>
          </cell>
        </row>
        <row r="1655">
          <cell r="B1655">
            <v>1863</v>
          </cell>
          <cell r="C1655" t="str">
            <v>CURVA LONGA PVC, PB, JE, 90 GRAUS, DN 100 MM, PARA REDE COLETORA ESGOTO</v>
          </cell>
          <cell r="D1655" t="str">
            <v>UN</v>
          </cell>
          <cell r="E1655" t="str">
            <v>CR</v>
          </cell>
          <cell r="F1655">
            <v>70.23</v>
          </cell>
        </row>
        <row r="1656">
          <cell r="B1656">
            <v>1865</v>
          </cell>
          <cell r="C1656" t="str">
            <v>CURVA LONGA PVC, PB, JE, 90 GRAUS, DN 150 MM, PARA REDE COLETORA ESGOTO</v>
          </cell>
          <cell r="D1656" t="str">
            <v>UN</v>
          </cell>
          <cell r="E1656" t="str">
            <v>CR</v>
          </cell>
          <cell r="F1656">
            <v>182.99</v>
          </cell>
        </row>
        <row r="1657">
          <cell r="B1657">
            <v>36355</v>
          </cell>
          <cell r="C1657" t="str">
            <v>CURVA PPR 90 GRAUS, F/F, DN 20 MM, PARA AGUA QUENTE PREDIAL</v>
          </cell>
          <cell r="D1657" t="str">
            <v>UN</v>
          </cell>
          <cell r="E1657" t="str">
            <v>CR</v>
          </cell>
          <cell r="F1657">
            <v>11.54</v>
          </cell>
        </row>
        <row r="1658">
          <cell r="B1658">
            <v>36356</v>
          </cell>
          <cell r="C1658" t="str">
            <v>CURVA PPR 90 GRAUS, F/F, DN 25 MM, PARA AGUA QUENTE PREDIAL</v>
          </cell>
          <cell r="D1658" t="str">
            <v>UN</v>
          </cell>
          <cell r="E1658" t="str">
            <v>CR</v>
          </cell>
          <cell r="F1658">
            <v>18.55</v>
          </cell>
        </row>
        <row r="1659">
          <cell r="B1659">
            <v>1940</v>
          </cell>
          <cell r="C1659" t="str">
            <v>CURVA PVC 90 GRAUS, ROSCAVEL, 1 1/4", COR BRANCA, AGUA FRIA PREDIAL</v>
          </cell>
          <cell r="D1659" t="str">
            <v>UN</v>
          </cell>
          <cell r="E1659" t="str">
            <v>CR</v>
          </cell>
          <cell r="F1659">
            <v>39.22</v>
          </cell>
        </row>
        <row r="1660">
          <cell r="B1660">
            <v>1939</v>
          </cell>
          <cell r="C1660" t="str">
            <v>CURVA PVC 90 GRAUS, ROSCAVEL, 1", COR BRANCA, AGUA FRIA PREDIAL</v>
          </cell>
          <cell r="D1660" t="str">
            <v>UN</v>
          </cell>
          <cell r="E1660" t="str">
            <v>CR</v>
          </cell>
          <cell r="F1660">
            <v>10.76</v>
          </cell>
        </row>
        <row r="1661">
          <cell r="B1661">
            <v>1937</v>
          </cell>
          <cell r="C1661" t="str">
            <v>CURVA PVC 90 GRAUS, ROSCAVEL, 1/2", COR BRANCA, AGUA FRIA PREDIAL</v>
          </cell>
          <cell r="D1661" t="str">
            <v>UN</v>
          </cell>
          <cell r="E1661" t="str">
            <v>CR</v>
          </cell>
          <cell r="F1661">
            <v>6.62</v>
          </cell>
        </row>
        <row r="1662">
          <cell r="B1662">
            <v>1938</v>
          </cell>
          <cell r="C1662" t="str">
            <v>CURVA PVC 90 GRAUS, ROSCAVEL, 3/4", COR BRANCA, AGUA FRIA PREDIAL</v>
          </cell>
          <cell r="D1662" t="str">
            <v>UN</v>
          </cell>
          <cell r="E1662" t="str">
            <v>CR</v>
          </cell>
          <cell r="F1662">
            <v>7.53</v>
          </cell>
        </row>
        <row r="1663">
          <cell r="B1663">
            <v>1966</v>
          </cell>
          <cell r="C1663" t="str">
            <v>CURVA PVC CURTA 90 GRAUS, DN 100 MM, PARA ESGOTO PREDIAL</v>
          </cell>
          <cell r="D1663" t="str">
            <v>UN</v>
          </cell>
          <cell r="E1663" t="str">
            <v>CR</v>
          </cell>
          <cell r="F1663">
            <v>28.01</v>
          </cell>
        </row>
        <row r="1664">
          <cell r="B1664">
            <v>1933</v>
          </cell>
          <cell r="C1664" t="str">
            <v>CURVA PVC CURTA 90 GRAUS, DN 40 MM, PARA ESGOTO PREDIAL</v>
          </cell>
          <cell r="D1664" t="str">
            <v>UN</v>
          </cell>
          <cell r="E1664" t="str">
            <v>CR</v>
          </cell>
          <cell r="F1664">
            <v>6.03</v>
          </cell>
        </row>
        <row r="1665">
          <cell r="B1665">
            <v>1932</v>
          </cell>
          <cell r="C1665" t="str">
            <v>CURVA PVC CURTA 90 GRAUS, DN 50 MM, PARA ESGOTO PREDIAL</v>
          </cell>
          <cell r="D1665" t="str">
            <v>UN</v>
          </cell>
          <cell r="E1665" t="str">
            <v>CR</v>
          </cell>
          <cell r="F1665">
            <v>13.81</v>
          </cell>
        </row>
        <row r="1666">
          <cell r="B1666">
            <v>1951</v>
          </cell>
          <cell r="C1666" t="str">
            <v>CURVA PVC CURTA 90 GRAUS, DN 75 MM, PARA ESGOTO PREDIAL</v>
          </cell>
          <cell r="D1666" t="str">
            <v>UN</v>
          </cell>
          <cell r="E1666" t="str">
            <v>CR</v>
          </cell>
          <cell r="F1666">
            <v>28.81</v>
          </cell>
        </row>
        <row r="1667">
          <cell r="B1667">
            <v>1970</v>
          </cell>
          <cell r="C1667" t="str">
            <v>CURVA PVC LONGA 90 GRAUS, DN 100 MM, PARA ESGOTO PREDIAL</v>
          </cell>
          <cell r="D1667" t="str">
            <v>UN</v>
          </cell>
          <cell r="E1667" t="str">
            <v>CR</v>
          </cell>
          <cell r="F1667">
            <v>70.010000000000005</v>
          </cell>
        </row>
        <row r="1668">
          <cell r="B1668">
            <v>1967</v>
          </cell>
          <cell r="C1668" t="str">
            <v>CURVA PVC LONGA 90 GRAUS, DN 40 MM, PARA ESGOTO PREDIAL</v>
          </cell>
          <cell r="D1668" t="str">
            <v>UN</v>
          </cell>
          <cell r="E1668" t="str">
            <v>CR</v>
          </cell>
          <cell r="F1668">
            <v>8.31</v>
          </cell>
        </row>
        <row r="1669">
          <cell r="B1669">
            <v>1968</v>
          </cell>
          <cell r="C1669" t="str">
            <v>CURVA PVC LONGA 90 GRAUS, DN 50 MM, PARA ESGOTO PREDIAL</v>
          </cell>
          <cell r="D1669" t="str">
            <v>UN</v>
          </cell>
          <cell r="E1669" t="str">
            <v>CR</v>
          </cell>
          <cell r="F1669">
            <v>16.43</v>
          </cell>
        </row>
        <row r="1670">
          <cell r="B1670">
            <v>1969</v>
          </cell>
          <cell r="C1670" t="str">
            <v>CURVA PVC LONGA 90 GRAUS, DN 75 MM, PARA ESGOTO PREDIAL</v>
          </cell>
          <cell r="D1670" t="str">
            <v>UN</v>
          </cell>
          <cell r="E1670" t="str">
            <v>CR</v>
          </cell>
          <cell r="F1670">
            <v>53.49</v>
          </cell>
        </row>
        <row r="1671">
          <cell r="B1671">
            <v>1827</v>
          </cell>
          <cell r="C1671" t="str">
            <v>CURVA PVC PBA, JE, PB, 45 GRAUS, DN 100 / DE 110 MM, PARA REDE DE AGUA</v>
          </cell>
          <cell r="D1671" t="str">
            <v>UN</v>
          </cell>
          <cell r="E1671" t="str">
            <v>CR</v>
          </cell>
          <cell r="F1671">
            <v>167.2</v>
          </cell>
        </row>
        <row r="1672">
          <cell r="B1672">
            <v>1831</v>
          </cell>
          <cell r="C1672" t="str">
            <v>CURVA PVC PBA, JE, PB, 45 GRAUS, DN 50 / DE 60 MM, PARA REDE DE AGUA</v>
          </cell>
          <cell r="D1672" t="str">
            <v>UN</v>
          </cell>
          <cell r="E1672" t="str">
            <v>CR</v>
          </cell>
          <cell r="F1672">
            <v>36.5</v>
          </cell>
        </row>
        <row r="1673">
          <cell r="B1673">
            <v>1825</v>
          </cell>
          <cell r="C1673" t="str">
            <v>CURVA PVC PBA, JE, PB, 45 GRAUS, DN 75 / DE 85 MM, PARA REDE DE AGUA</v>
          </cell>
          <cell r="D1673" t="str">
            <v>UN</v>
          </cell>
          <cell r="E1673" t="str">
            <v>CR</v>
          </cell>
          <cell r="F1673">
            <v>90.08</v>
          </cell>
        </row>
        <row r="1674">
          <cell r="B1674">
            <v>1828</v>
          </cell>
          <cell r="C1674" t="str">
            <v>CURVA PVC PBA, JE, PB, 90 GRAUS, DN 100 / DE 110 MM, PARA REDE DE AGUA</v>
          </cell>
          <cell r="D1674" t="str">
            <v>UN</v>
          </cell>
          <cell r="E1674" t="str">
            <v>CR</v>
          </cell>
          <cell r="F1674">
            <v>204.04</v>
          </cell>
        </row>
        <row r="1675">
          <cell r="B1675">
            <v>1845</v>
          </cell>
          <cell r="C1675" t="str">
            <v>CURVA PVC PBA, JE, PB, 90 GRAUS, DN 50 / DE 60 MM, PARA REDE DE AGUA</v>
          </cell>
          <cell r="D1675" t="str">
            <v>UN</v>
          </cell>
          <cell r="E1675" t="str">
            <v>CR</v>
          </cell>
          <cell r="F1675">
            <v>45.74</v>
          </cell>
        </row>
        <row r="1676">
          <cell r="B1676">
            <v>1824</v>
          </cell>
          <cell r="C1676" t="str">
            <v>CURVA PVC PBA, JE, PB, 90 GRAUS, DN 75 / DE 85 MM, PARA REDE DE AGUA</v>
          </cell>
          <cell r="D1676" t="str">
            <v>UN</v>
          </cell>
          <cell r="E1676" t="str">
            <v>CR</v>
          </cell>
          <cell r="F1676">
            <v>107.99</v>
          </cell>
        </row>
        <row r="1677">
          <cell r="B1677">
            <v>42693</v>
          </cell>
          <cell r="C1677" t="str">
            <v>CURVA PVC, BB, JE, 45 GRAUS, DN 250 MM, PARA TUBO CORRUGADO E/OU LISO, REDE COLETORA ESGOTO</v>
          </cell>
          <cell r="D1677" t="str">
            <v>UN</v>
          </cell>
          <cell r="E1677" t="str">
            <v>CR</v>
          </cell>
          <cell r="F1677">
            <v>514.04999999999995</v>
          </cell>
        </row>
        <row r="1678">
          <cell r="B1678">
            <v>42695</v>
          </cell>
          <cell r="C1678" t="str">
            <v>CURVA PVC, BB, JE, 90 GRAUS, DN 200 MM, PARA TUBO CORRUGADO E/OU LISO, REDE COLETORA ESGOTO</v>
          </cell>
          <cell r="D1678" t="str">
            <v>UN</v>
          </cell>
          <cell r="E1678" t="str">
            <v>CR</v>
          </cell>
          <cell r="F1678">
            <v>359.14</v>
          </cell>
        </row>
        <row r="1679">
          <cell r="B1679">
            <v>42694</v>
          </cell>
          <cell r="C1679" t="str">
            <v>CURVA PVC, BB, JE, 90 GRAUS, DN 250 MM, PARA TUBO CORRUGADO E/OU LISO, REDE COLETORA ESGOTO</v>
          </cell>
          <cell r="D1679" t="str">
            <v>UN</v>
          </cell>
          <cell r="E1679" t="str">
            <v>CR</v>
          </cell>
          <cell r="F1679">
            <v>687.91</v>
          </cell>
        </row>
        <row r="1680">
          <cell r="B1680">
            <v>20097</v>
          </cell>
          <cell r="C1680" t="str">
            <v>CURVA PVC, SERIE R, 87.30 GRAUS, CURTA, PARA PE-DE-COLUNA, DN 100 MM, PARA ESGOTO PREDIAL</v>
          </cell>
          <cell r="D1680" t="str">
            <v>UN</v>
          </cell>
          <cell r="E1680" t="str">
            <v>CR</v>
          </cell>
          <cell r="F1680">
            <v>29.83</v>
          </cell>
        </row>
        <row r="1681">
          <cell r="B1681">
            <v>20098</v>
          </cell>
          <cell r="C1681" t="str">
            <v>CURVA PVC, SERIE R, 87.30 GRAUS, CURTA, PARA PE-DE-COLUNA, DN 150 MM, PARA ESGOTO PREDIAL</v>
          </cell>
          <cell r="D1681" t="str">
            <v>UN</v>
          </cell>
          <cell r="E1681" t="str">
            <v>CR</v>
          </cell>
          <cell r="F1681">
            <v>121.9</v>
          </cell>
        </row>
        <row r="1682">
          <cell r="B1682">
            <v>20096</v>
          </cell>
          <cell r="C1682" t="str">
            <v>CURVA PVC, SERIE R, 87.30 GRAUS, CURTA, PARA PE-DE-COLUNA, DN 75 MM, PARA ESGOTO PREDIAL</v>
          </cell>
          <cell r="D1682" t="str">
            <v>UN</v>
          </cell>
          <cell r="E1682" t="str">
            <v>CR</v>
          </cell>
          <cell r="F1682">
            <v>30.87</v>
          </cell>
        </row>
        <row r="1683">
          <cell r="B1683">
            <v>44472</v>
          </cell>
          <cell r="C1683" t="str">
            <v>DENTE PARA FRESADORA</v>
          </cell>
          <cell r="D1683" t="str">
            <v>UN</v>
          </cell>
          <cell r="E1683" t="str">
            <v>CR</v>
          </cell>
          <cell r="F1683">
            <v>57.13</v>
          </cell>
        </row>
        <row r="1684">
          <cell r="B1684">
            <v>38369</v>
          </cell>
          <cell r="C1684" t="str">
            <v>DESEMPENADEIRA DE ACO DENTADA 12 X *25* CM, DENTES 8 X 8 MM, CABO FECHADO DE MADEIRA</v>
          </cell>
          <cell r="D1684" t="str">
            <v>UN</v>
          </cell>
          <cell r="E1684" t="str">
            <v>CR</v>
          </cell>
          <cell r="F1684">
            <v>21.23</v>
          </cell>
        </row>
        <row r="1685">
          <cell r="B1685">
            <v>38370</v>
          </cell>
          <cell r="C1685" t="str">
            <v>DESEMPENADEIRA DE ACO LISA 12 X *25* CM COM CABO FECHADO DE MADEIRA</v>
          </cell>
          <cell r="D1685" t="str">
            <v>UN</v>
          </cell>
          <cell r="E1685" t="str">
            <v>CR</v>
          </cell>
          <cell r="F1685">
            <v>14.32</v>
          </cell>
        </row>
        <row r="1686">
          <cell r="B1686">
            <v>45199</v>
          </cell>
          <cell r="C1686" t="str">
            <v>DESEMPENADEIRA DE MADEIRA *16 X 27* CM</v>
          </cell>
          <cell r="D1686" t="str">
            <v>UN</v>
          </cell>
          <cell r="E1686" t="str">
            <v>CR</v>
          </cell>
          <cell r="F1686">
            <v>33.28</v>
          </cell>
        </row>
        <row r="1687">
          <cell r="B1687">
            <v>38372</v>
          </cell>
          <cell r="C1687" t="str">
            <v>DESEMPENADEIRA PLASTICA LISA *14 X 27* CM</v>
          </cell>
          <cell r="D1687" t="str">
            <v>UN</v>
          </cell>
          <cell r="E1687" t="str">
            <v>CR</v>
          </cell>
          <cell r="F1687">
            <v>12.57</v>
          </cell>
        </row>
        <row r="1688">
          <cell r="B1688">
            <v>2358</v>
          </cell>
          <cell r="C1688" t="str">
            <v>DESENHISTA PROJETISTA (HORISTA)</v>
          </cell>
          <cell r="D1688" t="str">
            <v>H</v>
          </cell>
          <cell r="E1688" t="str">
            <v>CR</v>
          </cell>
          <cell r="F1688">
            <v>64.650000000000006</v>
          </cell>
        </row>
        <row r="1689">
          <cell r="B1689">
            <v>40807</v>
          </cell>
          <cell r="C1689" t="str">
            <v>DESENHISTA PROJETISTA (MENSALISTA)</v>
          </cell>
          <cell r="D1689" t="str">
            <v>MES</v>
          </cell>
          <cell r="E1689" t="str">
            <v>CR</v>
          </cell>
          <cell r="F1689">
            <v>11326.62</v>
          </cell>
        </row>
        <row r="1690">
          <cell r="B1690">
            <v>44330</v>
          </cell>
          <cell r="C1690" t="str">
            <v>DESINFETANTE PRONTO USO</v>
          </cell>
          <cell r="D1690" t="str">
            <v>L</v>
          </cell>
          <cell r="E1690" t="str">
            <v>CR</v>
          </cell>
          <cell r="F1690">
            <v>11.88</v>
          </cell>
        </row>
        <row r="1691">
          <cell r="B1691">
            <v>43144</v>
          </cell>
          <cell r="C1691" t="str">
            <v>DESMOLDANTE PARA CONCRETO ESTAMPADO</v>
          </cell>
          <cell r="D1691" t="str">
            <v>KG</v>
          </cell>
          <cell r="E1691" t="str">
            <v>CR</v>
          </cell>
          <cell r="F1691">
            <v>35.119999999999997</v>
          </cell>
        </row>
        <row r="1692">
          <cell r="B1692">
            <v>39397</v>
          </cell>
          <cell r="C1692" t="str">
            <v>DESMOLDANTE PARA FORMAS METALICAS A BASE DE OLEO VEGETAL</v>
          </cell>
          <cell r="D1692" t="str">
            <v>L</v>
          </cell>
          <cell r="E1692" t="str">
            <v>CR</v>
          </cell>
          <cell r="F1692">
            <v>16</v>
          </cell>
        </row>
        <row r="1693">
          <cell r="B1693">
            <v>2692</v>
          </cell>
          <cell r="C1693" t="str">
            <v>DESMOLDANTE PROTETOR PARA FORMAS DE MADEIRA, DE BASE OLEOSA EMULSIONADA EM AGUA</v>
          </cell>
          <cell r="D1693" t="str">
            <v>L</v>
          </cell>
          <cell r="E1693" t="str">
            <v>CR</v>
          </cell>
          <cell r="F1693">
            <v>6.46</v>
          </cell>
        </row>
        <row r="1694">
          <cell r="B1694">
            <v>45299</v>
          </cell>
          <cell r="C1694" t="str">
            <v>DETECTOR DE TENSAO 90 V A 1000 V (CAT IV)</v>
          </cell>
          <cell r="D1694" t="str">
            <v>UN</v>
          </cell>
          <cell r="E1694" t="str">
            <v>CR</v>
          </cell>
          <cell r="F1694">
            <v>77.61</v>
          </cell>
        </row>
        <row r="1695">
          <cell r="B1695">
            <v>44329</v>
          </cell>
          <cell r="C1695" t="str">
            <v>DETERGENTE NEUTRO USO GERAL, CONCENTRADO</v>
          </cell>
          <cell r="D1695" t="str">
            <v>L</v>
          </cell>
          <cell r="E1695" t="str">
            <v>CR</v>
          </cell>
          <cell r="F1695">
            <v>15.57</v>
          </cell>
        </row>
        <row r="1696">
          <cell r="B1696">
            <v>5318</v>
          </cell>
          <cell r="C1696" t="str">
            <v>DILUENTE AGUARRAS</v>
          </cell>
          <cell r="D1696" t="str">
            <v>L</v>
          </cell>
          <cell r="E1696" t="str">
            <v>C</v>
          </cell>
          <cell r="F1696">
            <v>25.18</v>
          </cell>
        </row>
        <row r="1697">
          <cell r="B1697">
            <v>5330</v>
          </cell>
          <cell r="C1697" t="str">
            <v>DILUENTE EPOXI</v>
          </cell>
          <cell r="D1697" t="str">
            <v>L</v>
          </cell>
          <cell r="E1697" t="str">
            <v>CR</v>
          </cell>
          <cell r="F1697">
            <v>57.39</v>
          </cell>
        </row>
        <row r="1698">
          <cell r="B1698">
            <v>44532</v>
          </cell>
          <cell r="C1698" t="str">
            <v>DISCO DE BORRACHA PARA LIXADEIRA RIGIDO 7" COM ARRUELA CENTRAL</v>
          </cell>
          <cell r="D1698" t="str">
            <v>UN</v>
          </cell>
          <cell r="E1698" t="str">
            <v>CR</v>
          </cell>
          <cell r="F1698">
            <v>21.78</v>
          </cell>
        </row>
        <row r="1699">
          <cell r="B1699">
            <v>44531</v>
          </cell>
          <cell r="C1699" t="str">
            <v>DISCO DE CORTE DIAMANTADO SEGMENTADO DIAMETRO DE 180 MM PARA ESMERILHADEIRA 7"</v>
          </cell>
          <cell r="D1699" t="str">
            <v>UN</v>
          </cell>
          <cell r="E1699" t="str">
            <v>CR</v>
          </cell>
          <cell r="F1699">
            <v>74.650000000000006</v>
          </cell>
        </row>
        <row r="1700">
          <cell r="B1700">
            <v>13887</v>
          </cell>
          <cell r="C1700" t="str">
            <v>DISCO DE CORTE DIAMANTADO SEGMENTADO PARA CONCRETO/ASFALTO, DIAMETRO DE *350* MM, FURO DE 25,40 MM</v>
          </cell>
          <cell r="D1700" t="str">
            <v>UN</v>
          </cell>
          <cell r="E1700" t="str">
            <v>CR</v>
          </cell>
          <cell r="F1700">
            <v>325.23</v>
          </cell>
        </row>
        <row r="1701">
          <cell r="B1701">
            <v>38140</v>
          </cell>
          <cell r="C1701" t="str">
            <v>DISCO DE CORTE DIAMANTADO SEGMENTADO, DIAMETRO DE *110* MM, FURO DE 20 MM</v>
          </cell>
          <cell r="D1701" t="str">
            <v>UN</v>
          </cell>
          <cell r="E1701" t="str">
            <v>CR</v>
          </cell>
          <cell r="F1701">
            <v>26.64</v>
          </cell>
        </row>
        <row r="1702">
          <cell r="B1702">
            <v>44495</v>
          </cell>
          <cell r="C1702" t="str">
            <v>DISCO DE CORTE PARA METAL COM DUAS TELAS 12 X 1/8 X 3/4" (300 X 3,2 X 19,05 MM)</v>
          </cell>
          <cell r="D1702" t="str">
            <v>UN</v>
          </cell>
          <cell r="E1702" t="str">
            <v>CR</v>
          </cell>
          <cell r="F1702">
            <v>28.16</v>
          </cell>
        </row>
        <row r="1703">
          <cell r="B1703">
            <v>44533</v>
          </cell>
          <cell r="C1703" t="str">
            <v>DISCO DE DESBASTE PARA METAL FERROSO EM GERAL, COM TRES TELAS, 9 X 1/4 X 7/8" (228,6 X 6,4 X 22,2 MM)</v>
          </cell>
          <cell r="D1703" t="str">
            <v>UN</v>
          </cell>
          <cell r="E1703" t="str">
            <v>CR</v>
          </cell>
          <cell r="F1703">
            <v>28.57</v>
          </cell>
        </row>
        <row r="1704">
          <cell r="B1704">
            <v>44534</v>
          </cell>
          <cell r="C1704" t="str">
            <v>DISCO DE LIXA PARA METAL, DIAMETRO = 180 MM, GRAO 120</v>
          </cell>
          <cell r="D1704" t="str">
            <v>UN</v>
          </cell>
          <cell r="E1704" t="str">
            <v>CR</v>
          </cell>
          <cell r="F1704">
            <v>5.6</v>
          </cell>
        </row>
        <row r="1705">
          <cell r="B1705">
            <v>34729</v>
          </cell>
          <cell r="C1705" t="str">
            <v>DISJUNTOR TERMOMAGNETICO AJUSTAVEL, TRIPOLAR DE 100 ATE 250A, CAPACIDADE DE INTERRUPCAO DE 35KA</v>
          </cell>
          <cell r="D1705" t="str">
            <v>UN</v>
          </cell>
          <cell r="E1705" t="str">
            <v>CR</v>
          </cell>
          <cell r="F1705">
            <v>1058.5999999999999</v>
          </cell>
        </row>
        <row r="1706">
          <cell r="B1706">
            <v>34734</v>
          </cell>
          <cell r="C1706" t="str">
            <v>DISJUNTOR TERMOMAGNETICO AJUSTAVEL, TRIPOLAR DE 300 ATE 400A, CAPACIDADE DE INTERRUPCAO DE 35KA</v>
          </cell>
          <cell r="D1706" t="str">
            <v>UN</v>
          </cell>
          <cell r="E1706" t="str">
            <v>CR</v>
          </cell>
          <cell r="F1706">
            <v>1639.06</v>
          </cell>
        </row>
        <row r="1707">
          <cell r="B1707">
            <v>34738</v>
          </cell>
          <cell r="C1707" t="str">
            <v>DISJUNTOR TERMOMAGNETICO AJUSTAVEL, TRIPOLAR DE 450 ATE 600A, CAPACIDADE DE INTERRUPCAO DE 35KA</v>
          </cell>
          <cell r="D1707" t="str">
            <v>UN</v>
          </cell>
          <cell r="E1707" t="str">
            <v>CR</v>
          </cell>
          <cell r="F1707">
            <v>3829.35</v>
          </cell>
        </row>
        <row r="1708">
          <cell r="B1708">
            <v>34623</v>
          </cell>
          <cell r="C1708" t="str">
            <v>DISJUNTOR TERMOMAGNETICO PARA TRILHO DIN (IEC), BIPOLAR, 40 - 50 A</v>
          </cell>
          <cell r="D1708" t="str">
            <v>UN</v>
          </cell>
          <cell r="E1708" t="str">
            <v>CR</v>
          </cell>
          <cell r="F1708">
            <v>45.89</v>
          </cell>
        </row>
        <row r="1709">
          <cell r="B1709">
            <v>34616</v>
          </cell>
          <cell r="C1709" t="str">
            <v>DISJUNTOR TERMOMAGNETICO PARA TRILHO DIN (IEC), BIPOLAR, 6 - 32 A</v>
          </cell>
          <cell r="D1709" t="str">
            <v>UN</v>
          </cell>
          <cell r="E1709" t="str">
            <v>CR</v>
          </cell>
          <cell r="F1709">
            <v>46.6</v>
          </cell>
        </row>
        <row r="1710">
          <cell r="B1710">
            <v>34628</v>
          </cell>
          <cell r="C1710" t="str">
            <v>DISJUNTOR TERMOMAGNETICO PARA TRILHO DIN (IEC), BIPOLAR, 63 A</v>
          </cell>
          <cell r="D1710" t="str">
            <v>UN</v>
          </cell>
          <cell r="E1710" t="str">
            <v>CR</v>
          </cell>
          <cell r="F1710">
            <v>65.73</v>
          </cell>
        </row>
        <row r="1711">
          <cell r="B1711">
            <v>34686</v>
          </cell>
          <cell r="C1711" t="str">
            <v>DISJUNTOR TERMOMAGNETICO PARA TRILHO DIN (IEC), MONOPOLAR, 40 - 50 A</v>
          </cell>
          <cell r="D1711" t="str">
            <v>UN</v>
          </cell>
          <cell r="E1711" t="str">
            <v>CR</v>
          </cell>
          <cell r="F1711">
            <v>12.05</v>
          </cell>
        </row>
        <row r="1712">
          <cell r="B1712">
            <v>34653</v>
          </cell>
          <cell r="C1712" t="str">
            <v>DISJUNTOR TERMOMAGNETICO PARA TRILHO DIN (IEC), MONOPOLAR, 6 - 32 A</v>
          </cell>
          <cell r="D1712" t="str">
            <v>UN</v>
          </cell>
          <cell r="E1712" t="str">
            <v>CR</v>
          </cell>
          <cell r="F1712">
            <v>8.1300000000000008</v>
          </cell>
        </row>
        <row r="1713">
          <cell r="B1713">
            <v>34688</v>
          </cell>
          <cell r="C1713" t="str">
            <v>DISJUNTOR TERMOMAGNETICO PARA TRILHO DIN (IEC), MONOPOLAR, 63 A</v>
          </cell>
          <cell r="D1713" t="str">
            <v>UN</v>
          </cell>
          <cell r="E1713" t="str">
            <v>CR</v>
          </cell>
          <cell r="F1713">
            <v>14.73</v>
          </cell>
        </row>
        <row r="1714">
          <cell r="B1714">
            <v>34709</v>
          </cell>
          <cell r="C1714" t="str">
            <v>DISJUNTOR TERMOMAGNETICO PARA TRILHO DIN (IEC), TRIPOLAR, 10 - 50 A</v>
          </cell>
          <cell r="D1714" t="str">
            <v>UN</v>
          </cell>
          <cell r="E1714" t="str">
            <v>CR</v>
          </cell>
          <cell r="F1714">
            <v>57.1</v>
          </cell>
        </row>
        <row r="1715">
          <cell r="B1715">
            <v>34714</v>
          </cell>
          <cell r="C1715" t="str">
            <v>DISJUNTOR TERMOMAGNETICO PARA TRILHO DIN (IEC), TRIPOLAR, 63 A</v>
          </cell>
          <cell r="D1715" t="str">
            <v>UN</v>
          </cell>
          <cell r="E1715" t="str">
            <v>CR</v>
          </cell>
          <cell r="F1715">
            <v>68.19</v>
          </cell>
        </row>
        <row r="1716">
          <cell r="B1716">
            <v>2391</v>
          </cell>
          <cell r="C1716" t="str">
            <v>DISJUNTOR TERMOMAGNETICO TRIPOLAR 125 A / 425 V / ICC - 25 KA</v>
          </cell>
          <cell r="D1716" t="str">
            <v>UN</v>
          </cell>
          <cell r="E1716" t="str">
            <v>CR</v>
          </cell>
          <cell r="F1716">
            <v>311.45</v>
          </cell>
        </row>
        <row r="1717">
          <cell r="B1717">
            <v>2374</v>
          </cell>
          <cell r="C1717" t="str">
            <v>DISJUNTOR TERMOMAGNETICO TRIPOLAR 150 A / 600 V, TIPO FXD / ICC - 35 KA</v>
          </cell>
          <cell r="D1717" t="str">
            <v>UN</v>
          </cell>
          <cell r="E1717" t="str">
            <v>CR</v>
          </cell>
          <cell r="F1717">
            <v>353.33</v>
          </cell>
        </row>
        <row r="1718">
          <cell r="B1718">
            <v>2377</v>
          </cell>
          <cell r="C1718" t="str">
            <v>DISJUNTOR TERMOMAGNETICO TRIPOLAR 200 A / 600 V, TIPO FXD / ICC - 35 KA</v>
          </cell>
          <cell r="D1718" t="str">
            <v>UN</v>
          </cell>
          <cell r="E1718" t="str">
            <v>CR</v>
          </cell>
          <cell r="F1718">
            <v>495.87</v>
          </cell>
        </row>
        <row r="1719">
          <cell r="B1719">
            <v>2393</v>
          </cell>
          <cell r="C1719" t="str">
            <v>DISJUNTOR TERMOMAGNETICO TRIPOLAR 250 A / 600 V, TIPO FXD</v>
          </cell>
          <cell r="D1719" t="str">
            <v>UN</v>
          </cell>
          <cell r="E1719" t="str">
            <v>CR</v>
          </cell>
          <cell r="F1719">
            <v>830.39</v>
          </cell>
        </row>
        <row r="1720">
          <cell r="B1720">
            <v>34705</v>
          </cell>
          <cell r="C1720" t="str">
            <v>DISJUNTOR TERMOMAGNETICO TRIPOLAR 3 X 250 A/ICC - 25 KA</v>
          </cell>
          <cell r="D1720" t="str">
            <v>UN</v>
          </cell>
          <cell r="E1720" t="str">
            <v>CR</v>
          </cell>
          <cell r="F1720">
            <v>726.3</v>
          </cell>
        </row>
        <row r="1721">
          <cell r="B1721">
            <v>34707</v>
          </cell>
          <cell r="C1721" t="str">
            <v>DISJUNTOR TERMOMAGNETICO TRIPOLAR 3 X 350 A/ICC - 25 KA</v>
          </cell>
          <cell r="D1721" t="str">
            <v>UN</v>
          </cell>
          <cell r="E1721" t="str">
            <v>CR</v>
          </cell>
          <cell r="F1721">
            <v>1345.84</v>
          </cell>
        </row>
        <row r="1722">
          <cell r="B1722">
            <v>34544</v>
          </cell>
          <cell r="C1722" t="str">
            <v>DISJUNTOR TERMOMAGNETICO TRIPOLAR 3 X 400 A / ICC - 25 KA</v>
          </cell>
          <cell r="D1722" t="str">
            <v>UN</v>
          </cell>
          <cell r="E1722" t="str">
            <v>CR</v>
          </cell>
          <cell r="F1722">
            <v>1345.7</v>
          </cell>
        </row>
        <row r="1723">
          <cell r="B1723">
            <v>2378</v>
          </cell>
          <cell r="C1723" t="str">
            <v>DISJUNTOR TERMOMAGNETICO TRIPOLAR 300 A / 600 V, TIPO JXD / ICC - 40 KA</v>
          </cell>
          <cell r="D1723" t="str">
            <v>UN</v>
          </cell>
          <cell r="E1723" t="str">
            <v>CR</v>
          </cell>
          <cell r="F1723">
            <v>1140.6600000000001</v>
          </cell>
        </row>
        <row r="1724">
          <cell r="B1724">
            <v>2379</v>
          </cell>
          <cell r="C1724" t="str">
            <v>DISJUNTOR TERMOMAGNETICO TRIPOLAR 400 A / 600 V, TIPO JXD / ICC - 40 KA</v>
          </cell>
          <cell r="D1724" t="str">
            <v>UN</v>
          </cell>
          <cell r="E1724" t="str">
            <v>CR</v>
          </cell>
          <cell r="F1724">
            <v>1140.6600000000001</v>
          </cell>
        </row>
        <row r="1725">
          <cell r="B1725">
            <v>2376</v>
          </cell>
          <cell r="C1725" t="str">
            <v>DISJUNTOR TERMOMAGNETICO TRIPOLAR 600 A / 600 V, TIPO LXD / ICC - 40 KA</v>
          </cell>
          <cell r="D1725" t="str">
            <v>UN</v>
          </cell>
          <cell r="E1725" t="str">
            <v>CR</v>
          </cell>
          <cell r="F1725">
            <v>1878.65</v>
          </cell>
        </row>
        <row r="1726">
          <cell r="B1726">
            <v>2394</v>
          </cell>
          <cell r="C1726" t="str">
            <v>DISJUNTOR TERMOMAGNETICO TRIPOLAR 800 A / 600 V, TIPO LMXD</v>
          </cell>
          <cell r="D1726" t="str">
            <v>UN</v>
          </cell>
          <cell r="E1726" t="str">
            <v>CR</v>
          </cell>
          <cell r="F1726">
            <v>4016.22</v>
          </cell>
        </row>
        <row r="1727">
          <cell r="B1727">
            <v>2388</v>
          </cell>
          <cell r="C1727" t="str">
            <v>DISJUNTOR TIPO NEMA, BIPOLAR 10 ATE 50 A, TENSAO MAXIMA 415 V</v>
          </cell>
          <cell r="D1727" t="str">
            <v>UN</v>
          </cell>
          <cell r="E1727" t="str">
            <v>CR</v>
          </cell>
          <cell r="F1727">
            <v>56.67</v>
          </cell>
        </row>
        <row r="1728">
          <cell r="B1728">
            <v>34606</v>
          </cell>
          <cell r="C1728" t="str">
            <v>DISJUNTOR TIPO NEMA, BIPOLAR 60 ATE 100A, TENSAO MAXIMA 415 V</v>
          </cell>
          <cell r="D1728" t="str">
            <v>UN</v>
          </cell>
          <cell r="E1728" t="str">
            <v>CR</v>
          </cell>
          <cell r="F1728">
            <v>86.93</v>
          </cell>
        </row>
        <row r="1729">
          <cell r="B1729">
            <v>2370</v>
          </cell>
          <cell r="C1729" t="str">
            <v>DISJUNTOR TIPO NEMA, MONOPOLAR 10 ATE 30A, TENSAO MAXIMA DE 240 V</v>
          </cell>
          <cell r="D1729" t="str">
            <v>UN</v>
          </cell>
          <cell r="E1729" t="str">
            <v>C</v>
          </cell>
          <cell r="F1729">
            <v>10.53</v>
          </cell>
        </row>
        <row r="1730">
          <cell r="B1730">
            <v>2386</v>
          </cell>
          <cell r="C1730" t="str">
            <v>DISJUNTOR TIPO NEMA, MONOPOLAR 35 ATE 50 A, TENSAO MAXIMA DE 240 V</v>
          </cell>
          <cell r="D1730" t="str">
            <v>UN</v>
          </cell>
          <cell r="E1730" t="str">
            <v>CR</v>
          </cell>
          <cell r="F1730">
            <v>17.66</v>
          </cell>
        </row>
        <row r="1731">
          <cell r="B1731">
            <v>34689</v>
          </cell>
          <cell r="C1731" t="str">
            <v>DISJUNTOR TIPO NEMA, MONOPOLAR DE 60 ATE 70A, TENSAO MAXIMA DE 240 V</v>
          </cell>
          <cell r="D1731" t="str">
            <v>UN</v>
          </cell>
          <cell r="E1731" t="str">
            <v>CR</v>
          </cell>
          <cell r="F1731">
            <v>27.67</v>
          </cell>
        </row>
        <row r="1732">
          <cell r="B1732">
            <v>2392</v>
          </cell>
          <cell r="C1732" t="str">
            <v>DISJUNTOR TIPO NEMA, TRIPOLAR 10 ATE 50A, TENSAO MAXIMA DE 415 V</v>
          </cell>
          <cell r="D1732" t="str">
            <v>UN</v>
          </cell>
          <cell r="E1732" t="str">
            <v>CR</v>
          </cell>
          <cell r="F1732">
            <v>70.680000000000007</v>
          </cell>
        </row>
        <row r="1733">
          <cell r="B1733">
            <v>2373</v>
          </cell>
          <cell r="C1733" t="str">
            <v>DISJUNTOR TIPO NEMA, TRIPOLAR 60 ATE 100 A, TENSAO MAXIMA DE 415 V</v>
          </cell>
          <cell r="D1733" t="str">
            <v>UN</v>
          </cell>
          <cell r="E1733" t="str">
            <v>CR</v>
          </cell>
          <cell r="F1733">
            <v>99.59</v>
          </cell>
        </row>
        <row r="1734">
          <cell r="B1734">
            <v>39465</v>
          </cell>
          <cell r="C1734" t="str">
            <v>DISPOSITIVO DPS CLASSE II, 1 POLO, TENSAO MAXIMA DE 175 V, CORRENTE MAXIMA DE *20* KA (TIPO AC)</v>
          </cell>
          <cell r="D1734" t="str">
            <v>UN</v>
          </cell>
          <cell r="E1734" t="str">
            <v>CR</v>
          </cell>
          <cell r="F1734">
            <v>60.84</v>
          </cell>
        </row>
        <row r="1735">
          <cell r="B1735">
            <v>39466</v>
          </cell>
          <cell r="C1735" t="str">
            <v>DISPOSITIVO DPS CLASSE II, 1 POLO, TENSAO MAXIMA DE 175 V, CORRENTE MAXIMA DE *30* KA (TIPO AC)</v>
          </cell>
          <cell r="D1735" t="str">
            <v>UN</v>
          </cell>
          <cell r="E1735" t="str">
            <v>CR</v>
          </cell>
          <cell r="F1735">
            <v>68.44</v>
          </cell>
        </row>
        <row r="1736">
          <cell r="B1736">
            <v>39467</v>
          </cell>
          <cell r="C1736" t="str">
            <v>DISPOSITIVO DPS CLASSE II, 1 POLO, TENSAO MAXIMA DE 175 V, CORRENTE MAXIMA DE *45* KA (TIPO AC)</v>
          </cell>
          <cell r="D1736" t="str">
            <v>UN</v>
          </cell>
          <cell r="E1736" t="str">
            <v>CR</v>
          </cell>
          <cell r="F1736">
            <v>87.55</v>
          </cell>
        </row>
        <row r="1737">
          <cell r="B1737">
            <v>39468</v>
          </cell>
          <cell r="C1737" t="str">
            <v>DISPOSITIVO DPS CLASSE II, 1 POLO, TENSAO MAXIMA DE 175 V, CORRENTE MAXIMA DE *90* KA (TIPO AC)</v>
          </cell>
          <cell r="D1737" t="str">
            <v>UN</v>
          </cell>
          <cell r="E1737" t="str">
            <v>CR</v>
          </cell>
          <cell r="F1737">
            <v>155.61000000000001</v>
          </cell>
        </row>
        <row r="1738">
          <cell r="B1738">
            <v>39469</v>
          </cell>
          <cell r="C1738" t="str">
            <v>DISPOSITIVO DPS CLASSE II, 1 POLO, TENSAO MAXIMA DE 275 V, CORRENTE MAXIMA DE *20* KA (TIPO AC)</v>
          </cell>
          <cell r="D1738" t="str">
            <v>UN</v>
          </cell>
          <cell r="E1738" t="str">
            <v>CR</v>
          </cell>
          <cell r="F1738">
            <v>63.39</v>
          </cell>
        </row>
        <row r="1739">
          <cell r="B1739">
            <v>39470</v>
          </cell>
          <cell r="C1739" t="str">
            <v>DISPOSITIVO DPS CLASSE II, 1 POLO, TENSAO MAXIMA DE 275 V, CORRENTE MAXIMA DE *30* KA (TIPO AC)</v>
          </cell>
          <cell r="D1739" t="str">
            <v>UN</v>
          </cell>
          <cell r="E1739" t="str">
            <v>CR</v>
          </cell>
          <cell r="F1739">
            <v>77.88</v>
          </cell>
        </row>
        <row r="1740">
          <cell r="B1740">
            <v>39471</v>
          </cell>
          <cell r="C1740" t="str">
            <v>DISPOSITIVO DPS CLASSE II, 1 POLO, TENSAO MAXIMA DE 275 V, CORRENTE MAXIMA DE *45* KA (TIPO AC)</v>
          </cell>
          <cell r="D1740" t="str">
            <v>UN</v>
          </cell>
          <cell r="E1740" t="str">
            <v>CR</v>
          </cell>
          <cell r="F1740">
            <v>93.6</v>
          </cell>
        </row>
        <row r="1741">
          <cell r="B1741">
            <v>39472</v>
          </cell>
          <cell r="C1741" t="str">
            <v>DISPOSITIVO DPS CLASSE II, 1 POLO, TENSAO MAXIMA DE 275 V, CORRENTE MAXIMA DE *90* KA (TIPO AC)</v>
          </cell>
          <cell r="D1741" t="str">
            <v>UN</v>
          </cell>
          <cell r="E1741" t="str">
            <v>CR</v>
          </cell>
          <cell r="F1741">
            <v>162.62</v>
          </cell>
        </row>
        <row r="1742">
          <cell r="B1742">
            <v>39473</v>
          </cell>
          <cell r="C1742" t="str">
            <v>DISPOSITIVO DPS CLASSE II, 1 POLO, TENSAO MAXIMA DE 385 V, CORRENTE MAXIMA DE *20* KA (TIPO AC)</v>
          </cell>
          <cell r="D1742" t="str">
            <v>UN</v>
          </cell>
          <cell r="E1742" t="str">
            <v>CR</v>
          </cell>
          <cell r="F1742">
            <v>105.06</v>
          </cell>
        </row>
        <row r="1743">
          <cell r="B1743">
            <v>39474</v>
          </cell>
          <cell r="C1743" t="str">
            <v>DISPOSITIVO DPS CLASSE II, 1 POLO, TENSAO MAXIMA DE 385 V, CORRENTE MAXIMA DE *30* KA (TIPO AC)</v>
          </cell>
          <cell r="D1743" t="str">
            <v>UN</v>
          </cell>
          <cell r="E1743" t="str">
            <v>CR</v>
          </cell>
          <cell r="F1743">
            <v>111.99</v>
          </cell>
        </row>
        <row r="1744">
          <cell r="B1744">
            <v>39475</v>
          </cell>
          <cell r="C1744" t="str">
            <v>DISPOSITIVO DPS CLASSE II, 1 POLO, TENSAO MAXIMA DE 385 V, CORRENTE MAXIMA DE *45* KA (TIPO AC)</v>
          </cell>
          <cell r="D1744" t="str">
            <v>UN</v>
          </cell>
          <cell r="E1744" t="str">
            <v>CR</v>
          </cell>
          <cell r="F1744">
            <v>127.07</v>
          </cell>
        </row>
        <row r="1745">
          <cell r="B1745">
            <v>39476</v>
          </cell>
          <cell r="C1745" t="str">
            <v>DISPOSITIVO DPS CLASSE II, 1 POLO, TENSAO MAXIMA DE 385 V, CORRENTE MAXIMA DE *90* KA (TIPO AC)</v>
          </cell>
          <cell r="D1745" t="str">
            <v>UN</v>
          </cell>
          <cell r="E1745" t="str">
            <v>CR</v>
          </cell>
          <cell r="F1745">
            <v>239.2</v>
          </cell>
        </row>
        <row r="1746">
          <cell r="B1746">
            <v>39477</v>
          </cell>
          <cell r="C1746" t="str">
            <v>DISPOSITIVO DPS CLASSE II, 1 POLO, TENSAO MAXIMA DE 460 V, CORRENTE MAXIMA DE *20* KA (TIPO AC)</v>
          </cell>
          <cell r="D1746" t="str">
            <v>UN</v>
          </cell>
          <cell r="E1746" t="str">
            <v>CR</v>
          </cell>
          <cell r="F1746">
            <v>117.2</v>
          </cell>
        </row>
        <row r="1747">
          <cell r="B1747">
            <v>39478</v>
          </cell>
          <cell r="C1747" t="str">
            <v>DISPOSITIVO DPS CLASSE II, 1 POLO, TENSAO MAXIMA DE 460 V, CORRENTE MAXIMA DE *30* KA (TIPO AC)</v>
          </cell>
          <cell r="D1747" t="str">
            <v>UN</v>
          </cell>
          <cell r="E1747" t="str">
            <v>CR</v>
          </cell>
          <cell r="F1747">
            <v>120.83</v>
          </cell>
        </row>
        <row r="1748">
          <cell r="B1748">
            <v>39479</v>
          </cell>
          <cell r="C1748" t="str">
            <v>DISPOSITIVO DPS CLASSE II, 1 POLO, TENSAO MAXIMA DE 460 V, CORRENTE MAXIMA DE *45* KA (TIPO AC)</v>
          </cell>
          <cell r="D1748" t="str">
            <v>UN</v>
          </cell>
          <cell r="E1748" t="str">
            <v>CR</v>
          </cell>
          <cell r="F1748">
            <v>142.36000000000001</v>
          </cell>
        </row>
        <row r="1749">
          <cell r="B1749">
            <v>39480</v>
          </cell>
          <cell r="C1749" t="str">
            <v>DISPOSITIVO DPS CLASSE II, 1 POLO, TENSAO MAXIMA DE 460 V, CORRENTE MAXIMA DE *90* KA (TIPO AC)</v>
          </cell>
          <cell r="D1749" t="str">
            <v>UN</v>
          </cell>
          <cell r="E1749" t="str">
            <v>CR</v>
          </cell>
          <cell r="F1749">
            <v>293.76</v>
          </cell>
        </row>
        <row r="1750">
          <cell r="B1750">
            <v>39459</v>
          </cell>
          <cell r="C1750" t="str">
            <v>DISPOSITIVO DR, 2 POLOS, SENSIBILIDADE DE 30 MA, CORRENTE DE 100 A, TIPO AC</v>
          </cell>
          <cell r="D1750" t="str">
            <v>UN</v>
          </cell>
          <cell r="E1750" t="str">
            <v>CR</v>
          </cell>
          <cell r="F1750">
            <v>249.33</v>
          </cell>
        </row>
        <row r="1751">
          <cell r="B1751">
            <v>39445</v>
          </cell>
          <cell r="C1751" t="str">
            <v>DISPOSITIVO DR, 2 POLOS, SENSIBILIDADE DE 30 MA, CORRENTE DE 25 A, TIPO AC</v>
          </cell>
          <cell r="D1751" t="str">
            <v>UN</v>
          </cell>
          <cell r="E1751" t="str">
            <v>CR</v>
          </cell>
          <cell r="F1751">
            <v>125.19</v>
          </cell>
        </row>
        <row r="1752">
          <cell r="B1752">
            <v>39446</v>
          </cell>
          <cell r="C1752" t="str">
            <v>DISPOSITIVO DR, 2 POLOS, SENSIBILIDADE DE 30 MA, CORRENTE DE 40 A, TIPO AC</v>
          </cell>
          <cell r="D1752" t="str">
            <v>UN</v>
          </cell>
          <cell r="E1752" t="str">
            <v>CR</v>
          </cell>
          <cell r="F1752">
            <v>127.41</v>
          </cell>
        </row>
        <row r="1753">
          <cell r="B1753">
            <v>39447</v>
          </cell>
          <cell r="C1753" t="str">
            <v>DISPOSITIVO DR, 2 POLOS, SENSIBILIDADE DE 30 MA, CORRENTE DE 63 A, TIPO AC</v>
          </cell>
          <cell r="D1753" t="str">
            <v>UN</v>
          </cell>
          <cell r="E1753" t="str">
            <v>CR</v>
          </cell>
          <cell r="F1753">
            <v>136.25</v>
          </cell>
        </row>
        <row r="1754">
          <cell r="B1754">
            <v>39448</v>
          </cell>
          <cell r="C1754" t="str">
            <v>DISPOSITIVO DR, 2 POLOS, SENSIBILIDADE DE 30 MA, CORRENTE DE 80 A, TIPO AC</v>
          </cell>
          <cell r="D1754" t="str">
            <v>UN</v>
          </cell>
          <cell r="E1754" t="str">
            <v>CR</v>
          </cell>
          <cell r="F1754">
            <v>232.34</v>
          </cell>
        </row>
        <row r="1755">
          <cell r="B1755">
            <v>39450</v>
          </cell>
          <cell r="C1755" t="str">
            <v>DISPOSITIVO DR, 2 POLOS, SENSIBILIDADE DE 300 MA, CORRENTE DE 25 A, TIPO AC</v>
          </cell>
          <cell r="D1755" t="str">
            <v>UN</v>
          </cell>
          <cell r="E1755" t="str">
            <v>CR</v>
          </cell>
          <cell r="F1755">
            <v>141.75</v>
          </cell>
        </row>
        <row r="1756">
          <cell r="B1756">
            <v>39451</v>
          </cell>
          <cell r="C1756" t="str">
            <v>DISPOSITIVO DR, 2 POLOS, SENSIBILIDADE DE 300 MA, CORRENTE DE 40 A, TIPO AC</v>
          </cell>
          <cell r="D1756" t="str">
            <v>UN</v>
          </cell>
          <cell r="E1756" t="str">
            <v>CR</v>
          </cell>
          <cell r="F1756">
            <v>154.61000000000001</v>
          </cell>
        </row>
        <row r="1757">
          <cell r="B1757">
            <v>39452</v>
          </cell>
          <cell r="C1757" t="str">
            <v>DISPOSITIVO DR, 2 POLOS, SENSIBILIDADE DE 300 MA, CORRENTE DE 63 A, TIPO AC</v>
          </cell>
          <cell r="D1757" t="str">
            <v>UN</v>
          </cell>
          <cell r="E1757" t="str">
            <v>CR</v>
          </cell>
          <cell r="F1757">
            <v>155.53</v>
          </cell>
        </row>
        <row r="1758">
          <cell r="B1758">
            <v>39523</v>
          </cell>
          <cell r="C1758" t="str">
            <v>DISPOSITIVO DR, 2 POLOS, SENSIBILIDADE DE 300 MA, CORRENTE DE 80 A, TIPO AC</v>
          </cell>
          <cell r="D1758" t="str">
            <v>UN</v>
          </cell>
          <cell r="E1758" t="str">
            <v>CR</v>
          </cell>
          <cell r="F1758">
            <v>260.27999999999997</v>
          </cell>
        </row>
        <row r="1759">
          <cell r="B1759">
            <v>39449</v>
          </cell>
          <cell r="C1759" t="str">
            <v>DISPOSITIVO DR, 4 POLOS, SENSIBILIDADE DE 30 MA, CORRENTE DE 100 A, TIPO AC</v>
          </cell>
          <cell r="D1759" t="str">
            <v>UN</v>
          </cell>
          <cell r="E1759" t="str">
            <v>CR</v>
          </cell>
          <cell r="F1759">
            <v>288.25</v>
          </cell>
        </row>
        <row r="1760">
          <cell r="B1760">
            <v>39455</v>
          </cell>
          <cell r="C1760" t="str">
            <v>DISPOSITIVO DR, 4 POLOS, SENSIBILIDADE DE 30 MA, CORRENTE DE 25 A, TIPO AC</v>
          </cell>
          <cell r="D1760" t="str">
            <v>UN</v>
          </cell>
          <cell r="E1760" t="str">
            <v>CR</v>
          </cell>
          <cell r="F1760">
            <v>142.63</v>
          </cell>
        </row>
        <row r="1761">
          <cell r="B1761">
            <v>39456</v>
          </cell>
          <cell r="C1761" t="str">
            <v>DISPOSITIVO DR, 4 POLOS, SENSIBILIDADE DE 30 MA, CORRENTE DE 40 A, TIPO AC</v>
          </cell>
          <cell r="D1761" t="str">
            <v>UN</v>
          </cell>
          <cell r="E1761" t="str">
            <v>CR</v>
          </cell>
          <cell r="F1761">
            <v>142.74</v>
          </cell>
        </row>
        <row r="1762">
          <cell r="B1762">
            <v>39457</v>
          </cell>
          <cell r="C1762" t="str">
            <v>DISPOSITIVO DR, 4 POLOS, SENSIBILIDADE DE 30 MA, CORRENTE DE 63 A, TIPO AC</v>
          </cell>
          <cell r="D1762" t="str">
            <v>UN</v>
          </cell>
          <cell r="E1762" t="str">
            <v>CR</v>
          </cell>
          <cell r="F1762">
            <v>155.61000000000001</v>
          </cell>
        </row>
        <row r="1763">
          <cell r="B1763">
            <v>39458</v>
          </cell>
          <cell r="C1763" t="str">
            <v>DISPOSITIVO DR, 4 POLOS, SENSIBILIDADE DE 30 MA, CORRENTE DE 80 A, TIPO AC</v>
          </cell>
          <cell r="D1763" t="str">
            <v>UN</v>
          </cell>
          <cell r="E1763" t="str">
            <v>CR</v>
          </cell>
          <cell r="F1763">
            <v>290.37</v>
          </cell>
        </row>
        <row r="1764">
          <cell r="B1764">
            <v>39464</v>
          </cell>
          <cell r="C1764" t="str">
            <v>DISPOSITIVO DR, 4 POLOS, SENSIBILIDADE DE 300 MA, CORRENTE DE 100 A, TIPO AC</v>
          </cell>
          <cell r="D1764" t="str">
            <v>UN</v>
          </cell>
          <cell r="E1764" t="str">
            <v>CR</v>
          </cell>
          <cell r="F1764">
            <v>466.94</v>
          </cell>
        </row>
        <row r="1765">
          <cell r="B1765">
            <v>39460</v>
          </cell>
          <cell r="C1765" t="str">
            <v>DISPOSITIVO DR, 4 POLOS, SENSIBILIDADE DE 300 MA, CORRENTE DE 25 A, TIPO AC</v>
          </cell>
          <cell r="D1765" t="str">
            <v>UN</v>
          </cell>
          <cell r="E1765" t="str">
            <v>CR</v>
          </cell>
          <cell r="F1765">
            <v>177.1</v>
          </cell>
        </row>
        <row r="1766">
          <cell r="B1766">
            <v>39461</v>
          </cell>
          <cell r="C1766" t="str">
            <v>DISPOSITIVO DR, 4 POLOS, SENSIBILIDADE DE 300 MA, CORRENTE DE 40 A, TIPO AC</v>
          </cell>
          <cell r="D1766" t="str">
            <v>UN</v>
          </cell>
          <cell r="E1766" t="str">
            <v>CR</v>
          </cell>
          <cell r="F1766">
            <v>207.52</v>
          </cell>
        </row>
        <row r="1767">
          <cell r="B1767">
            <v>39462</v>
          </cell>
          <cell r="C1767" t="str">
            <v>DISPOSITIVO DR, 4 POLOS, SENSIBILIDADE DE 300 MA, CORRENTE DE 63 A, TIPO AC</v>
          </cell>
          <cell r="D1767" t="str">
            <v>UN</v>
          </cell>
          <cell r="E1767" t="str">
            <v>CR</v>
          </cell>
          <cell r="F1767">
            <v>199.99</v>
          </cell>
        </row>
        <row r="1768">
          <cell r="B1768">
            <v>39463</v>
          </cell>
          <cell r="C1768" t="str">
            <v>DISPOSITIVO DR, 4 POLOS, SENSIBILIDADE DE 300 MA, CORRENTE DE 80 A, TIPO AC</v>
          </cell>
          <cell r="D1768" t="str">
            <v>UN</v>
          </cell>
          <cell r="E1768" t="str">
            <v>CR</v>
          </cell>
          <cell r="F1768">
            <v>463.32</v>
          </cell>
        </row>
        <row r="1769">
          <cell r="B1769">
            <v>26039</v>
          </cell>
          <cell r="C1769" t="str">
            <v>DISTRIBUIDOR DE AGREGADOS AUTOPROPELIDO, CAP 3 M3, A DIESEL, 6 CC, 176 CV</v>
          </cell>
          <cell r="D1769" t="str">
            <v>UN</v>
          </cell>
          <cell r="E1769" t="str">
            <v>CR</v>
          </cell>
          <cell r="F1769">
            <v>444469.94</v>
          </cell>
        </row>
        <row r="1770">
          <cell r="B1770">
            <v>2401</v>
          </cell>
          <cell r="C1770" t="str">
            <v>DISTRIBUIDOR DE AGREGADOS REBOCAVEL, CAPACIDADE 1,9 M3, LARGURA DE TRABALHO 3,66 M</v>
          </cell>
          <cell r="D1770" t="str">
            <v>UN</v>
          </cell>
          <cell r="E1770" t="str">
            <v>CR</v>
          </cell>
          <cell r="F1770">
            <v>102233.01</v>
          </cell>
        </row>
        <row r="1771">
          <cell r="B1771">
            <v>38870</v>
          </cell>
          <cell r="C1771" t="str">
            <v>DISTRIBUIDOR METALICO, COM ROSCA, 2 SAIDAS, DN 1" X 1/2", PARA CONEXAO COM ANEL DESLIZANTE EM TUBO PEX PARA INST. AGUA QUENTE/FRIA</v>
          </cell>
          <cell r="D1771" t="str">
            <v>UN</v>
          </cell>
          <cell r="E1771" t="str">
            <v>CR</v>
          </cell>
          <cell r="F1771">
            <v>34.49</v>
          </cell>
        </row>
        <row r="1772">
          <cell r="B1772">
            <v>38869</v>
          </cell>
          <cell r="C1772" t="str">
            <v>DISTRIBUIDOR METALICO, COM ROSCA, 2 SAIDAS, DN 3/4" X 1/2", PARA CONEXAO COM ANEL DESLIZANTE EM TUBO PEX PARA INST. AGUA QUENTE/FRIA</v>
          </cell>
          <cell r="D1772" t="str">
            <v>UN</v>
          </cell>
          <cell r="E1772" t="str">
            <v>CR</v>
          </cell>
          <cell r="F1772">
            <v>23.28</v>
          </cell>
        </row>
        <row r="1773">
          <cell r="B1773">
            <v>38872</v>
          </cell>
          <cell r="C1773" t="str">
            <v>DISTRIBUIDOR METALICO, COM ROSCA, 3 SAIDAS, DN 1" X 1/2", PARA CONEXAO COM ANEL DESLIZANTE EM TUBO PEX PARA INST. AGUA QUENTE/FRIA</v>
          </cell>
          <cell r="D1773" t="str">
            <v>UN</v>
          </cell>
          <cell r="E1773" t="str">
            <v>CR</v>
          </cell>
          <cell r="F1773">
            <v>43.94</v>
          </cell>
        </row>
        <row r="1774">
          <cell r="B1774">
            <v>38871</v>
          </cell>
          <cell r="C1774" t="str">
            <v>DISTRIBUIDOR METALICO, COM ROSCA, 3 SAIDAS, DN 3/4" X 1/2", PARA CONEXAO COM ANEL DESLIZANTE EM TUBO PEX PARA INST. AGUA QUENTE/FRIA</v>
          </cell>
          <cell r="D1774" t="str">
            <v>UN</v>
          </cell>
          <cell r="E1774" t="str">
            <v>CR</v>
          </cell>
          <cell r="F1774">
            <v>30.37</v>
          </cell>
        </row>
        <row r="1775">
          <cell r="B1775">
            <v>39283</v>
          </cell>
          <cell r="C1775" t="str">
            <v>DISTRIBUIDOR, PLASTICO, 2 SAIDAS, DN 32 X 16 MM, PARA CONEXAO COM CRIMPAGEM, EM TUBO PEX PARA INST. AGUA QUENTE/FRIA</v>
          </cell>
          <cell r="D1775" t="str">
            <v>UN</v>
          </cell>
          <cell r="E1775" t="str">
            <v>CR</v>
          </cell>
          <cell r="F1775">
            <v>142.32</v>
          </cell>
        </row>
        <row r="1776">
          <cell r="B1776">
            <v>39285</v>
          </cell>
          <cell r="C1776" t="str">
            <v>DISTRIBUIDOR, PLASTICO, 2 SAIDAS, DN 32 X 25 MM, PARA CONEXAO COM CRIMPAGEM, EM TUBO PEX PARA INST. AGUA QUENTE/FRIA</v>
          </cell>
          <cell r="D1776" t="str">
            <v>UN</v>
          </cell>
          <cell r="E1776" t="str">
            <v>CR</v>
          </cell>
          <cell r="F1776">
            <v>162.66</v>
          </cell>
        </row>
        <row r="1777">
          <cell r="B1777">
            <v>39286</v>
          </cell>
          <cell r="C1777" t="str">
            <v>DISTRIBUIDOR, PLASTICO, 3 SAIDAS, DN 32 X 16 MM, PARA CONEXAO COM CRIMPAGEM, EM TUBO PEX PARA INST. AGUA QUENTE/FRIA</v>
          </cell>
          <cell r="D1777" t="str">
            <v>UN</v>
          </cell>
          <cell r="E1777" t="str">
            <v>CR</v>
          </cell>
          <cell r="F1777">
            <v>155.88999999999999</v>
          </cell>
        </row>
        <row r="1778">
          <cell r="B1778">
            <v>39288</v>
          </cell>
          <cell r="C1778" t="str">
            <v>DISTRIBUIDOR, PLASTICO, 3 SAIDAS, DN 32 X 25 MM, PARA CONEXAO COM CRIMPAGEM, EM TUBO PEX PARA INST. AGUA QUENTE/FRIA</v>
          </cell>
          <cell r="D1778" t="str">
            <v>UN</v>
          </cell>
          <cell r="E1778" t="str">
            <v>CR</v>
          </cell>
          <cell r="F1778">
            <v>189.75</v>
          </cell>
        </row>
        <row r="1779">
          <cell r="B1779">
            <v>44476</v>
          </cell>
          <cell r="C1779" t="str">
            <v>DIVISORIA EM GRANITO, COM DUAS FACES POLIDAS, TIPO ANDORINHA/ QUARTZ/ CASTELO/ CORUMBA OU OUTROS EQUIVALENTES DA REGIAO, E= *3,0* CM</v>
          </cell>
          <cell r="D1779" t="str">
            <v>M2</v>
          </cell>
          <cell r="E1779" t="str">
            <v>CR</v>
          </cell>
          <cell r="F1779">
            <v>744.46</v>
          </cell>
        </row>
        <row r="1780">
          <cell r="B1780">
            <v>10629</v>
          </cell>
          <cell r="C1780" t="str">
            <v>DIVISORIA EM MARMORE, COM DUAS FACES POLIDAS, BRANCO COMUM, E= *3,0* CM</v>
          </cell>
          <cell r="D1780" t="str">
            <v>M2</v>
          </cell>
          <cell r="E1780" t="str">
            <v>CR</v>
          </cell>
          <cell r="F1780">
            <v>814.47</v>
          </cell>
        </row>
        <row r="1781">
          <cell r="B1781">
            <v>10698</v>
          </cell>
          <cell r="C1781" t="str">
            <v>DIVISORIA, PLACA PRE-MOLDADA EM GRANILITE, MARMORITE OU GRANITINA, E = *3 CM</v>
          </cell>
          <cell r="D1781" t="str">
            <v>M2</v>
          </cell>
          <cell r="E1781" t="str">
            <v>CR</v>
          </cell>
          <cell r="F1781">
            <v>226.69</v>
          </cell>
        </row>
        <row r="1782">
          <cell r="B1782">
            <v>45658</v>
          </cell>
          <cell r="C1782" t="str">
            <v>DOBRADEIRA ELETROMECANICA DE VERGALHAO, PARA ACO DE DIAMETRO ATE 1 1/2", MOTOR ELETRICO TRIFASICO, POTENCIA DE 3 HP ATE 5 HP</v>
          </cell>
          <cell r="D1782" t="str">
            <v>UN</v>
          </cell>
          <cell r="E1782" t="str">
            <v>CR</v>
          </cell>
          <cell r="F1782">
            <v>148857.96</v>
          </cell>
        </row>
        <row r="1783">
          <cell r="B1783">
            <v>2432</v>
          </cell>
          <cell r="C1783" t="str">
            <v>DOBRADICA EM ACO/FERRO, 3 1/2" X 3", E= 1,9 A 2 MM, COM ANEL, CROMADO OU ZINCADO, TAMPA BOLA, COM PARAFUSOS</v>
          </cell>
          <cell r="D1783" t="str">
            <v>UN</v>
          </cell>
          <cell r="E1783" t="str">
            <v>CR</v>
          </cell>
          <cell r="F1783">
            <v>29.77</v>
          </cell>
        </row>
        <row r="1784">
          <cell r="B1784">
            <v>2418</v>
          </cell>
          <cell r="C1784" t="str">
            <v>DOBRADICA EM ACO/FERRO, 3" X 2 1/2", E= 1,2 A 1,8 MM, SEM ANEL, CROMADO OU ZINCADO, TAMPA BOLA, COM PARAFUSOS</v>
          </cell>
          <cell r="D1784" t="str">
            <v>UN</v>
          </cell>
          <cell r="E1784" t="str">
            <v>C</v>
          </cell>
          <cell r="F1784">
            <v>13.81</v>
          </cell>
        </row>
        <row r="1785">
          <cell r="B1785">
            <v>2433</v>
          </cell>
          <cell r="C1785" t="str">
            <v>DOBRADICA EM ACO/FERRO, 3" X 2 1/2", E= 1,2 A 1,8 MM, SEM ANEL, CROMADO OU ZINCADO, TAMPA CHATA, COM PARAFUSOS</v>
          </cell>
          <cell r="D1785" t="str">
            <v>UN</v>
          </cell>
          <cell r="E1785" t="str">
            <v>CR</v>
          </cell>
          <cell r="F1785">
            <v>10.08</v>
          </cell>
        </row>
        <row r="1786">
          <cell r="B1786">
            <v>2420</v>
          </cell>
          <cell r="C1786" t="str">
            <v>DOBRADICA EM ACO/FERRO, 3" X 2 1/2", E= 1,9 A 2 MM, SEM ANEL, CROMADO OU ZINCADO, TAMPA BOLA, COM PARAFUSOS</v>
          </cell>
          <cell r="D1786" t="str">
            <v>UN</v>
          </cell>
          <cell r="E1786" t="str">
            <v>CR</v>
          </cell>
          <cell r="F1786">
            <v>17.32</v>
          </cell>
        </row>
        <row r="1787">
          <cell r="B1787">
            <v>11447</v>
          </cell>
          <cell r="C1787" t="str">
            <v>DOBRADICA EM LATAO, 3" X 2 1/2", E= 1,9 A 2 MM, COM ANEL, CROMADO, TAMPA BOLA, COM PARAFUSOS</v>
          </cell>
          <cell r="D1787" t="str">
            <v>UN</v>
          </cell>
          <cell r="E1787" t="str">
            <v>CR</v>
          </cell>
          <cell r="F1787">
            <v>34.229999999999997</v>
          </cell>
        </row>
        <row r="1788">
          <cell r="B1788">
            <v>11451</v>
          </cell>
          <cell r="C1788" t="str">
            <v>DOBRADICA TIPO VAI-E-VEM EM ACO/FERRO, TAMANHO 3", GALVANIZADO, COM PARAFUSOS</v>
          </cell>
          <cell r="D1788" t="str">
            <v>UN</v>
          </cell>
          <cell r="E1788" t="str">
            <v>CR</v>
          </cell>
          <cell r="F1788">
            <v>91.77</v>
          </cell>
        </row>
        <row r="1789">
          <cell r="B1789">
            <v>11116</v>
          </cell>
          <cell r="C1789" t="str">
            <v>DOMOS / CLARABOIA INDIVIDUAL, EM ACRILICO BRANCO/LEITOSO, *95 X 95* CM, INCLUI ACESSORIOS DE FIXACAO, SEM INSTALACAO</v>
          </cell>
          <cell r="D1789" t="str">
            <v>UN</v>
          </cell>
          <cell r="E1789" t="str">
            <v>CR</v>
          </cell>
          <cell r="F1789">
            <v>654.04</v>
          </cell>
        </row>
        <row r="1790">
          <cell r="B1790">
            <v>38411</v>
          </cell>
          <cell r="C1790" t="str">
            <v>DOSADOR DE AREIA, CAPACIDADE DE *26* LITROS</v>
          </cell>
          <cell r="D1790" t="str">
            <v>UN</v>
          </cell>
          <cell r="E1790" t="str">
            <v>CR</v>
          </cell>
          <cell r="F1790">
            <v>1788.9</v>
          </cell>
        </row>
        <row r="1791">
          <cell r="B1791">
            <v>38189</v>
          </cell>
          <cell r="C1791" t="str">
            <v>DUCHA / CHUVEIRO METALICO, DE PAREDE, ARTICULAVEL, COM BRACO/CANO, SEM DESVIADOR</v>
          </cell>
          <cell r="D1791" t="str">
            <v>UN</v>
          </cell>
          <cell r="E1791" t="str">
            <v>CR</v>
          </cell>
          <cell r="F1791">
            <v>151.88999999999999</v>
          </cell>
        </row>
        <row r="1792">
          <cell r="B1792">
            <v>38190</v>
          </cell>
          <cell r="C1792" t="str">
            <v>DUCHA / CHUVEIRO METALICO, DE PAREDE, ARTICULAVEL, COM DESVIADOR E DUCHA MANUAL</v>
          </cell>
          <cell r="D1792" t="str">
            <v>UN</v>
          </cell>
          <cell r="E1792" t="str">
            <v>CR</v>
          </cell>
          <cell r="F1792">
            <v>319.99</v>
          </cell>
        </row>
        <row r="1793">
          <cell r="B1793">
            <v>7608</v>
          </cell>
          <cell r="C1793" t="str">
            <v>DUCHA / CHUVEIRO PLASTICO SIMPLES, 5", BRANCO, PARA ACOPLAR EM HASTE 1/2", AGUA FRIA</v>
          </cell>
          <cell r="D1793" t="str">
            <v>UN</v>
          </cell>
          <cell r="E1793" t="str">
            <v>CR</v>
          </cell>
          <cell r="F1793">
            <v>12.87</v>
          </cell>
        </row>
        <row r="1794">
          <cell r="B1794">
            <v>1370</v>
          </cell>
          <cell r="C1794" t="str">
            <v>DUCHA HIGIENICA PLASTICA COM REGISTRO METALICO 1/2"</v>
          </cell>
          <cell r="D1794" t="str">
            <v>UN</v>
          </cell>
          <cell r="E1794" t="str">
            <v>CR</v>
          </cell>
          <cell r="F1794">
            <v>140.26</v>
          </cell>
        </row>
        <row r="1795">
          <cell r="B1795">
            <v>11649</v>
          </cell>
          <cell r="C1795" t="str">
            <v>ELEMENTO PRE-MOLDADO PARA TRANSICAO EXCENTRICA EM CONCRETO ARMADO, DN *1200* MM, FURO CIRCULAR DN 600 MM, ESPESSURA *12* CM</v>
          </cell>
          <cell r="D1795" t="str">
            <v>UN</v>
          </cell>
          <cell r="E1795" t="str">
            <v>CR</v>
          </cell>
          <cell r="F1795">
            <v>366.56</v>
          </cell>
        </row>
        <row r="1796">
          <cell r="B1796">
            <v>11650</v>
          </cell>
          <cell r="C1796" t="str">
            <v>ELEMENTO PRE-MOLDADO PARA TRANSICAO EXCENTRICA EM CONCRETO ARMADO, DN *1500* MM, FURO CIRCULAR DN 600 MM, ESPESSURA 15 CM</v>
          </cell>
          <cell r="D1796" t="str">
            <v>UN</v>
          </cell>
          <cell r="E1796" t="str">
            <v>CR</v>
          </cell>
          <cell r="F1796">
            <v>497.04</v>
          </cell>
        </row>
        <row r="1797">
          <cell r="B1797">
            <v>34777</v>
          </cell>
          <cell r="C1797" t="str">
            <v>ELEMENTO VAZADO CERAMICO DIAGONAL (TIPO FLOR/QUADRADO/XIS) DE *7 X 18 X 25* CM (L X A X C)</v>
          </cell>
          <cell r="D1797" t="str">
            <v>UN</v>
          </cell>
          <cell r="E1797" t="str">
            <v>CR</v>
          </cell>
          <cell r="F1797">
            <v>3.03</v>
          </cell>
        </row>
        <row r="1798">
          <cell r="B1798">
            <v>7272</v>
          </cell>
          <cell r="C1798" t="str">
            <v>ELEMENTO VAZADO CERAMICO QUADRADO (TIPO RETO OU REDONDO) DE *7 A 9 X 20 X 20* CM (L X A X C)</v>
          </cell>
          <cell r="D1798" t="str">
            <v>UN</v>
          </cell>
          <cell r="E1798" t="str">
            <v>CR</v>
          </cell>
          <cell r="F1798">
            <v>2.2799999999999998</v>
          </cell>
        </row>
        <row r="1799">
          <cell r="B1799">
            <v>10605</v>
          </cell>
          <cell r="C1799" t="str">
            <v>ELEMENTO VAZADO DE CONCRETO, QUADRICULADO, 1 FURO *10 X 10 X 10* CM</v>
          </cell>
          <cell r="D1799" t="str">
            <v>UN</v>
          </cell>
          <cell r="E1799" t="str">
            <v>CR</v>
          </cell>
          <cell r="F1799">
            <v>5.27</v>
          </cell>
        </row>
        <row r="1800">
          <cell r="B1800">
            <v>10604</v>
          </cell>
          <cell r="C1800" t="str">
            <v>ELEMENTO VAZADO DE CONCRETO, QUADRICULADO, 1 FURO *20 X 10 X 7* CM</v>
          </cell>
          <cell r="D1800" t="str">
            <v>UN</v>
          </cell>
          <cell r="E1800" t="str">
            <v>CR</v>
          </cell>
          <cell r="F1800">
            <v>12.28</v>
          </cell>
        </row>
        <row r="1801">
          <cell r="B1801">
            <v>672</v>
          </cell>
          <cell r="C1801" t="str">
            <v>ELEMENTO VAZADO DE CONCRETO, QUADRICULADO, 1 FURO *20 X 20 X 6,5* CM</v>
          </cell>
          <cell r="D1801" t="str">
            <v>UN</v>
          </cell>
          <cell r="E1801" t="str">
            <v>CR</v>
          </cell>
          <cell r="F1801">
            <v>16.89</v>
          </cell>
        </row>
        <row r="1802">
          <cell r="B1802">
            <v>668</v>
          </cell>
          <cell r="C1802" t="str">
            <v>ELEMENTO VAZADO DE CONCRETO, QUADRICULADO, 16 FUROS *29 X 29 X 6* CM</v>
          </cell>
          <cell r="D1802" t="str">
            <v>UN</v>
          </cell>
          <cell r="E1802" t="str">
            <v>CR</v>
          </cell>
          <cell r="F1802">
            <v>20.39</v>
          </cell>
        </row>
        <row r="1803">
          <cell r="B1803">
            <v>10578</v>
          </cell>
          <cell r="C1803" t="str">
            <v>ELEMENTO VAZADO DE CONCRETO, QUADRICULADO, 16 FUROS *33 X 33 X 10* CM</v>
          </cell>
          <cell r="D1803" t="str">
            <v>UN</v>
          </cell>
          <cell r="E1803" t="str">
            <v>CR</v>
          </cell>
          <cell r="F1803">
            <v>23.75</v>
          </cell>
        </row>
        <row r="1804">
          <cell r="B1804">
            <v>666</v>
          </cell>
          <cell r="C1804" t="str">
            <v>ELEMENTO VAZADO DE CONCRETO, QUADRICULADO, 16 FUROS *40 X 40 X 7* CM</v>
          </cell>
          <cell r="D1804" t="str">
            <v>UN</v>
          </cell>
          <cell r="E1804" t="str">
            <v>CR</v>
          </cell>
          <cell r="F1804">
            <v>26.41</v>
          </cell>
        </row>
        <row r="1805">
          <cell r="B1805">
            <v>665</v>
          </cell>
          <cell r="C1805" t="str">
            <v>ELEMENTO VAZADO DE CONCRETO, QUADRICULADO, 16 FUROS *50 X 50 X 7* CM</v>
          </cell>
          <cell r="D1805" t="str">
            <v>UN</v>
          </cell>
          <cell r="E1805" t="str">
            <v>CR</v>
          </cell>
          <cell r="F1805">
            <v>35.32</v>
          </cell>
        </row>
        <row r="1806">
          <cell r="B1806">
            <v>10577</v>
          </cell>
          <cell r="C1806" t="str">
            <v>ELEMENTO VAZADO DE CONCRETO, QUADRICULADO, 25 FUROS *50 X 50 X 5* CM</v>
          </cell>
          <cell r="D1806" t="str">
            <v>UN</v>
          </cell>
          <cell r="E1806" t="str">
            <v>CR</v>
          </cell>
          <cell r="F1806">
            <v>31.32</v>
          </cell>
        </row>
        <row r="1807">
          <cell r="B1807">
            <v>10583</v>
          </cell>
          <cell r="C1807" t="str">
            <v>ELEMENTO VAZADO DE CONCRETO, VENEZIANA *39 X 22 X 15* CM</v>
          </cell>
          <cell r="D1807" t="str">
            <v>UN</v>
          </cell>
          <cell r="E1807" t="str">
            <v>CR</v>
          </cell>
          <cell r="F1807">
            <v>16.27</v>
          </cell>
        </row>
        <row r="1808">
          <cell r="B1808">
            <v>10579</v>
          </cell>
          <cell r="C1808" t="str">
            <v>ELEMENTO VAZADO DE CONCRETO, VENEZIANA *39 X 29 X 10* CM</v>
          </cell>
          <cell r="D1808" t="str">
            <v>UN</v>
          </cell>
          <cell r="E1808" t="str">
            <v>CR</v>
          </cell>
          <cell r="F1808">
            <v>28.36</v>
          </cell>
        </row>
        <row r="1809">
          <cell r="B1809">
            <v>10582</v>
          </cell>
          <cell r="C1809" t="str">
            <v>ELEMENTO VAZADO DE CONCRETO, VENEZIANA *40 X 10 X 10* CM</v>
          </cell>
          <cell r="D1809" t="str">
            <v>UN</v>
          </cell>
          <cell r="E1809" t="str">
            <v>CR</v>
          </cell>
          <cell r="F1809">
            <v>14.33</v>
          </cell>
        </row>
        <row r="1810">
          <cell r="B1810">
            <v>2436</v>
          </cell>
          <cell r="C1810" t="str">
            <v>ELETRICISTA (HORISTA)</v>
          </cell>
          <cell r="D1810" t="str">
            <v>H</v>
          </cell>
          <cell r="E1810" t="str">
            <v>C</v>
          </cell>
          <cell r="F1810">
            <v>34.46</v>
          </cell>
        </row>
        <row r="1811">
          <cell r="B1811">
            <v>40918</v>
          </cell>
          <cell r="C1811" t="str">
            <v>ELETRICISTA (MENSALISTA)</v>
          </cell>
          <cell r="D1811" t="str">
            <v>MES</v>
          </cell>
          <cell r="E1811" t="str">
            <v>CR</v>
          </cell>
          <cell r="F1811">
            <v>6036.83</v>
          </cell>
        </row>
        <row r="1812">
          <cell r="B1812">
            <v>44046</v>
          </cell>
          <cell r="C1812" t="str">
            <v>ELETROCALHA LISA OU PERFURADA TIPO U, EM CHAPA DE ACO GALVANIZADO A FOGO, ESPESSURA # 14, DE 700 X 50 MM (L X A), SEM VIROLA, SEM TAMPA</v>
          </cell>
          <cell r="D1812" t="str">
            <v>M</v>
          </cell>
          <cell r="E1812" t="str">
            <v>CR</v>
          </cell>
          <cell r="F1812">
            <v>149.57</v>
          </cell>
        </row>
        <row r="1813">
          <cell r="B1813">
            <v>44047</v>
          </cell>
          <cell r="C1813" t="str">
            <v>ELETROCALHA LISA OU PERFURADA TIPO U, EM CHAPA DE ACO GALVANIZADO A FOGO, ESPESSURA # 14, DE 800 X 50 MM (L X A), SEM VIROLA, SEM TAMPA</v>
          </cell>
          <cell r="D1813" t="str">
            <v>M</v>
          </cell>
          <cell r="E1813" t="str">
            <v>CR</v>
          </cell>
          <cell r="F1813">
            <v>176.66</v>
          </cell>
        </row>
        <row r="1814">
          <cell r="B1814">
            <v>44043</v>
          </cell>
          <cell r="C1814" t="str">
            <v>ELETROCALHA LISA OU PERFURADA TIPO U, EM CHAPA DE ACO GALVANIZADO A FOGO, ESPESSURA # 16, DE 500 X 50 MM (L X A), SEM VIROLA, SEM TAMPA</v>
          </cell>
          <cell r="D1814" t="str">
            <v>M</v>
          </cell>
          <cell r="E1814" t="str">
            <v>CR</v>
          </cell>
          <cell r="F1814">
            <v>92.36</v>
          </cell>
        </row>
        <row r="1815">
          <cell r="B1815">
            <v>44044</v>
          </cell>
          <cell r="C1815" t="str">
            <v>ELETROCALHA LISA OU PERFURADA TIPO U, EM CHAPA DE ACO GALVANIZADO A FOGO, ESPESSURA # 16, DE 600 X 50 MM (L X A), SEM VIROLA, SEM TAMPA</v>
          </cell>
          <cell r="D1815" t="str">
            <v>M</v>
          </cell>
          <cell r="E1815" t="str">
            <v>CR</v>
          </cell>
          <cell r="F1815">
            <v>107.56</v>
          </cell>
        </row>
        <row r="1816">
          <cell r="B1816">
            <v>44041</v>
          </cell>
          <cell r="C1816" t="str">
            <v>ELETROCALHA LISA OU PERFURADA TIPO U, EM CHAPA DE ACO GALVANIZADO A FOGO, ESPESSURA # 18, DE 300 X 50 MM (L X A), SEM VIROLA, SEM TAMPA</v>
          </cell>
          <cell r="D1816" t="str">
            <v>M</v>
          </cell>
          <cell r="E1816" t="str">
            <v>CR</v>
          </cell>
          <cell r="F1816">
            <v>54.56</v>
          </cell>
        </row>
        <row r="1817">
          <cell r="B1817">
            <v>44042</v>
          </cell>
          <cell r="C1817" t="str">
            <v>ELETROCALHA LISA OU PERFURADA TIPO U, EM CHAPA DE ACO GALVANIZADO A FOGO, ESPESSURA # 18, DE 400 X 50 MM (L X A), SEM VIROLA, SEM TAMPA</v>
          </cell>
          <cell r="D1817" t="str">
            <v>M</v>
          </cell>
          <cell r="E1817" t="str">
            <v>CR</v>
          </cell>
          <cell r="F1817">
            <v>67.98</v>
          </cell>
        </row>
        <row r="1818">
          <cell r="B1818">
            <v>43961</v>
          </cell>
          <cell r="C1818" t="str">
            <v>ELETROCALHA LISA OU PERFURADA TIPO U, EM CHAPA DE ACO GALVANIZADO A FOGO, ESPESSURA # 22, DE 100 X 50 MM (L X A), SEM VIROLA, SEM TAMPA</v>
          </cell>
          <cell r="D1818" t="str">
            <v>M</v>
          </cell>
          <cell r="E1818" t="str">
            <v>C</v>
          </cell>
          <cell r="F1818">
            <v>18.46</v>
          </cell>
        </row>
        <row r="1819">
          <cell r="B1819">
            <v>43959</v>
          </cell>
          <cell r="C1819" t="str">
            <v>ELETROCALHA LISA OU PERFURADA TIPO U, EM CHAPA DE ACO GALVANIZADO A FOGO, ESPESSURA # 22, DE 125 X 50 MM (L X A), SEM VIROLA, SEM TAMPA</v>
          </cell>
          <cell r="D1819" t="str">
            <v>M</v>
          </cell>
          <cell r="E1819" t="str">
            <v>CR</v>
          </cell>
          <cell r="F1819">
            <v>21.39</v>
          </cell>
        </row>
        <row r="1820">
          <cell r="B1820">
            <v>43962</v>
          </cell>
          <cell r="C1820" t="str">
            <v>ELETROCALHA LISA OU PERFURADA TIPO U, EM CHAPA DE ACO GALVANIZADO A FOGO, ESPESSURA # 22, DE 150 X 50 MM (L X A), SEM VIROLA, SEM TAMPA</v>
          </cell>
          <cell r="D1820" t="str">
            <v>M</v>
          </cell>
          <cell r="E1820" t="str">
            <v>CR</v>
          </cell>
          <cell r="F1820">
            <v>23.07</v>
          </cell>
        </row>
        <row r="1821">
          <cell r="B1821">
            <v>43960</v>
          </cell>
          <cell r="C1821" t="str">
            <v>ELETROCALHA LISA OU PERFURADA TIPO U, EM CHAPA DE ACO GALVANIZADO A FOGO, ESPESSURA # 22, DE 250 X 50 MM (L X A), SEM VIROLA, SEM TAMPA</v>
          </cell>
          <cell r="D1821" t="str">
            <v>M</v>
          </cell>
          <cell r="E1821" t="str">
            <v>CR</v>
          </cell>
          <cell r="F1821">
            <v>32.299999999999997</v>
          </cell>
        </row>
        <row r="1822">
          <cell r="B1822">
            <v>43963</v>
          </cell>
          <cell r="C1822" t="str">
            <v>ELETROCALHA LISA OU PERFURADA TIPO U, EM CHAPA DE ACO GALVANIZADO A FOGO, ESPESSURA # 22, DE 75 X 50 MM (L X A), SEM VIROLA, SEM TAMPA</v>
          </cell>
          <cell r="D1822" t="str">
            <v>M</v>
          </cell>
          <cell r="E1822" t="str">
            <v>CR</v>
          </cell>
          <cell r="F1822">
            <v>16.149999999999999</v>
          </cell>
        </row>
        <row r="1823">
          <cell r="B1823">
            <v>43958</v>
          </cell>
          <cell r="C1823" t="str">
            <v>ELETROCALHA LISA OU PERFURADA, TIPO U, EM CHAPA DE ACO GALVANIZADO A FOGO, ESPESSURA # 22, DE 200 X 50 MM (L X A), SEM VIROLA, SEM TAMPA</v>
          </cell>
          <cell r="D1823" t="str">
            <v>M</v>
          </cell>
          <cell r="E1823" t="str">
            <v>CR</v>
          </cell>
          <cell r="F1823">
            <v>27.69</v>
          </cell>
        </row>
        <row r="1824">
          <cell r="B1824">
            <v>41549</v>
          </cell>
          <cell r="C1824" t="str">
            <v>ELETROCALHA LISA OU PERFURADA, TIPO U, EM CHAPA DE ACO GALVANIZADO A FOGO, ESPESSURA #22, DE 50 X 50 MM (L X A), SEM VIROLA, SEM TAMPA</v>
          </cell>
          <cell r="D1824" t="str">
            <v>M</v>
          </cell>
          <cell r="E1824" t="str">
            <v>CR</v>
          </cell>
          <cell r="F1824">
            <v>13.84</v>
          </cell>
        </row>
        <row r="1825">
          <cell r="B1825">
            <v>10998</v>
          </cell>
          <cell r="C1825" t="str">
            <v>ELETRODO REVESTIDO AWS - E-6010, DIAMETRO IGUAL A 4,00 MM</v>
          </cell>
          <cell r="D1825" t="str">
            <v>KG</v>
          </cell>
          <cell r="E1825" t="str">
            <v>CR</v>
          </cell>
          <cell r="F1825">
            <v>54.34</v>
          </cell>
        </row>
        <row r="1826">
          <cell r="B1826">
            <v>11002</v>
          </cell>
          <cell r="C1826" t="str">
            <v>ELETRODO REVESTIDO AWS - E6013, DIAMETRO IGUAL A 2,50 MM</v>
          </cell>
          <cell r="D1826" t="str">
            <v>KG</v>
          </cell>
          <cell r="E1826" t="str">
            <v>CR</v>
          </cell>
          <cell r="F1826">
            <v>49.78</v>
          </cell>
        </row>
        <row r="1827">
          <cell r="B1827">
            <v>10999</v>
          </cell>
          <cell r="C1827" t="str">
            <v>ELETRODO REVESTIDO AWS - E6013, DIAMETRO IGUAL A 4,00 MM</v>
          </cell>
          <cell r="D1827" t="str">
            <v>KG</v>
          </cell>
          <cell r="E1827" t="str">
            <v>CR</v>
          </cell>
          <cell r="F1827">
            <v>47.83</v>
          </cell>
        </row>
        <row r="1828">
          <cell r="B1828">
            <v>10997</v>
          </cell>
          <cell r="C1828" t="str">
            <v>ELETRODO REVESTIDO AWS - E7018, DIAMETRO IGUAL A 4,00 MM</v>
          </cell>
          <cell r="D1828" t="str">
            <v>KG</v>
          </cell>
          <cell r="E1828" t="str">
            <v>C</v>
          </cell>
          <cell r="F1828">
            <v>51.84</v>
          </cell>
        </row>
        <row r="1829">
          <cell r="B1829">
            <v>2680</v>
          </cell>
          <cell r="C1829" t="str">
            <v>ELETRODUTO DE PVC RIGIDO ROSCAVEL DE 1 1/2", SEM LUVA</v>
          </cell>
          <cell r="D1829" t="str">
            <v>M</v>
          </cell>
          <cell r="E1829" t="str">
            <v>CR</v>
          </cell>
          <cell r="F1829">
            <v>9.82</v>
          </cell>
        </row>
        <row r="1830">
          <cell r="B1830">
            <v>2684</v>
          </cell>
          <cell r="C1830" t="str">
            <v>ELETRODUTO DE PVC RIGIDO ROSCAVEL DE 1 1/4", SEM LUVA</v>
          </cell>
          <cell r="D1830" t="str">
            <v>M</v>
          </cell>
          <cell r="E1830" t="str">
            <v>CR</v>
          </cell>
          <cell r="F1830">
            <v>8.94</v>
          </cell>
        </row>
        <row r="1831">
          <cell r="B1831">
            <v>2685</v>
          </cell>
          <cell r="C1831" t="str">
            <v>ELETRODUTO DE PVC RIGIDO ROSCAVEL DE 1", SEM LUVA</v>
          </cell>
          <cell r="D1831" t="str">
            <v>M</v>
          </cell>
          <cell r="E1831" t="str">
            <v>CR</v>
          </cell>
          <cell r="F1831">
            <v>6.71</v>
          </cell>
        </row>
        <row r="1832">
          <cell r="B1832">
            <v>2673</v>
          </cell>
          <cell r="C1832" t="str">
            <v>ELETRODUTO DE PVC RIGIDO ROSCAVEL DE 1/2", SEM LUVA</v>
          </cell>
          <cell r="D1832" t="str">
            <v>M</v>
          </cell>
          <cell r="E1832" t="str">
            <v>C</v>
          </cell>
          <cell r="F1832">
            <v>3.45</v>
          </cell>
        </row>
        <row r="1833">
          <cell r="B1833">
            <v>2682</v>
          </cell>
          <cell r="C1833" t="str">
            <v>ELETRODUTO DE PVC RIGIDO ROSCAVEL DE 2 1/2", SEM LUVA</v>
          </cell>
          <cell r="D1833" t="str">
            <v>M</v>
          </cell>
          <cell r="E1833" t="str">
            <v>CR</v>
          </cell>
          <cell r="F1833">
            <v>23.42</v>
          </cell>
        </row>
        <row r="1834">
          <cell r="B1834">
            <v>2681</v>
          </cell>
          <cell r="C1834" t="str">
            <v>ELETRODUTO DE PVC RIGIDO ROSCAVEL DE 2", SEM LUVA</v>
          </cell>
          <cell r="D1834" t="str">
            <v>M</v>
          </cell>
          <cell r="E1834" t="str">
            <v>CR</v>
          </cell>
          <cell r="F1834">
            <v>16.05</v>
          </cell>
        </row>
        <row r="1835">
          <cell r="B1835">
            <v>2686</v>
          </cell>
          <cell r="C1835" t="str">
            <v>ELETRODUTO DE PVC RIGIDO ROSCAVEL DE 3", SEM LUVA</v>
          </cell>
          <cell r="D1835" t="str">
            <v>M</v>
          </cell>
          <cell r="E1835" t="str">
            <v>CR</v>
          </cell>
          <cell r="F1835">
            <v>29.37</v>
          </cell>
        </row>
        <row r="1836">
          <cell r="B1836">
            <v>2674</v>
          </cell>
          <cell r="C1836" t="str">
            <v>ELETRODUTO DE PVC RIGIDO ROSCAVEL DE 3/4", SEM LUVA</v>
          </cell>
          <cell r="D1836" t="str">
            <v>M</v>
          </cell>
          <cell r="E1836" t="str">
            <v>CR</v>
          </cell>
          <cell r="F1836">
            <v>4.29</v>
          </cell>
        </row>
        <row r="1837">
          <cell r="B1837">
            <v>2683</v>
          </cell>
          <cell r="C1837" t="str">
            <v>ELETRODUTO DE PVC RIGIDO ROSCAVEL DE 4", SEM LUVA</v>
          </cell>
          <cell r="D1837" t="str">
            <v>M</v>
          </cell>
          <cell r="E1837" t="str">
            <v>CR</v>
          </cell>
          <cell r="F1837">
            <v>46.28</v>
          </cell>
        </row>
        <row r="1838">
          <cell r="B1838">
            <v>2676</v>
          </cell>
          <cell r="C1838" t="str">
            <v>ELETRODUTO DE PVC RIGIDO SOLDAVEL, CLASSE B, DE 20 MM</v>
          </cell>
          <cell r="D1838" t="str">
            <v>M</v>
          </cell>
          <cell r="E1838" t="str">
            <v>CR</v>
          </cell>
          <cell r="F1838">
            <v>2</v>
          </cell>
        </row>
        <row r="1839">
          <cell r="B1839">
            <v>2678</v>
          </cell>
          <cell r="C1839" t="str">
            <v>ELETRODUTO DE PVC RIGIDO SOLDAVEL, CLASSE B, DE 25 MM</v>
          </cell>
          <cell r="D1839" t="str">
            <v>M</v>
          </cell>
          <cell r="E1839" t="str">
            <v>CR</v>
          </cell>
          <cell r="F1839">
            <v>2.5099999999999998</v>
          </cell>
        </row>
        <row r="1840">
          <cell r="B1840">
            <v>2679</v>
          </cell>
          <cell r="C1840" t="str">
            <v>ELETRODUTO DE PVC RIGIDO SOLDAVEL, CLASSE B, DE 32 MM</v>
          </cell>
          <cell r="D1840" t="str">
            <v>M</v>
          </cell>
          <cell r="E1840" t="str">
            <v>CR</v>
          </cell>
          <cell r="F1840">
            <v>3.87</v>
          </cell>
        </row>
        <row r="1841">
          <cell r="B1841">
            <v>12070</v>
          </cell>
          <cell r="C1841" t="str">
            <v>ELETRODUTO DE PVC RIGIDO SOLDAVEL, CLASSE B, DE 40 MM</v>
          </cell>
          <cell r="D1841" t="str">
            <v>M</v>
          </cell>
          <cell r="E1841" t="str">
            <v>CR</v>
          </cell>
          <cell r="F1841">
            <v>5.39</v>
          </cell>
        </row>
        <row r="1842">
          <cell r="B1842">
            <v>2675</v>
          </cell>
          <cell r="C1842" t="str">
            <v>ELETRODUTO DE PVC RIGIDO SOLDAVEL, CLASSE B, DE 50 MM</v>
          </cell>
          <cell r="D1842" t="str">
            <v>M</v>
          </cell>
          <cell r="E1842" t="str">
            <v>CR</v>
          </cell>
          <cell r="F1842">
            <v>7.01</v>
          </cell>
        </row>
        <row r="1843">
          <cell r="B1843">
            <v>12067</v>
          </cell>
          <cell r="C1843" t="str">
            <v>ELETRODUTO DE PVC RIGIDO SOLDAVEL, CLASSE B, DE 60 MM</v>
          </cell>
          <cell r="D1843" t="str">
            <v>M</v>
          </cell>
          <cell r="E1843" t="str">
            <v>CR</v>
          </cell>
          <cell r="F1843">
            <v>9.51</v>
          </cell>
        </row>
        <row r="1844">
          <cell r="B1844">
            <v>21128</v>
          </cell>
          <cell r="C1844" t="str">
            <v>ELETRODUTO EM ACO GALVANIZADO ELETROLITICO, LEVE, DIAMETRO 3/4", PAREDE DE 0,90 MM</v>
          </cell>
          <cell r="D1844" t="str">
            <v>M</v>
          </cell>
          <cell r="E1844" t="str">
            <v>C</v>
          </cell>
          <cell r="F1844">
            <v>8.3000000000000007</v>
          </cell>
        </row>
        <row r="1845">
          <cell r="B1845">
            <v>40400</v>
          </cell>
          <cell r="C1845" t="str">
            <v>ELETRODUTO FLEXIVEL PLANO EM PEAD, COR PRETA E LARANJA, DIAMETRO 25 MM</v>
          </cell>
          <cell r="D1845" t="str">
            <v>M</v>
          </cell>
          <cell r="E1845" t="str">
            <v>CR</v>
          </cell>
          <cell r="F1845">
            <v>1.91</v>
          </cell>
        </row>
        <row r="1846">
          <cell r="B1846">
            <v>40401</v>
          </cell>
          <cell r="C1846" t="str">
            <v>ELETRODUTO FLEXIVEL PLANO EM PEAD, COR PRETA E LARANJA, DIAMETRO 32 MM</v>
          </cell>
          <cell r="D1846" t="str">
            <v>M</v>
          </cell>
          <cell r="E1846" t="str">
            <v>CR</v>
          </cell>
          <cell r="F1846">
            <v>2.82</v>
          </cell>
        </row>
        <row r="1847">
          <cell r="B1847">
            <v>40402</v>
          </cell>
          <cell r="C1847" t="str">
            <v>ELETRODUTO FLEXIVEL PLANO EM PEAD, COR PRETA E LARANJA, DIAMETRO 40 MM</v>
          </cell>
          <cell r="D1847" t="str">
            <v>M</v>
          </cell>
          <cell r="E1847" t="str">
            <v>CR</v>
          </cell>
          <cell r="F1847">
            <v>3.62</v>
          </cell>
        </row>
        <row r="1848">
          <cell r="B1848">
            <v>21137</v>
          </cell>
          <cell r="C1848" t="str">
            <v>ELETRODUTO FLEXIVEL, EM FITA DE ACO GALVANIZADO, REVESTIDO COM PVC PRETO, DIAMETRO EXTERNO DE 15 MM, DN = 3/8", TIPO SEALTUBO</v>
          </cell>
          <cell r="D1848" t="str">
            <v>M</v>
          </cell>
          <cell r="E1848" t="str">
            <v>CR</v>
          </cell>
          <cell r="F1848">
            <v>8.49</v>
          </cell>
        </row>
        <row r="1849">
          <cell r="B1849">
            <v>2504</v>
          </cell>
          <cell r="C1849" t="str">
            <v>ELETRODUTO FLEXIVEL, EM FITA DE ACO GALVANIZADO, REVESTIDO COM PVC PRETO, DIAMETRO EXTERNO DE 25 MM, DN = 3/4", TIPO SEALTUBO</v>
          </cell>
          <cell r="D1849" t="str">
            <v>M</v>
          </cell>
          <cell r="E1849" t="str">
            <v>CR</v>
          </cell>
          <cell r="F1849">
            <v>9.2100000000000009</v>
          </cell>
        </row>
        <row r="1850">
          <cell r="B1850">
            <v>2501</v>
          </cell>
          <cell r="C1850" t="str">
            <v>ELETRODUTO FLEXIVEL, EM FITA DE ACO GALVANIZADO, REVESTIDO COM PVC PRETO, DIAMETRO EXTERNO DE 32 MM, DN = 1", TIPO SEALTUBO</v>
          </cell>
          <cell r="D1850" t="str">
            <v>M</v>
          </cell>
          <cell r="E1850" t="str">
            <v>CR</v>
          </cell>
          <cell r="F1850">
            <v>12.08</v>
          </cell>
        </row>
        <row r="1851">
          <cell r="B1851">
            <v>2502</v>
          </cell>
          <cell r="C1851" t="str">
            <v>ELETRODUTO FLEXIVEL, EM FITA DE ACO GALVANIZADO, REVESTIDO COM PVC PRETO, DIAMETRO EXTERNO DE 40 MM, DN = 1 1/4", TIPO SEALTUBO</v>
          </cell>
          <cell r="D1851" t="str">
            <v>M</v>
          </cell>
          <cell r="E1851" t="str">
            <v>CR</v>
          </cell>
          <cell r="F1851">
            <v>18.22</v>
          </cell>
        </row>
        <row r="1852">
          <cell r="B1852">
            <v>2503</v>
          </cell>
          <cell r="C1852" t="str">
            <v>ELETRODUTO FLEXIVEL, EM FITA DE ACO GALVANIZADO, REVESTIDO COM PVC PRETO, DIAMETRO EXTERNO DE 50 MM, DN = 1 1/2", TIPO SEALTUBO</v>
          </cell>
          <cell r="D1852" t="str">
            <v>M</v>
          </cell>
          <cell r="E1852" t="str">
            <v>CR</v>
          </cell>
          <cell r="F1852">
            <v>23.45</v>
          </cell>
        </row>
        <row r="1853">
          <cell r="B1853">
            <v>2500</v>
          </cell>
          <cell r="C1853" t="str">
            <v>ELETRODUTO FLEXIVEL, EM FITA DE ACO GALVANIZADO, REVESTIDO COM PVC PRETO, DIAMETRO EXTERNO DE 60 MM, DN = 2", TIPO SEALTUBO</v>
          </cell>
          <cell r="D1853" t="str">
            <v>M</v>
          </cell>
          <cell r="E1853" t="str">
            <v>CR</v>
          </cell>
          <cell r="F1853">
            <v>31.24</v>
          </cell>
        </row>
        <row r="1854">
          <cell r="B1854">
            <v>2505</v>
          </cell>
          <cell r="C1854" t="str">
            <v>ELETRODUTO FLEXIVEL, EM FITA DE ACO GALVANIZADO, REVESTIDO COM PVC PRETO, DIAMETRO EXTERNO DE 75 MM, DN = 2 1/2", TIPO SEALTUBO</v>
          </cell>
          <cell r="D1854" t="str">
            <v>M</v>
          </cell>
          <cell r="E1854" t="str">
            <v>CR</v>
          </cell>
          <cell r="F1854">
            <v>48.68</v>
          </cell>
        </row>
        <row r="1855">
          <cell r="B1855">
            <v>12056</v>
          </cell>
          <cell r="C1855" t="str">
            <v>ELETRODUTO FLEXIVEL, EM FITA DE ACO GALVANIZADO, SEM REVESTIMENTO, DIAMETRO NOMINAL 1 1/2"</v>
          </cell>
          <cell r="D1855" t="str">
            <v>M</v>
          </cell>
          <cell r="E1855" t="str">
            <v>CR</v>
          </cell>
          <cell r="F1855">
            <v>19.670000000000002</v>
          </cell>
        </row>
        <row r="1856">
          <cell r="B1856">
            <v>12057</v>
          </cell>
          <cell r="C1856" t="str">
            <v>ELETRODUTO FLEXIVEL, EM FITA DE ACO GALVANIZADO, SEM REVESTIMENTO, DIAMETRO NOMINAL 1 1/4"</v>
          </cell>
          <cell r="D1856" t="str">
            <v>M</v>
          </cell>
          <cell r="E1856" t="str">
            <v>CR</v>
          </cell>
          <cell r="F1856">
            <v>16.71</v>
          </cell>
        </row>
        <row r="1857">
          <cell r="B1857">
            <v>12058</v>
          </cell>
          <cell r="C1857" t="str">
            <v>ELETRODUTO FLEXIVEL, EM FITA DE ACO GALVANIZADO, SEM REVESTIMENTO, DIAMETRO NOMINAL 1"</v>
          </cell>
          <cell r="D1857" t="str">
            <v>M</v>
          </cell>
          <cell r="E1857" t="str">
            <v>CR</v>
          </cell>
          <cell r="F1857">
            <v>10.41</v>
          </cell>
        </row>
        <row r="1858">
          <cell r="B1858">
            <v>12059</v>
          </cell>
          <cell r="C1858" t="str">
            <v>ELETRODUTO FLEXIVEL, EM FITA DE ACO GALVANIZADO, SEM REVESTIMENTO, DIAMETRO NOMINAL 1/2"</v>
          </cell>
          <cell r="D1858" t="str">
            <v>M</v>
          </cell>
          <cell r="E1858" t="str">
            <v>CR</v>
          </cell>
          <cell r="F1858">
            <v>5.86</v>
          </cell>
        </row>
        <row r="1859">
          <cell r="B1859">
            <v>12060</v>
          </cell>
          <cell r="C1859" t="str">
            <v>ELETRODUTO FLEXIVEL, EM FITA DE ACO GALVANIZADO, SEM REVESTIMENTO, DIAMETRO NOMINAL 2 1/2"</v>
          </cell>
          <cell r="D1859" t="str">
            <v>M</v>
          </cell>
          <cell r="E1859" t="str">
            <v>CR</v>
          </cell>
          <cell r="F1859">
            <v>43.41</v>
          </cell>
        </row>
        <row r="1860">
          <cell r="B1860">
            <v>12061</v>
          </cell>
          <cell r="C1860" t="str">
            <v>ELETRODUTO FLEXIVEL, EM FITA DE ACO GALVANIZADO, SEM REVESTIMENTO, DIAMETRO NOMINAL 2"</v>
          </cell>
          <cell r="D1860" t="str">
            <v>M</v>
          </cell>
          <cell r="E1860" t="str">
            <v>CR</v>
          </cell>
          <cell r="F1860">
            <v>26.51</v>
          </cell>
        </row>
        <row r="1861">
          <cell r="B1861">
            <v>12062</v>
          </cell>
          <cell r="C1861" t="str">
            <v>ELETRODUTO FLEXIVEL, EM FITA DE ACO GALVANIZADO, SEM REVESTIMENTO, DIAMETRO NOMINAL 3"</v>
          </cell>
          <cell r="D1861" t="str">
            <v>M</v>
          </cell>
          <cell r="E1861" t="str">
            <v>CR</v>
          </cell>
          <cell r="F1861">
            <v>48.88</v>
          </cell>
        </row>
        <row r="1862">
          <cell r="B1862">
            <v>2687</v>
          </cell>
          <cell r="C1862" t="str">
            <v>ELETRODUTO PVC FLEXIVEL CORRUGADO, COR AMARELA, DE 16 MM</v>
          </cell>
          <cell r="D1862" t="str">
            <v>M</v>
          </cell>
          <cell r="E1862" t="str">
            <v>CR</v>
          </cell>
          <cell r="F1862">
            <v>1.75</v>
          </cell>
        </row>
        <row r="1863">
          <cell r="B1863">
            <v>2689</v>
          </cell>
          <cell r="C1863" t="str">
            <v>ELETRODUTO PVC FLEXIVEL CORRUGADO, COR AMARELA, DE 20 MM</v>
          </cell>
          <cell r="D1863" t="str">
            <v>M</v>
          </cell>
          <cell r="E1863" t="str">
            <v>CR</v>
          </cell>
          <cell r="F1863">
            <v>2.08</v>
          </cell>
        </row>
        <row r="1864">
          <cell r="B1864">
            <v>2688</v>
          </cell>
          <cell r="C1864" t="str">
            <v>ELETRODUTO PVC FLEXIVEL CORRUGADO, COR AMARELA, DE 25 MM</v>
          </cell>
          <cell r="D1864" t="str">
            <v>M</v>
          </cell>
          <cell r="E1864" t="str">
            <v>CR</v>
          </cell>
          <cell r="F1864">
            <v>2.2599999999999998</v>
          </cell>
        </row>
        <row r="1865">
          <cell r="B1865">
            <v>2690</v>
          </cell>
          <cell r="C1865" t="str">
            <v>ELETRODUTO PVC FLEXIVEL CORRUGADO, COR AMARELA, DE 32 MM</v>
          </cell>
          <cell r="D1865" t="str">
            <v>M</v>
          </cell>
          <cell r="E1865" t="str">
            <v>CR</v>
          </cell>
          <cell r="F1865">
            <v>3.86</v>
          </cell>
        </row>
        <row r="1866">
          <cell r="B1866">
            <v>39243</v>
          </cell>
          <cell r="C1866" t="str">
            <v>ELETRODUTO PVC FLEXIVEL CORRUGADO, REFORCADO, COR LARANJA, DE 20 MM, PARA LAJES E PISOS</v>
          </cell>
          <cell r="D1866" t="str">
            <v>M</v>
          </cell>
          <cell r="E1866" t="str">
            <v>CR</v>
          </cell>
          <cell r="F1866">
            <v>2.54</v>
          </cell>
        </row>
        <row r="1867">
          <cell r="B1867">
            <v>39244</v>
          </cell>
          <cell r="C1867" t="str">
            <v>ELETRODUTO PVC FLEXIVEL CORRUGADO, REFORCADO, COR LARANJA, DE 25 MM, PARA LAJES E PISOS</v>
          </cell>
          <cell r="D1867" t="str">
            <v>M</v>
          </cell>
          <cell r="E1867" t="str">
            <v>CR</v>
          </cell>
          <cell r="F1867">
            <v>3.44</v>
          </cell>
        </row>
        <row r="1868">
          <cell r="B1868">
            <v>39245</v>
          </cell>
          <cell r="C1868" t="str">
            <v>ELETRODUTO PVC FLEXIVEL CORRUGADO, REFORCADO, COR LARANJA, DE 32 MM, PARA LAJES E PISOS</v>
          </cell>
          <cell r="D1868" t="str">
            <v>M</v>
          </cell>
          <cell r="E1868" t="str">
            <v>CR</v>
          </cell>
          <cell r="F1868">
            <v>6.62</v>
          </cell>
        </row>
        <row r="1869">
          <cell r="B1869">
            <v>39255</v>
          </cell>
          <cell r="C1869" t="str">
            <v>ELETRODUTO/CONDULETE DE PVC RIGIDO, LISO, COR CINZA, DE 1", PARA INSTALACOES APARENTES (NBR 5410)</v>
          </cell>
          <cell r="D1869" t="str">
            <v>M</v>
          </cell>
          <cell r="E1869" t="str">
            <v>CR</v>
          </cell>
          <cell r="F1869">
            <v>18.329999999999998</v>
          </cell>
        </row>
        <row r="1870">
          <cell r="B1870">
            <v>39254</v>
          </cell>
          <cell r="C1870" t="str">
            <v>ELETRODUTO/CONDULETE DE PVC RIGIDO, LISO, COR CINZA, DE 1/2", PARA INSTALACOES APARENTES (NBR 5410)</v>
          </cell>
          <cell r="D1870" t="str">
            <v>M</v>
          </cell>
          <cell r="E1870" t="str">
            <v>CR</v>
          </cell>
          <cell r="F1870">
            <v>9.91</v>
          </cell>
        </row>
        <row r="1871">
          <cell r="B1871">
            <v>39253</v>
          </cell>
          <cell r="C1871" t="str">
            <v>ELETRODUTO/CONDULETE DE PVC RIGIDO, LISO, COR CINZA, DE 3/4", PARA INSTALACOES APARENTES (NBR 5410)</v>
          </cell>
          <cell r="D1871" t="str">
            <v>M</v>
          </cell>
          <cell r="E1871" t="str">
            <v>CR</v>
          </cell>
          <cell r="F1871">
            <v>12.63</v>
          </cell>
        </row>
        <row r="1872">
          <cell r="B1872">
            <v>39246</v>
          </cell>
          <cell r="C1872" t="str">
            <v>ELETRODUTO/DUTO PEAD FLEXIVEL PAREDE SIMPLES, CORRUGACAO HELICOIDAL, COR PRETA, SEM ROSCA, DE 1 1/2", CRC 680 N, PARA CABEAMENTO SUBTERRANEO (NBR 15715)</v>
          </cell>
          <cell r="D1872" t="str">
            <v>M</v>
          </cell>
          <cell r="E1872" t="str">
            <v>CR</v>
          </cell>
          <cell r="F1872">
            <v>4.9000000000000004</v>
          </cell>
        </row>
        <row r="1873">
          <cell r="B1873">
            <v>39247</v>
          </cell>
          <cell r="C1873" t="str">
            <v>ELETRODUTO/DUTO PEAD FLEXIVEL PAREDE SIMPLES, CORRUGACAO HELICOIDAL, COR PRETA, SEM ROSCA, DE 1 1/4", CRC 680 N, PARA CABEAMENTO SUBTERRANEO (NBR 15715)</v>
          </cell>
          <cell r="D1873" t="str">
            <v>M</v>
          </cell>
          <cell r="E1873" t="str">
            <v>CR</v>
          </cell>
          <cell r="F1873">
            <v>4.2699999999999996</v>
          </cell>
        </row>
        <row r="1874">
          <cell r="B1874">
            <v>2446</v>
          </cell>
          <cell r="C1874" t="str">
            <v>ELETRODUTO/DUTO PEAD FLEXIVEL PAREDE SIMPLES, CORRUGACAO HELICOIDAL, COR PRETA, SEM ROSCA, DE 2", CRC 680 N, PARA CABEAMENTO SUBTERRANEO (NBR 15715)</v>
          </cell>
          <cell r="D1874" t="str">
            <v>M</v>
          </cell>
          <cell r="E1874" t="str">
            <v>C</v>
          </cell>
          <cell r="F1874">
            <v>7.04</v>
          </cell>
        </row>
        <row r="1875">
          <cell r="B1875">
            <v>2442</v>
          </cell>
          <cell r="C1875" t="str">
            <v>ELETRODUTO/DUTO PEAD FLEXIVEL PAREDE SIMPLES, CORRUGACAO HELICOIDAL, COR PRETA, SEM ROSCA, DE 3", CRC 680 N, PARA CABEAMENTO SUBTERRANEO (NBR 15715)</v>
          </cell>
          <cell r="D1875" t="str">
            <v>M</v>
          </cell>
          <cell r="E1875" t="str">
            <v>CR</v>
          </cell>
          <cell r="F1875">
            <v>9.86</v>
          </cell>
        </row>
        <row r="1876">
          <cell r="B1876">
            <v>39248</v>
          </cell>
          <cell r="C1876" t="str">
            <v>ELETRODUTO/DUTO PEAD FLEXIVEL PAREDE SIMPLES, CORRUGACAO HELICOIDAL, COR PRETA, SEM ROSCA, DE 4", CRC 680 N, PARA CABEAMENTO SUBTERRANEO (NBR 15715)</v>
          </cell>
          <cell r="D1876" t="str">
            <v>M</v>
          </cell>
          <cell r="E1876" t="str">
            <v>CR</v>
          </cell>
          <cell r="F1876">
            <v>13.74</v>
          </cell>
        </row>
        <row r="1877">
          <cell r="B1877">
            <v>2438</v>
          </cell>
          <cell r="C1877" t="str">
            <v>ELETROTECNICO (HORISTA)</v>
          </cell>
          <cell r="D1877" t="str">
            <v>H</v>
          </cell>
          <cell r="E1877" t="str">
            <v>CR</v>
          </cell>
          <cell r="F1877">
            <v>40.549999999999997</v>
          </cell>
        </row>
        <row r="1878">
          <cell r="B1878">
            <v>40922</v>
          </cell>
          <cell r="C1878" t="str">
            <v>ELETROTECNICO (MENSALISTA)</v>
          </cell>
          <cell r="D1878" t="str">
            <v>MES</v>
          </cell>
          <cell r="E1878" t="str">
            <v>CR</v>
          </cell>
          <cell r="F1878">
            <v>7103.64</v>
          </cell>
        </row>
        <row r="1879">
          <cell r="B1879">
            <v>44342</v>
          </cell>
          <cell r="C1879" t="str">
            <v>EMENDA INTERNA, TIPO U, BASE LISA, PARA ELETROCALHA, EM CHAPA DE ACO GALVANIZADO ESPESSURA #14, 700 X 50 MM (L X A)</v>
          </cell>
          <cell r="D1879" t="str">
            <v>UN</v>
          </cell>
          <cell r="E1879" t="str">
            <v>CR</v>
          </cell>
          <cell r="F1879">
            <v>22.13</v>
          </cell>
        </row>
        <row r="1880">
          <cell r="B1880">
            <v>44343</v>
          </cell>
          <cell r="C1880" t="str">
            <v>EMENDA INTERNA, TIPO U, BASE LISA, PARA ELETROCALHA, EM CHAPA DE ACO GALVANIZADO ESPESSURA #14, 800 X 50 MM (L X A)</v>
          </cell>
          <cell r="D1880" t="str">
            <v>UN</v>
          </cell>
          <cell r="E1880" t="str">
            <v>CR</v>
          </cell>
          <cell r="F1880">
            <v>23.98</v>
          </cell>
        </row>
        <row r="1881">
          <cell r="B1881">
            <v>44340</v>
          </cell>
          <cell r="C1881" t="str">
            <v>EMENDA INTERNA, TIPO U, BASE LISA, PARA ELETROCALHA, EM CHAPA DE ACO GALVANIZADO ESPESSURA #16, 500 X 50 MM (L X A)</v>
          </cell>
          <cell r="D1881" t="str">
            <v>UN</v>
          </cell>
          <cell r="E1881" t="str">
            <v>CR</v>
          </cell>
          <cell r="F1881">
            <v>15.64</v>
          </cell>
        </row>
        <row r="1882">
          <cell r="B1882">
            <v>44341</v>
          </cell>
          <cell r="C1882" t="str">
            <v>EMENDA INTERNA, TIPO U, BASE LISA, PARA ELETROCALHA, EM CHAPA DE ACO GALVANIZADO ESPESSURA #16, 600 X 50 MM (L X A)</v>
          </cell>
          <cell r="D1882" t="str">
            <v>UN</v>
          </cell>
          <cell r="E1882" t="str">
            <v>CR</v>
          </cell>
          <cell r="F1882">
            <v>18.100000000000001</v>
          </cell>
        </row>
        <row r="1883">
          <cell r="B1883">
            <v>44338</v>
          </cell>
          <cell r="C1883" t="str">
            <v>EMENDA INTERNA, TIPO U, BASE LISA, PARA ELETROCALHA, EM CHAPA DE ACO GALVANIZADO ESPESSURA #18, 300 X 50 MM (L X A)</v>
          </cell>
          <cell r="D1883" t="str">
            <v>UN</v>
          </cell>
          <cell r="E1883" t="str">
            <v>CR</v>
          </cell>
          <cell r="F1883">
            <v>8.9499999999999993</v>
          </cell>
        </row>
        <row r="1884">
          <cell r="B1884">
            <v>44339</v>
          </cell>
          <cell r="C1884" t="str">
            <v>EMENDA INTERNA, TIPO U, BASE LISA, PARA ELETROCALHA, EM CHAPA DE ACO GALVANIZADO ESPESSURA #18, 400 X 50 MM (L X A)</v>
          </cell>
          <cell r="D1884" t="str">
            <v>UN</v>
          </cell>
          <cell r="E1884" t="str">
            <v>CR</v>
          </cell>
          <cell r="F1884">
            <v>10.47</v>
          </cell>
        </row>
        <row r="1885">
          <cell r="B1885">
            <v>44336</v>
          </cell>
          <cell r="C1885" t="str">
            <v>EMENDA INTERNA, TIPO U, BASE LISA, PARA ELETROCALHA, EM CHAPA DE ACO GALVANIZADO ESPESSURA #22, 100 X 50 MM (L X A)</v>
          </cell>
          <cell r="D1885" t="str">
            <v>UN</v>
          </cell>
          <cell r="E1885" t="str">
            <v>CR</v>
          </cell>
          <cell r="F1885">
            <v>3.05</v>
          </cell>
        </row>
        <row r="1886">
          <cell r="B1886">
            <v>41834</v>
          </cell>
          <cell r="C1886" t="str">
            <v>EMENDA INTERNA, TIPO U, BASE LISA, PARA ELETROCALHA, EM CHAPA DE ACO GALVANIZADO ESPESSURA #22, 125 X 50 MM (L X A)</v>
          </cell>
          <cell r="D1886" t="str">
            <v>UN</v>
          </cell>
          <cell r="E1886" t="str">
            <v>CR</v>
          </cell>
          <cell r="F1886">
            <v>3.84</v>
          </cell>
        </row>
        <row r="1887">
          <cell r="B1887">
            <v>44337</v>
          </cell>
          <cell r="C1887" t="str">
            <v>EMENDA INTERNA, TIPO U, BASE LISA, PARA ELETROCALHA, EM CHAPA DE ACO GALVANIZADO ESPESSURA #22, 150 X 50 MM (L X A)</v>
          </cell>
          <cell r="D1887" t="str">
            <v>UN</v>
          </cell>
          <cell r="E1887" t="str">
            <v>CR</v>
          </cell>
          <cell r="F1887">
            <v>3.84</v>
          </cell>
        </row>
        <row r="1888">
          <cell r="B1888">
            <v>43964</v>
          </cell>
          <cell r="C1888" t="str">
            <v>EMENDA INTERNA, TIPO U, BASE LISA, PARA ELETROCALHA, EM CHAPA DE ACO GALVANIZADO ESPESSURA #22, 200 X 50 MM (L X A)</v>
          </cell>
          <cell r="D1888" t="str">
            <v>UN</v>
          </cell>
          <cell r="E1888" t="str">
            <v>CR</v>
          </cell>
          <cell r="F1888">
            <v>4.05</v>
          </cell>
        </row>
        <row r="1889">
          <cell r="B1889">
            <v>44334</v>
          </cell>
          <cell r="C1889" t="str">
            <v>EMENDA INTERNA, TIPO U, BASE LISA, PARA ELETROCALHA, EM CHAPA DE ACO GALVANIZADO ESPESSURA #22, 250 X 50 MM (L X A)</v>
          </cell>
          <cell r="D1889" t="str">
            <v>UN</v>
          </cell>
          <cell r="E1889" t="str">
            <v>CR</v>
          </cell>
          <cell r="F1889">
            <v>5.12</v>
          </cell>
        </row>
        <row r="1890">
          <cell r="B1890">
            <v>44344</v>
          </cell>
          <cell r="C1890" t="str">
            <v>EMENDA INTERNA, TIPO U, BASE LISA, PARA ELETROCALHA, EM CHAPA DE ACO GALVANIZADO ESPESSURA #22, 50 X 50 MM (L X A)</v>
          </cell>
          <cell r="D1890" t="str">
            <v>UN</v>
          </cell>
          <cell r="E1890" t="str">
            <v>CR</v>
          </cell>
          <cell r="F1890">
            <v>2.74</v>
          </cell>
        </row>
        <row r="1891">
          <cell r="B1891">
            <v>44335</v>
          </cell>
          <cell r="C1891" t="str">
            <v>EMENDA INTERNA, TIPO U, BASE LISA, PARA ELETROCALHA, EM CHAPA DE ACO GALVANIZADO ESPESSURA #22, 75 X 50 MM (L X A)</v>
          </cell>
          <cell r="D1891" t="str">
            <v>UN</v>
          </cell>
          <cell r="E1891" t="str">
            <v>CR</v>
          </cell>
          <cell r="F1891">
            <v>2.95</v>
          </cell>
        </row>
        <row r="1892">
          <cell r="B1892">
            <v>12624</v>
          </cell>
          <cell r="C1892" t="str">
            <v>EMENDA PARA CALHA PLUVIAL, PVC, DIAMETRO ENTRE 119 E 170 MM, PARA DRENAGEM PLUVIAL PREDIAL</v>
          </cell>
          <cell r="D1892" t="str">
            <v>UN</v>
          </cell>
          <cell r="E1892" t="str">
            <v>CR</v>
          </cell>
          <cell r="F1892">
            <v>38.51</v>
          </cell>
        </row>
        <row r="1893">
          <cell r="B1893">
            <v>517</v>
          </cell>
          <cell r="C1893" t="str">
            <v>EMULSAO ASFALTICA ANIONICA</v>
          </cell>
          <cell r="D1893" t="str">
            <v>L</v>
          </cell>
          <cell r="E1893" t="str">
            <v>CR</v>
          </cell>
          <cell r="F1893">
            <v>8.7200000000000006</v>
          </cell>
        </row>
        <row r="1894">
          <cell r="B1894">
            <v>37534</v>
          </cell>
          <cell r="C1894" t="str">
            <v>EMULSAO EXPLOSIVA EM CARTUCHOS DE 1" X 12", DENSIDADE 1.15 G/CM3, INICIACAO ESPOLETA N. 8 / CORDEL</v>
          </cell>
          <cell r="D1894" t="str">
            <v>KG</v>
          </cell>
          <cell r="E1894" t="str">
            <v>CR</v>
          </cell>
          <cell r="F1894">
            <v>20.72</v>
          </cell>
        </row>
        <row r="1895">
          <cell r="B1895">
            <v>37535</v>
          </cell>
          <cell r="C1895" t="str">
            <v>EMULSAO EXPLOSIVA EM CARTUCHOS DE 1" X 24", DENSIDADE 1.15 G/CM3, INICIACAO ESPOLETA N. 8 / CORDEL</v>
          </cell>
          <cell r="D1895" t="str">
            <v>KG</v>
          </cell>
          <cell r="E1895" t="str">
            <v>CR</v>
          </cell>
          <cell r="F1895">
            <v>20.72</v>
          </cell>
        </row>
        <row r="1896">
          <cell r="B1896">
            <v>37533</v>
          </cell>
          <cell r="C1896" t="str">
            <v>EMULSAO EXPLOSIVA EM CARTUCHOS DE 1" X 8", DENSIDADE 1.15 G/CM3, INICIACAO ESPOLETA N. 8 / CORDEL</v>
          </cell>
          <cell r="D1896" t="str">
            <v>KG</v>
          </cell>
          <cell r="E1896" t="str">
            <v>CR</v>
          </cell>
          <cell r="F1896">
            <v>20.72</v>
          </cell>
        </row>
        <row r="1897">
          <cell r="B1897">
            <v>37537</v>
          </cell>
          <cell r="C1897" t="str">
            <v>EMULSAO EXPLOSIVA EM CARTUCHOS DE 2 1/2" X 24", DENSIDADE 1.15 G/CM3, INICIACAO ESPOLETA N. 8 / CORDEL</v>
          </cell>
          <cell r="D1897" t="str">
            <v>KG</v>
          </cell>
          <cell r="E1897" t="str">
            <v>CR</v>
          </cell>
          <cell r="F1897">
            <v>15.68</v>
          </cell>
        </row>
        <row r="1898">
          <cell r="B1898">
            <v>37536</v>
          </cell>
          <cell r="C1898" t="str">
            <v>EMULSAO EXPLOSIVA EM CARTUCHOS DE 2 1/4" X 24", DENSIDADE 1.15 G/CM3, INICIACAO ESPOLETA N. 8 / CORDEL</v>
          </cell>
          <cell r="D1898" t="str">
            <v>KG</v>
          </cell>
          <cell r="E1898" t="str">
            <v>CR</v>
          </cell>
          <cell r="F1898">
            <v>15.68</v>
          </cell>
        </row>
        <row r="1899">
          <cell r="B1899">
            <v>37532</v>
          </cell>
          <cell r="C1899" t="str">
            <v>EMULSAO EXPLOSIVA EM CARTUCHOS DE 2" X 24", DENSIDADE 1.15 G/CM3, INICIACAO ESPOLETA N. 8 / CORDEL</v>
          </cell>
          <cell r="D1899" t="str">
            <v>KG</v>
          </cell>
          <cell r="E1899" t="str">
            <v>C</v>
          </cell>
          <cell r="F1899">
            <v>15.68</v>
          </cell>
        </row>
        <row r="1900">
          <cell r="B1900">
            <v>2696</v>
          </cell>
          <cell r="C1900" t="str">
            <v>ENCANADOR OU BOMBEIRO HIDRAULICO (HORISTA)</v>
          </cell>
          <cell r="D1900" t="str">
            <v>H</v>
          </cell>
          <cell r="E1900" t="str">
            <v>C</v>
          </cell>
          <cell r="F1900">
            <v>31.24</v>
          </cell>
        </row>
        <row r="1901">
          <cell r="B1901">
            <v>40928</v>
          </cell>
          <cell r="C1901" t="str">
            <v>ENCANADOR OU BOMBEIRO HIDRAULICO (MENSALISTA)</v>
          </cell>
          <cell r="D1901" t="str">
            <v>MES</v>
          </cell>
          <cell r="E1901" t="str">
            <v>CR</v>
          </cell>
          <cell r="F1901">
            <v>5471.93</v>
          </cell>
        </row>
        <row r="1902">
          <cell r="B1902">
            <v>4083</v>
          </cell>
          <cell r="C1902" t="str">
            <v>ENCARREGADO GERAL DE OBRAS (HORISTA)</v>
          </cell>
          <cell r="D1902" t="str">
            <v>H</v>
          </cell>
          <cell r="E1902" t="str">
            <v>C</v>
          </cell>
          <cell r="F1902">
            <v>46.01</v>
          </cell>
        </row>
        <row r="1903">
          <cell r="B1903">
            <v>40818</v>
          </cell>
          <cell r="C1903" t="str">
            <v>ENCARREGADO GERAL DE OBRAS (MENSALISTA)</v>
          </cell>
          <cell r="D1903" t="str">
            <v>MES</v>
          </cell>
          <cell r="E1903" t="str">
            <v>CR</v>
          </cell>
          <cell r="F1903">
            <v>8059.15</v>
          </cell>
        </row>
        <row r="1904">
          <cell r="B1904">
            <v>43146</v>
          </cell>
          <cell r="C1904" t="str">
            <v>ENDURECEDOR MINERAL DE BASE CIMENTICIA PARA PISO DE CONCRETO</v>
          </cell>
          <cell r="D1904" t="str">
            <v>KG</v>
          </cell>
          <cell r="E1904" t="str">
            <v>CR</v>
          </cell>
          <cell r="F1904">
            <v>8.27</v>
          </cell>
        </row>
        <row r="1905">
          <cell r="B1905">
            <v>2705</v>
          </cell>
          <cell r="C1905" t="str">
            <v>ENERGIA ELETRICA ATE 2000 KWH INDUSTRIAL, SEM DEMANDA</v>
          </cell>
          <cell r="D1905" t="str">
            <v>KWH</v>
          </cell>
          <cell r="E1905" t="str">
            <v>CR</v>
          </cell>
          <cell r="F1905">
            <v>0.87</v>
          </cell>
        </row>
        <row r="1906">
          <cell r="B1906">
            <v>14250</v>
          </cell>
          <cell r="C1906" t="str">
            <v>ENERGIA ELETRICA COMERCIAL, BAIXA TENSAO, RELATIVA AO CONSUMO DE ATE 100 KWH, INCLUINDO ICMS, PIS/PASEP E COFINS</v>
          </cell>
          <cell r="D1906" t="str">
            <v>KWH</v>
          </cell>
          <cell r="E1906" t="str">
            <v>C</v>
          </cell>
          <cell r="F1906">
            <v>0.89</v>
          </cell>
        </row>
        <row r="1907">
          <cell r="B1907">
            <v>11683</v>
          </cell>
          <cell r="C1907" t="str">
            <v>ENGATE / RABICHO FLEXIVEL INOX 1/2" X 30 CM</v>
          </cell>
          <cell r="D1907" t="str">
            <v>UN</v>
          </cell>
          <cell r="E1907" t="str">
            <v>CR</v>
          </cell>
          <cell r="F1907">
            <v>38.85</v>
          </cell>
        </row>
        <row r="1908">
          <cell r="B1908">
            <v>11684</v>
          </cell>
          <cell r="C1908" t="str">
            <v>ENGATE / RABICHO FLEXIVEL INOX 1/2" X 40 CM</v>
          </cell>
          <cell r="D1908" t="str">
            <v>UN</v>
          </cell>
          <cell r="E1908" t="str">
            <v>CR</v>
          </cell>
          <cell r="F1908">
            <v>42.52</v>
          </cell>
        </row>
        <row r="1909">
          <cell r="B1909">
            <v>6141</v>
          </cell>
          <cell r="C1909" t="str">
            <v>ENGATE/RABICHO FLEXIVEL PLASTICO (PVC OU ABS) BRANCO 1/2" X 30 CM</v>
          </cell>
          <cell r="D1909" t="str">
            <v>UN</v>
          </cell>
          <cell r="E1909" t="str">
            <v>CR</v>
          </cell>
          <cell r="F1909">
            <v>6.62</v>
          </cell>
        </row>
        <row r="1910">
          <cell r="B1910">
            <v>11681</v>
          </cell>
          <cell r="C1910" t="str">
            <v>ENGATE/RABICHO FLEXIVEL PLASTICO (PVC OU ABS) BRANCO 1/2" X 40 CM</v>
          </cell>
          <cell r="D1910" t="str">
            <v>UN</v>
          </cell>
          <cell r="E1910" t="str">
            <v>CR</v>
          </cell>
          <cell r="F1910">
            <v>8.35</v>
          </cell>
        </row>
        <row r="1911">
          <cell r="B1911">
            <v>2706</v>
          </cell>
          <cell r="C1911" t="str">
            <v>ENGENHEIRO CIVIL DE OBRA JUNIOR (HORISTA)</v>
          </cell>
          <cell r="D1911" t="str">
            <v>H</v>
          </cell>
          <cell r="E1911" t="str">
            <v>C</v>
          </cell>
          <cell r="F1911">
            <v>134.66</v>
          </cell>
        </row>
        <row r="1912">
          <cell r="B1912">
            <v>40811</v>
          </cell>
          <cell r="C1912" t="str">
            <v>ENGENHEIRO CIVIL DE OBRA JUNIOR (MENSALISTA)</v>
          </cell>
          <cell r="D1912" t="str">
            <v>MES</v>
          </cell>
          <cell r="E1912" t="str">
            <v>CR</v>
          </cell>
          <cell r="F1912">
            <v>23586.2</v>
          </cell>
        </row>
        <row r="1913">
          <cell r="B1913">
            <v>2707</v>
          </cell>
          <cell r="C1913" t="str">
            <v>ENGENHEIRO CIVIL DE OBRA PLENO (HORISTA)</v>
          </cell>
          <cell r="D1913" t="str">
            <v>H</v>
          </cell>
          <cell r="E1913" t="str">
            <v>CR</v>
          </cell>
          <cell r="F1913">
            <v>136.97999999999999</v>
          </cell>
        </row>
        <row r="1914">
          <cell r="B1914">
            <v>40813</v>
          </cell>
          <cell r="C1914" t="str">
            <v>ENGENHEIRO CIVIL DE OBRA PLENO (MENSALISTA)</v>
          </cell>
          <cell r="D1914" t="str">
            <v>MES</v>
          </cell>
          <cell r="E1914" t="str">
            <v>CR</v>
          </cell>
          <cell r="F1914">
            <v>23993.37</v>
          </cell>
        </row>
        <row r="1915">
          <cell r="B1915">
            <v>2708</v>
          </cell>
          <cell r="C1915" t="str">
            <v>ENGENHEIRO CIVIL DE OBRA SENIOR (HORISTA)</v>
          </cell>
          <cell r="D1915" t="str">
            <v>H</v>
          </cell>
          <cell r="E1915" t="str">
            <v>CR</v>
          </cell>
          <cell r="F1915">
            <v>191.87</v>
          </cell>
        </row>
        <row r="1916">
          <cell r="B1916">
            <v>40814</v>
          </cell>
          <cell r="C1916" t="str">
            <v>ENGENHEIRO CIVIL DE OBRA SENIOR (MENSALISTA)</v>
          </cell>
          <cell r="D1916" t="str">
            <v>MES</v>
          </cell>
          <cell r="E1916" t="str">
            <v>CR</v>
          </cell>
          <cell r="F1916">
            <v>33609.839999999997</v>
          </cell>
        </row>
        <row r="1917">
          <cell r="B1917">
            <v>38403</v>
          </cell>
          <cell r="C1917" t="str">
            <v>ENXADA ESTREITA, EM ACO, *25 X 23* CM, COM CABO DE MADEIRA DE *150* CM</v>
          </cell>
          <cell r="D1917" t="str">
            <v>UN</v>
          </cell>
          <cell r="E1917" t="str">
            <v>CR</v>
          </cell>
          <cell r="F1917">
            <v>73.03</v>
          </cell>
        </row>
        <row r="1918">
          <cell r="B1918">
            <v>43482</v>
          </cell>
          <cell r="C1918" t="str">
            <v>EPI - FAMILIA ALMOXARIFE - HORISTA (ENCARGOS COMPLEMENTARES - COLETADO CAIXA)</v>
          </cell>
          <cell r="D1918" t="str">
            <v>H</v>
          </cell>
          <cell r="E1918" t="str">
            <v>C</v>
          </cell>
          <cell r="F1918">
            <v>0.75</v>
          </cell>
        </row>
        <row r="1919">
          <cell r="B1919">
            <v>43494</v>
          </cell>
          <cell r="C1919" t="str">
            <v>EPI - FAMILIA ALMOXARIFE - MENSALISTA (ENCARGOS COMPLEMENTARES - COLETADO CAIXA)</v>
          </cell>
          <cell r="D1919" t="str">
            <v>MES</v>
          </cell>
          <cell r="E1919" t="str">
            <v>C</v>
          </cell>
          <cell r="F1919">
            <v>124.49</v>
          </cell>
        </row>
        <row r="1920">
          <cell r="B1920">
            <v>43483</v>
          </cell>
          <cell r="C1920" t="str">
            <v>EPI - FAMILIA CARPINTEIRO DE FORMAS - HORISTA (ENCARGOS COMPLEMENTARES - COLETADO CAIXA)</v>
          </cell>
          <cell r="D1920" t="str">
            <v>H</v>
          </cell>
          <cell r="E1920" t="str">
            <v>C</v>
          </cell>
          <cell r="F1920">
            <v>1.45</v>
          </cell>
        </row>
        <row r="1921">
          <cell r="B1921">
            <v>43495</v>
          </cell>
          <cell r="C1921" t="str">
            <v>EPI - FAMILIA CARPINTEIRO DE FORMAS - MENSALISTA (ENCARGOS COMPLEMENTARES - COLETADO CAIXA)</v>
          </cell>
          <cell r="D1921" t="str">
            <v>MES</v>
          </cell>
          <cell r="E1921" t="str">
            <v>C</v>
          </cell>
          <cell r="F1921">
            <v>240.95</v>
          </cell>
        </row>
        <row r="1922">
          <cell r="B1922">
            <v>43484</v>
          </cell>
          <cell r="C1922" t="str">
            <v>EPI - FAMILIA ELETRICISTA - HORISTA (ENCARGOS COMPLEMENTARES - COLETADO CAIXA)</v>
          </cell>
          <cell r="D1922" t="str">
            <v>H</v>
          </cell>
          <cell r="E1922" t="str">
            <v>C</v>
          </cell>
          <cell r="F1922">
            <v>1.38</v>
          </cell>
        </row>
        <row r="1923">
          <cell r="B1923">
            <v>43496</v>
          </cell>
          <cell r="C1923" t="str">
            <v>EPI - FAMILIA ELETRICISTA - MENSALISTA (ENCARGOS COMPLEMENTARES - COLETADO CAIXA)</v>
          </cell>
          <cell r="D1923" t="str">
            <v>MES</v>
          </cell>
          <cell r="E1923" t="str">
            <v>C</v>
          </cell>
          <cell r="F1923">
            <v>229.76</v>
          </cell>
        </row>
        <row r="1924">
          <cell r="B1924">
            <v>43485</v>
          </cell>
          <cell r="C1924" t="str">
            <v>EPI - FAMILIA ENCANADOR - HORISTA (ENCARGOS COMPLEMENTARES - COLETADO CAIXA)</v>
          </cell>
          <cell r="D1924" t="str">
            <v>H</v>
          </cell>
          <cell r="E1924" t="str">
            <v>C</v>
          </cell>
          <cell r="F1924">
            <v>1.23</v>
          </cell>
        </row>
        <row r="1925">
          <cell r="B1925">
            <v>43497</v>
          </cell>
          <cell r="C1925" t="str">
            <v>EPI - FAMILIA ENCANADOR - MENSALISTA (ENCARGOS COMPLEMENTARES - COLETADO CAIXA)</v>
          </cell>
          <cell r="D1925" t="str">
            <v>MES</v>
          </cell>
          <cell r="E1925" t="str">
            <v>C</v>
          </cell>
          <cell r="F1925">
            <v>205.62</v>
          </cell>
        </row>
        <row r="1926">
          <cell r="B1926">
            <v>43487</v>
          </cell>
          <cell r="C1926" t="str">
            <v>EPI - FAMILIA ENCARREGADO GERAL - HORISTA (ENCARGOS COMPLEMENTARES - COLETADO CAIXA)</v>
          </cell>
          <cell r="D1926" t="str">
            <v>H</v>
          </cell>
          <cell r="E1926" t="str">
            <v>C</v>
          </cell>
          <cell r="F1926">
            <v>1.27</v>
          </cell>
        </row>
        <row r="1927">
          <cell r="B1927">
            <v>43499</v>
          </cell>
          <cell r="C1927" t="str">
            <v>EPI - FAMILIA ENCARREGADO GERAL - MENSALISTA (ENCARGOS COMPLEMENTARES - COLETADO CAIXA)</v>
          </cell>
          <cell r="D1927" t="str">
            <v>MES</v>
          </cell>
          <cell r="E1927" t="str">
            <v>C</v>
          </cell>
          <cell r="F1927">
            <v>212.36</v>
          </cell>
        </row>
        <row r="1928">
          <cell r="B1928">
            <v>43486</v>
          </cell>
          <cell r="C1928" t="str">
            <v>EPI - FAMILIA ENGENHEIRO CIVIL - HORISTA (ENCARGOS COMPLEMENTARES - COLETADO CAIXA)</v>
          </cell>
          <cell r="D1928" t="str">
            <v>H</v>
          </cell>
          <cell r="E1928" t="str">
            <v>C</v>
          </cell>
          <cell r="F1928">
            <v>0.92</v>
          </cell>
        </row>
        <row r="1929">
          <cell r="B1929">
            <v>43498</v>
          </cell>
          <cell r="C1929" t="str">
            <v>EPI - FAMILIA ENGENHEIRO CIVIL - MENSALISTA (ENCARGOS COMPLEMENTARES - COLETADO CAIXA)</v>
          </cell>
          <cell r="D1929" t="str">
            <v>MES</v>
          </cell>
          <cell r="E1929" t="str">
            <v>C</v>
          </cell>
          <cell r="F1929">
            <v>152.93</v>
          </cell>
        </row>
        <row r="1930">
          <cell r="B1930">
            <v>43488</v>
          </cell>
          <cell r="C1930" t="str">
            <v>EPI - FAMILIA OPERADOR ESCAVADEIRA - HORISTA (ENCARGOS COMPLEMENTARES - COLETADO CAIXA)</v>
          </cell>
          <cell r="D1930" t="str">
            <v>H</v>
          </cell>
          <cell r="E1930" t="str">
            <v>C</v>
          </cell>
          <cell r="F1930">
            <v>0.92</v>
          </cell>
        </row>
        <row r="1931">
          <cell r="B1931">
            <v>43500</v>
          </cell>
          <cell r="C1931" t="str">
            <v>EPI - FAMILIA OPERADOR ESCAVADEIRA - MENSALISTA (ENCARGOS COMPLEMENTARES - COLETADO CAIXA)</v>
          </cell>
          <cell r="D1931" t="str">
            <v>MES</v>
          </cell>
          <cell r="E1931" t="str">
            <v>C</v>
          </cell>
          <cell r="F1931">
            <v>153.80000000000001</v>
          </cell>
        </row>
        <row r="1932">
          <cell r="B1932">
            <v>43489</v>
          </cell>
          <cell r="C1932" t="str">
            <v>EPI - FAMILIA PEDREIRO - HORISTA (ENCARGOS COMPLEMENTARES - COLETADO CAIXA)</v>
          </cell>
          <cell r="D1932" t="str">
            <v>H</v>
          </cell>
          <cell r="E1932" t="str">
            <v>C</v>
          </cell>
          <cell r="F1932">
            <v>1.47</v>
          </cell>
        </row>
        <row r="1933">
          <cell r="B1933">
            <v>43501</v>
          </cell>
          <cell r="C1933" t="str">
            <v>EPI - FAMILIA PEDREIRO - MENSALISTA (ENCARGOS COMPLEMENTARES - COLETADO CAIXA)</v>
          </cell>
          <cell r="D1933" t="str">
            <v>MES</v>
          </cell>
          <cell r="E1933" t="str">
            <v>C</v>
          </cell>
          <cell r="F1933">
            <v>244.86</v>
          </cell>
        </row>
        <row r="1934">
          <cell r="B1934">
            <v>43490</v>
          </cell>
          <cell r="C1934" t="str">
            <v>EPI - FAMILIA PINTOR - HORISTA (ENCARGOS COMPLEMENTARES - COLETADO CAIXA)</v>
          </cell>
          <cell r="D1934" t="str">
            <v>H</v>
          </cell>
          <cell r="E1934" t="str">
            <v>C</v>
          </cell>
          <cell r="F1934">
            <v>1.87</v>
          </cell>
        </row>
        <row r="1935">
          <cell r="B1935">
            <v>43502</v>
          </cell>
          <cell r="C1935" t="str">
            <v>EPI - FAMILIA PINTOR - MENSALISTA (ENCARGOS COMPLEMENTARES - COLETADO CAIXA)</v>
          </cell>
          <cell r="D1935" t="str">
            <v>MES</v>
          </cell>
          <cell r="E1935" t="str">
            <v>C</v>
          </cell>
          <cell r="F1935">
            <v>311.25</v>
          </cell>
        </row>
        <row r="1936">
          <cell r="B1936">
            <v>43491</v>
          </cell>
          <cell r="C1936" t="str">
            <v>EPI - FAMILIA SERVENTE - HORISTA (ENCARGOS COMPLEMENTARES - COLETADO CAIXA)</v>
          </cell>
          <cell r="D1936" t="str">
            <v>H</v>
          </cell>
          <cell r="E1936" t="str">
            <v>C</v>
          </cell>
          <cell r="F1936">
            <v>1.54</v>
          </cell>
        </row>
        <row r="1937">
          <cell r="B1937">
            <v>43503</v>
          </cell>
          <cell r="C1937" t="str">
            <v>EPI - FAMILIA SERVENTE - MENSALISTA (ENCARGOS COMPLEMENTARES - COLETADO CAIXA)</v>
          </cell>
          <cell r="D1937" t="str">
            <v>MES</v>
          </cell>
          <cell r="E1937" t="str">
            <v>C</v>
          </cell>
          <cell r="F1937">
            <v>256.38</v>
          </cell>
        </row>
        <row r="1938">
          <cell r="B1938">
            <v>43492</v>
          </cell>
          <cell r="C1938" t="str">
            <v>EPI - FAMILIA SOLDADOR - HORISTA (ENCARGOS COMPLEMENTARES - COLETADO CAIXA)</v>
          </cell>
          <cell r="D1938" t="str">
            <v>H</v>
          </cell>
          <cell r="E1938" t="str">
            <v>C</v>
          </cell>
          <cell r="F1938">
            <v>2.2400000000000002</v>
          </cell>
        </row>
        <row r="1939">
          <cell r="B1939">
            <v>43504</v>
          </cell>
          <cell r="C1939" t="str">
            <v>EPI - FAMILIA SOLDADOR - MENSALISTA (ENCARGOS COMPLEMENTARES - COLETADO CAIXA)</v>
          </cell>
          <cell r="D1939" t="str">
            <v>MES</v>
          </cell>
          <cell r="E1939" t="str">
            <v>C</v>
          </cell>
          <cell r="F1939">
            <v>373.09</v>
          </cell>
        </row>
        <row r="1940">
          <cell r="B1940">
            <v>43493</v>
          </cell>
          <cell r="C1940" t="str">
            <v>EPI - FAMILIA TOPOGRAFO - HORISTA (ENCARGOS COMPLEMENTARES - COLETADO CAIXA)</v>
          </cell>
          <cell r="D1940" t="str">
            <v>H</v>
          </cell>
          <cell r="E1940" t="str">
            <v>C</v>
          </cell>
          <cell r="F1940">
            <v>0.75</v>
          </cell>
        </row>
        <row r="1941">
          <cell r="B1941">
            <v>43505</v>
          </cell>
          <cell r="C1941" t="str">
            <v>EPI - FAMILIA TOPOGRAFO - MENSALISTA (ENCARGOS COMPLEMENTARES - COLETADO CAIXA)</v>
          </cell>
          <cell r="D1941" t="str">
            <v>MES</v>
          </cell>
          <cell r="E1941" t="str">
            <v>C</v>
          </cell>
          <cell r="F1941">
            <v>124.49</v>
          </cell>
        </row>
        <row r="1942">
          <cell r="B1942">
            <v>38476</v>
          </cell>
          <cell r="C1942" t="str">
            <v>ESCADA DUPLA DE ABRIR EM ALUMINIO, COM SAPATAS DE BORRACHA, *2,30* X *0,57* M (ALTURA UTIL X LARGURA MINIMA), MODELO PINTOR, 8 DEGRAUS, CAPACIDADE *100* KG</v>
          </cell>
          <cell r="D1942" t="str">
            <v>UN</v>
          </cell>
          <cell r="E1942" t="str">
            <v>CR</v>
          </cell>
          <cell r="F1942">
            <v>279.5</v>
          </cell>
        </row>
        <row r="1943">
          <cell r="B1943">
            <v>38477</v>
          </cell>
          <cell r="C1943" t="str">
            <v>ESCADA EXTENSIVEL EM ALUMINIO, COM SAPATAS DE BORRACHA, ALTURA FECHADA 3,60 M, ALTURA ESTENDIDA DE 6,0 A 6,30 M, LARGURA MINIMA DE 35 CM, CACIDADE *120* KG</v>
          </cell>
          <cell r="D1943" t="str">
            <v>UN</v>
          </cell>
          <cell r="E1943" t="str">
            <v>CR</v>
          </cell>
          <cell r="F1943">
            <v>741.13</v>
          </cell>
        </row>
        <row r="1944">
          <cell r="B1944">
            <v>45112</v>
          </cell>
          <cell r="C1944" t="str">
            <v>ESCAVADEIRA HIDRAULICA DE BRACO LONGO (LONGO ALCANCE) SOBRE ESTEIRAS, CACAMBA 0,52 M3, PESO OPERACIONAL 24 T, POTENCIA LIQUIDA 155 HP</v>
          </cell>
          <cell r="D1944" t="str">
            <v>UN</v>
          </cell>
          <cell r="E1944" t="str">
            <v>CR</v>
          </cell>
          <cell r="F1944">
            <v>1102873.95</v>
          </cell>
        </row>
        <row r="1945">
          <cell r="B1945">
            <v>14525</v>
          </cell>
          <cell r="C1945" t="str">
            <v>ESCAVADEIRA HIDRAULICA SOBRE ESTEIRAS COM CACAMBA DE 1,20 M3, PESO OPERACIONAL 21 T, POTENCIA BRUTA 155 HP</v>
          </cell>
          <cell r="D1945" t="str">
            <v>UN</v>
          </cell>
          <cell r="E1945" t="str">
            <v>CR</v>
          </cell>
          <cell r="F1945">
            <v>958843.78</v>
          </cell>
        </row>
        <row r="1946">
          <cell r="B1946">
            <v>10685</v>
          </cell>
          <cell r="C1946" t="str">
            <v>ESCAVADEIRA HIDRAULICA SOBRE ESTEIRAS, CACAMBA 0,80M3, PESO OPERACIONAL 17T, POTENCIA BRUTA 111HP</v>
          </cell>
          <cell r="D1946" t="str">
            <v>UN</v>
          </cell>
          <cell r="E1946" t="str">
            <v>C</v>
          </cell>
          <cell r="F1946">
            <v>847385.85</v>
          </cell>
        </row>
        <row r="1947">
          <cell r="B1947">
            <v>40636</v>
          </cell>
          <cell r="C1947" t="str">
            <v>ESCAVADEIRA HIDRAULICA SOBRE ESTEIRAS, CAPACIDADE DA CACAMBA ENTRE 1,20 E 1,50 M3, PESO OPERACIONAL ENTRE 20,00 E 22,00 TON, POTENCIA LIQUIDA ENTRE 150 E 155 HP, EQUIPADA COM CLAMSHELL</v>
          </cell>
          <cell r="D1947" t="str">
            <v>UN</v>
          </cell>
          <cell r="E1947" t="str">
            <v>CR</v>
          </cell>
          <cell r="F1947">
            <v>1173416.45</v>
          </cell>
        </row>
        <row r="1948">
          <cell r="B1948">
            <v>4111</v>
          </cell>
          <cell r="C1948" t="str">
            <v>ESCORA PRE-MOLDADA EM CONCRETO, *10 X 10* CM, H = 2,30M</v>
          </cell>
          <cell r="D1948" t="str">
            <v>UN</v>
          </cell>
          <cell r="E1948" t="str">
            <v>CR</v>
          </cell>
          <cell r="F1948">
            <v>47.59</v>
          </cell>
        </row>
        <row r="1949">
          <cell r="B1949">
            <v>44538</v>
          </cell>
          <cell r="C1949" t="str">
            <v>ESCOVA CIRCULAR EM ACO LATONADO, 6 X 1" (DIAMETRO X ESPESSURA), FURO DE 1 1/4", FIO ONDULADO *0,30* MM</v>
          </cell>
          <cell r="D1949" t="str">
            <v>UN</v>
          </cell>
          <cell r="E1949" t="str">
            <v>CR</v>
          </cell>
          <cell r="F1949">
            <v>61.49</v>
          </cell>
        </row>
        <row r="1950">
          <cell r="B1950">
            <v>12</v>
          </cell>
          <cell r="C1950" t="str">
            <v>ESCOVA DE ACO, COM CABO, *4 X 15* FILEIRAS DE CERDAS</v>
          </cell>
          <cell r="D1950" t="str">
            <v>UN</v>
          </cell>
          <cell r="E1950" t="str">
            <v>CR</v>
          </cell>
          <cell r="F1950">
            <v>7.75</v>
          </cell>
        </row>
        <row r="1951">
          <cell r="B1951">
            <v>37554</v>
          </cell>
          <cell r="C1951" t="str">
            <v>ESGUICHO JATO REGULAVEL, TIPO ELKHART, ENGATE RAPIDO 1 1/2", PARA COMBATE A INCENDIO</v>
          </cell>
          <cell r="D1951" t="str">
            <v>UN</v>
          </cell>
          <cell r="E1951" t="str">
            <v>CR</v>
          </cell>
          <cell r="F1951">
            <v>388.42</v>
          </cell>
        </row>
        <row r="1952">
          <cell r="B1952">
            <v>37555</v>
          </cell>
          <cell r="C1952" t="str">
            <v>ESGUICHO JATO REGULAVEL, TIPO ELKHART, ENGATE RAPIDO 2 1/2", PARA COMBATE A INCENDIO</v>
          </cell>
          <cell r="D1952" t="str">
            <v>UN</v>
          </cell>
          <cell r="E1952" t="str">
            <v>CR</v>
          </cell>
          <cell r="F1952">
            <v>472.49</v>
          </cell>
        </row>
        <row r="1953">
          <cell r="B1953">
            <v>10902</v>
          </cell>
          <cell r="C1953" t="str">
            <v>ESGUICHO TIPO JATO SOLIDO, EM LATAO, ENGATE RAPIDO 1 1/2" X 13 MM, PARA MANGUEIRA EM INSTALACAO PREDIAL COMBATE A INCENDIO</v>
          </cell>
          <cell r="D1953" t="str">
            <v>UN</v>
          </cell>
          <cell r="E1953" t="str">
            <v>CR</v>
          </cell>
          <cell r="F1953">
            <v>118.56</v>
          </cell>
        </row>
        <row r="1954">
          <cell r="B1954">
            <v>20965</v>
          </cell>
          <cell r="C1954" t="str">
            <v>ESGUICHO TIPO JATO SOLIDO, EM LATAO, ENGATE RAPIDO 1 1/2" X 16 MM, PARA MANGUEIRA EM INSTALACAO PREDIAL COMBATE A INCENDIO</v>
          </cell>
          <cell r="D1954" t="str">
            <v>UN</v>
          </cell>
          <cell r="E1954" t="str">
            <v>CR</v>
          </cell>
          <cell r="F1954">
            <v>119.66</v>
          </cell>
        </row>
        <row r="1955">
          <cell r="B1955">
            <v>20966</v>
          </cell>
          <cell r="C1955" t="str">
            <v>ESGUICHO TIPO JATO SOLIDO, EM LATAO, ENGATE RAPIDO 1 1/2" X 19 MM, PARA MANGUEIRA EM INSTALACAO PREDIAL COMBATE A INCENDIO</v>
          </cell>
          <cell r="D1955" t="str">
            <v>UN</v>
          </cell>
          <cell r="E1955" t="str">
            <v>CR</v>
          </cell>
          <cell r="F1955">
            <v>128.85</v>
          </cell>
        </row>
        <row r="1956">
          <cell r="B1956">
            <v>10903</v>
          </cell>
          <cell r="C1956" t="str">
            <v>ESGUICHO TIPO JATO SOLIDO, EM LATAO, ENGATE RAPIDO 2 1/2" X 13 MM, PARA MANGUEIRA EM INSTALACAO PREDIAL COMBATE A INCENDIO</v>
          </cell>
          <cell r="D1956" t="str">
            <v>UN</v>
          </cell>
          <cell r="E1956" t="str">
            <v>CR</v>
          </cell>
          <cell r="F1956">
            <v>195.29</v>
          </cell>
        </row>
        <row r="1957">
          <cell r="B1957">
            <v>20967</v>
          </cell>
          <cell r="C1957" t="str">
            <v>ESGUICHO TIPO JATO SOLIDO, EM LATAO, ENGATE RAPIDO 2 1/2" X 16 MM, PARA MANGUEIRA EM INSTALACAO PREDIAL COMBATE A INCENDIO</v>
          </cell>
          <cell r="D1957" t="str">
            <v>UN</v>
          </cell>
          <cell r="E1957" t="str">
            <v>CR</v>
          </cell>
          <cell r="F1957">
            <v>195.29</v>
          </cell>
        </row>
        <row r="1958">
          <cell r="B1958">
            <v>20968</v>
          </cell>
          <cell r="C1958" t="str">
            <v>ESGUICHO TIPO JATO SOLIDO, EM LATAO, ENGATE RAPIDO 2 1/2" X 19 MM, PARA MANGUEIRA EM INSTALACAO PREDIAL COMBATE A INCENDIO</v>
          </cell>
          <cell r="D1958" t="str">
            <v>UN</v>
          </cell>
          <cell r="E1958" t="str">
            <v>CR</v>
          </cell>
          <cell r="F1958">
            <v>214.19</v>
          </cell>
        </row>
        <row r="1959">
          <cell r="B1959">
            <v>39017</v>
          </cell>
          <cell r="C1959" t="str">
            <v>ESPACADOR / DISTANCIADOR CIRCULAR COM ENTRADA LATERAL, EM PLASTICO, PARA VERGALHAO *4,2 A 12,5* MM, COBRIMENTO 20 MM</v>
          </cell>
          <cell r="D1959" t="str">
            <v>UN</v>
          </cell>
          <cell r="E1959" t="str">
            <v>CR</v>
          </cell>
          <cell r="F1959">
            <v>0.22</v>
          </cell>
        </row>
        <row r="1960">
          <cell r="B1960">
            <v>39315</v>
          </cell>
          <cell r="C1960" t="str">
            <v>ESPACADOR / DISTANCIADOR TIPO GARRA DUPLA, EM PLASTICO, COBRIMENTO *20* MM, PARA FERRAGENS DE LAJES E FUNDO DE VIGAS</v>
          </cell>
          <cell r="D1960" t="str">
            <v>UN</v>
          </cell>
          <cell r="E1960" t="str">
            <v>CR</v>
          </cell>
          <cell r="F1960">
            <v>0.36</v>
          </cell>
        </row>
        <row r="1961">
          <cell r="B1961">
            <v>39016</v>
          </cell>
          <cell r="C1961" t="str">
            <v>ESPACADOR / DISTANCIADOR TIPO PINO EM PLASTICO, PARA VERGALHAO ATE 10 MM, PARA APOIO DE ARMADURA</v>
          </cell>
          <cell r="D1961" t="str">
            <v>UN</v>
          </cell>
          <cell r="E1961" t="str">
            <v>CR</v>
          </cell>
          <cell r="F1961">
            <v>0.36</v>
          </cell>
        </row>
        <row r="1962">
          <cell r="B1962">
            <v>39481</v>
          </cell>
          <cell r="C1962" t="str">
            <v>ESPACADOR OU DISTANCIADOR, EM PLASTICO, TIPO APOIO DE CORDOALHA (CARANGUEJO), PARA ARMADURA NEGATIVA E PROTENSAO, COBRIMENTO 50 MM</v>
          </cell>
          <cell r="D1962" t="str">
            <v>UN</v>
          </cell>
          <cell r="E1962" t="str">
            <v>CR</v>
          </cell>
          <cell r="F1962">
            <v>1.76</v>
          </cell>
        </row>
        <row r="1963">
          <cell r="B1963">
            <v>39013</v>
          </cell>
          <cell r="C1963" t="str">
            <v>ESPACADOR/SEPARADOR /CENTRALIZADOR DE BARRA DE ACO, PLASTICO, (CHUMBADOR TIPO CARAMBOLA - CB), DIAMETRO INTERNO ATE 20 MM</v>
          </cell>
          <cell r="D1963" t="str">
            <v>UN</v>
          </cell>
          <cell r="E1963" t="str">
            <v>CR</v>
          </cell>
          <cell r="F1963">
            <v>1.5</v>
          </cell>
        </row>
        <row r="1964">
          <cell r="B1964">
            <v>44919</v>
          </cell>
          <cell r="C1964" t="str">
            <v>ESPACADOR/SEPARADOR /CENTRALIZADOR DE BARRA DE ACO, PLASTICO, (CHUMBADOR TIPO CARAMBOLA - CB), DIAMETRO INTERNO ENTRE 25 A 32 MM</v>
          </cell>
          <cell r="D1964" t="str">
            <v>UN</v>
          </cell>
          <cell r="E1964" t="str">
            <v>CR</v>
          </cell>
          <cell r="F1964">
            <v>2.8</v>
          </cell>
        </row>
        <row r="1965">
          <cell r="B1965">
            <v>40433</v>
          </cell>
          <cell r="C1965" t="str">
            <v>ESPACADOR/SEPARADOR DE CORDOALHA TIPO DISCO 12 FUROS DE 14 MM, PARA TIRANTES</v>
          </cell>
          <cell r="D1965" t="str">
            <v>UN</v>
          </cell>
          <cell r="E1965" t="str">
            <v>CR</v>
          </cell>
          <cell r="F1965">
            <v>1.55</v>
          </cell>
        </row>
        <row r="1966">
          <cell r="B1966">
            <v>20219</v>
          </cell>
          <cell r="C1966" t="str">
            <v>ESPARGIDOR DE ASFALTO PRESSURIZADO, REBOCAVEL, TANQUE DE 2500 L, PNEUMATICO, COM MOTOR A GASOLINA 3,4HP</v>
          </cell>
          <cell r="D1966" t="str">
            <v>UN</v>
          </cell>
          <cell r="E1966" t="str">
            <v>C</v>
          </cell>
          <cell r="F1966">
            <v>131780</v>
          </cell>
        </row>
        <row r="1967">
          <cell r="B1967">
            <v>36484</v>
          </cell>
          <cell r="C1967" t="str">
            <v>ESPARGIDOR DE ASFALTO PRESSURIZADO, TANQUE 6 M3 COM ISOLACAO TERMICA, AQUECIDO COM 2 MACARICOS, COM BARRA ESPARGIDORA 3,60 M, A SER MONTADO SOBRE CAMINHAO</v>
          </cell>
          <cell r="D1967" t="str">
            <v>UN</v>
          </cell>
          <cell r="E1967" t="str">
            <v>CR</v>
          </cell>
          <cell r="F1967">
            <v>279744.94</v>
          </cell>
        </row>
        <row r="1968">
          <cell r="B1968">
            <v>38368</v>
          </cell>
          <cell r="C1968" t="str">
            <v>ESPATULA DE PLASTICO LISA, LARGURA *10* CM</v>
          </cell>
          <cell r="D1968" t="str">
            <v>UN</v>
          </cell>
          <cell r="E1968" t="str">
            <v>CR</v>
          </cell>
          <cell r="F1968">
            <v>7.42</v>
          </cell>
        </row>
        <row r="1969">
          <cell r="B1969">
            <v>38367</v>
          </cell>
          <cell r="C1969" t="str">
            <v>ESPATULA EM ACO INOX COM CABO DE MADEIRA E LARGURA DE *8* CM</v>
          </cell>
          <cell r="D1969" t="str">
            <v>UN</v>
          </cell>
          <cell r="E1969" t="str">
            <v>CR</v>
          </cell>
          <cell r="F1969">
            <v>13.84</v>
          </cell>
        </row>
        <row r="1970">
          <cell r="B1970">
            <v>38091</v>
          </cell>
          <cell r="C1970" t="str">
            <v>ESPELHO / PLACA CEGA 4" X 2", PARA INSTALACAO DE TOMADAS E INTERRUPTORES</v>
          </cell>
          <cell r="D1970" t="str">
            <v>UN</v>
          </cell>
          <cell r="E1970" t="str">
            <v>CR</v>
          </cell>
          <cell r="F1970">
            <v>2.63</v>
          </cell>
        </row>
        <row r="1971">
          <cell r="B1971">
            <v>38095</v>
          </cell>
          <cell r="C1971" t="str">
            <v>ESPELHO / PLACA CEGA 4" X 4", PARA INSTALACAO DE TOMADAS E INTERRUPTORES</v>
          </cell>
          <cell r="D1971" t="str">
            <v>UN</v>
          </cell>
          <cell r="E1971" t="str">
            <v>CR</v>
          </cell>
          <cell r="F1971">
            <v>5.58</v>
          </cell>
        </row>
        <row r="1972">
          <cell r="B1972">
            <v>38092</v>
          </cell>
          <cell r="C1972" t="str">
            <v>ESPELHO / PLACA DE 1 POSTO 4" X 2", PARA INSTALACAO DE TOMADAS E INTERRUPTORES</v>
          </cell>
          <cell r="D1972" t="str">
            <v>UN</v>
          </cell>
          <cell r="E1972" t="str">
            <v>CR</v>
          </cell>
          <cell r="F1972">
            <v>2.5</v>
          </cell>
        </row>
        <row r="1973">
          <cell r="B1973">
            <v>38093</v>
          </cell>
          <cell r="C1973" t="str">
            <v>ESPELHO / PLACA DE 2 POSTOS 4" X 2", PARA INSTALACAO DE TOMADAS E INTERRUPTORES</v>
          </cell>
          <cell r="D1973" t="str">
            <v>UN</v>
          </cell>
          <cell r="E1973" t="str">
            <v>CR</v>
          </cell>
          <cell r="F1973">
            <v>2.58</v>
          </cell>
        </row>
        <row r="1974">
          <cell r="B1974">
            <v>38096</v>
          </cell>
          <cell r="C1974" t="str">
            <v>ESPELHO / PLACA DE 2 POSTOS 4" X 4", PARA INSTALACAO DE TOMADAS E INTERRUPTORES</v>
          </cell>
          <cell r="D1974" t="str">
            <v>UN</v>
          </cell>
          <cell r="E1974" t="str">
            <v>CR</v>
          </cell>
          <cell r="F1974">
            <v>6</v>
          </cell>
        </row>
        <row r="1975">
          <cell r="B1975">
            <v>38094</v>
          </cell>
          <cell r="C1975" t="str">
            <v>ESPELHO / PLACA DE 3 POSTOS 4" X 2", PARA INSTALACAO DE TOMADAS E INTERRUPTORES</v>
          </cell>
          <cell r="D1975" t="str">
            <v>UN</v>
          </cell>
          <cell r="E1975" t="str">
            <v>CR</v>
          </cell>
          <cell r="F1975">
            <v>3.16</v>
          </cell>
        </row>
        <row r="1976">
          <cell r="B1976">
            <v>38097</v>
          </cell>
          <cell r="C1976" t="str">
            <v>ESPELHO / PLACA DE 4 POSTOS 4" X 4", PARA INSTALACAO DE TOMADAS E INTERRUPTORES</v>
          </cell>
          <cell r="D1976" t="str">
            <v>UN</v>
          </cell>
          <cell r="E1976" t="str">
            <v>CR</v>
          </cell>
          <cell r="F1976">
            <v>6.43</v>
          </cell>
        </row>
        <row r="1977">
          <cell r="B1977">
            <v>38098</v>
          </cell>
          <cell r="C1977" t="str">
            <v>ESPELHO / PLACA DE 6 POSTOS 4" X 4", PARA INSTALACAO DE TOMADAS E INTERRUPTORES</v>
          </cell>
          <cell r="D1977" t="str">
            <v>UN</v>
          </cell>
          <cell r="E1977" t="str">
            <v>CR</v>
          </cell>
          <cell r="F1977">
            <v>6.43</v>
          </cell>
        </row>
        <row r="1978">
          <cell r="B1978">
            <v>11186</v>
          </cell>
          <cell r="C1978" t="str">
            <v>ESPELHO CRISTAL E = 4 MM</v>
          </cell>
          <cell r="D1978" t="str">
            <v>M2</v>
          </cell>
          <cell r="E1978" t="str">
            <v>CR</v>
          </cell>
          <cell r="F1978">
            <v>544.66</v>
          </cell>
        </row>
        <row r="1979">
          <cell r="B1979">
            <v>11558</v>
          </cell>
          <cell r="C1979" t="str">
            <v>ESPELHO, RETO OU CURVO, EM LATAO CROMADO, ESPESSURA ATE 6 MM, LARGURA *40*MM, ALTURA *180*MM - PARA FECHADURA DE EMBUTIR</v>
          </cell>
          <cell r="D1979" t="str">
            <v>PAR</v>
          </cell>
          <cell r="E1979" t="str">
            <v>CR</v>
          </cell>
          <cell r="F1979">
            <v>14.34</v>
          </cell>
        </row>
        <row r="1980">
          <cell r="B1980">
            <v>11557</v>
          </cell>
          <cell r="C1980" t="str">
            <v>ESPELHO, RETO OU CURVO, EM LATAO CROMADO, ESPESSURA MINIMA 6 MM, LARGURA *43*MM, ALTURA *230*MM - PARA FECHADURA DE EMBUTIR</v>
          </cell>
          <cell r="D1980" t="str">
            <v>PAR</v>
          </cell>
          <cell r="E1980" t="str">
            <v>CR</v>
          </cell>
          <cell r="F1980">
            <v>36.29</v>
          </cell>
        </row>
        <row r="1981">
          <cell r="B1981">
            <v>2759</v>
          </cell>
          <cell r="C1981" t="str">
            <v>ESPOLETA SIMPLES N 8.</v>
          </cell>
          <cell r="D1981" t="str">
            <v>UN</v>
          </cell>
          <cell r="E1981" t="str">
            <v>C</v>
          </cell>
          <cell r="F1981">
            <v>9.68</v>
          </cell>
        </row>
        <row r="1982">
          <cell r="B1982">
            <v>38124</v>
          </cell>
          <cell r="C1982" t="str">
            <v>ESPUMA EXPANSIVA DE POLIURETANO, APLICACAO MANUAL - 500 ML</v>
          </cell>
          <cell r="D1982" t="str">
            <v>UN</v>
          </cell>
          <cell r="E1982" t="str">
            <v>C</v>
          </cell>
          <cell r="F1982">
            <v>28</v>
          </cell>
        </row>
        <row r="1983">
          <cell r="B1983">
            <v>38380</v>
          </cell>
          <cell r="C1983" t="str">
            <v>ESQUADRO DE ACO 12" (300 MM), CABO DE ALUMINIO</v>
          </cell>
          <cell r="D1983" t="str">
            <v>UN</v>
          </cell>
          <cell r="E1983" t="str">
            <v>CR</v>
          </cell>
          <cell r="F1983">
            <v>23.02</v>
          </cell>
        </row>
        <row r="1984">
          <cell r="B1984">
            <v>45278</v>
          </cell>
          <cell r="C1984" t="str">
            <v>ESQUADRO PARA SOLDA, EM ALUMINIO, 65 MM, COM DUAS MORSAS (GRAMPO SARGENTO)</v>
          </cell>
          <cell r="D1984" t="str">
            <v>UN</v>
          </cell>
          <cell r="E1984" t="str">
            <v>CR</v>
          </cell>
          <cell r="F1984">
            <v>106.91</v>
          </cell>
        </row>
        <row r="1985">
          <cell r="B1985">
            <v>42429</v>
          </cell>
          <cell r="C1985" t="str">
            <v>ESQUI TRIPLO, EM TUBO DE ACO CARBONO, PINTURA NO PROCESSO ELETROSTATICO - EQUIPAMENTO DE GINASTICA PARA ACADEMIA AO AR LIVRE / ACADEMIA DA TERCEIRA IDADE - ATI</v>
          </cell>
          <cell r="D1985" t="str">
            <v>UN</v>
          </cell>
          <cell r="E1985" t="str">
            <v>CR</v>
          </cell>
          <cell r="F1985">
            <v>6025.1</v>
          </cell>
        </row>
        <row r="1986">
          <cell r="B1986">
            <v>38538</v>
          </cell>
          <cell r="C1986" t="str">
            <v>ESTACA PRE-MOLDADA MACICA DE CONCRETO VIBRADO ARMADO, PARA CARGA DE 25 T, SECAO QUADRADA DE *16 X 16*, COM ANEL METALICO INCORPORADO A PECA (SOMENTE FORNECIMENTO)</v>
          </cell>
          <cell r="D1986" t="str">
            <v>M</v>
          </cell>
          <cell r="E1986" t="str">
            <v>C</v>
          </cell>
          <cell r="F1986">
            <v>86</v>
          </cell>
        </row>
        <row r="1987">
          <cell r="B1987">
            <v>38539</v>
          </cell>
          <cell r="C1987" t="str">
            <v>ESTACA PRE-MOLDADA MACICA DE CONCRETO VIBRADO ARMADO, PARA CARGA DE 50 T, SECAO QUADRADA, COM ANEL METALICO INCORPORADO A PECA (SOMENTE FORNECIMENTO)</v>
          </cell>
          <cell r="D1987" t="str">
            <v>M</v>
          </cell>
          <cell r="E1987" t="str">
            <v>CR</v>
          </cell>
          <cell r="F1987">
            <v>116.95</v>
          </cell>
        </row>
        <row r="1988">
          <cell r="B1988">
            <v>38540</v>
          </cell>
          <cell r="C1988" t="str">
            <v>ESTACA PRE-MOLDADA VAZADA DE CONCRETO CENTRIFUGADO, PARA CARGA DE 100 T, SECAO CIRCULAR, COM ANEL METALICO INCORPORADO A PECA (SOMENTE FORNECIMENTO)</v>
          </cell>
          <cell r="D1988" t="str">
            <v>M</v>
          </cell>
          <cell r="E1988" t="str">
            <v>CR</v>
          </cell>
          <cell r="F1988">
            <v>299.70999999999998</v>
          </cell>
        </row>
        <row r="1989">
          <cell r="B1989">
            <v>38384</v>
          </cell>
          <cell r="C1989" t="str">
            <v>ESTILETE DE METAL, LAMINA 18 MM</v>
          </cell>
          <cell r="D1989" t="str">
            <v>UN</v>
          </cell>
          <cell r="E1989" t="str">
            <v>CR</v>
          </cell>
          <cell r="F1989">
            <v>16.579999999999998</v>
          </cell>
        </row>
        <row r="1990">
          <cell r="B1990">
            <v>13</v>
          </cell>
          <cell r="C1990" t="str">
            <v>ESTOPA</v>
          </cell>
          <cell r="D1990" t="str">
            <v>KG</v>
          </cell>
          <cell r="E1990" t="str">
            <v>CR</v>
          </cell>
          <cell r="F1990">
            <v>20.420000000000002</v>
          </cell>
        </row>
        <row r="1991">
          <cell r="B1991">
            <v>2762</v>
          </cell>
          <cell r="C1991" t="str">
            <v>ESTOPIM SIMPLES</v>
          </cell>
          <cell r="D1991" t="str">
            <v>M</v>
          </cell>
          <cell r="E1991" t="str">
            <v>CR</v>
          </cell>
          <cell r="F1991">
            <v>12.1</v>
          </cell>
        </row>
        <row r="1992">
          <cell r="B1992">
            <v>21142</v>
          </cell>
          <cell r="C1992" t="str">
            <v>ESTRIBO COM PARAFUSO EM CHAPA DE FERRO FUNDIDO DE 2" X 3/16" X 35 CM, SECAO "U", PARA MADEIRAMENTO DE TELHADO</v>
          </cell>
          <cell r="D1992" t="str">
            <v>UN</v>
          </cell>
          <cell r="E1992" t="str">
            <v>CR</v>
          </cell>
          <cell r="F1992">
            <v>32.29</v>
          </cell>
        </row>
        <row r="1993">
          <cell r="B1993">
            <v>37372</v>
          </cell>
          <cell r="C1993" t="str">
            <v>EXAMES - HORISTA (COLETADO CAIXA - ENCARGOS COMPLEMENTARES)</v>
          </cell>
          <cell r="D1993" t="str">
            <v>H</v>
          </cell>
          <cell r="E1993" t="str">
            <v>C</v>
          </cell>
          <cell r="F1993">
            <v>1.43</v>
          </cell>
        </row>
        <row r="1994">
          <cell r="B1994">
            <v>40863</v>
          </cell>
          <cell r="C1994" t="str">
            <v>EXAMES - MENSALISTA (COLETADO CAIXA - ENCARGOS COMPLEMENTARES)</v>
          </cell>
          <cell r="D1994" t="str">
            <v>MES</v>
          </cell>
          <cell r="E1994" t="str">
            <v>C</v>
          </cell>
          <cell r="F1994">
            <v>237.03</v>
          </cell>
        </row>
        <row r="1995">
          <cell r="B1995">
            <v>38475</v>
          </cell>
          <cell r="C1995" t="str">
            <v>EXTENSAO DE SOLDA 201 ACETILENO, E = *1,5 A 2,5* MM (N2)</v>
          </cell>
          <cell r="D1995" t="str">
            <v>UN</v>
          </cell>
          <cell r="E1995" t="str">
            <v>CR</v>
          </cell>
          <cell r="F1995">
            <v>56.46</v>
          </cell>
        </row>
        <row r="1996">
          <cell r="B1996">
            <v>38474</v>
          </cell>
          <cell r="C1996" t="str">
            <v>EXTENSAO DE SOLDA 201 GLP, E = *2,5 A 4,0* MM (N4)</v>
          </cell>
          <cell r="D1996" t="str">
            <v>UN</v>
          </cell>
          <cell r="E1996" t="str">
            <v>CR</v>
          </cell>
          <cell r="F1996">
            <v>57.24</v>
          </cell>
        </row>
        <row r="1997">
          <cell r="B1997">
            <v>10886</v>
          </cell>
          <cell r="C1997" t="str">
            <v>EXTINTOR DE INCENDIO PORTATIL COM CARGA DE AGUA PRESSURIZADA DE 10 L, CLASSE A</v>
          </cell>
          <cell r="D1997" t="str">
            <v>UN</v>
          </cell>
          <cell r="E1997" t="str">
            <v>CR</v>
          </cell>
          <cell r="F1997">
            <v>200.81</v>
          </cell>
        </row>
        <row r="1998">
          <cell r="B1998">
            <v>10888</v>
          </cell>
          <cell r="C1998" t="str">
            <v>EXTINTOR DE INCENDIO PORTATIL COM CARGA DE GAS CARBONICO CO2 DE 4 KG, CLASSE BC</v>
          </cell>
          <cell r="D1998" t="str">
            <v>UN</v>
          </cell>
          <cell r="E1998" t="str">
            <v>CR</v>
          </cell>
          <cell r="F1998">
            <v>635.53</v>
          </cell>
        </row>
        <row r="1999">
          <cell r="B1999">
            <v>10889</v>
          </cell>
          <cell r="C1999" t="str">
            <v>EXTINTOR DE INCENDIO PORTATIL COM CARGA DE GAS CARBONICO CO2 DE 6 KG, CLASSE BC</v>
          </cell>
          <cell r="D1999" t="str">
            <v>UN</v>
          </cell>
          <cell r="E1999" t="str">
            <v>CR</v>
          </cell>
          <cell r="F1999">
            <v>688.5</v>
          </cell>
        </row>
        <row r="2000">
          <cell r="B2000">
            <v>10890</v>
          </cell>
          <cell r="C2000" t="str">
            <v>EXTINTOR DE INCENDIO PORTATIL COM CARGA DE PO QUIMICO SECO (PQS) DE 12 KG, CLASSE BC</v>
          </cell>
          <cell r="D2000" t="str">
            <v>UN</v>
          </cell>
          <cell r="E2000" t="str">
            <v>CR</v>
          </cell>
          <cell r="F2000">
            <v>317.76</v>
          </cell>
        </row>
        <row r="2001">
          <cell r="B2001">
            <v>10891</v>
          </cell>
          <cell r="C2001" t="str">
            <v>EXTINTOR DE INCENDIO PORTATIL COM CARGA DE PO QUIMICO SECO (PQS) DE 4 KG, CLASSE BC</v>
          </cell>
          <cell r="D2001" t="str">
            <v>UN</v>
          </cell>
          <cell r="E2001" t="str">
            <v>CR</v>
          </cell>
          <cell r="F2001">
            <v>194.19</v>
          </cell>
        </row>
        <row r="2002">
          <cell r="B2002">
            <v>10892</v>
          </cell>
          <cell r="C2002" t="str">
            <v>EXTINTOR DE INCENDIO PORTATIL COM CARGA DE PO QUIMICO SECO (PQS) DE 6 KG, CLASSE BC</v>
          </cell>
          <cell r="D2002" t="str">
            <v>UN</v>
          </cell>
          <cell r="E2002" t="str">
            <v>C</v>
          </cell>
          <cell r="F2002">
            <v>229.5</v>
          </cell>
        </row>
        <row r="2003">
          <cell r="B2003">
            <v>20977</v>
          </cell>
          <cell r="C2003" t="str">
            <v>EXTINTOR DE INCENDIO PORTATIL COM CARGA DE PO QUIMICO SECO (PQS) DE 8 KG, CLASSE BC</v>
          </cell>
          <cell r="D2003" t="str">
            <v>UN</v>
          </cell>
          <cell r="E2003" t="str">
            <v>CR</v>
          </cell>
          <cell r="F2003">
            <v>273.63</v>
          </cell>
        </row>
        <row r="2004">
          <cell r="B2004">
            <v>3073</v>
          </cell>
          <cell r="C2004" t="str">
            <v>EXTREMIDADE PVC PBA, BF, JE, DN 100/ DE 110 MM</v>
          </cell>
          <cell r="D2004" t="str">
            <v>UN</v>
          </cell>
          <cell r="E2004" t="str">
            <v>CR</v>
          </cell>
          <cell r="F2004">
            <v>245.92</v>
          </cell>
        </row>
        <row r="2005">
          <cell r="B2005">
            <v>3074</v>
          </cell>
          <cell r="C2005" t="str">
            <v>EXTREMIDADE PVC PBA, BF, JE, DN 75/ DE 85 MM</v>
          </cell>
          <cell r="D2005" t="str">
            <v>UN</v>
          </cell>
          <cell r="E2005" t="str">
            <v>CR</v>
          </cell>
          <cell r="F2005">
            <v>155.26</v>
          </cell>
        </row>
        <row r="2006">
          <cell r="B2006">
            <v>3076</v>
          </cell>
          <cell r="C2006" t="str">
            <v>EXTREMIDADE PVC PBA, PF, JE, DN 100 / DE 110 MM</v>
          </cell>
          <cell r="D2006" t="str">
            <v>UN</v>
          </cell>
          <cell r="E2006" t="str">
            <v>CR</v>
          </cell>
          <cell r="F2006">
            <v>202.17</v>
          </cell>
        </row>
        <row r="2007">
          <cell r="B2007">
            <v>3075</v>
          </cell>
          <cell r="C2007" t="str">
            <v>EXTREMIDADE PVC PBA, PF, JE, DN 75 / DE 85 MM</v>
          </cell>
          <cell r="D2007" t="str">
            <v>UN</v>
          </cell>
          <cell r="E2007" t="str">
            <v>CR</v>
          </cell>
          <cell r="F2007">
            <v>127.76</v>
          </cell>
        </row>
        <row r="2008">
          <cell r="B2008">
            <v>10781</v>
          </cell>
          <cell r="C2008" t="str">
            <v>EXTREMIDADE/TUBETE PARA HIDROMETRO PVC, COM ROSCA, CURTA, COM BUCHA LATAO, 3/4" OU 1/2"</v>
          </cell>
          <cell r="D2008" t="str">
            <v>UN</v>
          </cell>
          <cell r="E2008" t="str">
            <v>CR</v>
          </cell>
          <cell r="F2008">
            <v>17.32</v>
          </cell>
        </row>
        <row r="2009">
          <cell r="B2009">
            <v>11480</v>
          </cell>
          <cell r="C2009" t="str">
            <v>FECHADURA AUXILIAR DE SEGURANCA PARA PORTA EXTERNA, EM ACO INOX, BROCA DE 45 A 55 MM, LINGUETA COM 3 AVANCOS, INCLUINDO 2 CHAVES TIPO CILINDRO</v>
          </cell>
          <cell r="D2009" t="str">
            <v>CJ</v>
          </cell>
          <cell r="E2009" t="str">
            <v>CR</v>
          </cell>
          <cell r="F2009">
            <v>148.88999999999999</v>
          </cell>
        </row>
        <row r="2010">
          <cell r="B2010">
            <v>43612</v>
          </cell>
          <cell r="C2010" t="str">
            <v>FECHADURA BICO DE PAPAGAIO PARA PORTA DE CORRER EXTERNA, EM ACO INOX COM ACABAMENTO CROMADO, MAQUINA COM 45 MM, INCLUINDO CHAVE TIPO CILINDRO</v>
          </cell>
          <cell r="D2010" t="str">
            <v>CJ</v>
          </cell>
          <cell r="E2010" t="str">
            <v>CR</v>
          </cell>
          <cell r="F2010">
            <v>117.19</v>
          </cell>
        </row>
        <row r="2011">
          <cell r="B2011">
            <v>43613</v>
          </cell>
          <cell r="C2011" t="str">
            <v>FECHADURA BICO DE PAPAGAIO PARA PORTA DE CORRER INTERNA, EM ACO INOX COM ACABAMENTO CROMADO, MAQUINA COM 45 MM, INCLUINDO CHAVE TIPO BIPARTIDA</v>
          </cell>
          <cell r="D2011" t="str">
            <v>CJ</v>
          </cell>
          <cell r="E2011" t="str">
            <v>CR</v>
          </cell>
          <cell r="F2011">
            <v>97.02</v>
          </cell>
        </row>
        <row r="2012">
          <cell r="B2012">
            <v>11469</v>
          </cell>
          <cell r="C2012" t="str">
            <v>FECHADURA DE EMBUTIR PARA GAVETA E MOVEIS DE MADEIRA, EM ACO INOX COM ACABAMENTO CROMADO, COM ABAS LATERAIS, CILINDRO COM 22 MM DE DIAMETRO, INCLUINDO CHAVE COM PERFIL METALICO E CAPA ESCAMOTEAVEL</v>
          </cell>
          <cell r="D2012" t="str">
            <v>UN</v>
          </cell>
          <cell r="E2012" t="str">
            <v>CR</v>
          </cell>
          <cell r="F2012">
            <v>15.89</v>
          </cell>
        </row>
        <row r="2013">
          <cell r="B2013">
            <v>11468</v>
          </cell>
          <cell r="C2013" t="str">
            <v>FECHADURA DE SOBREPOR PARA GAVETAS E ARMARIOS, EM ACO INOX COM ACABAMENTO CROMADO, COM CILINDRO DE APROX 20 MM</v>
          </cell>
          <cell r="D2013" t="str">
            <v>UN</v>
          </cell>
          <cell r="E2013" t="str">
            <v>CR</v>
          </cell>
          <cell r="F2013">
            <v>15.9</v>
          </cell>
        </row>
        <row r="2014">
          <cell r="B2014">
            <v>11484</v>
          </cell>
          <cell r="C2014" t="str">
            <v>FECHADURA DE SOBREPOR PARA PORTAO, EM ACO INOX COM ACABAMENTO CROMADO, CAIXA DE 100 MM, INCLUINDO CHAVE TIPO CILINDRO</v>
          </cell>
          <cell r="D2014" t="str">
            <v>UN</v>
          </cell>
          <cell r="E2014" t="str">
            <v>CR</v>
          </cell>
          <cell r="F2014">
            <v>69.849999999999994</v>
          </cell>
        </row>
        <row r="2015">
          <cell r="B2015">
            <v>38155</v>
          </cell>
          <cell r="C2015" t="str">
            <v>FECHADURA DE SOBREPOR PARA PORTAO, EM ACO INOX COM ACABAMENTO CROMADO, CAIXA DE 100 MM, INCLUINDO CHAVE TIPO TETRA</v>
          </cell>
          <cell r="D2015" t="str">
            <v>UN</v>
          </cell>
          <cell r="E2015" t="str">
            <v>CR</v>
          </cell>
          <cell r="F2015">
            <v>108.45</v>
          </cell>
        </row>
        <row r="2016">
          <cell r="B2016">
            <v>11467</v>
          </cell>
          <cell r="C2016" t="str">
            <v>FECHADURA DE SOBREPOR TIPO CAIXAO, EM FERRO COM ACABAMENTO RESINADO, SEM MACANETA, SEM CILINDRO, INCLUINDO CHAVE TIPO SIMPLES</v>
          </cell>
          <cell r="D2016" t="str">
            <v>UN</v>
          </cell>
          <cell r="E2016" t="str">
            <v>CR</v>
          </cell>
          <cell r="F2016">
            <v>24.78</v>
          </cell>
        </row>
        <row r="2017">
          <cell r="B2017">
            <v>38153</v>
          </cell>
          <cell r="C2017" t="str">
            <v>FECHADURA ESPELHO PARA PORTA DE BANHEIRO, EM ACO INOX (MAQUINA, TESTA E CONTRA-TESTA) E EM ZAMAC (MACANETA, LINGUETA E TRINCOS) COM ACABAMENTO CROMADO, MAQUINA DE 40 MM, INCLUINDO CHAVE TIPO TRANQUETA</v>
          </cell>
          <cell r="D2017" t="str">
            <v>CJ</v>
          </cell>
          <cell r="E2017" t="str">
            <v>CR</v>
          </cell>
          <cell r="F2017">
            <v>63.3</v>
          </cell>
        </row>
        <row r="2018">
          <cell r="B2018">
            <v>43607</v>
          </cell>
          <cell r="C2018" t="str">
            <v>FECHADURA ESPELHO PARA PORTA DE BANHEIRO, EM ACO INOX (MAQUINA, TESTA E CONTRA-TESTA) E EM ZAMAC (MACANETA, LINGUETA E TRINCOS) COM ACABAMENTO CROMADO, MAQUINA DE 55 MM, INCLUINDO CHAVE TIPO TRANQUETA (CONJUNTO DE FECHADURAS)</v>
          </cell>
          <cell r="D2018" t="str">
            <v>CJ</v>
          </cell>
          <cell r="E2018" t="str">
            <v>CR</v>
          </cell>
          <cell r="F2018">
            <v>119.73</v>
          </cell>
        </row>
        <row r="2019">
          <cell r="B2019">
            <v>3080</v>
          </cell>
          <cell r="C2019" t="str">
            <v>FECHADURA ESPELHO PARA PORTA EXTERNA, EM ACO INOX (MAQUINA, TESTA E CONTRA-TESTA) E EM ZAMAC (MACANETA, LINGUETA E TRINCOS) COM ACABAMENTO CROMADO, MAQUINA DE 40 MM, INCLUINDO CHAVE TIPO CILINDRO</v>
          </cell>
          <cell r="D2019" t="str">
            <v>CJ</v>
          </cell>
          <cell r="E2019" t="str">
            <v>C</v>
          </cell>
          <cell r="F2019">
            <v>80.5</v>
          </cell>
        </row>
        <row r="2020">
          <cell r="B2020">
            <v>3081</v>
          </cell>
          <cell r="C2020" t="str">
            <v>FECHADURA ESPELHO PARA PORTA EXTERNA, EM ACO INOX (MAQUINA, TESTA E CONTRA-TESTA) E EM ZAMAC (MACANETA, LINGUETA E TRINCOS) COM ACABAMENTO CROMADO, MAQUINA DE 55 MM, INCLUINDO CHAVE TIPO CILINDRO</v>
          </cell>
          <cell r="D2020" t="str">
            <v>CJ</v>
          </cell>
          <cell r="E2020" t="str">
            <v>CR</v>
          </cell>
          <cell r="F2020">
            <v>159.27000000000001</v>
          </cell>
        </row>
        <row r="2021">
          <cell r="B2021">
            <v>3090</v>
          </cell>
          <cell r="C2021" t="str">
            <v>FECHADURA ESPELHO PARA PORTA INTERNA, EM ACO INOX (MAQUINA, TESTA E CONTRA-TESTA) E EM ZAMAC (MACANETA, LINGUETA E TRINCOS) COM ACABAMENTO CROMADO, MAQUINA DE 40 MM, INCLUINDO CHAVE TIPO INTERNA</v>
          </cell>
          <cell r="D2021" t="str">
            <v>CJ</v>
          </cell>
          <cell r="E2021" t="str">
            <v>CR</v>
          </cell>
          <cell r="F2021">
            <v>71.849999999999994</v>
          </cell>
        </row>
        <row r="2022">
          <cell r="B2022">
            <v>43611</v>
          </cell>
          <cell r="C2022" t="str">
            <v>FECHADURA ESPELHO PARA PORTA INTERNA, EM ACO INOX (MAQUINA, TESTA E CONTRA-TESTA) E EM ZAMAC (MACANETA, LINGUETA E TRINCOS) COM ACABAMENTO CROMADO, MAQUINA DE 55 MM, INCLUINDO CHAVE TIPO INTERNA</v>
          </cell>
          <cell r="D2022" t="str">
            <v>CJ</v>
          </cell>
          <cell r="E2022" t="str">
            <v>CR</v>
          </cell>
          <cell r="F2022">
            <v>119.23</v>
          </cell>
        </row>
        <row r="2023">
          <cell r="B2023">
            <v>3103</v>
          </cell>
          <cell r="C2023" t="str">
            <v>FECHADURA PARA PORTA PIVOTANTE DE VIDRO TEMPERADO, EM ACO INOX COM ACABAMENTO CROMADO, RECORTE PADRAO SANTA MARINA, COM CILINDRO EM LATAO, INCLUINDO CHAVE TIPO CILINDRO</v>
          </cell>
          <cell r="D2023" t="str">
            <v>UN</v>
          </cell>
          <cell r="E2023" t="str">
            <v>CR</v>
          </cell>
          <cell r="F2023">
            <v>59.57</v>
          </cell>
        </row>
        <row r="2024">
          <cell r="B2024">
            <v>3097</v>
          </cell>
          <cell r="C2024" t="str">
            <v>FECHADURA ROSETA REDONDA PARA PORTA DE BANHEIRO, EM ACO INOX (MAQUINA, TESTA E CONTRA-TESTA) E EM ZAMAC (MACANETA, LINGUETA E TRINCOS) COM ACABAMENTO CROMADO, MAQUINA DE 40 MM, INCLUINDO CHAVE TIPO TRANQUETA</v>
          </cell>
          <cell r="D2024" t="str">
            <v>CJ</v>
          </cell>
          <cell r="E2024" t="str">
            <v>CR</v>
          </cell>
          <cell r="F2024">
            <v>90.13</v>
          </cell>
        </row>
        <row r="2025">
          <cell r="B2025">
            <v>3099</v>
          </cell>
          <cell r="C2025" t="str">
            <v>FECHADURA ROSETA REDONDA PARA PORTA DE BANHEIRO, EM ACO INOX (MAQUINA, TESTA E CONTRA-TESTA) E EM ZAMAC (MACANETA, LINGUETA E TRINCOS) COM ACABAMENTO CROMADO, MAQUINA DE 55 MM, INCLUINDO CHAVE TIPO TRANQUETA</v>
          </cell>
          <cell r="D2025" t="str">
            <v>CJ</v>
          </cell>
          <cell r="E2025" t="str">
            <v>CR</v>
          </cell>
          <cell r="F2025">
            <v>144.32</v>
          </cell>
        </row>
        <row r="2026">
          <cell r="B2026">
            <v>38151</v>
          </cell>
          <cell r="C2026" t="str">
            <v>FECHADURA ROSETA REDONDA PARA PORTA EXTERNA, EM ACO INOX (MAQUINA, TESTA E CONTRA-TESTA) E EM ZAMAC (MACANETA, LINGUETA E TRINCOS) COM ACABAMENTO CROMADO, MAQUINA DE 40 MM, INCLUINDO CHAVE TIPO CILINDRO</v>
          </cell>
          <cell r="D2026" t="str">
            <v>CJ</v>
          </cell>
          <cell r="E2026" t="str">
            <v>CR</v>
          </cell>
          <cell r="F2026">
            <v>104.63</v>
          </cell>
        </row>
        <row r="2027">
          <cell r="B2027">
            <v>38152</v>
          </cell>
          <cell r="C2027" t="str">
            <v>FECHADURA ROSETA REDONDA PARA PORTA EXTERNA, EM ACO INOX (MAQUINA, TESTA E CONTRA-TESTA) E EM ZAMAC (MACANETA, LINGUETA E TRINCOS) COM ACABAMENTO CROMADO, MAQUINA DE 55 MM, INCLUINDO CHAVE TIPO CILINDRO</v>
          </cell>
          <cell r="D2027" t="str">
            <v>CJ</v>
          </cell>
          <cell r="E2027" t="str">
            <v>CR</v>
          </cell>
          <cell r="F2027">
            <v>168.78</v>
          </cell>
        </row>
        <row r="2028">
          <cell r="B2028">
            <v>43610</v>
          </cell>
          <cell r="C2028" t="str">
            <v>FECHADURA ROSETA REDONDA PARA PORTA INTERNA, EM ACO INOX (MAQUINA, TESTA E CONTRA-TESTA) E EM ZAMAC (MACANETA, LINGUETA E TRINCOS) COM ACABAMENTO CROMADO, MAQUINA DE 40 MM, INCLUINDO CHAVE TIPO INTERNA (CONJUNTO DE FECHADURAS)</v>
          </cell>
          <cell r="D2028" t="str">
            <v>CJ</v>
          </cell>
          <cell r="E2028" t="str">
            <v>CR</v>
          </cell>
          <cell r="F2028">
            <v>89.43</v>
          </cell>
        </row>
        <row r="2029">
          <cell r="B2029">
            <v>3093</v>
          </cell>
          <cell r="C2029" t="str">
            <v>FECHADURA ROSETA REDONDA PARA PORTA INTERNA, EM ACO INOX (MAQUINA, TESTA E CONTRA-TESTA) E EM ZAMAC (MACANETA, LINGUETA E TRINCOS) COM ACABAMENTO CROMADO, MAQUINA DE 55 MM, INCLUINDO CHAVE TIPO INTERNA</v>
          </cell>
          <cell r="D2029" t="str">
            <v>CJ</v>
          </cell>
          <cell r="E2029" t="str">
            <v>CR</v>
          </cell>
          <cell r="F2029">
            <v>144.32</v>
          </cell>
        </row>
        <row r="2030">
          <cell r="B2030">
            <v>38165</v>
          </cell>
          <cell r="C2030" t="str">
            <v>FECHO / FECHADURA COM PUXADOR CONCHA, COM TRANCA TIPO TRAVA, PARA JANELA / PORTA DE CORRER (INCLUI TESTA, FECHADURA, PUXADOR) - COMPLETA</v>
          </cell>
          <cell r="D2030" t="str">
            <v>CJ</v>
          </cell>
          <cell r="E2030" t="str">
            <v>CR</v>
          </cell>
          <cell r="F2030">
            <v>68.97</v>
          </cell>
        </row>
        <row r="2031">
          <cell r="B2031">
            <v>38177</v>
          </cell>
          <cell r="C2031" t="str">
            <v>FECHO / TRINCO TIPO AVIAO, EM ZAMAC CROMADO, *60* MM, PARA JANELAS - INCLUI PARAFUSOS</v>
          </cell>
          <cell r="D2031" t="str">
            <v>UN</v>
          </cell>
          <cell r="E2031" t="str">
            <v>CR</v>
          </cell>
          <cell r="F2031">
            <v>20.49</v>
          </cell>
        </row>
        <row r="2032">
          <cell r="B2032">
            <v>11458</v>
          </cell>
          <cell r="C2032" t="str">
            <v>FECHO DE SEGURANCA, TIPO BATOM, EM LATAO / ZAMAC, CROMADO, PARA PORTAS E JANELAS - INCLUI PARAFUSOS</v>
          </cell>
          <cell r="D2032" t="str">
            <v>UN</v>
          </cell>
          <cell r="E2032" t="str">
            <v>CR</v>
          </cell>
          <cell r="F2032">
            <v>24.47</v>
          </cell>
        </row>
        <row r="2033">
          <cell r="B2033">
            <v>3108</v>
          </cell>
          <cell r="C2033" t="str">
            <v>FECHO QUEBRA UNHA, EM LATAO COM ACABAMENTO CROMADO, DE EMBUTIR, COM COMANDO ALAVANCA, ALTURA DE DE 22 CM, LARGURA MINIMA DE 1,90 CM E ESPESSURA MINIMA DE 1,90 MM, PARA PORTAS E JANELAS (INCLUI PARAFUSOS)</v>
          </cell>
          <cell r="D2033" t="str">
            <v>UN</v>
          </cell>
          <cell r="E2033" t="str">
            <v>CR</v>
          </cell>
          <cell r="F2033">
            <v>104.01</v>
          </cell>
        </row>
        <row r="2034">
          <cell r="B2034">
            <v>3105</v>
          </cell>
          <cell r="C2034" t="str">
            <v>FECHO QUEBRA UNHA, EM LATAO COM ACABAMENTO CROMADO, DE EMBUTIR, COM COMANDO ALAVANCA, ALTURA DE DE 40 CM, LARGURA MINIMA DE 1,90 CM E ESPESSURA MINIMA DE 1,90 MM, PARA PORTAS E JANELAS (INCLUI PARAFUSOS)</v>
          </cell>
          <cell r="D2034" t="str">
            <v>UN</v>
          </cell>
          <cell r="E2034" t="str">
            <v>CR</v>
          </cell>
          <cell r="F2034">
            <v>136.04</v>
          </cell>
        </row>
        <row r="2035">
          <cell r="B2035">
            <v>38178</v>
          </cell>
          <cell r="C2035" t="str">
            <v>FECHO QUEBRA UNHA, EM LATAO COM ACABAMENTO CROMADO, DE EMBUTIR, COM COMANDO DESLIZANTE, ALTURA DE 12 CM, LARGURA MINIMA DE 1,90 CM E ESPESSURA MINIMA DE 1,90 MM</v>
          </cell>
          <cell r="D2035" t="str">
            <v>UN</v>
          </cell>
          <cell r="E2035" t="str">
            <v>CR</v>
          </cell>
          <cell r="F2035">
            <v>22.55</v>
          </cell>
        </row>
        <row r="2036">
          <cell r="B2036">
            <v>43575</v>
          </cell>
          <cell r="C2036" t="str">
            <v>FECHO QUEBRA UNHA, EM LATAO COM ACABAMENTO CROMADO, DE EMBUTIR, COM COMANDO DESLIZANTE, ALTURA DE 22 CM, LARGURA MINIMA DE 1,90 CM E ESPESSURA MINIMA DE 1,90 MM</v>
          </cell>
          <cell r="D2036" t="str">
            <v>UN</v>
          </cell>
          <cell r="E2036" t="str">
            <v>CR</v>
          </cell>
          <cell r="F2036">
            <v>48.86</v>
          </cell>
        </row>
        <row r="2037">
          <cell r="B2037">
            <v>43577</v>
          </cell>
          <cell r="C2037" t="str">
            <v>FECHO QUEBRA UNHA, EM LATAO COM ACABAMENTO CROMADO, DE EMBUTIR, COM COMANDO DESLIZANTE, ALTURA DE 40 CM, LARGURA MINIMA DE 1,90 CM E ESPESSURA MINIMA DE 1,90 MM</v>
          </cell>
          <cell r="D2037" t="str">
            <v>UN</v>
          </cell>
          <cell r="E2037" t="str">
            <v>CR</v>
          </cell>
          <cell r="F2037">
            <v>84.94</v>
          </cell>
        </row>
        <row r="2038">
          <cell r="B2038">
            <v>43458</v>
          </cell>
          <cell r="C2038" t="str">
            <v>FERRAMENTAS - FAMILIA ALMOXARIFE - HORISTA (ENCARGOS COMPLEMENTARES - COLETADO CAIXA)</v>
          </cell>
          <cell r="D2038" t="str">
            <v>H</v>
          </cell>
          <cell r="E2038" t="str">
            <v>C</v>
          </cell>
          <cell r="F2038">
            <v>0.05</v>
          </cell>
        </row>
        <row r="2039">
          <cell r="B2039">
            <v>43470</v>
          </cell>
          <cell r="C2039" t="str">
            <v>FERRAMENTAS - FAMILIA ALMOXARIFE - MENSALISTA (ENCARGOS COMPLEMENTARES - COLETADO CAIXA)</v>
          </cell>
          <cell r="D2039" t="str">
            <v>MES</v>
          </cell>
          <cell r="E2039" t="str">
            <v>C</v>
          </cell>
          <cell r="F2039">
            <v>9.52</v>
          </cell>
        </row>
        <row r="2040">
          <cell r="B2040">
            <v>43459</v>
          </cell>
          <cell r="C2040" t="str">
            <v>FERRAMENTAS - FAMILIA CARPINTEIRO DE FORMAS - HORISTA (ENCARGOS COMPLEMENTARES - COLETADO CAIXA)</v>
          </cell>
          <cell r="D2040" t="str">
            <v>H</v>
          </cell>
          <cell r="E2040" t="str">
            <v>C</v>
          </cell>
          <cell r="F2040">
            <v>0.28999999999999998</v>
          </cell>
        </row>
        <row r="2041">
          <cell r="B2041">
            <v>43471</v>
          </cell>
          <cell r="C2041" t="str">
            <v>FERRAMENTAS - FAMILIA CARPINTEIRO DE FORMAS - MENSALISTA (ENCARGOS COMPLEMENTARES - COLETADO CAIXA)</v>
          </cell>
          <cell r="D2041" t="str">
            <v>MES</v>
          </cell>
          <cell r="E2041" t="str">
            <v>C</v>
          </cell>
          <cell r="F2041">
            <v>49.31</v>
          </cell>
        </row>
        <row r="2042">
          <cell r="B2042">
            <v>43460</v>
          </cell>
          <cell r="C2042" t="str">
            <v>FERRAMENTAS - FAMILIA ELETRICISTA - HORISTA (ENCARGOS COMPLEMENTARES - COLETADO CAIXA)</v>
          </cell>
          <cell r="D2042" t="str">
            <v>H</v>
          </cell>
          <cell r="E2042" t="str">
            <v>C</v>
          </cell>
          <cell r="F2042">
            <v>0.83</v>
          </cell>
        </row>
        <row r="2043">
          <cell r="B2043">
            <v>43472</v>
          </cell>
          <cell r="C2043" t="str">
            <v>FERRAMENTAS - FAMILIA ELETRICISTA - MENSALISTA (ENCARGOS COMPLEMENTARES - COLETADO CAIXA)</v>
          </cell>
          <cell r="D2043" t="str">
            <v>MES</v>
          </cell>
          <cell r="E2043" t="str">
            <v>C</v>
          </cell>
          <cell r="F2043">
            <v>139.4</v>
          </cell>
        </row>
        <row r="2044">
          <cell r="B2044">
            <v>43461</v>
          </cell>
          <cell r="C2044" t="str">
            <v>FERRAMENTAS - FAMILIA ENCANADOR - HORISTA (ENCARGOS COMPLEMENTARES - COLETADO CAIXA)</v>
          </cell>
          <cell r="D2044" t="str">
            <v>H</v>
          </cell>
          <cell r="E2044" t="str">
            <v>C</v>
          </cell>
          <cell r="F2044">
            <v>0.42</v>
          </cell>
        </row>
        <row r="2045">
          <cell r="B2045">
            <v>43473</v>
          </cell>
          <cell r="C2045" t="str">
            <v>FERRAMENTAS - FAMILIA ENCANADOR - MENSALISTA (ENCARGOS COMPLEMENTARES - COLETADO CAIXA)</v>
          </cell>
          <cell r="D2045" t="str">
            <v>MES</v>
          </cell>
          <cell r="E2045" t="str">
            <v>C</v>
          </cell>
          <cell r="F2045">
            <v>70.760000000000005</v>
          </cell>
        </row>
        <row r="2046">
          <cell r="B2046">
            <v>43463</v>
          </cell>
          <cell r="C2046" t="str">
            <v>FERRAMENTAS - FAMILIA ENCARREGADO GERAL - HORISTA (ENCARGOS COMPLEMENTARES - COLETADO CAIXA)</v>
          </cell>
          <cell r="D2046" t="str">
            <v>H</v>
          </cell>
          <cell r="E2046" t="str">
            <v>C</v>
          </cell>
          <cell r="F2046">
            <v>0.12</v>
          </cell>
        </row>
        <row r="2047">
          <cell r="B2047">
            <v>43475</v>
          </cell>
          <cell r="C2047" t="str">
            <v>FERRAMENTAS - FAMILIA ENCARREGADO GERAL - MENSALISTA (ENCARGOS COMPLEMENTARES - COLETADO CAIXA)</v>
          </cell>
          <cell r="D2047" t="str">
            <v>MES</v>
          </cell>
          <cell r="E2047" t="str">
            <v>C</v>
          </cell>
          <cell r="F2047">
            <v>21.33</v>
          </cell>
        </row>
        <row r="2048">
          <cell r="B2048">
            <v>43462</v>
          </cell>
          <cell r="C2048" t="str">
            <v>FERRAMENTAS - FAMILIA ENGENHEIRO CIVIL - HORISTA (ENCARGOS COMPLEMENTARES - COLETADO CAIXA)</v>
          </cell>
          <cell r="D2048" t="str">
            <v>H</v>
          </cell>
          <cell r="E2048" t="str">
            <v>C</v>
          </cell>
          <cell r="F2048">
            <v>0.02</v>
          </cell>
        </row>
        <row r="2049">
          <cell r="B2049">
            <v>43474</v>
          </cell>
          <cell r="C2049" t="str">
            <v>FERRAMENTAS - FAMILIA ENGENHEIRO CIVIL - MENSALISTA (ENCARGOS COMPLEMENTARES - COLETADO CAIXA)</v>
          </cell>
          <cell r="D2049" t="str">
            <v>MES</v>
          </cell>
          <cell r="E2049" t="str">
            <v>C</v>
          </cell>
          <cell r="F2049">
            <v>4.33</v>
          </cell>
        </row>
        <row r="2050">
          <cell r="B2050">
            <v>43464</v>
          </cell>
          <cell r="C2050" t="str">
            <v>FERRAMENTAS - FAMILIA OPERADOR ESCAVADEIRA - HORISTA (ENCARGOS COMPLEMENTARES - COLETADO CAIXA)</v>
          </cell>
          <cell r="D2050" t="str">
            <v>H</v>
          </cell>
          <cell r="E2050" t="str">
            <v>C</v>
          </cell>
          <cell r="F2050">
            <v>0.02</v>
          </cell>
        </row>
        <row r="2051">
          <cell r="B2051">
            <v>43476</v>
          </cell>
          <cell r="C2051" t="str">
            <v>FERRAMENTAS - FAMILIA OPERADOR ESCAVADEIRA - MENSALISTA (ENCARGOS COMPLEMENTARES - COLETADO CAIXA)</v>
          </cell>
          <cell r="D2051" t="str">
            <v>MES</v>
          </cell>
          <cell r="E2051" t="str">
            <v>C</v>
          </cell>
          <cell r="F2051">
            <v>4.95</v>
          </cell>
        </row>
        <row r="2052">
          <cell r="B2052">
            <v>43465</v>
          </cell>
          <cell r="C2052" t="str">
            <v>FERRAMENTAS - FAMILIA PEDREIRO - HORISTA (ENCARGOS COMPLEMENTARES - COLETADO CAIXA)</v>
          </cell>
          <cell r="D2052" t="str">
            <v>H</v>
          </cell>
          <cell r="E2052" t="str">
            <v>C</v>
          </cell>
          <cell r="F2052">
            <v>0.73</v>
          </cell>
        </row>
        <row r="2053">
          <cell r="B2053">
            <v>43477</v>
          </cell>
          <cell r="C2053" t="str">
            <v>FERRAMENTAS - FAMILIA PEDREIRO - MENSALISTA (ENCARGOS COMPLEMENTARES - COLETADO CAIXA)</v>
          </cell>
          <cell r="D2053" t="str">
            <v>MES</v>
          </cell>
          <cell r="E2053" t="str">
            <v>C</v>
          </cell>
          <cell r="F2053">
            <v>122.35</v>
          </cell>
        </row>
        <row r="2054">
          <cell r="B2054">
            <v>43466</v>
          </cell>
          <cell r="C2054" t="str">
            <v>FERRAMENTAS - FAMILIA PINTOR - HORISTA (ENCARGOS COMPLEMENTARES - COLETADO CAIXA)</v>
          </cell>
          <cell r="D2054" t="str">
            <v>H</v>
          </cell>
          <cell r="E2054" t="str">
            <v>C</v>
          </cell>
          <cell r="F2054">
            <v>2.08</v>
          </cell>
        </row>
        <row r="2055">
          <cell r="B2055">
            <v>43478</v>
          </cell>
          <cell r="C2055" t="str">
            <v>FERRAMENTAS - FAMILIA PINTOR - MENSALISTA (ENCARGOS COMPLEMENTARES - COLETADO CAIXA)</v>
          </cell>
          <cell r="D2055" t="str">
            <v>MES</v>
          </cell>
          <cell r="E2055" t="str">
            <v>C</v>
          </cell>
          <cell r="F2055">
            <v>346.31</v>
          </cell>
        </row>
        <row r="2056">
          <cell r="B2056">
            <v>43467</v>
          </cell>
          <cell r="C2056" t="str">
            <v>FERRAMENTAS - FAMILIA SERVENTE - HORISTA (ENCARGOS COMPLEMENTARES - COLETADO CAIXA)</v>
          </cell>
          <cell r="D2056" t="str">
            <v>H</v>
          </cell>
          <cell r="E2056" t="str">
            <v>C</v>
          </cell>
          <cell r="F2056">
            <v>0.56999999999999995</v>
          </cell>
        </row>
        <row r="2057">
          <cell r="B2057">
            <v>43479</v>
          </cell>
          <cell r="C2057" t="str">
            <v>FERRAMENTAS - FAMILIA SERVENTE - MENSALISTA (ENCARGOS COMPLEMENTARES - COLETADO CAIXA)</v>
          </cell>
          <cell r="D2057" t="str">
            <v>MES</v>
          </cell>
          <cell r="E2057" t="str">
            <v>C</v>
          </cell>
          <cell r="F2057">
            <v>95.69</v>
          </cell>
        </row>
        <row r="2058">
          <cell r="B2058">
            <v>43468</v>
          </cell>
          <cell r="C2058" t="str">
            <v>FERRAMENTAS - FAMILIA SOLDADOR - HORISTA (ENCARGOS COMPLEMENTARES - COLETADO CAIXA)</v>
          </cell>
          <cell r="D2058" t="str">
            <v>H</v>
          </cell>
          <cell r="E2058" t="str">
            <v>C</v>
          </cell>
          <cell r="F2058">
            <v>1.24</v>
          </cell>
        </row>
        <row r="2059">
          <cell r="B2059">
            <v>43480</v>
          </cell>
          <cell r="C2059" t="str">
            <v>FERRAMENTAS - FAMILIA SOLDADOR - MENSALISTA (ENCARGOS COMPLEMENTARES - COLETADO CAIXA)</v>
          </cell>
          <cell r="D2059" t="str">
            <v>MES</v>
          </cell>
          <cell r="E2059" t="str">
            <v>C</v>
          </cell>
          <cell r="F2059">
            <v>206.14</v>
          </cell>
        </row>
        <row r="2060">
          <cell r="B2060">
            <v>43469</v>
          </cell>
          <cell r="C2060" t="str">
            <v>FERRAMENTAS - FAMILIA TOPOGRAFO - HORISTA (ENCARGOS COMPLEMENTARES - COLETADO CAIXA)</v>
          </cell>
          <cell r="D2060" t="str">
            <v>H</v>
          </cell>
          <cell r="E2060" t="str">
            <v>C</v>
          </cell>
          <cell r="F2060">
            <v>0.08</v>
          </cell>
        </row>
        <row r="2061">
          <cell r="B2061">
            <v>43481</v>
          </cell>
          <cell r="C2061" t="str">
            <v>FERRAMENTAS - FAMILIA TOPOGRAFO - MENSALISTA (ENCARGOS COMPLEMENTARES - COLETADO CAIXA)</v>
          </cell>
          <cell r="D2061" t="str">
            <v>MES</v>
          </cell>
          <cell r="E2061" t="str">
            <v>C</v>
          </cell>
          <cell r="F2061">
            <v>14.27</v>
          </cell>
        </row>
        <row r="2062">
          <cell r="B2062">
            <v>45204</v>
          </cell>
          <cell r="C2062" t="str">
            <v>FERRO DE SOLDA, POTENCIA 40 W</v>
          </cell>
          <cell r="D2062" t="str">
            <v>UN</v>
          </cell>
          <cell r="E2062" t="str">
            <v>CR</v>
          </cell>
          <cell r="F2062">
            <v>41.77</v>
          </cell>
        </row>
        <row r="2063">
          <cell r="B2063">
            <v>3119</v>
          </cell>
          <cell r="C2063" t="str">
            <v>FERROLHO COM FECHO / TRINCO REDONDO, EM ACO GALVANIZADO / ZINCADO, DE SOBREPOR, COM COMPRIMENTO DE 2" E ESPESSURA MINIMA DA CHAPA DE 0,90 MM, PARA PORTAS E JANELAS</v>
          </cell>
          <cell r="D2063" t="str">
            <v>UN</v>
          </cell>
          <cell r="E2063" t="str">
            <v>CR</v>
          </cell>
          <cell r="F2063">
            <v>2.65</v>
          </cell>
        </row>
        <row r="2064">
          <cell r="B2064">
            <v>3122</v>
          </cell>
          <cell r="C2064" t="str">
            <v>FERROLHO COM FECHO / TRINCO REDONDO, EM ACO GALVANIZADO / ZINCADO, DE SOBREPOR, COM COMPRIMENTO DE 3" A 4" E ESPESSURA MINIMA DA CHAPA DE 0,90 MM</v>
          </cell>
          <cell r="D2064" t="str">
            <v>UN</v>
          </cell>
          <cell r="E2064" t="str">
            <v>CR</v>
          </cell>
          <cell r="F2064">
            <v>5.39</v>
          </cell>
        </row>
        <row r="2065">
          <cell r="B2065">
            <v>3121</v>
          </cell>
          <cell r="C2065" t="str">
            <v>FERROLHO COM FECHO / TRINCO REDONDO, EM ACO GALVANIZADO / ZINCADO, DE SOBREPOR, COM COMPRIMENTO DE 5" E ESPESSURA MINIMA DA CHAPA DE 0,90 MM</v>
          </cell>
          <cell r="D2065" t="str">
            <v>UN</v>
          </cell>
          <cell r="E2065" t="str">
            <v>CR</v>
          </cell>
          <cell r="F2065">
            <v>6.11</v>
          </cell>
        </row>
        <row r="2066">
          <cell r="B2066">
            <v>3120</v>
          </cell>
          <cell r="C2066" t="str">
            <v>FERROLHO COM FECHO / TRINCO REDONDO, EM ACO GALVANIZADO / ZINCADO, DE SOBREPOR, COM COMPRIMENTO DE 6" E ESPESSURA MINIMA DA CHAPA DE 1,50 MM</v>
          </cell>
          <cell r="D2066" t="str">
            <v>UN</v>
          </cell>
          <cell r="E2066" t="str">
            <v>CR</v>
          </cell>
          <cell r="F2066">
            <v>11.58</v>
          </cell>
        </row>
        <row r="2067">
          <cell r="B2067">
            <v>11455</v>
          </cell>
          <cell r="C2067" t="str">
            <v>FERROLHO COM FECHO / TRINCO REDONDO, EM ACO GALVANIZADO / ZINCADO, DE SOBREPOR, COM COMPRIMENTO DE 8" E ESPESSURA MINIMA DA CHAPA DE 1,50 MM</v>
          </cell>
          <cell r="D2067" t="str">
            <v>UN</v>
          </cell>
          <cell r="E2067" t="str">
            <v>CR</v>
          </cell>
          <cell r="F2067">
            <v>16.75</v>
          </cell>
        </row>
        <row r="2068">
          <cell r="B2068">
            <v>11456</v>
          </cell>
          <cell r="C2068" t="str">
            <v>FERROLHO COM FECHO /TRINCO REDONDO, EM ACO GALVANIZADO / ZINCADO, DE SOBREPOR, COM COMPRIMENTO DE 10" A 12" E ESPESSURA MINIMA DA CHAPA DE 1,50 MM</v>
          </cell>
          <cell r="D2068" t="str">
            <v>UN</v>
          </cell>
          <cell r="E2068" t="str">
            <v>CR</v>
          </cell>
          <cell r="F2068">
            <v>20.02</v>
          </cell>
        </row>
        <row r="2069">
          <cell r="B2069">
            <v>3107</v>
          </cell>
          <cell r="C2069" t="str">
            <v>FERROLHO COM FECHO CHATO E PORTA CADEADO, EM ACO GALVANIZADO / ZINCADO, DE SOBREPOR, COM COMPRIMENTO DE 3" A 4", CHAPA COM ESPESSURA MINIMA DE 0,90 MM E LARGURA MINIMA DE 3,20 CM (FECHO SIMPLES / LEVE) (INCLUI PARAFUSOS)</v>
          </cell>
          <cell r="D2069" t="str">
            <v>UN</v>
          </cell>
          <cell r="E2069" t="str">
            <v>CR</v>
          </cell>
          <cell r="F2069">
            <v>8.44</v>
          </cell>
        </row>
        <row r="2070">
          <cell r="B2070">
            <v>43583</v>
          </cell>
          <cell r="C2070" t="str">
            <v>FERROLHO COM FECHO CHATO E PORTA CADEADO, EM ACO GALVANIZADO / ZINCADO, DE SOBREPOR, COM COMPRIMENTO DE 3" A 4", CHAPA COM ESPESSURA MINIMA DE 1,70 MM E LARGURA MINIMA DE 5,00 CM (FECHO REFORCADO)</v>
          </cell>
          <cell r="D2070" t="str">
            <v>UN</v>
          </cell>
          <cell r="E2070" t="str">
            <v>CR</v>
          </cell>
          <cell r="F2070">
            <v>9.52</v>
          </cell>
        </row>
        <row r="2071">
          <cell r="B2071">
            <v>43586</v>
          </cell>
          <cell r="C2071" t="str">
            <v>FERROLHO COM FECHO CHATO E PORTA CADEADO, EM ACO GALVANIZADO / ZINCADO, DE SOBREPOR, COM COMPRIMENTO DE 5", CHAPA COM ESPESSURA MINIMA DE 0,90 MM E LARGURA MINIMA DE 3,20 CM (FECHO SIMPLES)</v>
          </cell>
          <cell r="D2071" t="str">
            <v>UN</v>
          </cell>
          <cell r="E2071" t="str">
            <v>CR</v>
          </cell>
          <cell r="F2071">
            <v>9.76</v>
          </cell>
        </row>
        <row r="2072">
          <cell r="B2072">
            <v>11461</v>
          </cell>
          <cell r="C2072" t="str">
            <v>FERROLHO COM FECHO CHATO E PORTA CADEADO, EM ACO GALVANIZADO / ZINCADO, DE SOBREPOR, COM COMPRIMENTO DE 5", CHAPA COM ESPESSURA MINIMA DE 1,70 MM E LARGURA MINIMA DE 5,00 CM (FECHO REFORCADO)</v>
          </cell>
          <cell r="D2072" t="str">
            <v>UN</v>
          </cell>
          <cell r="E2072" t="str">
            <v>CR</v>
          </cell>
          <cell r="F2072">
            <v>10.64</v>
          </cell>
        </row>
        <row r="2073">
          <cell r="B2073">
            <v>43587</v>
          </cell>
          <cell r="C2073" t="str">
            <v>FERROLHO COM FECHO CHATO E PORTA CADEADO, EM ACO GALVANIZADO / ZINCADO, DE SOBREPOR, COM COMPRIMENTO DE 6", CHAPA COM ESPESSURA MINIMA DE 0,90 MM E LARGURA MINIMA DE 3,80 CM (FECHO SIMPLES)</v>
          </cell>
          <cell r="D2073" t="str">
            <v>UN</v>
          </cell>
          <cell r="E2073" t="str">
            <v>CR</v>
          </cell>
          <cell r="F2073">
            <v>12.27</v>
          </cell>
        </row>
        <row r="2074">
          <cell r="B2074">
            <v>3106</v>
          </cell>
          <cell r="C2074" t="str">
            <v>FERROLHO COM FECHO CHATO E PORTA CADEADO, EM ACO GALVANIZADO / ZINCADO, DE SOBREPOR, COM COMPRIMENTO DE 6", CHAPA COM ESPESSURA MINIMA DE 1,70 MM E LARGURA /MINIMA DE 5,00 CM (FECHO REFORCADO) (INCLUI PARAFUSOS)</v>
          </cell>
          <cell r="D2074" t="str">
            <v>UN</v>
          </cell>
          <cell r="E2074" t="str">
            <v>CR</v>
          </cell>
          <cell r="F2074">
            <v>15.57</v>
          </cell>
        </row>
        <row r="2075">
          <cell r="B2075">
            <v>44539</v>
          </cell>
          <cell r="C2075" t="str">
            <v>FERTILIZANTE NPK - 10:10:10</v>
          </cell>
          <cell r="D2075" t="str">
            <v>KG</v>
          </cell>
          <cell r="E2075" t="str">
            <v>CR</v>
          </cell>
          <cell r="F2075">
            <v>3.16</v>
          </cell>
        </row>
        <row r="2076">
          <cell r="B2076">
            <v>3123</v>
          </cell>
          <cell r="C2076" t="str">
            <v>FERTILIZANTE NPK - 4: 14: 8</v>
          </cell>
          <cell r="D2076" t="str">
            <v>KG</v>
          </cell>
          <cell r="E2076" t="str">
            <v>C</v>
          </cell>
          <cell r="F2076">
            <v>2.95</v>
          </cell>
        </row>
        <row r="2077">
          <cell r="B2077">
            <v>38125</v>
          </cell>
          <cell r="C2077" t="str">
            <v>FERTILIZANTE ORGANICO COMPOSTO, CLASSE A</v>
          </cell>
          <cell r="D2077" t="str">
            <v>KG</v>
          </cell>
          <cell r="E2077" t="str">
            <v>CR</v>
          </cell>
          <cell r="F2077">
            <v>1.71</v>
          </cell>
        </row>
        <row r="2078">
          <cell r="B2078">
            <v>39014</v>
          </cell>
          <cell r="C2078" t="str">
            <v>FIBRA DE ACO PARA REFORCO DO CONCRETO, SOLTA, TIPO A-I, FATOR DE FORMA *50* L / D, COMPRIMENTO DE *30* MM E RESISTENCIA A TRACAO DO ACO MAIOR 1000 MPA</v>
          </cell>
          <cell r="D2078" t="str">
            <v>KG</v>
          </cell>
          <cell r="E2078" t="str">
            <v>CR</v>
          </cell>
          <cell r="F2078">
            <v>9.66</v>
          </cell>
        </row>
        <row r="2079">
          <cell r="B2079">
            <v>39365</v>
          </cell>
          <cell r="C2079" t="str">
            <v>FILTRO ANAEROBIO, EM POLIETILENO DE ALTA DENSIDADE (PEAD), CAPACIDADE *1100* LITROS (NBR 13969)</v>
          </cell>
          <cell r="D2079" t="str">
            <v>UN</v>
          </cell>
          <cell r="E2079" t="str">
            <v>CR</v>
          </cell>
          <cell r="F2079">
            <v>1948.79</v>
          </cell>
        </row>
        <row r="2080">
          <cell r="B2080">
            <v>39366</v>
          </cell>
          <cell r="C2080" t="str">
            <v>FILTRO ANAEROBIO, EM POLIETILENO DE ALTA DENSIDADE (PEAD), CAPACIDADE *2800* LITROS (NBR 13969)</v>
          </cell>
          <cell r="D2080" t="str">
            <v>UN</v>
          </cell>
          <cell r="E2080" t="str">
            <v>CR</v>
          </cell>
          <cell r="F2080">
            <v>2956.64</v>
          </cell>
        </row>
        <row r="2081">
          <cell r="B2081">
            <v>39367</v>
          </cell>
          <cell r="C2081" t="str">
            <v>FILTRO ANAEROBIO, EM POLIETILENO DE ALTA DENSIDADE (PEAD), CAPACIDADE *5000* LITROS (NBR 13969)</v>
          </cell>
          <cell r="D2081" t="str">
            <v>UN</v>
          </cell>
          <cell r="E2081" t="str">
            <v>CR</v>
          </cell>
          <cell r="F2081">
            <v>5066.01</v>
          </cell>
        </row>
        <row r="2082">
          <cell r="B2082">
            <v>45263</v>
          </cell>
          <cell r="C2082" t="str">
            <v>FILTRO QUIMICO PARA RESPIRADOR SEMI FACIAL, PROTECAO CONTRA VAPORES ORGANICOS E GASES ACIDOS</v>
          </cell>
          <cell r="D2082" t="str">
            <v>UN</v>
          </cell>
          <cell r="E2082" t="str">
            <v>CR</v>
          </cell>
          <cell r="F2082">
            <v>19.29</v>
          </cell>
        </row>
        <row r="2083">
          <cell r="B2083">
            <v>37394</v>
          </cell>
          <cell r="C2083" t="str">
            <v>FINCAPINO CURTO CALIBRE 22, CARGA MEDIA POTENCIA 5 (PARA FERRAMENTA DE ACAO DIRETA) COR VERMELHA</v>
          </cell>
          <cell r="D2083" t="str">
            <v>CENTO</v>
          </cell>
          <cell r="E2083" t="str">
            <v>CR</v>
          </cell>
          <cell r="F2083">
            <v>44.15</v>
          </cell>
        </row>
        <row r="2084">
          <cell r="B2084">
            <v>14146</v>
          </cell>
          <cell r="C2084" t="str">
            <v>FINCAPINO LONGO CALIBRE 22, CARGA FORTE POTENCIA 7 (PARA FERRAMENTA DE ACAO DIRETA), COR AMARELA</v>
          </cell>
          <cell r="D2084" t="str">
            <v>CENTO</v>
          </cell>
          <cell r="E2084" t="str">
            <v>C</v>
          </cell>
          <cell r="F2084">
            <v>71</v>
          </cell>
        </row>
        <row r="2085">
          <cell r="B2085">
            <v>938</v>
          </cell>
          <cell r="C2085" t="str">
            <v>FIO DE COBRE, SOLIDO, CLASSE 1, ISOLACAO EM PVC/A, ANTICHAMA BWF-B, 450/750V, SECAO NOMINAL 1,5 MM2</v>
          </cell>
          <cell r="D2085" t="str">
            <v>M</v>
          </cell>
          <cell r="E2085" t="str">
            <v>CR</v>
          </cell>
          <cell r="F2085">
            <v>1.66</v>
          </cell>
        </row>
        <row r="2086">
          <cell r="B2086">
            <v>937</v>
          </cell>
          <cell r="C2086" t="str">
            <v>FIO DE COBRE, SOLIDO, CLASSE 1, ISOLACAO EM PVC/A, ANTICHAMA BWF-B, 450/750V, SECAO NOMINAL 10 MM2</v>
          </cell>
          <cell r="D2086" t="str">
            <v>M</v>
          </cell>
          <cell r="E2086" t="str">
            <v>CR</v>
          </cell>
          <cell r="F2086">
            <v>9.68</v>
          </cell>
        </row>
        <row r="2087">
          <cell r="B2087">
            <v>939</v>
          </cell>
          <cell r="C2087" t="str">
            <v>FIO DE COBRE, SOLIDO, CLASSE 1, ISOLACAO EM PVC/A, ANTICHAMA BWF-B, 450/750V, SECAO NOMINAL 2,5 MM2</v>
          </cell>
          <cell r="D2087" t="str">
            <v>M</v>
          </cell>
          <cell r="E2087" t="str">
            <v>CR</v>
          </cell>
          <cell r="F2087">
            <v>2.69</v>
          </cell>
        </row>
        <row r="2088">
          <cell r="B2088">
            <v>944</v>
          </cell>
          <cell r="C2088" t="str">
            <v>FIO DE COBRE, SOLIDO, CLASSE 1, ISOLACAO EM PVC/A, ANTICHAMA BWF-B, 450/750V, SECAO NOMINAL 4 MM2</v>
          </cell>
          <cell r="D2088" t="str">
            <v>M</v>
          </cell>
          <cell r="E2088" t="str">
            <v>CR</v>
          </cell>
          <cell r="F2088">
            <v>4.24</v>
          </cell>
        </row>
        <row r="2089">
          <cell r="B2089">
            <v>940</v>
          </cell>
          <cell r="C2089" t="str">
            <v>FIO DE COBRE, SOLIDO, CLASSE 1, ISOLACAO EM PVC/A, ANTICHAMA BWF-B, 450/750V, SECAO NOMINAL 6 MM2</v>
          </cell>
          <cell r="D2089" t="str">
            <v>M</v>
          </cell>
          <cell r="E2089" t="str">
            <v>CR</v>
          </cell>
          <cell r="F2089">
            <v>6.13</v>
          </cell>
        </row>
        <row r="2090">
          <cell r="B2090">
            <v>44397</v>
          </cell>
          <cell r="C2090" t="str">
            <v>FITA / CINTA AUTOADESIVA ELASTOMERICA PARA VEDACAO, L= 50 MM, E = 3 MM</v>
          </cell>
          <cell r="D2090" t="str">
            <v>M</v>
          </cell>
          <cell r="E2090" t="str">
            <v>CR</v>
          </cell>
          <cell r="F2090">
            <v>4.29</v>
          </cell>
        </row>
        <row r="2091">
          <cell r="B2091">
            <v>406</v>
          </cell>
          <cell r="C2091" t="str">
            <v>FITA ACO INOX PARA CINTAR POSTE, L = 19 MM, E = 0,5 MM (ROLO DE 30M)</v>
          </cell>
          <cell r="D2091" t="str">
            <v>UN</v>
          </cell>
          <cell r="E2091" t="str">
            <v>CR</v>
          </cell>
          <cell r="F2091">
            <v>86.14</v>
          </cell>
        </row>
        <row r="2092">
          <cell r="B2092">
            <v>42529</v>
          </cell>
          <cell r="C2092" t="str">
            <v>FITA ADESIVA ALUMINIZADA, PARA INSTALACAO DE MANTAS DE SUBCOBERTURA, L = *5* CM</v>
          </cell>
          <cell r="D2092" t="str">
            <v>M</v>
          </cell>
          <cell r="E2092" t="str">
            <v>CR</v>
          </cell>
          <cell r="F2092">
            <v>1.4</v>
          </cell>
        </row>
        <row r="2093">
          <cell r="B2093">
            <v>39634</v>
          </cell>
          <cell r="C2093" t="str">
            <v>FITA ADESIVA ANTICORROSIVA DE PVC FLEXIVEL, COR PRETA, PARA PROTECAO TUBULACAO, 50 MM X 30 M (L X C), E= *0,25* MM</v>
          </cell>
          <cell r="D2093" t="str">
            <v>M</v>
          </cell>
          <cell r="E2093" t="str">
            <v>CR</v>
          </cell>
          <cell r="F2093">
            <v>5.76</v>
          </cell>
        </row>
        <row r="2094">
          <cell r="B2094">
            <v>39701</v>
          </cell>
          <cell r="C2094" t="str">
            <v>FITA ADESIVA ASFALTICA ALUMINIZADA MULTIUSO, L = 10 CM, ROLO DE 10 M</v>
          </cell>
          <cell r="D2094" t="str">
            <v>UN</v>
          </cell>
          <cell r="E2094" t="str">
            <v>CR</v>
          </cell>
          <cell r="F2094">
            <v>101.02</v>
          </cell>
        </row>
        <row r="2095">
          <cell r="B2095">
            <v>12815</v>
          </cell>
          <cell r="C2095" t="str">
            <v>FITA CREPE ROLO DE *25* MM X 50 M</v>
          </cell>
          <cell r="D2095" t="str">
            <v>UN</v>
          </cell>
          <cell r="E2095" t="str">
            <v>CR</v>
          </cell>
          <cell r="F2095">
            <v>14.35</v>
          </cell>
        </row>
        <row r="2096">
          <cell r="B2096">
            <v>39431</v>
          </cell>
          <cell r="C2096" t="str">
            <v>FITA DE PAPEL MICROPERFURADO, 50 X 150 MM, PARA TRATAMENTO DE JUNTAS DE CHAPA DE GESSO PARA DRYWALL</v>
          </cell>
          <cell r="D2096" t="str">
            <v>M</v>
          </cell>
          <cell r="E2096" t="str">
            <v>CR</v>
          </cell>
          <cell r="F2096">
            <v>0.31</v>
          </cell>
        </row>
        <row r="2097">
          <cell r="B2097">
            <v>39432</v>
          </cell>
          <cell r="C2097" t="str">
            <v>FITA DE PAPEL REFORCADA COM LAMINA DE METAL PARA REFORCO DE CANTOS DE CHAPA DE GESSO PARA DRYWALL</v>
          </cell>
          <cell r="D2097" t="str">
            <v>M</v>
          </cell>
          <cell r="E2097" t="str">
            <v>CR</v>
          </cell>
          <cell r="F2097">
            <v>2.8</v>
          </cell>
        </row>
        <row r="2098">
          <cell r="B2098">
            <v>20111</v>
          </cell>
          <cell r="C2098" t="str">
            <v>FITA ISOLANTE ADESIVA ANTICHAMA, USO ATE 750 V, EM ROLO DE 19 MM X 20 M</v>
          </cell>
          <cell r="D2098" t="str">
            <v>UN</v>
          </cell>
          <cell r="E2098" t="str">
            <v>C</v>
          </cell>
          <cell r="F2098">
            <v>20.68</v>
          </cell>
        </row>
        <row r="2099">
          <cell r="B2099">
            <v>21127</v>
          </cell>
          <cell r="C2099" t="str">
            <v>FITA ISOLANTE ADESIVA ANTICHAMA, USO ATE 750 V, EM ROLO DE 19 MM X 5 M</v>
          </cell>
          <cell r="D2099" t="str">
            <v>UN</v>
          </cell>
          <cell r="E2099" t="str">
            <v>CR</v>
          </cell>
          <cell r="F2099">
            <v>7.82</v>
          </cell>
        </row>
        <row r="2100">
          <cell r="B2100">
            <v>404</v>
          </cell>
          <cell r="C2100" t="str">
            <v>FITA ISOLANTE DE BORRACHA AUTOFUSAO, USO ATE 69 KV (ALTA TENSAO), LARGURA DE 19 MM</v>
          </cell>
          <cell r="D2100" t="str">
            <v>M</v>
          </cell>
          <cell r="E2100" t="str">
            <v>CR</v>
          </cell>
          <cell r="F2100">
            <v>2.82</v>
          </cell>
        </row>
        <row r="2101">
          <cell r="B2101">
            <v>14151</v>
          </cell>
          <cell r="C2101" t="str">
            <v>FITA METALICA GRAVADA, L = 17 MM, ROLO DE 25 M, CARGA RECOMENDADA = *120* KGF</v>
          </cell>
          <cell r="D2101" t="str">
            <v>UN</v>
          </cell>
          <cell r="E2101" t="str">
            <v>CR</v>
          </cell>
          <cell r="F2101">
            <v>51.03</v>
          </cell>
        </row>
        <row r="2102">
          <cell r="B2102">
            <v>14153</v>
          </cell>
          <cell r="C2102" t="str">
            <v>FITA METALICA PERFURADA, L = *18* MM, ROLO DE 30 M, CARGA RECOMENDADA = *30* KGF</v>
          </cell>
          <cell r="D2102" t="str">
            <v>UN</v>
          </cell>
          <cell r="E2102" t="str">
            <v>CR</v>
          </cell>
          <cell r="F2102">
            <v>57.68</v>
          </cell>
        </row>
        <row r="2103">
          <cell r="B2103">
            <v>14152</v>
          </cell>
          <cell r="C2103" t="str">
            <v>FITA METALICA PERFURADA, L = 17 MM, ROLO DE 30 M, CARGA RECOMENDADA = *19* KGF</v>
          </cell>
          <cell r="D2103" t="str">
            <v>UN</v>
          </cell>
          <cell r="E2103" t="str">
            <v>CR</v>
          </cell>
          <cell r="F2103">
            <v>44.28</v>
          </cell>
        </row>
        <row r="2104">
          <cell r="B2104">
            <v>14154</v>
          </cell>
          <cell r="C2104" t="str">
            <v>FITA METALICA PERFURADA, L = 25 MM, ROLO DE 30 M, CARGA RECOMENDADA = *222,5* KGF</v>
          </cell>
          <cell r="D2104" t="str">
            <v>UN</v>
          </cell>
          <cell r="E2104" t="str">
            <v>CR</v>
          </cell>
          <cell r="F2104">
            <v>155</v>
          </cell>
        </row>
        <row r="2105">
          <cell r="B2105">
            <v>3146</v>
          </cell>
          <cell r="C2105" t="str">
            <v>FITA VEDA ROSCA, EM PTFE, ROLO DE 18 MM X 10 M (L X C)</v>
          </cell>
          <cell r="D2105" t="str">
            <v>UN</v>
          </cell>
          <cell r="E2105" t="str">
            <v>C</v>
          </cell>
          <cell r="F2105">
            <v>2.96</v>
          </cell>
        </row>
        <row r="2106">
          <cell r="B2106">
            <v>3143</v>
          </cell>
          <cell r="C2106" t="str">
            <v>FITA VEDA ROSCA, EM PTFE, ROLO DE 18 MM X 25 M (L X C)</v>
          </cell>
          <cell r="D2106" t="str">
            <v>UN</v>
          </cell>
          <cell r="E2106" t="str">
            <v>CR</v>
          </cell>
          <cell r="F2106">
            <v>6.73</v>
          </cell>
        </row>
        <row r="2107">
          <cell r="B2107">
            <v>3148</v>
          </cell>
          <cell r="C2107" t="str">
            <v>FITA VEDA ROSCA, EM PTFE, ROLO DE 18 MM X 50 M (L X C)</v>
          </cell>
          <cell r="D2107" t="str">
            <v>UN</v>
          </cell>
          <cell r="E2107" t="str">
            <v>CR</v>
          </cell>
          <cell r="F2107">
            <v>10.91</v>
          </cell>
        </row>
        <row r="2108">
          <cell r="B2108">
            <v>4310</v>
          </cell>
          <cell r="C2108" t="str">
            <v>FIXADOR DE ABA AUTOTRAVANTE PARA TELHA DE FIBROCIMENTO, TIPO CANALETE 90 OU KALHETAO</v>
          </cell>
          <cell r="D2108" t="str">
            <v>UN</v>
          </cell>
          <cell r="E2108" t="str">
            <v>CR</v>
          </cell>
          <cell r="F2108">
            <v>3.08</v>
          </cell>
        </row>
        <row r="2109">
          <cell r="B2109">
            <v>4311</v>
          </cell>
          <cell r="C2109" t="str">
            <v>FIXADOR DE ABA SIMPLES PARA TELHA DE FIBROCIMENTO, TIPO CANALETA 49 OU KALHETA</v>
          </cell>
          <cell r="D2109" t="str">
            <v>UN</v>
          </cell>
          <cell r="E2109" t="str">
            <v>CR</v>
          </cell>
          <cell r="F2109">
            <v>2.17</v>
          </cell>
        </row>
        <row r="2110">
          <cell r="B2110">
            <v>4312</v>
          </cell>
          <cell r="C2110" t="str">
            <v>FIXADOR DE ABA SIMPLES PARA TELHA DE FIBROCIMENTO, TIPO CANALETA 90 OU KALHETAO</v>
          </cell>
          <cell r="D2110" t="str">
            <v>UN</v>
          </cell>
          <cell r="E2110" t="str">
            <v>CR</v>
          </cell>
          <cell r="F2110">
            <v>3.04</v>
          </cell>
        </row>
        <row r="2111">
          <cell r="B2111">
            <v>13261</v>
          </cell>
          <cell r="C2111" t="str">
            <v>FLANELA *30 X 40* CM</v>
          </cell>
          <cell r="D2111" t="str">
            <v>UN</v>
          </cell>
          <cell r="E2111" t="str">
            <v>CR</v>
          </cell>
          <cell r="F2111">
            <v>2.6</v>
          </cell>
        </row>
        <row r="2112">
          <cell r="B2112">
            <v>3272</v>
          </cell>
          <cell r="C2112" t="str">
            <v>FLANGE SEXTAVADO DE FERRO GALVANIZADO, COM ROSCA BSP, DE 1 1/2"</v>
          </cell>
          <cell r="D2112" t="str">
            <v>UN</v>
          </cell>
          <cell r="E2112" t="str">
            <v>CR</v>
          </cell>
          <cell r="F2112">
            <v>55.12</v>
          </cell>
        </row>
        <row r="2113">
          <cell r="B2113">
            <v>3265</v>
          </cell>
          <cell r="C2113" t="str">
            <v>FLANGE SEXTAVADO DE FERRO GALVANIZADO, COM ROSCA BSP, DE 1 1/4"</v>
          </cell>
          <cell r="D2113" t="str">
            <v>UN</v>
          </cell>
          <cell r="E2113" t="str">
            <v>CR</v>
          </cell>
          <cell r="F2113">
            <v>43.79</v>
          </cell>
        </row>
        <row r="2114">
          <cell r="B2114">
            <v>3264</v>
          </cell>
          <cell r="C2114" t="str">
            <v>FLANGE SEXTAVADO DE FERRO GALVANIZADO, COM ROSCA BSP, DE 1"</v>
          </cell>
          <cell r="D2114" t="str">
            <v>UN</v>
          </cell>
          <cell r="E2114" t="str">
            <v>CR</v>
          </cell>
          <cell r="F2114">
            <v>31.49</v>
          </cell>
        </row>
        <row r="2115">
          <cell r="B2115">
            <v>3262</v>
          </cell>
          <cell r="C2115" t="str">
            <v>FLANGE SEXTAVADO DE FERRO GALVANIZADO, COM ROSCA BSP, DE 1/2"</v>
          </cell>
          <cell r="D2115" t="str">
            <v>UN</v>
          </cell>
          <cell r="E2115" t="str">
            <v>CR</v>
          </cell>
          <cell r="F2115">
            <v>19.170000000000002</v>
          </cell>
        </row>
        <row r="2116">
          <cell r="B2116">
            <v>3267</v>
          </cell>
          <cell r="C2116" t="str">
            <v>FLANGE SEXTAVADO DE FERRO GALVANIZADO, COM ROSCA BSP, DE 2 1/2"</v>
          </cell>
          <cell r="D2116" t="str">
            <v>UN</v>
          </cell>
          <cell r="E2116" t="str">
            <v>CR</v>
          </cell>
          <cell r="F2116">
            <v>102.84</v>
          </cell>
        </row>
        <row r="2117">
          <cell r="B2117">
            <v>3266</v>
          </cell>
          <cell r="C2117" t="str">
            <v>FLANGE SEXTAVADO DE FERRO GALVANIZADO, COM ROSCA BSP, DE 2"</v>
          </cell>
          <cell r="D2117" t="str">
            <v>UN</v>
          </cell>
          <cell r="E2117" t="str">
            <v>CR</v>
          </cell>
          <cell r="F2117">
            <v>65.430000000000007</v>
          </cell>
        </row>
        <row r="2118">
          <cell r="B2118">
            <v>3268</v>
          </cell>
          <cell r="C2118" t="str">
            <v>FLANGE SEXTAVADO DE FERRO GALVANIZADO, COM ROSCA BSP, DE 3"</v>
          </cell>
          <cell r="D2118" t="str">
            <v>UN</v>
          </cell>
          <cell r="E2118" t="str">
            <v>CR</v>
          </cell>
          <cell r="F2118">
            <v>139.04</v>
          </cell>
        </row>
        <row r="2119">
          <cell r="B2119">
            <v>3263</v>
          </cell>
          <cell r="C2119" t="str">
            <v>FLANGE SEXTAVADO DE FERRO GALVANIZADO, COM ROSCA BSP, DE 3/4"</v>
          </cell>
          <cell r="D2119" t="str">
            <v>UN</v>
          </cell>
          <cell r="E2119" t="str">
            <v>CR</v>
          </cell>
          <cell r="F2119">
            <v>26.18</v>
          </cell>
        </row>
        <row r="2120">
          <cell r="B2120">
            <v>3271</v>
          </cell>
          <cell r="C2120" t="str">
            <v>FLANGE SEXTAVADO DE FERRO GALVANIZADO, COM ROSCA BSP, DE 4"</v>
          </cell>
          <cell r="D2120" t="str">
            <v>UN</v>
          </cell>
          <cell r="E2120" t="str">
            <v>CR</v>
          </cell>
          <cell r="F2120">
            <v>205.56</v>
          </cell>
        </row>
        <row r="2121">
          <cell r="B2121">
            <v>3270</v>
          </cell>
          <cell r="C2121" t="str">
            <v>FLANGE SEXTAVADO DE FERRO GALVANIZADO, COM ROSCA BSP, DE 6"</v>
          </cell>
          <cell r="D2121" t="str">
            <v>UN</v>
          </cell>
          <cell r="E2121" t="str">
            <v>CR</v>
          </cell>
          <cell r="F2121">
            <v>345.35</v>
          </cell>
        </row>
        <row r="2122">
          <cell r="B2122">
            <v>45256</v>
          </cell>
          <cell r="C2122" t="str">
            <v>FORMAO CHANFRADO 1", CABO DE MADEIRA</v>
          </cell>
          <cell r="D2122" t="str">
            <v>UN</v>
          </cell>
          <cell r="E2122" t="str">
            <v>CR</v>
          </cell>
          <cell r="F2122">
            <v>28.86</v>
          </cell>
        </row>
        <row r="2123">
          <cell r="B2123">
            <v>3275</v>
          </cell>
          <cell r="C2123" t="str">
            <v>FORRO COMPOSTO POR PAINEIS DE LA DE VIDRO, REVESTIDOS EM PVC MICROPERFURADO, DE *1250 X 625* MM, ESPESSURA 15 MM (COM COLOCACAO)</v>
          </cell>
          <cell r="D2123" t="str">
            <v>M2</v>
          </cell>
          <cell r="E2123" t="str">
            <v>CR</v>
          </cell>
          <cell r="F2123">
            <v>122.16</v>
          </cell>
        </row>
        <row r="2124">
          <cell r="B2124">
            <v>39512</v>
          </cell>
          <cell r="C2124" t="str">
            <v>FORRO DE FIBRA MINERAL EM PLACAS DE 1250 X 625 MM, E = 15 MM, BORDA RETA, COM PINTURA ANTIMOFO, APOIADO EM PERFIL DE ACO GALVANIZADO COM 24 MM DE BASE - INSTALADO</v>
          </cell>
          <cell r="D2124" t="str">
            <v>M2</v>
          </cell>
          <cell r="E2124" t="str">
            <v>CR</v>
          </cell>
          <cell r="F2124">
            <v>122.24</v>
          </cell>
        </row>
        <row r="2125">
          <cell r="B2125">
            <v>39511</v>
          </cell>
          <cell r="C2125" t="str">
            <v>FORRO DE FIBRA MINERAL EM PLACAS DE 625 X 625 MM, E = 15 MM, BORDA RETA, COM PINTURA ANTIMOFO, APOIADO EM PERFIL DE ACO GALVANIZADO COM 24 MM DE BASE - INSTALADO</v>
          </cell>
          <cell r="D2125" t="str">
            <v>M2</v>
          </cell>
          <cell r="E2125" t="str">
            <v>CR</v>
          </cell>
          <cell r="F2125">
            <v>133.33000000000001</v>
          </cell>
        </row>
        <row r="2126">
          <cell r="B2126">
            <v>39513</v>
          </cell>
          <cell r="C2126" t="str">
            <v>FORRO DE FIBRA MINERAL EM PLACAS DE 625 X 625 MM, E = 15/16 MM, BORDA REBAIXADA, COM PINTURA ANTIMOFO, APOIADO EM PERFIL DE ACO GALVANIZADO COM 24 MM DE BASE - INSTALADO</v>
          </cell>
          <cell r="D2126" t="str">
            <v>M2</v>
          </cell>
          <cell r="E2126" t="str">
            <v>CR</v>
          </cell>
          <cell r="F2126">
            <v>143.01</v>
          </cell>
        </row>
        <row r="2127">
          <cell r="B2127">
            <v>3286</v>
          </cell>
          <cell r="C2127" t="str">
            <v>FORRO DE MADEIRA CEDRINHO OU EQUIVALENTE DA REGIAO, ENCAIXE MACHO/FEMEA COM FRISO, *10 X 1* CM (SEM COLOCACAO)</v>
          </cell>
          <cell r="D2127" t="str">
            <v>M2</v>
          </cell>
          <cell r="E2127" t="str">
            <v>CR</v>
          </cell>
          <cell r="F2127">
            <v>99.26</v>
          </cell>
        </row>
        <row r="2128">
          <cell r="B2128">
            <v>3287</v>
          </cell>
          <cell r="C2128" t="str">
            <v>FORRO DE MADEIRA CUMARU/IPE CHAMPANHE OU EQUIVALENTE DA REGIAO, ENCAIXE MACHO/FEMEA COM FRISO, *10 X 1* CM (SEM COLOCACAO)</v>
          </cell>
          <cell r="D2128" t="str">
            <v>M2</v>
          </cell>
          <cell r="E2128" t="str">
            <v>CR</v>
          </cell>
          <cell r="F2128">
            <v>150</v>
          </cell>
        </row>
        <row r="2129">
          <cell r="B2129">
            <v>3283</v>
          </cell>
          <cell r="C2129" t="str">
            <v>FORRO DE MADEIRA PINUS OU EQUIVALENTE DA REGIAO, ENCAIXE MACHO/FEMEA COM FRISO, *10 X 1* CM (SEM COLOCACAO)</v>
          </cell>
          <cell r="D2129" t="str">
            <v>M2</v>
          </cell>
          <cell r="E2129" t="str">
            <v>CR</v>
          </cell>
          <cell r="F2129">
            <v>31.51</v>
          </cell>
        </row>
        <row r="2130">
          <cell r="B2130">
            <v>11587</v>
          </cell>
          <cell r="C2130" t="str">
            <v>FORRO DE PVC LISO, BRANCO, REGUA DE 10 CM, ESPESSURA APROXIMADA DE 8 MM (COM COLOCACAO / SEM ESTRUTURA METALICA)</v>
          </cell>
          <cell r="D2130" t="str">
            <v>M2</v>
          </cell>
          <cell r="E2130" t="str">
            <v>CR</v>
          </cell>
          <cell r="F2130">
            <v>83.76</v>
          </cell>
        </row>
        <row r="2131">
          <cell r="B2131">
            <v>36225</v>
          </cell>
          <cell r="C2131" t="str">
            <v>FORRO DE PVC LISO, BRANCO, REGUA DE 20 CM, ESPESSURA APROXIMADA DE 8 MM, COMPRIMENTO 6 M (SEM COLOCACAO)</v>
          </cell>
          <cell r="D2131" t="str">
            <v>M2</v>
          </cell>
          <cell r="E2131" t="str">
            <v>CR</v>
          </cell>
          <cell r="F2131">
            <v>34.03</v>
          </cell>
        </row>
        <row r="2132">
          <cell r="B2132">
            <v>36230</v>
          </cell>
          <cell r="C2132" t="str">
            <v>FORRO DE PVC, FRISADO, BRANCO, REGUA DE 10 CM, ESPESSURA APROXIMADA DE 8 MM E COMPRIMENTO 6 M (SEM COLOCACAO)</v>
          </cell>
          <cell r="D2132" t="str">
            <v>M2</v>
          </cell>
          <cell r="E2132" t="str">
            <v>C</v>
          </cell>
          <cell r="F2132">
            <v>25</v>
          </cell>
        </row>
        <row r="2133">
          <cell r="B2133">
            <v>36238</v>
          </cell>
          <cell r="C2133" t="str">
            <v>FORRO DE PVC, FRISADO, BRANCO, REGUA DE 20 CM, ESPESSURA APROXIMADA DE 8 MM E COMPRIMENTO 6 M (SEM COLOCACAO)</v>
          </cell>
          <cell r="D2133" t="str">
            <v>M2</v>
          </cell>
          <cell r="E2133" t="str">
            <v>CR</v>
          </cell>
          <cell r="F2133">
            <v>24.43</v>
          </cell>
        </row>
        <row r="2134">
          <cell r="B2134">
            <v>39363</v>
          </cell>
          <cell r="C2134" t="str">
            <v>FOSSA SEPTICA, SEM FILTRO, EM POLIETILENO DE ALTA DENSIDADE (PEAD), PARA 15 A 30 CONTRIBUINTES, CILINDRICA, COM TAMPA, CAPACIDADE APROXIMADA DE *5500* LITROS (NBR 7229)</v>
          </cell>
          <cell r="D2134" t="str">
            <v>UN</v>
          </cell>
          <cell r="E2134" t="str">
            <v>CR</v>
          </cell>
          <cell r="F2134">
            <v>5744.38</v>
          </cell>
        </row>
        <row r="2135">
          <cell r="B2135">
            <v>39361</v>
          </cell>
          <cell r="C2135" t="str">
            <v>FOSSA SEPTICA, SEM FILTRO, EM POLIETILENO DE ALTA DENSIDADE (PEAD), PARA 4 A 7 CONTRIBUINTES, CILINDRICA, COM TAMPA, CAPACIDADE APROXIMADA DE *1100* LITROS (NBR 7229)</v>
          </cell>
          <cell r="D2135" t="str">
            <v>UN</v>
          </cell>
          <cell r="E2135" t="str">
            <v>CR</v>
          </cell>
          <cell r="F2135">
            <v>1754.95</v>
          </cell>
        </row>
        <row r="2136">
          <cell r="B2136">
            <v>39362</v>
          </cell>
          <cell r="C2136" t="str">
            <v>FOSSA SEPTICA, SEM FILTRO, EM POLIETILENO DE ALTA DENSIDADE (PEAD), PARA 8 A 14 CONTRIBUINTES, CILINDRICA, COM TAMPA, CAPACIDADE APROXIMADA DE *3000* LITROS (NBR 7229)</v>
          </cell>
          <cell r="D2136" t="str">
            <v>UN</v>
          </cell>
          <cell r="E2136" t="str">
            <v>CR</v>
          </cell>
          <cell r="F2136">
            <v>3100.21</v>
          </cell>
        </row>
        <row r="2137">
          <cell r="B2137">
            <v>39364</v>
          </cell>
          <cell r="C2137" t="str">
            <v>FOSSA SEPTICA,SEM FILTRO, EM POLIETILENO DE ALTA DENSIDADE (PEAD), PARA 40 A 52 CONTRIBUINTES, CILINDRICA, COM TAMPA, CAPACIDADE APROXIMADA DE *10000* LITROS (NBR 7229)</v>
          </cell>
          <cell r="D2137" t="str">
            <v>UN</v>
          </cell>
          <cell r="E2137" t="str">
            <v>CR</v>
          </cell>
          <cell r="F2137">
            <v>12116.43</v>
          </cell>
        </row>
        <row r="2138">
          <cell r="B2138">
            <v>14576</v>
          </cell>
          <cell r="C2138" t="str">
            <v>FRESADORA DE ASFALTO A FRIO SOBRE ESTEIRAS, LARG. FRESAGEM 2,00 M, POT. 410 KW/550 HP</v>
          </cell>
          <cell r="D2138" t="str">
            <v>UN</v>
          </cell>
          <cell r="E2138" t="str">
            <v>CR</v>
          </cell>
          <cell r="F2138">
            <v>6253276.54</v>
          </cell>
        </row>
        <row r="2139">
          <cell r="B2139">
            <v>13877</v>
          </cell>
          <cell r="C2139" t="str">
            <v>FRESADORA DE ASFALTO A FRIO SOBRE RODAS, LARG. FRESAGEM 1,00 M, POT. 155 KW/208 HP</v>
          </cell>
          <cell r="D2139" t="str">
            <v>UN</v>
          </cell>
          <cell r="E2139" t="str">
            <v>CR</v>
          </cell>
          <cell r="F2139">
            <v>2676934.42</v>
          </cell>
        </row>
        <row r="2140">
          <cell r="B2140">
            <v>7307</v>
          </cell>
          <cell r="C2140" t="str">
            <v>FUNDO ANTICORROSIVO PARA METAIS FERROSOS (ZARCAO)</v>
          </cell>
          <cell r="D2140" t="str">
            <v>L</v>
          </cell>
          <cell r="E2140" t="str">
            <v>CR</v>
          </cell>
          <cell r="F2140">
            <v>49.72</v>
          </cell>
        </row>
        <row r="2141">
          <cell r="B2141">
            <v>38122</v>
          </cell>
          <cell r="C2141" t="str">
            <v>FUNDO PREPARADOR ACRILICO BASE AGUA</v>
          </cell>
          <cell r="D2141" t="str">
            <v>L</v>
          </cell>
          <cell r="E2141" t="str">
            <v>CR</v>
          </cell>
          <cell r="F2141">
            <v>22.39</v>
          </cell>
        </row>
        <row r="2142">
          <cell r="B2142">
            <v>43653</v>
          </cell>
          <cell r="C2142" t="str">
            <v>FUNDO SINTETICO NIVELADOR BRANCO FOSCO PARA MADEIRA</v>
          </cell>
          <cell r="D2142" t="str">
            <v>L</v>
          </cell>
          <cell r="E2142" t="str">
            <v>CR</v>
          </cell>
          <cell r="F2142">
            <v>39.35</v>
          </cell>
        </row>
        <row r="2143">
          <cell r="B2143">
            <v>45301</v>
          </cell>
          <cell r="C2143" t="str">
            <v>FURADEIRA ELETRICA DE IMPACTO 1/2", 600 W</v>
          </cell>
          <cell r="D2143" t="str">
            <v>UN</v>
          </cell>
          <cell r="E2143" t="str">
            <v>CR</v>
          </cell>
          <cell r="F2143">
            <v>244.22</v>
          </cell>
        </row>
        <row r="2144">
          <cell r="B2144">
            <v>45334</v>
          </cell>
          <cell r="C2144" t="str">
            <v>FURO PARA TORNEIRA OU OUTROS ACESSORIOS EM BANCADA DE MARMORE/ GRANITO OU OUTRO TIPO DE PEDRA NATURAL</v>
          </cell>
          <cell r="D2144" t="str">
            <v>UN</v>
          </cell>
          <cell r="E2144" t="str">
            <v>CR</v>
          </cell>
          <cell r="F2144">
            <v>28.48</v>
          </cell>
        </row>
        <row r="2145">
          <cell r="B2145">
            <v>34802</v>
          </cell>
          <cell r="C2145" t="str">
            <v>GABIAO MANTA (COLCHAO) MALHA HEXAGONAL 6 X 8 CM (ZN/AL REVESTIDO COM POLIMERO), DIMENSOES 4,0 X 2,0 X 0,17 M (C X L X A) FIO 2 MM</v>
          </cell>
          <cell r="D2145" t="str">
            <v>UN</v>
          </cell>
          <cell r="E2145" t="str">
            <v>CR</v>
          </cell>
          <cell r="F2145">
            <v>1262.8699999999999</v>
          </cell>
        </row>
        <row r="2146">
          <cell r="B2146">
            <v>11588</v>
          </cell>
          <cell r="C2146" t="str">
            <v>GABIAO MANTA (COLCHAO) MALHA HEXAGONAL 6 X 8 CM (ZN/AL REVESTIDO COM POLIMERO), FIO 2 MM, DIMENSOES 4,0 X 2,0 X 0,23 M (C X L X A)</v>
          </cell>
          <cell r="D2146" t="str">
            <v>UN</v>
          </cell>
          <cell r="E2146" t="str">
            <v>CR</v>
          </cell>
          <cell r="F2146">
            <v>1362.43</v>
          </cell>
        </row>
        <row r="2147">
          <cell r="B2147">
            <v>34383</v>
          </cell>
          <cell r="C2147" t="str">
            <v>GABIAO MANTA (COLCHAO) MALHA HEXAGONAL 6 X 8 CM (ZN/AL REVESTIDO COM POLIMERO), FIO 2 MM, DIMENSOES 4,0 X 2,0 X 0,3 M (C X L X A)</v>
          </cell>
          <cell r="D2147" t="str">
            <v>UN</v>
          </cell>
          <cell r="E2147" t="str">
            <v>CR</v>
          </cell>
          <cell r="F2147">
            <v>1498.78</v>
          </cell>
        </row>
        <row r="2148">
          <cell r="B2148">
            <v>40451</v>
          </cell>
          <cell r="C2148" t="str">
            <v>GABIAO MANTA (COLCHAO) MALHA HEXAGONAL 6 X 8 CM (ZN/AL REVESTIDO COM POLIMERO), FIO 2,0 MM, DIMENSOES 5,0 X 2,0 X 0,17 M (C X L X A)</v>
          </cell>
          <cell r="D2148" t="str">
            <v>M2</v>
          </cell>
          <cell r="E2148" t="str">
            <v>CR</v>
          </cell>
          <cell r="F2148">
            <v>121.15</v>
          </cell>
        </row>
        <row r="2149">
          <cell r="B2149">
            <v>40453</v>
          </cell>
          <cell r="C2149" t="str">
            <v>GABIAO MANTA (COLCHAO) MALHA HEXAGONAL 6 X 8 CM (ZN/AL REVESTIDO COM POLIMERO), FIO 2,0 MM, DIMENSOES 5,0 X 2,0 X 0,23 M (C X L X A)</v>
          </cell>
          <cell r="D2149" t="str">
            <v>M2</v>
          </cell>
          <cell r="E2149" t="str">
            <v>CR</v>
          </cell>
          <cell r="F2149">
            <v>131.08000000000001</v>
          </cell>
        </row>
        <row r="2150">
          <cell r="B2150">
            <v>40452</v>
          </cell>
          <cell r="C2150" t="str">
            <v>GABIAO MANTA (COLCHAO) MALHA HEXAGONAL 6 X 8 CM (ZN/AL REVESTIDO COM POLIMERO), FIO 2,0 MM, DIMENSOES 5,0 X 2,0 X 0,30 M (C X L X A)</v>
          </cell>
          <cell r="D2150" t="str">
            <v>M2</v>
          </cell>
          <cell r="E2150" t="str">
            <v>CR</v>
          </cell>
          <cell r="F2150">
            <v>143.78</v>
          </cell>
        </row>
        <row r="2151">
          <cell r="B2151">
            <v>11594</v>
          </cell>
          <cell r="C2151" t="str">
            <v>GABIAO SACO MALHA HEXAGONAL 8 X 10 CM (ZN/AL REVESTIDO COM POLIMERO), FIO 2,4 MM, DIMENSOES 3,0 X 0,65 M</v>
          </cell>
          <cell r="D2151" t="str">
            <v>UN</v>
          </cell>
          <cell r="E2151" t="str">
            <v>CR</v>
          </cell>
          <cell r="F2151">
            <v>434.25</v>
          </cell>
        </row>
        <row r="2152">
          <cell r="B2152">
            <v>3311</v>
          </cell>
          <cell r="C2152" t="str">
            <v>GABIAO SACO MALHA HEXAGONAL 8 X 10 CM (ZN/AL REVESTIDO COM POLIMERO), FIO 2,4 MM, H = 0,65 M</v>
          </cell>
          <cell r="D2152" t="str">
            <v>M3</v>
          </cell>
          <cell r="E2152" t="str">
            <v>CR</v>
          </cell>
          <cell r="F2152">
            <v>434.25</v>
          </cell>
        </row>
        <row r="2153">
          <cell r="B2153">
            <v>11599</v>
          </cell>
          <cell r="C2153" t="str">
            <v>GABIAO SACO MALHA HEXAGONAL 8 X 10 CM (ZN/AL), FIO 2,7 MM, DIMENSOES 4,0 X 0,65 M</v>
          </cell>
          <cell r="D2153" t="str">
            <v>UN</v>
          </cell>
          <cell r="E2153" t="str">
            <v>CR</v>
          </cell>
          <cell r="F2153">
            <v>577.5</v>
          </cell>
        </row>
        <row r="2154">
          <cell r="B2154">
            <v>11593</v>
          </cell>
          <cell r="C2154" t="str">
            <v>GABIAO TIPO CAIXA MALHA HEXAGONAL 8 X 10 CM (ZN/AL REVESTIDO COM POLIMERO), FIO 2,4 MM, DIMENSOES 2,0 X 1,0 X 1,0 M (C X L X A)</v>
          </cell>
          <cell r="D2154" t="str">
            <v>UN</v>
          </cell>
          <cell r="E2154" t="str">
            <v>CR</v>
          </cell>
          <cell r="F2154">
            <v>809.62</v>
          </cell>
        </row>
        <row r="2155">
          <cell r="B2155">
            <v>3314</v>
          </cell>
          <cell r="C2155" t="str">
            <v>GABIAO TIPO CAIXA MALHA HEXAGONAL 8 X 10 CM (ZN/AL REVESTIDO COM POLIMERO), FIO 2,4 MM, H = 0,50 M</v>
          </cell>
          <cell r="D2155" t="str">
            <v>M3</v>
          </cell>
          <cell r="E2155" t="str">
            <v>CR</v>
          </cell>
          <cell r="F2155">
            <v>579.04</v>
          </cell>
        </row>
        <row r="2156">
          <cell r="B2156">
            <v>11597</v>
          </cell>
          <cell r="C2156" t="str">
            <v>GABIAO TIPO CAIXA MALHA HEXAGONAL 8 X 10 CM (ZN/AL), FIO 2,7 MM, DIMENSOES 2,0 X 1,0 X 1,0 M (C X L X A)</v>
          </cell>
          <cell r="D2156" t="str">
            <v>UN</v>
          </cell>
          <cell r="E2156" t="str">
            <v>CR</v>
          </cell>
          <cell r="F2156">
            <v>673.35</v>
          </cell>
        </row>
        <row r="2157">
          <cell r="B2157">
            <v>3309</v>
          </cell>
          <cell r="C2157" t="str">
            <v>GABIAO TIPO CAIXA MALHA HEXAGONAL 8 X 10 CM (ZN/AL), FIO 2,7 MM, H = 0,50 M</v>
          </cell>
          <cell r="D2157" t="str">
            <v>M3</v>
          </cell>
          <cell r="E2157" t="str">
            <v>CR</v>
          </cell>
          <cell r="F2157">
            <v>459.84</v>
          </cell>
        </row>
        <row r="2158">
          <cell r="B2158">
            <v>40440</v>
          </cell>
          <cell r="C2158" t="str">
            <v>GABIAO TIPO CAIXA PARA SOLO REFORCADO, MALHA HEXAGONAL 8 X 10 CM (ZN/AL REVESTIDO COM POLIMERO), FIO 2,7 MM, DIMENSOES 2,0 X 1,0 X 0,5 M, COM CAUDA DE 4,0 M</v>
          </cell>
          <cell r="D2158" t="str">
            <v>M3</v>
          </cell>
          <cell r="E2158" t="str">
            <v>CR</v>
          </cell>
          <cell r="F2158">
            <v>603.13</v>
          </cell>
        </row>
        <row r="2159">
          <cell r="B2159">
            <v>40441</v>
          </cell>
          <cell r="C2159" t="str">
            <v>GABIAO TIPO CAIXA PARA SOLO REFORCADO, MALHA HEXAGONAL 8 X 10 CM (ZN/AL REVESTIDO COM POLIMERO), FIO 2,7 MM, DIMENSOES 2,0 X 1,0 X 1,0 M, COM CAUDA DE 4,0 M</v>
          </cell>
          <cell r="D2159" t="str">
            <v>M3</v>
          </cell>
          <cell r="E2159" t="str">
            <v>CR</v>
          </cell>
          <cell r="F2159">
            <v>385.06</v>
          </cell>
        </row>
        <row r="2160">
          <cell r="B2160">
            <v>34612</v>
          </cell>
          <cell r="C2160" t="str">
            <v>GABIAO TIPO CAIXA PARA SOLO REFORCADO, MALHA HEXAGONAL DE DUPLA TORCAO 8 X 10 CM (ZN/AL REVESTIDO COM POLIMERO), FIO 2,7 MM, DIMENSOES 2,0 X 1,0 X 0,5 M, COM CAUDA DE 3,0 M</v>
          </cell>
          <cell r="D2160" t="str">
            <v>UN</v>
          </cell>
          <cell r="E2160" t="str">
            <v>CR</v>
          </cell>
          <cell r="F2160">
            <v>832.82</v>
          </cell>
        </row>
        <row r="2161">
          <cell r="B2161">
            <v>34635</v>
          </cell>
          <cell r="C2161" t="str">
            <v>GABIAO TIPO CAIXA PARA SOLO REFORCADO, MALHA HEXAGONAL DE DUPLA TORCAO 8 X 10 CM (ZN/AL REVESTIDO COM POLIMERO), FIO 2,7 MM, DIMENSOES 2,0 X 1,0 X 1,0 M, COM CAUDA DE 3,0 M</v>
          </cell>
          <cell r="D2161" t="str">
            <v>UN</v>
          </cell>
          <cell r="E2161" t="str">
            <v>CR</v>
          </cell>
          <cell r="F2161">
            <v>1070.97</v>
          </cell>
        </row>
        <row r="2162">
          <cell r="B2162">
            <v>34633</v>
          </cell>
          <cell r="C2162" t="str">
            <v>GABIAO TIPO CAIXA PARA SOLO REFORCADO, MALHA HEXAGONAL DE DUPLA TORCAO 8 X 10 CM (ZN/AL REVESTIDO COM POLIMERO), FIO 2,7 MM, DIMENSOES 2,0 X 1,0 X 1,0 M, COM CAUDA DE 4,0 M</v>
          </cell>
          <cell r="D2162" t="str">
            <v>UN</v>
          </cell>
          <cell r="E2162" t="str">
            <v>CR</v>
          </cell>
          <cell r="F2162">
            <v>1180.49</v>
          </cell>
        </row>
        <row r="2163">
          <cell r="B2163">
            <v>40449</v>
          </cell>
          <cell r="C2163" t="str">
            <v>GABIAO TIPO CAIXA TRAPEZOIDAL, MALHA HEXAGONAL 10 X 12 CM (ZN/AL REVESTIDO COM POLIMERO) FIO 2,7 MM, FACE COM 65 GRAUS, COM GEOSSINTETICO, DIMENSOES 2,0 X 1,5 X 1,0 M (C X L X A)</v>
          </cell>
          <cell r="D2163" t="str">
            <v>M3</v>
          </cell>
          <cell r="E2163" t="str">
            <v>CR</v>
          </cell>
          <cell r="F2163">
            <v>323.70999999999998</v>
          </cell>
        </row>
        <row r="2164">
          <cell r="B2164">
            <v>11592</v>
          </cell>
          <cell r="C2164" t="str">
            <v>GABIAO TIPO CAIXA, MALHA HEXAGONAL 8 X 10 CM (ZN/AL REVESTIDO COM POLIMERO), FIO 2,4 MM, DIMENSOES 2,0 X 1,0 X 0,5 M (C X L X A)</v>
          </cell>
          <cell r="D2164" t="str">
            <v>UN</v>
          </cell>
          <cell r="E2164" t="str">
            <v>CR</v>
          </cell>
          <cell r="F2164">
            <v>579.04</v>
          </cell>
        </row>
        <row r="2165">
          <cell r="B2165">
            <v>34800</v>
          </cell>
          <cell r="C2165" t="str">
            <v>GABIAO TIPO CAIXA, MALHA HEXAGONAL 8 X 10 CM (ZN/AL REVESTIDO COM POLIMERO), FIO DE 2,4 MM, DIMENSOES 2,0 X 1,0 X 1,0 M (C X L X A)</v>
          </cell>
          <cell r="D2165" t="str">
            <v>M3</v>
          </cell>
          <cell r="E2165" t="str">
            <v>CR</v>
          </cell>
          <cell r="F2165">
            <v>404.8</v>
          </cell>
        </row>
        <row r="2166">
          <cell r="B2166">
            <v>11596</v>
          </cell>
          <cell r="C2166" t="str">
            <v>GABIAO TIPO CAIXA, MALHA HEXAGONAL 8 X 10 CM (ZN/AL), FIO 2,7 MM, DIMENSOES 2,0 X 1,0 X 0,5 M (C X L X A)</v>
          </cell>
          <cell r="D2166" t="str">
            <v>UN</v>
          </cell>
          <cell r="E2166" t="str">
            <v>CR</v>
          </cell>
          <cell r="F2166">
            <v>459.84</v>
          </cell>
        </row>
        <row r="2167">
          <cell r="B2167">
            <v>40438</v>
          </cell>
          <cell r="C2167" t="str">
            <v>GABIAO TIPO CAIXA, MALHA HEXAGONAL 8 X 10 CM (ZN/AL), FIO DE 2,7 MM, DIMENSOES 2,0 X 1,0 X 1,0 M (C X L X A)</v>
          </cell>
          <cell r="D2167" t="str">
            <v>M3</v>
          </cell>
          <cell r="E2167" t="str">
            <v>CR</v>
          </cell>
          <cell r="F2167">
            <v>269.69</v>
          </cell>
        </row>
        <row r="2168">
          <cell r="B2168">
            <v>40436</v>
          </cell>
          <cell r="C2168" t="str">
            <v>GABIAO TIPO CAIXA, MALHA HEXAGONAL 8 X 10 CM (ZN/AL), FIO DE 2,7 MM, DIMENSOES 5,0 X 1,0 X 1,0 M (C X L X A)</v>
          </cell>
          <cell r="D2168" t="str">
            <v>M3</v>
          </cell>
          <cell r="E2168" t="str">
            <v>CR</v>
          </cell>
          <cell r="F2168">
            <v>336.28</v>
          </cell>
        </row>
        <row r="2169">
          <cell r="B2169">
            <v>4315</v>
          </cell>
          <cell r="C2169" t="str">
            <v>GANCHO CHATO EM ACO GALVANIZADO, L = 110 MM, RECOBRIMENTO = 100MM, SECAO 1/8 X 1/2" (3 MM X 12 MM), PARA FIXAR TELHA DE FIBROCIMENTO ONDULADA</v>
          </cell>
          <cell r="D2169" t="str">
            <v>UN</v>
          </cell>
          <cell r="E2169" t="str">
            <v>CR</v>
          </cell>
          <cell r="F2169">
            <v>2.23</v>
          </cell>
        </row>
        <row r="2170">
          <cell r="B2170">
            <v>402</v>
          </cell>
          <cell r="C2170" t="str">
            <v>GANCHO OLHAL EM ACO GALVANIZADO, ESPESSURA 16MM, ABERTURA 21MM</v>
          </cell>
          <cell r="D2170" t="str">
            <v>UN</v>
          </cell>
          <cell r="E2170" t="str">
            <v>CR</v>
          </cell>
          <cell r="F2170">
            <v>12.11</v>
          </cell>
        </row>
        <row r="2171">
          <cell r="B2171">
            <v>4226</v>
          </cell>
          <cell r="C2171" t="str">
            <v>GAS DE COZINHA - GLP</v>
          </cell>
          <cell r="D2171" t="str">
            <v>KG</v>
          </cell>
          <cell r="E2171" t="str">
            <v>C</v>
          </cell>
          <cell r="F2171">
            <v>8.5500000000000007</v>
          </cell>
        </row>
        <row r="2172">
          <cell r="B2172">
            <v>4222</v>
          </cell>
          <cell r="C2172" t="str">
            <v>GASOLINA COMUM</v>
          </cell>
          <cell r="D2172" t="str">
            <v>L</v>
          </cell>
          <cell r="E2172" t="str">
            <v>C</v>
          </cell>
          <cell r="F2172">
            <v>6.16</v>
          </cell>
        </row>
        <row r="2173">
          <cell r="B2173">
            <v>34804</v>
          </cell>
          <cell r="C2173" t="str">
            <v>GEOGRELHA TECIDA COM FILAMENTOS DE POLIESTER + PVC, RESISTENCIA LONGITUDINAL: 90 KN/M, RESISTENCIA TRANSVERSAL: 30 KN/M, ALONGAMENTO = 12 POR CENTO</v>
          </cell>
          <cell r="D2173" t="str">
            <v>M2</v>
          </cell>
          <cell r="E2173" t="str">
            <v>CR</v>
          </cell>
          <cell r="F2173">
            <v>48.88</v>
          </cell>
        </row>
        <row r="2174">
          <cell r="B2174">
            <v>4013</v>
          </cell>
          <cell r="C2174" t="str">
            <v>GEOTEXTIL NAO TECIDO AGULHADO DE FILAMENTOS CONTINUOS 100% POLIESTER, RESITENCIA A TRACAO = 09 KN/M</v>
          </cell>
          <cell r="D2174" t="str">
            <v>M2</v>
          </cell>
          <cell r="E2174" t="str">
            <v>CR</v>
          </cell>
          <cell r="F2174">
            <v>7.12</v>
          </cell>
        </row>
        <row r="2175">
          <cell r="B2175">
            <v>4011</v>
          </cell>
          <cell r="C2175" t="str">
            <v>GEOTEXTIL NAO TECIDO AGULHADO DE FILAMENTOS CONTINUOS 100% POLIESTER, RESITENCIA A TRACAO = 10 KN/M</v>
          </cell>
          <cell r="D2175" t="str">
            <v>M2</v>
          </cell>
          <cell r="E2175" t="str">
            <v>CR</v>
          </cell>
          <cell r="F2175">
            <v>7.96</v>
          </cell>
        </row>
        <row r="2176">
          <cell r="B2176">
            <v>4021</v>
          </cell>
          <cell r="C2176" t="str">
            <v>GEOTEXTIL NAO TECIDO AGULHADO DE FILAMENTOS CONTINUOS 100% POLIESTER, RESITENCIA A TRACAO = 14 KN/M</v>
          </cell>
          <cell r="D2176" t="str">
            <v>M2</v>
          </cell>
          <cell r="E2176" t="str">
            <v>CR</v>
          </cell>
          <cell r="F2176">
            <v>9.92</v>
          </cell>
        </row>
        <row r="2177">
          <cell r="B2177">
            <v>4019</v>
          </cell>
          <cell r="C2177" t="str">
            <v>GEOTEXTIL NAO TECIDO AGULHADO DE FILAMENTOS CONTINUOS 100% POLIESTER, RESITENCIA A TRACAO = 16 KN/M</v>
          </cell>
          <cell r="D2177" t="str">
            <v>M2</v>
          </cell>
          <cell r="E2177" t="str">
            <v>CR</v>
          </cell>
          <cell r="F2177">
            <v>11.91</v>
          </cell>
        </row>
        <row r="2178">
          <cell r="B2178">
            <v>4012</v>
          </cell>
          <cell r="C2178" t="str">
            <v>GEOTEXTIL NAO TECIDO AGULHADO DE FILAMENTOS CONTINUOS 100% POLIESTER, RESITENCIA A TRACAO = 21 KN/M</v>
          </cell>
          <cell r="D2178" t="str">
            <v>M2</v>
          </cell>
          <cell r="E2178" t="str">
            <v>CR</v>
          </cell>
          <cell r="F2178">
            <v>15.97</v>
          </cell>
        </row>
        <row r="2179">
          <cell r="B2179">
            <v>4020</v>
          </cell>
          <cell r="C2179" t="str">
            <v>GEOTEXTIL NAO TECIDO AGULHADO DE FILAMENTOS CONTINUOS 100% POLIESTER, RESITENCIA A TRACAO = 26 KN/M</v>
          </cell>
          <cell r="D2179" t="str">
            <v>M2</v>
          </cell>
          <cell r="E2179" t="str">
            <v>CR</v>
          </cell>
          <cell r="F2179">
            <v>19.989999999999998</v>
          </cell>
        </row>
        <row r="2180">
          <cell r="B2180">
            <v>4018</v>
          </cell>
          <cell r="C2180" t="str">
            <v>GEOTEXTIL NAO TECIDO AGULHADO DE FILAMENTOS CONTINUOS 100% POLIESTER, RESITENCIA A TRACAO = 31 KN/M</v>
          </cell>
          <cell r="D2180" t="str">
            <v>M2</v>
          </cell>
          <cell r="E2180" t="str">
            <v>CR</v>
          </cell>
          <cell r="F2180">
            <v>23.95</v>
          </cell>
        </row>
        <row r="2181">
          <cell r="B2181">
            <v>36498</v>
          </cell>
          <cell r="C2181" t="str">
            <v>GERADOR PORTATIL MONOFASICO, POTENCIA 5500 VA, MOTOR A GASOLINA, POTENCIA DO MOTOR 13 CV</v>
          </cell>
          <cell r="D2181" t="str">
            <v>UN</v>
          </cell>
          <cell r="E2181" t="str">
            <v>CR</v>
          </cell>
          <cell r="F2181">
            <v>9377.68</v>
          </cell>
        </row>
        <row r="2182">
          <cell r="B2182">
            <v>12872</v>
          </cell>
          <cell r="C2182" t="str">
            <v>GESSEIRO (HORISTA)</v>
          </cell>
          <cell r="D2182" t="str">
            <v>H</v>
          </cell>
          <cell r="E2182" t="str">
            <v>CR</v>
          </cell>
          <cell r="F2182">
            <v>26.03</v>
          </cell>
        </row>
        <row r="2183">
          <cell r="B2183">
            <v>41075</v>
          </cell>
          <cell r="C2183" t="str">
            <v>GESSEIRO (MENSALISTA)</v>
          </cell>
          <cell r="D2183" t="str">
            <v>MES</v>
          </cell>
          <cell r="E2183" t="str">
            <v>CR</v>
          </cell>
          <cell r="F2183">
            <v>4560.57</v>
          </cell>
        </row>
        <row r="2184">
          <cell r="B2184">
            <v>44324</v>
          </cell>
          <cell r="C2184" t="str">
            <v>GESSO COLA, EM PO, PARA FIXACAO DE MOLDURAS, SANCAS E BLOCOS DE GESSO</v>
          </cell>
          <cell r="D2184" t="str">
            <v>KG</v>
          </cell>
          <cell r="E2184" t="str">
            <v>CR</v>
          </cell>
          <cell r="F2184">
            <v>2.78</v>
          </cell>
        </row>
        <row r="2185">
          <cell r="B2185">
            <v>3315</v>
          </cell>
          <cell r="C2185" t="str">
            <v>GESSO EM PO PARA REVESTIMENTOS/MOLDURAS/SANCAS E USO GERAL</v>
          </cell>
          <cell r="D2185" t="str">
            <v>KG</v>
          </cell>
          <cell r="E2185" t="str">
            <v>CR</v>
          </cell>
          <cell r="F2185">
            <v>0.8</v>
          </cell>
        </row>
        <row r="2186">
          <cell r="B2186">
            <v>36870</v>
          </cell>
          <cell r="C2186" t="str">
            <v>GESSO PROJETADO</v>
          </cell>
          <cell r="D2186" t="str">
            <v>KG</v>
          </cell>
          <cell r="E2186" t="str">
            <v>CR</v>
          </cell>
          <cell r="F2186">
            <v>0.62</v>
          </cell>
        </row>
        <row r="2187">
          <cell r="B2187">
            <v>5092</v>
          </cell>
          <cell r="C2187" t="str">
            <v>GONZO DE EMBUTIR, EM LATAO / ZAMAC, *20 X 48* MM, PARA JANELA BASCULANTE / PIVOTANTE, JOGO COM 4 PECAS (PAR) - INCLUI PARAFUSOS</v>
          </cell>
          <cell r="D2187" t="str">
            <v>PAR</v>
          </cell>
          <cell r="E2187" t="str">
            <v>CR</v>
          </cell>
          <cell r="F2187">
            <v>17.55</v>
          </cell>
        </row>
        <row r="2188">
          <cell r="B2188">
            <v>11462</v>
          </cell>
          <cell r="C2188" t="str">
            <v>GONZO DE SOBREPOR, EM LATAO / ZAMAC, PARA JANELA PIVOTANTE - INCLUI PARAFUSOS</v>
          </cell>
          <cell r="D2188" t="str">
            <v>PAR</v>
          </cell>
          <cell r="E2188" t="str">
            <v>CR</v>
          </cell>
          <cell r="F2188">
            <v>17.940000000000001</v>
          </cell>
        </row>
        <row r="2189">
          <cell r="B2189">
            <v>36529</v>
          </cell>
          <cell r="C2189" t="str">
            <v>GRADE DE DISCOS COM CONTROLE REMOTO, REBOCAVEL, COM 24 DISCOS 24" X 6 MM, COM PNEUS PARA TRANSPORTE</v>
          </cell>
          <cell r="D2189" t="str">
            <v>UN</v>
          </cell>
          <cell r="E2189" t="str">
            <v>CR</v>
          </cell>
          <cell r="F2189">
            <v>62499.99</v>
          </cell>
        </row>
        <row r="2190">
          <cell r="B2190">
            <v>3318</v>
          </cell>
          <cell r="C2190" t="str">
            <v>GRADE DE DISCOS MECANICA 20X24" COM 20 DISCOS 24" X 6MM COM PNEUS PARA TRANSPORTE</v>
          </cell>
          <cell r="D2190" t="str">
            <v>UN</v>
          </cell>
          <cell r="E2190" t="str">
            <v>C</v>
          </cell>
          <cell r="F2190">
            <v>49000</v>
          </cell>
        </row>
        <row r="2191">
          <cell r="B2191">
            <v>3324</v>
          </cell>
          <cell r="C2191" t="str">
            <v>GRAMA BATATAIS EM PLACAS, SEM PLANTIO</v>
          </cell>
          <cell r="D2191" t="str">
            <v>M2</v>
          </cell>
          <cell r="E2191" t="str">
            <v>CR</v>
          </cell>
          <cell r="F2191">
            <v>12.85</v>
          </cell>
        </row>
        <row r="2192">
          <cell r="B2192">
            <v>3322</v>
          </cell>
          <cell r="C2192" t="str">
            <v>GRAMA ESMERALDA OU SAO CARLOS OU CURITIBANA, EM PLACAS, SEM PLANTIO</v>
          </cell>
          <cell r="D2192" t="str">
            <v>M2</v>
          </cell>
          <cell r="E2192" t="str">
            <v>C</v>
          </cell>
          <cell r="F2192">
            <v>18</v>
          </cell>
        </row>
        <row r="2193">
          <cell r="B2193">
            <v>5076</v>
          </cell>
          <cell r="C2193" t="str">
            <v>GRAMPO DE ACO POLIDO 1" X 9</v>
          </cell>
          <cell r="D2193" t="str">
            <v>KG</v>
          </cell>
          <cell r="E2193" t="str">
            <v>CR</v>
          </cell>
          <cell r="F2193">
            <v>11.43</v>
          </cell>
        </row>
        <row r="2194">
          <cell r="B2194">
            <v>5077</v>
          </cell>
          <cell r="C2194" t="str">
            <v>GRAMPO DE ACO POLIDO 7/8" X 9</v>
          </cell>
          <cell r="D2194" t="str">
            <v>KG</v>
          </cell>
          <cell r="E2194" t="str">
            <v>CR</v>
          </cell>
          <cell r="F2194">
            <v>12.64</v>
          </cell>
        </row>
        <row r="2195">
          <cell r="B2195">
            <v>45242</v>
          </cell>
          <cell r="C2195" t="str">
            <v>GRAMPO DE APERTO RAPIDO 18"</v>
          </cell>
          <cell r="D2195" t="str">
            <v>UN</v>
          </cell>
          <cell r="E2195" t="str">
            <v>CR</v>
          </cell>
          <cell r="F2195">
            <v>67.3</v>
          </cell>
        </row>
        <row r="2196">
          <cell r="B2196">
            <v>11837</v>
          </cell>
          <cell r="C2196" t="str">
            <v>GRAMPO LINHA VIVA DE LATAO ESTANHADO, DIAMETRO DO CONDUTOR PRINCIPAL DE 10 A 120 MM2, DIAMETRO DA DERIVACAO DE 10 A 70 MM2</v>
          </cell>
          <cell r="D2196" t="str">
            <v>UN</v>
          </cell>
          <cell r="E2196" t="str">
            <v>CR</v>
          </cell>
          <cell r="F2196">
            <v>71.8</v>
          </cell>
        </row>
        <row r="2197">
          <cell r="B2197">
            <v>415</v>
          </cell>
          <cell r="C2197" t="str">
            <v>GRAMPO METALICO TIPO OLHAL PARA HASTE DE ATERRAMENTO DE 1", CONDUTOR DE *10* A 50 MM2</v>
          </cell>
          <cell r="D2197" t="str">
            <v>UN</v>
          </cell>
          <cell r="E2197" t="str">
            <v>CR</v>
          </cell>
          <cell r="F2197">
            <v>29.44</v>
          </cell>
        </row>
        <row r="2198">
          <cell r="B2198">
            <v>38055</v>
          </cell>
          <cell r="C2198" t="str">
            <v>GRAMPO METALICO TIPO OLHAL PARA HASTE DE ATERRAMENTO DE 1/2", CONDUTOR DE *10* A 50 MM2</v>
          </cell>
          <cell r="D2198" t="str">
            <v>UN</v>
          </cell>
          <cell r="E2198" t="str">
            <v>CR</v>
          </cell>
          <cell r="F2198">
            <v>6.51</v>
          </cell>
        </row>
        <row r="2199">
          <cell r="B2199">
            <v>416</v>
          </cell>
          <cell r="C2199" t="str">
            <v>GRAMPO METALICO TIPO OLHAL PARA HASTE DE ATERRAMENTO DE 3/4", CONDUTOR DE *10* A 50 MM2</v>
          </cell>
          <cell r="D2199" t="str">
            <v>UN</v>
          </cell>
          <cell r="E2199" t="str">
            <v>CR</v>
          </cell>
          <cell r="F2199">
            <v>10.78</v>
          </cell>
        </row>
        <row r="2200">
          <cell r="B2200">
            <v>425</v>
          </cell>
          <cell r="C2200" t="str">
            <v>GRAMPO METALICO TIPO OLHAL PARA HASTE DE ATERRAMENTO DE 5/8", CONDUTOR DE *10* A 50 MM2</v>
          </cell>
          <cell r="D2200" t="str">
            <v>UN</v>
          </cell>
          <cell r="E2200" t="str">
            <v>CR</v>
          </cell>
          <cell r="F2200">
            <v>6.68</v>
          </cell>
        </row>
        <row r="2201">
          <cell r="B2201">
            <v>426</v>
          </cell>
          <cell r="C2201" t="str">
            <v>GRAMPO METALICO TIPO U PARA HASTE DE ATERRAMENTO DE ATE 3/4", CONDUTOR DE 10 A 25 MM2</v>
          </cell>
          <cell r="D2201" t="str">
            <v>UN</v>
          </cell>
          <cell r="E2201" t="str">
            <v>CR</v>
          </cell>
          <cell r="F2201">
            <v>36.799999999999997</v>
          </cell>
        </row>
        <row r="2202">
          <cell r="B2202">
            <v>38056</v>
          </cell>
          <cell r="C2202" t="str">
            <v>GRAMPO METALICO TIPO U PARA HASTE DE ATERRAMENTO DE ATE 5/8", CONDUTOR DE 10 A 25 MM2</v>
          </cell>
          <cell r="D2202" t="str">
            <v>UN</v>
          </cell>
          <cell r="E2202" t="str">
            <v>CR</v>
          </cell>
          <cell r="F2202">
            <v>35.94</v>
          </cell>
        </row>
        <row r="2203">
          <cell r="B2203">
            <v>1564</v>
          </cell>
          <cell r="C2203" t="str">
            <v>GRAMPO PARALELO METALICO PARA CABO DE 6 A 50 MM2, COM 2 PARAFUSOS</v>
          </cell>
          <cell r="D2203" t="str">
            <v>UN</v>
          </cell>
          <cell r="E2203" t="str">
            <v>CR</v>
          </cell>
          <cell r="F2203">
            <v>13.71</v>
          </cell>
        </row>
        <row r="2204">
          <cell r="B2204">
            <v>11032</v>
          </cell>
          <cell r="C2204" t="str">
            <v>GRAMPO U DE 5/8" N8 EM ACO GALVANIZADO</v>
          </cell>
          <cell r="D2204" t="str">
            <v>UN</v>
          </cell>
          <cell r="E2204" t="str">
            <v>CR</v>
          </cell>
          <cell r="F2204">
            <v>12.61</v>
          </cell>
        </row>
        <row r="2205">
          <cell r="B2205">
            <v>36786</v>
          </cell>
          <cell r="C2205" t="str">
            <v>GRANALHA DE ACO, ANGULAR (GRIT), PARA JATEAMENTO, PENEIRA 0,117 A 1,00 MM, (SAE G-40 A G-80)</v>
          </cell>
          <cell r="D2205" t="str">
            <v>SC25KG</v>
          </cell>
          <cell r="E2205" t="str">
            <v>CR</v>
          </cell>
          <cell r="F2205">
            <v>137.94</v>
          </cell>
        </row>
        <row r="2206">
          <cell r="B2206">
            <v>36785</v>
          </cell>
          <cell r="C2206" t="str">
            <v>GRANALHA DE ACO, ANGULAR (GRIT), PARA JATEAMENTO, PENEIRA 1,41 A 1,19 MM (SAE G16)</v>
          </cell>
          <cell r="D2206" t="str">
            <v>SC25KG</v>
          </cell>
          <cell r="E2206" t="str">
            <v>CR</v>
          </cell>
          <cell r="F2206">
            <v>119.87</v>
          </cell>
        </row>
        <row r="2207">
          <cell r="B2207">
            <v>36782</v>
          </cell>
          <cell r="C2207" t="str">
            <v>GRANALHA DE ACO, ESFERICA (SHOT), PARA JATEAMENTO, PENEIRA 0,40 A 1,00 MM (SAE S-170 A S-280)</v>
          </cell>
          <cell r="D2207" t="str">
            <v>SC25KG</v>
          </cell>
          <cell r="E2207" t="str">
            <v>CR</v>
          </cell>
          <cell r="F2207">
            <v>143.08000000000001</v>
          </cell>
        </row>
        <row r="2208">
          <cell r="B2208">
            <v>44481</v>
          </cell>
          <cell r="C2208" t="str">
            <v>GRANALHA DE ACO, ESFERICA (SHOT), PARA JATEAMENTO, PENEIRA 1,19 A 1,00 MM (SAE S390)</v>
          </cell>
          <cell r="D2208" t="str">
            <v>SC25KG</v>
          </cell>
          <cell r="E2208" t="str">
            <v>C</v>
          </cell>
          <cell r="F2208">
            <v>161.16999999999999</v>
          </cell>
        </row>
        <row r="2209">
          <cell r="B2209">
            <v>4824</v>
          </cell>
          <cell r="C2209" t="str">
            <v>GRANILHA/ GRANA/ PEDRISCO OU AGREGADO EM MARMORE/ GRANITO/ QUARTZO E CALCARIO, PRETO, CINZA, PALHA OU BRANCO</v>
          </cell>
          <cell r="D2209" t="str">
            <v>KG</v>
          </cell>
          <cell r="E2209" t="str">
            <v>CR</v>
          </cell>
          <cell r="F2209">
            <v>0.75</v>
          </cell>
        </row>
        <row r="2210">
          <cell r="B2210">
            <v>11795</v>
          </cell>
          <cell r="C2210" t="str">
            <v>GRANITO PARA BANCADA, POLIDO, TIPO ANDORINHA/ QUARTZ/ CASTELO/ CORUMBA OU OUTROS EQUIVALENTES DA REGIAO, E= *2,5* CM</v>
          </cell>
          <cell r="D2210" t="str">
            <v>M2</v>
          </cell>
          <cell r="E2210" t="str">
            <v>CR</v>
          </cell>
          <cell r="F2210">
            <v>671.69</v>
          </cell>
        </row>
        <row r="2211">
          <cell r="B2211">
            <v>134</v>
          </cell>
          <cell r="C2211" t="str">
            <v>GRAUTE CIMENTICIO PARA USO GERAL</v>
          </cell>
          <cell r="D2211" t="str">
            <v>KG</v>
          </cell>
          <cell r="E2211" t="str">
            <v>CR</v>
          </cell>
          <cell r="F2211">
            <v>1.58</v>
          </cell>
        </row>
        <row r="2212">
          <cell r="B2212">
            <v>4229</v>
          </cell>
          <cell r="C2212" t="str">
            <v>GRAXA LUBRIFICANTE A BASE DE LITIO, DE MULTIPLAS APLICACOES E CONTENDO ADITIVOS DE EXTREMA PRESSAO (GRAU DE VISCOSIDADE NLGI 2)</v>
          </cell>
          <cell r="D2212" t="str">
            <v>KG</v>
          </cell>
          <cell r="E2212" t="str">
            <v>CR</v>
          </cell>
          <cell r="F2212">
            <v>45.13</v>
          </cell>
        </row>
        <row r="2213">
          <cell r="B2213">
            <v>11731</v>
          </cell>
          <cell r="C2213" t="str">
            <v>GRELHA FIXA, EM PVC BRANCA, QUADRADA, 150 X 150 MM, PARA RALOS E CAIXAS</v>
          </cell>
          <cell r="D2213" t="str">
            <v>UN</v>
          </cell>
          <cell r="E2213" t="str">
            <v>CR</v>
          </cell>
          <cell r="F2213">
            <v>10.75</v>
          </cell>
        </row>
        <row r="2214">
          <cell r="B2214">
            <v>11732</v>
          </cell>
          <cell r="C2214" t="str">
            <v>GRELHA FIXA, PVC CROMADA, REDONDA, 150 MM, PARA RALOS E CAIXAS</v>
          </cell>
          <cell r="D2214" t="str">
            <v>UN</v>
          </cell>
          <cell r="E2214" t="str">
            <v>CR</v>
          </cell>
          <cell r="F2214">
            <v>28.17</v>
          </cell>
        </row>
        <row r="2215">
          <cell r="B2215">
            <v>11244</v>
          </cell>
          <cell r="C2215" t="str">
            <v>GRELHA FOFO ARTICULADA, CARGA MAXIMA 1,5 T, *300 X 1000* MM, E= *15* MM</v>
          </cell>
          <cell r="D2215" t="str">
            <v>UN</v>
          </cell>
          <cell r="E2215" t="str">
            <v>CR</v>
          </cell>
          <cell r="F2215">
            <v>233.07</v>
          </cell>
        </row>
        <row r="2216">
          <cell r="B2216">
            <v>11235</v>
          </cell>
          <cell r="C2216" t="str">
            <v>GRELHA FOFO SIMPLES COM REQUADRO, CARGA MAXIMA 1,5 T, 150 X 1000 MM, E= *15* MM</v>
          </cell>
          <cell r="D2216" t="str">
            <v>UN</v>
          </cell>
          <cell r="E2216" t="str">
            <v>CR</v>
          </cell>
          <cell r="F2216">
            <v>177.86</v>
          </cell>
        </row>
        <row r="2217">
          <cell r="B2217">
            <v>11236</v>
          </cell>
          <cell r="C2217" t="str">
            <v>GRELHA FOFO SIMPLES COM REQUADRO, CARGA MAXIMA 1,5 T, 200 X 1000 MM, E= *15* MM</v>
          </cell>
          <cell r="D2217" t="str">
            <v>UN</v>
          </cell>
          <cell r="E2217" t="str">
            <v>CR</v>
          </cell>
          <cell r="F2217">
            <v>226.03</v>
          </cell>
        </row>
        <row r="2218">
          <cell r="B2218">
            <v>11245</v>
          </cell>
          <cell r="C2218" t="str">
            <v>GRELHA FOFO SIMPLES COM REQUADRO, CARGA MAXIMA 12,5 T, *300 X 1000* MM, E= *15* MM, AREA ESTACIONAMENTO CARRO PASSEIO</v>
          </cell>
          <cell r="D2218" t="str">
            <v>UN</v>
          </cell>
          <cell r="E2218" t="str">
            <v>CR</v>
          </cell>
          <cell r="F2218">
            <v>322.37</v>
          </cell>
        </row>
        <row r="2219">
          <cell r="B2219">
            <v>36494</v>
          </cell>
          <cell r="C2219" t="str">
            <v>GRUA ASCENCIONAL, LANCA DE 30 M, CAPACIDADE DE 1,0 T A 30 M, ALTURA ATE 39 M</v>
          </cell>
          <cell r="D2219" t="str">
            <v>UN</v>
          </cell>
          <cell r="E2219" t="str">
            <v>CR</v>
          </cell>
          <cell r="F2219">
            <v>746558.98</v>
          </cell>
        </row>
        <row r="2220">
          <cell r="B2220">
            <v>36493</v>
          </cell>
          <cell r="C2220" t="str">
            <v>GRUA ASCENCIONAL, LANCA DE 42 M, CAPACIDADE DE 1,5 T A 30 M, ALTURA ATE 39 M</v>
          </cell>
          <cell r="D2220" t="str">
            <v>UN</v>
          </cell>
          <cell r="E2220" t="str">
            <v>CR</v>
          </cell>
          <cell r="F2220">
            <v>845821</v>
          </cell>
        </row>
        <row r="2221">
          <cell r="B2221">
            <v>13333</v>
          </cell>
          <cell r="C2221" t="str">
            <v>GRUPO GERADOR DE SOLDA ELETRICA, COM MAQUINA DE SOLDA, ATE 400 AMPERES E GERADOR A DIESEL 60 CV, MOTOR 4 CILINDROS, TANQUE COMBUST., CARENAGEM DE PROTECAO SOBRE RODAS</v>
          </cell>
          <cell r="D2221" t="str">
            <v>UN</v>
          </cell>
          <cell r="E2221" t="str">
            <v>CR</v>
          </cell>
          <cell r="F2221">
            <v>259689.46</v>
          </cell>
        </row>
        <row r="2222">
          <cell r="B2222">
            <v>39588</v>
          </cell>
          <cell r="C2222" t="str">
            <v>GRUPO GERADOR DIESEL, COM CARENAGEM, POTENCIA STANDART ENTRE 250 E 260 KVA, VELOCIDADE DE 1800 RPM, FREQUENCIA DE 60 HZ</v>
          </cell>
          <cell r="D2222" t="str">
            <v>UN</v>
          </cell>
          <cell r="E2222" t="str">
            <v>CR</v>
          </cell>
          <cell r="F2222">
            <v>277367.84000000003</v>
          </cell>
        </row>
        <row r="2223">
          <cell r="B2223">
            <v>14254</v>
          </cell>
          <cell r="C2223" t="str">
            <v>GRUPO GERADOR DIESEL, SEM CARENAGEM, POTENCIA STANDART ENTRE 80 E 90 KVA, VELOCIDADE DE 1800 RPM, FREQUENCIA DE 60 HZ</v>
          </cell>
          <cell r="D2223" t="str">
            <v>UN</v>
          </cell>
          <cell r="E2223" t="str">
            <v>C</v>
          </cell>
          <cell r="F2223">
            <v>136162.4</v>
          </cell>
        </row>
        <row r="2224">
          <cell r="B2224">
            <v>25019</v>
          </cell>
          <cell r="C2224" t="str">
            <v>GRUPO GERADOR ESTACIONARIO, MOTOR DIESEL POTENCIA 170 KVA</v>
          </cell>
          <cell r="D2224" t="str">
            <v>UN</v>
          </cell>
          <cell r="E2224" t="str">
            <v>CR</v>
          </cell>
          <cell r="F2224">
            <v>194905.59</v>
          </cell>
        </row>
        <row r="2225">
          <cell r="B2225">
            <v>36501</v>
          </cell>
          <cell r="C2225" t="str">
            <v>GRUPO GERADOR ESTACIONARIO, POTENCIA 150 KVA, MOTOR DIESEL</v>
          </cell>
          <cell r="D2225" t="str">
            <v>UN</v>
          </cell>
          <cell r="E2225" t="str">
            <v>CR</v>
          </cell>
          <cell r="F2225">
            <v>173533.15</v>
          </cell>
        </row>
        <row r="2226">
          <cell r="B2226">
            <v>36500</v>
          </cell>
          <cell r="C2226" t="str">
            <v>GRUPO GERADOR REBOCAVEL, POTENCIA *66* KVA, MOTOR A DIESEL</v>
          </cell>
          <cell r="D2226" t="str">
            <v>UN</v>
          </cell>
          <cell r="E2226" t="str">
            <v>CR</v>
          </cell>
          <cell r="F2226">
            <v>122631.13</v>
          </cell>
        </row>
        <row r="2227">
          <cell r="B2227">
            <v>20017</v>
          </cell>
          <cell r="C2227" t="str">
            <v>GUARNICAO / ALIZAR / VISTA LISA EM MADEIRA MACICA, PARA PORTA, E = *1* CM, L = *5* CM, CEDRINHO / ANGELIM COMERCIAL / TAURI/ CURUPIXA / PEROBA / CUMARU OU EQUIVALENTE DA REGIAO</v>
          </cell>
          <cell r="D2227" t="str">
            <v>M</v>
          </cell>
          <cell r="E2227" t="str">
            <v>CR</v>
          </cell>
          <cell r="F2227">
            <v>10.18</v>
          </cell>
        </row>
        <row r="2228">
          <cell r="B2228">
            <v>20007</v>
          </cell>
          <cell r="C2228" t="str">
            <v>GUARNICAO / ALIZAR / VISTA LISA EM MADEIRA MACICA, PARA PORTA, E = *1* CM, L = *5* CM, PINUS /EUCALIPTO / VIROLA OU EQUIVALENTE DA REGIAO</v>
          </cell>
          <cell r="D2228" t="str">
            <v>M</v>
          </cell>
          <cell r="E2228" t="str">
            <v>CR</v>
          </cell>
          <cell r="F2228">
            <v>6.07</v>
          </cell>
        </row>
        <row r="2229">
          <cell r="B2229">
            <v>39831</v>
          </cell>
          <cell r="C2229" t="str">
            <v>GUARNICAO / ALIZAR / VISTA, E = *1,5* CM, L = *5,0* CM, EM POLIESTIRENO, BRANCO (JOGO PARA 1 FACE)</v>
          </cell>
          <cell r="D2229" t="str">
            <v>JG</v>
          </cell>
          <cell r="E2229" t="str">
            <v>CR</v>
          </cell>
          <cell r="F2229">
            <v>310.89</v>
          </cell>
        </row>
        <row r="2230">
          <cell r="B2230">
            <v>36888</v>
          </cell>
          <cell r="C2230" t="str">
            <v>GUARNICAO / MOLDURA / ARREMATE DE ACABAMENTO PARA ESQUADRIA, EM ALUMINIO PERFIL 25, ACABAMENTO ANODIZADO BRANCO OU BRILHANTE, PARA 1 FACE</v>
          </cell>
          <cell r="D2230" t="str">
            <v>M</v>
          </cell>
          <cell r="E2230" t="str">
            <v>CR</v>
          </cell>
          <cell r="F2230">
            <v>29.87</v>
          </cell>
        </row>
        <row r="2231">
          <cell r="B2231">
            <v>39836</v>
          </cell>
          <cell r="C2231" t="str">
            <v>GUARNICAO/ALIZAR/VISTA, E = *1,3* CM, L = *5,0* CM HASTE REGULAVEL = *35* MM, EM MDF/PVC WOOD/ POLIESTIRENO OU MADEIRA LAMINADA, PRIMER BRANCO (JOGO PARA 1 FACE)</v>
          </cell>
          <cell r="D2231" t="str">
            <v>JG</v>
          </cell>
          <cell r="E2231" t="str">
            <v>CR</v>
          </cell>
          <cell r="F2231">
            <v>273.18</v>
          </cell>
        </row>
        <row r="2232">
          <cell r="B2232">
            <v>39830</v>
          </cell>
          <cell r="C2232" t="str">
            <v>GUARNICAO/ALIZAR/VISTA, E = *1,3* CM, L = *7,0* CM, EM POLIESTIRENO, BRANCO (JOGO PARA 1 FACE)</v>
          </cell>
          <cell r="D2232" t="str">
            <v>JG</v>
          </cell>
          <cell r="E2232" t="str">
            <v>CR</v>
          </cell>
          <cell r="F2232">
            <v>311.55</v>
          </cell>
        </row>
        <row r="2233">
          <cell r="B2233">
            <v>36487</v>
          </cell>
          <cell r="C2233" t="str">
            <v>GUINCHO ELETRICO DE COLUNA, CAPACIDADE 400 KG, COM MOTO FREIO, MOTOR TRIFASICO DE 1,25 CV</v>
          </cell>
          <cell r="D2233" t="str">
            <v>UN</v>
          </cell>
          <cell r="E2233" t="str">
            <v>CR</v>
          </cell>
          <cell r="F2233">
            <v>3781.91</v>
          </cell>
        </row>
        <row r="2234">
          <cell r="B2234">
            <v>44475</v>
          </cell>
          <cell r="C2234" t="str">
            <v>GUINDASTE HIDRAULICO AUTOPROPELIDO, COM LANCA TELESCOPICA 28,80 M, CAPACIDADE MAXIMA 30 T, POTENCIA 97 KW, TRACAO 4 X 4</v>
          </cell>
          <cell r="D2234" t="str">
            <v>UN</v>
          </cell>
          <cell r="E2234" t="str">
            <v>CR</v>
          </cell>
          <cell r="F2234">
            <v>1305473.1499999999</v>
          </cell>
        </row>
        <row r="2235">
          <cell r="B2235">
            <v>44474</v>
          </cell>
          <cell r="C2235" t="str">
            <v>GUINDASTE HIDRAULICO AUTOPROPELIDO, COM LANCA TELESCOPICA 40 M, CAPACIDADE MAXIMA 60 T, POTENCIA 260 KW, TRACAO 6 X 6</v>
          </cell>
          <cell r="D2235" t="str">
            <v>UN</v>
          </cell>
          <cell r="E2235" t="str">
            <v>CR</v>
          </cell>
          <cell r="F2235">
            <v>2510525.2999999998</v>
          </cell>
        </row>
        <row r="2236">
          <cell r="B2236">
            <v>37775</v>
          </cell>
          <cell r="C2236" t="str">
            <v>GUINDAUTO HIDRAULICO, CAPACIDADE MAXIMA DE CARGA 14340 KG, MOMENTO MAXIMO DE CARGA 42,3 TM, ALCANCE MAXIMO HORIZONTAL 16,80 M, PARA MONTAGEM SOBRE CHASSI DE CAMINHAO PBT MINIMO 23000 KG (INCLUI MONTAGEM, NAO INCLUI CAMINHAO)</v>
          </cell>
          <cell r="D2236" t="str">
            <v>UN</v>
          </cell>
          <cell r="E2236" t="str">
            <v>CR</v>
          </cell>
          <cell r="F2236">
            <v>411988.28</v>
          </cell>
        </row>
        <row r="2237">
          <cell r="B2237">
            <v>10712</v>
          </cell>
          <cell r="C2237" t="str">
            <v>GUINDAUTO HIDRAULICO, CAPACIDADE MAXIMA DE CARGA 3300 KG, MOMENTO MAXIMO DE CARGA 5,8 TM, ALCANCE MAXIMO HORIZONTAL 7,60 M, PARA MONTAGEM SOBRE CHASSI DE CAMINHAO PBT MINIMO 8000 KG (INCLUI MONTAGEM, NAO INCLUI CAMINHAO)</v>
          </cell>
          <cell r="D2237" t="str">
            <v>UN</v>
          </cell>
          <cell r="E2237" t="str">
            <v>CR</v>
          </cell>
          <cell r="F2237">
            <v>102997.07</v>
          </cell>
        </row>
        <row r="2238">
          <cell r="B2238">
            <v>3363</v>
          </cell>
          <cell r="C2238" t="str">
            <v>GUINDAUTO HIDRAULICO, CAPACIDADE MAXIMA DE CARGA 6200 KG, MOMENTO MAXIMO DE CARGA 11,7 TM, ALCANCE MAXIMO HORIZONTAL 9,70 M, PARA MONTAGEM SOBRE CHASSI DE CAMINHAO PBT MINIMO 13000 KG (INCLUI MONTAGEM, NAO INCLUI CAMINHAO)</v>
          </cell>
          <cell r="D2238" t="str">
            <v>UN</v>
          </cell>
          <cell r="E2238" t="str">
            <v>C</v>
          </cell>
          <cell r="F2238">
            <v>144875</v>
          </cell>
        </row>
        <row r="2239">
          <cell r="B2239">
            <v>3365</v>
          </cell>
          <cell r="C2239" t="str">
            <v>GUINDAUTO HIDRAULICO, CAPACIDADE MAXIMA DE CARGA 8500 KG, MOMENTO MAXIMO DE CARGA 30,4 TM, ALCANCE MAXIMO HORIZONTAL 14,30 M, PARA MONTAGEM SOBRE CHASSI DE CAMINHAO PBT MINIMO 23000 KG (INCLUI MONTAGEM, NAO INCLUI CAMINHAO)</v>
          </cell>
          <cell r="D2239" t="str">
            <v>UN</v>
          </cell>
          <cell r="E2239" t="str">
            <v>CR</v>
          </cell>
          <cell r="F2239">
            <v>338645.31</v>
          </cell>
        </row>
        <row r="2240">
          <cell r="B2240">
            <v>7569</v>
          </cell>
          <cell r="C2240" t="str">
            <v>HASTE ANCORA EM ACO GALVANIZADO, DIMENSOES 16 MM X 2000 MM</v>
          </cell>
          <cell r="D2240" t="str">
            <v>UN</v>
          </cell>
          <cell r="E2240" t="str">
            <v>CR</v>
          </cell>
          <cell r="F2240">
            <v>56.58</v>
          </cell>
        </row>
        <row r="2241">
          <cell r="B2241">
            <v>3378</v>
          </cell>
          <cell r="C2241" t="str">
            <v>HASTE DE ATERRAMENTO EM ACO COM 3,00 M DE COMPRIMENTO E DN = 3/4", REVESTIDA COM BAIXA CAMADA DE COBRE, SEM CONECTOR</v>
          </cell>
          <cell r="D2241" t="str">
            <v>UN</v>
          </cell>
          <cell r="E2241" t="str">
            <v>CR</v>
          </cell>
          <cell r="F2241">
            <v>104.22</v>
          </cell>
        </row>
        <row r="2242">
          <cell r="B2242">
            <v>3380</v>
          </cell>
          <cell r="C2242" t="str">
            <v>HASTE DE ATERRAMENTO EM ACO COM 3,00 M DE COMPRIMENTO E DN = 5/8", REVESTIDA COM BAIXA CAMADA DE COBRE, COM CONECTOR TIPO GRAMPO</v>
          </cell>
          <cell r="D2242" t="str">
            <v>UN</v>
          </cell>
          <cell r="E2242" t="str">
            <v>C</v>
          </cell>
          <cell r="F2242">
            <v>72.959999999999994</v>
          </cell>
        </row>
        <row r="2243">
          <cell r="B2243">
            <v>3379</v>
          </cell>
          <cell r="C2243" t="str">
            <v>HASTE DE ATERRAMENTO EM ACO COM 3,00 M DE COMPRIMENTO E DN = 5/8", REVESTIDA COM BAIXA CAMADA DE COBRE, SEM CONECTOR</v>
          </cell>
          <cell r="D2243" t="str">
            <v>UN</v>
          </cell>
          <cell r="E2243" t="str">
            <v>CR</v>
          </cell>
          <cell r="F2243">
            <v>70.44</v>
          </cell>
        </row>
        <row r="2244">
          <cell r="B2244">
            <v>11991</v>
          </cell>
          <cell r="C2244" t="str">
            <v>HASTE DE ATERRAMENTO EM ACO GALVANIZADO TIPO CANTONEIRA COM 2,00 M DE COMPRIMENTO, 25 X 25 MM E CHAPA DE 3/16"</v>
          </cell>
          <cell r="D2244" t="str">
            <v>UN</v>
          </cell>
          <cell r="E2244" t="str">
            <v>CR</v>
          </cell>
          <cell r="F2244">
            <v>81.78</v>
          </cell>
        </row>
        <row r="2245">
          <cell r="B2245">
            <v>44305</v>
          </cell>
          <cell r="C2245" t="str">
            <v>HASTE PARA PERFURATRIZ DE ESTEIRA T38, D= 1 1/2" X *3 M*, PARA PROLONGAR BROCA</v>
          </cell>
          <cell r="D2245" t="str">
            <v>UN</v>
          </cell>
          <cell r="E2245" t="str">
            <v>CR</v>
          </cell>
          <cell r="F2245">
            <v>1905.51</v>
          </cell>
        </row>
        <row r="2246">
          <cell r="B2246">
            <v>34349</v>
          </cell>
          <cell r="C2246" t="str">
            <v>HASTE RETA DE ACO GALVANIZADO, H = *30* CM, BASE RETANGULAR, PARA FIXACAO DE CONCERTINA SIMPLES DE 30 CM (NAO INCLUI OS FIXADORES)</v>
          </cell>
          <cell r="D2246" t="str">
            <v>UN</v>
          </cell>
          <cell r="E2246" t="str">
            <v>CR</v>
          </cell>
          <cell r="F2246">
            <v>27.77</v>
          </cell>
        </row>
        <row r="2247">
          <cell r="B2247">
            <v>11029</v>
          </cell>
          <cell r="C2247" t="str">
            <v>HASTE RETA PARA GANCHO DE FERRO GALVANIZADO, COM ROSCA 1/4" X 30 CM PARA FIXACAO DE TELHA METALICA, INCLUI PORCA E ARRUELAS DE VEDACAO</v>
          </cell>
          <cell r="D2247" t="str">
            <v>CJ</v>
          </cell>
          <cell r="E2247" t="str">
            <v>CR</v>
          </cell>
          <cell r="F2247">
            <v>1.93</v>
          </cell>
        </row>
        <row r="2248">
          <cell r="B2248">
            <v>4316</v>
          </cell>
          <cell r="C2248" t="str">
            <v>HASTE RETA PARA GANCHO DE FERRO GALVANIZADO, COM ROSCA 1/4" X 40 CM PARA FIXACAO DE TELHA DE FIBROCIMENTO, INCLUI PORCA SEXTAVADA DE ZINCO</v>
          </cell>
          <cell r="D2248" t="str">
            <v>UN</v>
          </cell>
          <cell r="E2248" t="str">
            <v>CR</v>
          </cell>
          <cell r="F2248">
            <v>1.95</v>
          </cell>
        </row>
        <row r="2249">
          <cell r="B2249">
            <v>4313</v>
          </cell>
          <cell r="C2249" t="str">
            <v>HASTE RETA PARA GANCHO DE FERRO GALVANIZADO, COM ROSCA 5/16" X 35 CM PARA FIXACAO DE TELHA DE FIBROCIMENTO, INCLUI PORCA E ARRUELAS DE VEDACAO</v>
          </cell>
          <cell r="D2249" t="str">
            <v>CJ</v>
          </cell>
          <cell r="E2249" t="str">
            <v>CR</v>
          </cell>
          <cell r="F2249">
            <v>2.8</v>
          </cell>
        </row>
        <row r="2250">
          <cell r="B2250">
            <v>4317</v>
          </cell>
          <cell r="C2250" t="str">
            <v>HASTE RETA PARA GANCHO DE FERRO GALVANIZADO, COM ROSCA 5/16" X 40 CM PARA FIXACAO DE TELHA DE FIBROCIMENTO, INCLUI PORCA SEXTAVADA DE ZINCO</v>
          </cell>
          <cell r="D2250" t="str">
            <v>UN</v>
          </cell>
          <cell r="E2250" t="str">
            <v>CR</v>
          </cell>
          <cell r="F2250">
            <v>3.19</v>
          </cell>
        </row>
        <row r="2251">
          <cell r="B2251">
            <v>4314</v>
          </cell>
          <cell r="C2251" t="str">
            <v>HASTE RETA PARA GANCHO DE FERRO GALVANIZADO, COM ROSCA 5/16" X 45 CM PARA FIXACAO DE TELHA DE FIBROCIMENTO, INCLUI PORCA E ARRUELAS DE VEDACAO</v>
          </cell>
          <cell r="D2251" t="str">
            <v>CJ</v>
          </cell>
          <cell r="E2251" t="str">
            <v>CR</v>
          </cell>
          <cell r="F2251">
            <v>3.74</v>
          </cell>
        </row>
        <row r="2252">
          <cell r="B2252">
            <v>10921</v>
          </cell>
          <cell r="C2252" t="str">
            <v>HIDRANTE DE COLUNA COMPLETO, EM FERRO FUNDIDO, DN = 100 MM, COM REGISTRO, CUNHA DE BORRACHA, CURVA DESSIMETRICA, EXTREMIDADE E TAMPAS (INCLUI KIT FIXACAO)</v>
          </cell>
          <cell r="D2252" t="str">
            <v>UN</v>
          </cell>
          <cell r="E2252" t="str">
            <v>C</v>
          </cell>
          <cell r="F2252">
            <v>5746</v>
          </cell>
        </row>
        <row r="2253">
          <cell r="B2253">
            <v>10922</v>
          </cell>
          <cell r="C2253" t="str">
            <v>HIDRANTE DE COLUNA COMPLETO, EM FERRO FUNDIDO, DN = 75 MM, COM REGISTRO, CUNHA DE BORRACHA, CURVA DESSIMETRICA, EXTREMIDADE E TAMPAS (INCLUI KIT FIXACAO)</v>
          </cell>
          <cell r="D2253" t="str">
            <v>UN</v>
          </cell>
          <cell r="E2253" t="str">
            <v>CR</v>
          </cell>
          <cell r="F2253">
            <v>5204.58</v>
          </cell>
        </row>
        <row r="2254">
          <cell r="B2254">
            <v>10923</v>
          </cell>
          <cell r="C2254" t="str">
            <v>HIDRANTE SUBTERRANEO, EM FERRO FUNDIDO, COM CURVA CURTA E CAIXA, DN 75 MM</v>
          </cell>
          <cell r="D2254" t="str">
            <v>UN</v>
          </cell>
          <cell r="E2254" t="str">
            <v>CR</v>
          </cell>
          <cell r="F2254">
            <v>3076.13</v>
          </cell>
        </row>
        <row r="2255">
          <cell r="B2255">
            <v>10924</v>
          </cell>
          <cell r="C2255" t="str">
            <v>HIDRANTE SUBTERRANEO, EM FERRO FUNDIDO, COM CURVA LONGA E CAIXA, DN 75 MM</v>
          </cell>
          <cell r="D2255" t="str">
            <v>UN</v>
          </cell>
          <cell r="E2255" t="str">
            <v>CR</v>
          </cell>
          <cell r="F2255">
            <v>3239.76</v>
          </cell>
        </row>
        <row r="2256">
          <cell r="B2256">
            <v>12772</v>
          </cell>
          <cell r="C2256" t="str">
            <v>HIDROMETRO MULTIJATO / MEDIDOR DE AGUA, DN 1 1/2", VAZAO MAXIMA DE 20 M3/H, PARA AGUA POTAVEL FRIA, RELOJOARIA PLANA, CLASSE B, HORIZONTAL (SEM CONEXOES)</v>
          </cell>
          <cell r="D2256" t="str">
            <v>UN</v>
          </cell>
          <cell r="E2256" t="str">
            <v>CR</v>
          </cell>
          <cell r="F2256">
            <v>910.59</v>
          </cell>
        </row>
        <row r="2257">
          <cell r="B2257">
            <v>12770</v>
          </cell>
          <cell r="C2257" t="str">
            <v>HIDROMETRO MULTIJATO / MEDIDOR DE AGUA, DN 1", VAZAO MAXIMA DE 10 M3/H, PARA AGUA POTAVEL FRIA, RELOJOARIA PLANA, CLASSE B, HORIZONTAL (SEM CONEXOES)</v>
          </cell>
          <cell r="D2257" t="str">
            <v>UN</v>
          </cell>
          <cell r="E2257" t="str">
            <v>CR</v>
          </cell>
          <cell r="F2257">
            <v>547.9</v>
          </cell>
        </row>
        <row r="2258">
          <cell r="B2258">
            <v>12775</v>
          </cell>
          <cell r="C2258" t="str">
            <v>HIDROMETRO MULTIJATO / MEDIDOR DE AGUA, DN 1", VAZAO MAXIMA DE 7 M3/H, PARA AGUA POTAVEL FRIA, RELOJOARIA PLANA, CLASSE B, HORIZONTAL (SEM CONEXOES)</v>
          </cell>
          <cell r="D2258" t="str">
            <v>UN</v>
          </cell>
          <cell r="E2258" t="str">
            <v>CR</v>
          </cell>
          <cell r="F2258">
            <v>401.27</v>
          </cell>
        </row>
        <row r="2259">
          <cell r="B2259">
            <v>12768</v>
          </cell>
          <cell r="C2259" t="str">
            <v>HIDROMETRO MULTIJATO / MEDIDOR DE AGUA, DN 2", VAZAO MAXIMA DE 30 M3/H, PARA AGUA POTAVEL FRIA, RELOJOARIA PLANA, CLASSE B, HORIZONTAL (SEM CONEXOES)</v>
          </cell>
          <cell r="D2259" t="str">
            <v>UN</v>
          </cell>
          <cell r="E2259" t="str">
            <v>CR</v>
          </cell>
          <cell r="F2259">
            <v>1281</v>
          </cell>
        </row>
        <row r="2260">
          <cell r="B2260">
            <v>12769</v>
          </cell>
          <cell r="C2260" t="str">
            <v>HIDROMETRO UNIJATO / MEDIDOR DE AGUA, DN 1/2", VAZAO MAXIMA DE 1,5 M3/H, PARA AGUA POTAVEL FRIA, RELOJOARIA PLANA, CLASSE B, HORIZONTAL (SEM CONEXOES)</v>
          </cell>
          <cell r="D2260" t="str">
            <v>UN</v>
          </cell>
          <cell r="E2260" t="str">
            <v>C</v>
          </cell>
          <cell r="F2260">
            <v>104.95</v>
          </cell>
        </row>
        <row r="2261">
          <cell r="B2261">
            <v>12773</v>
          </cell>
          <cell r="C2261" t="str">
            <v>HIDROMETRO UNIJATO / MEDIDOR DE AGUA, DN 1/2", VAZAO MAXIMA DE 3 M3/H, PARA AGUA POTAVEL FRIA, RELOJOARIA PLANA, CLASSE B, HORIZONTAL (SEM CONEXOES)</v>
          </cell>
          <cell r="D2261" t="str">
            <v>UN</v>
          </cell>
          <cell r="E2261" t="str">
            <v>CR</v>
          </cell>
          <cell r="F2261">
            <v>112.66</v>
          </cell>
        </row>
        <row r="2262">
          <cell r="B2262">
            <v>12774</v>
          </cell>
          <cell r="C2262" t="str">
            <v>HIDROMETRO UNIJATO / MEDIDOR DE AGUA, DN 3/4", VAZAO MAXIMA DE 5 M3/H, PARA AGUA POTAVEL FRIA, RELOJOARIA PLANA, CLASSE B, HORIZONTAL (SEM CONEXOES)0,</v>
          </cell>
          <cell r="D2262" t="str">
            <v>UN</v>
          </cell>
          <cell r="E2262" t="str">
            <v>CR</v>
          </cell>
          <cell r="F2262">
            <v>138.9</v>
          </cell>
        </row>
        <row r="2263">
          <cell r="B2263">
            <v>12776</v>
          </cell>
          <cell r="C2263" t="str">
            <v>HIDROMETRO WOLTMANN, DN 2", VAZAO MAXIMA DE 50 M3/H, PARA AGUA POTAVEL FRIA, RELOJOARIA PLANA, TURBINA HORIZONTAL, EQUIPADO COM TELEMETRIA (SEM CONEXOES)</v>
          </cell>
          <cell r="D2263" t="str">
            <v>UN</v>
          </cell>
          <cell r="E2263" t="str">
            <v>CR</v>
          </cell>
          <cell r="F2263">
            <v>2068.13</v>
          </cell>
        </row>
        <row r="2264">
          <cell r="B2264">
            <v>12777</v>
          </cell>
          <cell r="C2264" t="str">
            <v>HIDROMETRO WOLTMANN, DN 3", VAZAO MAXIMA DE 80 M3/H, PARA AGUA POTAVEL FRIA, RELOJOARIA PLANA, TURBINA HORIZONTAL, EQUIPADO COM TELEMETRIA (SEM CONEXOES)</v>
          </cell>
          <cell r="D2264" t="str">
            <v>UN</v>
          </cell>
          <cell r="E2264" t="str">
            <v>CR</v>
          </cell>
          <cell r="F2264">
            <v>2700.91</v>
          </cell>
        </row>
        <row r="2265">
          <cell r="B2265">
            <v>12873</v>
          </cell>
          <cell r="C2265" t="str">
            <v>IMPERMEABILIZADOR (HORISTA)</v>
          </cell>
          <cell r="D2265" t="str">
            <v>H</v>
          </cell>
          <cell r="E2265" t="str">
            <v>CR</v>
          </cell>
          <cell r="F2265">
            <v>26.03</v>
          </cell>
        </row>
        <row r="2266">
          <cell r="B2266">
            <v>41076</v>
          </cell>
          <cell r="C2266" t="str">
            <v>IMPERMEABILIZADOR (MENSALISTA)</v>
          </cell>
          <cell r="D2266" t="str">
            <v>MES</v>
          </cell>
          <cell r="E2266" t="str">
            <v>CR</v>
          </cell>
          <cell r="F2266">
            <v>4560.57</v>
          </cell>
        </row>
        <row r="2267">
          <cell r="B2267">
            <v>140</v>
          </cell>
          <cell r="C2267" t="str">
            <v>IMPERMEABILIZANTE FLEXIVEL BRANCO DE BASE ACRILICA PARA COBERTURAS</v>
          </cell>
          <cell r="D2267" t="str">
            <v>KG</v>
          </cell>
          <cell r="E2267" t="str">
            <v>CR</v>
          </cell>
          <cell r="F2267">
            <v>17.670000000000002</v>
          </cell>
        </row>
        <row r="2268">
          <cell r="B2268">
            <v>151</v>
          </cell>
          <cell r="C2268" t="str">
            <v>IMPERMEABILIZANTE INCOLOR, BASE SILICONE, PARA TRATAMENTO DE FACHADAS, TELHAS, PEDRAS E OUTRAS SUPERFICIES</v>
          </cell>
          <cell r="D2268" t="str">
            <v>L</v>
          </cell>
          <cell r="E2268" t="str">
            <v>CR</v>
          </cell>
          <cell r="F2268">
            <v>26.07</v>
          </cell>
        </row>
        <row r="2269">
          <cell r="B2269">
            <v>7340</v>
          </cell>
          <cell r="C2269" t="str">
            <v>IMUNIZANTE PARA MADEIRA, INCOLOR</v>
          </cell>
          <cell r="D2269" t="str">
            <v>L</v>
          </cell>
          <cell r="E2269" t="str">
            <v>CR</v>
          </cell>
          <cell r="F2269">
            <v>26.86</v>
          </cell>
        </row>
        <row r="2270">
          <cell r="B2270">
            <v>2701</v>
          </cell>
          <cell r="C2270" t="str">
            <v>INSTALADOR DE TUBULACOES - TUBOS/EQUIPAMENTOS (HORISTA)</v>
          </cell>
          <cell r="D2270" t="str">
            <v>H</v>
          </cell>
          <cell r="E2270" t="str">
            <v>CR</v>
          </cell>
          <cell r="F2270">
            <v>33.880000000000003</v>
          </cell>
        </row>
        <row r="2271">
          <cell r="B2271">
            <v>40929</v>
          </cell>
          <cell r="C2271" t="str">
            <v>INSTALADOR DE TUBULACOES (TUBOS/EQUIPAMENTOS) (MENSALISTA)</v>
          </cell>
          <cell r="D2271" t="str">
            <v>MES</v>
          </cell>
          <cell r="E2271" t="str">
            <v>CR</v>
          </cell>
          <cell r="F2271">
            <v>5935.37</v>
          </cell>
        </row>
        <row r="2272">
          <cell r="B2272">
            <v>38064</v>
          </cell>
          <cell r="C2272" t="str">
            <v>INTERRUPTOR BIPOLAR 10A, 250V, CONJUNTO MONTADO PARA EMBUTIR 4" X 2" (PLACA + SUPORTE + MODULO)</v>
          </cell>
          <cell r="D2272" t="str">
            <v>UN</v>
          </cell>
          <cell r="E2272" t="str">
            <v>CR</v>
          </cell>
          <cell r="F2272">
            <v>21.64</v>
          </cell>
        </row>
        <row r="2273">
          <cell r="B2273">
            <v>38114</v>
          </cell>
          <cell r="C2273" t="str">
            <v>INTERRUPTOR BIPOLAR SIMPLES 10 A, 250 V (APENAS MODULO)</v>
          </cell>
          <cell r="D2273" t="str">
            <v>UN</v>
          </cell>
          <cell r="E2273" t="str">
            <v>CR</v>
          </cell>
          <cell r="F2273">
            <v>19.36</v>
          </cell>
        </row>
        <row r="2274">
          <cell r="B2274">
            <v>38115</v>
          </cell>
          <cell r="C2274" t="str">
            <v>INTERRUPTOR INTERMEDIARIO 10 A, 250 V (APENAS MODULO)</v>
          </cell>
          <cell r="D2274" t="str">
            <v>UN</v>
          </cell>
          <cell r="E2274" t="str">
            <v>CR</v>
          </cell>
          <cell r="F2274">
            <v>20.67</v>
          </cell>
        </row>
        <row r="2275">
          <cell r="B2275">
            <v>38065</v>
          </cell>
          <cell r="C2275" t="str">
            <v>INTERRUPTOR INTERMEDIARIO 10A, 250V, CONJUNTO MONTADO PARA EMBUTIR 4" X 2" (PLACA + SUPORTE + MODULO)</v>
          </cell>
          <cell r="D2275" t="str">
            <v>UN</v>
          </cell>
          <cell r="E2275" t="str">
            <v>CR</v>
          </cell>
          <cell r="F2275">
            <v>30.7</v>
          </cell>
        </row>
        <row r="2276">
          <cell r="B2276">
            <v>38078</v>
          </cell>
          <cell r="C2276" t="str">
            <v>INTERRUPTOR PARALELO + TOMADA 2P+T 10A, 250V, CONJUNTO MONTADO PARA EMBUTIR 4" X 2" (PLACA + SUPORTE + MODULOS)</v>
          </cell>
          <cell r="D2276" t="str">
            <v>UN</v>
          </cell>
          <cell r="E2276" t="str">
            <v>CR</v>
          </cell>
          <cell r="F2276">
            <v>17.91</v>
          </cell>
        </row>
        <row r="2277">
          <cell r="B2277">
            <v>38113</v>
          </cell>
          <cell r="C2277" t="str">
            <v>INTERRUPTOR PARALELO 10A, 250V (APENAS MODULO)</v>
          </cell>
          <cell r="D2277" t="str">
            <v>UN</v>
          </cell>
          <cell r="E2277" t="str">
            <v>CR</v>
          </cell>
          <cell r="F2277">
            <v>9.73</v>
          </cell>
        </row>
        <row r="2278">
          <cell r="B2278">
            <v>38063</v>
          </cell>
          <cell r="C2278" t="str">
            <v>INTERRUPTOR PARALELO 10A, 250V, CONJUNTO MONTADO PARA EMBUTIR 4" X 2" (PLACA + SUPORTE + MODULO)</v>
          </cell>
          <cell r="D2278" t="str">
            <v>UN</v>
          </cell>
          <cell r="E2278" t="str">
            <v>CR</v>
          </cell>
          <cell r="F2278">
            <v>10.44</v>
          </cell>
        </row>
        <row r="2279">
          <cell r="B2279">
            <v>38073</v>
          </cell>
          <cell r="C2279" t="str">
            <v>INTERRUPTOR SIMPLES + 2 INTERRUPTORES PARALELOS 10A, 250V, CONJUNTO MONTADO PARA EMBUTIR 4" X 2" (PLACA + SUPORTE + MODULOS)</v>
          </cell>
          <cell r="D2279" t="str">
            <v>UN</v>
          </cell>
          <cell r="E2279" t="str">
            <v>CR</v>
          </cell>
          <cell r="F2279">
            <v>25.33</v>
          </cell>
        </row>
        <row r="2280">
          <cell r="B2280">
            <v>38080</v>
          </cell>
          <cell r="C2280" t="str">
            <v>INTERRUPTOR SIMPLES + INTERRUPTOR PARALELO + TOMADA 2P+T 10A, 250V, CONJUNTO MONTADO PARA EMBUTIR 4" X 2" (PLACA + SUPORTE + MODULOS)</v>
          </cell>
          <cell r="D2280" t="str">
            <v>UN</v>
          </cell>
          <cell r="E2280" t="str">
            <v>CR</v>
          </cell>
          <cell r="F2280">
            <v>31.11</v>
          </cell>
        </row>
        <row r="2281">
          <cell r="B2281">
            <v>38069</v>
          </cell>
          <cell r="C2281" t="str">
            <v>INTERRUPTOR SIMPLES + INTERRUPTOR PARALELO 10A, 250V, CONJUNTO MONTADO PARA EMBUTIR 4" X 2" (PLACA + SUPORTE + MODULOS)</v>
          </cell>
          <cell r="D2281" t="str">
            <v>UN</v>
          </cell>
          <cell r="E2281" t="str">
            <v>CR</v>
          </cell>
          <cell r="F2281">
            <v>17.010000000000002</v>
          </cell>
        </row>
        <row r="2282">
          <cell r="B2282">
            <v>38077</v>
          </cell>
          <cell r="C2282" t="str">
            <v>INTERRUPTOR SIMPLES + TOMADA 2P+T 10A, 250V, CONJUNTO MONTADO PARA EMBUTIR 4" X 2" (PLACA + SUPORTE + MODULOS)</v>
          </cell>
          <cell r="D2282" t="str">
            <v>UN</v>
          </cell>
          <cell r="E2282" t="str">
            <v>CR</v>
          </cell>
          <cell r="F2282">
            <v>16.63</v>
          </cell>
        </row>
        <row r="2283">
          <cell r="B2283">
            <v>38112</v>
          </cell>
          <cell r="C2283" t="str">
            <v>INTERRUPTOR SIMPLES 10A, 250V (APENAS MODULO)</v>
          </cell>
          <cell r="D2283" t="str">
            <v>UN</v>
          </cell>
          <cell r="E2283" t="str">
            <v>CR</v>
          </cell>
          <cell r="F2283">
            <v>7.47</v>
          </cell>
        </row>
        <row r="2284">
          <cell r="B2284">
            <v>38062</v>
          </cell>
          <cell r="C2284" t="str">
            <v>INTERRUPTOR SIMPLES 10A, 250V, CONJUNTO MONTADO PARA EMBUTIR 4" X 2" (PLACA + SUPORTE + MODULO)</v>
          </cell>
          <cell r="D2284" t="str">
            <v>UN</v>
          </cell>
          <cell r="E2284" t="str">
            <v>CR</v>
          </cell>
          <cell r="F2284">
            <v>7.67</v>
          </cell>
        </row>
        <row r="2285">
          <cell r="B2285">
            <v>12129</v>
          </cell>
          <cell r="C2285" t="str">
            <v>INTERRUPTOR SIMPLES 10A, 250V, CONJUNTO MONTADO PARA SOBREPOR 4" X 2" (CAIXA + 2 MODULOS)</v>
          </cell>
          <cell r="D2285" t="str">
            <v>UN</v>
          </cell>
          <cell r="E2285" t="str">
            <v>CR</v>
          </cell>
          <cell r="F2285">
            <v>13.55</v>
          </cell>
        </row>
        <row r="2286">
          <cell r="B2286">
            <v>12128</v>
          </cell>
          <cell r="C2286" t="str">
            <v>INTERRUPTOR SIMPLES 10A, 250V, CONJUNTO MONTADO PARA SOBREPOR 4" X 2" (CAIXA + MODULO)</v>
          </cell>
          <cell r="D2286" t="str">
            <v>UN</v>
          </cell>
          <cell r="E2286" t="str">
            <v>CR</v>
          </cell>
          <cell r="F2286">
            <v>10.25</v>
          </cell>
        </row>
        <row r="2287">
          <cell r="B2287">
            <v>38081</v>
          </cell>
          <cell r="C2287" t="str">
            <v>INTERRUPTORES PARALELOS (2 MODULOS) + TOMADA 2P+T 10A, 250V, CONJUNTO MONTADO PARA EMBUTIR 4" X 2" (PLACA + SUPORTE + MODULOS)</v>
          </cell>
          <cell r="D2287" t="str">
            <v>UN</v>
          </cell>
          <cell r="E2287" t="str">
            <v>CR</v>
          </cell>
          <cell r="F2287">
            <v>26.39</v>
          </cell>
        </row>
        <row r="2288">
          <cell r="B2288">
            <v>38070</v>
          </cell>
          <cell r="C2288" t="str">
            <v>INTERRUPTORES PARALELOS (2 MODULOS) 10A, 250V, CONJUNTO MONTADO PARA EMBUTIR 4" X 2" (PLACA + SUPORTE + MODULOS)</v>
          </cell>
          <cell r="D2288" t="str">
            <v>UN</v>
          </cell>
          <cell r="E2288" t="str">
            <v>CR</v>
          </cell>
          <cell r="F2288">
            <v>18.18</v>
          </cell>
        </row>
        <row r="2289">
          <cell r="B2289">
            <v>38074</v>
          </cell>
          <cell r="C2289" t="str">
            <v>INTERRUPTORES PARALELOS (3 MODULOS) 10A, 250V, CONJUNTO MONTADO PARA EMBUTIR 4" X 2" (PLACA + SUPORTE + MODULO)</v>
          </cell>
          <cell r="D2289" t="str">
            <v>UN</v>
          </cell>
          <cell r="E2289" t="str">
            <v>CR</v>
          </cell>
          <cell r="F2289">
            <v>27.65</v>
          </cell>
        </row>
        <row r="2290">
          <cell r="B2290">
            <v>38072</v>
          </cell>
          <cell r="C2290" t="str">
            <v>INTERRUPTORES SIMPLES (2 MODULOS) + 1 INTERRUPTOR PARALELO 10A, 250V, CONJUNTO MONTADO PARA EMBUTIR 4" X 2" (PLACA + SUPORTE + MODULOS)</v>
          </cell>
          <cell r="D2290" t="str">
            <v>UN</v>
          </cell>
          <cell r="E2290" t="str">
            <v>CR</v>
          </cell>
          <cell r="F2290">
            <v>22.8</v>
          </cell>
        </row>
        <row r="2291">
          <cell r="B2291">
            <v>38079</v>
          </cell>
          <cell r="C2291" t="str">
            <v>INTERRUPTORES SIMPLES (2 MODULOS) + TOMADA 2P+T 10A, 250V, CONJUNTO MONTADO PARA EMBUTIR 4" X 2" (PLACA + SUPORTE + MODULOS)</v>
          </cell>
          <cell r="D2291" t="str">
            <v>UN</v>
          </cell>
          <cell r="E2291" t="str">
            <v>CR</v>
          </cell>
          <cell r="F2291">
            <v>23.73</v>
          </cell>
        </row>
        <row r="2292">
          <cell r="B2292">
            <v>38068</v>
          </cell>
          <cell r="C2292" t="str">
            <v>INTERRUPTORES SIMPLES (2 MODULOS) 10A, 250V, CONJUNTO MONTADO PARA EMBUTIR 4" X 2" (PLACA + SUPORTE + MODULOS)</v>
          </cell>
          <cell r="D2292" t="str">
            <v>UN</v>
          </cell>
          <cell r="E2292" t="str">
            <v>CR</v>
          </cell>
          <cell r="F2292">
            <v>15.74</v>
          </cell>
        </row>
        <row r="2293">
          <cell r="B2293">
            <v>38071</v>
          </cell>
          <cell r="C2293" t="str">
            <v>INTERRUPTORES SIMPLES (3 MODULOS) 10A, 250V, CONJUNTO MONTADO PARA EMBUTIR 4" X 2" (PLACA + SUPORTE + MODULOS)</v>
          </cell>
          <cell r="D2293" t="str">
            <v>UN</v>
          </cell>
          <cell r="E2293" t="str">
            <v>CR</v>
          </cell>
          <cell r="F2293">
            <v>18.82</v>
          </cell>
        </row>
        <row r="2294">
          <cell r="B2294">
            <v>45279</v>
          </cell>
          <cell r="C2294" t="str">
            <v>INVERSOR DE SOLDA MONOFASICO DE 160 A, POTENCIA DE *7000* W, TENSAO DE 220 V, TURBO VENTILADO, PROTECAO POR TERMOSTATO, PARA ELETRODOS DE *2,0 A 4,0* MM</v>
          </cell>
          <cell r="D2294" t="str">
            <v>UN</v>
          </cell>
          <cell r="E2294" t="str">
            <v>C</v>
          </cell>
          <cell r="F2294">
            <v>924.95</v>
          </cell>
        </row>
        <row r="2295">
          <cell r="B2295">
            <v>3405</v>
          </cell>
          <cell r="C2295" t="str">
            <v>ISOLADOR DE PORCELANA SUSPENSO, DISCO TIPO GARFO OLHAL, DIAMETRO DE 152 MM, PARA TENSAO DE *15* KV</v>
          </cell>
          <cell r="D2295" t="str">
            <v>UN</v>
          </cell>
          <cell r="E2295" t="str">
            <v>CR</v>
          </cell>
          <cell r="F2295">
            <v>86.8</v>
          </cell>
        </row>
        <row r="2296">
          <cell r="B2296">
            <v>3394</v>
          </cell>
          <cell r="C2296" t="str">
            <v>ISOLADOR DE PORCELANA, TIPO BUCHA, PARA TENSAO DE *15* KV</v>
          </cell>
          <cell r="D2296" t="str">
            <v>UN</v>
          </cell>
          <cell r="E2296" t="str">
            <v>CR</v>
          </cell>
          <cell r="F2296">
            <v>458.21</v>
          </cell>
        </row>
        <row r="2297">
          <cell r="B2297">
            <v>3393</v>
          </cell>
          <cell r="C2297" t="str">
            <v>ISOLADOR DE PORCELANA, TIPO BUCHA, PARA TENSAO DE *35* KV</v>
          </cell>
          <cell r="D2297" t="str">
            <v>UN</v>
          </cell>
          <cell r="E2297" t="str">
            <v>CR</v>
          </cell>
          <cell r="F2297">
            <v>780.15</v>
          </cell>
        </row>
        <row r="2298">
          <cell r="B2298">
            <v>3406</v>
          </cell>
          <cell r="C2298" t="str">
            <v>ISOLADOR DE PORCELANA, TIPO PINO MONOCORPO, PARA TENSAO DE *15* KV</v>
          </cell>
          <cell r="D2298" t="str">
            <v>UN</v>
          </cell>
          <cell r="E2298" t="str">
            <v>C</v>
          </cell>
          <cell r="F2298">
            <v>26.57</v>
          </cell>
        </row>
        <row r="2299">
          <cell r="B2299">
            <v>3395</v>
          </cell>
          <cell r="C2299" t="str">
            <v>ISOLADOR DE PORCELANA, TIPO PINO MONOCORPO, PARA TENSAO DE *35* KV</v>
          </cell>
          <cell r="D2299" t="str">
            <v>UN</v>
          </cell>
          <cell r="E2299" t="str">
            <v>CR</v>
          </cell>
          <cell r="F2299">
            <v>112.08</v>
          </cell>
        </row>
        <row r="2300">
          <cell r="B2300">
            <v>3398</v>
          </cell>
          <cell r="C2300" t="str">
            <v>ISOLADOR DE PORCELANA, TIPO ROLDANA, DIMENSOES DE *72* X *72* MM, PARA USO EM BAIXA TENSAO</v>
          </cell>
          <cell r="D2300" t="str">
            <v>UN</v>
          </cell>
          <cell r="E2300" t="str">
            <v>CR</v>
          </cell>
          <cell r="F2300">
            <v>5.32</v>
          </cell>
        </row>
        <row r="2301">
          <cell r="B2301">
            <v>40662</v>
          </cell>
          <cell r="C2301" t="str">
            <v>JANELA BASCULANTE EM MADEIRA PINUS/ EUCALIPTO/ TAUARI/ VIROLA OU EQUIVALENTE DA REGIAO, *60 X 60*, CAIXA DO BATENTE/ MARCO E = *10* CM, 2 BASCULAS PARA VIDRO, COM FERRAGENS (SEM VIDRO, SEM GUARNICAO/ALIZAR E SEM ACABAMENTO)</v>
          </cell>
          <cell r="D2301" t="str">
            <v>UN</v>
          </cell>
          <cell r="E2301" t="str">
            <v>CR</v>
          </cell>
          <cell r="F2301">
            <v>195.68</v>
          </cell>
        </row>
        <row r="2302">
          <cell r="B2302">
            <v>3437</v>
          </cell>
          <cell r="C2302" t="str">
            <v>JANELA BASCULANTE EM MADEIRA PINUS/ EUCALIPTO/ TAUARI/ VIROLA OU EQUIVALENTE DA REGIAO, CAIXA DO BATENTE/ MARCO *10* CM, *2* FOLHAS BASCULANTES PARA VIDRO, COM FERRAGENS (SEM VIDRO, SEM GUARNICAO/ALIZAR E SEM ACABAMENTO)</v>
          </cell>
          <cell r="D2302" t="str">
            <v>M2</v>
          </cell>
          <cell r="E2302" t="str">
            <v>CR</v>
          </cell>
          <cell r="F2302">
            <v>543.57000000000005</v>
          </cell>
        </row>
        <row r="2303">
          <cell r="B2303">
            <v>11190</v>
          </cell>
          <cell r="C2303" t="str">
            <v>JANELA BASCULANTE, ACO, COM BATENTE/REQUADRO, 60 X 60 CM (SEM VIDROS)</v>
          </cell>
          <cell r="D2303" t="str">
            <v>UN</v>
          </cell>
          <cell r="E2303" t="str">
            <v>C</v>
          </cell>
          <cell r="F2303">
            <v>171.7</v>
          </cell>
        </row>
        <row r="2304">
          <cell r="B2304">
            <v>34377</v>
          </cell>
          <cell r="C2304" t="str">
            <v>JANELA BASCULANTE, EM ALUMINIO PERFIL 20, 80 X 60 CM (A X L), 4 FLS (1 FIXA E 3 MOVEIS), ACABAMENTO BRANCO OU BRILHANTE, BATENTE DE 3 A 4 CM, COM VIDRO 4 MM, SEM GUARNICAO</v>
          </cell>
          <cell r="D2304" t="str">
            <v>UN</v>
          </cell>
          <cell r="E2304" t="str">
            <v>CR</v>
          </cell>
          <cell r="F2304">
            <v>210.35</v>
          </cell>
        </row>
        <row r="2305">
          <cell r="B2305">
            <v>40659</v>
          </cell>
          <cell r="C2305"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D2305" t="str">
            <v>M2</v>
          </cell>
          <cell r="E2305" t="str">
            <v>CR</v>
          </cell>
          <cell r="F2305">
            <v>769.08</v>
          </cell>
        </row>
        <row r="2306">
          <cell r="B2306">
            <v>40660</v>
          </cell>
          <cell r="C2306"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D2306" t="str">
            <v>M2</v>
          </cell>
          <cell r="E2306" t="str">
            <v>CR</v>
          </cell>
          <cell r="F2306">
            <v>974.71</v>
          </cell>
        </row>
        <row r="2307">
          <cell r="B2307">
            <v>40661</v>
          </cell>
          <cell r="C2307"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D2307" t="str">
            <v>M2</v>
          </cell>
          <cell r="E2307" t="str">
            <v>CR</v>
          </cell>
          <cell r="F2307">
            <v>599.28</v>
          </cell>
        </row>
        <row r="2308">
          <cell r="B2308">
            <v>3428</v>
          </cell>
          <cell r="C2308" t="str">
            <v>JANELA DE ABRIR EM MADEIRA IMBUIA/CEDRO ARANA/CEDRO ROSA OU EQUIVALENTE DA REGIAO, CAIXA DO BATENTE/MARCO *10* CM, 2 FOLHAS DE ABRIR TIPO VENEZIANA E 2 FOLHAS DE ABRIR PARA VIDRO, COM GUARNICAO/ALIZAR, COM FERRAGENS, (SEM VIDRO E SEM ACABAMENTO)</v>
          </cell>
          <cell r="D2308" t="str">
            <v>M2</v>
          </cell>
          <cell r="E2308" t="str">
            <v>C</v>
          </cell>
          <cell r="F2308">
            <v>806.3</v>
          </cell>
        </row>
        <row r="2309">
          <cell r="B2309">
            <v>3429</v>
          </cell>
          <cell r="C2309" t="str">
            <v>JANELA DE ABRIR EM MADEIRA PINUS/EUCALIPTO/TAUARI/VIROLA OU EQUIVALENTE DA REGIAO, CAIXA DO BATENTE/MARCO *10* CM, 2 FOLHAS DE ABRIR TIPO VENEZIANA E 2 FOLHAS GUILHOTINA PARA VIDRO, COM FERRAGENS (SEM VIDRO, SEM GUARNICAO/ALIZAR E SEM ACABAMENTO)</v>
          </cell>
          <cell r="D2309" t="str">
            <v>M2</v>
          </cell>
          <cell r="E2309" t="str">
            <v>CR</v>
          </cell>
          <cell r="F2309">
            <v>460.67</v>
          </cell>
        </row>
        <row r="2310">
          <cell r="B2310">
            <v>11199</v>
          </cell>
          <cell r="C2310" t="str">
            <v>JANELA DE CORRER, ACO, BATENTE/REQUADRO DE 6 A 14 CM, COM DIVISAO HORIZ, PINT ANTICORROSIVA, SEM VIDRO, BANDEIRA COM BASCULA, 4 FLS, 120 X 150 CM (A X L)</v>
          </cell>
          <cell r="D2310" t="str">
            <v>UN</v>
          </cell>
          <cell r="E2310" t="str">
            <v>CR</v>
          </cell>
          <cell r="F2310">
            <v>948.26</v>
          </cell>
        </row>
        <row r="2311">
          <cell r="B2311">
            <v>36896</v>
          </cell>
          <cell r="C2311" t="str">
            <v>JANELA DE CORRER, EM ALUMINIO PERFIL 25, 100 X 120 CM (A X L), 2 FLS MOVEIS, SEM BANDEIRA, ACABAMENTO BRANCO OU BRILHANTE, BATENTE DE 6 A 7 CM, COM VIDRO 4 MM, SEM GUARNICAO</v>
          </cell>
          <cell r="D2311" t="str">
            <v>UN</v>
          </cell>
          <cell r="E2311" t="str">
            <v>C</v>
          </cell>
          <cell r="F2311">
            <v>407.4</v>
          </cell>
        </row>
        <row r="2312">
          <cell r="B2312">
            <v>34367</v>
          </cell>
          <cell r="C2312" t="str">
            <v>JANELA DE CORRER, EM ALUMINIO PERFIL 25, 100 X 150 CM (A X L), 2 FLS MOVEIS, SEM BANDEIRA, ACABAMENTO BRANCO OU BRILHANTE, BATENTE DE 6 A 7 CM, COM VIDRO 4 MM, SEM GUARNICAO</v>
          </cell>
          <cell r="D2312" t="str">
            <v>UN</v>
          </cell>
          <cell r="E2312" t="str">
            <v>CR</v>
          </cell>
          <cell r="F2312">
            <v>525.07000000000005</v>
          </cell>
        </row>
        <row r="2313">
          <cell r="B2313">
            <v>36897</v>
          </cell>
          <cell r="C2313" t="str">
            <v>JANELA DE CORRER, EM ALUMINIO PERFIL 25, 100 X 150 CM (A X L), 4 FLS MOVEIS, SEM BANDEIRA, ACABAMENTO BRANCO OU BRILHANTE, BATENTE DE 6 A 7 CM, COM VIDRO 4 MM, SEM GUARNICAO/ALIZAR</v>
          </cell>
          <cell r="D2313" t="str">
            <v>UN</v>
          </cell>
          <cell r="E2313" t="str">
            <v>CR</v>
          </cell>
          <cell r="F2313">
            <v>635.74</v>
          </cell>
        </row>
        <row r="2314">
          <cell r="B2314">
            <v>34369</v>
          </cell>
          <cell r="C2314" t="str">
            <v>JANELA DE CORRER, EM ALUMINIO PERFIL 25, 100 X 200 CM (A X L), 4 FLS, SEM BANDEIRA, ACABAMENTO BRANCO OU BRILHANTE, BATENTE DE 6 A 7 CM, COM VIDRO 4 MM, SEM GUARNICAO/ALIZAR</v>
          </cell>
          <cell r="D2314" t="str">
            <v>UN</v>
          </cell>
          <cell r="E2314" t="str">
            <v>CR</v>
          </cell>
          <cell r="F2314">
            <v>731.62</v>
          </cell>
        </row>
        <row r="2315">
          <cell r="B2315">
            <v>34364</v>
          </cell>
          <cell r="C2315" t="str">
            <v>JANELA DE CORRER, EM ALUMINIO PERFIL 25, 120 X 150 CM (A X L), 4 FLS, BANDEIRA COM BASCULA, ACABAMENTO BRANCO OU BRILHANTE, BATENTE/REQUADRO DE 6 A 14 CM, COM VIDRO 4 MM, SEM GUARNICAO/ALIZAR</v>
          </cell>
          <cell r="D2315" t="str">
            <v>UN</v>
          </cell>
          <cell r="E2315" t="str">
            <v>CR</v>
          </cell>
          <cell r="F2315">
            <v>690.19</v>
          </cell>
        </row>
        <row r="2316">
          <cell r="B2316">
            <v>3421</v>
          </cell>
          <cell r="C2316" t="str">
            <v>JANELA EM MADEIRA CEDRINHO/ ANGELIM COMERCIAL/ CURUPIXA/ CUMARU OU EQUIVALENTE DA REGIAO, CAIXA DO BATENTE/MARCO *10* CM, 2 FOLHAS DE ABRIR TIPO VENEZIANA E 2 FOLHAS GUILHOTINA PARA VIDRO, COM GUARNICAO/ALIZAR, COM FERRAGENS (SEM VIDRO E SEM ACABAMENTO)</v>
          </cell>
          <cell r="D2316" t="str">
            <v>M2</v>
          </cell>
          <cell r="E2316" t="str">
            <v>CR</v>
          </cell>
          <cell r="F2316">
            <v>603.86</v>
          </cell>
        </row>
        <row r="2317">
          <cell r="B2317">
            <v>599</v>
          </cell>
          <cell r="C2317" t="str">
            <v>JANELA FIXA, EM ALUMINIO PERFIL 20, 60 X 80 CM (A X L), BATENTE/REQUADRO DE 3 A 14 CM, COM VIDRO 4 MM, SEM GUARNICAO/ALIZAR, ACABAMENTO ALUM BRANCO OU BRILHANTE</v>
          </cell>
          <cell r="D2317" t="str">
            <v>M2</v>
          </cell>
          <cell r="E2317" t="str">
            <v>CR</v>
          </cell>
          <cell r="F2317">
            <v>743.01</v>
          </cell>
        </row>
        <row r="2318">
          <cell r="B2318">
            <v>44053</v>
          </cell>
          <cell r="C2318" t="str">
            <v>JANELA INTEGRADA VENEZIANA EM ALUMINIO PERFIL 25, 120 X 120 CM (A X L), 2 FLS (2 VIDROS) E VENEZIANA COM ACIONAMENTO MANUAL, SEM BANDEIRA, ACABAMENTO BRILHANTE, BATENTE DE 11,50 A 12,50 CM, COM VIDRO 4 MM, INCLUSO GUARNICAO</v>
          </cell>
          <cell r="D2318" t="str">
            <v>UN</v>
          </cell>
          <cell r="E2318" t="str">
            <v>CR</v>
          </cell>
          <cell r="F2318">
            <v>1649.13</v>
          </cell>
        </row>
        <row r="2319">
          <cell r="B2319">
            <v>3423</v>
          </cell>
          <cell r="C2319" t="str">
            <v>JANELA MAXIM-AR EM MADEIRA CEDRINHO/ ANGELIM COMERCIAL/ CURUPIXA/ CUMARU OU EQUIVALENTE DA REGIAO, CAIXA DO BATENTE/MARCO *10* CM, 1 FOLHA PARA VIDRO, COM GUARNICAO/ALIZAR, COM FERRAGENS, (SEM VIDRO E SEM ACABAMENTO)</v>
          </cell>
          <cell r="D2319" t="str">
            <v>M2</v>
          </cell>
          <cell r="E2319" t="str">
            <v>CR</v>
          </cell>
          <cell r="F2319">
            <v>851.6</v>
          </cell>
        </row>
        <row r="2320">
          <cell r="B2320">
            <v>34797</v>
          </cell>
          <cell r="C2320" t="str">
            <v>JANELA MAXIM-AR, ACO GALVANIZADO PINT. ANTICORROSIVA, COM BATENTE/REQUADRO DE 6 A 14 CM, SEM VIDRO, COM GRADE, 1 FL, 60 X 80 CM (A X L)</v>
          </cell>
          <cell r="D2320" t="str">
            <v>UN</v>
          </cell>
          <cell r="E2320" t="str">
            <v>CR</v>
          </cell>
          <cell r="F2320">
            <v>373.99</v>
          </cell>
        </row>
        <row r="2321">
          <cell r="B2321">
            <v>34381</v>
          </cell>
          <cell r="C2321" t="str">
            <v>JANELA MAXIM-AR, EM ALUMINIO PERFIL 25, 60 X 80 CM (A X L), ACABAMENTO BRANCO OU BRILHANTE, BATENTE DE 4 A 5 CM, COM VIDRO 4 MM, SEM GUARNICAO/ALIZAR</v>
          </cell>
          <cell r="D2321" t="str">
            <v>UN</v>
          </cell>
          <cell r="E2321" t="str">
            <v>CR</v>
          </cell>
          <cell r="F2321">
            <v>300.01</v>
          </cell>
        </row>
        <row r="2322">
          <cell r="B2322">
            <v>44054</v>
          </cell>
          <cell r="C2322" t="str">
            <v>JANELA VENEZIANA DE CORRER, EM ALUMINIO PERFIL 25, 100 X 120 CM (A X L), 3 FLS (2 VENEZIANAS E 1 VIDRO), SEM BANDEIRA, ACABAMENTO BRANCO OU BRILHANTE, BATENTE DE 8 A 9 CM, COM VIDRO 4 MM, SEM GUARNICAO/ALIZAR</v>
          </cell>
          <cell r="D2322" t="str">
            <v>UN</v>
          </cell>
          <cell r="E2322" t="str">
            <v>CR</v>
          </cell>
          <cell r="F2322">
            <v>591.61</v>
          </cell>
        </row>
        <row r="2323">
          <cell r="B2323">
            <v>44399</v>
          </cell>
          <cell r="C2323" t="str">
            <v>JANELA VENEZIANA DE CORRER, EM ALUMINIO PERFIL 25, 100 X 150 CM (A X L), 6 FLS (4 VENEZIANAS E 2 VIDROS), SEM BANDEIRA, ACABAMENTO BRANCO OU BRILHANTE, BATENTE DE 8 A 9 CM, COM VIDRO 4 MM, SEM GUARNICAO / ALIZAR</v>
          </cell>
          <cell r="D2323" t="str">
            <v>UN</v>
          </cell>
          <cell r="E2323" t="str">
            <v>CR</v>
          </cell>
          <cell r="F2323">
            <v>808.33</v>
          </cell>
        </row>
        <row r="2324">
          <cell r="B2324">
            <v>44503</v>
          </cell>
          <cell r="C2324" t="str">
            <v>JARDINEIRO (HORISTA)</v>
          </cell>
          <cell r="D2324" t="str">
            <v>H</v>
          </cell>
          <cell r="E2324" t="str">
            <v>CR</v>
          </cell>
          <cell r="F2324">
            <v>23.04</v>
          </cell>
        </row>
        <row r="2325">
          <cell r="B2325">
            <v>41077</v>
          </cell>
          <cell r="C2325" t="str">
            <v>JARDINEIRO (MENSALISTA)</v>
          </cell>
          <cell r="D2325" t="str">
            <v>MES</v>
          </cell>
          <cell r="E2325" t="str">
            <v>CR</v>
          </cell>
          <cell r="F2325">
            <v>4037.33</v>
          </cell>
        </row>
        <row r="2326">
          <cell r="B2326">
            <v>37963</v>
          </cell>
          <cell r="C2326" t="str">
            <v>JOELHO CPVC, SOLDAVEL, 45 GRAUS, 15 MM, PARA AGUA QUENTE</v>
          </cell>
          <cell r="D2326" t="str">
            <v>UN</v>
          </cell>
          <cell r="E2326" t="str">
            <v>CR</v>
          </cell>
          <cell r="F2326">
            <v>4.43</v>
          </cell>
        </row>
        <row r="2327">
          <cell r="B2327">
            <v>37964</v>
          </cell>
          <cell r="C2327" t="str">
            <v>JOELHO CPVC, SOLDAVEL, 45 GRAUS, 22 MM, PARA AGUA QUENTE</v>
          </cell>
          <cell r="D2327" t="str">
            <v>UN</v>
          </cell>
          <cell r="E2327" t="str">
            <v>CR</v>
          </cell>
          <cell r="F2327">
            <v>5.92</v>
          </cell>
        </row>
        <row r="2328">
          <cell r="B2328">
            <v>37965</v>
          </cell>
          <cell r="C2328" t="str">
            <v>JOELHO CPVC, SOLDAVEL, 45 GRAUS, 28 MM, PARA AGUA QUENTE</v>
          </cell>
          <cell r="D2328" t="str">
            <v>UN</v>
          </cell>
          <cell r="E2328" t="str">
            <v>CR</v>
          </cell>
          <cell r="F2328">
            <v>8.5399999999999991</v>
          </cell>
        </row>
        <row r="2329">
          <cell r="B2329">
            <v>37966</v>
          </cell>
          <cell r="C2329" t="str">
            <v>JOELHO CPVC, SOLDAVEL, 45 GRAUS, 35 MM, PARA AGUA QUENTE</v>
          </cell>
          <cell r="D2329" t="str">
            <v>UN</v>
          </cell>
          <cell r="E2329" t="str">
            <v>CR</v>
          </cell>
          <cell r="F2329">
            <v>15</v>
          </cell>
        </row>
        <row r="2330">
          <cell r="B2330">
            <v>37967</v>
          </cell>
          <cell r="C2330" t="str">
            <v>JOELHO CPVC, SOLDAVEL, 45 GRAUS, 42 MM, PARA AGUA QUENTE</v>
          </cell>
          <cell r="D2330" t="str">
            <v>UN</v>
          </cell>
          <cell r="E2330" t="str">
            <v>CR</v>
          </cell>
          <cell r="F2330">
            <v>25.21</v>
          </cell>
        </row>
        <row r="2331">
          <cell r="B2331">
            <v>37968</v>
          </cell>
          <cell r="C2331" t="str">
            <v>JOELHO CPVC, SOLDAVEL, 45 GRAUS, 54 MM, PARA AGUA QUENTE</v>
          </cell>
          <cell r="D2331" t="str">
            <v>UN</v>
          </cell>
          <cell r="E2331" t="str">
            <v>CR</v>
          </cell>
          <cell r="F2331">
            <v>53.53</v>
          </cell>
        </row>
        <row r="2332">
          <cell r="B2332">
            <v>37969</v>
          </cell>
          <cell r="C2332" t="str">
            <v>JOELHO CPVC, SOLDAVEL, 45 GRAUS, 73 MM, PARA AGUA QUENTE</v>
          </cell>
          <cell r="D2332" t="str">
            <v>UN</v>
          </cell>
          <cell r="E2332" t="str">
            <v>CR</v>
          </cell>
          <cell r="F2332">
            <v>135.26</v>
          </cell>
        </row>
        <row r="2333">
          <cell r="B2333">
            <v>37970</v>
          </cell>
          <cell r="C2333" t="str">
            <v>JOELHO CPVC, SOLDAVEL, 45 GRAUS, 89 MM, PARA AGUA QUENTE</v>
          </cell>
          <cell r="D2333" t="str">
            <v>UN</v>
          </cell>
          <cell r="E2333" t="str">
            <v>CR</v>
          </cell>
          <cell r="F2333">
            <v>195.69</v>
          </cell>
        </row>
        <row r="2334">
          <cell r="B2334">
            <v>44251</v>
          </cell>
          <cell r="C2334" t="str">
            <v>JOELHO CPVC, SOLDAVEL, 90 GRAUS, 114 MM, PARA AGUA QUENTE</v>
          </cell>
          <cell r="D2334" t="str">
            <v>UN</v>
          </cell>
          <cell r="E2334" t="str">
            <v>CR</v>
          </cell>
          <cell r="F2334">
            <v>226.03</v>
          </cell>
        </row>
        <row r="2335">
          <cell r="B2335">
            <v>21118</v>
          </cell>
          <cell r="C2335" t="str">
            <v>JOELHO CPVC, SOLDAVEL, 90 GRAUS, 15 MM, PARA AGUA QUENTE</v>
          </cell>
          <cell r="D2335" t="str">
            <v>UN</v>
          </cell>
          <cell r="E2335" t="str">
            <v>CR</v>
          </cell>
          <cell r="F2335">
            <v>3.52</v>
          </cell>
        </row>
        <row r="2336">
          <cell r="B2336">
            <v>37956</v>
          </cell>
          <cell r="C2336" t="str">
            <v>JOELHO CPVC, SOLDAVEL, 90 GRAUS, 22 MM, PARA AGUA QUENTE</v>
          </cell>
          <cell r="D2336" t="str">
            <v>UN</v>
          </cell>
          <cell r="E2336" t="str">
            <v>CR</v>
          </cell>
          <cell r="F2336">
            <v>4.32</v>
          </cell>
        </row>
        <row r="2337">
          <cell r="B2337">
            <v>37957</v>
          </cell>
          <cell r="C2337" t="str">
            <v>JOELHO CPVC, SOLDAVEL, 90 GRAUS, 28 MM, PARA AGUA QUENTE</v>
          </cell>
          <cell r="D2337" t="str">
            <v>UN</v>
          </cell>
          <cell r="E2337" t="str">
            <v>CR</v>
          </cell>
          <cell r="F2337">
            <v>9.1999999999999993</v>
          </cell>
        </row>
        <row r="2338">
          <cell r="B2338">
            <v>37958</v>
          </cell>
          <cell r="C2338" t="str">
            <v>JOELHO CPVC, SOLDAVEL, 90 GRAUS, 35 MM, PARA AGUA QUENTE</v>
          </cell>
          <cell r="D2338" t="str">
            <v>UN</v>
          </cell>
          <cell r="E2338" t="str">
            <v>CR</v>
          </cell>
          <cell r="F2338">
            <v>16.64</v>
          </cell>
        </row>
        <row r="2339">
          <cell r="B2339">
            <v>37959</v>
          </cell>
          <cell r="C2339" t="str">
            <v>JOELHO CPVC, SOLDAVEL, 90 GRAUS, 42 MM, PARA AGUA QUENTE</v>
          </cell>
          <cell r="D2339" t="str">
            <v>UN</v>
          </cell>
          <cell r="E2339" t="str">
            <v>CR</v>
          </cell>
          <cell r="F2339">
            <v>25.61</v>
          </cell>
        </row>
        <row r="2340">
          <cell r="B2340">
            <v>37960</v>
          </cell>
          <cell r="C2340" t="str">
            <v>JOELHO CPVC, SOLDAVEL, 90 GRAUS, 54 MM, PARA AGUA QUENTE</v>
          </cell>
          <cell r="D2340" t="str">
            <v>UN</v>
          </cell>
          <cell r="E2340" t="str">
            <v>CR</v>
          </cell>
          <cell r="F2340">
            <v>65.44</v>
          </cell>
        </row>
        <row r="2341">
          <cell r="B2341">
            <v>37961</v>
          </cell>
          <cell r="C2341" t="str">
            <v>JOELHO CPVC, SOLDAVEL, 90 GRAUS, 73 MM, PARA AGUA QUENTE</v>
          </cell>
          <cell r="D2341" t="str">
            <v>UN</v>
          </cell>
          <cell r="E2341" t="str">
            <v>CR</v>
          </cell>
          <cell r="F2341">
            <v>140.65</v>
          </cell>
        </row>
        <row r="2342">
          <cell r="B2342">
            <v>37962</v>
          </cell>
          <cell r="C2342" t="str">
            <v>JOELHO CPVC, SOLDAVEL, 90 GRAUS, 89 MM, PARA AGUA QUENTE</v>
          </cell>
          <cell r="D2342" t="str">
            <v>UN</v>
          </cell>
          <cell r="E2342" t="str">
            <v>CR</v>
          </cell>
          <cell r="F2342">
            <v>162.15</v>
          </cell>
        </row>
        <row r="2343">
          <cell r="B2343">
            <v>3533</v>
          </cell>
          <cell r="C2343" t="str">
            <v>JOELHO DE REDUCAO, PVC SOLDAVEL, 90 GRAUS, 25 MM X 20 MM, COR MARROM, PARA AGUA FRIA PREDIAL</v>
          </cell>
          <cell r="D2343" t="str">
            <v>UN</v>
          </cell>
          <cell r="E2343" t="str">
            <v>CR</v>
          </cell>
          <cell r="F2343">
            <v>3.22</v>
          </cell>
        </row>
        <row r="2344">
          <cell r="B2344">
            <v>3538</v>
          </cell>
          <cell r="C2344" t="str">
            <v>JOELHO DE REDUCAO, PVC SOLDAVEL, 90 GRAUS, 32 MM X 25 MM, COR MARROM, PARA AGUA FRIA PREDIAL</v>
          </cell>
          <cell r="D2344" t="str">
            <v>UN</v>
          </cell>
          <cell r="E2344" t="str">
            <v>CR</v>
          </cell>
          <cell r="F2344">
            <v>6.1</v>
          </cell>
        </row>
        <row r="2345">
          <cell r="B2345">
            <v>3498</v>
          </cell>
          <cell r="C2345" t="str">
            <v>JOELHO DE REDUCAO, PVC, ROSCAVEL, 90 GRAUS, 1" X 3/4", COR BRANCA, PARA AGUA FRIA PREDIAL</v>
          </cell>
          <cell r="D2345" t="str">
            <v>UN</v>
          </cell>
          <cell r="E2345" t="str">
            <v>CR</v>
          </cell>
          <cell r="F2345">
            <v>5.91</v>
          </cell>
        </row>
        <row r="2346">
          <cell r="B2346">
            <v>3496</v>
          </cell>
          <cell r="C2346" t="str">
            <v>JOELHO DE REDUCAO, PVC, ROSCAVEL, 90 GRAUS, 3/4" X 1/2", COR BRANCA, PARA AGUA FRIA PREDIAL</v>
          </cell>
          <cell r="D2346" t="str">
            <v>UN</v>
          </cell>
          <cell r="E2346" t="str">
            <v>CR</v>
          </cell>
          <cell r="F2346">
            <v>3.96</v>
          </cell>
        </row>
        <row r="2347">
          <cell r="B2347">
            <v>38429</v>
          </cell>
          <cell r="C2347" t="str">
            <v>JOELHO DE TRANSICAO, CPVC, SOLDAVEL, 90 GRAUS, 15 MM X 1/2", PARA AGUA QUENTE</v>
          </cell>
          <cell r="D2347" t="str">
            <v>UN</v>
          </cell>
          <cell r="E2347" t="str">
            <v>CR</v>
          </cell>
          <cell r="F2347">
            <v>11.97</v>
          </cell>
        </row>
        <row r="2348">
          <cell r="B2348">
            <v>38431</v>
          </cell>
          <cell r="C2348" t="str">
            <v>JOELHO DE TRANSICAO, CPVC, SOLDAVEL, 90 GRAUS, 22 MM X 1/2", PARA AGUA QUENTE</v>
          </cell>
          <cell r="D2348" t="str">
            <v>UN</v>
          </cell>
          <cell r="E2348" t="str">
            <v>CR</v>
          </cell>
          <cell r="F2348">
            <v>15.02</v>
          </cell>
        </row>
        <row r="2349">
          <cell r="B2349">
            <v>38430</v>
          </cell>
          <cell r="C2349" t="str">
            <v>JOELHO DE TRANSICAO, CPVC, SOLDAVEL, 90 GRAUS, 22 MM X 3/4", PARA AGUA QUENTE</v>
          </cell>
          <cell r="D2349" t="str">
            <v>UN</v>
          </cell>
          <cell r="E2349" t="str">
            <v>CR</v>
          </cell>
          <cell r="F2349">
            <v>23.29</v>
          </cell>
        </row>
        <row r="2350">
          <cell r="B2350">
            <v>36348</v>
          </cell>
          <cell r="C2350" t="str">
            <v>JOELHO PPR 45 GRAUS, SOLDAVEL, F/F, DN 20 MM, PARA AGUA QUENTE PREDIAL</v>
          </cell>
          <cell r="D2350" t="str">
            <v>UN</v>
          </cell>
          <cell r="E2350" t="str">
            <v>CR</v>
          </cell>
          <cell r="F2350">
            <v>2.39</v>
          </cell>
        </row>
        <row r="2351">
          <cell r="B2351">
            <v>36349</v>
          </cell>
          <cell r="C2351" t="str">
            <v>JOELHO PPR 45 GRAUS, SOLDAVEL, F/F, DN 25 MM, PARA AGUA QUENTE PREDIAL</v>
          </cell>
          <cell r="D2351" t="str">
            <v>UN</v>
          </cell>
          <cell r="E2351" t="str">
            <v>CR</v>
          </cell>
          <cell r="F2351">
            <v>3.29</v>
          </cell>
        </row>
        <row r="2352">
          <cell r="B2352">
            <v>38987</v>
          </cell>
          <cell r="C2352" t="str">
            <v>JOELHO PPR 45 GRAUS, SOLDAVEL, F/F, DN 40 MM, PARA AQUA QUENTE E FRIA PREDIAL</v>
          </cell>
          <cell r="D2352" t="str">
            <v>UN</v>
          </cell>
          <cell r="E2352" t="str">
            <v>CR</v>
          </cell>
          <cell r="F2352">
            <v>15.83</v>
          </cell>
        </row>
        <row r="2353">
          <cell r="B2353">
            <v>38988</v>
          </cell>
          <cell r="C2353" t="str">
            <v>JOELHO PPR 45 GRAUS, SOLDAVEL, F/F, DN 50 MM, PARA AQUA QUENTE E FRIA PREDIAL</v>
          </cell>
          <cell r="D2353" t="str">
            <v>UN</v>
          </cell>
          <cell r="E2353" t="str">
            <v>CR</v>
          </cell>
          <cell r="F2353">
            <v>25.79</v>
          </cell>
        </row>
        <row r="2354">
          <cell r="B2354">
            <v>38989</v>
          </cell>
          <cell r="C2354" t="str">
            <v>JOELHO PPR 45 GRAUS, SOLDAVEL, F/F, DN 63 MM, PARA AQUA QUENTE E FRIA PREDIAL</v>
          </cell>
          <cell r="D2354" t="str">
            <v>UN</v>
          </cell>
          <cell r="E2354" t="str">
            <v>CR</v>
          </cell>
          <cell r="F2354">
            <v>43.39</v>
          </cell>
        </row>
        <row r="2355">
          <cell r="B2355">
            <v>38990</v>
          </cell>
          <cell r="C2355" t="str">
            <v>JOELHO PPR 45 GRAUS, SOLDAVEL, F/F, DN 75 MM, PARA AQUA QUENTE E FRIA PREDIAL</v>
          </cell>
          <cell r="D2355" t="str">
            <v>UN</v>
          </cell>
          <cell r="E2355" t="str">
            <v>CR</v>
          </cell>
          <cell r="F2355">
            <v>86.71</v>
          </cell>
        </row>
        <row r="2356">
          <cell r="B2356">
            <v>38991</v>
          </cell>
          <cell r="C2356" t="str">
            <v>JOELHO PPR 45 GRAUS, SOLDAVEL, F/F, DN 90 MM, PARA AQUA QUENTE E FRIA PREDIAL</v>
          </cell>
          <cell r="D2356" t="str">
            <v>UN</v>
          </cell>
          <cell r="E2356" t="str">
            <v>CR</v>
          </cell>
          <cell r="F2356">
            <v>156.03</v>
          </cell>
        </row>
        <row r="2357">
          <cell r="B2357">
            <v>38433</v>
          </cell>
          <cell r="C2357" t="str">
            <v>JOELHO PPR, 45 GRAUS, SOLDAVEL, F/F, DN 32 MM, PARA AGUA QUENTE PREDIAL</v>
          </cell>
          <cell r="D2357" t="str">
            <v>UN</v>
          </cell>
          <cell r="E2357" t="str">
            <v>CR</v>
          </cell>
          <cell r="F2357">
            <v>8.07</v>
          </cell>
        </row>
        <row r="2358">
          <cell r="B2358">
            <v>38440</v>
          </cell>
          <cell r="C2358" t="str">
            <v>JOELHO PPR, 90 GRAUS, SOLDAVEL, F/F, DN 110 MM, PARA AGUA QUENTE PREDIAL</v>
          </cell>
          <cell r="D2358" t="str">
            <v>UN</v>
          </cell>
          <cell r="E2358" t="str">
            <v>CR</v>
          </cell>
          <cell r="F2358">
            <v>340.05</v>
          </cell>
        </row>
        <row r="2359">
          <cell r="B2359">
            <v>36359</v>
          </cell>
          <cell r="C2359" t="str">
            <v>JOELHO PPR, 90 GRAUS, SOLDAVEL, F/F, DN 20 MM, PARA AGUA QUENTE PREDIAL</v>
          </cell>
          <cell r="D2359" t="str">
            <v>UN</v>
          </cell>
          <cell r="E2359" t="str">
            <v>CR</v>
          </cell>
          <cell r="F2359">
            <v>2.12</v>
          </cell>
        </row>
        <row r="2360">
          <cell r="B2360">
            <v>36360</v>
          </cell>
          <cell r="C2360" t="str">
            <v>JOELHO PPR, 90 GRAUS, SOLDAVEL, F/F, DN 25 MM, PARA AGUA QUENTE PREDIAL</v>
          </cell>
          <cell r="D2360" t="str">
            <v>UN</v>
          </cell>
          <cell r="E2360" t="str">
            <v>CR</v>
          </cell>
          <cell r="F2360">
            <v>2.85</v>
          </cell>
        </row>
        <row r="2361">
          <cell r="B2361">
            <v>38434</v>
          </cell>
          <cell r="C2361" t="str">
            <v>JOELHO PPR, 90 GRAUS, SOLDAVEL, F/F, DN 32 MM, PARA AGUA QUENTE PREDIAL</v>
          </cell>
          <cell r="D2361" t="str">
            <v>UN</v>
          </cell>
          <cell r="E2361" t="str">
            <v>CR</v>
          </cell>
          <cell r="F2361">
            <v>4.3499999999999996</v>
          </cell>
        </row>
        <row r="2362">
          <cell r="B2362">
            <v>38435</v>
          </cell>
          <cell r="C2362" t="str">
            <v>JOELHO PPR, 90 GRAUS, SOLDAVEL, F/F, DN 40 MM, PARA AGUA QUENTE PREDIAL</v>
          </cell>
          <cell r="D2362" t="str">
            <v>UN</v>
          </cell>
          <cell r="E2362" t="str">
            <v>CR</v>
          </cell>
          <cell r="F2362">
            <v>9.7799999999999994</v>
          </cell>
        </row>
        <row r="2363">
          <cell r="B2363">
            <v>38436</v>
          </cell>
          <cell r="C2363" t="str">
            <v>JOELHO PPR, 90 GRAUS, SOLDAVEL, F/F, DN 50 MM, PARA AGUA QUENTE PREDIAL</v>
          </cell>
          <cell r="D2363" t="str">
            <v>UN</v>
          </cell>
          <cell r="E2363" t="str">
            <v>CR</v>
          </cell>
          <cell r="F2363">
            <v>16.21</v>
          </cell>
        </row>
        <row r="2364">
          <cell r="B2364">
            <v>38437</v>
          </cell>
          <cell r="C2364" t="str">
            <v>JOELHO PPR, 90 GRAUS, SOLDAVEL, F/F, DN 63 MM, PARA AGUA QUENTE PREDIAL</v>
          </cell>
          <cell r="D2364" t="str">
            <v>UN</v>
          </cell>
          <cell r="E2364" t="str">
            <v>CR</v>
          </cell>
          <cell r="F2364">
            <v>26.3</v>
          </cell>
        </row>
        <row r="2365">
          <cell r="B2365">
            <v>38438</v>
          </cell>
          <cell r="C2365" t="str">
            <v>JOELHO PPR, 90 GRAUS, SOLDAVEL, F/F, DN 75 MM, PARA AGUA QUENTE PREDIAL</v>
          </cell>
          <cell r="D2365" t="str">
            <v>UN</v>
          </cell>
          <cell r="E2365" t="str">
            <v>CR</v>
          </cell>
          <cell r="F2365">
            <v>76.28</v>
          </cell>
        </row>
        <row r="2366">
          <cell r="B2366">
            <v>38439</v>
          </cell>
          <cell r="C2366" t="str">
            <v>JOELHO PPR, 90 GRAUS, SOLDAVEL, F/F, DN 90 MM, PARA AGUA QUENTE PREDIAL</v>
          </cell>
          <cell r="D2366" t="str">
            <v>UN</v>
          </cell>
          <cell r="E2366" t="str">
            <v>CR</v>
          </cell>
          <cell r="F2366">
            <v>96.94</v>
          </cell>
        </row>
        <row r="2367">
          <cell r="B2367">
            <v>10836</v>
          </cell>
          <cell r="C2367" t="str">
            <v>JOELHO PVC COM VISITA, 90 GRAUS, DN 100 X 50 MM, SERIE NORMAL, PARA ESGOTO PREDIAL</v>
          </cell>
          <cell r="D2367" t="str">
            <v>UN</v>
          </cell>
          <cell r="E2367" t="str">
            <v>CR</v>
          </cell>
          <cell r="F2367">
            <v>24.39</v>
          </cell>
        </row>
        <row r="2368">
          <cell r="B2368">
            <v>3510</v>
          </cell>
          <cell r="C2368" t="str">
            <v>JOELHO PVC, 90 GRAUS, ROSCAVEL, 1 1/4", COR BRANCA, AGUA FRIA PREDIAL</v>
          </cell>
          <cell r="D2368" t="str">
            <v>UN</v>
          </cell>
          <cell r="E2368" t="str">
            <v>CR</v>
          </cell>
          <cell r="F2368">
            <v>14.84</v>
          </cell>
        </row>
        <row r="2369">
          <cell r="B2369">
            <v>10835</v>
          </cell>
          <cell r="C2369" t="str">
            <v>JOELHO PVC, COM BOLSA E ANEL, 90 GRAUS, DN 40 X *38* MM, SERIE NORMAL, PARA ESGOTO PREDIAL</v>
          </cell>
          <cell r="D2369" t="str">
            <v>UN</v>
          </cell>
          <cell r="E2369" t="str">
            <v>CR</v>
          </cell>
          <cell r="F2369">
            <v>6.81</v>
          </cell>
        </row>
        <row r="2370">
          <cell r="B2370">
            <v>3485</v>
          </cell>
          <cell r="C2370" t="str">
            <v>JOELHO PVC, ROSCAVEL, 45 GRAUS, 1", COR BRANCA, PARA AGUA FRIA PREDIAL</v>
          </cell>
          <cell r="D2370" t="str">
            <v>UN</v>
          </cell>
          <cell r="E2370" t="str">
            <v>CR</v>
          </cell>
          <cell r="F2370">
            <v>15.61</v>
          </cell>
        </row>
        <row r="2371">
          <cell r="B2371">
            <v>3475</v>
          </cell>
          <cell r="C2371" t="str">
            <v>JOELHO PVC, ROSCAVEL, 45 GRAUS, 1/2", COR BRANCA, PARA AGUA FRIA PREDIAL</v>
          </cell>
          <cell r="D2371" t="str">
            <v>UN</v>
          </cell>
          <cell r="E2371" t="str">
            <v>CR</v>
          </cell>
          <cell r="F2371">
            <v>5.65</v>
          </cell>
        </row>
        <row r="2372">
          <cell r="B2372">
            <v>3534</v>
          </cell>
          <cell r="C2372" t="str">
            <v>JOELHO PVC, ROSCAVEL, 45 GRAUS, 3/4", COR BRANCA, PARA AGUA FRIA PREDIAL</v>
          </cell>
          <cell r="D2372" t="str">
            <v>UN</v>
          </cell>
          <cell r="E2372" t="str">
            <v>CR</v>
          </cell>
          <cell r="F2372">
            <v>8.9499999999999993</v>
          </cell>
        </row>
        <row r="2373">
          <cell r="B2373">
            <v>3482</v>
          </cell>
          <cell r="C2373" t="str">
            <v>JOELHO PVC, ROSCAVEL, 90 GRAUS, 1", COR BRANCA, PARA AGUA FRIA PREDIAL</v>
          </cell>
          <cell r="D2373" t="str">
            <v>UN</v>
          </cell>
          <cell r="E2373" t="str">
            <v>CR</v>
          </cell>
          <cell r="F2373">
            <v>6.4</v>
          </cell>
        </row>
        <row r="2374">
          <cell r="B2374">
            <v>3543</v>
          </cell>
          <cell r="C2374" t="str">
            <v>JOELHO PVC, ROSCAVEL, 90 GRAUS, 1/2", COR BRANCA, PARA AGUA FRIA PREDIAL</v>
          </cell>
          <cell r="D2374" t="str">
            <v>UN</v>
          </cell>
          <cell r="E2374" t="str">
            <v>CR</v>
          </cell>
          <cell r="F2374">
            <v>2.08</v>
          </cell>
        </row>
        <row r="2375">
          <cell r="B2375">
            <v>3505</v>
          </cell>
          <cell r="C2375" t="str">
            <v>JOELHO PVC, ROSCAVEL, 90 GRAUS, 3/4", COR BRANCA, PARA AGUA FRIA PREDIAL</v>
          </cell>
          <cell r="D2375" t="str">
            <v>UN</v>
          </cell>
          <cell r="E2375" t="str">
            <v>CR</v>
          </cell>
          <cell r="F2375">
            <v>3.09</v>
          </cell>
        </row>
        <row r="2376">
          <cell r="B2376">
            <v>3521</v>
          </cell>
          <cell r="C2376" t="str">
            <v>JOELHO PVC, SOLDAVEL COM ROSCA, 90 GRAUS, 20 MM X 1/2", COR MARROM, PARA AGUA FRIA PREDIAL</v>
          </cell>
          <cell r="D2376" t="str">
            <v>UN</v>
          </cell>
          <cell r="E2376" t="str">
            <v>CR</v>
          </cell>
          <cell r="F2376">
            <v>2.33</v>
          </cell>
        </row>
        <row r="2377">
          <cell r="B2377">
            <v>3531</v>
          </cell>
          <cell r="C2377" t="str">
            <v>JOELHO PVC, SOLDAVEL COM ROSCA, 90 GRAUS, 25 MM X 1/2", COR MARROM, PARA AGUA FRIA PREDIAL</v>
          </cell>
          <cell r="D2377" t="str">
            <v>UN</v>
          </cell>
          <cell r="E2377" t="str">
            <v>CR</v>
          </cell>
          <cell r="F2377">
            <v>4.43</v>
          </cell>
        </row>
        <row r="2378">
          <cell r="B2378">
            <v>3522</v>
          </cell>
          <cell r="C2378" t="str">
            <v>JOELHO PVC, SOLDAVEL COM ROSCA, 90 GRAUS, 25 MM X 3/4", COR MARROM, PARA AGUA FRIA PREDIAL</v>
          </cell>
          <cell r="D2378" t="str">
            <v>UN</v>
          </cell>
          <cell r="E2378" t="str">
            <v>CR</v>
          </cell>
          <cell r="F2378">
            <v>2.86</v>
          </cell>
        </row>
        <row r="2379">
          <cell r="B2379">
            <v>3527</v>
          </cell>
          <cell r="C2379" t="str">
            <v>JOELHO PVC, SOLDAVEL COM ROSCA, 90 GRAUS, 32 MM X 3/4", COR MARROM, PARA AGUA FRIA PREDIAL</v>
          </cell>
          <cell r="D2379" t="str">
            <v>UN</v>
          </cell>
          <cell r="E2379" t="str">
            <v>CR</v>
          </cell>
          <cell r="F2379">
            <v>15.04</v>
          </cell>
        </row>
        <row r="2380">
          <cell r="B2380">
            <v>3530</v>
          </cell>
          <cell r="C2380" t="str">
            <v>JOELHO PVC, SOLDAVEL, 90 GRAUS, 110 MM, COR MARROM, PARA AGUA FRIA PREDIAL</v>
          </cell>
          <cell r="D2380" t="str">
            <v>UN</v>
          </cell>
          <cell r="E2380" t="str">
            <v>CR</v>
          </cell>
          <cell r="F2380">
            <v>243.52</v>
          </cell>
        </row>
        <row r="2381">
          <cell r="B2381">
            <v>3542</v>
          </cell>
          <cell r="C2381" t="str">
            <v>JOELHO PVC, SOLDAVEL, 90 GRAUS, 20 MM, COR MARROM, PARA AGUA FRIA PREDIAL</v>
          </cell>
          <cell r="D2381" t="str">
            <v>UN</v>
          </cell>
          <cell r="E2381" t="str">
            <v>CR</v>
          </cell>
          <cell r="F2381">
            <v>0.7</v>
          </cell>
        </row>
        <row r="2382">
          <cell r="B2382">
            <v>3529</v>
          </cell>
          <cell r="C2382" t="str">
            <v>JOELHO PVC, SOLDAVEL, 90 GRAUS, 25 MM, COR MARROM, PARA AGUA FRIA PREDIAL</v>
          </cell>
          <cell r="D2382" t="str">
            <v>UN</v>
          </cell>
          <cell r="E2382" t="str">
            <v>CR</v>
          </cell>
          <cell r="F2382">
            <v>0.86</v>
          </cell>
        </row>
        <row r="2383">
          <cell r="B2383">
            <v>3536</v>
          </cell>
          <cell r="C2383" t="str">
            <v>JOELHO PVC, SOLDAVEL, 90 GRAUS, 32 MM, COR MARROM, PARA AGUA FRIA PREDIAL</v>
          </cell>
          <cell r="D2383" t="str">
            <v>UN</v>
          </cell>
          <cell r="E2383" t="str">
            <v>CR</v>
          </cell>
          <cell r="F2383">
            <v>2.85</v>
          </cell>
        </row>
        <row r="2384">
          <cell r="B2384">
            <v>3535</v>
          </cell>
          <cell r="C2384" t="str">
            <v>JOELHO PVC, SOLDAVEL, 90 GRAUS, 40 MM, COR MARROM, PARA AGUA FRIA PREDIAL</v>
          </cell>
          <cell r="D2384" t="str">
            <v>UN</v>
          </cell>
          <cell r="E2384" t="str">
            <v>CR</v>
          </cell>
          <cell r="F2384">
            <v>6.95</v>
          </cell>
        </row>
        <row r="2385">
          <cell r="B2385">
            <v>3540</v>
          </cell>
          <cell r="C2385" t="str">
            <v>JOELHO PVC, SOLDAVEL, 90 GRAUS, 50 MM, COR MARROM, PARA AGUA FRIA PREDIAL</v>
          </cell>
          <cell r="D2385" t="str">
            <v>UN</v>
          </cell>
          <cell r="E2385" t="str">
            <v>CR</v>
          </cell>
          <cell r="F2385">
            <v>5.88</v>
          </cell>
        </row>
        <row r="2386">
          <cell r="B2386">
            <v>3539</v>
          </cell>
          <cell r="C2386" t="str">
            <v>JOELHO PVC, SOLDAVEL, 90 GRAUS, 60 MM, COR MARROM, PARA AGUA FRIA PREDIAL</v>
          </cell>
          <cell r="D2386" t="str">
            <v>UN</v>
          </cell>
          <cell r="E2386" t="str">
            <v>CR</v>
          </cell>
          <cell r="F2386">
            <v>34.08</v>
          </cell>
        </row>
        <row r="2387">
          <cell r="B2387">
            <v>3513</v>
          </cell>
          <cell r="C2387" t="str">
            <v>JOELHO PVC, SOLDAVEL, 90 GRAUS, 85 MM, COR MARROM, PARA AGUA FRIA PREDIAL</v>
          </cell>
          <cell r="D2387" t="str">
            <v>UN</v>
          </cell>
          <cell r="E2387" t="str">
            <v>CR</v>
          </cell>
          <cell r="F2387">
            <v>120.18</v>
          </cell>
        </row>
        <row r="2388">
          <cell r="B2388">
            <v>3516</v>
          </cell>
          <cell r="C2388" t="str">
            <v>JOELHO PVC, SOLDAVEL, BB, 45 GRAUS, DN 40 MM, PARA ESGOTO PREDIAL</v>
          </cell>
          <cell r="D2388" t="str">
            <v>UN</v>
          </cell>
          <cell r="E2388" t="str">
            <v>CR</v>
          </cell>
          <cell r="F2388">
            <v>2.81</v>
          </cell>
        </row>
        <row r="2389">
          <cell r="B2389">
            <v>3517</v>
          </cell>
          <cell r="C2389" t="str">
            <v>JOELHO PVC, SOLDAVEL, BB, 90 GRAUS, SEM ANEL, DN 40 MM, PARA ESGOTO PREDIAL SECUNDARIO</v>
          </cell>
          <cell r="D2389" t="str">
            <v>UN</v>
          </cell>
          <cell r="E2389" t="str">
            <v>CR</v>
          </cell>
          <cell r="F2389">
            <v>2.54</v>
          </cell>
        </row>
        <row r="2390">
          <cell r="B2390">
            <v>3515</v>
          </cell>
          <cell r="C2390" t="str">
            <v>JOELHO PVC, SOLDAVEL, COM BUCHA DE LATAO, 90 GRAUS, 20 MM X 1/2", PARA AGUA FRIA PREDIAL</v>
          </cell>
          <cell r="D2390" t="str">
            <v>UN</v>
          </cell>
          <cell r="E2390" t="str">
            <v>CR</v>
          </cell>
          <cell r="F2390">
            <v>7.67</v>
          </cell>
        </row>
        <row r="2391">
          <cell r="B2391">
            <v>20147</v>
          </cell>
          <cell r="C2391" t="str">
            <v>JOELHO PVC, SOLDAVEL, COM BUCHA DE LATAO, 90 GRAUS, 25 MM X 1/2", PARA AGUA FRIA PREDIAL</v>
          </cell>
          <cell r="D2391" t="str">
            <v>UN</v>
          </cell>
          <cell r="E2391" t="str">
            <v>CR</v>
          </cell>
          <cell r="F2391">
            <v>6.31</v>
          </cell>
        </row>
        <row r="2392">
          <cell r="B2392">
            <v>3524</v>
          </cell>
          <cell r="C2392" t="str">
            <v>JOELHO PVC, SOLDAVEL, COM BUCHA DE LATAO, 90 GRAUS, 25 MM X 3/4", PARA AGUA FRIA PREDIAL</v>
          </cell>
          <cell r="D2392" t="str">
            <v>UN</v>
          </cell>
          <cell r="E2392" t="str">
            <v>CR</v>
          </cell>
          <cell r="F2392">
            <v>9.49</v>
          </cell>
        </row>
        <row r="2393">
          <cell r="B2393">
            <v>3532</v>
          </cell>
          <cell r="C2393" t="str">
            <v>JOELHO PVC, SOLDAVEL, COM BUCHA DE LATAO, 90 GRAUS, 32 MM X 3/4", PARA AGUA FRIA PREDIAL</v>
          </cell>
          <cell r="D2393" t="str">
            <v>UN</v>
          </cell>
          <cell r="E2393" t="str">
            <v>CR</v>
          </cell>
          <cell r="F2393">
            <v>21.93</v>
          </cell>
        </row>
        <row r="2394">
          <cell r="B2394">
            <v>3528</v>
          </cell>
          <cell r="C2394" t="str">
            <v>JOELHO PVC, SOLDAVEL, PB, 45 GRAUS, DN 100 MM, PARA ESGOTO PREDIAL</v>
          </cell>
          <cell r="D2394" t="str">
            <v>UN</v>
          </cell>
          <cell r="E2394" t="str">
            <v>CR</v>
          </cell>
          <cell r="F2394">
            <v>10.98</v>
          </cell>
        </row>
        <row r="2395">
          <cell r="B2395">
            <v>37952</v>
          </cell>
          <cell r="C2395" t="str">
            <v>JOELHO PVC, SOLDAVEL, PB, 45 GRAUS, DN 150 MM, PARA ESGOTO PREDIAL</v>
          </cell>
          <cell r="D2395" t="str">
            <v>UN</v>
          </cell>
          <cell r="E2395" t="str">
            <v>CR</v>
          </cell>
          <cell r="F2395">
            <v>78.69</v>
          </cell>
        </row>
        <row r="2396">
          <cell r="B2396">
            <v>37951</v>
          </cell>
          <cell r="C2396" t="str">
            <v>JOELHO PVC, SOLDAVEL, PB, 45 GRAUS, DN 40 MM, PARA ESGOTO PREDIAL</v>
          </cell>
          <cell r="D2396" t="str">
            <v>UN</v>
          </cell>
          <cell r="E2396" t="str">
            <v>CR</v>
          </cell>
          <cell r="F2396">
            <v>2.96</v>
          </cell>
        </row>
        <row r="2397">
          <cell r="B2397">
            <v>3518</v>
          </cell>
          <cell r="C2397" t="str">
            <v>JOELHO PVC, SOLDAVEL, PB, 45 GRAUS, DN 50 MM, PARA ESGOTO PREDIAL</v>
          </cell>
          <cell r="D2397" t="str">
            <v>UN</v>
          </cell>
          <cell r="E2397" t="str">
            <v>CR</v>
          </cell>
          <cell r="F2397">
            <v>4.55</v>
          </cell>
        </row>
        <row r="2398">
          <cell r="B2398">
            <v>3519</v>
          </cell>
          <cell r="C2398" t="str">
            <v>JOELHO PVC, SOLDAVEL, PB, 45 GRAUS, DN 75 MM, PARA ESGOTO PREDIAL</v>
          </cell>
          <cell r="D2398" t="str">
            <v>UN</v>
          </cell>
          <cell r="E2398" t="str">
            <v>CR</v>
          </cell>
          <cell r="F2398">
            <v>9.52</v>
          </cell>
        </row>
        <row r="2399">
          <cell r="B2399">
            <v>3520</v>
          </cell>
          <cell r="C2399" t="str">
            <v>JOELHO PVC, SOLDAVEL, PB, 90 GRAUS, DN 100 MM, PARA ESGOTO PREDIAL</v>
          </cell>
          <cell r="D2399" t="str">
            <v>UN</v>
          </cell>
          <cell r="E2399" t="str">
            <v>CR</v>
          </cell>
          <cell r="F2399">
            <v>9.98</v>
          </cell>
        </row>
        <row r="2400">
          <cell r="B2400">
            <v>37950</v>
          </cell>
          <cell r="C2400" t="str">
            <v>JOELHO PVC, SOLDAVEL, PB, 90 GRAUS, DN 150 MM, PARA ESGOTO PREDIAL</v>
          </cell>
          <cell r="D2400" t="str">
            <v>UN</v>
          </cell>
          <cell r="E2400" t="str">
            <v>CR</v>
          </cell>
          <cell r="F2400">
            <v>72.44</v>
          </cell>
        </row>
        <row r="2401">
          <cell r="B2401">
            <v>37949</v>
          </cell>
          <cell r="C2401" t="str">
            <v>JOELHO PVC, SOLDAVEL, PB, 90 GRAUS, DN 40 MM, PARA ESGOTO PREDIAL</v>
          </cell>
          <cell r="D2401" t="str">
            <v>UN</v>
          </cell>
          <cell r="E2401" t="str">
            <v>CR</v>
          </cell>
          <cell r="F2401">
            <v>2.67</v>
          </cell>
        </row>
        <row r="2402">
          <cell r="B2402">
            <v>3526</v>
          </cell>
          <cell r="C2402" t="str">
            <v>JOELHO PVC, SOLDAVEL, PB, 90 GRAUS, DN 50 MM, PARA ESGOTO PREDIAL</v>
          </cell>
          <cell r="D2402" t="str">
            <v>UN</v>
          </cell>
          <cell r="E2402" t="str">
            <v>CR</v>
          </cell>
          <cell r="F2402">
            <v>3.68</v>
          </cell>
        </row>
        <row r="2403">
          <cell r="B2403">
            <v>3509</v>
          </cell>
          <cell r="C2403" t="str">
            <v>JOELHO PVC, SOLDAVEL, PB, 90 GRAUS, DN 75 MM, PARA ESGOTO PREDIAL</v>
          </cell>
          <cell r="D2403" t="str">
            <v>UN</v>
          </cell>
          <cell r="E2403" t="str">
            <v>CR</v>
          </cell>
          <cell r="F2403">
            <v>8.35</v>
          </cell>
        </row>
        <row r="2404">
          <cell r="B2404">
            <v>20151</v>
          </cell>
          <cell r="C2404" t="str">
            <v>JOELHO, PVC SERIE R, 45 GRAUS, DN 100 MM, PARA ESGOTO PREDIAL</v>
          </cell>
          <cell r="D2404" t="str">
            <v>UN</v>
          </cell>
          <cell r="E2404" t="str">
            <v>CR</v>
          </cell>
          <cell r="F2404">
            <v>24.54</v>
          </cell>
        </row>
        <row r="2405">
          <cell r="B2405">
            <v>20152</v>
          </cell>
          <cell r="C2405" t="str">
            <v>JOELHO, PVC SERIE R, 45 GRAUS, DN 150 MM, PARA ESGOTO PREDIAL</v>
          </cell>
          <cell r="D2405" t="str">
            <v>UN</v>
          </cell>
          <cell r="E2405" t="str">
            <v>CR</v>
          </cell>
          <cell r="F2405">
            <v>88.8</v>
          </cell>
        </row>
        <row r="2406">
          <cell r="B2406">
            <v>20148</v>
          </cell>
          <cell r="C2406" t="str">
            <v>JOELHO, PVC SERIE R, 45 GRAUS, DN 40 MM, PARA ESGOTO PREDIAL</v>
          </cell>
          <cell r="D2406" t="str">
            <v>UN</v>
          </cell>
          <cell r="E2406" t="str">
            <v>CR</v>
          </cell>
          <cell r="F2406">
            <v>4.82</v>
          </cell>
        </row>
        <row r="2407">
          <cell r="B2407">
            <v>20149</v>
          </cell>
          <cell r="C2407" t="str">
            <v>JOELHO, PVC SERIE R, 45 GRAUS, DN 50 MM, PARA ESGOTO PREDIAL</v>
          </cell>
          <cell r="D2407" t="str">
            <v>UN</v>
          </cell>
          <cell r="E2407" t="str">
            <v>CR</v>
          </cell>
          <cell r="F2407">
            <v>8.06</v>
          </cell>
        </row>
        <row r="2408">
          <cell r="B2408">
            <v>20150</v>
          </cell>
          <cell r="C2408" t="str">
            <v>JOELHO, PVC SERIE R, 45 GRAUS, DN 75 MM, PARA ESGOTO PREDIAL</v>
          </cell>
          <cell r="D2408" t="str">
            <v>UN</v>
          </cell>
          <cell r="E2408" t="str">
            <v>CR</v>
          </cell>
          <cell r="F2408">
            <v>20.77</v>
          </cell>
        </row>
        <row r="2409">
          <cell r="B2409">
            <v>20157</v>
          </cell>
          <cell r="C2409" t="str">
            <v>JOELHO, PVC SERIE R, 90 GRAUS, DN 100 MM, PARA ESGOTO PREDIAL</v>
          </cell>
          <cell r="D2409" t="str">
            <v>UN</v>
          </cell>
          <cell r="E2409" t="str">
            <v>CR</v>
          </cell>
          <cell r="F2409">
            <v>23.31</v>
          </cell>
        </row>
        <row r="2410">
          <cell r="B2410">
            <v>20158</v>
          </cell>
          <cell r="C2410" t="str">
            <v>JOELHO, PVC SERIE R, 90 GRAUS, DN 150 MM, PARA ESGOTO PREDIAL</v>
          </cell>
          <cell r="D2410" t="str">
            <v>UN</v>
          </cell>
          <cell r="E2410" t="str">
            <v>CR</v>
          </cell>
          <cell r="F2410">
            <v>92.57</v>
          </cell>
        </row>
        <row r="2411">
          <cell r="B2411">
            <v>20154</v>
          </cell>
          <cell r="C2411" t="str">
            <v>JOELHO, PVC SERIE R, 90 GRAUS, DN 40 MM, PARA ESGOTO PREDIAL</v>
          </cell>
          <cell r="D2411" t="str">
            <v>UN</v>
          </cell>
          <cell r="E2411" t="str">
            <v>CR</v>
          </cell>
          <cell r="F2411">
            <v>4.72</v>
          </cell>
        </row>
        <row r="2412">
          <cell r="B2412">
            <v>20155</v>
          </cell>
          <cell r="C2412" t="str">
            <v>JOELHO, PVC SERIE R, 90 GRAUS, DN 50 MM, PARA ESGOTO PREDIAL</v>
          </cell>
          <cell r="D2412" t="str">
            <v>UN</v>
          </cell>
          <cell r="E2412" t="str">
            <v>CR</v>
          </cell>
          <cell r="F2412">
            <v>7.19</v>
          </cell>
        </row>
        <row r="2413">
          <cell r="B2413">
            <v>20156</v>
          </cell>
          <cell r="C2413" t="str">
            <v>JOELHO, PVC SERIE R, 90 GRAUS, DN 75 MM, PARA ESGOTO PREDIAL</v>
          </cell>
          <cell r="D2413" t="str">
            <v>UN</v>
          </cell>
          <cell r="E2413" t="str">
            <v>CR</v>
          </cell>
          <cell r="F2413">
            <v>20.22</v>
          </cell>
        </row>
        <row r="2414">
          <cell r="B2414">
            <v>3499</v>
          </cell>
          <cell r="C2414" t="str">
            <v>JOELHO, PVC SOLDAVEL, 45 GRAUS, 20 MM, COR MARROM, PARA AGUA FRIA PREDIAL</v>
          </cell>
          <cell r="D2414" t="str">
            <v>UN</v>
          </cell>
          <cell r="E2414" t="str">
            <v>CR</v>
          </cell>
          <cell r="F2414">
            <v>1.33</v>
          </cell>
        </row>
        <row r="2415">
          <cell r="B2415">
            <v>3500</v>
          </cell>
          <cell r="C2415" t="str">
            <v>JOELHO, PVC SOLDAVEL, 45 GRAUS, 25 MM, COR MARROM, PARA AGUA FRIA PREDIAL</v>
          </cell>
          <cell r="D2415" t="str">
            <v>UN</v>
          </cell>
          <cell r="E2415" t="str">
            <v>CR</v>
          </cell>
          <cell r="F2415">
            <v>1.77</v>
          </cell>
        </row>
        <row r="2416">
          <cell r="B2416">
            <v>3501</v>
          </cell>
          <cell r="C2416" t="str">
            <v>JOELHO, PVC SOLDAVEL, 45 GRAUS, 32 MM, COR MARROM, PARA AGUA FRIA PREDIAL</v>
          </cell>
          <cell r="D2416" t="str">
            <v>UN</v>
          </cell>
          <cell r="E2416" t="str">
            <v>CR</v>
          </cell>
          <cell r="F2416">
            <v>4.88</v>
          </cell>
        </row>
        <row r="2417">
          <cell r="B2417">
            <v>3502</v>
          </cell>
          <cell r="C2417" t="str">
            <v>JOELHO, PVC SOLDAVEL, 45 GRAUS, 40 MM, COR MARROM, PARA AGUA FRIA PREDIAL</v>
          </cell>
          <cell r="D2417" t="str">
            <v>UN</v>
          </cell>
          <cell r="E2417" t="str">
            <v>CR</v>
          </cell>
          <cell r="F2417">
            <v>7.02</v>
          </cell>
        </row>
        <row r="2418">
          <cell r="B2418">
            <v>3503</v>
          </cell>
          <cell r="C2418" t="str">
            <v>JOELHO, PVC SOLDAVEL, 45 GRAUS, 50 MM, COR MARROM, PARA AGUA FRIA PREDIAL</v>
          </cell>
          <cell r="D2418" t="str">
            <v>UN</v>
          </cell>
          <cell r="E2418" t="str">
            <v>CR</v>
          </cell>
          <cell r="F2418">
            <v>8.81</v>
          </cell>
        </row>
        <row r="2419">
          <cell r="B2419">
            <v>3477</v>
          </cell>
          <cell r="C2419" t="str">
            <v>JOELHO, PVC SOLDAVEL, 45 GRAUS, 60 MM, COR MARROM, PARA AGUA FRIA PREDIAL</v>
          </cell>
          <cell r="D2419" t="str">
            <v>UN</v>
          </cell>
          <cell r="E2419" t="str">
            <v>CR</v>
          </cell>
          <cell r="F2419">
            <v>32.03</v>
          </cell>
        </row>
        <row r="2420">
          <cell r="B2420">
            <v>3478</v>
          </cell>
          <cell r="C2420" t="str">
            <v>JOELHO, PVC SOLDAVEL, 45 GRAUS, 75 MM, COR MARROM, PARA AGUA FRIA PREDIAL</v>
          </cell>
          <cell r="D2420" t="str">
            <v>UN</v>
          </cell>
          <cell r="E2420" t="str">
            <v>CR</v>
          </cell>
          <cell r="F2420">
            <v>76.790000000000006</v>
          </cell>
        </row>
        <row r="2421">
          <cell r="B2421">
            <v>3525</v>
          </cell>
          <cell r="C2421" t="str">
            <v>JOELHO, PVC SOLDAVEL, 45 GRAUS, 85 MM, COR MARROM, PARA AGUA FRIA PREDIAL</v>
          </cell>
          <cell r="D2421" t="str">
            <v>UN</v>
          </cell>
          <cell r="E2421" t="str">
            <v>CR</v>
          </cell>
          <cell r="F2421">
            <v>94.77</v>
          </cell>
        </row>
        <row r="2422">
          <cell r="B2422">
            <v>3511</v>
          </cell>
          <cell r="C2422" t="str">
            <v>JOELHO, PVC SOLDAVEL, 90 GRAUS, 75 MM, COR MARROM, PARA AGUA FRIA PREDIAL</v>
          </cell>
          <cell r="D2422" t="str">
            <v>UN</v>
          </cell>
          <cell r="E2422" t="str">
            <v>CR</v>
          </cell>
          <cell r="F2422">
            <v>100.52</v>
          </cell>
        </row>
        <row r="2423">
          <cell r="B2423">
            <v>38913</v>
          </cell>
          <cell r="C2423" t="str">
            <v>JOELHO/COTOVELO 90 GRAUS, METALICO, PARA CONEXAO COM ANEL DESLIZANTE, DN 16 MM, EM TUBO PEX PARA INST. AGUA QUENTE/FRIA</v>
          </cell>
          <cell r="D2423" t="str">
            <v>UN</v>
          </cell>
          <cell r="E2423" t="str">
            <v>CR</v>
          </cell>
          <cell r="F2423">
            <v>11.01</v>
          </cell>
        </row>
        <row r="2424">
          <cell r="B2424">
            <v>38914</v>
          </cell>
          <cell r="C2424" t="str">
            <v>JOELHO/COTOVELO 90 GRAUS, METALICO, PARA CONEXAO COM ANEL DESLIZANTE, DN 20 MM, EM TUBO PEX PARA INST. AGUA QUENTE/FRIA</v>
          </cell>
          <cell r="D2424" t="str">
            <v>UN</v>
          </cell>
          <cell r="E2424" t="str">
            <v>CR</v>
          </cell>
          <cell r="F2424">
            <v>13.52</v>
          </cell>
        </row>
        <row r="2425">
          <cell r="B2425">
            <v>38915</v>
          </cell>
          <cell r="C2425" t="str">
            <v>JOELHO/COTOVELO 90 GRAUS, METALICO, PARA CONEXAO COM ANEL DESLIZANTE, DN 25 MM, EM TUBO PEX PARA INST. AGUA QUENTE/FRIA</v>
          </cell>
          <cell r="D2425" t="str">
            <v>UN</v>
          </cell>
          <cell r="E2425" t="str">
            <v>CR</v>
          </cell>
          <cell r="F2425">
            <v>26.06</v>
          </cell>
        </row>
        <row r="2426">
          <cell r="B2426">
            <v>38916</v>
          </cell>
          <cell r="C2426" t="str">
            <v>JOELHO/COTOVELO 90 GRAUS, METALICO, PARA CONEXAO COM ANEL DESLIZANTE, DN 32 MM, EM TUBO PEX PARA INST. AGUA QUENTE/FRIA</v>
          </cell>
          <cell r="D2426" t="str">
            <v>UN</v>
          </cell>
          <cell r="E2426" t="str">
            <v>CR</v>
          </cell>
          <cell r="F2426">
            <v>36.06</v>
          </cell>
        </row>
        <row r="2427">
          <cell r="B2427">
            <v>39300</v>
          </cell>
          <cell r="C2427" t="str">
            <v>JOELHO/COTOVELO 90 GRAUS, PLASTICO, PARA CONEXAO COM CRIMPAGEM, DN 16 MM, EM TUBO PEX PARA INST. AGUA QUENTE/FRIA</v>
          </cell>
          <cell r="D2427" t="str">
            <v>UN</v>
          </cell>
          <cell r="E2427" t="str">
            <v>CR</v>
          </cell>
          <cell r="F2427">
            <v>9.83</v>
          </cell>
        </row>
        <row r="2428">
          <cell r="B2428">
            <v>39301</v>
          </cell>
          <cell r="C2428" t="str">
            <v>JOELHO/COTOVELO 90 GRAUS, PLASTICO, PARA CONEXAO COM CRIMPAGEM, DN 20 MM, EM TUBO PEX PARA INST. AGUA QUENTE/FRIA</v>
          </cell>
          <cell r="D2428" t="str">
            <v>UN</v>
          </cell>
          <cell r="E2428" t="str">
            <v>CR</v>
          </cell>
          <cell r="F2428">
            <v>13.16</v>
          </cell>
        </row>
        <row r="2429">
          <cell r="B2429">
            <v>39302</v>
          </cell>
          <cell r="C2429" t="str">
            <v>JOELHO/COTOVELO 90 GRAUS, PLASTICO, PARA CONEXAO COM CRIMPAGEM, DN 25 MM, EM TUBO PEX PARA INST. AGUA QUENTE/FRIA</v>
          </cell>
          <cell r="D2429" t="str">
            <v>UN</v>
          </cell>
          <cell r="E2429" t="str">
            <v>CR</v>
          </cell>
          <cell r="F2429">
            <v>23.93</v>
          </cell>
        </row>
        <row r="2430">
          <cell r="B2430">
            <v>38941</v>
          </cell>
          <cell r="C2430" t="str">
            <v>JOELHO/COTOVELO 90 GRAUS, ROSCA FEMEA MOVEL, METALICO, PARA CONEXAO COM ANEL DESLIZANTE, DN 20 MM X 3/4", EM TUBO PEX PARA INST. AGUA QUENTE/FRIA</v>
          </cell>
          <cell r="D2430" t="str">
            <v>UN</v>
          </cell>
          <cell r="E2430" t="str">
            <v>CR</v>
          </cell>
          <cell r="F2430">
            <v>17.77</v>
          </cell>
        </row>
        <row r="2431">
          <cell r="B2431">
            <v>38923</v>
          </cell>
          <cell r="C2431" t="str">
            <v>JOELHO/COTOVELO 90 GRAUS, ROSCA FEMEA TERMINAL, METALICO, PARA CONEXAO COM ANEL DESLIZANTE, DN 16 MM X 1/2", EM TUBO PEX PARA INST. AGUA QUENTE/FRIA</v>
          </cell>
          <cell r="D2431" t="str">
            <v>UN</v>
          </cell>
          <cell r="E2431" t="str">
            <v>CR</v>
          </cell>
          <cell r="F2431">
            <v>11.78</v>
          </cell>
        </row>
        <row r="2432">
          <cell r="B2432">
            <v>38925</v>
          </cell>
          <cell r="C2432" t="str">
            <v>JOELHO/COTOVELO 90 GRAUS, ROSCA FEMEA TERMINAL, METALICO, PARA CONEXAO COM ANEL DESLIZANTE, DN 20 MM X 1/2", EM TUBO PEX PARA INST. AGUA QUENTE/FRIA</v>
          </cell>
          <cell r="D2432" t="str">
            <v>UN</v>
          </cell>
          <cell r="E2432" t="str">
            <v>CR</v>
          </cell>
          <cell r="F2432">
            <v>13.67</v>
          </cell>
        </row>
        <row r="2433">
          <cell r="B2433">
            <v>38926</v>
          </cell>
          <cell r="C2433" t="str">
            <v>JOELHO/COTOVELO 90 GRAUS, ROSCA FEMEA TERMINAL, METALICO, PARA CONEXAO COM ANEL DESLIZANTE, DN 20 MM X 3/4", EM TUBO PEX PARA INST. AGUA QUENTE/FRIA</v>
          </cell>
          <cell r="D2433" t="str">
            <v>UN</v>
          </cell>
          <cell r="E2433" t="str">
            <v>CR</v>
          </cell>
          <cell r="F2433">
            <v>16.22</v>
          </cell>
        </row>
        <row r="2434">
          <cell r="B2434">
            <v>38927</v>
          </cell>
          <cell r="C2434" t="str">
            <v>JOELHO/COTOVELO 90 GRAUS, ROSCA FEMEA TERMINAL, METALICO, PARA CONEXAO COM ANEL DESLIZANTE, DN 25 MM X 3/4", EM TUBO PEX PARA INST. AGUA QUENTE/FRIA</v>
          </cell>
          <cell r="D2434" t="str">
            <v>UN</v>
          </cell>
          <cell r="E2434" t="str">
            <v>CR</v>
          </cell>
          <cell r="F2434">
            <v>20.48</v>
          </cell>
        </row>
        <row r="2435">
          <cell r="B2435">
            <v>39304</v>
          </cell>
          <cell r="C2435" t="str">
            <v>JOELHO/COTOVELO 90 GRAUS, ROSCA FEMEA TERMINAL, PLASTICO, PARA CONEXAO COM CRIMPAGEM, DN 16 MM X 1/2", EM TUBO PEX PARA INST. AGUA QUENTE/FRIA</v>
          </cell>
          <cell r="D2435" t="str">
            <v>UN</v>
          </cell>
          <cell r="E2435" t="str">
            <v>CR</v>
          </cell>
          <cell r="F2435">
            <v>11.63</v>
          </cell>
        </row>
        <row r="2436">
          <cell r="B2436">
            <v>39305</v>
          </cell>
          <cell r="C2436" t="str">
            <v>JOELHO/COTOVELO 90 GRAUS, ROSCA FEMEA TERMINAL, PLASTICO, PARA CONEXAO COM CRIMPAGEM, DN 20 MM X 1/2", EM TUBO PEX PARA INST. AGUA QUENTE/FRIA</v>
          </cell>
          <cell r="D2436" t="str">
            <v>UN</v>
          </cell>
          <cell r="E2436" t="str">
            <v>CR</v>
          </cell>
          <cell r="F2436">
            <v>12.76</v>
          </cell>
        </row>
        <row r="2437">
          <cell r="B2437">
            <v>39306</v>
          </cell>
          <cell r="C2437" t="str">
            <v>JOELHO/COTOVELO 90 GRAUS, ROSCA FEMEA TERMINAL, PLASTICO, PARA CONEXAO COM CRIMPAGEM, DN 20 MM X 3/4", EM TUBO PEX PARA INST. AGUA QUENTE/FRIA</v>
          </cell>
          <cell r="D2437" t="str">
            <v>UN</v>
          </cell>
          <cell r="E2437" t="str">
            <v>CR</v>
          </cell>
          <cell r="F2437">
            <v>17.149999999999999</v>
          </cell>
        </row>
        <row r="2438">
          <cell r="B2438">
            <v>38928</v>
          </cell>
          <cell r="C2438" t="str">
            <v>JOELHO/COTOVELO 90 GRAUS, ROSCA FEMEA TERMINAL, PLASTICO, PARA CONEXAO COM CRIMPAGEM, DN 25 MM X 1/2", EM TUBO PEX PARA INST. AGUA QUENTE/FRIA</v>
          </cell>
          <cell r="D2438" t="str">
            <v>UN</v>
          </cell>
          <cell r="E2438" t="str">
            <v>CR</v>
          </cell>
          <cell r="F2438">
            <v>22.67</v>
          </cell>
        </row>
        <row r="2439">
          <cell r="B2439">
            <v>38917</v>
          </cell>
          <cell r="C2439" t="str">
            <v>JOELHO/COTOVELO 90 GRAUS, ROSCA FEMEA, COM BASE FIXA, METALICO, PARA CONEXAO COM ANEL DESLIZANTE, DN 16 MM X 1/2", EM TUBO PEX PARA INST. AGUA QUENTE/FRIA</v>
          </cell>
          <cell r="D2439" t="str">
            <v>UN</v>
          </cell>
          <cell r="E2439" t="str">
            <v>CR</v>
          </cell>
          <cell r="F2439">
            <v>12.67</v>
          </cell>
        </row>
        <row r="2440">
          <cell r="B2440">
            <v>38919</v>
          </cell>
          <cell r="C2440" t="str">
            <v>JOELHO/COTOVELO 90 GRAUS, ROSCA FEMEA, COM BASE FIXA, METALICO, PARA CONEXAO COM ANEL DESLIZANTE, DN 20 MM X 1/2", EM TUBO PEX PARA INST. AGUA QUENTE/FRIA</v>
          </cell>
          <cell r="D2440" t="str">
            <v>UN</v>
          </cell>
          <cell r="E2440" t="str">
            <v>CR</v>
          </cell>
          <cell r="F2440">
            <v>14.87</v>
          </cell>
        </row>
        <row r="2441">
          <cell r="B2441">
            <v>38922</v>
          </cell>
          <cell r="C2441" t="str">
            <v>JOELHO/COTOVELO 90 GRAUS, ROSCA FEMEA, COM BASE FIXA, METALICO, PARA CONEXAO COM ANEL DESLIZANTE, DN 25 MM X 3/4", EM TUBO PEX PARA INST. AGUA QUENTE/FRIA</v>
          </cell>
          <cell r="D2441" t="str">
            <v>UN</v>
          </cell>
          <cell r="E2441" t="str">
            <v>CR</v>
          </cell>
          <cell r="F2441">
            <v>19.95</v>
          </cell>
        </row>
        <row r="2442">
          <cell r="B2442">
            <v>45198</v>
          </cell>
          <cell r="C2442" t="str">
            <v>JOGO DE CHAVES ALLEN LONGAS HEXAGONAIS DE 1,5 MM A 10 MM - 9 PECAS</v>
          </cell>
          <cell r="D2442" t="str">
            <v>UN</v>
          </cell>
          <cell r="E2442" t="str">
            <v>CR</v>
          </cell>
          <cell r="F2442">
            <v>55.01</v>
          </cell>
        </row>
        <row r="2443">
          <cell r="B2443">
            <v>45196</v>
          </cell>
          <cell r="C2443" t="str">
            <v>JOGO DE CHAVES DE FENDA E PHILLIPS ISOLADAS, 1000 V - *6* PECAS</v>
          </cell>
          <cell r="D2443" t="str">
            <v>UN</v>
          </cell>
          <cell r="E2443" t="str">
            <v>CR</v>
          </cell>
          <cell r="F2443">
            <v>113.42</v>
          </cell>
        </row>
        <row r="2444">
          <cell r="B2444">
            <v>12032</v>
          </cell>
          <cell r="C2444" t="str">
            <v>JOGO DE TRANQUETA E ROSETA QUADRADA DE SOBREPOR SEM FUROS, EM LATAO CROMADO, *50 X 50* MM, PARA FECHADURA DE PORTA DE BANHEIRO</v>
          </cell>
          <cell r="D2444" t="str">
            <v>JG</v>
          </cell>
          <cell r="E2444" t="str">
            <v>CR</v>
          </cell>
          <cell r="F2444">
            <v>54.61</v>
          </cell>
        </row>
        <row r="2445">
          <cell r="B2445">
            <v>12030</v>
          </cell>
          <cell r="C2445" t="str">
            <v>JOGO DE TRANQUETA E ROSETA REDONDA DE SOBREPOR SEM FUROS, EM LATAO CROMADO, DIAMETRO *50* MM, PARA FECHADURA DE PORTA DE BANHEIRO</v>
          </cell>
          <cell r="D2445" t="str">
            <v>JG</v>
          </cell>
          <cell r="E2445" t="str">
            <v>CR</v>
          </cell>
          <cell r="F2445">
            <v>51.31</v>
          </cell>
        </row>
        <row r="2446">
          <cell r="B2446">
            <v>45207</v>
          </cell>
          <cell r="C2446" t="str">
            <v>JOGO SERRA COPO COM 6 SERRAS, DIAMETRO VARIANDO DE 15 MM A 60 MM</v>
          </cell>
          <cell r="D2446" t="str">
            <v>UN</v>
          </cell>
          <cell r="E2446" t="str">
            <v>CR</v>
          </cell>
          <cell r="F2446">
            <v>362.3</v>
          </cell>
        </row>
        <row r="2447">
          <cell r="B2447">
            <v>14157</v>
          </cell>
          <cell r="C2447" t="str">
            <v>JUNCAO 2 GARRAS PARA FITA PERFURADA</v>
          </cell>
          <cell r="D2447" t="str">
            <v>UN</v>
          </cell>
          <cell r="E2447" t="str">
            <v>CR</v>
          </cell>
          <cell r="F2447">
            <v>1.32</v>
          </cell>
        </row>
        <row r="2448">
          <cell r="B2448">
            <v>10908</v>
          </cell>
          <cell r="C2448" t="str">
            <v>JUNCAO DE REDUCAO INVERTIDA, PVC SOLDAVEL, 100 X 50 MM, SERIE NORMAL PARA ESGOTO PREDIAL</v>
          </cell>
          <cell r="D2448" t="str">
            <v>UN</v>
          </cell>
          <cell r="E2448" t="str">
            <v>CR</v>
          </cell>
          <cell r="F2448">
            <v>22.91</v>
          </cell>
        </row>
        <row r="2449">
          <cell r="B2449">
            <v>10909</v>
          </cell>
          <cell r="C2449" t="str">
            <v>JUNCAO DE REDUCAO INVERTIDA, PVC SOLDAVEL, 100 X 75 MM, SERIE NORMAL PARA ESGOTO PREDIAL</v>
          </cell>
          <cell r="D2449" t="str">
            <v>UN</v>
          </cell>
          <cell r="E2449" t="str">
            <v>CR</v>
          </cell>
          <cell r="F2449">
            <v>26.65</v>
          </cell>
        </row>
        <row r="2450">
          <cell r="B2450">
            <v>3669</v>
          </cell>
          <cell r="C2450" t="str">
            <v>JUNCAO DE REDUCAO INVERTIDA, PVC SOLDAVEL, 75 X 50 MM, SERIE NORMAL PARA ESGOTO PREDIAL</v>
          </cell>
          <cell r="D2450" t="str">
            <v>UN</v>
          </cell>
          <cell r="E2450" t="str">
            <v>CR</v>
          </cell>
          <cell r="F2450">
            <v>16.37</v>
          </cell>
        </row>
        <row r="2451">
          <cell r="B2451">
            <v>20139</v>
          </cell>
          <cell r="C2451" t="str">
            <v>JUNCAO DUPLA, PVC SERIE R, DN 100 X 100 X 100 MM, PARA ESGOTO PREDIAL</v>
          </cell>
          <cell r="D2451" t="str">
            <v>UN</v>
          </cell>
          <cell r="E2451" t="str">
            <v>CR</v>
          </cell>
          <cell r="F2451">
            <v>140.83000000000001</v>
          </cell>
        </row>
        <row r="2452">
          <cell r="B2452">
            <v>3668</v>
          </cell>
          <cell r="C2452" t="str">
            <v>JUNCAO DUPLA, PVC SOLDAVEL, DN 100 X 100 X 100 MM, SERIE NORMAL PARA ESGOTO PREDIAL</v>
          </cell>
          <cell r="D2452" t="str">
            <v>UN</v>
          </cell>
          <cell r="E2452" t="str">
            <v>CR</v>
          </cell>
          <cell r="F2452">
            <v>50.3</v>
          </cell>
        </row>
        <row r="2453">
          <cell r="B2453">
            <v>10911</v>
          </cell>
          <cell r="C2453" t="str">
            <v>JUNCAO INVERTIDA, PVC SOLDAVEL, 75 X 75 MM, SERIE NORMAL PARA ESGOTO PREDIAL</v>
          </cell>
          <cell r="D2453" t="str">
            <v>UN</v>
          </cell>
          <cell r="E2453" t="str">
            <v>CR</v>
          </cell>
          <cell r="F2453">
            <v>22.05</v>
          </cell>
        </row>
        <row r="2454">
          <cell r="B2454">
            <v>3659</v>
          </cell>
          <cell r="C2454" t="str">
            <v>JUNCAO SIMPLES DE REDUCAO, PVC, DN 100 X 50 MM, SERIE NORMAL PARA ESGOTO PREDIAL</v>
          </cell>
          <cell r="D2454" t="str">
            <v>UN</v>
          </cell>
          <cell r="E2454" t="str">
            <v>CR</v>
          </cell>
          <cell r="F2454">
            <v>22.47</v>
          </cell>
        </row>
        <row r="2455">
          <cell r="B2455">
            <v>3660</v>
          </cell>
          <cell r="C2455" t="str">
            <v>JUNCAO SIMPLES DE REDUCAO, PVC, DN 100 X 75 MM, SERIE NORMAL PARA ESGOTO PREDIAL</v>
          </cell>
          <cell r="D2455" t="str">
            <v>UN</v>
          </cell>
          <cell r="E2455" t="str">
            <v>CR</v>
          </cell>
          <cell r="F2455">
            <v>29.05</v>
          </cell>
        </row>
        <row r="2456">
          <cell r="B2456">
            <v>20144</v>
          </cell>
          <cell r="C2456" t="str">
            <v>JUNCAO SIMPLES, PVC SERIE R, DN 100 X 100 MM, PARA ESGOTO PREDIAL</v>
          </cell>
          <cell r="D2456" t="str">
            <v>UN</v>
          </cell>
          <cell r="E2456" t="str">
            <v>CR</v>
          </cell>
          <cell r="F2456">
            <v>65.069999999999993</v>
          </cell>
        </row>
        <row r="2457">
          <cell r="B2457">
            <v>20143</v>
          </cell>
          <cell r="C2457" t="str">
            <v>JUNCAO SIMPLES, PVC SERIE R, DN 100 X 75 MM, PARA ESGOTO PREDIAL</v>
          </cell>
          <cell r="D2457" t="str">
            <v>UN</v>
          </cell>
          <cell r="E2457" t="str">
            <v>CR</v>
          </cell>
          <cell r="F2457">
            <v>83.25</v>
          </cell>
        </row>
        <row r="2458">
          <cell r="B2458">
            <v>20145</v>
          </cell>
          <cell r="C2458" t="str">
            <v>JUNCAO SIMPLES, PVC SERIE R, DN 150 X 100 MM, PARA ESGOTO PREDIAL</v>
          </cell>
          <cell r="D2458" t="str">
            <v>UN</v>
          </cell>
          <cell r="E2458" t="str">
            <v>CR</v>
          </cell>
          <cell r="F2458">
            <v>160.58000000000001</v>
          </cell>
        </row>
        <row r="2459">
          <cell r="B2459">
            <v>20146</v>
          </cell>
          <cell r="C2459" t="str">
            <v>JUNCAO SIMPLES, PVC SERIE R, DN 150 X 150 MM, PARA ESGOTO PREDIAL</v>
          </cell>
          <cell r="D2459" t="str">
            <v>UN</v>
          </cell>
          <cell r="E2459" t="str">
            <v>CR</v>
          </cell>
          <cell r="F2459">
            <v>219.51</v>
          </cell>
        </row>
        <row r="2460">
          <cell r="B2460">
            <v>20140</v>
          </cell>
          <cell r="C2460" t="str">
            <v>JUNCAO SIMPLES, PVC SERIE R, DN 40 X 40 MM, PARA ESGOTO PREDIAL</v>
          </cell>
          <cell r="D2460" t="str">
            <v>UN</v>
          </cell>
          <cell r="E2460" t="str">
            <v>CR</v>
          </cell>
          <cell r="F2460">
            <v>10.29</v>
          </cell>
        </row>
        <row r="2461">
          <cell r="B2461">
            <v>20141</v>
          </cell>
          <cell r="C2461" t="str">
            <v>JUNCAO SIMPLES, PVC SERIE R, DN 50 X 50 MM, PARA ESGOTO PREDIAL</v>
          </cell>
          <cell r="D2461" t="str">
            <v>UN</v>
          </cell>
          <cell r="E2461" t="str">
            <v>CR</v>
          </cell>
          <cell r="F2461">
            <v>25.22</v>
          </cell>
        </row>
        <row r="2462">
          <cell r="B2462">
            <v>20142</v>
          </cell>
          <cell r="C2462" t="str">
            <v>JUNCAO SIMPLES, PVC SERIE R, DN 75 X 75 MM, PARA ESGOTO PREDIAL</v>
          </cell>
          <cell r="D2462" t="str">
            <v>UN</v>
          </cell>
          <cell r="E2462" t="str">
            <v>CR</v>
          </cell>
          <cell r="F2462">
            <v>44.37</v>
          </cell>
        </row>
        <row r="2463">
          <cell r="B2463">
            <v>3670</v>
          </cell>
          <cell r="C2463" t="str">
            <v>JUNCAO SIMPLES, PVC, 45 GRAUS, DN 100 X 100 MM, SERIE NORMAL PARA ESGOTO PREDIAL</v>
          </cell>
          <cell r="D2463" t="str">
            <v>UN</v>
          </cell>
          <cell r="E2463" t="str">
            <v>CR</v>
          </cell>
          <cell r="F2463">
            <v>28.85</v>
          </cell>
        </row>
        <row r="2464">
          <cell r="B2464">
            <v>3666</v>
          </cell>
          <cell r="C2464" t="str">
            <v>JUNCAO SIMPLES, PVC, 45 GRAUS, DN 40 X 40 MM, SERIE NORMAL PARA ESGOTO PREDIAL</v>
          </cell>
          <cell r="D2464" t="str">
            <v>UN</v>
          </cell>
          <cell r="E2464" t="str">
            <v>CR</v>
          </cell>
          <cell r="F2464">
            <v>4.54</v>
          </cell>
        </row>
        <row r="2465">
          <cell r="B2465">
            <v>3662</v>
          </cell>
          <cell r="C2465" t="str">
            <v>JUNCAO SIMPLES, PVC, 45 GRAUS, DN 50 X 50 MM, SERIE NORMAL PARA ESGOTO PREDIAL</v>
          </cell>
          <cell r="D2465" t="str">
            <v>UN</v>
          </cell>
          <cell r="E2465" t="str">
            <v>CR</v>
          </cell>
          <cell r="F2465">
            <v>11.84</v>
          </cell>
        </row>
        <row r="2466">
          <cell r="B2466">
            <v>3658</v>
          </cell>
          <cell r="C2466" t="str">
            <v>JUNCAO SIMPLES, PVC, 45 GRAUS, DN 75 X 75 MM, SERIE NORMAL PARA ESGOTO PREDIAL</v>
          </cell>
          <cell r="D2466" t="str">
            <v>UN</v>
          </cell>
          <cell r="E2466" t="str">
            <v>CR</v>
          </cell>
          <cell r="F2466">
            <v>22.43</v>
          </cell>
        </row>
        <row r="2467">
          <cell r="B2467">
            <v>42696</v>
          </cell>
          <cell r="C2467" t="str">
            <v>JUNCAO, PVC, 45 GRAUS, JE, BBB, DN 150 MM, PARA TUBO CORRUGADO E/OU LISO, REDE COLETORA DE ESGOTO</v>
          </cell>
          <cell r="D2467" t="str">
            <v>UN</v>
          </cell>
          <cell r="E2467" t="str">
            <v>CR</v>
          </cell>
          <cell r="F2467">
            <v>177.88</v>
          </cell>
        </row>
        <row r="2468">
          <cell r="B2468">
            <v>39875</v>
          </cell>
          <cell r="C2468" t="str">
            <v>JUNTA DE EXPANSAO BRONZE/LATAO, PONTA X PONTA, 35 MM</v>
          </cell>
          <cell r="D2468" t="str">
            <v>UN</v>
          </cell>
          <cell r="E2468" t="str">
            <v>CR</v>
          </cell>
          <cell r="F2468">
            <v>689.33</v>
          </cell>
        </row>
        <row r="2469">
          <cell r="B2469">
            <v>39876</v>
          </cell>
          <cell r="C2469" t="str">
            <v>JUNTA DE EXPANSAO BRONZE/LATAO, PONTA X PONTA, 42 MM</v>
          </cell>
          <cell r="D2469" t="str">
            <v>UN</v>
          </cell>
          <cell r="E2469" t="str">
            <v>CR</v>
          </cell>
          <cell r="F2469">
            <v>863.04</v>
          </cell>
        </row>
        <row r="2470">
          <cell r="B2470">
            <v>39877</v>
          </cell>
          <cell r="C2470" t="str">
            <v>JUNTA DE EXPANSAO BRONZE/LATAO, PONTA X PONTA, 54 MM</v>
          </cell>
          <cell r="D2470" t="str">
            <v>UN</v>
          </cell>
          <cell r="E2470" t="str">
            <v>CR</v>
          </cell>
          <cell r="F2470">
            <v>1197</v>
          </cell>
        </row>
        <row r="2471">
          <cell r="B2471">
            <v>39878</v>
          </cell>
          <cell r="C2471" t="str">
            <v>JUNTA DE EXPANSAO BRONZE/LATAO, PONTA X PONTA, 66 MM</v>
          </cell>
          <cell r="D2471" t="str">
            <v>UN</v>
          </cell>
          <cell r="E2471" t="str">
            <v>CR</v>
          </cell>
          <cell r="F2471">
            <v>1581.04</v>
          </cell>
        </row>
        <row r="2472">
          <cell r="B2472">
            <v>39872</v>
          </cell>
          <cell r="C2472" t="str">
            <v>JUNTA DE EXPANSAO DE COBRE, PONTA X PONTA, 15 MM</v>
          </cell>
          <cell r="D2472" t="str">
            <v>UN</v>
          </cell>
          <cell r="E2472" t="str">
            <v>CR</v>
          </cell>
          <cell r="F2472">
            <v>472.72</v>
          </cell>
        </row>
        <row r="2473">
          <cell r="B2473">
            <v>39873</v>
          </cell>
          <cell r="C2473" t="str">
            <v>JUNTA DE EXPANSAO DE COBRE, PONTA X PONTA, 22 MM</v>
          </cell>
          <cell r="D2473" t="str">
            <v>UN</v>
          </cell>
          <cell r="E2473" t="str">
            <v>CR</v>
          </cell>
          <cell r="F2473">
            <v>548.33000000000004</v>
          </cell>
        </row>
        <row r="2474">
          <cell r="B2474">
            <v>39874</v>
          </cell>
          <cell r="C2474" t="str">
            <v>JUNTA DE EXPANSAO DE COBRE, PONTA X PONTA, 28 MM</v>
          </cell>
          <cell r="D2474" t="str">
            <v>UN</v>
          </cell>
          <cell r="E2474" t="str">
            <v>CR</v>
          </cell>
          <cell r="F2474">
            <v>602.27</v>
          </cell>
        </row>
        <row r="2475">
          <cell r="B2475">
            <v>3674</v>
          </cell>
          <cell r="C2475" t="str">
            <v>JUNTA DILATACAO ELASTICA PARA CONCRETO (FUGENBAND) O-12, ATE 5 MCA</v>
          </cell>
          <cell r="D2475" t="str">
            <v>M</v>
          </cell>
          <cell r="E2475" t="str">
            <v>CR</v>
          </cell>
          <cell r="F2475">
            <v>91.25</v>
          </cell>
        </row>
        <row r="2476">
          <cell r="B2476">
            <v>3681</v>
          </cell>
          <cell r="C2476" t="str">
            <v>JUNTA DILATACAO ELASTICA PARA CONCRETO (FUGENBAND) O-22, ATE 30 MCA</v>
          </cell>
          <cell r="D2476" t="str">
            <v>M</v>
          </cell>
          <cell r="E2476" t="str">
            <v>CR</v>
          </cell>
          <cell r="F2476">
            <v>135.77000000000001</v>
          </cell>
        </row>
        <row r="2477">
          <cell r="B2477">
            <v>3676</v>
          </cell>
          <cell r="C2477" t="str">
            <v>JUNTA DILATACAO ELASTICA PARA CONCRETO (FUGENBAND) O-35/10, ATE 100 MCA</v>
          </cell>
          <cell r="D2477" t="str">
            <v>M</v>
          </cell>
          <cell r="E2477" t="str">
            <v>CR</v>
          </cell>
          <cell r="F2477">
            <v>510.97</v>
          </cell>
        </row>
        <row r="2478">
          <cell r="B2478">
            <v>3679</v>
          </cell>
          <cell r="C2478" t="str">
            <v>JUNTA DILATACAO ELASTICA PARA CONCRETO (FUGENBAND) O-35/6, ATE 100 MCA</v>
          </cell>
          <cell r="D2478" t="str">
            <v>M</v>
          </cell>
          <cell r="E2478" t="str">
            <v>CR</v>
          </cell>
          <cell r="F2478">
            <v>422.73</v>
          </cell>
        </row>
        <row r="2479">
          <cell r="B2479">
            <v>3672</v>
          </cell>
          <cell r="C2479" t="str">
            <v>JUNTA PLASTICA DE DILATACAO PARA PISOS, COR CINZA, 10 X 4,5 MM (ALTURA X ESPESSURA)</v>
          </cell>
          <cell r="D2479" t="str">
            <v>M</v>
          </cell>
          <cell r="E2479" t="str">
            <v>CR</v>
          </cell>
          <cell r="F2479">
            <v>1.44</v>
          </cell>
        </row>
        <row r="2480">
          <cell r="B2480">
            <v>3671</v>
          </cell>
          <cell r="C2480" t="str">
            <v>JUNTA PLASTICA DE DILATACAO PARA PISOS, COR CINZA, 17 X 3 MM (ALTURA X ESPESSURA)</v>
          </cell>
          <cell r="D2480" t="str">
            <v>M</v>
          </cell>
          <cell r="E2480" t="str">
            <v>C</v>
          </cell>
          <cell r="F2480">
            <v>1.36</v>
          </cell>
        </row>
        <row r="2481">
          <cell r="B2481">
            <v>3673</v>
          </cell>
          <cell r="C2481" t="str">
            <v>JUNTA PLASTICA DE DILATACAO PARA PISOS, COR CINZA, 27 X 3 MM (ALTURA X ESPESSURA)</v>
          </cell>
          <cell r="D2481" t="str">
            <v>M</v>
          </cell>
          <cell r="E2481" t="str">
            <v>CR</v>
          </cell>
          <cell r="F2481">
            <v>2.13</v>
          </cell>
        </row>
        <row r="2482">
          <cell r="B2482">
            <v>38394</v>
          </cell>
          <cell r="C2482" t="str">
            <v>KIT ACESSORIOS PARA COMPRESSOR DE AR, 5 PECAS (PISTOLAS PINTURA, LIMPEZA E PULVERIZACAO, CALIBRADOR E MANGUEIRA)</v>
          </cell>
          <cell r="D2482" t="str">
            <v>UN</v>
          </cell>
          <cell r="E2482" t="str">
            <v>CR</v>
          </cell>
          <cell r="F2482">
            <v>213.2</v>
          </cell>
        </row>
        <row r="2483">
          <cell r="B2483">
            <v>3729</v>
          </cell>
          <cell r="C2483" t="str">
            <v>KIT CAVALETE, PVC, COM REGISTRO, PARA HIDROMETRO, BITOLAS 1/2" OU 3/4" - COMPLETO</v>
          </cell>
          <cell r="D2483" t="str">
            <v>UN</v>
          </cell>
          <cell r="E2483" t="str">
            <v>CR</v>
          </cell>
          <cell r="F2483">
            <v>163.28</v>
          </cell>
        </row>
        <row r="2484">
          <cell r="B2484">
            <v>39357</v>
          </cell>
          <cell r="C2484" t="str">
            <v>KIT CHASSI COZINHA, CUBA SIMPLES SEM MAQUINA LAVAR LOUCA, INSTAL. PEX, QUADRO METALICO C/ TRAVESSA C/ FURO P/ESGOTO DN 50 MM E FUROS SUPERIORES P/AGUA, *340* X *650* MM (L X H), P/ CONEXAO COM ANEL DESLIZANTE (CONJUNTO COMPLETO)</v>
          </cell>
          <cell r="D2484" t="str">
            <v>UN</v>
          </cell>
          <cell r="E2484" t="str">
            <v>CR</v>
          </cell>
          <cell r="F2484">
            <v>61.02</v>
          </cell>
        </row>
        <row r="2485">
          <cell r="B2485">
            <v>39358</v>
          </cell>
          <cell r="C2485" t="str">
            <v>KIT CHASSI COZINHA, CUBA SIMPLES SEM MAQUINA LAVAR LOUCA, INSTAL. PEX, QUADRO METALICO C/ TRAVESSA COM FURO P/ESGOTO DN 50 MM E FUROS SUPERIORES P/AGUA, *340* X *650* MM (L X H), P/ CONEXAO COM CRIMPAGEM (CONJUNTO COMPLETO)</v>
          </cell>
          <cell r="D2485" t="str">
            <v>UN</v>
          </cell>
          <cell r="E2485" t="str">
            <v>CR</v>
          </cell>
          <cell r="F2485">
            <v>61.02</v>
          </cell>
        </row>
        <row r="2486">
          <cell r="B2486">
            <v>39355</v>
          </cell>
          <cell r="C2486" t="str">
            <v>KIT CHASSI TANQUE E MAQUINA LAVAR ROUPA, INSTAL. PEX, QUADRO METALICO C/ TRAVESSA C/ FURO P/ ESGOTO DN 50 MM, FURO LATERAL P/ MAQUINA E FUROS SUPERIORES P/ AGUA, *344* X *442* MM (L X H), P/ CONEXAO COM ANEL DESLIZANTE (CONJUNTO COMPLETO)</v>
          </cell>
          <cell r="D2486" t="str">
            <v>UN</v>
          </cell>
          <cell r="E2486" t="str">
            <v>CR</v>
          </cell>
          <cell r="F2486">
            <v>88.91</v>
          </cell>
        </row>
        <row r="2487">
          <cell r="B2487">
            <v>39356</v>
          </cell>
          <cell r="C2487" t="str">
            <v>KIT CHASSI TANQUE E MAQUINA LAVAR ROUPA, INSTAL. PEX, QUADRO METALICO C/ TRAVESSA C/ FURO P/ ESGOTO DN 50 MM, FURO LATERAL P/MAQUINA E FUROS SUPERIORES P/AGUA, *344* X *442* MM (L X H), P/ CONEXAO COM CRIMPAGEM (CONJUNTO COMPLETO)</v>
          </cell>
          <cell r="D2487" t="str">
            <v>UN</v>
          </cell>
          <cell r="E2487" t="str">
            <v>CR</v>
          </cell>
          <cell r="F2487">
            <v>84.86</v>
          </cell>
        </row>
        <row r="2488">
          <cell r="B2488">
            <v>39353</v>
          </cell>
          <cell r="C2488" t="str">
            <v>KIT CHUVEIRO, INSTAL. PEX, QUADRO METALICO C/ 2 TRAVESSAS, SUPERIOR C/ ESPERA P/ CHUVEIRO, INFERIOR C/ 2 REGISTROS DE PRESSAO 1/2", *390* X *900* MM (L X H), CONEXAO COM ANEL DESLIZANTE (CONJUNTO COMPLETO)</v>
          </cell>
          <cell r="D2488" t="str">
            <v>UN</v>
          </cell>
          <cell r="E2488" t="str">
            <v>CR</v>
          </cell>
          <cell r="F2488">
            <v>194.8</v>
          </cell>
        </row>
        <row r="2489">
          <cell r="B2489">
            <v>39354</v>
          </cell>
          <cell r="C2489" t="str">
            <v>KIT CHUVEIRO, INSTAL. PEX, QUADRO METALICO C/2 TRAVESSAS, SUPERIOR C/ ESPERA P/ CHUVEIRO E INFERIOR C/2 REGISTROS DE PRESSAO 1/2", *390* X *900* MM (L X H), CONEXAO COM CRIMPAGEM (CONJUNTO COMPLETO)</v>
          </cell>
          <cell r="D2489" t="str">
            <v>UN</v>
          </cell>
          <cell r="E2489" t="str">
            <v>CR</v>
          </cell>
          <cell r="F2489">
            <v>410.99</v>
          </cell>
        </row>
        <row r="2490">
          <cell r="B2490">
            <v>39398</v>
          </cell>
          <cell r="C2490" t="str">
            <v>KIT DE ACESSORIOS PARA BANHEIRO EM METAL CROMADO, 5 PECAS</v>
          </cell>
          <cell r="D2490" t="str">
            <v>UN</v>
          </cell>
          <cell r="E2490" t="str">
            <v>CR</v>
          </cell>
          <cell r="F2490">
            <v>121.27</v>
          </cell>
        </row>
        <row r="2491">
          <cell r="B2491">
            <v>13343</v>
          </cell>
          <cell r="C2491" t="str">
            <v>KIT DE MATERIAIS PARA BRACADEIRA PARA FIXACAO EM POSTE CIRCULAR, CONTEM TRES FIXADORES E UM ROLO DE FITA DE 3 M EM ACO CARBONO</v>
          </cell>
          <cell r="D2491" t="str">
            <v>UN</v>
          </cell>
          <cell r="E2491" t="str">
            <v>CR</v>
          </cell>
          <cell r="F2491">
            <v>43.27</v>
          </cell>
        </row>
        <row r="2492">
          <cell r="B2492">
            <v>12118</v>
          </cell>
          <cell r="C2492" t="str">
            <v>KIT DE PROTECAO ARSTOP PARA AR CONDICIONADO, TOMADA PADRAO 2P+T 20 A, COM DISJUNTOR UNIPOLAR DIN 20A</v>
          </cell>
          <cell r="D2492" t="str">
            <v>UN</v>
          </cell>
          <cell r="E2492" t="str">
            <v>CR</v>
          </cell>
          <cell r="F2492">
            <v>24.59</v>
          </cell>
        </row>
        <row r="2493">
          <cell r="B2493">
            <v>39482</v>
          </cell>
          <cell r="C2493" t="str">
            <v>KIT PORTA PRONTA DE MADEIRA, FOLHA LEVE (NBR 15930) DE 600 X 2100 MM OU 700 X 2100 MM, DE 35 MM A 40 MM DE ESPESSURA, COM MARCO EM ACO, NUCLEO COLMEIA, CAPA LISA EM HDF, ACABAMENTO MELAMINICO BRANCO (INCLUI MARCO, ALIZARES, DOBRADICAS E FECHADURA)</v>
          </cell>
          <cell r="D2493" t="str">
            <v>UN</v>
          </cell>
          <cell r="E2493" t="str">
            <v>CR</v>
          </cell>
          <cell r="F2493">
            <v>689.6</v>
          </cell>
        </row>
        <row r="2494">
          <cell r="B2494">
            <v>39486</v>
          </cell>
          <cell r="C2494" t="str">
            <v>KIT PORTA PRONTA DE MADEIRA, FOLHA LEVE (NBR 15930) DE 600 X 2100 MM OU 700 X 2100 MM, DE 35 MM A 40 MM DE ESPESSURA, NUCLEO COLMEIA, ESTRUTURA USINADA PARA FECHADURA, CAPA LISA EM HDF, ACABAMENTO EM PRIMER PARA PINTURA (INCLUI MARCO, ALIZARES E DOBRADICAS)</v>
          </cell>
          <cell r="D2494" t="str">
            <v>UN</v>
          </cell>
          <cell r="E2494" t="str">
            <v>CR</v>
          </cell>
          <cell r="F2494">
            <v>562.80999999999995</v>
          </cell>
        </row>
        <row r="2495">
          <cell r="B2495">
            <v>39484</v>
          </cell>
          <cell r="C2495" t="str">
            <v>KIT PORTA PRONTA DE MADEIRA, FOLHA LEVE (NBR 15930) DE 800 X 2100 MM, DE 35 MM A 40 MM DE ESPESSURA, COM MARCO EM ACO, NUCLEO COLMEIA, CAPA LISA EM HDF, ACABAMENTO MELAMINICO BRANCO (INCLUI MARCO, ALIZARES, DOBRADICAS E FECHADURA)</v>
          </cell>
          <cell r="D2495" t="str">
            <v>UN</v>
          </cell>
          <cell r="E2495" t="str">
            <v>CR</v>
          </cell>
          <cell r="F2495">
            <v>689.6</v>
          </cell>
        </row>
        <row r="2496">
          <cell r="B2496">
            <v>39488</v>
          </cell>
          <cell r="C2496" t="str">
            <v>KIT PORTA PRONTA DE MADEIRA, FOLHA LEVE (NBR 15930) DE 800 X 2100 MM, DE 35 MM A 40 MM DE ESPESSURA, NUCLEO COLMEIA, ESTRUTURA USINADA PARA FECHADURA, CAPA LISA EM HDF, ACABAMENTO EM PRIMER PARA PINTURA (INCLUI MARCO, ALIZARES E DOBRADICAS)</v>
          </cell>
          <cell r="D2496" t="str">
            <v>UN</v>
          </cell>
          <cell r="E2496" t="str">
            <v>CR</v>
          </cell>
          <cell r="F2496">
            <v>572.02</v>
          </cell>
        </row>
        <row r="2497">
          <cell r="B2497">
            <v>39485</v>
          </cell>
          <cell r="C2497" t="str">
            <v>KIT PORTA PRONTA DE MADEIRA, FOLHA LEVE (NBR 15930) DE 900 X 2100 MM, DE 35 MM A 40 MM DE ESPESSURA, COM MARCO EM ACO, NUCLEO COLMEIA, CAPA LISA EM HDF, ACABAMENTO MELAMINICO BRANCO (INCLUI MARCO, ALIZARES, DOBRADICAS E FECHADURA)</v>
          </cell>
          <cell r="D2497" t="str">
            <v>UN</v>
          </cell>
          <cell r="E2497" t="str">
            <v>CR</v>
          </cell>
          <cell r="F2497">
            <v>689.6</v>
          </cell>
        </row>
        <row r="2498">
          <cell r="B2498">
            <v>39489</v>
          </cell>
          <cell r="C2498" t="str">
            <v>KIT PORTA PRONTA DE MADEIRA, FOLHA LEVE (NBR 15930) DE 900 X 2100 MM, DE 35 MM A 40 MM DE ESPESSURA, NUCLEO COLMEIA, ESTRUTURA USINADA PARA FECHADURA, CAPA LISA EM HDF, ACABAMENTO EM PRIMER PARA PINTURA (INCLUI MARCO, ALIZARES E DOBRADICAS)</v>
          </cell>
          <cell r="D2498" t="str">
            <v>UN</v>
          </cell>
          <cell r="E2498" t="str">
            <v>CR</v>
          </cell>
          <cell r="F2498">
            <v>581.72</v>
          </cell>
        </row>
        <row r="2499">
          <cell r="B2499">
            <v>39490</v>
          </cell>
          <cell r="C2499" t="str">
            <v>KIT PORTA PRONTA DE MADEIRA, FOLHA MEDIA (NBR 15930) DE 600 X 2100 MM OU 700 X 2100 MM, DE 35 MM A 40 MM DE ESPESSURA, NUCLEO SEMI-SOLIDO (SARRAFEADO), ESTRUTURA USINADA PARA FECHADURA, CAPA LISA EM HDF, ACABAMENTO MELAMINICO BRANCO (INCLUI MARCO, ALIZARES E DOBRADICAS)</v>
          </cell>
          <cell r="D2499" t="str">
            <v>UN</v>
          </cell>
          <cell r="E2499" t="str">
            <v>CR</v>
          </cell>
          <cell r="F2499">
            <v>866.84</v>
          </cell>
        </row>
        <row r="2500">
          <cell r="B2500">
            <v>39494</v>
          </cell>
          <cell r="C2500" t="str">
            <v>KIT PORTA PRONTA DE MADEIRA, FOLHA MEDIA (NBR 15930) DE 600 X 2100 MM, DE 35 MM A 40 MM DE ESPESSURA, NUCLEO SEMI-SOLIDO (SARRAFEADO), ESTRUTURA USINADA PARA FECHADURA, CAPA LISA EM HDF, ACABAMENTO EM PRIMER PARA PINTURA (INCLUI MARCO, ALIZARES E DOBRADICAS)</v>
          </cell>
          <cell r="D2500" t="str">
            <v>UN</v>
          </cell>
          <cell r="E2500" t="str">
            <v>CR</v>
          </cell>
          <cell r="F2500">
            <v>622.46</v>
          </cell>
        </row>
        <row r="2501">
          <cell r="B2501">
            <v>39495</v>
          </cell>
          <cell r="C2501" t="str">
            <v>KIT PORTA PRONTA DE MADEIRA, FOLHA MEDIA (NBR 15930) DE 700 X 2100 MM, DE 35 MM A 40 MM DE ESPESSURA, NUCLEO SEMI-SOLIDO (SARRAFEADO), ESTRUTURA USINADA PARA FECHADURA, CAPA LISA EM HDF, ACABAMENTO EM PRIMER PARA PINTURA (INCLUI MARCO, ALIZARES E DOBRADICAS)</v>
          </cell>
          <cell r="D2501" t="str">
            <v>UN</v>
          </cell>
          <cell r="E2501" t="str">
            <v>CR</v>
          </cell>
          <cell r="F2501">
            <v>701.43</v>
          </cell>
        </row>
        <row r="2502">
          <cell r="B2502">
            <v>39496</v>
          </cell>
          <cell r="C2502" t="str">
            <v>KIT PORTA PRONTA DE MADEIRA, FOLHA MEDIA (NBR 15930) DE 800 X 2100 MM, DE 35 MM A 40 MM DE ESPESSURA, NUCLEO SEMI-SOLIDO (SARRAFEADO), ESTRUTURA USINADA PARA FECHADURA, CAPA LISA EM HDF, ACABAMENTO EM PRIMER PARA PINTURA (INCLUI MARCO, ALIZARES E DOBRADICAS)</v>
          </cell>
          <cell r="D2502" t="str">
            <v>UN</v>
          </cell>
          <cell r="E2502" t="str">
            <v>CR</v>
          </cell>
          <cell r="F2502">
            <v>771.57</v>
          </cell>
        </row>
        <row r="2503">
          <cell r="B2503">
            <v>39492</v>
          </cell>
          <cell r="C2503" t="str">
            <v>KIT PORTA PRONTA DE MADEIRA, FOLHA MEDIA (NBR 15930) DE 800 X 2100 MM, DE 35 MM A 40 MM DE ESPESSURA, NUCLEO SEMI-SOLIDO (SARRAFEADO), ESTRUTURA USINADA PARA FECHADURA, CAPA LISA EM HDF, ACABAMENTO MELAMINICO BRANCO (INCLUI MARCO, ALIZARES E DOBRADICAS)</v>
          </cell>
          <cell r="D2503" t="str">
            <v>UN</v>
          </cell>
          <cell r="E2503" t="str">
            <v>CR</v>
          </cell>
          <cell r="F2503">
            <v>893.27</v>
          </cell>
        </row>
        <row r="2504">
          <cell r="B2504">
            <v>39497</v>
          </cell>
          <cell r="C2504" t="str">
            <v>KIT PORTA PRONTA DE MADEIRA, FOLHA MEDIA (NBR 15930) DE 900 X 2100 MM, DE 35 MM A 40 MM DE ESPESSURA, NUCLEO SEMI-SOLIDO (SARRAFEADO), ESTRUTURA USINADA PARA FECHADURA, CAPA LISA EM HDF, ACABAMENTO EM PRIMER PARA PINTURA (INCLUI MARCO, ALIZARES E DOBRADICAS)</v>
          </cell>
          <cell r="D2504" t="str">
            <v>UN</v>
          </cell>
          <cell r="E2504" t="str">
            <v>CR</v>
          </cell>
          <cell r="F2504">
            <v>806.86</v>
          </cell>
        </row>
        <row r="2505">
          <cell r="B2505">
            <v>39493</v>
          </cell>
          <cell r="C2505" t="str">
            <v>KIT PORTA PRONTA DE MADEIRA, FOLHA MEDIA (NBR 15930) DE 900 X 2100 MM, DE 35 MM A 40 MM DE ESPESSURA, NUCLEO SEMI-SOLIDO (SARRAFEADO), ESTRUTURA USINADA PARA FECHADURA, CAPA LISA EM HDF, ACABAMENTO MELAMINICO BRANCO (INCLUI MARCO, ALIZARES E DOBRADICAS)</v>
          </cell>
          <cell r="D2505" t="str">
            <v>UN</v>
          </cell>
          <cell r="E2505" t="str">
            <v>CR</v>
          </cell>
          <cell r="F2505">
            <v>958.12</v>
          </cell>
        </row>
        <row r="2506">
          <cell r="B2506">
            <v>43628</v>
          </cell>
          <cell r="C2506" t="str">
            <v>KIT PORTA PRONTA DE MADEIRA, FOLHA PESADA (NBR 15930) DE 800 X 2100 MM, DE 40 MM A 45 MM DE ESPESSURA, COM MARCO EM ACO, NUCLEO SOLIDO, CAPA LISA EM HDF, ACABAMENTO MELAMINICO BRANCO (INCLUI MARCO, ALIZARES, DOBRADICAS E FECHADURA)</v>
          </cell>
          <cell r="D2506" t="str">
            <v>UN</v>
          </cell>
          <cell r="E2506" t="str">
            <v>CR</v>
          </cell>
          <cell r="F2506">
            <v>1016.25</v>
          </cell>
        </row>
        <row r="2507">
          <cell r="B2507">
            <v>39500</v>
          </cell>
          <cell r="C2507" t="str">
            <v>KIT PORTA PRONTA DE MADEIRA, FOLHA PESADA (NBR 15930) DE 800 X 2100 MM, DE 40 MM A 45 MM DE ESPESSURA, NUCLEO SOLIDO, CAPA LISA EM HDF, ACABAMENTO MELAMINICO BRANCO (INCLUI MARCO, ALIZARES, DOBRADICAS E FECHADURA EXTERNA)</v>
          </cell>
          <cell r="D2507" t="str">
            <v>UN</v>
          </cell>
          <cell r="E2507" t="str">
            <v>CR</v>
          </cell>
          <cell r="F2507">
            <v>1045.3900000000001</v>
          </cell>
        </row>
        <row r="2508">
          <cell r="B2508">
            <v>39498</v>
          </cell>
          <cell r="C2508" t="str">
            <v>KIT PORTA PRONTA DE MADEIRA, FOLHA PESADA (NBR 15930) DE 800 X 2100 MM, DE 40 MM A 45 MM DE ESPESSURA, NUCLEO SOLIDO, ESTRUTURA USINADA PARA FECHADURA, CAPA LISA EM HDF, ACABAMENTO EM LAMINADO NATURAL COM VERNIZ (INCLUI MARCO, ALIZARES E DOBRADICAS)</v>
          </cell>
          <cell r="D2508" t="str">
            <v>UN</v>
          </cell>
          <cell r="E2508" t="str">
            <v>CR</v>
          </cell>
          <cell r="F2508">
            <v>1289.31</v>
          </cell>
        </row>
        <row r="2509">
          <cell r="B2509">
            <v>43621</v>
          </cell>
          <cell r="C2509" t="str">
            <v>KIT PORTA PRONTA DE MADEIRA, FOLHA PESADA (NBR 15930) DE 900 X 2100 MM, DE 40 MM A 45 MM DE ESPESSURA, COM MARCO EM ACO, NUCLEO SOLIDO, CAPA LISA EM HDF, ACABAMENTO MELAMINICO BRANCO (INCLUI MARCO, ALIZARES, DOBRADICAS E FECHADURA)</v>
          </cell>
          <cell r="D2509" t="str">
            <v>UN</v>
          </cell>
          <cell r="E2509" t="str">
            <v>CR</v>
          </cell>
          <cell r="F2509">
            <v>1079.77</v>
          </cell>
        </row>
        <row r="2510">
          <cell r="B2510">
            <v>39501</v>
          </cell>
          <cell r="C2510" t="str">
            <v>KIT PORTA PRONTA DE MADEIRA, FOLHA PESADA (NBR 15930) DE 900 X 2100 MM, DE 40 MM A 45 MM DE ESPESSURA, NUCLEO SOLIDO, CAPA LISA EM HDF, ACABAMENTO MELAMINICO BRANCO (INCLUI MARCO, ALIZARES, DOBRADICAS E FECHADURA EXTERNA)</v>
          </cell>
          <cell r="D2510" t="str">
            <v>UN</v>
          </cell>
          <cell r="E2510" t="str">
            <v>CR</v>
          </cell>
          <cell r="F2510">
            <v>1073.7</v>
          </cell>
        </row>
        <row r="2511">
          <cell r="B2511">
            <v>39499</v>
          </cell>
          <cell r="C2511" t="str">
            <v>KIT PORTA PRONTA DE MADEIRA, FOLHA PESADA (NBR 15930) DE 900 X 2100 MM, DE 40 MM A 45 MM DE ESPESSURA, NUCLEO SOLIDO, ESTRUTURA USINADA PARA FECHADURA, CAPA LISA EM HDF, ACABAMENTO EM LAMINADO NATURAL COM VERNIZ (INCLUI MARCO, ALIZARES E DOBRADICAS)</v>
          </cell>
          <cell r="D2511" t="str">
            <v>UN</v>
          </cell>
          <cell r="E2511" t="str">
            <v>CR</v>
          </cell>
          <cell r="F2511">
            <v>1307.6199999999999</v>
          </cell>
        </row>
        <row r="2512">
          <cell r="B2512">
            <v>3733</v>
          </cell>
          <cell r="C2512" t="str">
            <v>LADRILHO HIDRAULICO, *20 X 20* CM, E= 2 CM, PADRAO COPACABANA, 2 CORES (PRETO E BRANCO)</v>
          </cell>
          <cell r="D2512" t="str">
            <v>M2</v>
          </cell>
          <cell r="E2512" t="str">
            <v>CR</v>
          </cell>
          <cell r="F2512">
            <v>109.11</v>
          </cell>
        </row>
        <row r="2513">
          <cell r="B2513">
            <v>3731</v>
          </cell>
          <cell r="C2513" t="str">
            <v>LADRILHO HIDRAULICO, *20 X 20* CM, E= 2 CM, PADRAO DADOS, COR NATURAL</v>
          </cell>
          <cell r="D2513" t="str">
            <v>M2</v>
          </cell>
          <cell r="E2513" t="str">
            <v>CR</v>
          </cell>
          <cell r="F2513">
            <v>97.62</v>
          </cell>
        </row>
        <row r="2514">
          <cell r="B2514">
            <v>38137</v>
          </cell>
          <cell r="C2514" t="str">
            <v>LADRILHO HIDRAULICO, *25 X 25* CM, E= 2 CM, PADRAO RAMPA, COR NATURAL</v>
          </cell>
          <cell r="D2514" t="str">
            <v>M2</v>
          </cell>
          <cell r="E2514" t="str">
            <v>CR</v>
          </cell>
          <cell r="F2514">
            <v>116.76</v>
          </cell>
        </row>
        <row r="2515">
          <cell r="B2515">
            <v>38138</v>
          </cell>
          <cell r="C2515" t="str">
            <v>LADRILHO HIDRAULICO, *30 X 30* CM, E= 2 CM, PADRAO MILANO, COR NATURAL</v>
          </cell>
          <cell r="D2515" t="str">
            <v>M2</v>
          </cell>
          <cell r="E2515" t="str">
            <v>CR</v>
          </cell>
          <cell r="F2515">
            <v>121.23</v>
          </cell>
        </row>
        <row r="2516">
          <cell r="B2516">
            <v>45318</v>
          </cell>
          <cell r="C2516" t="str">
            <v>LAJE EM PAINEL TRELICADO L=25, COM ENCHIMENTO EM POLIESTIRENO EXPANDIDO (EPS) H13, PTN-20, TRELICA DE 16 CM, PARA PISO, UNIDIRECIONAL, SOBRECARGA DE 350 KGF/M2, VAO ATE 7,0 M, EXCLUSO CONCRETO (SEM COLOCACAO)</v>
          </cell>
          <cell r="D2516" t="str">
            <v>M2</v>
          </cell>
          <cell r="E2516" t="str">
            <v>CR</v>
          </cell>
          <cell r="F2516">
            <v>135.26</v>
          </cell>
        </row>
        <row r="2517">
          <cell r="B2517">
            <v>45319</v>
          </cell>
          <cell r="C2517" t="str">
            <v>LAJE EM PAINEL TRELICADO L=25, COM ENCHIMENTO EM POLIESTIRENO EXPANDIDO (EPS) H17, PTN-25, TRELICA DE 20 CM, PARA PISO, UNIDIRECIONAL, SOBRECARGA DE 350 KGF/M2, VAO ATE 8,0 M, EXCLUSO CONCRETO (SEM COLOCACAO)</v>
          </cell>
          <cell r="D2517" t="str">
            <v>M2</v>
          </cell>
          <cell r="E2517" t="str">
            <v>CR</v>
          </cell>
          <cell r="F2517">
            <v>152.16999999999999</v>
          </cell>
        </row>
        <row r="2518">
          <cell r="B2518">
            <v>45320</v>
          </cell>
          <cell r="C2518" t="str">
            <v>LAJE EM PAINEL TRELICADO L=25, COM ENCHIMENTO EM POLIESTIRENO EXPANDIDO (EPS) H22, PTN-30, TRELICA DE 25 CM, PARA PISO, UNIDIRECIONAL, SOBRECARGA DE 350 KGF/M2, VAO ATE 9,0 M, EXCLUSO CONCRETO (SEM COLOCACAO)</v>
          </cell>
          <cell r="D2518" t="str">
            <v>M2</v>
          </cell>
          <cell r="E2518" t="str">
            <v>CR</v>
          </cell>
          <cell r="F2518">
            <v>197.15</v>
          </cell>
        </row>
        <row r="2519">
          <cell r="B2519">
            <v>45315</v>
          </cell>
          <cell r="C2519" t="str">
            <v>LAJE EM PAINEL TRELICADO L=25, COM ENCHIMENTO EM POLIESTIRENO EXPANDIDO (EPS) H5, PTN-12, TRELICA DE 8 CM, PARA FORRO, UNIDIRECIONAL, SOBRECARGA DE 100 KGF/M2, VAO ATE 5,0 M, EXCLUSO CONCRETO (SEM COLOCACAO)</v>
          </cell>
          <cell r="D2519" t="str">
            <v>M2</v>
          </cell>
          <cell r="E2519" t="str">
            <v>CR</v>
          </cell>
          <cell r="F2519">
            <v>89.02</v>
          </cell>
        </row>
        <row r="2520">
          <cell r="B2520">
            <v>45316</v>
          </cell>
          <cell r="C2520" t="str">
            <v>LAJE EM PAINEL TRELICADO L=25, COM ENCHIMENTO EM POLIESTIRENO EXPANDIDO (EPS) H5, PTN-12, TRELICA DE 8 CM, PARA PISO, UNIDIRECIONAL, SOBRECARGA DE 350 KGF/M2, VAO ATE 4,5 M, EXCLUSO CONCRETO (SEM COLOCACAO)</v>
          </cell>
          <cell r="D2520" t="str">
            <v>M2</v>
          </cell>
          <cell r="E2520" t="str">
            <v>CR</v>
          </cell>
          <cell r="F2520">
            <v>102.11</v>
          </cell>
        </row>
        <row r="2521">
          <cell r="B2521">
            <v>45317</v>
          </cell>
          <cell r="C2521" t="str">
            <v>LAJE EM PAINEL TRELICADO L=25, COM ENCHIMENTO EM POLIESTIRENO EXPANDIDO (EPS) H9, PTN-*16*, TRELICA DE 12 CM, PARA PISO, UNIDIRECIONAL, SOBRECARGA DE 350 KGF/M2, VAO ATE 6,0 M, EXCLUSO CONCRETO (SEM COLOCACAO)</v>
          </cell>
          <cell r="D2521" t="str">
            <v>M2</v>
          </cell>
          <cell r="E2521" t="str">
            <v>CR</v>
          </cell>
          <cell r="F2521">
            <v>121.17</v>
          </cell>
        </row>
        <row r="2522">
          <cell r="B2522">
            <v>45313</v>
          </cell>
          <cell r="C2522" t="str">
            <v>LAJE EM PAINEL TRELICADO MACICO L=25 CM, PTM-*25*, COM TRELICA DE 20 CM, PARA PISO, UNIDIRECIONAL, SOBRECARGA DE 350 KGF/M2, VAO ATE 9,0 M, EXCLUSO CONCRETO (SEM COLOCACAO)</v>
          </cell>
          <cell r="D2522" t="str">
            <v>M2</v>
          </cell>
          <cell r="E2522" t="str">
            <v>CR</v>
          </cell>
          <cell r="F2522">
            <v>116.77</v>
          </cell>
        </row>
        <row r="2523">
          <cell r="B2523">
            <v>45314</v>
          </cell>
          <cell r="C2523" t="str">
            <v>LAJE EM PAINEL TRELICADO MACICO L=25 CM, PTM-*30*, COM TRELICA DE 25 CM, PARA PISO, UNIDIRECIONAL, SOBRECARGA DE 350 KGF/M2, VAO ATE 10,0 M, EXCLUSO CONCRETO (SEM COLOCACAO)</v>
          </cell>
          <cell r="D2523" t="str">
            <v>M2</v>
          </cell>
          <cell r="E2523" t="str">
            <v>CR</v>
          </cell>
          <cell r="F2523">
            <v>164.11</v>
          </cell>
        </row>
        <row r="2524">
          <cell r="B2524">
            <v>45309</v>
          </cell>
          <cell r="C2524" t="str">
            <v>LAJE EM PAINEL TRELICADO MACICO L=25 CM, PTM-12, COM TRELICA DE 8 CM, PARA FORRO, UNIDIRECIONAL, SOBRECARGA DE 100 KGF/M2, VAO ATE 6,0 M, EXCLUSO CONCRETO (SEM COLOCACAO)</v>
          </cell>
          <cell r="D2524" t="str">
            <v>M2</v>
          </cell>
          <cell r="E2524" t="str">
            <v>CR</v>
          </cell>
          <cell r="F2524">
            <v>82.21</v>
          </cell>
        </row>
        <row r="2525">
          <cell r="B2525">
            <v>45310</v>
          </cell>
          <cell r="C2525" t="str">
            <v>LAJE EM PAINEL TRELICADO MACICO L=25 CM, PTM-12, COM TRELICA DE 8 CM, PARA PISO, UNIDIRECIONAL, SOBRECARGA DE 350 KGF/M2, VAO ATE 5,0 M, EXCLUSO CONCRETO (SEM COLOCACAO)</v>
          </cell>
          <cell r="D2525" t="str">
            <v>M2</v>
          </cell>
          <cell r="E2525" t="str">
            <v>CR</v>
          </cell>
          <cell r="F2525">
            <v>95.69</v>
          </cell>
        </row>
        <row r="2526">
          <cell r="B2526">
            <v>45311</v>
          </cell>
          <cell r="C2526" t="str">
            <v>LAJE EM PAINEL TRELICADO MACICO L=25 CM, PTM-16, COM TRELICA DE 12 CM, PARA PISO, UNIDIRECIONAL, SOBRECARGA DE 350 KGF/M2, VAO ATE 6,0 M, EXCLUSO CONCRETO (SEM COLOCACAO)</v>
          </cell>
          <cell r="D2526" t="str">
            <v>M2</v>
          </cell>
          <cell r="E2526" t="str">
            <v>CR</v>
          </cell>
          <cell r="F2526">
            <v>104.2</v>
          </cell>
        </row>
        <row r="2527">
          <cell r="B2527">
            <v>45312</v>
          </cell>
          <cell r="C2527" t="str">
            <v>LAJE EM PAINEL TRELICADO MACICO L=25 CM, PTM-20, COM TRELICA DE 16 CM, PARA PISO, UNIDIRECIONAL, SOBRECARGA DE 350 KGF/M2, VAO ATE 8,0 M, EXCLUSO CONCRETO (SEM COLOCACAO)</v>
          </cell>
          <cell r="D2527" t="str">
            <v>M2</v>
          </cell>
          <cell r="E2527" t="str">
            <v>CR</v>
          </cell>
          <cell r="F2527">
            <v>126.11</v>
          </cell>
        </row>
        <row r="2528">
          <cell r="B2528">
            <v>43342</v>
          </cell>
          <cell r="C2528" t="str">
            <v>LAJE PRE-MOLDADA COM VIGOTA PROTENDIDA (LAJOTAS + VIGOTAS) COM LAJOTA CERAMICA 30 X 20 X 12 CM (L X C X A) E VIGOTA VPT 10 X 9 CM (L X A), PARA PISO, UNIDIRECIONAL, SOBRECARGA DE 350 KGF/M2, VAO ATE 5,5 M (SEM COLOCACAO)</v>
          </cell>
          <cell r="D2528" t="str">
            <v>M2</v>
          </cell>
          <cell r="E2528" t="str">
            <v>CR</v>
          </cell>
          <cell r="F2528">
            <v>89.02</v>
          </cell>
        </row>
        <row r="2529">
          <cell r="B2529">
            <v>43343</v>
          </cell>
          <cell r="C2529" t="str">
            <v>LAJE PRE-MOLDADA COM VIGOTA PROTENDIDA (LAJOTAS + VIGOTAS) COM LAJOTA CERAMICA 30 X 20 X 16 CM (L X C X A) E VIGOTA VPT 10 X 9 CM (L X A), PARA PISO, UNIDIRECIONAL, SOBRECARGA DE 350 KGF/M2, VAO ATE 6 M (SEM COLOCACAO)</v>
          </cell>
          <cell r="D2529" t="str">
            <v>M2</v>
          </cell>
          <cell r="E2529" t="str">
            <v>CR</v>
          </cell>
          <cell r="F2529">
            <v>93.21</v>
          </cell>
        </row>
        <row r="2530">
          <cell r="B2530">
            <v>43344</v>
          </cell>
          <cell r="C2530" t="str">
            <v>LAJE PRE-MOLDADA COM VIGOTA PROTENDIDA (LAJOTAS + VIGOTAS) COM LAJOTA CERAMICA 30 X 20 X 20 CM (L X C X A) E VIGOTA VPT 10 X 9 CM (L X A), PARA PISO, UNIDIRECIONAL, SOBRECARGA DE 350 KGF/M2, VAO ATE 6,5 M (SEM COLOCACAO)</v>
          </cell>
          <cell r="D2530" t="str">
            <v>M2</v>
          </cell>
          <cell r="E2530" t="str">
            <v>CR</v>
          </cell>
          <cell r="F2530">
            <v>112.32</v>
          </cell>
        </row>
        <row r="2531">
          <cell r="B2531">
            <v>45307</v>
          </cell>
          <cell r="C2531" t="str">
            <v>LAJE PRE-MOLDADA COM VIGOTA PROTENDIDA (LAJOTAS + VIGOTAS) COM LAJOTA CERAMICA 30 X 20 X 24 CM (L X C X A) E VIGOTA VPT 10 X 9 CM (L X A), PARA PISO, UNIDIRECIONAL, SOBRECARGA DE 350 KGF/M2, VAO ATE 7 M (SEM COLOCACAO)</v>
          </cell>
          <cell r="D2531" t="str">
            <v>M2</v>
          </cell>
          <cell r="E2531" t="str">
            <v>CR</v>
          </cell>
          <cell r="F2531">
            <v>120.44</v>
          </cell>
        </row>
        <row r="2532">
          <cell r="B2532">
            <v>43345</v>
          </cell>
          <cell r="C2532" t="str">
            <v>LAJE PRE-MOLDADA COM VIGOTA PROTENDIDA (LAJOTAS + VIGOTAS) COM LAJOTA CERAMICA 30 X 20 X 8 CM (L X C X A) E VIGOTA VPT 10 X 9 CM (L X A), PARA PISO, UNIDIRECIONAL, SOBRECARGA DE 350 KGF/M2, VAO ATE 4,5 M (SEM COLOCACAO)</v>
          </cell>
          <cell r="D2532" t="str">
            <v>M2</v>
          </cell>
          <cell r="E2532" t="str">
            <v>CR</v>
          </cell>
          <cell r="F2532">
            <v>84.7</v>
          </cell>
        </row>
        <row r="2533">
          <cell r="B2533">
            <v>43346</v>
          </cell>
          <cell r="C2533" t="str">
            <v>LAJE PRE-MOLDADA COM VIGOTA PROTENDIDA (LAJOTAS + VIGOTAS) COM LAJOTA EM POLIESTIRENO EXPANDIDO (EPS), H12, *33* X 100 X 12 CM (L X C X A) E VIGOTA VPT 10 X 9 CM (L X A), PARA PISO, UNIDIRECIONAL, SOBRECARGA DE 350 KGF/M2, VAO ATE 5,5 M (SEM COLOCACAO)</v>
          </cell>
          <cell r="D2533" t="str">
            <v>M2</v>
          </cell>
          <cell r="E2533" t="str">
            <v>CR</v>
          </cell>
          <cell r="F2533">
            <v>86.4</v>
          </cell>
        </row>
        <row r="2534">
          <cell r="B2534">
            <v>43347</v>
          </cell>
          <cell r="C2534" t="str">
            <v>LAJE PRE-MOLDADA COM VIGOTA PROTENDIDA (LAJOTAS + VIGOTAS) COM LAJOTA EM POLIESTIRENO EXPANDIDO (EPS), H16, *33* X 100 X 16 CM (L X C X A) E VIGOTA VPT 10 X 9 CM (L X A), PARA PISO, UNIDIRECIONAL, SOBRECARGA DE 350 KGF/M2, VAO ATE 6,5 M (SEM COLOCACAO)</v>
          </cell>
          <cell r="D2534" t="str">
            <v>M2</v>
          </cell>
          <cell r="E2534" t="str">
            <v>CR</v>
          </cell>
          <cell r="F2534">
            <v>97.4</v>
          </cell>
        </row>
        <row r="2535">
          <cell r="B2535">
            <v>43348</v>
          </cell>
          <cell r="C2535" t="str">
            <v>LAJE PRE-MOLDADA COM VIGOTA PROTENDIDA (LAJOTAS + VIGOTAS) COM LAJOTA EM POLIESTIRENO EXPANDIDO (EPS), H20, *33* X 100 X 20 CM (L X C X A) E VIGOTA VPT 10 X 9 CM (L X A), PARA PISO, UNIDIRECIONAL, SOBRECARGA DE 350 KGF/M2, VAO ATE 7 M (SEM COLOCACAO)</v>
          </cell>
          <cell r="D2535" t="str">
            <v>M2</v>
          </cell>
          <cell r="E2535" t="str">
            <v>CR</v>
          </cell>
          <cell r="F2535">
            <v>108.17</v>
          </cell>
        </row>
        <row r="2536">
          <cell r="B2536">
            <v>45308</v>
          </cell>
          <cell r="C2536" t="str">
            <v>LAJE PRE-MOLDADA COM VIGOTA PROTENDIDA (LAJOTAS + VIGOTAS) COM LAJOTA EM POLIESTIRENO EXPANDIDO (EPS), H25, *33* X 100 X 25 CM (L X C X A) E VIGOTA VPT 10 X 9 CM (L X A), PARA PISO, UNIDIRECIONAL, SOBRECARGA DE 350 KGF/M2, VAO ATE 8 M (SEM COLOCACAO)</v>
          </cell>
          <cell r="D2536" t="str">
            <v>M2</v>
          </cell>
          <cell r="E2536" t="str">
            <v>CR</v>
          </cell>
          <cell r="F2536">
            <v>120.44</v>
          </cell>
        </row>
        <row r="2537">
          <cell r="B2537">
            <v>43349</v>
          </cell>
          <cell r="C2537" t="str">
            <v>LAJE PRE-MOLDADA COM VIGOTA PROTENDIDA (LAJOTAS + VIGOTAS) COM LAJOTA EM POLIESTIRENO EXPANDIDO (EPS), H8, *33* X 100 X 8 CM (L X C X A) E VIGOTA VPT 10 X 9 CM (L X A), PARA PISO, UNIDIRECIONAL, SOBRECARGA DE 350 KGF/M2, VAO ATE 4,5 M (SEM COLOCACAO)</v>
          </cell>
          <cell r="D2537" t="str">
            <v>M2</v>
          </cell>
          <cell r="E2537" t="str">
            <v>CR</v>
          </cell>
          <cell r="F2537">
            <v>74.39</v>
          </cell>
        </row>
        <row r="2538">
          <cell r="B2538">
            <v>3736</v>
          </cell>
          <cell r="C2538" t="str">
            <v>LAJE PRE-MOLDADA CONVENCIONAL (LAJOTAS + VIGOTAS) PARA FORRO, UNIDIRECIONAL, SOBRECARGA DE 100 KG/M2, VAO ATE 4 M (SEM COLOCACAO)</v>
          </cell>
          <cell r="D2538" t="str">
            <v>M2</v>
          </cell>
          <cell r="E2538" t="str">
            <v>CR</v>
          </cell>
          <cell r="F2538">
            <v>38.75</v>
          </cell>
        </row>
        <row r="2539">
          <cell r="B2539">
            <v>3741</v>
          </cell>
          <cell r="C2539" t="str">
            <v>LAJE PRE-MOLDADA CONVENCIONAL (LAJOTAS + VIGOTAS) PARA FORRO, UNIDIRECIONAL, SOBRECARGA DE 100 KG/M2, VAO ATE 4,5 M (SEM COLOCACAO)</v>
          </cell>
          <cell r="D2539" t="str">
            <v>M2</v>
          </cell>
          <cell r="E2539" t="str">
            <v>CR</v>
          </cell>
          <cell r="F2539">
            <v>41.89</v>
          </cell>
        </row>
        <row r="2540">
          <cell r="B2540">
            <v>3737</v>
          </cell>
          <cell r="C2540" t="str">
            <v>LAJE PRE-MOLDADA CONVENCIONAL (LAJOTAS + VIGOTAS) PARA PISO, UNIDIRECIONAL, SOBRECARGA DE 350 KG/M2, VAO ATE 4,5 M (SEM COLOCACAO)</v>
          </cell>
          <cell r="D2540" t="str">
            <v>M2</v>
          </cell>
          <cell r="E2540" t="str">
            <v>CR</v>
          </cell>
          <cell r="F2540">
            <v>57.07</v>
          </cell>
        </row>
        <row r="2541">
          <cell r="B2541">
            <v>43353</v>
          </cell>
          <cell r="C2541" t="str">
            <v>LAJE PRE-MOLDADA TRELICADA (LAJOTAS + VIGOTAS) COM LAJOTA CERAMICA *30* X 20 X *8* CM (L X C X A) E VIGOTA VTR *12* X 8 CM (L X A), PARA PISO, UNIDIRECIONAL, SOBRECARGA DE 350 KGF/M2, VAO ATE 4 M (SEM COLOCACAO)</v>
          </cell>
          <cell r="D2541" t="str">
            <v>M2</v>
          </cell>
          <cell r="E2541" t="str">
            <v>CR</v>
          </cell>
          <cell r="F2541">
            <v>62.83</v>
          </cell>
        </row>
        <row r="2542">
          <cell r="B2542">
            <v>43350</v>
          </cell>
          <cell r="C2542" t="str">
            <v>LAJE PRE-MOLDADA TRELICADA (LAJOTAS + VIGOTAS) COM LAJOTA CERAMICA *30* X 20 X 12 CM (L X C X A) E VIGOTA VTR *12* X 12 CM (L X A), PARA PISO, UNIDIRECIONAL, SOBRECARGA DE 350 KGF/M2, VAO ATE 5 M (SEM COLOCACAO)</v>
          </cell>
          <cell r="D2542" t="str">
            <v>M2</v>
          </cell>
          <cell r="E2542" t="str">
            <v>CR</v>
          </cell>
          <cell r="F2542">
            <v>78.540000000000006</v>
          </cell>
        </row>
        <row r="2543">
          <cell r="B2543">
            <v>43351</v>
          </cell>
          <cell r="C2543" t="str">
            <v>LAJE PRE-MOLDADA TRELICADA (LAJOTAS + VIGOTAS) COM LAJOTA CERAMICA *30* X 20 X 16 CM (L X C X A) E VIGOTA VTR *12* X 16 CM (L X A), PARA PISO, UNIDIRECIONAL, SOBRECARGA DE 350 KGF/M2, VAO ATE 6 M (SEM COLOCACAO)</v>
          </cell>
          <cell r="D2543" t="str">
            <v>M2</v>
          </cell>
          <cell r="E2543" t="str">
            <v>CR</v>
          </cell>
          <cell r="F2543">
            <v>86.71</v>
          </cell>
        </row>
        <row r="2544">
          <cell r="B2544">
            <v>43352</v>
          </cell>
          <cell r="C2544" t="str">
            <v>LAJE PRE-MOLDADA TRELICADA (LAJOTAS + VIGOTAS) COM LAJOTA CERAMICA *30* X 20 X 20 CM (L X C X A) E VIGOTA VTR *12* X 20 CM (L X A), PARA PISO, UNIDIRECIONAL, SOBRECARGA DE 350 KGF/M2, VAO ATE 7 M (SEM COLOCACAO)</v>
          </cell>
          <cell r="D2544" t="str">
            <v>M2</v>
          </cell>
          <cell r="E2544" t="str">
            <v>CR</v>
          </cell>
          <cell r="F2544">
            <v>105.78</v>
          </cell>
        </row>
        <row r="2545">
          <cell r="B2545">
            <v>45306</v>
          </cell>
          <cell r="C2545" t="str">
            <v>LAJE PRE-MOLDADA TRELICADA (LAJOTAS + VIGOTAS) COM LAJOTA CERAMICA *30* X 20 X 24 CM (L X C X A) E VIGOTA VTR *12* X 25 CM (L X A), PARA PISO, UNIDIRECIONAL, SOBRECARGA DE 350 KGF/M2, VAO ATE 8 M (SEM COLOCACAO)</v>
          </cell>
          <cell r="D2545" t="str">
            <v>M2</v>
          </cell>
          <cell r="E2545" t="str">
            <v>CR</v>
          </cell>
          <cell r="F2545">
            <v>137.19999999999999</v>
          </cell>
        </row>
        <row r="2546">
          <cell r="B2546">
            <v>44379</v>
          </cell>
          <cell r="C2546" t="str">
            <v>LAJE PRE-MOLDADA TRELICADA (LAJOTAS + VIGOTAS) COM LAJOTA EM POLIESTIRENO EXPANDIDO (EPS), H12, *33* X 100 X 12 CM (L X C X A) E VIGOTA VTR *12* X 12 CM (L X A), PARA PISO, UNIDIRECIONAL, SOBRECARGA DE 350 KGF/M2, VAO ATE 5,5 M (SEM COLOCACAO)</v>
          </cell>
          <cell r="D2546" t="str">
            <v>M2</v>
          </cell>
          <cell r="E2546" t="str">
            <v>CR</v>
          </cell>
          <cell r="F2546">
            <v>89.02</v>
          </cell>
        </row>
        <row r="2547">
          <cell r="B2547">
            <v>43355</v>
          </cell>
          <cell r="C2547" t="str">
            <v>LAJE PRE-MOLDADA TRELICADA (LAJOTAS + VIGOTAS) COM LAJOTA EM POLIESTIRENO EXPANDIDO (EPS), H16, *33* X 100 X 16 CM (L X C X A) E VIGOTA VTR *12* X 16 CM (L X A), PARA PISO, UNIDIRECIONAL, SOBRECARGA DE 350 KGF/M2, VAO ATE 6,5 M (SEM COLOCACAO)</v>
          </cell>
          <cell r="D2547" t="str">
            <v>M2</v>
          </cell>
          <cell r="E2547" t="str">
            <v>CR</v>
          </cell>
          <cell r="F2547">
            <v>103.39</v>
          </cell>
        </row>
        <row r="2548">
          <cell r="B2548">
            <v>43356</v>
          </cell>
          <cell r="C2548" t="str">
            <v>LAJE PRE-MOLDADA TRELICADA (LAJOTAS + VIGOTAS) COM LAJOTA EM POLIESTIRENO EXPANDIDO (EPS), H20, *33* X 100 X 20 CM (L X C X A) E VIGOTA VTR *12* X 20 CM (L X A), PARA PISO, UNIDIRECIONAL, SOBRECARGA DE 350 KGF/M2, VAO ATE 8 M (SEM COLOCACAO)</v>
          </cell>
          <cell r="D2548" t="str">
            <v>M2</v>
          </cell>
          <cell r="E2548" t="str">
            <v>CR</v>
          </cell>
          <cell r="F2548">
            <v>121.64</v>
          </cell>
        </row>
        <row r="2549">
          <cell r="B2549">
            <v>45305</v>
          </cell>
          <cell r="C2549" t="str">
            <v>LAJE PRE-MOLDADA TRELICADA (LAJOTAS + VIGOTAS) COM LAJOTA EM POLIESTIRENO EXPANDIDO (EPS), H25,*33* X 100 X 25 CM (L X C X A) E VIGOTA VTR *12* X 25 CM (L X A), PARA PISO, UNIDIRECIONAL, SOBRECARGA DE 350 KGF/M2, VAO ATE 9 M (SEM COLOCACAO)</v>
          </cell>
          <cell r="D2549" t="str">
            <v>M2</v>
          </cell>
          <cell r="E2549" t="str">
            <v>CR</v>
          </cell>
          <cell r="F2549">
            <v>148.35</v>
          </cell>
        </row>
        <row r="2550">
          <cell r="B2550">
            <v>3742</v>
          </cell>
          <cell r="C2550" t="str">
            <v>LAJE PRE-MOLDADA TRELICADA (LAJOTAS + VIGOTAS) PARA FORRO, UNIDIRECIONAL, SOBRECARGA DE 100 KG/M2, VAO ATE 6,00 M (SEM COLOCACAO)</v>
          </cell>
          <cell r="D2550" t="str">
            <v>M2</v>
          </cell>
          <cell r="E2550" t="str">
            <v>CR</v>
          </cell>
          <cell r="F2550">
            <v>55.8</v>
          </cell>
        </row>
        <row r="2551">
          <cell r="B2551">
            <v>43357</v>
          </cell>
          <cell r="C2551" t="str">
            <v>LAJE PRE-MOLDADA TRELICADA (LAJOTAS + VIGOTAS) COM LAJOTA EM POLIESTIRENO EXPANDIDO (EPS), *H8*, *33* X 100 X 8 CM (L X C X A) E VIGOTA VTR *12* X 8 CM (L X A), PARA PISO, UNIDIRECIONAL, SOBRECARGA DE 250 KGF/M2, VAO ATE 4 M (SEM COLOCACAO)</v>
          </cell>
          <cell r="D2551" t="str">
            <v>M2</v>
          </cell>
          <cell r="E2551" t="str">
            <v>C</v>
          </cell>
          <cell r="F2551">
            <v>68.599999999999994</v>
          </cell>
        </row>
        <row r="2552">
          <cell r="B2552">
            <v>38194</v>
          </cell>
          <cell r="C2552" t="str">
            <v>LAMPADA LED 10 W BIVOLT BRANCA, FORMATO TRADICIONAL (BASE E27)</v>
          </cell>
          <cell r="D2552" t="str">
            <v>UN</v>
          </cell>
          <cell r="E2552" t="str">
            <v>C</v>
          </cell>
          <cell r="F2552">
            <v>4.1100000000000003</v>
          </cell>
        </row>
        <row r="2553">
          <cell r="B2553">
            <v>38193</v>
          </cell>
          <cell r="C2553" t="str">
            <v>LAMPADA LED 6 W BIVOLT BRANCA, FORMATO TRADICIONAL (BASE E27)</v>
          </cell>
          <cell r="D2553" t="str">
            <v>UN</v>
          </cell>
          <cell r="E2553" t="str">
            <v>CR</v>
          </cell>
          <cell r="F2553">
            <v>3.57</v>
          </cell>
        </row>
        <row r="2554">
          <cell r="B2554">
            <v>39388</v>
          </cell>
          <cell r="C2554" t="str">
            <v>LAMPADA LED TIPO DICROICA BIVOLT, LUZ BRANCA, 5 W (BASE GU10)</v>
          </cell>
          <cell r="D2554" t="str">
            <v>UN</v>
          </cell>
          <cell r="E2554" t="str">
            <v>CR</v>
          </cell>
          <cell r="F2554">
            <v>5.05</v>
          </cell>
        </row>
        <row r="2555">
          <cell r="B2555">
            <v>39387</v>
          </cell>
          <cell r="C2555" t="str">
            <v>LAMPADA LED TUBULAR BIVOLT 18/20 W, BASE G13</v>
          </cell>
          <cell r="D2555" t="str">
            <v>UN</v>
          </cell>
          <cell r="E2555" t="str">
            <v>CR</v>
          </cell>
          <cell r="F2555">
            <v>7.88</v>
          </cell>
        </row>
        <row r="2556">
          <cell r="B2556">
            <v>39386</v>
          </cell>
          <cell r="C2556" t="str">
            <v>LAMPADA LED TUBULAR BIVOLT 9/10 W, BASE G13</v>
          </cell>
          <cell r="D2556" t="str">
            <v>UN</v>
          </cell>
          <cell r="E2556" t="str">
            <v>CR</v>
          </cell>
          <cell r="F2556">
            <v>5.49</v>
          </cell>
        </row>
        <row r="2557">
          <cell r="B2557">
            <v>45229</v>
          </cell>
          <cell r="C2557" t="str">
            <v>LAPIS PARA CARPINTEIRO</v>
          </cell>
          <cell r="D2557" t="str">
            <v>UN</v>
          </cell>
          <cell r="E2557" t="str">
            <v>CR</v>
          </cell>
          <cell r="F2557">
            <v>2.6</v>
          </cell>
        </row>
        <row r="2558">
          <cell r="B2558">
            <v>746</v>
          </cell>
          <cell r="C2558" t="str">
            <v>LAVADORA DE ALTA PRESSAO (LAVA - JATO) PARA AGUA FRIA, PRESSAO DE OPERACAO ENTRE 1400 E 1900 LIB/POL2, VAZAO MAXIMA ENTRE 400 E 700 L/H, POTENCIA DE OPERACAO ENTRE 2,50 E 3,00 CV</v>
          </cell>
          <cell r="D2558" t="str">
            <v>UN</v>
          </cell>
          <cell r="E2558" t="str">
            <v>C</v>
          </cell>
          <cell r="F2558">
            <v>2287</v>
          </cell>
        </row>
        <row r="2559">
          <cell r="B2559">
            <v>20269</v>
          </cell>
          <cell r="C2559" t="str">
            <v>LAVATORIO / CUBA DE EMBUTIR, OVAL, DE LOUCA BRANCA, SEM LADRAO, DIMENSOES *50 X 35* CM (L X C)</v>
          </cell>
          <cell r="D2559" t="str">
            <v>UN</v>
          </cell>
          <cell r="E2559" t="str">
            <v>CR</v>
          </cell>
          <cell r="F2559">
            <v>101.34</v>
          </cell>
        </row>
        <row r="2560">
          <cell r="B2560">
            <v>20270</v>
          </cell>
          <cell r="C2560" t="str">
            <v>LAVATORIO / CUBA DE EMBUTIR, OVAL, DE LOUCA COLORIDA, SEM LADRAO, DIMENSOES *50 X 35* CM (L X C)</v>
          </cell>
          <cell r="D2560" t="str">
            <v>UN</v>
          </cell>
          <cell r="E2560" t="str">
            <v>CR</v>
          </cell>
          <cell r="F2560">
            <v>111.97</v>
          </cell>
        </row>
        <row r="2561">
          <cell r="B2561">
            <v>11696</v>
          </cell>
          <cell r="C2561" t="str">
            <v>LAVATORIO / CUBA DE SOBREPOR, OVAL PEQUENA, DE LOUCA BRANCA, SEM LADRAO, DIMENSOES *44 X 31* CM (L X C)</v>
          </cell>
          <cell r="D2561" t="str">
            <v>UN</v>
          </cell>
          <cell r="E2561" t="str">
            <v>CR</v>
          </cell>
          <cell r="F2561">
            <v>179.24</v>
          </cell>
        </row>
        <row r="2562">
          <cell r="B2562">
            <v>10427</v>
          </cell>
          <cell r="C2562" t="str">
            <v>LAVATORIO / CUBA DE SOBREPOR, RETANGULAR, DE LOUCA BRANCA, COM LADRAO, DIMENSOES *52 X 45* CM (L X C)</v>
          </cell>
          <cell r="D2562" t="str">
            <v>UN</v>
          </cell>
          <cell r="E2562" t="str">
            <v>CR</v>
          </cell>
          <cell r="F2562">
            <v>501.6</v>
          </cell>
        </row>
        <row r="2563">
          <cell r="B2563">
            <v>10428</v>
          </cell>
          <cell r="C2563" t="str">
            <v>LAVATORIO / CUBA DE SOBREPOR, RETANGULAR, DE LOUCA COLORIDA, COM LADRAO, DIMENSOES *52 X 45* CM (L X C)</v>
          </cell>
          <cell r="D2563" t="str">
            <v>UN</v>
          </cell>
          <cell r="E2563" t="str">
            <v>CR</v>
          </cell>
          <cell r="F2563">
            <v>516.79999999999995</v>
          </cell>
        </row>
        <row r="2564">
          <cell r="B2564">
            <v>36521</v>
          </cell>
          <cell r="C2564" t="str">
            <v>LAVATORIO DE CANTO DE LOUCA BRANCA, SUSPENSO (SEM COLUNA), DIMENSOES *40 X 30* CM (L X C)</v>
          </cell>
          <cell r="D2564" t="str">
            <v>UN</v>
          </cell>
          <cell r="E2564" t="str">
            <v>CR</v>
          </cell>
          <cell r="F2564">
            <v>161.25</v>
          </cell>
        </row>
        <row r="2565">
          <cell r="B2565">
            <v>36794</v>
          </cell>
          <cell r="C2565" t="str">
            <v>LAVATORIO DE LOUCA BRANCA, COM COLUNA, DIMENSOES *44 X 35* CM (L X C)</v>
          </cell>
          <cell r="D2565" t="str">
            <v>UN</v>
          </cell>
          <cell r="E2565" t="str">
            <v>CR</v>
          </cell>
          <cell r="F2565">
            <v>171.66</v>
          </cell>
        </row>
        <row r="2566">
          <cell r="B2566">
            <v>10426</v>
          </cell>
          <cell r="C2566" t="str">
            <v>LAVATORIO DE LOUCA BRANCA, COM COLUNA, DIMENSOES *54 X 44* CM (L X C)</v>
          </cell>
          <cell r="D2566" t="str">
            <v>UN</v>
          </cell>
          <cell r="E2566" t="str">
            <v>CR</v>
          </cell>
          <cell r="F2566">
            <v>192.23</v>
          </cell>
        </row>
        <row r="2567">
          <cell r="B2567">
            <v>10425</v>
          </cell>
          <cell r="C2567" t="str">
            <v>LAVATORIO DE LOUCA BRANCA, SUSPENSO (SEM COLUNA), DIMENSOES *40 X 30* CM</v>
          </cell>
          <cell r="D2567" t="str">
            <v>UN</v>
          </cell>
          <cell r="E2567" t="str">
            <v>CR</v>
          </cell>
          <cell r="F2567">
            <v>97.52</v>
          </cell>
        </row>
        <row r="2568">
          <cell r="B2568">
            <v>10431</v>
          </cell>
          <cell r="C2568" t="str">
            <v>LAVATORIO DE LOUCA COLORIDA, COM COLUNA, DIMENSOES *54 X 44* CM (L X C)</v>
          </cell>
          <cell r="D2568" t="str">
            <v>UN</v>
          </cell>
          <cell r="E2568" t="str">
            <v>CR</v>
          </cell>
          <cell r="F2568">
            <v>333.87</v>
          </cell>
        </row>
        <row r="2569">
          <cell r="B2569">
            <v>10429</v>
          </cell>
          <cell r="C2569" t="str">
            <v>LAVATORIO DE LOUCA COLORIDA, SUSPENSO (SEM COLUNA), DIMENSOES *40 X 30* CM (L X C)</v>
          </cell>
          <cell r="D2569" t="str">
            <v>UN</v>
          </cell>
          <cell r="E2569" t="str">
            <v>CR</v>
          </cell>
          <cell r="F2569">
            <v>164.7</v>
          </cell>
        </row>
        <row r="2570">
          <cell r="B2570">
            <v>10853</v>
          </cell>
          <cell r="C2570" t="str">
            <v>LETRA ACO INOX (AISI 304), CHAPA NUM. 22, RECORTADO, H= 20 CM (SEM RELEVO)</v>
          </cell>
          <cell r="D2570" t="str">
            <v>UN</v>
          </cell>
          <cell r="E2570" t="str">
            <v>CR</v>
          </cell>
          <cell r="F2570">
            <v>101.79</v>
          </cell>
        </row>
        <row r="2571">
          <cell r="B2571">
            <v>5093</v>
          </cell>
          <cell r="C2571" t="str">
            <v>LEVANTADOR DE JANELA GUILHOTINA, EM LATAO CROMADO</v>
          </cell>
          <cell r="D2571" t="str">
            <v>PAR</v>
          </cell>
          <cell r="E2571" t="str">
            <v>CR</v>
          </cell>
          <cell r="F2571">
            <v>17.36</v>
          </cell>
        </row>
        <row r="2572">
          <cell r="B2572">
            <v>45254</v>
          </cell>
          <cell r="C2572" t="str">
            <v>LIMA QUADRADA BASTARDA 8", COM CABO</v>
          </cell>
          <cell r="D2572" t="str">
            <v>UN</v>
          </cell>
          <cell r="E2572" t="str">
            <v>CR</v>
          </cell>
          <cell r="F2572">
            <v>34.15</v>
          </cell>
        </row>
        <row r="2573">
          <cell r="B2573">
            <v>45253</v>
          </cell>
          <cell r="C2573" t="str">
            <v>LIMA REDONDA BASTARDA 8", COM CABO</v>
          </cell>
          <cell r="D2573" t="str">
            <v>UN</v>
          </cell>
          <cell r="E2573" t="str">
            <v>CR</v>
          </cell>
          <cell r="F2573">
            <v>44.27</v>
          </cell>
        </row>
        <row r="2574">
          <cell r="B2574">
            <v>44331</v>
          </cell>
          <cell r="C2574" t="str">
            <v>LIMPA VIDROS COM PULVERIZADOR</v>
          </cell>
          <cell r="D2574" t="str">
            <v>L</v>
          </cell>
          <cell r="E2574" t="str">
            <v>CR</v>
          </cell>
          <cell r="F2574">
            <v>62.03</v>
          </cell>
        </row>
        <row r="2575">
          <cell r="B2575">
            <v>37768</v>
          </cell>
          <cell r="C2575" t="str">
            <v>LIMPADORA A SUCCAO, TANQUE 12000 L, BASCULAMENTO HIDRAULICO, BOMBA 12 M3/MIN 95% VACUO (INCLUI MONTAGEM, NAO INCLUI CAMINHAO)</v>
          </cell>
          <cell r="D2575" t="str">
            <v>UN</v>
          </cell>
          <cell r="E2575" t="str">
            <v>C</v>
          </cell>
          <cell r="F2575">
            <v>315650</v>
          </cell>
        </row>
        <row r="2576">
          <cell r="B2576">
            <v>38382</v>
          </cell>
          <cell r="C2576" t="str">
            <v>LINHA PARA PEDREIRO LISA, 0,8 MM X 100 M</v>
          </cell>
          <cell r="D2576" t="str">
            <v>UN</v>
          </cell>
          <cell r="E2576" t="str">
            <v>CR</v>
          </cell>
          <cell r="F2576">
            <v>14.97</v>
          </cell>
        </row>
        <row r="2577">
          <cell r="B2577">
            <v>38383</v>
          </cell>
          <cell r="C2577" t="str">
            <v>LIXA D'AGUA EM FOLHA, COR PRETA, GRAO 100</v>
          </cell>
          <cell r="D2577" t="str">
            <v>UN</v>
          </cell>
          <cell r="E2577" t="str">
            <v>CR</v>
          </cell>
          <cell r="F2577">
            <v>2.38</v>
          </cell>
        </row>
        <row r="2578">
          <cell r="B2578">
            <v>3768</v>
          </cell>
          <cell r="C2578" t="str">
            <v>LIXA EM FOLHA PARA FERRO, NUMERO 150</v>
          </cell>
          <cell r="D2578" t="str">
            <v>UN</v>
          </cell>
          <cell r="E2578" t="str">
            <v>CR</v>
          </cell>
          <cell r="F2578">
            <v>4.04</v>
          </cell>
        </row>
        <row r="2579">
          <cell r="B2579">
            <v>3767</v>
          </cell>
          <cell r="C2579" t="str">
            <v>LIXA EM FOLHA PARA PAREDE OU MADEIRA, NUMERO 120, COR VERMELHA</v>
          </cell>
          <cell r="D2579" t="str">
            <v>UN</v>
          </cell>
          <cell r="E2579" t="str">
            <v>CR</v>
          </cell>
          <cell r="F2579">
            <v>1.35</v>
          </cell>
        </row>
        <row r="2580">
          <cell r="B2580">
            <v>42440</v>
          </cell>
          <cell r="C2580" t="str">
            <v>LIXEIRA DUPLA, COM CAPACIDADE VOLUMETRICA DE 60L*, FABRICADA EM TUBO DE ACO CARBONO, CESTOS EM CHAPA DE ACO E PINTURA NO PROCESSO ELETROSTATICO - PARA ACADEMIA AO AR LIVRE / ACADEMIA DA TERCEIRA IDADE - ATI</v>
          </cell>
          <cell r="D2580" t="str">
            <v>UN</v>
          </cell>
          <cell r="E2580" t="str">
            <v>CR</v>
          </cell>
          <cell r="F2580">
            <v>1235.9100000000001</v>
          </cell>
        </row>
        <row r="2581">
          <cell r="B2581">
            <v>20193</v>
          </cell>
          <cell r="C2581" t="str">
            <v>LOCACAO DE ANDAIME METALICO TIPO FACHADEIRO, PECAS COM APROXIMADAMENTE 1,20 M DE LARGURA E 2,0 M DE ALTURA, INCLUINDO DIAGONAIS EM X, BARRAS DE LIGACAO, SAPATAS E DEMAIS ITENS NECESSARIOS A MONTAGEM (NAO INCLUI INSTALACAO)</v>
          </cell>
          <cell r="D2581" t="str">
            <v>M2XMES</v>
          </cell>
          <cell r="E2581" t="str">
            <v>CR</v>
          </cell>
          <cell r="F2581">
            <v>22.5</v>
          </cell>
        </row>
        <row r="2582">
          <cell r="B2582">
            <v>10527</v>
          </cell>
          <cell r="C2582" t="str">
            <v>LOCACAO DE ANDAIME METALICO TUBULAR DE ENCAIXE, TIPO DE TORRE, CADA PAINEL COM LARGURA DE 1 ATE 1,5 M E ALTURA DE *1,00* M, INCLUINDO DIAGONAL, BARRAS DE LIGACAO, SAPATAS OU RODIZIOS E DEMAIS ITENS NECESSARIOS A MONTAGEM (NAO INCLUI INSTALACAO)</v>
          </cell>
          <cell r="D2582" t="str">
            <v>MXMES</v>
          </cell>
          <cell r="E2582" t="str">
            <v>C</v>
          </cell>
          <cell r="F2582">
            <v>30</v>
          </cell>
        </row>
        <row r="2583">
          <cell r="B2583">
            <v>41805</v>
          </cell>
          <cell r="C2583" t="str">
            <v>LOCACAO DE ANDAIME SUSPENSO OU BALANCIM MANUAL, CAPACIDADE DE CARGA TOTAL DE APROXIMADAMENTE 250 KG/M2, PLATAFORMA DE 1,50 M X 0,80 M (C X L), CABO DE 45 M</v>
          </cell>
          <cell r="D2583" t="str">
            <v>MES</v>
          </cell>
          <cell r="E2583" t="str">
            <v>CR</v>
          </cell>
          <cell r="F2583">
            <v>862.5</v>
          </cell>
        </row>
        <row r="2584">
          <cell r="B2584">
            <v>40271</v>
          </cell>
          <cell r="C2584" t="str">
            <v>LOCACAO DE APRUMADOR METALICO DE PILAR, COM ALTURA E ANGULO REGULAVEIS, EXTENSAO DE *1,50* A *2,80* M</v>
          </cell>
          <cell r="D2584" t="str">
            <v>UNXMES</v>
          </cell>
          <cell r="E2584" t="str">
            <v>CR</v>
          </cell>
          <cell r="F2584">
            <v>22.96</v>
          </cell>
        </row>
        <row r="2585">
          <cell r="B2585">
            <v>40287</v>
          </cell>
          <cell r="C2585" t="str">
            <v>LOCACAO DE BARRA DE ANCORAGEM DE 0,80 A 1,20 M DE EXTENSAO, COM ROSCA DE 5/8", INCLUINDO PORCA E FLANGE</v>
          </cell>
          <cell r="D2585" t="str">
            <v>MES</v>
          </cell>
          <cell r="E2585" t="str">
            <v>CR</v>
          </cell>
          <cell r="F2585">
            <v>8.84</v>
          </cell>
        </row>
        <row r="2586">
          <cell r="B2586">
            <v>10779</v>
          </cell>
          <cell r="C2586" t="str">
            <v>LOCACAO DE CONTAINER 2,30 X 4,30 M, ALT. 2,50 M, P/ SANITARIO, C/ 5 BACIAS, 1 LAVATORIO E 4 MICTORIOS (NAO INCLUI MOBILIZACAO/DESMOBILIZACAO)</v>
          </cell>
          <cell r="D2586" t="str">
            <v>MES</v>
          </cell>
          <cell r="E2586" t="str">
            <v>CR</v>
          </cell>
          <cell r="F2586">
            <v>1160.93</v>
          </cell>
        </row>
        <row r="2587">
          <cell r="B2587">
            <v>10777</v>
          </cell>
          <cell r="C2587" t="str">
            <v>LOCACAO DE CONTAINER 2,30 X 4,30 M, ALT. 2,50 M, PARA SANITARIO, COM 3 BACIAS, 4 CHUVEIROS, 1 LAVATORIO E 1 MICTORIO (NAO INCLUI MOBILIZACAO/DESMOBILIZACAO)</v>
          </cell>
          <cell r="D2587" t="str">
            <v>MES</v>
          </cell>
          <cell r="E2587" t="str">
            <v>CR</v>
          </cell>
          <cell r="F2587">
            <v>1054.51</v>
          </cell>
        </row>
        <row r="2588">
          <cell r="B2588">
            <v>10775</v>
          </cell>
          <cell r="C2588" t="str">
            <v>LOCACAO DE CONTAINER 2,30 X 6,00 M, ALT. 2,50 M, COM 1 SANITARIO, PARA ESCRITORIO, COMPLETO, SEM DIVISORIAS INTERNAS (NAO INCLUI MOBILIZACAO/DESMOBILIZACAO)</v>
          </cell>
          <cell r="D2588" t="str">
            <v>MES</v>
          </cell>
          <cell r="E2588" t="str">
            <v>C</v>
          </cell>
          <cell r="F2588">
            <v>928.75</v>
          </cell>
        </row>
        <row r="2589">
          <cell r="B2589">
            <v>10776</v>
          </cell>
          <cell r="C2589" t="str">
            <v>LOCACAO DE CONTAINER 2,30 X 6,00 M, ALT. 2,50 M, PARA ESCRITORIO, SEM DIVISORIAS INTERNAS E SEM SANITARIO (NAO INCLUI MOBILIZACAO/DESMOBILIZACAO)</v>
          </cell>
          <cell r="D2589" t="str">
            <v>MES</v>
          </cell>
          <cell r="E2589" t="str">
            <v>CR</v>
          </cell>
          <cell r="F2589">
            <v>725.58</v>
          </cell>
        </row>
        <row r="2590">
          <cell r="B2590">
            <v>10778</v>
          </cell>
          <cell r="C2590" t="str">
            <v>LOCACAO DE CONTAINER 2,30 X 6,00 M, ALT. 2,50 M, PARA SANITARIO, COM 4 BACIAS, 8 CHUVEIROS,1 LAVATORIO E 1 MICTORIO (NAO INCLUI MOBILIZACAO/DESMOBILIZACAO)</v>
          </cell>
          <cell r="D2590" t="str">
            <v>MES</v>
          </cell>
          <cell r="E2590" t="str">
            <v>CR</v>
          </cell>
          <cell r="F2590">
            <v>1160.93</v>
          </cell>
        </row>
        <row r="2591">
          <cell r="B2591">
            <v>40339</v>
          </cell>
          <cell r="C2591" t="str">
            <v>LOCACAO DE CRUZETA, SIMPLES, PARA ESCORA METALICA, COMPRIMENTO ENTRE 50 A 60 CM, PARA ESCORA DE 1,80 A 3,20 METROS E TUBO EXTERNO ATE 48 MM DE DIAMETRO</v>
          </cell>
          <cell r="D2591" t="str">
            <v>UNXMES</v>
          </cell>
          <cell r="E2591" t="str">
            <v>CR</v>
          </cell>
          <cell r="F2591">
            <v>8.0500000000000007</v>
          </cell>
        </row>
        <row r="2592">
          <cell r="B2592">
            <v>10749</v>
          </cell>
          <cell r="C2592" t="str">
            <v>LOCACAO DE ESCORA METALICA TELESCOPICA, COM ALTURA REGULAVEL DE *1,80* A *3,20* M, COM CAPACIDADE DE CARGA DE NO MINIMO 1000 KGF (10 KN), INCLUSO TRIPE E FORCADO</v>
          </cell>
          <cell r="D2592" t="str">
            <v>UNXMES</v>
          </cell>
          <cell r="E2592" t="str">
            <v>CR</v>
          </cell>
          <cell r="F2592">
            <v>26.62</v>
          </cell>
        </row>
        <row r="2593">
          <cell r="B2593">
            <v>40290</v>
          </cell>
          <cell r="C2593" t="str">
            <v>LOCACAO DE FORMA PLASTICA PARA LAJE NERVURADA, DIMENSOES *60* X *60* X *16* CM</v>
          </cell>
          <cell r="D2593" t="str">
            <v>UNXMES</v>
          </cell>
          <cell r="E2593" t="str">
            <v>CR</v>
          </cell>
          <cell r="F2593">
            <v>14.4</v>
          </cell>
        </row>
        <row r="2594">
          <cell r="B2594">
            <v>3346</v>
          </cell>
          <cell r="C2594" t="str">
            <v>LOCACAO DE GRUPO GERADOR *80 A 125* KVA, MOTOR DIESEL, REBOCAVEL, ACIONAMENTO MANUAL</v>
          </cell>
          <cell r="D2594" t="str">
            <v>H</v>
          </cell>
          <cell r="E2594" t="str">
            <v>C</v>
          </cell>
          <cell r="F2594">
            <v>24.72</v>
          </cell>
        </row>
        <row r="2595">
          <cell r="B2595">
            <v>3348</v>
          </cell>
          <cell r="C2595" t="str">
            <v>LOCACAO DE GRUPO GERADOR ACIMA DE * 125 ATE 180* KVA, MOTOR DIESEL, REBOCAVEL, ACIONAMENTO MANUAL</v>
          </cell>
          <cell r="D2595" t="str">
            <v>H</v>
          </cell>
          <cell r="E2595" t="str">
            <v>CR</v>
          </cell>
          <cell r="F2595">
            <v>29.57</v>
          </cell>
        </row>
        <row r="2596">
          <cell r="B2596">
            <v>39833</v>
          </cell>
          <cell r="C2596" t="str">
            <v>LOCACAO DE GRUPO GERADOR DE *260* KVA, DIESEL REBOCAVEL, ACIONAMENTO MANUAL</v>
          </cell>
          <cell r="D2596" t="str">
            <v>H</v>
          </cell>
          <cell r="E2596" t="str">
            <v>CR</v>
          </cell>
          <cell r="F2596">
            <v>40.5</v>
          </cell>
        </row>
        <row r="2597">
          <cell r="B2597">
            <v>7252</v>
          </cell>
          <cell r="C2597" t="str">
            <v>LOCACAO DE NIVEL OPTICO, COM PRECISAO DE 0,7 MM, AUMENTO DE 32X</v>
          </cell>
          <cell r="D2597" t="str">
            <v>H</v>
          </cell>
          <cell r="E2597" t="str">
            <v>CR</v>
          </cell>
          <cell r="F2597">
            <v>2.48</v>
          </cell>
        </row>
        <row r="2598">
          <cell r="B2598">
            <v>7247</v>
          </cell>
          <cell r="C2598" t="str">
            <v>LOCACAO DE TEODOLITO ELETRONICO, PRECISAO ANGULAR DE 5 A 7 SEGUNDOS, INCLUINDO TRIPE</v>
          </cell>
          <cell r="D2598" t="str">
            <v>H</v>
          </cell>
          <cell r="E2598" t="str">
            <v>C</v>
          </cell>
          <cell r="F2598">
            <v>2.48</v>
          </cell>
        </row>
        <row r="2599">
          <cell r="B2599">
            <v>40291</v>
          </cell>
          <cell r="C2599" t="str">
            <v>LOCACAO DE TORRE METALICA COMPLETA PARA UMA CARGA DE 8 TF (80 KN) E PE DIREITO DE 6 M, INCLUINDO MODULOS, DIAGONAIS, SAPATAS E FORCADOS</v>
          </cell>
          <cell r="D2599" t="str">
            <v>UNXMES</v>
          </cell>
          <cell r="E2599" t="str">
            <v>CR</v>
          </cell>
          <cell r="F2599">
            <v>750</v>
          </cell>
        </row>
        <row r="2600">
          <cell r="B2600">
            <v>40275</v>
          </cell>
          <cell r="C2600" t="str">
            <v>LOCACAO DE VIGA SANDUICHE METALICA VAZADA PARA TRAVAMENTO DE PILARES, ALTURA DE *8* CM, LARGURA DE *6* CM E EXTENSAO DE 2 M</v>
          </cell>
          <cell r="D2600" t="str">
            <v>UNXMES</v>
          </cell>
          <cell r="E2600" t="str">
            <v>CR</v>
          </cell>
          <cell r="F2600">
            <v>24</v>
          </cell>
        </row>
        <row r="2601">
          <cell r="B2601">
            <v>42408</v>
          </cell>
          <cell r="C2601" t="str">
            <v>LONA PLASTICA EXTRA FORTE PRETA, E = 200 MICRA</v>
          </cell>
          <cell r="D2601" t="str">
            <v>M2</v>
          </cell>
          <cell r="E2601" t="str">
            <v>CR</v>
          </cell>
          <cell r="F2601">
            <v>2.2799999999999998</v>
          </cell>
        </row>
        <row r="2602">
          <cell r="B2602">
            <v>3777</v>
          </cell>
          <cell r="C2602" t="str">
            <v>LONA PLASTICA PESADA PRETA, E = 150 MICRA</v>
          </cell>
          <cell r="D2602" t="str">
            <v>M2</v>
          </cell>
          <cell r="E2602" t="str">
            <v>CR</v>
          </cell>
          <cell r="F2602">
            <v>2.0099999999999998</v>
          </cell>
        </row>
        <row r="2603">
          <cell r="B2603">
            <v>44699</v>
          </cell>
          <cell r="C2603" t="str">
            <v>LUBRIFICANTE REDUTOR DE TORQUE E ARRASTO DE ALTO DESEMPENHO, PARA PERFURACAO HORIZONTAL DIRECIONAL, HDD</v>
          </cell>
          <cell r="D2603" t="str">
            <v>KG</v>
          </cell>
          <cell r="E2603" t="str">
            <v>CR</v>
          </cell>
          <cell r="F2603">
            <v>48.38</v>
          </cell>
        </row>
        <row r="2604">
          <cell r="B2604">
            <v>3798</v>
          </cell>
          <cell r="C2604" t="str">
            <v>LUMINARIA ABERTA P/ ILUMINACAO PUBLICA, TIPO X-57 PETERCO OU EQUIV</v>
          </cell>
          <cell r="D2604" t="str">
            <v>UN</v>
          </cell>
          <cell r="E2604" t="str">
            <v>CR</v>
          </cell>
          <cell r="F2604">
            <v>75.48</v>
          </cell>
        </row>
        <row r="2605">
          <cell r="B2605">
            <v>38769</v>
          </cell>
          <cell r="C2605" t="str">
            <v>LUMINARIA ARANDELA TIPO MEIA-LUA COM VIDRO FOSCO *30 X 15* CM, PARA 1 LAMPADA, BASE E27, POTENCIA MAXIMA 40/60 W (NAO INCLUI LAMPADA)</v>
          </cell>
          <cell r="D2605" t="str">
            <v>UN</v>
          </cell>
          <cell r="E2605" t="str">
            <v>CR</v>
          </cell>
          <cell r="F2605">
            <v>58.95</v>
          </cell>
        </row>
        <row r="2606">
          <cell r="B2606">
            <v>38774</v>
          </cell>
          <cell r="C2606" t="str">
            <v>LUMINARIA DE EMERGENCIA 30 LEDS, POTENCIA 2 W, BATERIA DE LITIO, AUTONOMIA DE 6 HORAS</v>
          </cell>
          <cell r="D2606" t="str">
            <v>UN</v>
          </cell>
          <cell r="E2606" t="str">
            <v>CR</v>
          </cell>
          <cell r="F2606">
            <v>10.32</v>
          </cell>
        </row>
        <row r="2607">
          <cell r="B2607">
            <v>42247</v>
          </cell>
          <cell r="C2607" t="str">
            <v>LUMINARIA DE LED PARA ILUMINACAO PUBLICA, DE 138 W ATE 180 W, INVOLUCRO EM ALUMINIO OU ACO INOX</v>
          </cell>
          <cell r="D2607" t="str">
            <v>UN</v>
          </cell>
          <cell r="E2607" t="str">
            <v>CR</v>
          </cell>
          <cell r="F2607">
            <v>352.42</v>
          </cell>
        </row>
        <row r="2608">
          <cell r="B2608">
            <v>42248</v>
          </cell>
          <cell r="C2608" t="str">
            <v>LUMINARIA DE LED PARA ILUMINACAO PUBLICA, DE 181 W ATE 239 W, INVOLUCRO EM ALUMINIO OU ACO INOX</v>
          </cell>
          <cell r="D2608" t="str">
            <v>UN</v>
          </cell>
          <cell r="E2608" t="str">
            <v>CR</v>
          </cell>
          <cell r="F2608">
            <v>409.37</v>
          </cell>
        </row>
        <row r="2609">
          <cell r="B2609">
            <v>42249</v>
          </cell>
          <cell r="C2609" t="str">
            <v>LUMINARIA DE LED PARA ILUMINACAO PUBLICA, DE 240 W ATE 350 W, INVOLUCRO EM ALUMINIO OU ACO INOX</v>
          </cell>
          <cell r="D2609" t="str">
            <v>UN</v>
          </cell>
          <cell r="E2609" t="str">
            <v>CR</v>
          </cell>
          <cell r="F2609">
            <v>678.18</v>
          </cell>
        </row>
        <row r="2610">
          <cell r="B2610">
            <v>42244</v>
          </cell>
          <cell r="C2610" t="str">
            <v>LUMINARIA DE LED PARA ILUMINACAO PUBLICA, DE 33 W ATE 50 W, INVOLUCRO EM ALUMINIO OU ACO INOX</v>
          </cell>
          <cell r="D2610" t="str">
            <v>UN</v>
          </cell>
          <cell r="E2610" t="str">
            <v>CR</v>
          </cell>
          <cell r="F2610">
            <v>105.91</v>
          </cell>
        </row>
        <row r="2611">
          <cell r="B2611">
            <v>42245</v>
          </cell>
          <cell r="C2611" t="str">
            <v>LUMINARIA DE LED PARA ILUMINACAO PUBLICA, DE 51 W ATE 67 W, INVOLUCRO EM ALUMINIO OU ACO INOX</v>
          </cell>
          <cell r="D2611" t="str">
            <v>UN</v>
          </cell>
          <cell r="E2611" t="str">
            <v>CR</v>
          </cell>
          <cell r="F2611">
            <v>195.44</v>
          </cell>
        </row>
        <row r="2612">
          <cell r="B2612">
            <v>42246</v>
          </cell>
          <cell r="C2612" t="str">
            <v>LUMINARIA DE LED PARA ILUMINACAO PUBLICA, DE 68 W ATE 97 W, INVOLUCRO EM ALUMINIO OU ACO INOX</v>
          </cell>
          <cell r="D2612" t="str">
            <v>UN</v>
          </cell>
          <cell r="E2612" t="str">
            <v>CR</v>
          </cell>
          <cell r="F2612">
            <v>216.34</v>
          </cell>
        </row>
        <row r="2613">
          <cell r="B2613">
            <v>42243</v>
          </cell>
          <cell r="C2613" t="str">
            <v>LUMINARIA DE LED PARA ILUMINACAO PUBLICA, DE 98 W ATE 137 W, INVOLUCRO EM ALUMINIO OU ACO INOX</v>
          </cell>
          <cell r="D2613" t="str">
            <v>UN</v>
          </cell>
          <cell r="E2613" t="str">
            <v>CR</v>
          </cell>
          <cell r="F2613">
            <v>260.87</v>
          </cell>
        </row>
        <row r="2614">
          <cell r="B2614">
            <v>38889</v>
          </cell>
          <cell r="C2614" t="str">
            <v>LUMINARIA DE SOBREPOR EM CHAPA DE ACO COM ALETAS PLASTICAS, PARA 1 LAMPADA, BASE E27, POTENCIA MAXIMA 40/60 W (NAO INCLUI LAMPADA)</v>
          </cell>
          <cell r="D2614" t="str">
            <v>UN</v>
          </cell>
          <cell r="E2614" t="str">
            <v>CR</v>
          </cell>
          <cell r="F2614">
            <v>45.18</v>
          </cell>
        </row>
        <row r="2615">
          <cell r="B2615">
            <v>38784</v>
          </cell>
          <cell r="C2615" t="str">
            <v>LUMINARIA DE SOBREPOR EM CHAPA DE ACO COM ALETAS PLASTICAS, PARA 2 LAMPADAS, BASE E27, POTENCIA MAXIMA 40/60 W (NAO INCLUI LAMPADAS)</v>
          </cell>
          <cell r="D2615" t="str">
            <v>UN</v>
          </cell>
          <cell r="E2615" t="str">
            <v>CR</v>
          </cell>
          <cell r="F2615">
            <v>60.44</v>
          </cell>
        </row>
        <row r="2616">
          <cell r="B2616">
            <v>3780</v>
          </cell>
          <cell r="C2616" t="str">
            <v>LUMINARIA DE SOBREPOR EM CHAPA DE ACO PARA 1 LAMPADA FLUORESCENTE DE *36* W, ALETADA, COMPLETA (LAMPADA E REATOR INCLUSOS)</v>
          </cell>
          <cell r="D2616" t="str">
            <v>UN</v>
          </cell>
          <cell r="E2616" t="str">
            <v>C</v>
          </cell>
          <cell r="F2616">
            <v>92.94</v>
          </cell>
        </row>
        <row r="2617">
          <cell r="B2617">
            <v>38773</v>
          </cell>
          <cell r="C2617" t="str">
            <v>LUMINARIA DE TETO PLAFON/PLAFONIER EM PLASTICO COM BASE E27, POTENCIA MAXIMA 60 W (NAO INCLUI LAMPADA)</v>
          </cell>
          <cell r="D2617" t="str">
            <v>UN</v>
          </cell>
          <cell r="E2617" t="str">
            <v>CR</v>
          </cell>
          <cell r="F2617">
            <v>5.93</v>
          </cell>
        </row>
        <row r="2618">
          <cell r="B2618">
            <v>12271</v>
          </cell>
          <cell r="C2618" t="str">
            <v>LUMINARIA DUPLA P/SINALIZACAO, TIPO WETZEL AS-2/110 OU EQUIV</v>
          </cell>
          <cell r="D2618" t="str">
            <v>UN</v>
          </cell>
          <cell r="E2618" t="str">
            <v>CR</v>
          </cell>
          <cell r="F2618">
            <v>330.57</v>
          </cell>
        </row>
        <row r="2619">
          <cell r="B2619">
            <v>39385</v>
          </cell>
          <cell r="C2619" t="str">
            <v>LUMINARIA LED PLAFON REDONDO DE SOBREPOR BIVOLT 12/13 W, D = *17* CM</v>
          </cell>
          <cell r="D2619" t="str">
            <v>UN</v>
          </cell>
          <cell r="E2619" t="str">
            <v>CR</v>
          </cell>
          <cell r="F2619">
            <v>9.44</v>
          </cell>
        </row>
        <row r="2620">
          <cell r="B2620">
            <v>39389</v>
          </cell>
          <cell r="C2620" t="str">
            <v>LUMINARIA LED REFLETOR RETANGULAR BIVOLT, LUZ BRANCA, 10 W</v>
          </cell>
          <cell r="D2620" t="str">
            <v>UN</v>
          </cell>
          <cell r="E2620" t="str">
            <v>CR</v>
          </cell>
          <cell r="F2620">
            <v>10.24</v>
          </cell>
        </row>
        <row r="2621">
          <cell r="B2621">
            <v>39390</v>
          </cell>
          <cell r="C2621" t="str">
            <v>LUMINARIA LED REFLETOR RETANGULAR BIVOLT, LUZ BRANCA, 30 W</v>
          </cell>
          <cell r="D2621" t="str">
            <v>UN</v>
          </cell>
          <cell r="E2621" t="str">
            <v>CR</v>
          </cell>
          <cell r="F2621">
            <v>21.47</v>
          </cell>
        </row>
        <row r="2622">
          <cell r="B2622">
            <v>39391</v>
          </cell>
          <cell r="C2622" t="str">
            <v>LUMINARIA LED REFLETOR RETANGULAR BIVOLT, LUZ BRANCA, 50 W</v>
          </cell>
          <cell r="D2622" t="str">
            <v>UN</v>
          </cell>
          <cell r="E2622" t="str">
            <v>CR</v>
          </cell>
          <cell r="F2622">
            <v>24.11</v>
          </cell>
        </row>
        <row r="2623">
          <cell r="B2623">
            <v>3803</v>
          </cell>
          <cell r="C2623" t="str">
            <v>LUMINARIA PLAFON REDONDO COM VIDRO FOSCO DIAMETRO *25* CM, PARA 1 LAMPADA, BASE E27, POTENCIA MAXIMA 40/60 W (NAO INCLUI LAMPADA)</v>
          </cell>
          <cell r="D2623" t="str">
            <v>UN</v>
          </cell>
          <cell r="E2623" t="str">
            <v>CR</v>
          </cell>
          <cell r="F2623">
            <v>55.9</v>
          </cell>
        </row>
        <row r="2624">
          <cell r="B2624">
            <v>38770</v>
          </cell>
          <cell r="C2624" t="str">
            <v>LUMINARIA PLAFON REDONDO COM VIDRO FOSCO DIAMETRO *30* CM, PARA 2 LAMPADAS, BASE E27, POTENCIA MAXIMA 40/60 W (NAO INCLUI LAMPADAS)</v>
          </cell>
          <cell r="D2624" t="str">
            <v>UN</v>
          </cell>
          <cell r="E2624" t="str">
            <v>CR</v>
          </cell>
          <cell r="F2624">
            <v>64.72</v>
          </cell>
        </row>
        <row r="2625">
          <cell r="B2625">
            <v>12267</v>
          </cell>
          <cell r="C2625" t="str">
            <v>LUMINARIA PROVA DE TEMPO PETERCO Y.31/1</v>
          </cell>
          <cell r="D2625" t="str">
            <v>UN</v>
          </cell>
          <cell r="E2625" t="str">
            <v>CR</v>
          </cell>
          <cell r="F2625">
            <v>189.67</v>
          </cell>
        </row>
        <row r="2626">
          <cell r="B2626">
            <v>43265</v>
          </cell>
          <cell r="C262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D2626" t="str">
            <v>UN</v>
          </cell>
          <cell r="E2626" t="str">
            <v>CR</v>
          </cell>
          <cell r="F2626">
            <v>29.53</v>
          </cell>
        </row>
        <row r="2627">
          <cell r="B2627">
            <v>12266</v>
          </cell>
          <cell r="C2627" t="str">
            <v>LUMINARIA SPOT DE SOBREPOR EM ALUMINIO COM ALETA PLASTICA PARA 1 LAMPADA, BASE E27, POTENCIA MAXIMA 40/60 W (NAO INCLUI LAMPADA)</v>
          </cell>
          <cell r="D2627" t="str">
            <v>UN</v>
          </cell>
          <cell r="E2627" t="str">
            <v>CR</v>
          </cell>
          <cell r="F2627">
            <v>97.08</v>
          </cell>
        </row>
        <row r="2628">
          <cell r="B2628">
            <v>39378</v>
          </cell>
          <cell r="C2628" t="str">
            <v>LUMINARIA SPOT DE SOBREPOR EM ALUMINIO COM ALETA PLASTICA PARA 2 LAMPADAS, BASE E27, POTENCIA MAXIMA 40/60 W (NAO INCLUI LAMPADA)</v>
          </cell>
          <cell r="D2628" t="str">
            <v>UN</v>
          </cell>
          <cell r="E2628" t="str">
            <v>CR</v>
          </cell>
          <cell r="F2628">
            <v>68.83</v>
          </cell>
        </row>
        <row r="2629">
          <cell r="B2629">
            <v>43543</v>
          </cell>
          <cell r="C2629" t="str">
            <v>LUMINARIA TIPO TARTARUGA A PROVA DE TEMPO, GASES, VAPOR E PO, EM ALUMINIO, COM GRADE, BASE E27, POTENCIA MAXIMA 100 W (NAO INCLUI LAMPADA)</v>
          </cell>
          <cell r="D2629" t="str">
            <v>UN</v>
          </cell>
          <cell r="E2629" t="str">
            <v>CR</v>
          </cell>
          <cell r="F2629">
            <v>143.38999999999999</v>
          </cell>
        </row>
        <row r="2630">
          <cell r="B2630">
            <v>38775</v>
          </cell>
          <cell r="C2630" t="str">
            <v>LUMINARIA TIPO TARTARUGA PARA AREA EXTERNA EM ALUMINIO, COM GRADE, PARA 1 LAMPADA, BASE E27, POTENCIA MAXIMA 40/60 W (NAO INCLUI LAMPADA)</v>
          </cell>
          <cell r="D2630" t="str">
            <v>UN</v>
          </cell>
          <cell r="E2630" t="str">
            <v>CR</v>
          </cell>
          <cell r="F2630">
            <v>72.97</v>
          </cell>
        </row>
        <row r="2631">
          <cell r="B2631">
            <v>44252</v>
          </cell>
          <cell r="C2631" t="str">
            <v>LUVA CPVC, SOLDAVEL, 114 MM, PARA AGUA QUENTE PREDIAL</v>
          </cell>
          <cell r="D2631" t="str">
            <v>UN</v>
          </cell>
          <cell r="E2631" t="str">
            <v>CR</v>
          </cell>
          <cell r="F2631">
            <v>184.99</v>
          </cell>
        </row>
        <row r="2632">
          <cell r="B2632">
            <v>21119</v>
          </cell>
          <cell r="C2632" t="str">
            <v>LUVA CPVC, SOLDAVEL, 15 MM, PARA AGUA QUENTE PREDIAL</v>
          </cell>
          <cell r="D2632" t="str">
            <v>UN</v>
          </cell>
          <cell r="E2632" t="str">
            <v>CR</v>
          </cell>
          <cell r="F2632">
            <v>1.86</v>
          </cell>
        </row>
        <row r="2633">
          <cell r="B2633">
            <v>37974</v>
          </cell>
          <cell r="C2633" t="str">
            <v>LUVA CPVC, SOLDAVEL, 22 MM, PARA AGUA QUENTE PREDIAL</v>
          </cell>
          <cell r="D2633" t="str">
            <v>UN</v>
          </cell>
          <cell r="E2633" t="str">
            <v>CR</v>
          </cell>
          <cell r="F2633">
            <v>2.4</v>
          </cell>
        </row>
        <row r="2634">
          <cell r="B2634">
            <v>37975</v>
          </cell>
          <cell r="C2634" t="str">
            <v>LUVA CPVC, SOLDAVEL, 28 MM, PARA AGUA QUENTE PREDIAL</v>
          </cell>
          <cell r="D2634" t="str">
            <v>UN</v>
          </cell>
          <cell r="E2634" t="str">
            <v>CR</v>
          </cell>
          <cell r="F2634">
            <v>5.34</v>
          </cell>
        </row>
        <row r="2635">
          <cell r="B2635">
            <v>37976</v>
          </cell>
          <cell r="C2635" t="str">
            <v>LUVA CPVC, SOLDAVEL, 35 MM, PARA AGUA QUENTE PREDIAL</v>
          </cell>
          <cell r="D2635" t="str">
            <v>UN</v>
          </cell>
          <cell r="E2635" t="str">
            <v>CR</v>
          </cell>
          <cell r="F2635">
            <v>11.89</v>
          </cell>
        </row>
        <row r="2636">
          <cell r="B2636">
            <v>37977</v>
          </cell>
          <cell r="C2636" t="str">
            <v>LUVA CPVC, SOLDAVEL, 42 MM, PARA AGUA QUENTE PREDIAL</v>
          </cell>
          <cell r="D2636" t="str">
            <v>UN</v>
          </cell>
          <cell r="E2636" t="str">
            <v>CR</v>
          </cell>
          <cell r="F2636">
            <v>16.46</v>
          </cell>
        </row>
        <row r="2637">
          <cell r="B2637">
            <v>37978</v>
          </cell>
          <cell r="C2637" t="str">
            <v>LUVA CPVC, SOLDAVEL, 54 MM, PARA AGUA QUENTE PREDIAL</v>
          </cell>
          <cell r="D2637" t="str">
            <v>UN</v>
          </cell>
          <cell r="E2637" t="str">
            <v>CR</v>
          </cell>
          <cell r="F2637">
            <v>32.630000000000003</v>
          </cell>
        </row>
        <row r="2638">
          <cell r="B2638">
            <v>37979</v>
          </cell>
          <cell r="C2638" t="str">
            <v>LUVA CPVC, SOLDAVEL, 73 MM, PARA AGUA QUENTE PREDIAL</v>
          </cell>
          <cell r="D2638" t="str">
            <v>UN</v>
          </cell>
          <cell r="E2638" t="str">
            <v>CR</v>
          </cell>
          <cell r="F2638">
            <v>138.49</v>
          </cell>
        </row>
        <row r="2639">
          <cell r="B2639">
            <v>37980</v>
          </cell>
          <cell r="C2639" t="str">
            <v>LUVA CPVC, SOLDAVEL, 89 MM, PARA AGUA QUENTE PREDIAL</v>
          </cell>
          <cell r="D2639" t="str">
            <v>UN</v>
          </cell>
          <cell r="E2639" t="str">
            <v>CR</v>
          </cell>
          <cell r="F2639">
            <v>159.08000000000001</v>
          </cell>
        </row>
        <row r="2640">
          <cell r="B2640">
            <v>36147</v>
          </cell>
          <cell r="C2640" t="str">
            <v>LUVA DE BORRACHA ISOLANTE PARA ALTA TENSAO, RESISTENTE A OZONIO, TENSAO DE ENSAIO 2,5 KV (PAR)</v>
          </cell>
          <cell r="D2640" t="str">
            <v>PAR</v>
          </cell>
          <cell r="E2640" t="str">
            <v>CR</v>
          </cell>
          <cell r="F2640">
            <v>295.39</v>
          </cell>
        </row>
        <row r="2641">
          <cell r="B2641">
            <v>12731</v>
          </cell>
          <cell r="C2641" t="str">
            <v>LUVA DE COBRE SEM ANEL DE SOLDA, BOLSA X BOLSA, 104 MM</v>
          </cell>
          <cell r="D2641" t="str">
            <v>UN</v>
          </cell>
          <cell r="E2641" t="str">
            <v>CR</v>
          </cell>
          <cell r="F2641">
            <v>393.4</v>
          </cell>
        </row>
        <row r="2642">
          <cell r="B2642">
            <v>12723</v>
          </cell>
          <cell r="C2642" t="str">
            <v>LUVA DE COBRE SEM ANEL DE SOLDA, BOLSA X BOLSA, 15 MM</v>
          </cell>
          <cell r="D2642" t="str">
            <v>UN</v>
          </cell>
          <cell r="E2642" t="str">
            <v>CR</v>
          </cell>
          <cell r="F2642">
            <v>3.05</v>
          </cell>
        </row>
        <row r="2643">
          <cell r="B2643">
            <v>12724</v>
          </cell>
          <cell r="C2643" t="str">
            <v>LUVA DE COBRE SEM ANEL DE SOLDA, BOLSA X BOLSA, 22 MM</v>
          </cell>
          <cell r="D2643" t="str">
            <v>UN</v>
          </cell>
          <cell r="E2643" t="str">
            <v>CR</v>
          </cell>
          <cell r="F2643">
            <v>5.86</v>
          </cell>
        </row>
        <row r="2644">
          <cell r="B2644">
            <v>12725</v>
          </cell>
          <cell r="C2644" t="str">
            <v>LUVA DE COBRE SEM ANEL DE SOLDA, BOLSA X BOLSA, 28 MM</v>
          </cell>
          <cell r="D2644" t="str">
            <v>UN</v>
          </cell>
          <cell r="E2644" t="str">
            <v>CR</v>
          </cell>
          <cell r="F2644">
            <v>11.76</v>
          </cell>
        </row>
        <row r="2645">
          <cell r="B2645">
            <v>12726</v>
          </cell>
          <cell r="C2645" t="str">
            <v>LUVA DE COBRE SEM ANEL DE SOLDA, BOLSA X BOLSA, 35 MM</v>
          </cell>
          <cell r="D2645" t="str">
            <v>UN</v>
          </cell>
          <cell r="E2645" t="str">
            <v>CR</v>
          </cell>
          <cell r="F2645">
            <v>25.95</v>
          </cell>
        </row>
        <row r="2646">
          <cell r="B2646">
            <v>12727</v>
          </cell>
          <cell r="C2646" t="str">
            <v>LUVA DE COBRE SEM ANEL DE SOLDA, BOLSA X BOLSA, 42 MM</v>
          </cell>
          <cell r="D2646" t="str">
            <v>UN</v>
          </cell>
          <cell r="E2646" t="str">
            <v>CR</v>
          </cell>
          <cell r="F2646">
            <v>32.909999999999997</v>
          </cell>
        </row>
        <row r="2647">
          <cell r="B2647">
            <v>12728</v>
          </cell>
          <cell r="C2647" t="str">
            <v>LUVA DE COBRE SEM ANEL DE SOLDA, BOLSA X BOLSA, 54 MM</v>
          </cell>
          <cell r="D2647" t="str">
            <v>UN</v>
          </cell>
          <cell r="E2647" t="str">
            <v>CR</v>
          </cell>
          <cell r="F2647">
            <v>53.76</v>
          </cell>
        </row>
        <row r="2648">
          <cell r="B2648">
            <v>12729</v>
          </cell>
          <cell r="C2648" t="str">
            <v>LUVA DE COBRE SEM ANEL DE SOLDA, BOLSA X BOLSA, 66 MM</v>
          </cell>
          <cell r="D2648" t="str">
            <v>UN</v>
          </cell>
          <cell r="E2648" t="str">
            <v>CR</v>
          </cell>
          <cell r="F2648">
            <v>176.21</v>
          </cell>
        </row>
        <row r="2649">
          <cell r="B2649">
            <v>12730</v>
          </cell>
          <cell r="C2649" t="str">
            <v>LUVA DE COBRE SEM ANEL DE SOLDA, BOLSA X BOLSA, 79 MM</v>
          </cell>
          <cell r="D2649" t="str">
            <v>UN</v>
          </cell>
          <cell r="E2649" t="str">
            <v>CR</v>
          </cell>
          <cell r="F2649">
            <v>269.77999999999997</v>
          </cell>
        </row>
        <row r="2650">
          <cell r="B2650">
            <v>3840</v>
          </cell>
          <cell r="C2650" t="str">
            <v>LUVA DE CORRER COM TRAVAS DEFOFO, PVC, JE, DN 100 MM</v>
          </cell>
          <cell r="D2650" t="str">
            <v>UN</v>
          </cell>
          <cell r="E2650" t="str">
            <v>CR</v>
          </cell>
          <cell r="F2650">
            <v>64.650000000000006</v>
          </cell>
        </row>
        <row r="2651">
          <cell r="B2651">
            <v>3838</v>
          </cell>
          <cell r="C2651" t="str">
            <v>LUVA DE CORRER COM TRAVAS DEFOFO, PVC, JE, DN 150 MM</v>
          </cell>
          <cell r="D2651" t="str">
            <v>UN</v>
          </cell>
          <cell r="E2651" t="str">
            <v>CR</v>
          </cell>
          <cell r="F2651">
            <v>142.68</v>
          </cell>
        </row>
        <row r="2652">
          <cell r="B2652">
            <v>3844</v>
          </cell>
          <cell r="C2652" t="str">
            <v>LUVA DE CORRER COM TRAVAS DEFOFO, PVC, JE, DN 200 MM</v>
          </cell>
          <cell r="D2652" t="str">
            <v>UN</v>
          </cell>
          <cell r="E2652" t="str">
            <v>CR</v>
          </cell>
          <cell r="F2652">
            <v>254.51</v>
          </cell>
        </row>
        <row r="2653">
          <cell r="B2653">
            <v>3839</v>
          </cell>
          <cell r="C2653" t="str">
            <v>LUVA DE CORRER COM TRAVAS DEFOFO, PVC, JE, DN 250 MM</v>
          </cell>
          <cell r="D2653" t="str">
            <v>UN</v>
          </cell>
          <cell r="E2653" t="str">
            <v>CR</v>
          </cell>
          <cell r="F2653">
            <v>463.57</v>
          </cell>
        </row>
        <row r="2654">
          <cell r="B2654">
            <v>3843</v>
          </cell>
          <cell r="C2654" t="str">
            <v>LUVA DE CORRER COM TRAVAS DEFOFO, PVC, JE, DN 300 MM</v>
          </cell>
          <cell r="D2654" t="str">
            <v>UN</v>
          </cell>
          <cell r="E2654" t="str">
            <v>CR</v>
          </cell>
          <cell r="F2654">
            <v>636.26</v>
          </cell>
        </row>
        <row r="2655">
          <cell r="B2655">
            <v>3900</v>
          </cell>
          <cell r="C2655" t="str">
            <v>LUVA DE CORRER PARA TUBO ROSCAVEL, PVC, 1 1/2", PARA AGUA FRIA PREDIAL</v>
          </cell>
          <cell r="D2655" t="str">
            <v>UN</v>
          </cell>
          <cell r="E2655" t="str">
            <v>CR</v>
          </cell>
          <cell r="F2655">
            <v>54.9</v>
          </cell>
        </row>
        <row r="2656">
          <cell r="B2656">
            <v>3846</v>
          </cell>
          <cell r="C2656" t="str">
            <v>LUVA DE CORRER PARA TUBO ROSCAVEL, PVC, 1/2", PARA AGUA FRIA PREDIAL</v>
          </cell>
          <cell r="D2656" t="str">
            <v>UN</v>
          </cell>
          <cell r="E2656" t="str">
            <v>CR</v>
          </cell>
          <cell r="F2656">
            <v>16.5</v>
          </cell>
        </row>
        <row r="2657">
          <cell r="B2657">
            <v>3886</v>
          </cell>
          <cell r="C2657" t="str">
            <v>LUVA DE CORRER PARA TUBO ROSCAVEL, PVC, 3/4", PARA AGUA FRIA PREDIAL</v>
          </cell>
          <cell r="D2657" t="str">
            <v>UN</v>
          </cell>
          <cell r="E2657" t="str">
            <v>CR</v>
          </cell>
          <cell r="F2657">
            <v>21.9</v>
          </cell>
        </row>
        <row r="2658">
          <cell r="B2658">
            <v>3854</v>
          </cell>
          <cell r="C2658" t="str">
            <v>LUVA DE CORRER PARA TUBO SOLDAVEL, PVC, 20 MM, PARA AGUA FRIA PREDIAL</v>
          </cell>
          <cell r="D2658" t="str">
            <v>UN</v>
          </cell>
          <cell r="E2658" t="str">
            <v>CR</v>
          </cell>
          <cell r="F2658">
            <v>12.48</v>
          </cell>
        </row>
        <row r="2659">
          <cell r="B2659">
            <v>3873</v>
          </cell>
          <cell r="C2659" t="str">
            <v>LUVA DE CORRER PARA TUBO SOLDAVEL, PVC, 25 MM, PARA AGUA FRIA PREDIAL</v>
          </cell>
          <cell r="D2659" t="str">
            <v>UN</v>
          </cell>
          <cell r="E2659" t="str">
            <v>CR</v>
          </cell>
          <cell r="F2659">
            <v>14.53</v>
          </cell>
        </row>
        <row r="2660">
          <cell r="B2660">
            <v>38021</v>
          </cell>
          <cell r="C2660" t="str">
            <v>LUVA DE CORRER PARA TUBO SOLDAVEL, PVC, 32 MM, PARA AGUA FRIA PREDIAL</v>
          </cell>
          <cell r="D2660" t="str">
            <v>UN</v>
          </cell>
          <cell r="E2660" t="str">
            <v>CR</v>
          </cell>
          <cell r="F2660">
            <v>25.8</v>
          </cell>
        </row>
        <row r="2661">
          <cell r="B2661">
            <v>43838</v>
          </cell>
          <cell r="C2661" t="str">
            <v>LUVA DE CORRER PARA TUBO SOLDAVEL, PVC, 40 MM, PARA AGUA FRIA PREDIAL</v>
          </cell>
          <cell r="D2661" t="str">
            <v>UN</v>
          </cell>
          <cell r="E2661" t="str">
            <v>CR</v>
          </cell>
          <cell r="F2661">
            <v>33.35</v>
          </cell>
        </row>
        <row r="2662">
          <cell r="B2662">
            <v>3847</v>
          </cell>
          <cell r="C2662" t="str">
            <v>LUVA DE CORRER PARA TUBO SOLDAVEL, PVC, 50 MM, PARA AGUA FRIA PREDIAL</v>
          </cell>
          <cell r="D2662" t="str">
            <v>UN</v>
          </cell>
          <cell r="E2662" t="str">
            <v>CR</v>
          </cell>
          <cell r="F2662">
            <v>33.630000000000003</v>
          </cell>
        </row>
        <row r="2663">
          <cell r="B2663">
            <v>38022</v>
          </cell>
          <cell r="C2663" t="str">
            <v>LUVA DE CORRER PARA TUBO SOLDAVEL, PVC, 60 MM, PARA AGUA FRIA PREDIAL</v>
          </cell>
          <cell r="D2663" t="str">
            <v>UN</v>
          </cell>
          <cell r="E2663" t="str">
            <v>CR</v>
          </cell>
          <cell r="F2663">
            <v>46.22</v>
          </cell>
        </row>
        <row r="2664">
          <cell r="B2664">
            <v>3826</v>
          </cell>
          <cell r="C2664" t="str">
            <v>LUVA DE CORRER PVC PBA, JE, DN 100 / DE 110 MM, PARA REDE DE AGUA</v>
          </cell>
          <cell r="D2664" t="str">
            <v>UN</v>
          </cell>
          <cell r="E2664" t="str">
            <v>CR</v>
          </cell>
          <cell r="F2664">
            <v>64.150000000000006</v>
          </cell>
        </row>
        <row r="2665">
          <cell r="B2665">
            <v>3825</v>
          </cell>
          <cell r="C2665" t="str">
            <v>LUVA DE CORRER PVC PBA, JE, DN 50 / DE 60 MM, PARA REDE DE AGUA</v>
          </cell>
          <cell r="D2665" t="str">
            <v>UN</v>
          </cell>
          <cell r="E2665" t="str">
            <v>CR</v>
          </cell>
          <cell r="F2665">
            <v>18.45</v>
          </cell>
        </row>
        <row r="2666">
          <cell r="B2666">
            <v>3827</v>
          </cell>
          <cell r="C2666" t="str">
            <v>LUVA DE CORRER PVC PBA, JE, DN 75 / DE 85 MM, PARA REDE DE AGUA</v>
          </cell>
          <cell r="D2666" t="str">
            <v>UN</v>
          </cell>
          <cell r="E2666" t="str">
            <v>CR</v>
          </cell>
          <cell r="F2666">
            <v>40.31</v>
          </cell>
        </row>
        <row r="2667">
          <cell r="B2667">
            <v>3830</v>
          </cell>
          <cell r="C2667" t="str">
            <v>LUVA DE CORRER PVC, JE, DN 250 MM, PARA REDE COLETORA DE ESGOTO</v>
          </cell>
          <cell r="D2667" t="str">
            <v>UN</v>
          </cell>
          <cell r="E2667" t="str">
            <v>CR</v>
          </cell>
          <cell r="F2667">
            <v>237.42</v>
          </cell>
        </row>
        <row r="2668">
          <cell r="B2668">
            <v>37981</v>
          </cell>
          <cell r="C2668" t="str">
            <v>LUVA DE CORRER, CPVC, SOLDAVEL, 15 MM, PARA AGUA QUENTE PREDIAL</v>
          </cell>
          <cell r="D2668" t="str">
            <v>UN</v>
          </cell>
          <cell r="E2668" t="str">
            <v>CR</v>
          </cell>
          <cell r="F2668">
            <v>6.93</v>
          </cell>
        </row>
        <row r="2669">
          <cell r="B2669">
            <v>37982</v>
          </cell>
          <cell r="C2669" t="str">
            <v>LUVA DE CORRER, CPVC, SOLDAVEL, 22 MM, PARA AGUA QUENTE PREDIAL</v>
          </cell>
          <cell r="D2669" t="str">
            <v>UN</v>
          </cell>
          <cell r="E2669" t="str">
            <v>CR</v>
          </cell>
          <cell r="F2669">
            <v>10.06</v>
          </cell>
        </row>
        <row r="2670">
          <cell r="B2670">
            <v>37983</v>
          </cell>
          <cell r="C2670" t="str">
            <v>LUVA DE CORRER, CPVC, SOLDAVEL, 28 MM, PARA AGUA QUENTE PREDIAL</v>
          </cell>
          <cell r="D2670" t="str">
            <v>UN</v>
          </cell>
          <cell r="E2670" t="str">
            <v>CR</v>
          </cell>
          <cell r="F2670">
            <v>14.86</v>
          </cell>
        </row>
        <row r="2671">
          <cell r="B2671">
            <v>37984</v>
          </cell>
          <cell r="C2671" t="str">
            <v>LUVA DE CORRER, CPVC, SOLDAVEL, 35 MM, PARA AGUA QUENTE PREDIAL</v>
          </cell>
          <cell r="D2671" t="str">
            <v>UN</v>
          </cell>
          <cell r="E2671" t="str">
            <v>CR</v>
          </cell>
          <cell r="F2671">
            <v>20.88</v>
          </cell>
        </row>
        <row r="2672">
          <cell r="B2672">
            <v>37985</v>
          </cell>
          <cell r="C2672" t="str">
            <v>LUVA DE CORRER, CPVC, SOLDAVEL, 42 MM, PARA AGUA QUENTE PREDIAL</v>
          </cell>
          <cell r="D2672" t="str">
            <v>UN</v>
          </cell>
          <cell r="E2672" t="str">
            <v>CR</v>
          </cell>
          <cell r="F2672">
            <v>29.67</v>
          </cell>
        </row>
        <row r="2673">
          <cell r="B2673">
            <v>20165</v>
          </cell>
          <cell r="C2673" t="str">
            <v>LUVA DE CORRER, PVC SERIE R, 100 MM, PARA ESGOTO PREDIAL</v>
          </cell>
          <cell r="D2673" t="str">
            <v>UN</v>
          </cell>
          <cell r="E2673" t="str">
            <v>CR</v>
          </cell>
          <cell r="F2673">
            <v>29.43</v>
          </cell>
        </row>
        <row r="2674">
          <cell r="B2674">
            <v>20166</v>
          </cell>
          <cell r="C2674" t="str">
            <v>LUVA DE CORRER, PVC SERIE R, 150 MM, PARA ESGOTO PREDIAL</v>
          </cell>
          <cell r="D2674" t="str">
            <v>UN</v>
          </cell>
          <cell r="E2674" t="str">
            <v>CR</v>
          </cell>
          <cell r="F2674">
            <v>89.89</v>
          </cell>
        </row>
        <row r="2675">
          <cell r="B2675">
            <v>20164</v>
          </cell>
          <cell r="C2675" t="str">
            <v>LUVA DE CORRER, PVC SERIE R, 75 MM, PARA ESGOTO PREDIAL</v>
          </cell>
          <cell r="D2675" t="str">
            <v>UN</v>
          </cell>
          <cell r="E2675" t="str">
            <v>CR</v>
          </cell>
          <cell r="F2675">
            <v>14.14</v>
          </cell>
        </row>
        <row r="2676">
          <cell r="B2676">
            <v>3893</v>
          </cell>
          <cell r="C2676" t="str">
            <v>LUVA DE CORRER, PVC, DN 100 MM, PARA ESGOTO PREDIAL</v>
          </cell>
          <cell r="D2676" t="str">
            <v>UN</v>
          </cell>
          <cell r="E2676" t="str">
            <v>CR</v>
          </cell>
          <cell r="F2676">
            <v>22.16</v>
          </cell>
        </row>
        <row r="2677">
          <cell r="B2677">
            <v>3848</v>
          </cell>
          <cell r="C2677" t="str">
            <v>LUVA DE CORRER, PVC, DN 50 MM, PARA ESGOTO PREDIAL</v>
          </cell>
          <cell r="D2677" t="str">
            <v>UN</v>
          </cell>
          <cell r="E2677" t="str">
            <v>CR</v>
          </cell>
          <cell r="F2677">
            <v>13.51</v>
          </cell>
        </row>
        <row r="2678">
          <cell r="B2678">
            <v>3895</v>
          </cell>
          <cell r="C2678" t="str">
            <v>LUVA DE CORRER, PVC, DN 75 MM, PARA ESGOTO PREDIAL</v>
          </cell>
          <cell r="D2678" t="str">
            <v>UN</v>
          </cell>
          <cell r="E2678" t="str">
            <v>CR</v>
          </cell>
          <cell r="F2678">
            <v>15.01</v>
          </cell>
        </row>
        <row r="2679">
          <cell r="B2679">
            <v>12404</v>
          </cell>
          <cell r="C2679" t="str">
            <v>LUVA DE FERRO GALVANIZADO, COM ROSCA BSP MACHO/FEMEA, DE 3/4"</v>
          </cell>
          <cell r="D2679" t="str">
            <v>UN</v>
          </cell>
          <cell r="E2679" t="str">
            <v>CR</v>
          </cell>
          <cell r="F2679">
            <v>11.6</v>
          </cell>
        </row>
        <row r="2680">
          <cell r="B2680">
            <v>3939</v>
          </cell>
          <cell r="C2680" t="str">
            <v>LUVA DE FERRO GALVANIZADO, COM ROSCA BSP, DE 1 1/2"</v>
          </cell>
          <cell r="D2680" t="str">
            <v>UN</v>
          </cell>
          <cell r="E2680" t="str">
            <v>CR</v>
          </cell>
          <cell r="F2680">
            <v>23.91</v>
          </cell>
        </row>
        <row r="2681">
          <cell r="B2681">
            <v>3911</v>
          </cell>
          <cell r="C2681" t="str">
            <v>LUVA DE FERRO GALVANIZADO, COM ROSCA BSP, DE 1 1/4"</v>
          </cell>
          <cell r="D2681" t="str">
            <v>UN</v>
          </cell>
          <cell r="E2681" t="str">
            <v>CR</v>
          </cell>
          <cell r="F2681">
            <v>19.53</v>
          </cell>
        </row>
        <row r="2682">
          <cell r="B2682">
            <v>3910</v>
          </cell>
          <cell r="C2682" t="str">
            <v>LUVA DE FERRO GALVANIZADO, COM ROSCA BSP, DE 1"</v>
          </cell>
          <cell r="D2682" t="str">
            <v>UN</v>
          </cell>
          <cell r="E2682" t="str">
            <v>CR</v>
          </cell>
          <cell r="F2682">
            <v>13.97</v>
          </cell>
        </row>
        <row r="2683">
          <cell r="B2683">
            <v>3908</v>
          </cell>
          <cell r="C2683" t="str">
            <v>LUVA DE FERRO GALVANIZADO, COM ROSCA BSP, DE 1/2"</v>
          </cell>
          <cell r="D2683" t="str">
            <v>UN</v>
          </cell>
          <cell r="E2683" t="str">
            <v>CR</v>
          </cell>
          <cell r="F2683">
            <v>6.31</v>
          </cell>
        </row>
        <row r="2684">
          <cell r="B2684">
            <v>3913</v>
          </cell>
          <cell r="C2684" t="str">
            <v>LUVA DE FERRO GALVANIZADO, COM ROSCA BSP, DE 2 1/2"</v>
          </cell>
          <cell r="D2684" t="str">
            <v>UN</v>
          </cell>
          <cell r="E2684" t="str">
            <v>CR</v>
          </cell>
          <cell r="F2684">
            <v>66.790000000000006</v>
          </cell>
        </row>
        <row r="2685">
          <cell r="B2685">
            <v>3912</v>
          </cell>
          <cell r="C2685" t="str">
            <v>LUVA DE FERRO GALVANIZADO, COM ROSCA BSP, DE 2"</v>
          </cell>
          <cell r="D2685" t="str">
            <v>UN</v>
          </cell>
          <cell r="E2685" t="str">
            <v>CR</v>
          </cell>
          <cell r="F2685">
            <v>36.61</v>
          </cell>
        </row>
        <row r="2686">
          <cell r="B2686">
            <v>3914</v>
          </cell>
          <cell r="C2686" t="str">
            <v>LUVA DE FERRO GALVANIZADO, COM ROSCA BSP, DE 3"</v>
          </cell>
          <cell r="D2686" t="str">
            <v>UN</v>
          </cell>
          <cell r="E2686" t="str">
            <v>CR</v>
          </cell>
          <cell r="F2686">
            <v>100.76</v>
          </cell>
        </row>
        <row r="2687">
          <cell r="B2687">
            <v>3909</v>
          </cell>
          <cell r="C2687" t="str">
            <v>LUVA DE FERRO GALVANIZADO, COM ROSCA BSP, DE 3/4"</v>
          </cell>
          <cell r="D2687" t="str">
            <v>UN</v>
          </cell>
          <cell r="E2687" t="str">
            <v>CR</v>
          </cell>
          <cell r="F2687">
            <v>8.59</v>
          </cell>
        </row>
        <row r="2688">
          <cell r="B2688">
            <v>3915</v>
          </cell>
          <cell r="C2688" t="str">
            <v>LUVA DE FERRO GALVANIZADO, COM ROSCA BSP, DE 4"</v>
          </cell>
          <cell r="D2688" t="str">
            <v>UN</v>
          </cell>
          <cell r="E2688" t="str">
            <v>CR</v>
          </cell>
          <cell r="F2688">
            <v>158.9</v>
          </cell>
        </row>
        <row r="2689">
          <cell r="B2689">
            <v>3916</v>
          </cell>
          <cell r="C2689" t="str">
            <v>LUVA DE FERRO GALVANIZADO, COM ROSCA BSP, DE 5"</v>
          </cell>
          <cell r="D2689" t="str">
            <v>UN</v>
          </cell>
          <cell r="E2689" t="str">
            <v>CR</v>
          </cell>
          <cell r="F2689">
            <v>289.48</v>
          </cell>
        </row>
        <row r="2690">
          <cell r="B2690">
            <v>3917</v>
          </cell>
          <cell r="C2690" t="str">
            <v>LUVA DE FERRO GALVANIZADO, COM ROSCA BSP, DE 6"</v>
          </cell>
          <cell r="D2690" t="str">
            <v>UN</v>
          </cell>
          <cell r="E2690" t="str">
            <v>CR</v>
          </cell>
          <cell r="F2690">
            <v>477.46</v>
          </cell>
        </row>
        <row r="2691">
          <cell r="B2691">
            <v>45266</v>
          </cell>
          <cell r="C2691" t="str">
            <v>LUVA DE LATEX MULTIUSO AMARELA FORRADA</v>
          </cell>
          <cell r="D2691" t="str">
            <v>PAR</v>
          </cell>
          <cell r="E2691" t="str">
            <v>CR</v>
          </cell>
          <cell r="F2691">
            <v>3.3</v>
          </cell>
        </row>
        <row r="2692">
          <cell r="B2692">
            <v>1904</v>
          </cell>
          <cell r="C2692" t="str">
            <v>LUVA DE PRESSAO, EM PVC, DE 20 MM, PARA ELETRODUTO FLEXIVEL</v>
          </cell>
          <cell r="D2692" t="str">
            <v>UN</v>
          </cell>
          <cell r="E2692" t="str">
            <v>CR</v>
          </cell>
          <cell r="F2692">
            <v>0.76</v>
          </cell>
        </row>
        <row r="2693">
          <cell r="B2693">
            <v>1899</v>
          </cell>
          <cell r="C2693" t="str">
            <v>LUVA DE PRESSAO, EM PVC, DE 25 MM, PARA ELETRODUTO FLEXIVEL</v>
          </cell>
          <cell r="D2693" t="str">
            <v>UN</v>
          </cell>
          <cell r="E2693" t="str">
            <v>CR</v>
          </cell>
          <cell r="F2693">
            <v>0.87</v>
          </cell>
        </row>
        <row r="2694">
          <cell r="B2694">
            <v>1900</v>
          </cell>
          <cell r="C2694" t="str">
            <v>LUVA DE PRESSAO, EM PVC, DE 32 MM, PARA ELETRODUTO FLEXIVEL</v>
          </cell>
          <cell r="D2694" t="str">
            <v>UN</v>
          </cell>
          <cell r="E2694" t="str">
            <v>CR</v>
          </cell>
          <cell r="F2694">
            <v>1.4</v>
          </cell>
        </row>
        <row r="2695">
          <cell r="B2695">
            <v>12407</v>
          </cell>
          <cell r="C2695" t="str">
            <v>LUVA DE REDUCAO DE FERRO GALVANIZADO, COM ROSCA BSP MACHO/FEMEA, DE 1 1/2" X 1"</v>
          </cell>
          <cell r="D2695" t="str">
            <v>UN</v>
          </cell>
          <cell r="E2695" t="str">
            <v>CR</v>
          </cell>
          <cell r="F2695">
            <v>36.15</v>
          </cell>
        </row>
        <row r="2696">
          <cell r="B2696">
            <v>12408</v>
          </cell>
          <cell r="C2696" t="str">
            <v>LUVA DE REDUCAO DE FERRO GALVANIZADO, COM ROSCA BSP MACHO/FEMEA, DE 1" X 1/2"</v>
          </cell>
          <cell r="D2696" t="str">
            <v>UN</v>
          </cell>
          <cell r="E2696" t="str">
            <v>CR</v>
          </cell>
          <cell r="F2696">
            <v>20.399999999999999</v>
          </cell>
        </row>
        <row r="2697">
          <cell r="B2697">
            <v>12409</v>
          </cell>
          <cell r="C2697" t="str">
            <v>LUVA DE REDUCAO DE FERRO GALVANIZADO, COM ROSCA BSP MACHO/FEMEA, DE 1" X 3/4"</v>
          </cell>
          <cell r="D2697" t="str">
            <v>UN</v>
          </cell>
          <cell r="E2697" t="str">
            <v>CR</v>
          </cell>
          <cell r="F2697">
            <v>20.399999999999999</v>
          </cell>
        </row>
        <row r="2698">
          <cell r="B2698">
            <v>12410</v>
          </cell>
          <cell r="C2698" t="str">
            <v>LUVA DE REDUCAO DE FERRO GALVANIZADO, COM ROSCA BSP MACHO/FEMEA, DE 3/4" X 1/2"</v>
          </cell>
          <cell r="D2698" t="str">
            <v>UN</v>
          </cell>
          <cell r="E2698" t="str">
            <v>CR</v>
          </cell>
          <cell r="F2698">
            <v>14.05</v>
          </cell>
        </row>
        <row r="2699">
          <cell r="B2699">
            <v>3936</v>
          </cell>
          <cell r="C2699" t="str">
            <v>LUVA DE REDUCAO DE FERRO GALVANIZADO, COM ROSCA BSP, DE 1 1/2" X 1 1/4"</v>
          </cell>
          <cell r="D2699" t="str">
            <v>UN</v>
          </cell>
          <cell r="E2699" t="str">
            <v>CR</v>
          </cell>
          <cell r="F2699">
            <v>25.39</v>
          </cell>
        </row>
        <row r="2700">
          <cell r="B2700">
            <v>3924</v>
          </cell>
          <cell r="C2700" t="str">
            <v>LUVA DE REDUCAO DE FERRO GALVANIZADO, COM ROSCA BSP, DE 1 1/2" X 1"</v>
          </cell>
          <cell r="D2700" t="str">
            <v>UN</v>
          </cell>
          <cell r="E2700" t="str">
            <v>CR</v>
          </cell>
          <cell r="F2700">
            <v>25.39</v>
          </cell>
        </row>
        <row r="2701">
          <cell r="B2701">
            <v>3922</v>
          </cell>
          <cell r="C2701" t="str">
            <v>LUVA DE REDUCAO DE FERRO GALVANIZADO, COM ROSCA BSP, DE 1 1/2" X 1/2"</v>
          </cell>
          <cell r="D2701" t="str">
            <v>UN</v>
          </cell>
          <cell r="E2701" t="str">
            <v>CR</v>
          </cell>
          <cell r="F2701">
            <v>23.36</v>
          </cell>
        </row>
        <row r="2702">
          <cell r="B2702">
            <v>3923</v>
          </cell>
          <cell r="C2702" t="str">
            <v>LUVA DE REDUCAO DE FERRO GALVANIZADO, COM ROSCA BSP, DE 1 1/2" X 3/4"</v>
          </cell>
          <cell r="D2702" t="str">
            <v>UN</v>
          </cell>
          <cell r="E2702" t="str">
            <v>CR</v>
          </cell>
          <cell r="F2702">
            <v>25.39</v>
          </cell>
        </row>
        <row r="2703">
          <cell r="B2703">
            <v>3921</v>
          </cell>
          <cell r="C2703" t="str">
            <v>LUVA DE REDUCAO DE FERRO GALVANIZADO, COM ROSCA BSP, DE 1 1/4" X 1"</v>
          </cell>
          <cell r="D2703" t="str">
            <v>UN</v>
          </cell>
          <cell r="E2703" t="str">
            <v>CR</v>
          </cell>
          <cell r="F2703">
            <v>20.96</v>
          </cell>
        </row>
        <row r="2704">
          <cell r="B2704">
            <v>3937</v>
          </cell>
          <cell r="C2704" t="str">
            <v>LUVA DE REDUCAO DE FERRO GALVANIZADO, COM ROSCA BSP, DE 1 1/4" X 1/2"</v>
          </cell>
          <cell r="D2704" t="str">
            <v>UN</v>
          </cell>
          <cell r="E2704" t="str">
            <v>CR</v>
          </cell>
          <cell r="F2704">
            <v>20.95</v>
          </cell>
        </row>
        <row r="2705">
          <cell r="B2705">
            <v>3920</v>
          </cell>
          <cell r="C2705" t="str">
            <v>LUVA DE REDUCAO DE FERRO GALVANIZADO, COM ROSCA BSP, DE 1 1/4" X 3/4"</v>
          </cell>
          <cell r="D2705" t="str">
            <v>UN</v>
          </cell>
          <cell r="E2705" t="str">
            <v>CR</v>
          </cell>
          <cell r="F2705">
            <v>20.95</v>
          </cell>
        </row>
        <row r="2706">
          <cell r="B2706">
            <v>3938</v>
          </cell>
          <cell r="C2706" t="str">
            <v>LUVA DE REDUCAO DE FERRO GALVANIZADO, COM ROSCA BSP, DE 1" X 1/2"</v>
          </cell>
          <cell r="D2706" t="str">
            <v>UN</v>
          </cell>
          <cell r="E2706" t="str">
            <v>CR</v>
          </cell>
          <cell r="F2706">
            <v>13.81</v>
          </cell>
        </row>
        <row r="2707">
          <cell r="B2707">
            <v>3919</v>
          </cell>
          <cell r="C2707" t="str">
            <v>LUVA DE REDUCAO DE FERRO GALVANIZADO, COM ROSCA BSP, DE 1" X 3/4"</v>
          </cell>
          <cell r="D2707" t="str">
            <v>UN</v>
          </cell>
          <cell r="E2707" t="str">
            <v>CR</v>
          </cell>
          <cell r="F2707">
            <v>14.08</v>
          </cell>
        </row>
        <row r="2708">
          <cell r="B2708">
            <v>3927</v>
          </cell>
          <cell r="C2708" t="str">
            <v>LUVA DE REDUCAO DE FERRO GALVANIZADO, COM ROSCA BSP, DE 2 1/2" X 1 1/2"</v>
          </cell>
          <cell r="D2708" t="str">
            <v>UN</v>
          </cell>
          <cell r="E2708" t="str">
            <v>CR</v>
          </cell>
          <cell r="F2708">
            <v>71.319999999999993</v>
          </cell>
        </row>
        <row r="2709">
          <cell r="B2709">
            <v>3928</v>
          </cell>
          <cell r="C2709" t="str">
            <v>LUVA DE REDUCAO DE FERRO GALVANIZADO, COM ROSCA BSP, DE 2 1/2" X 2"</v>
          </cell>
          <cell r="D2709" t="str">
            <v>UN</v>
          </cell>
          <cell r="E2709" t="str">
            <v>CR</v>
          </cell>
          <cell r="F2709">
            <v>71.319999999999993</v>
          </cell>
        </row>
        <row r="2710">
          <cell r="B2710">
            <v>3926</v>
          </cell>
          <cell r="C2710" t="str">
            <v>LUVA DE REDUCAO DE FERRO GALVANIZADO, COM ROSCA BSP, DE 2" X 1 1/2"</v>
          </cell>
          <cell r="D2710" t="str">
            <v>UN</v>
          </cell>
          <cell r="E2710" t="str">
            <v>CR</v>
          </cell>
          <cell r="F2710">
            <v>40.659999999999997</v>
          </cell>
        </row>
        <row r="2711">
          <cell r="B2711">
            <v>3935</v>
          </cell>
          <cell r="C2711" t="str">
            <v>LUVA DE REDUCAO DE FERRO GALVANIZADO, COM ROSCA BSP, DE 2" X 1 1/4"</v>
          </cell>
          <cell r="D2711" t="str">
            <v>UN</v>
          </cell>
          <cell r="E2711" t="str">
            <v>CR</v>
          </cell>
          <cell r="F2711">
            <v>40.659999999999997</v>
          </cell>
        </row>
        <row r="2712">
          <cell r="B2712">
            <v>3925</v>
          </cell>
          <cell r="C2712" t="str">
            <v>LUVA DE REDUCAO DE FERRO GALVANIZADO, COM ROSCA BSP, DE 2" X 1"</v>
          </cell>
          <cell r="D2712" t="str">
            <v>UN</v>
          </cell>
          <cell r="E2712" t="str">
            <v>CR</v>
          </cell>
          <cell r="F2712">
            <v>40.659999999999997</v>
          </cell>
        </row>
        <row r="2713">
          <cell r="B2713">
            <v>3929</v>
          </cell>
          <cell r="C2713" t="str">
            <v>LUVA DE REDUCAO DE FERRO GALVANIZADO, COM ROSCA BSP, DE 3" X 1 1/2"</v>
          </cell>
          <cell r="D2713" t="str">
            <v>UN</v>
          </cell>
          <cell r="E2713" t="str">
            <v>CR</v>
          </cell>
          <cell r="F2713">
            <v>108.66</v>
          </cell>
        </row>
        <row r="2714">
          <cell r="B2714">
            <v>3931</v>
          </cell>
          <cell r="C2714" t="str">
            <v>LUVA DE REDUCAO DE FERRO GALVANIZADO, COM ROSCA BSP, DE 3" X 2 1/2"</v>
          </cell>
          <cell r="D2714" t="str">
            <v>UN</v>
          </cell>
          <cell r="E2714" t="str">
            <v>CR</v>
          </cell>
          <cell r="F2714">
            <v>108.66</v>
          </cell>
        </row>
        <row r="2715">
          <cell r="B2715">
            <v>3930</v>
          </cell>
          <cell r="C2715" t="str">
            <v>LUVA DE REDUCAO DE FERRO GALVANIZADO, COM ROSCA BSP, DE 3" X 2"</v>
          </cell>
          <cell r="D2715" t="str">
            <v>UN</v>
          </cell>
          <cell r="E2715" t="str">
            <v>CR</v>
          </cell>
          <cell r="F2715">
            <v>108.66</v>
          </cell>
        </row>
        <row r="2716">
          <cell r="B2716">
            <v>12406</v>
          </cell>
          <cell r="C2716" t="str">
            <v>LUVA DE REDUCAO DE FERRO GALVANIZADO, COM ROSCA BSP, DE 3/4" X 1/2"</v>
          </cell>
          <cell r="D2716" t="str">
            <v>UN</v>
          </cell>
          <cell r="E2716" t="str">
            <v>CR</v>
          </cell>
          <cell r="F2716">
            <v>9.98</v>
          </cell>
        </row>
        <row r="2717">
          <cell r="B2717">
            <v>3932</v>
          </cell>
          <cell r="C2717" t="str">
            <v>LUVA DE REDUCAO DE FERRO GALVANIZADO, COM ROSCA BSP, DE 4" X 2 1/2"</v>
          </cell>
          <cell r="D2717" t="str">
            <v>UN</v>
          </cell>
          <cell r="E2717" t="str">
            <v>CR</v>
          </cell>
          <cell r="F2717">
            <v>187.63</v>
          </cell>
        </row>
        <row r="2718">
          <cell r="B2718">
            <v>3933</v>
          </cell>
          <cell r="C2718" t="str">
            <v>LUVA DE REDUCAO DE FERRO GALVANIZADO, COM ROSCA BSP, DE 4" X 2"</v>
          </cell>
          <cell r="D2718" t="str">
            <v>UN</v>
          </cell>
          <cell r="E2718" t="str">
            <v>CR</v>
          </cell>
          <cell r="F2718">
            <v>187.63</v>
          </cell>
        </row>
        <row r="2719">
          <cell r="B2719">
            <v>3934</v>
          </cell>
          <cell r="C2719" t="str">
            <v>LUVA DE REDUCAO DE FERRO GALVANIZADO, COM ROSCA BSP, DE 4" X 3"</v>
          </cell>
          <cell r="D2719" t="str">
            <v>UN</v>
          </cell>
          <cell r="E2719" t="str">
            <v>CR</v>
          </cell>
          <cell r="F2719">
            <v>187.63</v>
          </cell>
        </row>
        <row r="2720">
          <cell r="B2720">
            <v>40355</v>
          </cell>
          <cell r="C2720" t="str">
            <v>LUVA DE REDUCAO EM ACO CARBONO, COM ENCAIXE PARA SOLDA DN SW, PRESSAO 3.000 LBS, 3/4" X 1/2"</v>
          </cell>
          <cell r="D2720" t="str">
            <v>UN</v>
          </cell>
          <cell r="E2720" t="str">
            <v>CR</v>
          </cell>
          <cell r="F2720">
            <v>12.72</v>
          </cell>
        </row>
        <row r="2721">
          <cell r="B2721">
            <v>40364</v>
          </cell>
          <cell r="C2721" t="str">
            <v>LUVA DE REDUCAO EM ACO CARBONO, COM ENCAIXE PARA SOLDA DN SW, PRESSAO 3.000 LBS, DN 1 1/2" X 1 1/4"</v>
          </cell>
          <cell r="D2721" t="str">
            <v>UN</v>
          </cell>
          <cell r="E2721" t="str">
            <v>CR</v>
          </cell>
          <cell r="F2721">
            <v>59.6</v>
          </cell>
        </row>
        <row r="2722">
          <cell r="B2722">
            <v>40361</v>
          </cell>
          <cell r="C2722" t="str">
            <v>LUVA DE REDUCAO EM ACO CARBONO, COM ENCAIXE PARA SOLDA DN SW, PRESSAO 3.000 LBS, DN 1 1/4" X 1"</v>
          </cell>
          <cell r="D2722" t="str">
            <v>UN</v>
          </cell>
          <cell r="E2722" t="str">
            <v>CR</v>
          </cell>
          <cell r="F2722">
            <v>46.6</v>
          </cell>
        </row>
        <row r="2723">
          <cell r="B2723">
            <v>40358</v>
          </cell>
          <cell r="C2723" t="str">
            <v>LUVA DE REDUCAO EM ACO CARBONO, COM ENCAIXE PARA SOLDA DN SW, PRESSAO 3.000 LBS, DN 1" X 3/4"</v>
          </cell>
          <cell r="D2723" t="str">
            <v>UN</v>
          </cell>
          <cell r="E2723" t="str">
            <v>CR</v>
          </cell>
          <cell r="F2723">
            <v>17.760000000000002</v>
          </cell>
        </row>
        <row r="2724">
          <cell r="B2724">
            <v>40370</v>
          </cell>
          <cell r="C2724" t="str">
            <v>LUVA DE REDUCAO EM ACO CARBONO, COM ENCAIXE PARA SOLDA DN SW, PRESSAO 3.000 LBS, DN 2 1/2" X 2"</v>
          </cell>
          <cell r="D2724" t="str">
            <v>UN</v>
          </cell>
          <cell r="E2724" t="str">
            <v>CR</v>
          </cell>
          <cell r="F2724">
            <v>189.1</v>
          </cell>
        </row>
        <row r="2725">
          <cell r="B2725">
            <v>40367</v>
          </cell>
          <cell r="C2725" t="str">
            <v>LUVA DE REDUCAO EM ACO CARBONO, COM ENCAIXE PARA SOLDA DN SW, PRESSAO 3.000 LBS, DN 2" X 1 1/2"</v>
          </cell>
          <cell r="D2725" t="str">
            <v>UN</v>
          </cell>
          <cell r="E2725" t="str">
            <v>CR</v>
          </cell>
          <cell r="F2725">
            <v>93.99</v>
          </cell>
        </row>
        <row r="2726">
          <cell r="B2726">
            <v>40373</v>
          </cell>
          <cell r="C2726" t="str">
            <v>LUVA DE REDUCAO EM ACO CARBONO, COM ENCAIXE PARA SOLDA DN SW, PRESSAO 3.000 LBS, DN 3" X 2 1/2"</v>
          </cell>
          <cell r="D2726" t="str">
            <v>UN</v>
          </cell>
          <cell r="E2726" t="str">
            <v>CR</v>
          </cell>
          <cell r="F2726">
            <v>255.72</v>
          </cell>
        </row>
        <row r="2727">
          <cell r="B2727">
            <v>3907</v>
          </cell>
          <cell r="C2727" t="str">
            <v>LUVA DE REDUCAO ROSCAVEL, PVC, 1" X 3/4", PARA AGUA FRIA PREDIAL</v>
          </cell>
          <cell r="D2727" t="str">
            <v>UN</v>
          </cell>
          <cell r="E2727" t="str">
            <v>CR</v>
          </cell>
          <cell r="F2727">
            <v>6.32</v>
          </cell>
        </row>
        <row r="2728">
          <cell r="B2728">
            <v>3889</v>
          </cell>
          <cell r="C2728" t="str">
            <v>LUVA DE REDUCAO ROSCAVEL, PVC, 3/4" X 1/2", PARA AGUA FRIA PREDIAL</v>
          </cell>
          <cell r="D2728" t="str">
            <v>UN</v>
          </cell>
          <cell r="E2728" t="str">
            <v>CR</v>
          </cell>
          <cell r="F2728">
            <v>4.5</v>
          </cell>
        </row>
        <row r="2729">
          <cell r="B2729">
            <v>3868</v>
          </cell>
          <cell r="C2729" t="str">
            <v>LUVA DE REDUCAO SOLDAVEL, PVC, 25 MM X 20 MM, PARA AGUA FRIA PREDIAL</v>
          </cell>
          <cell r="D2729" t="str">
            <v>UN</v>
          </cell>
          <cell r="E2729" t="str">
            <v>CR</v>
          </cell>
          <cell r="F2729">
            <v>1.65</v>
          </cell>
        </row>
        <row r="2730">
          <cell r="B2730">
            <v>3869</v>
          </cell>
          <cell r="C2730" t="str">
            <v>LUVA DE REDUCAO SOLDAVEL, PVC, 32 MM X 25 MM, PARA AGUA FRIA PREDIAL</v>
          </cell>
          <cell r="D2730" t="str">
            <v>UN</v>
          </cell>
          <cell r="E2730" t="str">
            <v>CR</v>
          </cell>
          <cell r="F2730">
            <v>3.66</v>
          </cell>
        </row>
        <row r="2731">
          <cell r="B2731">
            <v>3872</v>
          </cell>
          <cell r="C2731" t="str">
            <v>LUVA DE REDUCAO SOLDAVEL, PVC, 40 MM X 32 MM, PARA AGUA FRIA PREDIAL</v>
          </cell>
          <cell r="D2731" t="str">
            <v>UN</v>
          </cell>
          <cell r="E2731" t="str">
            <v>CR</v>
          </cell>
          <cell r="F2731">
            <v>6.24</v>
          </cell>
        </row>
        <row r="2732">
          <cell r="B2732">
            <v>3850</v>
          </cell>
          <cell r="C2732" t="str">
            <v>LUVA DE REDUCAO SOLDAVEL, PVC, 60 MM X 50 MM, PARA AGUA FRIA PREDIAL</v>
          </cell>
          <cell r="D2732" t="str">
            <v>UN</v>
          </cell>
          <cell r="E2732" t="str">
            <v>CR</v>
          </cell>
          <cell r="F2732">
            <v>14.4</v>
          </cell>
        </row>
        <row r="2733">
          <cell r="B2733">
            <v>38023</v>
          </cell>
          <cell r="C2733" t="str">
            <v>LUVA DE REDUCAO, SOLDAVEL, PVC, 50 X 25 MM, PARA AGUA FRIA PREDIAL</v>
          </cell>
          <cell r="D2733" t="str">
            <v>UN</v>
          </cell>
          <cell r="E2733" t="str">
            <v>CR</v>
          </cell>
          <cell r="F2733">
            <v>7.33</v>
          </cell>
        </row>
        <row r="2734">
          <cell r="B2734">
            <v>37986</v>
          </cell>
          <cell r="C2734" t="str">
            <v>LUVA DE TRANSICAO DE CPVC X PVC, SOLDAVEL, 22 X 25 MM, PARA AGUA QUENTE</v>
          </cell>
          <cell r="D2734" t="str">
            <v>UN</v>
          </cell>
          <cell r="E2734" t="str">
            <v>CR</v>
          </cell>
          <cell r="F2734">
            <v>2.36</v>
          </cell>
        </row>
        <row r="2735">
          <cell r="B2735">
            <v>21120</v>
          </cell>
          <cell r="C2735" t="str">
            <v>LUVA DE TRANSICAO, CPVC, 15 MM X 1/2", PARA AGUA QUENTE PREDIAL</v>
          </cell>
          <cell r="D2735" t="str">
            <v>UN</v>
          </cell>
          <cell r="E2735" t="str">
            <v>CR</v>
          </cell>
          <cell r="F2735">
            <v>12.07</v>
          </cell>
        </row>
        <row r="2736">
          <cell r="B2736">
            <v>39318</v>
          </cell>
          <cell r="C2736" t="str">
            <v>LUVA DE TRANSICAO, CPVC, 22 MM X 1/2", PARA AGUA QUENTE</v>
          </cell>
          <cell r="D2736" t="str">
            <v>UN</v>
          </cell>
          <cell r="E2736" t="str">
            <v>CR</v>
          </cell>
          <cell r="F2736">
            <v>11.22</v>
          </cell>
        </row>
        <row r="2737">
          <cell r="B2737">
            <v>37987</v>
          </cell>
          <cell r="C2737" t="str">
            <v>LUVA DE TRANSICAO, CPVC, SOLDAVEL, 42 MM X 1 1/2", PARA AGUA QUENTE</v>
          </cell>
          <cell r="D2737" t="str">
            <v>UN</v>
          </cell>
          <cell r="E2737" t="str">
            <v>CR</v>
          </cell>
          <cell r="F2737">
            <v>118.01</v>
          </cell>
        </row>
        <row r="2738">
          <cell r="B2738">
            <v>37988</v>
          </cell>
          <cell r="C2738" t="str">
            <v>LUVA DE TRANSICAO, CPVC, SOLDAVEL, 54 MM X 2", PARA AGUA QUENTE PREDIAL</v>
          </cell>
          <cell r="D2738" t="str">
            <v>UN</v>
          </cell>
          <cell r="E2738" t="str">
            <v>CR</v>
          </cell>
          <cell r="F2738">
            <v>187.52</v>
          </cell>
        </row>
        <row r="2739">
          <cell r="B2739">
            <v>40366</v>
          </cell>
          <cell r="C2739" t="str">
            <v>LUVA EM ACO CARBONO, SOLDAVEL, PRESSAO 3.000 LBS, DN 1 1/2"</v>
          </cell>
          <cell r="D2739" t="str">
            <v>UN</v>
          </cell>
          <cell r="E2739" t="str">
            <v>CR</v>
          </cell>
          <cell r="F2739">
            <v>46.49</v>
          </cell>
        </row>
        <row r="2740">
          <cell r="B2740">
            <v>40363</v>
          </cell>
          <cell r="C2740" t="str">
            <v>LUVA EM ACO CARBONO, SOLDAVEL, PRESSAO 3.000 LBS, DN 1 1/4"</v>
          </cell>
          <cell r="D2740" t="str">
            <v>UN</v>
          </cell>
          <cell r="E2740" t="str">
            <v>CR</v>
          </cell>
          <cell r="F2740">
            <v>36.36</v>
          </cell>
        </row>
        <row r="2741">
          <cell r="B2741">
            <v>40360</v>
          </cell>
          <cell r="C2741" t="str">
            <v>LUVA EM ACO CARBONO, SOLDAVEL, PRESSAO 3.000 LBS, DN 1"</v>
          </cell>
          <cell r="D2741" t="str">
            <v>UN</v>
          </cell>
          <cell r="E2741" t="str">
            <v>CR</v>
          </cell>
          <cell r="F2741">
            <v>23.84</v>
          </cell>
        </row>
        <row r="2742">
          <cell r="B2742">
            <v>40354</v>
          </cell>
          <cell r="C2742" t="str">
            <v>LUVA EM ACO CARBONO, SOLDAVEL, PRESSAO 3.000 LBS, DN 1/2"</v>
          </cell>
          <cell r="D2742" t="str">
            <v>UN</v>
          </cell>
          <cell r="E2742" t="str">
            <v>C</v>
          </cell>
          <cell r="F2742">
            <v>15.83</v>
          </cell>
        </row>
        <row r="2743">
          <cell r="B2743">
            <v>40372</v>
          </cell>
          <cell r="C2743" t="str">
            <v>LUVA EM ACO CARBONO, SOLDAVEL, PRESSAO 3.000 LBS, DN 2 1/2"</v>
          </cell>
          <cell r="D2743" t="str">
            <v>UN</v>
          </cell>
          <cell r="E2743" t="str">
            <v>CR</v>
          </cell>
          <cell r="F2743">
            <v>147.19999999999999</v>
          </cell>
        </row>
        <row r="2744">
          <cell r="B2744">
            <v>40369</v>
          </cell>
          <cell r="C2744" t="str">
            <v>LUVA EM ACO CARBONO, SOLDAVEL, PRESSAO 3.000 LBS, DN 2"</v>
          </cell>
          <cell r="D2744" t="str">
            <v>UN</v>
          </cell>
          <cell r="E2744" t="str">
            <v>CR</v>
          </cell>
          <cell r="F2744">
            <v>73.260000000000005</v>
          </cell>
        </row>
        <row r="2745">
          <cell r="B2745">
            <v>40375</v>
          </cell>
          <cell r="C2745" t="str">
            <v>LUVA EM ACO CARBONO, SOLDAVEL, PRESSAO 3.000 LBS, DN 3"</v>
          </cell>
          <cell r="D2745" t="str">
            <v>UN</v>
          </cell>
          <cell r="E2745" t="str">
            <v>CR</v>
          </cell>
          <cell r="F2745">
            <v>199.28</v>
          </cell>
        </row>
        <row r="2746">
          <cell r="B2746">
            <v>40357</v>
          </cell>
          <cell r="C2746" t="str">
            <v>LUVA EM ACO CARBONO, SOLDAVEL, PRESSAO 3.000 LBS, DN 3/4"</v>
          </cell>
          <cell r="D2746" t="str">
            <v>UN</v>
          </cell>
          <cell r="E2746" t="str">
            <v>CR</v>
          </cell>
          <cell r="F2746">
            <v>17.760000000000002</v>
          </cell>
        </row>
        <row r="2747">
          <cell r="B2747">
            <v>1893</v>
          </cell>
          <cell r="C2747" t="str">
            <v>LUVA EM PVC RIGIDO ROSCAVEL, DE 1 1/2", PARA ELETRODUTO</v>
          </cell>
          <cell r="D2747" t="str">
            <v>UN</v>
          </cell>
          <cell r="E2747" t="str">
            <v>CR</v>
          </cell>
          <cell r="F2747">
            <v>2.89</v>
          </cell>
        </row>
        <row r="2748">
          <cell r="B2748">
            <v>1902</v>
          </cell>
          <cell r="C2748" t="str">
            <v>LUVA EM PVC RIGIDO ROSCAVEL, DE 1 1/4", PARA ELETRODUTO</v>
          </cell>
          <cell r="D2748" t="str">
            <v>UN</v>
          </cell>
          <cell r="E2748" t="str">
            <v>CR</v>
          </cell>
          <cell r="F2748">
            <v>2.1</v>
          </cell>
        </row>
        <row r="2749">
          <cell r="B2749">
            <v>1892</v>
          </cell>
          <cell r="C2749" t="str">
            <v>LUVA EM PVC RIGIDO ROSCAVEL, DE 1", PARA ELETRODUTO</v>
          </cell>
          <cell r="D2749" t="str">
            <v>UN</v>
          </cell>
          <cell r="E2749" t="str">
            <v>CR</v>
          </cell>
          <cell r="F2749">
            <v>1.35</v>
          </cell>
        </row>
        <row r="2750">
          <cell r="B2750">
            <v>1901</v>
          </cell>
          <cell r="C2750" t="str">
            <v>LUVA EM PVC RIGIDO ROSCAVEL, DE 1/2", PARA ELETRODUTO</v>
          </cell>
          <cell r="D2750" t="str">
            <v>UN</v>
          </cell>
          <cell r="E2750" t="str">
            <v>CR</v>
          </cell>
          <cell r="F2750">
            <v>0.65</v>
          </cell>
        </row>
        <row r="2751">
          <cell r="B2751">
            <v>1907</v>
          </cell>
          <cell r="C2751" t="str">
            <v>LUVA EM PVC RIGIDO ROSCAVEL, DE 2 1/2", PARA ELETRODUTO</v>
          </cell>
          <cell r="D2751" t="str">
            <v>UN</v>
          </cell>
          <cell r="E2751" t="str">
            <v>CR</v>
          </cell>
          <cell r="F2751">
            <v>9.31</v>
          </cell>
        </row>
        <row r="2752">
          <cell r="B2752">
            <v>1894</v>
          </cell>
          <cell r="C2752" t="str">
            <v>LUVA EM PVC RIGIDO ROSCAVEL, DE 2", PARA ELETRODUTO</v>
          </cell>
          <cell r="D2752" t="str">
            <v>UN</v>
          </cell>
          <cell r="E2752" t="str">
            <v>CR</v>
          </cell>
          <cell r="F2752">
            <v>4.18</v>
          </cell>
        </row>
        <row r="2753">
          <cell r="B2753">
            <v>1896</v>
          </cell>
          <cell r="C2753" t="str">
            <v>LUVA EM PVC RIGIDO ROSCAVEL, DE 3", PARA ELETRODUTO</v>
          </cell>
          <cell r="D2753" t="str">
            <v>UN</v>
          </cell>
          <cell r="E2753" t="str">
            <v>CR</v>
          </cell>
          <cell r="F2753">
            <v>12.5</v>
          </cell>
        </row>
        <row r="2754">
          <cell r="B2754">
            <v>1891</v>
          </cell>
          <cell r="C2754" t="str">
            <v>LUVA EM PVC RIGIDO ROSCAVEL, DE 3/4", PARA ELETRODUTO</v>
          </cell>
          <cell r="D2754" t="str">
            <v>UN</v>
          </cell>
          <cell r="E2754" t="str">
            <v>CR</v>
          </cell>
          <cell r="F2754">
            <v>0.97</v>
          </cell>
        </row>
        <row r="2755">
          <cell r="B2755">
            <v>1895</v>
          </cell>
          <cell r="C2755" t="str">
            <v>LUVA EM PVC RIGIDO ROSCAVEL, DE 4", PARA ELETRODUTO</v>
          </cell>
          <cell r="D2755" t="str">
            <v>UN</v>
          </cell>
          <cell r="E2755" t="str">
            <v>CR</v>
          </cell>
          <cell r="F2755">
            <v>21.97</v>
          </cell>
        </row>
        <row r="2756">
          <cell r="B2756">
            <v>2641</v>
          </cell>
          <cell r="C2756" t="str">
            <v>LUVA PARA ELETRODUTO, EM ACO GALVANIZADO ELETROLITICO, COM ROSCA, DIAMETRO DE 100 MM (4")</v>
          </cell>
          <cell r="D2756" t="str">
            <v>UN</v>
          </cell>
          <cell r="E2756" t="str">
            <v>CR</v>
          </cell>
          <cell r="F2756">
            <v>22.3</v>
          </cell>
        </row>
        <row r="2757">
          <cell r="B2757">
            <v>2636</v>
          </cell>
          <cell r="C2757" t="str">
            <v>LUVA PARA ELETRODUTO, EM ACO GALVANIZADO ELETROLITICO, COM ROSCA, DIAMETRO DE 15 MM (1/2")</v>
          </cell>
          <cell r="D2757" t="str">
            <v>UN</v>
          </cell>
          <cell r="E2757" t="str">
            <v>CR</v>
          </cell>
          <cell r="F2757">
            <v>1.43</v>
          </cell>
        </row>
        <row r="2758">
          <cell r="B2758">
            <v>2637</v>
          </cell>
          <cell r="C2758" t="str">
            <v>LUVA PARA ELETRODUTO, EM ACO GALVANIZADO ELETROLITICO, COM ROSCA, DIAMETRO DE 20 MM (3/4")</v>
          </cell>
          <cell r="D2758" t="str">
            <v>UN</v>
          </cell>
          <cell r="E2758" t="str">
            <v>CR</v>
          </cell>
          <cell r="F2758">
            <v>1.53</v>
          </cell>
        </row>
        <row r="2759">
          <cell r="B2759">
            <v>2638</v>
          </cell>
          <cell r="C2759" t="str">
            <v>LUVA PARA ELETRODUTO, EM ACO GALVANIZADO ELETROLITICO, COM ROSCA, DIAMETRO DE 25 MM (1")</v>
          </cell>
          <cell r="D2759" t="str">
            <v>UN</v>
          </cell>
          <cell r="E2759" t="str">
            <v>CR</v>
          </cell>
          <cell r="F2759">
            <v>1.77</v>
          </cell>
        </row>
        <row r="2760">
          <cell r="B2760">
            <v>2639</v>
          </cell>
          <cell r="C2760" t="str">
            <v>LUVA PARA ELETRODUTO, EM ACO GALVANIZADO ELETROLITICO, COM ROSCA, DIAMETRO DE 32 MM (1 1/4")</v>
          </cell>
          <cell r="D2760" t="str">
            <v>UN</v>
          </cell>
          <cell r="E2760" t="str">
            <v>CR</v>
          </cell>
          <cell r="F2760">
            <v>3.15</v>
          </cell>
        </row>
        <row r="2761">
          <cell r="B2761">
            <v>2644</v>
          </cell>
          <cell r="C2761" t="str">
            <v>LUVA PARA ELETRODUTO, EM ACO GALVANIZADO ELETROLITICO, COM ROSCA, DIAMETRO DE 40 MM (1 1/2")</v>
          </cell>
          <cell r="D2761" t="str">
            <v>UN</v>
          </cell>
          <cell r="E2761" t="str">
            <v>CR</v>
          </cell>
          <cell r="F2761">
            <v>4.5599999999999996</v>
          </cell>
        </row>
        <row r="2762">
          <cell r="B2762">
            <v>2640</v>
          </cell>
          <cell r="C2762" t="str">
            <v>LUVA PARA ELETRODUTO, EM ACO GALVANIZADO ELETROLITICO, COM ROSCA, DIAMETRO DE 65 MM (2 1/2")</v>
          </cell>
          <cell r="D2762" t="str">
            <v>UN</v>
          </cell>
          <cell r="E2762" t="str">
            <v>CR</v>
          </cell>
          <cell r="F2762">
            <v>9.2799999999999994</v>
          </cell>
        </row>
        <row r="2763">
          <cell r="B2763">
            <v>2642</v>
          </cell>
          <cell r="C2763" t="str">
            <v>LUVA PARA ELETRODUTO, EM ACO GALVANIZADO ELETROLITICO, COM ROSCA, DIAMETRO DE 80 MM (3")</v>
          </cell>
          <cell r="D2763" t="str">
            <v>UN</v>
          </cell>
          <cell r="E2763" t="str">
            <v>CR</v>
          </cell>
          <cell r="F2763">
            <v>14.13</v>
          </cell>
        </row>
        <row r="2764">
          <cell r="B2764">
            <v>2643</v>
          </cell>
          <cell r="C2764" t="str">
            <v>LUVA PARA ELETRODUTO, EM ACO GALVANIZADO ELETROLITICO, COM ROSCA,DIAMETRO DE 50 MM (2")</v>
          </cell>
          <cell r="D2764" t="str">
            <v>UN</v>
          </cell>
          <cell r="E2764" t="str">
            <v>CR</v>
          </cell>
          <cell r="F2764">
            <v>6.36</v>
          </cell>
        </row>
        <row r="2765">
          <cell r="B2765">
            <v>44281</v>
          </cell>
          <cell r="C2765" t="str">
            <v>LUVA PARA PERFURATRIZ DE ESTEIRA T38, D = 1 1/2"</v>
          </cell>
          <cell r="D2765" t="str">
            <v>UN</v>
          </cell>
          <cell r="E2765" t="str">
            <v>CR</v>
          </cell>
          <cell r="F2765">
            <v>271.5</v>
          </cell>
        </row>
        <row r="2766">
          <cell r="B2766">
            <v>39855</v>
          </cell>
          <cell r="C2766" t="str">
            <v>LUVA PASSANTE DE COBRE SEM ANEL DE SOLDA, BOLSA 15 MM</v>
          </cell>
          <cell r="D2766" t="str">
            <v>UN</v>
          </cell>
          <cell r="E2766" t="str">
            <v>CR</v>
          </cell>
          <cell r="F2766">
            <v>3.08</v>
          </cell>
        </row>
        <row r="2767">
          <cell r="B2767">
            <v>39856</v>
          </cell>
          <cell r="C2767" t="str">
            <v>LUVA PASSANTE DE COBRE SEM ANEL DE SOLDA, BOLSA 22 MM</v>
          </cell>
          <cell r="D2767" t="str">
            <v>UN</v>
          </cell>
          <cell r="E2767" t="str">
            <v>CR</v>
          </cell>
          <cell r="F2767">
            <v>7.26</v>
          </cell>
        </row>
        <row r="2768">
          <cell r="B2768">
            <v>39857</v>
          </cell>
          <cell r="C2768" t="str">
            <v>LUVA PASSANTE DE COBRE SEM ANEL DE SOLDA, BOLSA 28 MM</v>
          </cell>
          <cell r="D2768" t="str">
            <v>UN</v>
          </cell>
          <cell r="E2768" t="str">
            <v>CR</v>
          </cell>
          <cell r="F2768">
            <v>11.76</v>
          </cell>
        </row>
        <row r="2769">
          <cell r="B2769">
            <v>39858</v>
          </cell>
          <cell r="C2769" t="str">
            <v>LUVA PASSANTE DE COBRE SEM ANEL DE SOLDA, BOLSA 35 MM</v>
          </cell>
          <cell r="D2769" t="str">
            <v>UN</v>
          </cell>
          <cell r="E2769" t="str">
            <v>CR</v>
          </cell>
          <cell r="F2769">
            <v>26.09</v>
          </cell>
        </row>
        <row r="2770">
          <cell r="B2770">
            <v>39859</v>
          </cell>
          <cell r="C2770" t="str">
            <v>LUVA PASSANTE DE COBRE SEM ANEL DE SOLDA, BOLSA 42 MM</v>
          </cell>
          <cell r="D2770" t="str">
            <v>UN</v>
          </cell>
          <cell r="E2770" t="str">
            <v>CR</v>
          </cell>
          <cell r="F2770">
            <v>40.22</v>
          </cell>
        </row>
        <row r="2771">
          <cell r="B2771">
            <v>39860</v>
          </cell>
          <cell r="C2771" t="str">
            <v>LUVA PASSANTE DE COBRE SEM ANEL DE SOLDA, BOLSA 54 MM</v>
          </cell>
          <cell r="D2771" t="str">
            <v>UN</v>
          </cell>
          <cell r="E2771" t="str">
            <v>CR</v>
          </cell>
          <cell r="F2771">
            <v>61.72</v>
          </cell>
        </row>
        <row r="2772">
          <cell r="B2772">
            <v>39861</v>
          </cell>
          <cell r="C2772" t="str">
            <v>LUVA PASSANTE DE COBRE SEM ANEL DE SOLDA, BOLSA 66 MM</v>
          </cell>
          <cell r="D2772" t="str">
            <v>UN</v>
          </cell>
          <cell r="E2772" t="str">
            <v>CR</v>
          </cell>
          <cell r="F2772">
            <v>176.21</v>
          </cell>
        </row>
        <row r="2773">
          <cell r="B2773">
            <v>3867</v>
          </cell>
          <cell r="C2773" t="str">
            <v>LUVA PVC SOLDAVEL, 110 MM, PARA AGUA FRIA PREDIAL</v>
          </cell>
          <cell r="D2773" t="str">
            <v>UN</v>
          </cell>
          <cell r="E2773" t="str">
            <v>CR</v>
          </cell>
          <cell r="F2773">
            <v>87.68</v>
          </cell>
        </row>
        <row r="2774">
          <cell r="B2774">
            <v>3861</v>
          </cell>
          <cell r="C2774" t="str">
            <v>LUVA PVC SOLDAVEL, 20 MM, PARA AGUA FRIA PREDIAL</v>
          </cell>
          <cell r="D2774" t="str">
            <v>UN</v>
          </cell>
          <cell r="E2774" t="str">
            <v>CR</v>
          </cell>
          <cell r="F2774">
            <v>0.91</v>
          </cell>
        </row>
        <row r="2775">
          <cell r="B2775">
            <v>3904</v>
          </cell>
          <cell r="C2775" t="str">
            <v>LUVA PVC SOLDAVEL, 25 MM, PARA AGUA FRIA PREDIAL</v>
          </cell>
          <cell r="D2775" t="str">
            <v>UN</v>
          </cell>
          <cell r="E2775" t="str">
            <v>CR</v>
          </cell>
          <cell r="F2775">
            <v>0.96</v>
          </cell>
        </row>
        <row r="2776">
          <cell r="B2776">
            <v>3903</v>
          </cell>
          <cell r="C2776" t="str">
            <v>LUVA PVC SOLDAVEL, 32 MM, PARA AGUA FRIA PREDIAL</v>
          </cell>
          <cell r="D2776" t="str">
            <v>UN</v>
          </cell>
          <cell r="E2776" t="str">
            <v>CR</v>
          </cell>
          <cell r="F2776">
            <v>2.35</v>
          </cell>
        </row>
        <row r="2777">
          <cell r="B2777">
            <v>3862</v>
          </cell>
          <cell r="C2777" t="str">
            <v>LUVA PVC SOLDAVEL, 40 MM, PARA AGUA FRIA PREDIAL</v>
          </cell>
          <cell r="D2777" t="str">
            <v>UN</v>
          </cell>
          <cell r="E2777" t="str">
            <v>CR</v>
          </cell>
          <cell r="F2777">
            <v>5.01</v>
          </cell>
        </row>
        <row r="2778">
          <cell r="B2778">
            <v>3863</v>
          </cell>
          <cell r="C2778" t="str">
            <v>LUVA PVC SOLDAVEL, 50 MM, PARA AGUA FRIA PREDIAL</v>
          </cell>
          <cell r="D2778" t="str">
            <v>UN</v>
          </cell>
          <cell r="E2778" t="str">
            <v>CR</v>
          </cell>
          <cell r="F2778">
            <v>5.14</v>
          </cell>
        </row>
        <row r="2779">
          <cell r="B2779">
            <v>3864</v>
          </cell>
          <cell r="C2779" t="str">
            <v>LUVA PVC SOLDAVEL, 60 MM, PARA AGUA FRIA PREDIAL</v>
          </cell>
          <cell r="D2779" t="str">
            <v>UN</v>
          </cell>
          <cell r="E2779" t="str">
            <v>CR</v>
          </cell>
          <cell r="F2779">
            <v>15.73</v>
          </cell>
        </row>
        <row r="2780">
          <cell r="B2780">
            <v>3865</v>
          </cell>
          <cell r="C2780" t="str">
            <v>LUVA PVC SOLDAVEL, 75 MM, PARA AGUA FRIA PREDIAL</v>
          </cell>
          <cell r="D2780" t="str">
            <v>UN</v>
          </cell>
          <cell r="E2780" t="str">
            <v>CR</v>
          </cell>
          <cell r="F2780">
            <v>23</v>
          </cell>
        </row>
        <row r="2781">
          <cell r="B2781">
            <v>3866</v>
          </cell>
          <cell r="C2781" t="str">
            <v>LUVA PVC SOLDAVEL, 85 MM, PARA AGUA FRIA PREDIAL</v>
          </cell>
          <cell r="D2781" t="str">
            <v>UN</v>
          </cell>
          <cell r="E2781" t="str">
            <v>CR</v>
          </cell>
          <cell r="F2781">
            <v>51.64</v>
          </cell>
        </row>
        <row r="2782">
          <cell r="B2782">
            <v>3878</v>
          </cell>
          <cell r="C2782" t="str">
            <v>LUVA PVC, ROSCAVEL, 1 1/2", AGUA FRIA PREDIAL</v>
          </cell>
          <cell r="D2782" t="str">
            <v>UN</v>
          </cell>
          <cell r="E2782" t="str">
            <v>CR</v>
          </cell>
          <cell r="F2782">
            <v>14.08</v>
          </cell>
        </row>
        <row r="2783">
          <cell r="B2783">
            <v>3876</v>
          </cell>
          <cell r="C2783" t="str">
            <v>LUVA PVC, ROSCAVEL, 1", AGUA FRIA PREDIAL</v>
          </cell>
          <cell r="D2783" t="str">
            <v>UN</v>
          </cell>
          <cell r="E2783" t="str">
            <v>CR</v>
          </cell>
          <cell r="F2783">
            <v>5.6</v>
          </cell>
        </row>
        <row r="2784">
          <cell r="B2784">
            <v>3883</v>
          </cell>
          <cell r="C2784" t="str">
            <v>LUVA PVC, ROSCAVEL, 1/2", AGUA FRIA PREDIAL</v>
          </cell>
          <cell r="D2784" t="str">
            <v>UN</v>
          </cell>
          <cell r="E2784" t="str">
            <v>CR</v>
          </cell>
          <cell r="F2784">
            <v>1.8</v>
          </cell>
        </row>
        <row r="2785">
          <cell r="B2785">
            <v>3884</v>
          </cell>
          <cell r="C2785" t="str">
            <v>LUVA PVC, ROSCAVEL, 3/4", AGUA FRIA PREDIAL</v>
          </cell>
          <cell r="D2785" t="str">
            <v>UN</v>
          </cell>
          <cell r="E2785" t="str">
            <v>CR</v>
          </cell>
          <cell r="F2785">
            <v>2.85</v>
          </cell>
        </row>
        <row r="2786">
          <cell r="B2786">
            <v>12892</v>
          </cell>
          <cell r="C2786" t="str">
            <v>LUVA RASPA DE COURO, CANO CURTO (PUNHO *7* CM)</v>
          </cell>
          <cell r="D2786" t="str">
            <v>PAR</v>
          </cell>
          <cell r="E2786" t="str">
            <v>CR</v>
          </cell>
          <cell r="F2786">
            <v>12.49</v>
          </cell>
        </row>
        <row r="2787">
          <cell r="B2787">
            <v>38447</v>
          </cell>
          <cell r="C2787" t="str">
            <v>LUVA SIMPLES PPR, F/F, SOLDAVEL, DN 110 MM, PARA AGUA QUENTE PREDIAL</v>
          </cell>
          <cell r="D2787" t="str">
            <v>UN</v>
          </cell>
          <cell r="E2787" t="str">
            <v>CR</v>
          </cell>
          <cell r="F2787">
            <v>99.55</v>
          </cell>
        </row>
        <row r="2788">
          <cell r="B2788">
            <v>36320</v>
          </cell>
          <cell r="C2788" t="str">
            <v>LUVA SIMPLES PPR, F/F, SOLDAVEL, DN 20 MM, PARA AGUA QUENTE PREDIAL</v>
          </cell>
          <cell r="D2788" t="str">
            <v>UN</v>
          </cell>
          <cell r="E2788" t="str">
            <v>CR</v>
          </cell>
          <cell r="F2788">
            <v>2.67</v>
          </cell>
        </row>
        <row r="2789">
          <cell r="B2789">
            <v>36324</v>
          </cell>
          <cell r="C2789" t="str">
            <v>LUVA SIMPLES PPR, F/F, SOLDAVEL, DN 25 MM, PARA AGUA QUENTE PREDIAL</v>
          </cell>
          <cell r="D2789" t="str">
            <v>UN</v>
          </cell>
          <cell r="E2789" t="str">
            <v>CR</v>
          </cell>
          <cell r="F2789">
            <v>2.44</v>
          </cell>
        </row>
        <row r="2790">
          <cell r="B2790">
            <v>38441</v>
          </cell>
          <cell r="C2790" t="str">
            <v>LUVA SIMPLES PPR, F/F, SOLDAVEL, DN 32 MM, PARA AGUA QUENTE PREDIAL</v>
          </cell>
          <cell r="D2790" t="str">
            <v>UN</v>
          </cell>
          <cell r="E2790" t="str">
            <v>CR</v>
          </cell>
          <cell r="F2790">
            <v>4.37</v>
          </cell>
        </row>
        <row r="2791">
          <cell r="B2791">
            <v>38442</v>
          </cell>
          <cell r="C2791" t="str">
            <v>LUVA SIMPLES PPR, F/F, SOLDAVEL, DN 40 MM, PARA AGUA QUENTE PREDIAL</v>
          </cell>
          <cell r="D2791" t="str">
            <v>UN</v>
          </cell>
          <cell r="E2791" t="str">
            <v>CR</v>
          </cell>
          <cell r="F2791">
            <v>12.44</v>
          </cell>
        </row>
        <row r="2792">
          <cell r="B2792">
            <v>38443</v>
          </cell>
          <cell r="C2792" t="str">
            <v>LUVA SIMPLES PPR, F/F, SOLDAVEL, DN 50 MM, PARA AGUA QUENTE PREDIAL</v>
          </cell>
          <cell r="D2792" t="str">
            <v>UN</v>
          </cell>
          <cell r="E2792" t="str">
            <v>CR</v>
          </cell>
          <cell r="F2792">
            <v>15.09</v>
          </cell>
        </row>
        <row r="2793">
          <cell r="B2793">
            <v>38444</v>
          </cell>
          <cell r="C2793" t="str">
            <v>LUVA SIMPLES PPR, F/F, SOLDAVEL, DN 63 MM, PARA AGUA QUENTE PREDIAL</v>
          </cell>
          <cell r="D2793" t="str">
            <v>UN</v>
          </cell>
          <cell r="E2793" t="str">
            <v>CR</v>
          </cell>
          <cell r="F2793">
            <v>25.34</v>
          </cell>
        </row>
        <row r="2794">
          <cell r="B2794">
            <v>38445</v>
          </cell>
          <cell r="C2794" t="str">
            <v>LUVA SIMPLES PPR, F/F, SOLDAVEL, DN 75 MM, PARA AGUA QUENTE PREDIAL</v>
          </cell>
          <cell r="D2794" t="str">
            <v>UN</v>
          </cell>
          <cell r="E2794" t="str">
            <v>CR</v>
          </cell>
          <cell r="F2794">
            <v>47</v>
          </cell>
        </row>
        <row r="2795">
          <cell r="B2795">
            <v>38446</v>
          </cell>
          <cell r="C2795" t="str">
            <v>LUVA SIMPLES PPR, F/F, SOLDAVEL, DN 90 MM, PARA AGUA QUENTE PREDIAL</v>
          </cell>
          <cell r="D2795" t="str">
            <v>UN</v>
          </cell>
          <cell r="E2795" t="str">
            <v>CR</v>
          </cell>
          <cell r="F2795">
            <v>76.91</v>
          </cell>
        </row>
        <row r="2796">
          <cell r="B2796">
            <v>3837</v>
          </cell>
          <cell r="C2796" t="str">
            <v>LUVA SIMPLES PVC PBA, JE, DN 100 / DE 110 MM, PARA REDE DE AGUA</v>
          </cell>
          <cell r="D2796" t="str">
            <v>UN</v>
          </cell>
          <cell r="E2796" t="str">
            <v>CR</v>
          </cell>
          <cell r="F2796">
            <v>55.69</v>
          </cell>
        </row>
        <row r="2797">
          <cell r="B2797">
            <v>3845</v>
          </cell>
          <cell r="C2797" t="str">
            <v>LUVA SIMPLES PVC PBA, JE, DN 50 / DE 60 MM, PARA REDE DE AGUA</v>
          </cell>
          <cell r="D2797" t="str">
            <v>UN</v>
          </cell>
          <cell r="E2797" t="str">
            <v>CR</v>
          </cell>
          <cell r="F2797">
            <v>20.34</v>
          </cell>
        </row>
        <row r="2798">
          <cell r="B2798">
            <v>11045</v>
          </cell>
          <cell r="C2798" t="str">
            <v>LUVA SIMPLES PVC PBA, JE, DN 75 / DE 85 MM, PARA REDE DE AGUA</v>
          </cell>
          <cell r="D2798" t="str">
            <v>UN</v>
          </cell>
          <cell r="E2798" t="str">
            <v>CR</v>
          </cell>
          <cell r="F2798">
            <v>39.24</v>
          </cell>
        </row>
        <row r="2799">
          <cell r="B2799">
            <v>20170</v>
          </cell>
          <cell r="C2799" t="str">
            <v>LUVA SIMPLES, PVC SERIE R, 100 MM, PARA ESGOTO PREDIAL</v>
          </cell>
          <cell r="D2799" t="str">
            <v>UN</v>
          </cell>
          <cell r="E2799" t="str">
            <v>CR</v>
          </cell>
          <cell r="F2799">
            <v>16.3</v>
          </cell>
        </row>
        <row r="2800">
          <cell r="B2800">
            <v>20171</v>
          </cell>
          <cell r="C2800" t="str">
            <v>LUVA SIMPLES, PVC SERIE R, 150 MM, PARA ESGOTO PREDIAL</v>
          </cell>
          <cell r="D2800" t="str">
            <v>UN</v>
          </cell>
          <cell r="E2800" t="str">
            <v>CR</v>
          </cell>
          <cell r="F2800">
            <v>47.01</v>
          </cell>
        </row>
        <row r="2801">
          <cell r="B2801">
            <v>20167</v>
          </cell>
          <cell r="C2801" t="str">
            <v>LUVA SIMPLES, PVC SERIE R, 40 MM, PARA ESGOTO PREDIAL</v>
          </cell>
          <cell r="D2801" t="str">
            <v>UN</v>
          </cell>
          <cell r="E2801" t="str">
            <v>CR</v>
          </cell>
          <cell r="F2801">
            <v>5.91</v>
          </cell>
        </row>
        <row r="2802">
          <cell r="B2802">
            <v>20168</v>
          </cell>
          <cell r="C2802" t="str">
            <v>LUVA SIMPLES, PVC SERIE R, 50 MM, PARA ESGOTO PREDIAL</v>
          </cell>
          <cell r="D2802" t="str">
            <v>UN</v>
          </cell>
          <cell r="E2802" t="str">
            <v>CR</v>
          </cell>
          <cell r="F2802">
            <v>12.17</v>
          </cell>
        </row>
        <row r="2803">
          <cell r="B2803">
            <v>20169</v>
          </cell>
          <cell r="C2803" t="str">
            <v>LUVA SIMPLES, PVC SERIE R, 75 MM, PARA ESGOTO PREDIAL</v>
          </cell>
          <cell r="D2803" t="str">
            <v>UN</v>
          </cell>
          <cell r="E2803" t="str">
            <v>CR</v>
          </cell>
          <cell r="F2803">
            <v>14.2</v>
          </cell>
        </row>
        <row r="2804">
          <cell r="B2804">
            <v>3899</v>
          </cell>
          <cell r="C2804" t="str">
            <v>LUVA SIMPLES, PVC, SOLDAVEL, DN 100 MM, SERIE NORMAL, PARA ESGOTO PREDIAL</v>
          </cell>
          <cell r="D2804" t="str">
            <v>UN</v>
          </cell>
          <cell r="E2804" t="str">
            <v>CR</v>
          </cell>
          <cell r="F2804">
            <v>7.87</v>
          </cell>
        </row>
        <row r="2805">
          <cell r="B2805">
            <v>38676</v>
          </cell>
          <cell r="C2805" t="str">
            <v>LUVA SIMPLES, PVC, SOLDAVEL, DN 150 MM, SERIE NORMAL, PARA ESGOTO PREDIAL</v>
          </cell>
          <cell r="D2805" t="str">
            <v>UN</v>
          </cell>
          <cell r="E2805" t="str">
            <v>CR</v>
          </cell>
          <cell r="F2805">
            <v>39.39</v>
          </cell>
        </row>
        <row r="2806">
          <cell r="B2806">
            <v>3897</v>
          </cell>
          <cell r="C2806" t="str">
            <v>LUVA SIMPLES, PVC, SOLDAVEL, DN 40 MM, SERIE NORMAL, PARA ESGOTO PREDIAL</v>
          </cell>
          <cell r="D2806" t="str">
            <v>UN</v>
          </cell>
          <cell r="E2806" t="str">
            <v>CR</v>
          </cell>
          <cell r="F2806">
            <v>1.92</v>
          </cell>
        </row>
        <row r="2807">
          <cell r="B2807">
            <v>3875</v>
          </cell>
          <cell r="C2807" t="str">
            <v>LUVA SIMPLES, PVC, SOLDAVEL, DN 50 MM, SERIE NORMAL, PARA ESGOTO PREDIAL</v>
          </cell>
          <cell r="D2807" t="str">
            <v>UN</v>
          </cell>
          <cell r="E2807" t="str">
            <v>CR</v>
          </cell>
          <cell r="F2807">
            <v>3.97</v>
          </cell>
        </row>
        <row r="2808">
          <cell r="B2808">
            <v>3898</v>
          </cell>
          <cell r="C2808" t="str">
            <v>LUVA SIMPLES, PVC, SOLDAVEL, DN 75 MM, SERIE NORMAL, PARA ESGOTO PREDIAL</v>
          </cell>
          <cell r="D2808" t="str">
            <v>UN</v>
          </cell>
          <cell r="E2808" t="str">
            <v>CR</v>
          </cell>
          <cell r="F2808">
            <v>8.06</v>
          </cell>
        </row>
        <row r="2809">
          <cell r="B2809">
            <v>3855</v>
          </cell>
          <cell r="C2809" t="str">
            <v>LUVA SOLDAVEL COM BUCHA DE LATAO, PVC, 20 MM X 1/2"</v>
          </cell>
          <cell r="D2809" t="str">
            <v>UN</v>
          </cell>
          <cell r="E2809" t="str">
            <v>CR</v>
          </cell>
          <cell r="F2809">
            <v>6.08</v>
          </cell>
        </row>
        <row r="2810">
          <cell r="B2810">
            <v>3874</v>
          </cell>
          <cell r="C2810" t="str">
            <v>LUVA SOLDAVEL COM BUCHA DE LATAO, PVC, 25 MM X 1/2"</v>
          </cell>
          <cell r="D2810" t="str">
            <v>UN</v>
          </cell>
          <cell r="E2810" t="str">
            <v>CR</v>
          </cell>
          <cell r="F2810">
            <v>7.05</v>
          </cell>
        </row>
        <row r="2811">
          <cell r="B2811">
            <v>3870</v>
          </cell>
          <cell r="C2811" t="str">
            <v>LUVA SOLDAVEL COM BUCHA DE LATAO, PVC, 25 MM X 3/4"</v>
          </cell>
          <cell r="D2811" t="str">
            <v>UN</v>
          </cell>
          <cell r="E2811" t="str">
            <v>CR</v>
          </cell>
          <cell r="F2811">
            <v>7.73</v>
          </cell>
        </row>
        <row r="2812">
          <cell r="B2812">
            <v>38678</v>
          </cell>
          <cell r="C2812" t="str">
            <v>LUVA SOLDAVEL COM BUCHA DE LATAO, PVC, 32 MM X 1"</v>
          </cell>
          <cell r="D2812" t="str">
            <v>UN</v>
          </cell>
          <cell r="E2812" t="str">
            <v>CR</v>
          </cell>
          <cell r="F2812">
            <v>20.46</v>
          </cell>
        </row>
        <row r="2813">
          <cell r="B2813">
            <v>3859</v>
          </cell>
          <cell r="C2813" t="str">
            <v>LUVA SOLDAVEL COM ROSCA, PVC, 20 MM X 1/2", PARA AGUA FRIA PREDIAL</v>
          </cell>
          <cell r="D2813" t="str">
            <v>UN</v>
          </cell>
          <cell r="E2813" t="str">
            <v>CR</v>
          </cell>
          <cell r="F2813">
            <v>1.56</v>
          </cell>
        </row>
        <row r="2814">
          <cell r="B2814">
            <v>3856</v>
          </cell>
          <cell r="C2814" t="str">
            <v>LUVA SOLDAVEL COM ROSCA, PVC, 25 MM X 1/2", PARA AGUA FRIA PREDIAL</v>
          </cell>
          <cell r="D2814" t="str">
            <v>UN</v>
          </cell>
          <cell r="E2814" t="str">
            <v>CR</v>
          </cell>
          <cell r="F2814">
            <v>2.16</v>
          </cell>
        </row>
        <row r="2815">
          <cell r="B2815">
            <v>3906</v>
          </cell>
          <cell r="C2815" t="str">
            <v>LUVA SOLDAVEL COM ROSCA, PVC, 25 MM X 3/4", PARA AGUA FRIA PREDIAL</v>
          </cell>
          <cell r="D2815" t="str">
            <v>UN</v>
          </cell>
          <cell r="E2815" t="str">
            <v>CR</v>
          </cell>
          <cell r="F2815">
            <v>1.78</v>
          </cell>
        </row>
        <row r="2816">
          <cell r="B2816">
            <v>3860</v>
          </cell>
          <cell r="C2816" t="str">
            <v>LUVA SOLDAVEL COM ROSCA, PVC, 32 MM X 1", PARA AGUA FRIA PREDIAL</v>
          </cell>
          <cell r="D2816" t="str">
            <v>UN</v>
          </cell>
          <cell r="E2816" t="str">
            <v>CR</v>
          </cell>
          <cell r="F2816">
            <v>5.3</v>
          </cell>
        </row>
        <row r="2817">
          <cell r="B2817">
            <v>3905</v>
          </cell>
          <cell r="C2817" t="str">
            <v>LUVA SOLDAVEL COM ROSCA, PVC, 40 MM X 1 1/4", PARA AGUA FRIA PREDIAL</v>
          </cell>
          <cell r="D2817" t="str">
            <v>UN</v>
          </cell>
          <cell r="E2817" t="str">
            <v>CR</v>
          </cell>
          <cell r="F2817">
            <v>12.16</v>
          </cell>
        </row>
        <row r="2818">
          <cell r="B2818">
            <v>3871</v>
          </cell>
          <cell r="C2818" t="str">
            <v>LUVA SOLDAVEL COM ROSCA, PVC, 50 MM X 1 1/2", PARA AGUA FRIA PREDIAL</v>
          </cell>
          <cell r="D2818" t="str">
            <v>UN</v>
          </cell>
          <cell r="E2818" t="str">
            <v>CR</v>
          </cell>
          <cell r="F2818">
            <v>21.51</v>
          </cell>
        </row>
        <row r="2819">
          <cell r="B2819">
            <v>37427</v>
          </cell>
          <cell r="C2819" t="str">
            <v>LUVA, PEAD PE 100, DE 125 MM, PARA ELETROFUSAO</v>
          </cell>
          <cell r="D2819" t="str">
            <v>UN</v>
          </cell>
          <cell r="E2819" t="str">
            <v>CR</v>
          </cell>
          <cell r="F2819">
            <v>64.819999999999993</v>
          </cell>
        </row>
        <row r="2820">
          <cell r="B2820">
            <v>37424</v>
          </cell>
          <cell r="C2820" t="str">
            <v>LUVA, PEAD PE 100, DE 20 MM, PARA ELETROFUSAO</v>
          </cell>
          <cell r="D2820" t="str">
            <v>UN</v>
          </cell>
          <cell r="E2820" t="str">
            <v>CR</v>
          </cell>
          <cell r="F2820">
            <v>12.49</v>
          </cell>
        </row>
        <row r="2821">
          <cell r="B2821">
            <v>37428</v>
          </cell>
          <cell r="C2821" t="str">
            <v>LUVA, PEAD PE 100, DE 200 MM, PARA ELETROFUSAO</v>
          </cell>
          <cell r="D2821" t="str">
            <v>UN</v>
          </cell>
          <cell r="E2821" t="str">
            <v>CR</v>
          </cell>
          <cell r="F2821">
            <v>223.39</v>
          </cell>
        </row>
        <row r="2822">
          <cell r="B2822">
            <v>37425</v>
          </cell>
          <cell r="C2822" t="str">
            <v>LUVA, PEAD PE 100, DE 32 MM, PARA ELETROFUSAO</v>
          </cell>
          <cell r="D2822" t="str">
            <v>UN</v>
          </cell>
          <cell r="E2822" t="str">
            <v>CR</v>
          </cell>
          <cell r="F2822">
            <v>13.46</v>
          </cell>
        </row>
        <row r="2823">
          <cell r="B2823">
            <v>37429</v>
          </cell>
          <cell r="C2823" t="str">
            <v>LUVA, PEAD PE 100, DE 400 MM, PARA ELETROFUSAO</v>
          </cell>
          <cell r="D2823" t="str">
            <v>UN</v>
          </cell>
          <cell r="E2823" t="str">
            <v>CR</v>
          </cell>
          <cell r="F2823">
            <v>2824.89</v>
          </cell>
        </row>
        <row r="2824">
          <cell r="B2824">
            <v>37426</v>
          </cell>
          <cell r="C2824" t="str">
            <v>LUVA, PEAD PE 100, DE 63 MM, PARA ELETROFUSAO</v>
          </cell>
          <cell r="D2824" t="str">
            <v>UN</v>
          </cell>
          <cell r="E2824" t="str">
            <v>CR</v>
          </cell>
          <cell r="F2824">
            <v>27.17</v>
          </cell>
        </row>
        <row r="2825">
          <cell r="B2825">
            <v>39292</v>
          </cell>
          <cell r="C2825" t="str">
            <v>LUVA/UNIAO DE REDUCAO METALICA, PARA CONEXAO COM ANEL DESLIZANTE, DN 20 X 16 MM, EM TUBO PEX PARA INST. AGUA QUENTE/FRIA</v>
          </cell>
          <cell r="D2825" t="str">
            <v>UN</v>
          </cell>
          <cell r="E2825" t="str">
            <v>CR</v>
          </cell>
          <cell r="F2825">
            <v>8.86</v>
          </cell>
        </row>
        <row r="2826">
          <cell r="B2826">
            <v>39293</v>
          </cell>
          <cell r="C2826" t="str">
            <v>LUVA/UNIAO DE REDUCAO METALICA, PARA CONEXAO COM ANEL DESLIZANTE, DN 25 X 16 MM, EM TUBO PEX PARA INST. AGUA QUENTE/FRIA</v>
          </cell>
          <cell r="D2826" t="str">
            <v>UN</v>
          </cell>
          <cell r="E2826" t="str">
            <v>CR</v>
          </cell>
          <cell r="F2826">
            <v>13.77</v>
          </cell>
        </row>
        <row r="2827">
          <cell r="B2827">
            <v>39294</v>
          </cell>
          <cell r="C2827" t="str">
            <v>LUVA/UNIAO DE REDUCAO METALICA, PARA CONEXAO COM ANEL DESLIZANTE, DN 25 X 20 MM, EM TUBO PEX PARA INST. AGUA QUENTE/FRIA</v>
          </cell>
          <cell r="D2827" t="str">
            <v>UN</v>
          </cell>
          <cell r="E2827" t="str">
            <v>CR</v>
          </cell>
          <cell r="F2827">
            <v>14.72</v>
          </cell>
        </row>
        <row r="2828">
          <cell r="B2828">
            <v>39295</v>
          </cell>
          <cell r="C2828" t="str">
            <v>LUVA/UNIAO DE REDUCAO METALICA, PARA CONEXAO COM ANEL DESLIZANTE, DN 32 X 25 MM, EM TUBO PEX PARA INST. AGUA QUENTE/FRIA</v>
          </cell>
          <cell r="D2828" t="str">
            <v>UN</v>
          </cell>
          <cell r="E2828" t="str">
            <v>CR</v>
          </cell>
          <cell r="F2828">
            <v>20.239999999999998</v>
          </cell>
        </row>
        <row r="2829">
          <cell r="B2829">
            <v>39312</v>
          </cell>
          <cell r="C2829" t="str">
            <v>LUVA/UNIAO DE REDUCAO, PLASTICA, PARA CONEXAO COM CRIMPAGEM, DN 20 X 16 MM, EM TUBO PEX PARA INST. AGUA QUENTE/FRIA</v>
          </cell>
          <cell r="D2829" t="str">
            <v>UN</v>
          </cell>
          <cell r="E2829" t="str">
            <v>CR</v>
          </cell>
          <cell r="F2829">
            <v>13.59</v>
          </cell>
        </row>
        <row r="2830">
          <cell r="B2830">
            <v>39313</v>
          </cell>
          <cell r="C2830" t="str">
            <v>LUVA/UNIAO DE REDUCAO, PLASTICA, PARA CONEXAO COM CRIMPAGEM, DN 25 X 16 MM, EM TUBO PEX PARA INST. AGUA QUENTE/FRIA</v>
          </cell>
          <cell r="D2830" t="str">
            <v>UN</v>
          </cell>
          <cell r="E2830" t="str">
            <v>CR</v>
          </cell>
          <cell r="F2830">
            <v>18.25</v>
          </cell>
        </row>
        <row r="2831">
          <cell r="B2831">
            <v>39314</v>
          </cell>
          <cell r="C2831" t="str">
            <v>LUVA/UNIAO DE REDUCAO, PLASTICA, PARA CONEXAO COM CRIMPAGEM, DN 32 X 25 MM, EM TUBO PEX PARA INST. AGUA QUENTE/FRIA</v>
          </cell>
          <cell r="D2831" t="str">
            <v>UN</v>
          </cell>
          <cell r="E2831" t="str">
            <v>CR</v>
          </cell>
          <cell r="F2831">
            <v>26.85</v>
          </cell>
        </row>
        <row r="2832">
          <cell r="B2832">
            <v>39296</v>
          </cell>
          <cell r="C2832" t="str">
            <v>LUVA/UNIAO METALICA, PARA CONEXAO COM ANEL DESLIZANTE, DN 16 MM, EM TUBO PEX PARA INST. AGUA QUENTE/FRIA</v>
          </cell>
          <cell r="D2832" t="str">
            <v>UN</v>
          </cell>
          <cell r="E2832" t="str">
            <v>CR</v>
          </cell>
          <cell r="F2832">
            <v>8.08</v>
          </cell>
        </row>
        <row r="2833">
          <cell r="B2833">
            <v>39297</v>
          </cell>
          <cell r="C2833" t="str">
            <v>LUVA/UNIAO METALICA, PARA CONEXAO COM ANEL DESLIZANTE, DN 20 MM, EM TUBO PEX PARA INST. AGUA QUENTE/FRIA</v>
          </cell>
          <cell r="D2833" t="str">
            <v>UN</v>
          </cell>
          <cell r="E2833" t="str">
            <v>CR</v>
          </cell>
          <cell r="F2833">
            <v>10.95</v>
          </cell>
        </row>
        <row r="2834">
          <cell r="B2834">
            <v>39298</v>
          </cell>
          <cell r="C2834" t="str">
            <v>LUVA/UNIAO METALICA, PARA CONEXAO COM ANEL DESLIZANTE, DN 25 MM, EM TUBO PEX PARA INST. AGUA QUENTE/FRIA</v>
          </cell>
          <cell r="D2834" t="str">
            <v>UN</v>
          </cell>
          <cell r="E2834" t="str">
            <v>CR</v>
          </cell>
          <cell r="F2834">
            <v>21.03</v>
          </cell>
        </row>
        <row r="2835">
          <cell r="B2835">
            <v>39299</v>
          </cell>
          <cell r="C2835" t="str">
            <v>LUVA/UNIAO METALICA, PARA CONEXAO COM ANEL DESLIZANTE, DN 32 MM, EM TUBO PEX PARA INST. AGUA QUENTE/FRIA</v>
          </cell>
          <cell r="D2835" t="str">
            <v>UN</v>
          </cell>
          <cell r="E2835" t="str">
            <v>CR</v>
          </cell>
          <cell r="F2835">
            <v>24.92</v>
          </cell>
        </row>
        <row r="2836">
          <cell r="B2836">
            <v>39308</v>
          </cell>
          <cell r="C2836" t="str">
            <v>LUVA/UNIAO, PLASTICA, PARA CONEXAO COM CRIMPAGEM, DN 16 MM, EM TUBO PEX PARA INST. AGUA QUENTE/FRIA</v>
          </cell>
          <cell r="D2836" t="str">
            <v>UN</v>
          </cell>
          <cell r="E2836" t="str">
            <v>CR</v>
          </cell>
          <cell r="F2836">
            <v>6.74</v>
          </cell>
        </row>
        <row r="2837">
          <cell r="B2837">
            <v>39309</v>
          </cell>
          <cell r="C2837" t="str">
            <v>LUVA/UNIAO, PLASTICA, PARA CONEXAO COM CRIMPAGEM, DN 20 MM, EM TUBO PEX PARA INST. AGUA QUENTE/FRIA</v>
          </cell>
          <cell r="D2837" t="str">
            <v>UN</v>
          </cell>
          <cell r="E2837" t="str">
            <v>CR</v>
          </cell>
          <cell r="F2837">
            <v>7.68</v>
          </cell>
        </row>
        <row r="2838">
          <cell r="B2838">
            <v>39310</v>
          </cell>
          <cell r="C2838" t="str">
            <v>LUVA/UNIAO, PLASTICA, PARA CONEXAO COM CRIMPAGEM, DN 25 MM, EM TUBO PEX PARA INST. AGUA QUENTE/FRIA</v>
          </cell>
          <cell r="D2838" t="str">
            <v>UN</v>
          </cell>
          <cell r="E2838" t="str">
            <v>CR</v>
          </cell>
          <cell r="F2838">
            <v>14.34</v>
          </cell>
        </row>
        <row r="2839">
          <cell r="B2839">
            <v>39311</v>
          </cell>
          <cell r="C2839" t="str">
            <v>LUVA/UNIAO, PLASTICA, PARA CONEXAO COM CRIMPAGEM, DN 32 MM, EM TUBO PEX PARA INST. AGUA QUENTE/FRIA</v>
          </cell>
          <cell r="D2839" t="str">
            <v>UN</v>
          </cell>
          <cell r="E2839" t="str">
            <v>CR</v>
          </cell>
          <cell r="F2839">
            <v>20.309999999999999</v>
          </cell>
        </row>
        <row r="2840">
          <cell r="B2840">
            <v>45261</v>
          </cell>
          <cell r="C2840" t="str">
            <v>LUVAS DE PVC, COM COMPRIMENTO DE *35* CM, FORRADAS, ACABAMENTO ASPERO ANTIDERRAPANTE NA FACE PALMAR</v>
          </cell>
          <cell r="D2840" t="str">
            <v>PAR</v>
          </cell>
          <cell r="E2840" t="str">
            <v>CR</v>
          </cell>
          <cell r="F2840">
            <v>21.8</v>
          </cell>
        </row>
        <row r="2841">
          <cell r="B2841">
            <v>11519</v>
          </cell>
          <cell r="C2841" t="str">
            <v>MACANETA ALAVANCA RETA OCA, EM ZAMAC COM ACABAMENTO CROMADO, COMPRIMENTO APROX DE 15 CM</v>
          </cell>
          <cell r="D2841" t="str">
            <v>PAR</v>
          </cell>
          <cell r="E2841" t="str">
            <v>CR</v>
          </cell>
          <cell r="F2841">
            <v>60.25</v>
          </cell>
        </row>
        <row r="2842">
          <cell r="B2842">
            <v>11520</v>
          </cell>
          <cell r="C2842" t="str">
            <v>MACANETA ALAVANCA, RETA SIMPLES / OCA, CROMADA, COMPRIMENTO DE 10 A 16 CM, ACABAMENTO PADRAO POPULAR - SOMENTE MACANETAS</v>
          </cell>
          <cell r="D2842" t="str">
            <v>PAR</v>
          </cell>
          <cell r="E2842" t="str">
            <v>CR</v>
          </cell>
          <cell r="F2842">
            <v>27.85</v>
          </cell>
        </row>
        <row r="2843">
          <cell r="B2843">
            <v>11518</v>
          </cell>
          <cell r="C2843" t="str">
            <v>MACANETA BOLA, EM ZAMAC COM ACABAMENTO CROMADO, DIAMETRO DE APROX 2 1/2"</v>
          </cell>
          <cell r="D2843" t="str">
            <v>PAR</v>
          </cell>
          <cell r="E2843" t="str">
            <v>CR</v>
          </cell>
          <cell r="F2843">
            <v>101.27</v>
          </cell>
        </row>
        <row r="2844">
          <cell r="B2844">
            <v>38473</v>
          </cell>
          <cell r="C2844" t="str">
            <v>MACARICO DE SOLDA 201 PARA EXTENSAO GLP OU ACETILENO</v>
          </cell>
          <cell r="D2844" t="str">
            <v>UN</v>
          </cell>
          <cell r="E2844" t="str">
            <v>CR</v>
          </cell>
          <cell r="F2844">
            <v>266.69</v>
          </cell>
        </row>
        <row r="2845">
          <cell r="B2845">
            <v>4244</v>
          </cell>
          <cell r="C2845" t="str">
            <v>MACARIQUEIRO (HORISTA)</v>
          </cell>
          <cell r="D2845" t="str">
            <v>H</v>
          </cell>
          <cell r="E2845" t="str">
            <v>CR</v>
          </cell>
          <cell r="F2845">
            <v>28.68</v>
          </cell>
        </row>
        <row r="2846">
          <cell r="B2846">
            <v>40977</v>
          </cell>
          <cell r="C2846" t="str">
            <v>MACARIQUEIRO (MENSALISTA)</v>
          </cell>
          <cell r="D2846" t="str">
            <v>MES</v>
          </cell>
          <cell r="E2846" t="str">
            <v>CR</v>
          </cell>
          <cell r="F2846">
            <v>5027.41</v>
          </cell>
        </row>
        <row r="2847">
          <cell r="B2847">
            <v>4115</v>
          </cell>
          <cell r="C2847" t="str">
            <v>MADEIRA ROLICA TRATADA, D = 12 A 15 CM, H = 3,00 M, EM EUCALIPTO OU EQUIVALENTE DA REGIAO</v>
          </cell>
          <cell r="D2847" t="str">
            <v>M</v>
          </cell>
          <cell r="E2847" t="str">
            <v>CR</v>
          </cell>
          <cell r="F2847">
            <v>29.31</v>
          </cell>
        </row>
        <row r="2848">
          <cell r="B2848">
            <v>4119</v>
          </cell>
          <cell r="C2848" t="str">
            <v>MADEIRA ROLICA TRATADA, D = 16 A 20 CM, H = 6,00 M, EM EUCALIPTO OU EQUIVALENTE DA REGIAO</v>
          </cell>
          <cell r="D2848" t="str">
            <v>M</v>
          </cell>
          <cell r="E2848" t="str">
            <v>CR</v>
          </cell>
          <cell r="F2848">
            <v>59.19</v>
          </cell>
        </row>
        <row r="2849">
          <cell r="B2849">
            <v>2794</v>
          </cell>
          <cell r="C2849" t="str">
            <v>MADEIRA ROLICA TRATADA, D = 25 A 29 CM, H = 6,50 M, EM EUCALIPTO OU EQUIVALENTE DA REGIAO</v>
          </cell>
          <cell r="D2849" t="str">
            <v>M</v>
          </cell>
          <cell r="E2849" t="str">
            <v>CR</v>
          </cell>
          <cell r="F2849">
            <v>157.02000000000001</v>
          </cell>
        </row>
        <row r="2850">
          <cell r="B2850">
            <v>2788</v>
          </cell>
          <cell r="C2850" t="str">
            <v>MADEIRA ROLICA TRATADA, D = 30 A 34 CM, H = 6,50 M, EM EUCALIPTO OU EQUIVALENTE DA REGIAO</v>
          </cell>
          <cell r="D2850" t="str">
            <v>M</v>
          </cell>
          <cell r="E2850" t="str">
            <v>CR</v>
          </cell>
          <cell r="F2850">
            <v>228.75</v>
          </cell>
        </row>
        <row r="2851">
          <cell r="B2851">
            <v>4006</v>
          </cell>
          <cell r="C2851" t="str">
            <v>MADEIRA SERRADA EM PINUS, MISTA OU EQUIVALENTE DA REGIAO - BRUTA</v>
          </cell>
          <cell r="D2851" t="str">
            <v>M3</v>
          </cell>
          <cell r="E2851" t="str">
            <v>CR</v>
          </cell>
          <cell r="F2851">
            <v>1832.51</v>
          </cell>
        </row>
        <row r="2852">
          <cell r="B2852">
            <v>45395</v>
          </cell>
          <cell r="C2852" t="str">
            <v>MANGOTE DE SEGURANCA EM RASPA DE COURO</v>
          </cell>
          <cell r="D2852" t="str">
            <v>PAR</v>
          </cell>
          <cell r="E2852" t="str">
            <v>CR</v>
          </cell>
          <cell r="F2852">
            <v>33.07</v>
          </cell>
        </row>
        <row r="2853">
          <cell r="B2853">
            <v>37461</v>
          </cell>
          <cell r="C2853" t="str">
            <v>MANGUEIRA CRISTAL TRANCADA, PVC COM REFORCO, COM PRESSAO DE TRABALHO (PT) 250 LBS/POL2, DE 3/4" X *2,8* MM</v>
          </cell>
          <cell r="D2853" t="str">
            <v>M</v>
          </cell>
          <cell r="E2853" t="str">
            <v>CR</v>
          </cell>
          <cell r="F2853">
            <v>13.51</v>
          </cell>
        </row>
        <row r="2854">
          <cell r="B2854">
            <v>37460</v>
          </cell>
          <cell r="C2854" t="str">
            <v>MANGUEIRA CRISTAL TRANCADA, PVC COM REFORCO, PRESSAO DE TRABALHO (PT) 250 LBS/POL2, DE 1" X *3,1* MM</v>
          </cell>
          <cell r="D2854" t="str">
            <v>M</v>
          </cell>
          <cell r="E2854" t="str">
            <v>CR</v>
          </cell>
          <cell r="F2854">
            <v>23.72</v>
          </cell>
        </row>
        <row r="2855">
          <cell r="B2855">
            <v>37458</v>
          </cell>
          <cell r="C2855" t="str">
            <v>MANGUEIRA CRISTAL, LISA, PVC TRANSPARENTE, 1/2" X 2 MM</v>
          </cell>
          <cell r="D2855" t="str">
            <v>M</v>
          </cell>
          <cell r="E2855" t="str">
            <v>C</v>
          </cell>
          <cell r="F2855">
            <v>5.5</v>
          </cell>
        </row>
        <row r="2856">
          <cell r="B2856">
            <v>37454</v>
          </cell>
          <cell r="C2856" t="str">
            <v>MANGUEIRA CRISTAL, LISA, PVC TRANSPARENTE, 1/4" X1 MM</v>
          </cell>
          <cell r="D2856" t="str">
            <v>M</v>
          </cell>
          <cell r="E2856" t="str">
            <v>CR</v>
          </cell>
          <cell r="F2856">
            <v>1.72</v>
          </cell>
        </row>
        <row r="2857">
          <cell r="B2857">
            <v>37455</v>
          </cell>
          <cell r="C2857" t="str">
            <v>MANGUEIRA CRISTAL, LISA, PVC TRANSPARENTE, 1/4" X1,5 MM</v>
          </cell>
          <cell r="D2857" t="str">
            <v>M</v>
          </cell>
          <cell r="E2857" t="str">
            <v>CR</v>
          </cell>
          <cell r="F2857">
            <v>2.86</v>
          </cell>
        </row>
        <row r="2858">
          <cell r="B2858">
            <v>37459</v>
          </cell>
          <cell r="C2858" t="str">
            <v>MANGUEIRA CRISTAL, LISA, PVC TRANSPARENTE, 3/4" X 2 MM</v>
          </cell>
          <cell r="D2858" t="str">
            <v>M</v>
          </cell>
          <cell r="E2858" t="str">
            <v>CR</v>
          </cell>
          <cell r="F2858">
            <v>9.16</v>
          </cell>
        </row>
        <row r="2859">
          <cell r="B2859">
            <v>37457</v>
          </cell>
          <cell r="C2859" t="str">
            <v>MANGUEIRA CRISTAL, LISA, PVC TRANSPARENTE, 3/8" X 1,5 MM</v>
          </cell>
          <cell r="D2859" t="str">
            <v>M</v>
          </cell>
          <cell r="E2859" t="str">
            <v>CR</v>
          </cell>
          <cell r="F2859">
            <v>3.16</v>
          </cell>
        </row>
        <row r="2860">
          <cell r="B2860">
            <v>37456</v>
          </cell>
          <cell r="C2860" t="str">
            <v>MANGUEIRA CRISTAL, LISA, PVC TRANSPARENTE, 5/16" X 1 MM</v>
          </cell>
          <cell r="D2860" t="str">
            <v>M</v>
          </cell>
          <cell r="E2860" t="str">
            <v>CR</v>
          </cell>
          <cell r="F2860">
            <v>2.16</v>
          </cell>
        </row>
        <row r="2861">
          <cell r="B2861">
            <v>21029</v>
          </cell>
          <cell r="C2861" t="str">
            <v>MANGUEIRA DE INCENDIO, TIPO 1, DE 1 1/2", COMPRIMENTO = 15 M, TECIDO EM FIO DE POLIESTER E TUBO INTERNO EM BORRACHA SINTETICA, COM UNIOES ENGATE RAPIDO</v>
          </cell>
          <cell r="D2861" t="str">
            <v>UN</v>
          </cell>
          <cell r="E2861" t="str">
            <v>C</v>
          </cell>
          <cell r="F2861">
            <v>360</v>
          </cell>
        </row>
        <row r="2862">
          <cell r="B2862">
            <v>21030</v>
          </cell>
          <cell r="C2862" t="str">
            <v>MANGUEIRA DE INCENDIO, TIPO 1, DE 1 1/2", COMPRIMENTO = 20 M, TECIDO EM FIO DE POLIESTER E TUBO INTERNO EM BORRACHA SINTETICA, COM UNIOES ENGATE RAPIDO</v>
          </cell>
          <cell r="D2862" t="str">
            <v>UN</v>
          </cell>
          <cell r="E2862" t="str">
            <v>CR</v>
          </cell>
          <cell r="F2862">
            <v>443.76</v>
          </cell>
        </row>
        <row r="2863">
          <cell r="B2863">
            <v>21031</v>
          </cell>
          <cell r="C2863" t="str">
            <v>MANGUEIRA DE INCENDIO, TIPO 1, DE 1 1/2", COMPRIMENTO = 25 M, TECIDO EM FIO DE POLIESTER E TUBO INTERNO EM BORRACHA SINTETICA, COM UNIOES ENGATE RAPIDO</v>
          </cell>
          <cell r="D2863" t="str">
            <v>UN</v>
          </cell>
          <cell r="E2863" t="str">
            <v>CR</v>
          </cell>
          <cell r="F2863">
            <v>552.47</v>
          </cell>
        </row>
        <row r="2864">
          <cell r="B2864">
            <v>21032</v>
          </cell>
          <cell r="C2864" t="str">
            <v>MANGUEIRA DE INCENDIO, TIPO 1, DE 1 1/2", COMPRIMENTO = 30 M, TECIDO EM FIO DE POLIESTER E TUBO INTERNO EM BORRACHA SINTETICA, COM UNIOES ENGATE RAPIDO</v>
          </cell>
          <cell r="D2864" t="str">
            <v>UN</v>
          </cell>
          <cell r="E2864" t="str">
            <v>CR</v>
          </cell>
          <cell r="F2864">
            <v>589.9</v>
          </cell>
        </row>
        <row r="2865">
          <cell r="B2865">
            <v>37527</v>
          </cell>
          <cell r="C2865" t="str">
            <v>MANGUEIRA DE INCENDIO, TIPO 2, DE 1 1/2", COMPRIMENTO = 15 M, TECIDO EM FIO DE POLIESTER E TUBO INTERNO EM BORRACHA SINTETICA, COM UNIOES ENGATE RAPIDO</v>
          </cell>
          <cell r="D2865" t="str">
            <v>UN</v>
          </cell>
          <cell r="E2865" t="str">
            <v>CR</v>
          </cell>
          <cell r="F2865">
            <v>532.87</v>
          </cell>
        </row>
        <row r="2866">
          <cell r="B2866">
            <v>37528</v>
          </cell>
          <cell r="C2866" t="str">
            <v>MANGUEIRA DE INCENDIO, TIPO 2, DE 1 1/2", COMPRIMENTO = 20 M, TECIDO EM FIO DE POLIESTER E TUBO INTERNO EM BORRACHA SINTETICA, COM UNIOES</v>
          </cell>
          <cell r="D2866" t="str">
            <v>UN</v>
          </cell>
          <cell r="E2866" t="str">
            <v>CR</v>
          </cell>
          <cell r="F2866">
            <v>635.34</v>
          </cell>
        </row>
        <row r="2867">
          <cell r="B2867">
            <v>37529</v>
          </cell>
          <cell r="C2867" t="str">
            <v>MANGUEIRA DE INCENDIO, TIPO 2, DE 1 1/2", COMPRIMENTO = 25 M, TECIDO EM FIO DE POLIESTER E TUBO INTERNO EM BORRACHA SINTETICA, COM UNIOES</v>
          </cell>
          <cell r="D2867" t="str">
            <v>UN</v>
          </cell>
          <cell r="E2867" t="str">
            <v>CR</v>
          </cell>
          <cell r="F2867">
            <v>641.58000000000004</v>
          </cell>
        </row>
        <row r="2868">
          <cell r="B2868">
            <v>37530</v>
          </cell>
          <cell r="C2868" t="str">
            <v>MANGUEIRA DE INCENDIO, TIPO 2, DE 1 1/2", COMPRIMENTO = 30 M, TECIDO EM FIO DE POLIESTER E TUBO INTERNO EM BORRACHA SINTETICA, COM UNIOES</v>
          </cell>
          <cell r="D2868" t="str">
            <v>UN</v>
          </cell>
          <cell r="E2868" t="str">
            <v>CR</v>
          </cell>
          <cell r="F2868">
            <v>837.62</v>
          </cell>
        </row>
        <row r="2869">
          <cell r="B2869">
            <v>21034</v>
          </cell>
          <cell r="C2869" t="str">
            <v>MANGUEIRA DE INCENDIO, TIPO 2, DE 2 1/2", COMPRIMENTO = 15 M, TECIDO EM FIO DE POLIESTER E TUBO INTERNO EM BORRACHA SINTETICA, COM UNIOES ENGATE RAPIDO</v>
          </cell>
          <cell r="D2869" t="str">
            <v>UN</v>
          </cell>
          <cell r="E2869" t="str">
            <v>CR</v>
          </cell>
          <cell r="F2869">
            <v>714.65</v>
          </cell>
        </row>
        <row r="2870">
          <cell r="B2870">
            <v>37531</v>
          </cell>
          <cell r="C2870" t="str">
            <v>MANGUEIRA DE INCENDIO, TIPO 2, DE 2 1/2", COMPRIMENTO = 20 M, TECIDO EM FIO DE POLIESTER E TUBO INTERNO EM BORRACHA SINTETICA, COM UNIOES</v>
          </cell>
          <cell r="D2870" t="str">
            <v>UN</v>
          </cell>
          <cell r="E2870" t="str">
            <v>CR</v>
          </cell>
          <cell r="F2870">
            <v>900</v>
          </cell>
        </row>
        <row r="2871">
          <cell r="B2871">
            <v>21036</v>
          </cell>
          <cell r="C2871" t="str">
            <v>MANGUEIRA DE INCENDIO, TIPO 2, DE 2 1/2", COMPRIMENTO = 25 M, TECIDO EM FIO DE POLIESTER E TUBO INTERNO EM BORRACHA SINTETICA, COM UNIOES ENGATE RAPIDO</v>
          </cell>
          <cell r="D2871" t="str">
            <v>UN</v>
          </cell>
          <cell r="E2871" t="str">
            <v>CR</v>
          </cell>
          <cell r="F2871">
            <v>1094.25</v>
          </cell>
        </row>
        <row r="2872">
          <cell r="B2872">
            <v>21037</v>
          </cell>
          <cell r="C2872" t="str">
            <v>MANGUEIRA DE INCENDIO, TIPO 2, DE 2 1/2", COMPRIMENTO = 30 M, TECIDO EM FIO DE POLIESTER E TUBO INTERNO EM BORRACHA SINTETICA, COM UNIOES ENGATE RAPIDO</v>
          </cell>
          <cell r="D2872" t="str">
            <v>UN</v>
          </cell>
          <cell r="E2872" t="str">
            <v>CR</v>
          </cell>
          <cell r="F2872">
            <v>1247.52</v>
          </cell>
        </row>
        <row r="2873">
          <cell r="B2873">
            <v>20185</v>
          </cell>
          <cell r="C2873" t="str">
            <v>MANGUEIRA DE PVC FLEXIVEL, TIPO FLAT/ACHATADA, D = 1 1/2" (40 MM), PARA CONDUCAO DE AGUA, SERVICOS LEVES E MEDIOS</v>
          </cell>
          <cell r="D2873" t="str">
            <v>M</v>
          </cell>
          <cell r="E2873" t="str">
            <v>CR</v>
          </cell>
          <cell r="F2873">
            <v>14.57</v>
          </cell>
        </row>
        <row r="2874">
          <cell r="B2874">
            <v>44909</v>
          </cell>
          <cell r="C2874" t="str">
            <v>MANGUEIRA FLEXIVEL TRANSPARENTE COM ESPIRAL AZUL, EM PVC, DIAM. 1" (25 MM), PARA SERVICOS LEVES DE SUCCAO E DESCARGA</v>
          </cell>
          <cell r="D2874" t="str">
            <v>M</v>
          </cell>
          <cell r="E2874" t="str">
            <v>CR</v>
          </cell>
          <cell r="F2874">
            <v>16.43</v>
          </cell>
        </row>
        <row r="2875">
          <cell r="B2875">
            <v>44115</v>
          </cell>
          <cell r="C2875" t="str">
            <v>MANGUEIRA FLEXIVEL TRANSPARENTE COM ESPIRAL AZUL, EM PVC, DIAM. 2" (50 MM), PARA SERVICOS LEVES DE SUCCAO E DESCARGA</v>
          </cell>
          <cell r="D2875" t="str">
            <v>M</v>
          </cell>
          <cell r="E2875" t="str">
            <v>CR</v>
          </cell>
          <cell r="F2875">
            <v>30.23</v>
          </cell>
        </row>
        <row r="2876">
          <cell r="B2876">
            <v>44333</v>
          </cell>
          <cell r="C2876" t="str">
            <v>MANGUEIRA FLEXIVEL TRANSPARENTE COM ESPIRAL AZUL, EM PVC, DIAM. 4" (100 MM), PARA SERVICOS LEVES DE SUCCAO E DESCARGA</v>
          </cell>
          <cell r="D2876" t="str">
            <v>M</v>
          </cell>
          <cell r="E2876" t="str">
            <v>CR</v>
          </cell>
          <cell r="F2876">
            <v>99.27</v>
          </cell>
        </row>
        <row r="2877">
          <cell r="B2877">
            <v>44907</v>
          </cell>
          <cell r="C2877" t="str">
            <v>MANGUEIRA PARA AR E AGUA DE PVC/BORRACHA, PRESSAO 300 PSI, DIAMETRO DE 1 POLEGADA</v>
          </cell>
          <cell r="D2877" t="str">
            <v>M</v>
          </cell>
          <cell r="E2877" t="str">
            <v>CR</v>
          </cell>
          <cell r="F2877">
            <v>17.41</v>
          </cell>
        </row>
        <row r="2878">
          <cell r="B2878">
            <v>20260</v>
          </cell>
          <cell r="C2878" t="str">
            <v>MANGUEIRA PARA GAS - GLP, PVC, TRANCADA, DIAMETRO DE 3/8", COMPRIMENTO DE 1M (NORMATIZADA)</v>
          </cell>
          <cell r="D2878" t="str">
            <v>UN</v>
          </cell>
          <cell r="E2878" t="str">
            <v>CR</v>
          </cell>
          <cell r="F2878">
            <v>15.96</v>
          </cell>
        </row>
        <row r="2879">
          <cell r="B2879">
            <v>37515</v>
          </cell>
          <cell r="C2879" t="str">
            <v>MANIPULADOR TELESCOPICO, POTENCIA DE 85 HP, CAPACIDADE DE CARGA DE 3.500 KG, ALTURA MAXIMA DE ELEVACAO DE 12,3 M</v>
          </cell>
          <cell r="D2879" t="str">
            <v>UN</v>
          </cell>
          <cell r="E2879" t="str">
            <v>C</v>
          </cell>
          <cell r="F2879">
            <v>605592.16</v>
          </cell>
        </row>
        <row r="2880">
          <cell r="B2880">
            <v>12899</v>
          </cell>
          <cell r="C2880" t="str">
            <v>MANOMETRO COM CAIXA EM ACO PINTADO, ESCALA *10* KGF/CM2 (*10* BAR), DIAMETRO NOMINAL DE *63* MM, CONEXAO DE 1/4"</v>
          </cell>
          <cell r="D2880" t="str">
            <v>UN</v>
          </cell>
          <cell r="E2880" t="str">
            <v>CR</v>
          </cell>
          <cell r="F2880">
            <v>131.47999999999999</v>
          </cell>
        </row>
        <row r="2881">
          <cell r="B2881">
            <v>12898</v>
          </cell>
          <cell r="C2881" t="str">
            <v>MANOMETRO COM CAIXA EM ACO PINTADO, ESCALA *10* KGF/CM2 (*10* BAR), DIAMETRO NOMINAL DE 100 MM, CONEXAO DE 1/2"</v>
          </cell>
          <cell r="D2881" t="str">
            <v>UN</v>
          </cell>
          <cell r="E2881" t="str">
            <v>C</v>
          </cell>
          <cell r="F2881">
            <v>208.56</v>
          </cell>
        </row>
        <row r="2882">
          <cell r="B2882">
            <v>39699</v>
          </cell>
          <cell r="C2882" t="str">
            <v>MANTA / LENCOL DE BORRACHA, SBR, ANTIRRUIDO, E = 5 MM</v>
          </cell>
          <cell r="D2882" t="str">
            <v>M2</v>
          </cell>
          <cell r="E2882" t="str">
            <v>CR</v>
          </cell>
          <cell r="F2882">
            <v>16.309999999999999</v>
          </cell>
        </row>
        <row r="2883">
          <cell r="B2883">
            <v>39696</v>
          </cell>
          <cell r="C2883" t="str">
            <v>MANTA ALUMINIZADA 1 FACE PARA SUBCOBERTURA, E = *1* MM</v>
          </cell>
          <cell r="D2883" t="str">
            <v>M2</v>
          </cell>
          <cell r="E2883" t="str">
            <v>C</v>
          </cell>
          <cell r="F2883">
            <v>6.68</v>
          </cell>
        </row>
        <row r="2884">
          <cell r="B2884">
            <v>42528</v>
          </cell>
          <cell r="C2884" t="str">
            <v>MANTA ALUMINIZADA NAS DUAS FACES, PARA SUBCOBERTURA, E = *2* MM</v>
          </cell>
          <cell r="D2884" t="str">
            <v>M2</v>
          </cell>
          <cell r="E2884" t="str">
            <v>CR</v>
          </cell>
          <cell r="F2884">
            <v>9.5</v>
          </cell>
        </row>
        <row r="2885">
          <cell r="B2885">
            <v>39700</v>
          </cell>
          <cell r="C2885" t="str">
            <v>MANTA ANTIRRUIDO DE POLIESTER (PET) PARA CONTRAPISO E = *8* MM</v>
          </cell>
          <cell r="D2885" t="str">
            <v>M2</v>
          </cell>
          <cell r="E2885" t="str">
            <v>CR</v>
          </cell>
          <cell r="F2885">
            <v>27.37</v>
          </cell>
        </row>
        <row r="2886">
          <cell r="B2886">
            <v>4014</v>
          </cell>
          <cell r="C2886" t="str">
            <v>MANTA ASFALTICA ELASTOMERICA EM POLIESTER 3 MM, TIPO III, CLASSE B, ACABAMENTO PP (NBR 9952)</v>
          </cell>
          <cell r="D2886" t="str">
            <v>M2</v>
          </cell>
          <cell r="E2886" t="str">
            <v>CR</v>
          </cell>
          <cell r="F2886">
            <v>56.35</v>
          </cell>
        </row>
        <row r="2887">
          <cell r="B2887">
            <v>4015</v>
          </cell>
          <cell r="C2887" t="str">
            <v>MANTA ASFALTICA ELASTOMERICA EM POLIESTER 4 MM, TIPO III, CLASSE B, ACABAMENTO PP (NBR 9952)</v>
          </cell>
          <cell r="D2887" t="str">
            <v>M2</v>
          </cell>
          <cell r="E2887" t="str">
            <v>CR</v>
          </cell>
          <cell r="F2887">
            <v>69.2</v>
          </cell>
        </row>
        <row r="2888">
          <cell r="B2888">
            <v>4017</v>
          </cell>
          <cell r="C2888" t="str">
            <v>MANTA ASFALTICA ELASTOMERICA EM POLIESTER 5 MM, TIPO III, CLASSE B, ACABAMENTO PP (NBR 9952)</v>
          </cell>
          <cell r="D2888" t="str">
            <v>M2</v>
          </cell>
          <cell r="E2888" t="str">
            <v>CR</v>
          </cell>
          <cell r="F2888">
            <v>100.69</v>
          </cell>
        </row>
        <row r="2889">
          <cell r="B2889">
            <v>11621</v>
          </cell>
          <cell r="C2889" t="str">
            <v>MANTA ASFALTICA ELASTOMERICA EM POLIESTER ALUMINIZADA 3 MM, TIPO III, CLASSE B (NBR 9952)</v>
          </cell>
          <cell r="D2889" t="str">
            <v>M2</v>
          </cell>
          <cell r="E2889" t="str">
            <v>CR</v>
          </cell>
          <cell r="F2889">
            <v>54.46</v>
          </cell>
        </row>
        <row r="2890">
          <cell r="B2890">
            <v>4016</v>
          </cell>
          <cell r="C2890" t="str">
            <v>MANTA ASFALTICA ELASTOMERICA TIPO GLASS 3 MM, TIPO II, CLASSE C, ACABAMENTO PP (NBR 9952)</v>
          </cell>
          <cell r="D2890" t="str">
            <v>M2</v>
          </cell>
          <cell r="E2890" t="str">
            <v>C</v>
          </cell>
          <cell r="F2890">
            <v>39.770000000000003</v>
          </cell>
        </row>
        <row r="2891">
          <cell r="B2891">
            <v>38544</v>
          </cell>
          <cell r="C2891" t="str">
            <v>MANTA DE POLIETILENO EXPANDIDO (PEBD) ANTICHAMAS, E = 8 MM</v>
          </cell>
          <cell r="D2891" t="str">
            <v>M2</v>
          </cell>
          <cell r="E2891" t="str">
            <v>CR</v>
          </cell>
          <cell r="F2891">
            <v>10.199999999999999</v>
          </cell>
        </row>
        <row r="2892">
          <cell r="B2892">
            <v>38545</v>
          </cell>
          <cell r="C2892" t="str">
            <v>MANTA DE POLIETILENO EXPANDIDO (PEBD), E = 5 MM</v>
          </cell>
          <cell r="D2892" t="str">
            <v>M2</v>
          </cell>
          <cell r="E2892" t="str">
            <v>CR</v>
          </cell>
          <cell r="F2892">
            <v>6.56</v>
          </cell>
        </row>
        <row r="2893">
          <cell r="B2893">
            <v>42527</v>
          </cell>
          <cell r="C2893" t="str">
            <v>MANTA DE POLIETILENO EXPANDIDO, COM 1 FACE METALIZADA PARA SUBCOBERTURA, E = *5* MM</v>
          </cell>
          <cell r="D2893" t="str">
            <v>M2</v>
          </cell>
          <cell r="E2893" t="str">
            <v>CR</v>
          </cell>
          <cell r="F2893">
            <v>25.1</v>
          </cell>
        </row>
        <row r="2894">
          <cell r="B2894">
            <v>39323</v>
          </cell>
          <cell r="C2894" t="str">
            <v>MANTA GEOTEXTIL TECIDO DE LAMINETES DE POLIPROPILENO, RESISTENCIA A TRACAO = *25* KN/M</v>
          </cell>
          <cell r="D2894" t="str">
            <v>M2</v>
          </cell>
          <cell r="E2894" t="str">
            <v>CR</v>
          </cell>
          <cell r="F2894">
            <v>25.02</v>
          </cell>
        </row>
        <row r="2895">
          <cell r="B2895">
            <v>626</v>
          </cell>
          <cell r="C2895" t="str">
            <v>MANTA LIQUIDA DE BASE ASFALTICA MODIFICADA COM A ADICAO DE ELASTOMEROS DILUIDOS EM SOLVENTE ORGANICO, APLICACAO A FRIO (MEMBRANA DE EMULSAO ASFALTICA PARA IMPERMEABILIZACAO FLEXIVEL)</v>
          </cell>
          <cell r="D2895" t="str">
            <v>KG</v>
          </cell>
          <cell r="E2895" t="str">
            <v>C</v>
          </cell>
          <cell r="F2895">
            <v>17.77</v>
          </cell>
        </row>
        <row r="2896">
          <cell r="B2896">
            <v>44504</v>
          </cell>
          <cell r="C2896" t="str">
            <v>MANTA TERMOPLASTICA, PEAD, GEOMEMBRANA LISA, E = 0,50 MM (NBR 15352)</v>
          </cell>
          <cell r="D2896" t="str">
            <v>M2</v>
          </cell>
          <cell r="E2896" t="str">
            <v>CR</v>
          </cell>
          <cell r="F2896">
            <v>14.26</v>
          </cell>
        </row>
        <row r="2897">
          <cell r="B2897">
            <v>44505</v>
          </cell>
          <cell r="C2897" t="str">
            <v>MANTA TERMOPLASTICA, PEAD, GEOMEMBRANA LISA, E = 0,75 MM (NBR 15352)</v>
          </cell>
          <cell r="D2897" t="str">
            <v>M2</v>
          </cell>
          <cell r="E2897" t="str">
            <v>CR</v>
          </cell>
          <cell r="F2897">
            <v>21.51</v>
          </cell>
        </row>
        <row r="2898">
          <cell r="B2898">
            <v>44506</v>
          </cell>
          <cell r="C2898" t="str">
            <v>MANTA TERMOPLASTICA, PEAD, GEOMEMBRANA LISA, E = 0,80 MM (NBR 15352)</v>
          </cell>
          <cell r="D2898" t="str">
            <v>M2</v>
          </cell>
          <cell r="E2898" t="str">
            <v>CR</v>
          </cell>
          <cell r="F2898">
            <v>22.83</v>
          </cell>
        </row>
        <row r="2899">
          <cell r="B2899">
            <v>44507</v>
          </cell>
          <cell r="C2899" t="str">
            <v>MANTA TERMOPLASTICA, PEAD, GEOMEMBRANA LISA, E = 1,00 MM (NBR 15352)</v>
          </cell>
          <cell r="D2899" t="str">
            <v>M2</v>
          </cell>
          <cell r="E2899" t="str">
            <v>CR</v>
          </cell>
          <cell r="F2899">
            <v>28.54</v>
          </cell>
        </row>
        <row r="2900">
          <cell r="B2900">
            <v>44508</v>
          </cell>
          <cell r="C2900" t="str">
            <v>MANTA TERMOPLASTICA, PEAD, GEOMEMBRANA LISA, E = 1,50 MM (NBR 15352)</v>
          </cell>
          <cell r="D2900" t="str">
            <v>M2</v>
          </cell>
          <cell r="E2900" t="str">
            <v>CR</v>
          </cell>
          <cell r="F2900">
            <v>42.8</v>
          </cell>
        </row>
        <row r="2901">
          <cell r="B2901">
            <v>44509</v>
          </cell>
          <cell r="C2901" t="str">
            <v>MANTA TERMOPLASTICA, PEAD, GEOMEMBRANA LISA, E = 2,00 MM (NBR 15352)</v>
          </cell>
          <cell r="D2901" t="str">
            <v>M2</v>
          </cell>
          <cell r="E2901" t="str">
            <v>CR</v>
          </cell>
          <cell r="F2901">
            <v>57.34</v>
          </cell>
        </row>
        <row r="2902">
          <cell r="B2902">
            <v>44510</v>
          </cell>
          <cell r="C2902" t="str">
            <v>MANTA TERMOPLASTICA, PEAD, GEOMEMBRANA LISA, E = 2,50 MM (NBR 15352)</v>
          </cell>
          <cell r="D2902" t="str">
            <v>M2</v>
          </cell>
          <cell r="E2902" t="str">
            <v>CR</v>
          </cell>
          <cell r="F2902">
            <v>71.2</v>
          </cell>
        </row>
        <row r="2903">
          <cell r="B2903">
            <v>44512</v>
          </cell>
          <cell r="C2903" t="str">
            <v>MANTA TERMOPLASTICA, PEAD, GEOMEMBRANA TEXTURIZADA EM AMBAS AS FACES, E = 0,50 MM (NBR 15352)</v>
          </cell>
          <cell r="D2903" t="str">
            <v>M2</v>
          </cell>
          <cell r="E2903" t="str">
            <v>CR</v>
          </cell>
          <cell r="F2903">
            <v>15.89</v>
          </cell>
        </row>
        <row r="2904">
          <cell r="B2904">
            <v>44513</v>
          </cell>
          <cell r="C2904" t="str">
            <v>MANTA TERMOPLASTICA, PEAD, GEOMEMBRANA TEXTURIZADA EM AMBAS AS FACES, E = 0,75 MM (NBR 15352)</v>
          </cell>
          <cell r="D2904" t="str">
            <v>M2</v>
          </cell>
          <cell r="E2904" t="str">
            <v>CR</v>
          </cell>
          <cell r="F2904">
            <v>22.43</v>
          </cell>
        </row>
        <row r="2905">
          <cell r="B2905">
            <v>44514</v>
          </cell>
          <cell r="C2905" t="str">
            <v>MANTA TERMOPLASTICA, PEAD, GEOMEMBRANA TEXTURIZADA EM AMBAS AS FACES, E = 0,80 MM (NBR 15352)</v>
          </cell>
          <cell r="D2905" t="str">
            <v>M2</v>
          </cell>
          <cell r="E2905" t="str">
            <v>CR</v>
          </cell>
          <cell r="F2905">
            <v>25.43</v>
          </cell>
        </row>
        <row r="2906">
          <cell r="B2906">
            <v>44515</v>
          </cell>
          <cell r="C2906" t="str">
            <v>MANTA TERMOPLASTICA, PEAD, GEOMEMBRANA TEXTURIZADA EM AMBAS AS FACES, E = 1,00 MM (NBR 15352)</v>
          </cell>
          <cell r="D2906" t="str">
            <v>M2</v>
          </cell>
          <cell r="E2906" t="str">
            <v>CR</v>
          </cell>
          <cell r="F2906">
            <v>31.22</v>
          </cell>
        </row>
        <row r="2907">
          <cell r="B2907">
            <v>44511</v>
          </cell>
          <cell r="C2907" t="str">
            <v>MANTA TERMOPLASTICA, PEAD, GEOMEMBRANA TEXTURIZADA EM AMBAS AS FACES, E = 1,50 MM (NBR 15352)</v>
          </cell>
          <cell r="D2907" t="str">
            <v>M2</v>
          </cell>
          <cell r="E2907" t="str">
            <v>CR</v>
          </cell>
          <cell r="F2907">
            <v>46.22</v>
          </cell>
        </row>
        <row r="2908">
          <cell r="B2908">
            <v>44516</v>
          </cell>
          <cell r="C2908" t="str">
            <v>MANTA TERMOPLASTICA, PEAD, GEOMEMBRANA TEXTURIZADA EM AMBAS AS FACES, E = 2,00 MM (NBR 15352)</v>
          </cell>
          <cell r="D2908" t="str">
            <v>M2</v>
          </cell>
          <cell r="E2908" t="str">
            <v>CR</v>
          </cell>
          <cell r="F2908">
            <v>62.46</v>
          </cell>
        </row>
        <row r="2909">
          <cell r="B2909">
            <v>44517</v>
          </cell>
          <cell r="C2909" t="str">
            <v>MANTA TERMOPLASTICA, PEAD, GEOMEMBRANA TEXTURIZADA EM AMBAS AS FACES, E = 2,50 MM (NBR 15352)</v>
          </cell>
          <cell r="D2909" t="str">
            <v>M2</v>
          </cell>
          <cell r="E2909" t="str">
            <v>CR</v>
          </cell>
          <cell r="F2909">
            <v>77.91</v>
          </cell>
        </row>
        <row r="2910">
          <cell r="B2910">
            <v>11479</v>
          </cell>
          <cell r="C2910" t="str">
            <v>MAQUINA DE 40 MM PARA FECHADURA DE EMBUTIR EXTERNA, EM ACO INOX</v>
          </cell>
          <cell r="D2910" t="str">
            <v>UN</v>
          </cell>
          <cell r="E2910" t="str">
            <v>CR</v>
          </cell>
          <cell r="F2910">
            <v>42.3</v>
          </cell>
        </row>
        <row r="2911">
          <cell r="B2911">
            <v>11481</v>
          </cell>
          <cell r="C2911" t="str">
            <v>MAQUINA DE 40 MM PARA FECHADURA, PARA PORTA DE BANHEIRO, EM ACO INOX</v>
          </cell>
          <cell r="D2911" t="str">
            <v>UN</v>
          </cell>
          <cell r="E2911" t="str">
            <v>CR</v>
          </cell>
          <cell r="F2911">
            <v>38.270000000000003</v>
          </cell>
        </row>
        <row r="2912">
          <cell r="B2912">
            <v>43609</v>
          </cell>
          <cell r="C2912" t="str">
            <v>MAQUINA DE 40 MM PARA FECHADURA, PARA PORTA INTERNA, EM ACO INOX</v>
          </cell>
          <cell r="D2912" t="str">
            <v>UN</v>
          </cell>
          <cell r="E2912" t="str">
            <v>CR</v>
          </cell>
          <cell r="F2912">
            <v>38.270000000000003</v>
          </cell>
        </row>
        <row r="2913">
          <cell r="B2913">
            <v>11478</v>
          </cell>
          <cell r="C2913" t="str">
            <v>MAQUINA DE 55 MM PARA FECHADURA DE EMBUTIR EXTERNA, EM ACO INOX</v>
          </cell>
          <cell r="D2913" t="str">
            <v>UN</v>
          </cell>
          <cell r="E2913" t="str">
            <v>CR</v>
          </cell>
          <cell r="F2913">
            <v>72.58</v>
          </cell>
        </row>
        <row r="2914">
          <cell r="B2914">
            <v>43608</v>
          </cell>
          <cell r="C2914" t="str">
            <v>MAQUINA DE 55 MM PARA FECHADURA, PARA PORTA DE BANHEIRO, EM ACO INOX</v>
          </cell>
          <cell r="D2914" t="str">
            <v>UN</v>
          </cell>
          <cell r="E2914" t="str">
            <v>CR</v>
          </cell>
          <cell r="F2914">
            <v>55.38</v>
          </cell>
        </row>
        <row r="2915">
          <cell r="B2915">
            <v>11476</v>
          </cell>
          <cell r="C2915" t="str">
            <v>MAQUINA DE 55 MM PARA FECHADURA, PARA PORTA INTERNA, EM ACO INOX</v>
          </cell>
          <cell r="D2915" t="str">
            <v>UN</v>
          </cell>
          <cell r="E2915" t="str">
            <v>CR</v>
          </cell>
          <cell r="F2915">
            <v>55.38</v>
          </cell>
        </row>
        <row r="2916">
          <cell r="B2916">
            <v>40637</v>
          </cell>
          <cell r="C2916" t="str">
            <v>MAQUINA DEMARCADORA DE FAIXA DE TRAFEGO A FRIO, AUTOPROPELIDA, MOTOR DIESEL 38 HP</v>
          </cell>
          <cell r="D2916" t="str">
            <v>UN</v>
          </cell>
          <cell r="E2916" t="str">
            <v>CR</v>
          </cell>
          <cell r="F2916">
            <v>900957.15</v>
          </cell>
        </row>
        <row r="2917">
          <cell r="B2917">
            <v>13836</v>
          </cell>
          <cell r="C2917" t="str">
            <v>MAQUINA EXTRUSORA DE CONCRETO PARA GUIAS E SARJETAS, COM MOTOR A DIESEL E POTENCIA DE 14 CV</v>
          </cell>
          <cell r="D2917" t="str">
            <v>UN</v>
          </cell>
          <cell r="E2917" t="str">
            <v>CR</v>
          </cell>
          <cell r="F2917">
            <v>66337.070000000007</v>
          </cell>
        </row>
        <row r="2918">
          <cell r="B2918">
            <v>39813</v>
          </cell>
          <cell r="C2918" t="str">
            <v>MAQUINA TIPO VASO/TANQUE/JATO DE PRESSAO PORTATIL P/ JATEAMENTO, CONTROLE AUTOMATICO E REMOTO, CAMARA DE 1 SAIDA, 280 L, DIAM. *670* MM, BICO JATO CURTO VENTURI 5/16", MANGUEIRA 1" DE 10 M, COMPLETA (VALVULAS POP UP E DOSADORA, FUNDO CONICO ETC)</v>
          </cell>
          <cell r="D2918" t="str">
            <v>UN</v>
          </cell>
          <cell r="E2918" t="str">
            <v>CR</v>
          </cell>
          <cell r="F2918">
            <v>38997.879999999997</v>
          </cell>
        </row>
        <row r="2919">
          <cell r="B2919">
            <v>12868</v>
          </cell>
          <cell r="C2919" t="str">
            <v>MARCENEIRO (HORISTA)</v>
          </cell>
          <cell r="D2919" t="str">
            <v>H</v>
          </cell>
          <cell r="E2919" t="str">
            <v>CR</v>
          </cell>
          <cell r="F2919">
            <v>26.03</v>
          </cell>
        </row>
        <row r="2920">
          <cell r="B2920">
            <v>40916</v>
          </cell>
          <cell r="C2920" t="str">
            <v>MARCENEIRO (MENSALISTA)</v>
          </cell>
          <cell r="D2920" t="str">
            <v>MES</v>
          </cell>
          <cell r="E2920" t="str">
            <v>CR</v>
          </cell>
          <cell r="F2920">
            <v>4560.57</v>
          </cell>
        </row>
        <row r="2921">
          <cell r="B2921">
            <v>4755</v>
          </cell>
          <cell r="C2921" t="str">
            <v>MARMORISTA / GRANITEIRO (HORISTA)</v>
          </cell>
          <cell r="D2921" t="str">
            <v>H</v>
          </cell>
          <cell r="E2921" t="str">
            <v>CR</v>
          </cell>
          <cell r="F2921">
            <v>26.96</v>
          </cell>
        </row>
        <row r="2922">
          <cell r="B2922">
            <v>41067</v>
          </cell>
          <cell r="C2922" t="str">
            <v>MARMORISTA / GRANITEIRO (MENSALISTA)</v>
          </cell>
          <cell r="D2922" t="str">
            <v>MES</v>
          </cell>
          <cell r="E2922" t="str">
            <v>CR</v>
          </cell>
          <cell r="F2922">
            <v>4725.88</v>
          </cell>
        </row>
        <row r="2923">
          <cell r="B2923">
            <v>45240</v>
          </cell>
          <cell r="C2923" t="str">
            <v>MARRETA DE ACO, OITAVADA, 500 G, COM CABO DE MADEIRA</v>
          </cell>
          <cell r="D2923" t="str">
            <v>UN</v>
          </cell>
          <cell r="E2923" t="str">
            <v>CR</v>
          </cell>
          <cell r="F2923">
            <v>34.049999999999997</v>
          </cell>
        </row>
        <row r="2924">
          <cell r="B2924">
            <v>45228</v>
          </cell>
          <cell r="C2924" t="str">
            <v>MARTELO DE BORRACHA PRETO 450 G, CABO DE MADEIRA *60* MM DE DIAMETRO</v>
          </cell>
          <cell r="D2924" t="str">
            <v>UN</v>
          </cell>
          <cell r="E2924" t="str">
            <v>CR</v>
          </cell>
          <cell r="F2924">
            <v>29.1</v>
          </cell>
        </row>
        <row r="2925">
          <cell r="B2925">
            <v>45241</v>
          </cell>
          <cell r="C2925" t="str">
            <v>MARTELO DE PEDREIRO, 1 CORTE, EM ACO, *500* G, COMPRIMENTO TOTAL DE *28* CM, COM CABO DE MADEIRA</v>
          </cell>
          <cell r="D2925" t="str">
            <v>UN</v>
          </cell>
          <cell r="E2925" t="str">
            <v>CR</v>
          </cell>
          <cell r="F2925">
            <v>41.87</v>
          </cell>
        </row>
        <row r="2926">
          <cell r="B2926">
            <v>38463</v>
          </cell>
          <cell r="C2926" t="str">
            <v>MARTELO DE SOLDADOR/PICADOR DE SOLDA</v>
          </cell>
          <cell r="D2926" t="str">
            <v>UN</v>
          </cell>
          <cell r="E2926" t="str">
            <v>CR</v>
          </cell>
          <cell r="F2926">
            <v>43.78</v>
          </cell>
        </row>
        <row r="2927">
          <cell r="B2927">
            <v>40703</v>
          </cell>
          <cell r="C2927" t="str">
            <v>MARTELO DEMOLIDOR ELETRICO, COM POTENCIA DE 2.000 W, FREQUENCIA DE 1.000 IMPACTOS POR MINUTO, FORCA DE IMPACTO ENTRE 60 E 65 J, PESO DE 30 KG</v>
          </cell>
          <cell r="D2927" t="str">
            <v>UN</v>
          </cell>
          <cell r="E2927" t="str">
            <v>C</v>
          </cell>
          <cell r="F2927">
            <v>10449</v>
          </cell>
        </row>
        <row r="2928">
          <cell r="B2928">
            <v>11616</v>
          </cell>
          <cell r="C2928" t="str">
            <v>MARTELO DEMOLIDOR PNEUMATICO MANUAL, PADRAO, PESO DE 32 KG</v>
          </cell>
          <cell r="D2928" t="str">
            <v>UN</v>
          </cell>
          <cell r="E2928" t="str">
            <v>CR</v>
          </cell>
          <cell r="F2928">
            <v>12480.84</v>
          </cell>
        </row>
        <row r="2929">
          <cell r="B2929">
            <v>41898</v>
          </cell>
          <cell r="C2929" t="str">
            <v>MARTELO DEMOLIDOR PNEUMATICO MANUAL, PESO DE 28 KG, COM SILENCIADOR</v>
          </cell>
          <cell r="D2929" t="str">
            <v>UN</v>
          </cell>
          <cell r="E2929" t="str">
            <v>CR</v>
          </cell>
          <cell r="F2929">
            <v>6164.14</v>
          </cell>
        </row>
        <row r="2930">
          <cell r="B2930">
            <v>45304</v>
          </cell>
          <cell r="C2930" t="str">
            <v>MARTELO PERFURADOR PNEUMATICO MANUAL, HASTE 19 X 108 MM, *11* KG</v>
          </cell>
          <cell r="D2930" t="str">
            <v>UN</v>
          </cell>
          <cell r="E2930" t="str">
            <v>CR</v>
          </cell>
          <cell r="F2930">
            <v>10604.16</v>
          </cell>
        </row>
        <row r="2931">
          <cell r="B2931">
            <v>36141</v>
          </cell>
          <cell r="C2931" t="str">
            <v>MASCARA DE SEGURANCA PARA SOLDA COM ESCUDO DE CELERON E CARNEIRA DE PLASTICO COM REGULAGEM</v>
          </cell>
          <cell r="D2931" t="str">
            <v>UN</v>
          </cell>
          <cell r="E2931" t="str">
            <v>CR</v>
          </cell>
          <cell r="F2931">
            <v>103.89</v>
          </cell>
        </row>
        <row r="2932">
          <cell r="B2932">
            <v>45211</v>
          </cell>
          <cell r="C2932" t="str">
            <v>MASCARA DE SOLDA AUTOMATICA, COM GRAU DE ESCURECIMENTO DIN 9 A 13</v>
          </cell>
          <cell r="D2932" t="str">
            <v>UN</v>
          </cell>
          <cell r="E2932" t="str">
            <v>CR</v>
          </cell>
          <cell r="F2932">
            <v>94.42</v>
          </cell>
        </row>
        <row r="2933">
          <cell r="B2933">
            <v>43651</v>
          </cell>
          <cell r="C2933" t="str">
            <v>MASSA ACRILICA PARA SUPERFICIES INTERNAS E EXTERNAS</v>
          </cell>
          <cell r="D2933" t="str">
            <v>KG</v>
          </cell>
          <cell r="E2933" t="str">
            <v>CR</v>
          </cell>
          <cell r="F2933">
            <v>7.19</v>
          </cell>
        </row>
        <row r="2934">
          <cell r="B2934">
            <v>43626</v>
          </cell>
          <cell r="C2934" t="str">
            <v>MASSA CORRIDA PARA SUPERFICIES DE AMBIENTES INTERNOS</v>
          </cell>
          <cell r="D2934" t="str">
            <v>KG</v>
          </cell>
          <cell r="E2934" t="str">
            <v>C</v>
          </cell>
          <cell r="F2934">
            <v>4</v>
          </cell>
        </row>
        <row r="2935">
          <cell r="B2935">
            <v>39434</v>
          </cell>
          <cell r="C2935" t="str">
            <v>MASSA DE REJUNTE EM PO PARA DRYWALL, A BASE DE GESSO, SECAGEM RAPIDA, PARA TRATAMENTO DE JUNTAS DE CHAPA DE GESSO (NECESSITA ADICAO DE AGUA)</v>
          </cell>
          <cell r="D2935" t="str">
            <v>KG</v>
          </cell>
          <cell r="E2935" t="str">
            <v>CR</v>
          </cell>
          <cell r="F2935">
            <v>3.51</v>
          </cell>
        </row>
        <row r="2936">
          <cell r="B2936">
            <v>39433</v>
          </cell>
          <cell r="C2936" t="str">
            <v>MASSA DE REJUNTE PRONTA PARA TRATAMENTO DE JUNTAS DE CHAPA DE GESSO PARA DRYWALL, SEM ADICAO DE AGUA</v>
          </cell>
          <cell r="D2936" t="str">
            <v>KG</v>
          </cell>
          <cell r="E2936" t="str">
            <v>CR</v>
          </cell>
          <cell r="F2936">
            <v>2.79</v>
          </cell>
        </row>
        <row r="2937">
          <cell r="B2937">
            <v>4049</v>
          </cell>
          <cell r="C2937" t="str">
            <v>MASSA EPOXI BICOMPONENTE (MASSA + CATALISADOR)</v>
          </cell>
          <cell r="D2937" t="str">
            <v>L</v>
          </cell>
          <cell r="E2937" t="str">
            <v>CR</v>
          </cell>
          <cell r="F2937">
            <v>80.28</v>
          </cell>
        </row>
        <row r="2938">
          <cell r="B2938">
            <v>38120</v>
          </cell>
          <cell r="C2938" t="str">
            <v>MASSA EPOXI BICOMPONENTE PARA REPAROS</v>
          </cell>
          <cell r="D2938" t="str">
            <v>KG</v>
          </cell>
          <cell r="E2938" t="str">
            <v>CR</v>
          </cell>
          <cell r="F2938">
            <v>126.46</v>
          </cell>
        </row>
        <row r="2939">
          <cell r="B2939">
            <v>43652</v>
          </cell>
          <cell r="C2939" t="str">
            <v>MASSA PARA MADEIRA - INTERIOR E EXTERIOR</v>
          </cell>
          <cell r="D2939" t="str">
            <v>KG</v>
          </cell>
          <cell r="E2939" t="str">
            <v>CR</v>
          </cell>
          <cell r="F2939">
            <v>16.12</v>
          </cell>
        </row>
        <row r="2940">
          <cell r="B2940">
            <v>10498</v>
          </cell>
          <cell r="C2940" t="str">
            <v>MASSA PARA VIDRO</v>
          </cell>
          <cell r="D2940" t="str">
            <v>KG</v>
          </cell>
          <cell r="E2940" t="str">
            <v>CR</v>
          </cell>
          <cell r="F2940">
            <v>12.09</v>
          </cell>
        </row>
        <row r="2941">
          <cell r="B2941">
            <v>4823</v>
          </cell>
          <cell r="C2941" t="str">
            <v>MASSA PLASTICA PARA MARMORE/GRANITO</v>
          </cell>
          <cell r="D2941" t="str">
            <v>KG</v>
          </cell>
          <cell r="E2941" t="str">
            <v>CR</v>
          </cell>
          <cell r="F2941">
            <v>35.76</v>
          </cell>
        </row>
        <row r="2942">
          <cell r="B2942">
            <v>38877</v>
          </cell>
          <cell r="C2942" t="str">
            <v>MASSA PREMIUM PARA TEXTURA LISA DE BASE ACRILICA, USO INTERNO E EXTERNO</v>
          </cell>
          <cell r="D2942" t="str">
            <v>KG</v>
          </cell>
          <cell r="E2942" t="str">
            <v>CR</v>
          </cell>
          <cell r="F2942">
            <v>8.01</v>
          </cell>
        </row>
        <row r="2943">
          <cell r="B2943">
            <v>34546</v>
          </cell>
          <cell r="C2943" t="str">
            <v>MASSA PREMIUM PARA TEXTURA RUSTICA DE BASE ACRILICA, COR BRANCA, USO INTERNO E EXTERNO</v>
          </cell>
          <cell r="D2943" t="str">
            <v>KG</v>
          </cell>
          <cell r="E2943" t="str">
            <v>CR</v>
          </cell>
          <cell r="F2943">
            <v>8.24</v>
          </cell>
        </row>
        <row r="2944">
          <cell r="B2944">
            <v>41387</v>
          </cell>
          <cell r="C2944" t="str">
            <v>MASTRO SIMPLES GALVANIZADO DIAMETRO NOMINAL 1 1/2"</v>
          </cell>
          <cell r="D2944" t="str">
            <v>M</v>
          </cell>
          <cell r="E2944" t="str">
            <v>CR</v>
          </cell>
          <cell r="F2944">
            <v>55.64</v>
          </cell>
        </row>
        <row r="2945">
          <cell r="B2945">
            <v>41388</v>
          </cell>
          <cell r="C2945" t="str">
            <v>MASTRO SIMPLES GALVANIZADO DIAMETRO NOMINAL 2"</v>
          </cell>
          <cell r="D2945" t="str">
            <v>M</v>
          </cell>
          <cell r="E2945" t="str">
            <v>CR</v>
          </cell>
          <cell r="F2945">
            <v>66.75</v>
          </cell>
        </row>
        <row r="2946">
          <cell r="B2946">
            <v>41380</v>
          </cell>
          <cell r="C2946" t="str">
            <v>MASTRO TELESCOPICO DE 4 METROS (3 M X DN= 2" + 1 M X DN= 1 1/2")</v>
          </cell>
          <cell r="D2946" t="str">
            <v>UN</v>
          </cell>
          <cell r="E2946" t="str">
            <v>CR</v>
          </cell>
          <cell r="F2946">
            <v>444.13</v>
          </cell>
        </row>
        <row r="2947">
          <cell r="B2947">
            <v>41381</v>
          </cell>
          <cell r="C2947" t="str">
            <v>MASTRO TELESCOPICO GALVANIZADO 5 METROS (3 M X DN= 2" + 2 M X DN= 1 1/2")</v>
          </cell>
          <cell r="D2947" t="str">
            <v>UN</v>
          </cell>
          <cell r="E2947" t="str">
            <v>CR</v>
          </cell>
          <cell r="F2947">
            <v>465.28</v>
          </cell>
        </row>
        <row r="2948">
          <cell r="B2948">
            <v>41382</v>
          </cell>
          <cell r="C2948" t="str">
            <v>MASTRO TELESCOPICO GALVANIZADO 6 METROS (3 M X DN= 2" + 3 M X DN= 1 1/2")</v>
          </cell>
          <cell r="D2948" t="str">
            <v>UN</v>
          </cell>
          <cell r="E2948" t="str">
            <v>CR</v>
          </cell>
          <cell r="F2948">
            <v>450.37</v>
          </cell>
        </row>
        <row r="2949">
          <cell r="B2949">
            <v>41383</v>
          </cell>
          <cell r="C2949" t="str">
            <v>MASTRO TELESCOPICO GALVANIZADO 7 METROS (6 M X DN= 2" + 1 M X DN= 1 1/2")</v>
          </cell>
          <cell r="D2949" t="str">
            <v>UN</v>
          </cell>
          <cell r="E2949" t="str">
            <v>CR</v>
          </cell>
          <cell r="F2949">
            <v>611.28</v>
          </cell>
        </row>
        <row r="2950">
          <cell r="B2950">
            <v>41385</v>
          </cell>
          <cell r="C2950" t="str">
            <v>MASTRO TELESCOPICO GALVANIZADO 9 METROS (6 M X DN= 2" + 3 M X DN= 1 1/2")</v>
          </cell>
          <cell r="D2950" t="str">
            <v>UN</v>
          </cell>
          <cell r="E2950" t="str">
            <v>CR</v>
          </cell>
          <cell r="F2950">
            <v>760.66</v>
          </cell>
        </row>
        <row r="2951">
          <cell r="B2951">
            <v>4058</v>
          </cell>
          <cell r="C2951" t="str">
            <v>MECANICO DE EQUIPAMENTOS PESADOS (HORISTA)</v>
          </cell>
          <cell r="D2951" t="str">
            <v>H</v>
          </cell>
          <cell r="E2951" t="str">
            <v>CR</v>
          </cell>
          <cell r="F2951">
            <v>41.69</v>
          </cell>
        </row>
        <row r="2952">
          <cell r="B2952">
            <v>40974</v>
          </cell>
          <cell r="C2952" t="str">
            <v>MECANICO DE EQUIPAMENTOS PESADOS (MENSALISTA)</v>
          </cell>
          <cell r="D2952" t="str">
            <v>MES</v>
          </cell>
          <cell r="E2952" t="str">
            <v>CR</v>
          </cell>
          <cell r="F2952">
            <v>7304.11</v>
          </cell>
        </row>
        <row r="2953">
          <cell r="B2953">
            <v>34794</v>
          </cell>
          <cell r="C2953" t="str">
            <v>MECANICO DE REFRIGERACAO (HORISTA)</v>
          </cell>
          <cell r="D2953" t="str">
            <v>H</v>
          </cell>
          <cell r="E2953" t="str">
            <v>CR</v>
          </cell>
          <cell r="F2953">
            <v>34.479999999999997</v>
          </cell>
        </row>
        <row r="2954">
          <cell r="B2954">
            <v>40925</v>
          </cell>
          <cell r="C2954" t="str">
            <v>MECANICO DE REFRIGERACAO (MENSALISTA)</v>
          </cell>
          <cell r="D2954" t="str">
            <v>MES</v>
          </cell>
          <cell r="E2954" t="str">
            <v>CR</v>
          </cell>
          <cell r="F2954">
            <v>6044.07</v>
          </cell>
        </row>
        <row r="2955">
          <cell r="B2955">
            <v>13741</v>
          </cell>
          <cell r="C2955" t="str">
            <v>MEDIDOR DE NIVEL ESTATICO E DINAMICO PARA POCO, COMPRIMENTO DE 200 M</v>
          </cell>
          <cell r="D2955" t="str">
            <v>UN</v>
          </cell>
          <cell r="E2955" t="str">
            <v>CR</v>
          </cell>
          <cell r="F2955">
            <v>2333.2600000000002</v>
          </cell>
        </row>
        <row r="2956">
          <cell r="B2956">
            <v>3288</v>
          </cell>
          <cell r="C2956" t="str">
            <v>MEIA CANA DE MADEIRA CEDRINHO OU EQUIVALENTE DA REGIAO, ACABAMENTO PARA FORRO PAULISTA, *2,5 X 2,5* CM</v>
          </cell>
          <cell r="D2956" t="str">
            <v>M</v>
          </cell>
          <cell r="E2956" t="str">
            <v>C</v>
          </cell>
          <cell r="F2956">
            <v>7.5</v>
          </cell>
        </row>
        <row r="2957">
          <cell r="B2957">
            <v>13587</v>
          </cell>
          <cell r="C2957" t="str">
            <v>MEIA CANA DE MADEIRA PINUS OU EQUIVALENTE DA REGIAO, ACABAMENTO PARA FORRO PAULISTA, *2,5 X 2,5* CM</v>
          </cell>
          <cell r="D2957" t="str">
            <v>M</v>
          </cell>
          <cell r="E2957" t="str">
            <v>CR</v>
          </cell>
          <cell r="F2957">
            <v>4.53</v>
          </cell>
        </row>
        <row r="2958">
          <cell r="B2958">
            <v>38598</v>
          </cell>
          <cell r="C2958" t="str">
            <v>MEIA CANALETA DE CONCRETO ESTRUTURAL 14 X 19 X 19 CM, FBK 14 MPA (NBR 6136)</v>
          </cell>
          <cell r="D2958" t="str">
            <v>UN</v>
          </cell>
          <cell r="E2958" t="str">
            <v>CR</v>
          </cell>
          <cell r="F2958">
            <v>3.41</v>
          </cell>
        </row>
        <row r="2959">
          <cell r="B2959">
            <v>38595</v>
          </cell>
          <cell r="C2959" t="str">
            <v>MEIA CANALETA DE CONCRETO ESTRUTURAL 14 X 19 X 19 CM, FBK 4,5 MPA (NBR 6136)</v>
          </cell>
          <cell r="D2959" t="str">
            <v>UN</v>
          </cell>
          <cell r="E2959" t="str">
            <v>CR</v>
          </cell>
          <cell r="F2959">
            <v>2.89</v>
          </cell>
        </row>
        <row r="2960">
          <cell r="B2960">
            <v>38592</v>
          </cell>
          <cell r="C2960" t="str">
            <v>MEIO BLOCO DE CONCRETO ESTRUTURAL 14 X 19 X 14 CM, FBK 14 MPA (NBR 6136)</v>
          </cell>
          <cell r="D2960" t="str">
            <v>UN</v>
          </cell>
          <cell r="E2960" t="str">
            <v>CR</v>
          </cell>
          <cell r="F2960">
            <v>2.92</v>
          </cell>
        </row>
        <row r="2961">
          <cell r="B2961">
            <v>38588</v>
          </cell>
          <cell r="C2961" t="str">
            <v>MEIO BLOCO DE CONCRETO ESTRUTURAL 14 X 19 X 14 CM, FBK 4,5 MPA (NBR 6136)</v>
          </cell>
          <cell r="D2961" t="str">
            <v>UN</v>
          </cell>
          <cell r="E2961" t="str">
            <v>CR</v>
          </cell>
          <cell r="F2961">
            <v>2.34</v>
          </cell>
        </row>
        <row r="2962">
          <cell r="B2962">
            <v>38593</v>
          </cell>
          <cell r="C2962" t="str">
            <v>MEIO BLOCO DE CONCRETO ESTRUTURAL 14 X 19 X 19 CM, FBK 14 MPA (NBR 6136)</v>
          </cell>
          <cell r="D2962" t="str">
            <v>UN</v>
          </cell>
          <cell r="E2962" t="str">
            <v>CR</v>
          </cell>
          <cell r="F2962">
            <v>3.23</v>
          </cell>
        </row>
        <row r="2963">
          <cell r="B2963">
            <v>38589</v>
          </cell>
          <cell r="C2963" t="str">
            <v>MEIO BLOCO DE CONCRETO ESTRUTURAL 14 X 19 X 19 CM, FBK 4,5 MPA (NBR 6136)</v>
          </cell>
          <cell r="D2963" t="str">
            <v>UN</v>
          </cell>
          <cell r="E2963" t="str">
            <v>CR</v>
          </cell>
          <cell r="F2963">
            <v>2.4500000000000002</v>
          </cell>
        </row>
        <row r="2964">
          <cell r="B2964">
            <v>38594</v>
          </cell>
          <cell r="C2964" t="str">
            <v>MEIO BLOCO DE CONCRETO ESTRUTURAL 14 X 19 X 34 CM, FBK 14 MPA (NBR 6136)</v>
          </cell>
          <cell r="D2964" t="str">
            <v>UN</v>
          </cell>
          <cell r="E2964" t="str">
            <v>CR</v>
          </cell>
          <cell r="F2964">
            <v>5.09</v>
          </cell>
        </row>
        <row r="2965">
          <cell r="B2965">
            <v>34774</v>
          </cell>
          <cell r="C2965" t="str">
            <v>MEIO BLOCO DE VEDACAO DE CONCRETO 14 X 19 X 19 CM (CLASSE C - NBR 6136)</v>
          </cell>
          <cell r="D2965" t="str">
            <v>UN</v>
          </cell>
          <cell r="E2965" t="str">
            <v>CR</v>
          </cell>
          <cell r="F2965">
            <v>2.29</v>
          </cell>
        </row>
        <row r="2966">
          <cell r="B2966">
            <v>34771</v>
          </cell>
          <cell r="C2966" t="str">
            <v>MEIO BLOCO DE VEDACAO DE CONCRETO 19 X 19 X 19 CM (CLASSE C - NBR 6136)</v>
          </cell>
          <cell r="D2966" t="str">
            <v>UN</v>
          </cell>
          <cell r="E2966" t="str">
            <v>CR</v>
          </cell>
          <cell r="F2966">
            <v>2.76</v>
          </cell>
        </row>
        <row r="2967">
          <cell r="B2967">
            <v>34764</v>
          </cell>
          <cell r="C2967" t="str">
            <v>MEIO BLOCO DE VEDACAO DE CONCRETO 9 X 19 X 19 CM (CLASSE C - NBR 6136)</v>
          </cell>
          <cell r="D2967" t="str">
            <v>UN</v>
          </cell>
          <cell r="E2967" t="str">
            <v>CR</v>
          </cell>
          <cell r="F2967">
            <v>1.81</v>
          </cell>
        </row>
        <row r="2968">
          <cell r="B2968">
            <v>34773</v>
          </cell>
          <cell r="C2968" t="str">
            <v>MEIO BLOCO DE VEDACAO DE CONCRETO APARENTE 14 X 19 X 19 CM (CLASSE C - NBR 6136)</v>
          </cell>
          <cell r="D2968" t="str">
            <v>UN</v>
          </cell>
          <cell r="E2968" t="str">
            <v>CR</v>
          </cell>
          <cell r="F2968">
            <v>2.41</v>
          </cell>
        </row>
        <row r="2969">
          <cell r="B2969">
            <v>34769</v>
          </cell>
          <cell r="C2969" t="str">
            <v>MEIO BLOCO DE VEDACAO DE CONCRETO APARENTE 19 X 19 X 19 CM (CLASSE C - NBR 6136)</v>
          </cell>
          <cell r="D2969" t="str">
            <v>UN</v>
          </cell>
          <cell r="E2969" t="str">
            <v>CR</v>
          </cell>
          <cell r="F2969">
            <v>2.98</v>
          </cell>
        </row>
        <row r="2970">
          <cell r="B2970">
            <v>34763</v>
          </cell>
          <cell r="C2970" t="str">
            <v>MEIO BLOCO DE VEDACAO DE CONCRETO APARENTE 9 X 19 X 19 CM (CLASSE C - NBR 6136)</v>
          </cell>
          <cell r="D2970" t="str">
            <v>UN</v>
          </cell>
          <cell r="E2970" t="str">
            <v>CR</v>
          </cell>
          <cell r="F2970">
            <v>1.84</v>
          </cell>
        </row>
        <row r="2971">
          <cell r="B2971">
            <v>34788</v>
          </cell>
          <cell r="C2971" t="str">
            <v>MEIO BLOCO ESTRUTURAL CERAMICO DE 14 X 19 X 14 CM (L X A X C) E 6,0 MPA</v>
          </cell>
          <cell r="D2971" t="str">
            <v>UN</v>
          </cell>
          <cell r="E2971" t="str">
            <v>CR</v>
          </cell>
          <cell r="F2971">
            <v>1.24</v>
          </cell>
        </row>
        <row r="2972">
          <cell r="B2972">
            <v>34781</v>
          </cell>
          <cell r="C2972" t="str">
            <v>MEIO BLOCO ESTRUTURAL CERAMICO DE 14 X 19 X 19 CM (L X A X C) E 6,0 MPA</v>
          </cell>
          <cell r="D2972" t="str">
            <v>UN</v>
          </cell>
          <cell r="E2972" t="str">
            <v>CR</v>
          </cell>
          <cell r="F2972">
            <v>1.71</v>
          </cell>
        </row>
        <row r="2973">
          <cell r="B2973">
            <v>41682</v>
          </cell>
          <cell r="C2973" t="str">
            <v>MEIO-FIO OU GUIA DE CONCRETO PRE MOLDADO, COMP 1 M, *30 X 10/12* CM (H X L1/L2)</v>
          </cell>
          <cell r="D2973" t="str">
            <v>UN</v>
          </cell>
          <cell r="E2973" t="str">
            <v>CR</v>
          </cell>
          <cell r="F2973">
            <v>29.47</v>
          </cell>
        </row>
        <row r="2974">
          <cell r="B2974">
            <v>41683</v>
          </cell>
          <cell r="C2974" t="str">
            <v>MEIO-FIO OU GUIA DE CONCRETO PRE MOLDADO, COMP 80 CM, *30 X 10/10* (H X L1/L2)</v>
          </cell>
          <cell r="D2974" t="str">
            <v>UN</v>
          </cell>
          <cell r="E2974" t="str">
            <v>CR</v>
          </cell>
          <cell r="F2974">
            <v>21.68</v>
          </cell>
        </row>
        <row r="2975">
          <cell r="B2975">
            <v>41680</v>
          </cell>
          <cell r="C2975" t="str">
            <v>MEIO-FIO OU GUIA DE CONCRETO PRE-MOLDADO, COMP *39* CM, *19 X 6,5/6,5* CM (H X L1/L2)</v>
          </cell>
          <cell r="D2975" t="str">
            <v>UN</v>
          </cell>
          <cell r="E2975" t="str">
            <v>CR</v>
          </cell>
          <cell r="F2975">
            <v>11.67</v>
          </cell>
        </row>
        <row r="2976">
          <cell r="B2976">
            <v>41679</v>
          </cell>
          <cell r="C2976" t="str">
            <v>MEIO-FIO OU GUIA DE CONCRETO PRE-MOLDADO, COMP 1 M, *20 X 12/15* CM (H X L1/L2)</v>
          </cell>
          <cell r="D2976" t="str">
            <v>UN</v>
          </cell>
          <cell r="E2976" t="str">
            <v>CR</v>
          </cell>
          <cell r="F2976">
            <v>26.69</v>
          </cell>
        </row>
        <row r="2977">
          <cell r="B2977">
            <v>41681</v>
          </cell>
          <cell r="C2977" t="str">
            <v>MEIO-FIO OU GUIA DE CONCRETO PRE-MOLDADO, COMP 80 CM, *25 X 08/08* CM (H X L1/L2)</v>
          </cell>
          <cell r="D2977" t="str">
            <v>UN</v>
          </cell>
          <cell r="E2977" t="str">
            <v>CR</v>
          </cell>
          <cell r="F2977">
            <v>18.260000000000002</v>
          </cell>
        </row>
        <row r="2978">
          <cell r="B2978">
            <v>43386</v>
          </cell>
          <cell r="C2978" t="str">
            <v>MEIO-FIO OU GUIA DE CONCRETO PRE-MOLDADO, TIPO CHAPEU PARA BOCA DE LOBO, DIMENSOES *1,20* X 0,15 X 0,30 M</v>
          </cell>
          <cell r="D2978" t="str">
            <v>UN</v>
          </cell>
          <cell r="E2978" t="str">
            <v>CR</v>
          </cell>
          <cell r="F2978">
            <v>41.7</v>
          </cell>
        </row>
        <row r="2979">
          <cell r="B2979">
            <v>4059</v>
          </cell>
          <cell r="C2979" t="str">
            <v>MEIO-FIO OU GUIA DE CONCRETO, PRE-MOLDADO, COMP 1 M, *30 X 12/15* CM (H X L1/L2)</v>
          </cell>
          <cell r="D2979" t="str">
            <v>M</v>
          </cell>
          <cell r="E2979" t="str">
            <v>CR</v>
          </cell>
          <cell r="F2979">
            <v>29.47</v>
          </cell>
        </row>
        <row r="2980">
          <cell r="B2980">
            <v>4062</v>
          </cell>
          <cell r="C2980" t="str">
            <v>MEIO-FIO OU GUIA DE CONCRETO, PRE-MOLDADO, COMP 1 M, *30 X 15* CM (H X L)</v>
          </cell>
          <cell r="D2980" t="str">
            <v>UN</v>
          </cell>
          <cell r="E2980" t="str">
            <v>CR</v>
          </cell>
          <cell r="F2980">
            <v>29.47</v>
          </cell>
        </row>
        <row r="2981">
          <cell r="B2981">
            <v>4061</v>
          </cell>
          <cell r="C2981" t="str">
            <v>MEIO-FIO OU GUIA DE CONCRETO, PRE-MOLDADO, COMP 80 CM, *45 X 12/18* CM (H X L1/L2)</v>
          </cell>
          <cell r="D2981" t="str">
            <v>UN</v>
          </cell>
          <cell r="E2981" t="str">
            <v>CR</v>
          </cell>
          <cell r="F2981">
            <v>36.700000000000003</v>
          </cell>
        </row>
        <row r="2982">
          <cell r="B2982">
            <v>41315</v>
          </cell>
          <cell r="C2982" t="str">
            <v>MEMBRANA IMPERMEABILIZANTE A BASE DE POLIUREIA, BICOMPONENTE, APLICACAO A FRIO</v>
          </cell>
          <cell r="D2982" t="str">
            <v>KG</v>
          </cell>
          <cell r="E2982" t="str">
            <v>CR</v>
          </cell>
          <cell r="F2982">
            <v>82.35</v>
          </cell>
        </row>
        <row r="2983">
          <cell r="B2983">
            <v>43148</v>
          </cell>
          <cell r="C2983" t="str">
            <v>MEMBRANA IMPERMEABILIZANTE A BASE DE POLIURETANO</v>
          </cell>
          <cell r="D2983" t="str">
            <v>KG</v>
          </cell>
          <cell r="E2983" t="str">
            <v>CR</v>
          </cell>
          <cell r="F2983">
            <v>55.89</v>
          </cell>
        </row>
        <row r="2984">
          <cell r="B2984">
            <v>43147</v>
          </cell>
          <cell r="C2984" t="str">
            <v>MEMBRANA IMPERMEABILIZANTE ACRILICA MONOCOMPONENTE</v>
          </cell>
          <cell r="D2984" t="str">
            <v>KG</v>
          </cell>
          <cell r="E2984" t="str">
            <v>CR</v>
          </cell>
          <cell r="F2984">
            <v>21.65</v>
          </cell>
        </row>
        <row r="2985">
          <cell r="B2985">
            <v>10608</v>
          </cell>
          <cell r="C2985" t="str">
            <v>MESA VIBRATORIA COM DIMENSOES DE 2,0 X 1,0 M, COM MOTOR ELETRICO DE 2 POLOS E POTENCIA DE 3 CV</v>
          </cell>
          <cell r="D2985" t="str">
            <v>UN</v>
          </cell>
          <cell r="E2985" t="str">
            <v>C</v>
          </cell>
          <cell r="F2985">
            <v>9489.7999999999993</v>
          </cell>
        </row>
        <row r="2986">
          <cell r="B2986">
            <v>4069</v>
          </cell>
          <cell r="C2986" t="str">
            <v>MESTRE DE OBRAS (HORISTA)</v>
          </cell>
          <cell r="D2986" t="str">
            <v>H</v>
          </cell>
          <cell r="E2986" t="str">
            <v>CR</v>
          </cell>
          <cell r="F2986">
            <v>75.03</v>
          </cell>
        </row>
        <row r="2987">
          <cell r="B2987">
            <v>40819</v>
          </cell>
          <cell r="C2987" t="str">
            <v>MESTRE DE OBRAS (MENSALISTA)</v>
          </cell>
          <cell r="D2987" t="str">
            <v>MES</v>
          </cell>
          <cell r="E2987" t="str">
            <v>CR</v>
          </cell>
          <cell r="F2987">
            <v>13146.43</v>
          </cell>
        </row>
        <row r="2988">
          <cell r="B2988">
            <v>34361</v>
          </cell>
          <cell r="C2988" t="str">
            <v>METACAULIM DE ALTA REATIVIDADE/CAULIM CALCINADO</v>
          </cell>
          <cell r="D2988" t="str">
            <v>KG</v>
          </cell>
          <cell r="E2988" t="str">
            <v>CR</v>
          </cell>
          <cell r="F2988">
            <v>15.76</v>
          </cell>
        </row>
        <row r="2989">
          <cell r="B2989">
            <v>44478</v>
          </cell>
          <cell r="C2989" t="str">
            <v>MICROESFERAS DE VIDRO PARA SINALIZACAO HORIZONTAL VIARIA, TIPO I-B (PREMIX) - NBR 16184</v>
          </cell>
          <cell r="D2989" t="str">
            <v>KG</v>
          </cell>
          <cell r="E2989" t="str">
            <v>CR</v>
          </cell>
          <cell r="F2989">
            <v>15.83</v>
          </cell>
        </row>
        <row r="2990">
          <cell r="B2990">
            <v>44477</v>
          </cell>
          <cell r="C2990" t="str">
            <v>MICROESFERAS DE VIDRO PARA SINALIZACAO HORIZONTAL VIARIA, TIPO II-A (DROP-ON) - NBR 16184</v>
          </cell>
          <cell r="D2990" t="str">
            <v>KG</v>
          </cell>
          <cell r="E2990" t="str">
            <v>CR</v>
          </cell>
          <cell r="F2990">
            <v>15.83</v>
          </cell>
        </row>
        <row r="2991">
          <cell r="B2991">
            <v>11697</v>
          </cell>
          <cell r="C2991" t="str">
            <v>MICTORIO COLETIVO ACO INOX (AISI 304), E = 0,8 MM, DE *100 X 40 X 30* CM (C X A X P)</v>
          </cell>
          <cell r="D2991" t="str">
            <v>UN</v>
          </cell>
          <cell r="E2991" t="str">
            <v>CR</v>
          </cell>
          <cell r="F2991">
            <v>696.44</v>
          </cell>
        </row>
        <row r="2992">
          <cell r="B2992">
            <v>11698</v>
          </cell>
          <cell r="C2992" t="str">
            <v>MICTORIO COLETIVO ACO INOX (AISI 304), E = 0,8 MM, DE *100 X 50 X 35* CM (C X A X P)</v>
          </cell>
          <cell r="D2992" t="str">
            <v>UN</v>
          </cell>
          <cell r="E2992" t="str">
            <v>CR</v>
          </cell>
          <cell r="F2992">
            <v>830.82</v>
          </cell>
        </row>
        <row r="2993">
          <cell r="B2993">
            <v>11699</v>
          </cell>
          <cell r="C2993" t="str">
            <v>MICTORIO INDIVIDUAL ACO INOX (AISI 304), E = 0,8 MM, DE *50 X 45 X 35* (C X A X P)</v>
          </cell>
          <cell r="D2993" t="str">
            <v>UN</v>
          </cell>
          <cell r="E2993" t="str">
            <v>CR</v>
          </cell>
          <cell r="F2993">
            <v>918.25</v>
          </cell>
        </row>
        <row r="2994">
          <cell r="B2994">
            <v>10432</v>
          </cell>
          <cell r="C2994" t="str">
            <v>MICTORIO INDIVIDUAL, SIFONADO, DE LOUCA BRANCA, SEM COMPLEMENTOS</v>
          </cell>
          <cell r="D2994" t="str">
            <v>UN</v>
          </cell>
          <cell r="E2994" t="str">
            <v>CR</v>
          </cell>
          <cell r="F2994">
            <v>375.03</v>
          </cell>
        </row>
        <row r="2995">
          <cell r="B2995">
            <v>44020</v>
          </cell>
          <cell r="C2995" t="str">
            <v>MICTORIO INDIVIDUAL, SIFONADO, VALVULA EMBUTIDA, DE LOUCA BRANCA, SEM COMPLEMENTOS - PADRAO ALTO</v>
          </cell>
          <cell r="D2995" t="str">
            <v>UN</v>
          </cell>
          <cell r="E2995" t="str">
            <v>CR</v>
          </cell>
          <cell r="F2995">
            <v>925.24</v>
          </cell>
        </row>
        <row r="2996">
          <cell r="B2996">
            <v>41419</v>
          </cell>
          <cell r="C2996" t="str">
            <v>MINICAPTOR, EM ACO GALVANIZADO A FOGO, FIXACAO COM ROSCA SOBERBA OU MECANICA, H=300 MM X DN=10 MM</v>
          </cell>
          <cell r="D2996" t="str">
            <v>UN</v>
          </cell>
          <cell r="E2996" t="str">
            <v>CR</v>
          </cell>
          <cell r="F2996">
            <v>8.32</v>
          </cell>
        </row>
        <row r="2997">
          <cell r="B2997">
            <v>41420</v>
          </cell>
          <cell r="C2997" t="str">
            <v>MINICAPTOR, EM ACO GALVANIZADO A FOGO, FIXACAO COM ROSCA SOBERBA OU MECANICA, H=600 MM X DN=10 MM</v>
          </cell>
          <cell r="D2997" t="str">
            <v>UN</v>
          </cell>
          <cell r="E2997" t="str">
            <v>CR</v>
          </cell>
          <cell r="F2997">
            <v>11.32</v>
          </cell>
        </row>
        <row r="2998">
          <cell r="B2998">
            <v>41421</v>
          </cell>
          <cell r="C2998" t="str">
            <v>MINICAPTOR, EM ACO GALVANIZADO A FOGO, FIXACAO HORIZONTAL COM BANDEIRA A 20 CM, H=300 MM E X DN=10 MM</v>
          </cell>
          <cell r="D2998" t="str">
            <v>UN</v>
          </cell>
          <cell r="E2998" t="str">
            <v>CR</v>
          </cell>
          <cell r="F2998">
            <v>11.29</v>
          </cell>
        </row>
        <row r="2999">
          <cell r="B2999">
            <v>41422</v>
          </cell>
          <cell r="C2999" t="str">
            <v>MINICAPTOR, EM ACO GALVANIZADO A FOGO, FIXACAO HORIZONTAL COM BANDEIRA A 20 CM, H=600 MM E X DN=10 MM</v>
          </cell>
          <cell r="D2999" t="str">
            <v>UN</v>
          </cell>
          <cell r="E2999" t="str">
            <v>CR</v>
          </cell>
          <cell r="F2999">
            <v>15.46</v>
          </cell>
        </row>
        <row r="3000">
          <cell r="B3000">
            <v>41425</v>
          </cell>
          <cell r="C3000" t="str">
            <v>MINICAPTOR, EM ACO GALVANIZADO A FOGO, FIXACAO HORIZONTAL DE 1 FUROS, SEM BANDEIRA, H=300 MM X DN=10 MM</v>
          </cell>
          <cell r="D3000" t="str">
            <v>UN</v>
          </cell>
          <cell r="E3000" t="str">
            <v>CR</v>
          </cell>
          <cell r="F3000">
            <v>7.91</v>
          </cell>
        </row>
        <row r="3001">
          <cell r="B3001">
            <v>41426</v>
          </cell>
          <cell r="C3001" t="str">
            <v>MINICAPTOR, EM ACO GALVANIZADO A FOGO, FIXACAO HORIZONTAL DE 2 FUROS, SEM BANDEIRA, H=600 MM X DN=10 MM</v>
          </cell>
          <cell r="D3001" t="str">
            <v>UN</v>
          </cell>
          <cell r="E3001" t="str">
            <v>CR</v>
          </cell>
          <cell r="F3001">
            <v>14.26</v>
          </cell>
        </row>
        <row r="3002">
          <cell r="B3002">
            <v>41414</v>
          </cell>
          <cell r="C3002" t="str">
            <v>MINICAPTORES DE INSERCAO, EM ACO GALVANIZADO A FOGO, H=300 MM X DN=10 MM</v>
          </cell>
          <cell r="D3002" t="str">
            <v>UN</v>
          </cell>
          <cell r="E3002" t="str">
            <v>CR</v>
          </cell>
          <cell r="F3002">
            <v>26.19</v>
          </cell>
        </row>
        <row r="3003">
          <cell r="B3003">
            <v>41415</v>
          </cell>
          <cell r="C3003" t="str">
            <v>MINICAPTORES DE INSERCAO, EM ACO GALVANIZADO A FOGO, H=600,MM X DN=10,MM</v>
          </cell>
          <cell r="D3003" t="str">
            <v>UN</v>
          </cell>
          <cell r="E3003" t="str">
            <v>CR</v>
          </cell>
          <cell r="F3003">
            <v>30.5</v>
          </cell>
        </row>
        <row r="3004">
          <cell r="B3004">
            <v>37514</v>
          </cell>
          <cell r="C3004" t="str">
            <v>MINICARREGADEIRA SOBRE RODAS, POTENCIA LIQUIDA DE *47* HP, CAPACIDADE NOMINAL DE OPERACAO DE *646* KG</v>
          </cell>
          <cell r="D3004" t="str">
            <v>UN</v>
          </cell>
          <cell r="E3004" t="str">
            <v>C</v>
          </cell>
          <cell r="F3004">
            <v>360000</v>
          </cell>
        </row>
        <row r="3005">
          <cell r="B3005">
            <v>37520</v>
          </cell>
          <cell r="C3005" t="str">
            <v>MINIESCAVADEIRA SOBRE ESTEIRAS, POTENCIA LIQUIDA DE *30* HP, PESO OPERACIONAL DE *3.500* KG</v>
          </cell>
          <cell r="D3005" t="str">
            <v>UN</v>
          </cell>
          <cell r="E3005" t="str">
            <v>CR</v>
          </cell>
          <cell r="F3005">
            <v>546477.66</v>
          </cell>
        </row>
        <row r="3006">
          <cell r="B3006">
            <v>37546</v>
          </cell>
          <cell r="C3006" t="str">
            <v>MISTURADOR DE ARGAMASSA, EIXO HORIZONTAL, CAPACIDADE DE MISTURA 160 KG, MOTOR ELETRICO TRIFASICO 220/380 V, POTENCIA 3 CV</v>
          </cell>
          <cell r="D3006" t="str">
            <v>UN</v>
          </cell>
          <cell r="E3006" t="str">
            <v>CR</v>
          </cell>
          <cell r="F3006">
            <v>13530.98</v>
          </cell>
        </row>
        <row r="3007">
          <cell r="B3007">
            <v>37544</v>
          </cell>
          <cell r="C3007" t="str">
            <v>MISTURADOR DE ARGAMASSA, EIXO HORIZONTAL, CAPACIDADE DE MISTURA 300 KG, MOTOR ELETRICO TRIFASICO 220/380 V, POTENCIA 5 CV</v>
          </cell>
          <cell r="D3007" t="str">
            <v>UN</v>
          </cell>
          <cell r="E3007" t="str">
            <v>CR</v>
          </cell>
          <cell r="F3007">
            <v>14311.29</v>
          </cell>
        </row>
        <row r="3008">
          <cell r="B3008">
            <v>37545</v>
          </cell>
          <cell r="C3008" t="str">
            <v>MISTURADOR DE ARGAMASSA, EIXO HORIZONTAL, CAPACIDADE DE MISTURA 600 KG, MOTOR ELETRICO TRIFASICO 220/380 V, POTENCIA 7,5 CV</v>
          </cell>
          <cell r="D3008" t="str">
            <v>UN</v>
          </cell>
          <cell r="E3008" t="str">
            <v>CR</v>
          </cell>
          <cell r="F3008">
            <v>17028.509999999998</v>
          </cell>
        </row>
        <row r="3009">
          <cell r="B3009">
            <v>36793</v>
          </cell>
          <cell r="C3009" t="str">
            <v>MISTURADOR DE METAL CROMADO DE PAREDE PARA LAVATORIO</v>
          </cell>
          <cell r="D3009" t="str">
            <v>UN</v>
          </cell>
          <cell r="E3009" t="str">
            <v>CR</v>
          </cell>
          <cell r="F3009">
            <v>773.4</v>
          </cell>
        </row>
        <row r="3010">
          <cell r="B3010">
            <v>11769</v>
          </cell>
          <cell r="C3010" t="str">
            <v>MISTURADOR DE METAL CROMADO, DE MESA/BANCADA, COM BICA BAIXA, PARA LAVATORIO</v>
          </cell>
          <cell r="D3010" t="str">
            <v>UN</v>
          </cell>
          <cell r="E3010" t="str">
            <v>CR</v>
          </cell>
          <cell r="F3010">
            <v>341.78</v>
          </cell>
        </row>
        <row r="3011">
          <cell r="B3011">
            <v>11771</v>
          </cell>
          <cell r="C3011" t="str">
            <v>MISTURADOR DE PAREDE, DE METAL CROMADO, PARA COZINHA, BICA ALTA MOVEL, COM AREJADOR ARTICULADO</v>
          </cell>
          <cell r="D3011" t="str">
            <v>UN</v>
          </cell>
          <cell r="E3011" t="str">
            <v>CR</v>
          </cell>
          <cell r="F3011">
            <v>418.64</v>
          </cell>
        </row>
        <row r="3012">
          <cell r="B3012">
            <v>39919</v>
          </cell>
          <cell r="C3012" t="str">
            <v>MISTURADOR DUPLO HORIZONTAL DE ALTA TURBULENCIA, CAPACIDADE / VOLUME 2 X 500 LITROS, MOTORES ELETRICOS MINIMO 5 CV CADA, PARA NATA CIMENTO, ARGAMASSA E OUTROS</v>
          </cell>
          <cell r="D3012" t="str">
            <v>UN</v>
          </cell>
          <cell r="E3012" t="str">
            <v>CR</v>
          </cell>
          <cell r="F3012">
            <v>67730.070000000007</v>
          </cell>
        </row>
        <row r="3013">
          <cell r="B3013">
            <v>38385</v>
          </cell>
          <cell r="C3013" t="str">
            <v>MISTURADOR MANUAL DE TINTAS PARA FURADEIRA, HASTE METALICA *60* CM, COM HELICE (MEXEDOR DE TINTA)</v>
          </cell>
          <cell r="D3013" t="str">
            <v>UN</v>
          </cell>
          <cell r="E3013" t="str">
            <v>CR</v>
          </cell>
          <cell r="F3013">
            <v>39.68</v>
          </cell>
        </row>
        <row r="3014">
          <cell r="B3014">
            <v>36800</v>
          </cell>
          <cell r="C3014" t="str">
            <v>MISTURADOR METALICO, BASE PARA CHUVEIRO/BANHEIRA, 1/2" OU 3/4", SOLDAVEL OU ROSCAVEL (NAO INCLUI ACABAMENTOS)</v>
          </cell>
          <cell r="D3014" t="str">
            <v>UN</v>
          </cell>
          <cell r="E3014" t="str">
            <v>CR</v>
          </cell>
          <cell r="F3014">
            <v>205.37</v>
          </cell>
        </row>
        <row r="3015">
          <cell r="B3015">
            <v>37587</v>
          </cell>
          <cell r="C3015" t="str">
            <v>MISTURADOR MONOCOMANDO PARA CHUVEIRO, BASE BRUTA, METALICO COM ACABAMENTO CROMADO</v>
          </cell>
          <cell r="D3015" t="str">
            <v>UN</v>
          </cell>
          <cell r="E3015" t="str">
            <v>CR</v>
          </cell>
          <cell r="F3015">
            <v>451.2</v>
          </cell>
        </row>
        <row r="3016">
          <cell r="B3016">
            <v>11561</v>
          </cell>
          <cell r="C3016" t="str">
            <v>MOLA HIDRAULICA AEREA, PARA PORTAS DE ATE 1.100 MM E PESO DE ATE 85 KG, COM CORPO EM ALUMINIO E BRACO EM ACO, SEM BRACO DE PARADA</v>
          </cell>
          <cell r="D3016" t="str">
            <v>UN</v>
          </cell>
          <cell r="E3016" t="str">
            <v>CR</v>
          </cell>
          <cell r="F3016">
            <v>231.59</v>
          </cell>
        </row>
        <row r="3017">
          <cell r="B3017">
            <v>43604</v>
          </cell>
          <cell r="C3017" t="str">
            <v>MOLA HIDRAULICA AEREA, PARA PORTAS DE ATE 850 MM E PESO DE ATE 50 KG, COM CORPO EM ALUMINIO E BRACO EM ACO, SEM BRACO DE PARADA</v>
          </cell>
          <cell r="D3017" t="str">
            <v>UN</v>
          </cell>
          <cell r="E3017" t="str">
            <v>CR</v>
          </cell>
          <cell r="F3017">
            <v>123.46</v>
          </cell>
        </row>
        <row r="3018">
          <cell r="B3018">
            <v>11560</v>
          </cell>
          <cell r="C3018" t="str">
            <v>MOLA HIDRAULICA AEREA, PARA PORTAS DE ATE 950 MM E PESO DE ATE 65 KG, COM CORPO EM ALUMINIO E BRACO EM ACO, SEM BRACO DE PARADA</v>
          </cell>
          <cell r="D3018" t="str">
            <v>UN</v>
          </cell>
          <cell r="E3018" t="str">
            <v>CR</v>
          </cell>
          <cell r="F3018">
            <v>178.75</v>
          </cell>
        </row>
        <row r="3019">
          <cell r="B3019">
            <v>11499</v>
          </cell>
          <cell r="C3019" t="str">
            <v>MOLA HIDRAULICA DE PISO, PARA PORTAS DE ATE 1100 MM E PESO DE ATE 120 KG, COM CORPO EM ACO INOX</v>
          </cell>
          <cell r="D3019" t="str">
            <v>UN</v>
          </cell>
          <cell r="E3019" t="str">
            <v>CR</v>
          </cell>
          <cell r="F3019">
            <v>999.9</v>
          </cell>
        </row>
        <row r="3020">
          <cell r="B3020">
            <v>34761</v>
          </cell>
          <cell r="C3020" t="str">
            <v>MONTADOR DE ELETROELETRONICOS (HORISTA)</v>
          </cell>
          <cell r="D3020" t="str">
            <v>H</v>
          </cell>
          <cell r="E3020" t="str">
            <v>CR</v>
          </cell>
          <cell r="F3020">
            <v>34.03</v>
          </cell>
        </row>
        <row r="3021">
          <cell r="B3021">
            <v>40924</v>
          </cell>
          <cell r="C3021" t="str">
            <v>MONTADOR DE ELETROELETRONICOS (MENSALISTA)</v>
          </cell>
          <cell r="D3021" t="str">
            <v>MES</v>
          </cell>
          <cell r="E3021" t="str">
            <v>CR</v>
          </cell>
          <cell r="F3021">
            <v>5964.08</v>
          </cell>
        </row>
        <row r="3022">
          <cell r="B3022">
            <v>40983</v>
          </cell>
          <cell r="C3022" t="str">
            <v>MONTADOR DE ESTRUTURAS METALICAS (MENSALISTA)</v>
          </cell>
          <cell r="D3022" t="str">
            <v>MES</v>
          </cell>
          <cell r="E3022" t="str">
            <v>CR</v>
          </cell>
          <cell r="F3022">
            <v>4641.22</v>
          </cell>
        </row>
        <row r="3023">
          <cell r="B3023">
            <v>44497</v>
          </cell>
          <cell r="C3023" t="str">
            <v>MONTADOR DE ESTRUTURAS METALICAS HORISTA</v>
          </cell>
          <cell r="D3023" t="str">
            <v>H</v>
          </cell>
          <cell r="E3023" t="str">
            <v>CR</v>
          </cell>
          <cell r="F3023">
            <v>26.48</v>
          </cell>
        </row>
        <row r="3024">
          <cell r="B3024">
            <v>2437</v>
          </cell>
          <cell r="C3024" t="str">
            <v>MONTADOR DE MAQUINAS (HORISTA)</v>
          </cell>
          <cell r="D3024" t="str">
            <v>H</v>
          </cell>
          <cell r="E3024" t="str">
            <v>CR</v>
          </cell>
          <cell r="F3024">
            <v>31.73</v>
          </cell>
        </row>
        <row r="3025">
          <cell r="B3025">
            <v>40921</v>
          </cell>
          <cell r="C3025" t="str">
            <v>MONTADOR DE MAQUINAS (MENSALISTA)</v>
          </cell>
          <cell r="D3025" t="str">
            <v>MES</v>
          </cell>
          <cell r="E3025" t="str">
            <v>CR</v>
          </cell>
          <cell r="F3025">
            <v>5561.6</v>
          </cell>
        </row>
        <row r="3026">
          <cell r="B3026">
            <v>36502</v>
          </cell>
          <cell r="C3026" t="str">
            <v>MOTOBOMBA CENTRIFUGA, MOTOR A GASOLINA, POTENCIA 5,42 HP, BOCAIS 1 1/2" X 1", DIAMETRO ROTOR 143 MM HM/Q = 6 MCA / 16,8 M3/H A 38 MCA / 6,6 M3/H</v>
          </cell>
          <cell r="D3026" t="str">
            <v>UN</v>
          </cell>
          <cell r="E3026" t="str">
            <v>CR</v>
          </cell>
          <cell r="F3026">
            <v>3107.66</v>
          </cell>
        </row>
        <row r="3027">
          <cell r="B3027">
            <v>36503</v>
          </cell>
          <cell r="C3027" t="str">
            <v>MOTOBOMBA TRASH (PARA AGUA SUJA) AUTO ESCORVANTE, MOTOR GASOLINA DE 6,41 HP, DIAMETROS DE SUCCAO X RECALQUE: 3" X 3", HM/Q: 10/60 A 23/0</v>
          </cell>
          <cell r="D3027" t="str">
            <v>UN</v>
          </cell>
          <cell r="E3027" t="str">
            <v>CR</v>
          </cell>
          <cell r="F3027">
            <v>3832.12</v>
          </cell>
        </row>
        <row r="3028">
          <cell r="B3028">
            <v>4090</v>
          </cell>
          <cell r="C3028" t="str">
            <v>MOTONIVELADORA POTENCIA BASICA LIQUIDA (PRIMEIRA MARCHA) 125 HP, PESO BRUTO 13843 KG, LARGURA DA LAMINA DE 3,7 M</v>
          </cell>
          <cell r="D3028" t="str">
            <v>UN</v>
          </cell>
          <cell r="E3028" t="str">
            <v>C</v>
          </cell>
          <cell r="F3028">
            <v>1190000</v>
          </cell>
        </row>
        <row r="3029">
          <cell r="B3029">
            <v>4093</v>
          </cell>
          <cell r="C3029" t="str">
            <v>MOTORISTA DE CAMINHAO (HORISTA)</v>
          </cell>
          <cell r="D3029" t="str">
            <v>H</v>
          </cell>
          <cell r="E3029" t="str">
            <v>C</v>
          </cell>
          <cell r="F3029">
            <v>29.32</v>
          </cell>
        </row>
        <row r="3030">
          <cell r="B3030">
            <v>10512</v>
          </cell>
          <cell r="C3030" t="str">
            <v>MOTORISTA DE CAMINHAO (MENSALISTA)</v>
          </cell>
          <cell r="D3030" t="str">
            <v>MES</v>
          </cell>
          <cell r="E3030" t="str">
            <v>CR</v>
          </cell>
          <cell r="F3030">
            <v>5136.76</v>
          </cell>
        </row>
        <row r="3031">
          <cell r="B3031">
            <v>4243</v>
          </cell>
          <cell r="C3031" t="str">
            <v>MOTORISTA DE CAMINHAO BETONEIRA (HORISTA)</v>
          </cell>
          <cell r="D3031" t="str">
            <v>H</v>
          </cell>
          <cell r="E3031" t="str">
            <v>CR</v>
          </cell>
          <cell r="F3031">
            <v>28.59</v>
          </cell>
        </row>
        <row r="3032">
          <cell r="B3032">
            <v>20020</v>
          </cell>
          <cell r="C3032" t="str">
            <v>MOTORISTA DE CAMINHAO-BASCULANTE (HORISTA)</v>
          </cell>
          <cell r="D3032" t="str">
            <v>H</v>
          </cell>
          <cell r="E3032" t="str">
            <v>CR</v>
          </cell>
          <cell r="F3032">
            <v>30.46</v>
          </cell>
        </row>
        <row r="3033">
          <cell r="B3033">
            <v>41038</v>
          </cell>
          <cell r="C3033" t="str">
            <v>MOTORISTA DE CAMINHAO-BASCULANTE (MENSALISTA)</v>
          </cell>
          <cell r="D3033" t="str">
            <v>MES</v>
          </cell>
          <cell r="E3033" t="str">
            <v>CR</v>
          </cell>
          <cell r="F3033">
            <v>5338.14</v>
          </cell>
        </row>
        <row r="3034">
          <cell r="B3034">
            <v>4094</v>
          </cell>
          <cell r="C3034" t="str">
            <v>MOTORISTA DE CAMINHAO-CARRETA (HORISTA)</v>
          </cell>
          <cell r="D3034" t="str">
            <v>H</v>
          </cell>
          <cell r="E3034" t="str">
            <v>CR</v>
          </cell>
          <cell r="F3034">
            <v>36.46</v>
          </cell>
        </row>
        <row r="3035">
          <cell r="B3035">
            <v>40988</v>
          </cell>
          <cell r="C3035" t="str">
            <v>MOTORISTA DE CAMINHAO-CARRETA (MENSALISTA)</v>
          </cell>
          <cell r="D3035" t="str">
            <v>MES</v>
          </cell>
          <cell r="E3035" t="str">
            <v>CR</v>
          </cell>
          <cell r="F3035">
            <v>6389.22</v>
          </cell>
        </row>
        <row r="3036">
          <cell r="B3036">
            <v>4095</v>
          </cell>
          <cell r="C3036" t="str">
            <v>MOTORISTA DE CARRO DE PASSEIO (HORISTA)</v>
          </cell>
          <cell r="D3036" t="str">
            <v>H</v>
          </cell>
          <cell r="E3036" t="str">
            <v>CR</v>
          </cell>
          <cell r="F3036">
            <v>24.42</v>
          </cell>
        </row>
        <row r="3037">
          <cell r="B3037">
            <v>40990</v>
          </cell>
          <cell r="C3037" t="str">
            <v>MOTORISTA DE CARRO DE PASSEIO (MENSALISTA)</v>
          </cell>
          <cell r="D3037" t="str">
            <v>MES</v>
          </cell>
          <cell r="E3037" t="str">
            <v>CR</v>
          </cell>
          <cell r="F3037">
            <v>4278.79</v>
          </cell>
        </row>
        <row r="3038">
          <cell r="B3038">
            <v>4096</v>
          </cell>
          <cell r="C3038" t="str">
            <v>MOTORISTA OPERADOR DE CAMINHAO COM MUNCK (HORISTA)</v>
          </cell>
          <cell r="D3038" t="str">
            <v>H</v>
          </cell>
          <cell r="E3038" t="str">
            <v>CR</v>
          </cell>
          <cell r="F3038">
            <v>32.869999999999997</v>
          </cell>
        </row>
        <row r="3039">
          <cell r="B3039">
            <v>40992</v>
          </cell>
          <cell r="C3039" t="str">
            <v>MOTORISTA OPERADOR DE CAMINHAO COM MUNCK (MENSALISTA)</v>
          </cell>
          <cell r="D3039" t="str">
            <v>MES</v>
          </cell>
          <cell r="E3039" t="str">
            <v>CR</v>
          </cell>
          <cell r="F3039">
            <v>5760.24</v>
          </cell>
        </row>
        <row r="3040">
          <cell r="B3040">
            <v>4114</v>
          </cell>
          <cell r="C3040" t="str">
            <v>MOURAO CONCRETO CURVO, SECAO "T", H = 2,80 M + CURVA COM 0,45 M, COM FUROS PARA FIOS</v>
          </cell>
          <cell r="D3040" t="str">
            <v>UN</v>
          </cell>
          <cell r="E3040" t="str">
            <v>CR</v>
          </cell>
          <cell r="F3040">
            <v>67.56</v>
          </cell>
        </row>
        <row r="3041">
          <cell r="B3041">
            <v>36797</v>
          </cell>
          <cell r="C3041" t="str">
            <v>MOURAO DE CONCRETO CURVO, *10 X 10* CM, H= *2,60* M + CURVA DE 0,40 M</v>
          </cell>
          <cell r="D3041" t="str">
            <v>UN</v>
          </cell>
          <cell r="E3041" t="str">
            <v>CR</v>
          </cell>
          <cell r="F3041">
            <v>60.15</v>
          </cell>
        </row>
        <row r="3042">
          <cell r="B3042">
            <v>4107</v>
          </cell>
          <cell r="C3042" t="str">
            <v>MOURAO DE CONCRETO RETO, SECAO QUADRADA *10 X 10* CM, H= *2,30* M</v>
          </cell>
          <cell r="D3042" t="str">
            <v>UN</v>
          </cell>
          <cell r="E3042" t="str">
            <v>CR</v>
          </cell>
          <cell r="F3042">
            <v>56.71</v>
          </cell>
        </row>
        <row r="3043">
          <cell r="B3043">
            <v>4102</v>
          </cell>
          <cell r="C3043" t="str">
            <v>MOURAO DE CONCRETO RETO, SECAO QUADRADA, *10 X 10* CM, H= 3,00 M</v>
          </cell>
          <cell r="D3043" t="str">
            <v>UN</v>
          </cell>
          <cell r="E3043" t="str">
            <v>C</v>
          </cell>
          <cell r="F3043">
            <v>69.23</v>
          </cell>
        </row>
        <row r="3044">
          <cell r="B3044">
            <v>36799</v>
          </cell>
          <cell r="C3044" t="str">
            <v>MOURAO DE CONCRETO RETO, TIPO ESTICADOR, *10 X 10* CM, H= 2,50 M</v>
          </cell>
          <cell r="D3044" t="str">
            <v>UN</v>
          </cell>
          <cell r="E3044" t="str">
            <v>CR</v>
          </cell>
          <cell r="F3044">
            <v>58.38</v>
          </cell>
        </row>
        <row r="3045">
          <cell r="B3045">
            <v>2747</v>
          </cell>
          <cell r="C3045" t="str">
            <v>MOURAO ROLICO DE MADEIRA TRATADA, D = 16 A 20 CM, H = 2,20 M, EM EUCALIPTO OU EQUIVALENTE DA REGIAO (PARA CERCA)</v>
          </cell>
          <cell r="D3045" t="str">
            <v>M</v>
          </cell>
          <cell r="E3045" t="str">
            <v>CR</v>
          </cell>
          <cell r="F3045">
            <v>33.22</v>
          </cell>
        </row>
        <row r="3046">
          <cell r="B3046">
            <v>21138</v>
          </cell>
          <cell r="C3046" t="str">
            <v>MOURAO ROLICO DE MADEIRA TRATADA, D = 8 A 11 CM, H = 2,20 M, EM EUCALIPTO OU EQUIVALENTE DA REGIAO (PARA CERCA)</v>
          </cell>
          <cell r="D3046" t="str">
            <v>M</v>
          </cell>
          <cell r="E3046" t="str">
            <v>C</v>
          </cell>
          <cell r="F3046">
            <v>10.53</v>
          </cell>
        </row>
        <row r="3047">
          <cell r="B3047">
            <v>10826</v>
          </cell>
          <cell r="C3047" t="str">
            <v>MUDA DE ARBUSTO FLORIFERO, CLUSIA/GARDENIA/MOREIA BRANCA/ AZALEIA OU EQUIVALENTE DA REGIAO, H= *50 A 70* CM</v>
          </cell>
          <cell r="D3047" t="str">
            <v>UN</v>
          </cell>
          <cell r="E3047" t="str">
            <v>CR</v>
          </cell>
          <cell r="F3047">
            <v>75.86</v>
          </cell>
        </row>
        <row r="3048">
          <cell r="B3048">
            <v>365</v>
          </cell>
          <cell r="C3048" t="str">
            <v>MUDA DE ARBUSTO FOLHAGEM, SANSAO-DO-CAMPO OU EQUIVALENTE DA REGIAO, H= *50 A 70* CM</v>
          </cell>
          <cell r="D3048" t="str">
            <v>UN</v>
          </cell>
          <cell r="E3048" t="str">
            <v>CR</v>
          </cell>
          <cell r="F3048">
            <v>47.03</v>
          </cell>
        </row>
        <row r="3049">
          <cell r="B3049">
            <v>38639</v>
          </cell>
          <cell r="C3049" t="str">
            <v>MUDA DE ARBUSTO, BUXINHO, H= *50* CM</v>
          </cell>
          <cell r="D3049" t="str">
            <v>UN</v>
          </cell>
          <cell r="E3049" t="str">
            <v>CR</v>
          </cell>
          <cell r="F3049">
            <v>182.06</v>
          </cell>
        </row>
        <row r="3050">
          <cell r="B3050">
            <v>38640</v>
          </cell>
          <cell r="C3050" t="str">
            <v>MUDA DE ARBUSTO, PINGO DE OURO/ VIOLETEIRA, H = *10 A 20* CM</v>
          </cell>
          <cell r="D3050" t="str">
            <v>UN</v>
          </cell>
          <cell r="E3050" t="str">
            <v>CR</v>
          </cell>
          <cell r="F3050">
            <v>2.73</v>
          </cell>
        </row>
        <row r="3051">
          <cell r="B3051">
            <v>358</v>
          </cell>
          <cell r="C3051" t="str">
            <v>MUDA DE ARVORE ORNAMENTAL, OITI/AROEIRA SALSA/ANGICO/IPE/JACARANDA OU EQUIVALENTE DA REGIAO, H= *1* M</v>
          </cell>
          <cell r="D3051" t="str">
            <v>UN</v>
          </cell>
          <cell r="E3051" t="str">
            <v>CR</v>
          </cell>
          <cell r="F3051">
            <v>56.13</v>
          </cell>
        </row>
        <row r="3052">
          <cell r="B3052">
            <v>359</v>
          </cell>
          <cell r="C3052" t="str">
            <v>MUDA DE ARVORE ORNAMENTAL, OITI/AROEIRA SALSA/ANGICO/IPE/JACARANDA OU EQUIVALENTE DA REGIAO, H= *2* M</v>
          </cell>
          <cell r="D3052" t="str">
            <v>UN</v>
          </cell>
          <cell r="E3052" t="str">
            <v>CR</v>
          </cell>
          <cell r="F3052">
            <v>115.31</v>
          </cell>
        </row>
        <row r="3053">
          <cell r="B3053">
            <v>38641</v>
          </cell>
          <cell r="C3053" t="str">
            <v>MUDA DE PALMEIRA ARECA, H= *1,50* M</v>
          </cell>
          <cell r="D3053" t="str">
            <v>UN</v>
          </cell>
          <cell r="E3053" t="str">
            <v>CR</v>
          </cell>
          <cell r="F3053">
            <v>113.79</v>
          </cell>
        </row>
        <row r="3054">
          <cell r="B3054">
            <v>360</v>
          </cell>
          <cell r="C3054" t="str">
            <v>MUDA DE RASTEIRA/FORRACAO, AMENDOIM RASTEIRO/ONZE HORAS/AZULZINHA/IMPATIENS OU EQUIVALENTE DA REGIAO</v>
          </cell>
          <cell r="D3054" t="str">
            <v>UN</v>
          </cell>
          <cell r="E3054" t="str">
            <v>C</v>
          </cell>
          <cell r="F3054">
            <v>2.64</v>
          </cell>
        </row>
        <row r="3055">
          <cell r="B3055">
            <v>42430</v>
          </cell>
          <cell r="C3055" t="str">
            <v>MULTIEXERCITADOR COM SEIS FUNCOES, EM TUBO DE ACO CARBONO, PINTURA NO PROCESSO ELETROSTATICO - EQUIPAMENTO DE GINASTICA PARA ACADEMIA AO AR LIVRE / ACADEMIA DA TERCEIRA IDADE - ATI</v>
          </cell>
          <cell r="D3055" t="str">
            <v>UN</v>
          </cell>
          <cell r="E3055" t="str">
            <v>CR</v>
          </cell>
          <cell r="F3055">
            <v>6434.22</v>
          </cell>
        </row>
        <row r="3056">
          <cell r="B3056">
            <v>4209</v>
          </cell>
          <cell r="C3056" t="str">
            <v>NIPLE DE FERRO GALVANIZADO, COM ROSCA BSP, DE 1 1/2"</v>
          </cell>
          <cell r="D3056" t="str">
            <v>UN</v>
          </cell>
          <cell r="E3056" t="str">
            <v>CR</v>
          </cell>
          <cell r="F3056">
            <v>23.56</v>
          </cell>
        </row>
        <row r="3057">
          <cell r="B3057">
            <v>4180</v>
          </cell>
          <cell r="C3057" t="str">
            <v>NIPLE DE FERRO GALVANIZADO, COM ROSCA BSP, DE 1 1/4"</v>
          </cell>
          <cell r="D3057" t="str">
            <v>UN</v>
          </cell>
          <cell r="E3057" t="str">
            <v>CR</v>
          </cell>
          <cell r="F3057">
            <v>17.739999999999998</v>
          </cell>
        </row>
        <row r="3058">
          <cell r="B3058">
            <v>4179</v>
          </cell>
          <cell r="C3058" t="str">
            <v>NIPLE DE FERRO GALVANIZADO, COM ROSCA BSP, DE 1"</v>
          </cell>
          <cell r="D3058" t="str">
            <v>UN</v>
          </cell>
          <cell r="E3058" t="str">
            <v>CR</v>
          </cell>
          <cell r="F3058">
            <v>12.05</v>
          </cell>
        </row>
        <row r="3059">
          <cell r="B3059">
            <v>4177</v>
          </cell>
          <cell r="C3059" t="str">
            <v>NIPLE DE FERRO GALVANIZADO, COM ROSCA BSP, DE 1/2"</v>
          </cell>
          <cell r="D3059" t="str">
            <v>UN</v>
          </cell>
          <cell r="E3059" t="str">
            <v>CR</v>
          </cell>
          <cell r="F3059">
            <v>5.89</v>
          </cell>
        </row>
        <row r="3060">
          <cell r="B3060">
            <v>4208</v>
          </cell>
          <cell r="C3060" t="str">
            <v>NIPLE DE FERRO GALVANIZADO, COM ROSCA BSP, DE 2 1/2"</v>
          </cell>
          <cell r="D3060" t="str">
            <v>UN</v>
          </cell>
          <cell r="E3060" t="str">
            <v>CR</v>
          </cell>
          <cell r="F3060">
            <v>56.08</v>
          </cell>
        </row>
        <row r="3061">
          <cell r="B3061">
            <v>4181</v>
          </cell>
          <cell r="C3061" t="str">
            <v>NIPLE DE FERRO GALVANIZADO, COM ROSCA BSP, DE 2"</v>
          </cell>
          <cell r="D3061" t="str">
            <v>UN</v>
          </cell>
          <cell r="E3061" t="str">
            <v>CR</v>
          </cell>
          <cell r="F3061">
            <v>36.64</v>
          </cell>
        </row>
        <row r="3062">
          <cell r="B3062">
            <v>4182</v>
          </cell>
          <cell r="C3062" t="str">
            <v>NIPLE DE FERRO GALVANIZADO, COM ROSCA BSP, DE 3"</v>
          </cell>
          <cell r="D3062" t="str">
            <v>UN</v>
          </cell>
          <cell r="E3062" t="str">
            <v>CR</v>
          </cell>
          <cell r="F3062">
            <v>91.23</v>
          </cell>
        </row>
        <row r="3063">
          <cell r="B3063">
            <v>4178</v>
          </cell>
          <cell r="C3063" t="str">
            <v>NIPLE DE FERRO GALVANIZADO, COM ROSCA BSP, DE 3/4"</v>
          </cell>
          <cell r="D3063" t="str">
            <v>UN</v>
          </cell>
          <cell r="E3063" t="str">
            <v>CR</v>
          </cell>
          <cell r="F3063">
            <v>8.16</v>
          </cell>
        </row>
        <row r="3064">
          <cell r="B3064">
            <v>4183</v>
          </cell>
          <cell r="C3064" t="str">
            <v>NIPLE DE FERRO GALVANIZADO, COM ROSCA BSP, DE 4"</v>
          </cell>
          <cell r="D3064" t="str">
            <v>UN</v>
          </cell>
          <cell r="E3064" t="str">
            <v>CR</v>
          </cell>
          <cell r="F3064">
            <v>146.87</v>
          </cell>
        </row>
        <row r="3065">
          <cell r="B3065">
            <v>4184</v>
          </cell>
          <cell r="C3065" t="str">
            <v>NIPLE DE FERRO GALVANIZADO, COM ROSCA BSP, DE 5"</v>
          </cell>
          <cell r="D3065" t="str">
            <v>UN</v>
          </cell>
          <cell r="E3065" t="str">
            <v>CR</v>
          </cell>
          <cell r="F3065">
            <v>324.20999999999998</v>
          </cell>
        </row>
        <row r="3066">
          <cell r="B3066">
            <v>4185</v>
          </cell>
          <cell r="C3066" t="str">
            <v>NIPLE DE FERRO GALVANIZADO, COM ROSCA BSP, DE 6"</v>
          </cell>
          <cell r="D3066" t="str">
            <v>UN</v>
          </cell>
          <cell r="E3066" t="str">
            <v>CR</v>
          </cell>
          <cell r="F3066">
            <v>538.69000000000005</v>
          </cell>
        </row>
        <row r="3067">
          <cell r="B3067">
            <v>4205</v>
          </cell>
          <cell r="C3067" t="str">
            <v>NIPLE DE REDUCAO DE FERRO GALVANIZADO, COM ROSCA BSP, DE 1 1/2" X 1 1/4"</v>
          </cell>
          <cell r="D3067" t="str">
            <v>UN</v>
          </cell>
          <cell r="E3067" t="str">
            <v>CR</v>
          </cell>
          <cell r="F3067">
            <v>31.11</v>
          </cell>
        </row>
        <row r="3068">
          <cell r="B3068">
            <v>4192</v>
          </cell>
          <cell r="C3068" t="str">
            <v>NIPLE DE REDUCAO DE FERRO GALVANIZADO, COM ROSCA BSP, DE 1 1/2" X 1"</v>
          </cell>
          <cell r="D3068" t="str">
            <v>UN</v>
          </cell>
          <cell r="E3068" t="str">
            <v>CR</v>
          </cell>
          <cell r="F3068">
            <v>31.11</v>
          </cell>
        </row>
        <row r="3069">
          <cell r="B3069">
            <v>4191</v>
          </cell>
          <cell r="C3069" t="str">
            <v>NIPLE DE REDUCAO DE FERRO GALVANIZADO, COM ROSCA BSP, DE 1 1/2" X 3/4"</v>
          </cell>
          <cell r="D3069" t="str">
            <v>UN</v>
          </cell>
          <cell r="E3069" t="str">
            <v>CR</v>
          </cell>
          <cell r="F3069">
            <v>31.11</v>
          </cell>
        </row>
        <row r="3070">
          <cell r="B3070">
            <v>4206</v>
          </cell>
          <cell r="C3070" t="str">
            <v>NIPLE DE REDUCAO DE FERRO GALVANIZADO, COM ROSCA BSP, DE 1 1/4" X 1"</v>
          </cell>
          <cell r="D3070" t="str">
            <v>UN</v>
          </cell>
          <cell r="E3070" t="str">
            <v>CR</v>
          </cell>
          <cell r="F3070">
            <v>24.31</v>
          </cell>
        </row>
        <row r="3071">
          <cell r="B3071">
            <v>4207</v>
          </cell>
          <cell r="C3071" t="str">
            <v>NIPLE DE REDUCAO DE FERRO GALVANIZADO, COM ROSCA BSP, DE 1 1/4" X 1/2"</v>
          </cell>
          <cell r="D3071" t="str">
            <v>UN</v>
          </cell>
          <cell r="E3071" t="str">
            <v>CR</v>
          </cell>
          <cell r="F3071">
            <v>25.03</v>
          </cell>
        </row>
        <row r="3072">
          <cell r="B3072">
            <v>4190</v>
          </cell>
          <cell r="C3072" t="str">
            <v>NIPLE DE REDUCAO DE FERRO GALVANIZADO, COM ROSCA BSP, DE 1 1/4" X 3/4"</v>
          </cell>
          <cell r="D3072" t="str">
            <v>UN</v>
          </cell>
          <cell r="E3072" t="str">
            <v>CR</v>
          </cell>
          <cell r="F3072">
            <v>24.31</v>
          </cell>
        </row>
        <row r="3073">
          <cell r="B3073">
            <v>4188</v>
          </cell>
          <cell r="C3073" t="str">
            <v>NIPLE DE REDUCAO DE FERRO GALVANIZADO, COM ROSCA BSP, DE 1" X 1/2"</v>
          </cell>
          <cell r="D3073" t="str">
            <v>UN</v>
          </cell>
          <cell r="E3073" t="str">
            <v>CR</v>
          </cell>
          <cell r="F3073">
            <v>14.67</v>
          </cell>
        </row>
        <row r="3074">
          <cell r="B3074">
            <v>4189</v>
          </cell>
          <cell r="C3074" t="str">
            <v>NIPLE DE REDUCAO DE FERRO GALVANIZADO, COM ROSCA BSP, DE 1" X 3/4"</v>
          </cell>
          <cell r="D3074" t="str">
            <v>UN</v>
          </cell>
          <cell r="E3074" t="str">
            <v>CR</v>
          </cell>
          <cell r="F3074">
            <v>14.67</v>
          </cell>
        </row>
        <row r="3075">
          <cell r="B3075">
            <v>4186</v>
          </cell>
          <cell r="C3075" t="str">
            <v>NIPLE DE REDUCAO DE FERRO GALVANIZADO, COM ROSCA BSP, DE 1/2" X 1/4"</v>
          </cell>
          <cell r="D3075" t="str">
            <v>UN</v>
          </cell>
          <cell r="E3075" t="str">
            <v>CR</v>
          </cell>
          <cell r="F3075">
            <v>7.18</v>
          </cell>
        </row>
        <row r="3076">
          <cell r="B3076">
            <v>4197</v>
          </cell>
          <cell r="C3076" t="str">
            <v>NIPLE DE REDUCAO DE FERRO GALVANIZADO, COM ROSCA BSP, DE 2 1/2" X 2"</v>
          </cell>
          <cell r="D3076" t="str">
            <v>UN</v>
          </cell>
          <cell r="E3076" t="str">
            <v>CR</v>
          </cell>
          <cell r="F3076">
            <v>77.680000000000007</v>
          </cell>
        </row>
        <row r="3077">
          <cell r="B3077">
            <v>4194</v>
          </cell>
          <cell r="C3077" t="str">
            <v>NIPLE DE REDUCAO DE FERRO GALVANIZADO, COM ROSCA BSP, DE 2" X 1 1/2"</v>
          </cell>
          <cell r="D3077" t="str">
            <v>UN</v>
          </cell>
          <cell r="E3077" t="str">
            <v>CR</v>
          </cell>
          <cell r="F3077">
            <v>46.94</v>
          </cell>
        </row>
        <row r="3078">
          <cell r="B3078">
            <v>4193</v>
          </cell>
          <cell r="C3078" t="str">
            <v>NIPLE DE REDUCAO DE FERRO GALVANIZADO, COM ROSCA BSP, DE 2" X 1 1/4"</v>
          </cell>
          <cell r="D3078" t="str">
            <v>UN</v>
          </cell>
          <cell r="E3078" t="str">
            <v>CR</v>
          </cell>
          <cell r="F3078">
            <v>46.94</v>
          </cell>
        </row>
        <row r="3079">
          <cell r="B3079">
            <v>4204</v>
          </cell>
          <cell r="C3079" t="str">
            <v>NIPLE DE REDUCAO DE FERRO GALVANIZADO, COM ROSCA BSP, DE 2" X 1"</v>
          </cell>
          <cell r="D3079" t="str">
            <v>UN</v>
          </cell>
          <cell r="E3079" t="str">
            <v>CR</v>
          </cell>
          <cell r="F3079">
            <v>46.94</v>
          </cell>
        </row>
        <row r="3080">
          <cell r="B3080">
            <v>4202</v>
          </cell>
          <cell r="C3080" t="str">
            <v>NIPLE DE REDUCAO DE FERRO GALVANIZADO, COM ROSCA BSP, DE 3" X 2 1/2"</v>
          </cell>
          <cell r="D3080" t="str">
            <v>UN</v>
          </cell>
          <cell r="E3080" t="str">
            <v>CR</v>
          </cell>
          <cell r="F3080">
            <v>141.86000000000001</v>
          </cell>
        </row>
        <row r="3081">
          <cell r="B3081">
            <v>4203</v>
          </cell>
          <cell r="C3081" t="str">
            <v>NIPLE DE REDUCAO DE FERRO GALVANIZADO, COM ROSCA BSP, DE 3" X 2"</v>
          </cell>
          <cell r="D3081" t="str">
            <v>UN</v>
          </cell>
          <cell r="E3081" t="str">
            <v>CR</v>
          </cell>
          <cell r="F3081">
            <v>125.29</v>
          </cell>
        </row>
        <row r="3082">
          <cell r="B3082">
            <v>4187</v>
          </cell>
          <cell r="C3082" t="str">
            <v>NIPLE DE REDUCAO DE FERRO GALVANIZADO, COM ROSCA BSP, DE 3/4" X 1/2"</v>
          </cell>
          <cell r="D3082" t="str">
            <v>UN</v>
          </cell>
          <cell r="E3082" t="str">
            <v>CR</v>
          </cell>
          <cell r="F3082">
            <v>9.35</v>
          </cell>
        </row>
        <row r="3083">
          <cell r="B3083">
            <v>40368</v>
          </cell>
          <cell r="C3083" t="str">
            <v>NIPLE SEXTAVADO EM ACO CARBONO, COM ROSCA BSP, PRESSAO 3.000 LBS, DN 1 1/2"</v>
          </cell>
          <cell r="D3083" t="str">
            <v>UN</v>
          </cell>
          <cell r="E3083" t="str">
            <v>CR</v>
          </cell>
          <cell r="F3083">
            <v>56.95</v>
          </cell>
        </row>
        <row r="3084">
          <cell r="B3084">
            <v>40365</v>
          </cell>
          <cell r="C3084" t="str">
            <v>NIPLE SEXTAVADO EM ACO CARBONO, COM ROSCA BSP, PRESSAO 3.000 LBS, DN 1 1/4"</v>
          </cell>
          <cell r="D3084" t="str">
            <v>UN</v>
          </cell>
          <cell r="E3084" t="str">
            <v>CR</v>
          </cell>
          <cell r="F3084">
            <v>38.42</v>
          </cell>
        </row>
        <row r="3085">
          <cell r="B3085">
            <v>40362</v>
          </cell>
          <cell r="C3085" t="str">
            <v>NIPLE SEXTAVADO EM ACO CARBONO, COM ROSCA BSP, PRESSAO 3.000 LBS, DN 1"</v>
          </cell>
          <cell r="D3085" t="str">
            <v>UN</v>
          </cell>
          <cell r="E3085" t="str">
            <v>CR</v>
          </cell>
          <cell r="F3085">
            <v>25.45</v>
          </cell>
        </row>
        <row r="3086">
          <cell r="B3086">
            <v>40356</v>
          </cell>
          <cell r="C3086" t="str">
            <v>NIPLE SEXTAVADO EM ACO CARBONO, COM ROSCA BSP, PRESSAO 3.000 LBS, DN 1/2"</v>
          </cell>
          <cell r="D3086" t="str">
            <v>UN</v>
          </cell>
          <cell r="E3086" t="str">
            <v>CR</v>
          </cell>
          <cell r="F3086">
            <v>13.13</v>
          </cell>
        </row>
        <row r="3087">
          <cell r="B3087">
            <v>40374</v>
          </cell>
          <cell r="C3087" t="str">
            <v>NIPLE SEXTAVADO EM ACO CARBONO, COM ROSCA BSP, PRESSAO 3.000 LBS, DN 2 1/2"</v>
          </cell>
          <cell r="D3087" t="str">
            <v>UN</v>
          </cell>
          <cell r="E3087" t="str">
            <v>CR</v>
          </cell>
          <cell r="F3087">
            <v>148.85</v>
          </cell>
        </row>
        <row r="3088">
          <cell r="B3088">
            <v>40371</v>
          </cell>
          <cell r="C3088" t="str">
            <v>NIPLE SEXTAVADO EM ACO CARBONO, COM ROSCA BSP, PRESSAO 3.000 LBS, DN 2"</v>
          </cell>
          <cell r="D3088" t="str">
            <v>UN</v>
          </cell>
          <cell r="E3088" t="str">
            <v>CR</v>
          </cell>
          <cell r="F3088">
            <v>93.7</v>
          </cell>
        </row>
        <row r="3089">
          <cell r="B3089">
            <v>40359</v>
          </cell>
          <cell r="C3089" t="str">
            <v>NIPLE SEXTAVADO EM ACO CARBONO, COM ROSCA BSP, PRESSAO 3.000 LBS, DN 3/4"</v>
          </cell>
          <cell r="D3089" t="str">
            <v>UN</v>
          </cell>
          <cell r="E3089" t="str">
            <v>CR</v>
          </cell>
          <cell r="F3089">
            <v>16.96</v>
          </cell>
        </row>
        <row r="3090">
          <cell r="B3090">
            <v>45201</v>
          </cell>
          <cell r="C3090" t="str">
            <v>NIVEL DE ALUMINIO 350 MM (14"), COM 3 BOLHAS</v>
          </cell>
          <cell r="D3090" t="str">
            <v>UN</v>
          </cell>
          <cell r="E3090" t="str">
            <v>CR</v>
          </cell>
          <cell r="F3090">
            <v>64.41</v>
          </cell>
        </row>
        <row r="3091">
          <cell r="B3091">
            <v>7595</v>
          </cell>
          <cell r="C3091" t="str">
            <v>NIVELADOR (HORISTA)</v>
          </cell>
          <cell r="D3091" t="str">
            <v>H</v>
          </cell>
          <cell r="E3091" t="str">
            <v>CR</v>
          </cell>
          <cell r="F3091">
            <v>23.93</v>
          </cell>
        </row>
        <row r="3092">
          <cell r="B3092">
            <v>41094</v>
          </cell>
          <cell r="C3092" t="str">
            <v>NIVELADOR (MENSALISTA)</v>
          </cell>
          <cell r="D3092" t="str">
            <v>MES</v>
          </cell>
          <cell r="E3092" t="str">
            <v>CR</v>
          </cell>
          <cell r="F3092">
            <v>4194.5200000000004</v>
          </cell>
        </row>
        <row r="3093">
          <cell r="B3093">
            <v>38175</v>
          </cell>
          <cell r="C3093" t="str">
            <v>NUMERO / ALGARISMO PARA RESIDENCIA (FACHADA), EM ZAMAC, COM ALTURA DE APROX *45* MM, INCLUSIVE PARAFUSOS</v>
          </cell>
          <cell r="D3093" t="str">
            <v>UN</v>
          </cell>
          <cell r="E3093" t="str">
            <v>CR</v>
          </cell>
          <cell r="F3093">
            <v>4.6399999999999997</v>
          </cell>
        </row>
        <row r="3094">
          <cell r="B3094">
            <v>38176</v>
          </cell>
          <cell r="C3094" t="str">
            <v>NUMERO / ALGARISMO PARA RESIDENCIA (FACHADA), EM ZAMAC, COM ALTURA DE APROX 125 MM, INCLUSIVE PARAFUSOS</v>
          </cell>
          <cell r="D3094" t="str">
            <v>UN</v>
          </cell>
          <cell r="E3094" t="str">
            <v>CR</v>
          </cell>
          <cell r="F3094">
            <v>13.66</v>
          </cell>
        </row>
        <row r="3095">
          <cell r="B3095">
            <v>36152</v>
          </cell>
          <cell r="C3095" t="str">
            <v>OCULOS DE SEGURANCA CONTRA IMPACTOS COM LENTE INCOLOR, ARMACAO NYLON, COM PROTECAO UVA E UVB</v>
          </cell>
          <cell r="D3095" t="str">
            <v>UN</v>
          </cell>
          <cell r="E3095" t="str">
            <v>CR</v>
          </cell>
          <cell r="F3095">
            <v>5.95</v>
          </cell>
        </row>
        <row r="3096">
          <cell r="B3096">
            <v>45212</v>
          </cell>
          <cell r="C3096" t="str">
            <v>OCULOS DE SOLDA COM ESCURECIMENTO AUTOMATICO</v>
          </cell>
          <cell r="D3096" t="str">
            <v>UN</v>
          </cell>
          <cell r="E3096" t="str">
            <v>CR</v>
          </cell>
          <cell r="F3096">
            <v>59.56</v>
          </cell>
        </row>
        <row r="3097">
          <cell r="B3097">
            <v>4221</v>
          </cell>
          <cell r="C3097" t="str">
            <v>OLEO DIESEL COMBUSTIVEL COMUM METROPOLITANO S-10 OU S-500</v>
          </cell>
          <cell r="D3097" t="str">
            <v>L</v>
          </cell>
          <cell r="E3097" t="str">
            <v>C</v>
          </cell>
          <cell r="F3097">
            <v>6.06</v>
          </cell>
        </row>
        <row r="3098">
          <cell r="B3098">
            <v>4227</v>
          </cell>
          <cell r="C3098" t="str">
            <v>OLEO LUBRIFICANTE MINERAL MONOVISCOSO, SAE 40, PARA MOTORES DE EQUIPAMENTOS PESADOS (CAMINHOES, TRATORES, RETROS E ETC)</v>
          </cell>
          <cell r="D3098" t="str">
            <v>L</v>
          </cell>
          <cell r="E3098" t="str">
            <v>CR</v>
          </cell>
          <cell r="F3098">
            <v>28.26</v>
          </cell>
        </row>
        <row r="3099">
          <cell r="B3099">
            <v>38170</v>
          </cell>
          <cell r="C3099" t="str">
            <v>OLHO MAGICO PARA PORTAS, EM LATAO, COM LENTE DE POLICARBONATO, ANGULO DE *200* GRAUS, ESPESSURA ENTRE *25 E 46* MM, INCLUINDO FECHO JANELA</v>
          </cell>
          <cell r="D3099" t="str">
            <v>UN</v>
          </cell>
          <cell r="E3099" t="str">
            <v>CR</v>
          </cell>
          <cell r="F3099">
            <v>20.3</v>
          </cell>
        </row>
        <row r="3100">
          <cell r="B3100">
            <v>4252</v>
          </cell>
          <cell r="C3100" t="str">
            <v>OPERADOR DE BATE-ESTACAS (HORISTA)</v>
          </cell>
          <cell r="D3100" t="str">
            <v>H</v>
          </cell>
          <cell r="E3100" t="str">
            <v>CR</v>
          </cell>
          <cell r="F3100">
            <v>31.06</v>
          </cell>
        </row>
        <row r="3101">
          <cell r="B3101">
            <v>40980</v>
          </cell>
          <cell r="C3101" t="str">
            <v>OPERADOR DE BATE-ESTACAS (MENSALISTA)</v>
          </cell>
          <cell r="D3101" t="str">
            <v>MES</v>
          </cell>
          <cell r="E3101" t="str">
            <v>CR</v>
          </cell>
          <cell r="F3101">
            <v>5442.82</v>
          </cell>
        </row>
        <row r="3102">
          <cell r="B3102">
            <v>41031</v>
          </cell>
          <cell r="C3102" t="str">
            <v>OPERADOR DE BETONEIRA (CAMINHAO) (MENSALISTA)</v>
          </cell>
          <cell r="D3102" t="str">
            <v>MES</v>
          </cell>
          <cell r="E3102" t="str">
            <v>CR</v>
          </cell>
          <cell r="F3102">
            <v>5010.84</v>
          </cell>
        </row>
        <row r="3103">
          <cell r="B3103">
            <v>37666</v>
          </cell>
          <cell r="C3103" t="str">
            <v>OPERADOR DE BETONEIRA ESTACIONARIA / MISTURADOR (HORISTA)</v>
          </cell>
          <cell r="D3103" t="str">
            <v>H</v>
          </cell>
          <cell r="E3103" t="str">
            <v>CR</v>
          </cell>
          <cell r="F3103">
            <v>25.93</v>
          </cell>
        </row>
        <row r="3104">
          <cell r="B3104">
            <v>40986</v>
          </cell>
          <cell r="C3104" t="str">
            <v>OPERADOR DE BETONEIRA ESTACIONARIA / MISTURADOR (MENSALISTA)</v>
          </cell>
          <cell r="D3104" t="str">
            <v>MES</v>
          </cell>
          <cell r="E3104" t="str">
            <v>CR</v>
          </cell>
          <cell r="F3104">
            <v>4543.6400000000003</v>
          </cell>
        </row>
        <row r="3105">
          <cell r="B3105">
            <v>4250</v>
          </cell>
          <cell r="C3105" t="str">
            <v>OPERADOR DE COMPRESSOR DE AR OU COMPRESSORISTA (HORISTA)</v>
          </cell>
          <cell r="D3105" t="str">
            <v>H</v>
          </cell>
          <cell r="E3105" t="str">
            <v>CR</v>
          </cell>
          <cell r="F3105">
            <v>24.27</v>
          </cell>
        </row>
        <row r="3106">
          <cell r="B3106">
            <v>40978</v>
          </cell>
          <cell r="C3106" t="str">
            <v>OPERADOR DE COMPRESSOR DE AR OU COMPRESSORISTA (MENSALISTA)</v>
          </cell>
          <cell r="D3106" t="str">
            <v>MES</v>
          </cell>
          <cell r="E3106" t="str">
            <v>CR</v>
          </cell>
          <cell r="F3106">
            <v>4254.54</v>
          </cell>
        </row>
        <row r="3107">
          <cell r="B3107">
            <v>44501</v>
          </cell>
          <cell r="C3107" t="str">
            <v>OPERADOR DE DEMARCADORA DE FAIXAS DE TRAFEGO (HORISTA)</v>
          </cell>
          <cell r="D3107" t="str">
            <v>H</v>
          </cell>
          <cell r="E3107" t="str">
            <v>CR</v>
          </cell>
          <cell r="F3107">
            <v>28.59</v>
          </cell>
        </row>
        <row r="3108">
          <cell r="B3108">
            <v>41043</v>
          </cell>
          <cell r="C3108" t="str">
            <v>OPERADOR DE DEMARCADORA DE FAIXAS DE TRAFEGO (MENSALISTA)</v>
          </cell>
          <cell r="D3108" t="str">
            <v>MES</v>
          </cell>
          <cell r="E3108" t="str">
            <v>CR</v>
          </cell>
          <cell r="F3108">
            <v>5010.84</v>
          </cell>
        </row>
        <row r="3109">
          <cell r="B3109">
            <v>4234</v>
          </cell>
          <cell r="C3109" t="str">
            <v>OPERADOR DE ESCAVADEIRA (HORISTA)</v>
          </cell>
          <cell r="D3109" t="str">
            <v>H</v>
          </cell>
          <cell r="E3109" t="str">
            <v>C</v>
          </cell>
          <cell r="F3109">
            <v>38.159999999999997</v>
          </cell>
        </row>
        <row r="3110">
          <cell r="B3110">
            <v>40987</v>
          </cell>
          <cell r="C3110" t="str">
            <v>OPERADOR DE ESCAVADEIRA (MENSALISTA)</v>
          </cell>
          <cell r="D3110" t="str">
            <v>MES</v>
          </cell>
          <cell r="E3110" t="str">
            <v>CR</v>
          </cell>
          <cell r="F3110">
            <v>6684.57</v>
          </cell>
        </row>
        <row r="3111">
          <cell r="B3111">
            <v>4253</v>
          </cell>
          <cell r="C3111" t="str">
            <v>OPERADOR DE GUINCHO OU GUINCHEIRO (HORISTA)</v>
          </cell>
          <cell r="D3111" t="str">
            <v>H</v>
          </cell>
          <cell r="E3111" t="str">
            <v>CR</v>
          </cell>
          <cell r="F3111">
            <v>26.48</v>
          </cell>
        </row>
        <row r="3112">
          <cell r="B3112">
            <v>40981</v>
          </cell>
          <cell r="C3112" t="str">
            <v>OPERADOR DE GUINCHO OU GUINCHEIRO (MENSALISTA)</v>
          </cell>
          <cell r="D3112" t="str">
            <v>MES</v>
          </cell>
          <cell r="E3112" t="str">
            <v>CR</v>
          </cell>
          <cell r="F3112">
            <v>4641.22</v>
          </cell>
        </row>
        <row r="3113">
          <cell r="B3113">
            <v>4254</v>
          </cell>
          <cell r="C3113" t="str">
            <v>OPERADOR DE GUINDASTE (HORISTA)</v>
          </cell>
          <cell r="D3113" t="str">
            <v>H</v>
          </cell>
          <cell r="E3113" t="str">
            <v>CR</v>
          </cell>
          <cell r="F3113">
            <v>27.39</v>
          </cell>
        </row>
        <row r="3114">
          <cell r="B3114">
            <v>41036</v>
          </cell>
          <cell r="C3114" t="str">
            <v>OPERADOR DE GUINDASTE (MENSALISTA)</v>
          </cell>
          <cell r="D3114" t="str">
            <v>MES</v>
          </cell>
          <cell r="E3114" t="str">
            <v>CR</v>
          </cell>
          <cell r="F3114">
            <v>4800.8100000000004</v>
          </cell>
        </row>
        <row r="3115">
          <cell r="B3115">
            <v>4251</v>
          </cell>
          <cell r="C3115" t="str">
            <v>OPERADOR DE JATO ABRASIVO OU JATISTA (HORISTA)</v>
          </cell>
          <cell r="D3115" t="str">
            <v>H</v>
          </cell>
          <cell r="E3115" t="str">
            <v>CR</v>
          </cell>
          <cell r="F3115">
            <v>21.22</v>
          </cell>
        </row>
        <row r="3116">
          <cell r="B3116">
            <v>40979</v>
          </cell>
          <cell r="C3116" t="str">
            <v>OPERADOR DE JATO ABRASIVO OU JATISTA (MENSALISTA)</v>
          </cell>
          <cell r="D3116" t="str">
            <v>MES</v>
          </cell>
          <cell r="E3116" t="str">
            <v>CR</v>
          </cell>
          <cell r="F3116">
            <v>3719.48</v>
          </cell>
        </row>
        <row r="3117">
          <cell r="B3117">
            <v>4230</v>
          </cell>
          <cell r="C3117" t="str">
            <v>OPERADOR DE MAQUINAS E TRATORES DIVERSOS - TERRAPLANAGEM (HORISTA)</v>
          </cell>
          <cell r="D3117" t="str">
            <v>H</v>
          </cell>
          <cell r="E3117" t="str">
            <v>CR</v>
          </cell>
          <cell r="F3117">
            <v>30.68</v>
          </cell>
        </row>
        <row r="3118">
          <cell r="B3118">
            <v>40998</v>
          </cell>
          <cell r="C3118" t="str">
            <v>OPERADOR DE MAQUINAS E TRATORES DIVERSOS - TERRAPLANAGEM (MENSALISTA)</v>
          </cell>
          <cell r="D3118" t="str">
            <v>MES</v>
          </cell>
          <cell r="E3118" t="str">
            <v>CR</v>
          </cell>
          <cell r="F3118">
            <v>5376.45</v>
          </cell>
        </row>
        <row r="3119">
          <cell r="B3119">
            <v>4257</v>
          </cell>
          <cell r="C3119" t="str">
            <v>OPERADOR DE MARTELETE OU MARTELETEIRO (HORISTA)</v>
          </cell>
          <cell r="D3119" t="str">
            <v>H</v>
          </cell>
          <cell r="E3119" t="str">
            <v>CR</v>
          </cell>
          <cell r="F3119">
            <v>26.48</v>
          </cell>
        </row>
        <row r="3120">
          <cell r="B3120">
            <v>40982</v>
          </cell>
          <cell r="C3120" t="str">
            <v>OPERADOR DE MARTELETE OU MARTELETEIRO (MENSALISTA)</v>
          </cell>
          <cell r="D3120" t="str">
            <v>MES</v>
          </cell>
          <cell r="E3120" t="str">
            <v>CR</v>
          </cell>
          <cell r="F3120">
            <v>4641.22</v>
          </cell>
        </row>
        <row r="3121">
          <cell r="B3121">
            <v>4240</v>
          </cell>
          <cell r="C3121" t="str">
            <v>OPERADOR DE MOTO SCRAPER (HORISTA)</v>
          </cell>
          <cell r="D3121" t="str">
            <v>H</v>
          </cell>
          <cell r="E3121" t="str">
            <v>CR</v>
          </cell>
          <cell r="F3121">
            <v>39.51</v>
          </cell>
        </row>
        <row r="3122">
          <cell r="B3122">
            <v>41026</v>
          </cell>
          <cell r="C3122" t="str">
            <v>OPERADOR DE MOTO SCRAPER (MENSALISTA)</v>
          </cell>
          <cell r="D3122" t="str">
            <v>MES</v>
          </cell>
          <cell r="E3122" t="str">
            <v>CR</v>
          </cell>
          <cell r="F3122">
            <v>6925.53</v>
          </cell>
        </row>
        <row r="3123">
          <cell r="B3123">
            <v>4239</v>
          </cell>
          <cell r="C3123" t="str">
            <v>OPERADOR DE MOTONIVELADORA (HORISTA)</v>
          </cell>
          <cell r="D3123" t="str">
            <v>H</v>
          </cell>
          <cell r="E3123" t="str">
            <v>CR</v>
          </cell>
          <cell r="F3123">
            <v>39.51</v>
          </cell>
        </row>
        <row r="3124">
          <cell r="B3124">
            <v>41024</v>
          </cell>
          <cell r="C3124" t="str">
            <v>OPERADOR DE MOTONIVELADORA (MENSALISTA)</v>
          </cell>
          <cell r="D3124" t="str">
            <v>MES</v>
          </cell>
          <cell r="E3124" t="str">
            <v>CR</v>
          </cell>
          <cell r="F3124">
            <v>6925.53</v>
          </cell>
        </row>
        <row r="3125">
          <cell r="B3125">
            <v>4248</v>
          </cell>
          <cell r="C3125" t="str">
            <v>OPERADOR DE PA CARREGADEIRA (HORISTA)</v>
          </cell>
          <cell r="D3125" t="str">
            <v>H</v>
          </cell>
          <cell r="E3125" t="str">
            <v>CR</v>
          </cell>
          <cell r="F3125">
            <v>28.59</v>
          </cell>
        </row>
        <row r="3126">
          <cell r="B3126">
            <v>41033</v>
          </cell>
          <cell r="C3126" t="str">
            <v>OPERADOR DE PA CARREGADEIRA (MENSALISTA)</v>
          </cell>
          <cell r="D3126" t="str">
            <v>MES</v>
          </cell>
          <cell r="E3126" t="str">
            <v>CR</v>
          </cell>
          <cell r="F3126">
            <v>5010.84</v>
          </cell>
        </row>
        <row r="3127">
          <cell r="B3127">
            <v>44500</v>
          </cell>
          <cell r="C3127" t="str">
            <v>OPERADOR DE PAVIMENTADORA / MESA VIBROACABADORA (HORISTA)</v>
          </cell>
          <cell r="D3127" t="str">
            <v>H</v>
          </cell>
          <cell r="E3127" t="str">
            <v>CR</v>
          </cell>
          <cell r="F3127">
            <v>28.59</v>
          </cell>
        </row>
        <row r="3128">
          <cell r="B3128">
            <v>41040</v>
          </cell>
          <cell r="C3128" t="str">
            <v>OPERADOR DE PAVIMENTADORA / MESA VIBROACABADORA (MENSALISTA)</v>
          </cell>
          <cell r="D3128" t="str">
            <v>MES</v>
          </cell>
          <cell r="E3128" t="str">
            <v>CR</v>
          </cell>
          <cell r="F3128">
            <v>5010.84</v>
          </cell>
        </row>
        <row r="3129">
          <cell r="B3129">
            <v>4238</v>
          </cell>
          <cell r="C3129" t="str">
            <v>OPERADOR DE ROLO COMPACTADOR (HORISTA)</v>
          </cell>
          <cell r="D3129" t="str">
            <v>H</v>
          </cell>
          <cell r="E3129" t="str">
            <v>CR</v>
          </cell>
          <cell r="F3129">
            <v>29.11</v>
          </cell>
        </row>
        <row r="3130">
          <cell r="B3130">
            <v>41012</v>
          </cell>
          <cell r="C3130" t="str">
            <v>OPERADOR DE ROLO COMPACTADOR (MENSALISTA)</v>
          </cell>
          <cell r="D3130" t="str">
            <v>MES</v>
          </cell>
          <cell r="E3130" t="str">
            <v>CR</v>
          </cell>
          <cell r="F3130">
            <v>5099.84</v>
          </cell>
        </row>
        <row r="3131">
          <cell r="B3131">
            <v>4233</v>
          </cell>
          <cell r="C3131" t="str">
            <v>OPERADOR DE USINA DE ASFALTO, DE SOLOS OU DE CONCRETO (HORISTA)</v>
          </cell>
          <cell r="D3131" t="str">
            <v>H</v>
          </cell>
          <cell r="E3131" t="str">
            <v>CR</v>
          </cell>
          <cell r="F3131">
            <v>39.51</v>
          </cell>
        </row>
        <row r="3132">
          <cell r="B3132">
            <v>41001</v>
          </cell>
          <cell r="C3132" t="str">
            <v>OPERADOR DE USINA DE ASFALTO, DE SOLOS OU DE CONCRETO (MENSALISTA)</v>
          </cell>
          <cell r="D3132" t="str">
            <v>MES</v>
          </cell>
          <cell r="E3132" t="str">
            <v>CR</v>
          </cell>
          <cell r="F3132">
            <v>6925.53</v>
          </cell>
        </row>
        <row r="3133">
          <cell r="B3133">
            <v>2</v>
          </cell>
          <cell r="C3133" t="str">
            <v>OXIGENIO - RECARGA DE GAS PARA CILINDRO (NAO INCLUI TROCA/MANUTENCAO DO CILINDRO)</v>
          </cell>
          <cell r="D3133" t="str">
            <v>M3</v>
          </cell>
          <cell r="E3133" t="str">
            <v>CR</v>
          </cell>
          <cell r="F3133">
            <v>24.1</v>
          </cell>
        </row>
        <row r="3134">
          <cell r="B3134">
            <v>4262</v>
          </cell>
          <cell r="C3134" t="str">
            <v>PA CARREGADEIRA SOBRE RODAS, POTENCIA LIQUIDA 128 HP, CAPACIDADE DA CACAMBA DE 1,7 A 2,8 M3, PESO OPERACIONAL MAXIMO DE 11632 KG</v>
          </cell>
          <cell r="D3134" t="str">
            <v>UN</v>
          </cell>
          <cell r="E3134" t="str">
            <v>C</v>
          </cell>
          <cell r="F3134">
            <v>665000</v>
          </cell>
        </row>
        <row r="3135">
          <cell r="B3135">
            <v>4263</v>
          </cell>
          <cell r="C3135" t="str">
            <v>PA CARREGADEIRA SOBRE RODAS, POTENCIA LIQUIDA 197 HP, CAPACIDADE DA CACAMBA DE 2,5 A 3,5 M3, PESO OPERACIONAL MAXIMO DE 18338 KG</v>
          </cell>
          <cell r="D3135" t="str">
            <v>UN</v>
          </cell>
          <cell r="E3135" t="str">
            <v>CR</v>
          </cell>
          <cell r="F3135">
            <v>922133.28</v>
          </cell>
        </row>
        <row r="3136">
          <cell r="B3136">
            <v>38402</v>
          </cell>
          <cell r="C3136" t="str">
            <v>PA DE LIXO PLASTICA, CABO LONGO</v>
          </cell>
          <cell r="D3136" t="str">
            <v>UN</v>
          </cell>
          <cell r="E3136" t="str">
            <v>CR</v>
          </cell>
          <cell r="F3136">
            <v>41.33</v>
          </cell>
        </row>
        <row r="3137">
          <cell r="B3137">
            <v>45234</v>
          </cell>
          <cell r="C3137" t="str">
            <v>PA QUADRADA COM CABO DE MADEIRA EM Y DE 71 CM</v>
          </cell>
          <cell r="D3137" t="str">
            <v>UN</v>
          </cell>
          <cell r="E3137" t="str">
            <v>CR</v>
          </cell>
          <cell r="F3137">
            <v>43.81</v>
          </cell>
        </row>
        <row r="3138">
          <cell r="B3138">
            <v>3412</v>
          </cell>
          <cell r="C3138" t="str">
            <v>PAINEL DE LA DE VIDRO SEM REVESTIMENTO PSI 20, E = 25 MM, DE 1200 X 600 MM</v>
          </cell>
          <cell r="D3138" t="str">
            <v>M2</v>
          </cell>
          <cell r="E3138" t="str">
            <v>CR</v>
          </cell>
          <cell r="F3138">
            <v>20.37</v>
          </cell>
        </row>
        <row r="3139">
          <cell r="B3139">
            <v>3413</v>
          </cell>
          <cell r="C3139" t="str">
            <v>PAINEL DE LA DE VIDRO SEM REVESTIMENTO PSI 20, E = 50 MM, DE 1200 X 600 MM</v>
          </cell>
          <cell r="D3139" t="str">
            <v>M2</v>
          </cell>
          <cell r="E3139" t="str">
            <v>CR</v>
          </cell>
          <cell r="F3139">
            <v>45.86</v>
          </cell>
        </row>
        <row r="3140">
          <cell r="B3140">
            <v>39744</v>
          </cell>
          <cell r="C3140" t="str">
            <v>PAINEL DE LA DE VIDRO SEM REVESTIMENTO PSI 40, E = 25 MM, DE 1200 X 600 MM</v>
          </cell>
          <cell r="D3140" t="str">
            <v>M2</v>
          </cell>
          <cell r="E3140" t="str">
            <v>CR</v>
          </cell>
          <cell r="F3140">
            <v>35.61</v>
          </cell>
        </row>
        <row r="3141">
          <cell r="B3141">
            <v>39745</v>
          </cell>
          <cell r="C3141" t="str">
            <v>PAINEL DE LA DE VIDRO SEM REVESTIMENTO PSI 40, E = 50 MM, DE 1200 X 600 MM</v>
          </cell>
          <cell r="D3141" t="str">
            <v>M2</v>
          </cell>
          <cell r="E3141" t="str">
            <v>CR</v>
          </cell>
          <cell r="F3141">
            <v>75.150000000000006</v>
          </cell>
        </row>
        <row r="3142">
          <cell r="B3142">
            <v>39639</v>
          </cell>
          <cell r="C3142" t="str">
            <v>PAINEL ESTRUTURAL PARA LAJE SECA REVESTIDO EM PLACA CIMENTICIA, DE *1,20 X 2,50* M, E = 55 MM</v>
          </cell>
          <cell r="D3142" t="str">
            <v>M2</v>
          </cell>
          <cell r="E3142" t="str">
            <v>CR</v>
          </cell>
          <cell r="F3142">
            <v>184.7</v>
          </cell>
        </row>
        <row r="3143">
          <cell r="B3143">
            <v>39637</v>
          </cell>
          <cell r="C3143" t="str">
            <v>PAINEL ESTRUTURAL PARA LAJE SECA REVESTIDO EM PLACA CIMENTICIA, DE 1,20 X 2,50 M, E = 23 MM</v>
          </cell>
          <cell r="D3143" t="str">
            <v>M2</v>
          </cell>
          <cell r="E3143" t="str">
            <v>CR</v>
          </cell>
          <cell r="F3143">
            <v>118.4</v>
          </cell>
        </row>
        <row r="3144">
          <cell r="B3144">
            <v>39638</v>
          </cell>
          <cell r="C3144" t="str">
            <v>PAINEL ESTRUTURAL PARA LAJE SECA REVESTIDO EM PLACA CIMENTICIA, DE 1,20 X 2,50 M, E = 40 MM</v>
          </cell>
          <cell r="D3144" t="str">
            <v>M2</v>
          </cell>
          <cell r="E3144" t="str">
            <v>CR</v>
          </cell>
          <cell r="F3144">
            <v>142.61000000000001</v>
          </cell>
        </row>
        <row r="3145">
          <cell r="B3145">
            <v>39517</v>
          </cell>
          <cell r="C3145" t="str">
            <v>PAINEL TERMOISOLANTE PARA FECHAMENTOS VERTICAIS (INCLUI PARAFUSOS DE FIXACAO) REVESTIDO EM ACO GALVALUME, LARGURA UTIL DE 1100 MM, REVESTIMENTO COM ESPESSURA DE 0,50 MM, COM PRE-PINTURA NAS DUAS FACES, NUCLEO EM POLIURETANO (PUR) COM ESPESSURA 40/50 MM</v>
          </cell>
          <cell r="D3145" t="str">
            <v>M2</v>
          </cell>
          <cell r="E3145" t="str">
            <v>CR</v>
          </cell>
          <cell r="F3145">
            <v>220.55</v>
          </cell>
        </row>
        <row r="3146">
          <cell r="B3146">
            <v>39518</v>
          </cell>
          <cell r="C3146" t="str">
            <v>PAINEL TERMOISOLANTE PARA FECHAMENTOS VERTICAIS (INCLUI PARAFUSOS DE FIXACAO) REVESTIDO EM ACO GALVALUME, LARGURA UTIL DE 1100 MM, REVESTIMENTO COM ESPESSURA DE 0,50 MM, COM PRE-PINTURA NAS DUAS FACES, NUCLEO EM POLIURETANO (PUR) COM ESPESSURA 70/80 MM</v>
          </cell>
          <cell r="D3146" t="str">
            <v>M2</v>
          </cell>
          <cell r="E3146" t="str">
            <v>CR</v>
          </cell>
          <cell r="F3146">
            <v>261.47000000000003</v>
          </cell>
        </row>
        <row r="3147">
          <cell r="B3147">
            <v>38366</v>
          </cell>
          <cell r="C3147" t="str">
            <v>PAPEL KRAFT BETUMADO</v>
          </cell>
          <cell r="D3147" t="str">
            <v>M2</v>
          </cell>
          <cell r="E3147" t="str">
            <v>CR</v>
          </cell>
          <cell r="F3147">
            <v>5.78</v>
          </cell>
        </row>
        <row r="3148">
          <cell r="B3148">
            <v>11703</v>
          </cell>
          <cell r="C3148" t="str">
            <v>PAPELEIRA DE PAREDE EM METAL CROMADO SEM TAMPA</v>
          </cell>
          <cell r="D3148" t="str">
            <v>UN</v>
          </cell>
          <cell r="E3148" t="str">
            <v>CR</v>
          </cell>
          <cell r="F3148">
            <v>47.19</v>
          </cell>
        </row>
        <row r="3149">
          <cell r="B3149">
            <v>37400</v>
          </cell>
          <cell r="C3149" t="str">
            <v>PAPELEIRA PLASTICA TIPO DISPENSER PARA PAPEL HIGIENICO ROLAO</v>
          </cell>
          <cell r="D3149" t="str">
            <v>UN</v>
          </cell>
          <cell r="E3149" t="str">
            <v>CR</v>
          </cell>
          <cell r="F3149">
            <v>60.13</v>
          </cell>
        </row>
        <row r="3150">
          <cell r="B3150">
            <v>25400</v>
          </cell>
          <cell r="C3150" t="str">
            <v>PAR DE TABELAS DE BASQUETE EM COMPENSADO NAVAL, OFICIAL, 1800 X 1200 MM, INCLUINDO ARO DE METAL E REDE EM POLIPROPILENO 100% (SEM SUPORTE DE FIXACAO)</v>
          </cell>
          <cell r="D3150" t="str">
            <v>UN</v>
          </cell>
          <cell r="E3150" t="str">
            <v>CR</v>
          </cell>
          <cell r="F3150">
            <v>2558.37</v>
          </cell>
        </row>
        <row r="3151">
          <cell r="B3151">
            <v>39438</v>
          </cell>
          <cell r="C3151" t="str">
            <v>PARAFUSO CABECA TROMBETA E PONTA AGULHA (GN55), COMPRIMENTO 55 MM, EM ACO FOSFATIZADO, PARA FIXAR CHAPA DE GESSO EM PERFIL DRYWALL METALICO MAXIMO 0,7 MM</v>
          </cell>
          <cell r="D3151" t="str">
            <v>UN</v>
          </cell>
          <cell r="E3151" t="str">
            <v>CR</v>
          </cell>
          <cell r="F3151">
            <v>0.25</v>
          </cell>
        </row>
        <row r="3152">
          <cell r="B3152">
            <v>4379</v>
          </cell>
          <cell r="C3152" t="str">
            <v>PARAFUSO DE ACO ZINCADO COM ROSCA SOBERBA, CABECA CHATA E FENDA SIMPLES, DIAMETRO 2,5 MM, COMPRIMENTO * 9,5 * MM</v>
          </cell>
          <cell r="D3152" t="str">
            <v>UN</v>
          </cell>
          <cell r="E3152" t="str">
            <v>CR</v>
          </cell>
          <cell r="F3152">
            <v>0.05</v>
          </cell>
        </row>
        <row r="3153">
          <cell r="B3153">
            <v>4377</v>
          </cell>
          <cell r="C3153" t="str">
            <v>PARAFUSO DE ACO ZINCADO COM ROSCA SOBERBA, CABECA CHATA E FENDA SIMPLES, DIAMETRO 4,2 MM, COMPRIMENTO * 32 * MM</v>
          </cell>
          <cell r="D3153" t="str">
            <v>UN</v>
          </cell>
          <cell r="E3153" t="str">
            <v>CR</v>
          </cell>
          <cell r="F3153">
            <v>0.18</v>
          </cell>
        </row>
        <row r="3154">
          <cell r="B3154">
            <v>4356</v>
          </cell>
          <cell r="C3154" t="str">
            <v>PARAFUSO DE ACO ZINCADO COM ROSCA SOBERBA, CABECA CHATA E FENDA SIMPLES, DIAMETRO 4,8 MM, COMPRIMENTO 45 MM</v>
          </cell>
          <cell r="D3154" t="str">
            <v>UN</v>
          </cell>
          <cell r="E3154" t="str">
            <v>CR</v>
          </cell>
          <cell r="F3154">
            <v>0.25</v>
          </cell>
        </row>
        <row r="3155">
          <cell r="B3155">
            <v>13246</v>
          </cell>
          <cell r="C3155" t="str">
            <v>PARAFUSO DE ACO ZINCADO, SEXTAVADO, COM ROSCA INTEIRA, DIAMETRO 5/16", COMPRIMENTO 3/4", COM PORCA E ARRUELA LISA LEVE</v>
          </cell>
          <cell r="D3155" t="str">
            <v>UN</v>
          </cell>
          <cell r="E3155" t="str">
            <v>CR</v>
          </cell>
          <cell r="F3155">
            <v>0.43</v>
          </cell>
        </row>
        <row r="3156">
          <cell r="B3156">
            <v>13294</v>
          </cell>
          <cell r="C3156" t="str">
            <v>PARAFUSO DE ACO ZINCADO, SEXTAVADO, COM ROSCA SOBERBA, DIAMETRO 3/8", COMPRIMENTO 80 MM</v>
          </cell>
          <cell r="D3156" t="str">
            <v>UN</v>
          </cell>
          <cell r="E3156" t="str">
            <v>CR</v>
          </cell>
          <cell r="F3156">
            <v>1.46</v>
          </cell>
        </row>
        <row r="3157">
          <cell r="B3157">
            <v>11963</v>
          </cell>
          <cell r="C3157" t="str">
            <v>PARAFUSO DE ACO ZINCADO, TIPO CHUMBADOR PARABOLT, DIAMETRO 1/2", COMPRIMENTO 75 MM</v>
          </cell>
          <cell r="D3157" t="str">
            <v>UN</v>
          </cell>
          <cell r="E3157" t="str">
            <v>CR</v>
          </cell>
          <cell r="F3157">
            <v>9.18</v>
          </cell>
        </row>
        <row r="3158">
          <cell r="B3158">
            <v>11964</v>
          </cell>
          <cell r="C3158" t="str">
            <v>PARAFUSO DE ACO ZINCADO, TIPO CHUMBADOR PARABOLT, DIAMETRO 3/8", COMPRIMENTO 75 MM</v>
          </cell>
          <cell r="D3158" t="str">
            <v>UN</v>
          </cell>
          <cell r="E3158" t="str">
            <v>CR</v>
          </cell>
          <cell r="F3158">
            <v>2.31</v>
          </cell>
        </row>
        <row r="3159">
          <cell r="B3159">
            <v>4346</v>
          </cell>
          <cell r="C3159" t="str">
            <v>PARAFUSO DE FERRO POLIDO, SEXTAVADO, COM ROSCA PARCIAL, DIAMETRO 5/8", COMPRIMENTO 6", COM PORCA E ARRUELA DE PRESSAO MEDIA</v>
          </cell>
          <cell r="D3159" t="str">
            <v>UN</v>
          </cell>
          <cell r="E3159" t="str">
            <v>CR</v>
          </cell>
          <cell r="F3159">
            <v>9.84</v>
          </cell>
        </row>
        <row r="3160">
          <cell r="B3160">
            <v>11955</v>
          </cell>
          <cell r="C3160" t="str">
            <v>PARAFUSO DE LATAO COM ACABAMENTO CROMADO PARA FIXAR PECA SANITARIA, INCLUI PORCA CEGA, ARRUELA E BUCHA DE NYLON TAMANHO S-10</v>
          </cell>
          <cell r="D3160" t="str">
            <v>UN</v>
          </cell>
          <cell r="E3160" t="str">
            <v>CR</v>
          </cell>
          <cell r="F3160">
            <v>4.3</v>
          </cell>
        </row>
        <row r="3161">
          <cell r="B3161">
            <v>11960</v>
          </cell>
          <cell r="C3161" t="str">
            <v>PARAFUSO DE LATAO COM ROSCA SOBERBA, CABECA CHATA E FENDA SIMPLES, DIAMETRO 2,5 MM, COMPRIMENTO 12 MM</v>
          </cell>
          <cell r="D3161" t="str">
            <v>UN</v>
          </cell>
          <cell r="E3161" t="str">
            <v>CR</v>
          </cell>
          <cell r="F3161">
            <v>0.14000000000000001</v>
          </cell>
        </row>
        <row r="3162">
          <cell r="B3162">
            <v>4333</v>
          </cell>
          <cell r="C3162" t="str">
            <v>PARAFUSO DE LATAO COM ROSCA SOBERBA, CABECA CHATA E FENDA SIMPLES, DIAMETRO 3,2 MM, COMPRIMENTO 16 MM</v>
          </cell>
          <cell r="D3162" t="str">
            <v>UN</v>
          </cell>
          <cell r="E3162" t="str">
            <v>CR</v>
          </cell>
          <cell r="F3162">
            <v>0.25</v>
          </cell>
        </row>
        <row r="3163">
          <cell r="B3163">
            <v>4358</v>
          </cell>
          <cell r="C3163" t="str">
            <v>PARAFUSO DE LATAO COM ROSCA SOBERBA, CABECA CHATA E FENDA SIMPLES, DIAMETRO 4,8 MM, COMPRIMENTO 65 MM</v>
          </cell>
          <cell r="D3163" t="str">
            <v>UN</v>
          </cell>
          <cell r="E3163" t="str">
            <v>CR</v>
          </cell>
          <cell r="F3163">
            <v>1.97</v>
          </cell>
        </row>
        <row r="3164">
          <cell r="B3164">
            <v>39435</v>
          </cell>
          <cell r="C3164" t="str">
            <v>PARAFUSO DRY WALL, EM ACO FOSFATIZADO, CABECA TROMBETA E PONTA AGULHA (TA), COMPRIMENTO 25 MM</v>
          </cell>
          <cell r="D3164" t="str">
            <v>UN</v>
          </cell>
          <cell r="E3164" t="str">
            <v>CR</v>
          </cell>
          <cell r="F3164">
            <v>0.1</v>
          </cell>
        </row>
        <row r="3165">
          <cell r="B3165">
            <v>39436</v>
          </cell>
          <cell r="C3165" t="str">
            <v>PARAFUSO DRY WALL, EM ACO FOSFATIZADO, CABECA TROMBETA E PONTA AGULHA (TA), COMPRIMENTO 35 MM</v>
          </cell>
          <cell r="D3165" t="str">
            <v>UN</v>
          </cell>
          <cell r="E3165" t="str">
            <v>CR</v>
          </cell>
          <cell r="F3165">
            <v>0.17</v>
          </cell>
        </row>
        <row r="3166">
          <cell r="B3166">
            <v>39437</v>
          </cell>
          <cell r="C3166" t="str">
            <v>PARAFUSO DRY WALL, EM ACO FOSFATIZADO, CABECA TROMBETA E PONTA AGULHA (TA), COMPRIMENTO 45 MM</v>
          </cell>
          <cell r="D3166" t="str">
            <v>UN</v>
          </cell>
          <cell r="E3166" t="str">
            <v>CR</v>
          </cell>
          <cell r="F3166">
            <v>0.22</v>
          </cell>
        </row>
        <row r="3167">
          <cell r="B3167">
            <v>39439</v>
          </cell>
          <cell r="C3167" t="str">
            <v>PARAFUSO DRY WALL, EM ACO FOSFATIZADO, CABECA TROMBETA E PONTA BROCA (TB), COMPRIMENTO 25 MM</v>
          </cell>
          <cell r="D3167" t="str">
            <v>UN</v>
          </cell>
          <cell r="E3167" t="str">
            <v>CR</v>
          </cell>
          <cell r="F3167">
            <v>0.15</v>
          </cell>
        </row>
        <row r="3168">
          <cell r="B3168">
            <v>39440</v>
          </cell>
          <cell r="C3168" t="str">
            <v>PARAFUSO DRY WALL, EM ACO FOSFATIZADO, CABECA TROMBETA E PONTA BROCA (TB), COMPRIMENTO 35 MM</v>
          </cell>
          <cell r="D3168" t="str">
            <v>UN</v>
          </cell>
          <cell r="E3168" t="str">
            <v>CR</v>
          </cell>
          <cell r="F3168">
            <v>0.19</v>
          </cell>
        </row>
        <row r="3169">
          <cell r="B3169">
            <v>39441</v>
          </cell>
          <cell r="C3169" t="str">
            <v>PARAFUSO DRY WALL, EM ACO FOSFATIZADO, CABECA TROMBETA E PONTA BROCA (TB), COMPRIMENTO 45 MM</v>
          </cell>
          <cell r="D3169" t="str">
            <v>UN</v>
          </cell>
          <cell r="E3169" t="str">
            <v>CR</v>
          </cell>
          <cell r="F3169">
            <v>0.25</v>
          </cell>
        </row>
        <row r="3170">
          <cell r="B3170">
            <v>39442</v>
          </cell>
          <cell r="C3170" t="str">
            <v>PARAFUSO DRY WALL, EM ACO ZINCADO, CABECA LENTILHA E PONTA AGULHA (LA), LARGURA 4,2 MM, COMPRIMENTO 13 MM</v>
          </cell>
          <cell r="D3170" t="str">
            <v>UN</v>
          </cell>
          <cell r="E3170" t="str">
            <v>CR</v>
          </cell>
          <cell r="F3170">
            <v>0.18</v>
          </cell>
        </row>
        <row r="3171">
          <cell r="B3171">
            <v>39443</v>
          </cell>
          <cell r="C3171" t="str">
            <v>PARAFUSO DRY WALL, EM ACO ZINCADO, CABECA LENTILHA E PONTA BROCA (LB), LARGURA 4,2 MM, COMPRIMENTO 13 MM</v>
          </cell>
          <cell r="D3171" t="str">
            <v>UN</v>
          </cell>
          <cell r="E3171" t="str">
            <v>CR</v>
          </cell>
          <cell r="F3171">
            <v>0.23</v>
          </cell>
        </row>
        <row r="3172">
          <cell r="B3172">
            <v>4329</v>
          </cell>
          <cell r="C3172" t="str">
            <v>PARAFUSO EM ACO GALVANIZADO, TIPO MAQUINA, SEXTAVADO, SEM PORCA, DIAMETRO 1/2", COMPRIMENTO 2"</v>
          </cell>
          <cell r="D3172" t="str">
            <v>UN</v>
          </cell>
          <cell r="E3172" t="str">
            <v>C</v>
          </cell>
          <cell r="F3172">
            <v>2.1</v>
          </cell>
        </row>
        <row r="3173">
          <cell r="B3173">
            <v>436</v>
          </cell>
          <cell r="C3173" t="str">
            <v>PARAFUSO FRANCES M16 EM ACO GALVANIZADO, COMPRIMENTO = 150 MM, DIAMETRO = 16 MM, CABECA ABAULADA</v>
          </cell>
          <cell r="D3173" t="str">
            <v>UN</v>
          </cell>
          <cell r="E3173" t="str">
            <v>CR</v>
          </cell>
          <cell r="F3173">
            <v>12.13</v>
          </cell>
        </row>
        <row r="3174">
          <cell r="B3174">
            <v>442</v>
          </cell>
          <cell r="C3174" t="str">
            <v>PARAFUSO FRANCES M16 EM ACO GALVANIZADO, COMPRIMENTO = 45 MM, DIAMETRO = 16 MM, CABECA ABAULADA</v>
          </cell>
          <cell r="D3174" t="str">
            <v>UN</v>
          </cell>
          <cell r="E3174" t="str">
            <v>CR</v>
          </cell>
          <cell r="F3174">
            <v>7.17</v>
          </cell>
        </row>
        <row r="3175">
          <cell r="B3175">
            <v>4383</v>
          </cell>
          <cell r="C3175" t="str">
            <v>PARAFUSO FRANCES METRICO ZINCADO, DIAMETRO 12 MM, COMPRIMENTO 140MM, COM PORCA SEXTAVADA E ARRUELA DE PRESSAO MEDIA</v>
          </cell>
          <cell r="D3175" t="str">
            <v>UN</v>
          </cell>
          <cell r="E3175" t="str">
            <v>CR</v>
          </cell>
          <cell r="F3175">
            <v>18.989999999999998</v>
          </cell>
        </row>
        <row r="3176">
          <cell r="B3176">
            <v>4344</v>
          </cell>
          <cell r="C3176" t="str">
            <v>PARAFUSO FRANCES METRICO ZINCADO, DIAMETRO 12 MM, COMPRIMENTO 150 MM, COM PORCA SEXTAVADA E ARRUELA DE PRESSAO MEDIA</v>
          </cell>
          <cell r="D3176" t="str">
            <v>UN</v>
          </cell>
          <cell r="E3176" t="str">
            <v>CR</v>
          </cell>
          <cell r="F3176">
            <v>19.899999999999999</v>
          </cell>
        </row>
        <row r="3177">
          <cell r="B3177">
            <v>4335</v>
          </cell>
          <cell r="C3177" t="str">
            <v>PARAFUSO FRANCES ZINCADO, DIAMETRO 1/2", COMPRIMENTO 12", COM PORCA E ARRUELA LISA MEDIA</v>
          </cell>
          <cell r="D3177" t="str">
            <v>UN</v>
          </cell>
          <cell r="E3177" t="str">
            <v>CR</v>
          </cell>
          <cell r="F3177">
            <v>13.36</v>
          </cell>
        </row>
        <row r="3178">
          <cell r="B3178">
            <v>4334</v>
          </cell>
          <cell r="C3178" t="str">
            <v>PARAFUSO FRANCES ZINCADO, DIAMETRO 1/2", COMPRIMENTO 15", COM PORCA E ARRUELA LISA MEDIA</v>
          </cell>
          <cell r="D3178" t="str">
            <v>UN</v>
          </cell>
          <cell r="E3178" t="str">
            <v>CR</v>
          </cell>
          <cell r="F3178">
            <v>18.329999999999998</v>
          </cell>
        </row>
        <row r="3179">
          <cell r="B3179">
            <v>11953</v>
          </cell>
          <cell r="C3179" t="str">
            <v>PARAFUSO FRANCES ZINCADO, DIAMETRO 1/2", COMPRIMENTO 2", COM PORCA E ARRUELA</v>
          </cell>
          <cell r="D3179" t="str">
            <v>UN</v>
          </cell>
          <cell r="E3179" t="str">
            <v>CR</v>
          </cell>
          <cell r="F3179">
            <v>3.15</v>
          </cell>
        </row>
        <row r="3180">
          <cell r="B3180">
            <v>4343</v>
          </cell>
          <cell r="C3180" t="str">
            <v>PARAFUSO FRANCES ZINCADO, DIAMETRO 1/2", COMPRIMENTO 4", COM PORCA E ARRUELA</v>
          </cell>
          <cell r="D3180" t="str">
            <v>UN</v>
          </cell>
          <cell r="E3180" t="str">
            <v>CR</v>
          </cell>
          <cell r="F3180">
            <v>4.51</v>
          </cell>
        </row>
        <row r="3181">
          <cell r="B3181">
            <v>430</v>
          </cell>
          <cell r="C3181" t="str">
            <v>PARAFUSO M16 EM ACO GALVANIZADO, COMPRIMENTO = 125 MM, DIAMETRO = 16 MM, ROSCA MAQUINA, CABECA QUADRADA</v>
          </cell>
          <cell r="D3181" t="str">
            <v>UN</v>
          </cell>
          <cell r="E3181" t="str">
            <v>CR</v>
          </cell>
          <cell r="F3181">
            <v>10.85</v>
          </cell>
        </row>
        <row r="3182">
          <cell r="B3182">
            <v>441</v>
          </cell>
          <cell r="C3182" t="str">
            <v>PARAFUSO M16 EM ACO GALVANIZADO, COMPRIMENTO = 150 MM, DIAMETRO = 16 MM, ROSCA MAQUINA, CABECA QUADRADA</v>
          </cell>
          <cell r="D3182" t="str">
            <v>UN</v>
          </cell>
          <cell r="E3182" t="str">
            <v>CR</v>
          </cell>
          <cell r="F3182">
            <v>11.94</v>
          </cell>
        </row>
        <row r="3183">
          <cell r="B3183">
            <v>431</v>
          </cell>
          <cell r="C3183" t="str">
            <v>PARAFUSO M16 EM ACO GALVANIZADO, COMPRIMENTO = 200 MM, DIAMETRO = 16 MM, ROSCA MAQUINA, CABECA QUADRADA</v>
          </cell>
          <cell r="D3183" t="str">
            <v>UN</v>
          </cell>
          <cell r="E3183" t="str">
            <v>CR</v>
          </cell>
          <cell r="F3183">
            <v>14.42</v>
          </cell>
        </row>
        <row r="3184">
          <cell r="B3184">
            <v>432</v>
          </cell>
          <cell r="C3184" t="str">
            <v>PARAFUSO M16 EM ACO GALVANIZADO, COMPRIMENTO = 250 MM, DIAMETRO = 16 MM, ROSCA MAQUINA, CABECA QUADRADA</v>
          </cell>
          <cell r="D3184" t="str">
            <v>UN</v>
          </cell>
          <cell r="E3184" t="str">
            <v>CR</v>
          </cell>
          <cell r="F3184">
            <v>15.91</v>
          </cell>
        </row>
        <row r="3185">
          <cell r="B3185">
            <v>429</v>
          </cell>
          <cell r="C3185" t="str">
            <v>PARAFUSO M16 EM ACO GALVANIZADO, COMPRIMENTO = 300 MM, DIAMETRO = 16 MM, ROSCA DUPLA</v>
          </cell>
          <cell r="D3185" t="str">
            <v>UN</v>
          </cell>
          <cell r="E3185" t="str">
            <v>CR</v>
          </cell>
          <cell r="F3185">
            <v>21.45</v>
          </cell>
        </row>
        <row r="3186">
          <cell r="B3186">
            <v>439</v>
          </cell>
          <cell r="C3186" t="str">
            <v>PARAFUSO M16 EM ACO GALVANIZADO, COMPRIMENTO = 300 MM, DIAMETRO = 16 MM, ROSCA MAQUINA, CABECA QUADRADA</v>
          </cell>
          <cell r="D3186" t="str">
            <v>UN</v>
          </cell>
          <cell r="E3186" t="str">
            <v>CR</v>
          </cell>
          <cell r="F3186">
            <v>18.28</v>
          </cell>
        </row>
        <row r="3187">
          <cell r="B3187">
            <v>433</v>
          </cell>
          <cell r="C3187" t="str">
            <v>PARAFUSO M16 EM ACO GALVANIZADO, COMPRIMENTO = 350 MM, DIAMETRO = 16 MM, ROSCA MAQUINA, CABECA QUADRADA</v>
          </cell>
          <cell r="D3187" t="str">
            <v>UN</v>
          </cell>
          <cell r="E3187" t="str">
            <v>CR</v>
          </cell>
          <cell r="F3187">
            <v>21.34</v>
          </cell>
        </row>
        <row r="3188">
          <cell r="B3188">
            <v>437</v>
          </cell>
          <cell r="C3188" t="str">
            <v>PARAFUSO M16 EM ACO GALVANIZADO, COMPRIMENTO = 400 MM, DIAMETRO = 16 MM, ROSCA DUPLA</v>
          </cell>
          <cell r="D3188" t="str">
            <v>UN</v>
          </cell>
          <cell r="E3188" t="str">
            <v>CR</v>
          </cell>
          <cell r="F3188">
            <v>28.35</v>
          </cell>
        </row>
        <row r="3189">
          <cell r="B3189">
            <v>11790</v>
          </cell>
          <cell r="C3189" t="str">
            <v>PARAFUSO M16 EM ACO GALVANIZADO, COMPRIMENTO = 450 MM, DIAMETRO = 16 MM, ROSCA MAQUINA, CABECA QUADRADA</v>
          </cell>
          <cell r="D3189" t="str">
            <v>UN</v>
          </cell>
          <cell r="E3189" t="str">
            <v>CR</v>
          </cell>
          <cell r="F3189">
            <v>32.159999999999997</v>
          </cell>
        </row>
        <row r="3190">
          <cell r="B3190">
            <v>428</v>
          </cell>
          <cell r="C3190" t="str">
            <v>PARAFUSO M16 EM ACO GALVANIZADO, COMPRIMENTO = 500 MM, DIAMETRO = 16 MM, ROSCA MAQUINA, COM CABECA SEXTAVADA E PORCA</v>
          </cell>
          <cell r="D3190" t="str">
            <v>UN</v>
          </cell>
          <cell r="E3190" t="str">
            <v>C</v>
          </cell>
          <cell r="F3190">
            <v>34.97</v>
          </cell>
        </row>
        <row r="3191">
          <cell r="B3191">
            <v>4351</v>
          </cell>
          <cell r="C3191" t="str">
            <v>PARAFUSO NIQUELADO 3 1/2" COM ACABAMENTO CROMADO PARA FIXAR PECA SANITARIA, INCLUI PORCA CEGA, ARRUELA E BUCHA DE NYLON TAMANHO S-8</v>
          </cell>
          <cell r="D3191" t="str">
            <v>UN</v>
          </cell>
          <cell r="E3191" t="str">
            <v>CR</v>
          </cell>
          <cell r="F3191">
            <v>16.170000000000002</v>
          </cell>
        </row>
        <row r="3192">
          <cell r="B3192">
            <v>4384</v>
          </cell>
          <cell r="C3192" t="str">
            <v>PARAFUSO NIQUELADO COM ACABAMENTO CROMADO PARA FIXAR PECA SANITARIA, INCLUI PORCA CEGA, ARRUELA E BUCHA DE NYLON TAMANHO S-10</v>
          </cell>
          <cell r="D3192" t="str">
            <v>UN</v>
          </cell>
          <cell r="E3192" t="str">
            <v>CR</v>
          </cell>
          <cell r="F3192">
            <v>21.82</v>
          </cell>
        </row>
        <row r="3193">
          <cell r="B3193">
            <v>11054</v>
          </cell>
          <cell r="C3193" t="str">
            <v>PARAFUSO ROSCA SOBERBA ZINCADO CABECA CHATA FENDA SIMPLES 3,2 X 20 MM (3/4")</v>
          </cell>
          <cell r="D3193" t="str">
            <v>UN</v>
          </cell>
          <cell r="E3193" t="str">
            <v>CR</v>
          </cell>
          <cell r="F3193">
            <v>0.04</v>
          </cell>
        </row>
        <row r="3194">
          <cell r="B3194">
            <v>11055</v>
          </cell>
          <cell r="C3194" t="str">
            <v>PARAFUSO ROSCA SOBERBA ZINCADO CABECA CHATA FENDA SIMPLES 3,5 X 25 MM (1")</v>
          </cell>
          <cell r="D3194" t="str">
            <v>UN</v>
          </cell>
          <cell r="E3194" t="str">
            <v>CR</v>
          </cell>
          <cell r="F3194">
            <v>7.0000000000000007E-2</v>
          </cell>
        </row>
        <row r="3195">
          <cell r="B3195">
            <v>11056</v>
          </cell>
          <cell r="C3195" t="str">
            <v>PARAFUSO ROSCA SOBERBA ZINCADO CABECA CHATA FENDA SIMPLES 3,8 X 30 MM (1.1/4")</v>
          </cell>
          <cell r="D3195" t="str">
            <v>UN</v>
          </cell>
          <cell r="E3195" t="str">
            <v>CR</v>
          </cell>
          <cell r="F3195">
            <v>0.08</v>
          </cell>
        </row>
        <row r="3196">
          <cell r="B3196">
            <v>11057</v>
          </cell>
          <cell r="C3196" t="str">
            <v>PARAFUSO ROSCA SOBERBA ZINCADO CABECA CHATA FENDA SIMPLES 4,8 X 40 MM (1.1/2")</v>
          </cell>
          <cell r="D3196" t="str">
            <v>UN</v>
          </cell>
          <cell r="E3196" t="str">
            <v>CR</v>
          </cell>
          <cell r="F3196">
            <v>0.17</v>
          </cell>
        </row>
        <row r="3197">
          <cell r="B3197">
            <v>11059</v>
          </cell>
          <cell r="C3197" t="str">
            <v>PARAFUSO ROSCA SOBERBA ZINCADO CABECA CHATA FENDA SIMPLES 5,5 X 50 MM (2")</v>
          </cell>
          <cell r="D3197" t="str">
            <v>UN</v>
          </cell>
          <cell r="E3197" t="str">
            <v>CR</v>
          </cell>
          <cell r="F3197">
            <v>0.33</v>
          </cell>
        </row>
        <row r="3198">
          <cell r="B3198">
            <v>11058</v>
          </cell>
          <cell r="C3198" t="str">
            <v>PARAFUSO ROSCA SOBERBA ZINCADO CABECA CHATA FENDA SIMPLES 5,5 X 65 MM (2.1/2")</v>
          </cell>
          <cell r="D3198" t="str">
            <v>UN</v>
          </cell>
          <cell r="E3198" t="str">
            <v>CR</v>
          </cell>
          <cell r="F3198">
            <v>0.43</v>
          </cell>
        </row>
        <row r="3199">
          <cell r="B3199">
            <v>4320</v>
          </cell>
          <cell r="C3199" t="str">
            <v>PARAFUSO ZINCADO 5/16" X 250 MM PARA FIXACAO DE TELHA DE FIBROCIMENTO CANALETE 49, INCLUI BUCHA NYLON S-10</v>
          </cell>
          <cell r="D3199" t="str">
            <v>UN</v>
          </cell>
          <cell r="E3199" t="str">
            <v>CR</v>
          </cell>
          <cell r="F3199">
            <v>3.45</v>
          </cell>
        </row>
        <row r="3200">
          <cell r="B3200">
            <v>4318</v>
          </cell>
          <cell r="C3200" t="str">
            <v>PARAFUSO ZINCADO 5/16" X 85 MM PARA FIXACAO DE TELHA DE FIBROCIMENTO CANALETE 90, INCLUI BUCHA NYLON S-10</v>
          </cell>
          <cell r="D3200" t="str">
            <v>UN</v>
          </cell>
          <cell r="E3200" t="str">
            <v>CR</v>
          </cell>
          <cell r="F3200">
            <v>1.68</v>
          </cell>
        </row>
        <row r="3201">
          <cell r="B3201">
            <v>4380</v>
          </cell>
          <cell r="C3201" t="str">
            <v>PARAFUSO ZINCADO ROSCA SOBERBA 5/16" X 120 MM PARA TELHA FIBROCIMENTO</v>
          </cell>
          <cell r="D3201" t="str">
            <v>UN</v>
          </cell>
          <cell r="E3201" t="str">
            <v>CR</v>
          </cell>
          <cell r="F3201">
            <v>1.45</v>
          </cell>
        </row>
        <row r="3202">
          <cell r="B3202">
            <v>4299</v>
          </cell>
          <cell r="C3202" t="str">
            <v>PARAFUSO ZINCADO ROSCA SOBERBA, CABECA SEXTAVADA, 5/16" X 110 MM, PARA FIXACAO DE TELHA EM MADEIRA</v>
          </cell>
          <cell r="D3202" t="str">
            <v>UN</v>
          </cell>
          <cell r="E3202" t="str">
            <v>C</v>
          </cell>
          <cell r="F3202">
            <v>1.37</v>
          </cell>
        </row>
        <row r="3203">
          <cell r="B3203">
            <v>4304</v>
          </cell>
          <cell r="C3203" t="str">
            <v>PARAFUSO ZINCADO ROSCA SOBERBA, CABECA SEXTAVADA, 5/16" X 150 MM, PARA FIXACAO DE TELHA EM MADEIRA</v>
          </cell>
          <cell r="D3203" t="str">
            <v>UN</v>
          </cell>
          <cell r="E3203" t="str">
            <v>CR</v>
          </cell>
          <cell r="F3203">
            <v>1.87</v>
          </cell>
        </row>
        <row r="3204">
          <cell r="B3204">
            <v>4305</v>
          </cell>
          <cell r="C3204" t="str">
            <v>PARAFUSO ZINCADO ROSCA SOBERBA, CABECA SEXTAVADA, 5/16" X 180 MM, PARA FIXACAO DE TELHA EM MADEIRA</v>
          </cell>
          <cell r="D3204" t="str">
            <v>UN</v>
          </cell>
          <cell r="E3204" t="str">
            <v>CR</v>
          </cell>
          <cell r="F3204">
            <v>2.17</v>
          </cell>
        </row>
        <row r="3205">
          <cell r="B3205">
            <v>4306</v>
          </cell>
          <cell r="C3205" t="str">
            <v>PARAFUSO ZINCADO ROSCA SOBERBA, CABECA SEXTAVADA, 5/16" X 200 MM, PARA FIXACAO DE TELHA EM MADEIRA</v>
          </cell>
          <cell r="D3205" t="str">
            <v>UN</v>
          </cell>
          <cell r="E3205" t="str">
            <v>CR</v>
          </cell>
          <cell r="F3205">
            <v>2.52</v>
          </cell>
        </row>
        <row r="3206">
          <cell r="B3206">
            <v>4308</v>
          </cell>
          <cell r="C3206" t="str">
            <v>PARAFUSO ZINCADO ROSCA SOBERBA, CABECA SEXTAVADA, 5/16" X 230 MM, PARA FIXACAO DE TELHA EM MADEIRA</v>
          </cell>
          <cell r="D3206" t="str">
            <v>UN</v>
          </cell>
          <cell r="E3206" t="str">
            <v>CR</v>
          </cell>
          <cell r="F3206">
            <v>5.21</v>
          </cell>
        </row>
        <row r="3207">
          <cell r="B3207">
            <v>4302</v>
          </cell>
          <cell r="C3207" t="str">
            <v>PARAFUSO ZINCADO ROSCA SOBERBA, CABECA SEXTAVADA, 5/16" X 250 MM, PARA FIXACAO DE TELHA EM MADEIRA</v>
          </cell>
          <cell r="D3207" t="str">
            <v>UN</v>
          </cell>
          <cell r="E3207" t="str">
            <v>CR</v>
          </cell>
          <cell r="F3207">
            <v>3.91</v>
          </cell>
        </row>
        <row r="3208">
          <cell r="B3208">
            <v>4300</v>
          </cell>
          <cell r="C3208" t="str">
            <v>PARAFUSO ZINCADO ROSCA SOBERBA, CABECA SEXTAVADA, 5/16" X 50 MM, PARA FIXACAO DE TELHA EM MADEIRA</v>
          </cell>
          <cell r="D3208" t="str">
            <v>UN</v>
          </cell>
          <cell r="E3208" t="str">
            <v>CR</v>
          </cell>
          <cell r="F3208">
            <v>0.93</v>
          </cell>
        </row>
        <row r="3209">
          <cell r="B3209">
            <v>4301</v>
          </cell>
          <cell r="C3209" t="str">
            <v>PARAFUSO ZINCADO ROSCA SOBERBA, CABECA SEXTAVADA, 5/16" X 85 MM, PARA FIXACAO DE TELHA EM MADEIRA</v>
          </cell>
          <cell r="D3209" t="str">
            <v>UN</v>
          </cell>
          <cell r="E3209" t="str">
            <v>CR</v>
          </cell>
          <cell r="F3209">
            <v>1.1399999999999999</v>
          </cell>
        </row>
        <row r="3210">
          <cell r="B3210">
            <v>40547</v>
          </cell>
          <cell r="C3210" t="str">
            <v>PARAFUSO ZINCADO, AUTOBROCANTE, FLANGEADO, 4,2 MM X 19 MM</v>
          </cell>
          <cell r="D3210" t="str">
            <v>CENTO</v>
          </cell>
          <cell r="E3210" t="str">
            <v>CR</v>
          </cell>
          <cell r="F3210">
            <v>26.51</v>
          </cell>
        </row>
        <row r="3211">
          <cell r="B3211">
            <v>11962</v>
          </cell>
          <cell r="C3211" t="str">
            <v>PARAFUSO ZINCADO, SEXTAVADO, COM ROSCA INTEIRA, DIAMETRO 1/4", COMPRIMENTO 1/2"</v>
          </cell>
          <cell r="D3211" t="str">
            <v>UN</v>
          </cell>
          <cell r="E3211" t="str">
            <v>CR</v>
          </cell>
          <cell r="F3211">
            <v>0.21</v>
          </cell>
        </row>
        <row r="3212">
          <cell r="B3212">
            <v>4332</v>
          </cell>
          <cell r="C3212" t="str">
            <v>PARAFUSO ZINCADO, SEXTAVADO, COM ROSCA INTEIRA, DIAMETRO 3/8", COMPRIMENTO 2"</v>
          </cell>
          <cell r="D3212" t="str">
            <v>UN</v>
          </cell>
          <cell r="E3212" t="str">
            <v>CR</v>
          </cell>
          <cell r="F3212">
            <v>1.05</v>
          </cell>
        </row>
        <row r="3213">
          <cell r="B3213">
            <v>4331</v>
          </cell>
          <cell r="C3213" t="str">
            <v>PARAFUSO ZINCADO, SEXTAVADO, COM ROSCA INTEIRA, DIAMETRO 5/8", COMPRIMENTO 2 1/4"</v>
          </cell>
          <cell r="D3213" t="str">
            <v>UN</v>
          </cell>
          <cell r="E3213" t="str">
            <v>CR</v>
          </cell>
          <cell r="F3213">
            <v>3.98</v>
          </cell>
        </row>
        <row r="3214">
          <cell r="B3214">
            <v>4336</v>
          </cell>
          <cell r="C3214" t="str">
            <v>PARAFUSO ZINCADO, SEXTAVADO, COM ROSCA INTEIRA, DIAMETRO 5/8", COMPRIMENTO 3", COM PORCA E ARRUELA DE PRESSAO MEDIA</v>
          </cell>
          <cell r="D3214" t="str">
            <v>UN</v>
          </cell>
          <cell r="E3214" t="str">
            <v>CR</v>
          </cell>
          <cell r="F3214">
            <v>5.09</v>
          </cell>
        </row>
        <row r="3215">
          <cell r="B3215">
            <v>11948</v>
          </cell>
          <cell r="C3215" t="str">
            <v>PARAFUSO ZINCADO, SEXTAVADO, COM ROSCA SOBERBA, DIAMETRO 5/16", COMPRIMENTO 40 MM</v>
          </cell>
          <cell r="D3215" t="str">
            <v>UN</v>
          </cell>
          <cell r="E3215" t="str">
            <v>CR</v>
          </cell>
          <cell r="F3215">
            <v>0.65</v>
          </cell>
        </row>
        <row r="3216">
          <cell r="B3216">
            <v>4382</v>
          </cell>
          <cell r="C3216" t="str">
            <v>PARAFUSO ZINCADO, SEXTAVADO, COM ROSCA SOBERBA, DIAMETRO 5/16", COMPRIMENTO 80 MM</v>
          </cell>
          <cell r="D3216" t="str">
            <v>UN</v>
          </cell>
          <cell r="E3216" t="str">
            <v>CR</v>
          </cell>
          <cell r="F3216">
            <v>1.0900000000000001</v>
          </cell>
        </row>
        <row r="3217">
          <cell r="B3217">
            <v>4354</v>
          </cell>
          <cell r="C3217" t="str">
            <v>PARAFUSO ZINCADO, SEXTAVADO, GRAU 5, ROSCA INTEIRA, DIAMETRO 1 1/2", COMPRIMENTO 4"</v>
          </cell>
          <cell r="D3217" t="str">
            <v>UN</v>
          </cell>
          <cell r="E3217" t="str">
            <v>CR</v>
          </cell>
          <cell r="F3217">
            <v>45.65</v>
          </cell>
        </row>
        <row r="3218">
          <cell r="B3218">
            <v>40839</v>
          </cell>
          <cell r="C3218" t="str">
            <v>PARAFUSO, ASTM A307 - GRAU A, SEXTAVADO, ZINCADO, DIAMETRO 3/8" (9,52 MM), COMPRIMENTO 1" (25,4 MM)</v>
          </cell>
          <cell r="D3218" t="str">
            <v>CENTO</v>
          </cell>
          <cell r="E3218" t="str">
            <v>CR</v>
          </cell>
          <cell r="F3218">
            <v>109.84</v>
          </cell>
        </row>
        <row r="3219">
          <cell r="B3219">
            <v>40552</v>
          </cell>
          <cell r="C3219" t="str">
            <v>PARAFUSO, AUTOATARRAXANTE, CABECA CHATA, FENDA SIMPLES, EM ACO ZINCADO, 1/4" (6,35 MM) X 25 MM</v>
          </cell>
          <cell r="D3219" t="str">
            <v>CENTO</v>
          </cell>
          <cell r="E3219" t="str">
            <v>CR</v>
          </cell>
          <cell r="F3219">
            <v>45.45</v>
          </cell>
        </row>
        <row r="3220">
          <cell r="B3220">
            <v>40549</v>
          </cell>
          <cell r="C3220" t="str">
            <v>PARAFUSO, COMUM, ASTM A307, SEXTAVADO, DIAMETRO 1/2" (12,7 MM), COMPRIMENTO 1" (25,4 MM)</v>
          </cell>
          <cell r="D3220" t="str">
            <v>CENTO</v>
          </cell>
          <cell r="E3220" t="str">
            <v>CR</v>
          </cell>
          <cell r="F3220">
            <v>179.92</v>
          </cell>
        </row>
        <row r="3221">
          <cell r="B3221">
            <v>43965</v>
          </cell>
          <cell r="C3221" t="str">
            <v>PARAFUSO, EM ACO ZINCADO, CABECA LENTILHA AUTOTRAVANTE DIAMETRO 5/16" X 1"</v>
          </cell>
          <cell r="D3221" t="str">
            <v>UN</v>
          </cell>
          <cell r="E3221" t="str">
            <v>CR</v>
          </cell>
          <cell r="F3221">
            <v>0.45</v>
          </cell>
        </row>
        <row r="3222">
          <cell r="B3222">
            <v>4385</v>
          </cell>
          <cell r="C3222" t="str">
            <v>PARALELEPIPEDO GRANITICO OU BASALTICO, PARA PAVIMENTACAO, SEM FRETE (VARIACAO REGIONAL DE PECAS POR M2)</v>
          </cell>
          <cell r="D3222" t="str">
            <v>MIL</v>
          </cell>
          <cell r="E3222" t="str">
            <v>CR</v>
          </cell>
          <cell r="F3222">
            <v>2902.64</v>
          </cell>
        </row>
        <row r="3223">
          <cell r="B3223">
            <v>4276</v>
          </cell>
          <cell r="C3223" t="str">
            <v>PARA-RAIOS DE DISTRIBUICAO, TENSAO NOMINAL 15 KV, CORRENTE NOMINAL DE DESCARGA 5 KA</v>
          </cell>
          <cell r="D3223" t="str">
            <v>UN</v>
          </cell>
          <cell r="E3223" t="str">
            <v>CR</v>
          </cell>
          <cell r="F3223">
            <v>210.76</v>
          </cell>
        </row>
        <row r="3224">
          <cell r="B3224">
            <v>4273</v>
          </cell>
          <cell r="C3224" t="str">
            <v>PARA-RAIOS DE DISTRIBUICAO, TENSAO NOMINAL 30 KV, CORRENTE NOMINAL DE DESCARGA 10 KA</v>
          </cell>
          <cell r="D3224" t="str">
            <v>UN</v>
          </cell>
          <cell r="E3224" t="str">
            <v>CR</v>
          </cell>
          <cell r="F3224">
            <v>382.65</v>
          </cell>
        </row>
        <row r="3225">
          <cell r="B3225">
            <v>4274</v>
          </cell>
          <cell r="C3225" t="str">
            <v>PARA-RAIOS TIPO FRANKLIN 350 MM, EM LATAO CROMADO, DUAS DESCIDAS, PARA PROTECAO DE EDIFICACOES CONTRA DESCARGAS ATMOSFERICAS</v>
          </cell>
          <cell r="D3225" t="str">
            <v>UN</v>
          </cell>
          <cell r="E3225" t="str">
            <v>C</v>
          </cell>
          <cell r="F3225">
            <v>139.99</v>
          </cell>
        </row>
        <row r="3226">
          <cell r="B3226">
            <v>45236</v>
          </cell>
          <cell r="C3226" t="str">
            <v>PASTA ABRASIVA PARA LIMPEZA DE MAOS</v>
          </cell>
          <cell r="D3226" t="str">
            <v>KG</v>
          </cell>
          <cell r="E3226" t="str">
            <v>CR</v>
          </cell>
          <cell r="F3226">
            <v>21.33</v>
          </cell>
        </row>
        <row r="3227">
          <cell r="B3227">
            <v>20078</v>
          </cell>
          <cell r="C3227" t="str">
            <v>PASTA LUBRIFICANTE PARA TUBOS E CONEXOES COM JUNTA ELASTICA, EMBALAGEM DE *400* GR (USO EM PVC, ACO, POLIETILENO E OUTROS)</v>
          </cell>
          <cell r="D3227" t="str">
            <v>UN</v>
          </cell>
          <cell r="E3227" t="str">
            <v>CR</v>
          </cell>
          <cell r="F3227">
            <v>25.08</v>
          </cell>
        </row>
        <row r="3228">
          <cell r="B3228">
            <v>39897</v>
          </cell>
          <cell r="C3228" t="str">
            <v>PASTA PARA SOLDA DE TUBOS E CONEXOES DE COBRE (EMBALAGEM COM 250 G)</v>
          </cell>
          <cell r="D3228" t="str">
            <v>UN</v>
          </cell>
          <cell r="E3228" t="str">
            <v>CR</v>
          </cell>
          <cell r="F3228">
            <v>56.57</v>
          </cell>
        </row>
        <row r="3229">
          <cell r="B3229">
            <v>118</v>
          </cell>
          <cell r="C3229" t="str">
            <v>PASTA VEDA JUNTAS/ROSCA, EMBALAGEM DE *500* G, PARA INSTALACOES DE AGUA, GAS E OUTROS</v>
          </cell>
          <cell r="D3229" t="str">
            <v>UN</v>
          </cell>
          <cell r="E3229" t="str">
            <v>CR</v>
          </cell>
          <cell r="F3229">
            <v>53.04</v>
          </cell>
        </row>
        <row r="3230">
          <cell r="B3230">
            <v>4396</v>
          </cell>
          <cell r="C3230" t="str">
            <v>PASTILHA CERAMICA/PORCELANA, REVEST INT/EXT E PISCINA, CORES BRANCA OU FRIAS, SOLIDAS, SEM MESCLAGEM/MISTURA, ACABAMENTO LISO *2,5 X 2,5* CM</v>
          </cell>
          <cell r="D3230" t="str">
            <v>M2</v>
          </cell>
          <cell r="E3230" t="str">
            <v>CR</v>
          </cell>
          <cell r="F3230">
            <v>238.45</v>
          </cell>
        </row>
        <row r="3231">
          <cell r="B3231">
            <v>36881</v>
          </cell>
          <cell r="C3231" t="str">
            <v>PASTILHA CERAMICA/PORCELANA, REVEST INT/EXT E PISCINA, CORES BRANCA OU FRIAS, SOLIDAS, SEM MESCLAGEM/MISTURA, ACABAMENTO LISO *5 X 5* CM</v>
          </cell>
          <cell r="D3231" t="str">
            <v>M2</v>
          </cell>
          <cell r="E3231" t="str">
            <v>CR</v>
          </cell>
          <cell r="F3231">
            <v>174.08</v>
          </cell>
        </row>
        <row r="3232">
          <cell r="B3232">
            <v>4397</v>
          </cell>
          <cell r="C3232" t="str">
            <v>PASTILHA CERAMICA/PORCELANA, REVEST INT/EXT E PISCINA, CORES LISAS/SOLIDAS, QUENTES, SEM MESCLAGEM/MISTURA, *2,5 X 2,5* CM</v>
          </cell>
          <cell r="D3232" t="str">
            <v>M2</v>
          </cell>
          <cell r="E3232" t="str">
            <v>CR</v>
          </cell>
          <cell r="F3232">
            <v>242.43</v>
          </cell>
        </row>
        <row r="3233">
          <cell r="B3233">
            <v>36882</v>
          </cell>
          <cell r="C3233" t="str">
            <v>PASTILHA CERAMICA/PORCELANA, REVEST INT/EXT E PISCINA, CORES LISAS/SOLIDAS, QUENTES, SEM MESCLAGEM/MISTURA, *5 X 5* CM</v>
          </cell>
          <cell r="D3233" t="str">
            <v>M2</v>
          </cell>
          <cell r="E3233" t="str">
            <v>CR</v>
          </cell>
          <cell r="F3233">
            <v>177.51</v>
          </cell>
        </row>
        <row r="3234">
          <cell r="B3234">
            <v>4751</v>
          </cell>
          <cell r="C3234" t="str">
            <v>PASTILHEIRO (HORISTA)</v>
          </cell>
          <cell r="D3234" t="str">
            <v>H</v>
          </cell>
          <cell r="E3234" t="str">
            <v>CR</v>
          </cell>
          <cell r="F3234">
            <v>26.03</v>
          </cell>
        </row>
        <row r="3235">
          <cell r="B3235">
            <v>41066</v>
          </cell>
          <cell r="C3235" t="str">
            <v>PASTILHEIRO (MENSALISTA)</v>
          </cell>
          <cell r="D3235" t="str">
            <v>MES</v>
          </cell>
          <cell r="E3235" t="str">
            <v>CR</v>
          </cell>
          <cell r="F3235">
            <v>4560.57</v>
          </cell>
        </row>
        <row r="3236">
          <cell r="B3236">
            <v>39604</v>
          </cell>
          <cell r="C3236" t="str">
            <v>PATCH CORD (CABO DE REDE), CATEGORIA 5 E (CAT 5E) UTP, 24 AWG, 4 PARES, EXTENSAO DE 1,50 M</v>
          </cell>
          <cell r="D3236" t="str">
            <v>UN</v>
          </cell>
          <cell r="E3236" t="str">
            <v>CR</v>
          </cell>
          <cell r="F3236">
            <v>14.58</v>
          </cell>
        </row>
        <row r="3237">
          <cell r="B3237">
            <v>39605</v>
          </cell>
          <cell r="C3237" t="str">
            <v>PATCH CORD (CABO DE REDE), CATEGORIA 5 E (CAT 5E) UTP, 24 AWG, 4 PARES, EXTENSAO DE 2,50 M</v>
          </cell>
          <cell r="D3237" t="str">
            <v>UN</v>
          </cell>
          <cell r="E3237" t="str">
            <v>CR</v>
          </cell>
          <cell r="F3237">
            <v>15.84</v>
          </cell>
        </row>
        <row r="3238">
          <cell r="B3238">
            <v>39606</v>
          </cell>
          <cell r="C3238" t="str">
            <v>PATCH CORD (CABO DE REDE), CATEGORIA 6 (CAT 6) UTP, 23 AWG, 4 PARES, EXTENSAO DE 1,50 M</v>
          </cell>
          <cell r="D3238" t="str">
            <v>UN</v>
          </cell>
          <cell r="E3238" t="str">
            <v>CR</v>
          </cell>
          <cell r="F3238">
            <v>27.73</v>
          </cell>
        </row>
        <row r="3239">
          <cell r="B3239">
            <v>39607</v>
          </cell>
          <cell r="C3239" t="str">
            <v>PATCH CORD (CABO DE REDE), CATEGORIA 6 (CAT 6) UTP, 23 AWG, 4 PARES, EXTENSAO DE 2,50 M</v>
          </cell>
          <cell r="D3239" t="str">
            <v>UN</v>
          </cell>
          <cell r="E3239" t="str">
            <v>CR</v>
          </cell>
          <cell r="F3239">
            <v>37.520000000000003</v>
          </cell>
        </row>
        <row r="3240">
          <cell r="B3240">
            <v>39594</v>
          </cell>
          <cell r="C3240" t="str">
            <v>PATCH PANEL, 24 PORTAS, CATEGORIA 5E, COM RACKS DE 19" DE LARGURA E 1 U DE ALTURA</v>
          </cell>
          <cell r="D3240" t="str">
            <v>UN</v>
          </cell>
          <cell r="E3240" t="str">
            <v>C</v>
          </cell>
          <cell r="F3240">
            <v>323.68</v>
          </cell>
        </row>
        <row r="3241">
          <cell r="B3241">
            <v>39596</v>
          </cell>
          <cell r="C3241" t="str">
            <v>PATCH PANEL, 24 PORTAS, CATEGORIA 6, COM RACKS DE 19" DE LARGURA E 1 U DE ALTURA</v>
          </cell>
          <cell r="D3241" t="str">
            <v>UN</v>
          </cell>
          <cell r="E3241" t="str">
            <v>CR</v>
          </cell>
          <cell r="F3241">
            <v>866.84</v>
          </cell>
        </row>
        <row r="3242">
          <cell r="B3242">
            <v>39595</v>
          </cell>
          <cell r="C3242" t="str">
            <v>PATCH PANEL, 48 PORTAS, CATEGORIA 5E, COM RACKS DE 19" DE LARGURA E 2 U DE ALTURA</v>
          </cell>
          <cell r="D3242" t="str">
            <v>UN</v>
          </cell>
          <cell r="E3242" t="str">
            <v>CR</v>
          </cell>
          <cell r="F3242">
            <v>1947.67</v>
          </cell>
        </row>
        <row r="3243">
          <cell r="B3243">
            <v>39597</v>
          </cell>
          <cell r="C3243" t="str">
            <v>PATCH PANEL, 48 PORTAS, CATEGORIA 6, COM RACKS DE 19" DE LARGURA E 2 U DE ALTURA</v>
          </cell>
          <cell r="D3243" t="str">
            <v>UN</v>
          </cell>
          <cell r="E3243" t="str">
            <v>CR</v>
          </cell>
          <cell r="F3243">
            <v>3055.19</v>
          </cell>
        </row>
        <row r="3244">
          <cell r="B3244">
            <v>10731</v>
          </cell>
          <cell r="C3244" t="str">
            <v>PEDRA ARDOSIA, CINZA, *40 X 40* CM, E= *1 CM</v>
          </cell>
          <cell r="D3244" t="str">
            <v>M2</v>
          </cell>
          <cell r="E3244" t="str">
            <v>C</v>
          </cell>
          <cell r="F3244">
            <v>45</v>
          </cell>
        </row>
        <row r="3245">
          <cell r="B3245">
            <v>4704</v>
          </cell>
          <cell r="C3245" t="str">
            <v>PEDRA ARDOSIA, CINZA, 20 X 40 CM, E= *1 CM</v>
          </cell>
          <cell r="D3245" t="str">
            <v>M2</v>
          </cell>
          <cell r="E3245" t="str">
            <v>CR</v>
          </cell>
          <cell r="F3245">
            <v>40.61</v>
          </cell>
        </row>
        <row r="3246">
          <cell r="B3246">
            <v>10730</v>
          </cell>
          <cell r="C3246" t="str">
            <v>PEDRA ARDOSIA, CINZA, 30 X 30, E= *1 CM</v>
          </cell>
          <cell r="D3246" t="str">
            <v>M2</v>
          </cell>
          <cell r="E3246" t="str">
            <v>CR</v>
          </cell>
          <cell r="F3246">
            <v>43.51</v>
          </cell>
        </row>
        <row r="3247">
          <cell r="B3247">
            <v>4720</v>
          </cell>
          <cell r="C3247" t="str">
            <v>PEDRA BRITADA N. 0, OU PEDRISCO (4,8 A 9,5 MM) POSTO PEDREIRA/FORNECEDOR, SEM FRETE</v>
          </cell>
          <cell r="D3247" t="str">
            <v>M3</v>
          </cell>
          <cell r="E3247" t="str">
            <v>CR</v>
          </cell>
          <cell r="F3247">
            <v>89.8</v>
          </cell>
        </row>
        <row r="3248">
          <cell r="B3248">
            <v>4721</v>
          </cell>
          <cell r="C3248" t="str">
            <v>PEDRA BRITADA N. 1 (9,5 A 19 MM) POSTO PEDREIRA/FORNECEDOR, SEM FRETE</v>
          </cell>
          <cell r="D3248" t="str">
            <v>M3</v>
          </cell>
          <cell r="E3248" t="str">
            <v>CR</v>
          </cell>
          <cell r="F3248">
            <v>77.78</v>
          </cell>
        </row>
        <row r="3249">
          <cell r="B3249">
            <v>4718</v>
          </cell>
          <cell r="C3249" t="str">
            <v>PEDRA BRITADA N. 2 (19 A 38 MM) POSTO PEDREIRA/FORNECEDOR, SEM FRETE</v>
          </cell>
          <cell r="D3249" t="str">
            <v>M3</v>
          </cell>
          <cell r="E3249" t="str">
            <v>C</v>
          </cell>
          <cell r="F3249">
            <v>78.19</v>
          </cell>
        </row>
        <row r="3250">
          <cell r="B3250">
            <v>4722</v>
          </cell>
          <cell r="C3250" t="str">
            <v>PEDRA BRITADA N. 3 (38 A 50 MM) POSTO PEDREIRA/FORNECEDOR, SEM FRETE</v>
          </cell>
          <cell r="D3250" t="str">
            <v>M3</v>
          </cell>
          <cell r="E3250" t="str">
            <v>CR</v>
          </cell>
          <cell r="F3250">
            <v>73.47</v>
          </cell>
        </row>
        <row r="3251">
          <cell r="B3251">
            <v>4730</v>
          </cell>
          <cell r="C3251" t="str">
            <v>PEDRA DE MAO OU PEDRA RACHAO PARA ARRIMO/FUNDACAO (POSTO PEDREIRA/FORNECEDOR, SEM FRETE)</v>
          </cell>
          <cell r="D3251" t="str">
            <v>M3</v>
          </cell>
          <cell r="E3251" t="str">
            <v>CR</v>
          </cell>
          <cell r="F3251">
            <v>73.11</v>
          </cell>
        </row>
        <row r="3252">
          <cell r="B3252">
            <v>13186</v>
          </cell>
          <cell r="C3252" t="str">
            <v>PEDRA GRANITICA OU BASALTICA IRREGULAR, FAIXA GRANULOMETRICA 100 A 150 MM PARA PAVIMENTACAO OU CALCAMENTO POLIEDRICO, POSTO PEDREIRA / FORNECEDOR (SEM FRETE)</v>
          </cell>
          <cell r="D3252" t="str">
            <v>M3</v>
          </cell>
          <cell r="E3252" t="str">
            <v>CR</v>
          </cell>
          <cell r="F3252">
            <v>84.35</v>
          </cell>
        </row>
        <row r="3253">
          <cell r="B3253">
            <v>10737</v>
          </cell>
          <cell r="C3253" t="str">
            <v>PEDRA GRANITICA OU BASALTO, CACO, RETALHO, CAVACO, TIPO MIRACEMA, MADEIRA, PADUANA, RACHINHA, SANTA ISABEL OU OUTRAS SIMILARES, E= *1,0 A *2,0 CM</v>
          </cell>
          <cell r="D3253" t="str">
            <v>M2</v>
          </cell>
          <cell r="E3253" t="str">
            <v>CR</v>
          </cell>
          <cell r="F3253">
            <v>141.41</v>
          </cell>
        </row>
        <row r="3254">
          <cell r="B3254">
            <v>10734</v>
          </cell>
          <cell r="C3254" t="str">
            <v>PEDRA GRANITICA, SERRADA, TIPO MIRACEMA, MADEIRA, PADUANA, RACHINHA, SANTA ISABEL OU OUTRAS SIMILARES, *11,5 X *23 CM, E= *1,0 A *2,0 CM</v>
          </cell>
          <cell r="D3254" t="str">
            <v>M2</v>
          </cell>
          <cell r="E3254" t="str">
            <v>CR</v>
          </cell>
          <cell r="F3254">
            <v>84.12</v>
          </cell>
        </row>
        <row r="3255">
          <cell r="B3255">
            <v>4708</v>
          </cell>
          <cell r="C3255" t="str">
            <v>PEDRA PORTUGUESA OU PETIT PAVE, BRANCA OU PRETA</v>
          </cell>
          <cell r="D3255" t="str">
            <v>M2</v>
          </cell>
          <cell r="E3255" t="str">
            <v>CR</v>
          </cell>
          <cell r="F3255">
            <v>163.16999999999999</v>
          </cell>
        </row>
        <row r="3256">
          <cell r="B3256">
            <v>4712</v>
          </cell>
          <cell r="C3256" t="str">
            <v>PEDRA QUARTZITO OU CALCARIO LAMINADO, CACO, TIPO CARIRI, ITACOLOMI, LAGOA SANTA, LUMINARIA, PIRENOPOLIS, SAO TOME OU OUTRAS SIMILARES DA REGIAO, E= *1,5 A *2,5 CM</v>
          </cell>
          <cell r="D3256" t="str">
            <v>M2</v>
          </cell>
          <cell r="E3256" t="str">
            <v>CR</v>
          </cell>
          <cell r="F3256">
            <v>79.77</v>
          </cell>
        </row>
        <row r="3257">
          <cell r="B3257">
            <v>4710</v>
          </cell>
          <cell r="C3257" t="str">
            <v>PEDRA QUARTZITO OU CALCARIO LAMINADO, SERRADA, TIPO CARIRI, ITACOLOMI, LAGOA SANTA, LUMINARIA, PIRENOPOLIS, SAO TOME OU OUTRAS SIMILARES DA REGIAO, *20 X *40 CM, E= *1,5 A *2,5 CM</v>
          </cell>
          <cell r="D3257" t="str">
            <v>M2</v>
          </cell>
          <cell r="E3257" t="str">
            <v>CR</v>
          </cell>
          <cell r="F3257">
            <v>255.82</v>
          </cell>
        </row>
        <row r="3258">
          <cell r="B3258">
            <v>4750</v>
          </cell>
          <cell r="C3258" t="str">
            <v>PEDREIRO (HORISTA)</v>
          </cell>
          <cell r="D3258" t="str">
            <v>H</v>
          </cell>
          <cell r="E3258" t="str">
            <v>C</v>
          </cell>
          <cell r="F3258">
            <v>26.03</v>
          </cell>
        </row>
        <row r="3259">
          <cell r="B3259">
            <v>41065</v>
          </cell>
          <cell r="C3259" t="str">
            <v>PEDREIRO (MENSALISTA)</v>
          </cell>
          <cell r="D3259" t="str">
            <v>MES</v>
          </cell>
          <cell r="E3259" t="str">
            <v>CR</v>
          </cell>
          <cell r="F3259">
            <v>4560.57</v>
          </cell>
        </row>
        <row r="3260">
          <cell r="B3260">
            <v>34747</v>
          </cell>
          <cell r="C3260" t="str">
            <v>PEITORIL EM MARMORE, POLIDO, BRANCO COMUM, L= *15* CM, E= *2,0* CM, COM PINGADEIRA</v>
          </cell>
          <cell r="D3260" t="str">
            <v>M</v>
          </cell>
          <cell r="E3260" t="str">
            <v>CR</v>
          </cell>
          <cell r="F3260">
            <v>126.18</v>
          </cell>
        </row>
        <row r="3261">
          <cell r="B3261">
            <v>4826</v>
          </cell>
          <cell r="C3261" t="str">
            <v>PEITORIL EM MARMORE, POLIDO, BRANCO COMUM, L= *15* CM, E= *3* CM, CORTE RETO</v>
          </cell>
          <cell r="D3261" t="str">
            <v>M</v>
          </cell>
          <cell r="E3261" t="str">
            <v>CR</v>
          </cell>
          <cell r="F3261">
            <v>135.68</v>
          </cell>
        </row>
        <row r="3262">
          <cell r="B3262">
            <v>41975</v>
          </cell>
          <cell r="C3262" t="str">
            <v>PEITORIL PRE-MOLDADO EM GRANILITE, MARMORITE OU GRANITINA, L = *15* CM</v>
          </cell>
          <cell r="D3262" t="str">
            <v>M2</v>
          </cell>
          <cell r="E3262" t="str">
            <v>CR</v>
          </cell>
          <cell r="F3262">
            <v>103.04</v>
          </cell>
        </row>
        <row r="3263">
          <cell r="B3263">
            <v>4825</v>
          </cell>
          <cell r="C3263" t="str">
            <v>PEITORIL/ SOLEIRA EM MARMORE, POLIDO, BRANCO COMUM, L= *25* CM, E= *3* CM, CORTE RETO</v>
          </cell>
          <cell r="D3263" t="str">
            <v>M</v>
          </cell>
          <cell r="E3263" t="str">
            <v>CR</v>
          </cell>
          <cell r="F3263">
            <v>187.81</v>
          </cell>
        </row>
        <row r="3264">
          <cell r="B3264">
            <v>34744</v>
          </cell>
          <cell r="C3264" t="str">
            <v>PELICULA REFLETIVA, GT 7 ANOS PARA SINALIZACAO VERTICAL</v>
          </cell>
          <cell r="D3264" t="str">
            <v>M2</v>
          </cell>
          <cell r="E3264" t="str">
            <v>CR</v>
          </cell>
          <cell r="F3264">
            <v>37.200000000000003</v>
          </cell>
        </row>
        <row r="3265">
          <cell r="B3265">
            <v>39430</v>
          </cell>
          <cell r="C3265" t="str">
            <v>PENDURAL OU PRESILHA REGULADORA, EM ACO GALVANIZADO, COM CORPO, MOLA E REBITE, PARA PERFIL TIPO CANALETA DE ESTRUTURA EM FORROS DRYWALL</v>
          </cell>
          <cell r="D3265" t="str">
            <v>UN</v>
          </cell>
          <cell r="E3265" t="str">
            <v>CR</v>
          </cell>
          <cell r="F3265">
            <v>1.64</v>
          </cell>
        </row>
        <row r="3266">
          <cell r="B3266">
            <v>39573</v>
          </cell>
          <cell r="C3266" t="str">
            <v>PENDURAL OU REGULADOR, COM MOLA, EM ACO GALVANIZADO, PARA PERFIL TIPO T CLICADO DE FORROS REMOVIVEL</v>
          </cell>
          <cell r="D3266" t="str">
            <v>UN</v>
          </cell>
          <cell r="E3266" t="str">
            <v>CR</v>
          </cell>
          <cell r="F3266">
            <v>1.61</v>
          </cell>
        </row>
        <row r="3267">
          <cell r="B3267">
            <v>38410</v>
          </cell>
          <cell r="C3267" t="str">
            <v>PENEIRA ROTATIVA COM MOTOR ELETRICO TRIFASICO DE 2 CV, CILINDRO DE 1 M X 0,60 M, COM FUROS DE 3,17 MM</v>
          </cell>
          <cell r="D3267" t="str">
            <v>UN</v>
          </cell>
          <cell r="E3267" t="str">
            <v>CR</v>
          </cell>
          <cell r="F3267">
            <v>15844.59</v>
          </cell>
        </row>
        <row r="3268">
          <cell r="B3268">
            <v>43082</v>
          </cell>
          <cell r="C3268" t="str">
            <v>PERFIL "I" OU "W" EM ACO LAMINADO, QUAISQUER DIMENSOES</v>
          </cell>
          <cell r="D3268" t="str">
            <v>KG</v>
          </cell>
          <cell r="E3268" t="str">
            <v>C</v>
          </cell>
          <cell r="F3268">
            <v>10</v>
          </cell>
        </row>
        <row r="3269">
          <cell r="B3269">
            <v>43083</v>
          </cell>
          <cell r="C3269" t="str">
            <v>PERFIL "U" ENRIJECIDO, EM CHAPA DOBRADA DE ACO LAMINADO, E = 3,75 MM, H = 200 MM, L = 75 MM (9,94 KG/M)</v>
          </cell>
          <cell r="D3269" t="str">
            <v>KG</v>
          </cell>
          <cell r="E3269" t="str">
            <v>CR</v>
          </cell>
          <cell r="F3269">
            <v>8.66</v>
          </cell>
        </row>
        <row r="3270">
          <cell r="B3270">
            <v>40535</v>
          </cell>
          <cell r="C3270" t="str">
            <v>PERFIL "U" SIMPLES, EM CHAPA DOBRADA DE ACO LAMINADO, E = 2,65 MM, H = 75 MM, L = 40 MM (3,04 KG/M)</v>
          </cell>
          <cell r="D3270" t="str">
            <v>KG</v>
          </cell>
          <cell r="E3270" t="str">
            <v>CR</v>
          </cell>
          <cell r="F3270">
            <v>8.66</v>
          </cell>
        </row>
        <row r="3271">
          <cell r="B3271">
            <v>40598</v>
          </cell>
          <cell r="C3271" t="str">
            <v>PERFIL "U" SIMPLES, EM CHAPA DOBRADA DE ACO LAMINADO, E = 3 MM, H = 125 MM, L = 50 MM (5,07 KG/M)</v>
          </cell>
          <cell r="D3271" t="str">
            <v>KG</v>
          </cell>
          <cell r="E3271" t="str">
            <v>CR</v>
          </cell>
          <cell r="F3271">
            <v>8.4499999999999993</v>
          </cell>
        </row>
        <row r="3272">
          <cell r="B3272">
            <v>43692</v>
          </cell>
          <cell r="C3272" t="str">
            <v>PERFIL "U" SIMPLES, EM CHAPA DOBRADA DE ACO LAMINADO, E = 3 MM, H = 200 MM, L = 50 MM (6,83 KG/M)</v>
          </cell>
          <cell r="D3272" t="str">
            <v>KG</v>
          </cell>
          <cell r="E3272" t="str">
            <v>CR</v>
          </cell>
          <cell r="F3272">
            <v>9.1199999999999992</v>
          </cell>
        </row>
        <row r="3273">
          <cell r="B3273">
            <v>43665</v>
          </cell>
          <cell r="C3273" t="str">
            <v>PERFIL "U" SIMPLES, EM CHAPA DOBRADA DE ACO LAMINADO, E = 4,75 MM, H = 100 MM, L = 75 MM (8,74 KG/M)</v>
          </cell>
          <cell r="D3273" t="str">
            <v>KG</v>
          </cell>
          <cell r="E3273" t="str">
            <v>CR</v>
          </cell>
          <cell r="F3273">
            <v>8.59</v>
          </cell>
        </row>
        <row r="3274">
          <cell r="B3274">
            <v>10966</v>
          </cell>
          <cell r="C3274" t="str">
            <v>PERFIL "U" SIMPLES, EM CHAPA DOBRADA DE ACO LAMINADO, E = 8 MM, H = 150 MM, L = 75 MM (16,97 KG/M)</v>
          </cell>
          <cell r="D3274" t="str">
            <v>KG</v>
          </cell>
          <cell r="E3274" t="str">
            <v>CR</v>
          </cell>
          <cell r="F3274">
            <v>9.1199999999999992</v>
          </cell>
        </row>
        <row r="3275">
          <cell r="B3275">
            <v>39427</v>
          </cell>
          <cell r="C3275" t="str">
            <v>PERFIL CANALETA, FORMATO C, EM ACO ZINCADO, PARA ESTRUTURA FORRO DRYWALL, E = 0,5 MM, *46 X 18* (L X H), COMPRIMENTO 3 M</v>
          </cell>
          <cell r="D3275" t="str">
            <v>M</v>
          </cell>
          <cell r="E3275" t="str">
            <v>CR</v>
          </cell>
          <cell r="F3275">
            <v>4.3499999999999996</v>
          </cell>
        </row>
        <row r="3276">
          <cell r="B3276">
            <v>39424</v>
          </cell>
          <cell r="C3276" t="str">
            <v>PERFIL CANTONEIRA L, LISA, EM ACO, 25 X 30 MM, E = 0,5 MM, PARA ESTRUTURA DRYWALL</v>
          </cell>
          <cell r="D3276" t="str">
            <v>M</v>
          </cell>
          <cell r="E3276" t="str">
            <v>CR</v>
          </cell>
          <cell r="F3276">
            <v>2.59</v>
          </cell>
        </row>
        <row r="3277">
          <cell r="B3277">
            <v>39425</v>
          </cell>
          <cell r="C3277" t="str">
            <v>PERFIL CANTONEIRA L, PERFURADA, EM ACO, 23 X 23 MM, E = 0,5 MM, PARA ESTRUTURA DRYWALL</v>
          </cell>
          <cell r="D3277" t="str">
            <v>M</v>
          </cell>
          <cell r="E3277" t="str">
            <v>CR</v>
          </cell>
          <cell r="F3277">
            <v>2.5499999999999998</v>
          </cell>
        </row>
        <row r="3278">
          <cell r="B3278">
            <v>40664</v>
          </cell>
          <cell r="C3278" t="str">
            <v>PERFIL CARTOLA DE ACO GALVANIZADO, *20 X 30 X 10* MM, E = 0,8 MM</v>
          </cell>
          <cell r="D3278" t="str">
            <v>KG</v>
          </cell>
          <cell r="E3278" t="str">
            <v>CR</v>
          </cell>
          <cell r="F3278">
            <v>17.77</v>
          </cell>
        </row>
        <row r="3279">
          <cell r="B3279">
            <v>34360</v>
          </cell>
          <cell r="C3279" t="str">
            <v>PERFIL DE ALUMINIO ANODIZADO</v>
          </cell>
          <cell r="D3279" t="str">
            <v>KG</v>
          </cell>
          <cell r="E3279" t="str">
            <v>CR</v>
          </cell>
          <cell r="F3279">
            <v>43.16</v>
          </cell>
        </row>
        <row r="3280">
          <cell r="B3280">
            <v>20259</v>
          </cell>
          <cell r="C3280" t="str">
            <v>PERFIL DE BORRACHA EPDM MACICO *12 X 15* MM PARA ESQUADRIAS</v>
          </cell>
          <cell r="D3280" t="str">
            <v>M</v>
          </cell>
          <cell r="E3280" t="str">
            <v>CR</v>
          </cell>
          <cell r="F3280">
            <v>13.6</v>
          </cell>
        </row>
        <row r="3281">
          <cell r="B3281">
            <v>14077</v>
          </cell>
          <cell r="C3281" t="str">
            <v>PERFIL ELASTOMERICO PRE-FORMADO EM EPMD, PARA JUNTA DE DILATACAO DE PISOS COM POUCA SOLICITACAO, 15 MM DE LARGURA, MOVIMENTACAO DE *11 A 19* MM</v>
          </cell>
          <cell r="D3281" t="str">
            <v>M</v>
          </cell>
          <cell r="E3281" t="str">
            <v>CR</v>
          </cell>
          <cell r="F3281">
            <v>208.16</v>
          </cell>
        </row>
        <row r="3282">
          <cell r="B3282">
            <v>3678</v>
          </cell>
          <cell r="C3282" t="str">
            <v>PERFIL ELASTOMERICO PRE-FORMADO EM EPMD, PARA JUNTA DE DILATACAO DE USO GERAL EM MEDIAS SOLICITACOES, 8 MM DE LARGURA, MOVIMENTACAO DE *5 A 11* MM</v>
          </cell>
          <cell r="D3282" t="str">
            <v>M</v>
          </cell>
          <cell r="E3282" t="str">
            <v>CR</v>
          </cell>
          <cell r="F3282">
            <v>94.08</v>
          </cell>
        </row>
        <row r="3283">
          <cell r="B3283">
            <v>11552</v>
          </cell>
          <cell r="C3283" t="str">
            <v>PERFIL EM ALUMINIO, FORMATO U, ABAS IGUAIS, LARGURA DE 12,70 MM (1/2 POL), ESPESSURA 1,58 MM (1/16 POL) E PESO LINEAR DE APROXIMADAMENTE 0,149 KG/M</v>
          </cell>
          <cell r="D3283" t="str">
            <v>M</v>
          </cell>
          <cell r="E3283" t="str">
            <v>CR</v>
          </cell>
          <cell r="F3283">
            <v>7.16</v>
          </cell>
        </row>
        <row r="3284">
          <cell r="B3284">
            <v>585</v>
          </cell>
          <cell r="C3284" t="str">
            <v>PERFIL EM ALUMINIO, FORMATO U, ABAS IGUAIS, LARGURA DE 25,4 MM (1"), ESPESSURA DE 2,38 MM (3/32") E PESO LINEAR DE APROXIMADAMENTE 0,460 KG/M</v>
          </cell>
          <cell r="D3284" t="str">
            <v>KG</v>
          </cell>
          <cell r="E3284" t="str">
            <v>CR</v>
          </cell>
          <cell r="F3284">
            <v>34.53</v>
          </cell>
        </row>
        <row r="3285">
          <cell r="B3285">
            <v>39418</v>
          </cell>
          <cell r="C3285" t="str">
            <v>PERFIL GUIA, FORMATO U, EM ACO ZINCADO, PARA ESTRUTURA PAREDE DRYWALL, E = 0,5 MM, 48 X 3000 MM (L X C)</v>
          </cell>
          <cell r="D3285" t="str">
            <v>M</v>
          </cell>
          <cell r="E3285" t="str">
            <v>CR</v>
          </cell>
          <cell r="F3285">
            <v>4.8499999999999996</v>
          </cell>
        </row>
        <row r="3286">
          <cell r="B3286">
            <v>39419</v>
          </cell>
          <cell r="C3286" t="str">
            <v>PERFIL GUIA, FORMATO U, EM ACO ZINCADO, PARA ESTRUTURA PAREDE DRYWALL, E = 0,5 MM, 70 X 3000 MM (L X C)</v>
          </cell>
          <cell r="D3286" t="str">
            <v>M</v>
          </cell>
          <cell r="E3286" t="str">
            <v>CR</v>
          </cell>
          <cell r="F3286">
            <v>5.91</v>
          </cell>
        </row>
        <row r="3287">
          <cell r="B3287">
            <v>39420</v>
          </cell>
          <cell r="C3287" t="str">
            <v>PERFIL GUIA, FORMATO U, EM ACO ZINCADO, PARA ESTRUTURA PAREDE DRYWALL, E = 0,5 MM, 90 X 3000 MM (L X C)</v>
          </cell>
          <cell r="D3287" t="str">
            <v>M</v>
          </cell>
          <cell r="E3287" t="str">
            <v>CR</v>
          </cell>
          <cell r="F3287">
            <v>6.53</v>
          </cell>
        </row>
        <row r="3288">
          <cell r="B3288">
            <v>39571</v>
          </cell>
          <cell r="C3288" t="str">
            <v>PERFIL LONGARINA (PRINCIPAL), T CLICADO, EM ACO, BRANCO NAS FACES APARENTES, PARA FORRO REMOVIVEL, 24 X 32 X 3750 MM (L X H X C</v>
          </cell>
          <cell r="D3288" t="str">
            <v>M</v>
          </cell>
          <cell r="E3288" t="str">
            <v>CR</v>
          </cell>
          <cell r="F3288">
            <v>3.94</v>
          </cell>
        </row>
        <row r="3289">
          <cell r="B3289">
            <v>39421</v>
          </cell>
          <cell r="C3289" t="str">
            <v>PERFIL MONTANTE, FORMATO C, EM ACO ZINCADO, PARA ESTRUTURA PAREDE DRYWALL, E = 0,5 MM, 48 X 3000 MM (L X C)</v>
          </cell>
          <cell r="D3289" t="str">
            <v>M</v>
          </cell>
          <cell r="E3289" t="str">
            <v>CR</v>
          </cell>
          <cell r="F3289">
            <v>5.74</v>
          </cell>
        </row>
        <row r="3290">
          <cell r="B3290">
            <v>39422</v>
          </cell>
          <cell r="C3290" t="str">
            <v>PERFIL MONTANTE, FORMATO C, EM ACO ZINCADO, PARA ESTRUTURA PAREDE DRYWALL, E = 0,5 MM, 70 X 3000 MM (L X C)</v>
          </cell>
          <cell r="D3290" t="str">
            <v>M</v>
          </cell>
          <cell r="E3290" t="str">
            <v>C</v>
          </cell>
          <cell r="F3290">
            <v>6.71</v>
          </cell>
        </row>
        <row r="3291">
          <cell r="B3291">
            <v>39423</v>
          </cell>
          <cell r="C3291" t="str">
            <v>PERFIL MONTANTE, FORMATO C, EM ACO ZINCADO, PARA ESTRUTURA PAREDE DRYWALL, E = 0,5 MM, 90 X 3000 MM (L X C)</v>
          </cell>
          <cell r="D3291" t="str">
            <v>M</v>
          </cell>
          <cell r="E3291" t="str">
            <v>CR</v>
          </cell>
          <cell r="F3291">
            <v>7.79</v>
          </cell>
        </row>
        <row r="3292">
          <cell r="B3292">
            <v>39426</v>
          </cell>
          <cell r="C3292" t="str">
            <v>PERFIL RODAPE DE IMPERMEABILIZACAO, FORMATO L, EM ACO ZINCADO, PARA ESTRUTURA DRYWALL, E = 0,5 MM, 220 X 3000 MM (H X C)</v>
          </cell>
          <cell r="D3292" t="str">
            <v>M</v>
          </cell>
          <cell r="E3292" t="str">
            <v>CR</v>
          </cell>
          <cell r="F3292">
            <v>17.510000000000002</v>
          </cell>
        </row>
        <row r="3293">
          <cell r="B3293">
            <v>39429</v>
          </cell>
          <cell r="C3293" t="str">
            <v>PERFIL TABICA ABERTA, PERFURADA, FORMATO Z, EM ACO GALVANIZADO NATURAL, LARGURA APROXIMADA 40 MM, PARA ESTRUTURA FORRO DRYWALL</v>
          </cell>
          <cell r="D3293" t="str">
            <v>M</v>
          </cell>
          <cell r="E3293" t="str">
            <v>CR</v>
          </cell>
          <cell r="F3293">
            <v>5.52</v>
          </cell>
        </row>
        <row r="3294">
          <cell r="B3294">
            <v>39428</v>
          </cell>
          <cell r="C3294" t="str">
            <v>PERFIL TABICA FECHADA, LISA, FORMATO Z, EM ACO GALVANIZADO NATURAL, LARGURA TOTAL NA HORIZONTAL *40* MM, PARA ESTRUTURA FORRO DRYWALL</v>
          </cell>
          <cell r="D3294" t="str">
            <v>M</v>
          </cell>
          <cell r="E3294" t="str">
            <v>CR</v>
          </cell>
          <cell r="F3294">
            <v>4.22</v>
          </cell>
        </row>
        <row r="3295">
          <cell r="B3295">
            <v>39572</v>
          </cell>
          <cell r="C3295" t="str">
            <v>PERFIL TIPO CANTONEIRA EM L, EM ACO GALVANIZADO, BRANCO, PARA FORRO REMOVIVEL, *23* X 3000 MM (L X C)</v>
          </cell>
          <cell r="D3295" t="str">
            <v>M</v>
          </cell>
          <cell r="E3295" t="str">
            <v>CR</v>
          </cell>
          <cell r="F3295">
            <v>3.65</v>
          </cell>
        </row>
        <row r="3296">
          <cell r="B3296">
            <v>39570</v>
          </cell>
          <cell r="C3296" t="str">
            <v>PERFIL TRAVESSA (SECUNDARIO), T CLICADO, EM ACO GALVANIZADO, BRANCO, PARA FORRO REMOVIVEL, 24 X 1250 MM (L X C)</v>
          </cell>
          <cell r="D3296" t="str">
            <v>M</v>
          </cell>
          <cell r="E3296" t="str">
            <v>CR</v>
          </cell>
          <cell r="F3296">
            <v>3.87</v>
          </cell>
        </row>
        <row r="3297">
          <cell r="B3297">
            <v>39569</v>
          </cell>
          <cell r="C3297" t="str">
            <v>PERFIL TRAVESSA (SECUNDARIO), T CLICADO, EM ACO GALVANIZADO, BRANCO, PARA FORRO REMOVIVEL, 24 X 625 MM (L X C)</v>
          </cell>
          <cell r="D3297" t="str">
            <v>M</v>
          </cell>
          <cell r="E3297" t="str">
            <v>CR</v>
          </cell>
          <cell r="F3297">
            <v>3.83</v>
          </cell>
        </row>
        <row r="3298">
          <cell r="B3298">
            <v>39328</v>
          </cell>
          <cell r="C3298" t="str">
            <v>PERFILADO PERFURADO 19 X 38 MM, CHAPA 22</v>
          </cell>
          <cell r="D3298" t="str">
            <v>M</v>
          </cell>
          <cell r="E3298" t="str">
            <v>CR</v>
          </cell>
          <cell r="F3298">
            <v>3.96</v>
          </cell>
        </row>
        <row r="3299">
          <cell r="B3299">
            <v>39029</v>
          </cell>
          <cell r="C3299" t="str">
            <v>PERFILADO PERFURADO DUPLO 38 X 76 MM, CHAPA 22</v>
          </cell>
          <cell r="D3299" t="str">
            <v>M</v>
          </cell>
          <cell r="E3299" t="str">
            <v>CR</v>
          </cell>
          <cell r="F3299">
            <v>12.36</v>
          </cell>
        </row>
        <row r="3300">
          <cell r="B3300">
            <v>39028</v>
          </cell>
          <cell r="C3300" t="str">
            <v>PERFILADO PERFURADO SIMPLES 38 X 38 MM, CHAPA 22</v>
          </cell>
          <cell r="D3300" t="str">
            <v>M</v>
          </cell>
          <cell r="E3300" t="str">
            <v>CR</v>
          </cell>
          <cell r="F3300">
            <v>7.2</v>
          </cell>
        </row>
        <row r="3301">
          <cell r="B3301">
            <v>38541</v>
          </cell>
          <cell r="C3301" t="str">
            <v>PERFURATRIZ COM TORRE METALICA PARA EXECUCAO DE ESTACA HELICE CONTINUA, PROFUNDIDADE MAXIMA DE 30 M, DIAMETRO MAXIMO DE 800 MM, POTENCIA INSTALADA DE 268 HP, MESA ROTATIVA COM TORQUE MAXIMO DE 170 KNM</v>
          </cell>
          <cell r="D3301" t="str">
            <v>UN</v>
          </cell>
          <cell r="E3301" t="str">
            <v>CR</v>
          </cell>
          <cell r="F3301">
            <v>4580464.04</v>
          </cell>
        </row>
        <row r="3302">
          <cell r="B3302">
            <v>38542</v>
          </cell>
          <cell r="C3302" t="str">
            <v>PERFURATRIZ COM TORRE METALICA PARA EXECUCAO DE ESTACA HELICE CONTINUA, PROFUNDIDADE MAXIMA DE 32 M, DIAMETRO MAXIMO DE 1000 MM, POTENCIA INSTALADA DE 350 HP, MESA ROTATIVA COM TORQUE MAXIMO DE 263 KNM</v>
          </cell>
          <cell r="D3302" t="str">
            <v>UN</v>
          </cell>
          <cell r="E3302" t="str">
            <v>CR</v>
          </cell>
          <cell r="F3302">
            <v>7023378.2199999997</v>
          </cell>
        </row>
        <row r="3303">
          <cell r="B3303">
            <v>45080</v>
          </cell>
          <cell r="C3303" t="str">
            <v>PERFURATRIZ DE COROA DIAMANTADA PARA CONCRETO, DIAMETRO ATE 250 MM, MOTOR ELETRICO 220 V, POTENCIA 2.500W</v>
          </cell>
          <cell r="D3303" t="str">
            <v>UN</v>
          </cell>
          <cell r="E3303" t="str">
            <v>CR</v>
          </cell>
          <cell r="F3303">
            <v>15210.4</v>
          </cell>
        </row>
        <row r="3304">
          <cell r="B3304">
            <v>38543</v>
          </cell>
          <cell r="C3304" t="str">
            <v>PERFURATRIZ HIDRAULICA COM TRADO CURTO ACOPLADO, PROFUNDIDADE MAXIMA DE 20 M, DIAMETRO MAXIMO DE 1500 MM, POTENCIA INSTALADA DE 137 HP, MESA ROTATIVA COM TORQUE MAXIMO DE 30 KNM (INCLUI MONTAGEM, NAO INCLUI CAMINHAO)</v>
          </cell>
          <cell r="D3304" t="str">
            <v>UN</v>
          </cell>
          <cell r="E3304" t="str">
            <v>CR</v>
          </cell>
          <cell r="F3304">
            <v>1430128.52</v>
          </cell>
        </row>
        <row r="3305">
          <cell r="B3305">
            <v>44002</v>
          </cell>
          <cell r="C3305" t="str">
            <v>PERFURATRIZ HIDRAULICA SOBRE ESTEIRA, TORQUE MAXIMO 161 KNM, PROFUNDIDADE MAXIMA 54 M, DIAMETRO MAXIMO 1500 MM, POTENCIA MOTOR 268 HP</v>
          </cell>
          <cell r="D3305" t="str">
            <v>UN</v>
          </cell>
          <cell r="E3305" t="str">
            <v>CR</v>
          </cell>
          <cell r="F3305">
            <v>6680046.96</v>
          </cell>
        </row>
        <row r="3306">
          <cell r="B3306">
            <v>43886</v>
          </cell>
          <cell r="C3306" t="str">
            <v>PERFURATRIZ HIDRAULICA SOBRE ESTEIRA, TORQUE MAXIMO 98 KNM, PROFUNDIDADE MAXIMA 25 M, DIAMETRO MAXIMO 115 MM, POTENCIA MOTOR 190 HP</v>
          </cell>
          <cell r="D3306" t="str">
            <v>UN</v>
          </cell>
          <cell r="E3306" t="str">
            <v>CR</v>
          </cell>
          <cell r="F3306">
            <v>3241953.69</v>
          </cell>
        </row>
        <row r="3307">
          <cell r="B3307">
            <v>40791</v>
          </cell>
          <cell r="C3307" t="str">
            <v>PERFURATRIZ MANUAL, TORQUE MAXIMO 83 N.M, POTENCIA 5 CV, COM DIAMETRO MAXIMO 4", PARA SOLO GRAMPEADO (INCLUI SUPORTE OU CHASSI TIPO MESA)</v>
          </cell>
          <cell r="D3307" t="str">
            <v>UN</v>
          </cell>
          <cell r="E3307" t="str">
            <v>CR</v>
          </cell>
          <cell r="F3307">
            <v>38893.800000000003</v>
          </cell>
        </row>
        <row r="3308">
          <cell r="B3308">
            <v>44003</v>
          </cell>
          <cell r="C3308" t="str">
            <v>PERFURATRIZ PARA EXECUCAO DE ESTACAS SECANTES, TIPO HELICE CONTINUA COM CABECOTE DUPLO E TUBO METALICO 300 KW</v>
          </cell>
          <cell r="D3308" t="str">
            <v>UN</v>
          </cell>
          <cell r="E3308" t="str">
            <v>CR</v>
          </cell>
          <cell r="F3308">
            <v>9283073.8499999996</v>
          </cell>
        </row>
        <row r="3309">
          <cell r="B3309">
            <v>44548</v>
          </cell>
          <cell r="C3309" t="str">
            <v>PERFURATRIZ PARA FURO DIRECIONAL HORIZONTAL (HDD) COM CAPACIDADE ATE 89 KN, POTENCIA 24,8 HP A 80 HP (INCLUSO FERRAMENTAS E LOCALIZADOR), PARA REDE SUBTERRANEA</v>
          </cell>
          <cell r="D3309" t="str">
            <v>UN</v>
          </cell>
          <cell r="E3309" t="str">
            <v>CR</v>
          </cell>
          <cell r="F3309">
            <v>2838981.81</v>
          </cell>
        </row>
        <row r="3310">
          <cell r="B3310">
            <v>44550</v>
          </cell>
          <cell r="C3310" t="str">
            <v>PERFURATRIZ PARA FURO DIRECIONAL HORIZONTAL (HDD) COM CAPACIDADE DE 201 KN A 560 KN, POTENCIA 200 HP A 260 HP (INCLUSO FERRAMENTAS E LOCALIZADOR), PARA REDE SUBTERRANEA</v>
          </cell>
          <cell r="D3310" t="str">
            <v>UN</v>
          </cell>
          <cell r="E3310" t="str">
            <v>CR</v>
          </cell>
          <cell r="F3310">
            <v>8906865.0399999991</v>
          </cell>
        </row>
        <row r="3311">
          <cell r="B3311">
            <v>44549</v>
          </cell>
          <cell r="C3311" t="str">
            <v>PERFURATRIZ PARA FURO DIRECIONAL HORIZONTAL (HDD) COM CAPACIDADE DE 90 KN A 200 KN, POTENCIA 100 HP A 160 HP (INCLUSO FERRAMENTAS E LOCALIZADOR), PARA REDE SUBTERRANEA</v>
          </cell>
          <cell r="D3311" t="str">
            <v>UN</v>
          </cell>
          <cell r="E3311" t="str">
            <v>CR</v>
          </cell>
          <cell r="F3311">
            <v>6513145.0800000001</v>
          </cell>
        </row>
        <row r="3312">
          <cell r="B3312">
            <v>41982</v>
          </cell>
          <cell r="C3312" t="str">
            <v>PERFURATRIZ ROTATIVA SOBRE ESTEIRA, TORQUE MAXIMO 2500 KGM, POTENCIA 110 HP, MOTOR DIESEL</v>
          </cell>
          <cell r="D3312" t="str">
            <v>UN</v>
          </cell>
          <cell r="E3312" t="str">
            <v>CR</v>
          </cell>
          <cell r="F3312">
            <v>1730397.49</v>
          </cell>
        </row>
        <row r="3313">
          <cell r="B3313">
            <v>39012</v>
          </cell>
          <cell r="C3313" t="str">
            <v>PERFURATRIZ SOBRE ESTEIRA, TORQUE MAXIMO 600 KGF, PESO MEDIO 1000 KG, POTENCIA 20 HP, DIAMETRO MAXIMO 10"</v>
          </cell>
          <cell r="D3313" t="str">
            <v>UN</v>
          </cell>
          <cell r="E3313" t="str">
            <v>CR</v>
          </cell>
          <cell r="F3313">
            <v>1015336.2</v>
          </cell>
        </row>
        <row r="3314">
          <cell r="B3314">
            <v>40435</v>
          </cell>
          <cell r="C3314" t="str">
            <v>PERFURATRIZ SOBRE ESTEIRA, TORQUE MAXIMO DE 600 KGF, POTENCIA ENTRE 50 E 60 HP, DIAMETRO MAXIMO DE 10"</v>
          </cell>
          <cell r="D3314" t="str">
            <v>UN</v>
          </cell>
          <cell r="E3314" t="str">
            <v>CR</v>
          </cell>
          <cell r="F3314">
            <v>1025266.63</v>
          </cell>
        </row>
        <row r="3315">
          <cell r="B3315">
            <v>45265</v>
          </cell>
          <cell r="C3315" t="str">
            <v>PERNEIRA DE RASPA COM VELCRO</v>
          </cell>
          <cell r="D3315" t="str">
            <v>PAR</v>
          </cell>
          <cell r="E3315" t="str">
            <v>CR</v>
          </cell>
          <cell r="F3315">
            <v>36.32</v>
          </cell>
        </row>
        <row r="3316">
          <cell r="B3316">
            <v>13617</v>
          </cell>
          <cell r="C3316" t="str">
            <v>PICAPE CABINE SIMPLES COM MOTOR 1.6 FLEX, CAMBIO MANUAL, POTENCIA 101/104 CV, 2 PORTAS</v>
          </cell>
          <cell r="D3316" t="str">
            <v>UN</v>
          </cell>
          <cell r="E3316" t="str">
            <v>CR</v>
          </cell>
          <cell r="F3316">
            <v>106459.43</v>
          </cell>
        </row>
        <row r="3317">
          <cell r="B3317">
            <v>35274</v>
          </cell>
          <cell r="C3317" t="str">
            <v>PILAR QUADRADO NAO APARELHADO *10 X 10* CM, EM MACARANDUBA/MASSARANDUBA, ANGELIM OU EQUIVALENTE DA REGIAO - BRUTA</v>
          </cell>
          <cell r="D3317" t="str">
            <v>M</v>
          </cell>
          <cell r="E3317" t="str">
            <v>CR</v>
          </cell>
          <cell r="F3317">
            <v>63.41</v>
          </cell>
        </row>
        <row r="3318">
          <cell r="B3318">
            <v>35275</v>
          </cell>
          <cell r="C3318" t="str">
            <v>PILAR QUADRADO NAO APARELHADO *15 X 15* CM, EM MACARANDUBA/MASSARANDUBA, ANGELIM OU EQUIVALENTE DA REGIAO - BRUTA</v>
          </cell>
          <cell r="D3318" t="str">
            <v>M</v>
          </cell>
          <cell r="E3318" t="str">
            <v>CR</v>
          </cell>
          <cell r="F3318">
            <v>134.59</v>
          </cell>
        </row>
        <row r="3319">
          <cell r="B3319">
            <v>35276</v>
          </cell>
          <cell r="C3319" t="str">
            <v>PILAR QUADRADO NAO APARELHADO *20 X 20* CM, EM MACARANDUBA/MASSARANDUBA, ANGELIM OU EQUIVALENTE DA REGIAO - BRUTA</v>
          </cell>
          <cell r="D3319" t="str">
            <v>M</v>
          </cell>
          <cell r="E3319" t="str">
            <v>CR</v>
          </cell>
          <cell r="F3319">
            <v>234.18</v>
          </cell>
        </row>
        <row r="3320">
          <cell r="B3320">
            <v>11091</v>
          </cell>
          <cell r="C3320" t="str">
            <v>PINGADEIRA PLASTICA PARA TELHA DE FIBROCIMENTO CANALETE 49/KALHETA OU CANALETE 90/KALHETAO</v>
          </cell>
          <cell r="D3320" t="str">
            <v>UN</v>
          </cell>
          <cell r="E3320" t="str">
            <v>CR</v>
          </cell>
          <cell r="F3320">
            <v>1.67</v>
          </cell>
        </row>
        <row r="3321">
          <cell r="B3321">
            <v>37586</v>
          </cell>
          <cell r="C3321" t="str">
            <v>PINO DE ACO COM ARRUELA CONICA, DIAMETRO ARRUELA = *23* MM E COMP HASTE = *27* MM (ACAO INDIRETA)</v>
          </cell>
          <cell r="D3321" t="str">
            <v>CENTO</v>
          </cell>
          <cell r="E3321" t="str">
            <v>CR</v>
          </cell>
          <cell r="F3321">
            <v>48.76</v>
          </cell>
        </row>
        <row r="3322">
          <cell r="B3322">
            <v>37395</v>
          </cell>
          <cell r="C3322" t="str">
            <v>PINO DE ACO COM FURO, HASTE = 27 MM (ACAO DIRETA)</v>
          </cell>
          <cell r="D3322" t="str">
            <v>CENTO</v>
          </cell>
          <cell r="E3322" t="str">
            <v>CR</v>
          </cell>
          <cell r="F3322">
            <v>41.93</v>
          </cell>
        </row>
        <row r="3323">
          <cell r="B3323">
            <v>14147</v>
          </cell>
          <cell r="C3323" t="str">
            <v>PINO DE ACO COM ROSCA 1/4", COMPRIMENTO DA HASTE = 30 MM E ROSCA = 20 MM (ACAO DIRETA)</v>
          </cell>
          <cell r="D3323" t="str">
            <v>CENTO</v>
          </cell>
          <cell r="E3323" t="str">
            <v>CR</v>
          </cell>
          <cell r="F3323">
            <v>55.62</v>
          </cell>
        </row>
        <row r="3324">
          <cell r="B3324">
            <v>37396</v>
          </cell>
          <cell r="C3324" t="str">
            <v>PINO DE ACO LISO 1/4", HASTE = *36,5* MM (ACAO DIRETA)</v>
          </cell>
          <cell r="D3324" t="str">
            <v>CENTO</v>
          </cell>
          <cell r="E3324" t="str">
            <v>CR</v>
          </cell>
          <cell r="F3324">
            <v>34.31</v>
          </cell>
        </row>
        <row r="3325">
          <cell r="B3325">
            <v>37397</v>
          </cell>
          <cell r="C3325" t="str">
            <v>PINO DE ACO LISO 1/4", HASTE = *53* MM (ACAO DIRETA)</v>
          </cell>
          <cell r="D3325" t="str">
            <v>CENTO</v>
          </cell>
          <cell r="E3325" t="str">
            <v>CR</v>
          </cell>
          <cell r="F3325">
            <v>35.94</v>
          </cell>
        </row>
        <row r="3326">
          <cell r="B3326">
            <v>43606</v>
          </cell>
          <cell r="C3326" t="str">
            <v>PINO GUIA RETO, EM LATAO, CHAPA COM 3 MM DE ESPESSURA E GUIA COM ROLETE DE 9 MM</v>
          </cell>
          <cell r="D3326" t="str">
            <v>UN</v>
          </cell>
          <cell r="E3326" t="str">
            <v>CR</v>
          </cell>
          <cell r="F3326">
            <v>8.58</v>
          </cell>
        </row>
        <row r="3327">
          <cell r="B3327">
            <v>444</v>
          </cell>
          <cell r="C3327" t="str">
            <v>PINO ROSCA EXTERNA, EM ACO GALVANIZADO, PARA ISOLADOR DE 15KV, DIAMETRO 25 MM, COMPRIMENTO *290* MM</v>
          </cell>
          <cell r="D3327" t="str">
            <v>UN</v>
          </cell>
          <cell r="E3327" t="str">
            <v>CR</v>
          </cell>
          <cell r="F3327">
            <v>24</v>
          </cell>
        </row>
        <row r="3328">
          <cell r="B3328">
            <v>445</v>
          </cell>
          <cell r="C3328" t="str">
            <v>PINO ROSCA EXTERNA, EM ACO GALVANIZADO, PARA ISOLADOR DE 25KV, DIAMETRO 35MM, COMPRIMENTO *320* MM</v>
          </cell>
          <cell r="D3328" t="str">
            <v>UN</v>
          </cell>
          <cell r="E3328" t="str">
            <v>CR</v>
          </cell>
          <cell r="F3328">
            <v>32.85</v>
          </cell>
        </row>
        <row r="3329">
          <cell r="B3329">
            <v>4783</v>
          </cell>
          <cell r="C3329" t="str">
            <v>PINTOR (HORISTA)</v>
          </cell>
          <cell r="D3329" t="str">
            <v>H</v>
          </cell>
          <cell r="E3329" t="str">
            <v>C</v>
          </cell>
          <cell r="F3329">
            <v>26.03</v>
          </cell>
        </row>
        <row r="3330">
          <cell r="B3330">
            <v>41079</v>
          </cell>
          <cell r="C3330" t="str">
            <v>PINTOR (MENSALISTA)</v>
          </cell>
          <cell r="D3330" t="str">
            <v>MES</v>
          </cell>
          <cell r="E3330" t="str">
            <v>CR</v>
          </cell>
          <cell r="F3330">
            <v>4560.57</v>
          </cell>
        </row>
        <row r="3331">
          <cell r="B3331">
            <v>12874</v>
          </cell>
          <cell r="C3331" t="str">
            <v>PINTOR DE LETREIROS (HORISTA)</v>
          </cell>
          <cell r="D3331" t="str">
            <v>H</v>
          </cell>
          <cell r="E3331" t="str">
            <v>CR</v>
          </cell>
          <cell r="F3331">
            <v>23.99</v>
          </cell>
        </row>
        <row r="3332">
          <cell r="B3332">
            <v>41082</v>
          </cell>
          <cell r="C3332" t="str">
            <v>PINTOR DE LETREIROS (MENSALISTA)</v>
          </cell>
          <cell r="D3332" t="str">
            <v>MES</v>
          </cell>
          <cell r="E3332" t="str">
            <v>CR</v>
          </cell>
          <cell r="F3332">
            <v>4205.78</v>
          </cell>
        </row>
        <row r="3333">
          <cell r="B3333">
            <v>4785</v>
          </cell>
          <cell r="C3333" t="str">
            <v>PINTOR PARA TINTA EPOXI (HORISTA)</v>
          </cell>
          <cell r="D3333" t="str">
            <v>H</v>
          </cell>
          <cell r="E3333" t="str">
            <v>CR</v>
          </cell>
          <cell r="F3333">
            <v>26.03</v>
          </cell>
        </row>
        <row r="3334">
          <cell r="B3334">
            <v>41081</v>
          </cell>
          <cell r="C3334" t="str">
            <v>PINTOR PARA TINTA EPOXI (MENSALISTA)</v>
          </cell>
          <cell r="D3334" t="str">
            <v>MES</v>
          </cell>
          <cell r="E3334" t="str">
            <v>CR</v>
          </cell>
          <cell r="F3334">
            <v>4560.57</v>
          </cell>
        </row>
        <row r="3335">
          <cell r="B3335">
            <v>4801</v>
          </cell>
          <cell r="C3335" t="str">
            <v>PISO DE BORRACHA CANELADO EM PLACAS 50 X 50 CM, E = *3,5* MM, PARA COLA</v>
          </cell>
          <cell r="D3335" t="str">
            <v>M2</v>
          </cell>
          <cell r="E3335" t="str">
            <v>CR</v>
          </cell>
          <cell r="F3335">
            <v>77.709999999999994</v>
          </cell>
        </row>
        <row r="3336">
          <cell r="B3336">
            <v>4794</v>
          </cell>
          <cell r="C3336" t="str">
            <v>PISO DE BORRACHA ESPORTIVO EM PLACAS 50 X 50 CM, E = 15 MM, PARA ARGAMASSA, PRETO</v>
          </cell>
          <cell r="D3336" t="str">
            <v>M2</v>
          </cell>
          <cell r="E3336" t="str">
            <v>CR</v>
          </cell>
          <cell r="F3336">
            <v>353.95</v>
          </cell>
        </row>
        <row r="3337">
          <cell r="B3337">
            <v>4796</v>
          </cell>
          <cell r="C3337" t="str">
            <v>PISO DE BORRACHA FRISADO OU PASTILHADO, PRETO, EM PLACAS 50 X 50 CM, E = 7 MM, PARA ARGAMASSA</v>
          </cell>
          <cell r="D3337" t="str">
            <v>M2</v>
          </cell>
          <cell r="E3337" t="str">
            <v>CR</v>
          </cell>
          <cell r="F3337">
            <v>214.98</v>
          </cell>
        </row>
        <row r="3338">
          <cell r="B3338">
            <v>4800</v>
          </cell>
          <cell r="C3338" t="str">
            <v>PISO DE BORRACHA PASTILHADO EM PLACAS 50 X 50 CM, E = *3,5* MM, PARA COLA, PRETO</v>
          </cell>
          <cell r="D3338" t="str">
            <v>M2</v>
          </cell>
          <cell r="E3338" t="str">
            <v>CR</v>
          </cell>
          <cell r="F3338">
            <v>59.12</v>
          </cell>
        </row>
        <row r="3339">
          <cell r="B3339">
            <v>4795</v>
          </cell>
          <cell r="C3339" t="str">
            <v>PISO DE BORRACHA PASTILHADO EM PLACAS 50 X 50 CM, E = 15 MM, PARA ARGAMASSA, PRETO</v>
          </cell>
          <cell r="D3339" t="str">
            <v>M2</v>
          </cell>
          <cell r="E3339" t="str">
            <v>CR</v>
          </cell>
          <cell r="F3339">
            <v>344.55</v>
          </cell>
        </row>
        <row r="3340">
          <cell r="B3340">
            <v>1292</v>
          </cell>
          <cell r="C3340" t="str">
            <v>PISO EM CERAMICA ESMALTADA, COR LISA, PEI MAIOR OU IGUAL A 4, FORMATO MAIOR QUE 2025 CM2</v>
          </cell>
          <cell r="D3340" t="str">
            <v>M2</v>
          </cell>
          <cell r="E3340" t="str">
            <v>CR</v>
          </cell>
          <cell r="F3340">
            <v>35.19</v>
          </cell>
        </row>
        <row r="3341">
          <cell r="B3341">
            <v>1287</v>
          </cell>
          <cell r="C3341" t="str">
            <v>PISO EM CERAMICA ESMALTADA, COR LISA, PEI MAIOR OU IGUAL A 4, FORMATO MENOR OU IGUAL A 2025 CM2</v>
          </cell>
          <cell r="D3341" t="str">
            <v>M2</v>
          </cell>
          <cell r="E3341" t="str">
            <v>CR</v>
          </cell>
          <cell r="F3341">
            <v>28.17</v>
          </cell>
        </row>
        <row r="3342">
          <cell r="B3342">
            <v>4786</v>
          </cell>
          <cell r="C3342" t="str">
            <v>PISO EM GRANILITE, MARMORITE OU GRANITINA, AGREGADO COR PRETO, CINZA, PALHA OU BRANCO, E= *8* MM (INCLUSO EXECUCAO)</v>
          </cell>
          <cell r="D3342" t="str">
            <v>M2</v>
          </cell>
          <cell r="E3342" t="str">
            <v>C</v>
          </cell>
          <cell r="F3342">
            <v>118.5</v>
          </cell>
        </row>
        <row r="3343">
          <cell r="B3343">
            <v>10840</v>
          </cell>
          <cell r="C3343" t="str">
            <v>PISO EM GRANITO, POLIDO, TIPO AMENDOA/ AMARELO CAPRI/ AMARELO DOURADO CARIOCA OU OUTROS EQUIVALENTES DA REGIAO, FORMATO MENOR OU IGUAL A 3025 CM2, E= *2* CM</v>
          </cell>
          <cell r="D3343" t="str">
            <v>M2</v>
          </cell>
          <cell r="E3343" t="str">
            <v>C</v>
          </cell>
          <cell r="F3343">
            <v>445</v>
          </cell>
        </row>
        <row r="3344">
          <cell r="B3344">
            <v>10841</v>
          </cell>
          <cell r="C3344" t="str">
            <v>PISO EM GRANITO, POLIDO, TIPO ANDORINHA/ QUARTZ/ CASTELO/ CORUMBA OU OUTROS EQUIVALENTES DA REGIAO, FORMATO MENOR OU IGUAL A 3025 CM2, E= *2* CM</v>
          </cell>
          <cell r="D3344" t="str">
            <v>M2</v>
          </cell>
          <cell r="E3344" t="str">
            <v>CR</v>
          </cell>
          <cell r="F3344">
            <v>335.84</v>
          </cell>
        </row>
        <row r="3345">
          <cell r="B3345">
            <v>44540</v>
          </cell>
          <cell r="C3345" t="str">
            <v>PISO EM GRANITO, POLIDO, TIPO MARFIM, DALLAS, CARAVELAS OU OUTROS EQUIVALENTES DA REGIAO, FORMATO MENOR OU IGUAL A 3025 CM2, E= *2*CM</v>
          </cell>
          <cell r="D3345" t="str">
            <v>M2</v>
          </cell>
          <cell r="E3345" t="str">
            <v>CR</v>
          </cell>
          <cell r="F3345">
            <v>429.14</v>
          </cell>
        </row>
        <row r="3346">
          <cell r="B3346">
            <v>10842</v>
          </cell>
          <cell r="C3346" t="str">
            <v>PISO EM GRANITO, POLIDO, TIPO PRETO SAO GABRIEL/ TIJUCA OU OUTROS EQUIVALENTES DA REGIAO, FORMATO MENOR OU IGUAL A 3025 CM2, E= *2* CM</v>
          </cell>
          <cell r="D3346" t="str">
            <v>M2</v>
          </cell>
          <cell r="E3346" t="str">
            <v>CR</v>
          </cell>
          <cell r="F3346">
            <v>485.11</v>
          </cell>
        </row>
        <row r="3347">
          <cell r="B3347">
            <v>45190</v>
          </cell>
          <cell r="C3347" t="str">
            <v>PISO EM PORCELANATO, RETIFICADO, LISO, MONOCOLOR, ACETINADO OU POLIDO, FORMATO MAIOR QUE 2500 ATE 6400 CM2</v>
          </cell>
          <cell r="D3347" t="str">
            <v>M2</v>
          </cell>
          <cell r="E3347" t="str">
            <v>C</v>
          </cell>
          <cell r="F3347">
            <v>58.1</v>
          </cell>
        </row>
        <row r="3348">
          <cell r="B3348">
            <v>45191</v>
          </cell>
          <cell r="C3348" t="str">
            <v>PISO EM PORCELANATO,RETIFICADO, LISO, MONOCOLOR, ACETINADO OU POLIDO, FORMATO MAIOR QUE 6400 CM2</v>
          </cell>
          <cell r="D3348" t="str">
            <v>M2</v>
          </cell>
          <cell r="E3348" t="str">
            <v>CR</v>
          </cell>
          <cell r="F3348">
            <v>98.56</v>
          </cell>
        </row>
        <row r="3349">
          <cell r="B3349">
            <v>38180</v>
          </cell>
          <cell r="C3349" t="str">
            <v>PISO EM REGUA VINILICA SEMIFLEXIVEL, ENCAIXE CLICADO, E = 4 MM (SEM COLOCACAO)</v>
          </cell>
          <cell r="D3349" t="str">
            <v>M2</v>
          </cell>
          <cell r="E3349" t="str">
            <v>CR</v>
          </cell>
          <cell r="F3349">
            <v>173.09</v>
          </cell>
        </row>
        <row r="3350">
          <cell r="B3350">
            <v>40648</v>
          </cell>
          <cell r="C3350" t="str">
            <v>PISO EPOXI AUTONIVELANTE, ESPESSURA *4* MM (INCLUSO EXECUCAO)</v>
          </cell>
          <cell r="D3350" t="str">
            <v>M2</v>
          </cell>
          <cell r="E3350" t="str">
            <v>CR</v>
          </cell>
          <cell r="F3350">
            <v>227.52</v>
          </cell>
        </row>
        <row r="3351">
          <cell r="B3351">
            <v>40649</v>
          </cell>
          <cell r="C3351" t="str">
            <v>PISO EPOXI MULTILAYER, ESPESSURA *2* MM (INCLUSO EXECUCAO)</v>
          </cell>
          <cell r="D3351" t="str">
            <v>M2</v>
          </cell>
          <cell r="E3351" t="str">
            <v>CR</v>
          </cell>
          <cell r="F3351">
            <v>132.53</v>
          </cell>
        </row>
        <row r="3352">
          <cell r="B3352">
            <v>40650</v>
          </cell>
          <cell r="C3352" t="str">
            <v>PISO FULGET (GRANITO LAVADO) EM PLACAS DE *40 X 40* CM, E = 2,0 CM (SEM COLOCACAO)</v>
          </cell>
          <cell r="D3352" t="str">
            <v>M2</v>
          </cell>
          <cell r="E3352" t="str">
            <v>CR</v>
          </cell>
          <cell r="F3352">
            <v>170.64</v>
          </cell>
        </row>
        <row r="3353">
          <cell r="B3353">
            <v>40651</v>
          </cell>
          <cell r="C3353" t="str">
            <v>PISO FULGET (GRANITO LAVADO) EM PLACAS DE *75 X 75* CM, E = 2,0 CM (SEM COLOCACAO)</v>
          </cell>
          <cell r="D3353" t="str">
            <v>M2</v>
          </cell>
          <cell r="E3353" t="str">
            <v>CR</v>
          </cell>
          <cell r="F3353">
            <v>314.73</v>
          </cell>
        </row>
        <row r="3354">
          <cell r="B3354">
            <v>40652</v>
          </cell>
          <cell r="C3354" t="str">
            <v>PISO FULGET (GRANITO LAVADO) MOLDADO IN LOCO (INCLUSO EXECUCAO)</v>
          </cell>
          <cell r="D3354" t="str">
            <v>M2</v>
          </cell>
          <cell r="E3354" t="str">
            <v>CR</v>
          </cell>
          <cell r="F3354">
            <v>168.74</v>
          </cell>
        </row>
        <row r="3355">
          <cell r="B3355">
            <v>40647</v>
          </cell>
          <cell r="C3355" t="str">
            <v>PISO INDUSTRIAL EM CONCRETO ARMADO DE ACABAMENTO POLIDO, ESPESSURA 12 CM (CIMENTO QUEIMADO) (INCLUSO EXECUCAO)</v>
          </cell>
          <cell r="D3355" t="str">
            <v>M2</v>
          </cell>
          <cell r="E3355" t="str">
            <v>CR</v>
          </cell>
          <cell r="F3355">
            <v>185.8</v>
          </cell>
        </row>
        <row r="3356">
          <cell r="B3356">
            <v>40653</v>
          </cell>
          <cell r="C3356" t="str">
            <v>PISO KORODUR (INCLUSO EXECUCAO)</v>
          </cell>
          <cell r="D3356" t="str">
            <v>M2</v>
          </cell>
          <cell r="E3356" t="str">
            <v>CR</v>
          </cell>
          <cell r="F3356">
            <v>142.19999999999999</v>
          </cell>
        </row>
        <row r="3357">
          <cell r="B3357">
            <v>38135</v>
          </cell>
          <cell r="C3357" t="str">
            <v>PISO TATIL / PODOTATIL, LADRILHO HIDRAULICO / CONCRETO, *25 X 25* CM, E= *2,5* CM, PADRAO TATIL ALERTA OU DIRECIONAL, COR AMARELA</v>
          </cell>
          <cell r="D3357" t="str">
            <v>M2</v>
          </cell>
          <cell r="E3357" t="str">
            <v>CR</v>
          </cell>
          <cell r="F3357">
            <v>109.44</v>
          </cell>
        </row>
        <row r="3358">
          <cell r="B3358">
            <v>36178</v>
          </cell>
          <cell r="C3358" t="str">
            <v>PISO TATIL / PODOTATIL, LADRILHO HIDRAULICO/CONCRETO, *40 X 40* CM, E= 2,5* CM, PADRAO TATIL ALERTA OU DIRECIONAL, COR NATURAL</v>
          </cell>
          <cell r="D3358" t="str">
            <v>UN</v>
          </cell>
          <cell r="E3358" t="str">
            <v>CR</v>
          </cell>
          <cell r="F3358">
            <v>18.3</v>
          </cell>
        </row>
        <row r="3359">
          <cell r="B3359">
            <v>38181</v>
          </cell>
          <cell r="C3359" t="str">
            <v>PISO TATIL ALERTA OU DIRECIONAL, DE BORRACHA, COLORIDO, 25 X 25 CM, E = 5 MM, PARA COLA</v>
          </cell>
          <cell r="D3359" t="str">
            <v>M2</v>
          </cell>
          <cell r="E3359" t="str">
            <v>CR</v>
          </cell>
          <cell r="F3359">
            <v>236.29</v>
          </cell>
        </row>
        <row r="3360">
          <cell r="B3360">
            <v>38182</v>
          </cell>
          <cell r="C3360" t="str">
            <v>PISO TATIL DE ALERTA OU DIRECIONAL DE BORRACHA, PRETO, 25 X 25 CM, E = 5 MM, PARA COLA</v>
          </cell>
          <cell r="D3360" t="str">
            <v>M2</v>
          </cell>
          <cell r="E3360" t="str">
            <v>CR</v>
          </cell>
          <cell r="F3360">
            <v>225.08</v>
          </cell>
        </row>
        <row r="3361">
          <cell r="B3361">
            <v>38186</v>
          </cell>
          <cell r="C3361" t="str">
            <v>PISO TATIL DE ALERTA OU DIRECIONAL, DE BORRACHA, COLORIDO, 25 X 25 CM, E = 12 MM, PARA ARGAMASSA</v>
          </cell>
          <cell r="D3361" t="str">
            <v>M2</v>
          </cell>
          <cell r="E3361" t="str">
            <v>CR</v>
          </cell>
          <cell r="F3361">
            <v>585.04999999999995</v>
          </cell>
        </row>
        <row r="3362">
          <cell r="B3362">
            <v>38185</v>
          </cell>
          <cell r="C3362" t="str">
            <v>PISO TATIL DE ALERTA OU DIRECIONAL, DE BORRACHA, PRETO, 25 X 25 CM, E = 12 MM, PARA ARGAMASSA</v>
          </cell>
          <cell r="D3362" t="str">
            <v>M2</v>
          </cell>
          <cell r="E3362" t="str">
            <v>CR</v>
          </cell>
          <cell r="F3362">
            <v>520.9</v>
          </cell>
        </row>
        <row r="3363">
          <cell r="B3363">
            <v>40654</v>
          </cell>
          <cell r="C3363" t="str">
            <v>PISO URETANO, VERSAO REVESTIMENTO AUTONIVELANTE, ESPESSURA VARIAVEL DE 3 A 4 MM (INCLUSO EXECUCAO)</v>
          </cell>
          <cell r="D3363" t="str">
            <v>M2</v>
          </cell>
          <cell r="E3363" t="str">
            <v>CR</v>
          </cell>
          <cell r="F3363">
            <v>220.88</v>
          </cell>
        </row>
        <row r="3364">
          <cell r="B3364">
            <v>44541</v>
          </cell>
          <cell r="C3364" t="str">
            <v>PISO/ REVESTIMENTO EM GRANITO, POLIDO, TIPO ANDORINHA/ QUARTZ/ CASTELO/ CORUMBA OU OUTROS EQUIVALENTES DA REGIAO, FORMATO MAIOR OU IGUAL A 3025 CM2, E = *2*CM</v>
          </cell>
          <cell r="D3364" t="str">
            <v>M2</v>
          </cell>
          <cell r="E3364" t="str">
            <v>CR</v>
          </cell>
          <cell r="F3364">
            <v>354.5</v>
          </cell>
        </row>
        <row r="3365">
          <cell r="B3365">
            <v>4822</v>
          </cell>
          <cell r="C3365" t="str">
            <v>PISO/ REVESTIMENTO EM MARMORE, POLIDO, BRANCO COMUM, FORMATO MAIOR OU IGUAL A 3025 CM2, E = *2* CM</v>
          </cell>
          <cell r="D3365" t="str">
            <v>M2</v>
          </cell>
          <cell r="E3365" t="str">
            <v>CR</v>
          </cell>
          <cell r="F3365">
            <v>519.85</v>
          </cell>
        </row>
        <row r="3366">
          <cell r="B3366">
            <v>4818</v>
          </cell>
          <cell r="C3366" t="str">
            <v>PISO/ REVESTIMENTO EM MARMORE, POLIDO, BRANCO COMUM, FORMATO MENOR OU IGUAL A 3025 CM2, E = *2* CM</v>
          </cell>
          <cell r="D3366" t="str">
            <v>M2</v>
          </cell>
          <cell r="E3366" t="str">
            <v>C</v>
          </cell>
          <cell r="F3366">
            <v>534.33000000000004</v>
          </cell>
        </row>
        <row r="3367">
          <cell r="B3367">
            <v>39567</v>
          </cell>
          <cell r="C3367" t="str">
            <v>PLACA / CHAPA DE GESSO ACARTONADO, ACABAMENTO VINILICO LISO EM UMA DAS FACES, COR BRANCA, BORDA QUADRADA, E = 9,5 MM, *625 X 1250* MM (L X C), PARA FORRO REMOVIVEL</v>
          </cell>
          <cell r="D3367" t="str">
            <v>M2</v>
          </cell>
          <cell r="E3367" t="str">
            <v>CR</v>
          </cell>
          <cell r="F3367">
            <v>42.51</v>
          </cell>
        </row>
        <row r="3368">
          <cell r="B3368">
            <v>39566</v>
          </cell>
          <cell r="C3368" t="str">
            <v>PLACA / CHAPA DE GESSO ACARTONADO, ACABAMENTO VINILICO LISO EM UMA DAS FACES, COR BRANCA, BORDA QUADRADA, E = 9,5 MM, *625 X 625* MM (L X C), PARA FORRO REMOVIVEL</v>
          </cell>
          <cell r="D3368" t="str">
            <v>M2</v>
          </cell>
          <cell r="E3368" t="str">
            <v>CR</v>
          </cell>
          <cell r="F3368">
            <v>45</v>
          </cell>
        </row>
        <row r="3369">
          <cell r="B3369">
            <v>39416</v>
          </cell>
          <cell r="C3369" t="str">
            <v>PLACA / CHAPA DE GESSO ACARTONADO, RESISTENTE A UMIDADE (RU), COR VERDE, E = 12,5 MM, 1200 X 1800 MM (L X C)</v>
          </cell>
          <cell r="D3369" t="str">
            <v>M2</v>
          </cell>
          <cell r="E3369" t="str">
            <v>CR</v>
          </cell>
          <cell r="F3369">
            <v>27.42</v>
          </cell>
        </row>
        <row r="3370">
          <cell r="B3370">
            <v>39417</v>
          </cell>
          <cell r="C3370" t="str">
            <v>PLACA / CHAPA DE GESSO ACARTONADO, RESISTENTE A UMIDADE (RU), COR VERDE, E = 12,5 MM, 1200 X 2400 MM (L X C)</v>
          </cell>
          <cell r="D3370" t="str">
            <v>M2</v>
          </cell>
          <cell r="E3370" t="str">
            <v>CR</v>
          </cell>
          <cell r="F3370">
            <v>26.75</v>
          </cell>
        </row>
        <row r="3371">
          <cell r="B3371">
            <v>43742</v>
          </cell>
          <cell r="C3371" t="str">
            <v>PLACA / CHAPA DE GESSO ACARTONADO, RESISTENTE A UMIDADE (RU), COR VERDE, E = 15 MM, 1200 X 2400 MM (L X C)</v>
          </cell>
          <cell r="D3371" t="str">
            <v>M2</v>
          </cell>
          <cell r="E3371" t="str">
            <v>CR</v>
          </cell>
          <cell r="F3371">
            <v>28.85</v>
          </cell>
        </row>
        <row r="3372">
          <cell r="B3372">
            <v>39414</v>
          </cell>
          <cell r="C3372" t="str">
            <v>PLACA / CHAPA DE GESSO ACARTONADO, RESISTENTE AO FOGO (RF), COR ROSA, E = 12,5 MM, 1200 X 1800 MM (L X C)</v>
          </cell>
          <cell r="D3372" t="str">
            <v>M2</v>
          </cell>
          <cell r="E3372" t="str">
            <v>CR</v>
          </cell>
          <cell r="F3372">
            <v>25.97</v>
          </cell>
        </row>
        <row r="3373">
          <cell r="B3373">
            <v>39415</v>
          </cell>
          <cell r="C3373" t="str">
            <v>PLACA / CHAPA DE GESSO ACARTONADO, RESISTENTE AO FOGO (RF), COR ROSA, E = 12,5 MM, 1200 X 2400 MM (L X C)</v>
          </cell>
          <cell r="D3373" t="str">
            <v>M2</v>
          </cell>
          <cell r="E3373" t="str">
            <v>CR</v>
          </cell>
          <cell r="F3373">
            <v>22.39</v>
          </cell>
        </row>
        <row r="3374">
          <cell r="B3374">
            <v>43740</v>
          </cell>
          <cell r="C3374" t="str">
            <v>PLACA / CHAPA DE GESSO ACARTONADO, RESISTENTE AO FOGO (RF), COR ROSA, E = 15 MM, 1200 X 2400 MM (L X C)</v>
          </cell>
          <cell r="D3374" t="str">
            <v>M2</v>
          </cell>
          <cell r="E3374" t="str">
            <v>CR</v>
          </cell>
          <cell r="F3374">
            <v>27.34</v>
          </cell>
        </row>
        <row r="3375">
          <cell r="B3375">
            <v>39412</v>
          </cell>
          <cell r="C3375" t="str">
            <v>PLACA / CHAPA DE GESSO ACARTONADO, STANDARD (ST), COR BRANCA, E = 12,5 MM, 1200 X 1800 MM (L X C)</v>
          </cell>
          <cell r="D3375" t="str">
            <v>M2</v>
          </cell>
          <cell r="E3375" t="str">
            <v>C</v>
          </cell>
          <cell r="F3375">
            <v>18.75</v>
          </cell>
        </row>
        <row r="3376">
          <cell r="B3376">
            <v>39413</v>
          </cell>
          <cell r="C3376" t="str">
            <v>PLACA / CHAPA DE GESSO ACARTONADO, STANDARD (ST), COR BRANCA, E = 12,5 MM, 1200 X 2400 MM (L X C)</v>
          </cell>
          <cell r="D3376" t="str">
            <v>M2</v>
          </cell>
          <cell r="E3376" t="str">
            <v>CR</v>
          </cell>
          <cell r="F3376">
            <v>20.27</v>
          </cell>
        </row>
        <row r="3377">
          <cell r="B3377">
            <v>43741</v>
          </cell>
          <cell r="C3377" t="str">
            <v>PLACA / CHAPA DE GESSO ACARTONADO, STANDARD (ST), COR BRANCA, E = 15 MM, 1200 X 2400 MM (L X C)</v>
          </cell>
          <cell r="D3377" t="str">
            <v>M2</v>
          </cell>
          <cell r="E3377" t="str">
            <v>CR</v>
          </cell>
          <cell r="F3377">
            <v>21.61</v>
          </cell>
        </row>
        <row r="3378">
          <cell r="B3378">
            <v>11062</v>
          </cell>
          <cell r="C3378" t="str">
            <v>PLACA CIMENTICIA LISA E = 10 MM, DE 1,20 X *2,50* M (SEM AMIANTO)</v>
          </cell>
          <cell r="D3378" t="str">
            <v>M2</v>
          </cell>
          <cell r="E3378" t="str">
            <v>CR</v>
          </cell>
          <cell r="F3378">
            <v>45.11</v>
          </cell>
        </row>
        <row r="3379">
          <cell r="B3379">
            <v>11063</v>
          </cell>
          <cell r="C3379" t="str">
            <v>PLACA CIMENTICIA LISA E = 6 MM, DE 1,20 X *2,50* M (SEM AMIANTO)</v>
          </cell>
          <cell r="D3379" t="str">
            <v>M2</v>
          </cell>
          <cell r="E3379" t="str">
            <v>CR</v>
          </cell>
          <cell r="F3379">
            <v>27.61</v>
          </cell>
        </row>
        <row r="3380">
          <cell r="B3380">
            <v>13521</v>
          </cell>
          <cell r="C3380" t="str">
            <v>PLACA DE ACO ESMALTADA PARA IDENTIFICACAO DE RUA, *45 CM X 20* CM</v>
          </cell>
          <cell r="D3380" t="str">
            <v>UN</v>
          </cell>
          <cell r="E3380" t="str">
            <v>CR</v>
          </cell>
          <cell r="F3380">
            <v>132</v>
          </cell>
        </row>
        <row r="3381">
          <cell r="B3381">
            <v>10851</v>
          </cell>
          <cell r="C3381" t="str">
            <v>PLACA DE ACRILICO TRANSPARENTE ADESIVADA PARA SINALIZACAO DE PORTAS, BORDA POLIDA, DE *25 X 8*, E = 6 MM (NAO INCLUI ACESSORIOS PARA FIXACAO)</v>
          </cell>
          <cell r="D3381" t="str">
            <v>UN</v>
          </cell>
          <cell r="E3381" t="str">
            <v>CR</v>
          </cell>
          <cell r="F3381">
            <v>64.42</v>
          </cell>
        </row>
        <row r="3382">
          <cell r="B3382">
            <v>39515</v>
          </cell>
          <cell r="C3382" t="str">
            <v>PLACA DE FIBRA MINERAL PARA FORRO, DE 1250 X 625 MM, E = 15 MM, BORDA RETA, COM PINTURA ANTIMOFO (NAO INCLUI PERFIS)</v>
          </cell>
          <cell r="D3382" t="str">
            <v>UN</v>
          </cell>
          <cell r="E3382" t="str">
            <v>CR</v>
          </cell>
          <cell r="F3382">
            <v>56.62</v>
          </cell>
        </row>
        <row r="3383">
          <cell r="B3383">
            <v>39516</v>
          </cell>
          <cell r="C3383" t="str">
            <v>PLACA DE FIBRA MINERAL PARA FORRO, DE 625 X 625 MM, E = 15 MM, BORDA REBAIXADA PARA PERFIL 24 MM, COM PINTURA ANTIMOFO (NAO INCLUI PERFIS)</v>
          </cell>
          <cell r="D3383" t="str">
            <v>UN</v>
          </cell>
          <cell r="E3383" t="str">
            <v>CR</v>
          </cell>
          <cell r="F3383">
            <v>47.74</v>
          </cell>
        </row>
        <row r="3384">
          <cell r="B3384">
            <v>39514</v>
          </cell>
          <cell r="C3384" t="str">
            <v>PLACA DE FIBRA MINERAL PARA FORRO, DE 625 X 625 MM, E = 15 MM, BORDA RETA, COM PINTURA ANTIMOFO (NAO INCLUI PERFIS)</v>
          </cell>
          <cell r="D3384" t="str">
            <v>UN</v>
          </cell>
          <cell r="E3384" t="str">
            <v>C</v>
          </cell>
          <cell r="F3384">
            <v>29.7</v>
          </cell>
        </row>
        <row r="3385">
          <cell r="B3385">
            <v>4812</v>
          </cell>
          <cell r="C3385" t="str">
            <v>PLACA DE GESSO PARA FORRO, *60 X 60* CM, ESPESSURA DE 12 MM (SEM COLOCACAO)</v>
          </cell>
          <cell r="D3385" t="str">
            <v>M2</v>
          </cell>
          <cell r="E3385" t="str">
            <v>CR</v>
          </cell>
          <cell r="F3385">
            <v>11.25</v>
          </cell>
        </row>
        <row r="3386">
          <cell r="B3386">
            <v>10849</v>
          </cell>
          <cell r="C3386" t="str">
            <v>PLACA DE INAUGURACAO EM BRONZE *35X 50*CM</v>
          </cell>
          <cell r="D3386" t="str">
            <v>UN</v>
          </cell>
          <cell r="E3386" t="str">
            <v>CR</v>
          </cell>
          <cell r="F3386">
            <v>1920.01</v>
          </cell>
        </row>
        <row r="3387">
          <cell r="B3387">
            <v>10848</v>
          </cell>
          <cell r="C3387" t="str">
            <v>PLACA DE INAUGURACAO METALICA, *40* CM X *60* CM</v>
          </cell>
          <cell r="D3387" t="str">
            <v>UN</v>
          </cell>
          <cell r="E3387" t="str">
            <v>CR</v>
          </cell>
          <cell r="F3387">
            <v>1206.01</v>
          </cell>
        </row>
        <row r="3388">
          <cell r="B3388">
            <v>4813</v>
          </cell>
          <cell r="C3388" t="str">
            <v>PLACA DE OBRA (PARA CONSTRUCAO CIVIL) EM CHAPA GALVANIZADA *N. 22*, ADESIVADA, DE *2,4 X 1,2* M (SEM POSTES PARA FIXACAO)</v>
          </cell>
          <cell r="D3388" t="str">
            <v>M2</v>
          </cell>
          <cell r="E3388" t="str">
            <v>C</v>
          </cell>
          <cell r="F3388">
            <v>400</v>
          </cell>
        </row>
        <row r="3389">
          <cell r="B3389">
            <v>37560</v>
          </cell>
          <cell r="C3389" t="str">
            <v>PLACA DE SINALIZACAO DE SEGURANCA CONTRA INCENDIO - ALERTA, TRIANGULAR, BASE DE *30* CM, EM PVC *2* MM ANTI-CHAMAS (SIMBOLOS, CORES E PICTOGRAMAS CONFORME NBR 16820)</v>
          </cell>
          <cell r="D3389" t="str">
            <v>UN</v>
          </cell>
          <cell r="E3389" t="str">
            <v>CR</v>
          </cell>
          <cell r="F3389">
            <v>43.11</v>
          </cell>
        </row>
        <row r="3390">
          <cell r="B3390">
            <v>37557</v>
          </cell>
          <cell r="C3390" t="str">
            <v>PLACA DE SINALIZACAO DE SEGURANCA CONTRA INCENDIO, FOTOLUMINESCENTE, QUADRADA, *14 X 14* CM, EM PVC *2* MM ANTI-CHAMAS (SIMBOLOS, CORES E PICTOGRAMAS CONFORME NBR 16820)</v>
          </cell>
          <cell r="D3390" t="str">
            <v>UN</v>
          </cell>
          <cell r="E3390" t="str">
            <v>CR</v>
          </cell>
          <cell r="F3390">
            <v>13.09</v>
          </cell>
        </row>
        <row r="3391">
          <cell r="B3391">
            <v>37556</v>
          </cell>
          <cell r="C3391" t="str">
            <v>PLACA DE SINALIZACAO DE SEGURANCA CONTRA INCENDIO, FOTOLUMINESCENTE, QUADRADA, *20 X 20* CM, EM PVC *2* MM ANTI-CHAMAS (SIMBOLOS, CORES E PICTOGRAMAS CONFORME NBR 16820)</v>
          </cell>
          <cell r="D3391" t="str">
            <v>UN</v>
          </cell>
          <cell r="E3391" t="str">
            <v>CR</v>
          </cell>
          <cell r="F3391">
            <v>25.33</v>
          </cell>
        </row>
        <row r="3392">
          <cell r="B3392">
            <v>37559</v>
          </cell>
          <cell r="C3392" t="str">
            <v>PLACA DE SINALIZACAO DE SEGURANCA CONTRA INCENDIO, FOTOLUMINESCENTE, RETANGULAR, *12 X 40* CM, EM PVC *2* MM ANTI-CHAMAS (SIMBOLOS, CORES E PICTOGRAMAS CONFORME NBR 16820)</v>
          </cell>
          <cell r="D3392" t="str">
            <v>UN</v>
          </cell>
          <cell r="E3392" t="str">
            <v>CR</v>
          </cell>
          <cell r="F3392">
            <v>31.07</v>
          </cell>
        </row>
        <row r="3393">
          <cell r="B3393">
            <v>37539</v>
          </cell>
          <cell r="C3393" t="str">
            <v>PLACA DE SINALIZACAO DE SEGURANCA CONTRA INCENDIO, FOTOLUMINESCENTE, RETANGULAR, *13 X 26* CM, EM PVC *2* MM ANTI-CHAMAS (SIMBOLOS, CORES E PICTOGRAMAS CONFORME NBR 16820)</v>
          </cell>
          <cell r="D3393" t="str">
            <v>UN</v>
          </cell>
          <cell r="E3393" t="str">
            <v>C</v>
          </cell>
          <cell r="F3393">
            <v>21.9</v>
          </cell>
        </row>
        <row r="3394">
          <cell r="B3394">
            <v>37558</v>
          </cell>
          <cell r="C3394" t="str">
            <v>PLACA DE SINALIZACAO DE SEGURANCA CONTRA INCENDIO, FOTOLUMINESCENTE, RETANGULAR, *20 X 40* CM, EM PVC *2* MM ANTI-CHAMAS (SIMBOLOS, CORES E PICTOGRAMAS CONFORME NBR 16820)</v>
          </cell>
          <cell r="D3394" t="str">
            <v>UN</v>
          </cell>
          <cell r="E3394" t="str">
            <v>CR</v>
          </cell>
          <cell r="F3394">
            <v>40.83</v>
          </cell>
        </row>
        <row r="3395">
          <cell r="B3395">
            <v>34723</v>
          </cell>
          <cell r="C3395" t="str">
            <v>PLACA DE SINALIZACAO EM CHAPA DE ACO NUM 16 COM PINTURA REFLETIVA</v>
          </cell>
          <cell r="D3395" t="str">
            <v>M2</v>
          </cell>
          <cell r="E3395" t="str">
            <v>CR</v>
          </cell>
          <cell r="F3395">
            <v>924</v>
          </cell>
        </row>
        <row r="3396">
          <cell r="B3396">
            <v>34721</v>
          </cell>
          <cell r="C3396" t="str">
            <v>PLACA DE SINALIZACAO EM CHAPA DE ALUMINIO COM PINTURA REFLETIVA, E = 2 MM</v>
          </cell>
          <cell r="D3396" t="str">
            <v>M2</v>
          </cell>
          <cell r="E3396" t="str">
            <v>CR</v>
          </cell>
          <cell r="F3396">
            <v>1152.01</v>
          </cell>
        </row>
        <row r="3397">
          <cell r="B3397">
            <v>4309</v>
          </cell>
          <cell r="C3397" t="str">
            <v>PLACA DE VENTILACAO PARA TELHA DE FIBROCIMENTO CANALETE 49 KALHETA</v>
          </cell>
          <cell r="D3397" t="str">
            <v>UN</v>
          </cell>
          <cell r="E3397" t="str">
            <v>CR</v>
          </cell>
          <cell r="F3397">
            <v>7.5</v>
          </cell>
        </row>
        <row r="3398">
          <cell r="B3398">
            <v>4307</v>
          </cell>
          <cell r="C3398" t="str">
            <v>PLACA DE VENTILACAO PARA TELHA DE FIBROCIMENTO, CANALETE 90 OU KALHETAO</v>
          </cell>
          <cell r="D3398" t="str">
            <v>UN</v>
          </cell>
          <cell r="E3398" t="str">
            <v>CR</v>
          </cell>
          <cell r="F3398">
            <v>12.83</v>
          </cell>
        </row>
        <row r="3399">
          <cell r="B3399">
            <v>10850</v>
          </cell>
          <cell r="C3399" t="str">
            <v>PLACA NUMERACAO RESIDENCIAL EM CHAPA GALVANIZADA ESMALTADA 12 X 18 CM</v>
          </cell>
          <cell r="D3399" t="str">
            <v>UN</v>
          </cell>
          <cell r="E3399" t="str">
            <v>CR</v>
          </cell>
          <cell r="F3399">
            <v>60</v>
          </cell>
        </row>
        <row r="3400">
          <cell r="B3400">
            <v>42438</v>
          </cell>
          <cell r="C3400" t="str">
            <v>PLACA ORIENTATIVA SOBRE EXERCICIOS, 2,00 M X 1,00 M (CHAPA GALVANIZADA #20), ESTRUTURA EM TUBOS REDONDOS DE ACO CARBONO, PINTURA NO PROCESSO ELETROSTATICO, ADESIVO FRENTE E VERSO - PARA ACADEMIA AO AR LIVRE / ACADEMIA DA TERCEIRA IDADE - ATI</v>
          </cell>
          <cell r="D3400" t="str">
            <v>UN</v>
          </cell>
          <cell r="E3400" t="str">
            <v>CR</v>
          </cell>
          <cell r="F3400">
            <v>2090.75</v>
          </cell>
        </row>
        <row r="3401">
          <cell r="B3401">
            <v>4792</v>
          </cell>
          <cell r="C3401" t="str">
            <v>PLACA VINILICA SEMIFLEXIVEL PARA PISOS, E = 3,2 MM, 30 X 30 CM (SEM COLOCACAO)</v>
          </cell>
          <cell r="D3401" t="str">
            <v>M2</v>
          </cell>
          <cell r="E3401" t="str">
            <v>CR</v>
          </cell>
          <cell r="F3401">
            <v>166.16</v>
          </cell>
        </row>
        <row r="3402">
          <cell r="B3402">
            <v>4790</v>
          </cell>
          <cell r="C3402" t="str">
            <v>PLACA VINILICA SEMIFLEXIVEL PARA REVESTIMENTO DE PISOS E PAREDES, E = 2 MM (SEM COLOCACAO)</v>
          </cell>
          <cell r="D3402" t="str">
            <v>M2</v>
          </cell>
          <cell r="E3402" t="str">
            <v>C</v>
          </cell>
          <cell r="F3402">
            <v>99.9</v>
          </cell>
        </row>
        <row r="3403">
          <cell r="B3403">
            <v>40671</v>
          </cell>
          <cell r="C3403" t="str">
            <v>PLACA/PISO DE CONCRETO POROSO/ PAVIMENTO PERMEAVEL/BLOCO DRENANTE DE CONCRETO, *40 X 40* CM, E = 6 CM, COR NATURAL</v>
          </cell>
          <cell r="D3403" t="str">
            <v>M2</v>
          </cell>
          <cell r="E3403" t="str">
            <v>CR</v>
          </cell>
          <cell r="F3403">
            <v>114.08</v>
          </cell>
        </row>
        <row r="3404">
          <cell r="B3404">
            <v>7552</v>
          </cell>
          <cell r="C3404" t="str">
            <v>PLACA/TAMPA CEGA EM LATAO ESCOVADO PARA CONDULETE EM LIGA DE ALUMINIO 4 X 4"</v>
          </cell>
          <cell r="D3404" t="str">
            <v>UN</v>
          </cell>
          <cell r="E3404" t="str">
            <v>CR</v>
          </cell>
          <cell r="F3404">
            <v>20.75</v>
          </cell>
        </row>
        <row r="3405">
          <cell r="B3405">
            <v>4893</v>
          </cell>
          <cell r="C3405" t="str">
            <v>PLUG OU BUJAO DE FERRO GALVANIZADO, DE 1 1/2"</v>
          </cell>
          <cell r="D3405" t="str">
            <v>UN</v>
          </cell>
          <cell r="E3405" t="str">
            <v>CR</v>
          </cell>
          <cell r="F3405">
            <v>14.7</v>
          </cell>
        </row>
        <row r="3406">
          <cell r="B3406">
            <v>4894</v>
          </cell>
          <cell r="C3406" t="str">
            <v>PLUG OU BUJAO DE FERRO GALVANIZADO, DE 1 1/4"</v>
          </cell>
          <cell r="D3406" t="str">
            <v>UN</v>
          </cell>
          <cell r="E3406" t="str">
            <v>CR</v>
          </cell>
          <cell r="F3406">
            <v>12.61</v>
          </cell>
        </row>
        <row r="3407">
          <cell r="B3407">
            <v>4890</v>
          </cell>
          <cell r="C3407" t="str">
            <v>PLUG OU BUJAO DE FERRO GALVANIZADO, DE 1"</v>
          </cell>
          <cell r="D3407" t="str">
            <v>UN</v>
          </cell>
          <cell r="E3407" t="str">
            <v>CR</v>
          </cell>
          <cell r="F3407">
            <v>8.07</v>
          </cell>
        </row>
        <row r="3408">
          <cell r="B3408">
            <v>4888</v>
          </cell>
          <cell r="C3408" t="str">
            <v>PLUG OU BUJAO DE FERRO GALVANIZADO, DE 1/2"</v>
          </cell>
          <cell r="D3408" t="str">
            <v>UN</v>
          </cell>
          <cell r="E3408" t="str">
            <v>CR</v>
          </cell>
          <cell r="F3408">
            <v>4.29</v>
          </cell>
        </row>
        <row r="3409">
          <cell r="B3409">
            <v>12411</v>
          </cell>
          <cell r="C3409" t="str">
            <v>PLUG OU BUJAO DE FERRO GALVANIZADO, DE 2 1/2"</v>
          </cell>
          <cell r="D3409" t="str">
            <v>UN</v>
          </cell>
          <cell r="E3409" t="str">
            <v>CR</v>
          </cell>
          <cell r="F3409">
            <v>43.46</v>
          </cell>
        </row>
        <row r="3410">
          <cell r="B3410">
            <v>4891</v>
          </cell>
          <cell r="C3410" t="str">
            <v>PLUG OU BUJAO DE FERRO GALVANIZADO, DE 2"</v>
          </cell>
          <cell r="D3410" t="str">
            <v>UN</v>
          </cell>
          <cell r="E3410" t="str">
            <v>CR</v>
          </cell>
          <cell r="F3410">
            <v>21.73</v>
          </cell>
        </row>
        <row r="3411">
          <cell r="B3411">
            <v>4892</v>
          </cell>
          <cell r="C3411" t="str">
            <v>PLUG OU BUJAO DE FERRO GALVANIZADO, DE 3"</v>
          </cell>
          <cell r="D3411" t="str">
            <v>UN</v>
          </cell>
          <cell r="E3411" t="str">
            <v>CR</v>
          </cell>
          <cell r="F3411">
            <v>60.85</v>
          </cell>
        </row>
        <row r="3412">
          <cell r="B3412">
            <v>4889</v>
          </cell>
          <cell r="C3412" t="str">
            <v>PLUG OU BUJAO DE FERRO GALVANIZADO, DE 3/4"</v>
          </cell>
          <cell r="D3412" t="str">
            <v>UN</v>
          </cell>
          <cell r="E3412" t="str">
            <v>CR</v>
          </cell>
          <cell r="F3412">
            <v>5.81</v>
          </cell>
        </row>
        <row r="3413">
          <cell r="B3413">
            <v>12412</v>
          </cell>
          <cell r="C3413" t="str">
            <v>PLUG OU BUJAO DE FERRO GALVANIZADO, DE 4"</v>
          </cell>
          <cell r="D3413" t="str">
            <v>UN</v>
          </cell>
          <cell r="E3413" t="str">
            <v>CR</v>
          </cell>
          <cell r="F3413">
            <v>113.09</v>
          </cell>
        </row>
        <row r="3414">
          <cell r="B3414">
            <v>4907</v>
          </cell>
          <cell r="C3414" t="str">
            <v>PLUG PVC, JE, DN 100 MM, PARA REDE COLETORA ESGOTO</v>
          </cell>
          <cell r="D3414" t="str">
            <v>UN</v>
          </cell>
          <cell r="E3414" t="str">
            <v>CR</v>
          </cell>
          <cell r="F3414">
            <v>25.59</v>
          </cell>
        </row>
        <row r="3415">
          <cell r="B3415">
            <v>4902</v>
          </cell>
          <cell r="C3415" t="str">
            <v>PLUG PVC, JE, DN 150 MM, PARA REDE COLETORA ESGOTO</v>
          </cell>
          <cell r="D3415" t="str">
            <v>UN</v>
          </cell>
          <cell r="E3415" t="str">
            <v>CR</v>
          </cell>
          <cell r="F3415">
            <v>66.38</v>
          </cell>
        </row>
        <row r="3416">
          <cell r="B3416">
            <v>4741</v>
          </cell>
          <cell r="C3416" t="str">
            <v>PO DE PEDRA (POSTO PEDREIRA/FORNECEDOR, SEM FRETE)</v>
          </cell>
          <cell r="D3416" t="str">
            <v>M3</v>
          </cell>
          <cell r="E3416" t="str">
            <v>CR</v>
          </cell>
          <cell r="F3416">
            <v>73.47</v>
          </cell>
        </row>
        <row r="3417">
          <cell r="B3417">
            <v>4752</v>
          </cell>
          <cell r="C3417" t="str">
            <v>POCEIRO / ESCAVADOR DE VALAS E TUBULOES (HORISTA)</v>
          </cell>
          <cell r="D3417" t="str">
            <v>H</v>
          </cell>
          <cell r="E3417" t="str">
            <v>CR</v>
          </cell>
          <cell r="F3417">
            <v>26.48</v>
          </cell>
        </row>
        <row r="3418">
          <cell r="B3418">
            <v>41091</v>
          </cell>
          <cell r="C3418" t="str">
            <v>POCEIRO / ESCAVADOR DE VALAS E TUBULOES (MENSALISTA)</v>
          </cell>
          <cell r="D3418" t="str">
            <v>MES</v>
          </cell>
          <cell r="E3418" t="str">
            <v>CR</v>
          </cell>
          <cell r="F3418">
            <v>4641.22</v>
          </cell>
        </row>
        <row r="3419">
          <cell r="B3419">
            <v>13954</v>
          </cell>
          <cell r="C3419" t="str">
            <v>POLIDORA DE PISO (POLITRIZ) ELETRICA, MOTOR MONOFASICO DE 4 HP, PESO DE 100 KG, DIAMETRO DO TRABALHO DE 450 MM</v>
          </cell>
          <cell r="D3419" t="str">
            <v>UN</v>
          </cell>
          <cell r="E3419" t="str">
            <v>CR</v>
          </cell>
          <cell r="F3419">
            <v>9375.8700000000008</v>
          </cell>
        </row>
        <row r="3420">
          <cell r="B3420">
            <v>3411</v>
          </cell>
          <cell r="C3420" t="str">
            <v>POLIESTIRENO EXPANDIDO/EPS (ISOPOR), PEROLAS, PARA CONCRETO LEVE</v>
          </cell>
          <cell r="D3420" t="str">
            <v>KG</v>
          </cell>
          <cell r="E3420" t="str">
            <v>CR</v>
          </cell>
          <cell r="F3420">
            <v>57.18</v>
          </cell>
        </row>
        <row r="3421">
          <cell r="B3421">
            <v>39995</v>
          </cell>
          <cell r="C3421" t="str">
            <v>POLIESTIRENO EXPANDIDO/EPS (ISOPOR), TIPO 2F, BLOCO</v>
          </cell>
          <cell r="D3421" t="str">
            <v>M3</v>
          </cell>
          <cell r="E3421" t="str">
            <v>CR</v>
          </cell>
          <cell r="F3421">
            <v>439.92</v>
          </cell>
        </row>
        <row r="3422">
          <cell r="B3422">
            <v>11615</v>
          </cell>
          <cell r="C3422" t="str">
            <v>POLIESTIRENO EXPANDIDO/EPS (ISOPOR), TIPO 2F, PLACA, ISOLAMENTO TERMOACUSTICO, E = 10 MM, 1000 X 500 MM</v>
          </cell>
          <cell r="D3422" t="str">
            <v>M2</v>
          </cell>
          <cell r="E3422" t="str">
            <v>CR</v>
          </cell>
          <cell r="F3422">
            <v>3.73</v>
          </cell>
        </row>
        <row r="3423">
          <cell r="B3423">
            <v>3408</v>
          </cell>
          <cell r="C3423" t="str">
            <v>POLIESTIRENO EXPANDIDO/EPS (ISOPOR), TIPO 2F, PLACA, ISOLAMENTO TERMOACUSTICO, E = 20 MM, 1000 X 500 MM</v>
          </cell>
          <cell r="D3423" t="str">
            <v>M2</v>
          </cell>
          <cell r="E3423" t="str">
            <v>C</v>
          </cell>
          <cell r="F3423">
            <v>9.91</v>
          </cell>
        </row>
        <row r="3424">
          <cell r="B3424">
            <v>3409</v>
          </cell>
          <cell r="C3424" t="str">
            <v>POLIESTIRENO EXPANDIDO/EPS (ISOPOR), TIPO 2F, PLACA, ISOLAMENTO TERMOACUSTICO, E = 50 MM, 1000 X 500 MM</v>
          </cell>
          <cell r="D3424" t="str">
            <v>M2</v>
          </cell>
          <cell r="E3424" t="str">
            <v>CR</v>
          </cell>
          <cell r="F3424">
            <v>24.77</v>
          </cell>
        </row>
        <row r="3425">
          <cell r="B3425">
            <v>11427</v>
          </cell>
          <cell r="C3425" t="str">
            <v>POLVORA NEGRA</v>
          </cell>
          <cell r="D3425" t="str">
            <v>KG</v>
          </cell>
          <cell r="E3425" t="str">
            <v>CR</v>
          </cell>
          <cell r="F3425">
            <v>104.53</v>
          </cell>
        </row>
        <row r="3426">
          <cell r="B3426">
            <v>4491</v>
          </cell>
          <cell r="C3426" t="str">
            <v>PONTALETE *7,5 X 7,5* CM EM PINUS, MISTA OU EQUIVALENTE DA REGIAO - BRUTA</v>
          </cell>
          <cell r="D3426" t="str">
            <v>M</v>
          </cell>
          <cell r="E3426" t="str">
            <v>CR</v>
          </cell>
          <cell r="F3426">
            <v>8.14</v>
          </cell>
        </row>
        <row r="3427">
          <cell r="B3427">
            <v>2745</v>
          </cell>
          <cell r="C3427" t="str">
            <v>PONTALETE ROLICO SEM TRATAMENTO, D = 8 A 11 CM, H = 3 M, EM EUCALIPTO OU EQUIVALENTE DA REGIAO - BRUTA (PARA ESCORAMENTO)</v>
          </cell>
          <cell r="D3427" t="str">
            <v>M</v>
          </cell>
          <cell r="E3427" t="str">
            <v>CR</v>
          </cell>
          <cell r="F3427">
            <v>3.87</v>
          </cell>
        </row>
        <row r="3428">
          <cell r="B3428">
            <v>14439</v>
          </cell>
          <cell r="C3428" t="str">
            <v>PONTALETE ROLICO SEM TRATAMENTO, D = 8 A 11 CM, H = 6 M, EM EUCALIPTO OU EQUIVALENTE DA REGIAO - BRUTA (PARA ESCORAMENTO)</v>
          </cell>
          <cell r="D3428" t="str">
            <v>M</v>
          </cell>
          <cell r="E3428" t="str">
            <v>CR</v>
          </cell>
          <cell r="F3428">
            <v>4.8</v>
          </cell>
        </row>
        <row r="3429">
          <cell r="B3429">
            <v>45238</v>
          </cell>
          <cell r="C3429" t="str">
            <v>PONTEIRO DE ACO, LISO, REDONDO, 3/4" X 10"</v>
          </cell>
          <cell r="D3429" t="str">
            <v>UN</v>
          </cell>
          <cell r="E3429" t="str">
            <v>CR</v>
          </cell>
          <cell r="F3429">
            <v>26.01</v>
          </cell>
        </row>
        <row r="3430">
          <cell r="B3430">
            <v>44496</v>
          </cell>
          <cell r="C3430" t="str">
            <v>PONTEIRO PARA MARTELO ROMPEDOR, DIAMETRO = *28* MM, COMPRIMENTO = *520* MM, ENCAIXE SEXTAVADO</v>
          </cell>
          <cell r="D3430" t="str">
            <v>UN</v>
          </cell>
          <cell r="E3430" t="str">
            <v>CR</v>
          </cell>
          <cell r="F3430">
            <v>177.84</v>
          </cell>
        </row>
        <row r="3431">
          <cell r="B3431">
            <v>12362</v>
          </cell>
          <cell r="C3431" t="str">
            <v>PORCA OLHAL EM ACO GALVANIZADO, ESPESSURA 16MM, ABERTURA 21MM</v>
          </cell>
          <cell r="D3431" t="str">
            <v>UN</v>
          </cell>
          <cell r="E3431" t="str">
            <v>CR</v>
          </cell>
          <cell r="F3431">
            <v>13.04</v>
          </cell>
        </row>
        <row r="3432">
          <cell r="B3432">
            <v>421</v>
          </cell>
          <cell r="C3432" t="str">
            <v>PORCA OLHAL M 16, EM ACO GALVANIZADO, DIAMETRO = 16 MM</v>
          </cell>
          <cell r="D3432" t="str">
            <v>UN</v>
          </cell>
          <cell r="E3432" t="str">
            <v>CR</v>
          </cell>
          <cell r="F3432">
            <v>21.12</v>
          </cell>
        </row>
        <row r="3433">
          <cell r="B3433">
            <v>14148</v>
          </cell>
          <cell r="C3433" t="str">
            <v>PORCA UNIAO/JUNCAO ZINCADA SEXTAVADA 1/4", CHAVE 7/16", COMPRIMENTO = 25 MM</v>
          </cell>
          <cell r="D3433" t="str">
            <v>UN</v>
          </cell>
          <cell r="E3433" t="str">
            <v>CR</v>
          </cell>
          <cell r="F3433">
            <v>0.94</v>
          </cell>
        </row>
        <row r="3434">
          <cell r="B3434">
            <v>4341</v>
          </cell>
          <cell r="C3434" t="str">
            <v>PORCA ZINCADA, QUADRADA, DIAMETRO 3/8"</v>
          </cell>
          <cell r="D3434" t="str">
            <v>UN</v>
          </cell>
          <cell r="E3434" t="str">
            <v>CR</v>
          </cell>
          <cell r="F3434">
            <v>0.98</v>
          </cell>
        </row>
        <row r="3435">
          <cell r="B3435">
            <v>4337</v>
          </cell>
          <cell r="C3435" t="str">
            <v>PORCA ZINCADA, QUADRADA, DIAMETRO 5/8"</v>
          </cell>
          <cell r="D3435" t="str">
            <v>UN</v>
          </cell>
          <cell r="E3435" t="str">
            <v>CR</v>
          </cell>
          <cell r="F3435">
            <v>2.48</v>
          </cell>
        </row>
        <row r="3436">
          <cell r="B3436">
            <v>11971</v>
          </cell>
          <cell r="C3436" t="str">
            <v>PORCA ZINCADA, SEXTAVADA, DIAMETRO 1"</v>
          </cell>
          <cell r="D3436" t="str">
            <v>UN</v>
          </cell>
          <cell r="E3436" t="str">
            <v>CR</v>
          </cell>
          <cell r="F3436">
            <v>4.0999999999999996</v>
          </cell>
        </row>
        <row r="3437">
          <cell r="B3437">
            <v>4339</v>
          </cell>
          <cell r="C3437" t="str">
            <v>PORCA ZINCADA, SEXTAVADA, DIAMETRO 1/2"</v>
          </cell>
          <cell r="D3437" t="str">
            <v>UN</v>
          </cell>
          <cell r="E3437" t="str">
            <v>CR</v>
          </cell>
          <cell r="F3437">
            <v>0.52</v>
          </cell>
        </row>
        <row r="3438">
          <cell r="B3438">
            <v>39997</v>
          </cell>
          <cell r="C3438" t="str">
            <v>PORCA ZINCADA, SEXTAVADA, DIAMETRO 1/4"</v>
          </cell>
          <cell r="D3438" t="str">
            <v>UN</v>
          </cell>
          <cell r="E3438" t="str">
            <v>CR</v>
          </cell>
          <cell r="F3438">
            <v>0.28999999999999998</v>
          </cell>
        </row>
        <row r="3439">
          <cell r="B3439">
            <v>4342</v>
          </cell>
          <cell r="C3439" t="str">
            <v>PORCA ZINCADA, SEXTAVADA, DIAMETRO 3/8"</v>
          </cell>
          <cell r="D3439" t="str">
            <v>UN</v>
          </cell>
          <cell r="E3439" t="str">
            <v>CR</v>
          </cell>
          <cell r="F3439">
            <v>0.21</v>
          </cell>
        </row>
        <row r="3440">
          <cell r="B3440">
            <v>4330</v>
          </cell>
          <cell r="C3440" t="str">
            <v>PORCA ZINCADA, SEXTAVADA, DIAMETRO 5/16"</v>
          </cell>
          <cell r="D3440" t="str">
            <v>UN</v>
          </cell>
          <cell r="E3440" t="str">
            <v>CR</v>
          </cell>
          <cell r="F3440">
            <v>0.14000000000000001</v>
          </cell>
        </row>
        <row r="3441">
          <cell r="B3441">
            <v>4340</v>
          </cell>
          <cell r="C3441" t="str">
            <v>PORCA ZINCADA, SEXTAVADA, DIAMETRO 5/8"</v>
          </cell>
          <cell r="D3441" t="str">
            <v>UN</v>
          </cell>
          <cell r="E3441" t="str">
            <v>CR</v>
          </cell>
          <cell r="F3441">
            <v>1.1499999999999999</v>
          </cell>
        </row>
        <row r="3442">
          <cell r="B3442">
            <v>5088</v>
          </cell>
          <cell r="C3442" t="str">
            <v>PORTA CADEADO EM ACO GALVANIZADO, COMPRIMENTO DE 3 1/2"</v>
          </cell>
          <cell r="D3442" t="str">
            <v>UN</v>
          </cell>
          <cell r="E3442" t="str">
            <v>CR</v>
          </cell>
          <cell r="F3442">
            <v>6.7</v>
          </cell>
        </row>
        <row r="3443">
          <cell r="B3443">
            <v>11154</v>
          </cell>
          <cell r="C3443" t="str">
            <v>PORTA CORTA-FOGO SIMPLES PARA SAIDA DE EMERGENCIA, 1 FOLHA DE ABRIR, 5 CM, ACABAMENTO NATURAL / SEM PINTURA, COM FECHADURA TIPO TRINCO, DOBRADICAS E BATENTE, VAO LUZ DE 90 X 210 CM, CLASSE P-90 (NBR 11742)</v>
          </cell>
          <cell r="D3443" t="str">
            <v>UN</v>
          </cell>
          <cell r="E3443" t="str">
            <v>CR</v>
          </cell>
          <cell r="F3443">
            <v>1685.44</v>
          </cell>
        </row>
        <row r="3444">
          <cell r="B3444">
            <v>4989</v>
          </cell>
          <cell r="C3444" t="str">
            <v>PORTA DE ABRIR / GIRO, DE MADEIRA FOLHA MEDIA (NBR 15930) DE 1000 X 2100 MM, DE 35 MM A 40 MM DE ESPESSURA, NUCLEO SEMI-SOLIDO (SARRAFEADO), CAPA LISA EM HDF, ACABAMENTO EM LAMINADO NATURAL PARA VERNIZ</v>
          </cell>
          <cell r="D3444" t="str">
            <v>UN</v>
          </cell>
          <cell r="E3444" t="str">
            <v>CR</v>
          </cell>
          <cell r="F3444">
            <v>364.46</v>
          </cell>
        </row>
        <row r="3445">
          <cell r="B3445">
            <v>4982</v>
          </cell>
          <cell r="C3445" t="str">
            <v>PORTA DE ABRIR / GIRO, DE MADEIRA FOLHA MEDIA (NBR 15930) DE 1000 X 2100 MM, DE 35 MM A 40 MM DE ESPESSURA, NUCLEO SEMI-SOLIDO (SARRAFEADO), CAPA LISA EM HDF, ACABAMENTO EM PRIMER PARA PINTURA</v>
          </cell>
          <cell r="D3445" t="str">
            <v>UN</v>
          </cell>
          <cell r="E3445" t="str">
            <v>CR</v>
          </cell>
          <cell r="F3445">
            <v>341.84</v>
          </cell>
        </row>
        <row r="3446">
          <cell r="B3446">
            <v>4962</v>
          </cell>
          <cell r="C3446" t="str">
            <v>PORTA DE ABRIR / GIRO, DE MADEIRA FOLHA MEDIA (NBR 15930) DE 700 X 2100 MM, DE 35 MM A 40 MM DE ESPESSURA, NUCLEO SEMI-SOLIDO (SARRAFEADO), CAPA FRISADA EM HDF, ACABAMENTO MELAMINICO EM PADRAO MADEIRA</v>
          </cell>
          <cell r="D3446" t="str">
            <v>UN</v>
          </cell>
          <cell r="E3446" t="str">
            <v>CR</v>
          </cell>
          <cell r="F3446">
            <v>269.58999999999997</v>
          </cell>
        </row>
        <row r="3447">
          <cell r="B3447">
            <v>4981</v>
          </cell>
          <cell r="C3447" t="str">
            <v>PORTA DE ABRIR / GIRO, DE MADEIRA FOLHA MEDIA (NBR 15930) DE 700 X 2100 MM, DE 35 MM A 40 MM DE ESPESSURA, NUCLEO SEMI-SOLIDO (SARRAFEADO), CAPA LISA EM HDF, ACABAMENTO EM LAMINADO NATURAL PARA VERNIZ</v>
          </cell>
          <cell r="D3447" t="str">
            <v>UN</v>
          </cell>
          <cell r="E3447" t="str">
            <v>C</v>
          </cell>
          <cell r="F3447">
            <v>240</v>
          </cell>
        </row>
        <row r="3448">
          <cell r="B3448">
            <v>4964</v>
          </cell>
          <cell r="C3448" t="str">
            <v>PORTA DE ABRIR / GIRO, DE MADEIRA FOLHA MEDIA (NBR 15930) DE 800 X 2100 MM, DE 35 MM A 40 MM DE ESPESSURA, NUCLEO SEMI-SOLIDO (SARRAFEADO), CAPA FRISADA EM HDF, ACABAMENTO MELAMINICO EM PADRAO MADEIRA</v>
          </cell>
          <cell r="D3448" t="str">
            <v>UN</v>
          </cell>
          <cell r="E3448" t="str">
            <v>CR</v>
          </cell>
          <cell r="F3448">
            <v>304.47000000000003</v>
          </cell>
        </row>
        <row r="3449">
          <cell r="B3449">
            <v>4992</v>
          </cell>
          <cell r="C3449" t="str">
            <v>PORTA DE ABRIR / GIRO, DE MADEIRA FOLHA MEDIA (NBR 15930) DE 800 X 2100 MM, DE 35 MM A 40 MM DE ESPESSURA, NUCLEO SEMI-SOLIDO (SARRAFEADO), CAPA LISA EM HDF, ACABAMENTO EM LAMINADO NATURAL PARA VERNIZ</v>
          </cell>
          <cell r="D3449" t="str">
            <v>UN</v>
          </cell>
          <cell r="E3449" t="str">
            <v>CR</v>
          </cell>
          <cell r="F3449">
            <v>297.41000000000003</v>
          </cell>
        </row>
        <row r="3450">
          <cell r="B3450">
            <v>4987</v>
          </cell>
          <cell r="C3450" t="str">
            <v>PORTA DE ABRIR / GIRO, DE MADEIRA FOLHA MEDIA (NBR 15930) DE 900 X 2100 MM, DE 35 MM A 40 MM DE ESPESSURA, NUCLEO SEMI-SOLIDO (SARRAFEADO), CAPA LISA EM HDF, ACABAMENTO EM LAMINADO NATURAL PARA VERNIZ</v>
          </cell>
          <cell r="D3450" t="str">
            <v>UN</v>
          </cell>
          <cell r="E3450" t="str">
            <v>CR</v>
          </cell>
          <cell r="F3450">
            <v>340.26</v>
          </cell>
        </row>
        <row r="3451">
          <cell r="B3451">
            <v>4930</v>
          </cell>
          <cell r="C3451" t="str">
            <v>PORTA DE ABRIR / GIRO, EM GRADIL FERRO, COM BARRA CHATA 3 CM X 1/4", COM REQUADRO E GUARNICAO - COMPLETO - ACABAMENTO NATURAL</v>
          </cell>
          <cell r="D3451" t="str">
            <v>M2</v>
          </cell>
          <cell r="E3451" t="str">
            <v>CR</v>
          </cell>
          <cell r="F3451">
            <v>713.89</v>
          </cell>
        </row>
        <row r="3452">
          <cell r="B3452">
            <v>4998</v>
          </cell>
          <cell r="C3452" t="str">
            <v>PORTA DE ABRIR / GIRO, EM MADEIRA MACICA (ANGELIM OU EQUIVALENTE REGIONAL), QUALQUER DESENHO (VERTICAL/DIAGONAL/HORIZ.), E = *3,5* CM, DIMENSOES 2,10 X 0,70 (SOMENTE FOLHA DE PORTA, ACABAMENTO NATURAL)</v>
          </cell>
          <cell r="D3452" t="str">
            <v>M2</v>
          </cell>
          <cell r="E3452" t="str">
            <v>CR</v>
          </cell>
          <cell r="F3452">
            <v>654.91999999999996</v>
          </cell>
        </row>
        <row r="3453">
          <cell r="B3453">
            <v>39021</v>
          </cell>
          <cell r="C3453" t="str">
            <v>PORTA DE ABRIR EM ACO, COM DIVISAO HORIZONTAL PARA VIDROS, 90 X 210 CM, COM FUNDO ANTICORROSIVO/PRIMER DE PROTECAO, INCLUI FECHADURA, MACANETA E PARAFUSO, SEM GUARNICAO/ALIZAR/VISTA, VIDROS NAO INCLUSOS</v>
          </cell>
          <cell r="D3453" t="str">
            <v>UN</v>
          </cell>
          <cell r="E3453" t="str">
            <v>CR</v>
          </cell>
          <cell r="F3453">
            <v>759.05</v>
          </cell>
        </row>
        <row r="3454">
          <cell r="B3454">
            <v>39022</v>
          </cell>
          <cell r="C3454" t="str">
            <v>PORTA DE ABRIR EM ACO, TIPO VENEZIANA, 90 X 210 CM, COM FUNDO ANTICORROSIVO / PRIMER DE PROTECAO, INCLUI FECHADURA, MACANETA E PARAFUSOS, SEM GUARNICAO/ALIZAR/VISTA</v>
          </cell>
          <cell r="D3454" t="str">
            <v>UN</v>
          </cell>
          <cell r="E3454" t="str">
            <v>C</v>
          </cell>
          <cell r="F3454">
            <v>679.9</v>
          </cell>
        </row>
        <row r="3455">
          <cell r="B3455">
            <v>39024</v>
          </cell>
          <cell r="C3455" t="str">
            <v>PORTA DE ABRIR EM ALUMINIO COM DIVISAO HORIZONTAL PARA VIDROS, ACABAMENTO ANODIZADO NATURAL, VIDROS INCLUSOS, SEM GUARNICAO/ALIZAR/VISTA, 87 CM X 210 CM</v>
          </cell>
          <cell r="D3455" t="str">
            <v>UN</v>
          </cell>
          <cell r="E3455" t="str">
            <v>CR</v>
          </cell>
          <cell r="F3455">
            <v>810.46</v>
          </cell>
        </row>
        <row r="3456">
          <cell r="B3456">
            <v>4914</v>
          </cell>
          <cell r="C3456" t="str">
            <v>PORTA DE ABRIR EM ALUMINIO COM LAMBRI HORIZONTAL/LAMINADA, ACABAMENTO ANODIZADO NATURAL, SEM GUARNICAO/ALIZAR/VISTA</v>
          </cell>
          <cell r="D3456" t="str">
            <v>M2</v>
          </cell>
          <cell r="E3456" t="str">
            <v>CR</v>
          </cell>
          <cell r="F3456">
            <v>657.14</v>
          </cell>
        </row>
        <row r="3457">
          <cell r="B3457">
            <v>4917</v>
          </cell>
          <cell r="C3457" t="str">
            <v>PORTA DE ABRIR EM ALUMINIO TIPO VENEZIANA, ACABAMENTO ANODIZADO NATURAL, SEM GUARNICAO/ALIZAR/VISTA</v>
          </cell>
          <cell r="D3457" t="str">
            <v>M2</v>
          </cell>
          <cell r="E3457" t="str">
            <v>C</v>
          </cell>
          <cell r="F3457">
            <v>453.83</v>
          </cell>
        </row>
        <row r="3458">
          <cell r="B3458">
            <v>39025</v>
          </cell>
          <cell r="C3458" t="str">
            <v>PORTA DE ABRIR, TIPO VENEZIANA, EM ALUMINIO, ACABAMENTO ANODIZADO NATURAL, 90 CM X 210 CM (LARGURA X ALTURA), SEM GUARNICAO/ALIZAR/VISTA</v>
          </cell>
          <cell r="D3458" t="str">
            <v>UN</v>
          </cell>
          <cell r="E3458" t="str">
            <v>CR</v>
          </cell>
          <cell r="F3458">
            <v>831.05</v>
          </cell>
        </row>
        <row r="3459">
          <cell r="B3459">
            <v>4922</v>
          </cell>
          <cell r="C3459" t="str">
            <v>PORTA DE CORRER EM ALUMINIO, DUAS FOLHAS MOVEIS COM VIDRO, FECHADURA E PUXADOR EMBUTIDO, ACABAMENTO ANODIZADO NATURAL, SEM GUARNICAO/ALIZAR/VISTA</v>
          </cell>
          <cell r="D3459" t="str">
            <v>M2</v>
          </cell>
          <cell r="E3459" t="str">
            <v>CR</v>
          </cell>
          <cell r="F3459">
            <v>420.97</v>
          </cell>
        </row>
        <row r="3460">
          <cell r="B3460">
            <v>4911</v>
          </cell>
          <cell r="C3460" t="str">
            <v>PORTA DE ENROLAR MANUAL COMPLETA, ARTICULADA RAIADA LARGA, EM ACO GALVANIZADO NATURAL, CHAPA NUMERO 24 (SEM INSTALACAO)</v>
          </cell>
          <cell r="D3460" t="str">
            <v>M2</v>
          </cell>
          <cell r="E3460" t="str">
            <v>CR</v>
          </cell>
          <cell r="F3460">
            <v>291.2</v>
          </cell>
        </row>
        <row r="3461">
          <cell r="B3461">
            <v>37518</v>
          </cell>
          <cell r="C3461" t="str">
            <v>PORTA DE ENROLAR MANUAL COMPLETA, PERFIL MEIA CANA CEGA, EM ACO GALVANIZADO COM PINTURA ELETROSTATICA, CHAPA NUMERO 24" (SEM INSTALACAO)</v>
          </cell>
          <cell r="D3461" t="str">
            <v>M2</v>
          </cell>
          <cell r="E3461" t="str">
            <v>CR</v>
          </cell>
          <cell r="F3461">
            <v>473.2</v>
          </cell>
        </row>
        <row r="3462">
          <cell r="B3462">
            <v>4910</v>
          </cell>
          <cell r="C3462" t="str">
            <v>PORTA DE ENROLAR MANUAL COMPLETA, PERFIL MEIA CANA CEGA, EM ACO GALVANIZADO NATURAL, CHAPA NUMERO 24 (SEM INSTALACAO)</v>
          </cell>
          <cell r="D3462" t="str">
            <v>M2</v>
          </cell>
          <cell r="E3462" t="str">
            <v>CR</v>
          </cell>
          <cell r="F3462">
            <v>398.91</v>
          </cell>
        </row>
        <row r="3463">
          <cell r="B3463">
            <v>4943</v>
          </cell>
          <cell r="C3463" t="str">
            <v>PORTA DE ENROLAR MANUAL COMPLETA, PERFIL MEIA CANA VAZADA TIJOLINHO, EM ACO GALVANIZADO NATURAL, CHAPA NUMERO 24 (SEM INSTALACAO)</v>
          </cell>
          <cell r="D3463" t="str">
            <v>M2</v>
          </cell>
          <cell r="E3463" t="str">
            <v>CR</v>
          </cell>
          <cell r="F3463">
            <v>594.28</v>
          </cell>
        </row>
        <row r="3464">
          <cell r="B3464">
            <v>5002</v>
          </cell>
          <cell r="C3464" t="str">
            <v>PORTA DE MADEIRA QUADRICULADA PARA VIDRO, DE CORRER (EUCALIPTO OU EQUIVALENTE REGIONAL), E = *3,5* CM</v>
          </cell>
          <cell r="D3464" t="str">
            <v>M2</v>
          </cell>
          <cell r="E3464" t="str">
            <v>CR</v>
          </cell>
          <cell r="F3464">
            <v>477.42</v>
          </cell>
        </row>
        <row r="3465">
          <cell r="B3465">
            <v>4977</v>
          </cell>
          <cell r="C3465" t="str">
            <v>PORTA DE MADEIRA TIPO VENEZIANA (EUCALIPTO OU EQUIVALENTE REGIONAL), E = *3,5* CM</v>
          </cell>
          <cell r="D3465" t="str">
            <v>M2</v>
          </cell>
          <cell r="E3465" t="str">
            <v>CR</v>
          </cell>
          <cell r="F3465">
            <v>322.27999999999997</v>
          </cell>
        </row>
        <row r="3466">
          <cell r="B3466">
            <v>11364</v>
          </cell>
          <cell r="C3466" t="str">
            <v>PORTA DE MADEIRA, FOLHA LEVE (NBR 15930) DE 600 X 2100 MM, DE 35 MM A 40 MM DE ESPESSURA, NUCLEO COLMEIA, CAPA LISA EM HDF, ACABAMENTO EM PRIMER PARA PINTURA</v>
          </cell>
          <cell r="D3466" t="str">
            <v>UN</v>
          </cell>
          <cell r="E3466" t="str">
            <v>CR</v>
          </cell>
          <cell r="F3466">
            <v>206.18</v>
          </cell>
        </row>
        <row r="3467">
          <cell r="B3467">
            <v>11365</v>
          </cell>
          <cell r="C3467" t="str">
            <v>PORTA DE MADEIRA, FOLHA LEVE (NBR 15930) DE 700 X 2100 MM, DE 35 MM A 40 MM DE ESPESSURA, NUCLEO COLMEIA, CAPA LISA EM HDF, ACABAMENTO EM PRIMER PARA PINTURA</v>
          </cell>
          <cell r="D3467" t="str">
            <v>UN</v>
          </cell>
          <cell r="E3467" t="str">
            <v>CR</v>
          </cell>
          <cell r="F3467">
            <v>213.96</v>
          </cell>
        </row>
        <row r="3468">
          <cell r="B3468">
            <v>11366</v>
          </cell>
          <cell r="C3468" t="str">
            <v>PORTA DE MADEIRA, FOLHA LEVE (NBR 15930) DE 800 X 2100 MM, DE 35 MM A 40 MM DE ESPESSURA, NUCLEO COLMEIA, CAPA LISA EM HDF, ACABAMENTO EM PRIMER PARA PINTURA</v>
          </cell>
          <cell r="D3468" t="str">
            <v>UN</v>
          </cell>
          <cell r="E3468" t="str">
            <v>CR</v>
          </cell>
          <cell r="F3468">
            <v>227.44</v>
          </cell>
        </row>
        <row r="3469">
          <cell r="B3469">
            <v>43777</v>
          </cell>
          <cell r="C3469" t="str">
            <v>PORTA DE MADEIRA, FOLHA LEVE (NBR 15930), DE 600 X 2100 MM, E = 35 MM, NUCLEO COLMEIA, CAPA LISA EM HDF, ACABAMENTO MELAMINICO EM PADRAO MADEIRA</v>
          </cell>
          <cell r="D3469" t="str">
            <v>UN</v>
          </cell>
          <cell r="E3469" t="str">
            <v>CR</v>
          </cell>
          <cell r="F3469">
            <v>267.17</v>
          </cell>
        </row>
        <row r="3470">
          <cell r="B3470">
            <v>20322</v>
          </cell>
          <cell r="C3470" t="str">
            <v>PORTA DE MADEIRA, FOLHA MEDIA (NBR 15930) DE 600 X 2100 MM, DE 35 MM A 40 MM DE ESPESSURA, NUCLEO SEMI-SOLIDO (SARRAFEADO), CAPA FRISADA EM HDF, ACABAMENTO MELAMINICO EM PADRAO MADEIRA</v>
          </cell>
          <cell r="D3470" t="str">
            <v>UN</v>
          </cell>
          <cell r="E3470" t="str">
            <v>CR</v>
          </cell>
          <cell r="F3470">
            <v>248.01</v>
          </cell>
        </row>
        <row r="3471">
          <cell r="B3471">
            <v>10553</v>
          </cell>
          <cell r="C3471" t="str">
            <v>PORTA DE MADEIRA, FOLHA MEDIA (NBR 15930) DE 600 X 2100 MM, DE 35 MM A 40 MM DE ESPESSURA, NUCLEO SEMI-SOLIDO (SARRAFEADO), CAPA LISA EM HDF, ACABAMENTO EM PRIMER PARA PINTURA</v>
          </cell>
          <cell r="D3471" t="str">
            <v>UN</v>
          </cell>
          <cell r="E3471" t="str">
            <v>CR</v>
          </cell>
          <cell r="F3471">
            <v>225.19</v>
          </cell>
        </row>
        <row r="3472">
          <cell r="B3472">
            <v>5020</v>
          </cell>
          <cell r="C3472" t="str">
            <v>PORTA DE MADEIRA, FOLHA MEDIA (NBR 15930) DE 600 X 2100 MM, DE 35 MM A 40 MM DE ESPESSURA, NUCLEO SEMI-SOLIDO (SARRAFEADO), CAPA LISA EM HDF, ACABAMENTO LAMINADO NATURAL PARA VERNIZ</v>
          </cell>
          <cell r="D3472" t="str">
            <v>UN</v>
          </cell>
          <cell r="E3472" t="str">
            <v>CR</v>
          </cell>
          <cell r="F3472">
            <v>237.42</v>
          </cell>
        </row>
        <row r="3473">
          <cell r="B3473">
            <v>10554</v>
          </cell>
          <cell r="C3473" t="str">
            <v>PORTA DE MADEIRA, FOLHA MEDIA (NBR 15930) DE 700 X 2100 MM, DE 35 MM A 40 MM DE ESPESSURA, NUCLEO SEMI-SOLIDO (SARRAFEADO), CAPA LISA EM HDF, ACABAMENTO EM PRIMER PARA PINTURA</v>
          </cell>
          <cell r="D3473" t="str">
            <v>UN</v>
          </cell>
          <cell r="E3473" t="str">
            <v>CR</v>
          </cell>
          <cell r="F3473">
            <v>227.19</v>
          </cell>
        </row>
        <row r="3474">
          <cell r="B3474">
            <v>10555</v>
          </cell>
          <cell r="C3474" t="str">
            <v>PORTA DE MADEIRA, FOLHA MEDIA (NBR 15930) DE 800 X 2100 MM, DE 35 MM A 40 MM DE ESPESSURA, NUCLEO SEMI-SOLIDO (SARRAFEADO), CAPA LISA EM HDF, ACABAMENTO EM PRIMER PARA PINTURA</v>
          </cell>
          <cell r="D3474" t="str">
            <v>UN</v>
          </cell>
          <cell r="E3474" t="str">
            <v>CR</v>
          </cell>
          <cell r="F3474">
            <v>247.76</v>
          </cell>
        </row>
        <row r="3475">
          <cell r="B3475">
            <v>10556</v>
          </cell>
          <cell r="C3475" t="str">
            <v>PORTA DE MADEIRA, FOLHA MEDIA (NBR 15930) DE 900 X 2100 MM, DE 35 MM A 40 MM DE ESPESSURA, NUCLEO SEMI-SOLIDO (SARRAFEADO), CAPA LISA EM HDF, ACABAMENTO EM PRIMER PARA PINTURA</v>
          </cell>
          <cell r="D3475" t="str">
            <v>UN</v>
          </cell>
          <cell r="E3475" t="str">
            <v>CR</v>
          </cell>
          <cell r="F3475">
            <v>329.42</v>
          </cell>
        </row>
        <row r="3476">
          <cell r="B3476">
            <v>39502</v>
          </cell>
          <cell r="C3476" t="str">
            <v>PORTA DE MADEIRA, FOLHA PESADA (NBR 15930) DE 800 X 2100 MM, DE 40 MM A 45 MM DE ESPESSURA, NUCLEO SOLIDO, CAPA LISA EM HDF, ACABAMENTO EM LAMINADO NATURAL PARA VERNIZ</v>
          </cell>
          <cell r="D3476" t="str">
            <v>UN</v>
          </cell>
          <cell r="E3476" t="str">
            <v>CR</v>
          </cell>
          <cell r="F3476">
            <v>462.58</v>
          </cell>
        </row>
        <row r="3477">
          <cell r="B3477">
            <v>39504</v>
          </cell>
          <cell r="C3477" t="str">
            <v>PORTA DE MADEIRA, FOLHA PESADA (NBR 15930) DE 800 X 2100 MM, DE 40 MM A 45 MM DE ESPESSURA, NUCLEO SOLIDO, CAPA LISA EM HDF, ACABAMENTO EM PRIMER PARA PINTURA</v>
          </cell>
          <cell r="D3477" t="str">
            <v>UN</v>
          </cell>
          <cell r="E3477" t="str">
            <v>CR</v>
          </cell>
          <cell r="F3477">
            <v>511.53</v>
          </cell>
        </row>
        <row r="3478">
          <cell r="B3478">
            <v>39503</v>
          </cell>
          <cell r="C3478" t="str">
            <v>PORTA DE MADEIRA, FOLHA PESADA (NBR 15930) DE 900 X 2100 MM, DE 40 MM A 45 MM DE ESPESSURA, NUCLEO SOLIDO, CAPA LISA EM HDF, ACABAMENTO EM LAMINADO NATURAL PARA VERNIZ</v>
          </cell>
          <cell r="D3478" t="str">
            <v>UN</v>
          </cell>
          <cell r="E3478" t="str">
            <v>CR</v>
          </cell>
          <cell r="F3478">
            <v>538.37</v>
          </cell>
        </row>
        <row r="3479">
          <cell r="B3479">
            <v>39505</v>
          </cell>
          <cell r="C3479" t="str">
            <v>PORTA DE MADEIRA, FOLHA PESADA (NBR 15930) DE 900 X 2100 MM, DE 40 MM A 45 MM DE ESPESSURA, NUCLEO SOLIDO, CAPA LISA EM HDF, ACABAMENTO EM PRIMER PARA PINTURA</v>
          </cell>
          <cell r="D3479" t="str">
            <v>UN</v>
          </cell>
          <cell r="E3479" t="str">
            <v>CR</v>
          </cell>
          <cell r="F3479">
            <v>580.16999999999996</v>
          </cell>
        </row>
        <row r="3480">
          <cell r="B3480">
            <v>5028</v>
          </cell>
          <cell r="C3480" t="str">
            <v>PORTA DE MADEIRA-DE-LEI QUADRICULADA PARA VIDRO, DE CORRER (ANGELIM OU EQUIVALENTE REGIONAL), E = *3,5* CM</v>
          </cell>
          <cell r="D3480" t="str">
            <v>M2</v>
          </cell>
          <cell r="E3480" t="str">
            <v>CR</v>
          </cell>
          <cell r="F3480">
            <v>788.56</v>
          </cell>
        </row>
        <row r="3481">
          <cell r="B3481">
            <v>4969</v>
          </cell>
          <cell r="C3481" t="str">
            <v>PORTA DE MADEIRA-DE-LEI TIPO VENEZIANA (ANGELIM OU EQUIVALENTE REGIONAL), E = *3,5* CM</v>
          </cell>
          <cell r="D3481" t="str">
            <v>M2</v>
          </cell>
          <cell r="E3481" t="str">
            <v>C</v>
          </cell>
          <cell r="F3481">
            <v>455.8</v>
          </cell>
        </row>
        <row r="3482">
          <cell r="B3482">
            <v>44471</v>
          </cell>
          <cell r="C3482" t="str">
            <v>PORTA DENTE PARA FRESADORA</v>
          </cell>
          <cell r="D3482" t="str">
            <v>UN</v>
          </cell>
          <cell r="E3482" t="str">
            <v>CR</v>
          </cell>
          <cell r="F3482">
            <v>537.95000000000005</v>
          </cell>
        </row>
        <row r="3483">
          <cell r="B3483">
            <v>4944</v>
          </cell>
          <cell r="C3483" t="str">
            <v>PORTA GRADE DE ENROLAR MANUAL COMPLETA, PERFIL TUBULAR TIJOLINHO 3/4", EM ACO GALVANIZADO NATURAL (SEM INSTALACAO)</v>
          </cell>
          <cell r="D3483" t="str">
            <v>M2</v>
          </cell>
          <cell r="E3483" t="str">
            <v>CR</v>
          </cell>
          <cell r="F3483">
            <v>888.45</v>
          </cell>
        </row>
        <row r="3484">
          <cell r="B3484">
            <v>21102</v>
          </cell>
          <cell r="C3484" t="str">
            <v>PORTA TOALHA BANHO EM METAL CROMADO, TIPO BARRA</v>
          </cell>
          <cell r="D3484" t="str">
            <v>UN</v>
          </cell>
          <cell r="E3484" t="str">
            <v>CR</v>
          </cell>
          <cell r="F3484">
            <v>56.13</v>
          </cell>
        </row>
        <row r="3485">
          <cell r="B3485">
            <v>21101</v>
          </cell>
          <cell r="C3485" t="str">
            <v>PORTA TOALHA ROSTO EM METAL CROMADO, TIPO ARGOLA</v>
          </cell>
          <cell r="D3485" t="str">
            <v>UN</v>
          </cell>
          <cell r="E3485" t="str">
            <v>CR</v>
          </cell>
          <cell r="F3485">
            <v>36.049999999999997</v>
          </cell>
        </row>
        <row r="3486">
          <cell r="B3486">
            <v>34713</v>
          </cell>
          <cell r="C3486" t="str">
            <v>PORTA VIDRO TEMPERADO INCOLOR, 2 FOLHAS DE CORRER, E = 10 MM (SEM FERRAGENS E SEM COLOCACAO)</v>
          </cell>
          <cell r="D3486" t="str">
            <v>M2</v>
          </cell>
          <cell r="E3486" t="str">
            <v>CR</v>
          </cell>
          <cell r="F3486">
            <v>450.29</v>
          </cell>
        </row>
        <row r="3487">
          <cell r="B3487">
            <v>37563</v>
          </cell>
          <cell r="C3487" t="str">
            <v>PORTAO BASCULANTE, MANUAL, EM ACO GALVANIZADO, CHAPA 26, TIPO LAMBRIL, COM REQUADRO, ACABAMENTO NATURAL</v>
          </cell>
          <cell r="D3487" t="str">
            <v>M2</v>
          </cell>
          <cell r="E3487" t="str">
            <v>CR</v>
          </cell>
          <cell r="F3487">
            <v>785.54</v>
          </cell>
        </row>
        <row r="3488">
          <cell r="B3488">
            <v>4948</v>
          </cell>
          <cell r="C3488" t="str">
            <v>PORTAO DE ABRIR / GIRO, EM GRADIL DE METALON REDONDO DE 3/4" VERTICAL, COM REQUADRO, ACABAMENTO NATURAL - COMPLETO</v>
          </cell>
          <cell r="D3488" t="str">
            <v>M2</v>
          </cell>
          <cell r="E3488" t="str">
            <v>CR</v>
          </cell>
          <cell r="F3488">
            <v>683.44</v>
          </cell>
        </row>
        <row r="3489">
          <cell r="B3489">
            <v>37561</v>
          </cell>
          <cell r="C3489" t="str">
            <v>PORTAO DE CORRER EM CHAPA TIPO PAINEL LAMBRIL QUADRADO, COM PORTA SOCIAL COMPLETA INCLUIDA, COM REQUADRO, ACABAMENTO NATURAL, COM TRILHOS E ROLDANAS</v>
          </cell>
          <cell r="D3489" t="str">
            <v>M2</v>
          </cell>
          <cell r="E3489" t="str">
            <v>CR</v>
          </cell>
          <cell r="F3489">
            <v>637.4</v>
          </cell>
        </row>
        <row r="3490">
          <cell r="B3490">
            <v>37562</v>
          </cell>
          <cell r="C3490" t="str">
            <v>PORTAO DE CORRER EM GRADIL FIXO DE BARRA DE FERRO CHATA DE 3 X 1/4" NA VERTICAL, SEM REQUADRO, ACABAMENTO NATURAL, COM TRILHOS E ROLDANAS</v>
          </cell>
          <cell r="D3490" t="str">
            <v>M2</v>
          </cell>
          <cell r="E3490" t="str">
            <v>CR</v>
          </cell>
          <cell r="F3490">
            <v>835.71</v>
          </cell>
        </row>
        <row r="3491">
          <cell r="B3491">
            <v>14164</v>
          </cell>
          <cell r="C3491" t="str">
            <v>POSTE CONICO CONTINUO EM ACO GALVANIZADO, CURVO, BRACO DUPLO, ENGASTADO, H = 9 M, DIAMETRO INFERIOR/BASE = *135* MM</v>
          </cell>
          <cell r="D3491" t="str">
            <v>UN</v>
          </cell>
          <cell r="E3491" t="str">
            <v>CR</v>
          </cell>
          <cell r="F3491">
            <v>1841.53</v>
          </cell>
        </row>
        <row r="3492">
          <cell r="B3492">
            <v>14163</v>
          </cell>
          <cell r="C3492" t="str">
            <v>POSTE CONICO CONTINUO EM ACO GALVANIZADO, CURVO, BRACO DUPLO, FLANGEADO, H = 9 M, DIAMETRO INFERIOR = *135* MM</v>
          </cell>
          <cell r="D3492" t="str">
            <v>UN</v>
          </cell>
          <cell r="E3492" t="str">
            <v>CR</v>
          </cell>
          <cell r="F3492">
            <v>2093.02</v>
          </cell>
        </row>
        <row r="3493">
          <cell r="B3493">
            <v>5051</v>
          </cell>
          <cell r="C3493" t="str">
            <v>POSTE CONICO CONTINUO EM ACO GALVANIZADO, CURVO, BRACO SIMPLES, ENGASTADO, H = 9 M, DIAMETRO INFERIOR = *135* MM</v>
          </cell>
          <cell r="D3493" t="str">
            <v>UN</v>
          </cell>
          <cell r="E3493" t="str">
            <v>CR</v>
          </cell>
          <cell r="F3493">
            <v>1780.09</v>
          </cell>
        </row>
        <row r="3494">
          <cell r="B3494">
            <v>5052</v>
          </cell>
          <cell r="C3494" t="str">
            <v>POSTE CONICO CONTINUO EM ACO GALVANIZADO, CURVO, BRACO SIMPLES, FLANGEADO, H = 7 M, DIAMETRO INFERIOR = *125* MM</v>
          </cell>
          <cell r="D3494" t="str">
            <v>UN</v>
          </cell>
          <cell r="E3494" t="str">
            <v>C</v>
          </cell>
          <cell r="F3494">
            <v>1326.27</v>
          </cell>
        </row>
        <row r="3495">
          <cell r="B3495">
            <v>14162</v>
          </cell>
          <cell r="C3495" t="str">
            <v>POSTE CONICO CONTINUO EM ACO GALVANIZADO, CURVO, BRACO SIMPLES, FLANGEADO, H = 9 M, DIAMETRO INFERIOR = *135* MM</v>
          </cell>
          <cell r="D3495" t="str">
            <v>UN</v>
          </cell>
          <cell r="E3495" t="str">
            <v>CR</v>
          </cell>
          <cell r="F3495">
            <v>1777.51</v>
          </cell>
        </row>
        <row r="3496">
          <cell r="B3496">
            <v>14166</v>
          </cell>
          <cell r="C3496" t="str">
            <v>POSTE CONICO CONTINUO EM ACO GALVANIZADO, RETO, ENGASTADO, H = 7 M, DIAMETRO INFERIOR = *125* MM</v>
          </cell>
          <cell r="D3496" t="str">
            <v>UN</v>
          </cell>
          <cell r="E3496" t="str">
            <v>CR</v>
          </cell>
          <cell r="F3496">
            <v>1343.11</v>
          </cell>
        </row>
        <row r="3497">
          <cell r="B3497">
            <v>14165</v>
          </cell>
          <cell r="C3497" t="str">
            <v>POSTE CONICO CONTINUO EM ACO GALVANIZADO, RETO, ENGASTADO, H = 9 M, DIAMETRO INFERIOR = *145* MM</v>
          </cell>
          <cell r="D3497" t="str">
            <v>UN</v>
          </cell>
          <cell r="E3497" t="str">
            <v>CR</v>
          </cell>
          <cell r="F3497">
            <v>1860.69</v>
          </cell>
        </row>
        <row r="3498">
          <cell r="B3498">
            <v>5050</v>
          </cell>
          <cell r="C3498" t="str">
            <v>POSTE CONICO CONTINUO EM ACO GALVANIZADO, RETO, FLANGEADO, H = 3 M, DIAMETRO INFERIOR = *95* MM</v>
          </cell>
          <cell r="D3498" t="str">
            <v>UN</v>
          </cell>
          <cell r="E3498" t="str">
            <v>CR</v>
          </cell>
          <cell r="F3498">
            <v>457.96</v>
          </cell>
        </row>
        <row r="3499">
          <cell r="B3499">
            <v>12366</v>
          </cell>
          <cell r="C3499" t="str">
            <v>POSTE DE CONCRETO ARMADO DE SECAO CIRCULAR, EXTENSAO DE 10,00 M, RESISTENCIA DE 150 A 200 DAN, TIPO C-14</v>
          </cell>
          <cell r="D3499" t="str">
            <v>UN</v>
          </cell>
          <cell r="E3499" t="str">
            <v>CR</v>
          </cell>
          <cell r="F3499">
            <v>1057.1500000000001</v>
          </cell>
        </row>
        <row r="3500">
          <cell r="B3500">
            <v>5045</v>
          </cell>
          <cell r="C3500" t="str">
            <v>POSTE DE CONCRETO ARMADO DE SECAO CIRCULAR, EXTENSAO DE 11,00 M, RESISTENCIA DE 200 A 300 DAN, TIPO C-14</v>
          </cell>
          <cell r="D3500" t="str">
            <v>UN</v>
          </cell>
          <cell r="E3500" t="str">
            <v>CR</v>
          </cell>
          <cell r="F3500">
            <v>1460.4</v>
          </cell>
        </row>
        <row r="3501">
          <cell r="B3501">
            <v>5035</v>
          </cell>
          <cell r="C3501" t="str">
            <v>POSTE DE CONCRETO ARMADO DE SECAO CIRCULAR, EXTENSAO DE 11,00 M, RESISTENCIA DE 300 A 400 DAN, TIPO C-17</v>
          </cell>
          <cell r="D3501" t="str">
            <v>UN</v>
          </cell>
          <cell r="E3501" t="str">
            <v>CR</v>
          </cell>
          <cell r="F3501">
            <v>1679.11</v>
          </cell>
        </row>
        <row r="3502">
          <cell r="B3502">
            <v>41180</v>
          </cell>
          <cell r="C3502" t="str">
            <v>POSTE DE CONCRETO ARMADO DE SECAO CIRCULAR, EXTENSAO DE 13,00 M, RESISTENCIA DE 1000 DAN, TIPO C-23</v>
          </cell>
          <cell r="D3502" t="str">
            <v>UN</v>
          </cell>
          <cell r="E3502" t="str">
            <v>CR</v>
          </cell>
          <cell r="F3502">
            <v>3774.61</v>
          </cell>
        </row>
        <row r="3503">
          <cell r="B3503">
            <v>41181</v>
          </cell>
          <cell r="C3503" t="str">
            <v>POSTE DE CONCRETO ARMADO DE SECAO CIRCULAR, EXTENSAO DE 13,00 M, RESISTENCIA DE 1500 DAN, TIPO C-29</v>
          </cell>
          <cell r="D3503" t="str">
            <v>UN</v>
          </cell>
          <cell r="E3503" t="str">
            <v>CR</v>
          </cell>
          <cell r="F3503">
            <v>4997.47</v>
          </cell>
        </row>
        <row r="3504">
          <cell r="B3504">
            <v>41182</v>
          </cell>
          <cell r="C3504" t="str">
            <v>POSTE DE CONCRETO ARMADO DE SECAO CIRCULAR, EXTENSAO DE 13,00 M, RESISTENCIA DE 2000 DAN, TIPO C-29</v>
          </cell>
          <cell r="D3504" t="str">
            <v>UN</v>
          </cell>
          <cell r="E3504" t="str">
            <v>CR</v>
          </cell>
          <cell r="F3504">
            <v>7169.29</v>
          </cell>
        </row>
        <row r="3505">
          <cell r="B3505">
            <v>41183</v>
          </cell>
          <cell r="C3505" t="str">
            <v>POSTE DE CONCRETO ARMADO DE SECAO CIRCULAR, EXTENSAO DE 13,00 M, RESISTENCIA DE 2500 DAN, TIPO C-29</v>
          </cell>
          <cell r="D3505" t="str">
            <v>UN</v>
          </cell>
          <cell r="E3505" t="str">
            <v>CR</v>
          </cell>
          <cell r="F3505">
            <v>8951</v>
          </cell>
        </row>
        <row r="3506">
          <cell r="B3506">
            <v>41184</v>
          </cell>
          <cell r="C3506" t="str">
            <v>POSTE DE CONCRETO ARMADO DE SECAO CIRCULAR, EXTENSAO DE 13,00 M, RESISTENCIA DE 3000 DAN, TIPO C-29</v>
          </cell>
          <cell r="D3506" t="str">
            <v>UN</v>
          </cell>
          <cell r="E3506" t="str">
            <v>CR</v>
          </cell>
          <cell r="F3506">
            <v>13628.45</v>
          </cell>
        </row>
        <row r="3507">
          <cell r="B3507">
            <v>41185</v>
          </cell>
          <cell r="C3507" t="str">
            <v>POSTE DE CONCRETO ARMADO DE SECAO CIRCULAR, EXTENSAO DE 14,00 M, RESISTENCIA DE 1000 DAN, TIPO C-23</v>
          </cell>
          <cell r="D3507" t="str">
            <v>UN</v>
          </cell>
          <cell r="E3507" t="str">
            <v>CR</v>
          </cell>
          <cell r="F3507">
            <v>5054.04</v>
          </cell>
        </row>
        <row r="3508">
          <cell r="B3508">
            <v>41186</v>
          </cell>
          <cell r="C3508" t="str">
            <v>POSTE DE CONCRETO ARMADO DE SECAO CIRCULAR, EXTENSAO DE 14,00 M, RESISTENCIA DE 1500 DAN, TIPO C-29</v>
          </cell>
          <cell r="D3508" t="str">
            <v>UN</v>
          </cell>
          <cell r="E3508" t="str">
            <v>CR</v>
          </cell>
          <cell r="F3508">
            <v>7082.65</v>
          </cell>
        </row>
        <row r="3509">
          <cell r="B3509">
            <v>41187</v>
          </cell>
          <cell r="C3509" t="str">
            <v>POSTE DE CONCRETO ARMADO DE SECAO CIRCULAR, EXTENSAO DE 14,00 M, RESISTENCIA DE 2000 DAN, TIPO C-29</v>
          </cell>
          <cell r="D3509" t="str">
            <v>UN</v>
          </cell>
          <cell r="E3509" t="str">
            <v>CR</v>
          </cell>
          <cell r="F3509">
            <v>9498.43</v>
          </cell>
        </row>
        <row r="3510">
          <cell r="B3510">
            <v>41188</v>
          </cell>
          <cell r="C3510" t="str">
            <v>POSTE DE CONCRETO ARMADO DE SECAO CIRCULAR, EXTENSAO DE 14,00 M, RESISTENCIA DE 2500 DAN, TIPO C-29</v>
          </cell>
          <cell r="D3510" t="str">
            <v>UN</v>
          </cell>
          <cell r="E3510" t="str">
            <v>CR</v>
          </cell>
          <cell r="F3510">
            <v>12146.37</v>
          </cell>
        </row>
        <row r="3511">
          <cell r="B3511">
            <v>5036</v>
          </cell>
          <cell r="C3511" t="str">
            <v>POSTE DE CONCRETO ARMADO DE SECAO CIRCULAR, EXTENSAO DE 14,00 M, RESISTENCIA DE 300 A 400 DAN, TIPO C-17</v>
          </cell>
          <cell r="D3511" t="str">
            <v>UN</v>
          </cell>
          <cell r="E3511" t="str">
            <v>CR</v>
          </cell>
          <cell r="F3511">
            <v>2576.06</v>
          </cell>
        </row>
        <row r="3512">
          <cell r="B3512">
            <v>41189</v>
          </cell>
          <cell r="C3512" t="str">
            <v>POSTE DE CONCRETO ARMADO DE SECAO CIRCULAR, EXTENSAO DE 14,00 M, RESISTENCIA DE 3000 DAN, TIPO C-29</v>
          </cell>
          <cell r="D3512" t="str">
            <v>UN</v>
          </cell>
          <cell r="E3512" t="str">
            <v>CR</v>
          </cell>
          <cell r="F3512">
            <v>15615.43</v>
          </cell>
        </row>
        <row r="3513">
          <cell r="B3513">
            <v>41190</v>
          </cell>
          <cell r="C3513" t="str">
            <v>POSTE DE CONCRETO ARMADO DE SECAO CIRCULAR, EXTENSAO DE 15,00 M, RESISTENCIA DE 1000 DAN, TIPO C-23</v>
          </cell>
          <cell r="D3513" t="str">
            <v>UN</v>
          </cell>
          <cell r="E3513" t="str">
            <v>CR</v>
          </cell>
          <cell r="F3513">
            <v>5430.5</v>
          </cell>
        </row>
        <row r="3514">
          <cell r="B3514">
            <v>41191</v>
          </cell>
          <cell r="C3514" t="str">
            <v>POSTE DE CONCRETO ARMADO DE SECAO CIRCULAR, EXTENSAO DE 15,00 M, RESISTENCIA DE 1500 DAN, TIPO C-29</v>
          </cell>
          <cell r="D3514" t="str">
            <v>UN</v>
          </cell>
          <cell r="E3514" t="str">
            <v>CR</v>
          </cell>
          <cell r="F3514">
            <v>8327.4699999999993</v>
          </cell>
        </row>
        <row r="3515">
          <cell r="B3515">
            <v>41192</v>
          </cell>
          <cell r="C3515" t="str">
            <v>POSTE DE CONCRETO ARMADO DE SECAO CIRCULAR, EXTENSAO DE 15,00 M, RESISTENCIA DE 2000 DAN, TIPO C-29</v>
          </cell>
          <cell r="D3515" t="str">
            <v>UN</v>
          </cell>
          <cell r="E3515" t="str">
            <v>CR</v>
          </cell>
          <cell r="F3515">
            <v>8681.32</v>
          </cell>
        </row>
        <row r="3516">
          <cell r="B3516">
            <v>41193</v>
          </cell>
          <cell r="C3516" t="str">
            <v>POSTE DE CONCRETO ARMADO DE SECAO CIRCULAR, EXTENSAO DE 15,00 M, RESISTENCIA DE 2500 DAN, TIPO C-29</v>
          </cell>
          <cell r="D3516" t="str">
            <v>UN</v>
          </cell>
          <cell r="E3516" t="str">
            <v>CR</v>
          </cell>
          <cell r="F3516">
            <v>14184.99</v>
          </cell>
        </row>
        <row r="3517">
          <cell r="B3517">
            <v>41194</v>
          </cell>
          <cell r="C3517" t="str">
            <v>POSTE DE CONCRETO ARMADO DE SECAO CIRCULAR, EXTENSAO DE 15,00 M, RESISTENCIA DE 3000 DAN, TIPO C-29</v>
          </cell>
          <cell r="D3517" t="str">
            <v>UN</v>
          </cell>
          <cell r="E3517" t="str">
            <v>CR</v>
          </cell>
          <cell r="F3517">
            <v>16925.91</v>
          </cell>
        </row>
        <row r="3518">
          <cell r="B3518">
            <v>5044</v>
          </cell>
          <cell r="C3518" t="str">
            <v>POSTE DE CONCRETO ARMADO DE SECAO CIRCULAR, EXTENSAO DE 9,00 M, RESISTENCIA DE 200 A 300 DAN, TIPO C-14</v>
          </cell>
          <cell r="D3518" t="str">
            <v>UN</v>
          </cell>
          <cell r="E3518" t="str">
            <v>CR</v>
          </cell>
          <cell r="F3518">
            <v>910.79</v>
          </cell>
        </row>
        <row r="3519">
          <cell r="B3519">
            <v>5059</v>
          </cell>
          <cell r="C3519" t="str">
            <v>POSTE DE CONCRETO ARMADO DE SECAO CIRCULAR, EXTENSAO DE 9,00 M, RESISTENCIA DE 300 A 400 DAN, TIPO C-17</v>
          </cell>
          <cell r="D3519" t="str">
            <v>UN</v>
          </cell>
          <cell r="E3519" t="str">
            <v>CR</v>
          </cell>
          <cell r="F3519">
            <v>1089.19</v>
          </cell>
        </row>
        <row r="3520">
          <cell r="B3520">
            <v>41201</v>
          </cell>
          <cell r="C3520" t="str">
            <v>POSTE DE CONCRETO ARMADO DE SECAO DUPLO T, EXTENSAO DE 10,00 M, RESISTENCIA DE 1000 DAN, TIPO B-1,5</v>
          </cell>
          <cell r="D3520" t="str">
            <v>UN</v>
          </cell>
          <cell r="E3520" t="str">
            <v>CR</v>
          </cell>
          <cell r="F3520">
            <v>2210.42</v>
          </cell>
        </row>
        <row r="3521">
          <cell r="B3521">
            <v>41199</v>
          </cell>
          <cell r="C3521" t="str">
            <v>POSTE DE CONCRETO ARMADO DE SECAO DUPLO T, EXTENSAO DE 10,00 M, RESISTENCIA DE 150 DAN, TIPO D</v>
          </cell>
          <cell r="D3521" t="str">
            <v>UN</v>
          </cell>
          <cell r="E3521" t="str">
            <v>CR</v>
          </cell>
          <cell r="F3521">
            <v>710.29</v>
          </cell>
        </row>
        <row r="3522">
          <cell r="B3522">
            <v>5057</v>
          </cell>
          <cell r="C3522" t="str">
            <v>POSTE DE CONCRETO ARMADO DE SECAO DUPLO T, EXTENSAO DE 10,00 M, RESISTENCIA DE 300 A 400 DAN, TIPO B OU D</v>
          </cell>
          <cell r="D3522" t="str">
            <v>UN</v>
          </cell>
          <cell r="E3522" t="str">
            <v>CR</v>
          </cell>
          <cell r="F3522">
            <v>961.6</v>
          </cell>
        </row>
        <row r="3523">
          <cell r="B3523">
            <v>41200</v>
          </cell>
          <cell r="C3523" t="str">
            <v>POSTE DE CONCRETO ARMADO DE SECAO DUPLO T, EXTENSAO DE 10,00 M, RESISTENCIA DE 600 DAN, TIPO B</v>
          </cell>
          <cell r="D3523" t="str">
            <v>UN</v>
          </cell>
          <cell r="E3523" t="str">
            <v>CR</v>
          </cell>
          <cell r="F3523">
            <v>1382.48</v>
          </cell>
        </row>
        <row r="3524">
          <cell r="B3524">
            <v>41205</v>
          </cell>
          <cell r="C3524" t="str">
            <v>POSTE DE CONCRETO ARMADO DE SECAO DUPLO T, EXTENSAO DE 11,00 M, RESISTENCIA DE 1000 DAN, TIPO B-1,5</v>
          </cell>
          <cell r="D3524" t="str">
            <v>UN</v>
          </cell>
          <cell r="E3524" t="str">
            <v>CR</v>
          </cell>
          <cell r="F3524">
            <v>2561.6999999999998</v>
          </cell>
        </row>
        <row r="3525">
          <cell r="B3525">
            <v>41202</v>
          </cell>
          <cell r="C3525" t="str">
            <v>POSTE DE CONCRETO ARMADO DE SECAO DUPLO T, EXTENSAO DE 11,00 M, RESISTENCIA DE 150 DAN, TIPO D</v>
          </cell>
          <cell r="D3525" t="str">
            <v>UN</v>
          </cell>
          <cell r="E3525" t="str">
            <v>CR</v>
          </cell>
          <cell r="F3525">
            <v>747.52</v>
          </cell>
        </row>
        <row r="3526">
          <cell r="B3526">
            <v>41206</v>
          </cell>
          <cell r="C3526" t="str">
            <v>POSTE DE CONCRETO ARMADO DE SECAO DUPLO T, EXTENSAO DE 11,00 M, RESISTENCIA DE 1500 DAN, TIPO B-3,0</v>
          </cell>
          <cell r="D3526" t="str">
            <v>UN</v>
          </cell>
          <cell r="E3526" t="str">
            <v>CR</v>
          </cell>
          <cell r="F3526">
            <v>3377.49</v>
          </cell>
        </row>
        <row r="3527">
          <cell r="B3527">
            <v>12372</v>
          </cell>
          <cell r="C3527" t="str">
            <v>POSTE DE CONCRETO ARMADO DE SECAO DUPLO T, EXTENSAO DE 11,00 M, RESISTENCIA DE 200 DAN, TIPO D</v>
          </cell>
          <cell r="D3527" t="str">
            <v>UN</v>
          </cell>
          <cell r="E3527" t="str">
            <v>CR</v>
          </cell>
          <cell r="F3527">
            <v>784.9</v>
          </cell>
        </row>
        <row r="3528">
          <cell r="B3528">
            <v>41207</v>
          </cell>
          <cell r="C3528" t="str">
            <v>POSTE DE CONCRETO ARMADO DE SECAO DUPLO T, EXTENSAO DE 11,00 M, RESISTENCIA DE 2000 DAN, TIPO B-4,5</v>
          </cell>
          <cell r="D3528" t="str">
            <v>UN</v>
          </cell>
          <cell r="E3528" t="str">
            <v>CR</v>
          </cell>
          <cell r="F3528">
            <v>4546.7700000000004</v>
          </cell>
        </row>
        <row r="3529">
          <cell r="B3529">
            <v>41203</v>
          </cell>
          <cell r="C3529" t="str">
            <v>POSTE DE CONCRETO ARMADO DE SECAO DUPLO T, EXTENSAO DE 11,00 M, RESISTENCIA DE 300 DAN, TIPO B</v>
          </cell>
          <cell r="D3529" t="str">
            <v>UN</v>
          </cell>
          <cell r="E3529" t="str">
            <v>CR</v>
          </cell>
          <cell r="F3529">
            <v>1197.45</v>
          </cell>
        </row>
        <row r="3530">
          <cell r="B3530">
            <v>41204</v>
          </cell>
          <cell r="C3530" t="str">
            <v>POSTE DE CONCRETO ARMADO DE SECAO DUPLO T, EXTENSAO DE 11,00 M, RESISTENCIA DE 600 DAN, TIPO B</v>
          </cell>
          <cell r="D3530" t="str">
            <v>UN</v>
          </cell>
          <cell r="E3530" t="str">
            <v>CR</v>
          </cell>
          <cell r="F3530">
            <v>1692.88</v>
          </cell>
        </row>
        <row r="3531">
          <cell r="B3531">
            <v>41210</v>
          </cell>
          <cell r="C3531" t="str">
            <v>POSTE DE CONCRETO ARMADO DE SECAO DUPLO T, EXTENSAO DE 12,00 M, RESISTENCIA DE 1000 DAN, TIPO B-1,5</v>
          </cell>
          <cell r="D3531" t="str">
            <v>UN</v>
          </cell>
          <cell r="E3531" t="str">
            <v>CR</v>
          </cell>
          <cell r="F3531">
            <v>2827.92</v>
          </cell>
        </row>
        <row r="3532">
          <cell r="B3532">
            <v>41208</v>
          </cell>
          <cell r="C3532" t="str">
            <v>POSTE DE CONCRETO ARMADO DE SECAO DUPLO T, EXTENSAO DE 12,00 M, RESISTENCIA DE 150 DAN, TIPO D</v>
          </cell>
          <cell r="D3532" t="str">
            <v>UN</v>
          </cell>
          <cell r="E3532" t="str">
            <v>CR</v>
          </cell>
          <cell r="F3532">
            <v>989.94</v>
          </cell>
        </row>
        <row r="3533">
          <cell r="B3533">
            <v>41211</v>
          </cell>
          <cell r="C3533" t="str">
            <v>POSTE DE CONCRETO ARMADO DE SECAO DUPLO T, EXTENSAO DE 12,00 M, RESISTENCIA DE 1500 DAN, TIPO B-3,0</v>
          </cell>
          <cell r="D3533" t="str">
            <v>UN</v>
          </cell>
          <cell r="E3533" t="str">
            <v>CR</v>
          </cell>
          <cell r="F3533">
            <v>3984.5</v>
          </cell>
        </row>
        <row r="3534">
          <cell r="B3534">
            <v>13339</v>
          </cell>
          <cell r="C3534" t="str">
            <v>POSTE DE CONCRETO ARMADO DE SECAO DUPLO T, EXTENSAO DE 12,00 M, RESISTENCIA DE 300 A 400 DAN, TIPO B OU D</v>
          </cell>
          <cell r="D3534" t="str">
            <v>UN</v>
          </cell>
          <cell r="E3534" t="str">
            <v>CR</v>
          </cell>
          <cell r="F3534">
            <v>1341.6</v>
          </cell>
        </row>
        <row r="3535">
          <cell r="B3535">
            <v>41213</v>
          </cell>
          <cell r="C3535" t="str">
            <v>POSTE DE CONCRETO ARMADO DE SECAO DUPLO T, EXTENSAO DE 12,00 M, RESISTENCIA DE 3000 DAN, TIPO B-6,0</v>
          </cell>
          <cell r="D3535" t="str">
            <v>UN</v>
          </cell>
          <cell r="E3535" t="str">
            <v>CR</v>
          </cell>
          <cell r="F3535">
            <v>8258.9</v>
          </cell>
        </row>
        <row r="3536">
          <cell r="B3536">
            <v>41209</v>
          </cell>
          <cell r="C3536" t="str">
            <v>POSTE DE CONCRETO ARMADO DE SECAO DUPLO T, EXTENSAO DE 12,00 M, RESISTENCIA DE 600 DAN, TIPO B</v>
          </cell>
          <cell r="D3536" t="str">
            <v>UN</v>
          </cell>
          <cell r="E3536" t="str">
            <v>CR</v>
          </cell>
          <cell r="F3536">
            <v>1845.88</v>
          </cell>
        </row>
        <row r="3537">
          <cell r="B3537">
            <v>41216</v>
          </cell>
          <cell r="C3537" t="str">
            <v>POSTE DE CONCRETO ARMADO DE SECAO DUPLO T, EXTENSAO DE 13,00 M, RESISTENCIA DE 1000 DAN, TIPO B-1,5</v>
          </cell>
          <cell r="D3537" t="str">
            <v>UN</v>
          </cell>
          <cell r="E3537" t="str">
            <v>CR</v>
          </cell>
          <cell r="F3537">
            <v>3457.58</v>
          </cell>
        </row>
        <row r="3538">
          <cell r="B3538">
            <v>41217</v>
          </cell>
          <cell r="C3538" t="str">
            <v>POSTE DE CONCRETO ARMADO DE SECAO DUPLO T, EXTENSAO DE 13,00 M, RESISTENCIA DE 1500 DAN, TIPO B-3,0</v>
          </cell>
          <cell r="D3538" t="str">
            <v>UN</v>
          </cell>
          <cell r="E3538" t="str">
            <v>CR</v>
          </cell>
          <cell r="F3538">
            <v>5543.73</v>
          </cell>
        </row>
        <row r="3539">
          <cell r="B3539">
            <v>41218</v>
          </cell>
          <cell r="C3539" t="str">
            <v>POSTE DE CONCRETO ARMADO DE SECAO DUPLO T, EXTENSAO DE 13,00 M, RESISTENCIA DE 2000 DAN, TIPO B-4,5</v>
          </cell>
          <cell r="D3539" t="str">
            <v>UN</v>
          </cell>
          <cell r="E3539" t="str">
            <v>CR</v>
          </cell>
          <cell r="F3539">
            <v>7434.31</v>
          </cell>
        </row>
        <row r="3540">
          <cell r="B3540">
            <v>41214</v>
          </cell>
          <cell r="C3540" t="str">
            <v>POSTE DE CONCRETO ARMADO DE SECAO DUPLO T, EXTENSAO DE 13,00 M, RESISTENCIA DE 300 DAN, TIPO B</v>
          </cell>
          <cell r="D3540" t="str">
            <v>UN</v>
          </cell>
          <cell r="E3540" t="str">
            <v>CR</v>
          </cell>
          <cell r="F3540">
            <v>1567.51</v>
          </cell>
        </row>
        <row r="3541">
          <cell r="B3541">
            <v>41215</v>
          </cell>
          <cell r="C3541" t="str">
            <v>POSTE DE CONCRETO ARMADO DE SECAO DUPLO T, EXTENSAO DE 13,00 M, RESISTENCIA DE 600 DAN, TIPO B</v>
          </cell>
          <cell r="D3541" t="str">
            <v>UN</v>
          </cell>
          <cell r="E3541" t="str">
            <v>CR</v>
          </cell>
          <cell r="F3541">
            <v>2360.1</v>
          </cell>
        </row>
        <row r="3542">
          <cell r="B3542">
            <v>41221</v>
          </cell>
          <cell r="C3542" t="str">
            <v>POSTE DE CONCRETO ARMADO DE SECAO DUPLO T, EXTENSAO DE 15,00 M, RESISTENCIA DE 1500 DAN, TIPO B-3,0</v>
          </cell>
          <cell r="D3542" t="str">
            <v>UN</v>
          </cell>
          <cell r="E3542" t="str">
            <v>CR</v>
          </cell>
          <cell r="F3542">
            <v>6833.7</v>
          </cell>
        </row>
        <row r="3543">
          <cell r="B3543">
            <v>41222</v>
          </cell>
          <cell r="C3543" t="str">
            <v>POSTE DE CONCRETO ARMADO DE SECAO DUPLO T, EXTENSAO DE 15,00 M, RESISTENCIA DE 2000 DAN, TIPO B-4,5</v>
          </cell>
          <cell r="D3543" t="str">
            <v>UN</v>
          </cell>
          <cell r="E3543" t="str">
            <v>CR</v>
          </cell>
          <cell r="F3543">
            <v>9779.11</v>
          </cell>
        </row>
        <row r="3544">
          <cell r="B3544">
            <v>41195</v>
          </cell>
          <cell r="C3544" t="str">
            <v>POSTE DE CONCRETO ARMADO DE SECAO DUPLO T, EXTENSAO DE 8,00 M, RESISTENCIA DE 150 DAN, TIPO D</v>
          </cell>
          <cell r="D3544" t="str">
            <v>UN</v>
          </cell>
          <cell r="E3544" t="str">
            <v>CR</v>
          </cell>
          <cell r="F3544">
            <v>502.61</v>
          </cell>
        </row>
        <row r="3545">
          <cell r="B3545">
            <v>41198</v>
          </cell>
          <cell r="C3545" t="str">
            <v>POSTE DE CONCRETO ARMADO DE SECAO DUPLO T, EXTENSAO DE 9,00 M, RESISTENCIA DE 1000 DAN, TIPO B-1,5</v>
          </cell>
          <cell r="D3545" t="str">
            <v>UN</v>
          </cell>
          <cell r="E3545" t="str">
            <v>CR</v>
          </cell>
          <cell r="F3545">
            <v>1964.11</v>
          </cell>
        </row>
        <row r="3546">
          <cell r="B3546">
            <v>41196</v>
          </cell>
          <cell r="C3546" t="str">
            <v>POSTE DE CONCRETO ARMADO DE SECAO DUPLO T, EXTENSAO DE 9,00 M, RESISTENCIA DE 150 DAN, TIPO D</v>
          </cell>
          <cell r="D3546" t="str">
            <v>UN</v>
          </cell>
          <cell r="E3546" t="str">
            <v>CR</v>
          </cell>
          <cell r="F3546">
            <v>623.02</v>
          </cell>
        </row>
        <row r="3547">
          <cell r="B3547">
            <v>5033</v>
          </cell>
          <cell r="C3547" t="str">
            <v>POSTE DE CONCRETO ARMADO DE SECAO DUPLO T, EXTENSAO DE 9,00 M, RESISTENCIA DE 300 A 400 DAN, TIPO B OU D</v>
          </cell>
          <cell r="D3547" t="str">
            <v>UN</v>
          </cell>
          <cell r="E3547" t="str">
            <v>C</v>
          </cell>
          <cell r="F3547">
            <v>818</v>
          </cell>
        </row>
        <row r="3548">
          <cell r="B3548">
            <v>41197</v>
          </cell>
          <cell r="C3548" t="str">
            <v>POSTE DE CONCRETO ARMADO DE SECAO DUPLO T, EXTENSAO DE 9,00 M, RESISTENCIA DE 600 DAN, TIPO B</v>
          </cell>
          <cell r="D3548" t="str">
            <v>UN</v>
          </cell>
          <cell r="E3548" t="str">
            <v>CR</v>
          </cell>
          <cell r="F3548">
            <v>1215.03</v>
          </cell>
        </row>
        <row r="3549">
          <cell r="B3549">
            <v>12388</v>
          </cell>
          <cell r="C3549" t="str">
            <v>POSTE DECORATIVO PARA JARDIM EM ACO TUBULAR, SEM LUMINARIA, H = *2,5* M</v>
          </cell>
          <cell r="D3549" t="str">
            <v>UN</v>
          </cell>
          <cell r="E3549" t="str">
            <v>CR</v>
          </cell>
          <cell r="F3549">
            <v>271.08</v>
          </cell>
        </row>
        <row r="3550">
          <cell r="B3550">
            <v>2731</v>
          </cell>
          <cell r="C3550" t="str">
            <v>POSTE ROLICO DE MADEIRA TRATADA, D = 20 A 25 CM, H = 12,00 M, EM EUCALIPTO OU EQUIVALENTE DA REGIAO</v>
          </cell>
          <cell r="D3550" t="str">
            <v>M</v>
          </cell>
          <cell r="E3550" t="str">
            <v>CR</v>
          </cell>
          <cell r="F3550">
            <v>110.65</v>
          </cell>
        </row>
        <row r="3551">
          <cell r="B3551">
            <v>41457</v>
          </cell>
          <cell r="C3551" t="str">
            <v>POSTES METALICOS AUTOPORTANTES, CONICO OU TELESCOPICO, PARA SPDA, ALTURA 10 METROS LIVRES</v>
          </cell>
          <cell r="D3551" t="str">
            <v>UN</v>
          </cell>
          <cell r="E3551" t="str">
            <v>CR</v>
          </cell>
          <cell r="F3551">
            <v>1650.64</v>
          </cell>
        </row>
        <row r="3552">
          <cell r="B3552">
            <v>41458</v>
          </cell>
          <cell r="C3552" t="str">
            <v>POSTES METALICOS AUTOPORTANTES, CONICO OU TELESCOPICO, PARA SPDA, ALTURA 12 METROS LIVRES</v>
          </cell>
          <cell r="D3552" t="str">
            <v>UN</v>
          </cell>
          <cell r="E3552" t="str">
            <v>CR</v>
          </cell>
          <cell r="F3552">
            <v>2304.37</v>
          </cell>
        </row>
        <row r="3553">
          <cell r="B3553">
            <v>41459</v>
          </cell>
          <cell r="C3553" t="str">
            <v>POSTES METALICOS AUTOPORTANTES, CONICO OU TELESCOPICO, PARA SPDA, ALTURA 15 METROS LIVRES</v>
          </cell>
          <cell r="D3553" t="str">
            <v>UN</v>
          </cell>
          <cell r="E3553" t="str">
            <v>CR</v>
          </cell>
          <cell r="F3553">
            <v>3214.42</v>
          </cell>
        </row>
        <row r="3554">
          <cell r="B3554">
            <v>41461</v>
          </cell>
          <cell r="C3554" t="str">
            <v>POSTES METALICOS AUTOPORTANTES, CONICO OU TELESCOPICO, PARA SPDA, ALTURA 20 METROS LIVRES</v>
          </cell>
          <cell r="D3554" t="str">
            <v>UN</v>
          </cell>
          <cell r="E3554" t="str">
            <v>CR</v>
          </cell>
          <cell r="F3554">
            <v>4382.7</v>
          </cell>
        </row>
        <row r="3555">
          <cell r="B3555">
            <v>44537</v>
          </cell>
          <cell r="C3555" t="str">
            <v>POZOLANA DE CLASSE C</v>
          </cell>
          <cell r="D3555" t="str">
            <v>T</v>
          </cell>
          <cell r="E3555" t="str">
            <v>CR</v>
          </cell>
          <cell r="F3555">
            <v>327.27</v>
          </cell>
        </row>
        <row r="3556">
          <cell r="B3556">
            <v>11844</v>
          </cell>
          <cell r="C3556" t="str">
            <v>PRANCHA APARELHADA *4 X 30* CM, EM MACARANDUBA/MASSARANDUBA, ANGELIM OU EQUIVALENTE DA REGIAO</v>
          </cell>
          <cell r="D3556" t="str">
            <v>M</v>
          </cell>
          <cell r="E3556" t="str">
            <v>CR</v>
          </cell>
          <cell r="F3556">
            <v>66.400000000000006</v>
          </cell>
        </row>
        <row r="3557">
          <cell r="B3557">
            <v>4465</v>
          </cell>
          <cell r="C3557" t="str">
            <v>PRANCHA NAO APARELHADA *6 X 25* CM, EM MACARANDUBA/MASSARANDUBA, ANGELIM OU EQUIVALENTE DA REGIAO - BRUTA</v>
          </cell>
          <cell r="D3557" t="str">
            <v>M</v>
          </cell>
          <cell r="E3557" t="str">
            <v>CR</v>
          </cell>
          <cell r="F3557">
            <v>55.18</v>
          </cell>
        </row>
        <row r="3558">
          <cell r="B3558">
            <v>35273</v>
          </cell>
          <cell r="C3558" t="str">
            <v>PRANCHA NAO APARELHADA *6 X 30* CM, EM MACARANDUBA/MASSARANDUBA, ANGELIM OU EQUIVALENTE DA REGIAO - BRUTA</v>
          </cell>
          <cell r="D3558" t="str">
            <v>M</v>
          </cell>
          <cell r="E3558" t="str">
            <v>CR</v>
          </cell>
          <cell r="F3558">
            <v>66.180000000000007</v>
          </cell>
        </row>
        <row r="3559">
          <cell r="B3559">
            <v>4470</v>
          </cell>
          <cell r="C3559" t="str">
            <v>PRANCHA NAO APARELHADA *6 X 40* CM, EM MACARANDUBA/MASSARANDUBA, ANGELIM OU EQUIVALENTE DA REGIAO - BRUTA</v>
          </cell>
          <cell r="D3559" t="str">
            <v>M</v>
          </cell>
          <cell r="E3559" t="str">
            <v>CR</v>
          </cell>
          <cell r="F3559">
            <v>152.72</v>
          </cell>
        </row>
        <row r="3560">
          <cell r="B3560">
            <v>20204</v>
          </cell>
          <cell r="C3560" t="str">
            <v>PRANCHAO APARELHADO *7,5 X 23* CM, EM MACARANDUBA/MASSARANDUBA, ANGELIM OU EQUIVALENTE DA REGIAO</v>
          </cell>
          <cell r="D3560" t="str">
            <v>M</v>
          </cell>
          <cell r="E3560" t="str">
            <v>CR</v>
          </cell>
          <cell r="F3560">
            <v>101.81</v>
          </cell>
        </row>
        <row r="3561">
          <cell r="B3561">
            <v>20208</v>
          </cell>
          <cell r="C3561" t="str">
            <v>PRANCHAO APARELHADO *8 X 30* CM, EM MACARANDUBA/MASSARANDUBA, ANGELIM OU EQUIVALENTE DA REGIAO</v>
          </cell>
          <cell r="D3561" t="str">
            <v>M</v>
          </cell>
          <cell r="E3561" t="str">
            <v>CR</v>
          </cell>
          <cell r="F3561">
            <v>137.44999999999999</v>
          </cell>
        </row>
        <row r="3562">
          <cell r="B3562">
            <v>4437</v>
          </cell>
          <cell r="C3562" t="str">
            <v>PRANCHAO NAO APARELHADO *7,5 X 23* CM, EM MACARANDUBA/MASSARANDUBA, ANGELIM OU EQUIVALENTE DA REGIAO - BRUTA</v>
          </cell>
          <cell r="D3562" t="str">
            <v>M</v>
          </cell>
          <cell r="E3562" t="str">
            <v>CR</v>
          </cell>
          <cell r="F3562">
            <v>114.54</v>
          </cell>
        </row>
        <row r="3563">
          <cell r="B3563">
            <v>14580</v>
          </cell>
          <cell r="C3563" t="str">
            <v>PRANCHAO NAO APARELHADO *8 X 30* CM, EM MACARANDUBA/MASSARANDUBA, ANGELIM OU EQUIVALENTE DA REGIAO - BRUTA</v>
          </cell>
          <cell r="D3563" t="str">
            <v>M</v>
          </cell>
          <cell r="E3563" t="str">
            <v>CR</v>
          </cell>
          <cell r="F3563">
            <v>114.54</v>
          </cell>
        </row>
        <row r="3564">
          <cell r="B3564">
            <v>5065</v>
          </cell>
          <cell r="C3564" t="str">
            <v>PREGO DE ACO POLIDO COM CABECA 10 X 10 (7/8 X 17)</v>
          </cell>
          <cell r="D3564" t="str">
            <v>KG</v>
          </cell>
          <cell r="E3564" t="str">
            <v>CR</v>
          </cell>
          <cell r="F3564">
            <v>21.53</v>
          </cell>
        </row>
        <row r="3565">
          <cell r="B3565">
            <v>5072</v>
          </cell>
          <cell r="C3565" t="str">
            <v>PREGO DE ACO POLIDO COM CABECA 10 X 11 (1 X 17)</v>
          </cell>
          <cell r="D3565" t="str">
            <v>KG</v>
          </cell>
          <cell r="E3565" t="str">
            <v>CR</v>
          </cell>
          <cell r="F3565">
            <v>19.920000000000002</v>
          </cell>
        </row>
        <row r="3566">
          <cell r="B3566">
            <v>5066</v>
          </cell>
          <cell r="C3566" t="str">
            <v>PREGO DE ACO POLIDO COM CABECA 12 X 12</v>
          </cell>
          <cell r="D3566" t="str">
            <v>KG</v>
          </cell>
          <cell r="E3566" t="str">
            <v>CR</v>
          </cell>
          <cell r="F3566">
            <v>14.92</v>
          </cell>
        </row>
        <row r="3567">
          <cell r="B3567">
            <v>5063</v>
          </cell>
          <cell r="C3567" t="str">
            <v>PREGO DE ACO POLIDO COM CABECA 14 X 18 (1 1/2 X 14)</v>
          </cell>
          <cell r="D3567" t="str">
            <v>KG</v>
          </cell>
          <cell r="E3567" t="str">
            <v>CR</v>
          </cell>
          <cell r="F3567">
            <v>13.51</v>
          </cell>
        </row>
        <row r="3568">
          <cell r="B3568">
            <v>20247</v>
          </cell>
          <cell r="C3568" t="str">
            <v>PREGO DE ACO POLIDO COM CABECA 15 X 15 (1 1/4 X 13)</v>
          </cell>
          <cell r="D3568" t="str">
            <v>KG</v>
          </cell>
          <cell r="E3568" t="str">
            <v>CR</v>
          </cell>
          <cell r="F3568">
            <v>12.53</v>
          </cell>
        </row>
        <row r="3569">
          <cell r="B3569">
            <v>5074</v>
          </cell>
          <cell r="C3569" t="str">
            <v>PREGO DE ACO POLIDO COM CABECA 15 X 18 (1 1/2 X 13)</v>
          </cell>
          <cell r="D3569" t="str">
            <v>KG</v>
          </cell>
          <cell r="E3569" t="str">
            <v>CR</v>
          </cell>
          <cell r="F3569">
            <v>12.68</v>
          </cell>
        </row>
        <row r="3570">
          <cell r="B3570">
            <v>5067</v>
          </cell>
          <cell r="C3570" t="str">
            <v>PREGO DE ACO POLIDO COM CABECA 16 X 24 (2 1/4 X 12)</v>
          </cell>
          <cell r="D3570" t="str">
            <v>KG</v>
          </cell>
          <cell r="E3570" t="str">
            <v>CR</v>
          </cell>
          <cell r="F3570">
            <v>12.06</v>
          </cell>
        </row>
        <row r="3571">
          <cell r="B3571">
            <v>5078</v>
          </cell>
          <cell r="C3571" t="str">
            <v>PREGO DE ACO POLIDO COM CABECA 16 X 27 (2 1/2 X 12)</v>
          </cell>
          <cell r="D3571" t="str">
            <v>KG</v>
          </cell>
          <cell r="E3571" t="str">
            <v>CR</v>
          </cell>
          <cell r="F3571">
            <v>11.93</v>
          </cell>
        </row>
        <row r="3572">
          <cell r="B3572">
            <v>5068</v>
          </cell>
          <cell r="C3572" t="str">
            <v>PREGO DE ACO POLIDO COM CABECA 17 X 21 (2 X 11)</v>
          </cell>
          <cell r="D3572" t="str">
            <v>KG</v>
          </cell>
          <cell r="E3572" t="str">
            <v>CR</v>
          </cell>
          <cell r="F3572">
            <v>11.32</v>
          </cell>
        </row>
        <row r="3573">
          <cell r="B3573">
            <v>5073</v>
          </cell>
          <cell r="C3573" t="str">
            <v>PREGO DE ACO POLIDO COM CABECA 17 X 24 (2 1/4 X 11)</v>
          </cell>
          <cell r="D3573" t="str">
            <v>KG</v>
          </cell>
          <cell r="E3573" t="str">
            <v>CR</v>
          </cell>
          <cell r="F3573">
            <v>11.54</v>
          </cell>
        </row>
        <row r="3574">
          <cell r="B3574">
            <v>5069</v>
          </cell>
          <cell r="C3574" t="str">
            <v>PREGO DE ACO POLIDO COM CABECA 17 X 27 (2 1/2 X 11)</v>
          </cell>
          <cell r="D3574" t="str">
            <v>KG</v>
          </cell>
          <cell r="E3574" t="str">
            <v>CR</v>
          </cell>
          <cell r="F3574">
            <v>11.54</v>
          </cell>
        </row>
        <row r="3575">
          <cell r="B3575">
            <v>5070</v>
          </cell>
          <cell r="C3575" t="str">
            <v>PREGO DE ACO POLIDO COM CABECA 17 X 30 (2 3/4 X 11)</v>
          </cell>
          <cell r="D3575" t="str">
            <v>KG</v>
          </cell>
          <cell r="E3575" t="str">
            <v>CR</v>
          </cell>
          <cell r="F3575">
            <v>11.66</v>
          </cell>
        </row>
        <row r="3576">
          <cell r="B3576">
            <v>5071</v>
          </cell>
          <cell r="C3576" t="str">
            <v>PREGO DE ACO POLIDO COM CABECA 18 X 24 (2 1/4 X 10)</v>
          </cell>
          <cell r="D3576" t="str">
            <v>KG</v>
          </cell>
          <cell r="E3576" t="str">
            <v>CR</v>
          </cell>
          <cell r="F3576">
            <v>11.32</v>
          </cell>
        </row>
        <row r="3577">
          <cell r="B3577">
            <v>5061</v>
          </cell>
          <cell r="C3577" t="str">
            <v>PREGO DE ACO POLIDO COM CABECA 18 X 27 (2 1/2 X 10)</v>
          </cell>
          <cell r="D3577" t="str">
            <v>KG</v>
          </cell>
          <cell r="E3577" t="str">
            <v>C</v>
          </cell>
          <cell r="F3577">
            <v>11.13</v>
          </cell>
        </row>
        <row r="3578">
          <cell r="B3578">
            <v>5075</v>
          </cell>
          <cell r="C3578" t="str">
            <v>PREGO DE ACO POLIDO COM CABECA 18 X 30 (2 3/4 X 10)</v>
          </cell>
          <cell r="D3578" t="str">
            <v>KG</v>
          </cell>
          <cell r="E3578" t="str">
            <v>CR</v>
          </cell>
          <cell r="F3578">
            <v>11.32</v>
          </cell>
        </row>
        <row r="3579">
          <cell r="B3579">
            <v>5062</v>
          </cell>
          <cell r="C3579" t="str">
            <v>PREGO DE ACO POLIDO COM CABECA 19 X 33 (3 X 9)</v>
          </cell>
          <cell r="D3579" t="str">
            <v>KG</v>
          </cell>
          <cell r="E3579" t="str">
            <v>CR</v>
          </cell>
          <cell r="F3579">
            <v>11.47</v>
          </cell>
        </row>
        <row r="3580">
          <cell r="B3580">
            <v>39027</v>
          </cell>
          <cell r="C3580" t="str">
            <v>PREGO DE ACO POLIDO COM CABECA 19 X 36 (3 1/4 X 9)</v>
          </cell>
          <cell r="D3580" t="str">
            <v>KG</v>
          </cell>
          <cell r="E3580" t="str">
            <v>CR</v>
          </cell>
          <cell r="F3580">
            <v>11.31</v>
          </cell>
        </row>
        <row r="3581">
          <cell r="B3581">
            <v>40568</v>
          </cell>
          <cell r="C3581" t="str">
            <v>PREGO DE ACO POLIDO COM CABECA 22 X 48 (4 1/4 X 5)</v>
          </cell>
          <cell r="D3581" t="str">
            <v>KG</v>
          </cell>
          <cell r="E3581" t="str">
            <v>CR</v>
          </cell>
          <cell r="F3581">
            <v>11.4</v>
          </cell>
        </row>
        <row r="3582">
          <cell r="B3582">
            <v>40304</v>
          </cell>
          <cell r="C3582" t="str">
            <v>PREGO DE ACO POLIDO COM CABECA DUPLA 17 X 27 (2 1/2 X 11)</v>
          </cell>
          <cell r="D3582" t="str">
            <v>KG</v>
          </cell>
          <cell r="E3582" t="str">
            <v>CR</v>
          </cell>
          <cell r="F3582">
            <v>13.97</v>
          </cell>
        </row>
        <row r="3583">
          <cell r="B3583">
            <v>39026</v>
          </cell>
          <cell r="C3583" t="str">
            <v>PREGO DE ACO POLIDO SEM CABECA 15 X 15 (1 1/4 X 13)</v>
          </cell>
          <cell r="D3583" t="str">
            <v>KG</v>
          </cell>
          <cell r="E3583" t="str">
            <v>CR</v>
          </cell>
          <cell r="F3583">
            <v>12.73</v>
          </cell>
        </row>
        <row r="3584">
          <cell r="B3584">
            <v>42431</v>
          </cell>
          <cell r="C3584" t="str">
            <v>PRESSAO DE PERNAS TRIPLO, EM TUBO DE ACO CARBONO, PINTURA NO PROCESSO ELETROSTATICO - EQUIPAMENTO DE GINASTICA PARA ACADEMIA AO AR LIVRE / ACADEMIA DA TERCEIRA IDADE - ATI</v>
          </cell>
          <cell r="D3584" t="str">
            <v>UN</v>
          </cell>
          <cell r="E3584" t="str">
            <v>CR</v>
          </cell>
          <cell r="F3584">
            <v>3957.85</v>
          </cell>
        </row>
        <row r="3585">
          <cell r="B3585">
            <v>44074</v>
          </cell>
          <cell r="C3585" t="str">
            <v>PRIMER DE POLIURETANO</v>
          </cell>
          <cell r="D3585" t="str">
            <v>L</v>
          </cell>
          <cell r="E3585" t="str">
            <v>CR</v>
          </cell>
          <cell r="F3585">
            <v>522.75</v>
          </cell>
        </row>
        <row r="3586">
          <cell r="B3586">
            <v>44072</v>
          </cell>
          <cell r="C3586" t="str">
            <v>PRIMER EPOXI / EPOXIDICO</v>
          </cell>
          <cell r="D3586" t="str">
            <v>L</v>
          </cell>
          <cell r="E3586" t="str">
            <v>CR</v>
          </cell>
          <cell r="F3586">
            <v>143.19999999999999</v>
          </cell>
        </row>
        <row r="3587">
          <cell r="B3587">
            <v>511</v>
          </cell>
          <cell r="C3587" t="str">
            <v>PRIMER PARA MANTA ASFALTICA A BASE DE ASFALTO MODIFICADO DILUIDO EM SOLVENTE, APLICACAO A FRIO</v>
          </cell>
          <cell r="D3587" t="str">
            <v>L</v>
          </cell>
          <cell r="E3587" t="str">
            <v>C</v>
          </cell>
          <cell r="F3587">
            <v>18.5</v>
          </cell>
        </row>
        <row r="3588">
          <cell r="B3588">
            <v>37540</v>
          </cell>
          <cell r="C3588" t="str">
            <v>PROJETOR DE ARGAMASSA, CAPACIDADE DE PROJECAO 1,5 M3/H, ALCANCE DA PROJECAO 30 ATE 60 M, MOTOR ELETRICO TRIFASICO</v>
          </cell>
          <cell r="D3588" t="str">
            <v>UN</v>
          </cell>
          <cell r="E3588" t="str">
            <v>CR</v>
          </cell>
          <cell r="F3588">
            <v>88040.68</v>
          </cell>
        </row>
        <row r="3589">
          <cell r="B3589">
            <v>37548</v>
          </cell>
          <cell r="C3589" t="str">
            <v>PROJETOR DE ARGAMASSA, CAPACIDADE DE PROJECAO 2,0 M3/H, ALCANCE DA PROJECAO ATE 50 M, MOTOR ELETRICO TRIFASICO</v>
          </cell>
          <cell r="D3589" t="str">
            <v>UN</v>
          </cell>
          <cell r="E3589" t="str">
            <v>CR</v>
          </cell>
          <cell r="F3589">
            <v>116697.47</v>
          </cell>
        </row>
        <row r="3590">
          <cell r="B3590">
            <v>39828</v>
          </cell>
          <cell r="C3590" t="str">
            <v>PROJETOR PNEUMATICO DE ARGAMASSA PARA CHAPISCO E REBOCO COM RECIPIENTE ACOPLADO, TIPO CANEQUINHA, COM VOLUME DE 1,50 L, SEM COMPRESSOR</v>
          </cell>
          <cell r="D3590" t="str">
            <v>UN</v>
          </cell>
          <cell r="E3590" t="str">
            <v>CR</v>
          </cell>
          <cell r="F3590">
            <v>700.07</v>
          </cell>
        </row>
        <row r="3591">
          <cell r="B3591">
            <v>38392</v>
          </cell>
          <cell r="C3591" t="str">
            <v>PROLONGADOR/ EXTENSOR TELESCOPICO, EM CHAPA METALICA, COM 3 METROS, PARA ROLO DE PINTURA</v>
          </cell>
          <cell r="D3591" t="str">
            <v>UN</v>
          </cell>
          <cell r="E3591" t="str">
            <v>CR</v>
          </cell>
          <cell r="F3591">
            <v>64.02</v>
          </cell>
        </row>
        <row r="3592">
          <cell r="B3592">
            <v>11735</v>
          </cell>
          <cell r="C3592" t="str">
            <v>PROLONGAMENTO / PROLONGADOR PARA CAIXA SIFONADA, PVC, 100 MM X 200 MM (NBR 5688)</v>
          </cell>
          <cell r="D3592" t="str">
            <v>UN</v>
          </cell>
          <cell r="E3592" t="str">
            <v>CR</v>
          </cell>
          <cell r="F3592">
            <v>9.9</v>
          </cell>
        </row>
        <row r="3593">
          <cell r="B3593">
            <v>11737</v>
          </cell>
          <cell r="C3593" t="str">
            <v>PROLONGAMENTO / PROLONGADOR PARA CAIXA SIFONADA, PVC, 150 MM X 150 MM (NBR 5688)</v>
          </cell>
          <cell r="D3593" t="str">
            <v>UN</v>
          </cell>
          <cell r="E3593" t="str">
            <v>CR</v>
          </cell>
          <cell r="F3593">
            <v>14.03</v>
          </cell>
        </row>
        <row r="3594">
          <cell r="B3594">
            <v>11738</v>
          </cell>
          <cell r="C3594" t="str">
            <v>PROLONGAMENTO / PROLONGADOR PARA CAIXA SIFONADA, PVC, 150 MM X 200 MM (NBR 5688)</v>
          </cell>
          <cell r="D3594" t="str">
            <v>UN</v>
          </cell>
          <cell r="E3594" t="str">
            <v>CR</v>
          </cell>
          <cell r="F3594">
            <v>17.7</v>
          </cell>
        </row>
        <row r="3595">
          <cell r="B3595">
            <v>36143</v>
          </cell>
          <cell r="C3595" t="str">
            <v>PROTETOR AUDITIVO TIPO CONCHA COM ABAFADOR DE RUIDOS, ATENUACAO ACIMA DE 22 DB</v>
          </cell>
          <cell r="D3595" t="str">
            <v>UN</v>
          </cell>
          <cell r="E3595" t="str">
            <v>CR</v>
          </cell>
          <cell r="F3595">
            <v>93.62</v>
          </cell>
        </row>
        <row r="3596">
          <cell r="B3596">
            <v>36142</v>
          </cell>
          <cell r="C3596" t="str">
            <v>PROTETOR AUDITIVO TIPO PLUG DE INSERCAO COM CORDAO, ATENUACAO SUPERIOR A 15 DB</v>
          </cell>
          <cell r="D3596" t="str">
            <v>UN</v>
          </cell>
          <cell r="E3596" t="str">
            <v>CR</v>
          </cell>
          <cell r="F3596">
            <v>2.31</v>
          </cell>
        </row>
        <row r="3597">
          <cell r="B3597">
            <v>45227</v>
          </cell>
          <cell r="C3597" t="str">
            <v>PROTETOR FACIAL ARCO ELETRICO, COM QUEIXEIRA E LENTE EM POLICARBONATO, CAPACETE INCLUIDO</v>
          </cell>
          <cell r="D3597" t="str">
            <v>UN</v>
          </cell>
          <cell r="E3597" t="str">
            <v>CR</v>
          </cell>
          <cell r="F3597">
            <v>892.13</v>
          </cell>
        </row>
        <row r="3598">
          <cell r="B3598">
            <v>45209</v>
          </cell>
          <cell r="C3598" t="str">
            <v>PROTETOR FACIAL DE POLICARBONATO, 200 MM X *390* MM, COM COROA E CARNEIRA</v>
          </cell>
          <cell r="D3598" t="str">
            <v>UN</v>
          </cell>
          <cell r="E3598" t="str">
            <v>CR</v>
          </cell>
          <cell r="F3598">
            <v>39.08</v>
          </cell>
        </row>
        <row r="3599">
          <cell r="B3599">
            <v>36146</v>
          </cell>
          <cell r="C3599" t="str">
            <v>PROTETOR SOLAR FPS 30, EMBALAGEM 2 LITROS</v>
          </cell>
          <cell r="D3599" t="str">
            <v>UN</v>
          </cell>
          <cell r="E3599" t="str">
            <v>CR</v>
          </cell>
          <cell r="F3599">
            <v>247.74</v>
          </cell>
        </row>
        <row r="3600">
          <cell r="B3600">
            <v>39015</v>
          </cell>
          <cell r="C3600" t="str">
            <v>PROTETOR/PONTEIRA PLASTICA PARA PONTA DE VERGALHAO DE ATE 1", TIPO PROTETOR DE ESPERA</v>
          </cell>
          <cell r="D3600" t="str">
            <v>UN</v>
          </cell>
          <cell r="E3600" t="str">
            <v>C</v>
          </cell>
          <cell r="F3600">
            <v>0.98</v>
          </cell>
        </row>
        <row r="3601">
          <cell r="B3601">
            <v>38377</v>
          </cell>
          <cell r="C3601" t="str">
            <v>PRUMO DE CENTRO EM ACO *400* G, COM CORDAO EM NYLON E CALCO GUIA EM ACO OU MADEIRA</v>
          </cell>
          <cell r="D3601" t="str">
            <v>UN</v>
          </cell>
          <cell r="E3601" t="str">
            <v>CR</v>
          </cell>
          <cell r="F3601">
            <v>31.68</v>
          </cell>
        </row>
        <row r="3602">
          <cell r="B3602">
            <v>38376</v>
          </cell>
          <cell r="C3602" t="str">
            <v>PRUMO DE PAREDE EM ACO 700 A 750 G, COM CORDAO EM NYLON E TACO</v>
          </cell>
          <cell r="D3602" t="str">
            <v>UN</v>
          </cell>
          <cell r="E3602" t="str">
            <v>CR</v>
          </cell>
          <cell r="F3602">
            <v>36.64</v>
          </cell>
        </row>
        <row r="3603">
          <cell r="B3603">
            <v>38116</v>
          </cell>
          <cell r="C3603" t="str">
            <v>PULSADOR CAMPAINHA 10A, 250V (APENAS MODULO)</v>
          </cell>
          <cell r="D3603" t="str">
            <v>UN</v>
          </cell>
          <cell r="E3603" t="str">
            <v>CR</v>
          </cell>
          <cell r="F3603">
            <v>6.26</v>
          </cell>
        </row>
        <row r="3604">
          <cell r="B3604">
            <v>38066</v>
          </cell>
          <cell r="C3604" t="str">
            <v>PULSADOR CAMPAINHA 10A, 250V, CONJUNTO MONTADO PARA EMBUTIR 4" X 2" (PLACA + SUPORTE + MODULO)</v>
          </cell>
          <cell r="D3604" t="str">
            <v>UN</v>
          </cell>
          <cell r="E3604" t="str">
            <v>CR</v>
          </cell>
          <cell r="F3604">
            <v>10.33</v>
          </cell>
        </row>
        <row r="3605">
          <cell r="B3605">
            <v>38117</v>
          </cell>
          <cell r="C3605" t="str">
            <v>PULSADOR MINUTERIA 10A, 250V (APENAS MODULO)</v>
          </cell>
          <cell r="D3605" t="str">
            <v>UN</v>
          </cell>
          <cell r="E3605" t="str">
            <v>CR</v>
          </cell>
          <cell r="F3605">
            <v>10.66</v>
          </cell>
        </row>
        <row r="3606">
          <cell r="B3606">
            <v>38067</v>
          </cell>
          <cell r="C3606" t="str">
            <v>PULSADOR MINUTERIA 10A, 250V, CONJUNTO MONTADO PARA EMBUTIR 4" X 2" (PLACA + SUPORTE + MODULO)</v>
          </cell>
          <cell r="D3606" t="str">
            <v>UN</v>
          </cell>
          <cell r="E3606" t="str">
            <v>CR</v>
          </cell>
          <cell r="F3606">
            <v>14.54</v>
          </cell>
        </row>
        <row r="3607">
          <cell r="B3607">
            <v>44313</v>
          </cell>
          <cell r="C3607" t="str">
            <v>PUNHO PARA PERFURATRIZ DE ESTEIRA T38, D = 1 1/2" (38 MM), C = 380 MM</v>
          </cell>
          <cell r="D3607" t="str">
            <v>UN</v>
          </cell>
          <cell r="E3607" t="str">
            <v>CR</v>
          </cell>
          <cell r="F3607">
            <v>973.39</v>
          </cell>
        </row>
        <row r="3608">
          <cell r="B3608">
            <v>11522</v>
          </cell>
          <cell r="C3608" t="str">
            <v>PUXADOR DE EMBUTIR TIPO CONCHA, COM FURO PARA CHAVE, EM LATAO CROMADO, COMPRIMENTO DE APROX *100* MM E LARGURA DE APROX *40* MM</v>
          </cell>
          <cell r="D3608" t="str">
            <v>UN</v>
          </cell>
          <cell r="E3608" t="str">
            <v>CR</v>
          </cell>
          <cell r="F3608">
            <v>12.98</v>
          </cell>
        </row>
        <row r="3609">
          <cell r="B3609">
            <v>43600</v>
          </cell>
          <cell r="C3609" t="str">
            <v>PUXADOR TIPO ALCA, EM ZAMAC CROMADO, COM COMPRIMENTO DE APROX 150 MM, COM ROSETA PARA PORTAS DE MADEIRAS, INCLUINDO PARAFUSOS</v>
          </cell>
          <cell r="D3609" t="str">
            <v>UN</v>
          </cell>
          <cell r="E3609" t="str">
            <v>CR</v>
          </cell>
          <cell r="F3609">
            <v>52.02</v>
          </cell>
        </row>
        <row r="3610">
          <cell r="B3610">
            <v>5080</v>
          </cell>
          <cell r="C3610" t="str">
            <v>PUXADOR TIPO ALCA, EM ZAMAC CROMADO, COM ROSETAS, COMPRIMENTO DE APROX *100* MM, PARA PORTAS E JANELAS DE MADEIRA, INCLUINDO PARAFUSOS</v>
          </cell>
          <cell r="D3610" t="str">
            <v>UN</v>
          </cell>
          <cell r="E3610" t="str">
            <v>CR</v>
          </cell>
          <cell r="F3610">
            <v>20.28</v>
          </cell>
        </row>
        <row r="3611">
          <cell r="B3611">
            <v>38168</v>
          </cell>
          <cell r="C3611" t="str">
            <v>PUXADOR TUBULAR RETO DUPLO, EM ALUMINIO CROMADO, COMPRIMENTO DE APROX 400 MM E DIAMETRO DE 25 MM (1")</v>
          </cell>
          <cell r="D3611" t="str">
            <v>UN</v>
          </cell>
          <cell r="E3611" t="str">
            <v>CR</v>
          </cell>
          <cell r="F3611">
            <v>141.62</v>
          </cell>
        </row>
        <row r="3612">
          <cell r="B3612">
            <v>43601</v>
          </cell>
          <cell r="C3612" t="str">
            <v>PUXADOR TUBULAR RETO SIMPLES, EM ALUMINIO CROMADO, COM COMPRIMENTO DE APROX 400 MM E DIAMETRO DE 25 MM</v>
          </cell>
          <cell r="D3612" t="str">
            <v>UN</v>
          </cell>
          <cell r="E3612" t="str">
            <v>CR</v>
          </cell>
          <cell r="F3612">
            <v>70.81</v>
          </cell>
        </row>
        <row r="3613">
          <cell r="B3613">
            <v>13393</v>
          </cell>
          <cell r="C3613" t="str">
            <v>QUADRO DE DISTRIBUICAO COM BARRAMENTO TRIFASICO, DE EMBUTIR, EM CHAPA DE ACO GALVANIZADO, PARA 12 DISJUNTORES DIN, 100 A</v>
          </cell>
          <cell r="D3613" t="str">
            <v>UN</v>
          </cell>
          <cell r="E3613" t="str">
            <v>CR</v>
          </cell>
          <cell r="F3613">
            <v>302.14</v>
          </cell>
        </row>
        <row r="3614">
          <cell r="B3614">
            <v>13395</v>
          </cell>
          <cell r="C3614" t="str">
            <v>QUADRO DE DISTRIBUICAO COM BARRAMENTO TRIFASICO, DE EMBUTIR, EM CHAPA DE ACO GALVANIZADO, PARA 18 DISJUNTORES DIN, 100 A</v>
          </cell>
          <cell r="D3614" t="str">
            <v>UN</v>
          </cell>
          <cell r="E3614" t="str">
            <v>CR</v>
          </cell>
          <cell r="F3614">
            <v>423.42</v>
          </cell>
        </row>
        <row r="3615">
          <cell r="B3615">
            <v>12039</v>
          </cell>
          <cell r="C3615" t="str">
            <v>QUADRO DE DISTRIBUICAO COM BARRAMENTO TRIFASICO, DE EMBUTIR, EM CHAPA DE ACO GALVANIZADO, PARA 24 DISJUNTORES DIN, 100 A</v>
          </cell>
          <cell r="D3615" t="str">
            <v>UN</v>
          </cell>
          <cell r="E3615" t="str">
            <v>CR</v>
          </cell>
          <cell r="F3615">
            <v>444.97</v>
          </cell>
        </row>
        <row r="3616">
          <cell r="B3616">
            <v>13396</v>
          </cell>
          <cell r="C3616" t="str">
            <v>QUADRO DE DISTRIBUICAO COM BARRAMENTO TRIFASICO, DE EMBUTIR, EM CHAPA DE ACO GALVANIZADO, PARA 28 DISJUNTORES DIN, 100 A</v>
          </cell>
          <cell r="D3616" t="str">
            <v>UN</v>
          </cell>
          <cell r="E3616" t="str">
            <v>CR</v>
          </cell>
          <cell r="F3616">
            <v>624.94000000000005</v>
          </cell>
        </row>
        <row r="3617">
          <cell r="B3617">
            <v>12041</v>
          </cell>
          <cell r="C3617" t="str">
            <v>QUADRO DE DISTRIBUICAO COM BARRAMENTO TRIFASICO, DE EMBUTIR, EM CHAPA DE ACO GALVANIZADO, PARA 30 DISJUNTORES DIN, 150 A</v>
          </cell>
          <cell r="D3617" t="str">
            <v>UN</v>
          </cell>
          <cell r="E3617" t="str">
            <v>CR</v>
          </cell>
          <cell r="F3617">
            <v>510.3</v>
          </cell>
        </row>
        <row r="3618">
          <cell r="B3618">
            <v>12043</v>
          </cell>
          <cell r="C3618" t="str">
            <v>QUADRO DE DISTRIBUICAO COM BARRAMENTO TRIFASICO, DE EMBUTIR, EM CHAPA DE ACO GALVANIZADO, PARA 30 DISJUNTORES DIN, 225 A</v>
          </cell>
          <cell r="D3618" t="str">
            <v>UN</v>
          </cell>
          <cell r="E3618" t="str">
            <v>CR</v>
          </cell>
          <cell r="F3618">
            <v>1077.42</v>
          </cell>
        </row>
        <row r="3619">
          <cell r="B3619">
            <v>39762</v>
          </cell>
          <cell r="C3619" t="str">
            <v>QUADRO DE DISTRIBUICAO COM BARRAMENTO TRIFASICO, DE EMBUTIR, EM CHAPA DE ACO GALVANIZADO, PARA 36 DISJUNTORES DIN, 100 A</v>
          </cell>
          <cell r="D3619" t="str">
            <v>UN</v>
          </cell>
          <cell r="E3619" t="str">
            <v>CR</v>
          </cell>
          <cell r="F3619">
            <v>512.88</v>
          </cell>
        </row>
        <row r="3620">
          <cell r="B3620">
            <v>12042</v>
          </cell>
          <cell r="C3620" t="str">
            <v>QUADRO DE DISTRIBUICAO COM BARRAMENTO TRIFASICO, DE EMBUTIR, EM CHAPA DE ACO GALVANIZADO, PARA 40 DISJUNTORES DIN, 100 A</v>
          </cell>
          <cell r="D3620" t="str">
            <v>UN</v>
          </cell>
          <cell r="E3620" t="str">
            <v>CR</v>
          </cell>
          <cell r="F3620">
            <v>748.79</v>
          </cell>
        </row>
        <row r="3621">
          <cell r="B3621">
            <v>39763</v>
          </cell>
          <cell r="C3621" t="str">
            <v>QUADRO DE DISTRIBUICAO COM BARRAMENTO TRIFASICO, DE EMBUTIR, EM CHAPA DE ACO GALVANIZADO, PARA 48 DISJUNTORES DIN, 100 A</v>
          </cell>
          <cell r="D3621" t="str">
            <v>UN</v>
          </cell>
          <cell r="E3621" t="str">
            <v>CR</v>
          </cell>
          <cell r="F3621">
            <v>876.36</v>
          </cell>
        </row>
        <row r="3622">
          <cell r="B3622">
            <v>39760</v>
          </cell>
          <cell r="C3622" t="str">
            <v>QUADRO DE DISTRIBUICAO COM BARRAMENTO TRIFASICO, DE SOBREPOR, EM CHAPA DE ACO GALVANIZADO, PARA *42* DISJUNTORES DIN, 100 A</v>
          </cell>
          <cell r="D3622" t="str">
            <v>UN</v>
          </cell>
          <cell r="E3622" t="str">
            <v>CR</v>
          </cell>
          <cell r="F3622">
            <v>873.48</v>
          </cell>
        </row>
        <row r="3623">
          <cell r="B3623">
            <v>39756</v>
          </cell>
          <cell r="C3623" t="str">
            <v>QUADRO DE DISTRIBUICAO COM BARRAMENTO TRIFASICO, DE SOBREPOR, EM CHAPA DE ACO GALVANIZADO, PARA 12 DISJUNTORES DIN, 100 A</v>
          </cell>
          <cell r="D3623" t="str">
            <v>UN</v>
          </cell>
          <cell r="E3623" t="str">
            <v>CR</v>
          </cell>
          <cell r="F3623">
            <v>313.63</v>
          </cell>
        </row>
        <row r="3624">
          <cell r="B3624">
            <v>12038</v>
          </cell>
          <cell r="C3624" t="str">
            <v>QUADRO DE DISTRIBUICAO COM BARRAMENTO TRIFASICO, DE SOBREPOR, EM CHAPA DE ACO GALVANIZADO, PARA 18 DISJUNTORES DIN, 100 A</v>
          </cell>
          <cell r="D3624" t="str">
            <v>UN</v>
          </cell>
          <cell r="E3624" t="str">
            <v>CR</v>
          </cell>
          <cell r="F3624">
            <v>391.89</v>
          </cell>
        </row>
        <row r="3625">
          <cell r="B3625">
            <v>39757</v>
          </cell>
          <cell r="C3625" t="str">
            <v>QUADRO DE DISTRIBUICAO COM BARRAMENTO TRIFASICO, DE SOBREPOR, EM CHAPA DE ACO GALVANIZADO, PARA 28 DISJUNTORES DIN, 100 A</v>
          </cell>
          <cell r="D3625" t="str">
            <v>UN</v>
          </cell>
          <cell r="E3625" t="str">
            <v>CR</v>
          </cell>
          <cell r="F3625">
            <v>362.38</v>
          </cell>
        </row>
        <row r="3626">
          <cell r="B3626">
            <v>39758</v>
          </cell>
          <cell r="C3626" t="str">
            <v>QUADRO DE DISTRIBUICAO COM BARRAMENTO TRIFASICO, DE SOBREPOR, EM CHAPA DE ACO GALVANIZADO, PARA 30 DISJUNTORES DIN, 100 A</v>
          </cell>
          <cell r="D3626" t="str">
            <v>UN</v>
          </cell>
          <cell r="E3626" t="str">
            <v>CR</v>
          </cell>
          <cell r="F3626">
            <v>528.11</v>
          </cell>
        </row>
        <row r="3627">
          <cell r="B3627">
            <v>39759</v>
          </cell>
          <cell r="C3627" t="str">
            <v>QUADRO DE DISTRIBUICAO COM BARRAMENTO TRIFASICO, DE SOBREPOR, EM CHAPA DE ACO GALVANIZADO, PARA 36 DISJUNTORES DIN, 100 A</v>
          </cell>
          <cell r="D3627" t="str">
            <v>UN</v>
          </cell>
          <cell r="E3627" t="str">
            <v>CR</v>
          </cell>
          <cell r="F3627">
            <v>652.22</v>
          </cell>
        </row>
        <row r="3628">
          <cell r="B3628">
            <v>39761</v>
          </cell>
          <cell r="C3628" t="str">
            <v>QUADRO DE DISTRIBUICAO COM BARRAMENTO TRIFASICO, DE SOBREPOR, EM CHAPA DE ACO GALVANIZADO, PARA 48 DISJUNTORES DIN, 100 A</v>
          </cell>
          <cell r="D3628" t="str">
            <v>UN</v>
          </cell>
          <cell r="E3628" t="str">
            <v>CR</v>
          </cell>
          <cell r="F3628">
            <v>783.99</v>
          </cell>
        </row>
        <row r="3629">
          <cell r="B3629">
            <v>39805</v>
          </cell>
          <cell r="C3629" t="str">
            <v>QUADRO DE DISTRIBUICAO, EM PVC, DE EMBUTIR, COM BARRAMENTO TERRA / NEUTRO, PARA 12 DISJUNTORES NEMA OU 16 DISJUNTORES DIN</v>
          </cell>
          <cell r="D3629" t="str">
            <v>UN</v>
          </cell>
          <cell r="E3629" t="str">
            <v>CR</v>
          </cell>
          <cell r="F3629">
            <v>136.16</v>
          </cell>
        </row>
        <row r="3630">
          <cell r="B3630">
            <v>39806</v>
          </cell>
          <cell r="C3630" t="str">
            <v>QUADRO DE DISTRIBUICAO, EM PVC, DE EMBUTIR, COM BARRAMENTO TERRA / NEUTRO, PARA 18 DISJUNTORES NEMA OU 24 DISJUNTORES DIN</v>
          </cell>
          <cell r="D3630" t="str">
            <v>UN</v>
          </cell>
          <cell r="E3630" t="str">
            <v>CR</v>
          </cell>
          <cell r="F3630">
            <v>252.27</v>
          </cell>
        </row>
        <row r="3631">
          <cell r="B3631">
            <v>39807</v>
          </cell>
          <cell r="C3631" t="str">
            <v>QUADRO DE DISTRIBUICAO, EM PVC, DE EMBUTIR, COM BARRAMENTO TERRA / NEUTRO, PARA 27 DISJUNTORES NEMA OU 36 DISJUNTORES DIN</v>
          </cell>
          <cell r="D3631" t="str">
            <v>UN</v>
          </cell>
          <cell r="E3631" t="str">
            <v>CR</v>
          </cell>
          <cell r="F3631">
            <v>546.74</v>
          </cell>
        </row>
        <row r="3632">
          <cell r="B3632">
            <v>43100</v>
          </cell>
          <cell r="C3632" t="str">
            <v>QUADRO DE DISTRIBUICAO, EM PVC, DE EMBUTIR, COM BARRAMENTO TERRA / NEUTRO, PARA 48 DISJUNTORES DIN</v>
          </cell>
          <cell r="D3632" t="str">
            <v>UN</v>
          </cell>
          <cell r="E3632" t="str">
            <v>CR</v>
          </cell>
          <cell r="F3632">
            <v>427.43</v>
          </cell>
        </row>
        <row r="3633">
          <cell r="B3633">
            <v>39804</v>
          </cell>
          <cell r="C3633" t="str">
            <v>QUADRO DE DISTRIBUICAO, EM PVC, DE EMBUTIR, COM BARRAMENTO TERRA / NEUTRO, PARA 6 DISJUNTORES NEMA OU 8 DISJUNTORES DIN</v>
          </cell>
          <cell r="D3633" t="str">
            <v>UN</v>
          </cell>
          <cell r="E3633" t="str">
            <v>CR</v>
          </cell>
          <cell r="F3633">
            <v>79.95</v>
          </cell>
        </row>
        <row r="3634">
          <cell r="B3634">
            <v>39796</v>
          </cell>
          <cell r="C3634" t="str">
            <v>QUADRO DE DISTRIBUICAO, SEM BARRAMENTO, EM PVC, DE EMBUTIR, PARA 12 DISJUNTORES NEMA OU 16 DISJUNTORES DIN</v>
          </cell>
          <cell r="D3634" t="str">
            <v>UN</v>
          </cell>
          <cell r="E3634" t="str">
            <v>CR</v>
          </cell>
          <cell r="F3634">
            <v>82.81</v>
          </cell>
        </row>
        <row r="3635">
          <cell r="B3635">
            <v>39797</v>
          </cell>
          <cell r="C3635" t="str">
            <v>QUADRO DE DISTRIBUICAO, SEM BARRAMENTO, EM PVC, DE EMBUTIR, PARA 18 DISJUNTORES NEMA OU 24 DISJUNTORES DIN</v>
          </cell>
          <cell r="D3635" t="str">
            <v>UN</v>
          </cell>
          <cell r="E3635" t="str">
            <v>C</v>
          </cell>
          <cell r="F3635">
            <v>130</v>
          </cell>
        </row>
        <row r="3636">
          <cell r="B3636">
            <v>39798</v>
          </cell>
          <cell r="C3636" t="str">
            <v>QUADRO DE DISTRIBUICAO, SEM BARRAMENTO, EM PVC, DE EMBUTIR, PARA 27 DISJUNTORES NEMA OU 36 DISJUNTORES DIN</v>
          </cell>
          <cell r="D3636" t="str">
            <v>UN</v>
          </cell>
          <cell r="E3636" t="str">
            <v>CR</v>
          </cell>
          <cell r="F3636">
            <v>222.99</v>
          </cell>
        </row>
        <row r="3637">
          <cell r="B3637">
            <v>39794</v>
          </cell>
          <cell r="C3637" t="str">
            <v>QUADRO DE DISTRIBUICAO, SEM BARRAMENTO, EM PVC, DE EMBUTIR, PARA 3 DISJUNTORES NEMA OU 4 DISJUNTORES DIN</v>
          </cell>
          <cell r="D3637" t="str">
            <v>UN</v>
          </cell>
          <cell r="E3637" t="str">
            <v>CR</v>
          </cell>
          <cell r="F3637">
            <v>35.15</v>
          </cell>
        </row>
        <row r="3638">
          <cell r="B3638">
            <v>39795</v>
          </cell>
          <cell r="C3638" t="str">
            <v>QUADRO DE DISTRIBUICAO, SEM BARRAMENTO, EM PVC, DE EMBUTIR, PARA 6 DISJUNTORES NEMA OU 8 DISJUNTORES DIN</v>
          </cell>
          <cell r="D3638" t="str">
            <v>UN</v>
          </cell>
          <cell r="E3638" t="str">
            <v>CR</v>
          </cell>
          <cell r="F3638">
            <v>55.53</v>
          </cell>
        </row>
        <row r="3639">
          <cell r="B3639">
            <v>39801</v>
          </cell>
          <cell r="C3639" t="str">
            <v>QUADRO DE DISTRIBUICAO, SEM BARRAMENTO, EM PVC, DE SOBREPOR, PARA 12 DISJUNTORES NEMA OU 16 DISJUNTORES DIN</v>
          </cell>
          <cell r="D3639" t="str">
            <v>UN</v>
          </cell>
          <cell r="E3639" t="str">
            <v>CR</v>
          </cell>
          <cell r="F3639">
            <v>117.27</v>
          </cell>
        </row>
        <row r="3640">
          <cell r="B3640">
            <v>39802</v>
          </cell>
          <cell r="C3640" t="str">
            <v>QUADRO DE DISTRIBUICAO, SEM BARRAMENTO, EM PVC, DE SOBREPOR, PARA 18 DISJUNTORES NEMA OU 24 DISJUNTORES DIN</v>
          </cell>
          <cell r="D3640" t="str">
            <v>UN</v>
          </cell>
          <cell r="E3640" t="str">
            <v>CR</v>
          </cell>
          <cell r="F3640">
            <v>171.89</v>
          </cell>
        </row>
        <row r="3641">
          <cell r="B3641">
            <v>39803</v>
          </cell>
          <cell r="C3641" t="str">
            <v>QUADRO DE DISTRIBUICAO, SEM BARRAMENTO, EM PVC, DE SOBREPOR, PARA 27 DISJUNTORES NEMA OU 36 DISJUNTORES DIN</v>
          </cell>
          <cell r="D3641" t="str">
            <v>UN</v>
          </cell>
          <cell r="E3641" t="str">
            <v>CR</v>
          </cell>
          <cell r="F3641">
            <v>239.79</v>
          </cell>
        </row>
        <row r="3642">
          <cell r="B3642">
            <v>39799</v>
          </cell>
          <cell r="C3642" t="str">
            <v>QUADRO DE DISTRIBUICAO, SEM BARRAMENTO, EM PVC, DE SOBREPOR, PARA 3 DISJUNTORES NEMA OU 4 DISJUNTORES DIN</v>
          </cell>
          <cell r="D3642" t="str">
            <v>UN</v>
          </cell>
          <cell r="E3642" t="str">
            <v>CR</v>
          </cell>
          <cell r="F3642">
            <v>40.97</v>
          </cell>
        </row>
        <row r="3643">
          <cell r="B3643">
            <v>39800</v>
          </cell>
          <cell r="C3643" t="str">
            <v>QUADRO DE DISTRIBUICAO, SEM BARRAMENTO, EM PVC, DE SOBREPOR, PARA 6 DISJUNTORES NEMA OU 8 DISJUNTORES DIN</v>
          </cell>
          <cell r="D3643" t="str">
            <v>UN</v>
          </cell>
          <cell r="E3643" t="str">
            <v>CR</v>
          </cell>
          <cell r="F3643">
            <v>69.8</v>
          </cell>
        </row>
        <row r="3644">
          <cell r="B3644">
            <v>43837</v>
          </cell>
          <cell r="C3644" t="str">
            <v>RACK DE PISO PARA SERVIDOR, ABERTO, EM COLUNA, 44U X *570* MM</v>
          </cell>
          <cell r="D3644" t="str">
            <v>UN</v>
          </cell>
          <cell r="E3644" t="str">
            <v>CR</v>
          </cell>
          <cell r="F3644">
            <v>1294.48</v>
          </cell>
        </row>
        <row r="3645">
          <cell r="B3645">
            <v>43836</v>
          </cell>
          <cell r="C3645" t="str">
            <v>RACK DE PISO PARA SERVIDOR, FECHADO, 44U, COM PORTA, 44U X *570* MM</v>
          </cell>
          <cell r="D3645" t="str">
            <v>UN</v>
          </cell>
          <cell r="E3645" t="str">
            <v>CR</v>
          </cell>
          <cell r="F3645">
            <v>2634.05</v>
          </cell>
        </row>
        <row r="3646">
          <cell r="B3646">
            <v>21059</v>
          </cell>
          <cell r="C3646" t="str">
            <v>RALO FOFO COM REQUADRO, QUADRADO 150 X 150 MM</v>
          </cell>
          <cell r="D3646" t="str">
            <v>UN</v>
          </cell>
          <cell r="E3646" t="str">
            <v>CR</v>
          </cell>
          <cell r="F3646">
            <v>51.13</v>
          </cell>
        </row>
        <row r="3647">
          <cell r="B3647">
            <v>11234</v>
          </cell>
          <cell r="C3647" t="str">
            <v>RALO FOFO COM REQUADRO, QUADRADO 200 X 200 MM</v>
          </cell>
          <cell r="D3647" t="str">
            <v>UN</v>
          </cell>
          <cell r="E3647" t="str">
            <v>CR</v>
          </cell>
          <cell r="F3647">
            <v>77.069999999999993</v>
          </cell>
        </row>
        <row r="3648">
          <cell r="B3648">
            <v>21060</v>
          </cell>
          <cell r="C3648" t="str">
            <v>RALO FOFO COM REQUADRO, QUADRADO 250 X 250 MM</v>
          </cell>
          <cell r="D3648" t="str">
            <v>UN</v>
          </cell>
          <cell r="E3648" t="str">
            <v>CR</v>
          </cell>
          <cell r="F3648">
            <v>94.85</v>
          </cell>
        </row>
        <row r="3649">
          <cell r="B3649">
            <v>21061</v>
          </cell>
          <cell r="C3649" t="str">
            <v>RALO FOFO COM REQUADRO, QUADRADO 300 X 300 MM</v>
          </cell>
          <cell r="D3649" t="str">
            <v>UN</v>
          </cell>
          <cell r="E3649" t="str">
            <v>CR</v>
          </cell>
          <cell r="F3649">
            <v>118.57</v>
          </cell>
        </row>
        <row r="3650">
          <cell r="B3650">
            <v>21062</v>
          </cell>
          <cell r="C3650" t="str">
            <v>RALO FOFO COM REQUADRO, QUADRADO 400 X 400 MM</v>
          </cell>
          <cell r="D3650" t="str">
            <v>UN</v>
          </cell>
          <cell r="E3650" t="str">
            <v>CR</v>
          </cell>
          <cell r="F3650">
            <v>186.75</v>
          </cell>
        </row>
        <row r="3651">
          <cell r="B3651">
            <v>11708</v>
          </cell>
          <cell r="C3651" t="str">
            <v>RALO FOFO SEMIESFERICO, 100 MM, PARA LAJES/ CALHAS</v>
          </cell>
          <cell r="D3651" t="str">
            <v>UN</v>
          </cell>
          <cell r="E3651" t="str">
            <v>CR</v>
          </cell>
          <cell r="F3651">
            <v>20.37</v>
          </cell>
        </row>
        <row r="3652">
          <cell r="B3652">
            <v>11709</v>
          </cell>
          <cell r="C3652" t="str">
            <v>RALO FOFO SEMIESFERICO, 150 MM, PARA LAJES/ CALHAS</v>
          </cell>
          <cell r="D3652" t="str">
            <v>UN</v>
          </cell>
          <cell r="E3652" t="str">
            <v>CR</v>
          </cell>
          <cell r="F3652">
            <v>47.87</v>
          </cell>
        </row>
        <row r="3653">
          <cell r="B3653">
            <v>11710</v>
          </cell>
          <cell r="C3653" t="str">
            <v>RALO FOFO SEMIESFERICO, 200 MM, PARA LAJES/ CALHAS</v>
          </cell>
          <cell r="D3653" t="str">
            <v>UN</v>
          </cell>
          <cell r="E3653" t="str">
            <v>CR</v>
          </cell>
          <cell r="F3653">
            <v>110.05</v>
          </cell>
        </row>
        <row r="3654">
          <cell r="B3654">
            <v>11707</v>
          </cell>
          <cell r="C3654" t="str">
            <v>RALO FOFO SEMIESFERICO, 75 MM, PARA LAJES/ CALHAS</v>
          </cell>
          <cell r="D3654" t="str">
            <v>UN</v>
          </cell>
          <cell r="E3654" t="str">
            <v>CR</v>
          </cell>
          <cell r="F3654">
            <v>15.26</v>
          </cell>
        </row>
        <row r="3655">
          <cell r="B3655">
            <v>5102</v>
          </cell>
          <cell r="C3655" t="str">
            <v>RALO SECO / RALO DE PASSAGEM EM PVC, QUADRADO, 100 X 100 X 53 MM, SAIDA 40 MM, COM GRELHA BRANCA</v>
          </cell>
          <cell r="D3655" t="str">
            <v>UN</v>
          </cell>
          <cell r="E3655" t="str">
            <v>CR</v>
          </cell>
          <cell r="F3655">
            <v>13.91</v>
          </cell>
        </row>
        <row r="3656">
          <cell r="B3656">
            <v>11711</v>
          </cell>
          <cell r="C3656" t="str">
            <v>RALO SECO CONICO, PVC, 100 X 40 MM, COM GRELHA QUADRADA BRANCA</v>
          </cell>
          <cell r="D3656" t="str">
            <v>UN</v>
          </cell>
          <cell r="E3656" t="str">
            <v>CR</v>
          </cell>
          <cell r="F3656">
            <v>11.59</v>
          </cell>
        </row>
        <row r="3657">
          <cell r="B3657">
            <v>11739</v>
          </cell>
          <cell r="C3657" t="str">
            <v>RALO SECO CONICO, PVC, 100 X 40 MM, COM GRELHA REDONDA BRANCA</v>
          </cell>
          <cell r="D3657" t="str">
            <v>UN</v>
          </cell>
          <cell r="E3657" t="str">
            <v>CR</v>
          </cell>
          <cell r="F3657">
            <v>9.91</v>
          </cell>
        </row>
        <row r="3658">
          <cell r="B3658">
            <v>11741</v>
          </cell>
          <cell r="C3658" t="str">
            <v>RALO SIFONADO CILINDRICO, PVC, 100 X 40 MM, COM GRELHA REDONDA BRANCA</v>
          </cell>
          <cell r="D3658" t="str">
            <v>UN</v>
          </cell>
          <cell r="E3658" t="str">
            <v>CR</v>
          </cell>
          <cell r="F3658">
            <v>12.62</v>
          </cell>
        </row>
        <row r="3659">
          <cell r="B3659">
            <v>11745</v>
          </cell>
          <cell r="C3659" t="str">
            <v>RALO SIFONADO QUADRADO, PVC, 100 X 53 MM, SAIDA 40 MM, COM GRELHA QUADRADA BRANCA</v>
          </cell>
          <cell r="D3659" t="str">
            <v>UN</v>
          </cell>
          <cell r="E3659" t="str">
            <v>CR</v>
          </cell>
          <cell r="F3659">
            <v>16.63</v>
          </cell>
        </row>
        <row r="3660">
          <cell r="B3660">
            <v>11743</v>
          </cell>
          <cell r="C3660" t="str">
            <v>RALO SIFONADO REDONDO CONICO, PVC, 100 X 40 MM, COM GRELHA REDONDA BRANCA</v>
          </cell>
          <cell r="D3660" t="str">
            <v>UN</v>
          </cell>
          <cell r="E3660" t="str">
            <v>CR</v>
          </cell>
          <cell r="F3660">
            <v>10.59</v>
          </cell>
        </row>
        <row r="3661">
          <cell r="B3661">
            <v>5104</v>
          </cell>
          <cell r="C3661" t="str">
            <v>REBITE DE REPUXO EM ALUMINIO VAZADO, DIAMETRO 3,2 X 8 MM DE COMPRIMENTO (1KG = 1025 UNIDADES)</v>
          </cell>
          <cell r="D3661" t="str">
            <v>KG</v>
          </cell>
          <cell r="E3661" t="str">
            <v>CR</v>
          </cell>
          <cell r="F3661">
            <v>70.37</v>
          </cell>
        </row>
        <row r="3662">
          <cell r="B3662">
            <v>44530</v>
          </cell>
          <cell r="C3662" t="str">
            <v>REBOLO ABRASIVO RETO DE USO GERAL GRAO 36, DE 6 X 1" (DIAMETRO X ESPESSURA)</v>
          </cell>
          <cell r="D3662" t="str">
            <v>UN</v>
          </cell>
          <cell r="E3662" t="str">
            <v>CR</v>
          </cell>
          <cell r="F3662">
            <v>68.739999999999995</v>
          </cell>
        </row>
        <row r="3663">
          <cell r="B3663">
            <v>2710</v>
          </cell>
          <cell r="C3663" t="str">
            <v>REBOLO ABRASIVO RETO DE USO GERAL GRAO 36, DE 6 X 3/4" (DIAMETRO X ESPESSURA)</v>
          </cell>
          <cell r="D3663" t="str">
            <v>UN</v>
          </cell>
          <cell r="E3663" t="str">
            <v>CR</v>
          </cell>
          <cell r="F3663">
            <v>59.32</v>
          </cell>
        </row>
        <row r="3664">
          <cell r="B3664">
            <v>14575</v>
          </cell>
          <cell r="C3664" t="str">
            <v>RECICLADORA DE ASFALTO A FRIO SOBRE RODAS, LARG. FRESAGEM 2,00 M, POT. 315 KW/422 HP</v>
          </cell>
          <cell r="D3664" t="str">
            <v>UN</v>
          </cell>
          <cell r="E3664" t="str">
            <v>CR</v>
          </cell>
          <cell r="F3664">
            <v>5433698.0099999998</v>
          </cell>
        </row>
        <row r="3665">
          <cell r="B3665">
            <v>44048</v>
          </cell>
          <cell r="C3665" t="str">
            <v>REDUCAO CONCENTRICA PARA ELETROCALHA, PERFURADA, EM CHAPA DE ACO GALVANIZADO ESPESSURA #14, (700 X 600 MM) X 50 MM, SEM VIROLA, SEM TAMPA</v>
          </cell>
          <cell r="D3665" t="str">
            <v>UN</v>
          </cell>
          <cell r="E3665" t="str">
            <v>CR</v>
          </cell>
          <cell r="F3665">
            <v>80.13</v>
          </cell>
        </row>
        <row r="3666">
          <cell r="B3666">
            <v>44026</v>
          </cell>
          <cell r="C3666" t="str">
            <v>REDUCAO CONCENTRICA PARA ELETROCALHA, PERFURADA, EM CHAPA DE ACO GALVANIZADO ESPESSURA #14, (800 X 700 MM) X 50 MM, SEM VIROLA, SEM TAMPA</v>
          </cell>
          <cell r="D3666" t="str">
            <v>UN</v>
          </cell>
          <cell r="E3666" t="str">
            <v>CR</v>
          </cell>
          <cell r="F3666">
            <v>99.51</v>
          </cell>
        </row>
        <row r="3667">
          <cell r="B3667">
            <v>44024</v>
          </cell>
          <cell r="C3667" t="str">
            <v>REDUCAO CONCENTRICA PARA ELETROCALHA, PERFURADA, EM CHAPA DE ACO GALVANIZADO ESPESSURA #16, (500 X 400 MM) X 50 MM (L X A), SEM VIROLA, SEM TAMPA</v>
          </cell>
          <cell r="D3667" t="str">
            <v>UN</v>
          </cell>
          <cell r="E3667" t="str">
            <v>CR</v>
          </cell>
          <cell r="F3667">
            <v>47.9</v>
          </cell>
        </row>
        <row r="3668">
          <cell r="B3668">
            <v>44025</v>
          </cell>
          <cell r="C3668" t="str">
            <v>REDUCAO CONCENTRICA PARA ELETROCALHA, PERFURADA, EM CHAPA DE ACO GALVANIZADO ESPESSURA #16, (600 X 500 MM) X 50 MM, SEM VIROLA, SEM TAMPA</v>
          </cell>
          <cell r="D3668" t="str">
            <v>UN</v>
          </cell>
          <cell r="E3668" t="str">
            <v>CR</v>
          </cell>
          <cell r="F3668">
            <v>55.83</v>
          </cell>
        </row>
        <row r="3669">
          <cell r="B3669">
            <v>44022</v>
          </cell>
          <cell r="C3669" t="str">
            <v>REDUCAO CONCENTRICA PARA ELETROCALHA, PERFURADA, EM CHAPA DE ACO GALVANIZADO ESPESSURA #18, (300 X 250 MM) X 50 MM (L X A), SEM VIROLA, SEM TAMPA</v>
          </cell>
          <cell r="D3669" t="str">
            <v>UN</v>
          </cell>
          <cell r="E3669" t="str">
            <v>CR</v>
          </cell>
          <cell r="F3669">
            <v>28.52</v>
          </cell>
        </row>
        <row r="3670">
          <cell r="B3670">
            <v>44023</v>
          </cell>
          <cell r="C3670" t="str">
            <v>REDUCAO CONCENTRICA PARA ELETROCALHA, PERFURADA, EM CHAPA DE ACO GALVANIZADO ESPESSURA #18, (400 X 300 MM) X 50 MM (L X A), SEM VIROLA, SEM TAMPA</v>
          </cell>
          <cell r="D3670" t="str">
            <v>UN</v>
          </cell>
          <cell r="E3670" t="str">
            <v>CR</v>
          </cell>
          <cell r="F3670">
            <v>38.61</v>
          </cell>
        </row>
        <row r="3671">
          <cell r="B3671">
            <v>43966</v>
          </cell>
          <cell r="C3671" t="str">
            <v>REDUCAO CONCENTRICA PARA ELETROCALHA, PERFURADA, EM CHAPA DE ACO GALVANIZADO ESPESSURA #22, (100 X 75 MM) X 50 MM (L X A), SEM VIROLA, SEM TAMPA</v>
          </cell>
          <cell r="D3671" t="str">
            <v>UN</v>
          </cell>
          <cell r="E3671" t="str">
            <v>CR</v>
          </cell>
          <cell r="F3671">
            <v>9.64</v>
          </cell>
        </row>
        <row r="3672">
          <cell r="B3672">
            <v>43967</v>
          </cell>
          <cell r="C3672" t="str">
            <v>REDUCAO CONCENTRICA PARA ELETROCALHA, PERFURADA, EM CHAPA DE ACO GALVANIZADO ESPESSURA #22, (125 X100 MM) X 50 MM (L X A), SEM VIROLA, SEM TAMPA</v>
          </cell>
          <cell r="D3672" t="str">
            <v>UN</v>
          </cell>
          <cell r="E3672" t="str">
            <v>CR</v>
          </cell>
          <cell r="F3672">
            <v>11.21</v>
          </cell>
        </row>
        <row r="3673">
          <cell r="B3673">
            <v>43968</v>
          </cell>
          <cell r="C3673" t="str">
            <v>REDUCAO CONCENTRICA PARA ELETROCALHA, PERFURADA, EM CHAPA DE ACO GALVANIZADO ESPESSURA #22, (150 X125 MM) X 50 MM (L X A), SEM VIROLA, SEM TAMPA</v>
          </cell>
          <cell r="D3673" t="str">
            <v>UN</v>
          </cell>
          <cell r="E3673" t="str">
            <v>CR</v>
          </cell>
          <cell r="F3673">
            <v>12.49</v>
          </cell>
        </row>
        <row r="3674">
          <cell r="B3674">
            <v>43969</v>
          </cell>
          <cell r="C3674" t="str">
            <v>REDUCAO CONCENTRICA PARA ELETROCALHA, PERFURADA, EM CHAPA DE ACO GALVANIZADO ESPESSURA #22, (200 X 150 MM) X 50 MM (L X A), SEM VIROLA, SEM TAMPA</v>
          </cell>
          <cell r="D3674" t="str">
            <v>UN</v>
          </cell>
          <cell r="E3674" t="str">
            <v>CR</v>
          </cell>
          <cell r="F3674">
            <v>14.7</v>
          </cell>
        </row>
        <row r="3675">
          <cell r="B3675">
            <v>44021</v>
          </cell>
          <cell r="C3675" t="str">
            <v>REDUCAO CONCENTRICA PARA ELETROCALHA, PERFURADA, EM CHAPA DE ACO GALVANIZADO ESPESSURA #22, (250 X 200 MM) X 50 MM (L X A), SEM VIROLA, SEM TAMPA</v>
          </cell>
          <cell r="D3675" t="str">
            <v>UN</v>
          </cell>
          <cell r="E3675" t="str">
            <v>CR</v>
          </cell>
          <cell r="F3675">
            <v>16.850000000000001</v>
          </cell>
        </row>
        <row r="3676">
          <cell r="B3676">
            <v>43970</v>
          </cell>
          <cell r="C3676" t="str">
            <v>REDUCAO CONCENTRICA PARA ELETROCALHA, PERFURADA, EM CHAPA DE ACO GALVANIZADO ESPESSURA #22, (75 X 50 MM) X 50 MM (L X A), SEM VIROLA, SEM TAMPA</v>
          </cell>
          <cell r="D3676" t="str">
            <v>UN</v>
          </cell>
          <cell r="E3676" t="str">
            <v>CR</v>
          </cell>
          <cell r="F3676">
            <v>8.5500000000000007</v>
          </cell>
        </row>
        <row r="3677">
          <cell r="B3677">
            <v>20043</v>
          </cell>
          <cell r="C3677" t="str">
            <v>REDUCAO EXCENTRICA PVC, DN 100 X 50 MM, PARA ESGOTO PREDIAL</v>
          </cell>
          <cell r="D3677" t="str">
            <v>UN</v>
          </cell>
          <cell r="E3677" t="str">
            <v>CR</v>
          </cell>
          <cell r="F3677">
            <v>10.78</v>
          </cell>
        </row>
        <row r="3678">
          <cell r="B3678">
            <v>20044</v>
          </cell>
          <cell r="C3678" t="str">
            <v>REDUCAO EXCENTRICA PVC, DN 100 X 75 MM, PARA ESGOTO PREDIAL</v>
          </cell>
          <cell r="D3678" t="str">
            <v>UN</v>
          </cell>
          <cell r="E3678" t="str">
            <v>CR</v>
          </cell>
          <cell r="F3678">
            <v>12.5</v>
          </cell>
        </row>
        <row r="3679">
          <cell r="B3679">
            <v>20042</v>
          </cell>
          <cell r="C3679" t="str">
            <v>REDUCAO EXCENTRICA PVC, DN 75 X 50 MM, PARA ESGOTO PREDIAL</v>
          </cell>
          <cell r="D3679" t="str">
            <v>UN</v>
          </cell>
          <cell r="E3679" t="str">
            <v>CR</v>
          </cell>
          <cell r="F3679">
            <v>9.35</v>
          </cell>
        </row>
        <row r="3680">
          <cell r="B3680">
            <v>20046</v>
          </cell>
          <cell r="C3680" t="str">
            <v>REDUCAO EXCENTRICA PVC, SERIE R, DN 100 X 75 MM, PARA ESGOTO PREDIAL</v>
          </cell>
          <cell r="D3680" t="str">
            <v>UN</v>
          </cell>
          <cell r="E3680" t="str">
            <v>CR</v>
          </cell>
          <cell r="F3680">
            <v>22.13</v>
          </cell>
        </row>
        <row r="3681">
          <cell r="B3681">
            <v>20047</v>
          </cell>
          <cell r="C3681" t="str">
            <v>REDUCAO EXCENTRICA PVC, SERIE R, DN 150 X 100 MM, PARA ESGOTO PREDIAL</v>
          </cell>
          <cell r="D3681" t="str">
            <v>UN</v>
          </cell>
          <cell r="E3681" t="str">
            <v>CR</v>
          </cell>
          <cell r="F3681">
            <v>66.36</v>
          </cell>
        </row>
        <row r="3682">
          <cell r="B3682">
            <v>20045</v>
          </cell>
          <cell r="C3682" t="str">
            <v>REDUCAO EXCENTRICA PVC, SERIE R, DN 75 X 50 MM, PARA ESGOTO PREDIAL</v>
          </cell>
          <cell r="D3682" t="str">
            <v>UN</v>
          </cell>
          <cell r="E3682" t="str">
            <v>CR</v>
          </cell>
          <cell r="F3682">
            <v>11.19</v>
          </cell>
        </row>
        <row r="3683">
          <cell r="B3683">
            <v>20972</v>
          </cell>
          <cell r="C3683" t="str">
            <v>REDUCAO FIXA TIPO STORZ, ENGATE RAPIDO 2.1/2" X 1.1/2", EM LATAO, PARA INSTALACAO PREDIAL COMBATE A INCENDIO PREDIAL</v>
          </cell>
          <cell r="D3683" t="str">
            <v>UN</v>
          </cell>
          <cell r="E3683" t="str">
            <v>CR</v>
          </cell>
          <cell r="F3683">
            <v>236.24</v>
          </cell>
        </row>
        <row r="3684">
          <cell r="B3684">
            <v>11321</v>
          </cell>
          <cell r="C3684" t="str">
            <v>REDUCAO PVC PBA, JE, PB, DN 100 X 50 / DE 110 X 60 MM, PARA REDE DE AGUA</v>
          </cell>
          <cell r="D3684" t="str">
            <v>UN</v>
          </cell>
          <cell r="E3684" t="str">
            <v>CR</v>
          </cell>
          <cell r="F3684">
            <v>36.19</v>
          </cell>
        </row>
        <row r="3685">
          <cell r="B3685">
            <v>11323</v>
          </cell>
          <cell r="C3685" t="str">
            <v>REDUCAO PVC PBA, JE, PB, DN 100 X 75 / DE 110 X 85 MM, PARA REDE DE AGUA</v>
          </cell>
          <cell r="D3685" t="str">
            <v>UN</v>
          </cell>
          <cell r="E3685" t="str">
            <v>CR</v>
          </cell>
          <cell r="F3685">
            <v>41.63</v>
          </cell>
        </row>
        <row r="3686">
          <cell r="B3686">
            <v>20327</v>
          </cell>
          <cell r="C3686" t="str">
            <v>REDUCAO PVC PBA, JE, PB, DN 75 X 50 / DE 85 X 60 MM, PARA REDE DE AGUA</v>
          </cell>
          <cell r="D3686" t="str">
            <v>UN</v>
          </cell>
          <cell r="E3686" t="str">
            <v>CR</v>
          </cell>
          <cell r="F3686">
            <v>23.62</v>
          </cell>
        </row>
        <row r="3687">
          <cell r="B3687">
            <v>6034</v>
          </cell>
          <cell r="C3687" t="str">
            <v>REGISTRO DE ESFERA DE PASSEIO, PVC PARA POLIETILENO, 20 MM</v>
          </cell>
          <cell r="D3687" t="str">
            <v>UN</v>
          </cell>
          <cell r="E3687" t="str">
            <v>CR</v>
          </cell>
          <cell r="F3687">
            <v>15.55</v>
          </cell>
        </row>
        <row r="3688">
          <cell r="B3688">
            <v>6036</v>
          </cell>
          <cell r="C3688" t="str">
            <v>REGISTRO DE ESFERA PVC, COM BORBOLETA, COM ROSCA EXTERNA, DE 1/2"</v>
          </cell>
          <cell r="D3688" t="str">
            <v>UN</v>
          </cell>
          <cell r="E3688" t="str">
            <v>CR</v>
          </cell>
          <cell r="F3688">
            <v>21.18</v>
          </cell>
        </row>
        <row r="3689">
          <cell r="B3689">
            <v>6031</v>
          </cell>
          <cell r="C3689" t="str">
            <v>REGISTRO DE ESFERA PVC, COM BORBOLETA, COM ROSCA EXTERNA, DE 3/4"</v>
          </cell>
          <cell r="D3689" t="str">
            <v>UN</v>
          </cell>
          <cell r="E3689" t="str">
            <v>C</v>
          </cell>
          <cell r="F3689">
            <v>24.89</v>
          </cell>
        </row>
        <row r="3690">
          <cell r="B3690">
            <v>6029</v>
          </cell>
          <cell r="C3690" t="str">
            <v>REGISTRO DE ESFERA PVC, COM CABECA QUADRADA, COM ROSCA EXTERNA, 1/2"</v>
          </cell>
          <cell r="D3690" t="str">
            <v>UN</v>
          </cell>
          <cell r="E3690" t="str">
            <v>CR</v>
          </cell>
          <cell r="F3690">
            <v>25.15</v>
          </cell>
        </row>
        <row r="3691">
          <cell r="B3691">
            <v>6033</v>
          </cell>
          <cell r="C3691" t="str">
            <v>REGISTRO DE ESFERA PVC, COM CABECA QUADRADA, COM ROSCA EXTERNA, 3/4"</v>
          </cell>
          <cell r="D3691" t="str">
            <v>UN</v>
          </cell>
          <cell r="E3691" t="str">
            <v>CR</v>
          </cell>
          <cell r="F3691">
            <v>33.15</v>
          </cell>
        </row>
        <row r="3692">
          <cell r="B3692">
            <v>11672</v>
          </cell>
          <cell r="C3692" t="str">
            <v>REGISTRO DE ESFERA, PVC, COM VOLANTE, VS, ROSCAVEL, DN 1 1/2", COM CORPO DIVIDIDO</v>
          </cell>
          <cell r="D3692" t="str">
            <v>UN</v>
          </cell>
          <cell r="E3692" t="str">
            <v>CR</v>
          </cell>
          <cell r="F3692">
            <v>72.12</v>
          </cell>
        </row>
        <row r="3693">
          <cell r="B3693">
            <v>11669</v>
          </cell>
          <cell r="C3693" t="str">
            <v>REGISTRO DE ESFERA, PVC, COM VOLANTE, VS, ROSCAVEL, DN 1 1/4", COM CORPO DIVIDIDO</v>
          </cell>
          <cell r="D3693" t="str">
            <v>UN</v>
          </cell>
          <cell r="E3693" t="str">
            <v>CR</v>
          </cell>
          <cell r="F3693">
            <v>68.680000000000007</v>
          </cell>
        </row>
        <row r="3694">
          <cell r="B3694">
            <v>20055</v>
          </cell>
          <cell r="C3694" t="str">
            <v>REGISTRO DE ESFERA, PVC, COM VOLANTE, VS, ROSCAVEL, DN 1", COM CORPO DIVIDIDO</v>
          </cell>
          <cell r="D3694" t="str">
            <v>UN</v>
          </cell>
          <cell r="E3694" t="str">
            <v>CR</v>
          </cell>
          <cell r="F3694">
            <v>51.43</v>
          </cell>
        </row>
        <row r="3695">
          <cell r="B3695">
            <v>11670</v>
          </cell>
          <cell r="C3695" t="str">
            <v>REGISTRO DE ESFERA, PVC, COM VOLANTE, VS, ROSCAVEL, DN 1/2", COM CORPO DIVIDIDO</v>
          </cell>
          <cell r="D3695" t="str">
            <v>UN</v>
          </cell>
          <cell r="E3695" t="str">
            <v>CR</v>
          </cell>
          <cell r="F3695">
            <v>26.31</v>
          </cell>
        </row>
        <row r="3696">
          <cell r="B3696">
            <v>11671</v>
          </cell>
          <cell r="C3696" t="str">
            <v>REGISTRO DE ESFERA, PVC, COM VOLANTE, VS, ROSCAVEL, DN 2", COM CORPO DIVIDIDO</v>
          </cell>
          <cell r="D3696" t="str">
            <v>UN</v>
          </cell>
          <cell r="E3696" t="str">
            <v>CR</v>
          </cell>
          <cell r="F3696">
            <v>110.37</v>
          </cell>
        </row>
        <row r="3697">
          <cell r="B3697">
            <v>6032</v>
          </cell>
          <cell r="C3697" t="str">
            <v>REGISTRO DE ESFERA, PVC, COM VOLANTE, VS, ROSCAVEL, DN 3/4", COM CORPO DIVIDIDO</v>
          </cell>
          <cell r="D3697" t="str">
            <v>UN</v>
          </cell>
          <cell r="E3697" t="str">
            <v>CR</v>
          </cell>
          <cell r="F3697">
            <v>31.52</v>
          </cell>
        </row>
        <row r="3698">
          <cell r="B3698">
            <v>11673</v>
          </cell>
          <cell r="C3698" t="str">
            <v>REGISTRO DE ESFERA, PVC, COM VOLANTE, VS, SOLDAVEL, DN 20 MM, COM CORPO DIVIDIDO</v>
          </cell>
          <cell r="D3698" t="str">
            <v>UN</v>
          </cell>
          <cell r="E3698" t="str">
            <v>CR</v>
          </cell>
          <cell r="F3698">
            <v>24.83</v>
          </cell>
        </row>
        <row r="3699">
          <cell r="B3699">
            <v>11674</v>
          </cell>
          <cell r="C3699" t="str">
            <v>REGISTRO DE ESFERA, PVC, COM VOLANTE, VS, SOLDAVEL, DN 25 MM, COM CORPO DIVIDIDO</v>
          </cell>
          <cell r="D3699" t="str">
            <v>UN</v>
          </cell>
          <cell r="E3699" t="str">
            <v>CR</v>
          </cell>
          <cell r="F3699">
            <v>31.97</v>
          </cell>
        </row>
        <row r="3700">
          <cell r="B3700">
            <v>11675</v>
          </cell>
          <cell r="C3700" t="str">
            <v>REGISTRO DE ESFERA, PVC, COM VOLANTE, VS, SOLDAVEL, DN 32 MM, COM CORPO DIVIDIDO</v>
          </cell>
          <cell r="D3700" t="str">
            <v>UN</v>
          </cell>
          <cell r="E3700" t="str">
            <v>CR</v>
          </cell>
          <cell r="F3700">
            <v>50.75</v>
          </cell>
        </row>
        <row r="3701">
          <cell r="B3701">
            <v>11676</v>
          </cell>
          <cell r="C3701" t="str">
            <v>REGISTRO DE ESFERA, PVC, COM VOLANTE, VS, SOLDAVEL, DN 40 MM, COM CORPO DIVIDIDO</v>
          </cell>
          <cell r="D3701" t="str">
            <v>UN</v>
          </cell>
          <cell r="E3701" t="str">
            <v>CR</v>
          </cell>
          <cell r="F3701">
            <v>67.88</v>
          </cell>
        </row>
        <row r="3702">
          <cell r="B3702">
            <v>11677</v>
          </cell>
          <cell r="C3702" t="str">
            <v>REGISTRO DE ESFERA, PVC, COM VOLANTE, VS, SOLDAVEL, DN 50 MM, COM CORPO DIVIDIDO</v>
          </cell>
          <cell r="D3702" t="str">
            <v>UN</v>
          </cell>
          <cell r="E3702" t="str">
            <v>CR</v>
          </cell>
          <cell r="F3702">
            <v>70.099999999999994</v>
          </cell>
        </row>
        <row r="3703">
          <cell r="B3703">
            <v>11678</v>
          </cell>
          <cell r="C3703" t="str">
            <v>REGISTRO DE ESFERA, PVC, COM VOLANTE, VS, SOLDAVEL, DN 60 MM, COM CORPO DIVIDIDO</v>
          </cell>
          <cell r="D3703" t="str">
            <v>UN</v>
          </cell>
          <cell r="E3703" t="str">
            <v>CR</v>
          </cell>
          <cell r="F3703">
            <v>128.38999999999999</v>
          </cell>
        </row>
        <row r="3704">
          <cell r="B3704">
            <v>6038</v>
          </cell>
          <cell r="C3704" t="str">
            <v>REGISTRO DE PRESSAO PVC, ROSCAVEL, VOLANTE SIMPLES, DE 1/2"</v>
          </cell>
          <cell r="D3704" t="str">
            <v>UN</v>
          </cell>
          <cell r="E3704" t="str">
            <v>CR</v>
          </cell>
          <cell r="F3704">
            <v>8.14</v>
          </cell>
        </row>
        <row r="3705">
          <cell r="B3705">
            <v>11718</v>
          </cell>
          <cell r="C3705" t="str">
            <v>REGISTRO DE PRESSAO PVC, ROSCAVEL, VOLANTE SIMPLES, DE 3/4"</v>
          </cell>
          <cell r="D3705" t="str">
            <v>UN</v>
          </cell>
          <cell r="E3705" t="str">
            <v>CR</v>
          </cell>
          <cell r="F3705">
            <v>23.23</v>
          </cell>
        </row>
        <row r="3706">
          <cell r="B3706">
            <v>6037</v>
          </cell>
          <cell r="C3706" t="str">
            <v>REGISTRO DE PRESSAO PVC, SOLDAVEL, VOLANTE SIMPLES, DE 20 MM</v>
          </cell>
          <cell r="D3706" t="str">
            <v>UN</v>
          </cell>
          <cell r="E3706" t="str">
            <v>CR</v>
          </cell>
          <cell r="F3706">
            <v>16.940000000000001</v>
          </cell>
        </row>
        <row r="3707">
          <cell r="B3707">
            <v>11719</v>
          </cell>
          <cell r="C3707" t="str">
            <v>REGISTRO DE PRESSAO PVC, SOLDAVEL, VOLANTE SIMPLES, DE 25 MM</v>
          </cell>
          <cell r="D3707" t="str">
            <v>UN</v>
          </cell>
          <cell r="E3707" t="str">
            <v>CR</v>
          </cell>
          <cell r="F3707">
            <v>18.84</v>
          </cell>
        </row>
        <row r="3708">
          <cell r="B3708">
            <v>6010</v>
          </cell>
          <cell r="C3708" t="str">
            <v>REGISTRO GAVETA BRUTO EM LATAO FORJADO, BITOLA 1 1/2"</v>
          </cell>
          <cell r="D3708" t="str">
            <v>UN</v>
          </cell>
          <cell r="E3708" t="str">
            <v>CR</v>
          </cell>
          <cell r="F3708">
            <v>74.48</v>
          </cell>
        </row>
        <row r="3709">
          <cell r="B3709">
            <v>6017</v>
          </cell>
          <cell r="C3709" t="str">
            <v>REGISTRO GAVETA BRUTO EM LATAO FORJADO, BITOLA 1 1/4"</v>
          </cell>
          <cell r="D3709" t="str">
            <v>UN</v>
          </cell>
          <cell r="E3709" t="str">
            <v>CR</v>
          </cell>
          <cell r="F3709">
            <v>58.99</v>
          </cell>
        </row>
        <row r="3710">
          <cell r="B3710">
            <v>6019</v>
          </cell>
          <cell r="C3710" t="str">
            <v>REGISTRO GAVETA BRUTO EM LATAO FORJADO, BITOLA 1"</v>
          </cell>
          <cell r="D3710" t="str">
            <v>UN</v>
          </cell>
          <cell r="E3710" t="str">
            <v>CR</v>
          </cell>
          <cell r="F3710">
            <v>43.28</v>
          </cell>
        </row>
        <row r="3711">
          <cell r="B3711">
            <v>6020</v>
          </cell>
          <cell r="C3711" t="str">
            <v>REGISTRO GAVETA BRUTO EM LATAO FORJADO, BITOLA 1/2"</v>
          </cell>
          <cell r="D3711" t="str">
            <v>UN</v>
          </cell>
          <cell r="E3711" t="str">
            <v>CR</v>
          </cell>
          <cell r="F3711">
            <v>26</v>
          </cell>
        </row>
        <row r="3712">
          <cell r="B3712">
            <v>6011</v>
          </cell>
          <cell r="C3712" t="str">
            <v>REGISTRO GAVETA BRUTO EM LATAO FORJADO, BITOLA 2 1/2"</v>
          </cell>
          <cell r="D3712" t="str">
            <v>UN</v>
          </cell>
          <cell r="E3712" t="str">
            <v>CR</v>
          </cell>
          <cell r="F3712">
            <v>215.14</v>
          </cell>
        </row>
        <row r="3713">
          <cell r="B3713">
            <v>6028</v>
          </cell>
          <cell r="C3713" t="str">
            <v>REGISTRO GAVETA BRUTO EM LATAO FORJADO, BITOLA 2"</v>
          </cell>
          <cell r="D3713" t="str">
            <v>UN</v>
          </cell>
          <cell r="E3713" t="str">
            <v>CR</v>
          </cell>
          <cell r="F3713">
            <v>103.73</v>
          </cell>
        </row>
        <row r="3714">
          <cell r="B3714">
            <v>6012</v>
          </cell>
          <cell r="C3714" t="str">
            <v>REGISTRO GAVETA BRUTO EM LATAO FORJADO, BITOLA 3"</v>
          </cell>
          <cell r="D3714" t="str">
            <v>UN</v>
          </cell>
          <cell r="E3714" t="str">
            <v>CR</v>
          </cell>
          <cell r="F3714">
            <v>260.45999999999998</v>
          </cell>
        </row>
        <row r="3715">
          <cell r="B3715">
            <v>6016</v>
          </cell>
          <cell r="C3715" t="str">
            <v>REGISTRO GAVETA BRUTO EM LATAO FORJADO, BITOLA 3/4"</v>
          </cell>
          <cell r="D3715" t="str">
            <v>UN</v>
          </cell>
          <cell r="E3715" t="str">
            <v>CR</v>
          </cell>
          <cell r="F3715">
            <v>27.42</v>
          </cell>
        </row>
        <row r="3716">
          <cell r="B3716">
            <v>6027</v>
          </cell>
          <cell r="C3716" t="str">
            <v>REGISTRO GAVETA BRUTO EM LATAO FORJADO, BITOLA 4"</v>
          </cell>
          <cell r="D3716" t="str">
            <v>UN</v>
          </cell>
          <cell r="E3716" t="str">
            <v>CR</v>
          </cell>
          <cell r="F3716">
            <v>542.72</v>
          </cell>
        </row>
        <row r="3717">
          <cell r="B3717">
            <v>6015</v>
          </cell>
          <cell r="C3717" t="str">
            <v>REGISTRO GAVETA COM ACABAMENTO E CANOPLA CROMADOS, SIMPLES, BITOLA 1 1/2"</v>
          </cell>
          <cell r="D3717" t="str">
            <v>UN</v>
          </cell>
          <cell r="E3717" t="str">
            <v>CR</v>
          </cell>
          <cell r="F3717">
            <v>119.09</v>
          </cell>
        </row>
        <row r="3718">
          <cell r="B3718">
            <v>6014</v>
          </cell>
          <cell r="C3718" t="str">
            <v>REGISTRO GAVETA COM ACABAMENTO E CANOPLA CROMADOS, SIMPLES, BITOLA 1 1/4"</v>
          </cell>
          <cell r="D3718" t="str">
            <v>UN</v>
          </cell>
          <cell r="E3718" t="str">
            <v>CR</v>
          </cell>
          <cell r="F3718">
            <v>113.86</v>
          </cell>
        </row>
        <row r="3719">
          <cell r="B3719">
            <v>6013</v>
          </cell>
          <cell r="C3719" t="str">
            <v>REGISTRO GAVETA COM ACABAMENTO E CANOPLA CROMADOS, SIMPLES, BITOLA 1"</v>
          </cell>
          <cell r="D3719" t="str">
            <v>UN</v>
          </cell>
          <cell r="E3719" t="str">
            <v>CR</v>
          </cell>
          <cell r="F3719">
            <v>81.89</v>
          </cell>
        </row>
        <row r="3720">
          <cell r="B3720">
            <v>6006</v>
          </cell>
          <cell r="C3720" t="str">
            <v>REGISTRO GAVETA COM ACABAMENTO E CANOPLA CROMADOS, SIMPLES, BITOLA 1/2"</v>
          </cell>
          <cell r="D3720" t="str">
            <v>UN</v>
          </cell>
          <cell r="E3720" t="str">
            <v>CR</v>
          </cell>
          <cell r="F3720">
            <v>59.3</v>
          </cell>
        </row>
        <row r="3721">
          <cell r="B3721">
            <v>6005</v>
          </cell>
          <cell r="C3721" t="str">
            <v>REGISTRO GAVETA COM ACABAMENTO E CANOPLA CROMADOS, SIMPLES, BITOLA 3/4"</v>
          </cell>
          <cell r="D3721" t="str">
            <v>UN</v>
          </cell>
          <cell r="E3721" t="str">
            <v>C</v>
          </cell>
          <cell r="F3721">
            <v>66.900000000000006</v>
          </cell>
        </row>
        <row r="3722">
          <cell r="B3722">
            <v>11756</v>
          </cell>
          <cell r="C3722" t="str">
            <v>REGISTRO OU REGULADOR DE GAS COZINHA, VAZAO DE 2 KG/H, 2,8 KPA</v>
          </cell>
          <cell r="D3722" t="str">
            <v>UN</v>
          </cell>
          <cell r="E3722" t="str">
            <v>CR</v>
          </cell>
          <cell r="F3722">
            <v>31.95</v>
          </cell>
        </row>
        <row r="3723">
          <cell r="B3723">
            <v>10904</v>
          </cell>
          <cell r="C3723" t="str">
            <v>REGISTRO OU VALVULA GLOBO ANGULAR EM LATAO, PARA HIDRANTES EM INSTALACAO PREDIAL DE INCENDIO, 45 GRAUS, DIAMETRO DE 2 1/2", COM VOLANTE, CLASSE DE PRESSAO DE ATE 200 PSI</v>
          </cell>
          <cell r="D3723" t="str">
            <v>UN</v>
          </cell>
          <cell r="E3723" t="str">
            <v>C</v>
          </cell>
          <cell r="F3723">
            <v>330.75</v>
          </cell>
        </row>
        <row r="3724">
          <cell r="B3724">
            <v>11752</v>
          </cell>
          <cell r="C3724" t="str">
            <v>REGISTRO PRESSAO BRUTO EM LATAO FORJADO, BITOLA 1/2"</v>
          </cell>
          <cell r="D3724" t="str">
            <v>UN</v>
          </cell>
          <cell r="E3724" t="str">
            <v>CR</v>
          </cell>
          <cell r="F3724">
            <v>18.420000000000002</v>
          </cell>
        </row>
        <row r="3725">
          <cell r="B3725">
            <v>11753</v>
          </cell>
          <cell r="C3725" t="str">
            <v>REGISTRO PRESSAO BRUTO EM LATAO FORJADO, BITOLA 3/4"</v>
          </cell>
          <cell r="D3725" t="str">
            <v>UN</v>
          </cell>
          <cell r="E3725" t="str">
            <v>CR</v>
          </cell>
          <cell r="F3725">
            <v>21.99</v>
          </cell>
        </row>
        <row r="3726">
          <cell r="B3726">
            <v>6021</v>
          </cell>
          <cell r="C3726" t="str">
            <v>REGISTRO PRESSAO COM ACABAMENTO E CANOPLA CROMADA, SIMPLES, BITOLA 1/2"</v>
          </cell>
          <cell r="D3726" t="str">
            <v>UN</v>
          </cell>
          <cell r="E3726" t="str">
            <v>CR</v>
          </cell>
          <cell r="F3726">
            <v>61.04</v>
          </cell>
        </row>
        <row r="3727">
          <cell r="B3727">
            <v>6024</v>
          </cell>
          <cell r="C3727" t="str">
            <v>REGISTRO PRESSAO COM ACABAMENTO E CANOPLA CROMADA, SIMPLES, BITOLA 3/4"</v>
          </cell>
          <cell r="D3727" t="str">
            <v>UN</v>
          </cell>
          <cell r="E3727" t="str">
            <v>CR</v>
          </cell>
          <cell r="F3727">
            <v>63.1</v>
          </cell>
        </row>
        <row r="3728">
          <cell r="B3728">
            <v>45394</v>
          </cell>
          <cell r="C3728" t="str">
            <v>REGUA DE ALUMINIO PARA PEDREIRO 2 M X *25,5* MM</v>
          </cell>
          <cell r="D3728" t="str">
            <v>UN</v>
          </cell>
          <cell r="E3728" t="str">
            <v>CR</v>
          </cell>
          <cell r="F3728">
            <v>40.33</v>
          </cell>
        </row>
        <row r="3729">
          <cell r="B3729">
            <v>13897</v>
          </cell>
          <cell r="C3729" t="str">
            <v>REGUA VIBRADORA DUPLA PARA CONCRETO A GASOLINA 5,5 HP, PESO DE 60 KG, COMPRIMENTO 4 M</v>
          </cell>
          <cell r="D3729" t="str">
            <v>UN</v>
          </cell>
          <cell r="E3729" t="str">
            <v>CR</v>
          </cell>
          <cell r="F3729">
            <v>8550.7900000000009</v>
          </cell>
        </row>
        <row r="3730">
          <cell r="B3730">
            <v>34357</v>
          </cell>
          <cell r="C3730" t="str">
            <v>REJUNTE CIMENTICIO, QUALQUER COR</v>
          </cell>
          <cell r="D3730" t="str">
            <v>KG</v>
          </cell>
          <cell r="E3730" t="str">
            <v>CR</v>
          </cell>
          <cell r="F3730">
            <v>4.6900000000000004</v>
          </cell>
        </row>
        <row r="3731">
          <cell r="B3731">
            <v>37329</v>
          </cell>
          <cell r="C3731" t="str">
            <v>REJUNTE EPOXI, QUALQUER COR</v>
          </cell>
          <cell r="D3731" t="str">
            <v>KG</v>
          </cell>
          <cell r="E3731" t="str">
            <v>CR</v>
          </cell>
          <cell r="F3731">
            <v>98.93</v>
          </cell>
        </row>
        <row r="3732">
          <cell r="B3732">
            <v>2510</v>
          </cell>
          <cell r="C3732" t="str">
            <v>RELE FOTOELETRICO INTERNO E EXTERNO BIVOLT 1000 W, DE CONECTOR, SEM BASE</v>
          </cell>
          <cell r="D3732" t="str">
            <v>UN</v>
          </cell>
          <cell r="E3732" t="str">
            <v>CR</v>
          </cell>
          <cell r="F3732">
            <v>32.03</v>
          </cell>
        </row>
        <row r="3733">
          <cell r="B3733">
            <v>12359</v>
          </cell>
          <cell r="C3733" t="str">
            <v>RELE TERMICO BIMETAL PARA USO EM MOTORES TRIFASICOS, TENSAO 380 V, POTENCIA ATE 15 CV, CORRENTE NOMINAL MAXIMA 22 A</v>
          </cell>
          <cell r="D3733" t="str">
            <v>UN</v>
          </cell>
          <cell r="E3733" t="str">
            <v>CR</v>
          </cell>
          <cell r="F3733">
            <v>130.80000000000001</v>
          </cell>
        </row>
        <row r="3734">
          <cell r="B3734">
            <v>7353</v>
          </cell>
          <cell r="C3734" t="str">
            <v>RESINA ACRILICA PREMIUM BASE AGUA - COR BRANCA</v>
          </cell>
          <cell r="D3734" t="str">
            <v>L</v>
          </cell>
          <cell r="E3734" t="str">
            <v>CR</v>
          </cell>
          <cell r="F3734">
            <v>37.22</v>
          </cell>
        </row>
        <row r="3735">
          <cell r="B3735">
            <v>45264</v>
          </cell>
          <cell r="C3735" t="str">
            <v>RESPIRADOR / MASCARA SEMI FACIAL COM UMA VALVULA DE INALACAO E DUAS DE EXALACAO, PROTECAO CONTRA VAPORES ORGANICOS E GASES ACIDOS (1 FILTRO INCLUIDO)</v>
          </cell>
          <cell r="D3735" t="str">
            <v>UN</v>
          </cell>
          <cell r="E3735" t="str">
            <v>CR</v>
          </cell>
          <cell r="F3735">
            <v>29.15</v>
          </cell>
        </row>
        <row r="3736">
          <cell r="B3736">
            <v>36144</v>
          </cell>
          <cell r="C3736" t="str">
            <v>RESPIRADOR DESCARTAVEL SEM VALVULA DE EXALACAO, PFF 1</v>
          </cell>
          <cell r="D3736" t="str">
            <v>UN</v>
          </cell>
          <cell r="E3736" t="str">
            <v>CR</v>
          </cell>
          <cell r="F3736">
            <v>1.81</v>
          </cell>
        </row>
        <row r="3737">
          <cell r="B3737">
            <v>10518</v>
          </cell>
          <cell r="C3737" t="str">
            <v>RETARDO PARA CORDEL DETONANTE</v>
          </cell>
          <cell r="D3737" t="str">
            <v>UN</v>
          </cell>
          <cell r="E3737" t="str">
            <v>CR</v>
          </cell>
          <cell r="F3737">
            <v>116.96</v>
          </cell>
        </row>
        <row r="3738">
          <cell r="B3738">
            <v>36530</v>
          </cell>
          <cell r="C3738" t="str">
            <v>RETROESCAVADEIRA SOBRE RODAS COM CARREGADEIRA, TRACAO 4 X 2, POTENCIA LIQUIDA 79 HP, PESO OPERACIONAL MINIMO DE 6570 KG, CAPACIDADE DA CARREGADEIRA DE 1,00 M3 E DA RETROESCAVADEIRA MINIMA DE 0,20 M3, PROFUNDIDADE DE ESCAVACAO MAXIMA DE 4,37 M</v>
          </cell>
          <cell r="D3738" t="str">
            <v>UN</v>
          </cell>
          <cell r="E3738" t="str">
            <v>CR</v>
          </cell>
          <cell r="F3738">
            <v>414878.04</v>
          </cell>
        </row>
        <row r="3739">
          <cell r="B3739">
            <v>6046</v>
          </cell>
          <cell r="C3739" t="str">
            <v>RETROESCAVADEIRA SOBRE RODAS COM CARREGADEIRA, TRACAO 4 X 4, POTENCIA LIQUIDA 72 HP, PESO OPERACIONAL MINIMO DE 7140 KG, CAPACIDADE MINIMA DA CARREGADEIRA DE 0,79 M3 E DA RETROESCAVADEIRA MINIMA DE 0,18 M3, PROFUNDIDADE DE ESCAVACAO MAXIMA DE 4,50 M</v>
          </cell>
          <cell r="D3739" t="str">
            <v>UN</v>
          </cell>
          <cell r="E3739" t="str">
            <v>C</v>
          </cell>
          <cell r="F3739">
            <v>450000</v>
          </cell>
        </row>
        <row r="3740">
          <cell r="B3740">
            <v>36531</v>
          </cell>
          <cell r="C3740" t="str">
            <v>RETROESCAVADEIRA SOBRE RODAS COM CARREGADEIRA, TRACAO 4 X 4, POTENCIA LIQUIDA 88 HP, PESO OPERACIONAL MINIMO DE 6674 KG, CAPACIDADE DA CARREGADEIRA DE 1,00 M3 E DA RETROESCAVADEIRA MINIMA DE 0,26 M3, PROFUNDIDADE DE ESCAVACAO MAXIMA DE 4,37 M</v>
          </cell>
          <cell r="D3740" t="str">
            <v>UN</v>
          </cell>
          <cell r="E3740" t="str">
            <v>CR</v>
          </cell>
          <cell r="F3740">
            <v>466463.38</v>
          </cell>
        </row>
        <row r="3741">
          <cell r="B3741">
            <v>34684</v>
          </cell>
          <cell r="C3741" t="str">
            <v>REVESTIMENTO DE PAREDE EM GRANILITE, MARMORITE OU GRANITINA - ESP = 5 MM (INCLUSO EXECUCAO)</v>
          </cell>
          <cell r="D3741" t="str">
            <v>M2</v>
          </cell>
          <cell r="E3741" t="str">
            <v>CR</v>
          </cell>
          <cell r="F3741">
            <v>280.27</v>
          </cell>
        </row>
        <row r="3742">
          <cell r="B3742">
            <v>34683</v>
          </cell>
          <cell r="C3742" t="str">
            <v>REVESTIMENTO DE PAREDE EM GRANILITE, MARMORITE OU GRANITINA COLORIDO - ESP = 5 MM (INCLUSO EXECUCAO)</v>
          </cell>
          <cell r="D3742" t="str">
            <v>M2</v>
          </cell>
          <cell r="E3742" t="str">
            <v>CR</v>
          </cell>
          <cell r="F3742">
            <v>175.17</v>
          </cell>
        </row>
        <row r="3743">
          <cell r="B3743">
            <v>44954</v>
          </cell>
          <cell r="C3743" t="str">
            <v>REVESTIMENTO EM CERAMICA ESMALTADA PARA FACHADAS, PECAS NO FORMATO APROX. *5 X 15* CM, FORNECIDAS EM PLACAS COM PECAS UNIDAS EM PONTOS</v>
          </cell>
          <cell r="D3743" t="str">
            <v>M2</v>
          </cell>
          <cell r="E3743" t="str">
            <v>CR</v>
          </cell>
          <cell r="F3743">
            <v>93.71</v>
          </cell>
        </row>
        <row r="3744">
          <cell r="B3744">
            <v>44955</v>
          </cell>
          <cell r="C3744" t="str">
            <v>REVESTIMENTO EM CERAMICA ESMALTADA PARA FACHADAS, PECAS NO FORMATO APROX. *7 X 26* CM, FORNECIDAS EM PLACAS COM PECAS UNIDAS EM PONTOS</v>
          </cell>
          <cell r="D3744" t="str">
            <v>M2</v>
          </cell>
          <cell r="E3744" t="str">
            <v>CR</v>
          </cell>
          <cell r="F3744">
            <v>136.94</v>
          </cell>
        </row>
        <row r="3745">
          <cell r="B3745">
            <v>10515</v>
          </cell>
          <cell r="C3745" t="str">
            <v>REVESTIMENTO EM CERAMICA ESMALTADA, FORMATO MAIOR A 2025 CM2</v>
          </cell>
          <cell r="D3745" t="str">
            <v>M2</v>
          </cell>
          <cell r="E3745" t="str">
            <v>CR</v>
          </cell>
          <cell r="F3745">
            <v>46.52</v>
          </cell>
        </row>
        <row r="3746">
          <cell r="B3746">
            <v>153</v>
          </cell>
          <cell r="C3746" t="str">
            <v>REVESTIMENTO EPOXI DE ALTA RESISTENCIA QUIMICA, ISENTO DE SOLVENTES, BICOMPONENTE</v>
          </cell>
          <cell r="D3746" t="str">
            <v>L</v>
          </cell>
          <cell r="E3746" t="str">
            <v>CR</v>
          </cell>
          <cell r="F3746">
            <v>90.64</v>
          </cell>
        </row>
        <row r="3747">
          <cell r="B3747">
            <v>34682</v>
          </cell>
          <cell r="C3747" t="str">
            <v>REVESTIMENTO PARA ESCADA EM GRANILITE, MARMORITE OU GRANITINA ESP = 8 MM (INCLUSO EXECUCAO)</v>
          </cell>
          <cell r="D3747" t="str">
            <v>M2</v>
          </cell>
          <cell r="E3747" t="str">
            <v>CR</v>
          </cell>
          <cell r="F3747">
            <v>133.94999999999999</v>
          </cell>
        </row>
        <row r="3748">
          <cell r="B3748">
            <v>536</v>
          </cell>
          <cell r="C3748" t="str">
            <v>REVESTIMENTO PARA PAREDE, EM CERAMICA ESMALTADA, FORMATO MENOR OU IGUAL A 2025 CM2</v>
          </cell>
          <cell r="D3748" t="str">
            <v>M2</v>
          </cell>
          <cell r="E3748" t="str">
            <v>CR</v>
          </cell>
          <cell r="F3748">
            <v>26.2</v>
          </cell>
        </row>
        <row r="3749">
          <cell r="B3749">
            <v>20205</v>
          </cell>
          <cell r="C3749" t="str">
            <v>RIPA APARELHADA *1,5 X 5* CM, EM MACARANDUBA/MASSARANDUBA, ANGELIM OU EQUIVALENTE DA REGIAO</v>
          </cell>
          <cell r="D3749" t="str">
            <v>M</v>
          </cell>
          <cell r="E3749" t="str">
            <v>CR</v>
          </cell>
          <cell r="F3749">
            <v>4.24</v>
          </cell>
        </row>
        <row r="3750">
          <cell r="B3750">
            <v>4412</v>
          </cell>
          <cell r="C3750" t="str">
            <v>RIPA NAO APARELHADA *1 X 3* CM, EM MACARANDUBA/MASSARANDUBA, ANGELIM OU EQUIVALENTE DA REGIAO - BRUTA</v>
          </cell>
          <cell r="D3750" t="str">
            <v>M</v>
          </cell>
          <cell r="E3750" t="str">
            <v>CR</v>
          </cell>
          <cell r="F3750">
            <v>2.54</v>
          </cell>
        </row>
        <row r="3751">
          <cell r="B3751">
            <v>4408</v>
          </cell>
          <cell r="C3751" t="str">
            <v>RIPA NAO APARELHADA, *1,5 X 5* CM, EM MACARANDUBA/MASSARANDUBA, ANGELIM OU EQUIVALENTE DA REGIAO - BRUTA</v>
          </cell>
          <cell r="D3751" t="str">
            <v>M</v>
          </cell>
          <cell r="E3751" t="str">
            <v>CR</v>
          </cell>
          <cell r="F3751">
            <v>3.17</v>
          </cell>
        </row>
        <row r="3752">
          <cell r="B3752">
            <v>45213</v>
          </cell>
          <cell r="C3752" t="str">
            <v>RISCADOR DE FORMICA COM COMPRIMENTO *16* CM E ALTURA *5* CM</v>
          </cell>
          <cell r="D3752" t="str">
            <v>UN</v>
          </cell>
          <cell r="E3752" t="str">
            <v>CR</v>
          </cell>
          <cell r="F3752">
            <v>37.130000000000003</v>
          </cell>
        </row>
        <row r="3753">
          <cell r="B3753">
            <v>36250</v>
          </cell>
          <cell r="C3753" t="str">
            <v>RODAFORRO EM PVC, PARA FORRO DE PVC, COMPRIMENTO 6 M</v>
          </cell>
          <cell r="D3753" t="str">
            <v>M</v>
          </cell>
          <cell r="E3753" t="str">
            <v>CR</v>
          </cell>
          <cell r="F3753">
            <v>4.6500000000000004</v>
          </cell>
        </row>
        <row r="3754">
          <cell r="B3754">
            <v>10857</v>
          </cell>
          <cell r="C3754" t="str">
            <v>RODAPE ARDOSIA, CINZA, 10 CM, E= *1CM</v>
          </cell>
          <cell r="D3754" t="str">
            <v>M</v>
          </cell>
          <cell r="E3754" t="str">
            <v>CR</v>
          </cell>
          <cell r="F3754">
            <v>17.53</v>
          </cell>
        </row>
        <row r="3755">
          <cell r="B3755">
            <v>4803</v>
          </cell>
          <cell r="C3755" t="str">
            <v>RODAPE DE BORRACHA LISO, H = *70* MM, E = *2* MM, PARA ARGAMASSA, PRETO</v>
          </cell>
          <cell r="D3755" t="str">
            <v>M</v>
          </cell>
          <cell r="E3755" t="str">
            <v>CR</v>
          </cell>
          <cell r="F3755">
            <v>31.6</v>
          </cell>
        </row>
        <row r="3756">
          <cell r="B3756">
            <v>6186</v>
          </cell>
          <cell r="C3756" t="str">
            <v>RODAPE DE MADEIRA MACICA CUMARU/IPE CHAMPANHE OU EQUIVALENTE DA REGIAO, *1,5 X 7 CM</v>
          </cell>
          <cell r="D3756" t="str">
            <v>M</v>
          </cell>
          <cell r="E3756" t="str">
            <v>CR</v>
          </cell>
          <cell r="F3756">
            <v>27</v>
          </cell>
        </row>
        <row r="3757">
          <cell r="B3757">
            <v>4829</v>
          </cell>
          <cell r="C3757" t="str">
            <v>RODAPE EM MARMORE, POLIDO, BRANCO COMUM, L= *7* CM, E= *2* CM, CORTE RETO</v>
          </cell>
          <cell r="D3757" t="str">
            <v>M</v>
          </cell>
          <cell r="E3757" t="str">
            <v>CR</v>
          </cell>
          <cell r="F3757">
            <v>63.61</v>
          </cell>
        </row>
        <row r="3758">
          <cell r="B3758">
            <v>39829</v>
          </cell>
          <cell r="C3758" t="str">
            <v>RODAPE EM POLIESTIRENO, BRANCO, H = *5* CM, E = *1,5* CM</v>
          </cell>
          <cell r="D3758" t="str">
            <v>M</v>
          </cell>
          <cell r="E3758" t="str">
            <v>C</v>
          </cell>
          <cell r="F3758">
            <v>38.22</v>
          </cell>
        </row>
        <row r="3759">
          <cell r="B3759">
            <v>20231</v>
          </cell>
          <cell r="C3759" t="str">
            <v>RODAPE OU RODABANCADA EM GRANITO, POLIDO, TIPO ANDORINHA/ QUARTZ/ CASTELO/ CORUMBA OU OUTROS EQUIVALENTES DA REGIAO, H= 10 CM, E= *2,0* CM</v>
          </cell>
          <cell r="D3759" t="str">
            <v>M</v>
          </cell>
          <cell r="E3759" t="str">
            <v>CR</v>
          </cell>
          <cell r="F3759">
            <v>66.23</v>
          </cell>
        </row>
        <row r="3760">
          <cell r="B3760">
            <v>4804</v>
          </cell>
          <cell r="C3760" t="str">
            <v>RODAPE PLANO PARA PISO VINILICO, H = 5 CM</v>
          </cell>
          <cell r="D3760" t="str">
            <v>M</v>
          </cell>
          <cell r="E3760" t="str">
            <v>CR</v>
          </cell>
          <cell r="F3760">
            <v>24.26</v>
          </cell>
        </row>
        <row r="3761">
          <cell r="B3761">
            <v>34680</v>
          </cell>
          <cell r="C3761" t="str">
            <v>RODAPE PRE-MOLDADO DE GRANILITE, MARMORITE OU GRANITINA L = 10 CM</v>
          </cell>
          <cell r="D3761" t="str">
            <v>M</v>
          </cell>
          <cell r="E3761" t="str">
            <v>CR</v>
          </cell>
          <cell r="F3761">
            <v>41.21</v>
          </cell>
        </row>
        <row r="3762">
          <cell r="B3762">
            <v>11573</v>
          </cell>
          <cell r="C3762" t="str">
            <v>RODIZIO TIPO NAPOLEAO PARA JANELAS DE CORRER, EM ZAMAC, COMPRIMENTO DE APROX 60 CM, COM ROLAMENTO EM ACO</v>
          </cell>
          <cell r="D3762" t="str">
            <v>UN</v>
          </cell>
          <cell r="E3762" t="str">
            <v>CR</v>
          </cell>
          <cell r="F3762">
            <v>5.81</v>
          </cell>
        </row>
        <row r="3763">
          <cell r="B3763">
            <v>38401</v>
          </cell>
          <cell r="C3763" t="str">
            <v>RODO PARA CHAO 40 CM, COM BORRACHA DUPLA E CABO</v>
          </cell>
          <cell r="D3763" t="str">
            <v>UN</v>
          </cell>
          <cell r="E3763" t="str">
            <v>CR</v>
          </cell>
          <cell r="F3763">
            <v>58.33</v>
          </cell>
        </row>
        <row r="3764">
          <cell r="B3764">
            <v>11575</v>
          </cell>
          <cell r="C3764" t="str">
            <v>ROLDANA CONCAVA DUPLA, 4 RODAS, EM ZAMAC COM CHAPA DE LATAO, ROLAMENTOS EM ACO, PARA PORTAS E JANELAS DE CORRER</v>
          </cell>
          <cell r="D3764" t="str">
            <v>UN</v>
          </cell>
          <cell r="E3764" t="str">
            <v>CR</v>
          </cell>
          <cell r="F3764">
            <v>56.02</v>
          </cell>
        </row>
        <row r="3765">
          <cell r="B3765">
            <v>38179</v>
          </cell>
          <cell r="C3765" t="str">
            <v>ROLDANA CONCAVA DUPLA, 4 RODAS, PARA PORTA DE CORRER, EM ZAMAC COM CHAPA DE ACO, ROLAMENTO INTERNO BLINDADO DE ACO REVESTIDO EM NYLON</v>
          </cell>
          <cell r="D3765" t="str">
            <v>UN</v>
          </cell>
          <cell r="E3765" t="str">
            <v>CR</v>
          </cell>
          <cell r="F3765">
            <v>46.32</v>
          </cell>
        </row>
        <row r="3766">
          <cell r="B3766">
            <v>20256</v>
          </cell>
          <cell r="C3766" t="str">
            <v>ROLDANA PLASTICA COM PREGO, TAMANHO 30 X 30 MM, PARA INSTALACAO ELETRICA APARENTE</v>
          </cell>
          <cell r="D3766" t="str">
            <v>UN</v>
          </cell>
          <cell r="E3766" t="str">
            <v>CR</v>
          </cell>
          <cell r="F3766">
            <v>0.37</v>
          </cell>
        </row>
        <row r="3767">
          <cell r="B3767">
            <v>14511</v>
          </cell>
          <cell r="C3767" t="str">
            <v>ROLO COMPACTADOR DE PNEUS, ESTATICO, PRESSAO VARIAVEL, POTENCIA 110 HP, PESO SEM/COM LASTRO 10,8/27 T, LARGURA DE ROLAGEM 2,30 M</v>
          </cell>
          <cell r="D3767" t="str">
            <v>UN</v>
          </cell>
          <cell r="E3767" t="str">
            <v>CR</v>
          </cell>
          <cell r="F3767">
            <v>944749.59</v>
          </cell>
        </row>
        <row r="3768">
          <cell r="B3768">
            <v>10642</v>
          </cell>
          <cell r="C3768" t="str">
            <v>ROLO COMPACTADOR DE PNEUS, ESTATICO, PRESSAO VARIAVEL, POTENCIA 111 HP, PESO SEM/COM LASTRO 9,5/26,0 T, LARGURA DE ROLAGEM 1,90 M</v>
          </cell>
          <cell r="D3768" t="str">
            <v>UN</v>
          </cell>
          <cell r="E3768" t="str">
            <v>C</v>
          </cell>
          <cell r="F3768">
            <v>890000</v>
          </cell>
        </row>
        <row r="3769">
          <cell r="B3769">
            <v>14489</v>
          </cell>
          <cell r="C3769" t="str">
            <v>ROLO COMPACTADOR PE DE CARNEIRO VIBRATORIO, POTENCIA 125 HP, PESO OPERACIONAL SEM/COM LASTRO 11,95/13,30 T, IMPACTO DINAMICO 38,5/22,5 T, LARGURA DE TRABALHO 2,15 M</v>
          </cell>
          <cell r="D3769" t="str">
            <v>UN</v>
          </cell>
          <cell r="E3769" t="str">
            <v>CR</v>
          </cell>
          <cell r="F3769">
            <v>789413.44</v>
          </cell>
        </row>
        <row r="3770">
          <cell r="B3770">
            <v>14513</v>
          </cell>
          <cell r="C3770" t="str">
            <v>ROLO COMPACTADOR PE DE CARNEIRO VIBRATORIO, POTENCIA 80 HP, PESO OPERACIONAL SEM/COM LASTRO 7,4/8,8 T, LARGURA DE TRABALHO 1,68 M</v>
          </cell>
          <cell r="D3770" t="str">
            <v>UN</v>
          </cell>
          <cell r="E3770" t="str">
            <v>CR</v>
          </cell>
          <cell r="F3770">
            <v>592078.81000000006</v>
          </cell>
        </row>
        <row r="3771">
          <cell r="B3771">
            <v>10646</v>
          </cell>
          <cell r="C3771" t="str">
            <v>ROLO COMPACTADOR VIBRATORIO DE UM CILINDRO, ACO LISO, POTENCIA 80 HP, PESO OPERACIONAL MAXIMO 8,1 T, IMPACTO DINAMICO 16,15/9,5 T, LARGURA TRABALHO 1,68 M</v>
          </cell>
          <cell r="D3771" t="str">
            <v>UN</v>
          </cell>
          <cell r="E3771" t="str">
            <v>CR</v>
          </cell>
          <cell r="F3771">
            <v>569472.64</v>
          </cell>
        </row>
        <row r="3772">
          <cell r="B3772">
            <v>6070</v>
          </cell>
          <cell r="C3772" t="str">
            <v>ROLO COMPACTADOR VIBRATORIO PE DE CARNEIRO, COM CONTROLE REMOTO POR RADIO, POTENCIA 12,5 KW, PESO OPERACIONAL DE 1,675 T, LARGURA DE TRABALHO 0,85 M</v>
          </cell>
          <cell r="D3772" t="str">
            <v>UN</v>
          </cell>
          <cell r="E3772" t="str">
            <v>CR</v>
          </cell>
          <cell r="F3772">
            <v>778114.27</v>
          </cell>
        </row>
        <row r="3773">
          <cell r="B3773">
            <v>6069</v>
          </cell>
          <cell r="C3773" t="str">
            <v>ROLO COMPACTADOR VIBRATORIO REBOCAVEL, CILINDRO DE ACO LISO, POTENCIA DE TRACAO DE 65 CV, PESO DE 4,7 T, IMPACTO DINAMICO TOTAL DE 18,3 T, LARGURA DO ROLO 1,67 M</v>
          </cell>
          <cell r="D3773" t="str">
            <v>UN</v>
          </cell>
          <cell r="E3773" t="str">
            <v>CR</v>
          </cell>
          <cell r="F3773">
            <v>171897.18</v>
          </cell>
        </row>
        <row r="3774">
          <cell r="B3774">
            <v>14626</v>
          </cell>
          <cell r="C3774" t="str">
            <v>ROLO COMPACTADOR VIBRATORIO TANDEM, ACO LISO, POTENCIA 125 HP, PESO SEM/COM LASTRO 10,20/11,65 T, LARGURA DE TRABALHO 1,73 M</v>
          </cell>
          <cell r="D3774" t="str">
            <v>UN</v>
          </cell>
          <cell r="E3774" t="str">
            <v>CR</v>
          </cell>
          <cell r="F3774">
            <v>851857.18</v>
          </cell>
        </row>
        <row r="3775">
          <cell r="B3775">
            <v>6067</v>
          </cell>
          <cell r="C3775" t="str">
            <v>ROLO COMPACTADOR VIBRATORIO TANDEM, ACO LISO, POTENCIA 58 CV, PESO SEM/COM LASTRO 6,5/9,4 T, LARGURA DE TRABALHO 1,20 M</v>
          </cell>
          <cell r="D3775" t="str">
            <v>UN</v>
          </cell>
          <cell r="E3775" t="str">
            <v>CR</v>
          </cell>
          <cell r="F3775">
            <v>699285.72</v>
          </cell>
        </row>
        <row r="3776">
          <cell r="B3776">
            <v>38393</v>
          </cell>
          <cell r="C3776" t="str">
            <v>ROLO DE ESPUMA POLIESTER, 23 CM X 68 MM (COMPRIMENTO X DIAMETRO), SEM CABO</v>
          </cell>
          <cell r="D3776" t="str">
            <v>UN</v>
          </cell>
          <cell r="E3776" t="str">
            <v>C</v>
          </cell>
          <cell r="F3776">
            <v>20.49</v>
          </cell>
        </row>
        <row r="3777">
          <cell r="B3777">
            <v>45233</v>
          </cell>
          <cell r="C3777" t="str">
            <v>ROLO DE ESPUMA POLIESTER, 9 CM X 10 MM, COM CABO</v>
          </cell>
          <cell r="D3777" t="str">
            <v>UN</v>
          </cell>
          <cell r="E3777" t="str">
            <v>CR</v>
          </cell>
          <cell r="F3777">
            <v>8.7899999999999991</v>
          </cell>
        </row>
        <row r="3778">
          <cell r="B3778">
            <v>38390</v>
          </cell>
          <cell r="C3778" t="str">
            <v>ROLO DE LA DE CARNEIRO 25 MM X 23 CM (ALTURA DA LA X COMPRIMENTO), SEM CABO</v>
          </cell>
          <cell r="D3778" t="str">
            <v>UN</v>
          </cell>
          <cell r="E3778" t="str">
            <v>CR</v>
          </cell>
          <cell r="F3778">
            <v>50.34</v>
          </cell>
        </row>
        <row r="3779">
          <cell r="B3779">
            <v>11578</v>
          </cell>
          <cell r="C3779" t="str">
            <v>ROSETA QUADRADA, SEM FUROS, EM ACO INOX POLIDO, LARGURA APROXIMADA DE 50 MM, PARA FECHADURA DE PORTA - PARAFUSOS INCLUIDOS</v>
          </cell>
          <cell r="D3779" t="str">
            <v>UN</v>
          </cell>
          <cell r="E3779" t="str">
            <v>CR</v>
          </cell>
          <cell r="F3779">
            <v>12.09</v>
          </cell>
        </row>
        <row r="3780">
          <cell r="B3780">
            <v>11577</v>
          </cell>
          <cell r="C3780" t="str">
            <v>ROSETA REDONDA DE SOBREPOR, SEM FUROS, EM ACO INOX POLIDO, DIAMETRO APROXIMADO DE 50 MM, PARA FECHADURA DE PORTA - PARAFUSOS INCLUIDOS</v>
          </cell>
          <cell r="D3780" t="str">
            <v>UN</v>
          </cell>
          <cell r="E3780" t="str">
            <v>CR</v>
          </cell>
          <cell r="F3780">
            <v>11.54</v>
          </cell>
        </row>
        <row r="3781">
          <cell r="B3781">
            <v>42432</v>
          </cell>
          <cell r="C3781" t="str">
            <v>ROTACAO DIAGONAL DUPLA, APARELHO TRIPLO, EM TUBO DE ACO CARBONO, PINTURA NO PROCESSO ELETROSTATICO - EQUIPAMENTO DE GINASTICA PARA ACADEMIA AO AR LIVRE / ACADEMIA DA TERCEIRA IDADE - ATI</v>
          </cell>
          <cell r="D3781" t="str">
            <v>UN</v>
          </cell>
          <cell r="E3781" t="str">
            <v>CR</v>
          </cell>
          <cell r="F3781">
            <v>2424.64</v>
          </cell>
        </row>
        <row r="3782">
          <cell r="B3782">
            <v>42437</v>
          </cell>
          <cell r="C3782" t="str">
            <v>ROTACAO VERTICAL DUPLO, EM TUBO DE ACO CARBONO, PINTURA NO PROCESSO ELETROSTATICO - EQUIPAMENTO DE GINASTICA PARA ACADEMIA AO AR LIVRE / ACADEMIA DA TERCEIRA IDADE - ATI</v>
          </cell>
          <cell r="D3782" t="str">
            <v>UN</v>
          </cell>
          <cell r="E3782" t="str">
            <v>CR</v>
          </cell>
          <cell r="F3782">
            <v>1843.37</v>
          </cell>
        </row>
        <row r="3783">
          <cell r="B3783">
            <v>1116</v>
          </cell>
          <cell r="C3783" t="str">
            <v>RUFO EXTERNO DE CHAPA DE ACO GALVANIZADA NUM 26, CORTE 25 CM</v>
          </cell>
          <cell r="D3783" t="str">
            <v>M</v>
          </cell>
          <cell r="E3783" t="str">
            <v>CR</v>
          </cell>
          <cell r="F3783">
            <v>17.36</v>
          </cell>
        </row>
        <row r="3784">
          <cell r="B3784">
            <v>1115</v>
          </cell>
          <cell r="C3784" t="str">
            <v>RUFO EXTERNO DE CHAPA DE ACO GALVANIZADA NUM 26, CORTE 28 CM</v>
          </cell>
          <cell r="D3784" t="str">
            <v>M</v>
          </cell>
          <cell r="E3784" t="str">
            <v>CR</v>
          </cell>
          <cell r="F3784">
            <v>20.8</v>
          </cell>
        </row>
        <row r="3785">
          <cell r="B3785">
            <v>1113</v>
          </cell>
          <cell r="C3785" t="str">
            <v>RUFO EXTERNO/INTERNO DE CHAPA DE ACO GALVANIZADA NUM 26, CORTE 33 CM</v>
          </cell>
          <cell r="D3785" t="str">
            <v>M</v>
          </cell>
          <cell r="E3785" t="str">
            <v>CR</v>
          </cell>
          <cell r="F3785">
            <v>24.32</v>
          </cell>
        </row>
        <row r="3786">
          <cell r="B3786">
            <v>1114</v>
          </cell>
          <cell r="C3786" t="str">
            <v>RUFO INTERNO DE CHAPA DE ACO GALVANIZADA NUM 26, CORTE 50 CM</v>
          </cell>
          <cell r="D3786" t="str">
            <v>M</v>
          </cell>
          <cell r="E3786" t="str">
            <v>CR</v>
          </cell>
          <cell r="F3786">
            <v>28.97</v>
          </cell>
        </row>
        <row r="3787">
          <cell r="B3787">
            <v>40873</v>
          </cell>
          <cell r="C3787" t="str">
            <v>RUFO INTERNO/EXTERNO DE CHAPA DE ACO GALVANIZADA NUM 24, CORTE 25 CM</v>
          </cell>
          <cell r="D3787" t="str">
            <v>M</v>
          </cell>
          <cell r="E3787" t="str">
            <v>CR</v>
          </cell>
          <cell r="F3787">
            <v>22.67</v>
          </cell>
        </row>
        <row r="3788">
          <cell r="B3788">
            <v>20214</v>
          </cell>
          <cell r="C3788" t="str">
            <v>RUFO PARA TELHA ESTRUTURAL DE FIBROCIMENTO 1 ABA (SEM AMIANTO)</v>
          </cell>
          <cell r="D3788" t="str">
            <v>UN</v>
          </cell>
          <cell r="E3788" t="str">
            <v>CR</v>
          </cell>
          <cell r="F3788">
            <v>50.6</v>
          </cell>
        </row>
        <row r="3789">
          <cell r="B3789">
            <v>7237</v>
          </cell>
          <cell r="C3789" t="str">
            <v>RUFO PARA TELHA ONDULADA DE FIBROCIMENTO, E = 6 MM, ABA *260* MM, COMPRIMENTO 1100 MM (SEM AMIANTO)</v>
          </cell>
          <cell r="D3789" t="str">
            <v>UN</v>
          </cell>
          <cell r="E3789" t="str">
            <v>CR</v>
          </cell>
          <cell r="F3789">
            <v>49.54</v>
          </cell>
        </row>
        <row r="3790">
          <cell r="B3790">
            <v>11757</v>
          </cell>
          <cell r="C3790" t="str">
            <v>SABONETEIRA DE PAREDE EM METAL CROMADO</v>
          </cell>
          <cell r="D3790" t="str">
            <v>UN</v>
          </cell>
          <cell r="E3790" t="str">
            <v>C</v>
          </cell>
          <cell r="F3790">
            <v>46</v>
          </cell>
        </row>
        <row r="3791">
          <cell r="B3791">
            <v>11758</v>
          </cell>
          <cell r="C3791" t="str">
            <v>SABONETEIRA PLASTICA TIPO DISPENSER PARA SABONETE LIQUIDO COM RESERVATORIO 800 A 1500 ML</v>
          </cell>
          <cell r="D3791" t="str">
            <v>UN</v>
          </cell>
          <cell r="E3791" t="str">
            <v>C</v>
          </cell>
          <cell r="F3791">
            <v>57.76</v>
          </cell>
        </row>
        <row r="3792">
          <cell r="B3792">
            <v>37526</v>
          </cell>
          <cell r="C3792" t="str">
            <v>SACO DE RAFIA PARA ENTULHO, NOVO, LISO (SEM CLICHE), *60 X 90* CM</v>
          </cell>
          <cell r="D3792" t="str">
            <v>UN</v>
          </cell>
          <cell r="E3792" t="str">
            <v>CR</v>
          </cell>
          <cell r="F3792">
            <v>6.1</v>
          </cell>
        </row>
        <row r="3793">
          <cell r="B3793">
            <v>6076</v>
          </cell>
          <cell r="C3793" t="str">
            <v>SAIBRO PARA ARGAMASSA (COLETADO NO COMERCIO)</v>
          </cell>
          <cell r="D3793" t="str">
            <v>M3</v>
          </cell>
          <cell r="E3793" t="str">
            <v>C</v>
          </cell>
          <cell r="F3793">
            <v>69</v>
          </cell>
        </row>
        <row r="3794">
          <cell r="B3794">
            <v>13109</v>
          </cell>
          <cell r="C3794" t="str">
            <v>SAPATA DE PVC ADITIVADO NERVURADO D = 6 POLEGADAS</v>
          </cell>
          <cell r="D3794" t="str">
            <v>UN</v>
          </cell>
          <cell r="E3794" t="str">
            <v>CR</v>
          </cell>
          <cell r="F3794">
            <v>270.93</v>
          </cell>
        </row>
        <row r="3795">
          <cell r="B3795">
            <v>13110</v>
          </cell>
          <cell r="C3795" t="str">
            <v>SAPATA DE PVC ADITIVADO NERVURADO D = 8 POLEGADAS</v>
          </cell>
          <cell r="D3795" t="str">
            <v>UN</v>
          </cell>
          <cell r="E3795" t="str">
            <v>CR</v>
          </cell>
          <cell r="F3795">
            <v>356.56</v>
          </cell>
        </row>
        <row r="3796">
          <cell r="B3796">
            <v>7581</v>
          </cell>
          <cell r="C3796" t="str">
            <v>SAPATILHA EM ACO GALVANIZADO PARA CABOS COM DIAMETRO NOMINAL ATE 5/8"</v>
          </cell>
          <cell r="D3796" t="str">
            <v>UN</v>
          </cell>
          <cell r="E3796" t="str">
            <v>CR</v>
          </cell>
          <cell r="F3796">
            <v>3.44</v>
          </cell>
        </row>
        <row r="3797">
          <cell r="B3797">
            <v>4509</v>
          </cell>
          <cell r="C3797" t="str">
            <v>SARRAFO *2,5 X 10* CM EM PINUS, MISTA OU EQUIVALENTE DA REGIAO - BRUTA</v>
          </cell>
          <cell r="D3797" t="str">
            <v>M</v>
          </cell>
          <cell r="E3797" t="str">
            <v>CR</v>
          </cell>
          <cell r="F3797">
            <v>4.13</v>
          </cell>
        </row>
        <row r="3798">
          <cell r="B3798">
            <v>4512</v>
          </cell>
          <cell r="C3798" t="str">
            <v>SARRAFO *2,5 X 5* CM EM PINUS, MISTA OU EQUIVALENTE DA REGIAO - BRUTA</v>
          </cell>
          <cell r="D3798" t="str">
            <v>M</v>
          </cell>
          <cell r="E3798" t="str">
            <v>CR</v>
          </cell>
          <cell r="F3798">
            <v>1.97</v>
          </cell>
        </row>
        <row r="3799">
          <cell r="B3799">
            <v>4517</v>
          </cell>
          <cell r="C3799" t="str">
            <v>SARRAFO *2,5 X 7,5* CM EM PINUS, MISTA OU EQUIVALENTE DA REGIAO - BRUTA</v>
          </cell>
          <cell r="D3799" t="str">
            <v>M</v>
          </cell>
          <cell r="E3799" t="str">
            <v>CR</v>
          </cell>
          <cell r="F3799">
            <v>2.85</v>
          </cell>
        </row>
        <row r="3800">
          <cell r="B3800">
            <v>20206</v>
          </cell>
          <cell r="C3800" t="str">
            <v>SARRAFO APARELHADO *2 X 10* CM, EM MACARANDUBA/MASSARANDUBA, ANGELIM OU EQUIVALENTE DA REGIAO</v>
          </cell>
          <cell r="D3800" t="str">
            <v>M</v>
          </cell>
          <cell r="E3800" t="str">
            <v>CR</v>
          </cell>
          <cell r="F3800">
            <v>11.45</v>
          </cell>
        </row>
        <row r="3801">
          <cell r="B3801">
            <v>4460</v>
          </cell>
          <cell r="C3801" t="str">
            <v>SARRAFO NAO APARELHADO *2,5 X 10* CM, EM MACARANDUBA/MASSARANDUBA, ANGELIM OU EQUIVALENTE DA REGIAO - BRUTA</v>
          </cell>
          <cell r="D3801" t="str">
            <v>M</v>
          </cell>
          <cell r="E3801" t="str">
            <v>CR</v>
          </cell>
          <cell r="F3801">
            <v>11.76</v>
          </cell>
        </row>
        <row r="3802">
          <cell r="B3802">
            <v>4415</v>
          </cell>
          <cell r="C3802" t="str">
            <v>SARRAFO NAO APARELHADO *2,5 X 5* CM, EM MACARANDUBA/MASSARANDUBA, ANGELIM, PEROBA-ROSA OU EQUIVALENTE DA REGIAO - BRUTA</v>
          </cell>
          <cell r="D3802" t="str">
            <v>M</v>
          </cell>
          <cell r="E3802" t="str">
            <v>CR</v>
          </cell>
          <cell r="F3802">
            <v>6.3</v>
          </cell>
        </row>
        <row r="3803">
          <cell r="B3803">
            <v>4417</v>
          </cell>
          <cell r="C3803" t="str">
            <v>SARRAFO NAO APARELHADO *2,5 X 7* CM, EM MACARANDUBA/MASSARANDUBA, ANGELIM, PEROBA-ROSA OU EQUIVALENTE DA REGIAO - BRUTA</v>
          </cell>
          <cell r="D3803" t="str">
            <v>M</v>
          </cell>
          <cell r="E3803" t="str">
            <v>CR</v>
          </cell>
          <cell r="F3803">
            <v>9.06</v>
          </cell>
        </row>
        <row r="3804">
          <cell r="B3804">
            <v>37373</v>
          </cell>
          <cell r="C3804" t="str">
            <v>SEGURO - HORISTA (COLETADO CAIXA - ENCARGOS COMPLEMENTARES)</v>
          </cell>
          <cell r="D3804" t="str">
            <v>H</v>
          </cell>
          <cell r="E3804" t="str">
            <v>C</v>
          </cell>
          <cell r="F3804">
            <v>0.11</v>
          </cell>
        </row>
        <row r="3805">
          <cell r="B3805">
            <v>40864</v>
          </cell>
          <cell r="C3805" t="str">
            <v>SEGURO - MENSALISTA (COLETADO CAIXA - ENCARGOS COMPLEMENTARES)</v>
          </cell>
          <cell r="D3805" t="str">
            <v>MES</v>
          </cell>
          <cell r="E3805" t="str">
            <v>C</v>
          </cell>
          <cell r="F3805">
            <v>18.28</v>
          </cell>
        </row>
        <row r="3806">
          <cell r="B3806">
            <v>4734</v>
          </cell>
          <cell r="C3806" t="str">
            <v>SEIXO ROLADO PARA APLICACAO EM CONCRETO (POSTO PEDREIRA/FORNECEDOR, SEM FRETE)</v>
          </cell>
          <cell r="D3806" t="str">
            <v>M3</v>
          </cell>
          <cell r="E3806" t="str">
            <v>CR</v>
          </cell>
          <cell r="F3806">
            <v>255.68</v>
          </cell>
        </row>
        <row r="3807">
          <cell r="B3807">
            <v>6085</v>
          </cell>
          <cell r="C3807" t="str">
            <v>SELADOR ACRILICO OPACO PREMIUM INTERIOR/EXTERIOR</v>
          </cell>
          <cell r="D3807" t="str">
            <v>L</v>
          </cell>
          <cell r="E3807" t="str">
            <v>C</v>
          </cell>
          <cell r="F3807">
            <v>12.51</v>
          </cell>
        </row>
        <row r="3808">
          <cell r="B3808">
            <v>38396</v>
          </cell>
          <cell r="C3808" t="str">
            <v>SELADOR HORIZONTAL PARA FITA DE ACO 1" (25 MM)</v>
          </cell>
          <cell r="D3808" t="str">
            <v>UN</v>
          </cell>
          <cell r="E3808" t="str">
            <v>CR</v>
          </cell>
          <cell r="F3808">
            <v>910.13</v>
          </cell>
        </row>
        <row r="3809">
          <cell r="B3809">
            <v>11622</v>
          </cell>
          <cell r="C3809" t="str">
            <v>SELANTE A BASE DE ALCATRAO E POLIURETANO PARA JUNTAS HORIZONTAIS</v>
          </cell>
          <cell r="D3809" t="str">
            <v>KG</v>
          </cell>
          <cell r="E3809" t="str">
            <v>CR</v>
          </cell>
          <cell r="F3809">
            <v>68.3</v>
          </cell>
        </row>
        <row r="3810">
          <cell r="B3810">
            <v>43143</v>
          </cell>
          <cell r="C3810" t="str">
            <v>SELANTE ACRILICO PARA TRATAMENTO / ACABAMENTO SUPERFICIAL DE CONCRETO ESTAMPADO, APARENTE, PEDRAS E OUTROS</v>
          </cell>
          <cell r="D3810" t="str">
            <v>L</v>
          </cell>
          <cell r="E3810" t="str">
            <v>CR</v>
          </cell>
          <cell r="F3810">
            <v>25.79</v>
          </cell>
        </row>
        <row r="3811">
          <cell r="B3811">
            <v>7317</v>
          </cell>
          <cell r="C3811" t="str">
            <v>SELANTE DE BASE ASFALTICA PARA VEDACAO</v>
          </cell>
          <cell r="D3811" t="str">
            <v>KG</v>
          </cell>
          <cell r="E3811" t="str">
            <v>CR</v>
          </cell>
          <cell r="F3811">
            <v>37.450000000000003</v>
          </cell>
        </row>
        <row r="3812">
          <cell r="B3812">
            <v>142</v>
          </cell>
          <cell r="C3812" t="str">
            <v>SELANTE ELASTICO MONOCOMPONENTE A BASE DE POLIURETANO (PU) PARA JUNTAS DIVERSAS</v>
          </cell>
          <cell r="D3812" t="str">
            <v>310ML</v>
          </cell>
          <cell r="E3812" t="str">
            <v>CR</v>
          </cell>
          <cell r="F3812">
            <v>32.229999999999997</v>
          </cell>
        </row>
        <row r="3813">
          <cell r="B3813">
            <v>43142</v>
          </cell>
          <cell r="C3813" t="str">
            <v>SELANTE MONOCOMPONENTE A BASE DE SILICONE DE BAIXO MODULO, PARA JUNTAS DE PAVIMENTACAO</v>
          </cell>
          <cell r="D3813" t="str">
            <v>L</v>
          </cell>
          <cell r="E3813" t="str">
            <v>CR</v>
          </cell>
          <cell r="F3813">
            <v>146.38999999999999</v>
          </cell>
        </row>
        <row r="3814">
          <cell r="B3814">
            <v>38123</v>
          </cell>
          <cell r="C3814" t="str">
            <v>SELANTE TIPO VEDA CALHA PARA METAL E FIBROCIMENTO</v>
          </cell>
          <cell r="D3814" t="str">
            <v>KG</v>
          </cell>
          <cell r="E3814" t="str">
            <v>CR</v>
          </cell>
          <cell r="F3814">
            <v>79.09</v>
          </cell>
        </row>
        <row r="3815">
          <cell r="B3815">
            <v>42699</v>
          </cell>
          <cell r="C3815" t="str">
            <v>SELIM PVC, COM TRAVA, JE, 90 GRAUS, DN 125 X 100 MM OU 150 X 100 MM, PARA REDE COLETORA ESGOTO</v>
          </cell>
          <cell r="D3815" t="str">
            <v>UN</v>
          </cell>
          <cell r="E3815" t="str">
            <v>CR</v>
          </cell>
          <cell r="F3815">
            <v>38.770000000000003</v>
          </cell>
        </row>
        <row r="3816">
          <cell r="B3816">
            <v>37743</v>
          </cell>
          <cell r="C3816" t="str">
            <v>SEMIRREBOQUE COM DOIS EIXOS EM TANDEM TIPO BASCULANTE COM CACAMBA METALICA 14 M3 (INCLUI MONTAGEM, NAO INCLUI CAVALO MECANICO)</v>
          </cell>
          <cell r="D3816" t="str">
            <v>UN</v>
          </cell>
          <cell r="E3816" t="str">
            <v>CR</v>
          </cell>
          <cell r="F3816">
            <v>236779.76</v>
          </cell>
        </row>
        <row r="3817">
          <cell r="B3817">
            <v>37744</v>
          </cell>
          <cell r="C3817" t="str">
            <v>SEMIRREBOQUE COM TRES EIXOS EM TANDEM TIPO BASCULANTE COM CACAMBA METALICA 18 M3 (INCLUI MONTAGEM, NAO INCLUI CAVALO MECANICO)</v>
          </cell>
          <cell r="D3817" t="str">
            <v>UN</v>
          </cell>
          <cell r="E3817" t="str">
            <v>CR</v>
          </cell>
          <cell r="F3817">
            <v>278408.45</v>
          </cell>
        </row>
        <row r="3818">
          <cell r="B3818">
            <v>37741</v>
          </cell>
          <cell r="C3818" t="str">
            <v>SEMIRREBOQUE COM TRES EIXOS, PARA TRANSPORTE DE CARGA SECA, DIMENSOES APROXIMADAS 2,60 X 12,50 X 0,50 M (NAO INCLUI CAVALO MECANICO)</v>
          </cell>
          <cell r="D3818" t="str">
            <v>UN</v>
          </cell>
          <cell r="E3818" t="str">
            <v>CR</v>
          </cell>
          <cell r="F3818">
            <v>215302.53</v>
          </cell>
        </row>
        <row r="3819">
          <cell r="B3819">
            <v>39396</v>
          </cell>
          <cell r="C3819" t="str">
            <v>SENSOR DE PRESENCA BIVOLT COM FOTOCELULA PARA QUALQUER TIPO DE LAMPADA, POTENCIA MAXIMA *1000* W, USO EXTERNO</v>
          </cell>
          <cell r="D3819" t="str">
            <v>UN</v>
          </cell>
          <cell r="E3819" t="str">
            <v>CR</v>
          </cell>
          <cell r="F3819">
            <v>62.72</v>
          </cell>
        </row>
        <row r="3820">
          <cell r="B3820">
            <v>39392</v>
          </cell>
          <cell r="C3820" t="str">
            <v>SENSOR DE PRESENCA BIVOLT DE PAREDE COM FOTOCELULA PARA QUALQUER TIPO DE LAMPADA POTENCIA MAXIMA *1000* W, USO INTERNO</v>
          </cell>
          <cell r="D3820" t="str">
            <v>UN</v>
          </cell>
          <cell r="E3820" t="str">
            <v>CR</v>
          </cell>
          <cell r="F3820">
            <v>70.75</v>
          </cell>
        </row>
        <row r="3821">
          <cell r="B3821">
            <v>39393</v>
          </cell>
          <cell r="C3821" t="str">
            <v>SENSOR DE PRESENCA BIVOLT DE PAREDE SEM FOTOCELULA PARA QUALQUER TIPO DE LAMPADA POTENCIA MAXIMA *1000* W, USO INTERNO</v>
          </cell>
          <cell r="D3821" t="str">
            <v>UN</v>
          </cell>
          <cell r="E3821" t="str">
            <v>CR</v>
          </cell>
          <cell r="F3821">
            <v>43.75</v>
          </cell>
        </row>
        <row r="3822">
          <cell r="B3822">
            <v>39394</v>
          </cell>
          <cell r="C3822" t="str">
            <v>SENSOR DE PRESENCA BIVOLT DE TETO COM FOTOCELULA PARA QUALQUER TIPO DE LAMPADA POTENCIA MAXIMA *1000* W, USO INTERNO</v>
          </cell>
          <cell r="D3822" t="str">
            <v>UN</v>
          </cell>
          <cell r="E3822" t="str">
            <v>CR</v>
          </cell>
          <cell r="F3822">
            <v>49.25</v>
          </cell>
        </row>
        <row r="3823">
          <cell r="B3823">
            <v>39395</v>
          </cell>
          <cell r="C3823" t="str">
            <v>SENSOR DE PRESENCA BIVOLT DE TETO SEM FOTOCELULA PARA QUALQUER TIPO DE LAMPADA POTENCIA MAXIMA *900* W, USO INTERNO</v>
          </cell>
          <cell r="D3823" t="str">
            <v>UN</v>
          </cell>
          <cell r="E3823" t="str">
            <v>CR</v>
          </cell>
          <cell r="F3823">
            <v>45.79</v>
          </cell>
        </row>
        <row r="3824">
          <cell r="B3824">
            <v>14618</v>
          </cell>
          <cell r="C3824" t="str">
            <v>SERRA CIRCULAR DE BANCADA COM MOTOR ELETRICO, POTENCIA DE *1600* W, PARA DISCO DE DIAMETRO DE 10" (250 MM)</v>
          </cell>
          <cell r="D3824" t="str">
            <v>UN</v>
          </cell>
          <cell r="E3824" t="str">
            <v>CR</v>
          </cell>
          <cell r="F3824">
            <v>1252.51</v>
          </cell>
        </row>
        <row r="3825">
          <cell r="B3825">
            <v>6110</v>
          </cell>
          <cell r="C3825" t="str">
            <v>SERRALHEIRO (HORISTA)</v>
          </cell>
          <cell r="D3825" t="str">
            <v>H</v>
          </cell>
          <cell r="E3825" t="str">
            <v>CR</v>
          </cell>
          <cell r="F3825">
            <v>26.72</v>
          </cell>
        </row>
        <row r="3826">
          <cell r="B3826">
            <v>40910</v>
          </cell>
          <cell r="C3826" t="str">
            <v>SERRALHEIRO (MENSALISTA)</v>
          </cell>
          <cell r="D3826" t="str">
            <v>MES</v>
          </cell>
          <cell r="E3826" t="str">
            <v>CR</v>
          </cell>
          <cell r="F3826">
            <v>4683.3599999999997</v>
          </cell>
        </row>
        <row r="3827">
          <cell r="B3827">
            <v>45255</v>
          </cell>
          <cell r="C3827" t="str">
            <v>SERROTE PROFISSIONAL EM ACO TEMPERADO 20", CABO DE MADEIRA</v>
          </cell>
          <cell r="D3827" t="str">
            <v>UN</v>
          </cell>
          <cell r="E3827" t="str">
            <v>CR</v>
          </cell>
          <cell r="F3827">
            <v>42.29</v>
          </cell>
        </row>
        <row r="3828">
          <cell r="B3828">
            <v>6111</v>
          </cell>
          <cell r="C3828" t="str">
            <v>SERVENTE DE OBRAS (HORISTA)</v>
          </cell>
          <cell r="D3828" t="str">
            <v>H</v>
          </cell>
          <cell r="E3828" t="str">
            <v>C</v>
          </cell>
          <cell r="F3828">
            <v>21.5</v>
          </cell>
        </row>
        <row r="3829">
          <cell r="B3829">
            <v>41084</v>
          </cell>
          <cell r="C3829" t="str">
            <v>SERVENTE DE OBRAS (MENSALISTA)</v>
          </cell>
          <cell r="D3829" t="str">
            <v>MES</v>
          </cell>
          <cell r="E3829" t="str">
            <v>CR</v>
          </cell>
          <cell r="F3829">
            <v>3765.96</v>
          </cell>
        </row>
        <row r="3830">
          <cell r="B3830">
            <v>44535</v>
          </cell>
          <cell r="C3830" t="str">
            <v>SERVICO DE BOMBEAMENTO DE CONCRETO COM CONSUMO MINIMO DE 40 M3, (DISPONIBILIZACAO DE BOMBA), SEM O LANCAMENTO</v>
          </cell>
          <cell r="D3830" t="str">
            <v>M3</v>
          </cell>
          <cell r="E3830" t="str">
            <v>CR</v>
          </cell>
          <cell r="F3830">
            <v>44.32</v>
          </cell>
        </row>
        <row r="3831">
          <cell r="B3831">
            <v>44945</v>
          </cell>
          <cell r="C3831" t="str">
            <v>SIFAO / TUBO SINFONADO EXTENSIVEL/SANFONADO, UNIVERSAL/ SIMPLES, ENTRE *50 A 70* CM, DE PLASTICO BRANCO</v>
          </cell>
          <cell r="D3831" t="str">
            <v>UN</v>
          </cell>
          <cell r="E3831" t="str">
            <v>C</v>
          </cell>
          <cell r="F3831">
            <v>10.95</v>
          </cell>
        </row>
        <row r="3832">
          <cell r="B3832">
            <v>38637</v>
          </cell>
          <cell r="C3832" t="str">
            <v>SIFAO EM METAL CROMADO PARA PIA AMERICANA, 1.1/2 X 1.1/2"</v>
          </cell>
          <cell r="D3832" t="str">
            <v>UN</v>
          </cell>
          <cell r="E3832" t="str">
            <v>CR</v>
          </cell>
          <cell r="F3832">
            <v>212.93</v>
          </cell>
        </row>
        <row r="3833">
          <cell r="B3833">
            <v>6150</v>
          </cell>
          <cell r="C3833" t="str">
            <v>SIFAO EM METAL CROMADO PARA PIA AMERICANA, 1.1/2 X 2"</v>
          </cell>
          <cell r="D3833" t="str">
            <v>UN</v>
          </cell>
          <cell r="E3833" t="str">
            <v>CR</v>
          </cell>
          <cell r="F3833">
            <v>215.53</v>
          </cell>
        </row>
        <row r="3834">
          <cell r="B3834">
            <v>6136</v>
          </cell>
          <cell r="C3834" t="str">
            <v>SIFAO EM METAL CROMADO PARA PIA OU LAVATORIO, 1 X 1.1/2"</v>
          </cell>
          <cell r="D3834" t="str">
            <v>UN</v>
          </cell>
          <cell r="E3834" t="str">
            <v>C</v>
          </cell>
          <cell r="F3834">
            <v>169.42</v>
          </cell>
        </row>
        <row r="3835">
          <cell r="B3835">
            <v>38638</v>
          </cell>
          <cell r="C3835" t="str">
            <v>SIFAO EM METAL CROMADO PARA TANQUE, 1.1/4 X 1.1/2"</v>
          </cell>
          <cell r="D3835" t="str">
            <v>UN</v>
          </cell>
          <cell r="E3835" t="str">
            <v>CR</v>
          </cell>
          <cell r="F3835">
            <v>179.43</v>
          </cell>
        </row>
        <row r="3836">
          <cell r="B3836">
            <v>20262</v>
          </cell>
          <cell r="C3836" t="str">
            <v>SIFAO PLASTICO EXTENSIVEL UNIVERSAL, TIPO COPO</v>
          </cell>
          <cell r="D3836" t="str">
            <v>UN</v>
          </cell>
          <cell r="E3836" t="str">
            <v>CR</v>
          </cell>
          <cell r="F3836">
            <v>20.05</v>
          </cell>
        </row>
        <row r="3837">
          <cell r="B3837">
            <v>6145</v>
          </cell>
          <cell r="C3837" t="str">
            <v>SIFAO PLASTICO TIPO COPO PARA PIA AMERICANA 1.1/2 X 1.1/2"</v>
          </cell>
          <cell r="D3837" t="str">
            <v>UN</v>
          </cell>
          <cell r="E3837" t="str">
            <v>CR</v>
          </cell>
          <cell r="F3837">
            <v>22.15</v>
          </cell>
        </row>
        <row r="3838">
          <cell r="B3838">
            <v>6149</v>
          </cell>
          <cell r="C3838" t="str">
            <v>SIFAO PLASTICO TIPO COPO PARA PIA OU LAVATORIO, 1 X 1.1/2"</v>
          </cell>
          <cell r="D3838" t="str">
            <v>UN</v>
          </cell>
          <cell r="E3838" t="str">
            <v>CR</v>
          </cell>
          <cell r="F3838">
            <v>14.64</v>
          </cell>
        </row>
        <row r="3839">
          <cell r="B3839">
            <v>6146</v>
          </cell>
          <cell r="C3839" t="str">
            <v>SIFAO PLASTICO TIPO COPO PARA TANQUE, 1.1/4 X 1.1/2"</v>
          </cell>
          <cell r="D3839" t="str">
            <v>UN</v>
          </cell>
          <cell r="E3839" t="str">
            <v>CR</v>
          </cell>
          <cell r="F3839">
            <v>21.05</v>
          </cell>
        </row>
        <row r="3840">
          <cell r="B3840">
            <v>44536</v>
          </cell>
          <cell r="C3840" t="str">
            <v>SILICA ATIVA PARA ADICAO EM CONCRETO E ARGAMASSA</v>
          </cell>
          <cell r="D3840" t="str">
            <v>KG</v>
          </cell>
          <cell r="E3840" t="str">
            <v>CR</v>
          </cell>
          <cell r="F3840">
            <v>2.71</v>
          </cell>
        </row>
        <row r="3841">
          <cell r="B3841">
            <v>39961</v>
          </cell>
          <cell r="C3841" t="str">
            <v>SILICONE ACETICO USO GERAL INCOLOR 280 G</v>
          </cell>
          <cell r="D3841" t="str">
            <v>UN</v>
          </cell>
          <cell r="E3841" t="str">
            <v>CR</v>
          </cell>
          <cell r="F3841">
            <v>21.29</v>
          </cell>
        </row>
        <row r="3842">
          <cell r="B3842">
            <v>42433</v>
          </cell>
          <cell r="C3842" t="str">
            <v>SIMULADOR DE CAMINHADA TRIPLO, EM TUBO DE ACO CARBONO, PINTURA NO PROCESSO ELETROSTATICO - EQUIPAMENTO DE GINASTICA PARA ACADEMIA AO AR LIVRE / ACADEMIA DA TERCEIRA IDADE - ATI</v>
          </cell>
          <cell r="D3842" t="str">
            <v>UN</v>
          </cell>
          <cell r="E3842" t="str">
            <v>CR</v>
          </cell>
          <cell r="F3842">
            <v>4789.18</v>
          </cell>
        </row>
        <row r="3843">
          <cell r="B3843">
            <v>42434</v>
          </cell>
          <cell r="C3843" t="str">
            <v>SIMULADOR DE CAVALGADA TRIPLO, EM TUBO DE ACO CARBONO, PINTURA NO PROCESSO ELETROSTATICO - EQUIPAMENTO DE GINASTICA PARA ACADEMIA AO AR LIVRE / ACADEMIA DA TERCEIRA IDADE - ATI</v>
          </cell>
          <cell r="D3843" t="str">
            <v>UN</v>
          </cell>
          <cell r="E3843" t="str">
            <v>CR</v>
          </cell>
          <cell r="F3843">
            <v>5175.3999999999996</v>
          </cell>
        </row>
        <row r="3844">
          <cell r="B3844">
            <v>42435</v>
          </cell>
          <cell r="C3844" t="str">
            <v>SIMULADOR DE REMO INDIVIDUAL, EM TUBO DE ACO CARBONO, PINTURA NO PROCESSO ELETROSTATICO - EQUIPAMENTO DE GINASTICA PARA ACADEMIA AO AR LIVRE / ACADEMIA DA TERCEIRA IDADE - ATI</v>
          </cell>
          <cell r="D3844" t="str">
            <v>UN</v>
          </cell>
          <cell r="E3844" t="str">
            <v>CR</v>
          </cell>
          <cell r="F3844">
            <v>2580.7800000000002</v>
          </cell>
        </row>
        <row r="3845">
          <cell r="B3845">
            <v>38061</v>
          </cell>
          <cell r="C3845" t="str">
            <v>SINALIZADOR NOTURNO SIMPLES PARA PARA-RAIOS, SEM RELE FOTOELETRICO</v>
          </cell>
          <cell r="D3845" t="str">
            <v>UN</v>
          </cell>
          <cell r="E3845" t="str">
            <v>CR</v>
          </cell>
          <cell r="F3845">
            <v>49.91</v>
          </cell>
        </row>
        <row r="3846">
          <cell r="B3846">
            <v>20250</v>
          </cell>
          <cell r="C3846" t="str">
            <v>SISAL EM FIBRA / ESTOPA SISAL PARA GESSO</v>
          </cell>
          <cell r="D3846" t="str">
            <v>KG</v>
          </cell>
          <cell r="E3846" t="str">
            <v>C</v>
          </cell>
          <cell r="F3846">
            <v>27.49</v>
          </cell>
        </row>
        <row r="3847">
          <cell r="B3847">
            <v>13388</v>
          </cell>
          <cell r="C3847" t="str">
            <v>SOLDA EM BARRA DE ESTANHO-CHUMBO 50/50</v>
          </cell>
          <cell r="D3847" t="str">
            <v>KG</v>
          </cell>
          <cell r="E3847" t="str">
            <v>CR</v>
          </cell>
          <cell r="F3847">
            <v>252.27</v>
          </cell>
        </row>
        <row r="3848">
          <cell r="B3848">
            <v>39914</v>
          </cell>
          <cell r="C3848" t="str">
            <v>SOLDA EM VARETA FOSCOPER, D = *2,5* MM X COMPRIMENTO 500 MM</v>
          </cell>
          <cell r="D3848" t="str">
            <v>KG</v>
          </cell>
          <cell r="E3848" t="str">
            <v>CR</v>
          </cell>
          <cell r="F3848">
            <v>267.45</v>
          </cell>
        </row>
        <row r="3849">
          <cell r="B3849">
            <v>12732</v>
          </cell>
          <cell r="C3849" t="str">
            <v>SOLDA ESTANHO/COBRE PARA CONEXOES DE COBRE, FIO 2,5 MM, CARRETEL 500 GR (SEM CHUMBO)</v>
          </cell>
          <cell r="D3849" t="str">
            <v>UN</v>
          </cell>
          <cell r="E3849" t="str">
            <v>CR</v>
          </cell>
          <cell r="F3849">
            <v>308.60000000000002</v>
          </cell>
        </row>
        <row r="3850">
          <cell r="B3850">
            <v>6160</v>
          </cell>
          <cell r="C3850" t="str">
            <v>SOLDADOR (HORISTA)</v>
          </cell>
          <cell r="D3850" t="str">
            <v>H</v>
          </cell>
          <cell r="E3850" t="str">
            <v>C</v>
          </cell>
          <cell r="F3850">
            <v>29.15</v>
          </cell>
        </row>
        <row r="3851">
          <cell r="B3851">
            <v>41087</v>
          </cell>
          <cell r="C3851" t="str">
            <v>SOLDADOR (MENSALISTA)</v>
          </cell>
          <cell r="D3851" t="str">
            <v>MES</v>
          </cell>
          <cell r="E3851" t="str">
            <v>CR</v>
          </cell>
          <cell r="F3851">
            <v>5106.6400000000003</v>
          </cell>
        </row>
        <row r="3852">
          <cell r="B3852">
            <v>6166</v>
          </cell>
          <cell r="C3852" t="str">
            <v>SOLDADOR ELETRICO (PARA SOLDA A SER TESTADA COM RAIOS "X") (HORISTA)</v>
          </cell>
          <cell r="D3852" t="str">
            <v>H</v>
          </cell>
          <cell r="E3852" t="str">
            <v>CR</v>
          </cell>
          <cell r="F3852">
            <v>31.41</v>
          </cell>
        </row>
        <row r="3853">
          <cell r="B3853">
            <v>41088</v>
          </cell>
          <cell r="C3853" t="str">
            <v>SOLDADOR ELETRICO (PARA SOLDA A SER TESTADA COM RAIOS "X") (MENSALISTA)</v>
          </cell>
          <cell r="D3853" t="str">
            <v>MES</v>
          </cell>
          <cell r="E3853" t="str">
            <v>CR</v>
          </cell>
          <cell r="F3853">
            <v>5503.28</v>
          </cell>
        </row>
        <row r="3854">
          <cell r="B3854">
            <v>20232</v>
          </cell>
          <cell r="C3854" t="str">
            <v>SOLEIRA EM GRANITO, POLIDO, TIPO ANDORINHA/ QUARTZ/ CASTELO/ CORUMBA OU OUTROS EQUIVALENTES DA REGIAO, L= *15* CM, E= *2,0* CM</v>
          </cell>
          <cell r="D3854" t="str">
            <v>M</v>
          </cell>
          <cell r="E3854" t="str">
            <v>CR</v>
          </cell>
          <cell r="F3854">
            <v>93.75</v>
          </cell>
        </row>
        <row r="3855">
          <cell r="B3855">
            <v>10856</v>
          </cell>
          <cell r="C3855" t="str">
            <v>SOLEIRA PRE-MOLDADA EM GRANILITE, MARMORITE OU GRANITINA, L = *15 CM</v>
          </cell>
          <cell r="D3855" t="str">
            <v>M</v>
          </cell>
          <cell r="E3855" t="str">
            <v>CR</v>
          </cell>
          <cell r="F3855">
            <v>113.34</v>
          </cell>
        </row>
        <row r="3856">
          <cell r="B3856">
            <v>4828</v>
          </cell>
          <cell r="C3856" t="str">
            <v>SOLEIRA/ PEITORIL EM MARMORE, POLIDO, BRANCO COMUM, L= *15* CM, E= *2* CM, CORTE RETO</v>
          </cell>
          <cell r="D3856" t="str">
            <v>M</v>
          </cell>
          <cell r="E3856" t="str">
            <v>CR</v>
          </cell>
          <cell r="F3856">
            <v>94.94</v>
          </cell>
        </row>
        <row r="3857">
          <cell r="B3857">
            <v>20249</v>
          </cell>
          <cell r="C3857" t="str">
            <v>SOLEIRA/ TABEIRA EM MARMORE, POLIDO, BRANCO COMUM, L= 5 CM, E= *2,0* CM</v>
          </cell>
          <cell r="D3857" t="str">
            <v>M</v>
          </cell>
          <cell r="E3857" t="str">
            <v>CR</v>
          </cell>
          <cell r="F3857">
            <v>51.99</v>
          </cell>
        </row>
        <row r="3858">
          <cell r="B3858">
            <v>11609</v>
          </cell>
          <cell r="C3858" t="str">
            <v>SOLUCAO ASFALTICA ELASTOMERICA PARA IMPRIMACAO, APLICACAO A FRIO</v>
          </cell>
          <cell r="D3858" t="str">
            <v>L</v>
          </cell>
          <cell r="E3858" t="str">
            <v>CR</v>
          </cell>
          <cell r="F3858">
            <v>11.35</v>
          </cell>
        </row>
        <row r="3859">
          <cell r="B3859">
            <v>20083</v>
          </cell>
          <cell r="C3859" t="str">
            <v>SOLUCAO PREPARADORA / LIMPADORA PARA PVC, FRASCO COM 1000 CM3</v>
          </cell>
          <cell r="D3859" t="str">
            <v>UN</v>
          </cell>
          <cell r="E3859" t="str">
            <v>CR</v>
          </cell>
          <cell r="F3859">
            <v>68.86</v>
          </cell>
        </row>
        <row r="3860">
          <cell r="B3860">
            <v>12295</v>
          </cell>
          <cell r="C3860" t="str">
            <v>SOQUETE DE BAQUELITE BASE E27, PARA LAMPADAS</v>
          </cell>
          <cell r="D3860" t="str">
            <v>UN</v>
          </cell>
          <cell r="E3860" t="str">
            <v>CR</v>
          </cell>
          <cell r="F3860">
            <v>3.13</v>
          </cell>
        </row>
        <row r="3861">
          <cell r="B3861">
            <v>12296</v>
          </cell>
          <cell r="C3861" t="str">
            <v>SOQUETE DE PORCELANA BASE E27, FIXO DE TETO, PARA LAMPADAS</v>
          </cell>
          <cell r="D3861" t="str">
            <v>UN</v>
          </cell>
          <cell r="E3861" t="str">
            <v>CR</v>
          </cell>
          <cell r="F3861">
            <v>4.05</v>
          </cell>
        </row>
        <row r="3862">
          <cell r="B3862">
            <v>12294</v>
          </cell>
          <cell r="C3862" t="str">
            <v>SOQUETE DE PORCELANA BASE E27, PARA USO AO TEMPO, PARA LAMPADAS</v>
          </cell>
          <cell r="D3862" t="str">
            <v>UN</v>
          </cell>
          <cell r="E3862" t="str">
            <v>CR</v>
          </cell>
          <cell r="F3862">
            <v>9.73</v>
          </cell>
        </row>
        <row r="3863">
          <cell r="B3863">
            <v>14543</v>
          </cell>
          <cell r="C3863" t="str">
            <v>SOQUETE DE PVC / TERMOPLASTICO BASE E27, COM CHAVE, PARA LAMPADAS</v>
          </cell>
          <cell r="D3863" t="str">
            <v>UN</v>
          </cell>
          <cell r="E3863" t="str">
            <v>CR</v>
          </cell>
          <cell r="F3863">
            <v>6.95</v>
          </cell>
        </row>
        <row r="3864">
          <cell r="B3864">
            <v>13329</v>
          </cell>
          <cell r="C3864" t="str">
            <v>SOQUETE DE PVC / TERMOPLASTICO BASE E27, COM RABICHO, PARA LAMPADAS</v>
          </cell>
          <cell r="D3864" t="str">
            <v>UN</v>
          </cell>
          <cell r="E3864" t="str">
            <v>C</v>
          </cell>
          <cell r="F3864">
            <v>4.08</v>
          </cell>
        </row>
        <row r="3865">
          <cell r="B3865">
            <v>21047</v>
          </cell>
          <cell r="C3865" t="str">
            <v>SPRINKLER TIPO PENDENTE, BULBO AMARELO DE RESPOSTA RAPIDA, 79 GRAUS CELSIUS, ACABAMENTO CROMADO, D = 20 MM (3/4")</v>
          </cell>
          <cell r="D3865" t="str">
            <v>UN</v>
          </cell>
          <cell r="E3865" t="str">
            <v>CR</v>
          </cell>
          <cell r="F3865">
            <v>55.29</v>
          </cell>
        </row>
        <row r="3866">
          <cell r="B3866">
            <v>21042</v>
          </cell>
          <cell r="C3866" t="str">
            <v>SPRINKLER TIPO PENDENTE, BULBO AMARELO DE RESPOSTA RAPIDA, 79 GRAUS CELSIUS, ACABAMENTO NATURAL OU CROMADO, D = 15 MM (1/2")</v>
          </cell>
          <cell r="D3866" t="str">
            <v>UN</v>
          </cell>
          <cell r="E3866" t="str">
            <v>CR</v>
          </cell>
          <cell r="F3866">
            <v>42.62</v>
          </cell>
        </row>
        <row r="3867">
          <cell r="B3867">
            <v>21043</v>
          </cell>
          <cell r="C3867" t="str">
            <v>SPRINKLER TIPO PENDENTE, BULBO AMARELO DE RESPOSTA RAPIDA, 79 GRAUS CELSIUS, ACABAMENTO NATURAL, D = 20 MM (3/4")</v>
          </cell>
          <cell r="D3867" t="str">
            <v>UN</v>
          </cell>
          <cell r="E3867" t="str">
            <v>CR</v>
          </cell>
          <cell r="F3867">
            <v>53.83</v>
          </cell>
        </row>
        <row r="3868">
          <cell r="B3868">
            <v>21044</v>
          </cell>
          <cell r="C3868" t="str">
            <v>SPRINKLER TIPO PENDENTE, BULBO VERMELHO DE RESPOSTA RAPIDA, 68 GRAUS CELSIUS, ACABAMENTO CROMADO, D = 15 MM (1/2")</v>
          </cell>
          <cell r="D3868" t="str">
            <v>UN</v>
          </cell>
          <cell r="E3868" t="str">
            <v>CR</v>
          </cell>
          <cell r="F3868">
            <v>37.5</v>
          </cell>
        </row>
        <row r="3869">
          <cell r="B3869">
            <v>21045</v>
          </cell>
          <cell r="C3869" t="str">
            <v>SPRINKLER TIPO PENDENTE, BULBO VERMELHO DE RESPOSTA RAPIDA, 68 GRAUS CELSIUS, ACABAMENTO CROMADO, D = 20 MM (3/4")</v>
          </cell>
          <cell r="D3869" t="str">
            <v>UN</v>
          </cell>
          <cell r="E3869" t="str">
            <v>CR</v>
          </cell>
          <cell r="F3869">
            <v>51.37</v>
          </cell>
        </row>
        <row r="3870">
          <cell r="B3870">
            <v>21041</v>
          </cell>
          <cell r="C3870" t="str">
            <v>SPRINKLER TIPO PENDENTE, BULBO VERMELHO DE RESPOSTA RAPIDA, 68 GRAUS CELSIUS, ACABAMENTO NATURAL, D = 20 MM (3/4")</v>
          </cell>
          <cell r="D3870" t="str">
            <v>UN</v>
          </cell>
          <cell r="E3870" t="str">
            <v>CR</v>
          </cell>
          <cell r="F3870">
            <v>44.3</v>
          </cell>
        </row>
        <row r="3871">
          <cell r="B3871">
            <v>21040</v>
          </cell>
          <cell r="C3871" t="str">
            <v>SPRINKLER TIPO PENDENTE, BULBO VERMELHO RESPOSTA RAPIDA, 68 GRAUS CELSIUS, ACABAMENTO NATURAL, D = 15 MM (1/2")</v>
          </cell>
          <cell r="D3871" t="str">
            <v>UN</v>
          </cell>
          <cell r="E3871" t="str">
            <v>C</v>
          </cell>
          <cell r="F3871">
            <v>36.700000000000003</v>
          </cell>
        </row>
        <row r="3872">
          <cell r="B3872">
            <v>14149</v>
          </cell>
          <cell r="C3872" t="str">
            <v>SUPORTE "Y" PARA FITA PERFURADA</v>
          </cell>
          <cell r="D3872" t="str">
            <v>CENTO</v>
          </cell>
          <cell r="E3872" t="str">
            <v>CR</v>
          </cell>
          <cell r="F3872">
            <v>197.93</v>
          </cell>
        </row>
        <row r="3873">
          <cell r="B3873">
            <v>38099</v>
          </cell>
          <cell r="C3873" t="str">
            <v>SUPORTE DE FIXACAO PARA ESPELHO / PLACA 4" X 2", PARA 3 MODULOS, PARA INSTALACAO DE TOMADAS E INTERRUPTORES (SOMENTE SUPORTE)</v>
          </cell>
          <cell r="D3873" t="str">
            <v>UN</v>
          </cell>
          <cell r="E3873" t="str">
            <v>CR</v>
          </cell>
          <cell r="F3873">
            <v>1.64</v>
          </cell>
        </row>
        <row r="3874">
          <cell r="B3874">
            <v>38100</v>
          </cell>
          <cell r="C3874" t="str">
            <v>SUPORTE DE FIXACAO PARA ESPELHO / PLACA 4" X 4", PARA 6 MODULOS, PARA INSTALACAO DE TOMADAS E INTERRUPTORES (SOMENTE SUPORTE)</v>
          </cell>
          <cell r="D3874" t="str">
            <v>UN</v>
          </cell>
          <cell r="E3874" t="str">
            <v>CR</v>
          </cell>
          <cell r="F3874">
            <v>2.69</v>
          </cell>
        </row>
        <row r="3875">
          <cell r="B3875">
            <v>7576</v>
          </cell>
          <cell r="C3875" t="str">
            <v>SUPORTE EM ACO GALVANIZADO PARA TRANSFORMADOR PARA POSTE DUPLO T 185 X 95 MM, CHAPA DE 5/16"</v>
          </cell>
          <cell r="D3875" t="str">
            <v>UN</v>
          </cell>
          <cell r="E3875" t="str">
            <v>CR</v>
          </cell>
          <cell r="F3875">
            <v>141.30000000000001</v>
          </cell>
        </row>
        <row r="3876">
          <cell r="B3876">
            <v>3384</v>
          </cell>
          <cell r="C3876" t="str">
            <v>SUPORTE GUIA SIMPLES COM ROLDANA EM POLIPROPILENO PARA CHUMBAR, H = 20 CM</v>
          </cell>
          <cell r="D3876" t="str">
            <v>UN</v>
          </cell>
          <cell r="E3876" t="str">
            <v>CR</v>
          </cell>
          <cell r="F3876">
            <v>8.36</v>
          </cell>
        </row>
        <row r="3877">
          <cell r="B3877">
            <v>7572</v>
          </cell>
          <cell r="C3877" t="str">
            <v>SUPORTE ISOLADOR REFORCADO DIAMETRO NOMINAL 5/16", COM ROSCA SOBERBA E BUCHA</v>
          </cell>
          <cell r="D3877" t="str">
            <v>UN</v>
          </cell>
          <cell r="E3877" t="str">
            <v>CR</v>
          </cell>
          <cell r="F3877">
            <v>8.16</v>
          </cell>
        </row>
        <row r="3878">
          <cell r="B3878">
            <v>3396</v>
          </cell>
          <cell r="C3878" t="str">
            <v>SUPORTE ISOLADOR SIMPLES DIAMETRO NOMINAL 5/16", COM ROSCA SOBERBA E BUCHA</v>
          </cell>
          <cell r="D3878" t="str">
            <v>UN</v>
          </cell>
          <cell r="E3878" t="str">
            <v>CR</v>
          </cell>
          <cell r="F3878">
            <v>5.51</v>
          </cell>
        </row>
        <row r="3879">
          <cell r="B3879">
            <v>45230</v>
          </cell>
          <cell r="C3879" t="str">
            <v>SUPORTE MANUAL PARA LIXA, PLASTICO, COM 230 X 80 MM (COMPRIMENTO X LARGURA)</v>
          </cell>
          <cell r="D3879" t="str">
            <v>UN</v>
          </cell>
          <cell r="E3879" t="str">
            <v>CR</v>
          </cell>
          <cell r="F3879">
            <v>41.53</v>
          </cell>
        </row>
        <row r="3880">
          <cell r="B3880">
            <v>37590</v>
          </cell>
          <cell r="C3880" t="str">
            <v>SUPORTE MAO-FRANCESA EM ACO, ABAS IGUAIS 30 CM, CAPACIDADE MINIMA 60 KG, BRANCO</v>
          </cell>
          <cell r="D3880" t="str">
            <v>UN</v>
          </cell>
          <cell r="E3880" t="str">
            <v>CR</v>
          </cell>
          <cell r="F3880">
            <v>16.86</v>
          </cell>
        </row>
        <row r="3881">
          <cell r="B3881">
            <v>37591</v>
          </cell>
          <cell r="C3881" t="str">
            <v>SUPORTE MAO-FRANCESA EM ACO, ABAS IGUAIS 40 CM, CAPACIDADE MINIMA 70 KG, BRANCO</v>
          </cell>
          <cell r="D3881" t="str">
            <v>UN</v>
          </cell>
          <cell r="E3881" t="str">
            <v>CR</v>
          </cell>
          <cell r="F3881">
            <v>20.27</v>
          </cell>
        </row>
        <row r="3882">
          <cell r="B3882">
            <v>12626</v>
          </cell>
          <cell r="C3882" t="str">
            <v>SUPORTE METALICO PARA CALHA PLUVIAL, ZINCADO, DOBRADO, DIAMETRO ENTRE 119 E 170 MM, PARA DRENAGEM PLUVIAL PREDIAL</v>
          </cell>
          <cell r="D3882" t="str">
            <v>UN</v>
          </cell>
          <cell r="E3882" t="str">
            <v>CR</v>
          </cell>
          <cell r="F3882">
            <v>49.05</v>
          </cell>
        </row>
        <row r="3883">
          <cell r="B3883">
            <v>11033</v>
          </cell>
          <cell r="C3883" t="str">
            <v>SUPORTE PARA CALHA DE 150 MM EM ACO GALVANIZADO</v>
          </cell>
          <cell r="D3883" t="str">
            <v>UN</v>
          </cell>
          <cell r="E3883" t="str">
            <v>CR</v>
          </cell>
          <cell r="F3883">
            <v>7.17</v>
          </cell>
        </row>
        <row r="3884">
          <cell r="B3884">
            <v>390</v>
          </cell>
          <cell r="C3884" t="str">
            <v>SUPORTE PARA TUBO DIAMETRO NOMINAL 2", COM ROSCA MECANICA</v>
          </cell>
          <cell r="D3884" t="str">
            <v>UN</v>
          </cell>
          <cell r="E3884" t="str">
            <v>CR</v>
          </cell>
          <cell r="F3884">
            <v>9.98</v>
          </cell>
        </row>
        <row r="3885">
          <cell r="B3885">
            <v>42436</v>
          </cell>
          <cell r="C3885" t="str">
            <v>SURF DUPLO, EM TUBO DE ACO CARBONO, PINTURA NO PROCESSO ELETROSTATICO - EQUIPAMENTO DE GINASTICA PARA ACADEMIA AO AR LIVRE / ACADEMIA DA TERCEIRA IDADE - ATI</v>
          </cell>
          <cell r="D3885" t="str">
            <v>UN</v>
          </cell>
          <cell r="E3885" t="str">
            <v>CR</v>
          </cell>
          <cell r="F3885">
            <v>2701.34</v>
          </cell>
        </row>
        <row r="3886">
          <cell r="B3886">
            <v>6194</v>
          </cell>
          <cell r="C3886" t="str">
            <v>TABUA *2,5 X 15 CM EM PINUS, MISTA OU EQUIVALENTE DA REGIAO - BRUTA</v>
          </cell>
          <cell r="D3886" t="str">
            <v>M</v>
          </cell>
          <cell r="E3886" t="str">
            <v>CR</v>
          </cell>
          <cell r="F3886">
            <v>5.81</v>
          </cell>
        </row>
        <row r="3887">
          <cell r="B3887">
            <v>10567</v>
          </cell>
          <cell r="C3887" t="str">
            <v>TABUA *2,5 X 23* CM EM PINUS, MISTA OU EQUIVALENTE DA REGIAO - BRUTA</v>
          </cell>
          <cell r="D3887" t="str">
            <v>M</v>
          </cell>
          <cell r="E3887" t="str">
            <v>CR</v>
          </cell>
          <cell r="F3887">
            <v>9.1999999999999993</v>
          </cell>
        </row>
        <row r="3888">
          <cell r="B3888">
            <v>6212</v>
          </cell>
          <cell r="C3888" t="str">
            <v>TABUA *2,5 X 30 CM EM PINUS, MISTA OU EQUIVALENTE DA REGIAO - BRUTA</v>
          </cell>
          <cell r="D3888" t="str">
            <v>M</v>
          </cell>
          <cell r="E3888" t="str">
            <v>C</v>
          </cell>
          <cell r="F3888">
            <v>13.5</v>
          </cell>
        </row>
        <row r="3889">
          <cell r="B3889">
            <v>3993</v>
          </cell>
          <cell r="C3889" t="str">
            <v>TABUA APARELHADA *2,5 X 15* CM, EM MACARANDUBA/MASSARANDUBA, ANGELIM OU EQUIVALENTE DA REGIAO</v>
          </cell>
          <cell r="D3889" t="str">
            <v>M2</v>
          </cell>
          <cell r="E3889" t="str">
            <v>CR</v>
          </cell>
          <cell r="F3889">
            <v>152.16999999999999</v>
          </cell>
        </row>
        <row r="3890">
          <cell r="B3890">
            <v>3990</v>
          </cell>
          <cell r="C3890" t="str">
            <v>TABUA APARELHADA *2,5 X 25* CM, EM MACARANDUBA/MASSARANDUBA, ANGELIM OU EQUIVALENTE DA REGIAO</v>
          </cell>
          <cell r="D3890" t="str">
            <v>M</v>
          </cell>
          <cell r="E3890" t="str">
            <v>CR</v>
          </cell>
          <cell r="F3890">
            <v>28.63</v>
          </cell>
        </row>
        <row r="3891">
          <cell r="B3891">
            <v>3992</v>
          </cell>
          <cell r="C3891" t="str">
            <v>TABUA APARELHADA *2,5 X 30* CM, EM MACARANDUBA/MASSARANDUBA, ANGELIM OU EQUIVALENTE DA REGIAO</v>
          </cell>
          <cell r="D3891" t="str">
            <v>M</v>
          </cell>
          <cell r="E3891" t="str">
            <v>CR</v>
          </cell>
          <cell r="F3891">
            <v>38.65</v>
          </cell>
        </row>
        <row r="3892">
          <cell r="B3892">
            <v>6178</v>
          </cell>
          <cell r="C3892" t="str">
            <v>TABUA DE MADEIRA PARA PISO, CUMARU/IPE CHAMPANHE OU EQUIVALENTE DA REGIAO, ENCAIXE MACHO/FEMEA, *10 X 2* CM</v>
          </cell>
          <cell r="D3892" t="str">
            <v>M2</v>
          </cell>
          <cell r="E3892" t="str">
            <v>CR</v>
          </cell>
          <cell r="F3892">
            <v>450.31</v>
          </cell>
        </row>
        <row r="3893">
          <cell r="B3893">
            <v>6180</v>
          </cell>
          <cell r="C3893" t="str">
            <v>TABUA DE MADEIRA PARA PISO, CUMARU/IPE CHAMPANHE OU EQUIVALENTE DA REGIAO, ENCAIXE MACHO/FEMEA, *15 X 2* CM</v>
          </cell>
          <cell r="D3893" t="str">
            <v>M2</v>
          </cell>
          <cell r="E3893" t="str">
            <v>C</v>
          </cell>
          <cell r="F3893">
            <v>486</v>
          </cell>
        </row>
        <row r="3894">
          <cell r="B3894">
            <v>6182</v>
          </cell>
          <cell r="C3894" t="str">
            <v>TABUA DE MADEIRA PARA PISO, IPE (CERNE) OU EQUIVALENTE DA REGIAO, ENCAIXE MACHO/FEMEA, *20 X 2* CM</v>
          </cell>
          <cell r="D3894" t="str">
            <v>M2</v>
          </cell>
          <cell r="E3894" t="str">
            <v>CR</v>
          </cell>
          <cell r="F3894">
            <v>603.25</v>
          </cell>
        </row>
        <row r="3895">
          <cell r="B3895">
            <v>43614</v>
          </cell>
          <cell r="C3895" t="str">
            <v>TABUA NAO APARELHADA *2,5 X 15* CM, EM MACARANDUBA/MASSARANDUBA, ANGELIM OU EQUIVALENTE DA REGIAO - BRUTA</v>
          </cell>
          <cell r="D3895" t="str">
            <v>M</v>
          </cell>
          <cell r="E3895" t="str">
            <v>CR</v>
          </cell>
          <cell r="F3895">
            <v>19.34</v>
          </cell>
        </row>
        <row r="3896">
          <cell r="B3896">
            <v>6193</v>
          </cell>
          <cell r="C3896" t="str">
            <v>TABUA NAO APARELHADA *2,5 X 20* CM, EM MACARANDUBA/MASSARANDUBA, ANGELIM OU EQUIVALENTE DA REGIAO - BRUTA</v>
          </cell>
          <cell r="D3896" t="str">
            <v>M</v>
          </cell>
          <cell r="E3896" t="str">
            <v>CR</v>
          </cell>
          <cell r="F3896">
            <v>23.54</v>
          </cell>
        </row>
        <row r="3897">
          <cell r="B3897">
            <v>6189</v>
          </cell>
          <cell r="C3897" t="str">
            <v>TABUA NAO APARELHADA *2,5 X 30* CM, EM MACARANDUBA/MASSARANDUBA, ANGELIM OU EQUIVALENTE DA REGIAO - BRUTA</v>
          </cell>
          <cell r="D3897" t="str">
            <v>M</v>
          </cell>
          <cell r="E3897" t="str">
            <v>CR</v>
          </cell>
          <cell r="F3897">
            <v>34.36</v>
          </cell>
        </row>
        <row r="3898">
          <cell r="B3898">
            <v>6214</v>
          </cell>
          <cell r="C3898" t="str">
            <v>TACO DE MADEIRA PARA PISO, IPE (CERNE) OU EQUIVALENTE DA REGIAO, 7 X 42 CM, E = 2 CM</v>
          </cell>
          <cell r="D3898" t="str">
            <v>M2</v>
          </cell>
          <cell r="E3898" t="str">
            <v>CR</v>
          </cell>
          <cell r="F3898">
            <v>282.08</v>
          </cell>
        </row>
        <row r="3899">
          <cell r="B3899">
            <v>44027</v>
          </cell>
          <cell r="C3899" t="str">
            <v>TALA PARA EMENDA DE ELETROCALHA, SIMPLES / RETA, LISA OU PERFURADA, EM CHAPA DE ACO GALVANIZADO #22, ALTURA 50 MM</v>
          </cell>
          <cell r="D3899" t="str">
            <v>UN</v>
          </cell>
          <cell r="E3899" t="str">
            <v>CR</v>
          </cell>
          <cell r="F3899">
            <v>1.1599999999999999</v>
          </cell>
        </row>
        <row r="3900">
          <cell r="B3900">
            <v>36153</v>
          </cell>
          <cell r="C3900" t="str">
            <v>TALABARTE DE SEGURANCA, 2 MOSQUETOES TRAVA DUPLA *53* MM DE ABERTURA, COM ABSORVEDOR DE ENERGIA</v>
          </cell>
          <cell r="D3900" t="str">
            <v>UN</v>
          </cell>
          <cell r="E3900" t="str">
            <v>CR</v>
          </cell>
          <cell r="F3900">
            <v>219.15</v>
          </cell>
        </row>
        <row r="3901">
          <cell r="B3901">
            <v>10742</v>
          </cell>
          <cell r="C3901" t="str">
            <v>TALHA MANUAL DE CORRENTE, CAPACIDADE DE 2 T COM ELEVACAO DE 3 M</v>
          </cell>
          <cell r="D3901" t="str">
            <v>UN</v>
          </cell>
          <cell r="E3901" t="str">
            <v>C</v>
          </cell>
          <cell r="F3901">
            <v>889.9</v>
          </cell>
        </row>
        <row r="3902">
          <cell r="B3902">
            <v>45239</v>
          </cell>
          <cell r="C3902" t="str">
            <v>TALHADEIRA CHATA, DE ACO, 10"</v>
          </cell>
          <cell r="D3902" t="str">
            <v>UN</v>
          </cell>
          <cell r="E3902" t="str">
            <v>CR</v>
          </cell>
          <cell r="F3902">
            <v>27.65</v>
          </cell>
        </row>
        <row r="3903">
          <cell r="B3903">
            <v>38465</v>
          </cell>
          <cell r="C3903" t="str">
            <v>TALHADEIRA COM PUNHO DE PROTECAO *20 X 250* MM</v>
          </cell>
          <cell r="D3903" t="str">
            <v>UN</v>
          </cell>
          <cell r="E3903" t="str">
            <v>CR</v>
          </cell>
          <cell r="F3903">
            <v>76.39</v>
          </cell>
        </row>
        <row r="3904">
          <cell r="B3904">
            <v>7543</v>
          </cell>
          <cell r="C3904" t="str">
            <v>TAMPA CEGA EM PVC PARA CONDULETE 4 X 2"</v>
          </cell>
          <cell r="D3904" t="str">
            <v>UN</v>
          </cell>
          <cell r="E3904" t="str">
            <v>CR</v>
          </cell>
          <cell r="F3904">
            <v>4.3499999999999996</v>
          </cell>
        </row>
        <row r="3905">
          <cell r="B3905">
            <v>43427</v>
          </cell>
          <cell r="C3905" t="str">
            <v>TAMPA DE CONCRETO ARMADO PARA FOSSA SEPTICA, DIAMETRO NOMINAL DE 3,00 M E ESPESSURA MINIMA DE 100 MM</v>
          </cell>
          <cell r="D3905" t="str">
            <v>UN</v>
          </cell>
          <cell r="E3905" t="str">
            <v>CR</v>
          </cell>
          <cell r="F3905">
            <v>2171.34</v>
          </cell>
        </row>
        <row r="3906">
          <cell r="B3906">
            <v>41613</v>
          </cell>
          <cell r="C3906" t="str">
            <v>TAMPA DE CONCRETO ARMADO PARA FOSSA, D = *0,90* M, E = 0,05 M</v>
          </cell>
          <cell r="D3906" t="str">
            <v>UN</v>
          </cell>
          <cell r="E3906" t="str">
            <v>CR</v>
          </cell>
          <cell r="F3906">
            <v>139.57</v>
          </cell>
        </row>
        <row r="3907">
          <cell r="B3907">
            <v>41614</v>
          </cell>
          <cell r="C3907" t="str">
            <v>TAMPA DE CONCRETO ARMADO PARA FOSSA, D = *1,10* M, E = 0,05 M</v>
          </cell>
          <cell r="D3907" t="str">
            <v>UN</v>
          </cell>
          <cell r="E3907" t="str">
            <v>CR</v>
          </cell>
          <cell r="F3907">
            <v>177.84</v>
          </cell>
        </row>
        <row r="3908">
          <cell r="B3908">
            <v>41615</v>
          </cell>
          <cell r="C3908" t="str">
            <v>TAMPA DE CONCRETO ARMADO PARA FOSSA, D = *1,35* M, E = 0,05 M</v>
          </cell>
          <cell r="D3908" t="str">
            <v>UN</v>
          </cell>
          <cell r="E3908" t="str">
            <v>CR</v>
          </cell>
          <cell r="F3908">
            <v>274.87</v>
          </cell>
        </row>
        <row r="3909">
          <cell r="B3909">
            <v>41616</v>
          </cell>
          <cell r="C3909" t="str">
            <v>TAMPA DE CONCRETO ARMADO PARA FOSSA, D = 1,50 M, E = 0,05 M</v>
          </cell>
          <cell r="D3909" t="str">
            <v>UN</v>
          </cell>
          <cell r="E3909" t="str">
            <v>CR</v>
          </cell>
          <cell r="F3909">
            <v>410.7</v>
          </cell>
        </row>
        <row r="3910">
          <cell r="B3910">
            <v>41617</v>
          </cell>
          <cell r="C3910" t="str">
            <v>TAMPA DE CONCRETO ARMADO PARA FOSSA, D = 2,00 M, E = 0,05 M</v>
          </cell>
          <cell r="D3910" t="str">
            <v>UN</v>
          </cell>
          <cell r="E3910" t="str">
            <v>CR</v>
          </cell>
          <cell r="F3910">
            <v>816.64</v>
          </cell>
        </row>
        <row r="3911">
          <cell r="B3911">
            <v>41618</v>
          </cell>
          <cell r="C3911" t="str">
            <v>TAMPA DE CONCRETO ARMADO PARA FOSSA, D = 2,50 M, E = 0,05 M</v>
          </cell>
          <cell r="D3911" t="str">
            <v>UN</v>
          </cell>
          <cell r="E3911" t="str">
            <v>CR</v>
          </cell>
          <cell r="F3911">
            <v>1503.39</v>
          </cell>
        </row>
        <row r="3912">
          <cell r="B3912">
            <v>43428</v>
          </cell>
          <cell r="C3912" t="str">
            <v>TAMPA DE CONCRETO ARMADO PARA POCO DE INSPECAO, COM FURO E TAMPINHA, DIAMETRO NOMINAL DE 3,00 M E ESPESSURA MINIMA DE 100 MM</v>
          </cell>
          <cell r="D3912" t="str">
            <v>UN</v>
          </cell>
          <cell r="E3912" t="str">
            <v>CR</v>
          </cell>
          <cell r="F3912">
            <v>2640.72</v>
          </cell>
        </row>
        <row r="3913">
          <cell r="B3913">
            <v>41619</v>
          </cell>
          <cell r="C3913" t="str">
            <v>TAMPA DE CONCRETO ARMADO PARA POCO, COM FURO E TAMPINHA, D = *0,90* M, E = 0,05 M</v>
          </cell>
          <cell r="D3913" t="str">
            <v>UN</v>
          </cell>
          <cell r="E3913" t="str">
            <v>CR</v>
          </cell>
          <cell r="F3913">
            <v>171.09</v>
          </cell>
        </row>
        <row r="3914">
          <cell r="B3914">
            <v>41620</v>
          </cell>
          <cell r="C3914" t="str">
            <v>TAMPA DE CONCRETO ARMADO PARA POCO, COM FURO E TAMPINHA, D = *1,10* M, E = 0,05 M</v>
          </cell>
          <cell r="D3914" t="str">
            <v>UN</v>
          </cell>
          <cell r="E3914" t="str">
            <v>CR</v>
          </cell>
          <cell r="F3914">
            <v>216.12</v>
          </cell>
        </row>
        <row r="3915">
          <cell r="B3915">
            <v>41622</v>
          </cell>
          <cell r="C3915" t="str">
            <v>TAMPA DE CONCRETO ARMADO PARA POCO, COM FURO E TAMPINHA, D = *1,35* M, E = 0,05 M</v>
          </cell>
          <cell r="D3915" t="str">
            <v>UN</v>
          </cell>
          <cell r="E3915" t="str">
            <v>CR</v>
          </cell>
          <cell r="F3915">
            <v>374.83</v>
          </cell>
        </row>
        <row r="3916">
          <cell r="B3916">
            <v>41623</v>
          </cell>
          <cell r="C3916" t="str">
            <v>TAMPA DE CONCRETO ARMADO PARA POCO, COM FURO E TAMPINHA, D = 1,50 M, E = 0,05 M</v>
          </cell>
          <cell r="D3916" t="str">
            <v>UN</v>
          </cell>
          <cell r="E3916" t="str">
            <v>CR</v>
          </cell>
          <cell r="F3916">
            <v>576.32000000000005</v>
          </cell>
        </row>
        <row r="3917">
          <cell r="B3917">
            <v>41624</v>
          </cell>
          <cell r="C3917" t="str">
            <v>TAMPA DE CONCRETO ARMADO PARA POCO, COM FURO E TAMPINHA, D = 2,00 M, E = 0,05 M</v>
          </cell>
          <cell r="D3917" t="str">
            <v>UN</v>
          </cell>
          <cell r="E3917" t="str">
            <v>CR</v>
          </cell>
          <cell r="F3917">
            <v>1080.5999999999999</v>
          </cell>
        </row>
        <row r="3918">
          <cell r="B3918">
            <v>41625</v>
          </cell>
          <cell r="C3918" t="str">
            <v>TAMPA DE CONCRETO ARMADO PARA POCO, COM FURO E TAMPINHA, D = 2,50 M, E = 0,05 M</v>
          </cell>
          <cell r="D3918" t="str">
            <v>UN</v>
          </cell>
          <cell r="E3918" t="str">
            <v>CR</v>
          </cell>
          <cell r="F3918">
            <v>1662.55</v>
          </cell>
        </row>
        <row r="3919">
          <cell r="B3919">
            <v>39346</v>
          </cell>
          <cell r="C3919" t="str">
            <v>TAMPA PARA CONDULETE, EM PVC, PARA 1 INTERRUPTOR</v>
          </cell>
          <cell r="D3919" t="str">
            <v>UN</v>
          </cell>
          <cell r="E3919" t="str">
            <v>CR</v>
          </cell>
          <cell r="F3919">
            <v>2.69</v>
          </cell>
        </row>
        <row r="3920">
          <cell r="B3920">
            <v>39350</v>
          </cell>
          <cell r="C3920" t="str">
            <v>TAMPA PARA CONDULETE, EM PVC, PARA 1 MODULO RJ</v>
          </cell>
          <cell r="D3920" t="str">
            <v>UN</v>
          </cell>
          <cell r="E3920" t="str">
            <v>CR</v>
          </cell>
          <cell r="F3920">
            <v>2.89</v>
          </cell>
        </row>
        <row r="3921">
          <cell r="B3921">
            <v>39351</v>
          </cell>
          <cell r="C3921" t="str">
            <v>TAMPA PARA CONDULETE, EM PVC, PARA 2 MODULOS RJ</v>
          </cell>
          <cell r="D3921" t="str">
            <v>UN</v>
          </cell>
          <cell r="E3921" t="str">
            <v>CR</v>
          </cell>
          <cell r="F3921">
            <v>3.35</v>
          </cell>
        </row>
        <row r="3922">
          <cell r="B3922">
            <v>39352</v>
          </cell>
          <cell r="C3922" t="str">
            <v>TAMPA PARA CONDULETE, EM PVC, PARA TOMADA HEXAGONAL</v>
          </cell>
          <cell r="D3922" t="str">
            <v>UN</v>
          </cell>
          <cell r="E3922" t="str">
            <v>CR</v>
          </cell>
          <cell r="F3922">
            <v>2.69</v>
          </cell>
        </row>
        <row r="3923">
          <cell r="B3923">
            <v>38837</v>
          </cell>
          <cell r="C3923" t="str">
            <v>TAMPAO / CAP, ROSCA MACHO, DN 1", PARA TUBO PEX PARA INST. AGUA QUENTE/FRIA</v>
          </cell>
          <cell r="D3923" t="str">
            <v>UN</v>
          </cell>
          <cell r="E3923" t="str">
            <v>CR</v>
          </cell>
          <cell r="F3923">
            <v>8.81</v>
          </cell>
        </row>
        <row r="3924">
          <cell r="B3924">
            <v>38836</v>
          </cell>
          <cell r="C3924" t="str">
            <v>TAMPAO / CAP, ROSCA MACHO, DN 3/4", PARA TUBO PEX PARA INST. AGUA QUENTE/FRIA</v>
          </cell>
          <cell r="D3924" t="str">
            <v>UN</v>
          </cell>
          <cell r="E3924" t="str">
            <v>CR</v>
          </cell>
          <cell r="F3924">
            <v>6.15</v>
          </cell>
        </row>
        <row r="3925">
          <cell r="B3925">
            <v>2666</v>
          </cell>
          <cell r="C3925" t="str">
            <v>TAMPAO / TERMINAL / PLUG, D = 1 1/4", PARA DUTO CORRUGADO PEAD (CABEAMENTO SUBTERRANEO)</v>
          </cell>
          <cell r="D3925" t="str">
            <v>UN</v>
          </cell>
          <cell r="E3925" t="str">
            <v>CR</v>
          </cell>
          <cell r="F3925">
            <v>7.1</v>
          </cell>
        </row>
        <row r="3926">
          <cell r="B3926">
            <v>2668</v>
          </cell>
          <cell r="C3926" t="str">
            <v>TAMPAO / TERMINAL / PLUG, D = 2", PARA DUTO CORRUGADO PEAD (CABEAMENTO SUBTERRANEO)</v>
          </cell>
          <cell r="D3926" t="str">
            <v>UN</v>
          </cell>
          <cell r="E3926" t="str">
            <v>CR</v>
          </cell>
          <cell r="F3926">
            <v>8.11</v>
          </cell>
        </row>
        <row r="3927">
          <cell r="B3927">
            <v>2664</v>
          </cell>
          <cell r="C3927" t="str">
            <v>TAMPAO / TERMINAL / PLUG, D = 3", PARA DUTO CORRUGADO PEAD (CABEAMENTO SUBTERRANEO)</v>
          </cell>
          <cell r="D3927" t="str">
            <v>UN</v>
          </cell>
          <cell r="E3927" t="str">
            <v>CR</v>
          </cell>
          <cell r="F3927">
            <v>11.97</v>
          </cell>
        </row>
        <row r="3928">
          <cell r="B3928">
            <v>2662</v>
          </cell>
          <cell r="C3928" t="str">
            <v>TAMPAO / TERMINAL / PLUG, D = 4", PARA DUTO CORRUGADO PEAD (CABEAMENTO SUBTERRANEO)</v>
          </cell>
          <cell r="D3928" t="str">
            <v>UN</v>
          </cell>
          <cell r="E3928" t="str">
            <v>CR</v>
          </cell>
          <cell r="F3928">
            <v>14.68</v>
          </cell>
        </row>
        <row r="3929">
          <cell r="B3929">
            <v>20964</v>
          </cell>
          <cell r="C3929" t="str">
            <v>TAMPAO COM CORRENTE, EM LATAO, ENGATE RAPIDO 1 1/2", PARA INSTALACAO PREDIAL DE COMBATE A INCENDIO</v>
          </cell>
          <cell r="D3929" t="str">
            <v>UN</v>
          </cell>
          <cell r="E3929" t="str">
            <v>CR</v>
          </cell>
          <cell r="F3929">
            <v>129.13999999999999</v>
          </cell>
        </row>
        <row r="3930">
          <cell r="B3930">
            <v>10905</v>
          </cell>
          <cell r="C3930" t="str">
            <v>TAMPAO COM CORRENTE, EM LATAO, ENGATE RAPIDO 2 1/2", PARA INSTALACAO PREDIAL DE COMBATE A INCENDIO</v>
          </cell>
          <cell r="D3930" t="str">
            <v>UN</v>
          </cell>
          <cell r="E3930" t="str">
            <v>CR</v>
          </cell>
          <cell r="F3930">
            <v>173.24</v>
          </cell>
        </row>
        <row r="3931">
          <cell r="B3931">
            <v>11289</v>
          </cell>
          <cell r="C3931" t="str">
            <v>TAMPAO FOFO ARTICULADO P/ REGISTRO, COM BASE / REQUADRO, CLASSE A15 CARGA MAX 1,5 T, *200 X 200* MM (COM INSCRICAO EM RELEVO DO TIPO DE REDE)</v>
          </cell>
          <cell r="D3931" t="str">
            <v>UN</v>
          </cell>
          <cell r="E3931" t="str">
            <v>CR</v>
          </cell>
          <cell r="F3931">
            <v>83</v>
          </cell>
        </row>
        <row r="3932">
          <cell r="B3932">
            <v>11241</v>
          </cell>
          <cell r="C3932" t="str">
            <v>TAMPAO FOFO ARTICULADO P/ REGISTRO, COM BASE / REQUADRO, CLASSE A15 CARGA MAXIMA 1,5 T, *400 X 400* MM (COM INSCRICAO EM RELEVO DO TIPO DE REDE)</v>
          </cell>
          <cell r="D3932" t="str">
            <v>UN</v>
          </cell>
          <cell r="E3932" t="str">
            <v>CR</v>
          </cell>
          <cell r="F3932">
            <v>207.5</v>
          </cell>
        </row>
        <row r="3933">
          <cell r="B3933">
            <v>11301</v>
          </cell>
          <cell r="C3933" t="str">
            <v>TAMPAO FOFO ARTICULADO, COM BASE / REQUADRO, CLASSE B125 CARGA MAX 12,5 T, REDONDO, TAMPA 600 MM (COM INSCRICAO EM RELEVO DO TIPO DE REDE)</v>
          </cell>
          <cell r="D3933" t="str">
            <v>UN</v>
          </cell>
          <cell r="E3933" t="str">
            <v>CR</v>
          </cell>
          <cell r="F3933">
            <v>526.16999999999996</v>
          </cell>
        </row>
        <row r="3934">
          <cell r="B3934">
            <v>21090</v>
          </cell>
          <cell r="C3934" t="str">
            <v>TAMPAO FOFO ARTICULADO, COM BASE / REQUADRO, CLASSE D400 CARGA MAX 40 T, REDONDO, TAMPA 600 MM (COM INSCRICAO EM RELEVO DO TIPO DE REDE)</v>
          </cell>
          <cell r="D3934" t="str">
            <v>UN</v>
          </cell>
          <cell r="E3934" t="str">
            <v>CR</v>
          </cell>
          <cell r="F3934">
            <v>644.74</v>
          </cell>
        </row>
        <row r="3935">
          <cell r="B3935">
            <v>11315</v>
          </cell>
          <cell r="C3935" t="str">
            <v>TAMPAO FOFO SIMPLES COM BASE / REQUADRO, CLASSE A15 CARGA MAX. 1,5 T, 300 X 300 MM (COM INSCRICAO EM RELEVO DO TIPO DE REDE)</v>
          </cell>
          <cell r="D3935" t="str">
            <v>UN</v>
          </cell>
          <cell r="E3935" t="str">
            <v>CR</v>
          </cell>
          <cell r="F3935">
            <v>125.98</v>
          </cell>
        </row>
        <row r="3936">
          <cell r="B3936">
            <v>21071</v>
          </cell>
          <cell r="C3936" t="str">
            <v>TAMPAO FOFO SIMPLES COM BASE / REQUADRO, CLASSE A15 CARGA MAX. 1,5 T, 400 X 400 MM (COM INSCRICAO EM RELEVO DO TIPO DE REDE)</v>
          </cell>
          <cell r="D3936" t="str">
            <v>UN</v>
          </cell>
          <cell r="E3936" t="str">
            <v>CR</v>
          </cell>
          <cell r="F3936">
            <v>192.68</v>
          </cell>
        </row>
        <row r="3937">
          <cell r="B3937">
            <v>14112</v>
          </cell>
          <cell r="C3937" t="str">
            <v>TAMPAO FOFO SIMPLES COM BASE / REQUADRO, CLASSE A15 CARGA MAX. 1,5 T, 400 X 600 MM (COM INSCRICAO EM RELEVO DO TIPO DE REDE)</v>
          </cell>
          <cell r="D3937" t="str">
            <v>UN</v>
          </cell>
          <cell r="E3937" t="str">
            <v>CR</v>
          </cell>
          <cell r="F3937">
            <v>269.01</v>
          </cell>
        </row>
        <row r="3938">
          <cell r="B3938">
            <v>11316</v>
          </cell>
          <cell r="C3938" t="str">
            <v>TAMPAO FOFO SIMPLES COM BASE / REQUADRO, CLASSE B125 CARGA MAX. 12,5 T, REDONDO, TAMPA 500 MM (COM INSCRICAO EM RELEVO DO TIPO DE REDE)</v>
          </cell>
          <cell r="D3938" t="str">
            <v>UN</v>
          </cell>
          <cell r="E3938" t="str">
            <v>CR</v>
          </cell>
          <cell r="F3938">
            <v>415</v>
          </cell>
        </row>
        <row r="3939">
          <cell r="B3939">
            <v>6243</v>
          </cell>
          <cell r="C3939" t="str">
            <v>TAMPAO FOFO SIMPLES COM BASE / REQUADRO, CLASSE B125 CARGA MAX. 12,5 T, REDONDO, TAMPA 600 MM (COM INSCRICAO EM RELEVO DO TIPO DE REDE)</v>
          </cell>
          <cell r="D3939" t="str">
            <v>UN</v>
          </cell>
          <cell r="E3939" t="str">
            <v>C</v>
          </cell>
          <cell r="F3939">
            <v>478</v>
          </cell>
        </row>
        <row r="3940">
          <cell r="B3940">
            <v>6240</v>
          </cell>
          <cell r="C3940" t="str">
            <v>TAMPAO FOFO SIMPLES COM BASE / REQUADRO, CLASSE D400 CARGA MAX. 40 T, REDONDO, TAMPA 600 MM (COM INSCRICAO EM RELEVO DO TIPO DE REDE)</v>
          </cell>
          <cell r="D3940" t="str">
            <v>UN</v>
          </cell>
          <cell r="E3940" t="str">
            <v>CR</v>
          </cell>
          <cell r="F3940">
            <v>632.88</v>
          </cell>
        </row>
        <row r="3941">
          <cell r="B3941">
            <v>11296</v>
          </cell>
          <cell r="C3941" t="str">
            <v>TAMPAO FOFO SIMPLES COM BASE / REQUADRO, CLASSE D400 CARGA MAX. 40 T, REDONDO, TAMPA 900 MM (COM INSCRICAO EM RELEVO DO TIPO DE REDE)</v>
          </cell>
          <cell r="D3941" t="str">
            <v>UN</v>
          </cell>
          <cell r="E3941" t="str">
            <v>CR</v>
          </cell>
          <cell r="F3941">
            <v>2016.49</v>
          </cell>
        </row>
        <row r="3942">
          <cell r="B3942">
            <v>11299</v>
          </cell>
          <cell r="C3942" t="str">
            <v>TAMPAO FOFO SIMPLES COM BASE / REQUADRO, R-2, CLASSE A15 CARGA MAX. 1,5 T, 550 X 1100 MM (COM INSCRICAO EM RELEVO DO TIPO DE REDE)</v>
          </cell>
          <cell r="D3942" t="str">
            <v>UN</v>
          </cell>
          <cell r="E3942" t="str">
            <v>CR</v>
          </cell>
          <cell r="F3942">
            <v>682.53</v>
          </cell>
        </row>
        <row r="3943">
          <cell r="B3943">
            <v>11688</v>
          </cell>
          <cell r="C3943" t="str">
            <v>TANQUE ACO INOXIDAVEL (ACO 304) COM ESFREGADOR E VALVULA, DE *50 X 40 X 22* CM</v>
          </cell>
          <cell r="D3943" t="str">
            <v>UN</v>
          </cell>
          <cell r="E3943" t="str">
            <v>CR</v>
          </cell>
          <cell r="F3943">
            <v>498.65</v>
          </cell>
        </row>
        <row r="3944">
          <cell r="B3944">
            <v>37736</v>
          </cell>
          <cell r="C3944" t="str">
            <v>TANQUE DE ACO CARBONO NAO REVESTIDO, PARA TRANSPORTE DE AGUA COM CAPACIDADE DE 10 M3, COM BOMBA CENTRIFUGA POR TOMADA DE FORCA, VAZAO MAXIMA *75* M3/H (INCLUI MONTAGEM, NAO INCLUI CAMINHAO)</v>
          </cell>
          <cell r="D3944" t="str">
            <v>UN</v>
          </cell>
          <cell r="E3944" t="str">
            <v>C</v>
          </cell>
          <cell r="F3944">
            <v>91750</v>
          </cell>
        </row>
        <row r="3945">
          <cell r="B3945">
            <v>37739</v>
          </cell>
          <cell r="C3945" t="str">
            <v>TANQUE DE ACO PARA TRANSPORTE DE AGUA COM CAPACIDADE DE 14 M3 (INCLUI MONTAGEM, NAO INCLUI CAMINHAO)</v>
          </cell>
          <cell r="D3945" t="str">
            <v>UN</v>
          </cell>
          <cell r="E3945" t="str">
            <v>CR</v>
          </cell>
          <cell r="F3945">
            <v>112923.07</v>
          </cell>
        </row>
        <row r="3946">
          <cell r="B3946">
            <v>37738</v>
          </cell>
          <cell r="C3946" t="str">
            <v>TANQUE DE ACO PARA TRANSPORTE DE AGUA COM CAPACIDADE DE 6 M3 (INCLUI MONTAGEM, NAO INCLUI CAMINHAO)</v>
          </cell>
          <cell r="D3946" t="str">
            <v>UN</v>
          </cell>
          <cell r="E3946" t="str">
            <v>CR</v>
          </cell>
          <cell r="F3946">
            <v>76560.62</v>
          </cell>
        </row>
        <row r="3947">
          <cell r="B3947">
            <v>25014</v>
          </cell>
          <cell r="C3947" t="str">
            <v>TANQUE DE ASFALTO ESTACIONARIO COM MACARICO, CAPACIDADE 20.000 L</v>
          </cell>
          <cell r="D3947" t="str">
            <v>UN</v>
          </cell>
          <cell r="E3947" t="str">
            <v>CR</v>
          </cell>
          <cell r="F3947">
            <v>127575.45</v>
          </cell>
        </row>
        <row r="3948">
          <cell r="B3948">
            <v>14405</v>
          </cell>
          <cell r="C3948" t="str">
            <v>TANQUE DE ASFALTO ESTACIONARIO COM SERPENTINA, CAPACIDADE 30.000 L</v>
          </cell>
          <cell r="D3948" t="str">
            <v>UN</v>
          </cell>
          <cell r="E3948" t="str">
            <v>CR</v>
          </cell>
          <cell r="F3948">
            <v>156956.93</v>
          </cell>
        </row>
        <row r="3949">
          <cell r="B3949">
            <v>20271</v>
          </cell>
          <cell r="C3949" t="str">
            <v>TANQUE DE LOUCA BRANCA, COM COLUNA, *30* L</v>
          </cell>
          <cell r="D3949" t="str">
            <v>UN</v>
          </cell>
          <cell r="E3949" t="str">
            <v>CR</v>
          </cell>
          <cell r="F3949">
            <v>561.89</v>
          </cell>
        </row>
        <row r="3950">
          <cell r="B3950">
            <v>10423</v>
          </cell>
          <cell r="C3950" t="str">
            <v>TANQUE DE LOUCA BRANCA, SUSPENSO, *20* L</v>
          </cell>
          <cell r="D3950" t="str">
            <v>UN</v>
          </cell>
          <cell r="E3950" t="str">
            <v>CR</v>
          </cell>
          <cell r="F3950">
            <v>412.56</v>
          </cell>
        </row>
        <row r="3951">
          <cell r="B3951">
            <v>36790</v>
          </cell>
          <cell r="C3951" t="str">
            <v>TANQUE DUPLO EM MARMORE SINTETICO COM CUBA LISA E ESFREGADOR, *110 X 60* CM</v>
          </cell>
          <cell r="D3951" t="str">
            <v>UN</v>
          </cell>
          <cell r="E3951" t="str">
            <v>CR</v>
          </cell>
          <cell r="F3951">
            <v>415.4</v>
          </cell>
        </row>
        <row r="3952">
          <cell r="B3952">
            <v>37589</v>
          </cell>
          <cell r="C3952" t="str">
            <v>TANQUE SIMPLES EM MARMORE SINTETICO COM COLUNA, CAPACIDADE *22* L, *60 X 46* CM</v>
          </cell>
          <cell r="D3952" t="str">
            <v>UN</v>
          </cell>
          <cell r="E3952" t="str">
            <v>CR</v>
          </cell>
          <cell r="F3952">
            <v>508.97</v>
          </cell>
        </row>
        <row r="3953">
          <cell r="B3953">
            <v>11690</v>
          </cell>
          <cell r="C3953" t="str">
            <v>TANQUE SIMPLES EM MARMORE SINTETICO DE FIXAR NA PAREDE, CAPACIDADE *22* L, *60 X 46* CM</v>
          </cell>
          <cell r="D3953" t="str">
            <v>UN</v>
          </cell>
          <cell r="E3953" t="str">
            <v>CR</v>
          </cell>
          <cell r="F3953">
            <v>270.38</v>
          </cell>
        </row>
        <row r="3954">
          <cell r="B3954">
            <v>20234</v>
          </cell>
          <cell r="C3954" t="str">
            <v>TANQUE SIMPLES EM MARMORE SINTETICO SUSPENSO, CAPACIDADE *38* L, *60 X 60* CM</v>
          </cell>
          <cell r="D3954" t="str">
            <v>UN</v>
          </cell>
          <cell r="E3954" t="str">
            <v>CR</v>
          </cell>
          <cell r="F3954">
            <v>342.17</v>
          </cell>
        </row>
        <row r="3955">
          <cell r="B3955">
            <v>44480</v>
          </cell>
          <cell r="C3955" t="str">
            <v>TARIFA "A" ENTRE 0 E 20M3 FORNECIMENTO D'AGUA</v>
          </cell>
          <cell r="D3955" t="str">
            <v>M3</v>
          </cell>
          <cell r="E3955" t="str">
            <v>CR</v>
          </cell>
          <cell r="F3955">
            <v>16.84</v>
          </cell>
        </row>
        <row r="3956">
          <cell r="B3956">
            <v>11457</v>
          </cell>
          <cell r="C3956" t="str">
            <v>TARJETA LIVRE / OCUPADO PARA PORTA DE BANHEIRO, CORPO EM ZAMAC E ESPELHO EM LATAO</v>
          </cell>
          <cell r="D3956" t="str">
            <v>UN</v>
          </cell>
          <cell r="E3956" t="str">
            <v>CR</v>
          </cell>
          <cell r="F3956">
            <v>45.79</v>
          </cell>
        </row>
        <row r="3957">
          <cell r="B3957">
            <v>44073</v>
          </cell>
          <cell r="C3957" t="str">
            <v>TARUGO DELIMITADOR DE PROFUNDIDADE EM ESPUMA DE POLIETILENO DE BAIXA DENSIDADE 10 MM, CINZA</v>
          </cell>
          <cell r="D3957" t="str">
            <v>M</v>
          </cell>
          <cell r="E3957" t="str">
            <v>CR</v>
          </cell>
          <cell r="F3957">
            <v>0.88</v>
          </cell>
        </row>
        <row r="3958">
          <cell r="B3958">
            <v>3593</v>
          </cell>
          <cell r="C3958" t="str">
            <v>TE 45 GRAUS DE FERRO GALVANIZADO, COM ROSCA BSP, DE 1 1/2"</v>
          </cell>
          <cell r="D3958" t="str">
            <v>UN</v>
          </cell>
          <cell r="E3958" t="str">
            <v>CR</v>
          </cell>
          <cell r="F3958">
            <v>94.75</v>
          </cell>
        </row>
        <row r="3959">
          <cell r="B3959">
            <v>3588</v>
          </cell>
          <cell r="C3959" t="str">
            <v>TE 45 GRAUS DE FERRO GALVANIZADO, COM ROSCA BSP, DE 1 1/4"</v>
          </cell>
          <cell r="D3959" t="str">
            <v>UN</v>
          </cell>
          <cell r="E3959" t="str">
            <v>CR</v>
          </cell>
          <cell r="F3959">
            <v>73.03</v>
          </cell>
        </row>
        <row r="3960">
          <cell r="B3960">
            <v>3587</v>
          </cell>
          <cell r="C3960" t="str">
            <v>TE 45 GRAUS DE FERRO GALVANIZADO, COM ROSCA BSP, DE 1"</v>
          </cell>
          <cell r="D3960" t="str">
            <v>UN</v>
          </cell>
          <cell r="E3960" t="str">
            <v>CR</v>
          </cell>
          <cell r="F3960">
            <v>45.32</v>
          </cell>
        </row>
        <row r="3961">
          <cell r="B3961">
            <v>3585</v>
          </cell>
          <cell r="C3961" t="str">
            <v>TE 45 GRAUS DE FERRO GALVANIZADO, COM ROSCA BSP, DE 1/2"</v>
          </cell>
          <cell r="D3961" t="str">
            <v>UN</v>
          </cell>
          <cell r="E3961" t="str">
            <v>CR</v>
          </cell>
          <cell r="F3961">
            <v>22.56</v>
          </cell>
        </row>
        <row r="3962">
          <cell r="B3962">
            <v>3590</v>
          </cell>
          <cell r="C3962" t="str">
            <v>TE 45 GRAUS DE FERRO GALVANIZADO, COM ROSCA BSP, DE 2 1/2"</v>
          </cell>
          <cell r="D3962" t="str">
            <v>UN</v>
          </cell>
          <cell r="E3962" t="str">
            <v>CR</v>
          </cell>
          <cell r="F3962">
            <v>269.02</v>
          </cell>
        </row>
        <row r="3963">
          <cell r="B3963">
            <v>3589</v>
          </cell>
          <cell r="C3963" t="str">
            <v>TE 45 GRAUS DE FERRO GALVANIZADO, COM ROSCA BSP, DE 2"</v>
          </cell>
          <cell r="D3963" t="str">
            <v>UN</v>
          </cell>
          <cell r="E3963" t="str">
            <v>CR</v>
          </cell>
          <cell r="F3963">
            <v>144.38999999999999</v>
          </cell>
        </row>
        <row r="3964">
          <cell r="B3964">
            <v>3592</v>
          </cell>
          <cell r="C3964" t="str">
            <v>TE 45 GRAUS DE FERRO GALVANIZADO, COM ROSCA BSP, DE 3"</v>
          </cell>
          <cell r="D3964" t="str">
            <v>UN</v>
          </cell>
          <cell r="E3964" t="str">
            <v>CR</v>
          </cell>
          <cell r="F3964">
            <v>425.24</v>
          </cell>
        </row>
        <row r="3965">
          <cell r="B3965">
            <v>3586</v>
          </cell>
          <cell r="C3965" t="str">
            <v>TE 45 GRAUS DE FERRO GALVANIZADO, COM ROSCA BSP, DE 3/4"</v>
          </cell>
          <cell r="D3965" t="str">
            <v>UN</v>
          </cell>
          <cell r="E3965" t="str">
            <v>CR</v>
          </cell>
          <cell r="F3965">
            <v>29.54</v>
          </cell>
        </row>
        <row r="3966">
          <cell r="B3966">
            <v>3591</v>
          </cell>
          <cell r="C3966" t="str">
            <v>TE 45 GRAUS DE FERRO GALVANIZADO, COM ROSCA BSP, DE 4"</v>
          </cell>
          <cell r="D3966" t="str">
            <v>UN</v>
          </cell>
          <cell r="E3966" t="str">
            <v>CR</v>
          </cell>
          <cell r="F3966">
            <v>681.68</v>
          </cell>
        </row>
        <row r="3967">
          <cell r="B3967">
            <v>40396</v>
          </cell>
          <cell r="C3967" t="str">
            <v>TE 90 GRAUS EM ACO CARBONO, SOLDAVEL, PRESSAO 3.000 LBS, DN 1 1/2"</v>
          </cell>
          <cell r="D3967" t="str">
            <v>UN</v>
          </cell>
          <cell r="E3967" t="str">
            <v>CR</v>
          </cell>
          <cell r="F3967">
            <v>132.28</v>
          </cell>
        </row>
        <row r="3968">
          <cell r="B3968">
            <v>40395</v>
          </cell>
          <cell r="C3968" t="str">
            <v>TE 90 GRAUS EM ACO CARBONO, SOLDAVEL, PRESSAO 3.000 LBS, DN 1 1/4"</v>
          </cell>
          <cell r="D3968" t="str">
            <v>UN</v>
          </cell>
          <cell r="E3968" t="str">
            <v>CR</v>
          </cell>
          <cell r="F3968">
            <v>101.52</v>
          </cell>
        </row>
        <row r="3969">
          <cell r="B3969">
            <v>40394</v>
          </cell>
          <cell r="C3969" t="str">
            <v>TE 90 GRAUS EM ACO CARBONO, SOLDAVEL, PRESSAO 3.000 LBS, DN 1"</v>
          </cell>
          <cell r="D3969" t="str">
            <v>UN</v>
          </cell>
          <cell r="E3969" t="str">
            <v>CR</v>
          </cell>
          <cell r="F3969">
            <v>66.09</v>
          </cell>
        </row>
        <row r="3970">
          <cell r="B3970">
            <v>40392</v>
          </cell>
          <cell r="C3970" t="str">
            <v>TE 90 GRAUS EM ACO CARBONO, SOLDAVEL, PRESSAO 3.000 LBS, DN 1/2"</v>
          </cell>
          <cell r="D3970" t="str">
            <v>UN</v>
          </cell>
          <cell r="E3970" t="str">
            <v>CR</v>
          </cell>
          <cell r="F3970">
            <v>32.659999999999997</v>
          </cell>
        </row>
        <row r="3971">
          <cell r="B3971">
            <v>40398</v>
          </cell>
          <cell r="C3971" t="str">
            <v>TE 90 GRAUS EM ACO CARBONO, SOLDAVEL, PRESSAO 3.000 LBS, DN 2 1/2"</v>
          </cell>
          <cell r="D3971" t="str">
            <v>UN</v>
          </cell>
          <cell r="E3971" t="str">
            <v>CR</v>
          </cell>
          <cell r="F3971">
            <v>424.39</v>
          </cell>
        </row>
        <row r="3972">
          <cell r="B3972">
            <v>40397</v>
          </cell>
          <cell r="C3972" t="str">
            <v>TE 90 GRAUS EM ACO CARBONO, SOLDAVEL, PRESSAO 3.000 LBS, DN 2"</v>
          </cell>
          <cell r="D3972" t="str">
            <v>UN</v>
          </cell>
          <cell r="E3972" t="str">
            <v>CR</v>
          </cell>
          <cell r="F3972">
            <v>217.34</v>
          </cell>
        </row>
        <row r="3973">
          <cell r="B3973">
            <v>40399</v>
          </cell>
          <cell r="C3973" t="str">
            <v>TE 90 GRAUS EM ACO CARBONO, SOLDAVEL, PRESSAO 3.000 LBS, DN 3"</v>
          </cell>
          <cell r="D3973" t="str">
            <v>UN</v>
          </cell>
          <cell r="E3973" t="str">
            <v>CR</v>
          </cell>
          <cell r="F3973">
            <v>694.3</v>
          </cell>
        </row>
        <row r="3974">
          <cell r="B3974">
            <v>40393</v>
          </cell>
          <cell r="C3974" t="str">
            <v>TE 90 GRAUS EM ACO CARBONO, SOLDAVEL, PRESSAO 3.000 LBS, DN 3/4"</v>
          </cell>
          <cell r="D3974" t="str">
            <v>UN</v>
          </cell>
          <cell r="E3974" t="str">
            <v>CR</v>
          </cell>
          <cell r="F3974">
            <v>42.07</v>
          </cell>
        </row>
        <row r="3975">
          <cell r="B3975">
            <v>44253</v>
          </cell>
          <cell r="C3975" t="str">
            <v>TE CPVC, SOLDAVEL, 90 GRAUS, 114 MM, PARA AGUA QUENTE PREDIAL</v>
          </cell>
          <cell r="D3975" t="str">
            <v>UN</v>
          </cell>
          <cell r="E3975" t="str">
            <v>CR</v>
          </cell>
          <cell r="F3975">
            <v>273.26</v>
          </cell>
        </row>
        <row r="3976">
          <cell r="B3976">
            <v>21121</v>
          </cell>
          <cell r="C3976" t="str">
            <v>TE CPVC, SOLDAVEL, 90 GRAUS, 15 MM, PARA AGUA QUENTE PREDIAL</v>
          </cell>
          <cell r="D3976" t="str">
            <v>UN</v>
          </cell>
          <cell r="E3976" t="str">
            <v>CR</v>
          </cell>
          <cell r="F3976">
            <v>3.92</v>
          </cell>
        </row>
        <row r="3977">
          <cell r="B3977">
            <v>38010</v>
          </cell>
          <cell r="C3977" t="str">
            <v>TE CPVC, SOLDAVEL, 90 GRAUS, 22 MM, PARA AGUA QUENTE PREDIAL</v>
          </cell>
          <cell r="D3977" t="str">
            <v>UN</v>
          </cell>
          <cell r="E3977" t="str">
            <v>CR</v>
          </cell>
          <cell r="F3977">
            <v>4.88</v>
          </cell>
        </row>
        <row r="3978">
          <cell r="B3978">
            <v>38011</v>
          </cell>
          <cell r="C3978" t="str">
            <v>TE CPVC, SOLDAVEL, 90 GRAUS, 28 MM, PARA AGUA QUENTE PREDIAL</v>
          </cell>
          <cell r="D3978" t="str">
            <v>UN</v>
          </cell>
          <cell r="E3978" t="str">
            <v>CR</v>
          </cell>
          <cell r="F3978">
            <v>9.7799999999999994</v>
          </cell>
        </row>
        <row r="3979">
          <cell r="B3979">
            <v>38012</v>
          </cell>
          <cell r="C3979" t="str">
            <v>TE CPVC, SOLDAVEL, 90 GRAUS, 35 MM, PARA AGUA QUENTE PREDIAL</v>
          </cell>
          <cell r="D3979" t="str">
            <v>UN</v>
          </cell>
          <cell r="E3979" t="str">
            <v>CR</v>
          </cell>
          <cell r="F3979">
            <v>37.299999999999997</v>
          </cell>
        </row>
        <row r="3980">
          <cell r="B3980">
            <v>38013</v>
          </cell>
          <cell r="C3980" t="str">
            <v>TE CPVC, SOLDAVEL, 90 GRAUS, 42 MM, PARA AGUA QUENTE PREDIAL</v>
          </cell>
          <cell r="D3980" t="str">
            <v>UN</v>
          </cell>
          <cell r="E3980" t="str">
            <v>CR</v>
          </cell>
          <cell r="F3980">
            <v>47.92</v>
          </cell>
        </row>
        <row r="3981">
          <cell r="B3981">
            <v>38014</v>
          </cell>
          <cell r="C3981" t="str">
            <v>TE CPVC, SOLDAVEL, 90 GRAUS, 54 MM, PARA AGUA QUENTE PREDIAL</v>
          </cell>
          <cell r="D3981" t="str">
            <v>UN</v>
          </cell>
          <cell r="E3981" t="str">
            <v>CR</v>
          </cell>
          <cell r="F3981">
            <v>80.03</v>
          </cell>
        </row>
        <row r="3982">
          <cell r="B3982">
            <v>38015</v>
          </cell>
          <cell r="C3982" t="str">
            <v>TE CPVC, SOLDAVEL, 90 GRAUS, 73 MM, PARA AGUA QUENTE PREDIAL</v>
          </cell>
          <cell r="D3982" t="str">
            <v>UN</v>
          </cell>
          <cell r="E3982" t="str">
            <v>CR</v>
          </cell>
          <cell r="F3982">
            <v>188.14</v>
          </cell>
        </row>
        <row r="3983">
          <cell r="B3983">
            <v>38016</v>
          </cell>
          <cell r="C3983" t="str">
            <v>TE CPVC, SOLDAVEL, 90 GRAUS, 89 MM, PARA AGUA QUENTE PREDIAL</v>
          </cell>
          <cell r="D3983" t="str">
            <v>UN</v>
          </cell>
          <cell r="E3983" t="str">
            <v>CR</v>
          </cell>
          <cell r="F3983">
            <v>218.78</v>
          </cell>
        </row>
        <row r="3984">
          <cell r="B3984">
            <v>12741</v>
          </cell>
          <cell r="C3984" t="str">
            <v>TE DE COBRE SEM ANEL DE SOLDA, BOLSA X BOLSA X BOLSA, 104 MM</v>
          </cell>
          <cell r="D3984" t="str">
            <v>UN</v>
          </cell>
          <cell r="E3984" t="str">
            <v>CR</v>
          </cell>
          <cell r="F3984">
            <v>1481.81</v>
          </cell>
        </row>
        <row r="3985">
          <cell r="B3985">
            <v>12733</v>
          </cell>
          <cell r="C3985" t="str">
            <v>TE DE COBRE SEM ANEL DE SOLDA, BOLSA X BOLSA X BOLSA, 15 MM</v>
          </cell>
          <cell r="D3985" t="str">
            <v>UN</v>
          </cell>
          <cell r="E3985" t="str">
            <v>CR</v>
          </cell>
          <cell r="F3985">
            <v>7.45</v>
          </cell>
        </row>
        <row r="3986">
          <cell r="B3986">
            <v>12734</v>
          </cell>
          <cell r="C3986" t="str">
            <v>TE DE COBRE SEM ANEL DE SOLDA, BOLSA X BOLSA X BOLSA, 22 MM</v>
          </cell>
          <cell r="D3986" t="str">
            <v>UN</v>
          </cell>
          <cell r="E3986" t="str">
            <v>CR</v>
          </cell>
          <cell r="F3986">
            <v>15.89</v>
          </cell>
        </row>
        <row r="3987">
          <cell r="B3987">
            <v>12735</v>
          </cell>
          <cell r="C3987" t="str">
            <v>TE DE COBRE SEM ANEL DE SOLDA, BOLSA X BOLSA X BOLSA, 28 MM</v>
          </cell>
          <cell r="D3987" t="str">
            <v>UN</v>
          </cell>
          <cell r="E3987" t="str">
            <v>CR</v>
          </cell>
          <cell r="F3987">
            <v>26.14</v>
          </cell>
        </row>
        <row r="3988">
          <cell r="B3988">
            <v>12736</v>
          </cell>
          <cell r="C3988" t="str">
            <v>TE DE COBRE SEM ANEL DE SOLDA, BOLSA X BOLSA X BOLSA, 35 MM</v>
          </cell>
          <cell r="D3988" t="str">
            <v>UN</v>
          </cell>
          <cell r="E3988" t="str">
            <v>CR</v>
          </cell>
          <cell r="F3988">
            <v>59.76</v>
          </cell>
        </row>
        <row r="3989">
          <cell r="B3989">
            <v>12737</v>
          </cell>
          <cell r="C3989" t="str">
            <v>TE DE COBRE SEM ANEL DE SOLDA, BOLSA X BOLSA X BOLSA, 42 MM</v>
          </cell>
          <cell r="D3989" t="str">
            <v>UN</v>
          </cell>
          <cell r="E3989" t="str">
            <v>CR</v>
          </cell>
          <cell r="F3989">
            <v>76.989999999999995</v>
          </cell>
        </row>
        <row r="3990">
          <cell r="B3990">
            <v>12738</v>
          </cell>
          <cell r="C3990" t="str">
            <v>TE DE COBRE SEM ANEL DE SOLDA, BOLSA X BOLSA X BOLSA, 54 MM</v>
          </cell>
          <cell r="D3990" t="str">
            <v>UN</v>
          </cell>
          <cell r="E3990" t="str">
            <v>CR</v>
          </cell>
          <cell r="F3990">
            <v>152.16999999999999</v>
          </cell>
        </row>
        <row r="3991">
          <cell r="B3991">
            <v>12739</v>
          </cell>
          <cell r="C3991" t="str">
            <v>TE DE COBRE SEM ANEL DE SOLDA, BOLSA X BOLSA X BOLSA, 66 MM</v>
          </cell>
          <cell r="D3991" t="str">
            <v>UN</v>
          </cell>
          <cell r="E3991" t="str">
            <v>CR</v>
          </cell>
          <cell r="F3991">
            <v>433.17</v>
          </cell>
        </row>
        <row r="3992">
          <cell r="B3992">
            <v>12740</v>
          </cell>
          <cell r="C3992" t="str">
            <v>TE DE COBRE SEM ANEL DE SOLDA, BOLSA X BOLSA X BOLSA, 79 MM</v>
          </cell>
          <cell r="D3992" t="str">
            <v>UN</v>
          </cell>
          <cell r="E3992" t="str">
            <v>CR</v>
          </cell>
          <cell r="F3992">
            <v>677.72</v>
          </cell>
        </row>
        <row r="3993">
          <cell r="B3993">
            <v>6297</v>
          </cell>
          <cell r="C3993" t="str">
            <v>TE DE FERRO GALVANIZADO, DE 1 1/2"</v>
          </cell>
          <cell r="D3993" t="str">
            <v>UN</v>
          </cell>
          <cell r="E3993" t="str">
            <v>CR</v>
          </cell>
          <cell r="F3993">
            <v>43.66</v>
          </cell>
        </row>
        <row r="3994">
          <cell r="B3994">
            <v>6296</v>
          </cell>
          <cell r="C3994" t="str">
            <v>TE DE FERRO GALVANIZADO, DE 1 1/4"</v>
          </cell>
          <cell r="D3994" t="str">
            <v>UN</v>
          </cell>
          <cell r="E3994" t="str">
            <v>CR</v>
          </cell>
          <cell r="F3994">
            <v>34.46</v>
          </cell>
        </row>
        <row r="3995">
          <cell r="B3995">
            <v>6323</v>
          </cell>
          <cell r="C3995" t="str">
            <v>TE DE FERRO GALVANIZADO, DE 1"</v>
          </cell>
          <cell r="D3995" t="str">
            <v>UN</v>
          </cell>
          <cell r="E3995" t="str">
            <v>CR</v>
          </cell>
          <cell r="F3995">
            <v>22.52</v>
          </cell>
        </row>
        <row r="3996">
          <cell r="B3996">
            <v>6294</v>
          </cell>
          <cell r="C3996" t="str">
            <v>TE DE FERRO GALVANIZADO, DE 1/2"</v>
          </cell>
          <cell r="D3996" t="str">
            <v>UN</v>
          </cell>
          <cell r="E3996" t="str">
            <v>CR</v>
          </cell>
          <cell r="F3996">
            <v>9.82</v>
          </cell>
        </row>
        <row r="3997">
          <cell r="B3997">
            <v>6299</v>
          </cell>
          <cell r="C3997" t="str">
            <v>TE DE FERRO GALVANIZADO, DE 2 1/2"</v>
          </cell>
          <cell r="D3997" t="str">
            <v>UN</v>
          </cell>
          <cell r="E3997" t="str">
            <v>CR</v>
          </cell>
          <cell r="F3997">
            <v>131.30000000000001</v>
          </cell>
        </row>
        <row r="3998">
          <cell r="B3998">
            <v>6298</v>
          </cell>
          <cell r="C3998" t="str">
            <v>TE DE FERRO GALVANIZADO, DE 2"</v>
          </cell>
          <cell r="D3998" t="str">
            <v>UN</v>
          </cell>
          <cell r="E3998" t="str">
            <v>CR</v>
          </cell>
          <cell r="F3998">
            <v>69.150000000000006</v>
          </cell>
        </row>
        <row r="3999">
          <cell r="B3999">
            <v>6322</v>
          </cell>
          <cell r="C3999" t="str">
            <v>TE DE FERRO GALVANIZADO, DE 3"</v>
          </cell>
          <cell r="D3999" t="str">
            <v>UN</v>
          </cell>
          <cell r="E3999" t="str">
            <v>CR</v>
          </cell>
          <cell r="F3999">
            <v>175.86</v>
          </cell>
        </row>
        <row r="4000">
          <cell r="B4000">
            <v>6295</v>
          </cell>
          <cell r="C4000" t="str">
            <v>TE DE FERRO GALVANIZADO, DE 3/4"</v>
          </cell>
          <cell r="D4000" t="str">
            <v>UN</v>
          </cell>
          <cell r="E4000" t="str">
            <v>CR</v>
          </cell>
          <cell r="F4000">
            <v>13.99</v>
          </cell>
        </row>
        <row r="4001">
          <cell r="B4001">
            <v>6300</v>
          </cell>
          <cell r="C4001" t="str">
            <v>TE DE FERRO GALVANIZADO, DE 4"</v>
          </cell>
          <cell r="D4001" t="str">
            <v>UN</v>
          </cell>
          <cell r="E4001" t="str">
            <v>CR</v>
          </cell>
          <cell r="F4001">
            <v>324.22000000000003</v>
          </cell>
        </row>
        <row r="4002">
          <cell r="B4002">
            <v>6321</v>
          </cell>
          <cell r="C4002" t="str">
            <v>TE DE FERRO GALVANIZADO, DE 5"</v>
          </cell>
          <cell r="D4002" t="str">
            <v>UN</v>
          </cell>
          <cell r="E4002" t="str">
            <v>CR</v>
          </cell>
          <cell r="F4002">
            <v>463.13</v>
          </cell>
        </row>
        <row r="4003">
          <cell r="B4003">
            <v>6301</v>
          </cell>
          <cell r="C4003" t="str">
            <v>TE DE FERRO GALVANIZADO, DE 6"</v>
          </cell>
          <cell r="D4003" t="str">
            <v>UN</v>
          </cell>
          <cell r="E4003" t="str">
            <v>CR</v>
          </cell>
          <cell r="F4003">
            <v>1085.53</v>
          </cell>
        </row>
        <row r="4004">
          <cell r="B4004">
            <v>7105</v>
          </cell>
          <cell r="C4004" t="str">
            <v>TE DE INSPECAO, PVC, 100 X 75 MM, SERIE NORMAL PARA ESGOTO PREDIAL</v>
          </cell>
          <cell r="D4004" t="str">
            <v>UN</v>
          </cell>
          <cell r="E4004" t="str">
            <v>CR</v>
          </cell>
          <cell r="F4004">
            <v>49.29</v>
          </cell>
        </row>
        <row r="4005">
          <cell r="B4005">
            <v>20183</v>
          </cell>
          <cell r="C4005" t="str">
            <v>TE DE INSPECAO, PVC, SERIE R, 100 X 75 MM, PARA ESGOTO PREDIAL</v>
          </cell>
          <cell r="D4005" t="str">
            <v>UN</v>
          </cell>
          <cell r="E4005" t="str">
            <v>CR</v>
          </cell>
          <cell r="F4005">
            <v>60.73</v>
          </cell>
        </row>
        <row r="4006">
          <cell r="B4006">
            <v>38448</v>
          </cell>
          <cell r="C4006" t="str">
            <v>TE DE INSPECAO, PVC, SERIE R, 150 X 100 MM, PARA ESGOTO PREDIAL</v>
          </cell>
          <cell r="D4006" t="str">
            <v>UN</v>
          </cell>
          <cell r="E4006" t="str">
            <v>CR</v>
          </cell>
          <cell r="F4006">
            <v>275.56</v>
          </cell>
        </row>
        <row r="4007">
          <cell r="B4007">
            <v>20182</v>
          </cell>
          <cell r="C4007" t="str">
            <v>TE DE INSPECAO, PVC, SERIE R, 75 X 75 MM, PARA ESGOTO PREDIAL</v>
          </cell>
          <cell r="D4007" t="str">
            <v>UN</v>
          </cell>
          <cell r="E4007" t="str">
            <v>CR</v>
          </cell>
          <cell r="F4007">
            <v>35.31</v>
          </cell>
        </row>
        <row r="4008">
          <cell r="B4008">
            <v>7119</v>
          </cell>
          <cell r="C4008" t="str">
            <v>TE DE REDUCAO COM ROSCA, PVC, 90 GRAUS, 1 X 3/4", PARA AGUA FRIA PREDIAL</v>
          </cell>
          <cell r="D4008" t="str">
            <v>UN</v>
          </cell>
          <cell r="E4008" t="str">
            <v>CR</v>
          </cell>
          <cell r="F4008">
            <v>13.28</v>
          </cell>
        </row>
        <row r="4009">
          <cell r="B4009">
            <v>7126</v>
          </cell>
          <cell r="C4009" t="str">
            <v>TE DE REDUCAO COM ROSCA, PVC, 90 GRAUS, 1.1/2" X 3/4", AGUA FRIA PREDIAL</v>
          </cell>
          <cell r="D4009" t="str">
            <v>UN</v>
          </cell>
          <cell r="E4009" t="str">
            <v>CR</v>
          </cell>
          <cell r="F4009">
            <v>27.09</v>
          </cell>
        </row>
        <row r="4010">
          <cell r="B4010">
            <v>7120</v>
          </cell>
          <cell r="C4010" t="str">
            <v>TE DE REDUCAO COM ROSCA, PVC, 90 GRAUS, 3/4 X 1/2", PARA AGUA FRIA PREDIAL</v>
          </cell>
          <cell r="D4010" t="str">
            <v>UN</v>
          </cell>
          <cell r="E4010" t="str">
            <v>CR</v>
          </cell>
          <cell r="F4010">
            <v>10.18</v>
          </cell>
        </row>
        <row r="4011">
          <cell r="B4011">
            <v>6319</v>
          </cell>
          <cell r="C4011" t="str">
            <v>TE DE REDUCAO DE FERRO GALVANIZADO, COM ROSCA BSP, DE 1 1/2" X 1"</v>
          </cell>
          <cell r="D4011" t="str">
            <v>UN</v>
          </cell>
          <cell r="E4011" t="str">
            <v>CR</v>
          </cell>
          <cell r="F4011">
            <v>51.29</v>
          </cell>
        </row>
        <row r="4012">
          <cell r="B4012">
            <v>6304</v>
          </cell>
          <cell r="C4012" t="str">
            <v>TE DE REDUCAO DE FERRO GALVANIZADO, COM ROSCA BSP, DE 1 1/2" X 3/4"</v>
          </cell>
          <cell r="D4012" t="str">
            <v>UN</v>
          </cell>
          <cell r="E4012" t="str">
            <v>CR</v>
          </cell>
          <cell r="F4012">
            <v>51.29</v>
          </cell>
        </row>
        <row r="4013">
          <cell r="B4013">
            <v>21116</v>
          </cell>
          <cell r="C4013" t="str">
            <v>TE DE REDUCAO DE FERRO GALVANIZADO, COM ROSCA BSP, DE 1 1/4" X 3/4"</v>
          </cell>
          <cell r="D4013" t="str">
            <v>UN</v>
          </cell>
          <cell r="E4013" t="str">
            <v>CR</v>
          </cell>
          <cell r="F4013">
            <v>38.840000000000003</v>
          </cell>
        </row>
        <row r="4014">
          <cell r="B4014">
            <v>6320</v>
          </cell>
          <cell r="C4014" t="str">
            <v>TE DE REDUCAO DE FERRO GALVANIZADO, COM ROSCA BSP, DE 1" X 1/2"</v>
          </cell>
          <cell r="D4014" t="str">
            <v>UN</v>
          </cell>
          <cell r="E4014" t="str">
            <v>CR</v>
          </cell>
          <cell r="F4014">
            <v>26.41</v>
          </cell>
        </row>
        <row r="4015">
          <cell r="B4015">
            <v>6303</v>
          </cell>
          <cell r="C4015" t="str">
            <v>TE DE REDUCAO DE FERRO GALVANIZADO, COM ROSCA BSP, DE 1" X 3/4"</v>
          </cell>
          <cell r="D4015" t="str">
            <v>UN</v>
          </cell>
          <cell r="E4015" t="str">
            <v>CR</v>
          </cell>
          <cell r="F4015">
            <v>26.41</v>
          </cell>
        </row>
        <row r="4016">
          <cell r="B4016">
            <v>6308</v>
          </cell>
          <cell r="C4016" t="str">
            <v>TE DE REDUCAO DE FERRO GALVANIZADO, COM ROSCA BSP, DE 2 1/2" X 1 1/2"</v>
          </cell>
          <cell r="D4016" t="str">
            <v>UN</v>
          </cell>
          <cell r="E4016" t="str">
            <v>CR</v>
          </cell>
          <cell r="F4016">
            <v>141.91999999999999</v>
          </cell>
        </row>
        <row r="4017">
          <cell r="B4017">
            <v>6317</v>
          </cell>
          <cell r="C4017" t="str">
            <v>TE DE REDUCAO DE FERRO GALVANIZADO, COM ROSCA BSP, DE 2 1/2" X 1 1/4"</v>
          </cell>
          <cell r="D4017" t="str">
            <v>UN</v>
          </cell>
          <cell r="E4017" t="str">
            <v>CR</v>
          </cell>
          <cell r="F4017">
            <v>141.91999999999999</v>
          </cell>
        </row>
        <row r="4018">
          <cell r="B4018">
            <v>6307</v>
          </cell>
          <cell r="C4018" t="str">
            <v>TE DE REDUCAO DE FERRO GALVANIZADO, COM ROSCA BSP, DE 2 1/2" X 1"</v>
          </cell>
          <cell r="D4018" t="str">
            <v>UN</v>
          </cell>
          <cell r="E4018" t="str">
            <v>CR</v>
          </cell>
          <cell r="F4018">
            <v>141.91999999999999</v>
          </cell>
        </row>
        <row r="4019">
          <cell r="B4019">
            <v>6309</v>
          </cell>
          <cell r="C4019" t="str">
            <v>TE DE REDUCAO DE FERRO GALVANIZADO, COM ROSCA BSP, DE 2 1/2" X 2"</v>
          </cell>
          <cell r="D4019" t="str">
            <v>UN</v>
          </cell>
          <cell r="E4019" t="str">
            <v>CR</v>
          </cell>
          <cell r="F4019">
            <v>146.04</v>
          </cell>
        </row>
        <row r="4020">
          <cell r="B4020">
            <v>6318</v>
          </cell>
          <cell r="C4020" t="str">
            <v>TE DE REDUCAO DE FERRO GALVANIZADO, COM ROSCA BSP, DE 2" X 1 1/2"</v>
          </cell>
          <cell r="D4020" t="str">
            <v>UN</v>
          </cell>
          <cell r="E4020" t="str">
            <v>CR</v>
          </cell>
          <cell r="F4020">
            <v>76.55</v>
          </cell>
        </row>
        <row r="4021">
          <cell r="B4021">
            <v>6306</v>
          </cell>
          <cell r="C4021" t="str">
            <v>TE DE REDUCAO DE FERRO GALVANIZADO, COM ROSCA BSP, DE 2" X 1 1/4"</v>
          </cell>
          <cell r="D4021" t="str">
            <v>UN</v>
          </cell>
          <cell r="E4021" t="str">
            <v>CR</v>
          </cell>
          <cell r="F4021">
            <v>76.55</v>
          </cell>
        </row>
        <row r="4022">
          <cell r="B4022">
            <v>6305</v>
          </cell>
          <cell r="C4022" t="str">
            <v>TE DE REDUCAO DE FERRO GALVANIZADO, COM ROSCA BSP, DE 2" X 1"</v>
          </cell>
          <cell r="D4022" t="str">
            <v>UN</v>
          </cell>
          <cell r="E4022" t="str">
            <v>CR</v>
          </cell>
          <cell r="F4022">
            <v>76.55</v>
          </cell>
        </row>
        <row r="4023">
          <cell r="B4023">
            <v>6312</v>
          </cell>
          <cell r="C4023" t="str">
            <v>TE DE REDUCAO DE FERRO GALVANIZADO, COM ROSCA BSP, DE 3" X 1 1/2"</v>
          </cell>
          <cell r="D4023" t="str">
            <v>UN</v>
          </cell>
          <cell r="E4023" t="str">
            <v>CR</v>
          </cell>
          <cell r="F4023">
            <v>204.14</v>
          </cell>
        </row>
        <row r="4024">
          <cell r="B4024">
            <v>6311</v>
          </cell>
          <cell r="C4024" t="str">
            <v>TE DE REDUCAO DE FERRO GALVANIZADO, COM ROSCA BSP, DE 3" X 1 1/4"</v>
          </cell>
          <cell r="D4024" t="str">
            <v>UN</v>
          </cell>
          <cell r="E4024" t="str">
            <v>CR</v>
          </cell>
          <cell r="F4024">
            <v>204.14</v>
          </cell>
        </row>
        <row r="4025">
          <cell r="B4025">
            <v>6310</v>
          </cell>
          <cell r="C4025" t="str">
            <v>TE DE REDUCAO DE FERRO GALVANIZADO, COM ROSCA BSP, DE 3" X 1"</v>
          </cell>
          <cell r="D4025" t="str">
            <v>UN</v>
          </cell>
          <cell r="E4025" t="str">
            <v>CR</v>
          </cell>
          <cell r="F4025">
            <v>204.14</v>
          </cell>
        </row>
        <row r="4026">
          <cell r="B4026">
            <v>6314</v>
          </cell>
          <cell r="C4026" t="str">
            <v>TE DE REDUCAO DE FERRO GALVANIZADO, COM ROSCA BSP, DE 3" X 2 1/2"</v>
          </cell>
          <cell r="D4026" t="str">
            <v>UN</v>
          </cell>
          <cell r="E4026" t="str">
            <v>CR</v>
          </cell>
          <cell r="F4026">
            <v>204.14</v>
          </cell>
        </row>
        <row r="4027">
          <cell r="B4027">
            <v>6313</v>
          </cell>
          <cell r="C4027" t="str">
            <v>TE DE REDUCAO DE FERRO GALVANIZADO, COM ROSCA BSP, DE 3" X 2"</v>
          </cell>
          <cell r="D4027" t="str">
            <v>UN</v>
          </cell>
          <cell r="E4027" t="str">
            <v>CR</v>
          </cell>
          <cell r="F4027">
            <v>204.14</v>
          </cell>
        </row>
        <row r="4028">
          <cell r="B4028">
            <v>6302</v>
          </cell>
          <cell r="C4028" t="str">
            <v>TE DE REDUCAO DE FERRO GALVANIZADO, COM ROSCA BSP, DE 3/4" X 1/2"</v>
          </cell>
          <cell r="D4028" t="str">
            <v>UN</v>
          </cell>
          <cell r="E4028" t="str">
            <v>CR</v>
          </cell>
          <cell r="F4028">
            <v>16.239999999999998</v>
          </cell>
        </row>
        <row r="4029">
          <cell r="B4029">
            <v>6315</v>
          </cell>
          <cell r="C4029" t="str">
            <v>TE DE REDUCAO DE FERRO GALVANIZADO, COM ROSCA BSP, DE 4" X 2"</v>
          </cell>
          <cell r="D4029" t="str">
            <v>UN</v>
          </cell>
          <cell r="E4029" t="str">
            <v>CR</v>
          </cell>
          <cell r="F4029">
            <v>386.52</v>
          </cell>
        </row>
        <row r="4030">
          <cell r="B4030">
            <v>6316</v>
          </cell>
          <cell r="C4030" t="str">
            <v>TE DE REDUCAO DE FERRO GALVANIZADO, COM ROSCA BSP, DE 4" X 3"</v>
          </cell>
          <cell r="D4030" t="str">
            <v>UN</v>
          </cell>
          <cell r="E4030" t="str">
            <v>CR</v>
          </cell>
          <cell r="F4030">
            <v>386.52</v>
          </cell>
        </row>
        <row r="4031">
          <cell r="B4031">
            <v>39324</v>
          </cell>
          <cell r="C4031" t="str">
            <v>TE DE REDUCAO, CPVC, 22 X 15 MM, PARA AGUA QUENTE PREDIAL</v>
          </cell>
          <cell r="D4031" t="str">
            <v>UN</v>
          </cell>
          <cell r="E4031" t="str">
            <v>CR</v>
          </cell>
          <cell r="F4031">
            <v>5.0999999999999996</v>
          </cell>
        </row>
        <row r="4032">
          <cell r="B4032">
            <v>39325</v>
          </cell>
          <cell r="C4032" t="str">
            <v>TE DE REDUCAO, CPVC, 28 X 22 MM, PARA AGUA QUENTE PREDIAL</v>
          </cell>
          <cell r="D4032" t="str">
            <v>UN</v>
          </cell>
          <cell r="E4032" t="str">
            <v>CR</v>
          </cell>
          <cell r="F4032">
            <v>7.69</v>
          </cell>
        </row>
        <row r="4033">
          <cell r="B4033">
            <v>39326</v>
          </cell>
          <cell r="C4033" t="str">
            <v>TE DE REDUCAO, CPVC, 35 X 28 MM, PARA AGUA QUENTE PREDIAL</v>
          </cell>
          <cell r="D4033" t="str">
            <v>UN</v>
          </cell>
          <cell r="E4033" t="str">
            <v>CR</v>
          </cell>
          <cell r="F4033">
            <v>27.58</v>
          </cell>
        </row>
        <row r="4034">
          <cell r="B4034">
            <v>39327</v>
          </cell>
          <cell r="C4034" t="str">
            <v>TE DE REDUCAO, CPVC, 42 X 35 MM, PARA AGUA QUENTE PREDIAL</v>
          </cell>
          <cell r="D4034" t="str">
            <v>UN</v>
          </cell>
          <cell r="E4034" t="str">
            <v>CR</v>
          </cell>
          <cell r="F4034">
            <v>41.62</v>
          </cell>
        </row>
        <row r="4035">
          <cell r="B4035">
            <v>11378</v>
          </cell>
          <cell r="C4035" t="str">
            <v>TE DE REDUCAO, PVC PBA, BBB, JE, DN 100 X 50 / DE 110 X 60 MM, PARA REDE DE AGUA</v>
          </cell>
          <cell r="D4035" t="str">
            <v>UN</v>
          </cell>
          <cell r="E4035" t="str">
            <v>CR</v>
          </cell>
          <cell r="F4035">
            <v>113.21</v>
          </cell>
        </row>
        <row r="4036">
          <cell r="B4036">
            <v>11379</v>
          </cell>
          <cell r="C4036" t="str">
            <v>TE DE REDUCAO, PVC PBA, BBB, JE, DN 100 X 75 / DE 110 X 85 MM, PARA REDE DE AGUA</v>
          </cell>
          <cell r="D4036" t="str">
            <v>UN</v>
          </cell>
          <cell r="E4036" t="str">
            <v>CR</v>
          </cell>
          <cell r="F4036">
            <v>95.67</v>
          </cell>
        </row>
        <row r="4037">
          <cell r="B4037">
            <v>11493</v>
          </cell>
          <cell r="C4037" t="str">
            <v>TE DE REDUCAO, PVC PBA, BBB, JE, DN 75 X 50 / DE 85 X 60 MM, PARA REDE DE AGUA</v>
          </cell>
          <cell r="D4037" t="str">
            <v>UN</v>
          </cell>
          <cell r="E4037" t="str">
            <v>CR</v>
          </cell>
          <cell r="F4037">
            <v>55.18</v>
          </cell>
        </row>
        <row r="4038">
          <cell r="B4038">
            <v>7106</v>
          </cell>
          <cell r="C4038" t="str">
            <v>TE DE REDUCAO, PVC, SOLDAVEL, 90 GRAUS, 110 MM X 60 MM, PARA AGUA FRIA PREDIAL</v>
          </cell>
          <cell r="D4038" t="str">
            <v>UN</v>
          </cell>
          <cell r="E4038" t="str">
            <v>CR</v>
          </cell>
          <cell r="F4038">
            <v>167.66</v>
          </cell>
        </row>
        <row r="4039">
          <cell r="B4039">
            <v>7104</v>
          </cell>
          <cell r="C4039" t="str">
            <v>TE DE REDUCAO, PVC, SOLDAVEL, 90 GRAUS, 25 MM X 20 MM, PARA AGUA FRIA PREDIAL</v>
          </cell>
          <cell r="D4039" t="str">
            <v>UN</v>
          </cell>
          <cell r="E4039" t="str">
            <v>CR</v>
          </cell>
          <cell r="F4039">
            <v>4.5199999999999996</v>
          </cell>
        </row>
        <row r="4040">
          <cell r="B4040">
            <v>7136</v>
          </cell>
          <cell r="C4040" t="str">
            <v>TE DE REDUCAO, PVC, SOLDAVEL, 90 GRAUS, 32 MM X 25 MM, PARA AGUA FRIA PREDIAL</v>
          </cell>
          <cell r="D4040" t="str">
            <v>UN</v>
          </cell>
          <cell r="E4040" t="str">
            <v>CR</v>
          </cell>
          <cell r="F4040">
            <v>7.87</v>
          </cell>
        </row>
        <row r="4041">
          <cell r="B4041">
            <v>7128</v>
          </cell>
          <cell r="C4041" t="str">
            <v>TE DE REDUCAO, PVC, SOLDAVEL, 90 GRAUS, 40 MM X 32 MM, PARA AGUA FRIA PREDIAL</v>
          </cell>
          <cell r="D4041" t="str">
            <v>UN</v>
          </cell>
          <cell r="E4041" t="str">
            <v>CR</v>
          </cell>
          <cell r="F4041">
            <v>10.210000000000001</v>
          </cell>
        </row>
        <row r="4042">
          <cell r="B4042">
            <v>7108</v>
          </cell>
          <cell r="C4042" t="str">
            <v>TE DE REDUCAO, PVC, SOLDAVEL, 90 GRAUS, 50 MM X 20 MM, PARA AGUA FRIA PREDIAL</v>
          </cell>
          <cell r="D4042" t="str">
            <v>UN</v>
          </cell>
          <cell r="E4042" t="str">
            <v>CR</v>
          </cell>
          <cell r="F4042">
            <v>10.18</v>
          </cell>
        </row>
        <row r="4043">
          <cell r="B4043">
            <v>7129</v>
          </cell>
          <cell r="C4043" t="str">
            <v>TE DE REDUCAO, PVC, SOLDAVEL, 90 GRAUS, 50 MM X 25 MM, PARA AGUA FRIA PREDIAL</v>
          </cell>
          <cell r="D4043" t="str">
            <v>UN</v>
          </cell>
          <cell r="E4043" t="str">
            <v>CR</v>
          </cell>
          <cell r="F4043">
            <v>11.99</v>
          </cell>
        </row>
        <row r="4044">
          <cell r="B4044">
            <v>7130</v>
          </cell>
          <cell r="C4044" t="str">
            <v>TE DE REDUCAO, PVC, SOLDAVEL, 90 GRAUS, 50 MM X 32 MM, PARA AGUA FRIA PREDIAL</v>
          </cell>
          <cell r="D4044" t="str">
            <v>UN</v>
          </cell>
          <cell r="E4044" t="str">
            <v>CR</v>
          </cell>
          <cell r="F4044">
            <v>17.420000000000002</v>
          </cell>
        </row>
        <row r="4045">
          <cell r="B4045">
            <v>7131</v>
          </cell>
          <cell r="C4045" t="str">
            <v>TE DE REDUCAO, PVC, SOLDAVEL, 90 GRAUS, 50 MM X 40 MM, PARA AGUA FRIA PREDIAL</v>
          </cell>
          <cell r="D4045" t="str">
            <v>UN</v>
          </cell>
          <cell r="E4045" t="str">
            <v>CR</v>
          </cell>
          <cell r="F4045">
            <v>21.3</v>
          </cell>
        </row>
        <row r="4046">
          <cell r="B4046">
            <v>7132</v>
          </cell>
          <cell r="C4046" t="str">
            <v>TE DE REDUCAO, PVC, SOLDAVEL, 90 GRAUS, 75 MM X 50 MM, PARA AGUA FRIA PREDIAL</v>
          </cell>
          <cell r="D4046" t="str">
            <v>UN</v>
          </cell>
          <cell r="E4046" t="str">
            <v>CR</v>
          </cell>
          <cell r="F4046">
            <v>50.15</v>
          </cell>
        </row>
        <row r="4047">
          <cell r="B4047">
            <v>7133</v>
          </cell>
          <cell r="C4047" t="str">
            <v>TE DE REDUCAO, PVC, SOLDAVEL, 90 GRAUS, 85 MM X 60 MM, PARA AGUA FRIA PREDIAL</v>
          </cell>
          <cell r="D4047" t="str">
            <v>UN</v>
          </cell>
          <cell r="E4047" t="str">
            <v>CR</v>
          </cell>
          <cell r="F4047">
            <v>115.88</v>
          </cell>
        </row>
        <row r="4048">
          <cell r="B4048">
            <v>37422</v>
          </cell>
          <cell r="C4048" t="str">
            <v>TE DE SERVICO INTEGRADO, EM POLIPROPILENO (PP), PARA TUBOS EM PEAD, 63 X 20 MM - LIGACAO PREDIAL DE AGUA</v>
          </cell>
          <cell r="D4048" t="str">
            <v>UN</v>
          </cell>
          <cell r="E4048" t="str">
            <v>CR</v>
          </cell>
          <cell r="F4048">
            <v>58.47</v>
          </cell>
        </row>
        <row r="4049">
          <cell r="B4049">
            <v>37420</v>
          </cell>
          <cell r="C4049" t="str">
            <v>TE DE SERVICO INTEGRADO, EM POLIPROPILENO (PP), PARA TUBOS EM PEAD/PVC, 60 X 20 MM - LIGACAO PREDIAL DE AGUA</v>
          </cell>
          <cell r="D4049" t="str">
            <v>UN</v>
          </cell>
          <cell r="E4049" t="str">
            <v>CR</v>
          </cell>
          <cell r="F4049">
            <v>45.71</v>
          </cell>
        </row>
        <row r="4050">
          <cell r="B4050">
            <v>37421</v>
          </cell>
          <cell r="C4050" t="str">
            <v>TE DE SERVICO INTEGRADO, EM POLIPROPILENO (PP), PARA TUBOS EM PEAD/PVC, 60 X 32 MM - LIGACAO PREDIAL DE AGUA</v>
          </cell>
          <cell r="D4050" t="str">
            <v>UN</v>
          </cell>
          <cell r="E4050" t="str">
            <v>CR</v>
          </cell>
          <cell r="F4050">
            <v>62.47</v>
          </cell>
        </row>
        <row r="4051">
          <cell r="B4051">
            <v>37443</v>
          </cell>
          <cell r="C4051" t="str">
            <v>TE DE SERVICO, PEAD PE 100, DE 125 X 20 MM, PARA ELETROFUSAO</v>
          </cell>
          <cell r="D4051" t="str">
            <v>UN</v>
          </cell>
          <cell r="E4051" t="str">
            <v>CR</v>
          </cell>
          <cell r="F4051">
            <v>202.82</v>
          </cell>
        </row>
        <row r="4052">
          <cell r="B4052">
            <v>37444</v>
          </cell>
          <cell r="C4052" t="str">
            <v>TE DE SERVICO, PEAD PE 100, DE 125 X 32 MM, PARA ELETROFUSAO</v>
          </cell>
          <cell r="D4052" t="str">
            <v>UN</v>
          </cell>
          <cell r="E4052" t="str">
            <v>CR</v>
          </cell>
          <cell r="F4052">
            <v>206.26</v>
          </cell>
        </row>
        <row r="4053">
          <cell r="B4053">
            <v>37445</v>
          </cell>
          <cell r="C4053" t="str">
            <v>TE DE SERVICO, PEAD PE 100, DE 125 X 63 MM, PARA ELETROFUSAO</v>
          </cell>
          <cell r="D4053" t="str">
            <v>UN</v>
          </cell>
          <cell r="E4053" t="str">
            <v>CR</v>
          </cell>
          <cell r="F4053">
            <v>312.63</v>
          </cell>
        </row>
        <row r="4054">
          <cell r="B4054">
            <v>37446</v>
          </cell>
          <cell r="C4054" t="str">
            <v>TE DE SERVICO, PEAD PE 100, DE 200 X 20 MM, PARA ELETROFUSAO</v>
          </cell>
          <cell r="D4054" t="str">
            <v>UN</v>
          </cell>
          <cell r="E4054" t="str">
            <v>CR</v>
          </cell>
          <cell r="F4054">
            <v>340.82</v>
          </cell>
        </row>
        <row r="4055">
          <cell r="B4055">
            <v>37447</v>
          </cell>
          <cell r="C4055" t="str">
            <v>TE DE SERVICO, PEAD PE 100, DE 200 X 32 MM, PARA ELETROFUSAO</v>
          </cell>
          <cell r="D4055" t="str">
            <v>UN</v>
          </cell>
          <cell r="E4055" t="str">
            <v>CR</v>
          </cell>
          <cell r="F4055">
            <v>346.15</v>
          </cell>
        </row>
        <row r="4056">
          <cell r="B4056">
            <v>37448</v>
          </cell>
          <cell r="C4056" t="str">
            <v>TE DE SERVICO, PEAD PE 100, DE 200 X 63 MM, PARA ELETROFUSAO</v>
          </cell>
          <cell r="D4056" t="str">
            <v>UN</v>
          </cell>
          <cell r="E4056" t="str">
            <v>CR</v>
          </cell>
          <cell r="F4056">
            <v>474.8</v>
          </cell>
        </row>
        <row r="4057">
          <cell r="B4057">
            <v>37440</v>
          </cell>
          <cell r="C4057" t="str">
            <v>TE DE SERVICO, PEAD PE 100, DE 63 X 20 MM, PARA ELETROFUSAO</v>
          </cell>
          <cell r="D4057" t="str">
            <v>UN</v>
          </cell>
          <cell r="E4057" t="str">
            <v>CR</v>
          </cell>
          <cell r="F4057">
            <v>160.97999999999999</v>
          </cell>
        </row>
        <row r="4058">
          <cell r="B4058">
            <v>37441</v>
          </cell>
          <cell r="C4058" t="str">
            <v>TE DE SERVICO, PEAD PE 100, DE 63 X 32 MM, PARA ELETROFUSAO</v>
          </cell>
          <cell r="D4058" t="str">
            <v>UN</v>
          </cell>
          <cell r="E4058" t="str">
            <v>CR</v>
          </cell>
          <cell r="F4058">
            <v>160.97999999999999</v>
          </cell>
        </row>
        <row r="4059">
          <cell r="B4059">
            <v>37442</v>
          </cell>
          <cell r="C4059" t="str">
            <v>TE DE SERVICO, PEAD PE 100, DE 63 X 63 MM, PARA ELETROFUSAO</v>
          </cell>
          <cell r="D4059" t="str">
            <v>UN</v>
          </cell>
          <cell r="E4059" t="str">
            <v>CR</v>
          </cell>
          <cell r="F4059">
            <v>193.89</v>
          </cell>
        </row>
        <row r="4060">
          <cell r="B4060">
            <v>38017</v>
          </cell>
          <cell r="C4060" t="str">
            <v>TE DE TRANSICAO, CPVC, SOLDAVEL, 15 MM X 1/2", PARA AGUA QUENTE</v>
          </cell>
          <cell r="D4060" t="str">
            <v>UN</v>
          </cell>
          <cell r="E4060" t="str">
            <v>CR</v>
          </cell>
          <cell r="F4060">
            <v>10.43</v>
          </cell>
        </row>
        <row r="4061">
          <cell r="B4061">
            <v>38018</v>
          </cell>
          <cell r="C4061" t="str">
            <v>TE DE TRANSICAO, CPVC, SOLDAVEL, 22 MM X 1/2", PARA AGUA QUENTE</v>
          </cell>
          <cell r="D4061" t="str">
            <v>UN</v>
          </cell>
          <cell r="E4061" t="str">
            <v>CR</v>
          </cell>
          <cell r="F4061">
            <v>11.72</v>
          </cell>
        </row>
        <row r="4062">
          <cell r="B4062">
            <v>39895</v>
          </cell>
          <cell r="C4062" t="str">
            <v>TE DUPLA CURVA BRONZE/LATAO SEM ANEL DE SOLDA, ROSCA F X BOLSA X ROSCA F, 1/2" X 15 X 1/2"</v>
          </cell>
          <cell r="D4062" t="str">
            <v>UN</v>
          </cell>
          <cell r="E4062" t="str">
            <v>CR</v>
          </cell>
          <cell r="F4062">
            <v>53.83</v>
          </cell>
        </row>
        <row r="4063">
          <cell r="B4063">
            <v>39896</v>
          </cell>
          <cell r="C4063" t="str">
            <v>TE DUPLA CURVA BRONZE/LATAO SEM ANEL DE SOLDA, ROSCA F X BOLSA X ROSCA F, 3/4" X 22 X 3/4"</v>
          </cell>
          <cell r="D4063" t="str">
            <v>UN</v>
          </cell>
          <cell r="E4063" t="str">
            <v>CR</v>
          </cell>
          <cell r="F4063">
            <v>78.89</v>
          </cell>
        </row>
        <row r="4064">
          <cell r="B4064">
            <v>44038</v>
          </cell>
          <cell r="C4064" t="str">
            <v>TE HORIZONTAL 90 GRAUS, PARA ELETROCALHA, EM CHAPA DE ACO GALVANIZADO, ESPESSURA #14, 700 X 50 MM (L X A), SEM VIROLA, SEM TAMPA</v>
          </cell>
          <cell r="D4064" t="str">
            <v>UN</v>
          </cell>
          <cell r="E4064" t="str">
            <v>CR</v>
          </cell>
          <cell r="F4064">
            <v>232.72</v>
          </cell>
        </row>
        <row r="4065">
          <cell r="B4065">
            <v>44040</v>
          </cell>
          <cell r="C4065" t="str">
            <v>TE HORIZONTAL 90 GRAUS, PARA ELETROCALHA, EM CHAPA DE ACO GALVANIZADO, ESPESSURA #14, 800 X 50 MM (L X A), SEM VIROLA, SEM TAMPA</v>
          </cell>
          <cell r="D4065" t="str">
            <v>UN</v>
          </cell>
          <cell r="E4065" t="str">
            <v>CR</v>
          </cell>
          <cell r="F4065">
            <v>296.93</v>
          </cell>
        </row>
        <row r="4066">
          <cell r="B4066">
            <v>44035</v>
          </cell>
          <cell r="C4066" t="str">
            <v>TE HORIZONTAL 90 GRAUS, PARA ELETROCALHA, EM CHAPA DE ACO GALVANIZADO, ESPESSURA #16, 500 X 50 MM (L X A), SEM VIROLA, SEM TAMPA</v>
          </cell>
          <cell r="D4066" t="str">
            <v>UN</v>
          </cell>
          <cell r="E4066" t="str">
            <v>CR</v>
          </cell>
          <cell r="F4066">
            <v>138.46</v>
          </cell>
        </row>
        <row r="4067">
          <cell r="B4067">
            <v>44037</v>
          </cell>
          <cell r="C4067" t="str">
            <v>TE HORIZONTAL 90 GRAUS, PARA ELETROCALHA, EM CHAPA DE ACO GALVANIZADO, ESPESSURA #16, 600 X 50 MM (L X A), SEM VIROLA, SEM TAMPA</v>
          </cell>
          <cell r="D4067" t="str">
            <v>UN</v>
          </cell>
          <cell r="E4067" t="str">
            <v>CR</v>
          </cell>
          <cell r="F4067">
            <v>176.17</v>
          </cell>
        </row>
        <row r="4068">
          <cell r="B4068">
            <v>44033</v>
          </cell>
          <cell r="C4068" t="str">
            <v>TE HORIZONTAL 90 GRAUS, PARA ELETROCALHA, EM CHAPA DE ACO GALVANIZADO, ESPESSURA #18, 300 X 50 MM (L X A), SEM VIROLA, SEM TAMPA</v>
          </cell>
          <cell r="D4068" t="str">
            <v>UN</v>
          </cell>
          <cell r="E4068" t="str">
            <v>CR</v>
          </cell>
          <cell r="F4068">
            <v>54.76</v>
          </cell>
        </row>
        <row r="4069">
          <cell r="B4069">
            <v>44034</v>
          </cell>
          <cell r="C4069" t="str">
            <v>TE HORIZONTAL 90 GRAUS, PARA ELETROCALHA, EM CHAPA DE ACO GALVANIZADO, ESPESSURA #18, 400 X 50 MM (L X A), SEM VIROLA, SEM TAMPA</v>
          </cell>
          <cell r="D4069" t="str">
            <v>UN</v>
          </cell>
          <cell r="E4069" t="str">
            <v>CR</v>
          </cell>
          <cell r="F4069">
            <v>75.27</v>
          </cell>
        </row>
        <row r="4070">
          <cell r="B4070">
            <v>44028</v>
          </cell>
          <cell r="C4070" t="str">
            <v>TE HORIZONTAL 90 GRAUS, PARA ELETROCALHA, EM CHAPA DE ACO GALVANIZADO, ESPESSURA #22, 100 X 50 MM (L X A), SEM VIROLA, SEM TAMPA</v>
          </cell>
          <cell r="D4070" t="str">
            <v>UN</v>
          </cell>
          <cell r="E4070" t="str">
            <v>CR</v>
          </cell>
          <cell r="F4070">
            <v>21.98</v>
          </cell>
        </row>
        <row r="4071">
          <cell r="B4071">
            <v>44029</v>
          </cell>
          <cell r="C4071" t="str">
            <v>TE HORIZONTAL 90 GRAUS, PARA ELETROCALHA, EM CHAPA DE ACO GALVANIZADO, ESPESSURA #22, 125 X 50 MM (L X A), SEM VIROLA, SEM TAMPA</v>
          </cell>
          <cell r="D4071" t="str">
            <v>UN</v>
          </cell>
          <cell r="E4071" t="str">
            <v>CR</v>
          </cell>
          <cell r="F4071">
            <v>23.36</v>
          </cell>
        </row>
        <row r="4072">
          <cell r="B4072">
            <v>44030</v>
          </cell>
          <cell r="C4072" t="str">
            <v>TE HORIZONTAL 90 GRAUS, PARA ELETROCALHA, EM CHAPA DE ACO GALVANIZADO, ESPESSURA #22, 150 X 50 MM (L X A), SEM VIROLA, SEM TAMPA</v>
          </cell>
          <cell r="D4072" t="str">
            <v>UN</v>
          </cell>
          <cell r="E4072" t="str">
            <v>CR</v>
          </cell>
          <cell r="F4072">
            <v>28.06</v>
          </cell>
        </row>
        <row r="4073">
          <cell r="B4073">
            <v>44031</v>
          </cell>
          <cell r="C4073" t="str">
            <v>TE HORIZONTAL 90 GRAUS, PARA ELETROCALHA, EM CHAPA DE ACO GALVANIZADO, ESPESSURA #22, 200 X 50 MM (L X A), SEM VIROLA, SEM TAMPA</v>
          </cell>
          <cell r="D4073" t="str">
            <v>UN</v>
          </cell>
          <cell r="E4073" t="str">
            <v>CR</v>
          </cell>
          <cell r="F4073">
            <v>34.450000000000003</v>
          </cell>
        </row>
        <row r="4074">
          <cell r="B4074">
            <v>44032</v>
          </cell>
          <cell r="C4074" t="str">
            <v>TE HORIZONTAL 90 GRAUS, PARA ELETROCALHA, EM CHAPA DE ACO GALVANIZADO, ESPESSURA #22, 250 X 50 MM (L X A), SEM VIROLA, SEM TAMPA</v>
          </cell>
          <cell r="D4074" t="str">
            <v>UN</v>
          </cell>
          <cell r="E4074" t="str">
            <v>CR</v>
          </cell>
          <cell r="F4074">
            <v>39.090000000000003</v>
          </cell>
        </row>
        <row r="4075">
          <cell r="B4075">
            <v>44036</v>
          </cell>
          <cell r="C4075" t="str">
            <v>TE HORIZONTAL 90 GRAUS, PARA ELETROCALHA, EM CHAPA DE ACO GALVANIZADO, ESPESSURA #22, 50 X 50 MM (L X A), SEM VIROLA, SEM TAMPA</v>
          </cell>
          <cell r="D4075" t="str">
            <v>UN</v>
          </cell>
          <cell r="E4075" t="str">
            <v>CR</v>
          </cell>
          <cell r="F4075">
            <v>16.14</v>
          </cell>
        </row>
        <row r="4076">
          <cell r="B4076">
            <v>44039</v>
          </cell>
          <cell r="C4076" t="str">
            <v>TE HORIZONTAL 90 GRAUS, PARA ELETROCALHA, EM CHAPA DE ACO GALVANIZADO, ESPESSURA #22, 75 X 50 MM (L X A), SEM VIROLA, SEM TAMPA</v>
          </cell>
          <cell r="D4076" t="str">
            <v>UN</v>
          </cell>
          <cell r="E4076" t="str">
            <v>CR</v>
          </cell>
          <cell r="F4076">
            <v>19.64</v>
          </cell>
        </row>
        <row r="4077">
          <cell r="B4077">
            <v>38873</v>
          </cell>
          <cell r="C4077" t="str">
            <v>TE METALICO, PARA CONEXAO COM ANEL DESLIZANTE, DN 16 MM, EM TUBO PEX PARA INST. AGUA QUENTE/FRIA</v>
          </cell>
          <cell r="D4077" t="str">
            <v>UN</v>
          </cell>
          <cell r="E4077" t="str">
            <v>CR</v>
          </cell>
          <cell r="F4077">
            <v>16.77</v>
          </cell>
        </row>
        <row r="4078">
          <cell r="B4078">
            <v>38874</v>
          </cell>
          <cell r="C4078" t="str">
            <v>TE METALICO, PARA CONEXAO COM ANEL DESLIZANTE, DN 20 MM, EM TUBO PEX PARA INST. AGUA QUENTE/FRIA</v>
          </cell>
          <cell r="D4078" t="str">
            <v>UN</v>
          </cell>
          <cell r="E4078" t="str">
            <v>CR</v>
          </cell>
          <cell r="F4078">
            <v>21.24</v>
          </cell>
        </row>
        <row r="4079">
          <cell r="B4079">
            <v>38875</v>
          </cell>
          <cell r="C4079" t="str">
            <v>TE METALICO, PARA CONEXAO COM ANEL DESLIZANTE, DN 25 MM, EM TUBO PEX PARA INST. AGUA QUENTE/FRIA</v>
          </cell>
          <cell r="D4079" t="str">
            <v>UN</v>
          </cell>
          <cell r="E4079" t="str">
            <v>CR</v>
          </cell>
          <cell r="F4079">
            <v>33.659999999999997</v>
          </cell>
        </row>
        <row r="4080">
          <cell r="B4080">
            <v>38876</v>
          </cell>
          <cell r="C4080" t="str">
            <v>TE METALICO, PARA CONEXAO COM ANEL DESLIZANTE, DN 32 MM, EM TUBO PEX PARA INST. AGUA QUENTE/FRIA</v>
          </cell>
          <cell r="D4080" t="str">
            <v>UN</v>
          </cell>
          <cell r="E4080" t="str">
            <v>CR</v>
          </cell>
          <cell r="F4080">
            <v>45.23</v>
          </cell>
        </row>
        <row r="4081">
          <cell r="B4081">
            <v>39000</v>
          </cell>
          <cell r="C4081" t="str">
            <v>TE MISTURADOR COM INSERTO METALICO, FEMEA, PPR, DN 25 MM X 3/4", PARA AGUA QUENTE E FRIA PREDIAL</v>
          </cell>
          <cell r="D4081" t="str">
            <v>UN</v>
          </cell>
          <cell r="E4081" t="str">
            <v>CR</v>
          </cell>
          <cell r="F4081">
            <v>36.32</v>
          </cell>
        </row>
        <row r="4082">
          <cell r="B4082">
            <v>38674</v>
          </cell>
          <cell r="C4082" t="str">
            <v>TE MISTURADOR DE TRANSICAO, CPVC, COM ROSCA, 22 MM X 3/4", PARA AGUA QUENTE</v>
          </cell>
          <cell r="D4082" t="str">
            <v>UN</v>
          </cell>
          <cell r="E4082" t="str">
            <v>CR</v>
          </cell>
          <cell r="F4082">
            <v>35.090000000000003</v>
          </cell>
        </row>
        <row r="4083">
          <cell r="B4083">
            <v>38019</v>
          </cell>
          <cell r="C4083" t="str">
            <v>TE MISTURADOR, CPVC, SOLDAVEL, 15 MM, PARA AGUA QUENTE</v>
          </cell>
          <cell r="D4083" t="str">
            <v>UN</v>
          </cell>
          <cell r="E4083" t="str">
            <v>CR</v>
          </cell>
          <cell r="F4083">
            <v>7.42</v>
          </cell>
        </row>
        <row r="4084">
          <cell r="B4084">
            <v>38020</v>
          </cell>
          <cell r="C4084" t="str">
            <v>TE MISTURADOR, CPVC, SOLDAVEL, 22 MM, PARA AGUA QUENTE</v>
          </cell>
          <cell r="D4084" t="str">
            <v>UN</v>
          </cell>
          <cell r="E4084" t="str">
            <v>CR</v>
          </cell>
          <cell r="F4084">
            <v>9.14</v>
          </cell>
        </row>
        <row r="4085">
          <cell r="B4085">
            <v>38454</v>
          </cell>
          <cell r="C4085" t="str">
            <v>TE MISTURADOR, PPR, F/M/M, DN 20 X 20 MM, PARA AGUA QUENTE PREDIAL</v>
          </cell>
          <cell r="D4085" t="str">
            <v>UN</v>
          </cell>
          <cell r="E4085" t="str">
            <v>CR</v>
          </cell>
          <cell r="F4085">
            <v>13.62</v>
          </cell>
        </row>
        <row r="4086">
          <cell r="B4086">
            <v>38455</v>
          </cell>
          <cell r="C4086" t="str">
            <v>TE MISTURADOR, PPR, F/M/M, DN 25 X 25 MM, PARA AGUA QUENTE PREDIAL</v>
          </cell>
          <cell r="D4086" t="str">
            <v>UN</v>
          </cell>
          <cell r="E4086" t="str">
            <v>CR</v>
          </cell>
          <cell r="F4086">
            <v>18.23</v>
          </cell>
        </row>
        <row r="4087">
          <cell r="B4087">
            <v>38462</v>
          </cell>
          <cell r="C4087" t="str">
            <v>TE NORMAL, PPR, F/F/F, SOLDAVEL, 90 GRAUS, DN 110 X 110 X 110 MM, PARA AGUA QUENTE PREDIAL</v>
          </cell>
          <cell r="D4087" t="str">
            <v>UN</v>
          </cell>
          <cell r="E4087" t="str">
            <v>CR</v>
          </cell>
          <cell r="F4087">
            <v>293.94</v>
          </cell>
        </row>
        <row r="4088">
          <cell r="B4088">
            <v>36362</v>
          </cell>
          <cell r="C4088" t="str">
            <v>TE NORMAL, PPR, F/F/F, SOLDAVEL, 90 GRAUS, DN 20 X 20 X 20 MM, PARA AGUA QUENTE PREDIAL</v>
          </cell>
          <cell r="D4088" t="str">
            <v>UN</v>
          </cell>
          <cell r="E4088" t="str">
            <v>CR</v>
          </cell>
          <cell r="F4088">
            <v>4.0599999999999996</v>
          </cell>
        </row>
        <row r="4089">
          <cell r="B4089">
            <v>36298</v>
          </cell>
          <cell r="C4089" t="str">
            <v>TE NORMAL, PPR, F/F/F, SOLDAVEL, 90 GRAUS, DN 25 X 25 X 25 MM, PARA AGUA QUENTE PREDIAL</v>
          </cell>
          <cell r="D4089" t="str">
            <v>UN</v>
          </cell>
          <cell r="E4089" t="str">
            <v>CR</v>
          </cell>
          <cell r="F4089">
            <v>3.49</v>
          </cell>
        </row>
        <row r="4090">
          <cell r="B4090">
            <v>38456</v>
          </cell>
          <cell r="C4090" t="str">
            <v>TE NORMAL, PPR, F/F/F, SOLDAVEL, 90 GRAUS, DN 32 X 32 X 32 MM, PARA AGUA QUENTE PREDIAL</v>
          </cell>
          <cell r="D4090" t="str">
            <v>UN</v>
          </cell>
          <cell r="E4090" t="str">
            <v>CR</v>
          </cell>
          <cell r="F4090">
            <v>8.69</v>
          </cell>
        </row>
        <row r="4091">
          <cell r="B4091">
            <v>38457</v>
          </cell>
          <cell r="C4091" t="str">
            <v>TE NORMAL, PPR, F/F/F, SOLDAVEL, 90 GRAUS, DN 40 X 40 X 40 MM, PARA AGUA QUENTE PREDIAL</v>
          </cell>
          <cell r="D4091" t="str">
            <v>UN</v>
          </cell>
          <cell r="E4091" t="str">
            <v>CR</v>
          </cell>
          <cell r="F4091">
            <v>15.84</v>
          </cell>
        </row>
        <row r="4092">
          <cell r="B4092">
            <v>38458</v>
          </cell>
          <cell r="C4092" t="str">
            <v>TE NORMAL, PPR, F/F/F, SOLDAVEL, 90 GRAUS, DN 50 X 50 X 50 MM, PARA AGUA QUENTE PREDIAL</v>
          </cell>
          <cell r="D4092" t="str">
            <v>UN</v>
          </cell>
          <cell r="E4092" t="str">
            <v>CR</v>
          </cell>
          <cell r="F4092">
            <v>30.51</v>
          </cell>
        </row>
        <row r="4093">
          <cell r="B4093">
            <v>38459</v>
          </cell>
          <cell r="C4093" t="str">
            <v>TE NORMAL, PPR, F/F/F, SOLDAVEL, 90 GRAUS, DN 63 X 63 X 63 MM, PARA AGUA QUENTE PREDIAL</v>
          </cell>
          <cell r="D4093" t="str">
            <v>UN</v>
          </cell>
          <cell r="E4093" t="str">
            <v>CR</v>
          </cell>
          <cell r="F4093">
            <v>47.96</v>
          </cell>
        </row>
        <row r="4094">
          <cell r="B4094">
            <v>38460</v>
          </cell>
          <cell r="C4094" t="str">
            <v>TE NORMAL, PPR, F/F/F, SOLDAVEL, 90 GRAUS, DN 75 X 75 X 75 MM, PARA AGUA QUENTE PREDIAL</v>
          </cell>
          <cell r="D4094" t="str">
            <v>UN</v>
          </cell>
          <cell r="E4094" t="str">
            <v>CR</v>
          </cell>
          <cell r="F4094">
            <v>102.89</v>
          </cell>
        </row>
        <row r="4095">
          <cell r="B4095">
            <v>38461</v>
          </cell>
          <cell r="C4095" t="str">
            <v>TE NORMAL, PPR, F/F/F, SOLDAVEL, 90 GRAUS, DN 90 X 90 X 90 MM, PARA AGUA QUENTE PREDIAL</v>
          </cell>
          <cell r="D4095" t="str">
            <v>UN</v>
          </cell>
          <cell r="E4095" t="str">
            <v>CR</v>
          </cell>
          <cell r="F4095">
            <v>138.08000000000001</v>
          </cell>
        </row>
        <row r="4096">
          <cell r="B4096">
            <v>7094</v>
          </cell>
          <cell r="C4096" t="str">
            <v>TE PVC ROSCAVEL 90 GRAUS, 1", PARA AGUA FRIA PREDIAL</v>
          </cell>
          <cell r="D4096" t="str">
            <v>UN</v>
          </cell>
          <cell r="E4096" t="str">
            <v>CR</v>
          </cell>
          <cell r="F4096">
            <v>14.75</v>
          </cell>
        </row>
        <row r="4097">
          <cell r="B4097">
            <v>7116</v>
          </cell>
          <cell r="C4097" t="str">
            <v>TE PVC SOLDAVEL, BBB, 90 GRAUS, DN 40 MM, PARA ESGOTO SECUNDARIO PREDIAL</v>
          </cell>
          <cell r="D4097" t="str">
            <v>UN</v>
          </cell>
          <cell r="E4097" t="str">
            <v>CR</v>
          </cell>
          <cell r="F4097">
            <v>4.42</v>
          </cell>
        </row>
        <row r="4098">
          <cell r="B4098">
            <v>7118</v>
          </cell>
          <cell r="C4098" t="str">
            <v>TE PVC, ROSCAVEL, 90 GRAUS, 1 1/2", AGUA FRIA PREDIAL</v>
          </cell>
          <cell r="D4098" t="str">
            <v>UN</v>
          </cell>
          <cell r="E4098" t="str">
            <v>CR</v>
          </cell>
          <cell r="F4098">
            <v>30.34</v>
          </cell>
        </row>
        <row r="4099">
          <cell r="B4099">
            <v>7098</v>
          </cell>
          <cell r="C4099" t="str">
            <v>TE PVC, ROSCAVEL, 90 GRAUS, 1/2", AGUA FRIA PREDIAL</v>
          </cell>
          <cell r="D4099" t="str">
            <v>UN</v>
          </cell>
          <cell r="E4099" t="str">
            <v>CR</v>
          </cell>
          <cell r="F4099">
            <v>4.51</v>
          </cell>
        </row>
        <row r="4100">
          <cell r="B4100">
            <v>7110</v>
          </cell>
          <cell r="C4100" t="str">
            <v>TE PVC, ROSCAVEL, 90 GRAUS, 2", AGUA FRIA PREDIAL</v>
          </cell>
          <cell r="D4100" t="str">
            <v>UN</v>
          </cell>
          <cell r="E4100" t="str">
            <v>CR</v>
          </cell>
          <cell r="F4100">
            <v>57.68</v>
          </cell>
        </row>
        <row r="4101">
          <cell r="B4101">
            <v>7123</v>
          </cell>
          <cell r="C4101" t="str">
            <v>TE PVC, ROSCAVEL, 90 GRAUS, 3/4", AGUA FRIA PREDIAL</v>
          </cell>
          <cell r="D4101" t="str">
            <v>UN</v>
          </cell>
          <cell r="E4101" t="str">
            <v>CR</v>
          </cell>
          <cell r="F4101">
            <v>5.45</v>
          </cell>
        </row>
        <row r="4102">
          <cell r="B4102">
            <v>7121</v>
          </cell>
          <cell r="C4102" t="str">
            <v>TE PVC, SOLDAVEL, COM BUCHA DE LATAO NA BOLSA CENTRAL, 90 GRAUS, 20 MM X 1/2", PARA AGUA FRIA PREDIAL</v>
          </cell>
          <cell r="D4102" t="str">
            <v>UN</v>
          </cell>
          <cell r="E4102" t="str">
            <v>CR</v>
          </cell>
          <cell r="F4102">
            <v>10.79</v>
          </cell>
        </row>
        <row r="4103">
          <cell r="B4103">
            <v>7137</v>
          </cell>
          <cell r="C4103" t="str">
            <v>TE PVC, SOLDAVEL, COM BUCHA DE LATAO NA BOLSA CENTRAL, 90 GRAUS, 25 MM X 1/2", PARA AGUA FRIA PREDIAL</v>
          </cell>
          <cell r="D4103" t="str">
            <v>UN</v>
          </cell>
          <cell r="E4103" t="str">
            <v>CR</v>
          </cell>
          <cell r="F4103">
            <v>11.78</v>
          </cell>
        </row>
        <row r="4104">
          <cell r="B4104">
            <v>7122</v>
          </cell>
          <cell r="C4104" t="str">
            <v>TE PVC, SOLDAVEL, COM BUCHA DE LATAO NA BOLSA CENTRAL, 90 GRAUS, 25 MM X 3/4", PARA AGUA FRIA PREDIAL</v>
          </cell>
          <cell r="D4104" t="str">
            <v>UN</v>
          </cell>
          <cell r="E4104" t="str">
            <v>CR</v>
          </cell>
          <cell r="F4104">
            <v>12.97</v>
          </cell>
        </row>
        <row r="4105">
          <cell r="B4105">
            <v>7114</v>
          </cell>
          <cell r="C4105" t="str">
            <v>TE PVC, SOLDAVEL, COM BUCHA DE LATAO NA BOLSA CENTRAL, 90 GRAUS, 32 MM X 3/4", PARA AGUA FRIA PREDIAL</v>
          </cell>
          <cell r="D4105" t="str">
            <v>UN</v>
          </cell>
          <cell r="E4105" t="str">
            <v>CR</v>
          </cell>
          <cell r="F4105">
            <v>15.08</v>
          </cell>
        </row>
        <row r="4106">
          <cell r="B4106">
            <v>7109</v>
          </cell>
          <cell r="C4106" t="str">
            <v>TE PVC, SOLDAVEL, COM ROSCA NA BOLSA CENTRAL, 90 GRAUS, 20 MM X 1/2", PARA AGUA FRIA PREDIAL</v>
          </cell>
          <cell r="D4106" t="str">
            <v>UN</v>
          </cell>
          <cell r="E4106" t="str">
            <v>CR</v>
          </cell>
          <cell r="F4106">
            <v>2.99</v>
          </cell>
        </row>
        <row r="4107">
          <cell r="B4107">
            <v>7135</v>
          </cell>
          <cell r="C4107" t="str">
            <v>TE PVC, SOLDAVEL, COM ROSCA NA BOLSA CENTRAL, 90 GRAUS, 25 MM X 1/2", PARA AGUA FRIA PREDIAL</v>
          </cell>
          <cell r="D4107" t="str">
            <v>UN</v>
          </cell>
          <cell r="E4107" t="str">
            <v>CR</v>
          </cell>
          <cell r="F4107">
            <v>6.12</v>
          </cell>
        </row>
        <row r="4108">
          <cell r="B4108">
            <v>37947</v>
          </cell>
          <cell r="C4108" t="str">
            <v>TE PVC, SOLDAVEL, COM ROSCA NA BOLSA CENTRAL, 90 GRAUS, 25 MM X 3/4", PARA AGUA FRIA PREDIAL</v>
          </cell>
          <cell r="D4108" t="str">
            <v>UN</v>
          </cell>
          <cell r="E4108" t="str">
            <v>CR</v>
          </cell>
          <cell r="F4108">
            <v>4.9800000000000004</v>
          </cell>
        </row>
        <row r="4109">
          <cell r="B4109">
            <v>7103</v>
          </cell>
          <cell r="C4109" t="str">
            <v>TE PVC, SOLDAVEL, COM ROSCA NA BOLSA CENTRAL, 90 GRAUS, 32 MM X 3/4", PARA AGUA FRIA PREDIAL</v>
          </cell>
          <cell r="D4109" t="str">
            <v>UN</v>
          </cell>
          <cell r="E4109" t="str">
            <v>CR</v>
          </cell>
          <cell r="F4109">
            <v>16.22</v>
          </cell>
        </row>
        <row r="4110">
          <cell r="B4110">
            <v>40419</v>
          </cell>
          <cell r="C4110" t="str">
            <v>TE RANHURADO EM FERRO FUNDIDO, DN 50 (2")</v>
          </cell>
          <cell r="D4110" t="str">
            <v>UN</v>
          </cell>
          <cell r="E4110" t="str">
            <v>CR</v>
          </cell>
          <cell r="F4110">
            <v>34.25</v>
          </cell>
        </row>
        <row r="4111">
          <cell r="B4111">
            <v>40420</v>
          </cell>
          <cell r="C4111" t="str">
            <v>TE RANHURADO EM FERRO FUNDIDO, DN 65 (2 1/2")</v>
          </cell>
          <cell r="D4111" t="str">
            <v>UN</v>
          </cell>
          <cell r="E4111" t="str">
            <v>CR</v>
          </cell>
          <cell r="F4111">
            <v>49.97</v>
          </cell>
        </row>
        <row r="4112">
          <cell r="B4112">
            <v>40421</v>
          </cell>
          <cell r="C4112" t="str">
            <v>TE RANHURADO EM FERRO FUNDIDO, DN 80 (3")</v>
          </cell>
          <cell r="D4112" t="str">
            <v>UN</v>
          </cell>
          <cell r="E4112" t="str">
            <v>CR</v>
          </cell>
          <cell r="F4112">
            <v>53.2</v>
          </cell>
        </row>
        <row r="4113">
          <cell r="B4113">
            <v>38905</v>
          </cell>
          <cell r="C4113" t="str">
            <v>TE ROSCA FEMEA, METALICO, PARA CONEXAO COM ANEL DESLIZANTE, DN 16 MM X 1/2", EM TUBO PEX PARA INST. AGUA QUENTE/FRIA</v>
          </cell>
          <cell r="D4113" t="str">
            <v>UN</v>
          </cell>
          <cell r="E4113" t="str">
            <v>CR</v>
          </cell>
          <cell r="F4113">
            <v>21.7</v>
          </cell>
        </row>
        <row r="4114">
          <cell r="B4114">
            <v>38907</v>
          </cell>
          <cell r="C4114" t="str">
            <v>TE ROSCA FEMEA, METALICO, PARA CONEXAO COM ANEL DESLIZANTE, DN 20 MM X 1/2", EM TUBO PEX PARA INST. AGUA QUENTE/FRIA</v>
          </cell>
          <cell r="D4114" t="str">
            <v>UN</v>
          </cell>
          <cell r="E4114" t="str">
            <v>CR</v>
          </cell>
          <cell r="F4114">
            <v>20.92</v>
          </cell>
        </row>
        <row r="4115">
          <cell r="B4115">
            <v>38910</v>
          </cell>
          <cell r="C4115" t="str">
            <v>TE ROSCA FEMEA, METALICO, PARA CONEXAO COM ANEL DESLIZANTE, DN 25 MM X 3/4", EM TUBO PEX PARA INST. AGUA QUENTE/FRIA</v>
          </cell>
          <cell r="D4115" t="str">
            <v>UN</v>
          </cell>
          <cell r="E4115" t="str">
            <v>CR</v>
          </cell>
          <cell r="F4115">
            <v>24.47</v>
          </cell>
        </row>
        <row r="4116">
          <cell r="B4116">
            <v>11655</v>
          </cell>
          <cell r="C4116" t="str">
            <v>TE SANITARIO DE REDUCAO, PVC, DN 100 X 50 MM, SERIE NORMAL, PARA ESGOTO PREDIAL</v>
          </cell>
          <cell r="D4116" t="str">
            <v>UN</v>
          </cell>
          <cell r="E4116" t="str">
            <v>CR</v>
          </cell>
          <cell r="F4116">
            <v>20.43</v>
          </cell>
        </row>
        <row r="4117">
          <cell r="B4117">
            <v>11656</v>
          </cell>
          <cell r="C4117" t="str">
            <v>TE SANITARIO DE REDUCAO, PVC, DN 100 X 75 MM, SERIE NORMAL PARA ESGOTO PREDIAL</v>
          </cell>
          <cell r="D4117" t="str">
            <v>UN</v>
          </cell>
          <cell r="E4117" t="str">
            <v>CR</v>
          </cell>
          <cell r="F4117">
            <v>23.45</v>
          </cell>
        </row>
        <row r="4118">
          <cell r="B4118">
            <v>7091</v>
          </cell>
          <cell r="C4118" t="str">
            <v>TE SANITARIO, PVC, DN 100 X 100 MM, SERIE NORMAL, PARA ESGOTO PREDIAL</v>
          </cell>
          <cell r="D4118" t="str">
            <v>UN</v>
          </cell>
          <cell r="E4118" t="str">
            <v>CR</v>
          </cell>
          <cell r="F4118">
            <v>19.21</v>
          </cell>
        </row>
        <row r="4119">
          <cell r="B4119">
            <v>37948</v>
          </cell>
          <cell r="C4119" t="str">
            <v>TE SANITARIO, PVC, DN 40 X 40 MM, SERIE NORMAL, PARA ESGOTO PREDIAL</v>
          </cell>
          <cell r="D4119" t="str">
            <v>UN</v>
          </cell>
          <cell r="E4119" t="str">
            <v>CR</v>
          </cell>
          <cell r="F4119">
            <v>4.45</v>
          </cell>
        </row>
        <row r="4120">
          <cell r="B4120">
            <v>7097</v>
          </cell>
          <cell r="C4120" t="str">
            <v>TE SANITARIO, PVC, DN 50 X 50 MM, SERIE NORMAL, PARA ESGOTO PREDIAL</v>
          </cell>
          <cell r="D4120" t="str">
            <v>UN</v>
          </cell>
          <cell r="E4120" t="str">
            <v>CR</v>
          </cell>
          <cell r="F4120">
            <v>9.02</v>
          </cell>
        </row>
        <row r="4121">
          <cell r="B4121">
            <v>11658</v>
          </cell>
          <cell r="C4121" t="str">
            <v>TE SANITARIO, PVC, DN 75 X 75 MM, SERIE NORMAL PARA ESGOTO PREDIAL</v>
          </cell>
          <cell r="D4121" t="str">
            <v>UN</v>
          </cell>
          <cell r="E4121" t="str">
            <v>CR</v>
          </cell>
          <cell r="F4121">
            <v>19.940000000000001</v>
          </cell>
        </row>
        <row r="4122">
          <cell r="B4122">
            <v>7146</v>
          </cell>
          <cell r="C4122" t="str">
            <v>TE SOLDAVEL, PVC, 90 GRAUS, 110 MM, PARA AGUA FRIA PREDIAL (NBR 5648)</v>
          </cell>
          <cell r="D4122" t="str">
            <v>UN</v>
          </cell>
          <cell r="E4122" t="str">
            <v>CR</v>
          </cell>
          <cell r="F4122">
            <v>197.43</v>
          </cell>
        </row>
        <row r="4123">
          <cell r="B4123">
            <v>7138</v>
          </cell>
          <cell r="C4123" t="str">
            <v>TE SOLDAVEL, PVC, 90 GRAUS, 20 MM, PARA AGUA FRIA PREDIAL (NBR 5648)</v>
          </cell>
          <cell r="D4123" t="str">
            <v>UN</v>
          </cell>
          <cell r="E4123" t="str">
            <v>CR</v>
          </cell>
          <cell r="F4123">
            <v>1.25</v>
          </cell>
        </row>
        <row r="4124">
          <cell r="B4124">
            <v>7139</v>
          </cell>
          <cell r="C4124" t="str">
            <v>TE SOLDAVEL, PVC, 90 GRAUS, 25 MM, PARA AGUA FRIA PREDIAL (NBR 5648)</v>
          </cell>
          <cell r="D4124" t="str">
            <v>UN</v>
          </cell>
          <cell r="E4124" t="str">
            <v>CR</v>
          </cell>
          <cell r="F4124">
            <v>1.42</v>
          </cell>
        </row>
        <row r="4125">
          <cell r="B4125">
            <v>7140</v>
          </cell>
          <cell r="C4125" t="str">
            <v>TE SOLDAVEL, PVC, 90 GRAUS, 32 MM, PARA AGUA FRIA PREDIAL (NBR 5648)</v>
          </cell>
          <cell r="D4125" t="str">
            <v>UN</v>
          </cell>
          <cell r="E4125" t="str">
            <v>CR</v>
          </cell>
          <cell r="F4125">
            <v>4.4400000000000004</v>
          </cell>
        </row>
        <row r="4126">
          <cell r="B4126">
            <v>7141</v>
          </cell>
          <cell r="C4126" t="str">
            <v>TE SOLDAVEL, PVC, 90 GRAUS, 40 MM, PARA AGUA FRIA PREDIAL (NBR 5648)</v>
          </cell>
          <cell r="D4126" t="str">
            <v>UN</v>
          </cell>
          <cell r="E4126" t="str">
            <v>CR</v>
          </cell>
          <cell r="F4126">
            <v>10.86</v>
          </cell>
        </row>
        <row r="4127">
          <cell r="B4127">
            <v>7143</v>
          </cell>
          <cell r="C4127" t="str">
            <v>TE SOLDAVEL, PVC, 90 GRAUS, 60 MM, PARA AGUA FRIA PREDIAL (NBR 5648)</v>
          </cell>
          <cell r="D4127" t="str">
            <v>UN</v>
          </cell>
          <cell r="E4127" t="str">
            <v>CR</v>
          </cell>
          <cell r="F4127">
            <v>36.450000000000003</v>
          </cell>
        </row>
        <row r="4128">
          <cell r="B4128">
            <v>7144</v>
          </cell>
          <cell r="C4128" t="str">
            <v>TE SOLDAVEL, PVC, 90 GRAUS, 75 MM, PARA AGUA FRIA PREDIAL (NBR 5648)</v>
          </cell>
          <cell r="D4128" t="str">
            <v>UN</v>
          </cell>
          <cell r="E4128" t="str">
            <v>CR</v>
          </cell>
          <cell r="F4128">
            <v>67.62</v>
          </cell>
        </row>
        <row r="4129">
          <cell r="B4129">
            <v>7145</v>
          </cell>
          <cell r="C4129" t="str">
            <v>TE SOLDAVEL, PVC, 90 GRAUS, 85 MM, PARA AGUA FRIA PREDIAL (NBR 5648)</v>
          </cell>
          <cell r="D4129" t="str">
            <v>UN</v>
          </cell>
          <cell r="E4129" t="str">
            <v>CR</v>
          </cell>
          <cell r="F4129">
            <v>91.94</v>
          </cell>
        </row>
        <row r="4130">
          <cell r="B4130">
            <v>7142</v>
          </cell>
          <cell r="C4130" t="str">
            <v>TE SOLDAVEL, PVC, 90 GRAUS,50 MM, PARA AGUA FRIA PREDIAL (NBR 5648)</v>
          </cell>
          <cell r="D4130" t="str">
            <v>UN</v>
          </cell>
          <cell r="E4130" t="str">
            <v>CR</v>
          </cell>
          <cell r="F4130">
            <v>11.35</v>
          </cell>
        </row>
        <row r="4131">
          <cell r="B4131">
            <v>39322</v>
          </cell>
          <cell r="C4131" t="str">
            <v>TE, PLASTICO, DN 16 MM, PARA CONEXAO COM CRIMPAGEM, EM TUBO PEX PARA INST. AGUA QUENTE/FRIA</v>
          </cell>
          <cell r="D4131" t="str">
            <v>UN</v>
          </cell>
          <cell r="E4131" t="str">
            <v>CR</v>
          </cell>
          <cell r="F4131">
            <v>10.32</v>
          </cell>
        </row>
        <row r="4132">
          <cell r="B4132">
            <v>39289</v>
          </cell>
          <cell r="C4132" t="str">
            <v>TE, PLASTICO, DN 20 MM, PARA CONEXAO COM CRIMPAGEM, EM TUBO PEX PARA INST. AGUA QUENTE/FRIA</v>
          </cell>
          <cell r="D4132" t="str">
            <v>UN</v>
          </cell>
          <cell r="E4132" t="str">
            <v>CR</v>
          </cell>
          <cell r="F4132">
            <v>19.239999999999998</v>
          </cell>
        </row>
        <row r="4133">
          <cell r="B4133">
            <v>39290</v>
          </cell>
          <cell r="C4133" t="str">
            <v>TE, PLASTICO, DN 25 MM, PARA CONEXAO COM CRIMPAGEM, EM TUBO PEX PARA INST. AGUA QUENTE/FRIA</v>
          </cell>
          <cell r="D4133" t="str">
            <v>UN</v>
          </cell>
          <cell r="E4133" t="str">
            <v>CR</v>
          </cell>
          <cell r="F4133">
            <v>32.49</v>
          </cell>
        </row>
        <row r="4134">
          <cell r="B4134">
            <v>39291</v>
          </cell>
          <cell r="C4134" t="str">
            <v>TE, PLASTICO, DN 32 MM, PARA CONEXAO COM CRIMPAGEM, EM TUBO PEX PARA INST. AGUA QUENTE/FRIA</v>
          </cell>
          <cell r="D4134" t="str">
            <v>UN</v>
          </cell>
          <cell r="E4134" t="str">
            <v>CR</v>
          </cell>
          <cell r="F4134">
            <v>35.93</v>
          </cell>
        </row>
        <row r="4135">
          <cell r="B4135">
            <v>41892</v>
          </cell>
          <cell r="C4135" t="str">
            <v>TE, PVC PBA, BBB, 90 GRAUS, DN 100 / DE 110 MM, PARA REDE DE AGUA</v>
          </cell>
          <cell r="D4135" t="str">
            <v>UN</v>
          </cell>
          <cell r="E4135" t="str">
            <v>CR</v>
          </cell>
          <cell r="F4135">
            <v>142.47</v>
          </cell>
        </row>
        <row r="4136">
          <cell r="B4136">
            <v>7048</v>
          </cell>
          <cell r="C4136" t="str">
            <v>TE, PVC PBA, BBB, 90 GRAUS, DN 50 / DE 60 MM, PARA REDE DE AGUA</v>
          </cell>
          <cell r="D4136" t="str">
            <v>UN</v>
          </cell>
          <cell r="E4136" t="str">
            <v>CR</v>
          </cell>
          <cell r="F4136">
            <v>30.75</v>
          </cell>
        </row>
        <row r="4137">
          <cell r="B4137">
            <v>7088</v>
          </cell>
          <cell r="C4137" t="str">
            <v>TE, PVC PBA, BBB, 90 GRAUS, DN 75 / DE 85 MM, PARA REDE DE AGUA</v>
          </cell>
          <cell r="D4137" t="str">
            <v>UN</v>
          </cell>
          <cell r="E4137" t="str">
            <v>CR</v>
          </cell>
          <cell r="F4137">
            <v>67.239999999999995</v>
          </cell>
        </row>
        <row r="4138">
          <cell r="B4138">
            <v>7070</v>
          </cell>
          <cell r="C4138" t="str">
            <v>TE, PVC, 90 GRAUS, BBB, JE, DN 200 MM, PARA REDE COLETORA ESGOTO</v>
          </cell>
          <cell r="D4138" t="str">
            <v>UN</v>
          </cell>
          <cell r="E4138" t="str">
            <v>CR</v>
          </cell>
          <cell r="F4138">
            <v>247.17</v>
          </cell>
        </row>
        <row r="4139">
          <cell r="B4139">
            <v>20179</v>
          </cell>
          <cell r="C4139" t="str">
            <v>TE, PVC, SERIE R, 100 X 100 MM, PARA ESGOTO PREDIAL</v>
          </cell>
          <cell r="D4139" t="str">
            <v>UN</v>
          </cell>
          <cell r="E4139" t="str">
            <v>CR</v>
          </cell>
          <cell r="F4139">
            <v>52.57</v>
          </cell>
        </row>
        <row r="4140">
          <cell r="B4140">
            <v>20178</v>
          </cell>
          <cell r="C4140" t="str">
            <v>TE, PVC, SERIE R, 100 X 75 MM, PARA ESGOTO PREDIAL</v>
          </cell>
          <cell r="D4140" t="str">
            <v>UN</v>
          </cell>
          <cell r="E4140" t="str">
            <v>CR</v>
          </cell>
          <cell r="F4140">
            <v>63.01</v>
          </cell>
        </row>
        <row r="4141">
          <cell r="B4141">
            <v>20180</v>
          </cell>
          <cell r="C4141" t="str">
            <v>TE, PVC, SERIE R, 150 X 100 MM, PARA ESGOTO PREDIAL</v>
          </cell>
          <cell r="D4141" t="str">
            <v>UN</v>
          </cell>
          <cell r="E4141" t="str">
            <v>CR</v>
          </cell>
          <cell r="F4141">
            <v>104</v>
          </cell>
        </row>
        <row r="4142">
          <cell r="B4142">
            <v>20181</v>
          </cell>
          <cell r="C4142" t="str">
            <v>TE, PVC, SERIE R, 150 X 150 MM, PARA ESGOTO PREDIAL</v>
          </cell>
          <cell r="D4142" t="str">
            <v>UN</v>
          </cell>
          <cell r="E4142" t="str">
            <v>CR</v>
          </cell>
          <cell r="F4142">
            <v>139.25</v>
          </cell>
        </row>
        <row r="4143">
          <cell r="B4143">
            <v>20177</v>
          </cell>
          <cell r="C4143" t="str">
            <v>TE, PVC, SERIE R, 75 X 75 MM, PARA ESGOTO PREDIAL</v>
          </cell>
          <cell r="D4143" t="str">
            <v>UN</v>
          </cell>
          <cell r="E4143" t="str">
            <v>CR</v>
          </cell>
          <cell r="F4143">
            <v>34.44</v>
          </cell>
        </row>
        <row r="4144">
          <cell r="B4144">
            <v>40945</v>
          </cell>
          <cell r="C4144" t="str">
            <v>TECNICO DE EDIFICACOES (HORISTA)</v>
          </cell>
          <cell r="D4144" t="str">
            <v>H</v>
          </cell>
          <cell r="E4144" t="str">
            <v>CR</v>
          </cell>
          <cell r="F4144">
            <v>63.49</v>
          </cell>
        </row>
        <row r="4145">
          <cell r="B4145">
            <v>40946</v>
          </cell>
          <cell r="C4145" t="str">
            <v>TECNICO DE EDIFICACOES (MENSALISTA)</v>
          </cell>
          <cell r="D4145" t="str">
            <v>MES</v>
          </cell>
          <cell r="E4145" t="str">
            <v>CR</v>
          </cell>
          <cell r="F4145">
            <v>11122.74</v>
          </cell>
        </row>
        <row r="4146">
          <cell r="B4146">
            <v>7153</v>
          </cell>
          <cell r="C4146" t="str">
            <v>TECNICO EM LABORATORIO E CAMPO DE CONSTRUCAO CIVIL (HORISTA)</v>
          </cell>
          <cell r="D4146" t="str">
            <v>H</v>
          </cell>
          <cell r="E4146" t="str">
            <v>CR</v>
          </cell>
          <cell r="F4146">
            <v>61.14</v>
          </cell>
        </row>
        <row r="4147">
          <cell r="B4147">
            <v>41089</v>
          </cell>
          <cell r="C4147" t="str">
            <v>TECNICO EM LABORATORIO E CAMPO DE CONSTRUCAO CIVIL (MENSALISTA)</v>
          </cell>
          <cell r="D4147" t="str">
            <v>MES</v>
          </cell>
          <cell r="E4147" t="str">
            <v>CR</v>
          </cell>
          <cell r="F4147">
            <v>10712.73</v>
          </cell>
        </row>
        <row r="4148">
          <cell r="B4148">
            <v>40943</v>
          </cell>
          <cell r="C4148" t="str">
            <v>TECNICO EM SEGURANCA DO TRABALHO (HORISTA)</v>
          </cell>
          <cell r="D4148" t="str">
            <v>H</v>
          </cell>
          <cell r="E4148" t="str">
            <v>CR</v>
          </cell>
          <cell r="F4148">
            <v>74.599999999999994</v>
          </cell>
        </row>
        <row r="4149">
          <cell r="B4149">
            <v>40944</v>
          </cell>
          <cell r="C4149" t="str">
            <v>TECNICO EM SEGURANCA DO TRABALHO (MENSALISTA)</v>
          </cell>
          <cell r="D4149" t="str">
            <v>MES</v>
          </cell>
          <cell r="E4149" t="str">
            <v>CR</v>
          </cell>
          <cell r="F4149">
            <v>13071.45</v>
          </cell>
        </row>
        <row r="4150">
          <cell r="B4150">
            <v>6175</v>
          </cell>
          <cell r="C4150" t="str">
            <v>TECNICO EM SONDAGEM (HORISTA)</v>
          </cell>
          <cell r="D4150" t="str">
            <v>H</v>
          </cell>
          <cell r="E4150" t="str">
            <v>CR</v>
          </cell>
          <cell r="F4150">
            <v>33.54</v>
          </cell>
        </row>
        <row r="4151">
          <cell r="B4151">
            <v>41092</v>
          </cell>
          <cell r="C4151" t="str">
            <v>TECNICO EM SONDAGEM (MENSALISTA)</v>
          </cell>
          <cell r="D4151" t="str">
            <v>MES</v>
          </cell>
          <cell r="E4151" t="str">
            <v>CR</v>
          </cell>
          <cell r="F4151">
            <v>5875.03</v>
          </cell>
        </row>
        <row r="4152">
          <cell r="B4152">
            <v>37712</v>
          </cell>
          <cell r="C4152" t="str">
            <v>TELA ARAME GALVANIZADO REVESTIDO COM POLIMERO, MALHA HEXAGONAL DUPLA TORCAO, 8 X 10 CM (ZN/AL REVESTIDO COM POLIMERO), FIO *2,4* MM</v>
          </cell>
          <cell r="D4152" t="str">
            <v>M2</v>
          </cell>
          <cell r="E4152" t="str">
            <v>CR</v>
          </cell>
          <cell r="F4152">
            <v>66.17</v>
          </cell>
        </row>
        <row r="4153">
          <cell r="B4153">
            <v>34558</v>
          </cell>
          <cell r="C4153" t="str">
            <v>TELA DE ACO SOLDADA GALVANIZADA/ZINCADA PARA ALVENARIA, FIO D = *1,20 A 1,70* MM, MALHA 15 X 15 MM, (C X L) *50 X 10,5* CM</v>
          </cell>
          <cell r="D4153" t="str">
            <v>M</v>
          </cell>
          <cell r="E4153" t="str">
            <v>CR</v>
          </cell>
          <cell r="F4153">
            <v>2.68</v>
          </cell>
        </row>
        <row r="4154">
          <cell r="B4154">
            <v>34547</v>
          </cell>
          <cell r="C4154" t="str">
            <v>TELA DE ACO SOLDADA GALVANIZADA/ZINCADA PARA ALVENARIA, FIO D = *1,20 A 1,70* MM, MALHA 15 X 15 MM, (C X L) *50 X 12* CM</v>
          </cell>
          <cell r="D4154" t="str">
            <v>M</v>
          </cell>
          <cell r="E4154" t="str">
            <v>CR</v>
          </cell>
          <cell r="F4154">
            <v>3.29</v>
          </cell>
        </row>
        <row r="4155">
          <cell r="B4155">
            <v>34548</v>
          </cell>
          <cell r="C4155" t="str">
            <v>TELA DE ACO SOLDADA GALVANIZADA/ZINCADA PARA ALVENARIA, FIO D = *1,20 A 1,70* MM, MALHA 15 X 15 MM, (C X L) *50 X 17,5* CM</v>
          </cell>
          <cell r="D4155" t="str">
            <v>M</v>
          </cell>
          <cell r="E4155" t="str">
            <v>CR</v>
          </cell>
          <cell r="F4155">
            <v>5.4</v>
          </cell>
        </row>
        <row r="4156">
          <cell r="B4156">
            <v>34550</v>
          </cell>
          <cell r="C4156" t="str">
            <v>TELA DE ACO SOLDADA GALVANIZADA/ZINCADA PARA ALVENARIA, FIO D = *1,20 A 1,70* MM, MALHA 15 X 15 MM, (C X L) *50 X 6* CM</v>
          </cell>
          <cell r="D4156" t="str">
            <v>M</v>
          </cell>
          <cell r="E4156" t="str">
            <v>CR</v>
          </cell>
          <cell r="F4156">
            <v>1.42</v>
          </cell>
        </row>
        <row r="4157">
          <cell r="B4157">
            <v>34557</v>
          </cell>
          <cell r="C4157" t="str">
            <v>TELA DE ACO SOLDADA GALVANIZADA/ZINCADA PARA ALVENARIA, FIO D = *1,20 A 1,70* MM, MALHA 15 X 15 MM, (C X L) *50 X 7,5* CM</v>
          </cell>
          <cell r="D4157" t="str">
            <v>M</v>
          </cell>
          <cell r="E4157" t="str">
            <v>CR</v>
          </cell>
          <cell r="F4157">
            <v>2.08</v>
          </cell>
        </row>
        <row r="4158">
          <cell r="B4158">
            <v>37411</v>
          </cell>
          <cell r="C4158" t="str">
            <v>TELA DE ACO SOLDADA GALVANIZADA/ZINCADA PARA ALVENARIA, FIO D = *1,24 MM, MALHA 25 X 25 MM</v>
          </cell>
          <cell r="D4158" t="str">
            <v>M2</v>
          </cell>
          <cell r="E4158" t="str">
            <v>CR</v>
          </cell>
          <cell r="F4158">
            <v>15.25</v>
          </cell>
        </row>
        <row r="4159">
          <cell r="B4159">
            <v>39508</v>
          </cell>
          <cell r="C4159" t="str">
            <v>TELA DE ACO SOLDADA NERVURADA, CA-60, L-159, (1,69 KG/M2), DIAMETRO DO FIO = 4,5 MM, LARGURA = 2,45 M, ESPACAMENTO DA MALHA = 30 X 10 CM</v>
          </cell>
          <cell r="D4159" t="str">
            <v>M2</v>
          </cell>
          <cell r="E4159" t="str">
            <v>CR</v>
          </cell>
          <cell r="F4159">
            <v>8.57</v>
          </cell>
        </row>
        <row r="4160">
          <cell r="B4160">
            <v>39507</v>
          </cell>
          <cell r="C4160" t="str">
            <v>TELA DE ACO SOLDADA NERVURADA, CA-60, Q-113, (1,8 KG/M2), DIAMETRO DO FIO = 3,8 MM, LARGURA = 2,45 M, ESPACAMENTO DA MALHA = 10 X 10 CM</v>
          </cell>
          <cell r="D4160" t="str">
            <v>M2</v>
          </cell>
          <cell r="E4160" t="str">
            <v>CR</v>
          </cell>
          <cell r="F4160">
            <v>12.78</v>
          </cell>
        </row>
        <row r="4161">
          <cell r="B4161">
            <v>7155</v>
          </cell>
          <cell r="C4161" t="str">
            <v>TELA DE ACO SOLDADA NERVURADA, CA-60, Q-138, (2,20 KG/M2), DIAMETRO DO FIO = 4,2 MM, LARGURA = 2,45 M, ESPACAMENTO DA MALHA = 10 X 10 CM</v>
          </cell>
          <cell r="D4161" t="str">
            <v>M2</v>
          </cell>
          <cell r="E4161" t="str">
            <v>CR</v>
          </cell>
          <cell r="F4161">
            <v>16.41</v>
          </cell>
        </row>
        <row r="4162">
          <cell r="B4162">
            <v>42406</v>
          </cell>
          <cell r="C4162" t="str">
            <v>TELA DE ACO SOLDADA NERVURADA, CA-60, Q-159, (2,52 KG/M2), DIAMETRO DO FIO = 4,5 MM, LARGURA = 2,45 M, ESPACAMENTO DA MALHA = 10 X 10 CM</v>
          </cell>
          <cell r="D4162" t="str">
            <v>M2</v>
          </cell>
          <cell r="E4162" t="str">
            <v>CR</v>
          </cell>
          <cell r="F4162">
            <v>18.809999999999999</v>
          </cell>
        </row>
        <row r="4163">
          <cell r="B4163">
            <v>7156</v>
          </cell>
          <cell r="C4163" t="str">
            <v>TELA DE ACO SOLDADA NERVURADA, CA-60, Q-196, (3,11 KG/M2), DIAMETRO DO FIO = 5,0 MM, LARGURA = 2,45 M, ESPACAMENTO DA MALHA = 10 X 10 CM</v>
          </cell>
          <cell r="D4163" t="str">
            <v>M2</v>
          </cell>
          <cell r="E4163" t="str">
            <v>C</v>
          </cell>
          <cell r="F4163">
            <v>23.54</v>
          </cell>
        </row>
        <row r="4164">
          <cell r="B4164">
            <v>43127</v>
          </cell>
          <cell r="C4164" t="str">
            <v>TELA DE ACO SOLDADA NERVURADA, CA-60, Q-283 (4,48 KG/M2), DIAMETRO DO FIO = 6,0 MM, LARGURA = 2,45 X 6,00 M DE COMPRIMENTO, ESPACAMENTO DA MALHA = 10 X 10 CM</v>
          </cell>
          <cell r="D4164" t="str">
            <v>M2</v>
          </cell>
          <cell r="E4164" t="str">
            <v>CR</v>
          </cell>
          <cell r="F4164">
            <v>33.69</v>
          </cell>
        </row>
        <row r="4165">
          <cell r="B4165">
            <v>10917</v>
          </cell>
          <cell r="C4165" t="str">
            <v>TELA DE ACO SOLDADA NERVURADA, CA-60, Q-61, (0,97 KG/M2), DIAMETRO DO FIO = 3,4 MM, LARGURA = 2,45 M, ESPACAMENTO DA MALHA = 15 X 15 CM</v>
          </cell>
          <cell r="D4165" t="str">
            <v>M2</v>
          </cell>
          <cell r="E4165" t="str">
            <v>CR</v>
          </cell>
          <cell r="F4165">
            <v>7.11</v>
          </cell>
        </row>
        <row r="4166">
          <cell r="B4166">
            <v>21141</v>
          </cell>
          <cell r="C4166" t="str">
            <v>TELA DE ACO SOLDADA NERVURADA, CA-60, Q-92, (1,48 KG/M2), DIAMETRO DO FIO = 4,2 MM, LARGURA = 2,45 X 60 M DE COMPRIMENTO, ESPACAMENTO DA MALHA = 15 X 15 CM</v>
          </cell>
          <cell r="D4166" t="str">
            <v>M2</v>
          </cell>
          <cell r="E4166" t="str">
            <v>CR</v>
          </cell>
          <cell r="F4166">
            <v>11.01</v>
          </cell>
        </row>
        <row r="4167">
          <cell r="B4167">
            <v>39509</v>
          </cell>
          <cell r="C4167" t="str">
            <v>TELA DE ACO SOLDADA NERVURADA, CA-60, T-196, (2,11 KG/M2), DIAMETRO DO FIO = 5,0 MM, LARGURA = 2,45 M, ESPACAMENTO DA MALHA = 30 X 10 CM</v>
          </cell>
          <cell r="D4167" t="str">
            <v>M2</v>
          </cell>
          <cell r="E4167" t="str">
            <v>CR</v>
          </cell>
          <cell r="F4167">
            <v>10.59</v>
          </cell>
        </row>
        <row r="4168">
          <cell r="B4168">
            <v>44529</v>
          </cell>
          <cell r="C4168" t="str">
            <v>TELA DE ANIAGEM (JUTA)</v>
          </cell>
          <cell r="D4168" t="str">
            <v>M2</v>
          </cell>
          <cell r="E4168" t="str">
            <v>CR</v>
          </cell>
          <cell r="F4168">
            <v>24.69</v>
          </cell>
        </row>
        <row r="4169">
          <cell r="B4169">
            <v>7167</v>
          </cell>
          <cell r="C4169" t="str">
            <v>TELA DE ARAME GALVANIZADA QUADRANGULAR / LOSANGULAR, FIO 2,11 MM (14 BWG), MALHA 5 X 5 CM, H = 2 M</v>
          </cell>
          <cell r="D4169" t="str">
            <v>M2</v>
          </cell>
          <cell r="E4169" t="str">
            <v>CR</v>
          </cell>
          <cell r="F4169">
            <v>26.55</v>
          </cell>
        </row>
        <row r="4170">
          <cell r="B4170">
            <v>10928</v>
          </cell>
          <cell r="C4170" t="str">
            <v>TELA DE ARAME GALVANIZADA QUADRANGULAR / LOSANGULAR, FIO 2,11 MM (14 BWG), MALHA 8 X 8 CM, H = 2 M</v>
          </cell>
          <cell r="D4170" t="str">
            <v>M2</v>
          </cell>
          <cell r="E4170" t="str">
            <v>CR</v>
          </cell>
          <cell r="F4170">
            <v>15.26</v>
          </cell>
        </row>
        <row r="4171">
          <cell r="B4171">
            <v>10933</v>
          </cell>
          <cell r="C4171" t="str">
            <v>TELA DE ARAME GALVANIZADA QUADRANGULAR / LOSANGULAR, FIO 2,77 MM (12 BWG), MALHA 10 X 10 CM, H = 2 M</v>
          </cell>
          <cell r="D4171" t="str">
            <v>M2</v>
          </cell>
          <cell r="E4171" t="str">
            <v>CR</v>
          </cell>
          <cell r="F4171">
            <v>23.01</v>
          </cell>
        </row>
        <row r="4172">
          <cell r="B4172">
            <v>7158</v>
          </cell>
          <cell r="C4172" t="str">
            <v>TELA DE ARAME GALVANIZADA QUADRANGULAR / LOSANGULAR, FIO 2,77 MM (12 BWG), MALHA 5 X 5 CM, H = 2 M</v>
          </cell>
          <cell r="D4172" t="str">
            <v>M2</v>
          </cell>
          <cell r="E4172" t="str">
            <v>C</v>
          </cell>
          <cell r="F4172">
            <v>39.03</v>
          </cell>
        </row>
        <row r="4173">
          <cell r="B4173">
            <v>10927</v>
          </cell>
          <cell r="C4173" t="str">
            <v>TELA DE ARAME GALVANIZADA QUADRANGULAR / LOSANGULAR, FIO 2,77 MM (12 BWG), MALHA 8 X 8 CM, H = 2 M</v>
          </cell>
          <cell r="D4173" t="str">
            <v>M2</v>
          </cell>
          <cell r="E4173" t="str">
            <v>CR</v>
          </cell>
          <cell r="F4173">
            <v>24.96</v>
          </cell>
        </row>
        <row r="4174">
          <cell r="B4174">
            <v>7162</v>
          </cell>
          <cell r="C4174" t="str">
            <v>TELA DE ARAME GALVANIZADA QUADRANGULAR / LOSANGULAR, FIO 3,4 MM (10 BWG), MALHA 5 X 5 CM, H = 2 M</v>
          </cell>
          <cell r="D4174" t="str">
            <v>M2</v>
          </cell>
          <cell r="E4174" t="str">
            <v>CR</v>
          </cell>
          <cell r="F4174">
            <v>61.08</v>
          </cell>
        </row>
        <row r="4175">
          <cell r="B4175">
            <v>10932</v>
          </cell>
          <cell r="C4175" t="str">
            <v>TELA DE ARAME GALVANIZADA QUADRANGULAR / LOSANGULAR, FIO 4,19 MM (8 BWG), MALHA 5 X 5 CM, H = 2 M</v>
          </cell>
          <cell r="D4175" t="str">
            <v>M2</v>
          </cell>
          <cell r="E4175" t="str">
            <v>CR</v>
          </cell>
          <cell r="F4175">
            <v>106.23</v>
          </cell>
        </row>
        <row r="4176">
          <cell r="B4176">
            <v>10937</v>
          </cell>
          <cell r="C4176" t="str">
            <v>TELA DE ARAME GALVANIZADA REVESTIDA EM PVC, QUADRANGULAR / LOSANGULAR, FIO 2,11 MM (14 BWG), BITOLA FINAL = *2,8* MM, MALHA *8 X 8* CM, H = 2 M</v>
          </cell>
          <cell r="D4176" t="str">
            <v>M2</v>
          </cell>
          <cell r="E4176" t="str">
            <v>CR</v>
          </cell>
          <cell r="F4176">
            <v>27.3</v>
          </cell>
        </row>
        <row r="4177">
          <cell r="B4177">
            <v>10935</v>
          </cell>
          <cell r="C4177" t="str">
            <v>TELA DE ARAME GALVANIZADA REVESTIDA EM PVC, QUADRANGULAR / LOSANGULAR, FIO 2,77 MM (12 BWG), BITOLA FINAL = *3,8* MM, MALHA 7,5 X 7,5 CM, H = 2 M</v>
          </cell>
          <cell r="D4177" t="str">
            <v>M2</v>
          </cell>
          <cell r="E4177" t="str">
            <v>CR</v>
          </cell>
          <cell r="F4177">
            <v>47.36</v>
          </cell>
        </row>
        <row r="4178">
          <cell r="B4178">
            <v>10931</v>
          </cell>
          <cell r="C4178" t="str">
            <v>TELA DE ARAME GALVANIZADA, HEXAGONAL, FIO 0,56 MM (24 BWG), MALHA 1/2", H = 1 M</v>
          </cell>
          <cell r="D4178" t="str">
            <v>M2</v>
          </cell>
          <cell r="E4178" t="str">
            <v>CR</v>
          </cell>
          <cell r="F4178">
            <v>13.32</v>
          </cell>
        </row>
        <row r="4179">
          <cell r="B4179">
            <v>7164</v>
          </cell>
          <cell r="C4179" t="str">
            <v>TELA DE ARAME ONDULADA, FIO *2,77* MM (12 BWG), MALHA 5 X 5 CM, H = 2 M</v>
          </cell>
          <cell r="D4179" t="str">
            <v>M2</v>
          </cell>
          <cell r="E4179" t="str">
            <v>CR</v>
          </cell>
          <cell r="F4179">
            <v>44.08</v>
          </cell>
        </row>
        <row r="4180">
          <cell r="B4180">
            <v>36887</v>
          </cell>
          <cell r="C4180" t="str">
            <v>TELA DE FIBRA DE VIDRO, ACABAMENTO ANTI-ALCALINO, MALHA 10 X 10 MM</v>
          </cell>
          <cell r="D4180" t="str">
            <v>M2</v>
          </cell>
          <cell r="E4180" t="str">
            <v>CR</v>
          </cell>
          <cell r="F4180">
            <v>8.56</v>
          </cell>
        </row>
        <row r="4181">
          <cell r="B4181">
            <v>34630</v>
          </cell>
          <cell r="C4181" t="str">
            <v>TELA EM MALHA HEXAGONAL DE DUPLA TORCAO 8 X 10 CM (ZN/AL REVESTIDO COM POLIMERO), FIO 2,7 MM, COM GEOMANTA OU BIOMANTA, DIMENSOES 4,0 X 2,0 X 0,6 M, COM INCLINACAO DE 70 GRAUS, PARA SOLO REFORCADO</v>
          </cell>
          <cell r="D4181" t="str">
            <v>UN</v>
          </cell>
          <cell r="E4181" t="str">
            <v>CR</v>
          </cell>
          <cell r="F4181">
            <v>1075.3800000000001</v>
          </cell>
        </row>
        <row r="4182">
          <cell r="B4182">
            <v>7161</v>
          </cell>
          <cell r="C4182" t="str">
            <v>TELA EM METAL PARA ESTUQUE (DEPLOYE)</v>
          </cell>
          <cell r="D4182" t="str">
            <v>M2</v>
          </cell>
          <cell r="E4182" t="str">
            <v>CR</v>
          </cell>
          <cell r="F4182">
            <v>5.48</v>
          </cell>
        </row>
        <row r="4183">
          <cell r="B4183">
            <v>7170</v>
          </cell>
          <cell r="C4183" t="str">
            <v>TELA FACHADEIRA EM POLIETILENO, ROLO DE 3 X 100 M (L X C), COR BRANCA, SEM LOGOMARCA - PARA PROTECAO DE OBRAS</v>
          </cell>
          <cell r="D4183" t="str">
            <v>M2</v>
          </cell>
          <cell r="E4183" t="str">
            <v>CR</v>
          </cell>
          <cell r="F4183">
            <v>2.0699999999999998</v>
          </cell>
        </row>
        <row r="4184">
          <cell r="B4184">
            <v>37524</v>
          </cell>
          <cell r="C4184" t="str">
            <v>TELA PLASTICA LARANJA, TIPO TAPUME PARA SINALIZACAO, MALHA RETANGULAR, ROLO 1.20 X 50 M (L X C)</v>
          </cell>
          <cell r="D4184" t="str">
            <v>M</v>
          </cell>
          <cell r="E4184" t="str">
            <v>C</v>
          </cell>
          <cell r="F4184">
            <v>1.89</v>
          </cell>
        </row>
        <row r="4185">
          <cell r="B4185">
            <v>37525</v>
          </cell>
          <cell r="C4185" t="str">
            <v>TELA PLASTICA TECIDA LISTRADA BRANCA E LARANJA, TIPO GUARDA CORPO, EM POLIETILENO MONOFILADO, ROLO 1,20 X 50 M (L X C)</v>
          </cell>
          <cell r="D4185" t="str">
            <v>M</v>
          </cell>
          <cell r="E4185" t="str">
            <v>CR</v>
          </cell>
          <cell r="F4185">
            <v>2.58</v>
          </cell>
        </row>
        <row r="4186">
          <cell r="B4186">
            <v>36789</v>
          </cell>
          <cell r="C4186" t="str">
            <v>TELHA CERAMICA TIPO AMERICANA, COMPRIMENTO DE *45* CM, RENDIMENTO DE *12* TELHAS/M2</v>
          </cell>
          <cell r="D4186" t="str">
            <v>UN</v>
          </cell>
          <cell r="E4186" t="str">
            <v>CR</v>
          </cell>
          <cell r="F4186">
            <v>5.24</v>
          </cell>
        </row>
        <row r="4187">
          <cell r="B4187">
            <v>7173</v>
          </cell>
          <cell r="C4187" t="str">
            <v>TELHA DE BARRO / CERAMICA, NAO ESMALTADA, TIPO COLONIAL, CANAL, PLAN, PAULISTA, COMPRIMENTO DE *44 A 50* CM, RENDIMENTO DE COBERTURA DE *26* TELHAS/M2</v>
          </cell>
          <cell r="D4187" t="str">
            <v>MIL</v>
          </cell>
          <cell r="E4187" t="str">
            <v>C</v>
          </cell>
          <cell r="F4187">
            <v>3390</v>
          </cell>
        </row>
        <row r="4188">
          <cell r="B4188">
            <v>7175</v>
          </cell>
          <cell r="C4188" t="str">
            <v>TELHA DE BARRO / CERAMICA, NAO ESMALTADA, TIPO ROMANA, AMERICANA, PORTUGUESA, FRANCESA, COMPRIMENTO DE *41* CM, RENDIMENTO DE *16* TELHAS/M2</v>
          </cell>
          <cell r="D4188" t="str">
            <v>UN</v>
          </cell>
          <cell r="E4188" t="str">
            <v>CR</v>
          </cell>
          <cell r="F4188">
            <v>3.83</v>
          </cell>
        </row>
        <row r="4189">
          <cell r="B4189">
            <v>40741</v>
          </cell>
          <cell r="C4189" t="str">
            <v>TELHA DE CONCRETO TIPO CLASSICA, COR CINZA, COMPRIMENTO DE *42* CM, RENDIMENTO DE *10* TELHAS/M2</v>
          </cell>
          <cell r="D4189" t="str">
            <v>UN</v>
          </cell>
          <cell r="E4189" t="str">
            <v>CR</v>
          </cell>
          <cell r="F4189">
            <v>3.12</v>
          </cell>
        </row>
        <row r="4190">
          <cell r="B4190">
            <v>7184</v>
          </cell>
          <cell r="C4190" t="str">
            <v>TELHA DE FIBRA DE VIDRO ONDULADA, TRANSLUCIDA / INCOLOR, E = *0,6* MM, DE *0,50 X 2,44* M (L X C)</v>
          </cell>
          <cell r="D4190" t="str">
            <v>M2</v>
          </cell>
          <cell r="E4190" t="str">
            <v>C</v>
          </cell>
          <cell r="F4190">
            <v>41</v>
          </cell>
        </row>
        <row r="4191">
          <cell r="B4191">
            <v>34458</v>
          </cell>
          <cell r="C4191" t="str">
            <v>TELHA DE FIBROCIMENTO E = 6 MM, DE 3,00 X 1,06 M (SEM AMIANTO)</v>
          </cell>
          <cell r="D4191" t="str">
            <v>UN</v>
          </cell>
          <cell r="E4191" t="str">
            <v>CR</v>
          </cell>
          <cell r="F4191">
            <v>138.21</v>
          </cell>
        </row>
        <row r="4192">
          <cell r="B4192">
            <v>34464</v>
          </cell>
          <cell r="C4192" t="str">
            <v>TELHA DE FIBROCIMENTO E = 6 MM, DE 4,10 X 1,06 M (SEM AMIANTO)</v>
          </cell>
          <cell r="D4192" t="str">
            <v>UN</v>
          </cell>
          <cell r="E4192" t="str">
            <v>CR</v>
          </cell>
          <cell r="F4192">
            <v>205.73</v>
          </cell>
        </row>
        <row r="4193">
          <cell r="B4193">
            <v>34468</v>
          </cell>
          <cell r="C4193" t="str">
            <v>TELHA DE FIBROCIMENTO E = 6 MM, DE 4,60 X 1,06 M (SEM AMIANTO)</v>
          </cell>
          <cell r="D4193" t="str">
            <v>UN</v>
          </cell>
          <cell r="E4193" t="str">
            <v>CR</v>
          </cell>
          <cell r="F4193">
            <v>259.37</v>
          </cell>
        </row>
        <row r="4194">
          <cell r="B4194">
            <v>34473</v>
          </cell>
          <cell r="C4194" t="str">
            <v>TELHA DE FIBROCIMENTO E = 8 MM, DE 3,00 X 1,06 M (SEM AMIANTO)</v>
          </cell>
          <cell r="D4194" t="str">
            <v>UN</v>
          </cell>
          <cell r="E4194" t="str">
            <v>CR</v>
          </cell>
          <cell r="F4194">
            <v>157.34</v>
          </cell>
        </row>
        <row r="4195">
          <cell r="B4195">
            <v>34480</v>
          </cell>
          <cell r="C4195" t="str">
            <v>TELHA DE FIBROCIMENTO E = 8 MM, DE 4,10 X 1,06 M (SEM AMIANTO)</v>
          </cell>
          <cell r="D4195" t="str">
            <v>UN</v>
          </cell>
          <cell r="E4195" t="str">
            <v>CR</v>
          </cell>
          <cell r="F4195">
            <v>290.77</v>
          </cell>
        </row>
        <row r="4196">
          <cell r="B4196">
            <v>34486</v>
          </cell>
          <cell r="C4196" t="str">
            <v>TELHA DE FIBROCIMENTO E = 8 MM, DE 4,60 X 1,06 M (SEM AMIANTO)</v>
          </cell>
          <cell r="D4196" t="str">
            <v>UN</v>
          </cell>
          <cell r="E4196" t="str">
            <v>CR</v>
          </cell>
          <cell r="F4196">
            <v>344.26</v>
          </cell>
        </row>
        <row r="4197">
          <cell r="B4197">
            <v>7190</v>
          </cell>
          <cell r="C4197" t="str">
            <v>TELHA DE FIBROCIMENTO ONDULADA E = 4 MM, DE 1,22 X 0,50 M (SEM AMIANTO)</v>
          </cell>
          <cell r="D4197" t="str">
            <v>UN</v>
          </cell>
          <cell r="E4197" t="str">
            <v>CR</v>
          </cell>
          <cell r="F4197">
            <v>11.49</v>
          </cell>
        </row>
        <row r="4198">
          <cell r="B4198">
            <v>34417</v>
          </cell>
          <cell r="C4198" t="str">
            <v>TELHA DE FIBROCIMENTO ONDULADA E = 4 MM, DE 2,13 X 0,50 M (SEM AMIANTO)</v>
          </cell>
          <cell r="D4198" t="str">
            <v>UN</v>
          </cell>
          <cell r="E4198" t="str">
            <v>CR</v>
          </cell>
          <cell r="F4198">
            <v>18.39</v>
          </cell>
        </row>
        <row r="4199">
          <cell r="B4199">
            <v>7213</v>
          </cell>
          <cell r="C4199" t="str">
            <v>TELHA DE FIBROCIMENTO ONDULADA E = 4 MM, DE 2,44 X 0,50 M (SEM AMIANTO)</v>
          </cell>
          <cell r="D4199" t="str">
            <v>M2</v>
          </cell>
          <cell r="E4199" t="str">
            <v>CR</v>
          </cell>
          <cell r="F4199">
            <v>16.87</v>
          </cell>
        </row>
        <row r="4200">
          <cell r="B4200">
            <v>7195</v>
          </cell>
          <cell r="C4200" t="str">
            <v>TELHA DE FIBROCIMENTO ONDULADA E = 6 MM, DE 1,53 X 1,10 M (SEM AMIANTO)</v>
          </cell>
          <cell r="D4200" t="str">
            <v>UN</v>
          </cell>
          <cell r="E4200" t="str">
            <v>CR</v>
          </cell>
          <cell r="F4200">
            <v>49.52</v>
          </cell>
        </row>
        <row r="4201">
          <cell r="B4201">
            <v>7186</v>
          </cell>
          <cell r="C4201" t="str">
            <v>TELHA DE FIBROCIMENTO ONDULADA E = 6 MM, DE 1,83 X 1,10 M (SEM AMIANTO)</v>
          </cell>
          <cell r="D4201" t="str">
            <v>UN</v>
          </cell>
          <cell r="E4201" t="str">
            <v>C</v>
          </cell>
          <cell r="F4201">
            <v>53.95</v>
          </cell>
        </row>
        <row r="4202">
          <cell r="B4202">
            <v>7194</v>
          </cell>
          <cell r="C4202" t="str">
            <v>TELHA DE FIBROCIMENTO ONDULADA E = 6 MM, DE 2,44 X 1,10 M (SEM AMIANTO)</v>
          </cell>
          <cell r="D4202" t="str">
            <v>M2</v>
          </cell>
          <cell r="E4202" t="str">
            <v>CR</v>
          </cell>
          <cell r="F4202">
            <v>24.87</v>
          </cell>
        </row>
        <row r="4203">
          <cell r="B4203">
            <v>7197</v>
          </cell>
          <cell r="C4203" t="str">
            <v>TELHA DE FIBROCIMENTO ONDULADA E = 6 MM, DE 3,66 X 1,10 M (SEM AMIANTO)</v>
          </cell>
          <cell r="D4203" t="str">
            <v>UN</v>
          </cell>
          <cell r="E4203" t="str">
            <v>CR</v>
          </cell>
          <cell r="F4203">
            <v>104.98</v>
          </cell>
        </row>
        <row r="4204">
          <cell r="B4204">
            <v>7192</v>
          </cell>
          <cell r="C4204" t="str">
            <v>TELHA DE FIBROCIMENTO ONDULADA E = 8 MM, DE 1,53 X 1,10 M (SEM AMIANTO)</v>
          </cell>
          <cell r="D4204" t="str">
            <v>UN</v>
          </cell>
          <cell r="E4204" t="str">
            <v>CR</v>
          </cell>
          <cell r="F4204">
            <v>94.06</v>
          </cell>
        </row>
        <row r="4205">
          <cell r="B4205">
            <v>7193</v>
          </cell>
          <cell r="C4205" t="str">
            <v>TELHA DE FIBROCIMENTO ONDULADA E = 8 MM, DE 1,83 X 1,10 M (SEM AMIANTO)</v>
          </cell>
          <cell r="D4205" t="str">
            <v>UN</v>
          </cell>
          <cell r="E4205" t="str">
            <v>CR</v>
          </cell>
          <cell r="F4205">
            <v>105.89</v>
          </cell>
        </row>
        <row r="4206">
          <cell r="B4206">
            <v>7189</v>
          </cell>
          <cell r="C4206" t="str">
            <v>TELHA DE FIBROCIMENTO ONDULADA E = 8 MM, DE 2,44 X 1,10 M (SEM AMIANTO)</v>
          </cell>
          <cell r="D4206" t="str">
            <v>UN</v>
          </cell>
          <cell r="E4206" t="str">
            <v>CR</v>
          </cell>
          <cell r="F4206">
            <v>123.06</v>
          </cell>
        </row>
        <row r="4207">
          <cell r="B4207">
            <v>34402</v>
          </cell>
          <cell r="C4207" t="str">
            <v>TELHA DE FIBROCIMENTO ONDULADA E = 8 MM, DE 3,66 X 1,10 M (SEM AMIANTO)</v>
          </cell>
          <cell r="D4207" t="str">
            <v>UN</v>
          </cell>
          <cell r="E4207" t="str">
            <v>CR</v>
          </cell>
          <cell r="F4207">
            <v>173.74</v>
          </cell>
        </row>
        <row r="4208">
          <cell r="B4208">
            <v>7245</v>
          </cell>
          <cell r="C4208" t="str">
            <v>TELHA DE VIDRO TIPO FRANCESA, *39 X 23* CM</v>
          </cell>
          <cell r="D4208" t="str">
            <v>UN</v>
          </cell>
          <cell r="E4208" t="str">
            <v>CR</v>
          </cell>
          <cell r="F4208">
            <v>34.75</v>
          </cell>
        </row>
        <row r="4209">
          <cell r="B4209">
            <v>34425</v>
          </cell>
          <cell r="C4209" t="str">
            <v>TELHA ESTRUTURAL DE FIBROCIMENTO 1 ABA, DE 0,52 X 2,00 M (SEM AMIANTO)</v>
          </cell>
          <cell r="D4209" t="str">
            <v>UN</v>
          </cell>
          <cell r="E4209" t="str">
            <v>CR</v>
          </cell>
          <cell r="F4209">
            <v>111.61</v>
          </cell>
        </row>
        <row r="4210">
          <cell r="B4210">
            <v>7223</v>
          </cell>
          <cell r="C4210" t="str">
            <v>TELHA ESTRUTURAL DE FIBROCIMENTO 1 ABA, DE 0,52 X 2,50 M (SEM AMIANTO)</v>
          </cell>
          <cell r="D4210" t="str">
            <v>UN</v>
          </cell>
          <cell r="E4210" t="str">
            <v>CR</v>
          </cell>
          <cell r="F4210">
            <v>124.38</v>
          </cell>
        </row>
        <row r="4211">
          <cell r="B4211">
            <v>7234</v>
          </cell>
          <cell r="C4211" t="str">
            <v>TELHA ESTRUTURAL DE FIBROCIMENTO 1 ABA, DE 0,52 X 3,60 M (SEM AMIANTO)</v>
          </cell>
          <cell r="D4211" t="str">
            <v>UN</v>
          </cell>
          <cell r="E4211" t="str">
            <v>CR</v>
          </cell>
          <cell r="F4211">
            <v>187.68</v>
          </cell>
        </row>
        <row r="4212">
          <cell r="B4212">
            <v>7224</v>
          </cell>
          <cell r="C4212" t="str">
            <v>TELHA ESTRUTURAL DE FIBROCIMENTO 1 ABA, DE 0,52 X 4,00 M (SEM AMIANTO)</v>
          </cell>
          <cell r="D4212" t="str">
            <v>UN</v>
          </cell>
          <cell r="E4212" t="str">
            <v>CR</v>
          </cell>
          <cell r="F4212">
            <v>228.65</v>
          </cell>
        </row>
        <row r="4213">
          <cell r="B4213">
            <v>7225</v>
          </cell>
          <cell r="C4213" t="str">
            <v>TELHA ESTRUTURAL DE FIBROCIMENTO 1 ABA, DE 0,52 X 5,00 M (SEM AMIANTO)</v>
          </cell>
          <cell r="D4213" t="str">
            <v>UN</v>
          </cell>
          <cell r="E4213" t="str">
            <v>CR</v>
          </cell>
          <cell r="F4213">
            <v>245.17</v>
          </cell>
        </row>
        <row r="4214">
          <cell r="B4214">
            <v>7226</v>
          </cell>
          <cell r="C4214" t="str">
            <v>TELHA ESTRUTURAL DE FIBROCIMENTO 1 ABA, DE 0,52 X 5,50 M (SEM AMIANTO)</v>
          </cell>
          <cell r="D4214" t="str">
            <v>UN</v>
          </cell>
          <cell r="E4214" t="str">
            <v>CR</v>
          </cell>
          <cell r="F4214">
            <v>261.63</v>
          </cell>
        </row>
        <row r="4215">
          <cell r="B4215">
            <v>7227</v>
          </cell>
          <cell r="C4215" t="str">
            <v>TELHA ESTRUTURAL DE FIBROCIMENTO 1 ABA, DE 0,52 X 6,50 M (SEM AMIANTO)</v>
          </cell>
          <cell r="D4215" t="str">
            <v>UN</v>
          </cell>
          <cell r="E4215" t="str">
            <v>CR</v>
          </cell>
          <cell r="F4215">
            <v>297.81</v>
          </cell>
        </row>
        <row r="4216">
          <cell r="B4216">
            <v>7212</v>
          </cell>
          <cell r="C4216" t="str">
            <v>TELHA ESTRUTURAL DE FIBROCIMENTO 1 ABA, DE 0,52 X 7,20 M (SEM AMIANTO)</v>
          </cell>
          <cell r="D4216" t="str">
            <v>UN</v>
          </cell>
          <cell r="E4216" t="str">
            <v>CR</v>
          </cell>
          <cell r="F4216">
            <v>327.22000000000003</v>
          </cell>
        </row>
        <row r="4217">
          <cell r="B4217">
            <v>7229</v>
          </cell>
          <cell r="C4217" t="str">
            <v>TELHA ESTRUTURAL DE FIBROCIMENTO 2 ABAS, DE 1,00 X 3,00 M (SEM AMIANTO)</v>
          </cell>
          <cell r="D4217" t="str">
            <v>UN</v>
          </cell>
          <cell r="E4217" t="str">
            <v>CR</v>
          </cell>
          <cell r="F4217">
            <v>207.41</v>
          </cell>
        </row>
        <row r="4218">
          <cell r="B4218">
            <v>7230</v>
          </cell>
          <cell r="C4218" t="str">
            <v>TELHA ESTRUTURAL DE FIBROCIMENTO 2 ABAS, DE 1,00 X 4,60 M (SEM AMIANTO)</v>
          </cell>
          <cell r="D4218" t="str">
            <v>UN</v>
          </cell>
          <cell r="E4218" t="str">
            <v>CR</v>
          </cell>
          <cell r="F4218">
            <v>345.3</v>
          </cell>
        </row>
        <row r="4219">
          <cell r="B4219">
            <v>7231</v>
          </cell>
          <cell r="C4219" t="str">
            <v>TELHA ESTRUTURAL DE FIBROCIMENTO 2 ABAS, DE 1,00 X 6,00 M (SEM AMIANTO)</v>
          </cell>
          <cell r="D4219" t="str">
            <v>UN</v>
          </cell>
          <cell r="E4219" t="str">
            <v>CR</v>
          </cell>
          <cell r="F4219">
            <v>489.84</v>
          </cell>
        </row>
        <row r="4220">
          <cell r="B4220">
            <v>7220</v>
          </cell>
          <cell r="C4220" t="str">
            <v>TELHA ESTRUTURAL DE FIBROCIMENTO 2 ABAS, DE 1,00 X 7,40 M (SEM AMIANTO)</v>
          </cell>
          <cell r="D4220" t="str">
            <v>UN</v>
          </cell>
          <cell r="E4220" t="str">
            <v>CR</v>
          </cell>
          <cell r="F4220">
            <v>604.65</v>
          </cell>
        </row>
        <row r="4221">
          <cell r="B4221">
            <v>34447</v>
          </cell>
          <cell r="C4221" t="str">
            <v>TELHA ESTRUTURAL DE FIBROCIMENTO 2 ABAS, DE 1,00 X 8,20 M (SEM AMIANTO)</v>
          </cell>
          <cell r="D4221" t="str">
            <v>UN</v>
          </cell>
          <cell r="E4221" t="str">
            <v>CR</v>
          </cell>
          <cell r="F4221">
            <v>676.09</v>
          </cell>
        </row>
        <row r="4222">
          <cell r="B4222">
            <v>7233</v>
          </cell>
          <cell r="C4222" t="str">
            <v>TELHA ESTRUTURAL DE FIBROCIMENTO 2 ABAS, DE 1,00 X 9,20 M (SEM AMIANTO)</v>
          </cell>
          <cell r="D4222" t="str">
            <v>UN</v>
          </cell>
          <cell r="E4222" t="str">
            <v>CR</v>
          </cell>
          <cell r="F4222">
            <v>775.59</v>
          </cell>
        </row>
        <row r="4223">
          <cell r="B4223">
            <v>40740</v>
          </cell>
          <cell r="C4223" t="str">
            <v>TELHA GALVALUME COM ISOLAMENTO TERMOACUSTICO EM ESPUMA RIGIDA DE POLIURETANO (PU) INJETADO, ESPESSURA DE 30 MM, DENSIDADE DE 35 KG/M3, REVESTIMENTO EM TELHA TRAPEZOIDAL NAS DUAS FACES COM ESPESSURA DE 0,50 MM CADA, ACABAMENTO NATURAL (NAO INCLUI ACESSORIOS DE FIXACAO)</v>
          </cell>
          <cell r="D4223" t="str">
            <v>M2</v>
          </cell>
          <cell r="E4223" t="str">
            <v>CR</v>
          </cell>
          <cell r="F4223">
            <v>158.47999999999999</v>
          </cell>
        </row>
        <row r="4224">
          <cell r="B4224">
            <v>25007</v>
          </cell>
          <cell r="C4224" t="str">
            <v>TELHA ONDULADA EM ACO ZINCADO, ALTURA DE 17 MM, ESPESSURA DE 0,50 MM, LARGURA UTIL DE APROXIMADAMENTE 985 MM, SEM PINTURA</v>
          </cell>
          <cell r="D4224" t="str">
            <v>M2</v>
          </cell>
          <cell r="E4224" t="str">
            <v>C</v>
          </cell>
          <cell r="F4224">
            <v>45.35</v>
          </cell>
        </row>
        <row r="4225">
          <cell r="B4225">
            <v>43071</v>
          </cell>
          <cell r="C4225" t="str">
            <v>TELHA TERMOISOLANTE REVESTIDA EM ACO GALVALUME, FACE SUPERIOR TRAPEZOIDAL E FACE INFERIOR PLANA (NAO INCLUI ACESSORIOS DE FIXACAO), REVEST COM ESPESSURA DE 0,50 MM, COM PRE-PINTURA DE COR BRANCA NAS DUAS FACES, NUCLEO EM POLIISOCIANURATO (PIR) COM ESPESSURA DE 50 MM</v>
          </cell>
          <cell r="D4225" t="str">
            <v>M2</v>
          </cell>
          <cell r="E4225" t="str">
            <v>CR</v>
          </cell>
          <cell r="F4225">
            <v>178.45</v>
          </cell>
        </row>
        <row r="4226">
          <cell r="B4226">
            <v>39520</v>
          </cell>
          <cell r="C4226" t="str">
            <v>TELHA TERMOISOLANTE REVESTIDA EM ACO GALVANIZADO, FACE SUPERIOR EM TELHA TRAPEZOIDAL E FACE INFERIOR EM CHAPA PLANA (SEM ACESSORIOS DE FIXACAO), REVESTIMENTO COM ESPESSURA DE 0,50 MM COM PRE-PINTURA NAS DUAS FACES, NUCLEO EM POLIESTIRENO (EPS) DE 30 MM</v>
          </cell>
          <cell r="D4226" t="str">
            <v>M2</v>
          </cell>
          <cell r="E4226" t="str">
            <v>CR</v>
          </cell>
          <cell r="F4226">
            <v>145.59</v>
          </cell>
        </row>
        <row r="4227">
          <cell r="B4227">
            <v>39521</v>
          </cell>
          <cell r="C4227" t="str">
            <v>TELHA TERMOISOLANTE REVESTIDA EM ACO GALVANIZADO, FACE SUPERIOR EM TELHA TRAPEZOIDAL E FACE INFERIOR EM CHAPA PLANA (SEM ACESSORIOS DE FIXACAO), REVESTIMENTO COM ESPESSURA DE 0,50 MM COM PRE-PINTURA NAS DUAS FACES, NUCLEO EM POLIESTIRENO (EPS) DE 50 MM</v>
          </cell>
          <cell r="D4227" t="str">
            <v>M2</v>
          </cell>
          <cell r="E4227" t="str">
            <v>CR</v>
          </cell>
          <cell r="F4227">
            <v>150.34</v>
          </cell>
        </row>
        <row r="4228">
          <cell r="B4228">
            <v>39522</v>
          </cell>
          <cell r="C4228" t="str">
            <v>TELHA TERMOISOLANTE REVESTIDA EM ACO GALVANIZADO, FACES SUPERIOR E INFERIOR EM TELHA TRAPEZOIDAL (SEM ACESSORIOS DE FIXACAO), REVESTIMENTO COM ESPESSURA DE 0,50 MM COM PRE-PINTURA NAS DUAS FACES, NUCLEO EM POLIESTIRENO (EPS) DE 50 MM</v>
          </cell>
          <cell r="D4228" t="str">
            <v>M2</v>
          </cell>
          <cell r="E4228" t="str">
            <v>CR</v>
          </cell>
          <cell r="F4228">
            <v>155.25</v>
          </cell>
        </row>
        <row r="4229">
          <cell r="B4229">
            <v>7243</v>
          </cell>
          <cell r="C4229" t="str">
            <v>TELHA TRAPEZOIDAL EM ACO ZINCADO, SEM PINTURA, ALTURA DE APROXIMADAMENTE 40 MM, ESPESSURA DE 0,50 MM E LARGURA UTIL DE 980 MM</v>
          </cell>
          <cell r="D4229" t="str">
            <v>M2</v>
          </cell>
          <cell r="E4229" t="str">
            <v>CR</v>
          </cell>
          <cell r="F4229">
            <v>47.39</v>
          </cell>
        </row>
        <row r="4230">
          <cell r="B4230">
            <v>7246</v>
          </cell>
          <cell r="C4230" t="str">
            <v>TELHA VIDRO TIPO CANAL OU COLONIAL, C = 46 A 50 CM</v>
          </cell>
          <cell r="D4230" t="str">
            <v>UN</v>
          </cell>
          <cell r="E4230" t="str">
            <v>CR</v>
          </cell>
          <cell r="F4230">
            <v>38.369999999999997</v>
          </cell>
        </row>
        <row r="4231">
          <cell r="B4231">
            <v>12869</v>
          </cell>
          <cell r="C4231" t="str">
            <v>TELHADOR / TELHADISTA (HORISTA)</v>
          </cell>
          <cell r="D4231" t="str">
            <v>H</v>
          </cell>
          <cell r="E4231" t="str">
            <v>CR</v>
          </cell>
          <cell r="F4231">
            <v>26.03</v>
          </cell>
        </row>
        <row r="4232">
          <cell r="B4232">
            <v>41097</v>
          </cell>
          <cell r="C4232" t="str">
            <v>TELHADOR / TELHADISTA (MENSALISTA)</v>
          </cell>
          <cell r="D4232" t="str">
            <v>MES</v>
          </cell>
          <cell r="E4232" t="str">
            <v>CR</v>
          </cell>
          <cell r="F4232">
            <v>4560.57</v>
          </cell>
        </row>
        <row r="4233">
          <cell r="B4233">
            <v>1574</v>
          </cell>
          <cell r="C4233" t="str">
            <v>TERMINAL A COMPRESSAO EM COBRE ESTANHADO PARA CABO 10 MM2, 1 FURO E 1 COMPRESSAO, PARA PARAFUSO DE FIXACAO M6</v>
          </cell>
          <cell r="D4233" t="str">
            <v>UN</v>
          </cell>
          <cell r="E4233" t="str">
            <v>CR</v>
          </cell>
          <cell r="F4233">
            <v>1.76</v>
          </cell>
        </row>
        <row r="4234">
          <cell r="B4234">
            <v>1581</v>
          </cell>
          <cell r="C4234" t="str">
            <v>TERMINAL A COMPRESSAO EM COBRE ESTANHADO PARA CABO 120 MM2, 1 FURO E 1 COMPRESSAO, PARA PARAFUSO DE FIXACAO M12</v>
          </cell>
          <cell r="D4234" t="str">
            <v>UN</v>
          </cell>
          <cell r="E4234" t="str">
            <v>CR</v>
          </cell>
          <cell r="F4234">
            <v>12.25</v>
          </cell>
        </row>
        <row r="4235">
          <cell r="B4235">
            <v>1575</v>
          </cell>
          <cell r="C4235" t="str">
            <v>TERMINAL A COMPRESSAO EM COBRE ESTANHADO PARA CABO 16 MM2, 1 FURO E 1 COMPRESSAO, PARA PARAFUSO DE FIXACAO M6</v>
          </cell>
          <cell r="D4235" t="str">
            <v>UN</v>
          </cell>
          <cell r="E4235" t="str">
            <v>CR</v>
          </cell>
          <cell r="F4235">
            <v>2.09</v>
          </cell>
        </row>
        <row r="4236">
          <cell r="B4236">
            <v>1570</v>
          </cell>
          <cell r="C4236" t="str">
            <v>TERMINAL A COMPRESSAO EM COBRE ESTANHADO PARA CABO 2,5 MM2, 1 FURO E 1 COMPRESSAO, PARA PARAFUSO DE FIXACAO M5</v>
          </cell>
          <cell r="D4236" t="str">
            <v>UN</v>
          </cell>
          <cell r="E4236" t="str">
            <v>CR</v>
          </cell>
          <cell r="F4236">
            <v>1.05</v>
          </cell>
        </row>
        <row r="4237">
          <cell r="B4237">
            <v>1576</v>
          </cell>
          <cell r="C4237" t="str">
            <v>TERMINAL A COMPRESSAO EM COBRE ESTANHADO PARA CABO 25 MM2, 1 FURO E 1 COMPRESSAO, PARA PARAFUSO DE FIXACAO M8</v>
          </cell>
          <cell r="D4237" t="str">
            <v>UN</v>
          </cell>
          <cell r="E4237" t="str">
            <v>CR</v>
          </cell>
          <cell r="F4237">
            <v>2.9</v>
          </cell>
        </row>
        <row r="4238">
          <cell r="B4238">
            <v>1577</v>
          </cell>
          <cell r="C4238" t="str">
            <v>TERMINAL A COMPRESSAO EM COBRE ESTANHADO PARA CABO 35 MM2, 1 FURO E 1 COMPRESSAO, PARA PARAFUSO DE FIXACAO M8</v>
          </cell>
          <cell r="D4238" t="str">
            <v>UN</v>
          </cell>
          <cell r="E4238" t="str">
            <v>CR</v>
          </cell>
          <cell r="F4238">
            <v>3.27</v>
          </cell>
        </row>
        <row r="4239">
          <cell r="B4239">
            <v>1571</v>
          </cell>
          <cell r="C4239" t="str">
            <v>TERMINAL A COMPRESSAO EM COBRE ESTANHADO PARA CABO 4 MM2, 1 FURO E 1 COMPRESSAO, PARA PARAFUSO DE FIXACAO M5</v>
          </cell>
          <cell r="D4239" t="str">
            <v>UN</v>
          </cell>
          <cell r="E4239" t="str">
            <v>CR</v>
          </cell>
          <cell r="F4239">
            <v>1.37</v>
          </cell>
        </row>
        <row r="4240">
          <cell r="B4240">
            <v>1578</v>
          </cell>
          <cell r="C4240" t="str">
            <v>TERMINAL A COMPRESSAO EM COBRE ESTANHADO PARA CABO 50 MM2, 1 FURO E 1 COMPRESSAO, PARA PARAFUSO DE FIXACAO M8</v>
          </cell>
          <cell r="D4240" t="str">
            <v>UN</v>
          </cell>
          <cell r="E4240" t="str">
            <v>CR</v>
          </cell>
          <cell r="F4240">
            <v>5.67</v>
          </cell>
        </row>
        <row r="4241">
          <cell r="B4241">
            <v>1573</v>
          </cell>
          <cell r="C4241" t="str">
            <v>TERMINAL A COMPRESSAO EM COBRE ESTANHADO PARA CABO 6 MM2, 1 FURO E 1 COMPRESSAO, PARA PARAFUSO DE FIXACAO M6</v>
          </cell>
          <cell r="D4241" t="str">
            <v>UN</v>
          </cell>
          <cell r="E4241" t="str">
            <v>CR</v>
          </cell>
          <cell r="F4241">
            <v>1.63</v>
          </cell>
        </row>
        <row r="4242">
          <cell r="B4242">
            <v>1579</v>
          </cell>
          <cell r="C4242" t="str">
            <v>TERMINAL A COMPRESSAO EM COBRE ESTANHADO PARA CABO 70 MM2, 1 FURO E 1 COMPRESSAO, PARA PARAFUSO DE FIXACAO M10</v>
          </cell>
          <cell r="D4242" t="str">
            <v>UN</v>
          </cell>
          <cell r="E4242" t="str">
            <v>CR</v>
          </cell>
          <cell r="F4242">
            <v>7.07</v>
          </cell>
        </row>
        <row r="4243">
          <cell r="B4243">
            <v>1580</v>
          </cell>
          <cell r="C4243" t="str">
            <v>TERMINAL A COMPRESSAO EM COBRE ESTANHADO PARA CABO 95 MM2, 1 FURO E 1 COMPRESSAO, PARA PARAFUSO DE FIXACAO M12</v>
          </cell>
          <cell r="D4243" t="str">
            <v>UN</v>
          </cell>
          <cell r="E4243" t="str">
            <v>CR</v>
          </cell>
          <cell r="F4243">
            <v>8.7100000000000009</v>
          </cell>
        </row>
        <row r="4244">
          <cell r="B4244">
            <v>39321</v>
          </cell>
          <cell r="C4244" t="str">
            <v>TERMINAL DE VENTILACAO, 100 MM, SERIE NORMAL, ESGOTO PREDIAL</v>
          </cell>
          <cell r="D4244" t="str">
            <v>UN</v>
          </cell>
          <cell r="E4244" t="str">
            <v>CR</v>
          </cell>
          <cell r="F4244">
            <v>26.34</v>
          </cell>
        </row>
        <row r="4245">
          <cell r="B4245">
            <v>39319</v>
          </cell>
          <cell r="C4245" t="str">
            <v>TERMINAL DE VENTILACAO, 50 MM, SERIE NORMAL, ESGOTO PREDIAL</v>
          </cell>
          <cell r="D4245" t="str">
            <v>UN</v>
          </cell>
          <cell r="E4245" t="str">
            <v>CR</v>
          </cell>
          <cell r="F4245">
            <v>10.96</v>
          </cell>
        </row>
        <row r="4246">
          <cell r="B4246">
            <v>39320</v>
          </cell>
          <cell r="C4246" t="str">
            <v>TERMINAL DE VENTILACAO, 75 MM, SERIE NORMAL, ESGOTO PREDIAL</v>
          </cell>
          <cell r="D4246" t="str">
            <v>UN</v>
          </cell>
          <cell r="E4246" t="str">
            <v>CR</v>
          </cell>
          <cell r="F4246">
            <v>21.07</v>
          </cell>
        </row>
        <row r="4247">
          <cell r="B4247">
            <v>1542</v>
          </cell>
          <cell r="C4247" t="str">
            <v>TERMINAL METALICO A PRESSAO 1 CABO, PARA CABOS DE 4 A 10 MM2, COM 2 FUROS PARA FIXACAO</v>
          </cell>
          <cell r="D4247" t="str">
            <v>UN</v>
          </cell>
          <cell r="E4247" t="str">
            <v>CR</v>
          </cell>
          <cell r="F4247">
            <v>24.14</v>
          </cell>
        </row>
        <row r="4248">
          <cell r="B4248">
            <v>1591</v>
          </cell>
          <cell r="C4248" t="str">
            <v>TERMINAL METALICO A PRESSAO PARA 1 CABO DE 120 MM2, COM 1 FURO DE FIXACAO</v>
          </cell>
          <cell r="D4248" t="str">
            <v>UN</v>
          </cell>
          <cell r="E4248" t="str">
            <v>CR</v>
          </cell>
          <cell r="F4248">
            <v>27.01</v>
          </cell>
        </row>
        <row r="4249">
          <cell r="B4249">
            <v>1547</v>
          </cell>
          <cell r="C4249" t="str">
            <v>TERMINAL METALICO A PRESSAO PARA 1 CABO DE 150 A 185 MM2, COM 2 FUROS PARA FIXACAO</v>
          </cell>
          <cell r="D4249" t="str">
            <v>UN</v>
          </cell>
          <cell r="E4249" t="str">
            <v>CR</v>
          </cell>
          <cell r="F4249">
            <v>141.56</v>
          </cell>
        </row>
        <row r="4250">
          <cell r="B4250">
            <v>38196</v>
          </cell>
          <cell r="C4250" t="str">
            <v>TERMINAL METALICO A PRESSAO PARA 1 CABO DE 150 MM2, COM 1 FURO DE FIXACAO</v>
          </cell>
          <cell r="D4250" t="str">
            <v>UN</v>
          </cell>
          <cell r="E4250" t="str">
            <v>CR</v>
          </cell>
          <cell r="F4250">
            <v>27.57</v>
          </cell>
        </row>
        <row r="4251">
          <cell r="B4251">
            <v>1543</v>
          </cell>
          <cell r="C4251" t="str">
            <v>TERMINAL METALICO A PRESSAO PARA 1 CABO DE 16 A 25 MM2, COM 2 FUROS PARA FIXACAO</v>
          </cell>
          <cell r="D4251" t="str">
            <v>UN</v>
          </cell>
          <cell r="E4251" t="str">
            <v>CR</v>
          </cell>
          <cell r="F4251">
            <v>29.3</v>
          </cell>
        </row>
        <row r="4252">
          <cell r="B4252">
            <v>1585</v>
          </cell>
          <cell r="C4252" t="str">
            <v>TERMINAL METALICO A PRESSAO PARA 1 CABO DE 16 MM2, COM 1 FURO DE FIXACAO</v>
          </cell>
          <cell r="D4252" t="str">
            <v>UN</v>
          </cell>
          <cell r="E4252" t="str">
            <v>CR</v>
          </cell>
          <cell r="F4252">
            <v>5.67</v>
          </cell>
        </row>
        <row r="4253">
          <cell r="B4253">
            <v>1593</v>
          </cell>
          <cell r="C4253" t="str">
            <v>TERMINAL METALICO A PRESSAO PARA 1 CABO DE 185 MM2, COM 1 FURO DE FIXACAO</v>
          </cell>
          <cell r="D4253" t="str">
            <v>UN</v>
          </cell>
          <cell r="E4253" t="str">
            <v>CR</v>
          </cell>
          <cell r="F4253">
            <v>30.13</v>
          </cell>
        </row>
        <row r="4254">
          <cell r="B4254">
            <v>11838</v>
          </cell>
          <cell r="C4254" t="str">
            <v>TERMINAL METALICO A PRESSAO PARA 1 CABO DE 240 MM2, COM 1 FURO DE FIXACAO</v>
          </cell>
          <cell r="D4254" t="str">
            <v>UN</v>
          </cell>
          <cell r="E4254" t="str">
            <v>CR</v>
          </cell>
          <cell r="F4254">
            <v>39.76</v>
          </cell>
        </row>
        <row r="4255">
          <cell r="B4255">
            <v>1594</v>
          </cell>
          <cell r="C4255" t="str">
            <v>TERMINAL METALICO A PRESSAO PARA 1 CABO DE 25 A 35 MM2, COM 2 FUROS PARA FIXACAO</v>
          </cell>
          <cell r="D4255" t="str">
            <v>UN</v>
          </cell>
          <cell r="E4255" t="str">
            <v>CR</v>
          </cell>
          <cell r="F4255">
            <v>40.19</v>
          </cell>
        </row>
        <row r="4256">
          <cell r="B4256">
            <v>1586</v>
          </cell>
          <cell r="C4256" t="str">
            <v>TERMINAL METALICO A PRESSAO PARA 1 CABO DE 25 MM2, COM 1 FURO DE FIXACAO</v>
          </cell>
          <cell r="D4256" t="str">
            <v>UN</v>
          </cell>
          <cell r="E4256" t="str">
            <v>CR</v>
          </cell>
          <cell r="F4256">
            <v>7.18</v>
          </cell>
        </row>
        <row r="4257">
          <cell r="B4257">
            <v>11839</v>
          </cell>
          <cell r="C4257" t="str">
            <v>TERMINAL METALICO A PRESSAO PARA 1 CABO DE 300 MM2, COM 1 FURO DE FIXACAO</v>
          </cell>
          <cell r="D4257" t="str">
            <v>UN</v>
          </cell>
          <cell r="E4257" t="str">
            <v>CR</v>
          </cell>
          <cell r="F4257">
            <v>57.85</v>
          </cell>
        </row>
        <row r="4258">
          <cell r="B4258">
            <v>1587</v>
          </cell>
          <cell r="C4258" t="str">
            <v>TERMINAL METALICO A PRESSAO PARA 1 CABO DE 35 MM2, COM 1 FURO DE FIXACAO</v>
          </cell>
          <cell r="D4258" t="str">
            <v>UN</v>
          </cell>
          <cell r="E4258" t="str">
            <v>CR</v>
          </cell>
          <cell r="F4258">
            <v>7.31</v>
          </cell>
        </row>
        <row r="4259">
          <cell r="B4259">
            <v>1545</v>
          </cell>
          <cell r="C4259" t="str">
            <v>TERMINAL METALICO A PRESSAO PARA 1 CABO DE 50 A 70 MM2, COM 2 FUROS PARA FIXACAO</v>
          </cell>
          <cell r="D4259" t="str">
            <v>UN</v>
          </cell>
          <cell r="E4259" t="str">
            <v>CR</v>
          </cell>
          <cell r="F4259">
            <v>69.42</v>
          </cell>
        </row>
        <row r="4260">
          <cell r="B4260">
            <v>1588</v>
          </cell>
          <cell r="C4260" t="str">
            <v>TERMINAL METALICO A PRESSAO PARA 1 CABO DE 50 MM2, COM 1 FURO DE FIXACAO</v>
          </cell>
          <cell r="D4260" t="str">
            <v>UN</v>
          </cell>
          <cell r="E4260" t="str">
            <v>CR</v>
          </cell>
          <cell r="F4260">
            <v>10.029999999999999</v>
          </cell>
        </row>
        <row r="4261">
          <cell r="B4261">
            <v>1535</v>
          </cell>
          <cell r="C4261" t="str">
            <v>TERMINAL METALICO A PRESSAO PARA 1 CABO DE 6 A 10 MM2, COM 1 FURO DE FIXACAO</v>
          </cell>
          <cell r="D4261" t="str">
            <v>UN</v>
          </cell>
          <cell r="E4261" t="str">
            <v>CR</v>
          </cell>
          <cell r="F4261">
            <v>5.78</v>
          </cell>
        </row>
        <row r="4262">
          <cell r="B4262">
            <v>1589</v>
          </cell>
          <cell r="C4262" t="str">
            <v>TERMINAL METALICO A PRESSAO PARA 1 CABO DE 70 MM2, COM 1 FURO DE FIXACAO</v>
          </cell>
          <cell r="D4262" t="str">
            <v>UN</v>
          </cell>
          <cell r="E4262" t="str">
            <v>CR</v>
          </cell>
          <cell r="F4262">
            <v>10.35</v>
          </cell>
        </row>
        <row r="4263">
          <cell r="B4263">
            <v>1546</v>
          </cell>
          <cell r="C4263" t="str">
            <v>TERMINAL METALICO A PRESSAO PARA 1 CABO DE 95 A 120 MM2, COM 2 FUROS PARA FIXACAO</v>
          </cell>
          <cell r="D4263" t="str">
            <v>UN</v>
          </cell>
          <cell r="E4263" t="str">
            <v>CR</v>
          </cell>
          <cell r="F4263">
            <v>117.15</v>
          </cell>
        </row>
        <row r="4264">
          <cell r="B4264">
            <v>1590</v>
          </cell>
          <cell r="C4264" t="str">
            <v>TERMINAL METALICO A PRESSAO PARA 1 CABO DE 95 MM2, COM 1 FURO DE FIXACAO</v>
          </cell>
          <cell r="D4264" t="str">
            <v>UN</v>
          </cell>
          <cell r="E4264" t="str">
            <v>CR</v>
          </cell>
          <cell r="F4264">
            <v>18.22</v>
          </cell>
        </row>
        <row r="4265">
          <cell r="B4265">
            <v>38415</v>
          </cell>
          <cell r="C4265" t="str">
            <v>TERMOFUSORA PARA TUBOS E CONEXOES EM PPR COM DIAMETROS DE 20 A 63 MM, POTENCIA DE 800 W, TENSAO 220 V</v>
          </cell>
          <cell r="D4265" t="str">
            <v>UN</v>
          </cell>
          <cell r="E4265" t="str">
            <v>CR</v>
          </cell>
          <cell r="F4265">
            <v>543.1</v>
          </cell>
        </row>
        <row r="4266">
          <cell r="B4266">
            <v>38414</v>
          </cell>
          <cell r="C4266" t="str">
            <v>TERMOFUSORA PARA TUBOS E CONEXOES EM PPR COM DIAMETROS DE 75 A 110 MM, POTENCIA DE *1100* W, TENSAO 220 V</v>
          </cell>
          <cell r="D4266" t="str">
            <v>UN</v>
          </cell>
          <cell r="E4266" t="str">
            <v>CR</v>
          </cell>
          <cell r="F4266">
            <v>692.76</v>
          </cell>
        </row>
        <row r="4267">
          <cell r="B4267">
            <v>38128</v>
          </cell>
          <cell r="C4267" t="str">
            <v>TERRA VEGETAL (ENSACADA)</v>
          </cell>
          <cell r="D4267" t="str">
            <v>KG</v>
          </cell>
          <cell r="E4267" t="str">
            <v>C</v>
          </cell>
          <cell r="F4267">
            <v>1</v>
          </cell>
        </row>
        <row r="4268">
          <cell r="B4268">
            <v>7253</v>
          </cell>
          <cell r="C4268" t="str">
            <v>TERRA VEGETAL (GRANEL)</v>
          </cell>
          <cell r="D4268" t="str">
            <v>M3</v>
          </cell>
          <cell r="E4268" t="str">
            <v>CR</v>
          </cell>
          <cell r="F4268">
            <v>214.28</v>
          </cell>
        </row>
        <row r="4269">
          <cell r="B4269">
            <v>4806</v>
          </cell>
          <cell r="C4269" t="str">
            <v>TESTEIRA ANTIDERRAPANTE PARA PISO VINILICO *5 X 2,5* CM, E = 2 MM</v>
          </cell>
          <cell r="D4269" t="str">
            <v>M</v>
          </cell>
          <cell r="E4269" t="str">
            <v>CR</v>
          </cell>
          <cell r="F4269">
            <v>18.34</v>
          </cell>
        </row>
        <row r="4270">
          <cell r="B4270">
            <v>34401</v>
          </cell>
          <cell r="C4270" t="str">
            <v>TIJOLO CERAMICO LAMINADO DE *5,5 X 11 X 23* CM (L X A X C), COM 21 FUROS</v>
          </cell>
          <cell r="D4270" t="str">
            <v>UN</v>
          </cell>
          <cell r="E4270" t="str">
            <v>CR</v>
          </cell>
          <cell r="F4270">
            <v>1.6</v>
          </cell>
        </row>
        <row r="4271">
          <cell r="B4271">
            <v>7256</v>
          </cell>
          <cell r="C4271" t="str">
            <v>TIJOLO CERAMICO MACICO APARENTE 2 FUROS DE *6,5 X 10 X 20* CM (L X A X C)</v>
          </cell>
          <cell r="D4271" t="str">
            <v>UN</v>
          </cell>
          <cell r="E4271" t="str">
            <v>CR</v>
          </cell>
          <cell r="F4271">
            <v>1.1399999999999999</v>
          </cell>
        </row>
        <row r="4272">
          <cell r="B4272">
            <v>7260</v>
          </cell>
          <cell r="C4272" t="str">
            <v>TIJOLO CERAMICO MACICO APARENTE DE *6 X 12 X 24* CM (L X A X C)</v>
          </cell>
          <cell r="D4272" t="str">
            <v>UN</v>
          </cell>
          <cell r="E4272" t="str">
            <v>CR</v>
          </cell>
          <cell r="F4272">
            <v>2.16</v>
          </cell>
        </row>
        <row r="4273">
          <cell r="B4273">
            <v>7258</v>
          </cell>
          <cell r="C4273" t="str">
            <v>TIJOLO CERAMICO MACICO COMUM DE *5 X 10 X 20* CM (L X A X C)</v>
          </cell>
          <cell r="D4273" t="str">
            <v>UN</v>
          </cell>
          <cell r="E4273" t="str">
            <v>CR</v>
          </cell>
          <cell r="F4273">
            <v>0.56000000000000005</v>
          </cell>
        </row>
        <row r="4274">
          <cell r="B4274">
            <v>34400</v>
          </cell>
          <cell r="C4274" t="str">
            <v>TIJOLO CERAMICO REFRATARIO DE *2,5 X 11,4 X 22,9* CM (L X A X C)</v>
          </cell>
          <cell r="D4274" t="str">
            <v>UN</v>
          </cell>
          <cell r="E4274" t="str">
            <v>CR</v>
          </cell>
          <cell r="F4274">
            <v>4.45</v>
          </cell>
        </row>
        <row r="4275">
          <cell r="B4275">
            <v>10617</v>
          </cell>
          <cell r="C4275" t="str">
            <v>TIJOLO CERAMICO REFRATARIO DE *6,3 X 11,4 X 22,9* CM (L X A X C)</v>
          </cell>
          <cell r="D4275" t="str">
            <v>UN</v>
          </cell>
          <cell r="E4275" t="str">
            <v>CR</v>
          </cell>
          <cell r="F4275">
            <v>5.74</v>
          </cell>
        </row>
        <row r="4276">
          <cell r="B4276">
            <v>44261</v>
          </cell>
          <cell r="C4276" t="str">
            <v>TIL CONDOMINIAL, PVC, DN 100 X 100 MM, PARA REDE COLETORA DE ESGOTO</v>
          </cell>
          <cell r="D4276" t="str">
            <v>UN</v>
          </cell>
          <cell r="E4276" t="str">
            <v>CR</v>
          </cell>
          <cell r="F4276">
            <v>175</v>
          </cell>
        </row>
        <row r="4277">
          <cell r="B4277">
            <v>7274</v>
          </cell>
          <cell r="C4277" t="str">
            <v>TIL PARA LIGACAO PREDIAL, EM PVC, JE, BBB, DN 100 X 100 MM, PARA REDE COLETORA ESGOTO</v>
          </cell>
          <cell r="D4277" t="str">
            <v>UN</v>
          </cell>
          <cell r="E4277" t="str">
            <v>CR</v>
          </cell>
          <cell r="F4277">
            <v>84.72</v>
          </cell>
        </row>
        <row r="4278">
          <cell r="B4278">
            <v>44326</v>
          </cell>
          <cell r="C4278" t="str">
            <v>TIL RADIAL, PVC, JE, BBB, DN 300 X 200 MM, PARA REDE COLETORA DE ESGOTO (NBR 10.569)</v>
          </cell>
          <cell r="D4278" t="str">
            <v>UN</v>
          </cell>
          <cell r="E4278" t="str">
            <v>CR</v>
          </cell>
          <cell r="F4278">
            <v>1829.81</v>
          </cell>
        </row>
        <row r="4279">
          <cell r="B4279">
            <v>154</v>
          </cell>
          <cell r="C4279" t="str">
            <v>TINTA / REVESTIMENTO A BASE DE RESINA EPOXI COM ALCATRAO, BICOMPONENTE</v>
          </cell>
          <cell r="D4279" t="str">
            <v>L</v>
          </cell>
          <cell r="E4279" t="str">
            <v>CR</v>
          </cell>
          <cell r="F4279">
            <v>68.13</v>
          </cell>
        </row>
        <row r="4280">
          <cell r="B4280">
            <v>38121</v>
          </cell>
          <cell r="C4280" t="str">
            <v>TINTA A BASE DE RESINA ACRILICA EMULSIONADA EM AGUA, PARA SINALIZACAO HORIZONTAL VIARIA (NBR 13699:2012)</v>
          </cell>
          <cell r="D4280" t="str">
            <v>L</v>
          </cell>
          <cell r="E4280" t="str">
            <v>CR</v>
          </cell>
          <cell r="F4280">
            <v>26.17</v>
          </cell>
        </row>
        <row r="4281">
          <cell r="B4281">
            <v>43776</v>
          </cell>
          <cell r="C4281" t="str">
            <v>TINTA A OLEO BRILHANTE, PARA MADEIRAS E METAIS</v>
          </cell>
          <cell r="D4281" t="str">
            <v>L</v>
          </cell>
          <cell r="E4281" t="str">
            <v>CR</v>
          </cell>
          <cell r="F4281">
            <v>32.090000000000003</v>
          </cell>
        </row>
        <row r="4282">
          <cell r="B4282">
            <v>7343</v>
          </cell>
          <cell r="C4282" t="str">
            <v>TINTA ACRILICA A BASE DE SOLVENTE, PARA SINALIZACAO HORIZONTAL VIARIA (NBR 11862)</v>
          </cell>
          <cell r="D4282" t="str">
            <v>L</v>
          </cell>
          <cell r="E4282" t="str">
            <v>CR</v>
          </cell>
          <cell r="F4282">
            <v>38.49</v>
          </cell>
        </row>
        <row r="4283">
          <cell r="B4283">
            <v>7348</v>
          </cell>
          <cell r="C4283" t="str">
            <v>TINTA ACRILICA PREMIUM PARA PISO</v>
          </cell>
          <cell r="D4283" t="str">
            <v>L</v>
          </cell>
          <cell r="E4283" t="str">
            <v>CR</v>
          </cell>
          <cell r="F4283">
            <v>22.53</v>
          </cell>
        </row>
        <row r="4284">
          <cell r="B4284">
            <v>7313</v>
          </cell>
          <cell r="C4284" t="str">
            <v>TINTA ASFALTICA IMPERMEABILIZANTE DILUIDA EM SOLVENTE, PARA MATERIAIS CIMENTICIOS, METAL E MADEIRA</v>
          </cell>
          <cell r="D4284" t="str">
            <v>L</v>
          </cell>
          <cell r="E4284" t="str">
            <v>CR</v>
          </cell>
          <cell r="F4284">
            <v>19.78</v>
          </cell>
        </row>
        <row r="4285">
          <cell r="B4285">
            <v>7319</v>
          </cell>
          <cell r="C4285" t="str">
            <v>TINTA ASFALTICA IMPERMEABILIZANTE DISPERSA EM AGUA, PARA MATERIAIS CIMENTICIOS</v>
          </cell>
          <cell r="D4285" t="str">
            <v>L</v>
          </cell>
          <cell r="E4285" t="str">
            <v>CR</v>
          </cell>
          <cell r="F4285">
            <v>11.32</v>
          </cell>
        </row>
        <row r="4286">
          <cell r="B4286">
            <v>7314</v>
          </cell>
          <cell r="C4286" t="str">
            <v>TINTA BORRACHA CLORADA, ACABAMENTO SEMIBRILHO, QUALQUER COR</v>
          </cell>
          <cell r="D4286" t="str">
            <v>L</v>
          </cell>
          <cell r="E4286" t="str">
            <v>CR</v>
          </cell>
          <cell r="F4286">
            <v>91.47</v>
          </cell>
        </row>
        <row r="4287">
          <cell r="B4287">
            <v>7304</v>
          </cell>
          <cell r="C4287" t="str">
            <v>TINTA EPOXI BASE AGUA PREMIUM, BRANCA</v>
          </cell>
          <cell r="D4287" t="str">
            <v>L</v>
          </cell>
          <cell r="E4287" t="str">
            <v>CR</v>
          </cell>
          <cell r="F4287">
            <v>95.11</v>
          </cell>
        </row>
        <row r="4288">
          <cell r="B4288">
            <v>43649</v>
          </cell>
          <cell r="C4288" t="str">
            <v>TINTA ESMALTE BASE AGUA PREMIUM ACETINADO</v>
          </cell>
          <cell r="D4288" t="str">
            <v>L</v>
          </cell>
          <cell r="E4288" t="str">
            <v>CR</v>
          </cell>
          <cell r="F4288">
            <v>49.19</v>
          </cell>
        </row>
        <row r="4289">
          <cell r="B4289">
            <v>43650</v>
          </cell>
          <cell r="C4289" t="str">
            <v>TINTA ESMALTE BASE AGUA PREMIUM BRILHANTE</v>
          </cell>
          <cell r="D4289" t="str">
            <v>L</v>
          </cell>
          <cell r="E4289" t="str">
            <v>CR</v>
          </cell>
          <cell r="F4289">
            <v>46.48</v>
          </cell>
        </row>
        <row r="4290">
          <cell r="B4290">
            <v>7311</v>
          </cell>
          <cell r="C4290" t="str">
            <v>TINTA ESMALTE SINTETICO PREMIUM ACETINADO</v>
          </cell>
          <cell r="D4290" t="str">
            <v>L</v>
          </cell>
          <cell r="E4290" t="str">
            <v>CR</v>
          </cell>
          <cell r="F4290">
            <v>47.62</v>
          </cell>
        </row>
        <row r="4291">
          <cell r="B4291">
            <v>7292</v>
          </cell>
          <cell r="C4291" t="str">
            <v>TINTA ESMALTE SINTETICO PREMIUM BRILHANTE</v>
          </cell>
          <cell r="D4291" t="str">
            <v>L</v>
          </cell>
          <cell r="E4291" t="str">
            <v>C</v>
          </cell>
          <cell r="F4291">
            <v>46.1</v>
          </cell>
        </row>
        <row r="4292">
          <cell r="B4292">
            <v>7293</v>
          </cell>
          <cell r="C4292" t="str">
            <v>TINTA ESMALTE SINTETICO PREMIUM DE DUPLA ACAO GRAFITE FOSCO PARA SUPERFICIES METALICAS FERROSAS</v>
          </cell>
          <cell r="D4292" t="str">
            <v>L</v>
          </cell>
          <cell r="E4292" t="str">
            <v>CR</v>
          </cell>
          <cell r="F4292">
            <v>51</v>
          </cell>
        </row>
        <row r="4293">
          <cell r="B4293">
            <v>7306</v>
          </cell>
          <cell r="C4293" t="str">
            <v>TINTA ESMALTE SINTETICO PREMIUM DE EFEITO PROTETOR DE SUPERFICIE METALICA ALUMINIO</v>
          </cell>
          <cell r="D4293" t="str">
            <v>L</v>
          </cell>
          <cell r="E4293" t="str">
            <v>CR</v>
          </cell>
          <cell r="F4293">
            <v>56.28</v>
          </cell>
        </row>
        <row r="4294">
          <cell r="B4294">
            <v>7288</v>
          </cell>
          <cell r="C4294" t="str">
            <v>TINTA ESMALTE SINTETICO PREMIUM FOSCO</v>
          </cell>
          <cell r="D4294" t="str">
            <v>L</v>
          </cell>
          <cell r="E4294" t="str">
            <v>CR</v>
          </cell>
          <cell r="F4294">
            <v>46.73</v>
          </cell>
        </row>
        <row r="4295">
          <cell r="B4295">
            <v>43625</v>
          </cell>
          <cell r="C4295" t="str">
            <v>TINTA ESMALTE SINTETICO STANDARD ACETINADO</v>
          </cell>
          <cell r="D4295" t="str">
            <v>L</v>
          </cell>
          <cell r="E4295" t="str">
            <v>CR</v>
          </cell>
          <cell r="F4295">
            <v>37.729999999999997</v>
          </cell>
        </row>
        <row r="4296">
          <cell r="B4296">
            <v>43647</v>
          </cell>
          <cell r="C4296" t="str">
            <v>TINTA ESMALTE SINTETICO STANDARD BRILHANTE</v>
          </cell>
          <cell r="D4296" t="str">
            <v>L</v>
          </cell>
          <cell r="E4296" t="str">
            <v>CR</v>
          </cell>
          <cell r="F4296">
            <v>34.28</v>
          </cell>
        </row>
        <row r="4297">
          <cell r="B4297">
            <v>43648</v>
          </cell>
          <cell r="C4297" t="str">
            <v>TINTA ESMALTE SINTETICO STANDARD FOSCO</v>
          </cell>
          <cell r="D4297" t="str">
            <v>L</v>
          </cell>
          <cell r="E4297" t="str">
            <v>CR</v>
          </cell>
          <cell r="F4297">
            <v>33.07</v>
          </cell>
        </row>
        <row r="4298">
          <cell r="B4298">
            <v>35693</v>
          </cell>
          <cell r="C4298" t="str">
            <v>TINTA LATEX ACRILICA ECONOMICA, COR BRANCA</v>
          </cell>
          <cell r="D4298" t="str">
            <v>L</v>
          </cell>
          <cell r="E4298" t="str">
            <v>CR</v>
          </cell>
          <cell r="F4298">
            <v>14.01</v>
          </cell>
        </row>
        <row r="4299">
          <cell r="B4299">
            <v>7356</v>
          </cell>
          <cell r="C4299" t="str">
            <v>TINTA LATEX ACRILICA PREMIUM, COR BRANCO FOSCO</v>
          </cell>
          <cell r="D4299" t="str">
            <v>L</v>
          </cell>
          <cell r="E4299" t="str">
            <v>C</v>
          </cell>
          <cell r="F4299">
            <v>33.590000000000003</v>
          </cell>
        </row>
        <row r="4300">
          <cell r="B4300">
            <v>35692</v>
          </cell>
          <cell r="C4300" t="str">
            <v>TINTA LATEX ACRILICA STANDARD, COR BRANCA</v>
          </cell>
          <cell r="D4300" t="str">
            <v>L</v>
          </cell>
          <cell r="E4300" t="str">
            <v>CR</v>
          </cell>
          <cell r="F4300">
            <v>21.98</v>
          </cell>
        </row>
        <row r="4301">
          <cell r="B4301">
            <v>43624</v>
          </cell>
          <cell r="C4301" t="str">
            <v>TINTA LATEX ACRILICA SUPER PREMIUM, COR BRANCO FOSCO</v>
          </cell>
          <cell r="D4301" t="str">
            <v>L</v>
          </cell>
          <cell r="E4301" t="str">
            <v>CR</v>
          </cell>
          <cell r="F4301">
            <v>40.94</v>
          </cell>
        </row>
        <row r="4302">
          <cell r="B4302">
            <v>7342</v>
          </cell>
          <cell r="C4302" t="str">
            <v>TINTA MINERAL IMPERMEAVEL EM PO, BRANCA</v>
          </cell>
          <cell r="D4302" t="str">
            <v>KG</v>
          </cell>
          <cell r="E4302" t="str">
            <v>CR</v>
          </cell>
          <cell r="F4302">
            <v>2.17</v>
          </cell>
        </row>
        <row r="4303">
          <cell r="B4303">
            <v>7350</v>
          </cell>
          <cell r="C4303" t="str">
            <v>TINTA/RESINA ACRILICA PREMIUM PARA CERAMICA, PEDRAS E OUTROS</v>
          </cell>
          <cell r="D4303" t="str">
            <v>L</v>
          </cell>
          <cell r="E4303" t="str">
            <v>CR</v>
          </cell>
          <cell r="F4303">
            <v>48.48</v>
          </cell>
        </row>
        <row r="4304">
          <cell r="B4304">
            <v>39574</v>
          </cell>
          <cell r="C4304" t="str">
            <v>TIRANTE COM ELO, EM ARAME GALVANIZADO RIGIDO, NUMERO 10, COMPRIMENTO 2000 MM, PARA PENDURAL DE FORRO REMOVIVEL</v>
          </cell>
          <cell r="D4304" t="str">
            <v>UN</v>
          </cell>
          <cell r="E4304" t="str">
            <v>CR</v>
          </cell>
          <cell r="F4304">
            <v>3.68</v>
          </cell>
        </row>
        <row r="4305">
          <cell r="B4305">
            <v>11060</v>
          </cell>
          <cell r="C4305" t="str">
            <v>TIRANTE EM FERRO GALVANIZADO PARA CONTRAVENTAMENTO DE TELHA CANALETE 90, 1/4" X 400 MM</v>
          </cell>
          <cell r="D4305" t="str">
            <v>UN</v>
          </cell>
          <cell r="E4305" t="str">
            <v>CR</v>
          </cell>
          <cell r="F4305">
            <v>42.51</v>
          </cell>
        </row>
        <row r="4306">
          <cell r="B4306">
            <v>37401</v>
          </cell>
          <cell r="C4306" t="str">
            <v>TOALHEIRO PLASTICO TIPO DISPENSER PARA PAPEL TOALHA INTERFOLHADO</v>
          </cell>
          <cell r="D4306" t="str">
            <v>UN</v>
          </cell>
          <cell r="E4306" t="str">
            <v>CR</v>
          </cell>
          <cell r="F4306">
            <v>60.13</v>
          </cell>
        </row>
        <row r="4307">
          <cell r="B4307">
            <v>38101</v>
          </cell>
          <cell r="C4307" t="str">
            <v>TOMADA 2P+T 10A, 250V (APENAS MODULO)</v>
          </cell>
          <cell r="D4307" t="str">
            <v>UN</v>
          </cell>
          <cell r="E4307" t="str">
            <v>CR</v>
          </cell>
          <cell r="F4307">
            <v>8.5</v>
          </cell>
        </row>
        <row r="4308">
          <cell r="B4308">
            <v>7528</v>
          </cell>
          <cell r="C4308" t="str">
            <v>TOMADA 2P+T 10A, 250V, CONJUNTO MONTADO PARA EMBUTIR 4" X 2" (PLACA + SUPORTE + MODULO)</v>
          </cell>
          <cell r="D4308" t="str">
            <v>UN</v>
          </cell>
          <cell r="E4308" t="str">
            <v>C</v>
          </cell>
          <cell r="F4308">
            <v>9.99</v>
          </cell>
        </row>
        <row r="4309">
          <cell r="B4309">
            <v>12147</v>
          </cell>
          <cell r="C4309" t="str">
            <v>TOMADA 2P+T 10A, 250V, CONJUNTO MONTADO PARA SOBREPOR 4" X 2" (CAIXA + MODULO)</v>
          </cell>
          <cell r="D4309" t="str">
            <v>UN</v>
          </cell>
          <cell r="E4309" t="str">
            <v>CR</v>
          </cell>
          <cell r="F4309">
            <v>15.23</v>
          </cell>
        </row>
        <row r="4310">
          <cell r="B4310">
            <v>38075</v>
          </cell>
          <cell r="C4310" t="str">
            <v>TOMADA 2P+T 20A 250V, CONJUNTO MONTADO PARA EMBUTIR 4" X 2" (PLACA + SUPORTE + MODULO)</v>
          </cell>
          <cell r="D4310" t="str">
            <v>UN</v>
          </cell>
          <cell r="E4310" t="str">
            <v>CR</v>
          </cell>
          <cell r="F4310">
            <v>17.3</v>
          </cell>
        </row>
        <row r="4311">
          <cell r="B4311">
            <v>38102</v>
          </cell>
          <cell r="C4311" t="str">
            <v>TOMADA 2P+T 20A, 250V (APENAS MODULO)</v>
          </cell>
          <cell r="D4311" t="str">
            <v>UN</v>
          </cell>
          <cell r="E4311" t="str">
            <v>CR</v>
          </cell>
          <cell r="F4311">
            <v>10.87</v>
          </cell>
        </row>
        <row r="4312">
          <cell r="B4312">
            <v>7525</v>
          </cell>
          <cell r="C4312" t="str">
            <v>TOMADA INDUSTRIAL DE EMBUTIR 3P+T 30 A, 440 V, COM TRAVA, COM PLACA</v>
          </cell>
          <cell r="D4312" t="str">
            <v>UN</v>
          </cell>
          <cell r="E4312" t="str">
            <v>CR</v>
          </cell>
          <cell r="F4312">
            <v>49.19</v>
          </cell>
        </row>
        <row r="4313">
          <cell r="B4313">
            <v>7524</v>
          </cell>
          <cell r="C4313" t="str">
            <v>TOMADA INDUSTRIAL DE EMBUTIR 3P+T 30 A, 440 V, COM TRAVA, SEM PLACA</v>
          </cell>
          <cell r="D4313" t="str">
            <v>UN</v>
          </cell>
          <cell r="E4313" t="str">
            <v>CR</v>
          </cell>
          <cell r="F4313">
            <v>46.35</v>
          </cell>
        </row>
        <row r="4314">
          <cell r="B4314">
            <v>38105</v>
          </cell>
          <cell r="C4314" t="str">
            <v>TOMADA PARA ANTENA DE TV, CABO COAXIAL DE 9 MM (APENAS MODULO)</v>
          </cell>
          <cell r="D4314" t="str">
            <v>UN</v>
          </cell>
          <cell r="E4314" t="str">
            <v>CR</v>
          </cell>
          <cell r="F4314">
            <v>11.91</v>
          </cell>
        </row>
        <row r="4315">
          <cell r="B4315">
            <v>38084</v>
          </cell>
          <cell r="C4315" t="str">
            <v>TOMADA PARA ANTENA DE TV, CABO COAXIAL DE 9 MM, CONJUNTO MONTADO PARA EMBUTIR 4" X 2" (PLACA + SUPORTE + MODULO)</v>
          </cell>
          <cell r="D4315" t="str">
            <v>UN</v>
          </cell>
          <cell r="E4315" t="str">
            <v>CR</v>
          </cell>
          <cell r="F4315">
            <v>16.91</v>
          </cell>
        </row>
        <row r="4316">
          <cell r="B4316">
            <v>38103</v>
          </cell>
          <cell r="C4316" t="str">
            <v>TOMADA RJ11, 2 FIOS (APENAS MODULO)</v>
          </cell>
          <cell r="D4316" t="str">
            <v>UN</v>
          </cell>
          <cell r="E4316" t="str">
            <v>CR</v>
          </cell>
          <cell r="F4316">
            <v>17.87</v>
          </cell>
        </row>
        <row r="4317">
          <cell r="B4317">
            <v>38082</v>
          </cell>
          <cell r="C4317" t="str">
            <v>TOMADA RJ11, 2 FIOS, CONJUNTO MONTADO PARA EMBUTIR 4" X 2" (PLACA + SUPORTE + MODULO)</v>
          </cell>
          <cell r="D4317" t="str">
            <v>UN</v>
          </cell>
          <cell r="E4317" t="str">
            <v>CR</v>
          </cell>
          <cell r="F4317">
            <v>22.02</v>
          </cell>
        </row>
        <row r="4318">
          <cell r="B4318">
            <v>38104</v>
          </cell>
          <cell r="C4318" t="str">
            <v>TOMADA RJ45, 8 FIOS, CAT 5E (APENAS MODULO)</v>
          </cell>
          <cell r="D4318" t="str">
            <v>UN</v>
          </cell>
          <cell r="E4318" t="str">
            <v>CR</v>
          </cell>
          <cell r="F4318">
            <v>35</v>
          </cell>
        </row>
        <row r="4319">
          <cell r="B4319">
            <v>38083</v>
          </cell>
          <cell r="C4319" t="str">
            <v>TOMADA RJ45, 8 FIOS, CAT 5E, CONJUNTO MONTADO PARA EMBUTIR 4" X 2" (PLACA + SUPORTE + MODULO)</v>
          </cell>
          <cell r="D4319" t="str">
            <v>UN</v>
          </cell>
          <cell r="E4319" t="str">
            <v>CR</v>
          </cell>
          <cell r="F4319">
            <v>38.86</v>
          </cell>
        </row>
        <row r="4320">
          <cell r="B4320">
            <v>38076</v>
          </cell>
          <cell r="C4320" t="str">
            <v>TOMADAS (2 MODULOS) 2P+T 10A, 250V, CONJUNTO MONTADO PARA EMBUTIR 4" X 2" (PLACA + SUPORTE + MODULOS)</v>
          </cell>
          <cell r="D4320" t="str">
            <v>UN</v>
          </cell>
          <cell r="E4320" t="str">
            <v>CR</v>
          </cell>
          <cell r="F4320">
            <v>19.399999999999999</v>
          </cell>
        </row>
        <row r="4321">
          <cell r="B4321">
            <v>7592</v>
          </cell>
          <cell r="C4321" t="str">
            <v>TOPOGRAFO (HORISTA)</v>
          </cell>
          <cell r="D4321" t="str">
            <v>H</v>
          </cell>
          <cell r="E4321" t="str">
            <v>C</v>
          </cell>
          <cell r="F4321">
            <v>80.37</v>
          </cell>
        </row>
        <row r="4322">
          <cell r="B4322">
            <v>40820</v>
          </cell>
          <cell r="C4322" t="str">
            <v>TOPOGRAFO (MENSALISTA)</v>
          </cell>
          <cell r="D4322" t="str">
            <v>MES</v>
          </cell>
          <cell r="E4322" t="str">
            <v>CR</v>
          </cell>
          <cell r="F4322">
            <v>14077.15</v>
          </cell>
        </row>
        <row r="4323">
          <cell r="B4323">
            <v>11826</v>
          </cell>
          <cell r="C4323" t="str">
            <v>TORNEIRA DE BOIA BALAO METALICO, VAZAO TOTAL, PARA CAIXA D'AGUA, AGUA QUENTE, ROSCA 1/2", COM HASTE, TORNEIRA E BALAO METALICOS</v>
          </cell>
          <cell r="D4323" t="str">
            <v>UN</v>
          </cell>
          <cell r="E4323" t="str">
            <v>CR</v>
          </cell>
          <cell r="F4323">
            <v>82.13</v>
          </cell>
        </row>
        <row r="4324">
          <cell r="B4324">
            <v>7606</v>
          </cell>
          <cell r="C4324" t="str">
            <v>TORNEIRA DE BOIA BALAO METALICO, VAZAO TOTAL, PARA CAIXA D'AGUA, AGUA QUENTE, ROSCA 3/4", COM HASTE, TORNEIRA E BALAO METALICOS</v>
          </cell>
          <cell r="D4324" t="str">
            <v>UN</v>
          </cell>
          <cell r="E4324" t="str">
            <v>CR</v>
          </cell>
          <cell r="F4324">
            <v>98.76</v>
          </cell>
        </row>
        <row r="4325">
          <cell r="B4325">
            <v>11825</v>
          </cell>
          <cell r="C4325" t="str">
            <v>TORNEIRA DE BOIA CONVENCIONAL PARA CAIXA D'AGUA, 1", AGUA FRIA, COM HASTE E TORNEIRA METALICOS E BALAO PLASTICO</v>
          </cell>
          <cell r="D4325" t="str">
            <v>UN</v>
          </cell>
          <cell r="E4325" t="str">
            <v>CR</v>
          </cell>
          <cell r="F4325">
            <v>103.9</v>
          </cell>
        </row>
        <row r="4326">
          <cell r="B4326">
            <v>11767</v>
          </cell>
          <cell r="C4326" t="str">
            <v>TORNEIRA DE BOIA CONVENCIONAL PARA CAIXA D'AGUA, 2", AGUA FRIA, COM HASTE E TORNEIRA METALICOS E BALAO PLASTICO</v>
          </cell>
          <cell r="D4326" t="str">
            <v>UN</v>
          </cell>
          <cell r="E4326" t="str">
            <v>CR</v>
          </cell>
          <cell r="F4326">
            <v>276.72000000000003</v>
          </cell>
        </row>
        <row r="4327">
          <cell r="B4327">
            <v>11763</v>
          </cell>
          <cell r="C4327" t="str">
            <v>TORNEIRA DE BOIA CONVENCIONAL PARA CAIXA D'AGUA, AGUA FRIA, 1.1/2", COM HASTE E TORNEIRA METALICOS E BALAO PLASTICO</v>
          </cell>
          <cell r="D4327" t="str">
            <v>UN</v>
          </cell>
          <cell r="E4327" t="str">
            <v>CR</v>
          </cell>
          <cell r="F4327">
            <v>215.67</v>
          </cell>
        </row>
        <row r="4328">
          <cell r="B4328">
            <v>11764</v>
          </cell>
          <cell r="C4328" t="str">
            <v>TORNEIRA DE BOIA CONVENCIONAL PARA CAIXA D'AGUA, AGUA FRIA, 1.1/4", COM HASTE E TORNEIRA METALICOS E BALAO PLASTICO</v>
          </cell>
          <cell r="D4328" t="str">
            <v>UN</v>
          </cell>
          <cell r="E4328" t="str">
            <v>CR</v>
          </cell>
          <cell r="F4328">
            <v>176.95</v>
          </cell>
        </row>
        <row r="4329">
          <cell r="B4329">
            <v>11829</v>
          </cell>
          <cell r="C4329" t="str">
            <v>TORNEIRA DE BOIA CONVENCIONAL PARA CAIXA D'AGUA, AGUA FRIA, 1/2", COM HASTE E TORNEIRA METALICOS E BALAO PLASTICO</v>
          </cell>
          <cell r="D4329" t="str">
            <v>UN</v>
          </cell>
          <cell r="E4329" t="str">
            <v>CR</v>
          </cell>
          <cell r="F4329">
            <v>42.77</v>
          </cell>
        </row>
        <row r="4330">
          <cell r="B4330">
            <v>11830</v>
          </cell>
          <cell r="C4330" t="str">
            <v>TORNEIRA DE BOIA CONVENCIONAL PARA CAIXA D'AGUA, AGUA FRIA, 3/4", COM HASTE E TORNEIRA METALICOS E BALAO PLASTICO</v>
          </cell>
          <cell r="D4330" t="str">
            <v>UN</v>
          </cell>
          <cell r="E4330" t="str">
            <v>CR</v>
          </cell>
          <cell r="F4330">
            <v>46.18</v>
          </cell>
        </row>
        <row r="4331">
          <cell r="B4331">
            <v>11765</v>
          </cell>
          <cell r="C4331" t="str">
            <v>TORNEIRA DE BOIA VAZAO TOTAL PARA CAIXA D'AGUA, AGUA FRIA, BITOLA 1", COM HASTE E TORNEIRA METALICOS E BALAO PLASTICO</v>
          </cell>
          <cell r="D4331" t="str">
            <v>UN</v>
          </cell>
          <cell r="E4331" t="str">
            <v>CR</v>
          </cell>
          <cell r="F4331">
            <v>117.93</v>
          </cell>
        </row>
        <row r="4332">
          <cell r="B4332">
            <v>11766</v>
          </cell>
          <cell r="C4332" t="str">
            <v>TORNEIRA DE BOIA VAZAO TOTAL PARA CAIXA D'AGUA, AGUA FRIA, BITOLA 1/2", COM HASTE E TORNEIRA METALICOS E BALAO PLASTICO</v>
          </cell>
          <cell r="D4332" t="str">
            <v>UN</v>
          </cell>
          <cell r="E4332" t="str">
            <v>CR</v>
          </cell>
          <cell r="F4332">
            <v>64.5</v>
          </cell>
        </row>
        <row r="4333">
          <cell r="B4333">
            <v>11824</v>
          </cell>
          <cell r="C4333" t="str">
            <v>TORNEIRA DE BOIA VAZAO TOTAL PARA CAIXA D'AGUA, AGUA FRIA, BITOLA 3/4", COM HASTE E TORNEIRA METALICOS E BALAO PLASTICO</v>
          </cell>
          <cell r="D4333" t="str">
            <v>UN</v>
          </cell>
          <cell r="E4333" t="str">
            <v>CR</v>
          </cell>
          <cell r="F4333">
            <v>75.87</v>
          </cell>
        </row>
        <row r="4334">
          <cell r="B4334">
            <v>44045</v>
          </cell>
          <cell r="C4334" t="str">
            <v>TORNEIRA DE MESA PARA LAVATORIO, METALICA CROMADA, COM MISTURADOR MONOCOMANDO, BICA BAIXA</v>
          </cell>
          <cell r="D4334" t="str">
            <v>UN</v>
          </cell>
          <cell r="E4334" t="str">
            <v>CR</v>
          </cell>
          <cell r="F4334">
            <v>288.47000000000003</v>
          </cell>
        </row>
        <row r="4335">
          <cell r="B4335">
            <v>39702</v>
          </cell>
          <cell r="C4335" t="str">
            <v>TORNEIRA DE MESA PARA LAVATORIO, METALICA CROMADA, COM SENSOR DE APROXIMACAO ELETRICO, BIVOLT</v>
          </cell>
          <cell r="D4335" t="str">
            <v>UN</v>
          </cell>
          <cell r="E4335" t="str">
            <v>CR</v>
          </cell>
          <cell r="F4335">
            <v>1915.88</v>
          </cell>
        </row>
        <row r="4336">
          <cell r="B4336">
            <v>13415</v>
          </cell>
          <cell r="C4336" t="str">
            <v>TORNEIRA DE MESA/BANCADA, PARA LAVATORIO, FIXA, METALICA CROMADA, PADRAO POPULAR, 1/2" OU 3/4"</v>
          </cell>
          <cell r="D4336" t="str">
            <v>UN</v>
          </cell>
          <cell r="E4336" t="str">
            <v>C</v>
          </cell>
          <cell r="F4336">
            <v>62.9</v>
          </cell>
        </row>
        <row r="4337">
          <cell r="B4337">
            <v>7602</v>
          </cell>
          <cell r="C4337" t="str">
            <v>TORNEIRA DE METAL AMARELO, PARA TANQUE / JARDIM, DE PAREDE, COM BICO PLASTICO, CANO CURTO, AREA EXTERNA, PADRAO POPULAR / USO GERAL, 1/2" OU 3/4"</v>
          </cell>
          <cell r="D4337" t="str">
            <v>UN</v>
          </cell>
          <cell r="E4337" t="str">
            <v>CR</v>
          </cell>
          <cell r="F4337">
            <v>40.14</v>
          </cell>
        </row>
        <row r="4338">
          <cell r="B4338">
            <v>7603</v>
          </cell>
          <cell r="C4338" t="str">
            <v>TORNEIRA DE METAL AMARELO, PARA TANQUE / JARDIM, DE PAREDE, SEM BICO, CANO CURTO, PADRAO POPULAR / USO GERAL, 1/2" OU 3/4"</v>
          </cell>
          <cell r="D4338" t="str">
            <v>UN</v>
          </cell>
          <cell r="E4338" t="str">
            <v>CR</v>
          </cell>
          <cell r="F4338">
            <v>34.049999999999997</v>
          </cell>
        </row>
        <row r="4339">
          <cell r="B4339">
            <v>11777</v>
          </cell>
          <cell r="C4339" t="str">
            <v>TORNEIRA ELETRICA DE PAREDE, PLASTICA, BICA ALTA, PARA COZINHA, 5500 W (110/220 V)</v>
          </cell>
          <cell r="D4339" t="str">
            <v>UN</v>
          </cell>
          <cell r="E4339" t="str">
            <v>CR</v>
          </cell>
          <cell r="F4339">
            <v>223.34</v>
          </cell>
        </row>
        <row r="4340">
          <cell r="B4340">
            <v>13417</v>
          </cell>
          <cell r="C4340" t="str">
            <v>TORNEIRA METALICA CROMADA CANO CURTO, SEM BICO, SEM AREJADOR, DE PAREDE, PARA TANQUE E USO GERAL, 1/2" OU 3/4"</v>
          </cell>
          <cell r="D4340" t="str">
            <v>UN</v>
          </cell>
          <cell r="E4340" t="str">
            <v>CR</v>
          </cell>
          <cell r="F4340">
            <v>81.92</v>
          </cell>
        </row>
        <row r="4341">
          <cell r="B4341">
            <v>36791</v>
          </cell>
          <cell r="C4341" t="str">
            <v>TORNEIRA METALICA CROMADA DE MESA PARA LAVATORIO, BICA ALTA, COM AREJADOR</v>
          </cell>
          <cell r="D4341" t="str">
            <v>UN</v>
          </cell>
          <cell r="E4341" t="str">
            <v>CR</v>
          </cell>
          <cell r="F4341">
            <v>122.95</v>
          </cell>
        </row>
        <row r="4342">
          <cell r="B4342">
            <v>36795</v>
          </cell>
          <cell r="C4342" t="str">
            <v>TORNEIRA METALICA CROMADA DE MESA PARA LAVATORIO, COM SENSOR DE PRESENCA A PILHA, COM AREJADOR EMBUTIDO</v>
          </cell>
          <cell r="D4342" t="str">
            <v>UN</v>
          </cell>
          <cell r="E4342" t="str">
            <v>CR</v>
          </cell>
          <cell r="F4342">
            <v>1554.56</v>
          </cell>
        </row>
        <row r="4343">
          <cell r="B4343">
            <v>36796</v>
          </cell>
          <cell r="C4343" t="str">
            <v>TORNEIRA METALICA CROMADA DE MESA, PARA LAVATORIO, TEMPORIZADA PRESSAO FECHAMENTO AUTOMATICO, BICA BAIXA</v>
          </cell>
          <cell r="D4343" t="str">
            <v>UN</v>
          </cell>
          <cell r="E4343" t="str">
            <v>CR</v>
          </cell>
          <cell r="F4343">
            <v>129.18</v>
          </cell>
        </row>
        <row r="4344">
          <cell r="B4344">
            <v>36792</v>
          </cell>
          <cell r="C4344" t="str">
            <v>TORNEIRA METALICA CROMADA DE PAREDE LONGA PARA LAVATORIO, COM AREJADOR, ACIONAMENTO ALAVANCA, 1/4 DE VOLTA</v>
          </cell>
          <cell r="D4344" t="str">
            <v>UN</v>
          </cell>
          <cell r="E4344" t="str">
            <v>CR</v>
          </cell>
          <cell r="F4344">
            <v>163.63999999999999</v>
          </cell>
        </row>
        <row r="4345">
          <cell r="B4345">
            <v>11773</v>
          </cell>
          <cell r="C4345" t="str">
            <v>TORNEIRA METALICA CROMADA DE PAREDE, PARA COZINHA, BICA MOVEL, COM AREJADOR, 1/2" OU 3/4"</v>
          </cell>
          <cell r="D4345" t="str">
            <v>UN</v>
          </cell>
          <cell r="E4345" t="str">
            <v>CR</v>
          </cell>
          <cell r="F4345">
            <v>108.93</v>
          </cell>
        </row>
        <row r="4346">
          <cell r="B4346">
            <v>11762</v>
          </cell>
          <cell r="C4346" t="str">
            <v>TORNEIRA METALICA CROMADA PARA JARDIM / TANQUE, COM BICO PLASTICO, CANO LONGO, DE PAREDE, PADRAO POPULAR / USO GERAL, 1/2" OU 3/4"</v>
          </cell>
          <cell r="D4346" t="str">
            <v>UN</v>
          </cell>
          <cell r="E4346" t="str">
            <v>CR</v>
          </cell>
          <cell r="F4346">
            <v>51.67</v>
          </cell>
        </row>
        <row r="4347">
          <cell r="B4347">
            <v>7604</v>
          </cell>
          <cell r="C4347" t="str">
            <v>TORNEIRA METALICA CROMADA PARA TANQUE / JARDIM, SEM BICO, CANO LONGO, DE PAREDE, PADRAO POPULAR / USO GERAL, 1/2" OU 3/4"</v>
          </cell>
          <cell r="D4347" t="str">
            <v>UN</v>
          </cell>
          <cell r="E4347" t="str">
            <v>CR</v>
          </cell>
          <cell r="F4347">
            <v>43.75</v>
          </cell>
        </row>
        <row r="4348">
          <cell r="B4348">
            <v>13984</v>
          </cell>
          <cell r="C4348" t="str">
            <v>TORNEIRA METALICA CROMADA, CANO CURTO, COM AREJADOR, SEM BICO PLASTICO, DE PAREDE, PARA USO GERAL, 1/2" OU 3/4"</v>
          </cell>
          <cell r="D4348" t="str">
            <v>UN</v>
          </cell>
          <cell r="E4348" t="str">
            <v>CR</v>
          </cell>
          <cell r="F4348">
            <v>63.58</v>
          </cell>
        </row>
        <row r="4349">
          <cell r="B4349">
            <v>11772</v>
          </cell>
          <cell r="C4349" t="str">
            <v>TORNEIRA METALICA CROMADA, DE MESA/BANCADA, PARA COZINHA, BICA MOVEL, COM AREJADOR, 1/2" OU 3/4"</v>
          </cell>
          <cell r="D4349" t="str">
            <v>UN</v>
          </cell>
          <cell r="E4349" t="str">
            <v>CR</v>
          </cell>
          <cell r="F4349">
            <v>109.27</v>
          </cell>
        </row>
        <row r="4350">
          <cell r="B4350">
            <v>13983</v>
          </cell>
          <cell r="C4350" t="str">
            <v>TORNEIRA METALICA CROMADA, RETA, DE PAREDE, PARA COZINHA, COM AREJADOR, PADRAO POPULAR, 1/2" OU 3/4"</v>
          </cell>
          <cell r="D4350" t="str">
            <v>UN</v>
          </cell>
          <cell r="E4350" t="str">
            <v>CR</v>
          </cell>
          <cell r="F4350">
            <v>82.75</v>
          </cell>
        </row>
        <row r="4351">
          <cell r="B4351">
            <v>13416</v>
          </cell>
          <cell r="C4351" t="str">
            <v>TORNEIRA METALICA CROMADA, RETA, DE PAREDE, PARA COZINHA, SEM BICO, SEM AREJADOR, PADRAO POPULAR, 1/2" OU 3/4"</v>
          </cell>
          <cell r="D4351" t="str">
            <v>UN</v>
          </cell>
          <cell r="E4351" t="str">
            <v>CR</v>
          </cell>
          <cell r="F4351">
            <v>73.5</v>
          </cell>
        </row>
        <row r="4352">
          <cell r="B4352">
            <v>40329</v>
          </cell>
          <cell r="C4352" t="str">
            <v>TORNEIRA PLASTICA DE BOIA CONVENCIONAL PARA CAIXA DE AGUA, AGUA FRIA, 3/4", COM HASTE METALICA E COM TORNEIRA E BALAO PLASTICOS (PADRAO POPULAR)</v>
          </cell>
          <cell r="D4352" t="str">
            <v>UN</v>
          </cell>
          <cell r="E4352" t="str">
            <v>C</v>
          </cell>
          <cell r="F4352">
            <v>26.8</v>
          </cell>
        </row>
        <row r="4353">
          <cell r="B4353">
            <v>11823</v>
          </cell>
          <cell r="C4353" t="str">
            <v>TORNEIRA PLASTICA DE BOIA PARA CAIXA DE DESCARGA, 1/2", BALAO E TORNEIRA PLASTICOS, COM HASTE METALICA</v>
          </cell>
          <cell r="D4353" t="str">
            <v>UN</v>
          </cell>
          <cell r="E4353" t="str">
            <v>CR</v>
          </cell>
          <cell r="F4353">
            <v>11.29</v>
          </cell>
        </row>
        <row r="4354">
          <cell r="B4354">
            <v>11822</v>
          </cell>
          <cell r="C4354" t="str">
            <v>TORNEIRA PLASTICA DE MESA, BICA MOVEL, PARA COZINHA 1/2"</v>
          </cell>
          <cell r="D4354" t="str">
            <v>UN</v>
          </cell>
          <cell r="E4354" t="str">
            <v>CR</v>
          </cell>
          <cell r="F4354">
            <v>34.81</v>
          </cell>
        </row>
        <row r="4355">
          <cell r="B4355">
            <v>11831</v>
          </cell>
          <cell r="C4355" t="str">
            <v>TORNEIRA PLASTICA PARA TANQUE 1/2" OU 3/4" COM BICO PARA MANGUEIRA</v>
          </cell>
          <cell r="D4355" t="str">
            <v>UN</v>
          </cell>
          <cell r="E4355" t="str">
            <v>CR</v>
          </cell>
          <cell r="F4355">
            <v>20.95</v>
          </cell>
        </row>
        <row r="4356">
          <cell r="B4356">
            <v>45249</v>
          </cell>
          <cell r="C4356" t="str">
            <v>TORNO/MORSA DE BANCADA NUMERO 4</v>
          </cell>
          <cell r="D4356" t="str">
            <v>UN</v>
          </cell>
          <cell r="E4356" t="str">
            <v>CR</v>
          </cell>
          <cell r="F4356">
            <v>181.26</v>
          </cell>
        </row>
        <row r="4357">
          <cell r="B4357">
            <v>7613</v>
          </cell>
          <cell r="C4357" t="str">
            <v>TRANSFORMADOR TRIFASICO DE DISTRIBUICAO, POTENCIA DE 1000 KVA, TENSAO NOMINAL DE 15 KV, TENSAO SECUNDARIA DE 220/127V, EM OLEO ISOLANTE TIPO MINERAL</v>
          </cell>
          <cell r="D4357" t="str">
            <v>UN</v>
          </cell>
          <cell r="E4357" t="str">
            <v>CR</v>
          </cell>
          <cell r="F4357">
            <v>125058.65</v>
          </cell>
        </row>
        <row r="4358">
          <cell r="B4358">
            <v>7619</v>
          </cell>
          <cell r="C4358" t="str">
            <v>TRANSFORMADOR TRIFASICO DE DISTRIBUICAO, POTENCIA DE 112,5 KVA, TENSAO NOMINAL DE 15 KV, TENSAO SECUNDARIA DE 220/127V, EM OLEO ISOLANTE TIPO MINERAL</v>
          </cell>
          <cell r="D4358" t="str">
            <v>UN</v>
          </cell>
          <cell r="E4358" t="str">
            <v>CR</v>
          </cell>
          <cell r="F4358">
            <v>19331.39</v>
          </cell>
        </row>
        <row r="4359">
          <cell r="B4359">
            <v>12076</v>
          </cell>
          <cell r="C4359" t="str">
            <v>TRANSFORMADOR TRIFASICO DE DISTRIBUICAO, POTENCIA DE 15 KVA, TENSAO NOMINAL DE 15 KV, TENSAO SECUNDARIA DE 220/127V, EM OLEO ISOLANTE TIPO MINERAL</v>
          </cell>
          <cell r="D4359" t="str">
            <v>UN</v>
          </cell>
          <cell r="E4359" t="str">
            <v>CR</v>
          </cell>
          <cell r="F4359">
            <v>8867.61</v>
          </cell>
        </row>
        <row r="4360">
          <cell r="B4360">
            <v>7614</v>
          </cell>
          <cell r="C4360" t="str">
            <v>TRANSFORMADOR TRIFASICO DE DISTRIBUICAO, POTENCIA DE 150 KVA, TENSAO NOMINAL DE 15 KV, TENSAO SECUNDARIA DE 220/127V, EM OLEO ISOLANTE TIPO MINERAL</v>
          </cell>
          <cell r="D4360" t="str">
            <v>UN</v>
          </cell>
          <cell r="E4360" t="str">
            <v>CR</v>
          </cell>
          <cell r="F4360">
            <v>24381.49</v>
          </cell>
        </row>
        <row r="4361">
          <cell r="B4361">
            <v>7618</v>
          </cell>
          <cell r="C4361" t="str">
            <v>TRANSFORMADOR TRIFASICO DE DISTRIBUICAO, POTENCIA DE 1500 KVA, TENSAO NOMINAL DE 15 KV, TENSAO SECUNDARIA DE 220/127V, EM OLEO ISOLANTE TIPO MINERAL</v>
          </cell>
          <cell r="D4361" t="str">
            <v>UN</v>
          </cell>
          <cell r="E4361" t="str">
            <v>CR</v>
          </cell>
          <cell r="F4361">
            <v>158132.31</v>
          </cell>
        </row>
        <row r="4362">
          <cell r="B4362">
            <v>7620</v>
          </cell>
          <cell r="C4362" t="str">
            <v>TRANSFORMADOR TRIFASICO DE DISTRIBUICAO, POTENCIA DE 225 KVA, TENSAO NOMINAL DE 15 KV, TENSAO SECUNDARIA DE 220/127V, EM OLEO ISOLANTE TIPO MINERAL</v>
          </cell>
          <cell r="D4362" t="str">
            <v>UN</v>
          </cell>
          <cell r="E4362" t="str">
            <v>CR</v>
          </cell>
          <cell r="F4362">
            <v>34203.64</v>
          </cell>
        </row>
        <row r="4363">
          <cell r="B4363">
            <v>7610</v>
          </cell>
          <cell r="C4363" t="str">
            <v>TRANSFORMADOR TRIFASICO DE DISTRIBUICAO, POTENCIA DE 30 KVA, TENSAO NOMINAL DE 15 KV, TENSAO SECUNDARIA DE 220/127V, EM OLEO ISOLANTE TIPO MINERAL</v>
          </cell>
          <cell r="D4363" t="str">
            <v>UN</v>
          </cell>
          <cell r="E4363" t="str">
            <v>CR</v>
          </cell>
          <cell r="F4363">
            <v>10831.15</v>
          </cell>
        </row>
        <row r="4364">
          <cell r="B4364">
            <v>7615</v>
          </cell>
          <cell r="C4364" t="str">
            <v>TRANSFORMADOR TRIFASICO DE DISTRIBUICAO, POTENCIA DE 300 KVA, TENSAO NOMINAL DE 15 KV, TENSAO SECUNDARIA DE 220/127V, EM OLEO ISOLANTE TIPO MINERAL</v>
          </cell>
          <cell r="D4364" t="str">
            <v>UN</v>
          </cell>
          <cell r="E4364" t="str">
            <v>CR</v>
          </cell>
          <cell r="F4364">
            <v>39904.239999999998</v>
          </cell>
        </row>
        <row r="4365">
          <cell r="B4365">
            <v>7617</v>
          </cell>
          <cell r="C4365" t="str">
            <v>TRANSFORMADOR TRIFASICO DE DISTRIBUICAO, POTENCIA DE 45 KVA, TENSAO NOMINAL DE 15 KV, TENSAO SECUNDARIA DE 220/127V, EM OLEO ISOLANTE TIPO MINERAL</v>
          </cell>
          <cell r="D4365" t="str">
            <v>UN</v>
          </cell>
          <cell r="E4365" t="str">
            <v>CR</v>
          </cell>
          <cell r="F4365">
            <v>12097.95</v>
          </cell>
        </row>
        <row r="4366">
          <cell r="B4366">
            <v>7616</v>
          </cell>
          <cell r="C4366" t="str">
            <v>TRANSFORMADOR TRIFASICO DE DISTRIBUICAO, POTENCIA DE 500 KVA, TENSAO NOMINAL DE 15 KV, TENSAO SECUNDARIA DE 220/127V, EM OLEO ISOLANTE TIPO MINERAL</v>
          </cell>
          <cell r="D4366" t="str">
            <v>UN</v>
          </cell>
          <cell r="E4366" t="str">
            <v>CR</v>
          </cell>
          <cell r="F4366">
            <v>65117.4</v>
          </cell>
        </row>
        <row r="4367">
          <cell r="B4367">
            <v>7611</v>
          </cell>
          <cell r="C4367" t="str">
            <v>TRANSFORMADOR TRIFASICO DE DISTRIBUICAO, POTENCIA DE 75 KVA, TENSAO NOMINAL DE 15 KV, TENSAO SECUNDARIA DE 220/127V, EM OLEO ISOLANTE TIPO MINERAL</v>
          </cell>
          <cell r="D4367" t="str">
            <v>UN</v>
          </cell>
          <cell r="E4367" t="str">
            <v>C</v>
          </cell>
          <cell r="F4367">
            <v>15645</v>
          </cell>
        </row>
        <row r="4368">
          <cell r="B4368">
            <v>7612</v>
          </cell>
          <cell r="C4368" t="str">
            <v>TRANSFORMADOR TRIFASICO DE DISTRIBUICAO, POTENCIA DE 750 KVA, TENSAO NOMINAL DE 15 KV, TENSAO SECUNDARIA DE 220/127V, EM OLEO ISOLANTE TIPO MINERAL</v>
          </cell>
          <cell r="D4368" t="str">
            <v>UN</v>
          </cell>
          <cell r="E4368" t="str">
            <v>CR</v>
          </cell>
          <cell r="F4368">
            <v>89319.64</v>
          </cell>
        </row>
        <row r="4369">
          <cell r="B4369">
            <v>37371</v>
          </cell>
          <cell r="C4369" t="str">
            <v>TRANSPORTE - HORISTA (COLETADO CAIXA - ENCARGOS COMPLEMENTARES)</v>
          </cell>
          <cell r="D4369" t="str">
            <v>H</v>
          </cell>
          <cell r="E4369" t="str">
            <v>C</v>
          </cell>
          <cell r="F4369">
            <v>1.07</v>
          </cell>
        </row>
        <row r="4370">
          <cell r="B4370">
            <v>40861</v>
          </cell>
          <cell r="C4370" t="str">
            <v>TRANSPORTE - MENSALISTA (COLETADO CAIXA - ENCARGOS COMPLEMENTARES)</v>
          </cell>
          <cell r="D4370" t="str">
            <v>MES</v>
          </cell>
          <cell r="E4370" t="str">
            <v>C</v>
          </cell>
          <cell r="F4370">
            <v>176.94</v>
          </cell>
        </row>
        <row r="4371">
          <cell r="B4371">
            <v>36509</v>
          </cell>
          <cell r="C4371" t="str">
            <v>TRATOR DE ESTEIRAS, POTENCIA 125 HP, PESO OPERACIONAL DE 12,9 T, COM LAMINA COM CAPACIDADE DE 2,7 M3</v>
          </cell>
          <cell r="D4371" t="str">
            <v>UN</v>
          </cell>
          <cell r="E4371" t="str">
            <v>CR</v>
          </cell>
          <cell r="F4371">
            <v>1130275.1599999999</v>
          </cell>
        </row>
        <row r="4372">
          <cell r="B4372">
            <v>7622</v>
          </cell>
          <cell r="C4372" t="str">
            <v>TRATOR DE ESTEIRAS, POTENCIA DE 100 HP, PESO OPERACIONAL DE 9,4 T, COM LAMINA COM CAPACIDADE DE 2,19 M3</v>
          </cell>
          <cell r="D4372" t="str">
            <v>UN</v>
          </cell>
          <cell r="E4372" t="str">
            <v>CR</v>
          </cell>
          <cell r="F4372">
            <v>1079918</v>
          </cell>
        </row>
        <row r="4373">
          <cell r="B4373">
            <v>7624</v>
          </cell>
          <cell r="C4373" t="str">
            <v>TRATOR DE ESTEIRAS, POTENCIA DE 150 HP, PESO OPERACIONAL DE 16,7 T, COM RODA MOTRIZ ELEVADA E LAMINA COM CONTATO DE 3,18M3</v>
          </cell>
          <cell r="D4373" t="str">
            <v>UN</v>
          </cell>
          <cell r="E4373" t="str">
            <v>C</v>
          </cell>
          <cell r="F4373">
            <v>1400000</v>
          </cell>
        </row>
        <row r="4374">
          <cell r="B4374">
            <v>7625</v>
          </cell>
          <cell r="C4374" t="str">
            <v>TRATOR DE ESTEIRAS, POTENCIA DE 170 HP, PESO OPERACIONAL DE 19 T, COM LAMINA COM CAPACIDADE DE 5,2 M3</v>
          </cell>
          <cell r="D4374" t="str">
            <v>UN</v>
          </cell>
          <cell r="E4374" t="str">
            <v>CR</v>
          </cell>
          <cell r="F4374">
            <v>1391437.18</v>
          </cell>
        </row>
        <row r="4375">
          <cell r="B4375">
            <v>7623</v>
          </cell>
          <cell r="C4375" t="str">
            <v>TRATOR DE ESTEIRAS, POTENCIA DE 347 HP, PESO OPERACIONAL DE 38,5 T, COM LAMINA COM CAPACIDADE DE 8,70M3</v>
          </cell>
          <cell r="D4375" t="str">
            <v>UN</v>
          </cell>
          <cell r="E4375" t="str">
            <v>CR</v>
          </cell>
          <cell r="F4375">
            <v>4585785.54</v>
          </cell>
        </row>
        <row r="4376">
          <cell r="B4376">
            <v>36511</v>
          </cell>
          <cell r="C4376" t="str">
            <v>TRATOR DE PNEUS COM POTENCIA DE 122 CV, TRACAO 4 X 4, PESO COM LASTRO DE 4510 KG</v>
          </cell>
          <cell r="D4376" t="str">
            <v>UN</v>
          </cell>
          <cell r="E4376" t="str">
            <v>CR</v>
          </cell>
          <cell r="F4376">
            <v>336195.68</v>
          </cell>
        </row>
        <row r="4377">
          <cell r="B4377">
            <v>7640</v>
          </cell>
          <cell r="C4377" t="str">
            <v>TRATOR DE PNEUS COM POTENCIA DE 85 CV, TRACAO 4 X 4, PESO COM LASTRO DE 4675 KG</v>
          </cell>
          <cell r="D4377" t="str">
            <v>UN</v>
          </cell>
          <cell r="E4377" t="str">
            <v>C</v>
          </cell>
          <cell r="F4377">
            <v>246390</v>
          </cell>
        </row>
        <row r="4378">
          <cell r="B4378">
            <v>11572</v>
          </cell>
          <cell r="C4378" t="str">
            <v>TRAVA / PRENDEDOR DE PORTA, EM LATAO CROMADO, MONTADO EM PISO</v>
          </cell>
          <cell r="D4378" t="str">
            <v>UN</v>
          </cell>
          <cell r="E4378" t="str">
            <v>CR</v>
          </cell>
          <cell r="F4378">
            <v>31.13</v>
          </cell>
        </row>
        <row r="4379">
          <cell r="B4379">
            <v>36149</v>
          </cell>
          <cell r="C4379" t="str">
            <v>TRAVA-QUEDAS EM ACO PARA CORDA DE 12 MM, EXTENSOR DE 25 X 300 MM, COM MOSQUETAO TIPO GANCHO TRAVA DUPLA</v>
          </cell>
          <cell r="D4379" t="str">
            <v>UN</v>
          </cell>
          <cell r="E4379" t="str">
            <v>CR</v>
          </cell>
          <cell r="F4379">
            <v>192.18</v>
          </cell>
        </row>
        <row r="4380">
          <cell r="B4380">
            <v>42407</v>
          </cell>
          <cell r="C4380" t="str">
            <v>TRELICA NERVURADA (ESPACADOR), ALTURA = 120,0 MM, DIAMETRO DOS BANZOS INFERIORES E SUPERIOR = 6,0 MM, DIAMETRO DA DIAGONAL = 4,2 MM</v>
          </cell>
          <cell r="D4380" t="str">
            <v>M</v>
          </cell>
          <cell r="E4380" t="str">
            <v>CR</v>
          </cell>
          <cell r="F4380">
            <v>5.37</v>
          </cell>
        </row>
        <row r="4381">
          <cell r="B4381">
            <v>45200</v>
          </cell>
          <cell r="C4381" t="str">
            <v>TRENA COM FITA DE ACO DE 10 M X 25 MM (COMPRIMENTO X LARGURA)</v>
          </cell>
          <cell r="D4381" t="str">
            <v>UN</v>
          </cell>
          <cell r="E4381" t="str">
            <v>CR</v>
          </cell>
          <cell r="F4381">
            <v>29.03</v>
          </cell>
        </row>
        <row r="4382">
          <cell r="B4382">
            <v>11581</v>
          </cell>
          <cell r="C4382" t="str">
            <v>TRILHO PANTOGRAFICO CONCAVO, TIPO U, EM ALUMINIO, COM DIMENSOES DE APROX *35 X 35* MM, PARA ROLDANA DE PORTA DE CORRER</v>
          </cell>
          <cell r="D4382" t="str">
            <v>M</v>
          </cell>
          <cell r="E4382" t="str">
            <v>CR</v>
          </cell>
          <cell r="F4382">
            <v>20.54</v>
          </cell>
        </row>
        <row r="4383">
          <cell r="B4383">
            <v>43605</v>
          </cell>
          <cell r="C4383" t="str">
            <v>TRILHO PANTOGRAFICO RETO, EM ALUMINIO, TIPO U, COM DIMENSOES DE *38 X 38* MM PARA PORTA DE CORRER</v>
          </cell>
          <cell r="D4383" t="str">
            <v>M</v>
          </cell>
          <cell r="E4383" t="str">
            <v>CR</v>
          </cell>
          <cell r="F4383">
            <v>42.04</v>
          </cell>
        </row>
        <row r="4384">
          <cell r="B4384">
            <v>11580</v>
          </cell>
          <cell r="C4384" t="str">
            <v>TRILHO QUADRADO FRISADO PARA RODIZIO (VERGALHAO MACICO), EM ALUMINIO, COM DIMENSOES DE *6 X 6* MM</v>
          </cell>
          <cell r="D4384" t="str">
            <v>M</v>
          </cell>
          <cell r="E4384" t="str">
            <v>CR</v>
          </cell>
          <cell r="F4384">
            <v>8.24</v>
          </cell>
        </row>
        <row r="4385">
          <cell r="B4385">
            <v>38386</v>
          </cell>
          <cell r="C4385" t="str">
            <v>TRINCHA CERDAS GRIS 1.1/2" (38 MM)</v>
          </cell>
          <cell r="D4385" t="str">
            <v>UN</v>
          </cell>
          <cell r="E4385" t="str">
            <v>CR</v>
          </cell>
          <cell r="F4385">
            <v>6.24</v>
          </cell>
        </row>
        <row r="4386">
          <cell r="B4386">
            <v>45231</v>
          </cell>
          <cell r="C4386" t="str">
            <v>TRINCHA DE 1" COM CERDAS SINTETICAS</v>
          </cell>
          <cell r="D4386" t="str">
            <v>UN</v>
          </cell>
          <cell r="E4386" t="str">
            <v>CR</v>
          </cell>
          <cell r="F4386">
            <v>5.7</v>
          </cell>
        </row>
        <row r="4387">
          <cell r="B4387">
            <v>45232</v>
          </cell>
          <cell r="C4387" t="str">
            <v>TRINCHA DE 2" COM CERDAS SINTETICAS</v>
          </cell>
          <cell r="D4387" t="str">
            <v>UN</v>
          </cell>
          <cell r="E4387" t="str">
            <v>CR</v>
          </cell>
          <cell r="F4387">
            <v>10.029999999999999</v>
          </cell>
        </row>
        <row r="4388">
          <cell r="B4388">
            <v>39848</v>
          </cell>
          <cell r="C4388" t="str">
            <v>TUBO / MANGUEIRA PRETA EM POLIETILENO, LINHA PESADA OU REFORCADA, TIPO ESPAGUETE, PARA INJECAO DE CALDA DE CIMENTO, D = 1/2", ESPESSURA 1,5 MM</v>
          </cell>
          <cell r="D4388" t="str">
            <v>M</v>
          </cell>
          <cell r="E4388" t="str">
            <v>CR</v>
          </cell>
          <cell r="F4388">
            <v>1.93</v>
          </cell>
        </row>
        <row r="4389">
          <cell r="B4389">
            <v>7667</v>
          </cell>
          <cell r="C4389" t="str">
            <v>TUBO 26" EM CHAPA PRETA, E= 3/16", 147 KG/6 M</v>
          </cell>
          <cell r="D4389" t="str">
            <v>M</v>
          </cell>
          <cell r="E4389" t="str">
            <v>CR</v>
          </cell>
          <cell r="F4389">
            <v>3383.58</v>
          </cell>
        </row>
        <row r="4390">
          <cell r="B4390">
            <v>7660</v>
          </cell>
          <cell r="C4390" t="str">
            <v>TUBO 30" EM CHAPA PRETA, E= 1/4", 175 KG/6 M</v>
          </cell>
          <cell r="D4390" t="str">
            <v>M</v>
          </cell>
          <cell r="E4390" t="str">
            <v>CR</v>
          </cell>
          <cell r="F4390">
            <v>4313.25</v>
          </cell>
        </row>
        <row r="4391">
          <cell r="B4391">
            <v>7676</v>
          </cell>
          <cell r="C4391" t="str">
            <v>TUBO 30" EM CHAPA PRETA, E= 3/8", 177 KG/6 M</v>
          </cell>
          <cell r="D4391" t="str">
            <v>M</v>
          </cell>
          <cell r="E4391" t="str">
            <v>CR</v>
          </cell>
          <cell r="F4391">
            <v>4362.55</v>
          </cell>
        </row>
        <row r="4392">
          <cell r="B4392">
            <v>20999</v>
          </cell>
          <cell r="C4392" t="str">
            <v>TUBO ACO CARBONO COM COSTURA, NBR 5580, CLASSE L, DN = 15 MM, E = 2,25 MM, 1,06 KG/M</v>
          </cell>
          <cell r="D4392" t="str">
            <v>M</v>
          </cell>
          <cell r="E4392" t="str">
            <v>CR</v>
          </cell>
          <cell r="F4392">
            <v>11.26</v>
          </cell>
        </row>
        <row r="4393">
          <cell r="B4393">
            <v>21001</v>
          </cell>
          <cell r="C4393" t="str">
            <v>TUBO ACO CARBONO COM COSTURA, NBR 5580, CLASSE L, DN = 25 MM, E = 2,65 MM, 2,02 KG/M</v>
          </cell>
          <cell r="D4393" t="str">
            <v>M</v>
          </cell>
          <cell r="E4393" t="str">
            <v>C</v>
          </cell>
          <cell r="F4393">
            <v>21.01</v>
          </cell>
        </row>
        <row r="4394">
          <cell r="B4394">
            <v>21003</v>
          </cell>
          <cell r="C4394" t="str">
            <v>TUBO ACO CARBONO COM COSTURA, NBR 5580, CLASSE L, DN = 40 MM, E = 3,0 MM, 3,34 KG/M</v>
          </cell>
          <cell r="D4394" t="str">
            <v>M</v>
          </cell>
          <cell r="E4394" t="str">
            <v>CR</v>
          </cell>
          <cell r="F4394">
            <v>34.520000000000003</v>
          </cell>
        </row>
        <row r="4395">
          <cell r="B4395">
            <v>21006</v>
          </cell>
          <cell r="C4395" t="str">
            <v>TUBO ACO CARBONO COM COSTURA, NBR 5580, CLASSE L, DN = 80 MM, E = 3,35 MM, 7,07 KG/M</v>
          </cell>
          <cell r="D4395" t="str">
            <v>M</v>
          </cell>
          <cell r="E4395" t="str">
            <v>CR</v>
          </cell>
          <cell r="F4395">
            <v>73.27</v>
          </cell>
        </row>
        <row r="4396">
          <cell r="B4396">
            <v>21019</v>
          </cell>
          <cell r="C4396" t="str">
            <v>TUBO ACO CARBONO COM COSTURA, NBR 5580, CLASSE M, DN = 25 MM, E = 3,35 MM, *2,50* KG//M</v>
          </cell>
          <cell r="D4396" t="str">
            <v>M</v>
          </cell>
          <cell r="E4396" t="str">
            <v>CR</v>
          </cell>
          <cell r="F4396">
            <v>25.47</v>
          </cell>
        </row>
        <row r="4397">
          <cell r="B4397">
            <v>21021</v>
          </cell>
          <cell r="C4397" t="str">
            <v>TUBO ACO CARBONO COM COSTURA, NBR 5580, CLASSE M, DN = 40 MM, E = 3,35 MM, *3,71* KG//M</v>
          </cell>
          <cell r="D4397" t="str">
            <v>M</v>
          </cell>
          <cell r="E4397" t="str">
            <v>CR</v>
          </cell>
          <cell r="F4397">
            <v>40.26</v>
          </cell>
        </row>
        <row r="4398">
          <cell r="B4398">
            <v>21024</v>
          </cell>
          <cell r="C4398" t="str">
            <v>TUBO ACO CARBONO COM COSTURA, NBR 5580, CLASSE M, DN = 80 MM, E = 4,05 MM, *8,47* KG/M</v>
          </cell>
          <cell r="D4398" t="str">
            <v>M</v>
          </cell>
          <cell r="E4398" t="str">
            <v>CR</v>
          </cell>
          <cell r="F4398">
            <v>86.26</v>
          </cell>
        </row>
        <row r="4399">
          <cell r="B4399">
            <v>40624</v>
          </cell>
          <cell r="C4399" t="str">
            <v>TUBO ACO CARBONO SEM COSTURA 1 1/2", E= *3,68 MM, SCHEDULE 40, 4,05 KG/M</v>
          </cell>
          <cell r="D4399" t="str">
            <v>M</v>
          </cell>
          <cell r="E4399" t="str">
            <v>CR</v>
          </cell>
          <cell r="F4399">
            <v>93.41</v>
          </cell>
        </row>
        <row r="4400">
          <cell r="B4400">
            <v>42575</v>
          </cell>
          <cell r="C4400" t="str">
            <v>TUBO ACO CARBONO SEM COSTURA 1 1/4", E= *3,56 MM, SCHEDULE 40, *3,38* KG/M</v>
          </cell>
          <cell r="D4400" t="str">
            <v>M</v>
          </cell>
          <cell r="E4400" t="str">
            <v>CR</v>
          </cell>
          <cell r="F4400">
            <v>85.72</v>
          </cell>
        </row>
        <row r="4401">
          <cell r="B4401">
            <v>42574</v>
          </cell>
          <cell r="C4401" t="str">
            <v>TUBO ACO CARBONO SEM COSTURA 1", E= *3,38 MM, SCHEDULE 40, *2,50* KG/M</v>
          </cell>
          <cell r="D4401" t="str">
            <v>M</v>
          </cell>
          <cell r="E4401" t="str">
            <v>CR</v>
          </cell>
          <cell r="F4401">
            <v>63.97</v>
          </cell>
        </row>
        <row r="4402">
          <cell r="B4402">
            <v>13127</v>
          </cell>
          <cell r="C4402" t="str">
            <v>TUBO ACO CARBONO SEM COSTURA 1/2", E= *2,77 MM, SCHEDULE 40, *1,27 KG/M</v>
          </cell>
          <cell r="D4402" t="str">
            <v>M</v>
          </cell>
          <cell r="E4402" t="str">
            <v>CR</v>
          </cell>
          <cell r="F4402">
            <v>41.66</v>
          </cell>
        </row>
        <row r="4403">
          <cell r="B4403">
            <v>13137</v>
          </cell>
          <cell r="C4403" t="str">
            <v>TUBO ACO CARBONO SEM COSTURA 1/2", E= *3,73 MM, SCHEDULE 80, *1,62 KG/M</v>
          </cell>
          <cell r="D4403" t="str">
            <v>M</v>
          </cell>
          <cell r="E4403" t="str">
            <v>CR</v>
          </cell>
          <cell r="F4403">
            <v>55.29</v>
          </cell>
        </row>
        <row r="4404">
          <cell r="B4404">
            <v>20989</v>
          </cell>
          <cell r="C4404" t="str">
            <v>TUBO ACO CARBONO SEM COSTURA 14", E= *11,13 MM, SCHEDULE 40, *94,55 KG/M</v>
          </cell>
          <cell r="D4404" t="str">
            <v>M</v>
          </cell>
          <cell r="E4404" t="str">
            <v>CR</v>
          </cell>
          <cell r="F4404">
            <v>1980.83</v>
          </cell>
        </row>
        <row r="4405">
          <cell r="B4405">
            <v>21147</v>
          </cell>
          <cell r="C4405" t="str">
            <v>TUBO ACO CARBONO SEM COSTURA 2 1/2", E = 5,16 MM, SCHEDULE 40 (8,62 KG/M)</v>
          </cell>
          <cell r="D4405" t="str">
            <v>M</v>
          </cell>
          <cell r="E4405" t="str">
            <v>CR</v>
          </cell>
          <cell r="F4405">
            <v>185.72</v>
          </cell>
        </row>
        <row r="4406">
          <cell r="B4406">
            <v>21148</v>
          </cell>
          <cell r="C4406" t="str">
            <v>TUBO ACO CARBONO SEM COSTURA 2", E= *3,91* MM, SCHEDULE 40, *5,43* KG/M</v>
          </cell>
          <cell r="D4406" t="str">
            <v>M</v>
          </cell>
          <cell r="E4406" t="str">
            <v>C</v>
          </cell>
          <cell r="F4406">
            <v>114.63</v>
          </cell>
        </row>
        <row r="4407">
          <cell r="B4407">
            <v>20984</v>
          </cell>
          <cell r="C4407" t="str">
            <v>TUBO ACO CARBONO SEM COSTURA 20", E= *12,70 MM, SCHEDULE 30, *154,97 KG/M</v>
          </cell>
          <cell r="D4407" t="str">
            <v>M</v>
          </cell>
          <cell r="E4407" t="str">
            <v>CR</v>
          </cell>
          <cell r="F4407">
            <v>3800.83</v>
          </cell>
        </row>
        <row r="4408">
          <cell r="B4408">
            <v>13042</v>
          </cell>
          <cell r="C4408" t="str">
            <v>TUBO ACO CARBONO SEM COSTURA 20", E= *6,35 MM, SCHEDULE 10, *78,46 KG/M</v>
          </cell>
          <cell r="D4408" t="str">
            <v>M</v>
          </cell>
          <cell r="E4408" t="str">
            <v>CR</v>
          </cell>
          <cell r="F4408">
            <v>2106.2199999999998</v>
          </cell>
        </row>
        <row r="4409">
          <cell r="B4409">
            <v>42576</v>
          </cell>
          <cell r="C4409" t="str">
            <v>TUBO ACO CARBONO SEM COSTURA 3", E= *5,49 MM, SCHEDULE 40, *11,28* KG/M</v>
          </cell>
          <cell r="D4409" t="str">
            <v>M</v>
          </cell>
          <cell r="E4409" t="str">
            <v>CR</v>
          </cell>
          <cell r="F4409">
            <v>233.83</v>
          </cell>
        </row>
        <row r="4410">
          <cell r="B4410">
            <v>21150</v>
          </cell>
          <cell r="C4410" t="str">
            <v>TUBO ACO CARBONO SEM COSTURA 3/4", E= *2,87 MM, SCHEDULE 40, *1,69 KG/M</v>
          </cell>
          <cell r="D4410" t="str">
            <v>M</v>
          </cell>
          <cell r="E4410" t="str">
            <v>CR</v>
          </cell>
          <cell r="F4410">
            <v>56.84</v>
          </cell>
        </row>
        <row r="4411">
          <cell r="B4411">
            <v>13141</v>
          </cell>
          <cell r="C4411" t="str">
            <v>TUBO ACO CARBONO SEM COSTURA 3/4", E= *3,91 MM, SCHEDULE 80, *2,19 KG/M.</v>
          </cell>
          <cell r="D4411" t="str">
            <v>M</v>
          </cell>
          <cell r="E4411" t="str">
            <v>CR</v>
          </cell>
          <cell r="F4411">
            <v>71.61</v>
          </cell>
        </row>
        <row r="4412">
          <cell r="B4412">
            <v>21151</v>
          </cell>
          <cell r="C4412" t="str">
            <v>TUBO ACO CARBONO SEM COSTURA 4", E= *6,02 MM, SCHEDULE 40, *16,06 KG/M</v>
          </cell>
          <cell r="D4412" t="str">
            <v>M</v>
          </cell>
          <cell r="E4412" t="str">
            <v>CR</v>
          </cell>
          <cell r="F4412">
            <v>340.22</v>
          </cell>
        </row>
        <row r="4413">
          <cell r="B4413">
            <v>13142</v>
          </cell>
          <cell r="C4413" t="str">
            <v>TUBO ACO CARBONO SEM COSTURA 4", E= *8,56 MM, SCHEDULE 80, *22,31 KG/M</v>
          </cell>
          <cell r="D4413" t="str">
            <v>M</v>
          </cell>
          <cell r="E4413" t="str">
            <v>CR</v>
          </cell>
          <cell r="F4413">
            <v>486.37</v>
          </cell>
        </row>
        <row r="4414">
          <cell r="B4414">
            <v>42577</v>
          </cell>
          <cell r="C4414" t="str">
            <v>TUBO ACO CARBONO SEM COSTURA 5", E= *6,55 MM, SCHEDULE 40, *21,75* KG/M</v>
          </cell>
          <cell r="D4414" t="str">
            <v>M</v>
          </cell>
          <cell r="E4414" t="str">
            <v>CR</v>
          </cell>
          <cell r="F4414">
            <v>533.67999999999995</v>
          </cell>
        </row>
        <row r="4415">
          <cell r="B4415">
            <v>20994</v>
          </cell>
          <cell r="C4415" t="str">
            <v>TUBO ACO CARBONO SEM COSTURA 6", E= *10,97 MM, SCHEDULE 80, *42,56 KG/M</v>
          </cell>
          <cell r="D4415" t="str">
            <v>M</v>
          </cell>
          <cell r="E4415" t="str">
            <v>CR</v>
          </cell>
          <cell r="F4415">
            <v>917.02</v>
          </cell>
        </row>
        <row r="4416">
          <cell r="B4416">
            <v>7672</v>
          </cell>
          <cell r="C4416" t="str">
            <v>TUBO ACO CARBONO SEM COSTURA 6", E= 7,11 MM, SCHEDULE 40, *28,26 KG/M</v>
          </cell>
          <cell r="D4416" t="str">
            <v>M</v>
          </cell>
          <cell r="E4416" t="str">
            <v>CR</v>
          </cell>
          <cell r="F4416">
            <v>600.75</v>
          </cell>
        </row>
        <row r="4417">
          <cell r="B4417">
            <v>20995</v>
          </cell>
          <cell r="C4417" t="str">
            <v>TUBO ACO CARBONO SEM COSTURA 8", E= *12,70 MM, SCHEDULE 80, *64,64 KG/M</v>
          </cell>
          <cell r="D4417" t="str">
            <v>M</v>
          </cell>
          <cell r="E4417" t="str">
            <v>CR</v>
          </cell>
          <cell r="F4417">
            <v>1205.1400000000001</v>
          </cell>
        </row>
        <row r="4418">
          <cell r="B4418">
            <v>7690</v>
          </cell>
          <cell r="C4418" t="str">
            <v>TUBO ACO CARBONO SEM COSTURA 8", E= *6,35 MM, SCHEDULE 20, *33,27 KG/M</v>
          </cell>
          <cell r="D4418" t="str">
            <v>M</v>
          </cell>
          <cell r="E4418" t="str">
            <v>CR</v>
          </cell>
          <cell r="F4418">
            <v>697.01</v>
          </cell>
        </row>
        <row r="4419">
          <cell r="B4419">
            <v>20980</v>
          </cell>
          <cell r="C4419" t="str">
            <v>TUBO ACO CARBONO SEM COSTURA 8", E= *7,04 MM, SCHEDULE 30, *36,75 KG/M</v>
          </cell>
          <cell r="D4419" t="str">
            <v>M</v>
          </cell>
          <cell r="E4419" t="str">
            <v>CR</v>
          </cell>
          <cell r="F4419">
            <v>760.38</v>
          </cell>
        </row>
        <row r="4420">
          <cell r="B4420">
            <v>7661</v>
          </cell>
          <cell r="C4420" t="str">
            <v>TUBO ACO CARBONO SEM COSTURA 8", E= *8,18 MM, SCHEDULE 40, *42,55 KG/M</v>
          </cell>
          <cell r="D4420" t="str">
            <v>M</v>
          </cell>
          <cell r="E4420" t="str">
            <v>CR</v>
          </cell>
          <cell r="F4420">
            <v>904.53</v>
          </cell>
        </row>
        <row r="4421">
          <cell r="B4421">
            <v>21016</v>
          </cell>
          <cell r="C4421" t="str">
            <v>TUBO ACO GALVANIZADO COM COSTURA, CLASSE LEVE, DN 100 MM (4"), E = 3,75 MM, *10,55* KG/M (NBR 5580)</v>
          </cell>
          <cell r="D4421" t="str">
            <v>M</v>
          </cell>
          <cell r="E4421" t="str">
            <v>CR</v>
          </cell>
          <cell r="F4421">
            <v>155.07</v>
          </cell>
        </row>
        <row r="4422">
          <cell r="B4422">
            <v>21008</v>
          </cell>
          <cell r="C4422" t="str">
            <v>TUBO ACO GALVANIZADO COM COSTURA, CLASSE LEVE, DN 15 MM (1/2"), E = 2,25 MM, *1,2* KG/M (NBR 5580)</v>
          </cell>
          <cell r="D4422" t="str">
            <v>M</v>
          </cell>
          <cell r="E4422" t="str">
            <v>CR</v>
          </cell>
          <cell r="F4422">
            <v>18.11</v>
          </cell>
        </row>
        <row r="4423">
          <cell r="B4423">
            <v>21009</v>
          </cell>
          <cell r="C4423" t="str">
            <v>TUBO ACO GALVANIZADO COM COSTURA, CLASSE LEVE, DN 20 MM (3/4"), E = 2,25 MM, *1,3* KG/M (NBR 5580)</v>
          </cell>
          <cell r="D4423" t="str">
            <v>M</v>
          </cell>
          <cell r="E4423" t="str">
            <v>CR</v>
          </cell>
          <cell r="F4423">
            <v>23.59</v>
          </cell>
        </row>
        <row r="4424">
          <cell r="B4424">
            <v>21010</v>
          </cell>
          <cell r="C4424" t="str">
            <v>TUBO ACO GALVANIZADO COM COSTURA, CLASSE LEVE, DN 25 MM (1"), E = 2,65 MM, *2,11* KG/M (NBR 5580)</v>
          </cell>
          <cell r="D4424" t="str">
            <v>M</v>
          </cell>
          <cell r="E4424" t="str">
            <v>C</v>
          </cell>
          <cell r="F4424">
            <v>31.67</v>
          </cell>
        </row>
        <row r="4425">
          <cell r="B4425">
            <v>21011</v>
          </cell>
          <cell r="C4425" t="str">
            <v>TUBO ACO GALVANIZADO COM COSTURA, CLASSE LEVE, DN 32 MM (1 1/4"), E = 2,65 MM, *2,71* KG/M (NBR 5580)</v>
          </cell>
          <cell r="D4425" t="str">
            <v>M</v>
          </cell>
          <cell r="E4425" t="str">
            <v>CR</v>
          </cell>
          <cell r="F4425">
            <v>46.16</v>
          </cell>
        </row>
        <row r="4426">
          <cell r="B4426">
            <v>21012</v>
          </cell>
          <cell r="C4426" t="str">
            <v>TUBO ACO GALVANIZADO COM COSTURA, CLASSE LEVE, DN 40 MM (1 1/2"), E = 3,00 MM, *3,48* KG/M (NBR 5580)</v>
          </cell>
          <cell r="D4426" t="str">
            <v>M</v>
          </cell>
          <cell r="E4426" t="str">
            <v>CR</v>
          </cell>
          <cell r="F4426">
            <v>51.01</v>
          </cell>
        </row>
        <row r="4427">
          <cell r="B4427">
            <v>21013</v>
          </cell>
          <cell r="C4427" t="str">
            <v>TUBO ACO GALVANIZADO COM COSTURA, CLASSE LEVE, DN 50 MM (2"), E = 3,00 MM, *4,40* KG/M (NBR 5580)</v>
          </cell>
          <cell r="D4427" t="str">
            <v>M</v>
          </cell>
          <cell r="E4427" t="str">
            <v>CR</v>
          </cell>
          <cell r="F4427">
            <v>66.56</v>
          </cell>
        </row>
        <row r="4428">
          <cell r="B4428">
            <v>21014</v>
          </cell>
          <cell r="C4428" t="str">
            <v>TUBO ACO GALVANIZADO COM COSTURA, CLASSE LEVE, DN 65 MM (2 1/2"), E = 3,35 MM, * 6,23* KG/M (NBR 5580)</v>
          </cell>
          <cell r="D4428" t="str">
            <v>M</v>
          </cell>
          <cell r="E4428" t="str">
            <v>CR</v>
          </cell>
          <cell r="F4428">
            <v>93.14</v>
          </cell>
        </row>
        <row r="4429">
          <cell r="B4429">
            <v>21015</v>
          </cell>
          <cell r="C4429" t="str">
            <v>TUBO ACO GALVANIZADO COM COSTURA, CLASSE LEVE, DN 80 MM (3"), E = 3,35 MM, *7,32* KG/M (NBR 5580)</v>
          </cell>
          <cell r="D4429" t="str">
            <v>M</v>
          </cell>
          <cell r="E4429" t="str">
            <v>CR</v>
          </cell>
          <cell r="F4429">
            <v>107</v>
          </cell>
        </row>
        <row r="4430">
          <cell r="B4430">
            <v>40626</v>
          </cell>
          <cell r="C4430" t="str">
            <v>TUBO ACO GALVANIZADO COM COSTURA, CLASSE MEDIA, DN 1", E = 3,38 MM, PESO 2,50 KG/M (NBR 5580)</v>
          </cell>
          <cell r="D4430" t="str">
            <v>M</v>
          </cell>
          <cell r="E4430" t="str">
            <v>CR</v>
          </cell>
          <cell r="F4430">
            <v>34.85</v>
          </cell>
        </row>
        <row r="4431">
          <cell r="B4431">
            <v>7697</v>
          </cell>
          <cell r="C4431" t="str">
            <v>TUBO ACO GALVANIZADO COM COSTURA, CLASSE MEDIA, DN 1.1/2", E = *3,25* MM, PESO *3,61* KG/M (NBR 5580)</v>
          </cell>
          <cell r="D4431" t="str">
            <v>M</v>
          </cell>
          <cell r="E4431" t="str">
            <v>CR</v>
          </cell>
          <cell r="F4431">
            <v>51.06</v>
          </cell>
        </row>
        <row r="4432">
          <cell r="B4432">
            <v>7698</v>
          </cell>
          <cell r="C4432" t="str">
            <v>TUBO ACO GALVANIZADO COM COSTURA, CLASSE MEDIA, DN 1.1/4", E = *3,25* MM, PESO *3,14* KG/M (NBR 5580)</v>
          </cell>
          <cell r="D4432" t="str">
            <v>M</v>
          </cell>
          <cell r="E4432" t="str">
            <v>CR</v>
          </cell>
          <cell r="F4432">
            <v>43.95</v>
          </cell>
        </row>
        <row r="4433">
          <cell r="B4433">
            <v>7691</v>
          </cell>
          <cell r="C4433" t="str">
            <v>TUBO ACO GALVANIZADO COM COSTURA, CLASSE MEDIA, DN 1/2", E = *2,65* MM, PESO *1,22* KG/M (NBR 5580)</v>
          </cell>
          <cell r="D4433" t="str">
            <v>M</v>
          </cell>
          <cell r="E4433" t="str">
            <v>CR</v>
          </cell>
          <cell r="F4433">
            <v>18.57</v>
          </cell>
        </row>
        <row r="4434">
          <cell r="B4434">
            <v>7696</v>
          </cell>
          <cell r="C4434" t="str">
            <v>TUBO ACO GALVANIZADO COM COSTURA, CLASSE MEDIA, DN 2", E = *3,65* MM, PESO *5,10* KG/M (NBR 5580)</v>
          </cell>
          <cell r="D4434" t="str">
            <v>M</v>
          </cell>
          <cell r="E4434" t="str">
            <v>CR</v>
          </cell>
          <cell r="F4434">
            <v>73.63</v>
          </cell>
        </row>
        <row r="4435">
          <cell r="B4435">
            <v>7701</v>
          </cell>
          <cell r="C4435" t="str">
            <v>TUBO ACO GALVANIZADO COM COSTURA, CLASSE MEDIA, DN 2.1/2", E = *3,65* MM, PESO *6,51* KG/M (NBR 5580)</v>
          </cell>
          <cell r="D4435" t="str">
            <v>M</v>
          </cell>
          <cell r="E4435" t="str">
            <v>CR</v>
          </cell>
          <cell r="F4435">
            <v>91.37</v>
          </cell>
        </row>
        <row r="4436">
          <cell r="B4436">
            <v>7694</v>
          </cell>
          <cell r="C4436" t="str">
            <v>TUBO ACO GALVANIZADO COM COSTURA, CLASSE MEDIA, DN 3", E = *4,05* MM, PESO *8,47* KG/M (NBR 5580)</v>
          </cell>
          <cell r="D4436" t="str">
            <v>M</v>
          </cell>
          <cell r="E4436" t="str">
            <v>CR</v>
          </cell>
          <cell r="F4436">
            <v>122.96</v>
          </cell>
        </row>
        <row r="4437">
          <cell r="B4437">
            <v>7700</v>
          </cell>
          <cell r="C4437" t="str">
            <v>TUBO ACO GALVANIZADO COM COSTURA, CLASSE MEDIA, DN 3/4", E = *2,65* MM, PESO *1,58* KG/M (NBR 5580)</v>
          </cell>
          <cell r="D4437" t="str">
            <v>M</v>
          </cell>
          <cell r="E4437" t="str">
            <v>CR</v>
          </cell>
          <cell r="F4437">
            <v>23.49</v>
          </cell>
        </row>
        <row r="4438">
          <cell r="B4438">
            <v>7693</v>
          </cell>
          <cell r="C4438" t="str">
            <v>TUBO ACO GALVANIZADO COM COSTURA, CLASSE MEDIA, DN 4", E = 4,50* MM, PESO 12,10* KG/M (NBR 5580)</v>
          </cell>
          <cell r="D4438" t="str">
            <v>M</v>
          </cell>
          <cell r="E4438" t="str">
            <v>CR</v>
          </cell>
          <cell r="F4438">
            <v>169.34</v>
          </cell>
        </row>
        <row r="4439">
          <cell r="B4439">
            <v>7692</v>
          </cell>
          <cell r="C4439" t="str">
            <v>TUBO ACO GALVANIZADO COM COSTURA, CLASSE MEDIA, DN 5", E = *5,40* MM, PESO *17,80* KG/M (NBR 5580)</v>
          </cell>
          <cell r="D4439" t="str">
            <v>M</v>
          </cell>
          <cell r="E4439" t="str">
            <v>CR</v>
          </cell>
          <cell r="F4439">
            <v>253.53</v>
          </cell>
        </row>
        <row r="4440">
          <cell r="B4440">
            <v>7695</v>
          </cell>
          <cell r="C4440" t="str">
            <v>TUBO ACO GALVANIZADO COM COSTURA, CLASSE MEDIA, DN 6", E = 4,85* MM, PESO 19,68* KG/M (NBR 5580)</v>
          </cell>
          <cell r="D4440" t="str">
            <v>M</v>
          </cell>
          <cell r="E4440" t="str">
            <v>CR</v>
          </cell>
          <cell r="F4440">
            <v>274.95999999999998</v>
          </cell>
        </row>
        <row r="4441">
          <cell r="B4441">
            <v>13356</v>
          </cell>
          <cell r="C4441" t="str">
            <v>TUBO ACO INDUSTRIAL DN 2" (50,8 MM) E=1,50MM, PESO= 1,8237 KG/M</v>
          </cell>
          <cell r="D4441" t="str">
            <v>M</v>
          </cell>
          <cell r="E4441" t="str">
            <v>CR</v>
          </cell>
          <cell r="F4441">
            <v>19.940000000000001</v>
          </cell>
        </row>
        <row r="4442">
          <cell r="B4442">
            <v>36365</v>
          </cell>
          <cell r="C4442" t="str">
            <v>TUBO COLETOR DE ESGOTO PVC, JEI, DN 100 MM (NBR 7362)</v>
          </cell>
          <cell r="D4442" t="str">
            <v>M</v>
          </cell>
          <cell r="E4442" t="str">
            <v>CR</v>
          </cell>
          <cell r="F4442">
            <v>48.21</v>
          </cell>
        </row>
        <row r="4443">
          <cell r="B4443">
            <v>41930</v>
          </cell>
          <cell r="C4443" t="str">
            <v>TUBO COLETOR DE ESGOTO PVC, JEI, DN 200 MM (NBR 7362)</v>
          </cell>
          <cell r="D4443" t="str">
            <v>M</v>
          </cell>
          <cell r="E4443" t="str">
            <v>CR</v>
          </cell>
          <cell r="F4443">
            <v>160.57</v>
          </cell>
        </row>
        <row r="4444">
          <cell r="B4444">
            <v>41931</v>
          </cell>
          <cell r="C4444" t="str">
            <v>TUBO COLETOR DE ESGOTO PVC, JEI, DN 250 MM (NBR 7362)</v>
          </cell>
          <cell r="D4444" t="str">
            <v>M</v>
          </cell>
          <cell r="E4444" t="str">
            <v>CR</v>
          </cell>
          <cell r="F4444">
            <v>251.48</v>
          </cell>
        </row>
        <row r="4445">
          <cell r="B4445">
            <v>41932</v>
          </cell>
          <cell r="C4445" t="str">
            <v>TUBO COLETOR DE ESGOTO PVC, JEI, DN 300 MM (NBR 7362)</v>
          </cell>
          <cell r="D4445" t="str">
            <v>M</v>
          </cell>
          <cell r="E4445" t="str">
            <v>CR</v>
          </cell>
          <cell r="F4445">
            <v>387.08</v>
          </cell>
        </row>
        <row r="4446">
          <cell r="B4446">
            <v>41933</v>
          </cell>
          <cell r="C4446" t="str">
            <v>TUBO COLETOR DE ESGOTO PVC, JEI, DN 350 MM (NBR 7362)</v>
          </cell>
          <cell r="D4446" t="str">
            <v>M</v>
          </cell>
          <cell r="E4446" t="str">
            <v>CR</v>
          </cell>
          <cell r="F4446">
            <v>547.03</v>
          </cell>
        </row>
        <row r="4447">
          <cell r="B4447">
            <v>41934</v>
          </cell>
          <cell r="C4447" t="str">
            <v>TUBO COLETOR DE ESGOTO PVC, JEI, DN 400 MM (NBR 7362)</v>
          </cell>
          <cell r="D4447" t="str">
            <v>M</v>
          </cell>
          <cell r="E4447" t="str">
            <v>CR</v>
          </cell>
          <cell r="F4447">
            <v>637.09</v>
          </cell>
        </row>
        <row r="4448">
          <cell r="B4448">
            <v>41936</v>
          </cell>
          <cell r="C4448" t="str">
            <v>TUBO COLETOR DE ESGOTO, PVC, JEI, DN 150 MM (NBR 7362)</v>
          </cell>
          <cell r="D4448" t="str">
            <v>M</v>
          </cell>
          <cell r="E4448" t="str">
            <v>CR</v>
          </cell>
          <cell r="F4448">
            <v>94.55</v>
          </cell>
        </row>
        <row r="4449">
          <cell r="B4449">
            <v>44812</v>
          </cell>
          <cell r="C4449" t="str">
            <v>TUBO CORRUGADO PEAD, PAREDE DUPLA, INTERNA LISA, JEI DN/DI 500 MM (DRENAGEM/ESGOTO)</v>
          </cell>
          <cell r="D4449" t="str">
            <v>M</v>
          </cell>
          <cell r="E4449" t="str">
            <v>CR</v>
          </cell>
          <cell r="F4449">
            <v>490.85</v>
          </cell>
        </row>
        <row r="4450">
          <cell r="B4450">
            <v>41785</v>
          </cell>
          <cell r="C4450" t="str">
            <v>TUBO CORRUGADO PEAD, PAREDE DUPLA, INTERNA LISA, JEI, DN/DI *1000* MM, PARA SANEAMENTO (DRENAGEM/ESGOTO)</v>
          </cell>
          <cell r="D4450" t="str">
            <v>M</v>
          </cell>
          <cell r="E4450" t="str">
            <v>CR</v>
          </cell>
          <cell r="F4450">
            <v>1819.05</v>
          </cell>
        </row>
        <row r="4451">
          <cell r="B4451">
            <v>41781</v>
          </cell>
          <cell r="C4451" t="str">
            <v>TUBO CORRUGADO PEAD, PAREDE DUPLA, INTERNA LISA, JEI, DN/DI *400* MM, PARA SANEAMENTO (DRENAGEM/ESGOTO)</v>
          </cell>
          <cell r="D4451" t="str">
            <v>M</v>
          </cell>
          <cell r="E4451" t="str">
            <v>CR</v>
          </cell>
          <cell r="F4451">
            <v>328.46</v>
          </cell>
        </row>
        <row r="4452">
          <cell r="B4452">
            <v>41783</v>
          </cell>
          <cell r="C4452" t="str">
            <v>TUBO CORRUGADO PEAD, PAREDE DUPLA, INTERNA LISA, JEI, DN/DI *800* MM, PARA SANEAMENTO (DRENAGEM/ESGOTO)</v>
          </cell>
          <cell r="D4452" t="str">
            <v>M</v>
          </cell>
          <cell r="E4452" t="str">
            <v>CR</v>
          </cell>
          <cell r="F4452">
            <v>1180.83</v>
          </cell>
        </row>
        <row r="4453">
          <cell r="B4453">
            <v>41786</v>
          </cell>
          <cell r="C4453" t="str">
            <v>TUBO CORRUGADO PEAD, PAREDE DUPLA, INTERNA LISA, JEI, DN/DI 1200 MM, PARA SANEAMENTO (DRENAGEM/ESGOTO)</v>
          </cell>
          <cell r="D4453" t="str">
            <v>M</v>
          </cell>
          <cell r="E4453" t="str">
            <v>CR</v>
          </cell>
          <cell r="F4453">
            <v>2514.04</v>
          </cell>
        </row>
        <row r="4454">
          <cell r="B4454">
            <v>41779</v>
          </cell>
          <cell r="C4454" t="str">
            <v>TUBO CORRUGADO PEAD, PAREDE DUPLA, INTERNA LISA, JEI, DN/DI 250 MM, PARA SANEAMENTO (DRENAGEM/ESGOTO)</v>
          </cell>
          <cell r="D4454" t="str">
            <v>M</v>
          </cell>
          <cell r="E4454" t="str">
            <v>CR</v>
          </cell>
          <cell r="F4454">
            <v>129.36000000000001</v>
          </cell>
        </row>
        <row r="4455">
          <cell r="B4455">
            <v>41780</v>
          </cell>
          <cell r="C4455" t="str">
            <v>TUBO CORRUGADO PEAD, PAREDE DUPLA, INTERNA LISA, JEI, DN/DI 300 MM, PARA SANEAMENTO (DRENAGEM/ESGOTO)</v>
          </cell>
          <cell r="D4455" t="str">
            <v>M</v>
          </cell>
          <cell r="E4455" t="str">
            <v>CR</v>
          </cell>
          <cell r="F4455">
            <v>202.66</v>
          </cell>
        </row>
        <row r="4456">
          <cell r="B4456">
            <v>41782</v>
          </cell>
          <cell r="C4456" t="str">
            <v>TUBO CORRUGADO PEAD, PAREDE DUPLA, INTERNA LISA, JEI, DN/DI 600 MM, PARA SANEAMENTO (DRENAGEM/ESGOTO)</v>
          </cell>
          <cell r="D4456" t="str">
            <v>M</v>
          </cell>
          <cell r="E4456" t="str">
            <v>CR</v>
          </cell>
          <cell r="F4456">
            <v>725.98</v>
          </cell>
        </row>
        <row r="4457">
          <cell r="B4457">
            <v>38130</v>
          </cell>
          <cell r="C4457" t="str">
            <v>TUBO CPVC SOLDAVEL, 35 MM, AGUA QUENTE PREDIAL (NBR 15884)</v>
          </cell>
          <cell r="D4457" t="str">
            <v>M</v>
          </cell>
          <cell r="E4457" t="str">
            <v>CR</v>
          </cell>
          <cell r="F4457">
            <v>42.51</v>
          </cell>
        </row>
        <row r="4458">
          <cell r="B4458">
            <v>44260</v>
          </cell>
          <cell r="C4458" t="str">
            <v>TUBO CPVC, SOLDAVEL, 114 MM, AGUA QUENTE (NBR 15884)</v>
          </cell>
          <cell r="D4458" t="str">
            <v>M</v>
          </cell>
          <cell r="E4458" t="str">
            <v>CR</v>
          </cell>
          <cell r="F4458">
            <v>402.34</v>
          </cell>
        </row>
        <row r="4459">
          <cell r="B4459">
            <v>21123</v>
          </cell>
          <cell r="C4459" t="str">
            <v>TUBO CPVC, SOLDAVEL, 15 MM, AGUA QUENTE PREDIAL (NBR 15884)</v>
          </cell>
          <cell r="D4459" t="str">
            <v>M</v>
          </cell>
          <cell r="E4459" t="str">
            <v>C</v>
          </cell>
          <cell r="F4459">
            <v>11.83</v>
          </cell>
        </row>
        <row r="4460">
          <cell r="B4460">
            <v>21124</v>
          </cell>
          <cell r="C4460" t="str">
            <v>TUBO CPVC, SOLDAVEL, 22 MM, AGUA QUENTE PREDIAL (NBR 15884)</v>
          </cell>
          <cell r="D4460" t="str">
            <v>M</v>
          </cell>
          <cell r="E4460" t="str">
            <v>CR</v>
          </cell>
          <cell r="F4460">
            <v>18.899999999999999</v>
          </cell>
        </row>
        <row r="4461">
          <cell r="B4461">
            <v>21125</v>
          </cell>
          <cell r="C4461" t="str">
            <v>TUBO CPVC, SOLDAVEL, 28 MM, AGUA QUENTE PREDIAL (NBR 15884)</v>
          </cell>
          <cell r="D4461" t="str">
            <v>M</v>
          </cell>
          <cell r="E4461" t="str">
            <v>CR</v>
          </cell>
          <cell r="F4461">
            <v>32.549999999999997</v>
          </cell>
        </row>
        <row r="4462">
          <cell r="B4462">
            <v>38028</v>
          </cell>
          <cell r="C4462" t="str">
            <v>TUBO CPVC, SOLDAVEL, 42 MM, AGUA QUENTE PREDIAL (NBR 15884)</v>
          </cell>
          <cell r="D4462" t="str">
            <v>M</v>
          </cell>
          <cell r="E4462" t="str">
            <v>CR</v>
          </cell>
          <cell r="F4462">
            <v>56.91</v>
          </cell>
        </row>
        <row r="4463">
          <cell r="B4463">
            <v>38029</v>
          </cell>
          <cell r="C4463" t="str">
            <v>TUBO CPVC, SOLDAVEL, 54 MM, AGUA QUENTE PREDIAL (NBR 15884)</v>
          </cell>
          <cell r="D4463" t="str">
            <v>M</v>
          </cell>
          <cell r="E4463" t="str">
            <v>CR</v>
          </cell>
          <cell r="F4463">
            <v>83.3</v>
          </cell>
        </row>
        <row r="4464">
          <cell r="B4464">
            <v>38030</v>
          </cell>
          <cell r="C4464" t="str">
            <v>TUBO CPVC, SOLDAVEL, 73 MM, AGUA QUENTE PREDIAL (NBR 15884)</v>
          </cell>
          <cell r="D4464" t="str">
            <v>M</v>
          </cell>
          <cell r="E4464" t="str">
            <v>CR</v>
          </cell>
          <cell r="F4464">
            <v>134.69</v>
          </cell>
        </row>
        <row r="4465">
          <cell r="B4465">
            <v>38031</v>
          </cell>
          <cell r="C4465" t="str">
            <v>TUBO CPVC, SOLDAVEL, 89 MM, AGUA QUENTE PREDIAL (NBR 15884)</v>
          </cell>
          <cell r="D4465" t="str">
            <v>M</v>
          </cell>
          <cell r="E4465" t="str">
            <v>CR</v>
          </cell>
          <cell r="F4465">
            <v>211.41</v>
          </cell>
        </row>
        <row r="4466">
          <cell r="B4466">
            <v>39735</v>
          </cell>
          <cell r="C4466" t="str">
            <v>TUBO DE BORRACHA ELASTOMERICA FLEXIVEL, PRETA, PARA ISOLAMENTO TERMICO DE TUBULACAO, DN 1 1/8" (28 MM), E= 32 MM, COEFICIENTE DE CONDUTIVIDADE TERMICA 0,036W/MK, VAPOR DE AGUA MAIOR OU IGUAL A 10.000</v>
          </cell>
          <cell r="D4466" t="str">
            <v>M</v>
          </cell>
          <cell r="E4466" t="str">
            <v>CR</v>
          </cell>
          <cell r="F4466">
            <v>55.44</v>
          </cell>
        </row>
        <row r="4467">
          <cell r="B4467">
            <v>39734</v>
          </cell>
          <cell r="C4467" t="str">
            <v>TUBO DE BORRACHA ELASTOMERICA FLEXIVEL, PRETA, PARA ISOLAMENTO TERMICO DE TUBULACAO, DN 1 3/8" (35 MM), E= 32 MM, COEFICIENTE DE CONDUTIVIDADE TERMICA 0,036W/MK, VAPOR DE AGUA MAIOR OU IGUAL A 10.000</v>
          </cell>
          <cell r="D4467" t="str">
            <v>M</v>
          </cell>
          <cell r="E4467" t="str">
            <v>CR</v>
          </cell>
          <cell r="F4467">
            <v>65.760000000000005</v>
          </cell>
        </row>
        <row r="4468">
          <cell r="B4468">
            <v>39736</v>
          </cell>
          <cell r="C4468" t="str">
            <v>TUBO DE BORRACHA ELASTOMERICA FLEXIVEL, PRETA, PARA ISOLAMENTO TERMICO DE TUBULACAO, DN 1 5/8" (42 MM), E= 32 MM, COEFICIENTE DE CONDUTIVIDADE TERMICA 0,036W/MK, VAPOR DE AGUA MAIOR OU IGUAL A 10.000</v>
          </cell>
          <cell r="D4468" t="str">
            <v>M</v>
          </cell>
          <cell r="E4468" t="str">
            <v>CR</v>
          </cell>
          <cell r="F4468">
            <v>75.05</v>
          </cell>
        </row>
        <row r="4469">
          <cell r="B4469">
            <v>39739</v>
          </cell>
          <cell r="C4469" t="str">
            <v>TUBO DE BORRACHA ELASTOMERICA FLEXIVEL, PRETA, PARA ISOLAMENTO TERMICO DE TUBULACAO, DN 1" (25 MM), E= 32 MM, COEFICIENTE DE CONDUTIVIDADE TERMICA 0,036W/MK, VAPOR DE AGUA MAIOR OU IGUAL A 10.000</v>
          </cell>
          <cell r="D4469" t="str">
            <v>M</v>
          </cell>
          <cell r="E4469" t="str">
            <v>CR</v>
          </cell>
          <cell r="F4469">
            <v>51.9</v>
          </cell>
        </row>
        <row r="4470">
          <cell r="B4470">
            <v>39737</v>
          </cell>
          <cell r="C4470" t="str">
            <v>TUBO DE BORRACHA ELASTOMERICA FLEXIVEL, PRETA, PARA ISOLAMENTO TERMICO DE TUBULACAO, DN 1/2" (12 MM), E= 19 MM, COEFICIENTE DE CONDUTIVIDADE TERMICA 0,036W/MK, VAPOR DE AGUA MAIOR OU IGUAL A 10.000</v>
          </cell>
          <cell r="D4470" t="str">
            <v>M</v>
          </cell>
          <cell r="E4470" t="str">
            <v>CR</v>
          </cell>
          <cell r="F4470">
            <v>10.09</v>
          </cell>
        </row>
        <row r="4471">
          <cell r="B4471">
            <v>39738</v>
          </cell>
          <cell r="C4471" t="str">
            <v>TUBO DE BORRACHA ELASTOMERICA FLEXIVEL, PRETA, PARA ISOLAMENTO TERMICO DE TUBULACAO, DN 1/4" (6 MM), E= 9 MM, COEFICIENTE DE CONDUTIVIDADE TERMICA 0,036W/MK, VAPOR DE AGUA MAIOR OU IGUAL A 10.000</v>
          </cell>
          <cell r="D4471" t="str">
            <v>M</v>
          </cell>
          <cell r="E4471" t="str">
            <v>CR</v>
          </cell>
          <cell r="F4471">
            <v>3.65</v>
          </cell>
        </row>
        <row r="4472">
          <cell r="B4472">
            <v>39733</v>
          </cell>
          <cell r="C4472" t="str">
            <v>TUBO DE BORRACHA ELASTOMERICA FLEXIVEL, PRETA, PARA ISOLAMENTO TERMICO DE TUBULACAO, DN 2 1/8" (54 MM), E= 32 MM, COEFICIENTE DE CONDUTIVIDADE TERMICA 0,036W/MK, VAPOR DE AGUA MAIOR OU IGUAL A 10.000</v>
          </cell>
          <cell r="D4472" t="str">
            <v>M</v>
          </cell>
          <cell r="E4472" t="str">
            <v>CR</v>
          </cell>
          <cell r="F4472">
            <v>89.82</v>
          </cell>
        </row>
        <row r="4473">
          <cell r="B4473">
            <v>39854</v>
          </cell>
          <cell r="C4473" t="str">
            <v>TUBO DE BORRACHA ELASTOMERICA FLEXIVEL, PRETA, PARA ISOLAMENTO TERMICO DE TUBULACAO, DN 2 5/8" (*64* MM), E= *32* MM, COEFICIENTE DE CONDUTIVIDADE TERMICA 0,036W/MK, VAPOR DE AGUA MAIOR OU IGUAL A 10.000</v>
          </cell>
          <cell r="D4473" t="str">
            <v>M</v>
          </cell>
          <cell r="E4473" t="str">
            <v>CR</v>
          </cell>
          <cell r="F4473">
            <v>91.09</v>
          </cell>
        </row>
        <row r="4474">
          <cell r="B4474">
            <v>39740</v>
          </cell>
          <cell r="C4474" t="str">
            <v>TUBO DE BORRACHA ELASTOMERICA FLEXIVEL, PRETA, PARA ISOLAMENTO TERMICO DE TUBULACAO, DN 3/4" (18 MM), E= 32 MM, COEFICIENTE DE CONDUTIVIDADE TERMICA 0,036W/MK, VAPOR DE AGUA MAIOR OU IGUAL A 10.000</v>
          </cell>
          <cell r="D4474" t="str">
            <v>M</v>
          </cell>
          <cell r="E4474" t="str">
            <v>CR</v>
          </cell>
          <cell r="F4474">
            <v>49.84</v>
          </cell>
        </row>
        <row r="4475">
          <cell r="B4475">
            <v>39741</v>
          </cell>
          <cell r="C4475" t="str">
            <v>TUBO DE BORRACHA ELASTOMERICA FLEXIVEL, PRETA, PARA ISOLAMENTO TERMICO DE TUBULACAO, DN 3/8" (10 MM), E= 19 MM, COEFICIENTE DE CONDUTIVIDADE TERMICA 0,036W/MK, VAPOR DE AGUA MAIOR OU IGUAL A 10.000</v>
          </cell>
          <cell r="D4475" t="str">
            <v>M</v>
          </cell>
          <cell r="E4475" t="str">
            <v>CR</v>
          </cell>
          <cell r="F4475">
            <v>9.18</v>
          </cell>
        </row>
        <row r="4476">
          <cell r="B4476">
            <v>39853</v>
          </cell>
          <cell r="C4476" t="str">
            <v>TUBO DE BORRACHA ELASTOMERICA FLEXIVEL, PRETA, PARA ISOLAMENTO TERMICO DE TUBULACAO, DN 5/8" (15 MM), E= 19 MM, COEFICIENTE DE CONDUTIVIDADE TERMICA 0,036W/MK, VAPOR DE AGUA MAIOR OU IGUAL A 10.000</v>
          </cell>
          <cell r="D4476" t="str">
            <v>M</v>
          </cell>
          <cell r="E4476" t="str">
            <v>CR</v>
          </cell>
          <cell r="F4476">
            <v>12.06</v>
          </cell>
        </row>
        <row r="4477">
          <cell r="B4477">
            <v>39742</v>
          </cell>
          <cell r="C4477" t="str">
            <v>TUBO DE BORRACHA ELASTOMERICA FLEXIVEL, PRETA, PARA ISOLAMENTO TERMICO DE TUBULACAO, DN 7/8" (22 MM), E= 32 MM, COEFICIENTE DE CONDUTIVIDADE TERMICA 0,036W/MK, VAPOR DE AGUA MAIOR OU IGUAL A 10.000</v>
          </cell>
          <cell r="D4477" t="str">
            <v>M</v>
          </cell>
          <cell r="E4477" t="str">
            <v>CR</v>
          </cell>
          <cell r="F4477">
            <v>40.06</v>
          </cell>
        </row>
        <row r="4478">
          <cell r="B4478">
            <v>39751</v>
          </cell>
          <cell r="C4478" t="str">
            <v>TUBO DE COBRE CLASSE "A", DN = 1 1/2" (42 MM), PARA INSTALACOES DE MEDIA PRESSAO PARA GASES COMBUSTIVEIS E MEDICINAIS</v>
          </cell>
          <cell r="D4478" t="str">
            <v>M</v>
          </cell>
          <cell r="E4478" t="str">
            <v>CR</v>
          </cell>
          <cell r="F4478">
            <v>189.02</v>
          </cell>
        </row>
        <row r="4479">
          <cell r="B4479">
            <v>39750</v>
          </cell>
          <cell r="C4479" t="str">
            <v>TUBO DE COBRE CLASSE "A", DN = 1 1/4" (35 MM), PARA INSTALACOES DE MEDIA PRESSAO PARA GASES COMBUSTIVEIS E MEDICINAIS</v>
          </cell>
          <cell r="D4479" t="str">
            <v>M</v>
          </cell>
          <cell r="E4479" t="str">
            <v>CR</v>
          </cell>
          <cell r="F4479">
            <v>157.11000000000001</v>
          </cell>
        </row>
        <row r="4480">
          <cell r="B4480">
            <v>39749</v>
          </cell>
          <cell r="C4480" t="str">
            <v>TUBO DE COBRE CLASSE "A", DN = 1" (28 MM), PARA INSTALACOES DE MEDIA PRESSAO PARA GASES COMBUSTIVEIS E MEDICINAIS</v>
          </cell>
          <cell r="D4480" t="str">
            <v>M</v>
          </cell>
          <cell r="E4480" t="str">
            <v>CR</v>
          </cell>
          <cell r="F4480">
            <v>104.02</v>
          </cell>
        </row>
        <row r="4481">
          <cell r="B4481">
            <v>39747</v>
          </cell>
          <cell r="C4481" t="str">
            <v>TUBO DE COBRE CLASSE "A", DN = 1/2" (15 MM), PARA INSTALACOES DE MEDIA PRESSAO PARA GASES COMBUSTIVEIS E MEDICINAIS</v>
          </cell>
          <cell r="D4481" t="str">
            <v>M</v>
          </cell>
          <cell r="E4481" t="str">
            <v>CR</v>
          </cell>
          <cell r="F4481">
            <v>50.53</v>
          </cell>
        </row>
        <row r="4482">
          <cell r="B4482">
            <v>39753</v>
          </cell>
          <cell r="C4482" t="str">
            <v>TUBO DE COBRE CLASSE "A", DN = 2 1/2" (66 MM), PARA INSTALACOES DE MEDIA PRESSAO PARA GASES COMBUSTIVEIS E MEDICINAIS</v>
          </cell>
          <cell r="D4482" t="str">
            <v>M</v>
          </cell>
          <cell r="E4482" t="str">
            <v>CR</v>
          </cell>
          <cell r="F4482">
            <v>347.94</v>
          </cell>
        </row>
        <row r="4483">
          <cell r="B4483">
            <v>39752</v>
          </cell>
          <cell r="C4483" t="str">
            <v>TUBO DE COBRE CLASSE "A", DN = 2" (54 MM), PARA INSTALACOES DE MEDIA PRESSAO PARA GASES COMBUSTIVEIS E MEDICINAIS</v>
          </cell>
          <cell r="D4483" t="str">
            <v>M</v>
          </cell>
          <cell r="E4483" t="str">
            <v>CR</v>
          </cell>
          <cell r="F4483">
            <v>268.95</v>
          </cell>
        </row>
        <row r="4484">
          <cell r="B4484">
            <v>39754</v>
          </cell>
          <cell r="C4484" t="str">
            <v>TUBO DE COBRE CLASSE "A", DN = 3" (79 MM), PARA INSTALACOES DE MEDIA PRESSAO PARA GASES COMBUSTIVEIS E MEDICINAIS</v>
          </cell>
          <cell r="D4484" t="str">
            <v>M</v>
          </cell>
          <cell r="E4484" t="str">
            <v>CR</v>
          </cell>
          <cell r="F4484">
            <v>512.6</v>
          </cell>
        </row>
        <row r="4485">
          <cell r="B4485">
            <v>39748</v>
          </cell>
          <cell r="C4485" t="str">
            <v>TUBO DE COBRE CLASSE "A", DN = 3/4" (22 MM), PARA INSTALACOES DE MEDIA PRESSAO PARA GASES COMBUSTIVEIS E MEDICINAIS</v>
          </cell>
          <cell r="D4485" t="str">
            <v>M</v>
          </cell>
          <cell r="E4485" t="str">
            <v>CR</v>
          </cell>
          <cell r="F4485">
            <v>81.77</v>
          </cell>
        </row>
        <row r="4486">
          <cell r="B4486">
            <v>39755</v>
          </cell>
          <cell r="C4486" t="str">
            <v>TUBO DE COBRE CLASSE "A", DN = 4" (104 MM), PARA INSTALACOES DE MEDIA PRESSAO PARA GASES COMBUSTIVEIS E MEDICINAIS</v>
          </cell>
          <cell r="D4486" t="str">
            <v>M</v>
          </cell>
          <cell r="E4486" t="str">
            <v>CR</v>
          </cell>
          <cell r="F4486">
            <v>777.22</v>
          </cell>
        </row>
        <row r="4487">
          <cell r="B4487">
            <v>12742</v>
          </cell>
          <cell r="C4487" t="str">
            <v>TUBO DE COBRE CLASSE "E", DN = 104 MM, PARA INSTALACAO HIDRAULICA PREDIAL</v>
          </cell>
          <cell r="D4487" t="str">
            <v>M</v>
          </cell>
          <cell r="E4487" t="str">
            <v>CR</v>
          </cell>
          <cell r="F4487">
            <v>615.42999999999995</v>
          </cell>
        </row>
        <row r="4488">
          <cell r="B4488">
            <v>12713</v>
          </cell>
          <cell r="C4488" t="str">
            <v>TUBO DE COBRE CLASSE "E", DN = 15 MM, PARA INSTALACAO HIDRAULICA PREDIAL</v>
          </cell>
          <cell r="D4488" t="str">
            <v>M</v>
          </cell>
          <cell r="E4488" t="str">
            <v>C</v>
          </cell>
          <cell r="F4488">
            <v>32.64</v>
          </cell>
        </row>
        <row r="4489">
          <cell r="B4489">
            <v>12743</v>
          </cell>
          <cell r="C4489" t="str">
            <v>TUBO DE COBRE CLASSE "E", DN = 22 MM, PARA INSTALACAO HIDRAULICA PREDIAL</v>
          </cell>
          <cell r="D4489" t="str">
            <v>M</v>
          </cell>
          <cell r="E4489" t="str">
            <v>CR</v>
          </cell>
          <cell r="F4489">
            <v>56.15</v>
          </cell>
        </row>
        <row r="4490">
          <cell r="B4490">
            <v>12744</v>
          </cell>
          <cell r="C4490" t="str">
            <v>TUBO DE COBRE CLASSE "E", DN = 28 MM, PARA INSTALACAO HIDRAULICA PREDIAL</v>
          </cell>
          <cell r="D4490" t="str">
            <v>M</v>
          </cell>
          <cell r="E4490" t="str">
            <v>CR</v>
          </cell>
          <cell r="F4490">
            <v>71.260000000000005</v>
          </cell>
        </row>
        <row r="4491">
          <cell r="B4491">
            <v>12745</v>
          </cell>
          <cell r="C4491" t="str">
            <v>TUBO DE COBRE CLASSE "E", DN = 35 MM, PARA INSTALACAO HIDRAULICA PREDIAL</v>
          </cell>
          <cell r="D4491" t="str">
            <v>M</v>
          </cell>
          <cell r="E4491" t="str">
            <v>CR</v>
          </cell>
          <cell r="F4491">
            <v>103.48</v>
          </cell>
        </row>
        <row r="4492">
          <cell r="B4492">
            <v>12746</v>
          </cell>
          <cell r="C4492" t="str">
            <v>TUBO DE COBRE CLASSE "E", DN = 42 MM, PARA INSTALACAO HIDRAULICA PREDIAL</v>
          </cell>
          <cell r="D4492" t="str">
            <v>M</v>
          </cell>
          <cell r="E4492" t="str">
            <v>CR</v>
          </cell>
          <cell r="F4492">
            <v>139.74</v>
          </cell>
        </row>
        <row r="4493">
          <cell r="B4493">
            <v>12747</v>
          </cell>
          <cell r="C4493" t="str">
            <v>TUBO DE COBRE CLASSE "E", DN = 54 MM, PARA INSTALACAO HIDRAULICA PREDIAL</v>
          </cell>
          <cell r="D4493" t="str">
            <v>M</v>
          </cell>
          <cell r="E4493" t="str">
            <v>CR</v>
          </cell>
          <cell r="F4493">
            <v>202.66</v>
          </cell>
        </row>
        <row r="4494">
          <cell r="B4494">
            <v>12748</v>
          </cell>
          <cell r="C4494" t="str">
            <v>TUBO DE COBRE CLASSE "E", DN = 66 MM, PARA INSTALACAO HIDRAULICA PREDIAL</v>
          </cell>
          <cell r="D4494" t="str">
            <v>M</v>
          </cell>
          <cell r="E4494" t="str">
            <v>CR</v>
          </cell>
          <cell r="F4494">
            <v>285.5</v>
          </cell>
        </row>
        <row r="4495">
          <cell r="B4495">
            <v>12749</v>
          </cell>
          <cell r="C4495" t="str">
            <v>TUBO DE COBRE CLASSE "E", DN = 79 MM, PARA INSTALACAO HIDRAULICA PREDIAL</v>
          </cell>
          <cell r="D4495" t="str">
            <v>M</v>
          </cell>
          <cell r="E4495" t="str">
            <v>CR</v>
          </cell>
          <cell r="F4495">
            <v>417.36</v>
          </cell>
        </row>
        <row r="4496">
          <cell r="B4496">
            <v>39660</v>
          </cell>
          <cell r="C4496" t="str">
            <v>TUBO DE COBRE FLEXIVEL, D = 1/2", E = 0,79 MM, PARA AR-CONDICIONADO/ INSTALACOES GAS RESIDENCIAIS E COMERCIAIS</v>
          </cell>
          <cell r="D4496" t="str">
            <v>M</v>
          </cell>
          <cell r="E4496" t="str">
            <v>CR</v>
          </cell>
          <cell r="F4496">
            <v>43</v>
          </cell>
        </row>
        <row r="4497">
          <cell r="B4497">
            <v>39662</v>
          </cell>
          <cell r="C4497" t="str">
            <v>TUBO DE COBRE FLEXIVEL, D = 1/4", E = 0,79 MM, PARA AR-CONDICIONADO/ INSTALACOES GAS RESIDENCIAIS E COMERCIAIS</v>
          </cell>
          <cell r="D4497" t="str">
            <v>M</v>
          </cell>
          <cell r="E4497" t="str">
            <v>CR</v>
          </cell>
          <cell r="F4497">
            <v>20.61</v>
          </cell>
        </row>
        <row r="4498">
          <cell r="B4498">
            <v>39661</v>
          </cell>
          <cell r="C4498" t="str">
            <v>TUBO DE COBRE FLEXIVEL, D = 3/16", E = 0,79 MM, PARA AR-CONDICIONADO/ INSTALACOES GAS RESIDENCIAIS E COMERCIAIS</v>
          </cell>
          <cell r="D4498" t="str">
            <v>M</v>
          </cell>
          <cell r="E4498" t="str">
            <v>CR</v>
          </cell>
          <cell r="F4498">
            <v>14.05</v>
          </cell>
        </row>
        <row r="4499">
          <cell r="B4499">
            <v>39666</v>
          </cell>
          <cell r="C4499" t="str">
            <v>TUBO DE COBRE FLEXIVEL, D = 3/4", E = 0,79 MM, PARA AR-CONDICIONADO/ INSTALACOES GAS RESIDENCIAIS E COMERCIAIS</v>
          </cell>
          <cell r="D4499" t="str">
            <v>M</v>
          </cell>
          <cell r="E4499" t="str">
            <v>CR</v>
          </cell>
          <cell r="F4499">
            <v>64.69</v>
          </cell>
        </row>
        <row r="4500">
          <cell r="B4500">
            <v>39664</v>
          </cell>
          <cell r="C4500" t="str">
            <v>TUBO DE COBRE FLEXIVEL, D = 3/8", E = 0,79 MM, PARA AR-CONDICIONADO/ INSTALACOES GAS RESIDENCIAIS E COMERCIAIS</v>
          </cell>
          <cell r="D4500" t="str">
            <v>M</v>
          </cell>
          <cell r="E4500" t="str">
            <v>CR</v>
          </cell>
          <cell r="F4500">
            <v>31.7</v>
          </cell>
        </row>
        <row r="4501">
          <cell r="B4501">
            <v>39663</v>
          </cell>
          <cell r="C4501" t="str">
            <v>TUBO DE COBRE FLEXIVEL, D = 5/16", E = 0,79 MM, PARA AR-CONDICIONADO/ INSTALACOES GAS RESIDENCIAIS E COMERCIAIS</v>
          </cell>
          <cell r="D4501" t="str">
            <v>M</v>
          </cell>
          <cell r="E4501" t="str">
            <v>CR</v>
          </cell>
          <cell r="F4501">
            <v>25.35</v>
          </cell>
        </row>
        <row r="4502">
          <cell r="B4502">
            <v>39665</v>
          </cell>
          <cell r="C4502" t="str">
            <v>TUBO DE COBRE FLEXIVEL, D = 5/8", E = 0,79 MM, PARA AR-CONDICIONADO/ INSTALACOES GAS RESIDENCIAIS E COMERCIAIS</v>
          </cell>
          <cell r="D4502" t="str">
            <v>M</v>
          </cell>
          <cell r="E4502" t="str">
            <v>CR</v>
          </cell>
          <cell r="F4502">
            <v>53.49</v>
          </cell>
        </row>
        <row r="4503">
          <cell r="B4503">
            <v>7725</v>
          </cell>
          <cell r="C4503" t="str">
            <v>TUBO DE CONCRETO ARMADO PARA AGUAS PLUVIAIS, CLASSE PA-1, COM ENCAIXE PONTA E BOLSA, DIAMETRO NOMINAL DE = 600 MM</v>
          </cell>
          <cell r="D4503" t="str">
            <v>M</v>
          </cell>
          <cell r="E4503" t="str">
            <v>C</v>
          </cell>
          <cell r="F4503">
            <v>267.89999999999998</v>
          </cell>
        </row>
        <row r="4504">
          <cell r="B4504">
            <v>7753</v>
          </cell>
          <cell r="C4504" t="str">
            <v>TUBO DE CONCRETO ARMADO PARA AGUAS PLUVIAIS, CLASSE PA-1, COM ENCAIXE PONTA E BOLSA, DIAMETRO NOMINAL DE 1000 MM</v>
          </cell>
          <cell r="D4504" t="str">
            <v>M</v>
          </cell>
          <cell r="E4504" t="str">
            <v>CR</v>
          </cell>
          <cell r="F4504">
            <v>522.29</v>
          </cell>
        </row>
        <row r="4505">
          <cell r="B4505">
            <v>13256</v>
          </cell>
          <cell r="C4505" t="str">
            <v>TUBO DE CONCRETO ARMADO PARA AGUAS PLUVIAIS, CLASSE PA-1, COM ENCAIXE PONTA E BOLSA, DIAMETRO NOMINAL DE 1100 MM</v>
          </cell>
          <cell r="D4505" t="str">
            <v>M</v>
          </cell>
          <cell r="E4505" t="str">
            <v>CR</v>
          </cell>
          <cell r="F4505">
            <v>731.65</v>
          </cell>
        </row>
        <row r="4506">
          <cell r="B4506">
            <v>7757</v>
          </cell>
          <cell r="C4506" t="str">
            <v>TUBO DE CONCRETO ARMADO PARA AGUAS PLUVIAIS, CLASSE PA-1, COM ENCAIXE PONTA E BOLSA, DIAMETRO NOMINAL DE 1200 MM</v>
          </cell>
          <cell r="D4506" t="str">
            <v>M</v>
          </cell>
          <cell r="E4506" t="str">
            <v>CR</v>
          </cell>
          <cell r="F4506">
            <v>780.06</v>
          </cell>
        </row>
        <row r="4507">
          <cell r="B4507">
            <v>7758</v>
          </cell>
          <cell r="C4507" t="str">
            <v>TUBO DE CONCRETO ARMADO PARA AGUAS PLUVIAIS, CLASSE PA-1, COM ENCAIXE PONTA E BOLSA, DIAMETRO NOMINAL DE 1500 MM</v>
          </cell>
          <cell r="D4507" t="str">
            <v>M</v>
          </cell>
          <cell r="E4507" t="str">
            <v>CR</v>
          </cell>
          <cell r="F4507">
            <v>1130.1300000000001</v>
          </cell>
        </row>
        <row r="4508">
          <cell r="B4508">
            <v>7759</v>
          </cell>
          <cell r="C4508" t="str">
            <v>TUBO DE CONCRETO ARMADO PARA AGUAS PLUVIAIS, CLASSE PA-1, COM ENCAIXE PONTA E BOLSA, DIAMETRO NOMINAL DE 2000 MM</v>
          </cell>
          <cell r="D4508" t="str">
            <v>M</v>
          </cell>
          <cell r="E4508" t="str">
            <v>CR</v>
          </cell>
          <cell r="F4508">
            <v>3131.59</v>
          </cell>
        </row>
        <row r="4509">
          <cell r="B4509">
            <v>40334</v>
          </cell>
          <cell r="C4509" t="str">
            <v>TUBO DE CONCRETO ARMADO PARA AGUAS PLUVIAIS, CLASSE PA-1, COM ENCAIXE PONTA E BOLSA, DIAMETRO NOMINAL DE 300 MM</v>
          </cell>
          <cell r="D4509" t="str">
            <v>M</v>
          </cell>
          <cell r="E4509" t="str">
            <v>CR</v>
          </cell>
          <cell r="F4509">
            <v>122.69</v>
          </cell>
        </row>
        <row r="4510">
          <cell r="B4510">
            <v>7745</v>
          </cell>
          <cell r="C4510" t="str">
            <v>TUBO DE CONCRETO ARMADO PARA AGUAS PLUVIAIS, CLASSE PA-1, COM ENCAIXE PONTA E BOLSA, DIAMETRO NOMINAL DE 400 MM</v>
          </cell>
          <cell r="D4510" t="str">
            <v>M</v>
          </cell>
          <cell r="E4510" t="str">
            <v>CR</v>
          </cell>
          <cell r="F4510">
            <v>138.44999999999999</v>
          </cell>
        </row>
        <row r="4511">
          <cell r="B4511">
            <v>7742</v>
          </cell>
          <cell r="C4511" t="str">
            <v>TUBO DE CONCRETO ARMADO PARA AGUAS PLUVIAIS, CLASSE PA-1, COM ENCAIXE PONTA E BOLSA, DIAMETRO NOMINAL DE 700 MM</v>
          </cell>
          <cell r="D4511" t="str">
            <v>M</v>
          </cell>
          <cell r="E4511" t="str">
            <v>CR</v>
          </cell>
          <cell r="F4511">
            <v>365.15</v>
          </cell>
        </row>
        <row r="4512">
          <cell r="B4512">
            <v>7750</v>
          </cell>
          <cell r="C4512" t="str">
            <v>TUBO DE CONCRETO ARMADO PARA AGUAS PLUVIAIS, CLASSE PA-1, COM ENCAIXE PONTA E BOLSA, DIAMETRO NOMINAL DE 800 MM</v>
          </cell>
          <cell r="D4512" t="str">
            <v>M</v>
          </cell>
          <cell r="E4512" t="str">
            <v>CR</v>
          </cell>
          <cell r="F4512">
            <v>445.74</v>
          </cell>
        </row>
        <row r="4513">
          <cell r="B4513">
            <v>7756</v>
          </cell>
          <cell r="C4513" t="str">
            <v>TUBO DE CONCRETO ARMADO PARA AGUAS PLUVIAIS, CLASSE PA-1, COM ENCAIXE PONTA E BOLSA, DIAMETRO NOMINAL DE 900 MM</v>
          </cell>
          <cell r="D4513" t="str">
            <v>M</v>
          </cell>
          <cell r="E4513" t="str">
            <v>CR</v>
          </cell>
          <cell r="F4513">
            <v>512.16</v>
          </cell>
        </row>
        <row r="4514">
          <cell r="B4514">
            <v>7765</v>
          </cell>
          <cell r="C4514" t="str">
            <v>TUBO DE CONCRETO ARMADO PARA AGUAS PLUVIAIS, CLASSE PA-2, COM ENCAIXE PONTA E BOLSA, DIAMETRO NOMINAL DE 1000 MM</v>
          </cell>
          <cell r="D4514" t="str">
            <v>M</v>
          </cell>
          <cell r="E4514" t="str">
            <v>CR</v>
          </cell>
          <cell r="F4514">
            <v>574.07000000000005</v>
          </cell>
        </row>
        <row r="4515">
          <cell r="B4515">
            <v>12569</v>
          </cell>
          <cell r="C4515" t="str">
            <v>TUBO DE CONCRETO ARMADO PARA AGUAS PLUVIAIS, CLASSE PA-2, COM ENCAIXE PONTA E BOLSA, DIAMETRO NOMINAL DE 1100 MM</v>
          </cell>
          <cell r="D4515" t="str">
            <v>M</v>
          </cell>
          <cell r="E4515" t="str">
            <v>CR</v>
          </cell>
          <cell r="F4515">
            <v>792.44</v>
          </cell>
        </row>
        <row r="4516">
          <cell r="B4516">
            <v>7766</v>
          </cell>
          <cell r="C4516" t="str">
            <v>TUBO DE CONCRETO ARMADO PARA AGUAS PLUVIAIS, CLASSE PA-2, COM ENCAIXE PONTA E BOLSA, DIAMETRO NOMINAL DE 1200 MM</v>
          </cell>
          <cell r="D4516" t="str">
            <v>M</v>
          </cell>
          <cell r="E4516" t="str">
            <v>CR</v>
          </cell>
          <cell r="F4516">
            <v>841.97</v>
          </cell>
        </row>
        <row r="4517">
          <cell r="B4517">
            <v>7767</v>
          </cell>
          <cell r="C4517" t="str">
            <v>TUBO DE CONCRETO ARMADO PARA AGUAS PLUVIAIS, CLASSE PA-2, COM ENCAIXE PONTA E BOLSA, DIAMETRO NOMINAL DE 1500 MM</v>
          </cell>
          <cell r="D4517" t="str">
            <v>M</v>
          </cell>
          <cell r="E4517" t="str">
            <v>CR</v>
          </cell>
          <cell r="F4517">
            <v>1208.92</v>
          </cell>
        </row>
        <row r="4518">
          <cell r="B4518">
            <v>7727</v>
          </cell>
          <cell r="C4518" t="str">
            <v>TUBO DE CONCRETO ARMADO PARA AGUAS PLUVIAIS, CLASSE PA-2, COM ENCAIXE PONTA E BOLSA, DIAMETRO NOMINAL DE 2000 MM</v>
          </cell>
          <cell r="D4518" t="str">
            <v>M</v>
          </cell>
          <cell r="E4518" t="str">
            <v>CR</v>
          </cell>
          <cell r="F4518">
            <v>3511.96</v>
          </cell>
        </row>
        <row r="4519">
          <cell r="B4519">
            <v>7760</v>
          </cell>
          <cell r="C4519" t="str">
            <v>TUBO DE CONCRETO ARMADO PARA AGUAS PLUVIAIS, CLASSE PA-2, COM ENCAIXE PONTA E BOLSA, DIAMETRO NOMINAL DE 300 MM</v>
          </cell>
          <cell r="D4519" t="str">
            <v>M</v>
          </cell>
          <cell r="E4519" t="str">
            <v>CR</v>
          </cell>
          <cell r="F4519">
            <v>139.57</v>
          </cell>
        </row>
        <row r="4520">
          <cell r="B4520">
            <v>7761</v>
          </cell>
          <cell r="C4520" t="str">
            <v>TUBO DE CONCRETO ARMADO PARA AGUAS PLUVIAIS, CLASSE PA-2, COM ENCAIXE PONTA E BOLSA, DIAMETRO NOMINAL DE 400 MM</v>
          </cell>
          <cell r="D4520" t="str">
            <v>M</v>
          </cell>
          <cell r="E4520" t="str">
            <v>CR</v>
          </cell>
          <cell r="F4520">
            <v>146.33000000000001</v>
          </cell>
        </row>
        <row r="4521">
          <cell r="B4521">
            <v>7752</v>
          </cell>
          <cell r="C4521" t="str">
            <v>TUBO DE CONCRETO ARMADO PARA AGUAS PLUVIAIS, CLASSE PA-2, COM ENCAIXE PONTA E BOLSA, DIAMETRO NOMINAL DE 500 MM</v>
          </cell>
          <cell r="D4521" t="str">
            <v>M</v>
          </cell>
          <cell r="E4521" t="str">
            <v>CR</v>
          </cell>
          <cell r="F4521">
            <v>177.84</v>
          </cell>
        </row>
        <row r="4522">
          <cell r="B4522">
            <v>7762</v>
          </cell>
          <cell r="C4522" t="str">
            <v>TUBO DE CONCRETO ARMADO PARA AGUAS PLUVIAIS, CLASSE PA-2, COM ENCAIXE PONTA E BOLSA, DIAMETRO NOMINAL DE 600 MM</v>
          </cell>
          <cell r="D4522" t="str">
            <v>M</v>
          </cell>
          <cell r="E4522" t="str">
            <v>CR</v>
          </cell>
          <cell r="F4522">
            <v>232.44</v>
          </cell>
        </row>
        <row r="4523">
          <cell r="B4523">
            <v>7722</v>
          </cell>
          <cell r="C4523" t="str">
            <v>TUBO DE CONCRETO ARMADO PARA AGUAS PLUVIAIS, CLASSE PA-2, COM ENCAIXE PONTA E BOLSA, DIAMETRO NOMINAL DE 700 MM</v>
          </cell>
          <cell r="D4523" t="str">
            <v>M</v>
          </cell>
          <cell r="E4523" t="str">
            <v>CR</v>
          </cell>
          <cell r="F4523">
            <v>355.69</v>
          </cell>
        </row>
        <row r="4524">
          <cell r="B4524">
            <v>7763</v>
          </cell>
          <cell r="C4524" t="str">
            <v>TUBO DE CONCRETO ARMADO PARA AGUAS PLUVIAIS, CLASSE PA-2, COM ENCAIXE PONTA E BOLSA, DIAMETRO NOMINAL DE 800 MM</v>
          </cell>
          <cell r="D4524" t="str">
            <v>M</v>
          </cell>
          <cell r="E4524" t="str">
            <v>CR</v>
          </cell>
          <cell r="F4524">
            <v>433.36</v>
          </cell>
        </row>
        <row r="4525">
          <cell r="B4525">
            <v>7764</v>
          </cell>
          <cell r="C4525" t="str">
            <v>TUBO DE CONCRETO ARMADO PARA AGUAS PLUVIAIS, CLASSE PA-2, COM ENCAIXE PONTA E BOLSA, DIAMETRO NOMINAL DE 900 MM</v>
          </cell>
          <cell r="D4525" t="str">
            <v>M</v>
          </cell>
          <cell r="E4525" t="str">
            <v>CR</v>
          </cell>
          <cell r="F4525">
            <v>517.78</v>
          </cell>
        </row>
        <row r="4526">
          <cell r="B4526">
            <v>12572</v>
          </cell>
          <cell r="C4526" t="str">
            <v>TUBO DE CONCRETO ARMADO PARA AGUAS PLUVIAIS, CLASSE PA-3, COM ENCAIXE PONTA E BOLSA, DIAMETRO NOMINAL DE 1000 MM</v>
          </cell>
          <cell r="D4526" t="str">
            <v>M</v>
          </cell>
          <cell r="E4526" t="str">
            <v>CR</v>
          </cell>
          <cell r="F4526">
            <v>731.65</v>
          </cell>
        </row>
        <row r="4527">
          <cell r="B4527">
            <v>12573</v>
          </cell>
          <cell r="C4527" t="str">
            <v>TUBO DE CONCRETO ARMADO PARA AGUAS PLUVIAIS, CLASSE PA-3, COM ENCAIXE PONTA E BOLSA, DIAMETRO NOMINAL DE 1100 MM</v>
          </cell>
          <cell r="D4527" t="str">
            <v>M</v>
          </cell>
          <cell r="E4527" t="str">
            <v>CR</v>
          </cell>
          <cell r="F4527">
            <v>962.41</v>
          </cell>
        </row>
        <row r="4528">
          <cell r="B4528">
            <v>12574</v>
          </cell>
          <cell r="C4528" t="str">
            <v>TUBO DE CONCRETO ARMADO PARA AGUAS PLUVIAIS, CLASSE PA-3, COM ENCAIXE PONTA E BOLSA, DIAMETRO NOMINAL DE 1200 MM</v>
          </cell>
          <cell r="D4528" t="str">
            <v>M</v>
          </cell>
          <cell r="E4528" t="str">
            <v>CR</v>
          </cell>
          <cell r="F4528">
            <v>1163.67</v>
          </cell>
        </row>
        <row r="4529">
          <cell r="B4529">
            <v>12575</v>
          </cell>
          <cell r="C4529" t="str">
            <v>TUBO DE CONCRETO ARMADO PARA AGUAS PLUVIAIS, CLASSE PA-3, COM ENCAIXE PONTA E BOLSA, DIAMETRO NOMINAL DE 1500 MM</v>
          </cell>
          <cell r="D4529" t="str">
            <v>M</v>
          </cell>
          <cell r="E4529" t="str">
            <v>CR</v>
          </cell>
          <cell r="F4529">
            <v>1767.23</v>
          </cell>
        </row>
        <row r="4530">
          <cell r="B4530">
            <v>12576</v>
          </cell>
          <cell r="C4530" t="str">
            <v>TUBO DE CONCRETO ARMADO PARA AGUAS PLUVIAIS, CLASSE PA-3, COM ENCAIXE PONTA E BOLSA, DIAMETRO NOMINAL DE 400 MM</v>
          </cell>
          <cell r="D4530" t="str">
            <v>M</v>
          </cell>
          <cell r="E4530" t="str">
            <v>CR</v>
          </cell>
          <cell r="F4530">
            <v>213.86</v>
          </cell>
        </row>
        <row r="4531">
          <cell r="B4531">
            <v>12577</v>
          </cell>
          <cell r="C4531" t="str">
            <v>TUBO DE CONCRETO ARMADO PARA AGUAS PLUVIAIS, CLASSE PA-3, COM ENCAIXE PONTA E BOLSA, DIAMETRO NOMINAL DE 500 MM</v>
          </cell>
          <cell r="D4531" t="str">
            <v>M</v>
          </cell>
          <cell r="E4531" t="str">
            <v>CR</v>
          </cell>
          <cell r="F4531">
            <v>288.16000000000003</v>
          </cell>
        </row>
        <row r="4532">
          <cell r="B4532">
            <v>12578</v>
          </cell>
          <cell r="C4532" t="str">
            <v>TUBO DE CONCRETO ARMADO PARA AGUAS PLUVIAIS, CLASSE PA-3, COM ENCAIXE PONTA E BOLSA, DIAMETRO NOMINAL DE 600 MM</v>
          </cell>
          <cell r="D4532" t="str">
            <v>M</v>
          </cell>
          <cell r="E4532" t="str">
            <v>CR</v>
          </cell>
          <cell r="F4532">
            <v>348.94</v>
          </cell>
        </row>
        <row r="4533">
          <cell r="B4533">
            <v>12579</v>
          </cell>
          <cell r="C4533" t="str">
            <v>TUBO DE CONCRETO ARMADO PARA AGUAS PLUVIAIS, CLASSE PA-3, COM ENCAIXE PONTA E BOLSA, DIAMETRO NOMINAL DE 700 MM</v>
          </cell>
          <cell r="D4533" t="str">
            <v>M</v>
          </cell>
          <cell r="E4533" t="str">
            <v>CR</v>
          </cell>
          <cell r="F4533">
            <v>601.08000000000004</v>
          </cell>
        </row>
        <row r="4534">
          <cell r="B4534">
            <v>12580</v>
          </cell>
          <cell r="C4534" t="str">
            <v>TUBO DE CONCRETO ARMADO PARA AGUAS PLUVIAIS, CLASSE PA-3, COM ENCAIXE PONTA E BOLSA, DIAMETRO NOMINAL DE 800 MM</v>
          </cell>
          <cell r="D4534" t="str">
            <v>M</v>
          </cell>
          <cell r="E4534" t="str">
            <v>CR</v>
          </cell>
          <cell r="F4534">
            <v>626.29999999999995</v>
          </cell>
        </row>
        <row r="4535">
          <cell r="B4535">
            <v>12581</v>
          </cell>
          <cell r="C4535" t="str">
            <v>TUBO DE CONCRETO ARMADO PARA AGUAS PLUVIAIS, CLASSE PA-3, COM ENCAIXE PONTA E BOLSA, DIAMETRO NOMINAL DE 900 MM</v>
          </cell>
          <cell r="D4535" t="str">
            <v>M</v>
          </cell>
          <cell r="E4535" t="str">
            <v>CR</v>
          </cell>
          <cell r="F4535">
            <v>670.87</v>
          </cell>
        </row>
        <row r="4536">
          <cell r="B4536">
            <v>7720</v>
          </cell>
          <cell r="C4536" t="str">
            <v>TUBO DE CONCRETO ARMADO PARA ESGOTO SANITARIO, CLASSE EA-2, COM ENCAIXE PONTA E BOLSA, COM JUNTA ELASTICA, DIAMETRO NOMINAL DE 1000 MM</v>
          </cell>
          <cell r="D4536" t="str">
            <v>M</v>
          </cell>
          <cell r="E4536" t="str">
            <v>CR</v>
          </cell>
          <cell r="F4536">
            <v>1049.08</v>
          </cell>
        </row>
        <row r="4537">
          <cell r="B4537">
            <v>40335</v>
          </cell>
          <cell r="C4537" t="str">
            <v>TUBO DE CONCRETO ARMADO PARA ESGOTO SANITARIO, CLASSE EA-2, COM ENCAIXE PONTA E BOLSA, COM JUNTA ELASTICA, DIAMETRO NOMINAL DE 300 MM</v>
          </cell>
          <cell r="D4537" t="str">
            <v>M</v>
          </cell>
          <cell r="E4537" t="str">
            <v>CR</v>
          </cell>
          <cell r="F4537">
            <v>219.49</v>
          </cell>
        </row>
        <row r="4538">
          <cell r="B4538">
            <v>7740</v>
          </cell>
          <cell r="C4538" t="str">
            <v>TUBO DE CONCRETO ARMADO PARA ESGOTO SANITARIO, CLASSE EA-2, COM ENCAIXE PONTA E BOLSA, COM JUNTA ELASTICA, DIAMETRO NOMINAL DE 400 MM</v>
          </cell>
          <cell r="D4538" t="str">
            <v>M</v>
          </cell>
          <cell r="E4538" t="str">
            <v>CR</v>
          </cell>
          <cell r="F4538">
            <v>225.12</v>
          </cell>
        </row>
        <row r="4539">
          <cell r="B4539">
            <v>7741</v>
          </cell>
          <cell r="C4539" t="str">
            <v>TUBO DE CONCRETO ARMADO PARA ESGOTO SANITARIO, CLASSE EA-2, COM ENCAIXE PONTA E BOLSA, COM JUNTA ELASTICA, DIAMETRO NOMINAL DE 500 MM</v>
          </cell>
          <cell r="D4539" t="str">
            <v>M</v>
          </cell>
          <cell r="E4539" t="str">
            <v>CR</v>
          </cell>
          <cell r="F4539">
            <v>416.48</v>
          </cell>
        </row>
        <row r="4540">
          <cell r="B4540">
            <v>7774</v>
          </cell>
          <cell r="C4540" t="str">
            <v>TUBO DE CONCRETO ARMADO PARA ESGOTO SANITARIO, CLASSE EA-2, COM ENCAIXE PONTA E BOLSA, COM JUNTA ELASTICA, DIAMETRO NOMINAL DE 600 MM</v>
          </cell>
          <cell r="D4540" t="str">
            <v>M</v>
          </cell>
          <cell r="E4540" t="str">
            <v>CR</v>
          </cell>
          <cell r="F4540">
            <v>511.03</v>
          </cell>
        </row>
        <row r="4541">
          <cell r="B4541">
            <v>7744</v>
          </cell>
          <cell r="C4541" t="str">
            <v>TUBO DE CONCRETO ARMADO PARA ESGOTO SANITARIO, CLASSE EA-2, COM ENCAIXE PONTA E BOLSA, COM JUNTA ELASTICA, DIAMETRO NOMINAL DE 700 MM</v>
          </cell>
          <cell r="D4541" t="str">
            <v>M</v>
          </cell>
          <cell r="E4541" t="str">
            <v>CR</v>
          </cell>
          <cell r="F4541">
            <v>667.49</v>
          </cell>
        </row>
        <row r="4542">
          <cell r="B4542">
            <v>7773</v>
          </cell>
          <cell r="C4542" t="str">
            <v>TUBO DE CONCRETO ARMADO PARA ESGOTO SANITARIO, CLASSE EA-2, COM ENCAIXE PONTA E BOLSA, COM JUNTA ELASTICA, DIAMETRO NOMINAL DE 800 MM</v>
          </cell>
          <cell r="D4542" t="str">
            <v>M</v>
          </cell>
          <cell r="E4542" t="str">
            <v>CR</v>
          </cell>
          <cell r="F4542">
            <v>682.24</v>
          </cell>
        </row>
        <row r="4543">
          <cell r="B4543">
            <v>7754</v>
          </cell>
          <cell r="C4543" t="str">
            <v>TUBO DE CONCRETO ARMADO PARA ESGOTO SANITARIO, CLASSE EA-2, COM ENCAIXE PONTA E BOLSA, COM JUNTA ELASTICA, DIAMETRO NOMINAL DE 900 MM</v>
          </cell>
          <cell r="D4543" t="str">
            <v>M</v>
          </cell>
          <cell r="E4543" t="str">
            <v>CR</v>
          </cell>
          <cell r="F4543">
            <v>1034.45</v>
          </cell>
        </row>
        <row r="4544">
          <cell r="B4544">
            <v>7735</v>
          </cell>
          <cell r="C4544" t="str">
            <v>TUBO DE CONCRETO ARMADO PARA ESGOTO SANITARIO, CLASSE EA-3, COM ENCAIXE PONTA E BOLSA, COM JUNTA ELASTICA, DIAMETRO NOMINAL DE 1000 MM</v>
          </cell>
          <cell r="D4544" t="str">
            <v>M</v>
          </cell>
          <cell r="E4544" t="str">
            <v>CR</v>
          </cell>
          <cell r="F4544">
            <v>1339.5</v>
          </cell>
        </row>
        <row r="4545">
          <cell r="B4545">
            <v>7755</v>
          </cell>
          <cell r="C4545" t="str">
            <v>TUBO DE CONCRETO ARMADO PARA ESGOTO SANITARIO, CLASSE EA-3, COM ENCAIXE PONTA E BOLSA, COM JUNTA ELASTICA, DIAMETRO NOMINAL DE 400 MM</v>
          </cell>
          <cell r="D4545" t="str">
            <v>M</v>
          </cell>
          <cell r="E4545" t="str">
            <v>CR</v>
          </cell>
          <cell r="F4545">
            <v>265.64</v>
          </cell>
        </row>
        <row r="4546">
          <cell r="B4546">
            <v>7776</v>
          </cell>
          <cell r="C4546" t="str">
            <v>TUBO DE CONCRETO ARMADO PARA ESGOTO SANITARIO, CLASSE EA-3, COM ENCAIXE PONTA E BOLSA, COM JUNTA ELASTICA, DIAMETRO NOMINAL DE 500 MM</v>
          </cell>
          <cell r="D4546" t="str">
            <v>M</v>
          </cell>
          <cell r="E4546" t="str">
            <v>CR</v>
          </cell>
          <cell r="F4546">
            <v>553.80999999999995</v>
          </cell>
        </row>
        <row r="4547">
          <cell r="B4547">
            <v>7743</v>
          </cell>
          <cell r="C4547" t="str">
            <v>TUBO DE CONCRETO ARMADO PARA ESGOTO SANITARIO, CLASSE EA-3, COM ENCAIXE PONTA E BOLSA, COM JUNTA ELASTICA, DIAMETRO NOMINAL DE 600 MM</v>
          </cell>
          <cell r="D4547" t="str">
            <v>M</v>
          </cell>
          <cell r="E4547" t="str">
            <v>CR</v>
          </cell>
          <cell r="F4547">
            <v>586.45000000000005</v>
          </cell>
        </row>
        <row r="4548">
          <cell r="B4548">
            <v>7733</v>
          </cell>
          <cell r="C4548" t="str">
            <v>TUBO DE CONCRETO ARMADO PARA ESGOTO SANITARIO, CLASSE EA-3, COM ENCAIXE PONTA E BOLSA, COM JUNTA ELASTICA, DIAMETRO NOMINAL DE 700 MM</v>
          </cell>
          <cell r="D4548" t="str">
            <v>M</v>
          </cell>
          <cell r="E4548" t="str">
            <v>CR</v>
          </cell>
          <cell r="F4548">
            <v>765.42</v>
          </cell>
        </row>
        <row r="4549">
          <cell r="B4549">
            <v>7775</v>
          </cell>
          <cell r="C4549" t="str">
            <v>TUBO DE CONCRETO ARMADO PARA ESGOTO SANITARIO, CLASSE EA-3, COM ENCAIXE PONTA E BOLSA, COM JUNTA ELASTICA, DIAMETRO NOMINAL DE 800 MM</v>
          </cell>
          <cell r="D4549" t="str">
            <v>M</v>
          </cell>
          <cell r="E4549" t="str">
            <v>CR</v>
          </cell>
          <cell r="F4549">
            <v>838.59</v>
          </cell>
        </row>
        <row r="4550">
          <cell r="B4550">
            <v>7734</v>
          </cell>
          <cell r="C4550" t="str">
            <v>TUBO DE CONCRETO ARMADO PARA ESGOTO SANITARIO, CLASSE EA-3, COM ENCAIXE PONTA E BOLSA, COM JUNTA ELASTICA, DIAMETRO NOMINAL DE 900 MM</v>
          </cell>
          <cell r="D4550" t="str">
            <v>M</v>
          </cell>
          <cell r="E4550" t="str">
            <v>CR</v>
          </cell>
          <cell r="F4550">
            <v>1187.53</v>
          </cell>
        </row>
        <row r="4551">
          <cell r="B4551">
            <v>7714</v>
          </cell>
          <cell r="C4551" t="str">
            <v>TUBO DE CONCRETO ARMADO, PRE MOLDADO PARA AGUAS PLUVIAIS, CLASSE PA-1, COM ENCAIXE PONTA E BOLSA, DIAMETRO NOMINAL DE 500 MM</v>
          </cell>
          <cell r="D4551" t="str">
            <v>M</v>
          </cell>
          <cell r="E4551" t="str">
            <v>CR</v>
          </cell>
          <cell r="F4551">
            <v>165.46</v>
          </cell>
        </row>
        <row r="4552">
          <cell r="B4552">
            <v>37449</v>
          </cell>
          <cell r="C4552" t="str">
            <v>TUBO DE CONCRETO SIMPLES PARA AGUAS PLUVIAIS, CLASSE PS1, COM ENCAIXE MACHO E FEMEA, DIAMETRO NOMINAL DE 200 MM</v>
          </cell>
          <cell r="D4552" t="str">
            <v>M</v>
          </cell>
          <cell r="E4552" t="str">
            <v>CR</v>
          </cell>
          <cell r="F4552">
            <v>43.6</v>
          </cell>
        </row>
        <row r="4553">
          <cell r="B4553">
            <v>37450</v>
          </cell>
          <cell r="C4553" t="str">
            <v>TUBO DE CONCRETO SIMPLES PARA AGUAS PLUVIAIS, CLASSE PS1, COM ENCAIXE MACHO E FEMEA, DIAMETRO NOMINAL DE 300 MM</v>
          </cell>
          <cell r="D4553" t="str">
            <v>M</v>
          </cell>
          <cell r="E4553" t="str">
            <v>CR</v>
          </cell>
          <cell r="F4553">
            <v>61.05</v>
          </cell>
        </row>
        <row r="4554">
          <cell r="B4554">
            <v>37451</v>
          </cell>
          <cell r="C4554" t="str">
            <v>TUBO DE CONCRETO SIMPLES PARA AGUAS PLUVIAIS, CLASSE PS1, COM ENCAIXE MACHO E FEMEA, DIAMETRO NOMINAL DE 400 MM</v>
          </cell>
          <cell r="D4554" t="str">
            <v>M</v>
          </cell>
          <cell r="E4554" t="str">
            <v>CR</v>
          </cell>
          <cell r="F4554">
            <v>85.23</v>
          </cell>
        </row>
        <row r="4555">
          <cell r="B4555">
            <v>37452</v>
          </cell>
          <cell r="C4555" t="str">
            <v>TUBO DE CONCRETO SIMPLES PARA AGUAS PLUVIAIS, CLASSE PS1, COM ENCAIXE MACHO E FEMEA, DIAMETRO NOMINAL DE 500 MM</v>
          </cell>
          <cell r="D4555" t="str">
            <v>M</v>
          </cell>
          <cell r="E4555" t="str">
            <v>CR</v>
          </cell>
          <cell r="F4555">
            <v>123.88</v>
          </cell>
        </row>
        <row r="4556">
          <cell r="B4556">
            <v>37453</v>
          </cell>
          <cell r="C4556" t="str">
            <v>TUBO DE CONCRETO SIMPLES PARA AGUAS PLUVIAIS, CLASSE PS1, COM ENCAIXE MACHO E FEMEA, DIAMETRO NOMINAL DE 600 MM</v>
          </cell>
          <cell r="D4556" t="str">
            <v>M</v>
          </cell>
          <cell r="E4556" t="str">
            <v>CR</v>
          </cell>
          <cell r="F4556">
            <v>142.66</v>
          </cell>
        </row>
        <row r="4557">
          <cell r="B4557">
            <v>7778</v>
          </cell>
          <cell r="C4557" t="str">
            <v>TUBO DE CONCRETO SIMPLES PARA AGUAS PLUVIAIS, CLASSE PS1, COM ENCAIXE PONTA E BOLSA, DIAMETRO NOMINAL DE 200 MM</v>
          </cell>
          <cell r="D4557" t="str">
            <v>M</v>
          </cell>
          <cell r="E4557" t="str">
            <v>CR</v>
          </cell>
          <cell r="F4557">
            <v>53.51</v>
          </cell>
        </row>
        <row r="4558">
          <cell r="B4558">
            <v>7796</v>
          </cell>
          <cell r="C4558" t="str">
            <v>TUBO DE CONCRETO SIMPLES PARA AGUAS PLUVIAIS, CLASSE PS1, COM ENCAIXE PONTA E BOLSA, DIAMETRO NOMINAL DE 300 MM</v>
          </cell>
          <cell r="D4558" t="str">
            <v>M</v>
          </cell>
          <cell r="E4558" t="str">
            <v>C</v>
          </cell>
          <cell r="F4558">
            <v>73.34</v>
          </cell>
        </row>
        <row r="4559">
          <cell r="B4559">
            <v>7781</v>
          </cell>
          <cell r="C4559" t="str">
            <v>TUBO DE CONCRETO SIMPLES PARA AGUAS PLUVIAIS, CLASSE PS1, COM ENCAIXE PONTA E BOLSA, DIAMETRO NOMINAL DE 400 MM</v>
          </cell>
          <cell r="D4559" t="str">
            <v>M</v>
          </cell>
          <cell r="E4559" t="str">
            <v>CR</v>
          </cell>
          <cell r="F4559">
            <v>86.67</v>
          </cell>
        </row>
        <row r="4560">
          <cell r="B4560">
            <v>7795</v>
          </cell>
          <cell r="C4560" t="str">
            <v>TUBO DE CONCRETO SIMPLES PARA AGUAS PLUVIAIS, CLASSE PS1, COM ENCAIXE PONTA E BOLSA, DIAMETRO NOMINAL DE 500 MM</v>
          </cell>
          <cell r="D4560" t="str">
            <v>M</v>
          </cell>
          <cell r="E4560" t="str">
            <v>CR</v>
          </cell>
          <cell r="F4560">
            <v>128.97999999999999</v>
          </cell>
        </row>
        <row r="4561">
          <cell r="B4561">
            <v>7791</v>
          </cell>
          <cell r="C4561" t="str">
            <v>TUBO DE CONCRETO SIMPLES PARA AGUAS PLUVIAIS, CLASSE PS1, COM ENCAIXE PONTA E BOLSA, DIAMETRO NOMINAL DE 600 MM</v>
          </cell>
          <cell r="D4561" t="str">
            <v>M</v>
          </cell>
          <cell r="E4561" t="str">
            <v>CR</v>
          </cell>
          <cell r="F4561">
            <v>154.41</v>
          </cell>
        </row>
        <row r="4562">
          <cell r="B4562">
            <v>7783</v>
          </cell>
          <cell r="C4562" t="str">
            <v>TUBO DE CONCRETO SIMPLES PARA AGUAS PLUVIAIS, CLASSE PS2, COM ENCAIXE PONTA E BOLSA, DIAMETRO NOMINAL DE 200 MM</v>
          </cell>
          <cell r="D4562" t="str">
            <v>M</v>
          </cell>
          <cell r="E4562" t="str">
            <v>CR</v>
          </cell>
          <cell r="F4562">
            <v>54.71</v>
          </cell>
        </row>
        <row r="4563">
          <cell r="B4563">
            <v>7790</v>
          </cell>
          <cell r="C4563" t="str">
            <v>TUBO DE CONCRETO SIMPLES PARA AGUAS PLUVIAIS, CLASSE PS2, COM ENCAIXE PONTA E BOLSA, DIAMETRO NOMINAL DE 300 MM</v>
          </cell>
          <cell r="D4563" t="str">
            <v>M</v>
          </cell>
          <cell r="E4563" t="str">
            <v>CR</v>
          </cell>
          <cell r="F4563">
            <v>86.22</v>
          </cell>
        </row>
        <row r="4564">
          <cell r="B4564">
            <v>7785</v>
          </cell>
          <cell r="C4564" t="str">
            <v>TUBO DE CONCRETO SIMPLES PARA AGUAS PLUVIAIS, CLASSE PS2, COM ENCAIXE PONTA E BOLSA, DIAMETRO NOMINAL DE 400 MM</v>
          </cell>
          <cell r="D4564" t="str">
            <v>M</v>
          </cell>
          <cell r="E4564" t="str">
            <v>CR</v>
          </cell>
          <cell r="F4564">
            <v>95.14</v>
          </cell>
        </row>
        <row r="4565">
          <cell r="B4565">
            <v>7792</v>
          </cell>
          <cell r="C4565" t="str">
            <v>TUBO DE CONCRETO SIMPLES PARA AGUAS PLUVIAIS, CLASSE PS2, COM ENCAIXE PONTA E BOLSA, DIAMETRO NOMINAL DE 500 MM</v>
          </cell>
          <cell r="D4565" t="str">
            <v>M</v>
          </cell>
          <cell r="E4565" t="str">
            <v>CR</v>
          </cell>
          <cell r="F4565">
            <v>134.93</v>
          </cell>
        </row>
        <row r="4566">
          <cell r="B4566">
            <v>7793</v>
          </cell>
          <cell r="C4566" t="str">
            <v>TUBO DE CONCRETO SIMPLES PARA AGUAS PLUVIAIS, CLASSE PS2, COM ENCAIXE PONTA E BOLSA, DIAMETRO NOMINAL DE 600 MM</v>
          </cell>
          <cell r="D4566" t="str">
            <v>M</v>
          </cell>
          <cell r="E4566" t="str">
            <v>CR</v>
          </cell>
          <cell r="F4566">
            <v>159.36000000000001</v>
          </cell>
        </row>
        <row r="4567">
          <cell r="B4567">
            <v>13159</v>
          </cell>
          <cell r="C4567" t="str">
            <v>TUBO DE CONCRETO SIMPLES PARA ESGOTO SANITARIO, CLASSE ES, COM ENCAIXE PONTA E BOLSA, COM JUNTA ELASTICA, DIAMETRO NOMINAL DE 400 MM</v>
          </cell>
          <cell r="D4567" t="str">
            <v>M</v>
          </cell>
          <cell r="E4567" t="str">
            <v>CR</v>
          </cell>
          <cell r="F4567">
            <v>138.75</v>
          </cell>
        </row>
        <row r="4568">
          <cell r="B4568">
            <v>13168</v>
          </cell>
          <cell r="C4568" t="str">
            <v>TUBO DE CONCRETO SIMPLES PARA ESGOTO SANITARIO, CLASSE ES, COM ENCAIXE PONTA E BOLSA, COM JUNTA ELASTICA, DIAMETRO NOMINAL DE 500 MM</v>
          </cell>
          <cell r="D4568" t="str">
            <v>M</v>
          </cell>
          <cell r="E4568" t="str">
            <v>CR</v>
          </cell>
          <cell r="F4568">
            <v>168.48</v>
          </cell>
        </row>
        <row r="4569">
          <cell r="B4569">
            <v>13173</v>
          </cell>
          <cell r="C4569" t="str">
            <v>TUBO DE CONCRETO SIMPLES PARA ESGOTO SANITARIO, CLASSE ES, COM ENCAIXE PONTA E BOLSA, COM JUNTA ELASTICA, DIAMETRO NOMINAL DE 600 MM</v>
          </cell>
          <cell r="D4569" t="str">
            <v>M</v>
          </cell>
          <cell r="E4569" t="str">
            <v>CR</v>
          </cell>
          <cell r="F4569">
            <v>227.94</v>
          </cell>
        </row>
        <row r="4570">
          <cell r="B4570">
            <v>12583</v>
          </cell>
          <cell r="C4570" t="str">
            <v>TUBO DE CONCRETO SIMPLES POROSO PARA DRENAGEM (DRENO POROSO), COM ENCAIXE MACHO E FEMEA, DIAMETRO NOMINAL DE 200 MM</v>
          </cell>
          <cell r="D4570" t="str">
            <v>M</v>
          </cell>
          <cell r="E4570" t="str">
            <v>CR</v>
          </cell>
          <cell r="F4570">
            <v>45.58</v>
          </cell>
        </row>
        <row r="4571">
          <cell r="B4571">
            <v>12584</v>
          </cell>
          <cell r="C4571" t="str">
            <v>TUBO DE CONCRETO SIMPLES POROSO PARA DRENAGEM (DRENO POROSO), COM ENCAIXE MACHO E FEMEA, DIAMETRO NOMINAL DE 300 MM</v>
          </cell>
          <cell r="D4571" t="str">
            <v>M</v>
          </cell>
          <cell r="E4571" t="str">
            <v>CR</v>
          </cell>
          <cell r="F4571">
            <v>59.46</v>
          </cell>
        </row>
        <row r="4572">
          <cell r="B4572">
            <v>12613</v>
          </cell>
          <cell r="C4572" t="str">
            <v>TUBO DE DESCARGA, TIPO BENGALA, PARA LIGACAO CAIXA DE DESCARGA - EMBUTIR, PVC, 40 MM X 150 CM</v>
          </cell>
          <cell r="D4572" t="str">
            <v>UN</v>
          </cell>
          <cell r="E4572" t="str">
            <v>CR</v>
          </cell>
          <cell r="F4572">
            <v>21.15</v>
          </cell>
        </row>
        <row r="4573">
          <cell r="B4573">
            <v>1031</v>
          </cell>
          <cell r="C4573" t="str">
            <v>TUBO DE DESCIDA EXTERNO, DE PVC, PARA CAIXA DE DESCARGA EXTERNA ALTA - DIAMETRO DE 40 MM E ALTURA DE APROXIMADAMENTE 1,55 M</v>
          </cell>
          <cell r="D4573" t="str">
            <v>UN</v>
          </cell>
          <cell r="E4573" t="str">
            <v>CR</v>
          </cell>
          <cell r="F4573">
            <v>15.31</v>
          </cell>
        </row>
        <row r="4574">
          <cell r="B4574">
            <v>39707</v>
          </cell>
          <cell r="C4574" t="str">
            <v>TUBO DE ESPUMA DE POLIETILENO EXPANDIDO FLEXIVEL PARA ISOLAMENTO TERMICO DE TUBULACAO DE AR CONDICIONADO, AGUA QUENTE, DN 1 1/2", E= 10 MM</v>
          </cell>
          <cell r="D4574" t="str">
            <v>M</v>
          </cell>
          <cell r="E4574" t="str">
            <v>CR</v>
          </cell>
          <cell r="F4574">
            <v>4.43</v>
          </cell>
        </row>
        <row r="4575">
          <cell r="B4575">
            <v>39708</v>
          </cell>
          <cell r="C4575" t="str">
            <v>TUBO DE ESPUMA DE POLIETILENO EXPANDIDO FLEXIVEL PARA ISOLAMENTO TERMICO DE TUBULACAO DE AR CONDICIONADO, AGUA QUENTE, DN 1 1/4", E= 10 MM</v>
          </cell>
          <cell r="D4575" t="str">
            <v>M</v>
          </cell>
          <cell r="E4575" t="str">
            <v>CR</v>
          </cell>
          <cell r="F4575">
            <v>4.29</v>
          </cell>
        </row>
        <row r="4576">
          <cell r="B4576">
            <v>39710</v>
          </cell>
          <cell r="C4576" t="str">
            <v>TUBO DE ESPUMA DE POLIETILENO EXPANDIDO FLEXIVEL PARA ISOLAMENTO TERMICO DE TUBULACAO DE AR CONDICIONADO, AGUA QUENTE, DN 1 1/8", E= 10 MM</v>
          </cell>
          <cell r="D4576" t="str">
            <v>M</v>
          </cell>
          <cell r="E4576" t="str">
            <v>CR</v>
          </cell>
          <cell r="F4576">
            <v>3.02</v>
          </cell>
        </row>
        <row r="4577">
          <cell r="B4577">
            <v>39709</v>
          </cell>
          <cell r="C4577" t="str">
            <v>TUBO DE ESPUMA DE POLIETILENO EXPANDIDO FLEXIVEL PARA ISOLAMENTO TERMICO DE TUBULACAO DE AR CONDICIONADO, AGUA QUENTE, DN 1 3/8", E= 10 MM</v>
          </cell>
          <cell r="D4577" t="str">
            <v>M</v>
          </cell>
          <cell r="E4577" t="str">
            <v>CR</v>
          </cell>
          <cell r="F4577">
            <v>4.1900000000000004</v>
          </cell>
        </row>
        <row r="4578">
          <cell r="B4578">
            <v>39711</v>
          </cell>
          <cell r="C4578" t="str">
            <v>TUBO DE ESPUMA DE POLIETILENO EXPANDIDO FLEXIVEL PARA ISOLAMENTO TERMICO DE TUBULACAO DE AR CONDICIONADO, AGUA QUENTE, DN 1 5/8", E= 10 MM</v>
          </cell>
          <cell r="D4578" t="str">
            <v>M</v>
          </cell>
          <cell r="E4578" t="str">
            <v>CR</v>
          </cell>
          <cell r="F4578">
            <v>4.7</v>
          </cell>
        </row>
        <row r="4579">
          <cell r="B4579">
            <v>39714</v>
          </cell>
          <cell r="C4579" t="str">
            <v>TUBO DE ESPUMA DE POLIETILENO EXPANDIDO FLEXIVEL PARA ISOLAMENTO TERMICO DE TUBULACAO DE AR CONDICIONADO, AGUA QUENTE, DN 1", E= 10 MM</v>
          </cell>
          <cell r="D4579" t="str">
            <v>M</v>
          </cell>
          <cell r="E4579" t="str">
            <v>CR</v>
          </cell>
          <cell r="F4579">
            <v>2.99</v>
          </cell>
        </row>
        <row r="4580">
          <cell r="B4580">
            <v>39712</v>
          </cell>
          <cell r="C4580" t="str">
            <v>TUBO DE ESPUMA DE POLIETILENO EXPANDIDO FLEXIVEL PARA ISOLAMENTO TERMICO DE TUBULACAO DE AR CONDICIONADO, AGUA QUENTE, DN 1/2", E= 10 MM</v>
          </cell>
          <cell r="D4580" t="str">
            <v>M</v>
          </cell>
          <cell r="E4580" t="str">
            <v>C</v>
          </cell>
          <cell r="F4580">
            <v>1.65</v>
          </cell>
        </row>
        <row r="4581">
          <cell r="B4581">
            <v>39713</v>
          </cell>
          <cell r="C4581" t="str">
            <v>TUBO DE ESPUMA DE POLIETILENO EXPANDIDO FLEXIVEL PARA ISOLAMENTO TERMICO DE TUBULACAO DE AR CONDICIONADO, AGUA QUENTE, DN 1/4", E= 10 MM</v>
          </cell>
          <cell r="D4581" t="str">
            <v>M</v>
          </cell>
          <cell r="E4581" t="str">
            <v>CR</v>
          </cell>
          <cell r="F4581">
            <v>1.3</v>
          </cell>
        </row>
        <row r="4582">
          <cell r="B4582">
            <v>39715</v>
          </cell>
          <cell r="C4582" t="str">
            <v>TUBO DE ESPUMA DE POLIETILENO EXPANDIDO FLEXIVEL PARA ISOLAMENTO TERMICO DE TUBULACAO DE AR CONDICIONADO, AGUA QUENTE, DN 3/4", E= 10 MM</v>
          </cell>
          <cell r="D4582" t="str">
            <v>M</v>
          </cell>
          <cell r="E4582" t="str">
            <v>CR</v>
          </cell>
          <cell r="F4582">
            <v>2.13</v>
          </cell>
        </row>
        <row r="4583">
          <cell r="B4583">
            <v>39716</v>
          </cell>
          <cell r="C4583" t="str">
            <v>TUBO DE ESPUMA DE POLIETILENO EXPANDIDO FLEXIVEL PARA ISOLAMENTO TERMICO DE TUBULACAO DE AR CONDICIONADO, AGUA QUENTE, DN 3/8", E= 10 MM</v>
          </cell>
          <cell r="D4583" t="str">
            <v>M</v>
          </cell>
          <cell r="E4583" t="str">
            <v>CR</v>
          </cell>
          <cell r="F4583">
            <v>1.61</v>
          </cell>
        </row>
        <row r="4584">
          <cell r="B4584">
            <v>39718</v>
          </cell>
          <cell r="C4584" t="str">
            <v>TUBO DE ESPUMA DE POLIETILENO EXPANDIDO FLEXIVEL PARA ISOLAMENTO TERMICO DE TUBULACAO DE AR CONDICIONADO, AGUA QUENTE, DN 7/8", E= 10 MM</v>
          </cell>
          <cell r="D4584" t="str">
            <v>M</v>
          </cell>
          <cell r="E4584" t="str">
            <v>CR</v>
          </cell>
          <cell r="F4584">
            <v>2.75</v>
          </cell>
        </row>
        <row r="4585">
          <cell r="B4585">
            <v>9813</v>
          </cell>
          <cell r="C4585" t="str">
            <v>TUBO DE POLIETILENO DE ALTA DENSIDADE (PEAD), PE-80, DE = 20 MM X 2,3 MM DE PAREDE, PARA LIGACAO DE AGUA PREDIAL (NBR 15561)</v>
          </cell>
          <cell r="D4585" t="str">
            <v>M</v>
          </cell>
          <cell r="E4585" t="str">
            <v>C</v>
          </cell>
          <cell r="F4585">
            <v>5.51</v>
          </cell>
        </row>
        <row r="4586">
          <cell r="B4586">
            <v>9815</v>
          </cell>
          <cell r="C4586" t="str">
            <v>TUBO DE POLIETILENO DE ALTA DENSIDADE (PEAD), PE-80, DE = 32 MM X 3,0 MM DE PAREDE, PARA LIGACAO DE AGUA PREDIAL (NBR 15561)</v>
          </cell>
          <cell r="D4586" t="str">
            <v>M</v>
          </cell>
          <cell r="E4586" t="str">
            <v>CR</v>
          </cell>
          <cell r="F4586">
            <v>10.88</v>
          </cell>
        </row>
        <row r="4587">
          <cell r="B4587">
            <v>44543</v>
          </cell>
          <cell r="C4587" t="str">
            <v>TUBO DE POLIETILENO DE ALTA DENSIDADE, PEAD, PE-80, DE = 1000 MM X 38,5 MM PAREDE, (SDR 26 - PN 05) PARA REDE DE AGUA OU ESGOTO (NBR 15561)</v>
          </cell>
          <cell r="D4587" t="str">
            <v>M</v>
          </cell>
          <cell r="E4587" t="str">
            <v>CR</v>
          </cell>
          <cell r="F4587">
            <v>5414.49</v>
          </cell>
        </row>
        <row r="4588">
          <cell r="B4588">
            <v>44526</v>
          </cell>
          <cell r="C4588" t="str">
            <v>TUBO DE POLIETILENO DE ALTA DENSIDADE, PEAD, PE-80, DE = 110 MM X 10,0 MM PAREDE, (SDR 11 - PN 12,5) PARA REDE DE AGUA OU ESGOTO (NBR 15561)</v>
          </cell>
          <cell r="D4588" t="str">
            <v>M</v>
          </cell>
          <cell r="E4588" t="str">
            <v>CR</v>
          </cell>
          <cell r="F4588">
            <v>132.69999999999999</v>
          </cell>
        </row>
        <row r="4589">
          <cell r="B4589">
            <v>44545</v>
          </cell>
          <cell r="C4589" t="str">
            <v>TUBO DE POLIETILENO DE ALTA DENSIDADE, PEAD, PE-80, DE = 160 MM X 14,6 MM PAREDE, (SDR 11 - PN 12,5) PARA REDE DE AGUA OU ESGOTO (NBR 15561)</v>
          </cell>
          <cell r="D4589" t="str">
            <v>M</v>
          </cell>
          <cell r="E4589" t="str">
            <v>CR</v>
          </cell>
          <cell r="F4589">
            <v>284.85000000000002</v>
          </cell>
        </row>
        <row r="4590">
          <cell r="B4590">
            <v>44525</v>
          </cell>
          <cell r="C4590" t="str">
            <v>TUBO DE POLIETILENO DE ALTA DENSIDADE, PEAD, PE-80, DE = 900 MM X 34,7 MM PAREDE, (SDR 26 - PN 05) PARA REDE DE AGUA OU ESGOTO (NBR 15561)</v>
          </cell>
          <cell r="D4590" t="str">
            <v>M</v>
          </cell>
          <cell r="E4590" t="str">
            <v>CR</v>
          </cell>
          <cell r="F4590">
            <v>4910.91</v>
          </cell>
        </row>
        <row r="4591">
          <cell r="B4591">
            <v>44547</v>
          </cell>
          <cell r="C4591" t="str">
            <v>TUBO DE POLIETILENO DE ALTA DENSIDADE, PEAD, PE-80, DE= 200 MM X 18,2 MM PAREDE, (SDR 11 - PN 12,5) PARA REDE DE AGUA OU ESGOTO (NBR 15561)</v>
          </cell>
          <cell r="D4591" t="str">
            <v>M</v>
          </cell>
          <cell r="E4591" t="str">
            <v>CR</v>
          </cell>
          <cell r="F4591">
            <v>444.04</v>
          </cell>
        </row>
        <row r="4592">
          <cell r="B4592">
            <v>44519</v>
          </cell>
          <cell r="C4592" t="str">
            <v>TUBO DE POLIETILENO DE ALTA DENSIDADE, PEAD, PE-80, DE= 315 MM X 28,7 MM PAREDE, (SDR 11 - PN 12,5) PARA REDE DE AGUA OU ESGOTO (NBR 15561)</v>
          </cell>
          <cell r="D4592" t="str">
            <v>M</v>
          </cell>
          <cell r="E4592" t="str">
            <v>CR</v>
          </cell>
          <cell r="F4592">
            <v>1088.01</v>
          </cell>
        </row>
        <row r="4593">
          <cell r="B4593">
            <v>44520</v>
          </cell>
          <cell r="C4593" t="str">
            <v>TUBO DE POLIETILENO DE ALTA DENSIDADE, PEAD, PE-80, DE= 400 MM X 36,4 MM PAREDE, (SDR 11 - PN 12,5) PARA REDE DE AGUA OU ESGOTO (NBR 15561)</v>
          </cell>
          <cell r="D4593" t="str">
            <v>M</v>
          </cell>
          <cell r="E4593" t="str">
            <v>CR</v>
          </cell>
          <cell r="F4593">
            <v>1752.39</v>
          </cell>
        </row>
        <row r="4594">
          <cell r="B4594">
            <v>44521</v>
          </cell>
          <cell r="C4594" t="str">
            <v>TUBO DE POLIETILENO DE ALTA DENSIDADE, PEAD, PE-80, DE= 50 MM X 4,6 MM PAREDE, (SDR 11 - PN 12,5) PARA REDE DE AGUA OU ESGOTO (NBR 15561)</v>
          </cell>
          <cell r="D4594" t="str">
            <v>M</v>
          </cell>
          <cell r="E4594" t="str">
            <v>CR</v>
          </cell>
          <cell r="F4594">
            <v>28.27</v>
          </cell>
        </row>
        <row r="4595">
          <cell r="B4595">
            <v>44522</v>
          </cell>
          <cell r="C4595" t="str">
            <v>TUBO DE POLIETILENO DE ALTA DENSIDADE, PEAD, PE-80, DE= 500 MM X 45,5 MM PAREDE, (SDR 11 - PN 12,5) PARA REDE DE AGUA OU ESGOTO (NBR 15561)</v>
          </cell>
          <cell r="D4595" t="str">
            <v>M</v>
          </cell>
          <cell r="E4595" t="str">
            <v>CR</v>
          </cell>
          <cell r="F4595">
            <v>3076.55</v>
          </cell>
        </row>
        <row r="4596">
          <cell r="B4596">
            <v>44523</v>
          </cell>
          <cell r="C4596" t="str">
            <v>TUBO DE POLIETILENO DE ALTA DENSIDADE, PEAD, PE-80, DE= 630 MM X 57,3 MM PAREDE (SDR 11 - PN 12,5) PARA REDE DE AGUA OU ESGOTO (NBR 15561)</v>
          </cell>
          <cell r="D4596" t="str">
            <v>M</v>
          </cell>
          <cell r="E4596" t="str">
            <v>CR</v>
          </cell>
          <cell r="F4596">
            <v>4575.7</v>
          </cell>
        </row>
        <row r="4597">
          <cell r="B4597">
            <v>44527</v>
          </cell>
          <cell r="C4597" t="str">
            <v>TUBO DE POLIETILENO DE ALTA DENSIDADE, PEAD, PE-80, DE= 730 MM X 34,1 MM PAREDE, (SDR 21 - PN 06) PARA REDE DE AGUA OU ESGOTO (NBR 15561)</v>
          </cell>
          <cell r="D4597" t="str">
            <v>M</v>
          </cell>
          <cell r="E4597" t="str">
            <v>CR</v>
          </cell>
          <cell r="F4597">
            <v>2294.59</v>
          </cell>
        </row>
        <row r="4598">
          <cell r="B4598">
            <v>44524</v>
          </cell>
          <cell r="C4598" t="str">
            <v>TUBO DE POLIETILENO DE ALTA DENSIDADE, PEAD, PE-80, DE= 75 MM X 6,9 MM PAREDE, (SRD 11 - PN 12,5) PARA REDE DE AGUA OU ESGOTO (NBR 15561)</v>
          </cell>
          <cell r="D4598" t="str">
            <v>M</v>
          </cell>
          <cell r="E4598" t="str">
            <v>CR</v>
          </cell>
          <cell r="F4598">
            <v>63.22</v>
          </cell>
        </row>
        <row r="4599">
          <cell r="B4599">
            <v>44542</v>
          </cell>
          <cell r="C4599" t="str">
            <v>TUBO DE POLIETILENO DE ALTA DENSIDADE, PEAD, PE-80, DE= 800 MM X 30,8 MM PAREDE, (SDR 26 - PN 05) PARA REDE DE AGUA OU ESGOTO (NBR 15561)</v>
          </cell>
          <cell r="D4599" t="str">
            <v>M</v>
          </cell>
          <cell r="E4599" t="str">
            <v>CR</v>
          </cell>
          <cell r="F4599">
            <v>2993.68</v>
          </cell>
        </row>
        <row r="4600">
          <cell r="B4600">
            <v>9877</v>
          </cell>
          <cell r="C4600" t="str">
            <v>TUBO DE PVC, PBL, TIPO LEVE, DN = 250 MM, PARA VENTILACAO</v>
          </cell>
          <cell r="D4600" t="str">
            <v>M</v>
          </cell>
          <cell r="E4600" t="str">
            <v>CR</v>
          </cell>
          <cell r="F4600">
            <v>148.53</v>
          </cell>
        </row>
        <row r="4601">
          <cell r="B4601">
            <v>9878</v>
          </cell>
          <cell r="C4601" t="str">
            <v>TUBO DE PVC, PBL, TIPO LEVE, DN = 300 MM, PARA VENTILACAO</v>
          </cell>
          <cell r="D4601" t="str">
            <v>M</v>
          </cell>
          <cell r="E4601" t="str">
            <v>CR</v>
          </cell>
          <cell r="F4601">
            <v>182.85</v>
          </cell>
        </row>
        <row r="4602">
          <cell r="B4602">
            <v>41986</v>
          </cell>
          <cell r="C4602" t="str">
            <v>TUBO DE REVESTIMENTO, EM ACO, CORPO SCHEDULE 40, PONTEIRA SCHEDULE 80, ROSQUEAVEL E SEGMENTADO PARA PERFURACAO, DIAMETRO 10" (273 MM)</v>
          </cell>
          <cell r="D4602" t="str">
            <v>M</v>
          </cell>
          <cell r="E4602" t="str">
            <v>CR</v>
          </cell>
          <cell r="F4602">
            <v>3585.02</v>
          </cell>
        </row>
        <row r="4603">
          <cell r="B4603">
            <v>43422</v>
          </cell>
          <cell r="C4603" t="str">
            <v>TUBO DE REVESTIMENTO, EM ACO, CORPO SCHEDULE 40, PONTEIRA SCHEDULE 80, ROSQUEAVEL E SEGMENTADO PARA PERFURACAO, DIAMETRO 12" (320 MM)</v>
          </cell>
          <cell r="D4603" t="str">
            <v>M</v>
          </cell>
          <cell r="E4603" t="str">
            <v>CR</v>
          </cell>
          <cell r="F4603">
            <v>4396.67</v>
          </cell>
        </row>
        <row r="4604">
          <cell r="B4604">
            <v>41987</v>
          </cell>
          <cell r="C4604" t="str">
            <v>TUBO DE REVESTIMENTO, EM ACO, CORPO SCHEDULE 40, PONTEIRA SCHEDULE 80, ROSQUEAVEL E SEGMENTADO PARA PERFURACAO, DIAMETRO 14" (400 MM)</v>
          </cell>
          <cell r="D4604" t="str">
            <v>M</v>
          </cell>
          <cell r="E4604" t="str">
            <v>CR</v>
          </cell>
          <cell r="F4604">
            <v>5096.1099999999997</v>
          </cell>
        </row>
        <row r="4605">
          <cell r="B4605">
            <v>41988</v>
          </cell>
          <cell r="C4605" t="str">
            <v>TUBO DE REVESTIMENTO, EM ACO, CORPO SCHEDULE 40, PONTEIRA SCHEDULE 80, ROSQUEAVEL E SEGMENTADO PARA PERFURACAO, DIAMETRO 16" (450 MM)</v>
          </cell>
          <cell r="D4605" t="str">
            <v>M</v>
          </cell>
          <cell r="E4605" t="str">
            <v>CR</v>
          </cell>
          <cell r="F4605">
            <v>6731.24</v>
          </cell>
        </row>
        <row r="4606">
          <cell r="B4606">
            <v>41697</v>
          </cell>
          <cell r="C4606" t="str">
            <v>TUBO DE REVESTIMENTO, EM ACO, CORPO SCHEDULE 40, PONTEIRA SCHEDULE 80, ROSQUEAVEL E SEGMENTADO PARA PERFURACAO, DIAMETRO 4" (450 MM)</v>
          </cell>
          <cell r="D4606" t="str">
            <v>M</v>
          </cell>
          <cell r="E4606" t="str">
            <v>CR</v>
          </cell>
          <cell r="F4606">
            <v>1193.0899999999999</v>
          </cell>
        </row>
        <row r="4607">
          <cell r="B4607">
            <v>41985</v>
          </cell>
          <cell r="C4607" t="str">
            <v>TUBO DE REVESTIMENTO, EM ACO, CORPO SCHEDULE 40, PONTEIRA SCHEDULE 80, ROSQUEAVEL E SEGMENTADO PARA PERFURACAO, DIAMETRO 6" (200 MM)</v>
          </cell>
          <cell r="D4607" t="str">
            <v>M</v>
          </cell>
          <cell r="E4607" t="str">
            <v>CR</v>
          </cell>
          <cell r="F4607">
            <v>1661.66</v>
          </cell>
        </row>
        <row r="4608">
          <cell r="B4608">
            <v>41699</v>
          </cell>
          <cell r="C4608" t="str">
            <v>TUBO DE REVESTIMENTO, EM ACO, CORPO SCHEDULE 40, PONTEIRA SCHEDULE 80, ROSQUEAVEL E SEGMENTADO PARA PERFURACAO, DIAMETRO 8" (200 MM)</v>
          </cell>
          <cell r="D4608" t="str">
            <v>M</v>
          </cell>
          <cell r="E4608" t="str">
            <v>CR</v>
          </cell>
          <cell r="F4608">
            <v>2366.11</v>
          </cell>
        </row>
        <row r="4609">
          <cell r="B4609">
            <v>38053</v>
          </cell>
          <cell r="C4609" t="str">
            <v>TUBO DRENO, CORRUGADO, ESPIRALADO, FLEXIVEL, PERFURADO, EM POLIETILENO DE ALTA DENSIDADE (PEAD), DN *160* MM, (6") PARA DRENAGEM - EM BARRA (NORMA DNIT 093/2006 - EM)</v>
          </cell>
          <cell r="D4609" t="str">
            <v>M</v>
          </cell>
          <cell r="E4609" t="str">
            <v>CR</v>
          </cell>
          <cell r="F4609">
            <v>22.76</v>
          </cell>
        </row>
        <row r="4610">
          <cell r="B4610">
            <v>38054</v>
          </cell>
          <cell r="C4610" t="str">
            <v>TUBO DRENO, CORRUGADO, ESPIRALADO, FLEXIVEL, PERFURADO, EM POLIETILENO DE ALTA DENSIDADE (PEAD), DN *200* MM, (8") PARA DRENAGEM - EM BARRA (NORMA DNIT 093/2006 - EM)</v>
          </cell>
          <cell r="D4610" t="str">
            <v>M</v>
          </cell>
          <cell r="E4610" t="str">
            <v>CR</v>
          </cell>
          <cell r="F4610">
            <v>39.119999999999997</v>
          </cell>
        </row>
        <row r="4611">
          <cell r="B4611">
            <v>38052</v>
          </cell>
          <cell r="C4611" t="str">
            <v>TUBO DRENO, CORRUGADO, ESPIRALADO, FLEXIVEL, PERFURADO, EM POLIETILENO DE ALTA DENSIDADE (PEAD), DN 100 MM, (4") PARA DRENAGEM - EM ROLO (NORMA DNIT 093/2006 - E.M)</v>
          </cell>
          <cell r="D4611" t="str">
            <v>M</v>
          </cell>
          <cell r="E4611" t="str">
            <v>C</v>
          </cell>
          <cell r="F4611">
            <v>11.02</v>
          </cell>
        </row>
        <row r="4612">
          <cell r="B4612">
            <v>38051</v>
          </cell>
          <cell r="C4612" t="str">
            <v>TUBO DRENO, CORRUGADO, ESPIRALADO, FLEXIVEL, PERFURADO, EM POLIETILENO DE ALTA DENSIDADE (PEAD), DN 65 MM, (2 1/2") PARA DRENAGEM - EM ROLO (NORMA DNIT 093/2006 - EM)</v>
          </cell>
          <cell r="D4612" t="str">
            <v>M</v>
          </cell>
          <cell r="E4612" t="str">
            <v>CR</v>
          </cell>
          <cell r="F4612">
            <v>6.87</v>
          </cell>
        </row>
        <row r="4613">
          <cell r="B4613">
            <v>38787</v>
          </cell>
          <cell r="C4613" t="str">
            <v>TUBO MONOCAMADA PEX, DN 16 MM, PARA AGUA QUENTE E FRIA</v>
          </cell>
          <cell r="D4613" t="str">
            <v>M</v>
          </cell>
          <cell r="E4613" t="str">
            <v>C</v>
          </cell>
          <cell r="F4613">
            <v>5.0199999999999996</v>
          </cell>
        </row>
        <row r="4614">
          <cell r="B4614">
            <v>38825</v>
          </cell>
          <cell r="C4614" t="str">
            <v>TUBO MONOCAMADA PEX, DN 20 MM, PARA AGUA QUENTE E FRIA</v>
          </cell>
          <cell r="D4614" t="str">
            <v>M</v>
          </cell>
          <cell r="E4614" t="str">
            <v>CR</v>
          </cell>
          <cell r="F4614">
            <v>6.49</v>
          </cell>
        </row>
        <row r="4615">
          <cell r="B4615">
            <v>38826</v>
          </cell>
          <cell r="C4615" t="str">
            <v>TUBO MONOCAMADA PEX, DN 25 MM, PARA AGUA QUENTE E FRIA</v>
          </cell>
          <cell r="D4615" t="str">
            <v>M</v>
          </cell>
          <cell r="E4615" t="str">
            <v>CR</v>
          </cell>
          <cell r="F4615">
            <v>9.23</v>
          </cell>
        </row>
        <row r="4616">
          <cell r="B4616">
            <v>38827</v>
          </cell>
          <cell r="C4616" t="str">
            <v>TUBO MONOCAMADA PEX, DN 32 MM, PARA AGUA QUENTE E FRIA</v>
          </cell>
          <cell r="D4616" t="str">
            <v>M</v>
          </cell>
          <cell r="E4616" t="str">
            <v>CR</v>
          </cell>
          <cell r="F4616">
            <v>15.09</v>
          </cell>
        </row>
        <row r="4617">
          <cell r="B4617">
            <v>38828</v>
          </cell>
          <cell r="C4617" t="str">
            <v>TUBO MULTICAMADA PEX GAS, DN *16* MM</v>
          </cell>
          <cell r="D4617" t="str">
            <v>M</v>
          </cell>
          <cell r="E4617" t="str">
            <v>CR</v>
          </cell>
          <cell r="F4617">
            <v>9.67</v>
          </cell>
        </row>
        <row r="4618">
          <cell r="B4618">
            <v>38829</v>
          </cell>
          <cell r="C4618" t="str">
            <v>TUBO MULTICAMADA PEX GAS, DN *20* MM</v>
          </cell>
          <cell r="D4618" t="str">
            <v>M</v>
          </cell>
          <cell r="E4618" t="str">
            <v>CR</v>
          </cell>
          <cell r="F4618">
            <v>15.83</v>
          </cell>
        </row>
        <row r="4619">
          <cell r="B4619">
            <v>38830</v>
          </cell>
          <cell r="C4619" t="str">
            <v>TUBO MULTICAMADA PEX GAS, DN *26* MM</v>
          </cell>
          <cell r="D4619" t="str">
            <v>M</v>
          </cell>
          <cell r="E4619" t="str">
            <v>CR</v>
          </cell>
          <cell r="F4619">
            <v>21.93</v>
          </cell>
        </row>
        <row r="4620">
          <cell r="B4620">
            <v>38831</v>
          </cell>
          <cell r="C4620" t="str">
            <v>TUBO MULTICAMADA PEX GAS, DN *32* MM</v>
          </cell>
          <cell r="D4620" t="str">
            <v>M</v>
          </cell>
          <cell r="E4620" t="str">
            <v>CR</v>
          </cell>
          <cell r="F4620">
            <v>30.58</v>
          </cell>
        </row>
        <row r="4621">
          <cell r="B4621">
            <v>36274</v>
          </cell>
          <cell r="C4621" t="str">
            <v>TUBO PPR PN 20, DN 20 MM, PARA AGUA QUENTE PREDIAL</v>
          </cell>
          <cell r="D4621" t="str">
            <v>M</v>
          </cell>
          <cell r="E4621" t="str">
            <v>C</v>
          </cell>
          <cell r="F4621">
            <v>10.9</v>
          </cell>
        </row>
        <row r="4622">
          <cell r="B4622">
            <v>36278</v>
          </cell>
          <cell r="C4622" t="str">
            <v>TUBO PPR PN 20, DN 25 MM, PARA AGUA QUENTE PREDIAL</v>
          </cell>
          <cell r="D4622" t="str">
            <v>M</v>
          </cell>
          <cell r="E4622" t="str">
            <v>CR</v>
          </cell>
          <cell r="F4622">
            <v>14.78</v>
          </cell>
        </row>
        <row r="4623">
          <cell r="B4623">
            <v>38977</v>
          </cell>
          <cell r="C4623" t="str">
            <v>TUBO PPR, CLASSE PN 12, DN 110 MM</v>
          </cell>
          <cell r="D4623" t="str">
            <v>M</v>
          </cell>
          <cell r="E4623" t="str">
            <v>CR</v>
          </cell>
          <cell r="F4623">
            <v>144.6</v>
          </cell>
        </row>
        <row r="4624">
          <cell r="B4624">
            <v>38971</v>
          </cell>
          <cell r="C4624" t="str">
            <v>TUBO PPR, CLASSE PN 12, DN 32 MM</v>
          </cell>
          <cell r="D4624" t="str">
            <v>M</v>
          </cell>
          <cell r="E4624" t="str">
            <v>CR</v>
          </cell>
          <cell r="F4624">
            <v>12.13</v>
          </cell>
        </row>
        <row r="4625">
          <cell r="B4625">
            <v>38972</v>
          </cell>
          <cell r="C4625" t="str">
            <v>TUBO PPR, CLASSE PN 12, DN 40 MM</v>
          </cell>
          <cell r="D4625" t="str">
            <v>M</v>
          </cell>
          <cell r="E4625" t="str">
            <v>CR</v>
          </cell>
          <cell r="F4625">
            <v>16.36</v>
          </cell>
        </row>
        <row r="4626">
          <cell r="B4626">
            <v>38973</v>
          </cell>
          <cell r="C4626" t="str">
            <v>TUBO PPR, CLASSE PN 12, DN 50 MM</v>
          </cell>
          <cell r="D4626" t="str">
            <v>M</v>
          </cell>
          <cell r="E4626" t="str">
            <v>CR</v>
          </cell>
          <cell r="F4626">
            <v>27.04</v>
          </cell>
        </row>
        <row r="4627">
          <cell r="B4627">
            <v>38974</v>
          </cell>
          <cell r="C4627" t="str">
            <v>TUBO PPR, CLASSE PN 12, DN 63 MM</v>
          </cell>
          <cell r="D4627" t="str">
            <v>M</v>
          </cell>
          <cell r="E4627" t="str">
            <v>CR</v>
          </cell>
          <cell r="F4627">
            <v>43.9</v>
          </cell>
        </row>
        <row r="4628">
          <cell r="B4628">
            <v>38975</v>
          </cell>
          <cell r="C4628" t="str">
            <v>TUBO PPR, CLASSE PN 12, DN 75 MM</v>
          </cell>
          <cell r="D4628" t="str">
            <v>M</v>
          </cell>
          <cell r="E4628" t="str">
            <v>CR</v>
          </cell>
          <cell r="F4628">
            <v>56.3</v>
          </cell>
        </row>
        <row r="4629">
          <cell r="B4629">
            <v>38976</v>
          </cell>
          <cell r="C4629" t="str">
            <v>TUBO PPR, CLASSE PN 12, DN 90 MM</v>
          </cell>
          <cell r="D4629" t="str">
            <v>M</v>
          </cell>
          <cell r="E4629" t="str">
            <v>CR</v>
          </cell>
          <cell r="F4629">
            <v>96.78</v>
          </cell>
        </row>
        <row r="4630">
          <cell r="B4630">
            <v>44176</v>
          </cell>
          <cell r="C4630" t="str">
            <v>TUBO PPR, CLASSE PN 20, SOLDAVEL, DN 32 MM PARA AGUA FRIA OU QUENTE PREDIAL</v>
          </cell>
          <cell r="D4630" t="str">
            <v>M</v>
          </cell>
          <cell r="E4630" t="str">
            <v>CR</v>
          </cell>
          <cell r="F4630">
            <v>22.24</v>
          </cell>
        </row>
        <row r="4631">
          <cell r="B4631">
            <v>38986</v>
          </cell>
          <cell r="C4631" t="str">
            <v>TUBO PPR, CLASSE PN 25, DN 110 MM, PARA AGUA QUENTE E FRIA PREDIAL</v>
          </cell>
          <cell r="D4631" t="str">
            <v>M</v>
          </cell>
          <cell r="E4631" t="str">
            <v>CR</v>
          </cell>
          <cell r="F4631">
            <v>292.14999999999998</v>
          </cell>
        </row>
        <row r="4632">
          <cell r="B4632">
            <v>38978</v>
          </cell>
          <cell r="C4632" t="str">
            <v>TUBO PPR, CLASSE PN 25, DN 20 MM, PARA AGUA QUENTE E FRIA PREDIAL</v>
          </cell>
          <cell r="D4632" t="str">
            <v>M</v>
          </cell>
          <cell r="E4632" t="str">
            <v>CR</v>
          </cell>
          <cell r="F4632">
            <v>11.98</v>
          </cell>
        </row>
        <row r="4633">
          <cell r="B4633">
            <v>38979</v>
          </cell>
          <cell r="C4633" t="str">
            <v>TUBO PPR, CLASSE PN 25, DN 25 MM, PARA AGUA QUENTE E FRIA PREDIAL</v>
          </cell>
          <cell r="D4633" t="str">
            <v>M</v>
          </cell>
          <cell r="E4633" t="str">
            <v>CR</v>
          </cell>
          <cell r="F4633">
            <v>16.57</v>
          </cell>
        </row>
        <row r="4634">
          <cell r="B4634">
            <v>38980</v>
          </cell>
          <cell r="C4634" t="str">
            <v>TUBO PPR, CLASSE PN 25, DN 32 MM, PARA AGUA QUENTE E FRIA PREDIAL</v>
          </cell>
          <cell r="D4634" t="str">
            <v>M</v>
          </cell>
          <cell r="E4634" t="str">
            <v>CR</v>
          </cell>
          <cell r="F4634">
            <v>22.17</v>
          </cell>
        </row>
        <row r="4635">
          <cell r="B4635">
            <v>38981</v>
          </cell>
          <cell r="C4635" t="str">
            <v>TUBO PPR, CLASSE PN 25, DN 40 MM, PARA AGUA QUENTE E FRIA PREDIAL</v>
          </cell>
          <cell r="D4635" t="str">
            <v>M</v>
          </cell>
          <cell r="E4635" t="str">
            <v>CR</v>
          </cell>
          <cell r="F4635">
            <v>32</v>
          </cell>
        </row>
        <row r="4636">
          <cell r="B4636">
            <v>38982</v>
          </cell>
          <cell r="C4636" t="str">
            <v>TUBO PPR, CLASSE PN 25, DN 50 MM, PARA AGUA QUENTE E FRIA PREDIAL</v>
          </cell>
          <cell r="D4636" t="str">
            <v>M</v>
          </cell>
          <cell r="E4636" t="str">
            <v>CR</v>
          </cell>
          <cell r="F4636">
            <v>50.56</v>
          </cell>
        </row>
        <row r="4637">
          <cell r="B4637">
            <v>38983</v>
          </cell>
          <cell r="C4637" t="str">
            <v>TUBO PPR, CLASSE PN 25, DN 63 MM, PARA AGUA QUENTE E FRIA PREDIAL</v>
          </cell>
          <cell r="D4637" t="str">
            <v>M</v>
          </cell>
          <cell r="E4637" t="str">
            <v>CR</v>
          </cell>
          <cell r="F4637">
            <v>88.96</v>
          </cell>
        </row>
        <row r="4638">
          <cell r="B4638">
            <v>38984</v>
          </cell>
          <cell r="C4638" t="str">
            <v>TUBO PPR, CLASSE PN 25, DN 75 MM, PARA AGUA QUENTE E FRIA PREDIAL</v>
          </cell>
          <cell r="D4638" t="str">
            <v>M</v>
          </cell>
          <cell r="E4638" t="str">
            <v>CR</v>
          </cell>
          <cell r="F4638">
            <v>122.29</v>
          </cell>
        </row>
        <row r="4639">
          <cell r="B4639">
            <v>38985</v>
          </cell>
          <cell r="C4639" t="str">
            <v>TUBO PPR, CLASSE PN 25, DN 90 MM, PARA AGUA QUENTE E FRIA PREDIAL</v>
          </cell>
          <cell r="D4639" t="str">
            <v>M</v>
          </cell>
          <cell r="E4639" t="str">
            <v>CR</v>
          </cell>
          <cell r="F4639">
            <v>210.24</v>
          </cell>
        </row>
        <row r="4640">
          <cell r="B4640">
            <v>38032</v>
          </cell>
          <cell r="C4640" t="str">
            <v>TUBO PVC CORRUGADO, PAREDE DUPLA, JE, DN 150 MM/ DE 160 MM, REDE COLETORA ESGOTO</v>
          </cell>
          <cell r="D4640" t="str">
            <v>M</v>
          </cell>
          <cell r="E4640" t="str">
            <v>CR</v>
          </cell>
          <cell r="F4640">
            <v>70.73</v>
          </cell>
        </row>
        <row r="4641">
          <cell r="B4641">
            <v>38033</v>
          </cell>
          <cell r="C4641" t="str">
            <v>TUBO PVC CORRUGADO, PAREDE DUPLA, JE, DN 200 MM/ DE 200 MM, REDE COLETORA ESGOTO</v>
          </cell>
          <cell r="D4641" t="str">
            <v>M</v>
          </cell>
          <cell r="E4641" t="str">
            <v>CR</v>
          </cell>
          <cell r="F4641">
            <v>120.23</v>
          </cell>
        </row>
        <row r="4642">
          <cell r="B4642">
            <v>38034</v>
          </cell>
          <cell r="C4642" t="str">
            <v>TUBO PVC CORRUGADO, PAREDE DUPLA, JE, DN 250 MM/ DE 250 MM, REDE COLETORA ESGOTO</v>
          </cell>
          <cell r="D4642" t="str">
            <v>M</v>
          </cell>
          <cell r="E4642" t="str">
            <v>CR</v>
          </cell>
          <cell r="F4642">
            <v>188.34</v>
          </cell>
        </row>
        <row r="4643">
          <cell r="B4643">
            <v>38035</v>
          </cell>
          <cell r="C4643" t="str">
            <v>TUBO PVC CORRUGADO, PAREDE DUPLA, JE, DN 300 MM/ DE 315 MM, REDE COLETORA ESGOTO</v>
          </cell>
          <cell r="D4643" t="str">
            <v>M</v>
          </cell>
          <cell r="E4643" t="str">
            <v>CR</v>
          </cell>
          <cell r="F4643">
            <v>277.08</v>
          </cell>
        </row>
        <row r="4644">
          <cell r="B4644">
            <v>38036</v>
          </cell>
          <cell r="C4644" t="str">
            <v>TUBO PVC CORRUGADO, PAREDE DUPLA, JE, DN 350 MM/ DE 355 MM, REDE COLETORA ESGOTO</v>
          </cell>
          <cell r="D4644" t="str">
            <v>M</v>
          </cell>
          <cell r="E4644" t="str">
            <v>CR</v>
          </cell>
          <cell r="F4644">
            <v>373.26</v>
          </cell>
        </row>
        <row r="4645">
          <cell r="B4645">
            <v>38037</v>
          </cell>
          <cell r="C4645" t="str">
            <v>TUBO PVC CORRUGADO, PAREDE DUPLA, JE, DN 400 MM/ DE 400 MM, REDE COLETORA ESGOTO</v>
          </cell>
          <cell r="D4645" t="str">
            <v>M</v>
          </cell>
          <cell r="E4645" t="str">
            <v>CR</v>
          </cell>
          <cell r="F4645">
            <v>493.03</v>
          </cell>
        </row>
        <row r="4646">
          <cell r="B4646">
            <v>9850</v>
          </cell>
          <cell r="C4646" t="str">
            <v>TUBO PVC DE REVESTIMENTO GEOMECANICO NERVURADO REFORCADO, DN = 150 MM, COMPRIMENTO = 2 M</v>
          </cell>
          <cell r="D4646" t="str">
            <v>M</v>
          </cell>
          <cell r="E4646" t="str">
            <v>C</v>
          </cell>
          <cell r="F4646">
            <v>147.75</v>
          </cell>
        </row>
        <row r="4647">
          <cell r="B4647">
            <v>9853</v>
          </cell>
          <cell r="C4647" t="str">
            <v>TUBO PVC DE REVESTIMENTO GEOMECANICO NERVURADO REFORCADO, DN = 200 MM, COMPRIMENTO = 2 M</v>
          </cell>
          <cell r="D4647" t="str">
            <v>M</v>
          </cell>
          <cell r="E4647" t="str">
            <v>CR</v>
          </cell>
          <cell r="F4647">
            <v>262.74</v>
          </cell>
        </row>
        <row r="4648">
          <cell r="B4648">
            <v>9854</v>
          </cell>
          <cell r="C4648" t="str">
            <v>TUBO PVC DE REVESTIMENTO GEOMECANICO NERVURADO STANDARD, DN = 154 MM, COMPRIMENTO = 2 M</v>
          </cell>
          <cell r="D4648" t="str">
            <v>M</v>
          </cell>
          <cell r="E4648" t="str">
            <v>CR</v>
          </cell>
          <cell r="F4648">
            <v>115.12</v>
          </cell>
        </row>
        <row r="4649">
          <cell r="B4649">
            <v>9851</v>
          </cell>
          <cell r="C4649" t="str">
            <v>TUBO PVC DE REVESTIMENTO GEOMECANICO NERVURADO STANDARD, DN = 206 MM, COMPRIMENTO = 2 M</v>
          </cell>
          <cell r="D4649" t="str">
            <v>M</v>
          </cell>
          <cell r="E4649" t="str">
            <v>CR</v>
          </cell>
          <cell r="F4649">
            <v>199.62</v>
          </cell>
        </row>
        <row r="4650">
          <cell r="B4650">
            <v>9825</v>
          </cell>
          <cell r="C4650" t="str">
            <v>TUBO PVC DEFOFO, JEI, 1 MPA, DN 100 MM, PARA REDE DE AGUA (NBR 7665)</v>
          </cell>
          <cell r="D4650" t="str">
            <v>M</v>
          </cell>
          <cell r="E4650" t="str">
            <v>CR</v>
          </cell>
          <cell r="F4650">
            <v>57.74</v>
          </cell>
        </row>
        <row r="4651">
          <cell r="B4651">
            <v>9828</v>
          </cell>
          <cell r="C4651" t="str">
            <v>TUBO PVC DEFOFO, JEI, 1 MPA, DN 150 MM, PARA REDE DE AGUA (NBR 7665)</v>
          </cell>
          <cell r="D4651" t="str">
            <v>M</v>
          </cell>
          <cell r="E4651" t="str">
            <v>CR</v>
          </cell>
          <cell r="F4651">
            <v>155.38</v>
          </cell>
        </row>
        <row r="4652">
          <cell r="B4652">
            <v>9829</v>
          </cell>
          <cell r="C4652" t="str">
            <v>TUBO PVC DEFOFO, JEI, 1 MPA, DN 200 MM, PARA REDE DE AGUA (NBR 7665)</v>
          </cell>
          <cell r="D4652" t="str">
            <v>M</v>
          </cell>
          <cell r="E4652" t="str">
            <v>CR</v>
          </cell>
          <cell r="F4652">
            <v>263.32</v>
          </cell>
        </row>
        <row r="4653">
          <cell r="B4653">
            <v>9826</v>
          </cell>
          <cell r="C4653" t="str">
            <v>TUBO PVC DEFOFO, JEI, 1 MPA, DN 250 MM, PARA REDE DE AGUA (NBR 7665)</v>
          </cell>
          <cell r="D4653" t="str">
            <v>M</v>
          </cell>
          <cell r="E4653" t="str">
            <v>CR</v>
          </cell>
          <cell r="F4653">
            <v>400.87</v>
          </cell>
        </row>
        <row r="4654">
          <cell r="B4654">
            <v>9827</v>
          </cell>
          <cell r="C4654" t="str">
            <v>TUBO PVC DEFOFO, JEI, 1 MPA, DN 300 MM, PARA REDE DE AGUA (NBR 7665)</v>
          </cell>
          <cell r="D4654" t="str">
            <v>M</v>
          </cell>
          <cell r="E4654" t="str">
            <v>CR</v>
          </cell>
          <cell r="F4654">
            <v>569.24</v>
          </cell>
        </row>
        <row r="4655">
          <cell r="B4655">
            <v>36374</v>
          </cell>
          <cell r="C4655" t="str">
            <v>TUBO PVC PBA JEI, CLASSE 12, DN 100 MM, PARA REDE DE AGUA (NBR 5647)</v>
          </cell>
          <cell r="D4655" t="str">
            <v>M</v>
          </cell>
          <cell r="E4655" t="str">
            <v>CR</v>
          </cell>
          <cell r="F4655">
            <v>69.2</v>
          </cell>
        </row>
        <row r="4656">
          <cell r="B4656">
            <v>36084</v>
          </cell>
          <cell r="C4656" t="str">
            <v>TUBO PVC PBA JEI, CLASSE 12, DN 50 MM, PARA REDE DE AGUA (NBR 5647)</v>
          </cell>
          <cell r="D4656" t="str">
            <v>M</v>
          </cell>
          <cell r="E4656" t="str">
            <v>C</v>
          </cell>
          <cell r="F4656">
            <v>20.5</v>
          </cell>
        </row>
        <row r="4657">
          <cell r="B4657">
            <v>36373</v>
          </cell>
          <cell r="C4657" t="str">
            <v>TUBO PVC PBA JEI, CLASSE 12, DN 75 MM, PARA REDE DE AGUA (NBR 5647)</v>
          </cell>
          <cell r="D4657" t="str">
            <v>M</v>
          </cell>
          <cell r="E4657" t="str">
            <v>CR</v>
          </cell>
          <cell r="F4657">
            <v>42.57</v>
          </cell>
        </row>
        <row r="4658">
          <cell r="B4658">
            <v>36377</v>
          </cell>
          <cell r="C4658" t="str">
            <v>TUBO PVC PBA JEI, CLASSE 15, DN 100 MM, PARA REDE DE AGUA (NBR 5647)</v>
          </cell>
          <cell r="D4658" t="str">
            <v>M</v>
          </cell>
          <cell r="E4658" t="str">
            <v>CR</v>
          </cell>
          <cell r="F4658">
            <v>83.01</v>
          </cell>
        </row>
        <row r="4659">
          <cell r="B4659">
            <v>36375</v>
          </cell>
          <cell r="C4659" t="str">
            <v>TUBO PVC PBA JEI, CLASSE 15, DN 50 MM, PARA REDE DE AGUA (NBR 5647)</v>
          </cell>
          <cell r="D4659" t="str">
            <v>M</v>
          </cell>
          <cell r="E4659" t="str">
            <v>CR</v>
          </cell>
          <cell r="F4659">
            <v>25.3</v>
          </cell>
        </row>
        <row r="4660">
          <cell r="B4660">
            <v>36376</v>
          </cell>
          <cell r="C4660" t="str">
            <v>TUBO PVC PBA JEI, CLASSE 15, DN 75 MM, PARA REDE DE AGUA (NBR 5647)</v>
          </cell>
          <cell r="D4660" t="str">
            <v>M</v>
          </cell>
          <cell r="E4660" t="str">
            <v>CR</v>
          </cell>
          <cell r="F4660">
            <v>49.68</v>
          </cell>
        </row>
        <row r="4661">
          <cell r="B4661">
            <v>36380</v>
          </cell>
          <cell r="C4661" t="str">
            <v>TUBO PVC PBA JEI, CLASSE 20, DN 100 MM, PARA REDE DE AGUA (NBR 5647)</v>
          </cell>
          <cell r="D4661" t="str">
            <v>M</v>
          </cell>
          <cell r="E4661" t="str">
            <v>CR</v>
          </cell>
          <cell r="F4661">
            <v>103.79</v>
          </cell>
        </row>
        <row r="4662">
          <cell r="B4662">
            <v>36378</v>
          </cell>
          <cell r="C4662" t="str">
            <v>TUBO PVC PBA JEI, CLASSE 20, DN 50 MM, PARA REDE DE AGUA (NBR 5647)</v>
          </cell>
          <cell r="D4662" t="str">
            <v>M</v>
          </cell>
          <cell r="E4662" t="str">
            <v>CR</v>
          </cell>
          <cell r="F4662">
            <v>31.1</v>
          </cell>
        </row>
        <row r="4663">
          <cell r="B4663">
            <v>36379</v>
          </cell>
          <cell r="C4663" t="str">
            <v>TUBO PVC PBA JEI, CLASSE 20, DN 75 MM, PARA REDE DE AGUA (NBR 5647)</v>
          </cell>
          <cell r="D4663" t="str">
            <v>M</v>
          </cell>
          <cell r="E4663" t="str">
            <v>CR</v>
          </cell>
          <cell r="F4663">
            <v>62.69</v>
          </cell>
        </row>
        <row r="4664">
          <cell r="B4664">
            <v>9859</v>
          </cell>
          <cell r="C4664" t="str">
            <v>TUBO PVC ROSCAVEL, 3/4", AGUA FRIA PREDIAL</v>
          </cell>
          <cell r="D4664" t="str">
            <v>M</v>
          </cell>
          <cell r="E4664" t="str">
            <v>CR</v>
          </cell>
          <cell r="F4664">
            <v>11.97</v>
          </cell>
        </row>
        <row r="4665">
          <cell r="B4665">
            <v>9836</v>
          </cell>
          <cell r="C4665" t="str">
            <v>TUBO PVC SERIE NORMAL, DN 100 MM, PARA ESGOTO PREDIAL (NBR 5688)</v>
          </cell>
          <cell r="D4665" t="str">
            <v>M</v>
          </cell>
          <cell r="E4665" t="str">
            <v>C</v>
          </cell>
          <cell r="F4665">
            <v>17.899999999999999</v>
          </cell>
        </row>
        <row r="4666">
          <cell r="B4666">
            <v>20065</v>
          </cell>
          <cell r="C4666" t="str">
            <v>TUBO PVC SERIE NORMAL, DN 150 MM, PARA ESGOTO PREDIAL (NBR 5688)</v>
          </cell>
          <cell r="D4666" t="str">
            <v>M</v>
          </cell>
          <cell r="E4666" t="str">
            <v>CR</v>
          </cell>
          <cell r="F4666">
            <v>46.79</v>
          </cell>
        </row>
        <row r="4667">
          <cell r="B4667">
            <v>9835</v>
          </cell>
          <cell r="C4667" t="str">
            <v>TUBO PVC SERIE NORMAL, DN 40 MM, PARA ESGOTO PREDIAL (NBR 5688)</v>
          </cell>
          <cell r="D4667" t="str">
            <v>M</v>
          </cell>
          <cell r="E4667" t="str">
            <v>CR</v>
          </cell>
          <cell r="F4667">
            <v>7.82</v>
          </cell>
        </row>
        <row r="4668">
          <cell r="B4668">
            <v>9838</v>
          </cell>
          <cell r="C4668" t="str">
            <v>TUBO PVC SERIE NORMAL, DN 50 MM, PARA ESGOTO PREDIAL (NBR 5688)</v>
          </cell>
          <cell r="D4668" t="str">
            <v>M</v>
          </cell>
          <cell r="E4668" t="str">
            <v>CR</v>
          </cell>
          <cell r="F4668">
            <v>12.91</v>
          </cell>
        </row>
        <row r="4669">
          <cell r="B4669">
            <v>9837</v>
          </cell>
          <cell r="C4669" t="str">
            <v>TUBO PVC SERIE NORMAL, DN 75 MM, PARA ESGOTO PREDIAL (NBR 5688)</v>
          </cell>
          <cell r="D4669" t="str">
            <v>M</v>
          </cell>
          <cell r="E4669" t="str">
            <v>CR</v>
          </cell>
          <cell r="F4669">
            <v>16.95</v>
          </cell>
        </row>
        <row r="4670">
          <cell r="B4670">
            <v>44315</v>
          </cell>
          <cell r="C4670" t="str">
            <v>TUBO PVC, RIGIDO, CORRUGADO, PERFURADO DN 100 MM, PARA DRENAGEM, SISTEMA IRRIGACAO</v>
          </cell>
          <cell r="D4670" t="str">
            <v>M</v>
          </cell>
          <cell r="E4670" t="str">
            <v>CR</v>
          </cell>
          <cell r="F4670">
            <v>70.08</v>
          </cell>
        </row>
        <row r="4671">
          <cell r="B4671">
            <v>9862</v>
          </cell>
          <cell r="C4671" t="str">
            <v>TUBO PVC, ROSCAVEL, 1 1/2", AGUA FRIA PREDIAL</v>
          </cell>
          <cell r="D4671" t="str">
            <v>M</v>
          </cell>
          <cell r="E4671" t="str">
            <v>CR</v>
          </cell>
          <cell r="F4671">
            <v>36.9</v>
          </cell>
        </row>
        <row r="4672">
          <cell r="B4672">
            <v>9861</v>
          </cell>
          <cell r="C4672" t="str">
            <v>TUBO PVC, ROSCAVEL, 1 1/4", AGUA FRIA PREDIAL</v>
          </cell>
          <cell r="D4672" t="str">
            <v>M</v>
          </cell>
          <cell r="E4672" t="str">
            <v>CR</v>
          </cell>
          <cell r="F4672">
            <v>28.98</v>
          </cell>
        </row>
        <row r="4673">
          <cell r="B4673">
            <v>9866</v>
          </cell>
          <cell r="C4673" t="str">
            <v>TUBO PVC, ROSCAVEL, 1", AGUA FRIA PREDIAL</v>
          </cell>
          <cell r="D4673" t="str">
            <v>M</v>
          </cell>
          <cell r="E4673" t="str">
            <v>CR</v>
          </cell>
          <cell r="F4673">
            <v>25.01</v>
          </cell>
        </row>
        <row r="4674">
          <cell r="B4674">
            <v>9856</v>
          </cell>
          <cell r="C4674" t="str">
            <v>TUBO PVC, ROSCAVEL, 1/2", AGUA FRIA PREDIAL</v>
          </cell>
          <cell r="D4674" t="str">
            <v>M</v>
          </cell>
          <cell r="E4674" t="str">
            <v>CR</v>
          </cell>
          <cell r="F4674">
            <v>9.34</v>
          </cell>
        </row>
        <row r="4675">
          <cell r="B4675">
            <v>9863</v>
          </cell>
          <cell r="C4675" t="str">
            <v>TUBO PVC, ROSCAVEL, 2 1/2", AGUA FRIA PREDIAL</v>
          </cell>
          <cell r="D4675" t="str">
            <v>M</v>
          </cell>
          <cell r="E4675" t="str">
            <v>CR</v>
          </cell>
          <cell r="F4675">
            <v>72.33</v>
          </cell>
        </row>
        <row r="4676">
          <cell r="B4676">
            <v>9860</v>
          </cell>
          <cell r="C4676" t="str">
            <v>TUBO PVC, ROSCAVEL, 2", PARA AGUA FRIA PREDIAL</v>
          </cell>
          <cell r="D4676" t="str">
            <v>M</v>
          </cell>
          <cell r="E4676" t="str">
            <v>CR</v>
          </cell>
          <cell r="F4676">
            <v>52.8</v>
          </cell>
        </row>
        <row r="4677">
          <cell r="B4677">
            <v>9841</v>
          </cell>
          <cell r="C4677" t="str">
            <v>TUBO PVC, SERIE R, DN 100 MM, PARA ESGOTO OU AGUAS PLUVIAIS PREDIAL (NBR 5688)</v>
          </cell>
          <cell r="D4677" t="str">
            <v>M</v>
          </cell>
          <cell r="E4677" t="str">
            <v>CR</v>
          </cell>
          <cell r="F4677">
            <v>33.71</v>
          </cell>
        </row>
        <row r="4678">
          <cell r="B4678">
            <v>9840</v>
          </cell>
          <cell r="C4678" t="str">
            <v>TUBO PVC, SERIE R, DN 150 MM, PARA ESGOTO OU AGUAS PLUVIAIS PREDIAL (NBR 5688)</v>
          </cell>
          <cell r="D4678" t="str">
            <v>M</v>
          </cell>
          <cell r="E4678" t="str">
            <v>CR</v>
          </cell>
          <cell r="F4678">
            <v>71.209999999999994</v>
          </cell>
        </row>
        <row r="4679">
          <cell r="B4679">
            <v>20067</v>
          </cell>
          <cell r="C4679" t="str">
            <v>TUBO PVC, SERIE R, DN 40 MM, PARA ESGOTO OU AGUAS PLUVIAIS PREDIAL (NBR 5688)</v>
          </cell>
          <cell r="D4679" t="str">
            <v>M</v>
          </cell>
          <cell r="E4679" t="str">
            <v>CR</v>
          </cell>
          <cell r="F4679">
            <v>10.93</v>
          </cell>
        </row>
        <row r="4680">
          <cell r="B4680">
            <v>20068</v>
          </cell>
          <cell r="C4680" t="str">
            <v>TUBO PVC, SERIE R, DN 50 MM, PARA ESGOTO OU AGUAS PLUVIAIS PREDIAL (NBR 5688)</v>
          </cell>
          <cell r="D4680" t="str">
            <v>M</v>
          </cell>
          <cell r="E4680" t="str">
            <v>CR</v>
          </cell>
          <cell r="F4680">
            <v>15.4</v>
          </cell>
        </row>
        <row r="4681">
          <cell r="B4681">
            <v>9839</v>
          </cell>
          <cell r="C4681" t="str">
            <v>TUBO PVC, SERIE R, DN 75 MM, PARA ESGOTO OU AGUAS PLUVIAIS PREDIAL (NBR 5688)</v>
          </cell>
          <cell r="D4681" t="str">
            <v>M</v>
          </cell>
          <cell r="E4681" t="str">
            <v>CR</v>
          </cell>
          <cell r="F4681">
            <v>27.92</v>
          </cell>
        </row>
        <row r="4682">
          <cell r="B4682">
            <v>9870</v>
          </cell>
          <cell r="C4682" t="str">
            <v>TUBO PVC, SOLDAVEL, DE 110 MM, AGUA FRIA (NBR-5648)</v>
          </cell>
          <cell r="D4682" t="str">
            <v>M</v>
          </cell>
          <cell r="E4682" t="str">
            <v>CR</v>
          </cell>
          <cell r="F4682">
            <v>107.88</v>
          </cell>
        </row>
        <row r="4683">
          <cell r="B4683">
            <v>9867</v>
          </cell>
          <cell r="C4683" t="str">
            <v>TUBO PVC, SOLDAVEL, DE 20 MM, AGUA FRIA (NBR-5648)</v>
          </cell>
          <cell r="D4683" t="str">
            <v>M</v>
          </cell>
          <cell r="E4683" t="str">
            <v>CR</v>
          </cell>
          <cell r="F4683">
            <v>4.33</v>
          </cell>
        </row>
        <row r="4684">
          <cell r="B4684">
            <v>9868</v>
          </cell>
          <cell r="C4684" t="str">
            <v>TUBO PVC, SOLDAVEL, DE 25 MM, AGUA FRIA (NBR-5648)</v>
          </cell>
          <cell r="D4684" t="str">
            <v>M</v>
          </cell>
          <cell r="E4684" t="str">
            <v>C</v>
          </cell>
          <cell r="F4684">
            <v>4.8899999999999997</v>
          </cell>
        </row>
        <row r="4685">
          <cell r="B4685">
            <v>9869</v>
          </cell>
          <cell r="C4685" t="str">
            <v>TUBO PVC, SOLDAVEL, DE 32 MM, AGUA FRIA (NBR-5648)</v>
          </cell>
          <cell r="D4685" t="str">
            <v>M</v>
          </cell>
          <cell r="E4685" t="str">
            <v>CR</v>
          </cell>
          <cell r="F4685">
            <v>10.55</v>
          </cell>
        </row>
        <row r="4686">
          <cell r="B4686">
            <v>9874</v>
          </cell>
          <cell r="C4686" t="str">
            <v>TUBO PVC, SOLDAVEL, DE 40 MM, AGUA FRIA (NBR-5648)</v>
          </cell>
          <cell r="D4686" t="str">
            <v>M</v>
          </cell>
          <cell r="E4686" t="str">
            <v>CR</v>
          </cell>
          <cell r="F4686">
            <v>16.57</v>
          </cell>
        </row>
        <row r="4687">
          <cell r="B4687">
            <v>9875</v>
          </cell>
          <cell r="C4687" t="str">
            <v>TUBO PVC, SOLDAVEL, DE 50 MM, AGUA FRIA (NBR-5648)</v>
          </cell>
          <cell r="D4687" t="str">
            <v>M</v>
          </cell>
          <cell r="E4687" t="str">
            <v>CR</v>
          </cell>
          <cell r="F4687">
            <v>18.18</v>
          </cell>
        </row>
        <row r="4688">
          <cell r="B4688">
            <v>9873</v>
          </cell>
          <cell r="C4688" t="str">
            <v>TUBO PVC, SOLDAVEL, DE 60 MM, AGUA FRIA (NBR-5648)</v>
          </cell>
          <cell r="D4688" t="str">
            <v>M</v>
          </cell>
          <cell r="E4688" t="str">
            <v>CR</v>
          </cell>
          <cell r="F4688">
            <v>29.9</v>
          </cell>
        </row>
        <row r="4689">
          <cell r="B4689">
            <v>9871</v>
          </cell>
          <cell r="C4689" t="str">
            <v>TUBO PVC, SOLDAVEL, DE 75 MM, AGUA FRIA (NBR-5648)</v>
          </cell>
          <cell r="D4689" t="str">
            <v>M</v>
          </cell>
          <cell r="E4689" t="str">
            <v>CR</v>
          </cell>
          <cell r="F4689">
            <v>49.55</v>
          </cell>
        </row>
        <row r="4690">
          <cell r="B4690">
            <v>9872</v>
          </cell>
          <cell r="C4690" t="str">
            <v>TUBO PVC, SOLDAVEL, DE 85 MM, AGUA FRIA (NBR-5648)</v>
          </cell>
          <cell r="D4690" t="str">
            <v>M</v>
          </cell>
          <cell r="E4690" t="str">
            <v>CR</v>
          </cell>
          <cell r="F4690">
            <v>68.94</v>
          </cell>
        </row>
        <row r="4691">
          <cell r="B4691">
            <v>12425</v>
          </cell>
          <cell r="C4691" t="str">
            <v>UNIAO COM ASSENTO CONICO DE BRONZE, DIAMETRO 1"</v>
          </cell>
          <cell r="D4691" t="str">
            <v>UN</v>
          </cell>
          <cell r="E4691" t="str">
            <v>CR</v>
          </cell>
          <cell r="F4691">
            <v>65.040000000000006</v>
          </cell>
        </row>
        <row r="4692">
          <cell r="B4692">
            <v>12426</v>
          </cell>
          <cell r="C4692" t="str">
            <v>UNIAO COM ASSENTO CONICO DE BRONZE, DIAMETRO 1/2"</v>
          </cell>
          <cell r="D4692" t="str">
            <v>UN</v>
          </cell>
          <cell r="E4692" t="str">
            <v>CR</v>
          </cell>
          <cell r="F4692">
            <v>47.34</v>
          </cell>
        </row>
        <row r="4693">
          <cell r="B4693">
            <v>12427</v>
          </cell>
          <cell r="C4693" t="str">
            <v>UNIAO COM ASSENTO CONICO DE BRONZE, DIAMETRO 2 1/2"</v>
          </cell>
          <cell r="D4693" t="str">
            <v>UN</v>
          </cell>
          <cell r="E4693" t="str">
            <v>CR</v>
          </cell>
          <cell r="F4693">
            <v>269.95999999999998</v>
          </cell>
        </row>
        <row r="4694">
          <cell r="B4694">
            <v>12428</v>
          </cell>
          <cell r="C4694" t="str">
            <v>UNIAO COM ASSENTO CONICO DE BRONZE, DIAMETRO 2"</v>
          </cell>
          <cell r="D4694" t="str">
            <v>UN</v>
          </cell>
          <cell r="E4694" t="str">
            <v>CR</v>
          </cell>
          <cell r="F4694">
            <v>173.27</v>
          </cell>
        </row>
        <row r="4695">
          <cell r="B4695">
            <v>12429</v>
          </cell>
          <cell r="C4695" t="str">
            <v>UNIAO COM ASSENTO CONICO DE BRONZE, DIAMETRO 3"</v>
          </cell>
          <cell r="D4695" t="str">
            <v>UN</v>
          </cell>
          <cell r="E4695" t="str">
            <v>CR</v>
          </cell>
          <cell r="F4695">
            <v>436.53</v>
          </cell>
        </row>
        <row r="4696">
          <cell r="B4696">
            <v>12430</v>
          </cell>
          <cell r="C4696" t="str">
            <v>UNIAO COM ASSENTO CONICO DE BRONZE, DIAMETRO 3/4"</v>
          </cell>
          <cell r="D4696" t="str">
            <v>UN</v>
          </cell>
          <cell r="E4696" t="str">
            <v>CR</v>
          </cell>
          <cell r="F4696">
            <v>58.04</v>
          </cell>
        </row>
        <row r="4697">
          <cell r="B4697">
            <v>12431</v>
          </cell>
          <cell r="C4697" t="str">
            <v>UNIAO COM ASSENTO CONICO DE BRONZE, DIAMETRO 4"</v>
          </cell>
          <cell r="D4697" t="str">
            <v>UN</v>
          </cell>
          <cell r="E4697" t="str">
            <v>CR</v>
          </cell>
          <cell r="F4697">
            <v>742.89</v>
          </cell>
        </row>
        <row r="4698">
          <cell r="B4698">
            <v>12432</v>
          </cell>
          <cell r="C4698" t="str">
            <v>UNIAO COM ASSENTO CONICO DE FERRO LONGO (MACHO-FEMEA), DIAMETRO 1 1/2"</v>
          </cell>
          <cell r="D4698" t="str">
            <v>UN</v>
          </cell>
          <cell r="E4698" t="str">
            <v>CR</v>
          </cell>
          <cell r="F4698">
            <v>152.79</v>
          </cell>
        </row>
        <row r="4699">
          <cell r="B4699">
            <v>12433</v>
          </cell>
          <cell r="C4699" t="str">
            <v>UNIAO COM ASSENTO CONICO DE FERRO LONGO (MACHO-FEMEA), DIAMETRO 1"</v>
          </cell>
          <cell r="D4699" t="str">
            <v>UN</v>
          </cell>
          <cell r="E4699" t="str">
            <v>CR</v>
          </cell>
          <cell r="F4699">
            <v>97.27</v>
          </cell>
        </row>
        <row r="4700">
          <cell r="B4700">
            <v>12434</v>
          </cell>
          <cell r="C4700" t="str">
            <v>UNIAO COM ASSENTO CONICO DE FERRO LONGO (MACHO-FEMEA), DIAMETRO 1/2"</v>
          </cell>
          <cell r="D4700" t="str">
            <v>UN</v>
          </cell>
          <cell r="E4700" t="str">
            <v>CR</v>
          </cell>
          <cell r="F4700">
            <v>49.79</v>
          </cell>
        </row>
        <row r="4701">
          <cell r="B4701">
            <v>12435</v>
          </cell>
          <cell r="C4701" t="str">
            <v>UNIAO COM ASSENTO CONICO DE FERRO LONGO (MACHO-FEMEA), DIAMETRO 2 1/2"</v>
          </cell>
          <cell r="D4701" t="str">
            <v>UN</v>
          </cell>
          <cell r="E4701" t="str">
            <v>CR</v>
          </cell>
          <cell r="F4701">
            <v>301.02</v>
          </cell>
        </row>
        <row r="4702">
          <cell r="B4702">
            <v>12437</v>
          </cell>
          <cell r="C4702" t="str">
            <v>UNIAO COM ASSENTO CONICO DE FERRO LONGO (MACHO-FEMEA), DIAMETRO 2"</v>
          </cell>
          <cell r="D4702" t="str">
            <v>UN</v>
          </cell>
          <cell r="E4702" t="str">
            <v>CR</v>
          </cell>
          <cell r="F4702">
            <v>243.11</v>
          </cell>
        </row>
        <row r="4703">
          <cell r="B4703">
            <v>12438</v>
          </cell>
          <cell r="C4703" t="str">
            <v>UNIAO COM ASSENTO CONICO DE FERRO LONGO (MACHO-FEMEA), DIAMETRO 3"</v>
          </cell>
          <cell r="D4703" t="str">
            <v>UN</v>
          </cell>
          <cell r="E4703" t="str">
            <v>CR</v>
          </cell>
          <cell r="F4703">
            <v>439.96</v>
          </cell>
        </row>
        <row r="4704">
          <cell r="B4704">
            <v>12439</v>
          </cell>
          <cell r="C4704" t="str">
            <v>UNIAO COM ASSENTO CONICO DE FERRO LONGO (MACHO-FEMEA), DIAMETRO 3/4"</v>
          </cell>
          <cell r="D4704" t="str">
            <v>UN</v>
          </cell>
          <cell r="E4704" t="str">
            <v>CR</v>
          </cell>
          <cell r="F4704">
            <v>78.03</v>
          </cell>
        </row>
        <row r="4705">
          <cell r="B4705">
            <v>12436</v>
          </cell>
          <cell r="C4705" t="str">
            <v>UNIAO COM ASSENTO CONICO DE FERRO LONGO (MACHO-FEMEA), DIAMETRO 4"</v>
          </cell>
          <cell r="D4705" t="str">
            <v>UN</v>
          </cell>
          <cell r="E4705" t="str">
            <v>CR</v>
          </cell>
          <cell r="F4705">
            <v>555.76</v>
          </cell>
        </row>
        <row r="4706">
          <cell r="B4706">
            <v>36357</v>
          </cell>
          <cell r="C4706" t="str">
            <v>UNIAO COM FLANGE PPR, COM PARAFUSOS, DN 40 MM, PARA AGUA QUENTE PREDIAL</v>
          </cell>
          <cell r="D4706" t="str">
            <v>UN</v>
          </cell>
          <cell r="E4706" t="str">
            <v>CR</v>
          </cell>
          <cell r="F4706">
            <v>161.34</v>
          </cell>
        </row>
        <row r="4707">
          <cell r="B4707">
            <v>12424</v>
          </cell>
          <cell r="C4707" t="str">
            <v>UNIAO DE FERRO GALVANIZADO, COM ASSENTO CONICO DE BRONZE, DE 1 1/2"</v>
          </cell>
          <cell r="D4707" t="str">
            <v>UN</v>
          </cell>
          <cell r="E4707" t="str">
            <v>CR</v>
          </cell>
          <cell r="F4707">
            <v>100.14</v>
          </cell>
        </row>
        <row r="4708">
          <cell r="B4708">
            <v>12440</v>
          </cell>
          <cell r="C4708" t="str">
            <v>UNIAO DE FERRO GALVANIZADO, COM ASSENTO CONICO DE BRONZE, DE 1 1/4"</v>
          </cell>
          <cell r="D4708" t="str">
            <v>UN</v>
          </cell>
          <cell r="E4708" t="str">
            <v>CR</v>
          </cell>
          <cell r="F4708">
            <v>96.8</v>
          </cell>
        </row>
        <row r="4709">
          <cell r="B4709">
            <v>9884</v>
          </cell>
          <cell r="C4709" t="str">
            <v>UNIAO DE FERRO GALVANIZADO, COM ROSCA BSP, COM ASSENTO PLANO, DE 1 1/2"</v>
          </cell>
          <cell r="D4709" t="str">
            <v>UN</v>
          </cell>
          <cell r="E4709" t="str">
            <v>CR</v>
          </cell>
          <cell r="F4709">
            <v>72.2</v>
          </cell>
        </row>
        <row r="4710">
          <cell r="B4710">
            <v>9888</v>
          </cell>
          <cell r="C4710" t="str">
            <v>UNIAO DE FERRO GALVANIZADO, COM ROSCA BSP, COM ASSENTO PLANO, DE 1 1/4"</v>
          </cell>
          <cell r="D4710" t="str">
            <v>UN</v>
          </cell>
          <cell r="E4710" t="str">
            <v>CR</v>
          </cell>
          <cell r="F4710">
            <v>58.01</v>
          </cell>
        </row>
        <row r="4711">
          <cell r="B4711">
            <v>9886</v>
          </cell>
          <cell r="C4711" t="str">
            <v>UNIAO DE FERRO GALVANIZADO, COM ROSCA BSP, COM ASSENTO PLANO, DE 1"</v>
          </cell>
          <cell r="D4711" t="str">
            <v>UN</v>
          </cell>
          <cell r="E4711" t="str">
            <v>CR</v>
          </cell>
          <cell r="F4711">
            <v>34.67</v>
          </cell>
        </row>
        <row r="4712">
          <cell r="B4712">
            <v>9883</v>
          </cell>
          <cell r="C4712" t="str">
            <v>UNIAO DE FERRO GALVANIZADO, COM ROSCA BSP, COM ASSENTO PLANO, DE 1/2"</v>
          </cell>
          <cell r="D4712" t="str">
            <v>UN</v>
          </cell>
          <cell r="E4712" t="str">
            <v>CR</v>
          </cell>
          <cell r="F4712">
            <v>25.31</v>
          </cell>
        </row>
        <row r="4713">
          <cell r="B4713">
            <v>9889</v>
          </cell>
          <cell r="C4713" t="str">
            <v>UNIAO DE FERRO GALVANIZADO, COM ROSCA BSP, COM ASSENTO PLANO, DE 2 1/2"</v>
          </cell>
          <cell r="D4713" t="str">
            <v>UN</v>
          </cell>
          <cell r="E4713" t="str">
            <v>CR</v>
          </cell>
          <cell r="F4713">
            <v>175.66</v>
          </cell>
        </row>
        <row r="4714">
          <cell r="B4714">
            <v>9887</v>
          </cell>
          <cell r="C4714" t="str">
            <v>UNIAO DE FERRO GALVANIZADO, COM ROSCA BSP, COM ASSENTO PLANO, DE 2"</v>
          </cell>
          <cell r="D4714" t="str">
            <v>UN</v>
          </cell>
          <cell r="E4714" t="str">
            <v>CR</v>
          </cell>
          <cell r="F4714">
            <v>106.17</v>
          </cell>
        </row>
        <row r="4715">
          <cell r="B4715">
            <v>9890</v>
          </cell>
          <cell r="C4715" t="str">
            <v>UNIAO DE FERRO GALVANIZADO, COM ROSCA BSP, COM ASSENTO PLANO, DE 3"</v>
          </cell>
          <cell r="D4715" t="str">
            <v>UN</v>
          </cell>
          <cell r="E4715" t="str">
            <v>CR</v>
          </cell>
          <cell r="F4715">
            <v>272.14</v>
          </cell>
        </row>
        <row r="4716">
          <cell r="B4716">
            <v>9885</v>
          </cell>
          <cell r="C4716" t="str">
            <v>UNIAO DE FERRO GALVANIZADO, COM ROSCA BSP, COM ASSENTO PLANO, DE 3/4"</v>
          </cell>
          <cell r="D4716" t="str">
            <v>UN</v>
          </cell>
          <cell r="E4716" t="str">
            <v>CR</v>
          </cell>
          <cell r="F4716">
            <v>33.520000000000003</v>
          </cell>
        </row>
        <row r="4717">
          <cell r="B4717">
            <v>9891</v>
          </cell>
          <cell r="C4717" t="str">
            <v>UNIAO DE FERRO GALVANIZADO, COM ROSCA BSP, COM ASSENTO PLANO, DE 4"</v>
          </cell>
          <cell r="D4717" t="str">
            <v>UN</v>
          </cell>
          <cell r="E4717" t="str">
            <v>CR</v>
          </cell>
          <cell r="F4717">
            <v>382.04</v>
          </cell>
        </row>
        <row r="4718">
          <cell r="B4718">
            <v>36316</v>
          </cell>
          <cell r="C4718" t="str">
            <v>UNIAO DUPLA PPR DN 25 MM, PARA AGUA QUENTE PREDIAL</v>
          </cell>
          <cell r="D4718" t="str">
            <v>UN</v>
          </cell>
          <cell r="E4718" t="str">
            <v>CR</v>
          </cell>
          <cell r="F4718">
            <v>26.29</v>
          </cell>
        </row>
        <row r="4719">
          <cell r="B4719">
            <v>36313</v>
          </cell>
          <cell r="C4719" t="str">
            <v>UNIAO DUPLA PPR, DN 20 MM, PARA AGUA QUENTE PREDIAL</v>
          </cell>
          <cell r="D4719" t="str">
            <v>UN</v>
          </cell>
          <cell r="E4719" t="str">
            <v>CR</v>
          </cell>
          <cell r="F4719">
            <v>16.88</v>
          </cell>
        </row>
        <row r="4720">
          <cell r="B4720">
            <v>64</v>
          </cell>
          <cell r="C4720" t="str">
            <v>UNIAO EM POLIPROPILENO (PP), PARA TUBO EM PEAD, 20 MM - LIGACAO PREDIAL DE AGUA</v>
          </cell>
          <cell r="D4720" t="str">
            <v>UN</v>
          </cell>
          <cell r="E4720" t="str">
            <v>CR</v>
          </cell>
          <cell r="F4720">
            <v>5.43</v>
          </cell>
        </row>
        <row r="4721">
          <cell r="B4721">
            <v>37423</v>
          </cell>
          <cell r="C4721" t="str">
            <v>UNIAO EM POLIPROPILENO (PP), PARA TUBO EM PEAD, 32 MM - LIGACAO PREDIAL DE AGUA</v>
          </cell>
          <cell r="D4721" t="str">
            <v>UN</v>
          </cell>
          <cell r="E4721" t="str">
            <v>CR</v>
          </cell>
          <cell r="F4721">
            <v>13.42</v>
          </cell>
        </row>
        <row r="4722">
          <cell r="B4722">
            <v>9892</v>
          </cell>
          <cell r="C4722" t="str">
            <v>UNIAO PVC, ROSCAVEL 1/2", AGUA FRIA PREDIAL</v>
          </cell>
          <cell r="D4722" t="str">
            <v>UN</v>
          </cell>
          <cell r="E4722" t="str">
            <v>CR</v>
          </cell>
          <cell r="F4722">
            <v>7.94</v>
          </cell>
        </row>
        <row r="4723">
          <cell r="B4723">
            <v>9901</v>
          </cell>
          <cell r="C4723" t="str">
            <v>UNIAO PVC, ROSCAVEL, 1 1/2", AGUA FRIA PREDIAL</v>
          </cell>
          <cell r="D4723" t="str">
            <v>UN</v>
          </cell>
          <cell r="E4723" t="str">
            <v>CR</v>
          </cell>
          <cell r="F4723">
            <v>38.4</v>
          </cell>
        </row>
        <row r="4724">
          <cell r="B4724">
            <v>9900</v>
          </cell>
          <cell r="C4724" t="str">
            <v>UNIAO PVC, ROSCAVEL, 1", AGUA FRIA PREDIAL</v>
          </cell>
          <cell r="D4724" t="str">
            <v>UN</v>
          </cell>
          <cell r="E4724" t="str">
            <v>CR</v>
          </cell>
          <cell r="F4724">
            <v>22.25</v>
          </cell>
        </row>
        <row r="4725">
          <cell r="B4725">
            <v>9899</v>
          </cell>
          <cell r="C4725" t="str">
            <v>UNIAO PVC, ROSCAVEL, 3/4", AGUA FRIA PREDIAL</v>
          </cell>
          <cell r="D4725" t="str">
            <v>UN</v>
          </cell>
          <cell r="E4725" t="str">
            <v>CR</v>
          </cell>
          <cell r="F4725">
            <v>9.98</v>
          </cell>
        </row>
        <row r="4726">
          <cell r="B4726">
            <v>9908</v>
          </cell>
          <cell r="C4726" t="str">
            <v>UNIAO PVC, SOLDAVEL, 110 MM, PARA AGUA FRIA PREDIAL</v>
          </cell>
          <cell r="D4726" t="str">
            <v>UN</v>
          </cell>
          <cell r="E4726" t="str">
            <v>CR</v>
          </cell>
          <cell r="F4726">
            <v>448.48</v>
          </cell>
        </row>
        <row r="4727">
          <cell r="B4727">
            <v>9905</v>
          </cell>
          <cell r="C4727" t="str">
            <v>UNIAO PVC, SOLDAVEL, 20 MM, PARA AGUA FRIA PREDIAL</v>
          </cell>
          <cell r="D4727" t="str">
            <v>UN</v>
          </cell>
          <cell r="E4727" t="str">
            <v>CR</v>
          </cell>
          <cell r="F4727">
            <v>7.8</v>
          </cell>
        </row>
        <row r="4728">
          <cell r="B4728">
            <v>9906</v>
          </cell>
          <cell r="C4728" t="str">
            <v>UNIAO PVC, SOLDAVEL, 25 MM, PARA AGUA FRIA PREDIAL</v>
          </cell>
          <cell r="D4728" t="str">
            <v>UN</v>
          </cell>
          <cell r="E4728" t="str">
            <v>CR</v>
          </cell>
          <cell r="F4728">
            <v>9.41</v>
          </cell>
        </row>
        <row r="4729">
          <cell r="B4729">
            <v>9895</v>
          </cell>
          <cell r="C4729" t="str">
            <v>UNIAO PVC, SOLDAVEL, 32 MM, PARA AGUA FRIA PREDIAL</v>
          </cell>
          <cell r="D4729" t="str">
            <v>UN</v>
          </cell>
          <cell r="E4729" t="str">
            <v>CR</v>
          </cell>
          <cell r="F4729">
            <v>15.84</v>
          </cell>
        </row>
        <row r="4730">
          <cell r="B4730">
            <v>9894</v>
          </cell>
          <cell r="C4730" t="str">
            <v>UNIAO PVC, SOLDAVEL, 40 MM, PARA AGUA FRIA PREDIAL</v>
          </cell>
          <cell r="D4730" t="str">
            <v>UN</v>
          </cell>
          <cell r="E4730" t="str">
            <v>CR</v>
          </cell>
          <cell r="F4730">
            <v>30.47</v>
          </cell>
        </row>
        <row r="4731">
          <cell r="B4731">
            <v>9897</v>
          </cell>
          <cell r="C4731" t="str">
            <v>UNIAO PVC, SOLDAVEL, 50 MM, PARA AGUA FRIA PREDIAL</v>
          </cell>
          <cell r="D4731" t="str">
            <v>UN</v>
          </cell>
          <cell r="E4731" t="str">
            <v>CR</v>
          </cell>
          <cell r="F4731">
            <v>32.54</v>
          </cell>
        </row>
        <row r="4732">
          <cell r="B4732">
            <v>9910</v>
          </cell>
          <cell r="C4732" t="str">
            <v>UNIAO PVC, SOLDAVEL, 60 MM, PARA AGUA FRIA PREDIAL</v>
          </cell>
          <cell r="D4732" t="str">
            <v>UN</v>
          </cell>
          <cell r="E4732" t="str">
            <v>CR</v>
          </cell>
          <cell r="F4732">
            <v>84.65</v>
          </cell>
        </row>
        <row r="4733">
          <cell r="B4733">
            <v>9909</v>
          </cell>
          <cell r="C4733" t="str">
            <v>UNIAO PVC, SOLDAVEL, 75 MM, PARA AGUA FRIA PREDIAL</v>
          </cell>
          <cell r="D4733" t="str">
            <v>UN</v>
          </cell>
          <cell r="E4733" t="str">
            <v>CR</v>
          </cell>
          <cell r="F4733">
            <v>172.41</v>
          </cell>
        </row>
        <row r="4734">
          <cell r="B4734">
            <v>9907</v>
          </cell>
          <cell r="C4734" t="str">
            <v>UNIAO PVC, SOLDAVEL, 85 MM, PARA AGUA FRIA PREDIAL</v>
          </cell>
          <cell r="D4734" t="str">
            <v>UN</v>
          </cell>
          <cell r="E4734" t="str">
            <v>CR</v>
          </cell>
          <cell r="F4734">
            <v>203.56</v>
          </cell>
        </row>
        <row r="4735">
          <cell r="B4735">
            <v>20973</v>
          </cell>
          <cell r="C4735" t="str">
            <v>UNIAO TIPO STORZ, COM EMPATACAO INTERNA TIPO ANEL DE EXPANSAO, ENGATE RAPIDO 1 1/2", PARA MANGUEIRA DE COMBATE A INCENDIO PREDIAL</v>
          </cell>
          <cell r="D4735" t="str">
            <v>UN</v>
          </cell>
          <cell r="E4735" t="str">
            <v>CR</v>
          </cell>
          <cell r="F4735">
            <v>202.56</v>
          </cell>
        </row>
        <row r="4736">
          <cell r="B4736">
            <v>20974</v>
          </cell>
          <cell r="C4736" t="str">
            <v>UNIAO TIPO STORZ, COM EMPATACAO INTERNA TIPO ANEL DE EXPANSAO, ENGATE RAPIDO 2 1/2", PARA MANGUEIRA DE COMBATE A INCENDIO PREDIAL</v>
          </cell>
          <cell r="D4736" t="str">
            <v>UN</v>
          </cell>
          <cell r="E4736" t="str">
            <v>CR</v>
          </cell>
          <cell r="F4736">
            <v>289.79000000000002</v>
          </cell>
        </row>
        <row r="4737">
          <cell r="B4737">
            <v>37989</v>
          </cell>
          <cell r="C4737" t="str">
            <v>UNIAO, CPVC, SOLDAVEL, 15 MM, PARA AGUA QUENTE PREDIAL</v>
          </cell>
          <cell r="D4737" t="str">
            <v>UN</v>
          </cell>
          <cell r="E4737" t="str">
            <v>CR</v>
          </cell>
          <cell r="F4737">
            <v>14.82</v>
          </cell>
        </row>
        <row r="4738">
          <cell r="B4738">
            <v>37990</v>
          </cell>
          <cell r="C4738" t="str">
            <v>UNIAO, CPVC, SOLDAVEL, 22 MM, PARA AGUA QUENTE PREDIAL</v>
          </cell>
          <cell r="D4738" t="str">
            <v>UN</v>
          </cell>
          <cell r="E4738" t="str">
            <v>CR</v>
          </cell>
          <cell r="F4738">
            <v>16.34</v>
          </cell>
        </row>
        <row r="4739">
          <cell r="B4739">
            <v>37991</v>
          </cell>
          <cell r="C4739" t="str">
            <v>UNIAO, CPVC, SOLDAVEL, 28 MM, PARA AGUA QUENTE PREDIAL</v>
          </cell>
          <cell r="D4739" t="str">
            <v>UN</v>
          </cell>
          <cell r="E4739" t="str">
            <v>CR</v>
          </cell>
          <cell r="F4739">
            <v>21.75</v>
          </cell>
        </row>
        <row r="4740">
          <cell r="B4740">
            <v>37992</v>
          </cell>
          <cell r="C4740" t="str">
            <v>UNIAO, CPVC, SOLDAVEL, 35 MM, PARA AGUA QUENTE PREDIAL</v>
          </cell>
          <cell r="D4740" t="str">
            <v>UN</v>
          </cell>
          <cell r="E4740" t="str">
            <v>CR</v>
          </cell>
          <cell r="F4740">
            <v>33.75</v>
          </cell>
        </row>
        <row r="4741">
          <cell r="B4741">
            <v>37993</v>
          </cell>
          <cell r="C4741" t="str">
            <v>UNIAO, CPVC, SOLDAVEL, 42 MM, PARA AGUA QUENTE PREDIAL</v>
          </cell>
          <cell r="D4741" t="str">
            <v>UN</v>
          </cell>
          <cell r="E4741" t="str">
            <v>CR</v>
          </cell>
          <cell r="F4741">
            <v>51.21</v>
          </cell>
        </row>
        <row r="4742">
          <cell r="B4742">
            <v>37994</v>
          </cell>
          <cell r="C4742" t="str">
            <v>UNIAO, CPVC, SOLDAVEL, 54 MM, PARA AGUA QUENTE PREDIAL</v>
          </cell>
          <cell r="D4742" t="str">
            <v>UN</v>
          </cell>
          <cell r="E4742" t="str">
            <v>CR</v>
          </cell>
          <cell r="F4742">
            <v>121.93</v>
          </cell>
        </row>
        <row r="4743">
          <cell r="B4743">
            <v>37995</v>
          </cell>
          <cell r="C4743" t="str">
            <v>UNIAO, CPVC, SOLDAVEL, 73 MM, PARA AGUA QUENTE PREDIAL</v>
          </cell>
          <cell r="D4743" t="str">
            <v>UN</v>
          </cell>
          <cell r="E4743" t="str">
            <v>CR</v>
          </cell>
          <cell r="F4743">
            <v>158.93</v>
          </cell>
        </row>
        <row r="4744">
          <cell r="B4744">
            <v>37996</v>
          </cell>
          <cell r="C4744" t="str">
            <v>UNIAO, CPVC, SOLDAVEL, 89 MM, PARA AGUA QUENTE PREDIAL</v>
          </cell>
          <cell r="D4744" t="str">
            <v>UN</v>
          </cell>
          <cell r="E4744" t="str">
            <v>CR</v>
          </cell>
          <cell r="F4744">
            <v>242.01</v>
          </cell>
        </row>
        <row r="4745">
          <cell r="B4745">
            <v>45267</v>
          </cell>
          <cell r="C4745" t="str">
            <v>UNIFORME PROFISSIONAL DE BRIM, CALCA E CAMISA MANGA LONGA COM FAIXA REFLETIVA</v>
          </cell>
          <cell r="D4745" t="str">
            <v>UN</v>
          </cell>
          <cell r="E4745" t="str">
            <v>CR</v>
          </cell>
          <cell r="F4745">
            <v>198.42</v>
          </cell>
        </row>
        <row r="4746">
          <cell r="B4746">
            <v>38604</v>
          </cell>
          <cell r="C4746" t="str">
            <v>USINA DE ASFALTO A FRIO, CAPACIDADE DE 40 A 60 T/H, ELETRICA, POTENCIA DE 30 CV</v>
          </cell>
          <cell r="D4746" t="str">
            <v>UN</v>
          </cell>
          <cell r="E4746" t="str">
            <v>CR</v>
          </cell>
          <cell r="F4746">
            <v>201374.82</v>
          </cell>
        </row>
        <row r="4747">
          <cell r="B4747">
            <v>10601</v>
          </cell>
          <cell r="C4747" t="str">
            <v>USINA DE ASFALTO A QUENTE, FIXA, TIPO CONTRA FLUXO, CAPACIDADE DE 100 A 140 T/H, POTENCIA DE 280 KW, COM MISTURADOR EXTERNO ROTATIVO</v>
          </cell>
          <cell r="D4747" t="str">
            <v>UN</v>
          </cell>
          <cell r="E4747" t="str">
            <v>CR</v>
          </cell>
          <cell r="F4747">
            <v>3917142.05</v>
          </cell>
        </row>
        <row r="4748">
          <cell r="B4748">
            <v>44469</v>
          </cell>
          <cell r="C4748" t="str">
            <v>USINA DE ASFALTO, GRAVIMETRICA, CAPACIDADE DE 150 T/H, POTENCIA DE 400 KW</v>
          </cell>
          <cell r="D4748" t="str">
            <v>UN</v>
          </cell>
          <cell r="E4748" t="str">
            <v>CR</v>
          </cell>
          <cell r="F4748">
            <v>10313696.779999999</v>
          </cell>
        </row>
        <row r="4749">
          <cell r="B4749">
            <v>9914</v>
          </cell>
          <cell r="C4749" t="str">
            <v>USINA DE CONCRETO FIXA, CAPACIDADE NOMINAL DE 90 A 120 M3/H, SEM SILO</v>
          </cell>
          <cell r="D4749" t="str">
            <v>UN</v>
          </cell>
          <cell r="E4749" t="str">
            <v>C</v>
          </cell>
          <cell r="F4749">
            <v>712400</v>
          </cell>
        </row>
        <row r="4750">
          <cell r="B4750">
            <v>36485</v>
          </cell>
          <cell r="C4750" t="str">
            <v>USINA DE LAMA ASFALTICA, PROD 30 A 50 T/H, SILO DE AGREGADO 7 M3, RESERVATORIOS PARA EMULSAO E AGUA DE 2,3 M3 CADA, MISTURADOR TIPO PUGG-MILL A SER MONTADO SOBRE CAMINHAO</v>
          </cell>
          <cell r="D4750" t="str">
            <v>UN</v>
          </cell>
          <cell r="E4750" t="str">
            <v>CR</v>
          </cell>
          <cell r="F4750">
            <v>755845.38</v>
          </cell>
        </row>
        <row r="4751">
          <cell r="B4751">
            <v>9912</v>
          </cell>
          <cell r="C4751" t="str">
            <v>USINA DE MISTURAS ASFALTICAS A QUENTE, MOVEL, TIPO CONTRA FLUXO, CAPACIDADE DE 40 A 80 T/H</v>
          </cell>
          <cell r="D4751" t="str">
            <v>UN</v>
          </cell>
          <cell r="E4751" t="str">
            <v>C</v>
          </cell>
          <cell r="F4751">
            <v>3188995</v>
          </cell>
        </row>
        <row r="4752">
          <cell r="B4752">
            <v>9921</v>
          </cell>
          <cell r="C4752" t="str">
            <v>USINA MISTURADORA DE SOLOS, DOSADORES TRIPLOS, CALHA VIBRATORIA CAPACIDADE DE 200 A 500 T/H, POTENCIA DE 75 KW</v>
          </cell>
          <cell r="D4752" t="str">
            <v>UN</v>
          </cell>
          <cell r="E4752" t="str">
            <v>CR</v>
          </cell>
          <cell r="F4752">
            <v>1645034.46</v>
          </cell>
        </row>
        <row r="4753">
          <cell r="B4753">
            <v>21112</v>
          </cell>
          <cell r="C4753" t="str">
            <v>VALVULA DE DESCARGA EM METAL CROMADO PARA MICTORIO COM ACIONAMENTO POR PRESSAO E FECHAMENTO AUTOMATICO</v>
          </cell>
          <cell r="D4753" t="str">
            <v>UN</v>
          </cell>
          <cell r="E4753" t="str">
            <v>CR</v>
          </cell>
          <cell r="F4753">
            <v>331.32</v>
          </cell>
        </row>
        <row r="4754">
          <cell r="B4754">
            <v>10228</v>
          </cell>
          <cell r="C4754" t="str">
            <v>VALVULA DE DESCARGA METALICA, BASE 1 1/2" E ACABAMENTO METALICO CROMADO</v>
          </cell>
          <cell r="D4754" t="str">
            <v>UN</v>
          </cell>
          <cell r="E4754" t="str">
            <v>C</v>
          </cell>
          <cell r="F4754">
            <v>384.9</v>
          </cell>
        </row>
        <row r="4755">
          <cell r="B4755">
            <v>11781</v>
          </cell>
          <cell r="C4755" t="str">
            <v>VALVULA DE DESCARGA METALICA, BASE 1 1/4" E ACABAMENTO METALICO CROMADO</v>
          </cell>
          <cell r="D4755" t="str">
            <v>UN</v>
          </cell>
          <cell r="E4755" t="str">
            <v>CR</v>
          </cell>
          <cell r="F4755">
            <v>311.81</v>
          </cell>
        </row>
        <row r="4756">
          <cell r="B4756">
            <v>37588</v>
          </cell>
          <cell r="C4756" t="str">
            <v>VALVULA DE ESCOAMENTO PARA TANQUE, EM METAL CROMADO, 1.1/2", SEM LADRAO, COM TAMPAO PLASTICO</v>
          </cell>
          <cell r="D4756" t="str">
            <v>UN</v>
          </cell>
          <cell r="E4756" t="str">
            <v>CR</v>
          </cell>
          <cell r="F4756">
            <v>53.29</v>
          </cell>
        </row>
        <row r="4757">
          <cell r="B4757">
            <v>11751</v>
          </cell>
          <cell r="C4757" t="str">
            <v>VALVULA DE ESFERA BRUTA EM BRONZE, BITOLA 1 1/2"</v>
          </cell>
          <cell r="D4757" t="str">
            <v>UN</v>
          </cell>
          <cell r="E4757" t="str">
            <v>CR</v>
          </cell>
          <cell r="F4757">
            <v>109.07</v>
          </cell>
        </row>
        <row r="4758">
          <cell r="B4758">
            <v>11750</v>
          </cell>
          <cell r="C4758" t="str">
            <v>VALVULA DE ESFERA BRUTA EM BRONZE, BITOLA 1 1/4"</v>
          </cell>
          <cell r="D4758" t="str">
            <v>UN</v>
          </cell>
          <cell r="E4758" t="str">
            <v>CR</v>
          </cell>
          <cell r="F4758">
            <v>90.51</v>
          </cell>
        </row>
        <row r="4759">
          <cell r="B4759">
            <v>11746</v>
          </cell>
          <cell r="C4759" t="str">
            <v>VALVULA DE ESFERA BRUTA EM BRONZE, BITOLA 1"</v>
          </cell>
          <cell r="D4759" t="str">
            <v>UN</v>
          </cell>
          <cell r="E4759" t="str">
            <v>CR</v>
          </cell>
          <cell r="F4759">
            <v>60.73</v>
          </cell>
        </row>
        <row r="4760">
          <cell r="B4760">
            <v>11748</v>
          </cell>
          <cell r="C4760" t="str">
            <v>VALVULA DE ESFERA BRUTA EM BRONZE, BITOLA 1/2"</v>
          </cell>
          <cell r="D4760" t="str">
            <v>UN</v>
          </cell>
          <cell r="E4760" t="str">
            <v>CR</v>
          </cell>
          <cell r="F4760">
            <v>38.97</v>
          </cell>
        </row>
        <row r="4761">
          <cell r="B4761">
            <v>11747</v>
          </cell>
          <cell r="C4761" t="str">
            <v>VALVULA DE ESFERA BRUTA EM BRONZE, BITOLA 2"</v>
          </cell>
          <cell r="D4761" t="str">
            <v>UN</v>
          </cell>
          <cell r="E4761" t="str">
            <v>CR</v>
          </cell>
          <cell r="F4761">
            <v>168.19</v>
          </cell>
        </row>
        <row r="4762">
          <cell r="B4762">
            <v>11749</v>
          </cell>
          <cell r="C4762" t="str">
            <v>VALVULA DE ESFERA BRUTA EM BRONZE, BITOLA 3/4"</v>
          </cell>
          <cell r="D4762" t="str">
            <v>UN</v>
          </cell>
          <cell r="E4762" t="str">
            <v>CR</v>
          </cell>
          <cell r="F4762">
            <v>44.98</v>
          </cell>
        </row>
        <row r="4763">
          <cell r="B4763">
            <v>10236</v>
          </cell>
          <cell r="C4763" t="str">
            <v>VALVULA DE RETENCAO DE BRONZE, PE COM CRIVOS, EXTREMIDADE COM ROSCA, DE 1 1/2", PARA FUNDO DE POCO</v>
          </cell>
          <cell r="D4763" t="str">
            <v>UN</v>
          </cell>
          <cell r="E4763" t="str">
            <v>CR</v>
          </cell>
          <cell r="F4763">
            <v>175.74</v>
          </cell>
        </row>
        <row r="4764">
          <cell r="B4764">
            <v>10233</v>
          </cell>
          <cell r="C4764" t="str">
            <v>VALVULA DE RETENCAO DE BRONZE, PE COM CRIVOS, EXTREMIDADE COM ROSCA, DE 1 1/4", PARA FUNDO DE POCO</v>
          </cell>
          <cell r="D4764" t="str">
            <v>UN</v>
          </cell>
          <cell r="E4764" t="str">
            <v>CR</v>
          </cell>
          <cell r="F4764">
            <v>164.69</v>
          </cell>
        </row>
        <row r="4765">
          <cell r="B4765">
            <v>10234</v>
          </cell>
          <cell r="C4765" t="str">
            <v>VALVULA DE RETENCAO DE BRONZE, PE COM CRIVOS, EXTREMIDADE COM ROSCA, DE 1", PARA FUNDO DE POCO</v>
          </cell>
          <cell r="D4765" t="str">
            <v>UN</v>
          </cell>
          <cell r="E4765" t="str">
            <v>CR</v>
          </cell>
          <cell r="F4765">
            <v>103.74</v>
          </cell>
        </row>
        <row r="4766">
          <cell r="B4766">
            <v>10231</v>
          </cell>
          <cell r="C4766" t="str">
            <v>VALVULA DE RETENCAO DE BRONZE, PE COM CRIVOS, EXTREMIDADE COM ROSCA, DE 2 1/2", PARA FUNDO DE POCO</v>
          </cell>
          <cell r="D4766" t="str">
            <v>UN</v>
          </cell>
          <cell r="E4766" t="str">
            <v>CR</v>
          </cell>
          <cell r="F4766">
            <v>475.72</v>
          </cell>
        </row>
        <row r="4767">
          <cell r="B4767">
            <v>10232</v>
          </cell>
          <cell r="C4767" t="str">
            <v>VALVULA DE RETENCAO DE BRONZE, PE COM CRIVOS, EXTREMIDADE COM ROSCA, DE 2", PARA FUNDO DE POCO</v>
          </cell>
          <cell r="D4767" t="str">
            <v>UN</v>
          </cell>
          <cell r="E4767" t="str">
            <v>CR</v>
          </cell>
          <cell r="F4767">
            <v>266.2</v>
          </cell>
        </row>
        <row r="4768">
          <cell r="B4768">
            <v>10235</v>
          </cell>
          <cell r="C4768" t="str">
            <v>VALVULA DE RETENCAO DE BRONZE, PE COM CRIVOS, EXTREMIDADE COM ROSCA, DE 3", PARA FUNDO DE POCO</v>
          </cell>
          <cell r="D4768" t="str">
            <v>UN</v>
          </cell>
          <cell r="E4768" t="str">
            <v>CR</v>
          </cell>
          <cell r="F4768">
            <v>652.16</v>
          </cell>
        </row>
        <row r="4769">
          <cell r="B4769">
            <v>10229</v>
          </cell>
          <cell r="C4769" t="str">
            <v>VALVULA DE RETENCAO DE BRONZE, PE COM CRIVOS, EXTREMIDADE COM ROSCA, DE 3/4", PARA FUNDO DE POCO</v>
          </cell>
          <cell r="D4769" t="str">
            <v>UN</v>
          </cell>
          <cell r="E4769" t="str">
            <v>C</v>
          </cell>
          <cell r="F4769">
            <v>93.82</v>
          </cell>
        </row>
        <row r="4770">
          <cell r="B4770">
            <v>10230</v>
          </cell>
          <cell r="C4770" t="str">
            <v>VALVULA DE RETENCAO DE BRONZE, PE COM CRIVOS, EXTREMIDADE COM ROSCA, DE 4", PARA FUNDO DE POCO</v>
          </cell>
          <cell r="D4770" t="str">
            <v>UN</v>
          </cell>
          <cell r="E4770" t="str">
            <v>CR</v>
          </cell>
          <cell r="F4770">
            <v>1147.74</v>
          </cell>
        </row>
        <row r="4771">
          <cell r="B4771">
            <v>10409</v>
          </cell>
          <cell r="C4771" t="str">
            <v>VALVULA DE RETENCAO HORIZONTAL, DE BRONZE (PN-25), 1 1/2", 400 PSI, TAMPA DE PORCA DE UNIAO, EXTREMIDADES COM ROSCA</v>
          </cell>
          <cell r="D4771" t="str">
            <v>UN</v>
          </cell>
          <cell r="E4771" t="str">
            <v>CR</v>
          </cell>
          <cell r="F4771">
            <v>340.98</v>
          </cell>
        </row>
        <row r="4772">
          <cell r="B4772">
            <v>10411</v>
          </cell>
          <cell r="C4772" t="str">
            <v>VALVULA DE RETENCAO HORIZONTAL, DE BRONZE (PN-25), 1 1/4", 400 PSI, TAMPA DE PORCA DE UNIAO, EXTREMIDADES COM ROSCA</v>
          </cell>
          <cell r="D4772" t="str">
            <v>UN</v>
          </cell>
          <cell r="E4772" t="str">
            <v>CR</v>
          </cell>
          <cell r="F4772">
            <v>305.11</v>
          </cell>
        </row>
        <row r="4773">
          <cell r="B4773">
            <v>10410</v>
          </cell>
          <cell r="C4773" t="str">
            <v>VALVULA DE RETENCAO HORIZONTAL, DE BRONZE (PN-25), 1", 400 PSI, TAMPA DE PORCA DE UNIAO, EXTREMIDADES COM ROSCA</v>
          </cell>
          <cell r="D4773" t="str">
            <v>UN</v>
          </cell>
          <cell r="E4773" t="str">
            <v>CR</v>
          </cell>
          <cell r="F4773">
            <v>203.81</v>
          </cell>
        </row>
        <row r="4774">
          <cell r="B4774">
            <v>10404</v>
          </cell>
          <cell r="C4774" t="str">
            <v>VALVULA DE RETENCAO HORIZONTAL, DE BRONZE (PN-25), 1/2", 400 PSI, TAMPA DE PORCA DE UNIAO, EXTREMIDADES COM ROSCA</v>
          </cell>
          <cell r="D4774" t="str">
            <v>UN</v>
          </cell>
          <cell r="E4774" t="str">
            <v>CR</v>
          </cell>
          <cell r="F4774">
            <v>123.74</v>
          </cell>
        </row>
        <row r="4775">
          <cell r="B4775">
            <v>10405</v>
          </cell>
          <cell r="C4775" t="str">
            <v>VALVULA DE RETENCAO HORIZONTAL, DE BRONZE (PN-25), 2 1/2", 400 PSI, TAMPA DE PORCA DE UNIAO, EXTREMIDADES COM ROSCA</v>
          </cell>
          <cell r="D4775" t="str">
            <v>UN</v>
          </cell>
          <cell r="E4775" t="str">
            <v>CR</v>
          </cell>
          <cell r="F4775">
            <v>683.16</v>
          </cell>
        </row>
        <row r="4776">
          <cell r="B4776">
            <v>10408</v>
          </cell>
          <cell r="C4776" t="str">
            <v>VALVULA DE RETENCAO HORIZONTAL, DE BRONZE (PN-25), 2", 400 PSI, TAMPA DE PORCA DE UNIAO, EXTREMIDADES COM ROSCA</v>
          </cell>
          <cell r="D4776" t="str">
            <v>UN</v>
          </cell>
          <cell r="E4776" t="str">
            <v>CR</v>
          </cell>
          <cell r="F4776">
            <v>477.72</v>
          </cell>
        </row>
        <row r="4777">
          <cell r="B4777">
            <v>10406</v>
          </cell>
          <cell r="C4777" t="str">
            <v>VALVULA DE RETENCAO HORIZONTAL, DE BRONZE (PN-25), 3", 400 PSI, TAMPA DE PORCA DE UNIAO, EXTREMIDADES COM ROSCA</v>
          </cell>
          <cell r="D4777" t="str">
            <v>UN</v>
          </cell>
          <cell r="E4777" t="str">
            <v>CR</v>
          </cell>
          <cell r="F4777">
            <v>943.58</v>
          </cell>
        </row>
        <row r="4778">
          <cell r="B4778">
            <v>10412</v>
          </cell>
          <cell r="C4778" t="str">
            <v>VALVULA DE RETENCAO HORIZONTAL, DE BRONZE (PN-25), 3/4", 400 PSI, TAMPA DE PORCA DE UNIAO, EXTREMIDADES COM ROSCA</v>
          </cell>
          <cell r="D4778" t="str">
            <v>UN</v>
          </cell>
          <cell r="E4778" t="str">
            <v>CR</v>
          </cell>
          <cell r="F4778">
            <v>149.96</v>
          </cell>
        </row>
        <row r="4779">
          <cell r="B4779">
            <v>10407</v>
          </cell>
          <cell r="C4779" t="str">
            <v>VALVULA DE RETENCAO HORIZONTAL, DE BRONZE (PN-25), 4", 400 PSI, TAMPA DE PORCA DE UNIAO, EXTREMIDADES COM ROSCA</v>
          </cell>
          <cell r="D4779" t="str">
            <v>UN</v>
          </cell>
          <cell r="E4779" t="str">
            <v>CR</v>
          </cell>
          <cell r="F4779">
            <v>1463.49</v>
          </cell>
        </row>
        <row r="4780">
          <cell r="B4780">
            <v>10416</v>
          </cell>
          <cell r="C4780" t="str">
            <v>VALVULA DE RETENCAO VERTICAL, DE BRONZE (PN-16), 1 1/2", 200 PSI, EXTREMIDADES COM ROSCA</v>
          </cell>
          <cell r="D4780" t="str">
            <v>UN</v>
          </cell>
          <cell r="E4780" t="str">
            <v>CR</v>
          </cell>
          <cell r="F4780">
            <v>181.53</v>
          </cell>
        </row>
        <row r="4781">
          <cell r="B4781">
            <v>10419</v>
          </cell>
          <cell r="C4781" t="str">
            <v>VALVULA DE RETENCAO VERTICAL, DE BRONZE (PN-16), 1 1/4", 200 PSI, EXTREMIDADES COM ROSCA</v>
          </cell>
          <cell r="D4781" t="str">
            <v>UN</v>
          </cell>
          <cell r="E4781" t="str">
            <v>CR</v>
          </cell>
          <cell r="F4781">
            <v>157.57</v>
          </cell>
        </row>
        <row r="4782">
          <cell r="B4782">
            <v>10418</v>
          </cell>
          <cell r="C4782" t="str">
            <v>VALVULA DE RETENCAO VERTICAL, DE BRONZE (PN-16), 1", 200 PSI, EXTREMIDADES COM ROSCA</v>
          </cell>
          <cell r="D4782" t="str">
            <v>UN</v>
          </cell>
          <cell r="E4782" t="str">
            <v>CR</v>
          </cell>
          <cell r="F4782">
            <v>105.03</v>
          </cell>
        </row>
        <row r="4783">
          <cell r="B4783">
            <v>21092</v>
          </cell>
          <cell r="C4783" t="str">
            <v>VALVULA DE RETENCAO VERTICAL, DE BRONZE (PN-16), 1/2", 200 PSI, EXTREMIDADES COM ROSCA</v>
          </cell>
          <cell r="D4783" t="str">
            <v>UN</v>
          </cell>
          <cell r="E4783" t="str">
            <v>CR</v>
          </cell>
          <cell r="F4783">
            <v>90.08</v>
          </cell>
        </row>
        <row r="4784">
          <cell r="B4784">
            <v>12657</v>
          </cell>
          <cell r="C4784" t="str">
            <v>VALVULA DE RETENCAO VERTICAL, DE BRONZE (PN-16), 2 1/2", 200 PSI, EXTREMIDADES COM ROSCA</v>
          </cell>
          <cell r="D4784" t="str">
            <v>UN</v>
          </cell>
          <cell r="E4784" t="str">
            <v>CR</v>
          </cell>
          <cell r="F4784">
            <v>423.83</v>
          </cell>
        </row>
        <row r="4785">
          <cell r="B4785">
            <v>10417</v>
          </cell>
          <cell r="C4785" t="str">
            <v>VALVULA DE RETENCAO VERTICAL, DE BRONZE (PN-16), 2", 200 PSI, EXTREMIDADES COM ROSCA</v>
          </cell>
          <cell r="D4785" t="str">
            <v>UN</v>
          </cell>
          <cell r="E4785" t="str">
            <v>CR</v>
          </cell>
          <cell r="F4785">
            <v>264.5</v>
          </cell>
        </row>
        <row r="4786">
          <cell r="B4786">
            <v>10414</v>
          </cell>
          <cell r="C4786" t="str">
            <v>VALVULA DE RETENCAO VERTICAL, DE BRONZE (PN-16), 3", 200 PSI, EXTREMIDADES COM ROSCA</v>
          </cell>
          <cell r="D4786" t="str">
            <v>UN</v>
          </cell>
          <cell r="E4786" t="str">
            <v>CR</v>
          </cell>
          <cell r="F4786">
            <v>578.77</v>
          </cell>
        </row>
        <row r="4787">
          <cell r="B4787">
            <v>10413</v>
          </cell>
          <cell r="C4787" t="str">
            <v>VALVULA DE RETENCAO VERTICAL, DE BRONZE (PN-16), 3/4", 200 PSI, EXTREMIDADES COM ROSCA</v>
          </cell>
          <cell r="D4787" t="str">
            <v>UN</v>
          </cell>
          <cell r="E4787" t="str">
            <v>CR</v>
          </cell>
          <cell r="F4787">
            <v>96.13</v>
          </cell>
        </row>
        <row r="4788">
          <cell r="B4788">
            <v>10415</v>
          </cell>
          <cell r="C4788" t="str">
            <v>VALVULA DE RETENCAO VERTICAL, DE BRONZE (PN-16), 4", 200 PSI, EXTREMIDADES COM ROSCA</v>
          </cell>
          <cell r="D4788" t="str">
            <v>UN</v>
          </cell>
          <cell r="E4788" t="str">
            <v>CR</v>
          </cell>
          <cell r="F4788">
            <v>1004.49</v>
          </cell>
        </row>
        <row r="4789">
          <cell r="B4789">
            <v>38643</v>
          </cell>
          <cell r="C4789" t="str">
            <v>VALVULA EM METAL CROMADO PARA LAVATORIO, 1" SEM LADRAO</v>
          </cell>
          <cell r="D4789" t="str">
            <v>UN</v>
          </cell>
          <cell r="E4789" t="str">
            <v>CR</v>
          </cell>
          <cell r="F4789">
            <v>42.35</v>
          </cell>
        </row>
        <row r="4790">
          <cell r="B4790">
            <v>6157</v>
          </cell>
          <cell r="C4790" t="str">
            <v>VALVULA EM METAL CROMADO PARA PIA AMERICANA 3.1/2 X 1.1/2"</v>
          </cell>
          <cell r="D4790" t="str">
            <v>UN</v>
          </cell>
          <cell r="E4790" t="str">
            <v>CR</v>
          </cell>
          <cell r="F4790">
            <v>57.86</v>
          </cell>
        </row>
        <row r="4791">
          <cell r="B4791">
            <v>6158</v>
          </cell>
          <cell r="C4791" t="str">
            <v>VALVULA EM PLASTICO BRANCO PARA LAVATORIO 1", SEM UNHO, COM LADRAO</v>
          </cell>
          <cell r="D4791" t="str">
            <v>UN</v>
          </cell>
          <cell r="E4791" t="str">
            <v>CR</v>
          </cell>
          <cell r="F4791">
            <v>9.35</v>
          </cell>
        </row>
        <row r="4792">
          <cell r="B4792">
            <v>6156</v>
          </cell>
          <cell r="C4792" t="str">
            <v>VALVULA EM PLASTICO BRANCO PARA TANQUE 1.1/4" X 1.1/2", SEM UNHO E SEM LADRAO</v>
          </cell>
          <cell r="D4792" t="str">
            <v>UN</v>
          </cell>
          <cell r="E4792" t="str">
            <v>CR</v>
          </cell>
          <cell r="F4792">
            <v>8.02</v>
          </cell>
        </row>
        <row r="4793">
          <cell r="B4793">
            <v>6153</v>
          </cell>
          <cell r="C4793" t="str">
            <v>VALVULA EM PLASTICO BRANCO PARA TANQUE OU LAVATORIO 1", SEM UNHO E SEM LADRAO</v>
          </cell>
          <cell r="D4793" t="str">
            <v>UN</v>
          </cell>
          <cell r="E4793" t="str">
            <v>CR</v>
          </cell>
          <cell r="F4793">
            <v>6.44</v>
          </cell>
        </row>
        <row r="4794">
          <cell r="B4794">
            <v>6154</v>
          </cell>
          <cell r="C4794" t="str">
            <v>VALVULA EM PLASTICO CROMADO PARA LAVATORIO 1", SEM UNHO, COM LADRAO</v>
          </cell>
          <cell r="D4794" t="str">
            <v>UN</v>
          </cell>
          <cell r="E4794" t="str">
            <v>CR</v>
          </cell>
          <cell r="F4794">
            <v>11.44</v>
          </cell>
        </row>
        <row r="4795">
          <cell r="B4795">
            <v>6155</v>
          </cell>
          <cell r="C4795" t="str">
            <v>VALVULA EM PLASTICO CROMADO TIPO AMERICANA PARA PIA DE COZINHA 3.1/2" X 1.1/2", SEM ADAPTADOR</v>
          </cell>
          <cell r="D4795" t="str">
            <v>UN</v>
          </cell>
          <cell r="E4795" t="str">
            <v>CR</v>
          </cell>
          <cell r="F4795">
            <v>26.34</v>
          </cell>
        </row>
        <row r="4796">
          <cell r="B4796">
            <v>43595</v>
          </cell>
          <cell r="C4796" t="str">
            <v>VARA FINA PARA CREMONA, EM FERRO ZINCADO BRANCO, COM DIAMETRO DE APROX 10 MM E COMPRIMENTO DE 1,20 M</v>
          </cell>
          <cell r="D4796" t="str">
            <v>UN</v>
          </cell>
          <cell r="E4796" t="str">
            <v>CR</v>
          </cell>
          <cell r="F4796">
            <v>18.61</v>
          </cell>
        </row>
        <row r="4797">
          <cell r="B4797">
            <v>43596</v>
          </cell>
          <cell r="C4797" t="str">
            <v>VARA FINA PARA CREMONA, EM FERRO ZINCADO BRANCO, COM DIAMETRO DE APROX 10 MM E COMPRIMENTO DE 1,50 M</v>
          </cell>
          <cell r="D4797" t="str">
            <v>UN</v>
          </cell>
          <cell r="E4797" t="str">
            <v>CR</v>
          </cell>
          <cell r="F4797">
            <v>21.51</v>
          </cell>
        </row>
        <row r="4798">
          <cell r="B4798">
            <v>38108</v>
          </cell>
          <cell r="C4798" t="str">
            <v>VARIADOR DE LUMINOSIDADE ROTATIVO (DIMMER) 127 V, 300 W (APENAS MODULO)</v>
          </cell>
          <cell r="D4798" t="str">
            <v>UN</v>
          </cell>
          <cell r="E4798" t="str">
            <v>CR</v>
          </cell>
          <cell r="F4798">
            <v>52.03</v>
          </cell>
        </row>
        <row r="4799">
          <cell r="B4799">
            <v>38087</v>
          </cell>
          <cell r="C4799" t="str">
            <v>VARIADOR DE LUMINOSIDADE ROTATIVO (DIMMER) 127V, 300W, CONJUNTO MONTADO PARA EMBUTIR 4" X 2" (PLACA + SUPORTE + MODULO)</v>
          </cell>
          <cell r="D4799" t="str">
            <v>UN</v>
          </cell>
          <cell r="E4799" t="str">
            <v>CR</v>
          </cell>
          <cell r="F4799">
            <v>66.92</v>
          </cell>
        </row>
        <row r="4800">
          <cell r="B4800">
            <v>38109</v>
          </cell>
          <cell r="C4800" t="str">
            <v>VARIADOR DE LUMINOSIDADE ROTATIVO (DIMMER) 220 V, 600 W (APENAS MODULO)</v>
          </cell>
          <cell r="D4800" t="str">
            <v>UN</v>
          </cell>
          <cell r="E4800" t="str">
            <v>CR</v>
          </cell>
          <cell r="F4800">
            <v>83.15</v>
          </cell>
        </row>
        <row r="4801">
          <cell r="B4801">
            <v>38088</v>
          </cell>
          <cell r="C4801" t="str">
            <v>VARIADOR DE LUMINOSIDADE ROTATIVO (DIMMER) 220V, 600W, CONJUNTO MONTADO PARA EMBUTIR 4" X 2" (PLACA + SUPORTE + MODULO)</v>
          </cell>
          <cell r="D4801" t="str">
            <v>UN</v>
          </cell>
          <cell r="E4801" t="str">
            <v>CR</v>
          </cell>
          <cell r="F4801">
            <v>87.43</v>
          </cell>
        </row>
        <row r="4802">
          <cell r="B4802">
            <v>38110</v>
          </cell>
          <cell r="C4802" t="str">
            <v>VARIADOR DE VELOCIDADE PARA VENTILADOR 127 V, 150 W (APENAS MODULO)</v>
          </cell>
          <cell r="D4802" t="str">
            <v>UN</v>
          </cell>
          <cell r="E4802" t="str">
            <v>CR</v>
          </cell>
          <cell r="F4802">
            <v>31.98</v>
          </cell>
        </row>
        <row r="4803">
          <cell r="B4803">
            <v>38089</v>
          </cell>
          <cell r="C4803" t="str">
            <v>VARIADOR DE VELOCIDADE PARA VENTILADOR 127V, 150W + 2 INTERRUPTORES PARALELOS, PARA REVERSAO E LAMPADA, CONJUNTO MONTADO PARA EMBUTIR 4" X 2" (PLACA + SUPORTE + MODULOS)</v>
          </cell>
          <cell r="D4803" t="str">
            <v>UN</v>
          </cell>
          <cell r="E4803" t="str">
            <v>CR</v>
          </cell>
          <cell r="F4803">
            <v>55.73</v>
          </cell>
        </row>
        <row r="4804">
          <cell r="B4804">
            <v>38111</v>
          </cell>
          <cell r="C4804" t="str">
            <v>VARIADOR DE VELOCIDADE PARA VENTILADOR 220 V, 250 W (APENAS MODULO)</v>
          </cell>
          <cell r="D4804" t="str">
            <v>UN</v>
          </cell>
          <cell r="E4804" t="str">
            <v>CR</v>
          </cell>
          <cell r="F4804">
            <v>35.770000000000003</v>
          </cell>
        </row>
        <row r="4805">
          <cell r="B4805">
            <v>38090</v>
          </cell>
          <cell r="C4805" t="str">
            <v>VARIADOR DE VELOCIDADE PARA VENTILADOR 220V, 250W + 2 INTERRUPTORES PARALELOS, PARA REVERSAO E LAMPADA, CONJUNTO MONTADO PARA EMBUTIR 4" X 2" (PLACA + SUPORTE + MODULOS)</v>
          </cell>
          <cell r="D4805" t="str">
            <v>UN</v>
          </cell>
          <cell r="E4805" t="str">
            <v>CR</v>
          </cell>
          <cell r="F4805">
            <v>57.61</v>
          </cell>
        </row>
        <row r="4806">
          <cell r="B4806">
            <v>38400</v>
          </cell>
          <cell r="C4806" t="str">
            <v>VASSOURA 40 CM COM CABO</v>
          </cell>
          <cell r="D4806" t="str">
            <v>UN</v>
          </cell>
          <cell r="E4806" t="str">
            <v>CR</v>
          </cell>
          <cell r="F4806">
            <v>48.32</v>
          </cell>
        </row>
        <row r="4807">
          <cell r="B4807">
            <v>13726</v>
          </cell>
          <cell r="C4807" t="str">
            <v>VASSOURA MECANICA REBOCAVEL COM ESCOVA CILINDRICA LARGURA UTIL DE VARRIMENTO = 2,44M</v>
          </cell>
          <cell r="D4807" t="str">
            <v>UN</v>
          </cell>
          <cell r="E4807" t="str">
            <v>CR</v>
          </cell>
          <cell r="F4807">
            <v>66249.990000000005</v>
          </cell>
        </row>
        <row r="4808">
          <cell r="B4808">
            <v>12627</v>
          </cell>
          <cell r="C4808" t="str">
            <v>VEDACAO DE CALHA, EM BORRACHA COR PRETA, MEDIDA ENTRE 119 E 170 MM, PARA DRENAGEM PLUVIAL PREDIAL</v>
          </cell>
          <cell r="D4808" t="str">
            <v>UN</v>
          </cell>
          <cell r="E4808" t="str">
            <v>CR</v>
          </cell>
          <cell r="F4808">
            <v>1.54</v>
          </cell>
        </row>
        <row r="4809">
          <cell r="B4809">
            <v>39996</v>
          </cell>
          <cell r="C4809" t="str">
            <v>VERGALHAO ZINCADO ROSCA TOTAL, 1/4" (6,3 MM)</v>
          </cell>
          <cell r="D4809" t="str">
            <v>M</v>
          </cell>
          <cell r="E4809" t="str">
            <v>CR</v>
          </cell>
          <cell r="F4809">
            <v>3.42</v>
          </cell>
        </row>
        <row r="4810">
          <cell r="B4810">
            <v>10478</v>
          </cell>
          <cell r="C4810" t="str">
            <v>VERNIZ A BASE RESINA ALQUIDICA COM POLIURETANO PARA MADEIRA, COM FILTRO SOLAR, BRILHANTE, USO INTERNO E EXTERNO</v>
          </cell>
          <cell r="D4810" t="str">
            <v>L</v>
          </cell>
          <cell r="E4810" t="str">
            <v>C</v>
          </cell>
          <cell r="F4810">
            <v>41.1</v>
          </cell>
        </row>
        <row r="4811">
          <cell r="B4811">
            <v>10481</v>
          </cell>
          <cell r="C4811" t="str">
            <v>VERNIZ MARITIMO PREMIUM PARA MADEIRA, COM FILTRO SOLAR, BRILHANTE, USO INTERNO E EXTERNO</v>
          </cell>
          <cell r="D4811" t="str">
            <v>L</v>
          </cell>
          <cell r="E4811" t="str">
            <v>CR</v>
          </cell>
          <cell r="F4811">
            <v>36.549999999999997</v>
          </cell>
        </row>
        <row r="4812">
          <cell r="B4812">
            <v>10475</v>
          </cell>
          <cell r="C4812" t="str">
            <v>VERNIZ TIPO COPAL PARA MADEIRA, BRILHANTE, USO INTERNO</v>
          </cell>
          <cell r="D4812" t="str">
            <v>L</v>
          </cell>
          <cell r="E4812" t="str">
            <v>CR</v>
          </cell>
          <cell r="F4812">
            <v>35.369999999999997</v>
          </cell>
        </row>
        <row r="4813">
          <cell r="B4813">
            <v>4030</v>
          </cell>
          <cell r="C4813" t="str">
            <v>VEU DE POLIESTER PARA IMPERMEABILIZACAO</v>
          </cell>
          <cell r="D4813" t="str">
            <v>M2</v>
          </cell>
          <cell r="E4813" t="str">
            <v>CR</v>
          </cell>
          <cell r="F4813">
            <v>7.38</v>
          </cell>
        </row>
        <row r="4814">
          <cell r="B4814">
            <v>4031</v>
          </cell>
          <cell r="C4814" t="str">
            <v>VEU DE VIDRO/VEU DE SUPERFICIE 30 A 35 G/M2</v>
          </cell>
          <cell r="D4814" t="str">
            <v>M2</v>
          </cell>
          <cell r="E4814" t="str">
            <v>CR</v>
          </cell>
          <cell r="F4814">
            <v>34.71</v>
          </cell>
        </row>
        <row r="4815">
          <cell r="B4815">
            <v>11652</v>
          </cell>
          <cell r="C4815" t="str">
            <v>VIBRADOR DE IMERSAO, DIAMETRO DA PONTEIRA DE *35* MM, COM MOTOR 4 TEMPOS A GASOLINA DE 5,5 HP (5,5 CV)</v>
          </cell>
          <cell r="D4815" t="str">
            <v>UN</v>
          </cell>
          <cell r="E4815" t="str">
            <v>C</v>
          </cell>
          <cell r="F4815">
            <v>4042.5</v>
          </cell>
        </row>
        <row r="4816">
          <cell r="B4816">
            <v>13896</v>
          </cell>
          <cell r="C4816" t="str">
            <v>VIBRADOR DE IMERSAO, DIAMETRO DA PONTEIRA DE *45* MM, COM MOTOR ELETRICO TRIFASICO DE 2 HP (2 CV)</v>
          </cell>
          <cell r="D4816" t="str">
            <v>UN</v>
          </cell>
          <cell r="E4816" t="str">
            <v>CR</v>
          </cell>
          <cell r="F4816">
            <v>3626.47</v>
          </cell>
        </row>
        <row r="4817">
          <cell r="B4817">
            <v>44470</v>
          </cell>
          <cell r="C4817" t="str">
            <v>VIBROACABADORA DE ASFALTO SOBRE ESTEIRAS, LARG. PAVIM. 2,13 M A 4,55 M, POT. 74 KW/ 100 HP, CAP. 400 T/ H</v>
          </cell>
          <cell r="D4817" t="str">
            <v>UN</v>
          </cell>
          <cell r="E4817" t="str">
            <v>CR</v>
          </cell>
          <cell r="F4817">
            <v>1836068.33</v>
          </cell>
        </row>
        <row r="4818">
          <cell r="B4818">
            <v>13476</v>
          </cell>
          <cell r="C4818" t="str">
            <v>VIBROACABADORA DE ASFALTO SOBRE ESTEIRAS, LARG. PAVIM. 2,60 M A 5,75 M, POT. 110 HP, CAP. 450 T/ H</v>
          </cell>
          <cell r="D4818" t="str">
            <v>UN</v>
          </cell>
          <cell r="E4818" t="str">
            <v>CR</v>
          </cell>
          <cell r="F4818">
            <v>1849373.31</v>
          </cell>
        </row>
        <row r="4819">
          <cell r="B4819">
            <v>44491</v>
          </cell>
          <cell r="C4819" t="str">
            <v>VIBROACABADORA DE ASFALTO SOBRE ESTEIRAS, LARG. PAVIM. MAX. 8,00 M, POT. 100 KW/ 134 HP, CAP. 600 T/ H</v>
          </cell>
          <cell r="D4819" t="str">
            <v>UN</v>
          </cell>
          <cell r="E4819" t="str">
            <v>CR</v>
          </cell>
          <cell r="F4819">
            <v>4361327.68</v>
          </cell>
        </row>
        <row r="4820">
          <cell r="B4820">
            <v>10488</v>
          </cell>
          <cell r="C4820" t="str">
            <v>VIBROACABADORA DE ASFALTO SOBRE ESTEIRAS, LARG. PAVIMENT. 1,90 A 5,3 M, POT. 78 KW/105 HP, CAP. 450 T/H</v>
          </cell>
          <cell r="D4820" t="str">
            <v>UN</v>
          </cell>
          <cell r="E4820" t="str">
            <v>C</v>
          </cell>
          <cell r="F4820">
            <v>2240535.66</v>
          </cell>
        </row>
        <row r="4821">
          <cell r="B4821">
            <v>13606</v>
          </cell>
          <cell r="C4821" t="str">
            <v>VIBROACABADORA DE ASFALTO SOBRE RODAS, LARGURA DE PAVIMENTACAO DE 1,70 A 4,20 M, POTENCIA 78 KW/105 HP, CAPACIDADE 300 T/H</v>
          </cell>
          <cell r="D4821" t="str">
            <v>UN</v>
          </cell>
          <cell r="E4821" t="str">
            <v>CR</v>
          </cell>
          <cell r="F4821">
            <v>1985082.55</v>
          </cell>
        </row>
        <row r="4822">
          <cell r="B4822">
            <v>10489</v>
          </cell>
          <cell r="C4822" t="str">
            <v>VIDRACEIRO (HORISTA)</v>
          </cell>
          <cell r="D4822" t="str">
            <v>H</v>
          </cell>
          <cell r="E4822" t="str">
            <v>CR</v>
          </cell>
          <cell r="F4822">
            <v>21.39</v>
          </cell>
        </row>
        <row r="4823">
          <cell r="B4823">
            <v>41073</v>
          </cell>
          <cell r="C4823" t="str">
            <v>VIDRACEIRO (MENSALISTA)</v>
          </cell>
          <cell r="D4823" t="str">
            <v>MES</v>
          </cell>
          <cell r="E4823" t="str">
            <v>CR</v>
          </cell>
          <cell r="F4823">
            <v>3749.26</v>
          </cell>
        </row>
        <row r="4824">
          <cell r="B4824">
            <v>34391</v>
          </cell>
          <cell r="C4824" t="str">
            <v>VIDRO COMUM LAMINADO LISO INCOLOR DUPLO, ESPESSURA TOTAL 8 MM (CADA CAMADA DE 4 MM) - COLOCADO</v>
          </cell>
          <cell r="D4824" t="str">
            <v>M2</v>
          </cell>
          <cell r="E4824" t="str">
            <v>CR</v>
          </cell>
          <cell r="F4824">
            <v>909.62</v>
          </cell>
        </row>
        <row r="4825">
          <cell r="B4825">
            <v>10496</v>
          </cell>
          <cell r="C4825" t="str">
            <v>VIDRO COMUM LAMINADO, LISO, INCOLOR, DUPLO, ESPESSURA TOTAL 6 MM (CADA CAMADA E= 3 MM) - COLOCADO</v>
          </cell>
          <cell r="D4825" t="str">
            <v>M2</v>
          </cell>
          <cell r="E4825" t="str">
            <v>CR</v>
          </cell>
          <cell r="F4825">
            <v>791.66</v>
          </cell>
        </row>
        <row r="4826">
          <cell r="B4826">
            <v>10497</v>
          </cell>
          <cell r="C4826" t="str">
            <v>VIDRO COMUM LAMINADO, LISO, INCOLOR, TRIPLO, ESPESSURA TOTAL 12 MM (CADA CAMADA E= 4 MM) - COLOCADO</v>
          </cell>
          <cell r="D4826" t="str">
            <v>M2</v>
          </cell>
          <cell r="E4826" t="str">
            <v>CR</v>
          </cell>
          <cell r="F4826">
            <v>2058.33</v>
          </cell>
        </row>
        <row r="4827">
          <cell r="B4827">
            <v>10504</v>
          </cell>
          <cell r="C4827" t="str">
            <v>VIDRO COMUM LAMINADO, LISO, INCOLOR, TRIPLO, ESPESSURA TOTAL 15 MM (CADA CAMADA E = 5 MM) - COLOCADO</v>
          </cell>
          <cell r="D4827" t="str">
            <v>M2</v>
          </cell>
          <cell r="E4827" t="str">
            <v>CR</v>
          </cell>
          <cell r="F4827">
            <v>2406.66</v>
          </cell>
        </row>
        <row r="4828">
          <cell r="B4828">
            <v>34390</v>
          </cell>
          <cell r="C4828" t="str">
            <v>VIDRO CRISTAL COLORIDO, 10 MM, PINTADO NA COR BRANCA</v>
          </cell>
          <cell r="D4828" t="str">
            <v>M2</v>
          </cell>
          <cell r="E4828" t="str">
            <v>CR</v>
          </cell>
          <cell r="F4828">
            <v>709.33</v>
          </cell>
        </row>
        <row r="4829">
          <cell r="B4829">
            <v>34389</v>
          </cell>
          <cell r="C4829" t="str">
            <v>VIDRO CRISTAL COLORIDO, 4 MM, PINTADO NA COR BRANCA</v>
          </cell>
          <cell r="D4829" t="str">
            <v>M2</v>
          </cell>
          <cell r="E4829" t="str">
            <v>CR</v>
          </cell>
          <cell r="F4829">
            <v>221.66</v>
          </cell>
        </row>
        <row r="4830">
          <cell r="B4830">
            <v>34388</v>
          </cell>
          <cell r="C4830" t="str">
            <v>VIDRO CRISTAL COLORIDO, 6 MM, PINTADO NA COR BRANCA</v>
          </cell>
          <cell r="D4830" t="str">
            <v>M2</v>
          </cell>
          <cell r="E4830" t="str">
            <v>CR</v>
          </cell>
          <cell r="F4830">
            <v>315.05</v>
          </cell>
        </row>
        <row r="4831">
          <cell r="B4831">
            <v>34387</v>
          </cell>
          <cell r="C4831" t="str">
            <v>VIDRO CRISTAL COLORIDO, 8 MM, PINTADO NA COR BRANCA</v>
          </cell>
          <cell r="D4831" t="str">
            <v>M2</v>
          </cell>
          <cell r="E4831" t="str">
            <v>CR</v>
          </cell>
          <cell r="F4831">
            <v>511.41</v>
          </cell>
        </row>
        <row r="4832">
          <cell r="B4832">
            <v>11188</v>
          </cell>
          <cell r="C4832" t="str">
            <v>VIDRO LISO FUME E = 4MM - SEM COLOCACAO</v>
          </cell>
          <cell r="D4832" t="str">
            <v>M2</v>
          </cell>
          <cell r="E4832" t="str">
            <v>CR</v>
          </cell>
          <cell r="F4832">
            <v>253.33</v>
          </cell>
        </row>
        <row r="4833">
          <cell r="B4833">
            <v>11189</v>
          </cell>
          <cell r="C4833" t="str">
            <v>VIDRO LISO FUME E = 6MM - SEM COLOCACAO</v>
          </cell>
          <cell r="D4833" t="str">
            <v>M2</v>
          </cell>
          <cell r="E4833" t="str">
            <v>CR</v>
          </cell>
          <cell r="F4833">
            <v>380</v>
          </cell>
        </row>
        <row r="4834">
          <cell r="B4834">
            <v>21107</v>
          </cell>
          <cell r="C4834" t="str">
            <v>VIDRO LISO FUME, E = 5 MM - SEM COLOCACAO</v>
          </cell>
          <cell r="D4834" t="str">
            <v>M2</v>
          </cell>
          <cell r="E4834" t="str">
            <v>CR</v>
          </cell>
          <cell r="F4834">
            <v>273.47000000000003</v>
          </cell>
        </row>
        <row r="4835">
          <cell r="B4835">
            <v>34386</v>
          </cell>
          <cell r="C4835" t="str">
            <v>VIDRO LISO INCOLOR 10 MM - SEM COLOCACAO</v>
          </cell>
          <cell r="D4835" t="str">
            <v>M2</v>
          </cell>
          <cell r="E4835" t="str">
            <v>CR</v>
          </cell>
          <cell r="F4835">
            <v>475</v>
          </cell>
        </row>
        <row r="4836">
          <cell r="B4836">
            <v>10490</v>
          </cell>
          <cell r="C4836" t="str">
            <v>VIDRO LISO INCOLOR 2 A 3 MM - SEM COLOCACAO</v>
          </cell>
          <cell r="D4836" t="str">
            <v>M2</v>
          </cell>
          <cell r="E4836" t="str">
            <v>CR</v>
          </cell>
          <cell r="F4836">
            <v>166.25</v>
          </cell>
        </row>
        <row r="4837">
          <cell r="B4837">
            <v>10492</v>
          </cell>
          <cell r="C4837" t="str">
            <v>VIDRO LISO INCOLOR 4MM - SEM COLOCACAO</v>
          </cell>
          <cell r="D4837" t="str">
            <v>M2</v>
          </cell>
          <cell r="E4837" t="str">
            <v>C</v>
          </cell>
          <cell r="F4837">
            <v>190</v>
          </cell>
        </row>
        <row r="4838">
          <cell r="B4838">
            <v>10493</v>
          </cell>
          <cell r="C4838" t="str">
            <v>VIDRO LISO INCOLOR 5MM - SEM COLOCACAO</v>
          </cell>
          <cell r="D4838" t="str">
            <v>M2</v>
          </cell>
          <cell r="E4838" t="str">
            <v>CR</v>
          </cell>
          <cell r="F4838">
            <v>221.66</v>
          </cell>
        </row>
        <row r="4839">
          <cell r="B4839">
            <v>10491</v>
          </cell>
          <cell r="C4839" t="str">
            <v>VIDRO LISO INCOLOR 6 MM - SEM COLOCACAO</v>
          </cell>
          <cell r="D4839" t="str">
            <v>M2</v>
          </cell>
          <cell r="E4839" t="str">
            <v>CR</v>
          </cell>
          <cell r="F4839">
            <v>269.16000000000003</v>
          </cell>
        </row>
        <row r="4840">
          <cell r="B4840">
            <v>34385</v>
          </cell>
          <cell r="C4840" t="str">
            <v>VIDRO LISO INCOLOR 8MM - SEM COLOCACAO</v>
          </cell>
          <cell r="D4840" t="str">
            <v>M2</v>
          </cell>
          <cell r="E4840" t="str">
            <v>CR</v>
          </cell>
          <cell r="F4840">
            <v>392.66</v>
          </cell>
        </row>
        <row r="4841">
          <cell r="B4841">
            <v>10499</v>
          </cell>
          <cell r="C4841" t="str">
            <v>VIDRO MARTELADO OU CANELADO, 4 MM - SEM COLOCACAO</v>
          </cell>
          <cell r="D4841" t="str">
            <v>M2</v>
          </cell>
          <cell r="E4841" t="str">
            <v>CR</v>
          </cell>
          <cell r="F4841">
            <v>158.33000000000001</v>
          </cell>
        </row>
        <row r="4842">
          <cell r="B4842">
            <v>34384</v>
          </cell>
          <cell r="C4842" t="str">
            <v>VIDRO PLANO ARAMADO E = 6 MM - SEM COLOCACAO</v>
          </cell>
          <cell r="D4842" t="str">
            <v>M2</v>
          </cell>
          <cell r="E4842" t="str">
            <v>CR</v>
          </cell>
          <cell r="F4842">
            <v>475</v>
          </cell>
        </row>
        <row r="4843">
          <cell r="B4843">
            <v>11185</v>
          </cell>
          <cell r="C4843" t="str">
            <v>VIDRO PLANO ARAMADO E = 7MM - SEM COLOCACAO</v>
          </cell>
          <cell r="D4843" t="str">
            <v>M2</v>
          </cell>
          <cell r="E4843" t="str">
            <v>CR</v>
          </cell>
          <cell r="F4843">
            <v>490.83</v>
          </cell>
        </row>
        <row r="4844">
          <cell r="B4844">
            <v>10507</v>
          </cell>
          <cell r="C4844" t="str">
            <v>VIDRO TEMPERADO INCOLOR E = 10 MM, SEM COLOCACAO</v>
          </cell>
          <cell r="D4844" t="str">
            <v>M2</v>
          </cell>
          <cell r="E4844" t="str">
            <v>CR</v>
          </cell>
          <cell r="F4844">
            <v>439.16</v>
          </cell>
        </row>
        <row r="4845">
          <cell r="B4845">
            <v>10505</v>
          </cell>
          <cell r="C4845" t="str">
            <v>VIDRO TEMPERADO INCOLOR E = 6 MM, SEM COLOCACAO</v>
          </cell>
          <cell r="D4845" t="str">
            <v>M2</v>
          </cell>
          <cell r="E4845" t="str">
            <v>CR</v>
          </cell>
          <cell r="F4845">
            <v>259.13</v>
          </cell>
        </row>
        <row r="4846">
          <cell r="B4846">
            <v>10506</v>
          </cell>
          <cell r="C4846" t="str">
            <v>VIDRO TEMPERADO INCOLOR E = 8 MM, SEM COLOCACAO</v>
          </cell>
          <cell r="D4846" t="str">
            <v>M2</v>
          </cell>
          <cell r="E4846" t="str">
            <v>CR</v>
          </cell>
          <cell r="F4846">
            <v>338.28</v>
          </cell>
        </row>
        <row r="4847">
          <cell r="B4847">
            <v>5031</v>
          </cell>
          <cell r="C4847" t="str">
            <v>VIDRO TEMPERADO INCOLOR PARA PORTA DE ABRIR, E = 10 MM (SEM FERRAGENS E SEM COLOCACAO)</v>
          </cell>
          <cell r="D4847" t="str">
            <v>M2</v>
          </cell>
          <cell r="E4847" t="str">
            <v>C</v>
          </cell>
          <cell r="F4847">
            <v>475</v>
          </cell>
        </row>
        <row r="4848">
          <cell r="B4848">
            <v>10502</v>
          </cell>
          <cell r="C4848" t="str">
            <v>VIDRO TEMPERADO VERDE E = 10 MM, SEM COLOCACAO</v>
          </cell>
          <cell r="D4848" t="str">
            <v>M2</v>
          </cell>
          <cell r="E4848" t="str">
            <v>CR</v>
          </cell>
          <cell r="F4848">
            <v>553.48</v>
          </cell>
        </row>
        <row r="4849">
          <cell r="B4849">
            <v>10501</v>
          </cell>
          <cell r="C4849" t="str">
            <v>VIDRO TEMPERADO VERDE E = 6 MM, SEM COLOCACAO</v>
          </cell>
          <cell r="D4849" t="str">
            <v>M2</v>
          </cell>
          <cell r="E4849" t="str">
            <v>CR</v>
          </cell>
          <cell r="F4849">
            <v>312.7</v>
          </cell>
        </row>
        <row r="4850">
          <cell r="B4850">
            <v>10503</v>
          </cell>
          <cell r="C4850" t="str">
            <v>VIDRO TEMPERADO VERDE E = 8 MM, SEM COLOCACAO</v>
          </cell>
          <cell r="D4850" t="str">
            <v>M2</v>
          </cell>
          <cell r="E4850" t="str">
            <v>CR</v>
          </cell>
          <cell r="F4850">
            <v>422.46</v>
          </cell>
        </row>
        <row r="4851">
          <cell r="B4851">
            <v>4500</v>
          </cell>
          <cell r="C4851" t="str">
            <v>VIGA *7,5 X 10* CM EM PINUS, MISTA OU EQUIVALENTE DA REGIAO - BRUTA</v>
          </cell>
          <cell r="D4851" t="str">
            <v>M</v>
          </cell>
          <cell r="E4851" t="str">
            <v>CR</v>
          </cell>
          <cell r="F4851">
            <v>15.69</v>
          </cell>
        </row>
        <row r="4852">
          <cell r="B4852">
            <v>4448</v>
          </cell>
          <cell r="C4852" t="str">
            <v>VIGA *7,5 X 15 CM EM PINUS, MISTA OU EQUIVALENTE DA REGIAO - BRUTA</v>
          </cell>
          <cell r="D4852" t="str">
            <v>M</v>
          </cell>
          <cell r="E4852" t="str">
            <v>CR</v>
          </cell>
          <cell r="F4852">
            <v>21.56</v>
          </cell>
        </row>
        <row r="4853">
          <cell r="B4853">
            <v>20213</v>
          </cell>
          <cell r="C4853" t="str">
            <v>VIGA APARELHADA *6 X 12* CM, EM MACARANDUBA/MASSARANDUBA, ANGELIM OU EQUIVALENTE DA REGIAO</v>
          </cell>
          <cell r="D4853" t="str">
            <v>M</v>
          </cell>
          <cell r="E4853" t="str">
            <v>CR</v>
          </cell>
          <cell r="F4853">
            <v>32.19</v>
          </cell>
        </row>
        <row r="4854">
          <cell r="B4854">
            <v>20211</v>
          </cell>
          <cell r="C4854" t="str">
            <v>VIGA APARELHADA *6 X 16* CM, EM MACARANDUBA/MASSARANDUBA, ANGELIM OU EQUIVALENTE DA REGIAO</v>
          </cell>
          <cell r="D4854" t="str">
            <v>M</v>
          </cell>
          <cell r="E4854" t="str">
            <v>CR</v>
          </cell>
          <cell r="F4854">
            <v>42.63</v>
          </cell>
        </row>
        <row r="4855">
          <cell r="B4855">
            <v>40270</v>
          </cell>
          <cell r="C4855" t="str">
            <v>VIGA DE ESCORAMENTO H20, DE MADEIRA, PESO DE 5,00 A 5,20 KG/M, COM EXTREMIDADES PLASTICAS</v>
          </cell>
          <cell r="D4855" t="str">
            <v>M</v>
          </cell>
          <cell r="E4855" t="str">
            <v>C</v>
          </cell>
          <cell r="F4855">
            <v>133.03</v>
          </cell>
        </row>
        <row r="4856">
          <cell r="B4856">
            <v>4425</v>
          </cell>
          <cell r="C4856" t="str">
            <v>VIGA NAO APARELHADA *6 X 12* CM, EM MACARANDUBA/MASSARANDUBA, ANGELIM OU EQUIVALENTE DA REGIAO - BRUTA</v>
          </cell>
          <cell r="D4856" t="str">
            <v>M</v>
          </cell>
          <cell r="E4856" t="str">
            <v>CR</v>
          </cell>
          <cell r="F4856">
            <v>35.24</v>
          </cell>
        </row>
        <row r="4857">
          <cell r="B4857">
            <v>4472</v>
          </cell>
          <cell r="C4857" t="str">
            <v>VIGA NAO APARELHADA *6 X 16* CM, EM MACARANDUBA/MASSARANDUBA, ANGELIM OU EQUIVALENTE DA REGIAO - BRUTA</v>
          </cell>
          <cell r="D4857" t="str">
            <v>M</v>
          </cell>
          <cell r="E4857" t="str">
            <v>CR</v>
          </cell>
          <cell r="F4857">
            <v>44.02</v>
          </cell>
        </row>
        <row r="4858">
          <cell r="B4858">
            <v>35272</v>
          </cell>
          <cell r="C4858" t="str">
            <v>VIGA NAO APARELHADA *6 X 20* CM, EM MACARANDUBA/MASSARANDUBA, ANGELIM OU EQUIVALENTE DA REGIAO - BRUTA</v>
          </cell>
          <cell r="D4858" t="str">
            <v>M</v>
          </cell>
          <cell r="E4858" t="str">
            <v>CR</v>
          </cell>
          <cell r="F4858">
            <v>63.63</v>
          </cell>
        </row>
        <row r="4859">
          <cell r="B4859">
            <v>4481</v>
          </cell>
          <cell r="C4859" t="str">
            <v>VIGA NAO APARELHADA *8 X 16* CM EM MACARANDUBA/MASSARANDUBA, ANGELIM OU EQUIVALENTE DA REGIAO - BRUTA</v>
          </cell>
          <cell r="D4859" t="str">
            <v>M</v>
          </cell>
          <cell r="E4859" t="str">
            <v>CR</v>
          </cell>
          <cell r="F4859">
            <v>68.11</v>
          </cell>
        </row>
        <row r="4860">
          <cell r="B4860">
            <v>34345</v>
          </cell>
          <cell r="C4860" t="str">
            <v>VIGIA DIURNO (HORISTA)</v>
          </cell>
          <cell r="D4860" t="str">
            <v>H</v>
          </cell>
          <cell r="E4860" t="str">
            <v>CR</v>
          </cell>
          <cell r="F4860">
            <v>24.05</v>
          </cell>
        </row>
        <row r="4861">
          <cell r="B4861">
            <v>41096</v>
          </cell>
          <cell r="C4861" t="str">
            <v>VIGIA DIURNO (MENSALISTA)</v>
          </cell>
          <cell r="D4861" t="str">
            <v>MES</v>
          </cell>
          <cell r="E4861" t="str">
            <v>CR</v>
          </cell>
          <cell r="F4861">
            <v>4215.3900000000003</v>
          </cell>
        </row>
      </sheetData>
      <sheetData sheetId="3"/>
      <sheetData sheetId="4"/>
      <sheetData sheetId="5">
        <row r="11">
          <cell r="B11">
            <v>104658</v>
          </cell>
          <cell r="C11" t="str">
            <v>PISO PODOTÁTIL DE ALERTA OU DIRECIONAL, DE CONCRETO, ASSENTADO SOBRE ARGAMASSA. AF_03/2024</v>
          </cell>
          <cell r="D11" t="str">
            <v>M2</v>
          </cell>
          <cell r="E11">
            <v>194.52</v>
          </cell>
          <cell r="F11">
            <v>0</v>
          </cell>
        </row>
        <row r="12">
          <cell r="B12">
            <v>105002</v>
          </cell>
          <cell r="C12" t="str">
            <v>RAMPA DE ACESSIBILIDADE EM CONCRETO MOLDADO IN LOCO, EM CALÇADA NOVA COM LARGURA MAIOR OU IGUAL À 3,00 M, FCK 25MPA, COM PISO PODOTÁTIL. AF_03/2024</v>
          </cell>
          <cell r="D12" t="str">
            <v>UN</v>
          </cell>
          <cell r="E12">
            <v>795.96</v>
          </cell>
          <cell r="F12">
            <v>0</v>
          </cell>
        </row>
        <row r="13">
          <cell r="B13">
            <v>105004</v>
          </cell>
          <cell r="C13" t="str">
            <v>RAMPA DE ACESSIBILIDADE EM CONCRETO MOLDADO IN LOCO, EM CALÇADA NOVA COM LARGURA MENOR À 3,00 M, FCK 25MPA, COM PISO PODOTÁTIL. AF_03/2024</v>
          </cell>
          <cell r="D13" t="str">
            <v>M2</v>
          </cell>
          <cell r="E13">
            <v>134.96</v>
          </cell>
          <cell r="F13">
            <v>0</v>
          </cell>
        </row>
        <row r="14">
          <cell r="B14">
            <v>105003</v>
          </cell>
          <cell r="C14" t="str">
            <v>RAMPA DE ACESSIBILIDADE EM CONCRETO MOLDADO IN LOCO, EM CALÇADA PRÉ EXISTENTE COM LARGURA MAIOR OU IGUAL À 3,00 M, FCK 25MPA, COM PISO PODOTÁTIL. AF_03/2024</v>
          </cell>
          <cell r="D14" t="str">
            <v>UN</v>
          </cell>
          <cell r="E14">
            <v>1364.85</v>
          </cell>
          <cell r="F14">
            <v>0</v>
          </cell>
        </row>
        <row r="15">
          <cell r="B15">
            <v>105005</v>
          </cell>
          <cell r="C15" t="str">
            <v>RAMPA DE ACESSIBILIDADE EM CONCRETO MOLDADO IN LOCO, EM CALÇADA PRÉ EXISTENTE COM LARGURA MENOR À 3,00 M, FCK 25MPA, COM PISO PODOTÁTIL. AF_03/2024</v>
          </cell>
          <cell r="D15" t="str">
            <v>M2</v>
          </cell>
          <cell r="E15">
            <v>240.29</v>
          </cell>
          <cell r="F15">
            <v>0</v>
          </cell>
        </row>
        <row r="16">
          <cell r="B16">
            <v>105006</v>
          </cell>
          <cell r="C16" t="str">
            <v>RAMPA DE ACESSIBILIDADE EM CONCRETO PRÉ MOLDADO, EM CALÇADA NOVA COM LARGURA MAIOR OU IGUAL À 3,00 M, FCK 25MPA, COM PISO PODOTÁTIL. AF_03/2024</v>
          </cell>
          <cell r="D16" t="str">
            <v>UN</v>
          </cell>
          <cell r="E16">
            <v>0</v>
          </cell>
        </row>
        <row r="17">
          <cell r="B17">
            <v>104999</v>
          </cell>
          <cell r="C17" t="str">
            <v>RAMPA DE ACESSIBILIDADE EM CONCRETO PRÉ MOLDADO, EM CALÇADA PRÉ EXISTENTE COM LARGURA MAIOR OU IGUAL À 3,00 M, FCK 25MPA, COM PISO PODOTÁTIL. AF_03/2024</v>
          </cell>
          <cell r="D17" t="str">
            <v>UN</v>
          </cell>
          <cell r="E17">
            <v>0</v>
          </cell>
        </row>
        <row r="18">
          <cell r="B18">
            <v>105000</v>
          </cell>
          <cell r="C18" t="str">
            <v>RAMPA DE ACESSIBILIDADE PARA ACESSO A EDIFICAÇÕES COM INCLINAÇÃO DE 8,33% EM CONCRETO MOLDADO IN LOCO, COM LARGURA DE 1,20M, FCK 25MPA, NÃO ARMADA, COM JUNTA A CADA 2M COM CORTE À SECO. AF_03/2024</v>
          </cell>
          <cell r="D18" t="str">
            <v>M</v>
          </cell>
          <cell r="E18">
            <v>1317.89</v>
          </cell>
          <cell r="F18">
            <v>0</v>
          </cell>
        </row>
        <row r="19">
          <cell r="B19">
            <v>105001</v>
          </cell>
          <cell r="C19" t="str">
            <v>RAMPA DE ACESSIBILIDADE PARA ACESSO A EDIFICAÇÕES COM INCLINAÇÃO DE 8,33% EM CONCRETO MOLDADO IN LOCO, COM LARGURA DE 1,50M, FCK 25MPA, NÃO ARMADA, COM JUNTA A CADA 2M COM CORTE À SECO. AF_03/2024</v>
          </cell>
          <cell r="D19" t="str">
            <v>M</v>
          </cell>
          <cell r="E19">
            <v>1348.47</v>
          </cell>
          <cell r="F19">
            <v>0</v>
          </cell>
        </row>
        <row r="20">
          <cell r="B20">
            <v>89306</v>
          </cell>
          <cell r="C20" t="str">
            <v>ALVENARIA ESTRUTURAL DE BLOCOS CERÂMICOS 14X19X29, (ESPESSURA DE 14 CM), UTILIZANDO COLHER DE PEDREIRO E ARGAMASSA DE ASSENTAMENTO COM PREPARO EM BETONEIRA. AF_03/2023</v>
          </cell>
          <cell r="D20" t="str">
            <v>M2</v>
          </cell>
          <cell r="E20">
            <v>109.23</v>
          </cell>
          <cell r="F20">
            <v>0</v>
          </cell>
        </row>
        <row r="21">
          <cell r="B21">
            <v>89307</v>
          </cell>
          <cell r="C21" t="str">
            <v>ALVENARIA ESTRUTURAL DE BLOCOS CERÂMICOS 14X19X29, (ESPESSURA DE 14 CM), UTILIZANDO COLHER DE PEDREIRO E ARGAMASSA DE ASSENTAMENTO COM PREPARO MANUAL. AF_03/2023</v>
          </cell>
          <cell r="D21" t="str">
            <v>M2</v>
          </cell>
          <cell r="E21">
            <v>112.43</v>
          </cell>
          <cell r="F21">
            <v>0</v>
          </cell>
        </row>
        <row r="22">
          <cell r="B22">
            <v>89290</v>
          </cell>
          <cell r="C22" t="str">
            <v>ALVENARIA ESTRUTURAL DE BLOCOS CERÂMICOS 14X19X29, (ESPESSURA DE 14 CM), UTILIZANDO PALHETA E ARGAMASSA DE ASSENTAMENTO COM PREPARO EM BETONEIRA. AF_03/2023</v>
          </cell>
          <cell r="D22" t="str">
            <v>M2</v>
          </cell>
          <cell r="E22">
            <v>88.84</v>
          </cell>
          <cell r="F22">
            <v>0</v>
          </cell>
        </row>
        <row r="23">
          <cell r="B23">
            <v>89291</v>
          </cell>
          <cell r="C23" t="str">
            <v>ALVENARIA ESTRUTURAL DE BLOCOS CERÂMICOS 14X19X29, (ESPESSURA DE 14 CM), UTILIZANDO PALHETA E ARGAMASSA DE ASSENTAMENTO COM PREPARO MANUAL. AF_03/2023</v>
          </cell>
          <cell r="D23" t="str">
            <v>M2</v>
          </cell>
          <cell r="E23">
            <v>91.22</v>
          </cell>
          <cell r="F23">
            <v>0</v>
          </cell>
        </row>
        <row r="24">
          <cell r="B24">
            <v>89298</v>
          </cell>
          <cell r="C24" t="str">
            <v>ALVENARIA ESTRUTURAL DE BLOCOS CERÂMICOS 14X19X39, (ESPESSURA DE 14 CM), UTILIZANDO COLHER DE PEDREIRO E ARGAMASSA DE ASSENTAMENTO COM PREPARO EM BETONEIRA. AF_03/2023</v>
          </cell>
          <cell r="D24" t="str">
            <v>M2</v>
          </cell>
          <cell r="E24">
            <v>92.57</v>
          </cell>
          <cell r="F24">
            <v>0</v>
          </cell>
        </row>
        <row r="25">
          <cell r="B25">
            <v>89299</v>
          </cell>
          <cell r="C25" t="str">
            <v>ALVENARIA ESTRUTURAL DE BLOCOS CERÂMICOS 14X19X39, (ESPESSURA DE 14 CM), UTILIZANDO COLHER DE PEDREIRO E ARGAMASSA DE ASSENTAMENTO COM PREPARO MANUAL. AF_03/2023</v>
          </cell>
          <cell r="D25" t="str">
            <v>M2</v>
          </cell>
          <cell r="E25">
            <v>95.44</v>
          </cell>
          <cell r="F25">
            <v>0</v>
          </cell>
        </row>
        <row r="26">
          <cell r="B26">
            <v>89282</v>
          </cell>
          <cell r="C26" t="str">
            <v>ALVENARIA ESTRUTURAL DE BLOCOS CERÂMICOS 14X19X39, (ESPESSURA DE 14 CM), UTILIZANDO PALHETA E ARGAMASSA DE ASSENTAMENTO COM PREPARO EM BETONEIRA. AF_03/2023</v>
          </cell>
          <cell r="D26" t="str">
            <v>M2</v>
          </cell>
          <cell r="E26">
            <v>78.36</v>
          </cell>
          <cell r="F26">
            <v>0</v>
          </cell>
        </row>
        <row r="27">
          <cell r="B27">
            <v>89283</v>
          </cell>
          <cell r="C27" t="str">
            <v>ALVENARIA ESTRUTURAL DE BLOCOS CERÂMICOS 14X19X39, (ESPESSURA DE 14 CM), UTILIZANDO PALHETA E ARGAMASSA DE ASSENTAMENTO COM PREPARO MANUAL. AF_03/2023</v>
          </cell>
          <cell r="D27" t="str">
            <v>M2</v>
          </cell>
          <cell r="E27">
            <v>80.5</v>
          </cell>
          <cell r="F27">
            <v>0</v>
          </cell>
        </row>
        <row r="28">
          <cell r="B28">
            <v>89480</v>
          </cell>
          <cell r="C28" t="str">
            <v>ALVENARIA DE BLOCOS DE CONCRETO ESTRUTURAL 14X19X29 CM (ESPESSURA 14 CM), FBK = 14 MPA, UTILIZANDO COLHER DE PEDREIRO. AF_10/2022</v>
          </cell>
          <cell r="D28" t="str">
            <v>M2</v>
          </cell>
          <cell r="E28">
            <v>173.18</v>
          </cell>
          <cell r="F28">
            <v>0</v>
          </cell>
        </row>
        <row r="29">
          <cell r="B29">
            <v>89464</v>
          </cell>
          <cell r="C29" t="str">
            <v>ALVENARIA DE BLOCOS DE CONCRETO ESTRUTURAL 14X19X29 CM (ESPESSURA 14 CM), FBK = 14,0 MPA, UTILIZANDO PALHETA. AF_10/2022</v>
          </cell>
          <cell r="D29" t="str">
            <v>M2</v>
          </cell>
          <cell r="E29">
            <v>147.69</v>
          </cell>
          <cell r="F29">
            <v>0</v>
          </cell>
        </row>
        <row r="30">
          <cell r="B30">
            <v>89478</v>
          </cell>
          <cell r="C30" t="str">
            <v>ALVENARIA DE BLOCOS DE CONCRETO ESTRUTURAL 14X19X29 CM (ESPESSURA 14 CM), FBK = 4,5 MPA, UTILIZANDO COLHER DE PEDREIRO. AF_10/2022</v>
          </cell>
          <cell r="D30" t="str">
            <v>M2</v>
          </cell>
          <cell r="E30">
            <v>150.81</v>
          </cell>
          <cell r="F30">
            <v>0</v>
          </cell>
        </row>
        <row r="31">
          <cell r="B31">
            <v>89462</v>
          </cell>
          <cell r="C31" t="str">
            <v>ALVENARIA DE BLOCOS DE CONCRETO ESTRUTURAL 14X19X29 CM (ESPESSURA 14 CM), FBK = 4,5 MPA, UTILIZANDO PALHETA. AF_10/2022</v>
          </cell>
          <cell r="D31" t="str">
            <v>M2</v>
          </cell>
          <cell r="E31">
            <v>126.62</v>
          </cell>
          <cell r="F31">
            <v>0</v>
          </cell>
        </row>
        <row r="32">
          <cell r="B32">
            <v>104444</v>
          </cell>
          <cell r="C32" t="str">
            <v>ALVENARIA DE BLOCOS DE CONCRETO ESTRUTURAL 14X19X29 CM (ESPESSURA 14 CM), FBK = 8 MPA, UTILIZANDO COLHER DE PEDREIRO. AF_10/2022</v>
          </cell>
          <cell r="D32" t="str">
            <v>M2</v>
          </cell>
          <cell r="E32">
            <v>0</v>
          </cell>
        </row>
        <row r="33">
          <cell r="B33">
            <v>104442</v>
          </cell>
          <cell r="C33" t="str">
            <v>ALVENARIA DE BLOCOS DE CONCRETO ESTRUTURAL 14X19X29 CM (ESPESSURA 14 CM), FBK = 8 MPA, UTILIZANDO PALHETA. AF_10/2022</v>
          </cell>
          <cell r="D33" t="str">
            <v>M2</v>
          </cell>
          <cell r="E33">
            <v>0</v>
          </cell>
        </row>
        <row r="34">
          <cell r="B34">
            <v>89472</v>
          </cell>
          <cell r="C34" t="str">
            <v>ALVENARIA DE BLOCOS DE CONCRETO ESTRUTURAL 14X19X39 CM (ESPESSURA 14 CM), FBK = 14 MPA, UTILIZANDO COLHER DE PEDREIRO. AF_10/2022</v>
          </cell>
          <cell r="D34" t="str">
            <v>M2</v>
          </cell>
          <cell r="E34">
            <v>128.80000000000001</v>
          </cell>
          <cell r="F34">
            <v>0</v>
          </cell>
        </row>
        <row r="35">
          <cell r="B35">
            <v>89455</v>
          </cell>
          <cell r="C35" t="str">
            <v>ALVENARIA DE BLOCOS DE CONCRETO ESTRUTURAL 14X19X39 CM (ESPESSURA 14 CM), FBK = 14 MPA, UTILIZANDO PALHETA. AF_10/2022</v>
          </cell>
          <cell r="D35" t="str">
            <v>M2</v>
          </cell>
          <cell r="E35">
            <v>113.06</v>
          </cell>
          <cell r="F35">
            <v>0</v>
          </cell>
        </row>
        <row r="36">
          <cell r="B36">
            <v>89470</v>
          </cell>
          <cell r="C36" t="str">
            <v>ALVENARIA DE BLOCOS DE CONCRETO ESTRUTURAL 14X19X39 CM (ESPESSURA 14 CM), FBK = 4,5 MPA, UTILIZANDO COLHER DE PEDREIRO. AF_10/2022</v>
          </cell>
          <cell r="D36" t="str">
            <v>M2</v>
          </cell>
          <cell r="E36">
            <v>108.55</v>
          </cell>
          <cell r="F36">
            <v>0</v>
          </cell>
        </row>
        <row r="37">
          <cell r="B37">
            <v>89453</v>
          </cell>
          <cell r="C37" t="str">
            <v>ALVENARIA DE BLOCOS DE CONCRETO ESTRUTURAL 14X19X39 CM (ESPESSURA 14 CM), FBK = 4,5 MPA, UTILIZANDO PALHETA. AF_10/2022</v>
          </cell>
          <cell r="D37" t="str">
            <v>M2</v>
          </cell>
          <cell r="E37">
            <v>94.13</v>
          </cell>
          <cell r="F37">
            <v>0</v>
          </cell>
        </row>
        <row r="38">
          <cell r="B38">
            <v>104443</v>
          </cell>
          <cell r="C38" t="str">
            <v>ALVENARIA DE BLOCOS DE CONCRETO ESTRUTURAL 14X19X39 CM (ESPESSURA 14 CM), FBK = 8 MPA, UTILIZANDO COLHER DE PEDREIRO. AF_10/2022</v>
          </cell>
          <cell r="D38" t="str">
            <v>M2</v>
          </cell>
          <cell r="E38">
            <v>0</v>
          </cell>
        </row>
        <row r="39">
          <cell r="B39">
            <v>104441</v>
          </cell>
          <cell r="C39" t="str">
            <v>ALVENARIA DE BLOCOS DE CONCRETO ESTRUTURAL 14X19X39 CM (ESPESSURA 14 CM), FBK = 8 MPA, UTILIZANDO PALHETA. AF_10/2022</v>
          </cell>
          <cell r="D39" t="str">
            <v>M2</v>
          </cell>
          <cell r="E39">
            <v>0</v>
          </cell>
        </row>
        <row r="40">
          <cell r="B40">
            <v>103354</v>
          </cell>
          <cell r="C40" t="str">
            <v>ALVENARIA DE VEDAÇÃO DE BLOCOS CERÂMICOS FURADOS NA HORIZONTAL DE 11,5X14X24 CM (ESPESSURA 11,5 CM) E ARGAMASSA DE ASSENTAMENTO COM PREPARO EM BETONEIRA. AF_12/2021</v>
          </cell>
          <cell r="D40" t="str">
            <v>M2</v>
          </cell>
          <cell r="E40">
            <v>103.95</v>
          </cell>
          <cell r="F40">
            <v>0</v>
          </cell>
        </row>
        <row r="41">
          <cell r="B41">
            <v>103355</v>
          </cell>
          <cell r="C41" t="str">
            <v>ALVENARIA DE VEDAÇÃO DE BLOCOS CERÂMICOS FURADOS NA HORIZONTAL DE 11,5X14X24 CM (ESPESSURA 11,5 CM) E ARGAMASSA DE ASSENTAMENTO COM PREPARO MANUAL. AF_12/2021</v>
          </cell>
          <cell r="D41" t="str">
            <v>M2</v>
          </cell>
          <cell r="E41">
            <v>105.84</v>
          </cell>
          <cell r="F41">
            <v>0</v>
          </cell>
        </row>
        <row r="42">
          <cell r="B42">
            <v>103330</v>
          </cell>
          <cell r="C42" t="str">
            <v>ALVENARIA DE VEDAÇÃO DE BLOCOS CERÂMICOS FURADOS NA HORIZONTAL DE 11,5X19X19 CM (ESPESSURA 11,5 CM) E ARGAMASSA DE ASSENTAMENTO COM PREPARO EM BETONEIRA. AF_12/2021</v>
          </cell>
          <cell r="D42" t="str">
            <v>M2</v>
          </cell>
          <cell r="E42">
            <v>95.31</v>
          </cell>
          <cell r="F42">
            <v>0</v>
          </cell>
        </row>
        <row r="43">
          <cell r="B43">
            <v>103331</v>
          </cell>
          <cell r="C43" t="str">
            <v>ALVENARIA DE VEDAÇÃO DE BLOCOS CERÂMICOS FURADOS NA HORIZONTAL DE 11,5X19X19 CM (ESPESSURA 11,5 CM) E ARGAMASSA DE ASSENTAMENTO COM PREPARO MANUAL. AF_12/2021</v>
          </cell>
          <cell r="D43" t="str">
            <v>M2</v>
          </cell>
          <cell r="E43">
            <v>97.09</v>
          </cell>
          <cell r="F43">
            <v>0</v>
          </cell>
        </row>
        <row r="44">
          <cell r="B44">
            <v>103358</v>
          </cell>
          <cell r="C44" t="str">
            <v>ALVENARIA DE VEDAÇÃO DE BLOCOS CERÂMICOS FURADOS NA HORIZONTAL DE 11,5X19X29 CM (ESPESSURA 11,5 CM) E ARGAMASSA DE ASSENTAMENTO COM PREPARO EM BETONEIRA. AF_12/2021</v>
          </cell>
          <cell r="D44" t="str">
            <v>M2</v>
          </cell>
          <cell r="E44">
            <v>79.91</v>
          </cell>
          <cell r="F44">
            <v>0</v>
          </cell>
        </row>
        <row r="45">
          <cell r="B45">
            <v>103359</v>
          </cell>
          <cell r="C45" t="str">
            <v>ALVENARIA DE VEDAÇÃO DE BLOCOS CERÂMICOS FURADOS NA HORIZONTAL DE 11,5X19X29 CM (ESPESSURA 11,5 CM) E ARGAMASSA DE ASSENTAMENTO COM PREPARO MANUAL. AF_12/2021</v>
          </cell>
          <cell r="D45" t="str">
            <v>M2</v>
          </cell>
          <cell r="E45">
            <v>81.42</v>
          </cell>
          <cell r="F45">
            <v>0</v>
          </cell>
        </row>
        <row r="46">
          <cell r="B46">
            <v>103366</v>
          </cell>
          <cell r="C46" t="str">
            <v>ALVENARIA DE VEDAÇÃO DE BLOCOS CERÂMICOS FURADOS NA HORIZONTAL DE 11,5X19X39 CM (ESPESSURA 11,5 CM) E ARGAMASSA DE ASSENTAMENTO COM PREPARO EM BETONEIRA. AF_12/2021</v>
          </cell>
          <cell r="D46" t="str">
            <v>M2</v>
          </cell>
          <cell r="E46">
            <v>68.739999999999995</v>
          </cell>
          <cell r="F46">
            <v>0</v>
          </cell>
        </row>
        <row r="47">
          <cell r="B47">
            <v>103367</v>
          </cell>
          <cell r="C47" t="str">
            <v>ALVENARIA DE VEDAÇÃO DE BLOCOS CERÂMICOS FURADOS NA HORIZONTAL DE 11,5X19X39 CM (ESPESSURA 11,5 CM) E ARGAMASSA DE ASSENTAMENTO COM PREPARO MANUAL. AF_12/2021</v>
          </cell>
          <cell r="D47" t="str">
            <v>M2</v>
          </cell>
          <cell r="E47">
            <v>70.099999999999994</v>
          </cell>
          <cell r="F47">
            <v>0</v>
          </cell>
        </row>
        <row r="48">
          <cell r="B48">
            <v>103360</v>
          </cell>
          <cell r="C48" t="str">
            <v>ALVENARIA DE VEDAÇÃO DE BLOCOS CERÂMICOS FURADOS NA HORIZONTAL DE 14X19X29 CM (ESPESSURA 14 CM) E ARGAMASSA DE ASSENTAMENTO COM PREPARO EM BETONEIRA. AF_12/2021</v>
          </cell>
          <cell r="D48" t="str">
            <v>M2</v>
          </cell>
          <cell r="E48">
            <v>93.6</v>
          </cell>
          <cell r="F48">
            <v>0</v>
          </cell>
        </row>
        <row r="49">
          <cell r="B49">
            <v>103361</v>
          </cell>
          <cell r="C49" t="str">
            <v>ALVENARIA DE VEDAÇÃO DE BLOCOS CERÂMICOS FURADOS NA HORIZONTAL DE 14X19X29 CM (ESPESSURA 14 CM) E ARGAMASSA DE ASSENTAMENTO COM PREPARO MANUAL. AF_12/2021</v>
          </cell>
          <cell r="D49" t="str">
            <v>M2</v>
          </cell>
          <cell r="E49">
            <v>95.51</v>
          </cell>
          <cell r="F49">
            <v>0</v>
          </cell>
        </row>
        <row r="50">
          <cell r="B50">
            <v>103368</v>
          </cell>
          <cell r="C50" t="str">
            <v>ALVENARIA DE VEDAÇÃO DE BLOCOS CERÂMICOS FURADOS NA HORIZONTAL DE 14X19X39 CM (ESPESSURA 14 CM) E ARGAMASSA DE ASSENTAMENTO COM PREPARO EM BETONEIRA. AF_12/2021</v>
          </cell>
          <cell r="D50" t="str">
            <v>M2</v>
          </cell>
          <cell r="E50">
            <v>78.180000000000007</v>
          </cell>
          <cell r="F50">
            <v>0</v>
          </cell>
        </row>
        <row r="51">
          <cell r="B51">
            <v>103369</v>
          </cell>
          <cell r="C51" t="str">
            <v>ALVENARIA DE VEDAÇÃO DE BLOCOS CERÂMICOS FURADOS NA HORIZONTAL DE 14X19X39 CM (ESPESSURA 14 CM) E ARGAMASSA DE ASSENTAMENTO COM PREPARO MANUAL. AF_12/2021</v>
          </cell>
          <cell r="D51" t="str">
            <v>M2</v>
          </cell>
          <cell r="E51">
            <v>79.900000000000006</v>
          </cell>
          <cell r="F51">
            <v>0</v>
          </cell>
        </row>
        <row r="52">
          <cell r="B52">
            <v>103334</v>
          </cell>
          <cell r="C52" t="str">
            <v>ALVENARIA DE VEDAÇÃO DE BLOCOS CERÂMICOS FURADOS NA HORIZONTAL DE 14X9X19 CM (ESPESSURA 14 CM, BLOCO DEITADO) E ARGAMASSA DE ASSENTAMENTO COM PREPARO EM BETONEIRA. AF_12/2021</v>
          </cell>
          <cell r="D52" t="str">
            <v>M2</v>
          </cell>
          <cell r="E52">
            <v>169.72</v>
          </cell>
          <cell r="F52">
            <v>0</v>
          </cell>
        </row>
        <row r="53">
          <cell r="B53">
            <v>103335</v>
          </cell>
          <cell r="C53" t="str">
            <v>ALVENARIA DE VEDAÇÃO DE BLOCOS CERÂMICOS FURADOS NA HORIZONTAL DE 14X9X19 CM (ESPESSURA 14 CM, BLOCO DEITADO) E ARGAMASSA DE ASSENTAMENTO COM PREPARO MANUAL. AF_12/2021</v>
          </cell>
          <cell r="D53" t="str">
            <v>M2</v>
          </cell>
          <cell r="E53">
            <v>173.04</v>
          </cell>
          <cell r="F53">
            <v>0</v>
          </cell>
        </row>
        <row r="54">
          <cell r="B54">
            <v>103362</v>
          </cell>
          <cell r="C54" t="str">
            <v>ALVENARIA DE VEDAÇÃO DE BLOCOS CERÂMICOS FURADOS NA HORIZONTAL DE 19X19X29 CM (ESPESSURA 19 CM) E ARGAMASSA DE ASSENTAMENTO COM PREPARO EM BETONEIRA. AF_12/2021</v>
          </cell>
          <cell r="D54" t="str">
            <v>M2</v>
          </cell>
          <cell r="E54">
            <v>112.72</v>
          </cell>
          <cell r="F54">
            <v>0</v>
          </cell>
        </row>
        <row r="55">
          <cell r="B55">
            <v>103363</v>
          </cell>
          <cell r="C55" t="str">
            <v>ALVENARIA DE VEDAÇÃO DE BLOCOS CERÂMICOS FURADOS NA HORIZONTAL DE 19X19X29 CM (ESPESSURA 19 CM) E ARGAMASSA DE ASSENTAMENTO COM PREPARO MANUAL. AF_12/2021</v>
          </cell>
          <cell r="D55" t="str">
            <v>M2</v>
          </cell>
          <cell r="E55">
            <v>114.86</v>
          </cell>
          <cell r="F55">
            <v>0</v>
          </cell>
        </row>
        <row r="56">
          <cell r="B56">
            <v>103370</v>
          </cell>
          <cell r="C56" t="str">
            <v>ALVENARIA DE VEDAÇÃO DE BLOCOS CERÂMICOS FURADOS NA HORIZONTAL DE 19X19X39 CM (ESPESSURA 19 CM) E ARGAMASSA DE ASSENTAMENTO COM PREPARO EM BETONEIRA. AF_12/2021</v>
          </cell>
          <cell r="D56" t="str">
            <v>M2</v>
          </cell>
          <cell r="E56">
            <v>97.77</v>
          </cell>
          <cell r="F56">
            <v>0</v>
          </cell>
        </row>
        <row r="57">
          <cell r="B57">
            <v>103371</v>
          </cell>
          <cell r="C57" t="str">
            <v>ALVENARIA DE VEDAÇÃO DE BLOCOS CERÂMICOS FURADOS NA HORIZONTAL DE 19X19X39 CM (ESPESSURA 19 CM) E ARGAMASSA DE ASSENTAMENTO COM PREPARO MANUAL. AF_12/2021</v>
          </cell>
          <cell r="D57" t="str">
            <v>M2</v>
          </cell>
          <cell r="E57">
            <v>99.71</v>
          </cell>
          <cell r="F57">
            <v>0</v>
          </cell>
        </row>
        <row r="58">
          <cell r="B58">
            <v>103332</v>
          </cell>
          <cell r="C58" t="str">
            <v>ALVENARIA DE VEDAÇÃO DE BLOCOS CERÂMICOS FURADOS NA HORIZONTAL DE 9X14X19 CM (ESPESSURA 9 CM) E ARGAMASSA DE ASSENTAMENTO COM PREPARO EM BETONEIRA. AF_12/2021</v>
          </cell>
          <cell r="D58" t="str">
            <v>M2</v>
          </cell>
          <cell r="E58">
            <v>144.94</v>
          </cell>
          <cell r="F58">
            <v>0</v>
          </cell>
        </row>
        <row r="59">
          <cell r="B59">
            <v>103333</v>
          </cell>
          <cell r="C59" t="str">
            <v>ALVENARIA DE VEDAÇÃO DE BLOCOS CERÂMICOS FURADOS NA HORIZONTAL DE 9X14X19 CM (ESPESSURA 9 CM) E ARGAMASSA DE ASSENTAMENTO COM PREPARO MANUAL. AF_12/2021</v>
          </cell>
          <cell r="D59" t="str">
            <v>M2</v>
          </cell>
          <cell r="E59">
            <v>146.85</v>
          </cell>
          <cell r="F59">
            <v>0</v>
          </cell>
        </row>
        <row r="60">
          <cell r="B60">
            <v>103352</v>
          </cell>
          <cell r="C60" t="str">
            <v>ALVENARIA DE VEDAÇÃO DE BLOCOS CERÂMICOS FURADOS NA HORIZONTAL DE 9X14X24 CM (ESPESSURA 9 CM) E ARGAMASSA DE ASSENTAMENTO COM PREPARO EM BETONEIRA. AF_12/2021</v>
          </cell>
          <cell r="D60" t="str">
            <v>M2</v>
          </cell>
          <cell r="E60">
            <v>123.28</v>
          </cell>
          <cell r="F60">
            <v>0</v>
          </cell>
        </row>
        <row r="61">
          <cell r="B61">
            <v>103353</v>
          </cell>
          <cell r="C61" t="str">
            <v>ALVENARIA DE VEDAÇÃO DE BLOCOS CERÂMICOS FURADOS NA HORIZONTAL DE 9X14X24 CM (ESPESSURA 9 CM) E ARGAMASSA DE ASSENTAMENTO COM PREPARO MANUAL. AF_12/2021</v>
          </cell>
          <cell r="D61" t="str">
            <v>M2</v>
          </cell>
          <cell r="E61">
            <v>125.04</v>
          </cell>
          <cell r="F61">
            <v>0</v>
          </cell>
        </row>
        <row r="62">
          <cell r="B62">
            <v>103328</v>
          </cell>
          <cell r="C62" t="str">
            <v>ALVENARIA DE VEDAÇÃO DE BLOCOS CERÂMICOS FURADOS NA HORIZONTAL DE 9X19X19 CM (ESPESSURA 9 CM) E ARGAMASSA DE ASSENTAMENTO COM PREPARO EM BETONEIRA. AF_12/2021</v>
          </cell>
          <cell r="D62" t="str">
            <v>M2</v>
          </cell>
          <cell r="E62">
            <v>112.42</v>
          </cell>
          <cell r="F62">
            <v>0</v>
          </cell>
        </row>
        <row r="63">
          <cell r="B63">
            <v>103329</v>
          </cell>
          <cell r="C63" t="str">
            <v>ALVENARIA DE VEDAÇÃO DE BLOCOS CERÂMICOS FURADOS NA HORIZONTAL DE 9X19X19 CM (ESPESSURA 9 CM) E ARGAMASSA DE ASSENTAMENTO COM PREPARO MANUAL. AF_12/2021</v>
          </cell>
          <cell r="D63" t="str">
            <v>M2</v>
          </cell>
          <cell r="E63">
            <v>114.07</v>
          </cell>
          <cell r="F63">
            <v>0</v>
          </cell>
        </row>
        <row r="64">
          <cell r="B64">
            <v>103356</v>
          </cell>
          <cell r="C64" t="str">
            <v>ALVENARIA DE VEDAÇÃO DE BLOCOS CERÂMICOS FURADOS NA HORIZONTAL DE 9X19X29 CM (ESPESSURA 9 CM) E ARGAMASSA DE ASSENTAMENTO COM PREPARO EM BETONEIRA. AF_12/2021</v>
          </cell>
          <cell r="D64" t="str">
            <v>M2</v>
          </cell>
          <cell r="E64">
            <v>69.319999999999993</v>
          </cell>
          <cell r="F64">
            <v>0</v>
          </cell>
        </row>
        <row r="65">
          <cell r="B65">
            <v>103357</v>
          </cell>
          <cell r="C65" t="str">
            <v>ALVENARIA DE VEDAÇÃO DE BLOCOS CERÂMICOS FURADOS NA HORIZONTAL DE 9X19X29 CM (ESPESSURA 9 CM) E ARGAMASSA DE ASSENTAMENTO COM PREPARO MANUAL. AF_12/2021</v>
          </cell>
          <cell r="D65" t="str">
            <v>M2</v>
          </cell>
          <cell r="E65">
            <v>70.72</v>
          </cell>
          <cell r="F65">
            <v>0</v>
          </cell>
        </row>
        <row r="66">
          <cell r="B66">
            <v>103364</v>
          </cell>
          <cell r="C66" t="str">
            <v>ALVENARIA DE VEDAÇÃO DE BLOCOS CERÂMICOS FURADOS NA HORIZONTAL DE 9X19X39 CM (ESPESSURA 9 CM) E ARGAMASSA DE ASSENTAMENTO COM PREPARO EM BETONEIRA. AF_12/2021</v>
          </cell>
          <cell r="D66" t="str">
            <v>M2</v>
          </cell>
          <cell r="E66">
            <v>57.15</v>
          </cell>
          <cell r="F66">
            <v>0</v>
          </cell>
        </row>
        <row r="67">
          <cell r="B67">
            <v>103365</v>
          </cell>
          <cell r="C67" t="str">
            <v>ALVENARIA DE VEDAÇÃO DE BLOCOS CERÂMICOS FURADOS NA HORIZONTAL DE 9X19X39 CM (ESPESSURA 9 CM) E ARGAMASSA DE ASSENTAMENTO COM PREPARO MANUAL. AF_12/2021</v>
          </cell>
          <cell r="D67" t="str">
            <v>M2</v>
          </cell>
          <cell r="E67">
            <v>58.2</v>
          </cell>
          <cell r="F67">
            <v>0</v>
          </cell>
        </row>
        <row r="68">
          <cell r="B68">
            <v>103350</v>
          </cell>
          <cell r="C68" t="str">
            <v>ALVENARIA DE VEDAÇÃO DE BLOCOS CERÂMICOS FURADOS NA HORIZONTAL DE 9X9X19 CM (ESPESSURA 9 CM) E ARGAMASSA DE ASSENTAMENTO COM PREPARO EM BETONEIRA. AF_12/2021</v>
          </cell>
          <cell r="D68" t="str">
            <v>M2</v>
          </cell>
          <cell r="E68">
            <v>208.81</v>
          </cell>
          <cell r="F68">
            <v>0</v>
          </cell>
        </row>
        <row r="69">
          <cell r="B69">
            <v>103351</v>
          </cell>
          <cell r="C69" t="str">
            <v>ALVENARIA DE VEDAÇÃO DE BLOCOS CERÂMICOS FURADOS NA HORIZONTAL DE 9X9X19 CM (ESPESSURA 9 CM) E ARGAMASSA DE ASSENTAMENTO COM PREPARO MANUAL. AF_12/2021</v>
          </cell>
          <cell r="D69" t="str">
            <v>M2</v>
          </cell>
          <cell r="E69">
            <v>211.24</v>
          </cell>
          <cell r="F69">
            <v>0</v>
          </cell>
        </row>
        <row r="70">
          <cell r="B70">
            <v>103344</v>
          </cell>
          <cell r="C70" t="str">
            <v>ALVENARIA DE VEDAÇÃO DE BLOCOS CERÂMICOS FURADOS NA VERTICAL DE 11,5X19X29 CM (ESPESSURA 11,5 CM) E ARGAMASSA DE ASSENTAMENTO COM PREPARO EM BETONEIRA. AF_12/2021</v>
          </cell>
          <cell r="D70" t="str">
            <v>M2</v>
          </cell>
          <cell r="E70">
            <v>92.51</v>
          </cell>
          <cell r="F70">
            <v>0</v>
          </cell>
        </row>
        <row r="71">
          <cell r="B71">
            <v>103345</v>
          </cell>
          <cell r="C71" t="str">
            <v>ALVENARIA DE VEDAÇÃO DE BLOCOS CERÂMICOS FURADOS NA VERTICAL DE 11,5X19X29 CM (ESPESSURA 11,5 CM) E ARGAMASSA DE ASSENTAMENTO COM PREPARO MANUAL. AF_12/2021</v>
          </cell>
          <cell r="D71" t="str">
            <v>M2</v>
          </cell>
          <cell r="E71">
            <v>94.72</v>
          </cell>
          <cell r="F71">
            <v>0</v>
          </cell>
        </row>
        <row r="72">
          <cell r="B72">
            <v>103348</v>
          </cell>
          <cell r="C72" t="str">
            <v>ALVENARIA DE VEDAÇÃO DE BLOCOS CERÂMICOS FURADOS NA VERTICAL DE 11,5X19X39 CM (ESPESSURA 11,5 CM) E ARGAMASSA DE ASSENTAMENTO COM PREPARO EM BETONEIRA. AF_12/2021</v>
          </cell>
          <cell r="D72" t="str">
            <v>M2</v>
          </cell>
          <cell r="E72">
            <v>77.22</v>
          </cell>
          <cell r="F72">
            <v>0</v>
          </cell>
        </row>
        <row r="73">
          <cell r="B73">
            <v>103349</v>
          </cell>
          <cell r="C73" t="str">
            <v>ALVENARIA DE VEDAÇÃO DE BLOCOS CERÂMICOS FURADOS NA VERTICAL DE 11,5X19X39 CM (ESPESSURA 11,5 CM) E ARGAMASSA DE ASSENTAMENTO COM PREPARO MANUAL. AF_12/2021</v>
          </cell>
          <cell r="D73" t="str">
            <v>M2</v>
          </cell>
          <cell r="E73">
            <v>79.239999999999995</v>
          </cell>
          <cell r="F73">
            <v>0</v>
          </cell>
        </row>
        <row r="74">
          <cell r="B74">
            <v>103346</v>
          </cell>
          <cell r="C74" t="str">
            <v>ALVENARIA DE VEDAÇÃO DE BLOCOS CERÂMICOS FURADOS NA VERTICAL DE 14X19X29 CM (ESPESSURA 14 CM) E ARGAMASSA DE ASSENTAMENTO COM PREPARO EM BETONEIRA. AF_12/2021</v>
          </cell>
          <cell r="D74" t="str">
            <v>M2</v>
          </cell>
          <cell r="E74">
            <v>103.61</v>
          </cell>
          <cell r="F74">
            <v>0</v>
          </cell>
        </row>
        <row r="75">
          <cell r="B75">
            <v>103347</v>
          </cell>
          <cell r="C75" t="str">
            <v>ALVENARIA DE VEDAÇÃO DE BLOCOS CERÂMICOS FURADOS NA VERTICAL DE 14X19X29 CM (ESPESSURA 14 CM) E ARGAMASSA DE ASSENTAMENTO COM PREPARO MANUAL. AF_12/2021</v>
          </cell>
          <cell r="D75" t="str">
            <v>M2</v>
          </cell>
          <cell r="E75">
            <v>105.96</v>
          </cell>
          <cell r="F75">
            <v>0</v>
          </cell>
        </row>
        <row r="76">
          <cell r="B76">
            <v>103324</v>
          </cell>
          <cell r="C76" t="str">
            <v>ALVENARIA DE VEDAÇÃO DE BLOCOS CERÂMICOS FURADOS NA VERTICAL DE 14X19X39 CM (ESPESSURA 14 CM) E ARGAMASSA DE ASSENTAMENTO COM PREPARO EM BETONEIRA. AF_12/2021</v>
          </cell>
          <cell r="D76" t="str">
            <v>M2</v>
          </cell>
          <cell r="E76">
            <v>87.73</v>
          </cell>
          <cell r="F76">
            <v>0</v>
          </cell>
        </row>
        <row r="77">
          <cell r="B77">
            <v>103325</v>
          </cell>
          <cell r="C77" t="str">
            <v>ALVENARIA DE VEDAÇÃO DE BLOCOS CERÂMICOS FURADOS NA VERTICAL DE 14X19X39 CM (ESPESSURA 14 CM) E ARGAMASSA DE ASSENTAMENTO COM PREPARO MANUAL. AF_12/2021</v>
          </cell>
          <cell r="D77" t="str">
            <v>M2</v>
          </cell>
          <cell r="E77">
            <v>89.87</v>
          </cell>
          <cell r="F77">
            <v>0</v>
          </cell>
        </row>
        <row r="78">
          <cell r="B78">
            <v>103326</v>
          </cell>
          <cell r="C78" t="str">
            <v>ALVENARIA DE VEDAÇÃO DE BLOCOS CERÂMICOS FURADOS NA VERTICAL DE 19X19X39 CM (ESPESSURA 19 CM) E ARGAMASSA DE ASSENTAMENTO COM PREPARO EM BETONEIRA. AF_12/2021</v>
          </cell>
          <cell r="D78" t="str">
            <v>M2</v>
          </cell>
          <cell r="E78">
            <v>103</v>
          </cell>
          <cell r="F78">
            <v>0</v>
          </cell>
        </row>
        <row r="79">
          <cell r="B79">
            <v>103327</v>
          </cell>
          <cell r="C79" t="str">
            <v>ALVENARIA DE VEDAÇÃO DE BLOCOS CERÂMICOS FURADOS NA VERTICAL DE 19X19X39 CM (ESPESSURA 19 CM) E ARGAMASSA DE ASSENTAMENTO COM PREPARO MANUAL. AF_12/2021</v>
          </cell>
          <cell r="D79" t="str">
            <v>M2</v>
          </cell>
          <cell r="E79">
            <v>105.51</v>
          </cell>
          <cell r="F79">
            <v>0</v>
          </cell>
        </row>
        <row r="80">
          <cell r="B80">
            <v>103322</v>
          </cell>
          <cell r="C80" t="str">
            <v>ALVENARIA DE VEDAÇÃO DE BLOCOS CERÂMICOS FURADOS NA VERTICAL DE 9X19X39 CM (ESPESSURA 9 CM) E ARGAMASSA DE ASSENTAMENTO COM PREPARO EM BETONEIRA. AF_12/2021</v>
          </cell>
          <cell r="D80" t="str">
            <v>M2</v>
          </cell>
          <cell r="E80">
            <v>64.959999999999994</v>
          </cell>
          <cell r="F80">
            <v>0</v>
          </cell>
        </row>
        <row r="81">
          <cell r="B81">
            <v>103323</v>
          </cell>
          <cell r="C81" t="str">
            <v>ALVENARIA DE VEDAÇÃO DE BLOCOS CERÂMICOS FURADOS NA VERTICAL DE 9X19X39 CM (ESPESSURA 9 CM) E ARGAMASSA DE ASSENTAMENTO COM PREPARO MANUAL. AF_12/2021</v>
          </cell>
          <cell r="D81" t="str">
            <v>M2</v>
          </cell>
          <cell r="E81">
            <v>66.849999999999994</v>
          </cell>
          <cell r="F81">
            <v>0</v>
          </cell>
        </row>
        <row r="82">
          <cell r="B82">
            <v>103338</v>
          </cell>
          <cell r="C82" t="str">
            <v>ALVENARIA DE VEDAÇÃO DE BLOCOS VAZADOS DE CONCRETO APARENTE DE 14X19X39 CM (ESPESSURA 14 CM) E ARGAMASSA DE ASSENTAMENTO COM PREPARO EM BETONEIRA. AF_12/2021</v>
          </cell>
          <cell r="D82" t="str">
            <v>M2</v>
          </cell>
          <cell r="E82">
            <v>127.8</v>
          </cell>
          <cell r="F82">
            <v>0</v>
          </cell>
        </row>
        <row r="83">
          <cell r="B83">
            <v>103339</v>
          </cell>
          <cell r="C83" t="str">
            <v>ALVENARIA DE VEDAÇÃO DE BLOCOS VAZADOS DE CONCRETO APARENTE DE 14X19X39 CM (ESPESSURA 14 CM) E ARGAMASSA DE ASSENTAMENTO COM PREPARO MANUAL. AF_12/2021</v>
          </cell>
          <cell r="D83" t="str">
            <v>M2</v>
          </cell>
          <cell r="E83">
            <v>129.65</v>
          </cell>
          <cell r="F83">
            <v>0</v>
          </cell>
        </row>
        <row r="84">
          <cell r="B84">
            <v>103340</v>
          </cell>
          <cell r="C84" t="str">
            <v>ALVENARIA DE VEDAÇÃO DE BLOCOS VAZADOS DE CONCRETO APARENTE DE 19X19X39 CM (ESPESSURA 19 CM) E ARGAMASSA DE ASSENTAMENTO COM PREPARO EM BETONEIRA. AF_12/2021</v>
          </cell>
          <cell r="D84" t="str">
            <v>M2</v>
          </cell>
          <cell r="E84">
            <v>153.22</v>
          </cell>
          <cell r="F84">
            <v>0</v>
          </cell>
        </row>
        <row r="85">
          <cell r="B85">
            <v>103341</v>
          </cell>
          <cell r="C85" t="str">
            <v>ALVENARIA DE VEDAÇÃO DE BLOCOS VAZADOS DE CONCRETO APARENTE DE 19X19X39 CM (ESPESSURA 19 CM) E ARGAMASSA DE ASSENTAMENTO COM PREPARO MANUAL. AF_12/2021</v>
          </cell>
          <cell r="D85" t="str">
            <v>M2</v>
          </cell>
          <cell r="E85">
            <v>155.54</v>
          </cell>
          <cell r="F85">
            <v>0</v>
          </cell>
        </row>
        <row r="86">
          <cell r="B86">
            <v>103336</v>
          </cell>
          <cell r="C86" t="str">
            <v>ALVENARIA DE VEDAÇÃO DE BLOCOS VAZADOS DE CONCRETO APARENTE DE 9X19X39 CM (ESPESSURA 9 CM) E ARGAMASSA DE ASSENTAMENTO COM PREPARO EM BETONEIRA. AF_12/2021</v>
          </cell>
          <cell r="D86" t="str">
            <v>M2</v>
          </cell>
          <cell r="E86">
            <v>96.77</v>
          </cell>
          <cell r="F86">
            <v>0</v>
          </cell>
        </row>
        <row r="87">
          <cell r="B87">
            <v>103337</v>
          </cell>
          <cell r="C87" t="str">
            <v>ALVENARIA DE VEDAÇÃO DE BLOCOS VAZADOS DE CONCRETO APARENTE DE 9X19X39 CM (ESPESSURA 9 CM) E ARGAMASSA DE ASSENTAMENTO COM PREPARO MANUAL. AF_12/2021</v>
          </cell>
          <cell r="D87" t="str">
            <v>M2</v>
          </cell>
          <cell r="E87">
            <v>98.35</v>
          </cell>
          <cell r="F87">
            <v>0</v>
          </cell>
        </row>
        <row r="88">
          <cell r="B88">
            <v>103342</v>
          </cell>
          <cell r="C88" t="str">
            <v>ALVENARIA DE VEDAÇÃO DE BLOCOS VAZADOS DE CONCRETO DE 14X19X29 CM (ESPESSURA 14 CM) E ARGAMASSA DE ASSENTAMENTO COM PREPARO EM BETONEIRA. AF_12/2021</v>
          </cell>
          <cell r="D88" t="str">
            <v>M2</v>
          </cell>
          <cell r="E88">
            <v>128.37</v>
          </cell>
          <cell r="F88">
            <v>0</v>
          </cell>
        </row>
        <row r="89">
          <cell r="B89">
            <v>103343</v>
          </cell>
          <cell r="C89" t="str">
            <v>ALVENARIA DE VEDAÇÃO DE BLOCOS VAZADOS DE CONCRETO DE 14X19X29 CM (ESPESSURA 14 CM) E ARGAMASSA DE ASSENTAMENTO COM PREPARO MANUAL. AF_12/2021</v>
          </cell>
          <cell r="D89" t="str">
            <v>M2</v>
          </cell>
          <cell r="E89">
            <v>130.41999999999999</v>
          </cell>
          <cell r="F89">
            <v>0</v>
          </cell>
        </row>
        <row r="90">
          <cell r="B90">
            <v>103318</v>
          </cell>
          <cell r="C90" t="str">
            <v>ALVENARIA DE VEDAÇÃO DE BLOCOS VAZADOS DE CONCRETO DE 14X19X39 CM (ESPESSURA 14 CM) E ARGAMASSA DE ASSENTAMENTO COM PREPARO EM BETONEIRA. AF_12/2021</v>
          </cell>
          <cell r="D90" t="str">
            <v>M2</v>
          </cell>
          <cell r="E90">
            <v>110.33</v>
          </cell>
          <cell r="F90">
            <v>0</v>
          </cell>
        </row>
        <row r="91">
          <cell r="B91">
            <v>103319</v>
          </cell>
          <cell r="C91" t="str">
            <v>ALVENARIA DE VEDAÇÃO DE BLOCOS VAZADOS DE CONCRETO DE 14X19X39 CM (ESPESSURA 14 CM) E ARGAMASSA DE ASSENTAMENTO COM PREPARO MANUAL. AF_12/2021</v>
          </cell>
          <cell r="D91" t="str">
            <v>M2</v>
          </cell>
          <cell r="E91">
            <v>112.18</v>
          </cell>
          <cell r="F91">
            <v>0</v>
          </cell>
        </row>
        <row r="92">
          <cell r="B92">
            <v>103320</v>
          </cell>
          <cell r="C92" t="str">
            <v>ALVENARIA DE VEDAÇÃO DE BLOCOS VAZADOS DE CONCRETO DE 19X19X39 CM (ESPESSURA 19 CM) E ARGAMASSA DE ASSENTAMENTO COM PREPARO EM BETONEIRA. AF_12/2021</v>
          </cell>
          <cell r="D92" t="str">
            <v>M2</v>
          </cell>
          <cell r="E92">
            <v>131.65</v>
          </cell>
          <cell r="F92">
            <v>0</v>
          </cell>
        </row>
        <row r="93">
          <cell r="B93">
            <v>103321</v>
          </cell>
          <cell r="C93" t="str">
            <v>ALVENARIA DE VEDAÇÃO DE BLOCOS VAZADOS DE CONCRETO DE 19X19X39 CM (ESPESSURA 19 CM) E ARGAMASSA DE ASSENTAMENTO COM PREPARO MANUAL. AF_12/2021</v>
          </cell>
          <cell r="D93" t="str">
            <v>M2</v>
          </cell>
          <cell r="E93">
            <v>133.97</v>
          </cell>
          <cell r="F93">
            <v>0</v>
          </cell>
        </row>
        <row r="94">
          <cell r="B94">
            <v>103316</v>
          </cell>
          <cell r="C94" t="str">
            <v>ALVENARIA DE VEDAÇÃO DE BLOCOS VAZADOS DE CONCRETO DE 9X19X39 CM (ESPESSURA 9 CM) E ARGAMASSA DE ASSENTAMENTO COM PREPARO EM BETONEIRA. AF_12/2021</v>
          </cell>
          <cell r="D94" t="str">
            <v>M2</v>
          </cell>
          <cell r="E94">
            <v>84.63</v>
          </cell>
          <cell r="F94">
            <v>0</v>
          </cell>
        </row>
        <row r="95">
          <cell r="B95">
            <v>103317</v>
          </cell>
          <cell r="C95" t="str">
            <v>ALVENARIA DE VEDAÇÃO DE BLOCOS VAZADOS DE CONCRETO DE 9X19X39 CM (ESPESSURA 9 CM) E ARGAMASSA DE ASSENTAMENTO COM PREPARO MANUAL. AF_12/2021</v>
          </cell>
          <cell r="D95" t="str">
            <v>M2</v>
          </cell>
          <cell r="E95">
            <v>86.21</v>
          </cell>
          <cell r="F95">
            <v>0</v>
          </cell>
        </row>
        <row r="96">
          <cell r="B96">
            <v>101166</v>
          </cell>
          <cell r="C96" t="str">
            <v>ALVENARIA DE EMBASAMENTO COM BLOCO ESTRUTURAL DE CERÂMICA, DE 14X19X29CM E ARGAMASSA DE ASSENTAMENTO COM PREPARO EM BETONEIRA. AF_05/2020</v>
          </cell>
          <cell r="D96" t="str">
            <v>M3</v>
          </cell>
          <cell r="E96">
            <v>752.32</v>
          </cell>
          <cell r="F96">
            <v>0</v>
          </cell>
        </row>
        <row r="97">
          <cell r="B97">
            <v>101165</v>
          </cell>
          <cell r="C97" t="str">
            <v>ALVENARIA DE EMBASAMENTO COM BLOCO ESTRUTURAL DE CONCRETO, DE 14X19X29CM E ARGAMASSA DE ASSENTAMENTO COM PREPARO EM BETONEIRA. AF_05/2020</v>
          </cell>
          <cell r="D97" t="str">
            <v>M3</v>
          </cell>
          <cell r="E97">
            <v>1102.95</v>
          </cell>
          <cell r="F97">
            <v>0</v>
          </cell>
        </row>
        <row r="98">
          <cell r="B98">
            <v>101163</v>
          </cell>
          <cell r="C98" t="str">
            <v>ALVENARIA DE VEDAÇÃO COM BLOCO DE VIDRO VAZADO, TIPO VENEZIANA, DE 6X20X20CM E ARGAMASSA DE ASSENTAMENTO COM PREPARO EM BETONEIRA. AF_05/2020</v>
          </cell>
          <cell r="D98" t="str">
            <v>M2</v>
          </cell>
          <cell r="E98">
            <v>706.32</v>
          </cell>
          <cell r="F98">
            <v>0</v>
          </cell>
        </row>
        <row r="99">
          <cell r="B99">
            <v>101164</v>
          </cell>
          <cell r="C99" t="str">
            <v>ALVENARIA DE VEDAÇÃO COM BLOCO DE VIDRO, TIPO CANELADO, DE 8X19X19CM E ARGAMASSA DE ASSENTAMENTO COM PREPARO EM BETONEIRA. AF_05/2020</v>
          </cell>
          <cell r="D99" t="str">
            <v>M2</v>
          </cell>
          <cell r="E99">
            <v>716.32</v>
          </cell>
          <cell r="F99">
            <v>0</v>
          </cell>
        </row>
        <row r="100">
          <cell r="B100">
            <v>101162</v>
          </cell>
          <cell r="C100" t="str">
            <v>ALVENARIA DE VEDAÇÃO COM ELEMENTO VAZADO DE CERÂMICA (COBOGÓ) DE 7X20X20CM E ARGAMASSA DE ASSENTAMENTO COM PREPARO EM BETONEIRA. AF_05/2020</v>
          </cell>
          <cell r="D100" t="str">
            <v>M2</v>
          </cell>
          <cell r="E100">
            <v>179.44</v>
          </cell>
          <cell r="F100">
            <v>0</v>
          </cell>
        </row>
        <row r="101">
          <cell r="B101">
            <v>101161</v>
          </cell>
          <cell r="C101" t="str">
            <v>ALVENARIA DE VEDAÇÃO COM ELEMENTO VAZADO DE CONCRETO (COBOGÓ) DE 7X50X50CM E ARGAMASSA DE ASSENTAMENTO COM PREPARO EM BETONEIRA. AF_05/2020</v>
          </cell>
          <cell r="D101" t="str">
            <v>M2</v>
          </cell>
          <cell r="E101">
            <v>250.52</v>
          </cell>
          <cell r="F101">
            <v>0</v>
          </cell>
        </row>
        <row r="102">
          <cell r="B102">
            <v>101160</v>
          </cell>
          <cell r="C102" t="str">
            <v>ALVENARIA DE VEDAÇÃO DE BLOCO DE SOLO-CIMENTO (TIJOLO ECOLÓGICO) DE 7X15X30CM (ESPESSURA 15CM). AF_05/2020</v>
          </cell>
          <cell r="D102" t="str">
            <v>M2</v>
          </cell>
          <cell r="E102">
            <v>0</v>
          </cell>
        </row>
        <row r="103">
          <cell r="B103">
            <v>101159</v>
          </cell>
          <cell r="C103" t="str">
            <v>ALVENARIA DE VEDAÇÃO DE BLOCOS CERÂMICOS MACIÇOS DE 5X10X20CM (ESPESSURA 10CM) E ARGAMASSA DE ASSENTAMENTO COM PREPARO EM BETONEIRA. AF_05/2020</v>
          </cell>
          <cell r="D103" t="str">
            <v>M2</v>
          </cell>
          <cell r="E103">
            <v>157.30000000000001</v>
          </cell>
          <cell r="F103">
            <v>0</v>
          </cell>
        </row>
        <row r="104">
          <cell r="B104">
            <v>101154</v>
          </cell>
          <cell r="C104" t="str">
            <v>ALVENARIA DE VEDAÇÃO DE BLOCOS DE CONCRETO CELULAR DE 10X30X60CM (ESPESSURA 10CM) E ARGAMASSA DE ASSENTAMENTO COM PREPARO EM BETONEIRA. AF_05/2020</v>
          </cell>
          <cell r="D104" t="str">
            <v>M2</v>
          </cell>
          <cell r="E104">
            <v>158.15</v>
          </cell>
          <cell r="F104">
            <v>0</v>
          </cell>
        </row>
        <row r="105">
          <cell r="B105">
            <v>101155</v>
          </cell>
          <cell r="C105" t="str">
            <v>ALVENARIA DE VEDAÇÃO DE BLOCOS DE CONCRETO CELULAR DE 15X30X60CM (ESPESSURA 15CM) E ARGAMASSA DE ASSENTAMENTO COM PREPARO EM BETONEIRA. AF_05/2020</v>
          </cell>
          <cell r="D105" t="str">
            <v>M2</v>
          </cell>
          <cell r="E105">
            <v>222.64</v>
          </cell>
          <cell r="F105">
            <v>0</v>
          </cell>
        </row>
        <row r="106">
          <cell r="B106">
            <v>101156</v>
          </cell>
          <cell r="C106" t="str">
            <v>ALVENARIA DE VEDAÇÃO DE BLOCOS DE CONCRETO CELULAR DE 20X30X60CM (ESPESSURA 20CM) E ARGAMASSA DE ASSENTAMENTO COM PREPARO EM BETONEIRA. AF_05/2020</v>
          </cell>
          <cell r="D106" t="str">
            <v>M2</v>
          </cell>
          <cell r="E106">
            <v>326.63</v>
          </cell>
          <cell r="F106">
            <v>0</v>
          </cell>
        </row>
        <row r="107">
          <cell r="B107">
            <v>101158</v>
          </cell>
          <cell r="C107" t="str">
            <v>ALVENARIA DE VEDAÇÃO DE BLOCOS DE GESSO DE 10X50X66CM (ESPESSURA 10CM). AF_05/2020</v>
          </cell>
          <cell r="D107" t="str">
            <v>M2</v>
          </cell>
          <cell r="E107">
            <v>88.67</v>
          </cell>
          <cell r="F107">
            <v>0</v>
          </cell>
        </row>
        <row r="108">
          <cell r="B108">
            <v>101157</v>
          </cell>
          <cell r="C108" t="str">
            <v>ALVENARIA DE VEDAÇÃO DE BLOCOS DE GESSO DE 7X50X66CM (ESPESSURA 7CM). AF_05/2020</v>
          </cell>
          <cell r="D108" t="str">
            <v>M2</v>
          </cell>
          <cell r="E108">
            <v>68.53</v>
          </cell>
          <cell r="F108">
            <v>0</v>
          </cell>
        </row>
        <row r="109">
          <cell r="B109">
            <v>87382</v>
          </cell>
          <cell r="C109" t="str">
            <v>ARGAMASSA INDUSTRIALIZADA MULTIUSO PARA REVESTIMENTOS E ASSENTAMENTO DA ALVENARIA, PREPARO COM MISTURADOR DE EIXO HORIZONTAL DE 160 KG. AF_08/2019</v>
          </cell>
          <cell r="D109" t="str">
            <v>M3</v>
          </cell>
          <cell r="E109">
            <v>1760.26</v>
          </cell>
          <cell r="F109">
            <v>0</v>
          </cell>
        </row>
        <row r="110">
          <cell r="B110">
            <v>87383</v>
          </cell>
          <cell r="C110" t="str">
            <v>ARGAMASSA INDUSTRIALIZADA MULTIUSO PARA REVESTIMENTOS E ASSENTAMENTO DA ALVENARIA, PREPARO COM MISTURADOR DE EIXO HORIZONTAL DE 300 KG. AF_08/2019</v>
          </cell>
          <cell r="D110" t="str">
            <v>M3</v>
          </cell>
          <cell r="E110">
            <v>1743.27</v>
          </cell>
          <cell r="F110">
            <v>0</v>
          </cell>
        </row>
        <row r="111">
          <cell r="B111">
            <v>87384</v>
          </cell>
          <cell r="C111" t="str">
            <v>ARGAMASSA INDUSTRIALIZADA MULTIUSO PARA REVESTIMENTOS E ASSENTAMENTO DA ALVENARIA, PREPARO COM MISTURADOR DE EIXO HORIZONTAL DE 600 KG. AF_08/2019</v>
          </cell>
          <cell r="D111" t="str">
            <v>M3</v>
          </cell>
          <cell r="E111">
            <v>1722.81</v>
          </cell>
          <cell r="F111">
            <v>0</v>
          </cell>
        </row>
        <row r="112">
          <cell r="B112">
            <v>87398</v>
          </cell>
          <cell r="C112" t="str">
            <v>ARGAMASSA INDUSTRIALIZADA MULTIUSO PARA REVESTIMENTOS E ASSENTAMENTO DA ALVENARIA, PREPARO MANUAL. AF_08/2019</v>
          </cell>
          <cell r="D112" t="str">
            <v>M3</v>
          </cell>
          <cell r="E112">
            <v>2036.47</v>
          </cell>
          <cell r="F112">
            <v>0</v>
          </cell>
        </row>
        <row r="113">
          <cell r="B113">
            <v>87395</v>
          </cell>
          <cell r="C113" t="str">
            <v>ARGAMASSA INDUSTRIALIZADA PARA CHAPISCO COLANTE, PREPARO COM MISTURADOR DE EIXO HORIZONTAL DE 160 KG. AF_08/2019</v>
          </cell>
          <cell r="D113" t="str">
            <v>M3</v>
          </cell>
          <cell r="E113">
            <v>3395.11</v>
          </cell>
          <cell r="F113">
            <v>0</v>
          </cell>
        </row>
        <row r="114">
          <cell r="B114">
            <v>87396</v>
          </cell>
          <cell r="C114" t="str">
            <v>ARGAMASSA INDUSTRIALIZADA PARA CHAPISCO COLANTE, PREPARO COM MISTURADOR DE EIXO HORIZONTAL DE 300 KG. AF_08/2019</v>
          </cell>
          <cell r="D114" t="str">
            <v>M3</v>
          </cell>
          <cell r="E114">
            <v>3400.05</v>
          </cell>
          <cell r="F114">
            <v>0</v>
          </cell>
        </row>
        <row r="115">
          <cell r="B115">
            <v>87397</v>
          </cell>
          <cell r="C115" t="str">
            <v>ARGAMASSA INDUSTRIALIZADA PARA CHAPISCO COLANTE, PREPARO COM MISTURADOR DE EIXO HORIZONTAL DE 600 KG. AF_08/2019</v>
          </cell>
          <cell r="D115" t="str">
            <v>M3</v>
          </cell>
          <cell r="E115">
            <v>3406.88</v>
          </cell>
          <cell r="F115">
            <v>0</v>
          </cell>
        </row>
        <row r="116">
          <cell r="B116">
            <v>87402</v>
          </cell>
          <cell r="C116" t="str">
            <v>ARGAMASSA INDUSTRIALIZADA PARA CHAPISCO COLANTE, PREPARO MANUAL. AF_08/2019</v>
          </cell>
          <cell r="D116" t="str">
            <v>M3</v>
          </cell>
          <cell r="E116">
            <v>3743.39</v>
          </cell>
          <cell r="F116">
            <v>0</v>
          </cell>
        </row>
        <row r="117">
          <cell r="B117">
            <v>87391</v>
          </cell>
          <cell r="C117" t="str">
            <v>ARGAMASSA INDUSTRIALIZADA PARA CHAPISCO ROLADO, PREPARO COM MISTURADOR DE EIXO HORIZONTAL DE 160 KG. AF_08/2019</v>
          </cell>
          <cell r="D117" t="str">
            <v>M3</v>
          </cell>
          <cell r="E117">
            <v>5350.08</v>
          </cell>
          <cell r="F117">
            <v>0</v>
          </cell>
        </row>
        <row r="118">
          <cell r="B118">
            <v>87393</v>
          </cell>
          <cell r="C118" t="str">
            <v>ARGAMASSA INDUSTRIALIZADA PARA CHAPISCO ROLADO, PREPARO COM MISTURADOR DE EIXO HORIZONTAL DE 300 KG. AF_08/2019</v>
          </cell>
          <cell r="D118" t="str">
            <v>M3</v>
          </cell>
          <cell r="E118">
            <v>5381.28</v>
          </cell>
          <cell r="F118">
            <v>0</v>
          </cell>
        </row>
        <row r="119">
          <cell r="B119">
            <v>87394</v>
          </cell>
          <cell r="C119" t="str">
            <v>ARGAMASSA INDUSTRIALIZADA PARA CHAPISCO ROLADO, PREPARO COM MISTURADOR DE EIXO HORIZONTAL DE 600 KG. AF_08/2019</v>
          </cell>
          <cell r="D119" t="str">
            <v>M3</v>
          </cell>
          <cell r="E119">
            <v>5413.19</v>
          </cell>
          <cell r="F119">
            <v>0</v>
          </cell>
        </row>
        <row r="120">
          <cell r="B120">
            <v>87401</v>
          </cell>
          <cell r="C120" t="str">
            <v>ARGAMASSA INDUSTRIALIZADA PARA CHAPISCO ROLADO, PREPARO MANUAL. AF_08/2019</v>
          </cell>
          <cell r="D120" t="str">
            <v>M3</v>
          </cell>
          <cell r="E120">
            <v>5738.39</v>
          </cell>
          <cell r="F120">
            <v>0</v>
          </cell>
        </row>
        <row r="121">
          <cell r="B121">
            <v>87407</v>
          </cell>
          <cell r="C121" t="str">
            <v>ARGAMASSA INDUSTRIALIZADA PARA REVESTIMENTOS, MISTURA E PROJEÇÃO DE 1,5 M³/H DE ARGAMASSA. AF_08/2019</v>
          </cell>
          <cell r="D121" t="str">
            <v>M3</v>
          </cell>
          <cell r="E121">
            <v>1795.23</v>
          </cell>
          <cell r="F121">
            <v>0</v>
          </cell>
        </row>
        <row r="122">
          <cell r="B122">
            <v>87408</v>
          </cell>
          <cell r="C122" t="str">
            <v>ARGAMASSA INDUSTRIALIZADA PARA REVESTIMENTOS, MISTURA E PROJEÇÃO DE 2 M³/H DE ARGAMASSA. AF_08/2019</v>
          </cell>
          <cell r="D122" t="str">
            <v>M3</v>
          </cell>
          <cell r="E122">
            <v>1768.75</v>
          </cell>
          <cell r="F122">
            <v>0</v>
          </cell>
        </row>
        <row r="123">
          <cell r="B123">
            <v>87404</v>
          </cell>
          <cell r="C123" t="str">
            <v>ARGAMASSA PARA REVESTIMENTO DECORATIVO MONOCAMADA (MONOCAPA), MISTURA E PROJEÇÃO DE 1,5 M3/H DE ARGAMASSA. AF_08/2019</v>
          </cell>
          <cell r="D123" t="str">
            <v>M3</v>
          </cell>
          <cell r="E123">
            <v>5015.91</v>
          </cell>
          <cell r="F123">
            <v>0</v>
          </cell>
        </row>
        <row r="124">
          <cell r="B124">
            <v>87405</v>
          </cell>
          <cell r="C124" t="str">
            <v>ARGAMASSA PARA REVESTIMENTO DECORATIVO MONOCAMADA (MONOCAPA), MISTURA E PROJEÇÃO DE 2 M3/H DE ARGAMASSA. AF_08/2019</v>
          </cell>
          <cell r="D124" t="str">
            <v>M3</v>
          </cell>
          <cell r="E124">
            <v>5005.3500000000004</v>
          </cell>
          <cell r="F124">
            <v>0</v>
          </cell>
        </row>
        <row r="125">
          <cell r="B125">
            <v>87388</v>
          </cell>
          <cell r="C125" t="str">
            <v>ARGAMASSA PARA REVESTIMENTO DECORATIVO MONOCAMADA (MONOCAPA), PREPARO COM MISTURADOR DE EIXO HORIZONTAL DE 160 KG. AF_08/2019</v>
          </cell>
          <cell r="D125" t="str">
            <v>M3</v>
          </cell>
          <cell r="E125">
            <v>4799.83</v>
          </cell>
          <cell r="F125">
            <v>0</v>
          </cell>
        </row>
        <row r="126">
          <cell r="B126">
            <v>87389</v>
          </cell>
          <cell r="C126" t="str">
            <v>ARGAMASSA PARA REVESTIMENTO DECORATIVO MONOCAMADA (MONOCAPA), PREPARO COM MISTURADOR DE EIXO HORIZONTAL DE 300 KG. AF_08/2019</v>
          </cell>
          <cell r="D126" t="str">
            <v>M3</v>
          </cell>
          <cell r="E126">
            <v>4803.6099999999997</v>
          </cell>
          <cell r="F126">
            <v>0</v>
          </cell>
        </row>
        <row r="127">
          <cell r="B127">
            <v>87390</v>
          </cell>
          <cell r="C127" t="str">
            <v>ARGAMASSA PARA REVESTIMENTO DECORATIVO MONOCAMADA (MONOCAPA), PREPARO COM MISTURADOR DE EIXO HORIZONTAL DE 600 KG. AF_08/2019</v>
          </cell>
          <cell r="D127" t="str">
            <v>M3</v>
          </cell>
          <cell r="E127">
            <v>4814.9399999999996</v>
          </cell>
          <cell r="F127">
            <v>0</v>
          </cell>
        </row>
        <row r="128">
          <cell r="B128">
            <v>87385</v>
          </cell>
          <cell r="C128" t="str">
            <v>ARGAMASSA PRONTA PARA CONTRAPISO, PREPARO COM MISTURADOR DE EIXO HORIZONTAL DE 160 KG. AF_08/2019</v>
          </cell>
          <cell r="D128" t="str">
            <v>M3</v>
          </cell>
          <cell r="E128">
            <v>2060.75</v>
          </cell>
          <cell r="F128">
            <v>0</v>
          </cell>
        </row>
        <row r="129">
          <cell r="B129">
            <v>87386</v>
          </cell>
          <cell r="C129" t="str">
            <v>ARGAMASSA PRONTA PARA CONTRAPISO, PREPARO COM MISTURADOR DE EIXO HORIZONTAL DE 300 KG. AF_08/2019</v>
          </cell>
          <cell r="D129" t="str">
            <v>M3</v>
          </cell>
          <cell r="E129">
            <v>2034.42</v>
          </cell>
          <cell r="F129">
            <v>0</v>
          </cell>
        </row>
        <row r="130">
          <cell r="B130">
            <v>87387</v>
          </cell>
          <cell r="C130" t="str">
            <v>ARGAMASSA PRONTA PARA CONTRAPISO, PREPARO COM MISTURADOR DE EIXO HORIZONTAL DE 600 KG. AF_08/2019</v>
          </cell>
          <cell r="D130" t="str">
            <v>M3</v>
          </cell>
          <cell r="E130">
            <v>2015.01</v>
          </cell>
          <cell r="F130">
            <v>0</v>
          </cell>
        </row>
        <row r="131">
          <cell r="B131">
            <v>87399</v>
          </cell>
          <cell r="C131" t="str">
            <v>ARGAMASSA PRONTA PARA CONTRAPISO, PREPARO MANUAL. AF_08/2019</v>
          </cell>
          <cell r="D131" t="str">
            <v>M3</v>
          </cell>
          <cell r="E131">
            <v>2338.75</v>
          </cell>
          <cell r="F131">
            <v>0</v>
          </cell>
        </row>
        <row r="132">
          <cell r="B132">
            <v>88627</v>
          </cell>
          <cell r="C132" t="str">
            <v>ARGAMASSA TRAÇO 1:0,5:4,5 (EM VOLUME DE CIMENTO, CAL E AREIA MÉDIA ÚMIDA) PARA ASSENTAMENTO DE ALVENARIA, PREPARO MANUAL. AF_08/2019</v>
          </cell>
          <cell r="D132" t="str">
            <v>M3</v>
          </cell>
          <cell r="E132">
            <v>683.11</v>
          </cell>
          <cell r="F132">
            <v>0</v>
          </cell>
        </row>
        <row r="133">
          <cell r="B133">
            <v>100463</v>
          </cell>
          <cell r="C133" t="str">
            <v>ARGAMASSA TRAÇO 1:0,5:4,5 (EM VOLUME DE CIMENTO, CAL E AREIA MÉDIA ÚMIDA), PREPARO MECÂNICO COM BETONEIRA 250 L. AF_08/2019</v>
          </cell>
          <cell r="D133" t="str">
            <v>M3</v>
          </cell>
          <cell r="E133">
            <v>0</v>
          </cell>
        </row>
        <row r="134">
          <cell r="B134">
            <v>88626</v>
          </cell>
          <cell r="C134" t="str">
            <v>ARGAMASSA TRAÇO 1:0,5:4,5 (EM VOLUME DE CIMENTO, CAL E AREIA MÉDIA ÚMIDA), PREPARO MECÂNICO COM BETONEIRA 400 L. AF_08/2019</v>
          </cell>
          <cell r="D134" t="str">
            <v>M3</v>
          </cell>
          <cell r="E134">
            <v>545.07000000000005</v>
          </cell>
          <cell r="F134">
            <v>0</v>
          </cell>
        </row>
        <row r="135">
          <cell r="B135">
            <v>100488</v>
          </cell>
          <cell r="C135" t="str">
            <v>ARGAMASSA TRAÇO 1:0,5:4,5 (EM VOLUME DE CIMENTO, CAL E AREIA MÉDIA ÚMIDA), PREPARO MECÂNICO COM BETONEIRA 600 L. AF_08/2019</v>
          </cell>
          <cell r="D135" t="str">
            <v>M3</v>
          </cell>
          <cell r="E135">
            <v>526.89</v>
          </cell>
          <cell r="F135">
            <v>0</v>
          </cell>
        </row>
        <row r="136">
          <cell r="B136">
            <v>100464</v>
          </cell>
          <cell r="C136" t="str">
            <v>ARGAMASSA TRAÇO 1:0,5:4,5 (EM VOLUME DE CIMENTO, CAL E AREIA MÉDIA ÚMIDA), PREPARO MECÂNICO COM MISTURADOR DE EIXO HORIZONTAL DE 160 KG. AF_08/2019</v>
          </cell>
          <cell r="D136" t="str">
            <v>M3</v>
          </cell>
          <cell r="E136">
            <v>589.55999999999995</v>
          </cell>
          <cell r="F136">
            <v>0</v>
          </cell>
        </row>
        <row r="137">
          <cell r="B137">
            <v>100465</v>
          </cell>
          <cell r="C137" t="str">
            <v>ARGAMASSA TRAÇO 1:0,5:4,5 (EM VOLUME DE CIMENTO, CAL E AREIA MÉDIA ÚMIDA), PREPARO MECÂNICO COM MISTURADOR DE EIXO HORIZONTAL DE 300 KG. AF_08/2019</v>
          </cell>
          <cell r="D137" t="str">
            <v>M3</v>
          </cell>
          <cell r="E137">
            <v>528.88</v>
          </cell>
          <cell r="F137">
            <v>0</v>
          </cell>
        </row>
        <row r="138">
          <cell r="B138">
            <v>100466</v>
          </cell>
          <cell r="C138" t="str">
            <v>ARGAMASSA TRAÇO 1:0,5:4,5 (EM VOLUME DE CIMENTO, CAL E AREIA MÉDIA ÚMIDA), PREPARO MECÂNICO COM MISTURADOR DE EIXO HORIZONTAL DE 600 KG. AF_08/2019</v>
          </cell>
          <cell r="D138" t="str">
            <v>M3</v>
          </cell>
          <cell r="E138">
            <v>497.28</v>
          </cell>
          <cell r="F138">
            <v>0</v>
          </cell>
        </row>
        <row r="139">
          <cell r="B139">
            <v>87368</v>
          </cell>
          <cell r="C139" t="str">
            <v>ARGAMASSA TRAÇO 1:1,5:7,5 (EM VOLUME DE CIMENTO, CAL E AREIA MÉDIA ÚMIDA) PARA EMBOÇO/MASSA ÚNICA/ASSENTAMENTO DE ALVENARIA DE VEDAÇÃO, PREPARO MANUAL. AF_08/2019</v>
          </cell>
          <cell r="D139" t="str">
            <v>M3</v>
          </cell>
          <cell r="E139">
            <v>748.65</v>
          </cell>
          <cell r="F139">
            <v>0</v>
          </cell>
        </row>
        <row r="140">
          <cell r="B140">
            <v>100450</v>
          </cell>
          <cell r="C140" t="str">
            <v>ARGAMASSA TRAÇO 1:1,5:7,5 (EM VOLUME DE CIMENTO, CAL E AREIA MÉDIA ÚMIDA) PARA EMBOÇO/MASSA ÚNICA/ASSENTAMENTO DE ALVENARIA DE VEDAÇÃO, PREPARO MECÂNICO COM BETONEIRA 250 L. AF_08/2019</v>
          </cell>
          <cell r="D140" t="str">
            <v>M3</v>
          </cell>
          <cell r="E140">
            <v>0</v>
          </cell>
        </row>
        <row r="141">
          <cell r="B141">
            <v>87289</v>
          </cell>
          <cell r="C141" t="str">
            <v>ARGAMASSA TRAÇO 1:1,5:7,5 (EM VOLUME DE CIMENTO, CAL E AREIA MÉDIA ÚMIDA) PARA EMBOÇO/MASSA ÚNICA/ASSENTAMENTO DE ALVENARIA DE VEDAÇÃO, PREPARO MECÂNICO COM BETONEIRA 400 L. AF_08/2019</v>
          </cell>
          <cell r="D141" t="str">
            <v>M3</v>
          </cell>
          <cell r="E141">
            <v>572.91</v>
          </cell>
          <cell r="F141">
            <v>0</v>
          </cell>
        </row>
        <row r="142">
          <cell r="B142">
            <v>87290</v>
          </cell>
          <cell r="C142" t="str">
            <v>ARGAMASSA TRAÇO 1:1,5:7,5 (EM VOLUME DE CIMENTO, CAL E AREIA MÉDIA ÚMIDA) PARA EMBOÇO/MASSA ÚNICA/ASSENTAMENTO DE ALVENARIA DE VEDAÇÃO, PREPARO MECÂNICO COM BETONEIRA 600 L. AF_08/2019</v>
          </cell>
          <cell r="D142" t="str">
            <v>M3</v>
          </cell>
          <cell r="E142">
            <v>553.08000000000004</v>
          </cell>
          <cell r="F142">
            <v>0</v>
          </cell>
        </row>
        <row r="143">
          <cell r="B143">
            <v>87333</v>
          </cell>
          <cell r="C143" t="str">
            <v>ARGAMASSA TRAÇO 1:1,5:7,5 (EM VOLUME DE CIMENTO, CAL E AREIA MÉDIA ÚMIDA) PARA EMBOÇO/MASSA ÚNICA/ASSENTAMENTO DE ALVENARIA DE VEDAÇÃO, PREPARO MECÂNICO COM MISTURADOR DE EIXO HORIZONTAL DE 300 KG. AF_08/2019</v>
          </cell>
          <cell r="D143" t="str">
            <v>M3</v>
          </cell>
          <cell r="E143">
            <v>584.62</v>
          </cell>
          <cell r="F143">
            <v>0</v>
          </cell>
        </row>
        <row r="144">
          <cell r="B144">
            <v>87334</v>
          </cell>
          <cell r="C144" t="str">
            <v>ARGAMASSA TRAÇO 1:1,5:7,5 (EM VOLUME DE CIMENTO, CAL E AREIA MÉDIA ÚMIDA) PARA EMBOÇO/MASSA ÚNICA/ASSENTAMENTO DE ALVENARIA DE VEDAÇÃO, PREPARO MECÂNICO COM MISTURADOR DE EIXO HORIZONTAL DE 600 KG. AF_08/2019</v>
          </cell>
          <cell r="D144" t="str">
            <v>M3</v>
          </cell>
          <cell r="E144">
            <v>525.16</v>
          </cell>
          <cell r="F144">
            <v>0</v>
          </cell>
        </row>
        <row r="145">
          <cell r="B145">
            <v>105515</v>
          </cell>
          <cell r="C145" t="str">
            <v>ARGAMASSA TRAÇO 1:1,93 (EM VOLUME DE CIMENTO E AREIA MÉDIA ÚMIDA), FCK 20MPA, PREPARO MECÂNICO COM MISTURADOR DUPLO HORIZONTAL DE ALTA TURBULÊNCIA. AF_03/2020</v>
          </cell>
          <cell r="D145" t="str">
            <v>M3</v>
          </cell>
          <cell r="E145">
            <v>825.88</v>
          </cell>
          <cell r="F145">
            <v>0</v>
          </cell>
        </row>
        <row r="146">
          <cell r="B146">
            <v>87367</v>
          </cell>
          <cell r="C146" t="str">
            <v>ARGAMASSA TRAÇO 1:1:6 (EM VOLUME DE CIMENTO, CAL E AREIA MÉDIA ÚMIDA) PARA EMBOÇO/MASSA ÚNICA/ASSENTAMENTO DE ALVENARIA DE VEDAÇÃO, PREPARO MANUAL. AF_08/2019</v>
          </cell>
          <cell r="D146" t="str">
            <v>M3</v>
          </cell>
          <cell r="E146">
            <v>756.56</v>
          </cell>
          <cell r="F146">
            <v>0</v>
          </cell>
        </row>
        <row r="147">
          <cell r="B147">
            <v>100449</v>
          </cell>
          <cell r="C147" t="str">
            <v>ARGAMASSA TRAÇO 1:1:6 (EM VOLUME DE CIMENTO, CAL E AREIA MÉDIA ÚMIDA) PARA EMBOÇO/MASSA ÚNICA/ASSENTAMENTO DE ALVENARIA DE VEDAÇÃO, PREPARO MECÂNICO COM BETONEIRA 250 L. AF_08/2019</v>
          </cell>
          <cell r="D147" t="str">
            <v>M3</v>
          </cell>
          <cell r="E147">
            <v>0</v>
          </cell>
        </row>
        <row r="148">
          <cell r="B148">
            <v>87286</v>
          </cell>
          <cell r="C148" t="str">
            <v>ARGAMASSA TRAÇO 1:1:6 (EM VOLUME DE CIMENTO, CAL E AREIA MÉDIA ÚMIDA) PARA EMBOÇO/MASSA ÚNICA/ASSENTAMENTO DE ALVENARIA DE VEDAÇÃO, PREPARO MECÂNICO COM BETONEIRA 400 L. AF_08/2019</v>
          </cell>
          <cell r="D148" t="str">
            <v>M3</v>
          </cell>
          <cell r="E148">
            <v>589.94000000000005</v>
          </cell>
          <cell r="F148">
            <v>0</v>
          </cell>
        </row>
        <row r="149">
          <cell r="B149">
            <v>87287</v>
          </cell>
          <cell r="C149" t="str">
            <v>ARGAMASSA TRAÇO 1:1:6 (EM VOLUME DE CIMENTO, CAL E AREIA MÉDIA ÚMIDA) PARA EMBOÇO/MASSA ÚNICA/ASSENTAMENTO DE ALVENARIA DE VEDAÇÃO, PREPARO MECÂNICO COM BETONEIRA 600 L. AF_08/2019</v>
          </cell>
          <cell r="D149" t="str">
            <v>M3</v>
          </cell>
          <cell r="E149">
            <v>554.17999999999995</v>
          </cell>
          <cell r="F149">
            <v>0</v>
          </cell>
        </row>
        <row r="150">
          <cell r="B150">
            <v>87331</v>
          </cell>
          <cell r="C150" t="str">
            <v>ARGAMASSA TRAÇO 1:1:6 (EM VOLUME DE CIMENTO, CAL E AREIA MÉDIA ÚMIDA) PARA EMBOÇO/MASSA ÚNICA/ASSENTAMENTO DE ALVENARIA DE VEDAÇÃO, PREPARO MECÂNICO COM MISTURADOR DE EIXO HORIZONTAL DE 300 KG. AF_08/2019</v>
          </cell>
          <cell r="D150" t="str">
            <v>M3</v>
          </cell>
          <cell r="E150">
            <v>625.54</v>
          </cell>
          <cell r="F150">
            <v>0</v>
          </cell>
        </row>
        <row r="151">
          <cell r="B151">
            <v>87332</v>
          </cell>
          <cell r="C151" t="str">
            <v>ARGAMASSA TRAÇO 1:1:6 (EM VOLUME DE CIMENTO, CAL E AREIA MÉDIA ÚMIDA) PARA EMBOÇO/MASSA ÚNICA/ASSENTAMENTO DE ALVENARIA DE VEDAÇÃO, PREPARO MECÂNICO COM MISTURADOR DE EIXO HORIZONTAL DE 600 KG. AF_08/2019</v>
          </cell>
          <cell r="D151" t="str">
            <v>M3</v>
          </cell>
          <cell r="E151">
            <v>528.67999999999995</v>
          </cell>
          <cell r="F151">
            <v>0</v>
          </cell>
        </row>
        <row r="152">
          <cell r="B152">
            <v>87369</v>
          </cell>
          <cell r="C152" t="str">
            <v>ARGAMASSA TRAÇO 1:2:8 (EM VOLUME DE CIMENTO, CAL E AREIA MÉDIA ÚMIDA) PARA EMBOÇO/MASSA ÚNICA/ASSENTAMENTO DE ALVENARIA DE VEDAÇÃO, PREPARO MANUAL. AF_08/2019</v>
          </cell>
          <cell r="D152" t="str">
            <v>M3</v>
          </cell>
          <cell r="E152">
            <v>766.72</v>
          </cell>
          <cell r="F152">
            <v>0</v>
          </cell>
        </row>
        <row r="153">
          <cell r="B153">
            <v>100451</v>
          </cell>
          <cell r="C153" t="str">
            <v>ARGAMASSA TRAÇO 1:2:8 (EM VOLUME DE CIMENTO, CAL E AREIA MÉDIA ÚMIDA) PARA EMBOÇO/MASSA ÚNICA/ASSENTAMENTO DE ALVENARIA DE VEDAÇÃO, PREPARO MECÂNICO COM BETONEIRA 250 L. AF_08/2019</v>
          </cell>
          <cell r="D153" t="str">
            <v>M3</v>
          </cell>
          <cell r="E153">
            <v>0</v>
          </cell>
        </row>
        <row r="154">
          <cell r="B154">
            <v>87292</v>
          </cell>
          <cell r="C154" t="str">
            <v>ARGAMASSA TRAÇO 1:2:8 (EM VOLUME DE CIMENTO, CAL E AREIA MÉDIA ÚMIDA) PARA EMBOÇO/MASSA ÚNICA/ASSENTAMENTO DE ALVENARIA DE VEDAÇÃO, PREPARO MECÂNICO COM BETONEIRA 400 L. AF_08/2019</v>
          </cell>
          <cell r="D154" t="str">
            <v>M3</v>
          </cell>
          <cell r="E154">
            <v>585.41</v>
          </cell>
          <cell r="F154">
            <v>0</v>
          </cell>
        </row>
        <row r="155">
          <cell r="B155">
            <v>87335</v>
          </cell>
          <cell r="C155" t="str">
            <v>ARGAMASSA TRAÇO 1:2:8 (EM VOLUME DE CIMENTO, CAL E AREIA MÉDIA ÚMIDA) PARA EMBOÇO/MASSA ÚNICA/ASSENTAMENTO DE ALVENARIA DE VEDAÇÃO, PREPARO MECÂNICO COM MISTURADOR DE EIXO HORIZONTAL DE 300 KG. AF_08/2019</v>
          </cell>
          <cell r="D155" t="str">
            <v>M3</v>
          </cell>
          <cell r="E155">
            <v>572.26</v>
          </cell>
          <cell r="F155">
            <v>0</v>
          </cell>
        </row>
        <row r="156">
          <cell r="B156">
            <v>87336</v>
          </cell>
          <cell r="C156" t="str">
            <v>ARGAMASSA TRAÇO 1:2:8 (EM VOLUME DE CIMENTO, CAL E AREIA MÉDIA ÚMIDA) PARA EMBOÇO/MASSA ÚNICA/ASSENTAMENTO DE ALVENARIA DE VEDAÇÃO, PREPARO MECÂNICO COM MISTURADOR DE EIXO HORIZONTAL DE 600 KG. AF_08/2019</v>
          </cell>
          <cell r="D156" t="str">
            <v>M3</v>
          </cell>
          <cell r="E156">
            <v>544.85</v>
          </cell>
          <cell r="F156">
            <v>0</v>
          </cell>
        </row>
        <row r="157">
          <cell r="B157">
            <v>87370</v>
          </cell>
          <cell r="C157" t="str">
            <v>ARGAMASSA TRAÇO 1:2:9 (EM VOLUME DE CIMENTO, CAL E AREIA MÉDIA ÚMIDA) PARA EMBOÇO/MASSA ÚNICA/ASSENTAMENTO DE ALVENARIA DE VEDAÇÃO, PREPARO MANUAL. AF_08/2019</v>
          </cell>
          <cell r="D157" t="str">
            <v>M3</v>
          </cell>
          <cell r="E157">
            <v>742.54</v>
          </cell>
          <cell r="F157">
            <v>0</v>
          </cell>
        </row>
        <row r="158">
          <cell r="B158">
            <v>100452</v>
          </cell>
          <cell r="C158" t="str">
            <v>ARGAMASSA TRAÇO 1:2:9 (EM VOLUME DE CIMENTO, CAL E AREIA MÉDIA ÚMIDA) PARA EMBOÇO/MASSA ÚNICA/ASSENTAMENTO DE ALVENARIA DE VEDAÇÃO, PREPARO MECÂNICO COM BETONEIRA 250 L. AF_08/2019</v>
          </cell>
          <cell r="D158" t="str">
            <v>M3</v>
          </cell>
          <cell r="E158">
            <v>0</v>
          </cell>
        </row>
        <row r="159">
          <cell r="B159">
            <v>88715</v>
          </cell>
          <cell r="C159" t="str">
            <v>ARGAMASSA TRAÇO 1:2:9 (EM VOLUME DE CIMENTO, CAL E AREIA MÉDIA ÚMIDA) PARA EMBOÇO/MASSA ÚNICA/ASSENTAMENTO DE ALVENARIA DE VEDAÇÃO, PREPARO MECÂNICO COM BETONEIRA 400 L. AF_08/2019</v>
          </cell>
          <cell r="D159" t="str">
            <v>M3</v>
          </cell>
          <cell r="E159">
            <v>550.89</v>
          </cell>
          <cell r="F159">
            <v>0</v>
          </cell>
        </row>
        <row r="160">
          <cell r="B160">
            <v>87294</v>
          </cell>
          <cell r="C160" t="str">
            <v>ARGAMASSA TRAÇO 1:2:9 (EM VOLUME DE CIMENTO, CAL E AREIA MÉDIA ÚMIDA) PARA EMBOÇO/MASSA ÚNICA/ASSENTAMENTO DE ALVENARIA DE VEDAÇÃO, PREPARO MECÂNICO COM BETONEIRA 600 L. AF_08/2019</v>
          </cell>
          <cell r="D160" t="str">
            <v>M3</v>
          </cell>
          <cell r="E160">
            <v>557.17999999999995</v>
          </cell>
          <cell r="F160">
            <v>0</v>
          </cell>
        </row>
        <row r="161">
          <cell r="B161">
            <v>87337</v>
          </cell>
          <cell r="C161" t="str">
            <v>ARGAMASSA TRAÇO 1:2:9 (EM VOLUME DE CIMENTO, CAL E AREIA MÉDIA ÚMIDA) PARA EMBOÇO/MASSA ÚNICA/ASSENTAMENTO DE ALVENARIA DE VEDAÇÃO, PREPARO MECÂNICO COM MISTURADOR DE EIXO HORIZONTAL DE 300 KG. AF_08/2019</v>
          </cell>
          <cell r="D161" t="str">
            <v>M3</v>
          </cell>
          <cell r="E161">
            <v>567.53</v>
          </cell>
          <cell r="F161">
            <v>0</v>
          </cell>
        </row>
        <row r="162">
          <cell r="B162">
            <v>100487</v>
          </cell>
          <cell r="C162" t="str">
            <v>ARGAMASSA TRAÇO 1:2:9 (EM VOLUME DE CIMENTO, CAL E AREIA MÉDIA ÚMIDA) PARA EMBOÇO/MASSA ÚNICA/ASSENTAMENTO DE ALVENARIA DE VEDAÇÃO, PREPARO MECÂNICO COM MISTURADOR DE EIXO HORIZONTAL DE 600 KG. AF_08/2019</v>
          </cell>
          <cell r="D162" t="str">
            <v>M3</v>
          </cell>
          <cell r="E162">
            <v>514.49</v>
          </cell>
          <cell r="F162">
            <v>0</v>
          </cell>
        </row>
        <row r="163">
          <cell r="B163">
            <v>87380</v>
          </cell>
          <cell r="C163" t="str">
            <v>ARGAMASSA TRAÇO 1:3 (EM VOLUME DE CIMENTO E AREIA GROSSA ÚMIDA) COM ADIÇÃO DE EMULSÃO POLIMÉRICA PARA CHAPISCO ROLADO, PREPARO MANUAL. AF_08/2019</v>
          </cell>
          <cell r="D163" t="str">
            <v>M3</v>
          </cell>
          <cell r="E163">
            <v>3350.95</v>
          </cell>
          <cell r="F163">
            <v>0</v>
          </cell>
        </row>
        <row r="164">
          <cell r="B164">
            <v>100461</v>
          </cell>
          <cell r="C164" t="str">
            <v>ARGAMASSA TRAÇO 1:3 (EM VOLUME DE CIMENTO E AREIA GROSSA ÚMIDA) COM ADIÇÃO DE EMULSÃO POLIMÉRICA PARA CHAPISCO ROLADO, PREPARO MECÂNICO COM BETONEIRA 250 L. AF_08/2019</v>
          </cell>
          <cell r="D164" t="str">
            <v>M3</v>
          </cell>
          <cell r="E164">
            <v>0</v>
          </cell>
        </row>
        <row r="165">
          <cell r="B165">
            <v>87322</v>
          </cell>
          <cell r="C165" t="str">
            <v>ARGAMASSA TRAÇO 1:3 (EM VOLUME DE CIMENTO E AREIA GROSSA ÚMIDA) COM ADIÇÃO DE EMULSÃO POLIMÉRICA PARA CHAPISCO ROLADO, PREPARO MECÂNICO COM BETONEIRA 400 L. AF_08/2019</v>
          </cell>
          <cell r="D165" t="str">
            <v>M3</v>
          </cell>
          <cell r="E165">
            <v>3203.05</v>
          </cell>
          <cell r="F165">
            <v>0</v>
          </cell>
        </row>
        <row r="166">
          <cell r="B166">
            <v>87323</v>
          </cell>
          <cell r="C166" t="str">
            <v>ARGAMASSA TRAÇO 1:3 (EM VOLUME DE CIMENTO E AREIA GROSSA ÚMIDA) COM ADIÇÃO DE EMULSÃO POLIMÉRICA PARA CHAPISCO ROLADO, PREPARO MECÂNICO COM BETONEIRA 600 L. AF_08/2019</v>
          </cell>
          <cell r="D166" t="str">
            <v>M3</v>
          </cell>
          <cell r="E166">
            <v>3186.64</v>
          </cell>
          <cell r="F166">
            <v>0</v>
          </cell>
        </row>
        <row r="167">
          <cell r="B167">
            <v>87360</v>
          </cell>
          <cell r="C167" t="str">
            <v>ARGAMASSA TRAÇO 1:3 (EM VOLUME DE CIMENTO E AREIA GROSSA ÚMIDA) COM ADIÇÃO DE EMULSÃO POLIMÉRICA PARA CHAPISCO ROLADO, PREPARO MECÂNICO COM MISTURADOR DE EIXO HORIZONTAL DE 160 KG. AF_08/2019</v>
          </cell>
          <cell r="D167" t="str">
            <v>M3</v>
          </cell>
          <cell r="E167">
            <v>3203.22</v>
          </cell>
          <cell r="F167">
            <v>0</v>
          </cell>
        </row>
        <row r="168">
          <cell r="B168">
            <v>87361</v>
          </cell>
          <cell r="C168" t="str">
            <v>ARGAMASSA TRAÇO 1:3 (EM VOLUME DE CIMENTO E AREIA GROSSA ÚMIDA) COM ADIÇÃO DE EMULSÃO POLIMÉRICA PARA CHAPISCO ROLADO, PREPARO MECÂNICO COM MISTURADOR DE EIXO HORIZONTAL DE 300 KG. AF_08/2019</v>
          </cell>
          <cell r="D168" t="str">
            <v>M3</v>
          </cell>
          <cell r="E168">
            <v>3123.12</v>
          </cell>
          <cell r="F168">
            <v>0</v>
          </cell>
        </row>
        <row r="169">
          <cell r="B169">
            <v>87362</v>
          </cell>
          <cell r="C169" t="str">
            <v>ARGAMASSA TRAÇO 1:3 (EM VOLUME DE CIMENTO E AREIA GROSSA ÚMIDA) COM ADIÇÃO DE EMULSÃO POLIMÉRICA PARA CHAPISCO ROLADO, PREPARO MECÂNICO COM MISTURADOR DE EIXO HORIZONTAL DE 600 KG. AF_08/2019</v>
          </cell>
          <cell r="D169" t="str">
            <v>M3</v>
          </cell>
          <cell r="E169">
            <v>3104.23</v>
          </cell>
          <cell r="F169">
            <v>0</v>
          </cell>
        </row>
        <row r="170">
          <cell r="B170">
            <v>87377</v>
          </cell>
          <cell r="C170" t="str">
            <v>ARGAMASSA TRAÇO 1:3 (EM VOLUME DE CIMENTO E AREIA GROSSA ÚMIDA) PARA CHAPISCO CONVENCIONAL, PREPARO MANUAL. AF_08/2019</v>
          </cell>
          <cell r="D170" t="str">
            <v>M3</v>
          </cell>
          <cell r="E170">
            <v>707.37</v>
          </cell>
          <cell r="F170">
            <v>0</v>
          </cell>
        </row>
        <row r="171">
          <cell r="B171">
            <v>100458</v>
          </cell>
          <cell r="C171" t="str">
            <v>ARGAMASSA TRAÇO 1:3 (EM VOLUME DE CIMENTO E AREIA GROSSA ÚMIDA) PARA CHAPISCO CONVENCIONAL, PREPARO MECÂNICO COM BETONEIRA 250 L. AF_08/2019</v>
          </cell>
          <cell r="D171" t="str">
            <v>M3</v>
          </cell>
          <cell r="E171">
            <v>0</v>
          </cell>
        </row>
        <row r="172">
          <cell r="B172">
            <v>87313</v>
          </cell>
          <cell r="C172" t="str">
            <v>ARGAMASSA TRAÇO 1:3 (EM VOLUME DE CIMENTO E AREIA GROSSA ÚMIDA) PARA CHAPISCO CONVENCIONAL, PREPARO MECÂNICO COM BETONEIRA 400 L. AF_08/2019</v>
          </cell>
          <cell r="D172" t="str">
            <v>M3</v>
          </cell>
          <cell r="E172">
            <v>518.37</v>
          </cell>
          <cell r="F172">
            <v>0</v>
          </cell>
        </row>
        <row r="173">
          <cell r="B173">
            <v>87314</v>
          </cell>
          <cell r="C173" t="str">
            <v>ARGAMASSA TRAÇO 1:3 (EM VOLUME DE CIMENTO E AREIA GROSSA ÚMIDA) PARA CHAPISCO CONVENCIONAL, PREPARO MECÂNICO COM BETONEIRA 600 L. AF_08/2019</v>
          </cell>
          <cell r="D173" t="str">
            <v>M3</v>
          </cell>
          <cell r="E173">
            <v>500.95</v>
          </cell>
          <cell r="F173">
            <v>0</v>
          </cell>
        </row>
        <row r="174">
          <cell r="B174">
            <v>87352</v>
          </cell>
          <cell r="C174" t="str">
            <v>ARGAMASSA TRAÇO 1:3 (EM VOLUME DE CIMENTO E AREIA GROSSA ÚMIDA) PARA CHAPISCO CONVENCIONAL, PREPARO MECÂNICO COM MISTURADOR DE EIXO HORIZONTAL DE 160 KG. AF_08/2019</v>
          </cell>
          <cell r="D174" t="str">
            <v>M3</v>
          </cell>
          <cell r="E174">
            <v>647.75</v>
          </cell>
          <cell r="F174">
            <v>0</v>
          </cell>
        </row>
        <row r="175">
          <cell r="B175">
            <v>87353</v>
          </cell>
          <cell r="C175" t="str">
            <v>ARGAMASSA TRAÇO 1:3 (EM VOLUME DE CIMENTO E AREIA GROSSA ÚMIDA) PARA CHAPISCO CONVENCIONAL, PREPARO MECÂNICO COM MISTURADOR DE EIXO HORIZONTAL DE 300 KG. AF_08/2019</v>
          </cell>
          <cell r="D175" t="str">
            <v>M3</v>
          </cell>
          <cell r="E175">
            <v>529.83000000000004</v>
          </cell>
          <cell r="F175">
            <v>0</v>
          </cell>
        </row>
        <row r="176">
          <cell r="B176">
            <v>87354</v>
          </cell>
          <cell r="C176" t="str">
            <v>ARGAMASSA TRAÇO 1:3 (EM VOLUME DE CIMENTO E AREIA GROSSA ÚMIDA) PARA CHAPISCO CONVENCIONAL, PREPARO MECÂNICO COM MISTURADOR DE EIXO HORIZONTAL DE 600 KG. AF_08/2019</v>
          </cell>
          <cell r="D176" t="str">
            <v>M3</v>
          </cell>
          <cell r="E176">
            <v>473.62</v>
          </cell>
          <cell r="F176">
            <v>0</v>
          </cell>
        </row>
        <row r="177">
          <cell r="B177">
            <v>100480</v>
          </cell>
          <cell r="C177" t="str">
            <v>ARGAMASSA TRAÇO 1:3 (EM VOLUME DE CIMENTO E AREIA MÉDIA ÚMIDA) COM ADIÇÃO DE IMPERMEABILIZANTE, PREPARO MANUAL. AF_08/2019</v>
          </cell>
          <cell r="D177" t="str">
            <v>M3</v>
          </cell>
          <cell r="E177">
            <v>824.05</v>
          </cell>
          <cell r="F177">
            <v>0</v>
          </cell>
        </row>
        <row r="178">
          <cell r="B178">
            <v>100476</v>
          </cell>
          <cell r="C178" t="str">
            <v>ARGAMASSA TRAÇO 1:3 (EM VOLUME DE CIMENTO E AREIA MÉDIA ÚMIDA) COM ADIÇÃO DE IMPERMEABILIZANTE, PREPARO MECÂNICO COM BETONEIRA 250 L. AF_08/2019</v>
          </cell>
          <cell r="D178" t="str">
            <v>M3</v>
          </cell>
          <cell r="E178">
            <v>0</v>
          </cell>
        </row>
        <row r="179">
          <cell r="B179">
            <v>100475</v>
          </cell>
          <cell r="C179" t="str">
            <v>ARGAMASSA TRAÇO 1:3 (EM VOLUME DE CIMENTO E AREIA MÉDIA ÚMIDA) COM ADIÇÃO DE IMPERMEABILIZANTE, PREPARO MECÂNICO COM BETONEIRA 400 L. AF_08/2019</v>
          </cell>
          <cell r="D179" t="str">
            <v>M3</v>
          </cell>
          <cell r="E179">
            <v>678.97</v>
          </cell>
          <cell r="F179">
            <v>0</v>
          </cell>
        </row>
        <row r="180">
          <cell r="B180">
            <v>100491</v>
          </cell>
          <cell r="C180" t="str">
            <v>ARGAMASSA TRAÇO 1:3 (EM VOLUME DE CIMENTO E AREIA MÉDIA ÚMIDA) COM ADIÇÃO DE IMPERMEABILIZANTE, PREPARO MECÂNICO COM BETONEIRA 600 L. AF_08/2019</v>
          </cell>
          <cell r="D180" t="str">
            <v>M3</v>
          </cell>
          <cell r="E180">
            <v>673.93</v>
          </cell>
          <cell r="F180">
            <v>0</v>
          </cell>
        </row>
        <row r="181">
          <cell r="B181">
            <v>100477</v>
          </cell>
          <cell r="C181" t="str">
            <v>ARGAMASSA TRAÇO 1:3 (EM VOLUME DE CIMENTO E AREIA MÉDIA ÚMIDA) COM ADIÇÃO DE IMPERMEABILIZANTE, PREPARO MECÂNICO COM MISTURADOR DE EIXO HORIZONTAL DE 160 KG. AF_08/2019</v>
          </cell>
          <cell r="D181" t="str">
            <v>M3</v>
          </cell>
          <cell r="E181">
            <v>784.54</v>
          </cell>
          <cell r="F181">
            <v>0</v>
          </cell>
        </row>
        <row r="182">
          <cell r="B182">
            <v>100478</v>
          </cell>
          <cell r="C182" t="str">
            <v>ARGAMASSA TRAÇO 1:3 (EM VOLUME DE CIMENTO E AREIA MÉDIA ÚMIDA) COM ADIÇÃO DE IMPERMEABILIZANTE, PREPARO MECÂNICO COM MISTURADOR DE EIXO HORIZONTAL DE 300 KG. AF_08/2019</v>
          </cell>
          <cell r="D182" t="str">
            <v>M3</v>
          </cell>
          <cell r="E182">
            <v>665.28</v>
          </cell>
          <cell r="F182">
            <v>0</v>
          </cell>
        </row>
        <row r="183">
          <cell r="B183">
            <v>100479</v>
          </cell>
          <cell r="C183" t="str">
            <v>ARGAMASSA TRAÇO 1:3 (EM VOLUME DE CIMENTO E AREIA MÉDIA ÚMIDA) COM ADIÇÃO DE IMPERMEABILIZANTE, PREPARO MECÂNICO COM MISTURADOR DE EIXO HORIZONTAL DE 600 KG. AF_08/2019</v>
          </cell>
          <cell r="D183" t="str">
            <v>M3</v>
          </cell>
          <cell r="E183">
            <v>637.79</v>
          </cell>
          <cell r="F183">
            <v>0</v>
          </cell>
        </row>
        <row r="184">
          <cell r="B184">
            <v>87372</v>
          </cell>
          <cell r="C184" t="str">
            <v>ARGAMASSA TRAÇO 1:3 (EM VOLUME DE CIMENTO E AREIA MÉDIA ÚMIDA) PARA CONTRAPISO, PREPARO MANUAL. AF_08/2019</v>
          </cell>
          <cell r="D184" t="str">
            <v>M3</v>
          </cell>
          <cell r="E184">
            <v>846.74</v>
          </cell>
          <cell r="F184">
            <v>0</v>
          </cell>
        </row>
        <row r="185">
          <cell r="B185">
            <v>100453</v>
          </cell>
          <cell r="C185" t="str">
            <v>ARGAMASSA TRAÇO 1:3 (EM VOLUME DE CIMENTO E AREIA MÉDIA ÚMIDA) PARA CONTRAPISO, PREPARO MECÂNICO COM BETONEIRA 250 L. AF_08/2019</v>
          </cell>
          <cell r="D185" t="str">
            <v>M3</v>
          </cell>
          <cell r="E185">
            <v>0</v>
          </cell>
        </row>
        <row r="186">
          <cell r="B186">
            <v>87298</v>
          </cell>
          <cell r="C186" t="str">
            <v>ARGAMASSA TRAÇO 1:3 (EM VOLUME DE CIMENTO E AREIA MÉDIA ÚMIDA) PARA CONTRAPISO, PREPARO MECÂNICO COM BETONEIRA 400 L. AF_08/2019</v>
          </cell>
          <cell r="D186" t="str">
            <v>M3</v>
          </cell>
          <cell r="E186">
            <v>646.58000000000004</v>
          </cell>
          <cell r="F186">
            <v>0</v>
          </cell>
        </row>
        <row r="187">
          <cell r="B187">
            <v>87299</v>
          </cell>
          <cell r="C187" t="str">
            <v>ARGAMASSA TRAÇO 1:3 (EM VOLUME DE CIMENTO E AREIA MÉDIA ÚMIDA) PARA CONTRAPISO, PREPARO MECÂNICO COM BETONEIRA 600 L. AF_08/2019</v>
          </cell>
          <cell r="D187" t="str">
            <v>M3</v>
          </cell>
          <cell r="E187">
            <v>437.03</v>
          </cell>
          <cell r="F187">
            <v>0</v>
          </cell>
        </row>
        <row r="188">
          <cell r="B188">
            <v>87339</v>
          </cell>
          <cell r="C188" t="str">
            <v>ARGAMASSA TRAÇO 1:3 (EM VOLUME DE CIMENTO E AREIA MÉDIA ÚMIDA) PARA CONTRAPISO, PREPARO MECÂNICO COM MISTURADOR DE EIXO HORIZONTAL DE 160 KG. AF_08/2019</v>
          </cell>
          <cell r="D188" t="str">
            <v>M3</v>
          </cell>
          <cell r="E188">
            <v>843.75</v>
          </cell>
          <cell r="F188">
            <v>0</v>
          </cell>
        </row>
        <row r="189">
          <cell r="B189">
            <v>87340</v>
          </cell>
          <cell r="C189" t="str">
            <v>ARGAMASSA TRAÇO 1:3 (EM VOLUME DE CIMENTO E AREIA MÉDIA ÚMIDA) PARA CONTRAPISO, PREPARO MECÂNICO COM MISTURADOR DE EIXO HORIZONTAL DE 300 KG. AF_08/2019</v>
          </cell>
          <cell r="D189" t="str">
            <v>M3</v>
          </cell>
          <cell r="E189">
            <v>651.22</v>
          </cell>
          <cell r="F189">
            <v>0</v>
          </cell>
        </row>
        <row r="190">
          <cell r="B190">
            <v>87341</v>
          </cell>
          <cell r="C190" t="str">
            <v>ARGAMASSA TRAÇO 1:3 (EM VOLUME DE CIMENTO E AREIA MÉDIA ÚMIDA) PARA CONTRAPISO, PREPARO MECÂNICO COM MISTURADOR DE EIXO HORIZONTAL DE 600 KG. AF_08/2019</v>
          </cell>
          <cell r="D190" t="str">
            <v>M3</v>
          </cell>
          <cell r="E190">
            <v>601.09</v>
          </cell>
          <cell r="F190">
            <v>0</v>
          </cell>
        </row>
        <row r="191">
          <cell r="B191">
            <v>88629</v>
          </cell>
          <cell r="C191" t="str">
            <v>ARGAMASSA TRAÇO 1:3 (EM VOLUME DE CIMENTO E AREIA MÉDIA ÚMIDA), PREPARO MANUAL. AF_08/2019</v>
          </cell>
          <cell r="D191" t="str">
            <v>M3</v>
          </cell>
          <cell r="E191">
            <v>681.48</v>
          </cell>
          <cell r="F191">
            <v>0</v>
          </cell>
        </row>
        <row r="192">
          <cell r="B192">
            <v>100467</v>
          </cell>
          <cell r="C192" t="str">
            <v>ARGAMASSA TRAÇO 1:3 (EM VOLUME DE CIMENTO E AREIA MÉDIA ÚMIDA), PREPARO MECÂNICO COM BETONEIRA 250 L. AF_08/2019</v>
          </cell>
          <cell r="D192" t="str">
            <v>M3</v>
          </cell>
          <cell r="E192">
            <v>0</v>
          </cell>
        </row>
        <row r="193">
          <cell r="B193">
            <v>88628</v>
          </cell>
          <cell r="C193" t="str">
            <v>ARGAMASSA TRAÇO 1:3 (EM VOLUME DE CIMENTO E AREIA MÉDIA ÚMIDA), PREPARO MECÂNICO COM BETONEIRA 400 L. AF_08/2019</v>
          </cell>
          <cell r="D193" t="str">
            <v>M3</v>
          </cell>
          <cell r="E193">
            <v>534.42999999999995</v>
          </cell>
          <cell r="F193">
            <v>0</v>
          </cell>
        </row>
        <row r="194">
          <cell r="B194">
            <v>100489</v>
          </cell>
          <cell r="C194" t="str">
            <v>ARGAMASSA TRAÇO 1:3 (EM VOLUME DE CIMENTO E AREIA MÉDIA ÚMIDA), PREPARO MECÂNICO COM BETONEIRA 600 L. AF_08/2019</v>
          </cell>
          <cell r="D194" t="str">
            <v>M3</v>
          </cell>
          <cell r="E194">
            <v>528.05999999999995</v>
          </cell>
          <cell r="F194">
            <v>0</v>
          </cell>
        </row>
        <row r="195">
          <cell r="B195">
            <v>100468</v>
          </cell>
          <cell r="C195" t="str">
            <v>ARGAMASSA TRAÇO 1:3 (EM VOLUME DE CIMENTO E AREIA MÉDIA ÚMIDA), PREPARO MECÂNICO COM MISTURADOR DE EIXO HORIZONTAL DE 160 KG. AF_08/2019</v>
          </cell>
          <cell r="D195" t="str">
            <v>M3</v>
          </cell>
          <cell r="E195">
            <v>695.85</v>
          </cell>
          <cell r="F195">
            <v>0</v>
          </cell>
        </row>
        <row r="196">
          <cell r="B196">
            <v>100469</v>
          </cell>
          <cell r="C196" t="str">
            <v>ARGAMASSA TRAÇO 1:3 (EM VOLUME DE CIMENTO E AREIA MÉDIA ÚMIDA), PREPARO MECÂNICO COM MISTURADOR DE EIXO HORIZONTAL DE 300 KG. AF_08/2019</v>
          </cell>
          <cell r="D196" t="str">
            <v>M3</v>
          </cell>
          <cell r="E196">
            <v>523.99</v>
          </cell>
          <cell r="F196">
            <v>0</v>
          </cell>
        </row>
        <row r="197">
          <cell r="B197">
            <v>100470</v>
          </cell>
          <cell r="C197" t="str">
            <v>ARGAMASSA TRAÇO 1:3 (EM VOLUME DE CIMENTO E AREIA MÉDIA ÚMIDA), PREPARO MECÂNICO COM MISTURADOR DE EIXO HORIZONTAL DE 600 KG. AF_08/2019</v>
          </cell>
          <cell r="D197" t="str">
            <v>M3</v>
          </cell>
          <cell r="E197">
            <v>477.77</v>
          </cell>
          <cell r="F197">
            <v>0</v>
          </cell>
        </row>
        <row r="198">
          <cell r="B198">
            <v>87371</v>
          </cell>
          <cell r="C198" t="str">
            <v>ARGAMASSA TRAÇO 1:3:12 (EM VOLUME DE CIMENTO, CAL E AREIA MÉDIA ÚMIDA) PARA EMBOÇO/MASSA ÚNICA/ASSENTAMENTO DE ALVENARIA DE VEDAÇÃO, PREPARO MANUAL. AF_08/2019</v>
          </cell>
          <cell r="D198" t="str">
            <v>M3</v>
          </cell>
          <cell r="E198">
            <v>732.28</v>
          </cell>
          <cell r="F198">
            <v>0</v>
          </cell>
        </row>
        <row r="199">
          <cell r="B199">
            <v>87295</v>
          </cell>
          <cell r="C199" t="str">
            <v>ARGAMASSA TRAÇO 1:3:12 (EM VOLUME DE CIMENTO, CAL E AREIA MÉDIA ÚMIDA) PARA EMBOÇO/MASSA ÚNICA/ASSENTAMENTO DE ALVENARIA DE VEDAÇÃO, PREPARO MECÂNICO COM BETONEIRA 400 L. AF_08/2019</v>
          </cell>
          <cell r="D199" t="str">
            <v>M3</v>
          </cell>
          <cell r="E199">
            <v>590.21</v>
          </cell>
          <cell r="F199">
            <v>0</v>
          </cell>
        </row>
        <row r="200">
          <cell r="B200">
            <v>87296</v>
          </cell>
          <cell r="C200" t="str">
            <v>ARGAMASSA TRAÇO 1:3:12 (EM VOLUME DE CIMENTO, CAL E AREIA MÉDIA ÚMIDA) PARA EMBOÇO/MASSA ÚNICA/ASSENTAMENTO DE ALVENARIA DE VEDAÇÃO, PREPARO MECÂNICO COM BETONEIRA 600 L. AF_08/2019</v>
          </cell>
          <cell r="D200" t="str">
            <v>M3</v>
          </cell>
          <cell r="E200">
            <v>540.6</v>
          </cell>
          <cell r="F200">
            <v>0</v>
          </cell>
        </row>
        <row r="201">
          <cell r="B201">
            <v>87338</v>
          </cell>
          <cell r="C201" t="str">
            <v>ARGAMASSA TRAÇO 1:3:12 (EM VOLUME DE CIMENTO, CAL E AREIA MÉDIA ÚMIDA) PARA EMBOÇO/MASSA ÚNICA/ASSENTAMENTO DE ALVENARIA DE VEDAÇÃO, PREPARO MECÂNICO COM MISTURADOR DE EIXO HORIZONTAL DE 600 KG. AF_08/2019</v>
          </cell>
          <cell r="D201" t="str">
            <v>M3</v>
          </cell>
          <cell r="E201">
            <v>544.70000000000005</v>
          </cell>
          <cell r="F201">
            <v>0</v>
          </cell>
        </row>
        <row r="202">
          <cell r="B202">
            <v>88630</v>
          </cell>
          <cell r="C202" t="str">
            <v>ARGAMASSA TRAÇO 1:4 (CIMENTO E AREIA MÉDIA), PREPARO MECÂNICO COM BETONEIRA 400 L. AF_08/2019</v>
          </cell>
          <cell r="D202" t="str">
            <v>M3</v>
          </cell>
          <cell r="E202">
            <v>459.73</v>
          </cell>
          <cell r="F202">
            <v>0</v>
          </cell>
        </row>
        <row r="203">
          <cell r="B203">
            <v>87381</v>
          </cell>
          <cell r="C203" t="str">
            <v>ARGAMASSA TRAÇO 1:4 (EM VOLUME DE CIMENTO E AREIA GROSSA ÚMIDA) COM ADIÇÃO DE EMULSÃO POLIMÉRICA PARA CHAPISCO ROLADO, PREPARO MANUAL. AF_08/2019</v>
          </cell>
          <cell r="D203" t="str">
            <v>M3</v>
          </cell>
          <cell r="E203">
            <v>3292.1</v>
          </cell>
          <cell r="F203">
            <v>0</v>
          </cell>
        </row>
        <row r="204">
          <cell r="B204">
            <v>100462</v>
          </cell>
          <cell r="C204" t="str">
            <v>ARGAMASSA TRAÇO 1:4 (EM VOLUME DE CIMENTO E AREIA GROSSA ÚMIDA) COM ADIÇÃO DE EMULSÃO POLIMÉRICA PARA CHAPISCO ROLADO, PREPARO MECÂNICO COM BETONEIRA 250 L. AF_08/2019</v>
          </cell>
          <cell r="D204" t="str">
            <v>M3</v>
          </cell>
          <cell r="E204">
            <v>0</v>
          </cell>
        </row>
        <row r="205">
          <cell r="B205">
            <v>87325</v>
          </cell>
          <cell r="C205" t="str">
            <v>ARGAMASSA TRAÇO 1:4 (EM VOLUME DE CIMENTO E AREIA GROSSA ÚMIDA) COM ADIÇÃO DE EMULSÃO POLIMÉRICA PARA CHAPISCO ROLADO, PREPARO MECÂNICO COM BETONEIRA 400 L. AF_08/2019</v>
          </cell>
          <cell r="D205" t="str">
            <v>M3</v>
          </cell>
          <cell r="E205">
            <v>3133.52</v>
          </cell>
          <cell r="F205">
            <v>0</v>
          </cell>
        </row>
        <row r="206">
          <cell r="B206">
            <v>87326</v>
          </cell>
          <cell r="C206" t="str">
            <v>ARGAMASSA TRAÇO 1:4 (EM VOLUME DE CIMENTO E AREIA GROSSA ÚMIDA) COM ADIÇÃO DE EMULSÃO POLIMÉRICA PARA CHAPISCO ROLADO, PREPARO MECÂNICO COM BETONEIRA 600 L. AF_08/2019</v>
          </cell>
          <cell r="D206" t="str">
            <v>M3</v>
          </cell>
          <cell r="E206">
            <v>3120.57</v>
          </cell>
          <cell r="F206">
            <v>0</v>
          </cell>
        </row>
        <row r="207">
          <cell r="B207">
            <v>87363</v>
          </cell>
          <cell r="C207" t="str">
            <v>ARGAMASSA TRAÇO 1:4 (EM VOLUME DE CIMENTO E AREIA GROSSA ÚMIDA) COM ADIÇÃO DE EMULSÃO POLIMÉRICA PARA CHAPISCO ROLADO, PREPARO MECÂNICO COM MISTURADOR DE EIXO HORIZONTAL DE 300 KG. AF_08/2019</v>
          </cell>
          <cell r="D207" t="str">
            <v>M3</v>
          </cell>
          <cell r="E207">
            <v>3127.17</v>
          </cell>
          <cell r="F207">
            <v>0</v>
          </cell>
        </row>
        <row r="208">
          <cell r="B208">
            <v>87364</v>
          </cell>
          <cell r="C208" t="str">
            <v>ARGAMASSA TRAÇO 1:4 (EM VOLUME DE CIMENTO E AREIA GROSSA ÚMIDA) COM ADIÇÃO DE EMULSÃO POLIMÉRICA PARA CHAPISCO ROLADO, PREPARO MECÂNICO COM MISTURADOR DE EIXO HORIZONTAL DE 600 KG. AF_08/2019</v>
          </cell>
          <cell r="D208" t="str">
            <v>M3</v>
          </cell>
          <cell r="E208">
            <v>3060.64</v>
          </cell>
          <cell r="F208">
            <v>0</v>
          </cell>
        </row>
        <row r="209">
          <cell r="B209">
            <v>87378</v>
          </cell>
          <cell r="C209" t="str">
            <v>ARGAMASSA TRAÇO 1:4 (EM VOLUME DE CIMENTO E AREIA GROSSA ÚMIDA) PARA CHAPISCO CONVENCIONAL, PREPARO MANUAL. AF_08/2019</v>
          </cell>
          <cell r="D209" t="str">
            <v>M3</v>
          </cell>
          <cell r="E209">
            <v>647.09</v>
          </cell>
          <cell r="F209">
            <v>0</v>
          </cell>
        </row>
        <row r="210">
          <cell r="B210">
            <v>100459</v>
          </cell>
          <cell r="C210" t="str">
            <v>ARGAMASSA TRAÇO 1:4 (EM VOLUME DE CIMENTO E AREIA GROSSA ÚMIDA) PARA CHAPISCO CONVENCIONAL, PREPARO MECÂNICO COM BETONEIRA 250 L. AF_08/2019</v>
          </cell>
          <cell r="D210" t="str">
            <v>M3</v>
          </cell>
          <cell r="E210">
            <v>0</v>
          </cell>
        </row>
        <row r="211">
          <cell r="B211">
            <v>87316</v>
          </cell>
          <cell r="C211" t="str">
            <v>ARGAMASSA TRAÇO 1:4 (EM VOLUME DE CIMENTO E AREIA GROSSA ÚMIDA) PARA CHAPISCO CONVENCIONAL, PREPARO MECÂNICO COM BETONEIRA 400 L. AF_08/2019</v>
          </cell>
          <cell r="D211" t="str">
            <v>M3</v>
          </cell>
          <cell r="E211">
            <v>479.97</v>
          </cell>
          <cell r="F211">
            <v>0</v>
          </cell>
        </row>
        <row r="212">
          <cell r="B212">
            <v>87317</v>
          </cell>
          <cell r="C212" t="str">
            <v>ARGAMASSA TRAÇO 1:4 (EM VOLUME DE CIMENTO E AREIA GROSSA ÚMIDA) PARA CHAPISCO CONVENCIONAL, PREPARO MECÂNICO COM BETONEIRA 600 L. AF_08/2019</v>
          </cell>
          <cell r="D212" t="str">
            <v>M3</v>
          </cell>
          <cell r="E212">
            <v>451.54</v>
          </cell>
          <cell r="F212">
            <v>0</v>
          </cell>
        </row>
        <row r="213">
          <cell r="B213">
            <v>87355</v>
          </cell>
          <cell r="C213" t="str">
            <v>ARGAMASSA TRAÇO 1:4 (EM VOLUME DE CIMENTO E AREIA GROSSA ÚMIDA) PARA CHAPISCO CONVENCIONAL, PREPARO MECÂNICO COM MISTURADOR DE EIXO HORIZONTAL DE 160 KG. AF_08/2019</v>
          </cell>
          <cell r="D213" t="str">
            <v>M3</v>
          </cell>
          <cell r="E213">
            <v>543.23</v>
          </cell>
          <cell r="F213">
            <v>0</v>
          </cell>
        </row>
        <row r="214">
          <cell r="B214">
            <v>87356</v>
          </cell>
          <cell r="C214" t="str">
            <v>ARGAMASSA TRAÇO 1:4 (EM VOLUME DE CIMENTO E AREIA GROSSA ÚMIDA) PARA CHAPISCO CONVENCIONAL, PREPARO MECÂNICO COM MISTURADOR DE EIXO HORIZONTAL DE 300 KG. AF_08/2019</v>
          </cell>
          <cell r="D214" t="str">
            <v>M3</v>
          </cell>
          <cell r="E214">
            <v>462.25</v>
          </cell>
          <cell r="F214">
            <v>0</v>
          </cell>
        </row>
        <row r="215">
          <cell r="B215">
            <v>87357</v>
          </cell>
          <cell r="C215" t="str">
            <v>ARGAMASSA TRAÇO 1:4 (EM VOLUME DE CIMENTO E AREIA GROSSA ÚMIDA) PARA CHAPISCO CONVENCIONAL, PREPARO MECÂNICO COM MISTURADOR DE EIXO HORIZONTAL DE 600 KG. AF_08/2019</v>
          </cell>
          <cell r="D215" t="str">
            <v>M3</v>
          </cell>
          <cell r="E215">
            <v>421.76</v>
          </cell>
          <cell r="F215">
            <v>0</v>
          </cell>
        </row>
        <row r="216">
          <cell r="B216">
            <v>100486</v>
          </cell>
          <cell r="C216" t="str">
            <v>ARGAMASSA TRAÇO 1:4 (EM VOLUME DE CIMENTO E AREIA MÉDIA ÚMIDA) COM ADIÇÃO DE IMPERMEABILIZANTE, PREPARO MANUAL. AF_08/2019</v>
          </cell>
          <cell r="D216" t="str">
            <v>M3</v>
          </cell>
          <cell r="E216">
            <v>736.36</v>
          </cell>
          <cell r="F216">
            <v>0</v>
          </cell>
        </row>
        <row r="217">
          <cell r="B217">
            <v>100482</v>
          </cell>
          <cell r="C217" t="str">
            <v>ARGAMASSA TRAÇO 1:4 (EM VOLUME DE CIMENTO E AREIA MÉDIA ÚMIDA) COM ADIÇÃO DE IMPERMEABILIZANTE, PREPARO MECÂNICO COM BETONEIRA 250 L. AF_08/2019</v>
          </cell>
          <cell r="D217" t="str">
            <v>M3</v>
          </cell>
          <cell r="E217">
            <v>0</v>
          </cell>
        </row>
        <row r="218">
          <cell r="B218">
            <v>100481</v>
          </cell>
          <cell r="C218" t="str">
            <v>ARGAMASSA TRAÇO 1:4 (EM VOLUME DE CIMENTO E AREIA MÉDIA ÚMIDA) COM ADIÇÃO DE IMPERMEABILIZANTE, PREPARO MECÂNICO COM BETONEIRA 400 L. AF_08/2019</v>
          </cell>
          <cell r="D218" t="str">
            <v>M3</v>
          </cell>
          <cell r="E218">
            <v>587.75</v>
          </cell>
          <cell r="F218">
            <v>0</v>
          </cell>
        </row>
        <row r="219">
          <cell r="B219">
            <v>100492</v>
          </cell>
          <cell r="C219" t="str">
            <v>ARGAMASSA TRAÇO 1:4 (EM VOLUME DE CIMENTO E AREIA MÉDIA ÚMIDA) COM ADIÇÃO DE IMPERMEABILIZANTE, PREPARO MECÂNICO COM BETONEIRA 600 L. AF_08/2019</v>
          </cell>
          <cell r="D219" t="str">
            <v>M3</v>
          </cell>
          <cell r="E219">
            <v>583.01</v>
          </cell>
          <cell r="F219">
            <v>0</v>
          </cell>
        </row>
        <row r="220">
          <cell r="B220">
            <v>100483</v>
          </cell>
          <cell r="C220" t="str">
            <v>ARGAMASSA TRAÇO 1:4 (EM VOLUME DE CIMENTO E AREIA MÉDIA ÚMIDA) COM ADIÇÃO DE IMPERMEABILIZANTE, PREPARO MECÂNICO COM MISTURADOR DE EIXO HORIZONTAL DE 160 KG. AF_08/2019</v>
          </cell>
          <cell r="D220" t="str">
            <v>M3</v>
          </cell>
          <cell r="E220">
            <v>666.61</v>
          </cell>
          <cell r="F220">
            <v>0</v>
          </cell>
        </row>
        <row r="221">
          <cell r="B221">
            <v>100484</v>
          </cell>
          <cell r="C221" t="str">
            <v>ARGAMASSA TRAÇO 1:4 (EM VOLUME DE CIMENTO E AREIA MÉDIA ÚMIDA) COM ADIÇÃO DE IMPERMEABILIZANTE, PREPARO MECÂNICO COM MISTURADOR DE EIXO HORIZONTAL DE 300 KG. AF_08/2019</v>
          </cell>
          <cell r="D221" t="str">
            <v>M3</v>
          </cell>
          <cell r="E221">
            <v>591.61</v>
          </cell>
          <cell r="F221">
            <v>0</v>
          </cell>
        </row>
        <row r="222">
          <cell r="B222">
            <v>100485</v>
          </cell>
          <cell r="C222" t="str">
            <v>ARGAMASSA TRAÇO 1:4 (EM VOLUME DE CIMENTO E AREIA MÉDIA ÚMIDA) COM ADIÇÃO DE IMPERMEABILIZANTE, PREPARO MECÂNICO COM MISTURADOR DE EIXO HORIZONTAL DE 600 KG. AF_08/2019</v>
          </cell>
          <cell r="D222" t="str">
            <v>M3</v>
          </cell>
          <cell r="E222">
            <v>557.78</v>
          </cell>
          <cell r="F222">
            <v>0</v>
          </cell>
        </row>
        <row r="223">
          <cell r="B223">
            <v>87373</v>
          </cell>
          <cell r="C223" t="str">
            <v>ARGAMASSA TRAÇO 1:4 (EM VOLUME DE CIMENTO E AREIA MÉDIA ÚMIDA) PARA CONTRAPISO, PREPARO MANUAL. AF_08/2019</v>
          </cell>
          <cell r="D223" t="str">
            <v>M3</v>
          </cell>
          <cell r="E223">
            <v>762.58</v>
          </cell>
          <cell r="F223">
            <v>0</v>
          </cell>
        </row>
        <row r="224">
          <cell r="B224">
            <v>100454</v>
          </cell>
          <cell r="C224" t="str">
            <v>ARGAMASSA TRAÇO 1:4 (EM VOLUME DE CIMENTO E AREIA MÉDIA ÚMIDA) PARA CONTRAPISO, PREPARO MECÂNICO COM BETONEIRA 250 L. AF_08/2019</v>
          </cell>
          <cell r="D224" t="str">
            <v>M3</v>
          </cell>
          <cell r="E224">
            <v>0</v>
          </cell>
        </row>
        <row r="225">
          <cell r="B225">
            <v>87301</v>
          </cell>
          <cell r="C225" t="str">
            <v>ARGAMASSA TRAÇO 1:4 (EM VOLUME DE CIMENTO E AREIA MÉDIA ÚMIDA) PARA CONTRAPISO, PREPARO MECÂNICO COM BETONEIRA 400 L. AF_08/2019</v>
          </cell>
          <cell r="D225" t="str">
            <v>M3</v>
          </cell>
          <cell r="E225">
            <v>593.03</v>
          </cell>
          <cell r="F225">
            <v>0</v>
          </cell>
        </row>
        <row r="226">
          <cell r="B226">
            <v>87302</v>
          </cell>
          <cell r="C226" t="str">
            <v>ARGAMASSA TRAÇO 1:4 (EM VOLUME DE CIMENTO E AREIA MÉDIA ÚMIDA) PARA CONTRAPISO, PREPARO MECÂNICO COM BETONEIRA 600 L. AF_08/2019</v>
          </cell>
          <cell r="D226" t="str">
            <v>M3</v>
          </cell>
          <cell r="E226">
            <v>572.70000000000005</v>
          </cell>
          <cell r="F226">
            <v>0</v>
          </cell>
        </row>
        <row r="227">
          <cell r="B227">
            <v>87342</v>
          </cell>
          <cell r="C227" t="str">
            <v>ARGAMASSA TRAÇO 1:4 (EM VOLUME DE CIMENTO E AREIA MÉDIA ÚMIDA) PARA CONTRAPISO, PREPARO MECÂNICO COM MISTURADOR DE EIXO HORIZONTAL DE 160 KG. AF_08/2019</v>
          </cell>
          <cell r="D227" t="str">
            <v>M3</v>
          </cell>
          <cell r="E227">
            <v>709.18</v>
          </cell>
          <cell r="F227">
            <v>0</v>
          </cell>
        </row>
        <row r="228">
          <cell r="B228">
            <v>87343</v>
          </cell>
          <cell r="C228" t="str">
            <v>ARGAMASSA TRAÇO 1:4 (EM VOLUME DE CIMENTO E AREIA MÉDIA ÚMIDA) PARA CONTRAPISO, PREPARO MECÂNICO COM MISTURADOR DE EIXO HORIZONTAL DE 300 KG. AF_08/2019</v>
          </cell>
          <cell r="D228" t="str">
            <v>M3</v>
          </cell>
          <cell r="E228">
            <v>600.04999999999995</v>
          </cell>
          <cell r="F228">
            <v>0</v>
          </cell>
        </row>
        <row r="229">
          <cell r="B229">
            <v>87344</v>
          </cell>
          <cell r="C229" t="str">
            <v>ARGAMASSA TRAÇO 1:4 (EM VOLUME DE CIMENTO E AREIA MÉDIA ÚMIDA) PARA CONTRAPISO, PREPARO MECÂNICO COM MISTURADOR DE EIXO HORIZONTAL DE 600 KG. AF_08/2019</v>
          </cell>
          <cell r="D229" t="str">
            <v>M3</v>
          </cell>
          <cell r="E229">
            <v>536.98</v>
          </cell>
          <cell r="F229">
            <v>0</v>
          </cell>
        </row>
        <row r="230">
          <cell r="B230">
            <v>88631</v>
          </cell>
          <cell r="C230" t="str">
            <v>ARGAMASSA TRAÇO 1:4 (EM VOLUME DE CIMENTO E AREIA MÉDIA ÚMIDA), PREPARO MANUAL. AF_08/2019</v>
          </cell>
          <cell r="D230" t="str">
            <v>M3</v>
          </cell>
          <cell r="E230">
            <v>616.97</v>
          </cell>
          <cell r="F230">
            <v>0</v>
          </cell>
        </row>
        <row r="231">
          <cell r="B231">
            <v>100471</v>
          </cell>
          <cell r="C231" t="str">
            <v>ARGAMASSA TRAÇO 1:4 (EM VOLUME DE CIMENTO E AREIA MÉDIA ÚMIDA), PREPARO MECÂNICO COM BETONEIRA 250 L. AF_08/2019</v>
          </cell>
          <cell r="D231" t="str">
            <v>M3</v>
          </cell>
          <cell r="E231">
            <v>0</v>
          </cell>
        </row>
        <row r="232">
          <cell r="B232">
            <v>100490</v>
          </cell>
          <cell r="C232" t="str">
            <v>ARGAMASSA TRAÇO 1:4 (EM VOLUME DE CIMENTO E AREIA MÉDIA ÚMIDA), PREPARO MECÂNICO COM BETONEIRA 600 L. AF_08/2019</v>
          </cell>
          <cell r="D232" t="str">
            <v>M3</v>
          </cell>
          <cell r="E232">
            <v>466.64</v>
          </cell>
          <cell r="F232">
            <v>0</v>
          </cell>
        </row>
        <row r="233">
          <cell r="B233">
            <v>100472</v>
          </cell>
          <cell r="C233" t="str">
            <v>ARGAMASSA TRAÇO 1:4 (EM VOLUME DE CIMENTO E AREIA MÉDIA ÚMIDA), PREPARO MECÂNICO COM MISTURADOR DE EIXO HORIZONTAL DE 160 KG. AF_08/2019</v>
          </cell>
          <cell r="D233" t="str">
            <v>M3</v>
          </cell>
          <cell r="E233">
            <v>554.75</v>
          </cell>
          <cell r="F233">
            <v>0</v>
          </cell>
        </row>
        <row r="234">
          <cell r="B234">
            <v>100473</v>
          </cell>
          <cell r="C234" t="str">
            <v>ARGAMASSA TRAÇO 1:4 (EM VOLUME DE CIMENTO E AREIA MÉDIA ÚMIDA), PREPARO MECÂNICO COM MISTURADOR DE EIXO HORIZONTAL DE 300 KG. AF_08/2019</v>
          </cell>
          <cell r="D234" t="str">
            <v>M3</v>
          </cell>
          <cell r="E234">
            <v>478.8</v>
          </cell>
          <cell r="F234">
            <v>0</v>
          </cell>
        </row>
        <row r="235">
          <cell r="B235">
            <v>100474</v>
          </cell>
          <cell r="C235" t="str">
            <v>ARGAMASSA TRAÇO 1:4 (EM VOLUME DE CIMENTO E AREIA MÉDIA ÚMIDA), PREPARO MECÂNICO COM MISTURADOR DE EIXO HORIZONTAL DE 600 KG. AF_08/2019</v>
          </cell>
          <cell r="D235" t="str">
            <v>M3</v>
          </cell>
          <cell r="E235">
            <v>443.08</v>
          </cell>
          <cell r="F235">
            <v>0</v>
          </cell>
        </row>
        <row r="236">
          <cell r="B236">
            <v>87379</v>
          </cell>
          <cell r="C236" t="str">
            <v>ARGAMASSA TRAÇO 1:5 (EM VOLUME DE CIMENTO E AREIA GROSSA ÚMIDA) COM ADIÇÃO DE EMULSÃO POLIMÉRICA PARA CHAPISCO ROLADO, PREPARO MANUAL. AF_08/2019</v>
          </cell>
          <cell r="D236" t="str">
            <v>M3</v>
          </cell>
          <cell r="E236">
            <v>3264.92</v>
          </cell>
          <cell r="F236">
            <v>0</v>
          </cell>
        </row>
        <row r="237">
          <cell r="B237">
            <v>100460</v>
          </cell>
          <cell r="C237" t="str">
            <v>ARGAMASSA TRAÇO 1:5 (EM VOLUME DE CIMENTO E AREIA GROSSA ÚMIDA) COM ADIÇÃO DE EMULSÃO POLIMÉRICA PARA CHAPISCO ROLADO, PREPARO MECÂNICO COM BETONEIRA 250 L. AF_08/2019</v>
          </cell>
          <cell r="D237" t="str">
            <v>M3</v>
          </cell>
          <cell r="E237">
            <v>0</v>
          </cell>
        </row>
        <row r="238">
          <cell r="B238">
            <v>87319</v>
          </cell>
          <cell r="C238" t="str">
            <v>ARGAMASSA TRAÇO 1:5 (EM VOLUME DE CIMENTO E AREIA GROSSA ÚMIDA) COM ADIÇÃO DE EMULSÃO POLIMÉRICA PARA CHAPISCO ROLADO, PREPARO MECÂNICO COM BETONEIRA 400 L. AF_08/2019</v>
          </cell>
          <cell r="D238" t="str">
            <v>M3</v>
          </cell>
          <cell r="E238">
            <v>3103.14</v>
          </cell>
          <cell r="F238">
            <v>0</v>
          </cell>
        </row>
        <row r="239">
          <cell r="B239">
            <v>87320</v>
          </cell>
          <cell r="C239" t="str">
            <v>ARGAMASSA TRAÇO 1:5 (EM VOLUME DE CIMENTO E AREIA GROSSA ÚMIDA) COM ADIÇÃO DE EMULSÃO POLIMÉRICA PARA CHAPISCO ROLADO, PREPARO MECÂNICO COM BETONEIRA 600 L. AF_08/2019</v>
          </cell>
          <cell r="D239" t="str">
            <v>M3</v>
          </cell>
          <cell r="E239">
            <v>3098.03</v>
          </cell>
          <cell r="F239">
            <v>0</v>
          </cell>
        </row>
        <row r="240">
          <cell r="B240">
            <v>87358</v>
          </cell>
          <cell r="C240" t="str">
            <v>ARGAMASSA TRAÇO 1:5 (EM VOLUME DE CIMENTO E AREIA GROSSA ÚMIDA) COM ADIÇÃO DE EMULSÃO POLIMÉRICA PARA CHAPISCO ROLADO, PREPARO MECÂNICO COM MISTURADOR DE EIXO HORIZONTAL DE 300 KG. AF_08/2019</v>
          </cell>
          <cell r="D240" t="str">
            <v>M3</v>
          </cell>
          <cell r="E240">
            <v>3086.7</v>
          </cell>
          <cell r="F240">
            <v>0</v>
          </cell>
        </row>
        <row r="241">
          <cell r="B241">
            <v>87359</v>
          </cell>
          <cell r="C241" t="str">
            <v>ARGAMASSA TRAÇO 1:5 (EM VOLUME DE CIMENTO E AREIA GROSSA ÚMIDA) COM ADIÇÃO DE EMULSÃO POLIMÉRICA PARA CHAPISCO ROLADO, PREPARO MECÂNICO COM MISTURADOR DE EIXO HORIZONTAL DE 600 KG. AF_08/2019</v>
          </cell>
          <cell r="D241" t="str">
            <v>M3</v>
          </cell>
          <cell r="E241">
            <v>3033.64</v>
          </cell>
          <cell r="F241">
            <v>0</v>
          </cell>
        </row>
        <row r="242">
          <cell r="B242">
            <v>87376</v>
          </cell>
          <cell r="C242" t="str">
            <v>ARGAMASSA TRAÇO 1:5 (EM VOLUME DE CIMENTO E AREIA GROSSA ÚMIDA) PARA CHAPISCO CONVENCIONAL, PREPARO MANUAL. AF_08/2019</v>
          </cell>
          <cell r="D242" t="str">
            <v>M3</v>
          </cell>
          <cell r="E242">
            <v>618.61</v>
          </cell>
          <cell r="F242">
            <v>0</v>
          </cell>
        </row>
        <row r="243">
          <cell r="B243">
            <v>100457</v>
          </cell>
          <cell r="C243" t="str">
            <v>ARGAMASSA TRAÇO 1:5 (EM VOLUME DE CIMENTO E AREIA GROSSA ÚMIDA) PARA CHAPISCO CONVENCIONAL, PREPARO MECÂNICO COM BETONEIRA 250 L. AF_08/2019</v>
          </cell>
          <cell r="D243" t="str">
            <v>M3</v>
          </cell>
          <cell r="E243">
            <v>0</v>
          </cell>
        </row>
        <row r="244">
          <cell r="B244">
            <v>87310</v>
          </cell>
          <cell r="C244" t="str">
            <v>ARGAMASSA TRAÇO 1:5 (EM VOLUME DE CIMENTO E AREIA GROSSA ÚMIDA) PARA CHAPISCO CONVENCIONAL, PREPARO MECÂNICO COM BETONEIRA 400 L. AF_08/2019</v>
          </cell>
          <cell r="D244" t="str">
            <v>M3</v>
          </cell>
          <cell r="E244">
            <v>436.12</v>
          </cell>
          <cell r="F244">
            <v>0</v>
          </cell>
        </row>
        <row r="245">
          <cell r="B245">
            <v>87311</v>
          </cell>
          <cell r="C245" t="str">
            <v>ARGAMASSA TRAÇO 1:5 (EM VOLUME DE CIMENTO E AREIA GROSSA ÚMIDA) PARA CHAPISCO CONVENCIONAL, PREPARO MECÂNICO COM BETONEIRA 600 L. AF_08/2019</v>
          </cell>
          <cell r="D245" t="str">
            <v>M3</v>
          </cell>
          <cell r="E245">
            <v>417.08</v>
          </cell>
          <cell r="F245">
            <v>0</v>
          </cell>
        </row>
        <row r="246">
          <cell r="B246">
            <v>87350</v>
          </cell>
          <cell r="C246" t="str">
            <v>ARGAMASSA TRAÇO 1:5 (EM VOLUME DE CIMENTO E AREIA GROSSA ÚMIDA) PARA CHAPISCO CONVENCIONAL, PREPARO MECÂNICO COM MISTURADOR DE EIXO HORIZONTAL DE 300 KG. AF_08/2019</v>
          </cell>
          <cell r="D246" t="str">
            <v>M3</v>
          </cell>
          <cell r="E246">
            <v>509.12</v>
          </cell>
          <cell r="F246">
            <v>0</v>
          </cell>
        </row>
        <row r="247">
          <cell r="B247">
            <v>87351</v>
          </cell>
          <cell r="C247" t="str">
            <v>ARGAMASSA TRAÇO 1:5 (EM VOLUME DE CIMENTO E AREIA GROSSA ÚMIDA) PARA CHAPISCO CONVENCIONAL, PREPARO MECÂNICO COM MISTURADOR DE EIXO HORIZONTAL DE 600 KG. AF_08/2019</v>
          </cell>
          <cell r="D247" t="str">
            <v>M3</v>
          </cell>
          <cell r="E247">
            <v>397.44</v>
          </cell>
          <cell r="F247">
            <v>0</v>
          </cell>
        </row>
        <row r="248">
          <cell r="B248">
            <v>87374</v>
          </cell>
          <cell r="C248" t="str">
            <v>ARGAMASSA TRAÇO 1:5 (EM VOLUME DE CIMENTO E AREIA MÉDIA ÚMIDA) PARA CONTRAPISO, PREPARO MANUAL. AF_08/2019</v>
          </cell>
          <cell r="D248" t="str">
            <v>M3</v>
          </cell>
          <cell r="E248">
            <v>720.81</v>
          </cell>
          <cell r="F248">
            <v>0</v>
          </cell>
        </row>
        <row r="249">
          <cell r="B249">
            <v>100455</v>
          </cell>
          <cell r="C249" t="str">
            <v>ARGAMASSA TRAÇO 1:5 (EM VOLUME DE CIMENTO E AREIA MÉDIA ÚMIDA) PARA CONTRAPISO, PREPARO MECÂNICO COM BETONEIRA 250 L. AF_08/2019</v>
          </cell>
          <cell r="D249" t="str">
            <v>M3</v>
          </cell>
          <cell r="E249">
            <v>0</v>
          </cell>
        </row>
        <row r="250">
          <cell r="B250">
            <v>87304</v>
          </cell>
          <cell r="C250" t="str">
            <v>ARGAMASSA TRAÇO 1:5 (EM VOLUME DE CIMENTO E AREIA MÉDIA ÚMIDA) PARA CONTRAPISO, PREPARO MECÂNICO COM BETONEIRA 400 L. AF_08/2019</v>
          </cell>
          <cell r="D250" t="str">
            <v>M3</v>
          </cell>
          <cell r="E250">
            <v>534.6</v>
          </cell>
          <cell r="F250">
            <v>0</v>
          </cell>
        </row>
        <row r="251">
          <cell r="B251">
            <v>87305</v>
          </cell>
          <cell r="C251" t="str">
            <v>ARGAMASSA TRAÇO 1:5 (EM VOLUME DE CIMENTO E AREIA MÉDIA ÚMIDA) PARA CONTRAPISO, PREPARO MECÂNICO COM BETONEIRA 600 L. AF_08/2019</v>
          </cell>
          <cell r="D251" t="str">
            <v>M3</v>
          </cell>
          <cell r="E251">
            <v>533.51</v>
          </cell>
          <cell r="F251">
            <v>0</v>
          </cell>
        </row>
        <row r="252">
          <cell r="B252">
            <v>87345</v>
          </cell>
          <cell r="C252" t="str">
            <v>ARGAMASSA TRAÇO 1:5 (EM VOLUME DE CIMENTO E AREIA MÉDIA ÚMIDA) PARA CONTRAPISO, PREPARO MECÂNICO COM MISTURADOR DE EIXO HORIZONTAL DE 160 KG. AF_08/2019</v>
          </cell>
          <cell r="D252" t="str">
            <v>M3</v>
          </cell>
          <cell r="E252">
            <v>633.84</v>
          </cell>
          <cell r="F252">
            <v>0</v>
          </cell>
        </row>
        <row r="253">
          <cell r="B253">
            <v>87346</v>
          </cell>
          <cell r="C253" t="str">
            <v>ARGAMASSA TRAÇO 1:5 (EM VOLUME DE CIMENTO E AREIA MÉDIA ÚMIDA) PARA CONTRAPISO, PREPARO MECÂNICO COM MISTURADOR DE EIXO HORIZONTAL DE 300 KG. AF_08/2019</v>
          </cell>
          <cell r="D253" t="str">
            <v>M3</v>
          </cell>
          <cell r="E253">
            <v>543.32000000000005</v>
          </cell>
          <cell r="F253">
            <v>0</v>
          </cell>
        </row>
        <row r="254">
          <cell r="B254">
            <v>87347</v>
          </cell>
          <cell r="C254" t="str">
            <v>ARGAMASSA TRAÇO 1:5 (EM VOLUME DE CIMENTO E AREIA MÉDIA ÚMIDA) PARA CONTRAPISO, PREPARO MECÂNICO COM MISTURADOR DE EIXO HORIZONTAL DE 600 KG. AF_08/2019</v>
          </cell>
          <cell r="D254" t="str">
            <v>M3</v>
          </cell>
          <cell r="E254">
            <v>493.35</v>
          </cell>
          <cell r="F254">
            <v>0</v>
          </cell>
        </row>
        <row r="255">
          <cell r="B255">
            <v>87366</v>
          </cell>
          <cell r="C255" t="str">
            <v>ARGAMASSA TRAÇO 1:6 (EM VOLUME DE CIMENTO E AREIA MÉDIA ÚMIDA) COM ADIÇÃO DE PLASTIFICANTE PARA EMBOÇO/MASSA ÚNICA/ASSENTAMENTO DE ALVENARIA DE VEDAÇÃO, PREPARO MANUAL. AF_08/2019</v>
          </cell>
          <cell r="D255" t="str">
            <v>M3</v>
          </cell>
          <cell r="E255">
            <v>641.9</v>
          </cell>
          <cell r="F255">
            <v>0</v>
          </cell>
        </row>
        <row r="256">
          <cell r="B256">
            <v>100448</v>
          </cell>
          <cell r="C256" t="str">
            <v>ARGAMASSA TRAÇO 1:6 (EM VOLUME DE CIMENTO E AREIA MÉDIA ÚMIDA) COM ADIÇÃO DE PLASTIFICANTE PARA EMBOÇO/MASSA ÚNICA/ASSENTAMENTO DE ALVENARIA DE VEDAÇÃO, PREPARO MECÂNICO COM BETONEIRA 250 L. AF_08/2019</v>
          </cell>
          <cell r="D256" t="str">
            <v>M3</v>
          </cell>
          <cell r="E256">
            <v>0</v>
          </cell>
        </row>
        <row r="257">
          <cell r="B257">
            <v>87283</v>
          </cell>
          <cell r="C257" t="str">
            <v>ARGAMASSA TRAÇO 1:6 (EM VOLUME DE CIMENTO E AREIA MÉDIA ÚMIDA) COM ADIÇÃO DE PLASTIFICANTE PARA EMBOÇO/MASSA ÚNICA/ASSENTAMENTO DE ALVENARIA DE VEDAÇÃO, PREPARO MECÂNICO COM BETONEIRA 400 L. AF_08/2019</v>
          </cell>
          <cell r="D257" t="str">
            <v>M3</v>
          </cell>
          <cell r="E257">
            <v>451.58</v>
          </cell>
          <cell r="F257">
            <v>0</v>
          </cell>
        </row>
        <row r="258">
          <cell r="B258">
            <v>87284</v>
          </cell>
          <cell r="C258" t="str">
            <v>ARGAMASSA TRAÇO 1:6 (EM VOLUME DE CIMENTO E AREIA MÉDIA ÚMIDA) COM ADIÇÃO DE PLASTIFICANTE PARA EMBOÇO/MASSA ÚNICA/ASSENTAMENTO DE ALVENARIA DE VEDAÇÃO, PREPARO MECÂNICO COM BETONEIRA 600 L. AF_08/2019</v>
          </cell>
          <cell r="D258" t="str">
            <v>M3</v>
          </cell>
          <cell r="E258">
            <v>435.63</v>
          </cell>
          <cell r="F258">
            <v>0</v>
          </cell>
        </row>
        <row r="259">
          <cell r="B259">
            <v>87329</v>
          </cell>
          <cell r="C259" t="str">
            <v>ARGAMASSA TRAÇO 1:6 (EM VOLUME DE CIMENTO E AREIA MÉDIA ÚMIDA) COM ADIÇÃO DE PLASTIFICANTE PARA EMBOÇO/MASSA ÚNICA/ASSENTAMENTO DE ALVENARIA DE VEDAÇÃO, PREPARO MECÂNICO COM MISTURADOR DE EIXO HORIZONTAL DE 300 KG. AF_08/2019</v>
          </cell>
          <cell r="D259" t="str">
            <v>M3</v>
          </cell>
          <cell r="E259">
            <v>518.6</v>
          </cell>
          <cell r="F259">
            <v>0</v>
          </cell>
        </row>
        <row r="260">
          <cell r="B260">
            <v>87330</v>
          </cell>
          <cell r="C260" t="str">
            <v>ARGAMASSA TRAÇO 1:6 (EM VOLUME DE CIMENTO E AREIA MÉDIA ÚMIDA) COM ADIÇÃO DE PLASTIFICANTE PARA EMBOÇO/MASSA ÚNICA/ASSENTAMENTO DE ALVENARIA DE VEDAÇÃO, PREPARO MECÂNICO COM MISTURADOR DE EIXO HORIZONTAL DE 600 KG. AF_08/2019</v>
          </cell>
          <cell r="D260" t="str">
            <v>M3</v>
          </cell>
          <cell r="E260">
            <v>414.07</v>
          </cell>
          <cell r="F260">
            <v>0</v>
          </cell>
        </row>
        <row r="261">
          <cell r="B261">
            <v>87375</v>
          </cell>
          <cell r="C261" t="str">
            <v>ARGAMASSA TRAÇO 1:6 (EM VOLUME DE CIMENTO E AREIA MÉDIA ÚMIDA) PARA CONTRAPISO, PREPARO MANUAL. AF_08/2019</v>
          </cell>
          <cell r="D261" t="str">
            <v>M3</v>
          </cell>
          <cell r="E261">
            <v>696.01</v>
          </cell>
          <cell r="F261">
            <v>0</v>
          </cell>
        </row>
        <row r="262">
          <cell r="B262">
            <v>100456</v>
          </cell>
          <cell r="C262" t="str">
            <v>ARGAMASSA TRAÇO 1:6 (EM VOLUME DE CIMENTO E AREIA MÉDIA ÚMIDA) PARA CONTRAPISO, PREPARO MECÂNICO COM BETONEIRA 250 L. AF_08/2019</v>
          </cell>
          <cell r="D262" t="str">
            <v>M3</v>
          </cell>
          <cell r="E262">
            <v>0</v>
          </cell>
        </row>
        <row r="263">
          <cell r="B263">
            <v>87307</v>
          </cell>
          <cell r="C263" t="str">
            <v>ARGAMASSA TRAÇO 1:6 (EM VOLUME DE CIMENTO E AREIA MÉDIA ÚMIDA) PARA CONTRAPISO, PREPARO MECÂNICO COM BETONEIRA 400 L. AF_08/2019</v>
          </cell>
          <cell r="D263" t="str">
            <v>M3</v>
          </cell>
          <cell r="E263">
            <v>517.84</v>
          </cell>
          <cell r="F263">
            <v>0</v>
          </cell>
        </row>
        <row r="264">
          <cell r="B264">
            <v>87308</v>
          </cell>
          <cell r="C264" t="str">
            <v>ARGAMASSA TRAÇO 1:6 (EM VOLUME DE CIMENTO E AREIA MÉDIA ÚMIDA) PARA CONTRAPISO, PREPARO MECÂNICO COM BETONEIRA 600 L. AF_08/2019</v>
          </cell>
          <cell r="D264" t="str">
            <v>M3</v>
          </cell>
          <cell r="E264">
            <v>498.91</v>
          </cell>
          <cell r="F264">
            <v>0</v>
          </cell>
        </row>
        <row r="265">
          <cell r="B265">
            <v>87348</v>
          </cell>
          <cell r="C265" t="str">
            <v>ARGAMASSA TRAÇO 1:6 (EM VOLUME DE CIMENTO E AREIA MÉDIA ÚMIDA) PARA CONTRAPISO, PREPARO MECÂNICO COM MISTURADOR DE EIXO HORIZONTAL DE 160 KG. AF_08/2019</v>
          </cell>
          <cell r="D265" t="str">
            <v>M3</v>
          </cell>
          <cell r="E265">
            <v>576.69000000000005</v>
          </cell>
          <cell r="F265">
            <v>0</v>
          </cell>
        </row>
        <row r="266">
          <cell r="B266">
            <v>87349</v>
          </cell>
          <cell r="C266" t="str">
            <v>ARGAMASSA TRAÇO 1:6 (EM VOLUME DE CIMENTO E AREIA MÉDIA ÚMIDA) PARA CONTRAPISO, PREPARO MECÂNICO COM MISTURADOR DE EIXO HORIZONTAL DE 600 KG. AF_08/2019</v>
          </cell>
          <cell r="D266" t="str">
            <v>M3</v>
          </cell>
          <cell r="E266">
            <v>455.65</v>
          </cell>
          <cell r="F266">
            <v>0</v>
          </cell>
        </row>
        <row r="267">
          <cell r="B267">
            <v>87365</v>
          </cell>
          <cell r="C267" t="str">
            <v>ARGAMASSA TRAÇO 1:7 (EM VOLUME DE CIMENTO E AREIA MÉDIA ÚMIDA) COM ADIÇÃO DE PLASTIFICANTE PARA EMBOÇO/MASSA ÚNICA/ASSENTAMENTO DE ALVENARIA DE VEDAÇÃO, PREPARO MANUAL. AF_08/2019</v>
          </cell>
          <cell r="D267" t="str">
            <v>M3</v>
          </cell>
          <cell r="E267">
            <v>610.77</v>
          </cell>
          <cell r="F267">
            <v>0</v>
          </cell>
        </row>
        <row r="268">
          <cell r="B268">
            <v>100447</v>
          </cell>
          <cell r="C268" t="str">
            <v>ARGAMASSA TRAÇO 1:7 (EM VOLUME DE CIMENTO E AREIA MÉDIA ÚMIDA) COM ADIÇÃO DE PLASTIFICANTE PARA EMBOÇO/MASSA ÚNICA/ASSENTAMENTO DE ALVENARIA DE VEDAÇÃO, PREPARO MECÂNICO COM BETONEIRA 250 L. AF_08/2019</v>
          </cell>
          <cell r="D268" t="str">
            <v>M3</v>
          </cell>
          <cell r="E268">
            <v>0</v>
          </cell>
        </row>
        <row r="269">
          <cell r="B269">
            <v>87280</v>
          </cell>
          <cell r="C269" t="str">
            <v>ARGAMASSA TRAÇO 1:7 (EM VOLUME DE CIMENTO E AREIA MÉDIA ÚMIDA) COM ADIÇÃO DE PLASTIFICANTE PARA EMBOÇO/MASSA ÚNICA/ASSENTAMENTO DE ALVENARIA DE VEDAÇÃO, PREPARO MECÂNICO COM BETONEIRA 400 L. AF_08/2019</v>
          </cell>
          <cell r="D269" t="str">
            <v>M3</v>
          </cell>
          <cell r="E269">
            <v>444.59</v>
          </cell>
          <cell r="F269">
            <v>0</v>
          </cell>
        </row>
        <row r="270">
          <cell r="B270">
            <v>87281</v>
          </cell>
          <cell r="C270" t="str">
            <v>ARGAMASSA TRAÇO 1:7 (EM VOLUME DE CIMENTO E AREIA MÉDIA ÚMIDA) COM ADIÇÃO DE PLASTIFICANTE PARA EMBOÇO/MASSA ÚNICA/ASSENTAMENTO DE ALVENARIA DE VEDAÇÃO, PREPARO MECÂNICO COM BETONEIRA 600 L. AF_08/2019</v>
          </cell>
          <cell r="D270" t="str">
            <v>M3</v>
          </cell>
          <cell r="E270">
            <v>429.29</v>
          </cell>
          <cell r="F270">
            <v>0</v>
          </cell>
        </row>
        <row r="271">
          <cell r="B271">
            <v>87327</v>
          </cell>
          <cell r="C271" t="str">
            <v>ARGAMASSA TRAÇO 1:7 (EM VOLUME DE CIMENTO E AREIA MÉDIA ÚMIDA) COM ADIÇÃO DE PLASTIFICANTE PARA EMBOÇO/MASSA ÚNICA/ASSENTAMENTO DE ALVENARIA DE VEDAÇÃO, PREPARO MECÂNICO COM MISTURADOR DE EIXO HORIZONTAL DE 300 KG. AF_08/2019</v>
          </cell>
          <cell r="D271" t="str">
            <v>M3</v>
          </cell>
          <cell r="E271">
            <v>481.36</v>
          </cell>
          <cell r="F271">
            <v>0</v>
          </cell>
        </row>
        <row r="272">
          <cell r="B272">
            <v>87328</v>
          </cell>
          <cell r="C272" t="str">
            <v>ARGAMASSA TRAÇO 1:7 (EM VOLUME DE CIMENTO E AREIA MÉDIA ÚMIDA) COM ADIÇÃO DE PLASTIFICANTE PARA EMBOÇO/MASSA ÚNICA/ASSENTAMENTO DE ALVENARIA DE VEDAÇÃO, PREPARO MECÂNICO COM MISTURADOR DE EIXO HORIZONTAL DE 600 KG. AF_08/2019</v>
          </cell>
          <cell r="D272" t="str">
            <v>M3</v>
          </cell>
          <cell r="E272">
            <v>388.72</v>
          </cell>
          <cell r="F272">
            <v>0</v>
          </cell>
        </row>
        <row r="273">
          <cell r="B273">
            <v>87410</v>
          </cell>
          <cell r="C273" t="str">
            <v>ARGAMASSA À BASE DE GESSO, MISTURA E PROJEÇÃO DE 1,5 M³/H DE ARGAMASSA. AF_08/2019</v>
          </cell>
          <cell r="D273" t="str">
            <v>M3</v>
          </cell>
          <cell r="E273">
            <v>926.84</v>
          </cell>
          <cell r="F273">
            <v>0</v>
          </cell>
        </row>
        <row r="274">
          <cell r="B274">
            <v>95577</v>
          </cell>
          <cell r="C274" t="str">
            <v>MONTAGEM DE ARMADURA DE ESTACAS, DIÂMETRO = 10,0 MM. AF_09/2021_PS</v>
          </cell>
          <cell r="D274" t="str">
            <v>KG</v>
          </cell>
          <cell r="E274">
            <v>9.08</v>
          </cell>
          <cell r="F274">
            <v>0</v>
          </cell>
        </row>
        <row r="275">
          <cell r="B275">
            <v>95578</v>
          </cell>
          <cell r="C275" t="str">
            <v>MONTAGEM DE ARMADURA DE ESTACAS, DIÂMETRO = 12,5 MM. AF_09/2021_PS</v>
          </cell>
          <cell r="D275" t="str">
            <v>KG</v>
          </cell>
          <cell r="E275">
            <v>7.39</v>
          </cell>
          <cell r="F275">
            <v>0</v>
          </cell>
        </row>
        <row r="276">
          <cell r="B276">
            <v>95579</v>
          </cell>
          <cell r="C276" t="str">
            <v>MONTAGEM DE ARMADURA DE ESTACAS, DIÂMETRO = 16,0 MM. AF_09/2021_PS</v>
          </cell>
          <cell r="D276" t="str">
            <v>KG</v>
          </cell>
          <cell r="E276">
            <v>6.98</v>
          </cell>
          <cell r="F276">
            <v>0</v>
          </cell>
        </row>
        <row r="277">
          <cell r="B277">
            <v>95580</v>
          </cell>
          <cell r="C277" t="str">
            <v>MONTAGEM DE ARMADURA DE ESTACAS, DIÂMETRO = 20,0 MM. AF_09/2021_PS</v>
          </cell>
          <cell r="D277" t="str">
            <v>KG</v>
          </cell>
          <cell r="E277">
            <v>7.93</v>
          </cell>
          <cell r="F277">
            <v>0</v>
          </cell>
        </row>
        <row r="278">
          <cell r="B278">
            <v>95581</v>
          </cell>
          <cell r="C278" t="str">
            <v>MONTAGEM DE ARMADURA DE ESTACAS, DIÂMETRO = 25,0 MM. AF_09/2021_PS</v>
          </cell>
          <cell r="D278" t="str">
            <v>KG</v>
          </cell>
          <cell r="E278">
            <v>7.88</v>
          </cell>
          <cell r="F278">
            <v>0</v>
          </cell>
        </row>
        <row r="279">
          <cell r="B279">
            <v>95582</v>
          </cell>
          <cell r="C279" t="str">
            <v>MONTAGEM DE ARMADURA DE ESTACAS, DIÂMETRO = 32,0 MM. AF_09/2021_PS</v>
          </cell>
          <cell r="D279" t="str">
            <v>KG</v>
          </cell>
          <cell r="E279">
            <v>8.5500000000000007</v>
          </cell>
          <cell r="F279">
            <v>0</v>
          </cell>
        </row>
        <row r="280">
          <cell r="B280">
            <v>95576</v>
          </cell>
          <cell r="C280" t="str">
            <v>MONTAGEM DE ARMADURA DE ESTACAS, DIÂMETRO = 8,0 MM. AF_09/2021_PS</v>
          </cell>
          <cell r="D280" t="str">
            <v>KG</v>
          </cell>
          <cell r="E280">
            <v>11.29</v>
          </cell>
          <cell r="F280">
            <v>0</v>
          </cell>
        </row>
        <row r="281">
          <cell r="B281">
            <v>95583</v>
          </cell>
          <cell r="C281" t="str">
            <v>MONTAGEM DE ARMADURA TRANSVERSAL DE ESTACAS DE SEÇÃO CIRCULAR, DIÂMETRO = 5,0 MM. AF_09/2021_PS</v>
          </cell>
          <cell r="D281" t="str">
            <v>KG</v>
          </cell>
          <cell r="E281">
            <v>16.350000000000001</v>
          </cell>
          <cell r="F281">
            <v>0</v>
          </cell>
        </row>
        <row r="282">
          <cell r="B282">
            <v>95584</v>
          </cell>
          <cell r="C282" t="str">
            <v>MONTAGEM DE ARMADURA TRANSVERSAL DE ESTACAS DE SEÇÃO CIRCULAR, DIÂMETRO = 6,30 MM. AF_09/2021_PS</v>
          </cell>
          <cell r="D282" t="str">
            <v>KG</v>
          </cell>
          <cell r="E282">
            <v>13.32</v>
          </cell>
          <cell r="F282">
            <v>0</v>
          </cell>
        </row>
        <row r="283">
          <cell r="B283">
            <v>95593</v>
          </cell>
          <cell r="C283" t="str">
            <v>MONTAGEM DE ARMADURA TRANSVERSAL DE ESTACAS DE SEÇÃO RETANGULAR, DIÂMETRO = 6,30 MM. AF_09/2021_PS</v>
          </cell>
          <cell r="D283" t="str">
            <v>KG</v>
          </cell>
          <cell r="E283">
            <v>13.32</v>
          </cell>
          <cell r="F283">
            <v>0</v>
          </cell>
        </row>
        <row r="284">
          <cell r="B284">
            <v>95592</v>
          </cell>
          <cell r="C284" t="str">
            <v>MONTAGEM DE ARMADURA TRANVERSAL DE ESTACAS DE SEÇÃO RETANGULAR, DIÂMETRO = 5,0 MM. AF_09/2021_PS</v>
          </cell>
          <cell r="D284" t="str">
            <v>KG</v>
          </cell>
          <cell r="E284">
            <v>16.350000000000001</v>
          </cell>
          <cell r="F284">
            <v>0</v>
          </cell>
        </row>
        <row r="285">
          <cell r="B285">
            <v>92919</v>
          </cell>
          <cell r="C285" t="str">
            <v>ARMAÇÃO DE ESTRUTURAS DIVERSAS DE CONCRETO ARMADO, EXCETO VIGAS, PILARES, LAJES E FUNDAÇÕES, UTILIZANDO AÇO CA-50 DE 10,0 MM - MONTAGEM. AF_06/2022</v>
          </cell>
          <cell r="D285" t="str">
            <v>KG</v>
          </cell>
          <cell r="E285">
            <v>10.81</v>
          </cell>
          <cell r="F285">
            <v>0</v>
          </cell>
        </row>
        <row r="286">
          <cell r="B286">
            <v>92921</v>
          </cell>
          <cell r="C286" t="str">
            <v>ARMAÇÃO DE ESTRUTURAS DIVERSAS DE CONCRETO ARMADO, EXCETO VIGAS, PILARES, LAJES E FUNDAÇÕES, UTILIZANDO AÇO CA-50 DE 12,5 MM - MONTAGEM. AF_06/2022</v>
          </cell>
          <cell r="D286" t="str">
            <v>KG</v>
          </cell>
          <cell r="E286">
            <v>8.6999999999999993</v>
          </cell>
          <cell r="F286">
            <v>0</v>
          </cell>
        </row>
        <row r="287">
          <cell r="B287">
            <v>92922</v>
          </cell>
          <cell r="C287" t="str">
            <v>ARMAÇÃO DE ESTRUTURAS DIVERSAS DE CONCRETO ARMADO, EXCETO VIGAS, PILARES, LAJES E FUNDAÇÕES, UTILIZANDO AÇO CA-50 DE 16,0 MM - MONTAGEM. AF_06/2022</v>
          </cell>
          <cell r="D287" t="str">
            <v>KG</v>
          </cell>
          <cell r="E287">
            <v>8.09</v>
          </cell>
          <cell r="F287">
            <v>0</v>
          </cell>
        </row>
        <row r="288">
          <cell r="B288">
            <v>92923</v>
          </cell>
          <cell r="C288" t="str">
            <v>ARMAÇÃO DE ESTRUTURAS DIVERSAS DE CONCRETO ARMADO, EXCETO VIGAS, PILARES, LAJES E FUNDAÇÕES, UTILIZANDO AÇO CA-50 DE 20,0 MM - MONTAGEM. AF_06/2022</v>
          </cell>
          <cell r="D288" t="str">
            <v>KG</v>
          </cell>
          <cell r="E288">
            <v>8.81</v>
          </cell>
          <cell r="F288">
            <v>0</v>
          </cell>
        </row>
        <row r="289">
          <cell r="B289">
            <v>92924</v>
          </cell>
          <cell r="C289" t="str">
            <v>ARMAÇÃO DE ESTRUTURAS DIVERSAS DE CONCRETO ARMADO, EXCETO VIGAS, PILARES, LAJES E FUNDAÇÕES, UTILIZANDO AÇO CA-50 DE 25,0 MM - MONTAGEM. AF_06/2022</v>
          </cell>
          <cell r="D289" t="str">
            <v>KG</v>
          </cell>
          <cell r="E289">
            <v>8.5399999999999991</v>
          </cell>
          <cell r="F289">
            <v>0</v>
          </cell>
        </row>
        <row r="290">
          <cell r="B290">
            <v>104104</v>
          </cell>
          <cell r="C290" t="str">
            <v>ARMAÇÃO DE ESTRUTURAS DIVERSAS DE CONCRETO ARMADO, EXCETO VIGAS, PILARES, LAJES E FUNDAÇÕES, UTILIZANDO AÇO CA-50 DE 32,0 MM - MONTAGEM. AF_06/2022</v>
          </cell>
          <cell r="D290" t="str">
            <v>KG</v>
          </cell>
          <cell r="E290">
            <v>8.7200000000000006</v>
          </cell>
          <cell r="F290">
            <v>0</v>
          </cell>
        </row>
        <row r="291">
          <cell r="B291">
            <v>92916</v>
          </cell>
          <cell r="C291" t="str">
            <v>ARMAÇÃO DE ESTRUTURAS DIVERSAS DE CONCRETO ARMADO, EXCETO VIGAS, PILARES, LAJES E FUNDAÇÕES, UTILIZANDO AÇO CA-50 DE 6,3 MM - MONTAGEM. AF_06/2022</v>
          </cell>
          <cell r="D291" t="str">
            <v>KG</v>
          </cell>
          <cell r="E291">
            <v>14.9</v>
          </cell>
          <cell r="F291">
            <v>0</v>
          </cell>
        </row>
        <row r="292">
          <cell r="B292">
            <v>92917</v>
          </cell>
          <cell r="C292" t="str">
            <v>ARMAÇÃO DE ESTRUTURAS DIVERSAS DE CONCRETO ARMADO, EXCETO VIGAS, PILARES, LAJES E FUNDAÇÕES, UTILIZANDO AÇO CA-50 DE 8,0 MM - MONTAGEM. AF_06/2022</v>
          </cell>
          <cell r="D292" t="str">
            <v>KG</v>
          </cell>
          <cell r="E292">
            <v>12.84</v>
          </cell>
          <cell r="F292">
            <v>0</v>
          </cell>
        </row>
        <row r="293">
          <cell r="B293">
            <v>92915</v>
          </cell>
          <cell r="C293" t="str">
            <v>ARMAÇÃO DE ESTRUTURAS DIVERSAS DE CONCRETO ARMADO, EXCETO VIGAS, PILARES, LAJES E FUNDAÇÕES, UTILIZANDO AÇO CA-60 DE 5,0 MM - MONTAGEM. AF_06/2022</v>
          </cell>
          <cell r="D293" t="str">
            <v>KG</v>
          </cell>
          <cell r="E293">
            <v>17.41</v>
          </cell>
          <cell r="F293">
            <v>0</v>
          </cell>
        </row>
        <row r="294">
          <cell r="B294">
            <v>92771</v>
          </cell>
          <cell r="C294" t="str">
            <v>ARMAÇÃO DE LAJE DE ESTRUTURA CONVENCIONAL DE CONCRETO ARMADO UTILIZANDO AÇO CA-50 DE 10,0 MM - MONTAGEM. AF_06/2022</v>
          </cell>
          <cell r="D294" t="str">
            <v>KG</v>
          </cell>
          <cell r="E294">
            <v>8.93</v>
          </cell>
          <cell r="F294">
            <v>0</v>
          </cell>
        </row>
        <row r="295">
          <cell r="B295">
            <v>92772</v>
          </cell>
          <cell r="C295" t="str">
            <v>ARMAÇÃO DE LAJE DE ESTRUTURA CONVENCIONAL DE CONCRETO ARMADO UTILIZANDO AÇO CA-50 DE 12,5 MM - MONTAGEM. AF_06/2022</v>
          </cell>
          <cell r="D295" t="str">
            <v>KG</v>
          </cell>
          <cell r="E295">
            <v>7.32</v>
          </cell>
          <cell r="F295">
            <v>0</v>
          </cell>
        </row>
        <row r="296">
          <cell r="B296">
            <v>92773</v>
          </cell>
          <cell r="C296" t="str">
            <v>ARMAÇÃO DE LAJE DE ESTRUTURA CONVENCIONAL DE CONCRETO ARMADO UTILIZANDO AÇO CA-50 DE 16,0 MM - MONTAGEM. AF_06/2022</v>
          </cell>
          <cell r="D296" t="str">
            <v>KG</v>
          </cell>
          <cell r="E296">
            <v>7.1</v>
          </cell>
          <cell r="F296">
            <v>0</v>
          </cell>
        </row>
        <row r="297">
          <cell r="B297">
            <v>92774</v>
          </cell>
          <cell r="C297" t="str">
            <v>ARMAÇÃO DE LAJE DE ESTRUTURA CONVENCIONAL DE CONCRETO ARMADO UTILIZANDO AÇO CA-50 DE 20,0 MM - MONTAGEM. AF_06/2022</v>
          </cell>
          <cell r="D297" t="str">
            <v>KG</v>
          </cell>
          <cell r="E297">
            <v>8.11</v>
          </cell>
          <cell r="F297">
            <v>0</v>
          </cell>
        </row>
        <row r="298">
          <cell r="B298">
            <v>92769</v>
          </cell>
          <cell r="C298" t="str">
            <v>ARMAÇÃO DE LAJE DE ESTRUTURA CONVENCIONAL DE CONCRETO ARMADO UTILIZANDO AÇO CA-50 DE 6,3 MM - MONTAGEM. AF_06/2022</v>
          </cell>
          <cell r="D298" t="str">
            <v>KG</v>
          </cell>
          <cell r="E298">
            <v>11.56</v>
          </cell>
          <cell r="F298">
            <v>0</v>
          </cell>
        </row>
        <row r="299">
          <cell r="B299">
            <v>92770</v>
          </cell>
          <cell r="C299" t="str">
            <v>ARMAÇÃO DE LAJE DE ESTRUTURA CONVENCIONAL DE CONCRETO ARMADO UTILIZANDO AÇO CA-50 DE 8,0 MM - MONTAGEM. AF_06/2022</v>
          </cell>
          <cell r="D299" t="str">
            <v>KG</v>
          </cell>
          <cell r="E299">
            <v>10.33</v>
          </cell>
          <cell r="F299">
            <v>0</v>
          </cell>
        </row>
        <row r="300">
          <cell r="B300">
            <v>92767</v>
          </cell>
          <cell r="C300" t="str">
            <v>ARMAÇÃO DE LAJE DE ESTRUTURA CONVENCIONAL DE CONCRETO ARMADO UTILIZANDO AÇO CA-60 DE 4,2 MM - MONTAGEM. AF_06/2022</v>
          </cell>
          <cell r="D300" t="str">
            <v>KG</v>
          </cell>
          <cell r="E300">
            <v>15.6</v>
          </cell>
          <cell r="F300">
            <v>0</v>
          </cell>
        </row>
        <row r="301">
          <cell r="B301">
            <v>92768</v>
          </cell>
          <cell r="C301" t="str">
            <v>ARMAÇÃO DE LAJE DE ESTRUTURA CONVENCIONAL DE CONCRETO ARMADO UTILIZANDO AÇO CA-60 DE 5,0 MM - MONTAGEM. AF_06/2022</v>
          </cell>
          <cell r="D301" t="str">
            <v>KG</v>
          </cell>
          <cell r="E301">
            <v>13.1</v>
          </cell>
          <cell r="F301">
            <v>0</v>
          </cell>
        </row>
        <row r="302">
          <cell r="B302">
            <v>92762</v>
          </cell>
          <cell r="C302" t="str">
            <v>ARMAÇÃO DE PILAR OU VIGA DE ESTRUTURA CONVENCIONAL DE CONCRETO ARMADO UTILIZANDO AÇO CA-50 DE 10,0 MM - MONTAGEM. AF_06/2022</v>
          </cell>
          <cell r="D302" t="str">
            <v>KG</v>
          </cell>
          <cell r="E302">
            <v>9.51</v>
          </cell>
          <cell r="F302">
            <v>0</v>
          </cell>
        </row>
        <row r="303">
          <cell r="B303">
            <v>92763</v>
          </cell>
          <cell r="C303" t="str">
            <v>ARMAÇÃO DE PILAR OU VIGA DE ESTRUTURA CONVENCIONAL DE CONCRETO ARMADO UTILIZANDO AÇO CA-50 DE 12,5 MM - MONTAGEM. AF_06/2022</v>
          </cell>
          <cell r="D303" t="str">
            <v>KG</v>
          </cell>
          <cell r="E303">
            <v>7.85</v>
          </cell>
          <cell r="F303">
            <v>0</v>
          </cell>
        </row>
        <row r="304">
          <cell r="B304">
            <v>92764</v>
          </cell>
          <cell r="C304" t="str">
            <v>ARMAÇÃO DE PILAR OU VIGA DE ESTRUTURA CONVENCIONAL DE CONCRETO ARMADO UTILIZANDO AÇO CA-50 DE 16,0 MM - MONTAGEM. AF_06/2022</v>
          </cell>
          <cell r="D304" t="str">
            <v>KG</v>
          </cell>
          <cell r="E304">
            <v>7.44</v>
          </cell>
          <cell r="F304">
            <v>0</v>
          </cell>
        </row>
        <row r="305">
          <cell r="B305">
            <v>92765</v>
          </cell>
          <cell r="C305" t="str">
            <v>ARMAÇÃO DE PILAR OU VIGA DE ESTRUTURA CONVENCIONAL DE CONCRETO ARMADO UTILIZANDO AÇO CA-50 DE 20,0 MM - MONTAGEM. AF_06/2022</v>
          </cell>
          <cell r="D305" t="str">
            <v>KG</v>
          </cell>
          <cell r="E305">
            <v>8.31</v>
          </cell>
          <cell r="F305">
            <v>0</v>
          </cell>
        </row>
        <row r="306">
          <cell r="B306">
            <v>92766</v>
          </cell>
          <cell r="C306" t="str">
            <v>ARMAÇÃO DE PILAR OU VIGA DE ESTRUTURA CONVENCIONAL DE CONCRETO ARMADO UTILIZANDO AÇO CA-50 DE 25,0 MM - MONTAGEM. AF_06/2022</v>
          </cell>
          <cell r="D306" t="str">
            <v>KG</v>
          </cell>
          <cell r="E306">
            <v>8.15</v>
          </cell>
          <cell r="F306">
            <v>0</v>
          </cell>
        </row>
        <row r="307">
          <cell r="B307">
            <v>104105</v>
          </cell>
          <cell r="C307" t="str">
            <v>ARMAÇÃO DE PILAR OU VIGA DE ESTRUTURA CONVENCIONAL DE CONCRETO ARMADO UTILIZANDO AÇO CA-50 DE 32,0 MM. AF_06/2022</v>
          </cell>
          <cell r="D307" t="str">
            <v>KG</v>
          </cell>
          <cell r="E307">
            <v>8.7200000000000006</v>
          </cell>
          <cell r="F307">
            <v>0</v>
          </cell>
        </row>
        <row r="308">
          <cell r="B308">
            <v>92760</v>
          </cell>
          <cell r="C308" t="str">
            <v>ARMAÇÃO DE PILAR OU VIGA DE ESTRUTURA CONVENCIONAL DE CONCRETO ARMADO UTILIZANDO AÇO CA-50 DE 6,3 MM - MONTAGEM. AF_06/2022</v>
          </cell>
          <cell r="D308" t="str">
            <v>KG</v>
          </cell>
          <cell r="E308">
            <v>12.28</v>
          </cell>
          <cell r="F308">
            <v>0</v>
          </cell>
        </row>
        <row r="309">
          <cell r="B309">
            <v>92761</v>
          </cell>
          <cell r="C309" t="str">
            <v>ARMAÇÃO DE PILAR OU VIGA DE ESTRUTURA CONVENCIONAL DE CONCRETO ARMADO UTILIZANDO AÇO CA-50 DE 8,0 MM - MONTAGEM. AF_06/2022</v>
          </cell>
          <cell r="D309" t="str">
            <v>KG</v>
          </cell>
          <cell r="E309">
            <v>10.97</v>
          </cell>
          <cell r="F309">
            <v>0</v>
          </cell>
        </row>
        <row r="310">
          <cell r="B310">
            <v>92759</v>
          </cell>
          <cell r="C310" t="str">
            <v>ARMAÇÃO DE PILAR OU VIGA DE ESTRUTURA CONVENCIONAL DE CONCRETO ARMADO UTILIZANDO AÇO CA-60 DE 5,0 MM - MONTAGEM. AF_06/2022</v>
          </cell>
          <cell r="D310" t="str">
            <v>KG</v>
          </cell>
          <cell r="E310">
            <v>13.86</v>
          </cell>
          <cell r="F310">
            <v>0</v>
          </cell>
        </row>
        <row r="311">
          <cell r="B311">
            <v>104108</v>
          </cell>
          <cell r="C311" t="str">
            <v>ARMAÇÃO DE PILAR OU VIGA DE ESTRUTURA DE CONCRETO ARMADO EMBUTIDA EM ALVENARIA DE VEDAÇÃO UTILIZANDO AÇO CA-50 DE 10,0 MM - MONTAGEM. AF_06/2022</v>
          </cell>
          <cell r="D311" t="str">
            <v>KG</v>
          </cell>
          <cell r="E311">
            <v>11.83</v>
          </cell>
          <cell r="F311">
            <v>0</v>
          </cell>
        </row>
        <row r="312">
          <cell r="B312">
            <v>104107</v>
          </cell>
          <cell r="C312" t="str">
            <v>ARMAÇÃO DE PILAR OU VIGA DE ESTRUTURA DE CONCRETO ARMADO EMBUTIDA EM ALVENARIA DE VEDAÇÃO UTILIZANDO AÇO CA-50 DE 12,5 MM - MONTAGEM. AF_06/2022</v>
          </cell>
          <cell r="D312" t="str">
            <v>KG</v>
          </cell>
          <cell r="E312">
            <v>9.84</v>
          </cell>
          <cell r="F312">
            <v>0</v>
          </cell>
        </row>
        <row r="313">
          <cell r="B313">
            <v>104106</v>
          </cell>
          <cell r="C313" t="str">
            <v>ARMAÇÃO DE PILAR OU VIGA DE ESTRUTURA DE CONCRETO ARMADO EMBUTIDA EM ALVENARIA DE VEDAÇÃO UTILIZANDO AÇO CA-50 DE 16,0 MM - MONTAGEM. AF_06/2022</v>
          </cell>
          <cell r="D313" t="str">
            <v>KG</v>
          </cell>
          <cell r="E313">
            <v>8.9499999999999993</v>
          </cell>
          <cell r="F313">
            <v>0</v>
          </cell>
        </row>
        <row r="314">
          <cell r="B314">
            <v>104110</v>
          </cell>
          <cell r="C314" t="str">
            <v>ARMAÇÃO DE PILAR OU VIGA DE ESTRUTURA DE CONCRETO ARMADO EMBUTIDA EM ALVENARIA DE VEDAÇÃO UTILIZANDO AÇO CA-50 DE 6,3 MM - MONTAGEM. AF_06/2022</v>
          </cell>
          <cell r="D314" t="str">
            <v>KG</v>
          </cell>
          <cell r="E314">
            <v>18.420000000000002</v>
          </cell>
          <cell r="F314">
            <v>0</v>
          </cell>
        </row>
        <row r="315">
          <cell r="B315">
            <v>104109</v>
          </cell>
          <cell r="C315" t="str">
            <v>ARMAÇÃO DE PILAR OU VIGA DE ESTRUTURA DE CONCRETO ARMADO EMBUTIDA EM ALVENARIA DE VEDAÇÃO UTILIZANDO AÇO CA-50 DE 8,0 MM - MONTAGEM. AF_06/2022</v>
          </cell>
          <cell r="D315" t="str">
            <v>KG</v>
          </cell>
          <cell r="E315">
            <v>15.34</v>
          </cell>
          <cell r="F315">
            <v>0</v>
          </cell>
        </row>
        <row r="316">
          <cell r="B316">
            <v>104111</v>
          </cell>
          <cell r="C316" t="str">
            <v>ARMAÇÃO DE PILAR OU VIGA DE ESTRUTURA DE CONCRETO ARMADO EMBUTIDA EM ALVENARIA DE VEDAÇÃO UTILIZANDO AÇO CA-60 DE 5,0 MM - MONTAGEM. AF_06/2022</v>
          </cell>
          <cell r="D316" t="str">
            <v>KG</v>
          </cell>
          <cell r="E316">
            <v>22.19</v>
          </cell>
          <cell r="F316">
            <v>0</v>
          </cell>
        </row>
        <row r="317">
          <cell r="B317">
            <v>92884</v>
          </cell>
          <cell r="C317" t="str">
            <v>ARMAÇÃO UTILIZANDO AÇO CA-25 DE 10,0 MM - MONTAGEM. AF_06/2022</v>
          </cell>
          <cell r="D317" t="str">
            <v>KG</v>
          </cell>
          <cell r="E317">
            <v>10.74</v>
          </cell>
          <cell r="F317">
            <v>0</v>
          </cell>
        </row>
        <row r="318">
          <cell r="B318">
            <v>92885</v>
          </cell>
          <cell r="C318" t="str">
            <v>ARMAÇÃO UTILIZANDO AÇO CA-25 DE 12,5 MM - MONTAGEM. AF_06/2022</v>
          </cell>
          <cell r="D318" t="str">
            <v>KG</v>
          </cell>
          <cell r="E318">
            <v>9.9</v>
          </cell>
          <cell r="F318">
            <v>0</v>
          </cell>
        </row>
        <row r="319">
          <cell r="B319">
            <v>92886</v>
          </cell>
          <cell r="C319" t="str">
            <v>ARMAÇÃO UTILIZANDO AÇO CA-25 DE 16,0 MM - MONTAGEM. AF_06/2022</v>
          </cell>
          <cell r="D319" t="str">
            <v>KG</v>
          </cell>
          <cell r="E319">
            <v>9.1999999999999993</v>
          </cell>
          <cell r="F319">
            <v>0</v>
          </cell>
        </row>
        <row r="320">
          <cell r="B320">
            <v>92887</v>
          </cell>
          <cell r="C320" t="str">
            <v>ARMAÇÃO UTILIZANDO AÇO CA-25 DE 20,0 MM - MONTAGEM. AF_06/2022</v>
          </cell>
          <cell r="D320" t="str">
            <v>KG</v>
          </cell>
          <cell r="E320">
            <v>8.9600000000000009</v>
          </cell>
          <cell r="F320">
            <v>0</v>
          </cell>
        </row>
        <row r="321">
          <cell r="B321">
            <v>92888</v>
          </cell>
          <cell r="C321" t="str">
            <v>ARMAÇÃO UTILIZANDO AÇO CA-25 DE 25,0 MM - MONTAGEM. AF_06/2022</v>
          </cell>
          <cell r="D321" t="str">
            <v>KG</v>
          </cell>
          <cell r="E321">
            <v>8.6</v>
          </cell>
          <cell r="F321">
            <v>0</v>
          </cell>
        </row>
        <row r="322">
          <cell r="B322">
            <v>92882</v>
          </cell>
          <cell r="C322" t="str">
            <v>ARMAÇÃO UTILIZANDO AÇO CA-25 DE 6,3 MM - MONTAGEM. AF_06/2022</v>
          </cell>
          <cell r="D322" t="str">
            <v>KG</v>
          </cell>
          <cell r="E322">
            <v>12.7</v>
          </cell>
          <cell r="F322">
            <v>0</v>
          </cell>
        </row>
        <row r="323">
          <cell r="B323">
            <v>92883</v>
          </cell>
          <cell r="C323" t="str">
            <v>ARMAÇÃO UTILIZANDO AÇO CA-25 DE 8,0 MM - MONTAGEM. AF_06/2022</v>
          </cell>
          <cell r="D323" t="str">
            <v>KG</v>
          </cell>
          <cell r="E323">
            <v>11.11</v>
          </cell>
          <cell r="F323">
            <v>0</v>
          </cell>
        </row>
        <row r="324">
          <cell r="B324">
            <v>92877</v>
          </cell>
          <cell r="C324" t="str">
            <v>CORTE E DOBRA DE AÇO CA-25, DIÂMETRO DE 10,0 MM. AF_06/2022</v>
          </cell>
          <cell r="D324" t="str">
            <v>KG</v>
          </cell>
          <cell r="E324">
            <v>7.93</v>
          </cell>
          <cell r="F324">
            <v>0</v>
          </cell>
        </row>
        <row r="325">
          <cell r="B325">
            <v>92878</v>
          </cell>
          <cell r="C325" t="str">
            <v>CORTE E DOBRA DE AÇO CA-25, DIÂMETRO DE 12,5 MM. AF_06/2022</v>
          </cell>
          <cell r="D325" t="str">
            <v>KG</v>
          </cell>
          <cell r="E325">
            <v>7.7</v>
          </cell>
          <cell r="F325">
            <v>0</v>
          </cell>
        </row>
        <row r="326">
          <cell r="B326">
            <v>92879</v>
          </cell>
          <cell r="C326" t="str">
            <v>CORTE E DOBRA DE AÇO CA-25, DIÂMETRO DE 16,0 MM. AF_06/2022</v>
          </cell>
          <cell r="D326" t="str">
            <v>KG</v>
          </cell>
          <cell r="E326">
            <v>7.56</v>
          </cell>
          <cell r="F326">
            <v>0</v>
          </cell>
        </row>
        <row r="327">
          <cell r="B327">
            <v>92880</v>
          </cell>
          <cell r="C327" t="str">
            <v>CORTE E DOBRA DE AÇO CA-25, DIÂMETRO DE 20,0 MM. AF_06/2022</v>
          </cell>
          <cell r="D327" t="str">
            <v>KG</v>
          </cell>
          <cell r="E327">
            <v>7.7</v>
          </cell>
          <cell r="F327">
            <v>0</v>
          </cell>
        </row>
        <row r="328">
          <cell r="B328">
            <v>92881</v>
          </cell>
          <cell r="C328" t="str">
            <v>CORTE E DOBRA DE AÇO CA-25, DIÂMETRO DE 25,0 MM. AF_06/2022</v>
          </cell>
          <cell r="D328" t="str">
            <v>KG</v>
          </cell>
          <cell r="E328">
            <v>7.66</v>
          </cell>
          <cell r="F328">
            <v>0</v>
          </cell>
        </row>
        <row r="329">
          <cell r="B329">
            <v>92875</v>
          </cell>
          <cell r="C329" t="str">
            <v>CORTE E DOBRA DE AÇO CA-25, DIÂMETRO DE 6,3 MM. AF_06/2022</v>
          </cell>
          <cell r="D329" t="str">
            <v>KG</v>
          </cell>
          <cell r="E329">
            <v>8.07</v>
          </cell>
          <cell r="F329">
            <v>0</v>
          </cell>
        </row>
        <row r="330">
          <cell r="B330">
            <v>92876</v>
          </cell>
          <cell r="C330" t="str">
            <v>CORTE E DOBRA DE AÇO CA-25, DIÂMETRO DE 8,0 MM. AF_06/2022</v>
          </cell>
          <cell r="D330" t="str">
            <v>KG</v>
          </cell>
          <cell r="E330">
            <v>7.52</v>
          </cell>
          <cell r="F330">
            <v>0</v>
          </cell>
        </row>
        <row r="331">
          <cell r="B331">
            <v>92803</v>
          </cell>
          <cell r="C331" t="str">
            <v>CORTE E DOBRA DE AÇO CA-50, DIÂMETRO DE 10,0 MM. AF_06/2022</v>
          </cell>
          <cell r="D331" t="str">
            <v>KG</v>
          </cell>
          <cell r="E331">
            <v>7.26</v>
          </cell>
          <cell r="F331">
            <v>0</v>
          </cell>
        </row>
        <row r="332">
          <cell r="B332">
            <v>92804</v>
          </cell>
          <cell r="C332" t="str">
            <v>CORTE E DOBRA DE AÇO CA-50, DIÂMETRO DE 12,5 MM. AF_06/2022</v>
          </cell>
          <cell r="D332" t="str">
            <v>KG</v>
          </cell>
          <cell r="E332">
            <v>6.18</v>
          </cell>
          <cell r="F332">
            <v>0</v>
          </cell>
        </row>
        <row r="333">
          <cell r="B333">
            <v>92805</v>
          </cell>
          <cell r="C333" t="str">
            <v>CORTE E DOBRA DE AÇO CA-50, DIÂMETRO DE 16,0 MM. AF_06/2022</v>
          </cell>
          <cell r="D333" t="str">
            <v>KG</v>
          </cell>
          <cell r="E333">
            <v>6.07</v>
          </cell>
          <cell r="F333">
            <v>0</v>
          </cell>
        </row>
        <row r="334">
          <cell r="B334">
            <v>92806</v>
          </cell>
          <cell r="C334" t="str">
            <v>CORTE E DOBRA DE AÇO CA-50, DIÂMETRO DE 20,0 MM. AF_06/2022</v>
          </cell>
          <cell r="D334" t="str">
            <v>KG</v>
          </cell>
          <cell r="E334">
            <v>7.13</v>
          </cell>
          <cell r="F334">
            <v>0</v>
          </cell>
        </row>
        <row r="335">
          <cell r="B335">
            <v>92798</v>
          </cell>
          <cell r="C335" t="str">
            <v>CORTE E DOBRA DE AÇO CA-50, DIÂMETRO DE 25,0 MM. AF_06/2022</v>
          </cell>
          <cell r="D335" t="str">
            <v>KG</v>
          </cell>
          <cell r="E335">
            <v>7.12</v>
          </cell>
          <cell r="F335">
            <v>0</v>
          </cell>
        </row>
        <row r="336">
          <cell r="B336">
            <v>95448</v>
          </cell>
          <cell r="C336" t="str">
            <v>CORTE E DOBRA DE AÇO CA-50, DIÂMETRO DE 32 MM. AF_06/2022</v>
          </cell>
          <cell r="D336" t="str">
            <v>KG</v>
          </cell>
          <cell r="E336">
            <v>7.81</v>
          </cell>
          <cell r="F336">
            <v>0</v>
          </cell>
        </row>
        <row r="337">
          <cell r="B337">
            <v>92801</v>
          </cell>
          <cell r="C337" t="str">
            <v>CORTE E DOBRA DE AÇO CA-50, DIÂMETRO DE 6,3 MM. AF_06/2022</v>
          </cell>
          <cell r="D337" t="str">
            <v>KG</v>
          </cell>
          <cell r="E337">
            <v>8.2899999999999991</v>
          </cell>
          <cell r="F337">
            <v>0</v>
          </cell>
        </row>
        <row r="338">
          <cell r="B338">
            <v>92802</v>
          </cell>
          <cell r="C338" t="str">
            <v>CORTE E DOBRA DE AÇO CA-50, DIÂMETRO DE 8,0 MM. AF_06/2022</v>
          </cell>
          <cell r="D338" t="str">
            <v>KG</v>
          </cell>
          <cell r="E338">
            <v>7.98</v>
          </cell>
          <cell r="F338">
            <v>0</v>
          </cell>
        </row>
        <row r="339">
          <cell r="B339">
            <v>92799</v>
          </cell>
          <cell r="C339" t="str">
            <v>CORTE E DOBRA DE AÇO CA-60, DIÂMETRO DE 4,2 MM. AF_06/2022</v>
          </cell>
          <cell r="D339" t="str">
            <v>KG</v>
          </cell>
          <cell r="E339">
            <v>10.130000000000001</v>
          </cell>
          <cell r="F339">
            <v>0</v>
          </cell>
        </row>
        <row r="340">
          <cell r="B340">
            <v>92800</v>
          </cell>
          <cell r="C340" t="str">
            <v>CORTE E DOBRA DE AÇO CA-60, DIÂMETRO DE 5,0 MM. AF_06/2022</v>
          </cell>
          <cell r="D340" t="str">
            <v>KG</v>
          </cell>
          <cell r="E340">
            <v>8.68</v>
          </cell>
          <cell r="F340">
            <v>0</v>
          </cell>
        </row>
        <row r="341">
          <cell r="B341">
            <v>95605</v>
          </cell>
          <cell r="C341" t="str">
            <v>ARRASAMENTO MECANICO DE ESTACA DE CONCRETO ARMADO, DIAMETROS DE 101 CM A 150 CM. AF_05/2021</v>
          </cell>
          <cell r="D341" t="str">
            <v>UN</v>
          </cell>
          <cell r="E341">
            <v>93.12</v>
          </cell>
          <cell r="F341">
            <v>0</v>
          </cell>
        </row>
        <row r="342">
          <cell r="B342">
            <v>95602</v>
          </cell>
          <cell r="C342" t="str">
            <v>ARRASAMENTO MECANICO DE ESTACA DE CONCRETO ARMADO, DIAMETROS DE 41 CM A 60 CM. AF_05/2021</v>
          </cell>
          <cell r="D342" t="str">
            <v>UN</v>
          </cell>
          <cell r="E342">
            <v>19.14</v>
          </cell>
          <cell r="F342">
            <v>0</v>
          </cell>
        </row>
        <row r="343">
          <cell r="B343">
            <v>95603</v>
          </cell>
          <cell r="C343" t="str">
            <v>ARRASAMENTO MECANICO DE ESTACA DE CONCRETO ARMADO, DIAMETROS DE 61 CM A 80 CM. AF_05/2021</v>
          </cell>
          <cell r="D343" t="str">
            <v>UN</v>
          </cell>
          <cell r="E343">
            <v>32.68</v>
          </cell>
          <cell r="F343">
            <v>0</v>
          </cell>
        </row>
        <row r="344">
          <cell r="B344">
            <v>95604</v>
          </cell>
          <cell r="C344" t="str">
            <v>ARRASAMENTO MECANICO DE ESTACA DE CONCRETO ARMADO, DIAMETROS DE 81 CM A 100 CM. AF_05/2021</v>
          </cell>
          <cell r="D344" t="str">
            <v>UN</v>
          </cell>
          <cell r="E344">
            <v>50.71</v>
          </cell>
          <cell r="F344">
            <v>0</v>
          </cell>
        </row>
        <row r="345">
          <cell r="B345">
            <v>95601</v>
          </cell>
          <cell r="C345" t="str">
            <v>ARRASAMENTO MECANICO DE ESTACA DE CONCRETO ARMADO, DIAMETROS DE ATÉ 40 CM. AF_05/2021</v>
          </cell>
          <cell r="D345" t="str">
            <v>UN</v>
          </cell>
          <cell r="E345">
            <v>11.96</v>
          </cell>
          <cell r="F345">
            <v>0</v>
          </cell>
        </row>
        <row r="346">
          <cell r="B346">
            <v>102521</v>
          </cell>
          <cell r="C346" t="str">
            <v>ARRASAMENTO MECÂNICO DE ESTACA BARRETE DE CONCRETO ARMADO, SEÇÃO DE 0,40 X 2,50 M. AF_05/2021</v>
          </cell>
          <cell r="D346" t="str">
            <v>UN</v>
          </cell>
          <cell r="E346">
            <v>76.81</v>
          </cell>
          <cell r="F346">
            <v>0</v>
          </cell>
        </row>
        <row r="347">
          <cell r="B347">
            <v>102522</v>
          </cell>
          <cell r="C347" t="str">
            <v>ARRASAMENTO MECÂNICO DE ESTACA BARRETE DE CONCRETO ARMADO, SEÇÃO DE 0,60 X 2,50 M. AF_05/2021</v>
          </cell>
          <cell r="D347" t="str">
            <v>UN</v>
          </cell>
          <cell r="E347">
            <v>112.69</v>
          </cell>
          <cell r="F347">
            <v>0</v>
          </cell>
        </row>
        <row r="348">
          <cell r="B348">
            <v>102523</v>
          </cell>
          <cell r="C348" t="str">
            <v>ARRASAMENTO MECÂNICO DE ESTACA BARRETE DE CONCRETO ARMADO, SEÇÃO DE 0,80 X 2,50 M. AF_05/2021</v>
          </cell>
          <cell r="D348" t="str">
            <v>UN</v>
          </cell>
          <cell r="E348">
            <v>148.57</v>
          </cell>
          <cell r="F348">
            <v>0</v>
          </cell>
        </row>
        <row r="349">
          <cell r="B349">
            <v>95608</v>
          </cell>
          <cell r="C349" t="str">
            <v>ARRASAMENTO MECÂNICO DE ESTACA METÁLICA, PERFIL LAMINADO TIPO H - FAMÍLIA 250. AF_05/2021</v>
          </cell>
          <cell r="D349" t="str">
            <v>UN</v>
          </cell>
          <cell r="E349">
            <v>43.29</v>
          </cell>
          <cell r="F349">
            <v>0</v>
          </cell>
        </row>
        <row r="350">
          <cell r="B350">
            <v>95609</v>
          </cell>
          <cell r="C350" t="str">
            <v>ARRASAMENTO MECÂNICO DE ESTACA METÁLICA, PERFIL LAMINADO TIPO H - FAMÍLIA 310. AF_05/2021</v>
          </cell>
          <cell r="D350" t="str">
            <v>UN</v>
          </cell>
          <cell r="E350">
            <v>54.9</v>
          </cell>
          <cell r="F350">
            <v>0</v>
          </cell>
        </row>
        <row r="351">
          <cell r="B351">
            <v>95607</v>
          </cell>
          <cell r="C351" t="str">
            <v>ARRASAMENTO MECÂNICO DE ESTACA METÁLICA, PERFIL LAMINADO TIPO I FAMÍLIA 250. AF_05/2021</v>
          </cell>
          <cell r="D351" t="str">
            <v>UN</v>
          </cell>
          <cell r="E351">
            <v>29.84</v>
          </cell>
          <cell r="F351">
            <v>0</v>
          </cell>
        </row>
        <row r="352">
          <cell r="B352">
            <v>106132</v>
          </cell>
          <cell r="C352" t="str">
            <v>EXECUÇÃO DE MICRORREVESTIMENTO FAIXA 2 DNIT. AF_10/2025</v>
          </cell>
          <cell r="D352" t="str">
            <v>M3</v>
          </cell>
          <cell r="E352">
            <v>0</v>
          </cell>
        </row>
        <row r="353">
          <cell r="B353">
            <v>106133</v>
          </cell>
          <cell r="C353" t="str">
            <v>EXECUÇÃO DE MICRORREVESTIMENTO FAIXA 3 DNIT. AF_10/2025</v>
          </cell>
          <cell r="D353" t="str">
            <v>M3</v>
          </cell>
          <cell r="E353">
            <v>0</v>
          </cell>
        </row>
        <row r="354">
          <cell r="B354">
            <v>95996</v>
          </cell>
          <cell r="C354" t="str">
            <v>EXECUÇÃO DE PAVIMENTO COM APLICAÇÃO DE CONCRETO ASFÁLTICO, CAMADA DE BINDER - EXCLUSIVE CARGA E TRANSPORTE. AF_10/2025</v>
          </cell>
          <cell r="D354" t="str">
            <v>M3</v>
          </cell>
          <cell r="E354">
            <v>1288.3699999999999</v>
          </cell>
          <cell r="F354">
            <v>0</v>
          </cell>
        </row>
        <row r="355">
          <cell r="B355">
            <v>95995</v>
          </cell>
          <cell r="C355" t="str">
            <v>EXECUÇÃO DE PAVIMENTO COM APLICAÇÃO DE CONCRETO ASFÁLTICO, CAMADA DE ROLAMENTO - EXCLUSIVE CARGA E TRANSPORTE. AF_10/2025</v>
          </cell>
          <cell r="D355" t="str">
            <v>M3</v>
          </cell>
          <cell r="E355">
            <v>1497.58</v>
          </cell>
          <cell r="F355">
            <v>0</v>
          </cell>
        </row>
        <row r="356">
          <cell r="B356">
            <v>104372</v>
          </cell>
          <cell r="C356" t="str">
            <v>EXECUÇÃO DE PAVIMENTO COM APLICAÇÃO DE PRÉ-MISTURADO A FRIO, CAMADA DE BINDER - EXCLUSIVE CARGA E TRANSPORTE. AF_10/2025</v>
          </cell>
          <cell r="D356" t="str">
            <v>M3</v>
          </cell>
          <cell r="E356">
            <v>0</v>
          </cell>
        </row>
        <row r="357">
          <cell r="B357">
            <v>104371</v>
          </cell>
          <cell r="C357" t="str">
            <v>EXECUÇÃO DE PAVIMENTO COM APLICAÇÃO DE PRÉ-MISTURADO A FRIO, CAMADA DE ROLAMENTO - EXCLUSIVE CARGA E TRANSPORTE. AF_10/2025</v>
          </cell>
          <cell r="D357" t="str">
            <v>M3</v>
          </cell>
          <cell r="E357">
            <v>0</v>
          </cell>
        </row>
        <row r="358">
          <cell r="B358">
            <v>106138</v>
          </cell>
          <cell r="C358" t="str">
            <v>FRESAGEM DE PAVIMENTO ASFÁLTICO, COM LARGURA DA VIA MAIOR QUE 10,00 M, EM LOCAIS COM NIVEL ALTO DE INTERFERÊNCIA. AF_10/2025</v>
          </cell>
          <cell r="D358" t="str">
            <v>M2</v>
          </cell>
          <cell r="E358">
            <v>9.14</v>
          </cell>
          <cell r="F358">
            <v>0</v>
          </cell>
        </row>
        <row r="359">
          <cell r="B359">
            <v>106135</v>
          </cell>
          <cell r="C359" t="str">
            <v>FRESAGEM DE PAVIMENTO ASFÁLTICO, COM LARGURA DA VIA MAIOR QUE 10,00 M, EM LOCAIS COM NIVEL BAIXO DE INTERFERÊNCIA. AF_10/2025</v>
          </cell>
          <cell r="D359" t="str">
            <v>M2</v>
          </cell>
          <cell r="E359">
            <v>7.77</v>
          </cell>
          <cell r="F359">
            <v>0</v>
          </cell>
        </row>
        <row r="360">
          <cell r="B360">
            <v>106137</v>
          </cell>
          <cell r="C360" t="str">
            <v>FRESAGEM DE PAVIMENTO ASFÁLTICO, COM LARGURA DA VIA MAIOR QUE 6,00 M E MENOR OU IGUAL 10,00 M, EM LOCAIS COM NIVEL ALTO DE INTERFERÊNCIA. AF_10/2025</v>
          </cell>
          <cell r="D360" t="str">
            <v>M2</v>
          </cell>
          <cell r="E360">
            <v>10.58</v>
          </cell>
          <cell r="F360">
            <v>0</v>
          </cell>
        </row>
        <row r="361">
          <cell r="B361">
            <v>96001</v>
          </cell>
          <cell r="C361" t="str">
            <v>FRESAGEM DE PAVIMENTO ASFÁLTICO, COM LARGURA DA VIA MAIOR QUE 6,00 M E MENOR OU IGUAL 10,00 M, EM LOCAIS COM NIVEL BAIXO DE INTERFERÊNCIA. AF_10/2025</v>
          </cell>
          <cell r="D361" t="str">
            <v>M2</v>
          </cell>
          <cell r="E361">
            <v>8.93</v>
          </cell>
          <cell r="F361">
            <v>0</v>
          </cell>
        </row>
        <row r="362">
          <cell r="B362">
            <v>106136</v>
          </cell>
          <cell r="C362" t="str">
            <v>FRESAGEM DE PAVIMENTO ASFÁLTICO, COM LARGURA DA VIA MENOR OU IGUAL 6,00 M, EM LOCAIS COM NIVEL ALTO DE INTERFERÊNCIA. AF_10/2025</v>
          </cell>
          <cell r="D362" t="str">
            <v>M2</v>
          </cell>
          <cell r="E362">
            <v>12.38</v>
          </cell>
          <cell r="F362">
            <v>0</v>
          </cell>
        </row>
        <row r="363">
          <cell r="B363">
            <v>106134</v>
          </cell>
          <cell r="C363" t="str">
            <v>FRESAGEM DE PAVIMENTO ASFÁLTICO, COM LARGURA DA VIA MENOR OU IGUAL 6,00 M, EM LOCAIS COM NIVEL BAIXO DE INTERFERÊNCIA. AF_10/2025</v>
          </cell>
          <cell r="D363" t="str">
            <v>M2</v>
          </cell>
          <cell r="E363">
            <v>10.37</v>
          </cell>
          <cell r="F363">
            <v>0</v>
          </cell>
        </row>
        <row r="364">
          <cell r="B364">
            <v>94880</v>
          </cell>
          <cell r="C364" t="str">
            <v>ASSENTAMENTO DE TUBO DE PEAD CORRUGADO DE DUPLA PAREDE PARA REDE COLETORA DE ESGOTO, DN 1000 MM, JUNTA ELÁSTICA INTEGRADA (NÃO INCLUI FORNECIMENTO). AF_01/2021</v>
          </cell>
          <cell r="D364" t="str">
            <v>M</v>
          </cell>
          <cell r="E364">
            <v>50.38</v>
          </cell>
          <cell r="F364">
            <v>0</v>
          </cell>
        </row>
        <row r="365">
          <cell r="B365">
            <v>94882</v>
          </cell>
          <cell r="C365" t="str">
            <v>ASSENTAMENTO DE TUBO DE PEAD CORRUGADO DE DUPLA PAREDE PARA REDE COLETORA DE ESGOTO, DN 1200 MM, JUNTA ELÁSTICA INTEGRADA (NÃO INCLUI FORNECIMENTO). AF_01/2021</v>
          </cell>
          <cell r="D365" t="str">
            <v>M</v>
          </cell>
          <cell r="E365">
            <v>58.79</v>
          </cell>
          <cell r="F365">
            <v>0</v>
          </cell>
        </row>
        <row r="366">
          <cell r="B366">
            <v>94884</v>
          </cell>
          <cell r="C366" t="str">
            <v>ASSENTAMENTO DE TUBO DE PEAD CORRUGADO DE DUPLA PAREDE PARA REDE COLETORA DE ESGOTO, DN 1500 MM, JUNTA ELÁSTICA INTEGRADA (NÃO INCLUI FORNECIMENTO). AF_01/2021</v>
          </cell>
          <cell r="D366" t="str">
            <v>M</v>
          </cell>
          <cell r="E366">
            <v>75.84</v>
          </cell>
          <cell r="F366">
            <v>0</v>
          </cell>
        </row>
        <row r="367">
          <cell r="B367">
            <v>94870</v>
          </cell>
          <cell r="C367" t="str">
            <v>ASSENTAMENTO DE TUBO DE PEAD CORRUGADO DE DUPLA PAREDE PARA REDE COLETORA DE ESGOTO, DN 250 MM, JUNTA ELÁSTICA INTEGRADA (NÃO INCLUI FORNECIMENTO). AF_01/2021</v>
          </cell>
          <cell r="D367" t="str">
            <v>M</v>
          </cell>
          <cell r="E367">
            <v>2.21</v>
          </cell>
          <cell r="F367">
            <v>0</v>
          </cell>
        </row>
        <row r="368">
          <cell r="B368">
            <v>94872</v>
          </cell>
          <cell r="C368" t="str">
            <v>ASSENTAMENTO DE TUBO DE PEAD CORRUGADO DE DUPLA PAREDE PARA REDE COLETORA DE ESGOTO, DN 300 MM, JUNTA ELÁSTICA INTEGRADA (NÃO INCLUI FORNECIMENTO). AF_01/2021</v>
          </cell>
          <cell r="D368" t="str">
            <v>M</v>
          </cell>
          <cell r="E368">
            <v>3.24</v>
          </cell>
          <cell r="F368">
            <v>0</v>
          </cell>
        </row>
        <row r="369">
          <cell r="B369">
            <v>90746</v>
          </cell>
          <cell r="C369" t="str">
            <v>ASSENTAMENTO DE TUBO DE PEAD CORRUGADO DE DUPLA PAREDE PARA REDE COLETORA DE ESGOTO, DN 450 MM, JUNTA ELÁSTICA INTEGRADA (NÃO INCLUI FORNECIMENTO). AF_01/2021</v>
          </cell>
          <cell r="D369" t="str">
            <v>M</v>
          </cell>
          <cell r="E369">
            <v>5.14</v>
          </cell>
          <cell r="F369">
            <v>0</v>
          </cell>
        </row>
        <row r="370">
          <cell r="B370">
            <v>90747</v>
          </cell>
          <cell r="C370" t="str">
            <v>ASSENTAMENTO DE TUBO DE PEAD CORRUGADO DE DUPLA PAREDE PARA REDE COLETORA DE ESGOTO, DN 600 MM, JUNTA ELÁSTICA INTEGRADA (NÃO INCLUI FORNECIMENTO). AF_01/2021</v>
          </cell>
          <cell r="D370" t="str">
            <v>M</v>
          </cell>
          <cell r="E370">
            <v>20.76</v>
          </cell>
          <cell r="F370">
            <v>0</v>
          </cell>
        </row>
        <row r="371">
          <cell r="B371">
            <v>94876</v>
          </cell>
          <cell r="C371" t="str">
            <v>ASSENTAMENTO DE TUBO DE PEAD CORRUGADO DE DUPLA PAREDE PARA REDE COLETORA DE ESGOTO, DN 800 MM, JUNTA ELÁSTICA INTEGRADA (NÃO INCLUI FORNECIMENTO). AF_01/2021</v>
          </cell>
          <cell r="D371" t="str">
            <v>M</v>
          </cell>
          <cell r="E371">
            <v>34.03</v>
          </cell>
          <cell r="F371">
            <v>0</v>
          </cell>
        </row>
        <row r="372">
          <cell r="B372">
            <v>94878</v>
          </cell>
          <cell r="C372" t="str">
            <v>ASSENTAMENTO DE TUBO DE PEAD CORRUGADO DE DUPLA PAREDE PARA REDE COLETORA DE ESGOTO, DN 900 MM, JUNTA ELÁSTICA INTEGRADA (NÃO INCLUI FORNECIMENTO). AF_01/2021</v>
          </cell>
          <cell r="D372" t="str">
            <v>M</v>
          </cell>
          <cell r="E372">
            <v>39.49</v>
          </cell>
          <cell r="F372">
            <v>0</v>
          </cell>
        </row>
        <row r="373">
          <cell r="B373">
            <v>90740</v>
          </cell>
          <cell r="C373" t="str">
            <v>ASSENTAMENTO DE TUBO DE PVC CORRUGADO DE DUPLA PAREDE PARA REDE COLETORA DE ESGOTO, DN 150 MM, JUNTA ELÁSTICA (NÃO INCLUI FORNECIMENTO). AF_01/2021</v>
          </cell>
          <cell r="D373" t="str">
            <v>M</v>
          </cell>
          <cell r="E373">
            <v>6.27</v>
          </cell>
          <cell r="F373">
            <v>0</v>
          </cell>
        </row>
        <row r="374">
          <cell r="B374">
            <v>90741</v>
          </cell>
          <cell r="C374" t="str">
            <v>ASSENTAMENTO DE TUBO DE PVC CORRUGADO DE DUPLA PAREDE PARA REDE COLETORA DE ESGOTO, DN 200 MM, JUNTA ELÁSTICA (NÃO INCLUI FORNECIMENTO). AF_01/2021</v>
          </cell>
          <cell r="D374" t="str">
            <v>M</v>
          </cell>
          <cell r="E374">
            <v>7.15</v>
          </cell>
          <cell r="F374">
            <v>0</v>
          </cell>
        </row>
        <row r="375">
          <cell r="B375">
            <v>90742</v>
          </cell>
          <cell r="C375" t="str">
            <v>ASSENTAMENTO DE TUBO DE PVC CORRUGADO DE DUPLA PAREDE PARA REDE COLETORA DE ESGOTO, DN 250 MM, JUNTA ELÁSTICA (NÃO INCLUI FORNECIMENTO). AF_01/2021</v>
          </cell>
          <cell r="D375" t="str">
            <v>M</v>
          </cell>
          <cell r="E375">
            <v>8.0299999999999994</v>
          </cell>
          <cell r="F375">
            <v>0</v>
          </cell>
        </row>
        <row r="376">
          <cell r="B376">
            <v>90743</v>
          </cell>
          <cell r="C376" t="str">
            <v>ASSENTAMENTO DE TUBO DE PVC CORRUGADO DE DUPLA PAREDE PARA REDE COLETORA DE ESGOTO, DN 300 MM, JUNTA ELÁSTICA (NÃO INCLUI FORNECIMENTO). AF_01/2021</v>
          </cell>
          <cell r="D376" t="str">
            <v>M</v>
          </cell>
          <cell r="E376">
            <v>8.91</v>
          </cell>
          <cell r="F376">
            <v>0</v>
          </cell>
        </row>
        <row r="377">
          <cell r="B377">
            <v>90744</v>
          </cell>
          <cell r="C377" t="str">
            <v>ASSENTAMENTO DE TUBO DE PVC CORRUGADO DE DUPLA PAREDE PARA REDE COLETORA DE ESGOTO, DN 350 MM, JUNTA ELÁSTICA (NÃO INCLUI FORNECIMENTO). AF_01/2021</v>
          </cell>
          <cell r="D377" t="str">
            <v>M</v>
          </cell>
          <cell r="E377">
            <v>9.7899999999999991</v>
          </cell>
          <cell r="F377">
            <v>0</v>
          </cell>
        </row>
        <row r="378">
          <cell r="B378">
            <v>90745</v>
          </cell>
          <cell r="C378" t="str">
            <v>ASSENTAMENTO DE TUBO DE PVC CORRUGADO DE DUPLA PAREDE PARA REDE COLETORA DE ESGOTO, DN 400 MM, JUNTA ELÁSTICA (NÃO INCLUI FORNECIMENTO). AF_01/2021</v>
          </cell>
          <cell r="D378" t="str">
            <v>M</v>
          </cell>
          <cell r="E378">
            <v>12.9</v>
          </cell>
          <cell r="F378">
            <v>0</v>
          </cell>
        </row>
        <row r="379">
          <cell r="B379">
            <v>90733</v>
          </cell>
          <cell r="C379" t="str">
            <v>ASSENTAMENTO DE TUBO DE PVC PARA REDE COLETORA DE ESGOTO DE PAREDE MACIÇA, DN 100 MM, JUNTA ELÁSTICA (NÃO INCLUI FORNECIMENTO). AF_01/2021</v>
          </cell>
          <cell r="D379" t="str">
            <v>M</v>
          </cell>
          <cell r="E379">
            <v>4.75</v>
          </cell>
          <cell r="F379">
            <v>0</v>
          </cell>
        </row>
        <row r="380">
          <cell r="B380">
            <v>90734</v>
          </cell>
          <cell r="C380" t="str">
            <v>ASSENTAMENTO DE TUBO DE PVC PARA REDE COLETORA DE ESGOTO DE PAREDE MACIÇA, DN 150 MM, JUNTA ELÁSTICA, (NÃO INCLUI FORNECIMENTO). AF_01/2021</v>
          </cell>
          <cell r="D380" t="str">
            <v>M</v>
          </cell>
          <cell r="E380">
            <v>5.63</v>
          </cell>
          <cell r="F380">
            <v>0</v>
          </cell>
        </row>
        <row r="381">
          <cell r="B381">
            <v>90735</v>
          </cell>
          <cell r="C381" t="str">
            <v>ASSENTAMENTO DE TUBO DE PVC PARA REDE COLETORA DE ESGOTO DE PAREDE MACIÇA, DN 200 MM, JUNTA ELÁSTICA (NÃO INCLUI FORNECIMENTO). AF_01/2021</v>
          </cell>
          <cell r="D381" t="str">
            <v>M</v>
          </cell>
          <cell r="E381">
            <v>6.5</v>
          </cell>
          <cell r="F381">
            <v>0</v>
          </cell>
        </row>
        <row r="382">
          <cell r="B382">
            <v>90736</v>
          </cell>
          <cell r="C382" t="str">
            <v>ASSENTAMENTO DE TUBO DE PVC PARA REDE COLETORA DE ESGOTO DE PAREDE MACIÇA, DN 250 MM, JUNTA ELÁSTICA (NÃO INCLUI FORNECIMENTO). AF_01/2021</v>
          </cell>
          <cell r="D382" t="str">
            <v>M</v>
          </cell>
          <cell r="E382">
            <v>7.39</v>
          </cell>
          <cell r="F382">
            <v>0</v>
          </cell>
        </row>
        <row r="383">
          <cell r="B383">
            <v>90737</v>
          </cell>
          <cell r="C383" t="str">
            <v>ASSENTAMENTO DE TUBO DE PVC PARA REDE COLETORA DE ESGOTO DE PAREDE MACIÇA, DN 300 MM, JUNTA ELÁSTICA (NÃO INCLUI FORNECIMENTO). AF_01/2021</v>
          </cell>
          <cell r="D383" t="str">
            <v>M</v>
          </cell>
          <cell r="E383">
            <v>8.26</v>
          </cell>
          <cell r="F383">
            <v>0</v>
          </cell>
        </row>
        <row r="384">
          <cell r="B384">
            <v>90738</v>
          </cell>
          <cell r="C384" t="str">
            <v>ASSENTAMENTO DE TUBO DE PVC PARA REDE COLETORA DE ESGOTO DE PAREDE MACIÇA, DN 350 MM, JUNTA ELÁSTICA (NÃO INCLUI FORNECIMENTO). AF_01/2021</v>
          </cell>
          <cell r="D384" t="str">
            <v>M</v>
          </cell>
          <cell r="E384">
            <v>9.14</v>
          </cell>
          <cell r="F384">
            <v>0</v>
          </cell>
        </row>
        <row r="385">
          <cell r="B385">
            <v>90739</v>
          </cell>
          <cell r="C385" t="str">
            <v>ASSENTAMENTO DE TUBO DE PVC PARA REDE COLETORA DE ESGOTO DE PAREDE MACIÇA, DN 400 MM, JUNTA ELÁSTICA (NÃO INCLUI FORNECIMENTO). AF_01/2021</v>
          </cell>
          <cell r="D385" t="str">
            <v>M</v>
          </cell>
          <cell r="E385">
            <v>11.55</v>
          </cell>
          <cell r="F385">
            <v>0</v>
          </cell>
        </row>
        <row r="386">
          <cell r="B386">
            <v>90724</v>
          </cell>
          <cell r="C386" t="str">
            <v>JUNTA ARGAMASSADA ENTRE TUBO DN 100 MM E O POÇO DE VISITA/ CAIXA DE CONCRETO OU ALVENARIA EM REDES DE ESGOTO. AF_01/2021</v>
          </cell>
          <cell r="D386" t="str">
            <v>UN</v>
          </cell>
          <cell r="E386">
            <v>33.39</v>
          </cell>
          <cell r="F386">
            <v>0</v>
          </cell>
        </row>
        <row r="387">
          <cell r="B387">
            <v>102267</v>
          </cell>
          <cell r="C387" t="str">
            <v>JUNTA ARGAMASSADA ENTRE TUBO DN 1000 MM E O POÇO DE VISITA/ CAIXA DE CONCRETO OU ALVENARIA EM REDES DE ESGOTO. AF_01/2021</v>
          </cell>
          <cell r="D387" t="str">
            <v>UN</v>
          </cell>
          <cell r="E387">
            <v>178.53</v>
          </cell>
          <cell r="F387">
            <v>0</v>
          </cell>
        </row>
        <row r="388">
          <cell r="B388">
            <v>102268</v>
          </cell>
          <cell r="C388" t="str">
            <v>JUNTA ARGAMASSADA ENTRE TUBO DN 1200 MM E O POÇO DE VISITA/ CAIXA DE CONCRETO OU ALVENARIA EM REDES DE ESGOTO. AF_01/2021</v>
          </cell>
          <cell r="D388" t="str">
            <v>UN</v>
          </cell>
          <cell r="E388">
            <v>201.42</v>
          </cell>
          <cell r="F388">
            <v>0</v>
          </cell>
        </row>
        <row r="389">
          <cell r="B389">
            <v>90725</v>
          </cell>
          <cell r="C389" t="str">
            <v>JUNTA ARGAMASSADA ENTRE TUBO DN 150 MM E O POÇO DE VISITA/ CAIXA DE CONCRETO OU ALVENARIA EM REDES DE ESGOTO. AF_01/2021</v>
          </cell>
          <cell r="D389" t="str">
            <v>UN</v>
          </cell>
          <cell r="E389">
            <v>41.02</v>
          </cell>
          <cell r="F389">
            <v>0</v>
          </cell>
        </row>
        <row r="390">
          <cell r="B390">
            <v>102269</v>
          </cell>
          <cell r="C390" t="str">
            <v>JUNTA ARGAMASSADA ENTRE TUBO DN 1500 MM E O POÇO DE VISITA/ CAIXA DE CONCRETO OU ALVENARIA EM REDES DE ESGOTO. AF_01/2021</v>
          </cell>
          <cell r="D390" t="str">
            <v>UN</v>
          </cell>
          <cell r="E390">
            <v>247.2</v>
          </cell>
          <cell r="F390">
            <v>0</v>
          </cell>
        </row>
        <row r="391">
          <cell r="B391">
            <v>90726</v>
          </cell>
          <cell r="C391" t="str">
            <v>JUNTA ARGAMASSADA ENTRE TUBO DN 200 MM E O POÇO/ CAIXA DE CONCRETO OU ALVENARIA EM REDES DE ESGOTO. AF_01/2021</v>
          </cell>
          <cell r="D391" t="str">
            <v>UN</v>
          </cell>
          <cell r="E391">
            <v>48.71</v>
          </cell>
          <cell r="F391">
            <v>0</v>
          </cell>
        </row>
        <row r="392">
          <cell r="B392">
            <v>90727</v>
          </cell>
          <cell r="C392" t="str">
            <v>JUNTA ARGAMASSADA ENTRE TUBO DN 250 MM E O POÇO DE VISITA/ CAIXA DE CONCRETO OU ALVENARIA EM REDES DE ESGOTO. AF_01/2021</v>
          </cell>
          <cell r="D392" t="str">
            <v>UN</v>
          </cell>
          <cell r="E392">
            <v>56.35</v>
          </cell>
          <cell r="F392">
            <v>0</v>
          </cell>
        </row>
        <row r="393">
          <cell r="B393">
            <v>90728</v>
          </cell>
          <cell r="C393" t="str">
            <v>JUNTA ARGAMASSADA ENTRE TUBO DN 300 MM E O POÇO DE VISITA/ CAIXA DE CONCRETO OU ALVENARIA EM REDES DE ESGOTO. AF_01/2021</v>
          </cell>
          <cell r="D393" t="str">
            <v>UN</v>
          </cell>
          <cell r="E393">
            <v>63.98</v>
          </cell>
          <cell r="F393">
            <v>0</v>
          </cell>
        </row>
        <row r="394">
          <cell r="B394">
            <v>90729</v>
          </cell>
          <cell r="C394" t="str">
            <v>JUNTA ARGAMASSADA ENTRE TUBO DN 350 MM E O POÇO DE VISITA/ CAIXA DE CONCRETO OU ALVENARIA EM REDES DE ESGOTO. AF_01/2021</v>
          </cell>
          <cell r="D394" t="str">
            <v>UN</v>
          </cell>
          <cell r="E394">
            <v>71.599999999999994</v>
          </cell>
          <cell r="F394">
            <v>0</v>
          </cell>
        </row>
        <row r="395">
          <cell r="B395">
            <v>90730</v>
          </cell>
          <cell r="C395" t="str">
            <v>JUNTA ARGAMASSADA ENTRE TUBO DN 400 MM E O POÇO DE VISITA/ CAIXA DE CONCRETO OU ALVENARIA EM REDES DE ESGOTO. AF_01/2021</v>
          </cell>
          <cell r="D395" t="str">
            <v>UN</v>
          </cell>
          <cell r="E395">
            <v>79.25</v>
          </cell>
          <cell r="F395">
            <v>0</v>
          </cell>
        </row>
        <row r="396">
          <cell r="B396">
            <v>90731</v>
          </cell>
          <cell r="C396" t="str">
            <v>JUNTA ARGAMASSADA ENTRE TUBO DN 450 MM E O POÇO DE VISITA/ CAIXA DE CONCRETO OU ALVENARIA EM REDES DE ESGOTO. AF_01/2021</v>
          </cell>
          <cell r="D396" t="str">
            <v>UN</v>
          </cell>
          <cell r="E396">
            <v>86.88</v>
          </cell>
          <cell r="F396">
            <v>0</v>
          </cell>
        </row>
        <row r="397">
          <cell r="B397">
            <v>90732</v>
          </cell>
          <cell r="C397" t="str">
            <v>JUNTA ARGAMASSADA ENTRE TUBO DN 600 MM E O POÇO DE VISITA/ CAIXA DE CONCRETO OU ALVENARIA EM REDES DE ESGOTO. AF_01/2021</v>
          </cell>
          <cell r="D397" t="str">
            <v>UN</v>
          </cell>
          <cell r="E397">
            <v>109.77</v>
          </cell>
          <cell r="F397">
            <v>0</v>
          </cell>
        </row>
        <row r="398">
          <cell r="B398">
            <v>102265</v>
          </cell>
          <cell r="C398" t="str">
            <v>JUNTA ARGAMASSADA ENTRE TUBO DN 800 MM E O POÇO DE VISITA/ CAIXA DE CONCRETO OU ALVENARIA EM REDES DE ESGOTO. AF_01/2021</v>
          </cell>
          <cell r="D398" t="str">
            <v>UN</v>
          </cell>
          <cell r="E398">
            <v>140.30000000000001</v>
          </cell>
          <cell r="F398">
            <v>0</v>
          </cell>
        </row>
        <row r="399">
          <cell r="B399">
            <v>102266</v>
          </cell>
          <cell r="C399" t="str">
            <v>JUNTA ARGAMASSADA ENTRE TUBO DN 900 MM E O POÇO DE VISITA/ CAIXA DE CONCRETO OU ALVENARIA EM REDES DE ESGOTO. AF_01/2021</v>
          </cell>
          <cell r="D399" t="str">
            <v>UN</v>
          </cell>
          <cell r="E399">
            <v>155.56</v>
          </cell>
          <cell r="F399">
            <v>0</v>
          </cell>
        </row>
        <row r="400">
          <cell r="B400">
            <v>94879</v>
          </cell>
          <cell r="C400" t="str">
            <v>TUBO DE PEAD CORRUGADO DE DUPLA PAREDE PARA REDE COLETORA DE ESGOTO, DN 1000 MM, JUNTA ELÁSTICA INTEGRADA - FORNECIMENTO E ASSENTAMENTO. AF_01/2021</v>
          </cell>
          <cell r="D400" t="str">
            <v>M</v>
          </cell>
          <cell r="E400">
            <v>1960.38</v>
          </cell>
          <cell r="F400">
            <v>0</v>
          </cell>
        </row>
        <row r="401">
          <cell r="B401">
            <v>94881</v>
          </cell>
          <cell r="C401" t="str">
            <v>TUBO DE PEAD CORRUGADO DE DUPLA PAREDE PARA REDE COLETORA DE ESGOTO, DN 1200 MM, JUNTA ELÁSTICA INTEGRADA - FORNECIMENTO E ASSENTAMENTO. AF_01/2021</v>
          </cell>
          <cell r="D401" t="str">
            <v>M</v>
          </cell>
          <cell r="E401">
            <v>2698.53</v>
          </cell>
          <cell r="F401">
            <v>0</v>
          </cell>
        </row>
        <row r="402">
          <cell r="B402">
            <v>94869</v>
          </cell>
          <cell r="C402" t="str">
            <v>TUBO DE PEAD CORRUGADO DE DUPLA PAREDE PARA REDE COLETORA DE ESGOTO, DN 250 MM, JUNTA ELÁSTICA INTEGRADA - FORNECIMENTO E ASSENTAMENTO. AF_01/2021</v>
          </cell>
          <cell r="D402" t="str">
            <v>M</v>
          </cell>
          <cell r="E402">
            <v>138.03</v>
          </cell>
          <cell r="F402">
            <v>0</v>
          </cell>
        </row>
        <row r="403">
          <cell r="B403">
            <v>94871</v>
          </cell>
          <cell r="C403" t="str">
            <v>TUBO DE PEAD CORRUGADO DE DUPLA PAREDE PARA REDE COLETORA DE ESGOTO, DN 300 MM, JUNTA ELÁSTICA INTEGRADA - FORNECIMENTO E ASSENTAMENTO. AF_01/2021</v>
          </cell>
          <cell r="D403" t="str">
            <v>M</v>
          </cell>
          <cell r="E403">
            <v>216.03</v>
          </cell>
          <cell r="F403">
            <v>0</v>
          </cell>
        </row>
        <row r="404">
          <cell r="B404">
            <v>90708</v>
          </cell>
          <cell r="C404" t="str">
            <v>TUBO DE PEAD CORRUGADO DE DUPLA PAREDE PARA REDE COLETORA DE ESGOTO, DN 600 MM, JUNTA ELÁSTICA INTEGRADA - FORNECIMENTO E ASSENTAMENTO. AF_01/2021</v>
          </cell>
          <cell r="D404" t="str">
            <v>M</v>
          </cell>
          <cell r="E404">
            <v>784.77</v>
          </cell>
          <cell r="F404">
            <v>0</v>
          </cell>
        </row>
        <row r="405">
          <cell r="B405">
            <v>94875</v>
          </cell>
          <cell r="C405" t="str">
            <v>TUBO DE PEAD CORRUGADO DE DUPLA PAREDE PARA REDE COLETORA DE ESGOTO, DN 800 MM, JUNTA ELÁSTICA INTEGRADA - FORNECIMENTO E ASSENTAMENTO. AF_01/2021</v>
          </cell>
          <cell r="D405" t="str">
            <v>M</v>
          </cell>
          <cell r="E405">
            <v>1273.9000000000001</v>
          </cell>
          <cell r="F405">
            <v>0</v>
          </cell>
        </row>
        <row r="406">
          <cell r="B406">
            <v>102264</v>
          </cell>
          <cell r="C406" t="str">
            <v>TUBO DE PVC BRANCO PARA REDE COLETORA DE ESGOTO CONDOMINIAL DE PAREDE MACIÇA, DN 100 MM, JUNTA ELÁSTICA - FORNECIMENTO E ASSENTAMENTO. AF_01/2021</v>
          </cell>
          <cell r="D406" t="str">
            <v>M</v>
          </cell>
          <cell r="E406">
            <v>24.28</v>
          </cell>
          <cell r="F406">
            <v>0</v>
          </cell>
        </row>
        <row r="407">
          <cell r="B407">
            <v>90701</v>
          </cell>
          <cell r="C407" t="str">
            <v>TUBO DE PVC CORRUGADO DE DUPLA PAREDE PARA REDE COLETORA DE ESGOTO, DN 150 MM, JUNTA ELÁSTICA - FORNECIMENTO E ASSENTAMENTO. AF_01/2021</v>
          </cell>
          <cell r="D407" t="str">
            <v>M</v>
          </cell>
          <cell r="E407">
            <v>82.4</v>
          </cell>
          <cell r="F407">
            <v>0</v>
          </cell>
        </row>
        <row r="408">
          <cell r="B408">
            <v>90702</v>
          </cell>
          <cell r="C408" t="str">
            <v>TUBO DE PVC CORRUGADO DE DUPLA PAREDE PARA REDE COLETORA DE ESGOTO, DN 200 MM, JUNTA ELÁSTICA - FORNECIMENTO E ASSENTAMENTO. AF_01/2021</v>
          </cell>
          <cell r="D408" t="str">
            <v>M</v>
          </cell>
          <cell r="E408">
            <v>136.09</v>
          </cell>
          <cell r="F408">
            <v>0</v>
          </cell>
        </row>
        <row r="409">
          <cell r="B409">
            <v>90703</v>
          </cell>
          <cell r="C409" t="str">
            <v>TUBO DE PVC CORRUGADO DE DUPLA PAREDE PARA REDE COLETORA DE ESGOTO, DN 250 MM, JUNTA ELÁSTICA - FORNECIMENTO E ASSENTAMENTO. AF_01/2021</v>
          </cell>
          <cell r="D409" t="str">
            <v>M</v>
          </cell>
          <cell r="E409">
            <v>212.03</v>
          </cell>
          <cell r="F409">
            <v>0</v>
          </cell>
        </row>
        <row r="410">
          <cell r="B410">
            <v>90704</v>
          </cell>
          <cell r="C410" t="str">
            <v>TUBO DE PVC CORRUGADO DE DUPLA PAREDE PARA REDE COLETORA DE ESGOTO, DN 300 MM, JUNTA ELÁSTICA - FORNECIMENTO E ASSENTAMENTO. AF_01/2021</v>
          </cell>
          <cell r="D410" t="str">
            <v>M</v>
          </cell>
          <cell r="E410">
            <v>313.27</v>
          </cell>
          <cell r="F410">
            <v>0</v>
          </cell>
        </row>
        <row r="411">
          <cell r="B411">
            <v>90705</v>
          </cell>
          <cell r="C411" t="str">
            <v>TUBO DE PVC CORRUGADO DE DUPLA PAREDE PARA REDE COLETORA DE ESGOTO, DN 350 MM, JUNTA ELÁSTICA - FORNECIMENTO E ASSENTAMENTO. AF_01/2021</v>
          </cell>
          <cell r="D411" t="str">
            <v>M</v>
          </cell>
          <cell r="E411">
            <v>411.76</v>
          </cell>
          <cell r="F411">
            <v>0</v>
          </cell>
        </row>
        <row r="412">
          <cell r="B412">
            <v>90706</v>
          </cell>
          <cell r="C412" t="str">
            <v>TUBO DE PVC CORRUGADO DE DUPLA PAREDE PARA REDE COLETORA DE ESGOTO, DN 400 MM, JUNTA ELÁSTICA - FORNECIMENTO E ASSENTAMENTO. AF_01/2021</v>
          </cell>
          <cell r="D412" t="str">
            <v>M</v>
          </cell>
          <cell r="E412">
            <v>544.33000000000004</v>
          </cell>
          <cell r="F412">
            <v>0</v>
          </cell>
        </row>
        <row r="413">
          <cell r="B413">
            <v>90694</v>
          </cell>
          <cell r="C413" t="str">
            <v>TUBO DE PVC PARA REDE COLETORA DE ESGOTO DE PAREDE MACIÇA, DN 100 MM, JUNTA ELÁSTICA - FORNECIMENTO E ASSENTAMENTO. AF_01/2021</v>
          </cell>
          <cell r="D413" t="str">
            <v>M</v>
          </cell>
          <cell r="E413">
            <v>55.63</v>
          </cell>
          <cell r="F413">
            <v>0</v>
          </cell>
        </row>
        <row r="414">
          <cell r="B414">
            <v>90695</v>
          </cell>
          <cell r="C414" t="str">
            <v>TUBO DE PVC PARA REDE COLETORA DE ESGOTO DE PAREDE MACIÇA, DN 150 MM, JUNTA ELÁSTICA - FORNECIMENTO E ASSENTAMENTO. AF_01/2021</v>
          </cell>
          <cell r="D414" t="str">
            <v>M</v>
          </cell>
          <cell r="E414">
            <v>105.26</v>
          </cell>
          <cell r="F414">
            <v>0</v>
          </cell>
        </row>
        <row r="415">
          <cell r="B415">
            <v>90696</v>
          </cell>
          <cell r="C415" t="str">
            <v>TUBO DE PVC PARA REDE COLETORA DE ESGOTO DE PAREDE MACIÇA, DN 200 MM, JUNTA ELÁSTICA - FORNECIMENTO E ASSENTAMENTO. AF_01/2021</v>
          </cell>
          <cell r="D415" t="str">
            <v>M</v>
          </cell>
          <cell r="E415">
            <v>175.5</v>
          </cell>
          <cell r="F415">
            <v>0</v>
          </cell>
        </row>
        <row r="416">
          <cell r="B416">
            <v>90697</v>
          </cell>
          <cell r="C416" t="str">
            <v>TUBO DE PVC PARA REDE COLETORA DE ESGOTO DE PAREDE MACIÇA, DN 250 MM, JUNTA ELÁSTICA - FORNECIMENTO E ASSENTAMENTO. AF_01/2021</v>
          </cell>
          <cell r="D416" t="str">
            <v>M</v>
          </cell>
          <cell r="E416">
            <v>271.95999999999998</v>
          </cell>
          <cell r="F416">
            <v>0</v>
          </cell>
        </row>
        <row r="417">
          <cell r="B417">
            <v>90698</v>
          </cell>
          <cell r="C417" t="str">
            <v>TUBO DE PVC PARA REDE COLETORA DE ESGOTO DE PAREDE MACIÇA, DN 300 MM, JUNTA ELÁSTICA, FORNECIMENTO E ASSENTAMENTO. AF_01/2021</v>
          </cell>
          <cell r="D417" t="str">
            <v>M</v>
          </cell>
          <cell r="E417">
            <v>415.31</v>
          </cell>
          <cell r="F417">
            <v>0</v>
          </cell>
        </row>
        <row r="418">
          <cell r="B418">
            <v>90699</v>
          </cell>
          <cell r="C418" t="str">
            <v>TUBO DE PVC PARA REDE COLETORA DE ESGOTO DE PAREDE MACIÇA, DN 350 MM, JUNTA ELÁSTICA - FORNECIMENTO E ASSENTAMENTO. AF_01/2021</v>
          </cell>
          <cell r="D418" t="str">
            <v>M</v>
          </cell>
          <cell r="E418">
            <v>584.25</v>
          </cell>
          <cell r="F418">
            <v>0</v>
          </cell>
        </row>
        <row r="419">
          <cell r="B419">
            <v>90700</v>
          </cell>
          <cell r="C419" t="str">
            <v>TUBO DE PVC PARA REDE COLETORA DE ESGOTO DE PAREDE MACIÇA, DN 400 MM, JUNTA ELÁSTICA FORNECIMENTO E ASSENTAMENTO. AF_01/2021</v>
          </cell>
          <cell r="D419" t="str">
            <v>M</v>
          </cell>
          <cell r="E419">
            <v>681.32</v>
          </cell>
          <cell r="F419">
            <v>0</v>
          </cell>
        </row>
        <row r="420">
          <cell r="B420">
            <v>105378</v>
          </cell>
          <cell r="C420" t="str">
            <v>ASSENTAMENTO DE CONEXÃO 2 ACESSOS ALINHADOS DE FERRO FUNDIDO PARA REDE DE ÁGUA, DN 100, JUNTA ELÁSTICA, INSTALADO EM LOCAL COM NÍVEL ALTO DE INTERFERÊNCIAS (NÃO INCLUI FORNECIMENTO). AF_05/2024</v>
          </cell>
          <cell r="D420" t="str">
            <v>UN</v>
          </cell>
          <cell r="E420">
            <v>15.06</v>
          </cell>
          <cell r="F420">
            <v>0</v>
          </cell>
        </row>
        <row r="421">
          <cell r="B421">
            <v>105373</v>
          </cell>
          <cell r="C421" t="str">
            <v>ASSENTAMENTO DE CONEXÃO 2 ACESSOS ALINHADOS DE FERRO FUNDIDO PARA REDE DE ÁGUA, DN 100, JUNTA ELÁSTICA, INSTALADO EM LOCAL COM NÍVEL BAIXO DE INTERFERÊNCIAS (NÃO INCLUI FORNECIMENTO). AF_05/2024</v>
          </cell>
          <cell r="D421" t="str">
            <v>UN</v>
          </cell>
          <cell r="E421">
            <v>11.75</v>
          </cell>
          <cell r="F421">
            <v>0</v>
          </cell>
        </row>
        <row r="422">
          <cell r="B422">
            <v>105380</v>
          </cell>
          <cell r="C422" t="str">
            <v>ASSENTAMENTO DE CONEXÃO 2 ACESSOS ALINHADOS DE FERRO FUNDIDO PARA REDE DE ÁGUA, DN 1000, JUNTA ELÁSTICA, INSTALADO EM LOCAL COM NÍVEL ALTO DE INTERFERÊNCIAS (NÃO INCLUI FORNECIMENTO). AF_05/2024</v>
          </cell>
          <cell r="D422" t="str">
            <v>UN</v>
          </cell>
          <cell r="E422">
            <v>121.18</v>
          </cell>
          <cell r="F422">
            <v>0</v>
          </cell>
        </row>
        <row r="423">
          <cell r="B423">
            <v>105267</v>
          </cell>
          <cell r="C423" t="str">
            <v>ASSENTAMENTO DE CONEXÃO 2 ACESSOS ALINHADOS DE FERRO FUNDIDO PARA REDE DE ÁGUA, DN 1000, JUNTA ELÁSTICA, INSTALADO EM LOCAL COM NÍVEL BAIXO DE INTERFERÊNCIAS (NÃO INCLUI FORNECIMENTO). AF_05/2024</v>
          </cell>
          <cell r="D423" t="str">
            <v>UN</v>
          </cell>
          <cell r="E423">
            <v>98.87</v>
          </cell>
          <cell r="F423">
            <v>0</v>
          </cell>
        </row>
        <row r="424">
          <cell r="B424">
            <v>105249</v>
          </cell>
          <cell r="C424" t="str">
            <v>ASSENTAMENTO DE CONEXÃO 2 ACESSOS ALINHADOS DE FERRO FUNDIDO PARA REDE DE ÁGUA, DN 1200, JUNTA ELÁSTICA, INSTALADO EM LOCAL COM NÍVEL ALTO DE INTERFERÊNCIAS (NÃO INCLUI FORNECIMENTO). AF_05/2024</v>
          </cell>
          <cell r="D424" t="str">
            <v>UN</v>
          </cell>
          <cell r="E424">
            <v>147.04</v>
          </cell>
          <cell r="F424">
            <v>0</v>
          </cell>
        </row>
        <row r="425">
          <cell r="B425">
            <v>105268</v>
          </cell>
          <cell r="C425" t="str">
            <v>ASSENTAMENTO DE CONEXÃO 2 ACESSOS ALINHADOS DE FERRO FUNDIDO PARA REDE DE ÁGUA, DN 1200, JUNTA ELÁSTICA, INSTALADO EM LOCAL COM NÍVEL BAIXO DE INTERFERÊNCIAS (NÃO INCLUI FORNECIMENTO). AF_05/2024</v>
          </cell>
          <cell r="D425" t="str">
            <v>UN</v>
          </cell>
          <cell r="E425">
            <v>120.7</v>
          </cell>
          <cell r="F425">
            <v>0</v>
          </cell>
        </row>
        <row r="426">
          <cell r="B426">
            <v>105379</v>
          </cell>
          <cell r="C426" t="str">
            <v>ASSENTAMENTO DE CONEXÃO 2 ACESSOS ALINHADOS DE FERRO FUNDIDO PARA REDE DE ÁGUA, DN 150, JUNTA ELÁSTICA, INSTALADO EM LOCAL COM NÍVEL ALTO DE INTERFERÊNCIAS (NÃO INCLUI FORNECIMENTO). AF_05/2024</v>
          </cell>
          <cell r="D426" t="str">
            <v>UN</v>
          </cell>
          <cell r="E426">
            <v>20.16</v>
          </cell>
          <cell r="F426">
            <v>0</v>
          </cell>
        </row>
        <row r="427">
          <cell r="B427">
            <v>105388</v>
          </cell>
          <cell r="C427" t="str">
            <v>ASSENTAMENTO DE CONEXÃO 2 ACESSOS ALINHADOS DE FERRO FUNDIDO PARA REDE DE ÁGUA, DN 150, JUNTA ELÁSTICA, INSTALADO EM LOCAL COM NÍVEL BAIXO DE INTERFERÊNCIAS (NÃO INCLUI FORNECIMENTO). AF_05/2024</v>
          </cell>
          <cell r="D427" t="str">
            <v>UN</v>
          </cell>
          <cell r="E427">
            <v>16.02</v>
          </cell>
          <cell r="F427">
            <v>0</v>
          </cell>
        </row>
        <row r="428">
          <cell r="B428">
            <v>105392</v>
          </cell>
          <cell r="C428" t="str">
            <v>ASSENTAMENTO DE CONEXÃO 2 ACESSOS ALINHADOS DE FERRO FUNDIDO PARA REDE DE ÁGUA, DN 200, JUNTA ELÁSTICA, INSTALADO EM LOCAL COM NÍVEL ALTO DE INTERFERÊNCIAS (NÃO INCLUI FORNECIMENTO). AF_05/2024</v>
          </cell>
          <cell r="D428" t="str">
            <v>UN</v>
          </cell>
          <cell r="E428">
            <v>25.29</v>
          </cell>
          <cell r="F428">
            <v>0</v>
          </cell>
        </row>
        <row r="429">
          <cell r="B429">
            <v>105389</v>
          </cell>
          <cell r="C429" t="str">
            <v>ASSENTAMENTO DE CONEXÃO 2 ACESSOS ALINHADOS DE FERRO FUNDIDO PARA REDE DE ÁGUA, DN 200, JUNTA ELÁSTICA, INSTALADO EM LOCAL COM NÍVEL BAIXO DE INTERFERÊNCIAS (NÃO INCLUI FORNECIMENTO). AF_05/2024</v>
          </cell>
          <cell r="D429" t="str">
            <v>UN</v>
          </cell>
          <cell r="E429">
            <v>20.309999999999999</v>
          </cell>
          <cell r="F429">
            <v>0</v>
          </cell>
        </row>
        <row r="430">
          <cell r="B430">
            <v>105393</v>
          </cell>
          <cell r="C430" t="str">
            <v>ASSENTAMENTO DE CONEXÃO 2 ACESSOS ALINHADOS DE FERRO FUNDIDO PARA REDE DE ÁGUA, DN 250, JUNTA ELÁSTICA, INSTALADO EM LOCAL COM NÍVEL ALTO DE INTERFERÊNCIAS (NÃO INCLUI FORNECIMENTO). AF_05/2024</v>
          </cell>
          <cell r="D430" t="str">
            <v>UN</v>
          </cell>
          <cell r="E430">
            <v>30.56</v>
          </cell>
          <cell r="F430">
            <v>0</v>
          </cell>
        </row>
        <row r="431">
          <cell r="B431">
            <v>105316</v>
          </cell>
          <cell r="C431" t="str">
            <v>ASSENTAMENTO DE CONEXÃO 2 ACESSOS ALINHADOS DE FERRO FUNDIDO PARA REDE DE ÁGUA, DN 250, JUNTA ELÁSTICA, INSTALADO EM LOCAL COM NÍVEL BAIXO DE INTERFERÊNCIAS (NÃO INCLUI FORNECIMENTO). AF_05/2024</v>
          </cell>
          <cell r="D431" t="str">
            <v>UN</v>
          </cell>
          <cell r="E431">
            <v>24.75</v>
          </cell>
          <cell r="F431">
            <v>0</v>
          </cell>
        </row>
        <row r="432">
          <cell r="B432">
            <v>105394</v>
          </cell>
          <cell r="C432" t="str">
            <v>ASSENTAMENTO DE CONEXÃO 2 ACESSOS ALINHADOS DE FERRO FUNDIDO PARA REDE DE ÁGUA, DN 300, JUNTA ELÁSTICA, INSTALADO EM LOCAL COM NÍVEL ALTO DE INTERFERÊNCIAS (NÃO INCLUI FORNECIMENTO). AF_05/2024</v>
          </cell>
          <cell r="D432" t="str">
            <v>UN</v>
          </cell>
          <cell r="E432">
            <v>35.79</v>
          </cell>
          <cell r="F432">
            <v>0</v>
          </cell>
        </row>
        <row r="433">
          <cell r="B433">
            <v>105317</v>
          </cell>
          <cell r="C433" t="str">
            <v>ASSENTAMENTO DE CONEXÃO 2 ACESSOS ALINHADOS DE FERRO FUNDIDO PARA REDE DE ÁGUA, DN 300, JUNTA ELÁSTICA, INSTALADO EM LOCAL COM NÍVEL BAIXO DE INTERFERÊNCIAS (NÃO INCLUI FORNECIMENTO). AF_05/2024</v>
          </cell>
          <cell r="D433" t="str">
            <v>UN</v>
          </cell>
          <cell r="E433">
            <v>29.15</v>
          </cell>
          <cell r="F433">
            <v>0</v>
          </cell>
        </row>
        <row r="434">
          <cell r="B434">
            <v>105395</v>
          </cell>
          <cell r="C434" t="str">
            <v>ASSENTAMENTO DE CONEXÃO 2 ACESSOS ALINHADOS DE FERRO FUNDIDO PARA REDE DE ÁGUA, DN 350, JUNTA ELÁSTICA, INSTALADO EM LOCAL COM NÍVEL ALTO DE INTERFERÊNCIAS (NÃO INCLUI FORNECIMENTO). AF_05/2024</v>
          </cell>
          <cell r="D434" t="str">
            <v>UN</v>
          </cell>
          <cell r="E434">
            <v>41.04</v>
          </cell>
          <cell r="F434">
            <v>0</v>
          </cell>
        </row>
        <row r="435">
          <cell r="B435">
            <v>105318</v>
          </cell>
          <cell r="C435" t="str">
            <v>ASSENTAMENTO DE CONEXÃO 2 ACESSOS ALINHADOS DE FERRO FUNDIDO PARA REDE DE ÁGUA, DN 350, JUNTA ELÁSTICA, INSTALADO EM LOCAL COM NÍVEL BAIXO DE INTERFERÊNCIAS (NÃO INCLUI FORNECIMENTO). AF_05/2024</v>
          </cell>
          <cell r="D435" t="str">
            <v>UN</v>
          </cell>
          <cell r="E435">
            <v>33.56</v>
          </cell>
          <cell r="F435">
            <v>0</v>
          </cell>
        </row>
        <row r="436">
          <cell r="B436">
            <v>105396</v>
          </cell>
          <cell r="C436" t="str">
            <v>ASSENTAMENTO DE CONEXÃO 2 ACESSOS ALINHADOS DE FERRO FUNDIDO PARA REDE DE ÁGUA, DN 400, JUNTA ELÁSTICA, INSTALADO EM LOCAL COM NÍVEL ALTO DE INTERFERÊNCIAS (NÃO INCLUI FORNECIMENTO). AF_05/2024</v>
          </cell>
          <cell r="D436" t="str">
            <v>UN</v>
          </cell>
          <cell r="E436">
            <v>46.28</v>
          </cell>
          <cell r="F436">
            <v>0</v>
          </cell>
        </row>
        <row r="437">
          <cell r="B437">
            <v>105258</v>
          </cell>
          <cell r="C437" t="str">
            <v>ASSENTAMENTO DE CONEXÃO 2 ACESSOS ALINHADOS DE FERRO FUNDIDO PARA REDE DE ÁGUA, DN 400, JUNTA ELÁSTICA, INSTALADO EM LOCAL COM NÍVEL BAIXO DE INTERFERÊNCIAS (NÃO INCLUI FORNECIMENTO). AF_05/2024</v>
          </cell>
          <cell r="D437" t="str">
            <v>UN</v>
          </cell>
          <cell r="E437">
            <v>37.979999999999997</v>
          </cell>
          <cell r="F437">
            <v>0</v>
          </cell>
        </row>
        <row r="438">
          <cell r="B438">
            <v>105397</v>
          </cell>
          <cell r="C438" t="str">
            <v>ASSENTAMENTO DE CONEXÃO 2 ACESSOS ALINHADOS DE FERRO FUNDIDO PARA REDE DE ÁGUA, DN 450, JUNTA ELÁSTICA, INSTALADO EM LOCAL COM NÍVEL ALTO DE INTERFERÊNCIAS (NÃO INCLUI FORNECIMENTO). AF_05/2024</v>
          </cell>
          <cell r="D438" t="str">
            <v>UN</v>
          </cell>
          <cell r="E438">
            <v>51.65</v>
          </cell>
          <cell r="F438">
            <v>0</v>
          </cell>
        </row>
        <row r="439">
          <cell r="B439">
            <v>105261</v>
          </cell>
          <cell r="C439" t="str">
            <v>ASSENTAMENTO DE CONEXÃO 2 ACESSOS ALINHADOS DE FERRO FUNDIDO PARA REDE DE ÁGUA, DN 450, JUNTA ELÁSTICA, INSTALADO EM LOCAL COM NÍVEL BAIXO DE INTERFERÊNCIAS (NÃO INCLUI FORNECIMENTO). AF_05/2024</v>
          </cell>
          <cell r="D439" t="str">
            <v>UN</v>
          </cell>
          <cell r="E439">
            <v>42.49</v>
          </cell>
          <cell r="F439">
            <v>0</v>
          </cell>
        </row>
        <row r="440">
          <cell r="B440">
            <v>105398</v>
          </cell>
          <cell r="C440" t="str">
            <v>ASSENTAMENTO DE CONEXÃO 2 ACESSOS ALINHADOS DE FERRO FUNDIDO PARA REDE DE ÁGUA, DN 500, JUNTA ELÁSTICA, INSTALADO EM LOCAL COM NÍVEL ALTO DE INTERFERÊNCIAS (NÃO INCLUI FORNECIMENTO). AF_05/2024</v>
          </cell>
          <cell r="D440" t="str">
            <v>UN</v>
          </cell>
          <cell r="E440">
            <v>63.89</v>
          </cell>
          <cell r="F440">
            <v>0</v>
          </cell>
        </row>
        <row r="441">
          <cell r="B441">
            <v>105262</v>
          </cell>
          <cell r="C441" t="str">
            <v>ASSENTAMENTO DE CONEXÃO 2 ACESSOS ALINHADOS DE FERRO FUNDIDO PARA REDE DE ÁGUA, DN 500, JUNTA ELÁSTICA, INSTALADO EM LOCAL COM NÍVEL BAIXO DE INTERFERÊNCIAS (NÃO INCLUI FORNECIMENTO). AF_05/2024</v>
          </cell>
          <cell r="D441" t="str">
            <v>UN</v>
          </cell>
          <cell r="E441">
            <v>51.64</v>
          </cell>
          <cell r="F441">
            <v>0</v>
          </cell>
        </row>
        <row r="442">
          <cell r="B442">
            <v>105399</v>
          </cell>
          <cell r="C442" t="str">
            <v>ASSENTAMENTO DE CONEXÃO 2 ACESSOS ALINHADOS DE FERRO FUNDIDO PARA REDE DE ÁGUA, DN 600, JUNTA ELÁSTICA, INSTALADO EM LOCAL COM NÍVEL ALTO DE INTERFERÊNCIAS (NÃO INCLUI FORNECIMENTO). AF_05/2024</v>
          </cell>
          <cell r="D442" t="str">
            <v>UN</v>
          </cell>
          <cell r="E442">
            <v>75.64</v>
          </cell>
          <cell r="F442">
            <v>0</v>
          </cell>
        </row>
        <row r="443">
          <cell r="B443">
            <v>105263</v>
          </cell>
          <cell r="C443" t="str">
            <v>ASSENTAMENTO DE CONEXÃO 2 ACESSOS ALINHADOS DE FERRO FUNDIDO PARA REDE DE ÁGUA, DN 600, JUNTA ELÁSTICA, INSTALADO EM LOCAL COM NÍVEL BAIXO DE INTERFERÊNCIAS (NÃO INCLUI FORNECIMENTO). AF_05/2024</v>
          </cell>
          <cell r="D443" t="str">
            <v>UN</v>
          </cell>
          <cell r="E443">
            <v>61.38</v>
          </cell>
          <cell r="F443">
            <v>0</v>
          </cell>
        </row>
        <row r="444">
          <cell r="B444">
            <v>105400</v>
          </cell>
          <cell r="C444" t="str">
            <v>ASSENTAMENTO DE CONEXÃO 2 ACESSOS ALINHADOS DE FERRO FUNDIDO PARA REDE DE ÁGUA, DN 700, JUNTA ELÁSTICA, INSTALADO EM LOCAL COM NÍVEL ALTO DE INTERFERÊNCIAS (NÃO INCLUI FORNECIMENTO). AF_05/2024</v>
          </cell>
          <cell r="D444" t="str">
            <v>UN</v>
          </cell>
          <cell r="E444">
            <v>86.71</v>
          </cell>
          <cell r="F444">
            <v>0</v>
          </cell>
        </row>
        <row r="445">
          <cell r="B445">
            <v>105264</v>
          </cell>
          <cell r="C445" t="str">
            <v>ASSENTAMENTO DE CONEXÃO 2 ACESSOS ALINHADOS DE FERRO FUNDIDO PARA REDE DE ÁGUA, DN 700, JUNTA ELÁSTICA, INSTALADO EM LOCAL COM NÍVEL BAIXO DE INTERFERÊNCIAS (NÃO INCLUI FORNECIMENTO). AF_05/2024</v>
          </cell>
          <cell r="D445" t="str">
            <v>UN</v>
          </cell>
          <cell r="E445">
            <v>70.430000000000007</v>
          </cell>
          <cell r="F445">
            <v>0</v>
          </cell>
        </row>
        <row r="446">
          <cell r="B446">
            <v>105297</v>
          </cell>
          <cell r="C446" t="str">
            <v>ASSENTAMENTO DE CONEXÃO 2 ACESSOS ALINHADOS DE FERRO FUNDIDO PARA REDE DE ÁGUA, DN 80, JUNTA ELÁSTICA, INSTALADO EM LOCAL COM NÍVEL ALTO DE INTERFERÊNCIAS (NÃO INCLUI FORNECIMENTO). AF_05/2024</v>
          </cell>
          <cell r="D446" t="str">
            <v>UN</v>
          </cell>
          <cell r="E446">
            <v>12.98</v>
          </cell>
          <cell r="F446">
            <v>0</v>
          </cell>
        </row>
        <row r="447">
          <cell r="B447">
            <v>105372</v>
          </cell>
          <cell r="C447" t="str">
            <v>ASSENTAMENTO DE CONEXÃO 2 ACESSOS ALINHADOS DE FERRO FUNDIDO PARA REDE DE ÁGUA, DN 80, JUNTA ELÁSTICA, INSTALADO EM LOCAL COM NÍVEL BAIXO DE INTERFERÊNCIAS (NÃO INCLUI FORNECIMENTO). AF_05/2024</v>
          </cell>
          <cell r="D447" t="str">
            <v>UN</v>
          </cell>
          <cell r="E447">
            <v>10</v>
          </cell>
          <cell r="F447">
            <v>0</v>
          </cell>
        </row>
        <row r="448">
          <cell r="B448">
            <v>105401</v>
          </cell>
          <cell r="C448" t="str">
            <v>ASSENTAMENTO DE CONEXÃO 2 ACESSOS ALINHADOS DE FERRO FUNDIDO PARA REDE DE ÁGUA, DN 800, JUNTA ELÁSTICA, INSTALADO EM LOCAL COM NÍVEL ALTO DE INTERFERÊNCIAS (NÃO INCLUI FORNECIMENTO). AF_05/2024</v>
          </cell>
          <cell r="D448" t="str">
            <v>UN</v>
          </cell>
          <cell r="E448">
            <v>98.05</v>
          </cell>
          <cell r="F448">
            <v>0</v>
          </cell>
        </row>
        <row r="449">
          <cell r="B449">
            <v>105265</v>
          </cell>
          <cell r="C449" t="str">
            <v>ASSENTAMENTO DE CONEXÃO 2 ACESSOS ALINHADOS DE FERRO FUNDIDO PARA REDE DE ÁGUA, DN 800, JUNTA ELÁSTICA, INSTALADO EM LOCAL COM NÍVEL BAIXO DE INTERFERÊNCIAS (NÃO INCLUI FORNECIMENTO). AF_05/2024</v>
          </cell>
          <cell r="D449" t="str">
            <v>UN</v>
          </cell>
          <cell r="E449">
            <v>79.75</v>
          </cell>
          <cell r="F449">
            <v>0</v>
          </cell>
        </row>
        <row r="450">
          <cell r="B450">
            <v>105402</v>
          </cell>
          <cell r="C450" t="str">
            <v>ASSENTAMENTO DE CONEXÃO 2 ACESSOS ALINHADOS DE FERRO FUNDIDO PARA REDE DE ÁGUA, DN 900, JUNTA ELÁSTICA, INSTALADO EM LOCAL COM NÍVEL ALTO DE INTERFERÊNCIAS (NÃO INCLUI FORNECIMENTO). AF_05/2024</v>
          </cell>
          <cell r="D450" t="str">
            <v>UN</v>
          </cell>
          <cell r="E450">
            <v>109.57</v>
          </cell>
          <cell r="F450">
            <v>0</v>
          </cell>
        </row>
        <row r="451">
          <cell r="B451">
            <v>105266</v>
          </cell>
          <cell r="C451" t="str">
            <v>ASSENTAMENTO DE CONEXÃO 2 ACESSOS ALINHADOS DE FERRO FUNDIDO PARA REDE DE ÁGUA, DN 900, JUNTA ELÁSTICA, INSTALADO EM LOCAL COM NÍVEL BAIXO DE INTERFERÊNCIAS (NÃO INCLUI FORNECIMENTO). AF_05/2024</v>
          </cell>
          <cell r="D451" t="str">
            <v>UN</v>
          </cell>
          <cell r="E451">
            <v>89.27</v>
          </cell>
          <cell r="F451">
            <v>0</v>
          </cell>
        </row>
        <row r="452">
          <cell r="B452">
            <v>105361</v>
          </cell>
          <cell r="C452" t="str">
            <v>ASSENTAMENTO DE CONEXÃO 2 ACESSOS ALINHADOS DE PVC PBA PARA REDE DE ÁGUA, DN 100, JUNTA ELÁSTICA INTEGRADA, INSTALADO EM LOCAL COM NÍVEL ALTO DE INTERFERÊNCIAS (NÃO INCLUI FORNECIMENTO). AF_05/2024</v>
          </cell>
          <cell r="D452" t="str">
            <v>UN</v>
          </cell>
          <cell r="E452">
            <v>23.69</v>
          </cell>
          <cell r="F452">
            <v>0</v>
          </cell>
        </row>
        <row r="453">
          <cell r="B453">
            <v>105382</v>
          </cell>
          <cell r="C453" t="str">
            <v>ASSENTAMENTO DE CONEXÃO 2 ACESSOS ALINHADOS DE PVC PBA PARA REDE DE ÁGUA, DN 100, JUNTA ELÁSTICA INTEGRADA, INSTALADO EM LOCAL COM NÍVEL BAIXO DE INTERFERÊNCIAS (NÃO INCLUI FORNECIMENTO). AF_05/2024</v>
          </cell>
          <cell r="D453" t="str">
            <v>UN</v>
          </cell>
          <cell r="E453">
            <v>19.48</v>
          </cell>
          <cell r="F453">
            <v>0</v>
          </cell>
        </row>
        <row r="454">
          <cell r="B454">
            <v>105359</v>
          </cell>
          <cell r="C454" t="str">
            <v>ASSENTAMENTO DE CONEXÃO 2 ACESSOS ALINHADOS DE PVC PBA PARA REDE DE ÁGUA, DN 50, JUNTA ELÁSTICA INTEGRADA, INSTALADO EM LOCAL COM NÍVEL ALTO DE INTERFERÊNCIAS (NÃO INCLUI FORNECIMENTO). AF_05/2024</v>
          </cell>
          <cell r="D454" t="str">
            <v>UN</v>
          </cell>
          <cell r="E454">
            <v>16.97</v>
          </cell>
          <cell r="F454">
            <v>0</v>
          </cell>
        </row>
        <row r="455">
          <cell r="B455">
            <v>105315</v>
          </cell>
          <cell r="C455" t="str">
            <v>ASSENTAMENTO DE CONEXÃO 2 ACESSOS ALINHADOS DE PVC PBA PARA REDE DE ÁGUA, DN 50, JUNTA ELÁSTICA INTEGRADA, INSTALADO EM LOCAL COM NÍVEL BAIXO DE INTERFERÊNCIAS (NÃO INCLUI FORNECIMENTO). AF_05/2024</v>
          </cell>
          <cell r="D455" t="str">
            <v>UN</v>
          </cell>
          <cell r="E455">
            <v>13.88</v>
          </cell>
          <cell r="F455">
            <v>0</v>
          </cell>
        </row>
        <row r="456">
          <cell r="B456">
            <v>105360</v>
          </cell>
          <cell r="C456" t="str">
            <v>ASSENTAMENTO DE CONEXÃO 2 ACESSOS ALINHADOS DE PVC PBA PARA REDE DE ÁGUA, DN 75, JUNTA ELÁSTICA INTEGRADA, INSTALADO EM LOCAL COM NÍVEL ALTO DE INTERFERÊNCIAS (NÃO INCLUI FORNECIMENTO). AF_05/2024</v>
          </cell>
          <cell r="D456" t="str">
            <v>UN</v>
          </cell>
          <cell r="E456">
            <v>20.399999999999999</v>
          </cell>
          <cell r="F456">
            <v>0</v>
          </cell>
        </row>
        <row r="457">
          <cell r="B457">
            <v>105381</v>
          </cell>
          <cell r="C457" t="str">
            <v>ASSENTAMENTO DE CONEXÃO 2 ACESSOS ALINHADOS DE PVC PBA PARA REDE DE ÁGUA, DN 75, JUNTA ELÁSTICA INTEGRADA, INSTALADO EM LOCAL COM NÍVEL BAIXO DE INTERFERÊNCIAS (NÃO INCLUI FORNECIMENTO). AF_05/2024</v>
          </cell>
          <cell r="D457" t="str">
            <v>UN</v>
          </cell>
          <cell r="E457">
            <v>16.75</v>
          </cell>
          <cell r="F457">
            <v>0</v>
          </cell>
        </row>
        <row r="458">
          <cell r="B458">
            <v>105251</v>
          </cell>
          <cell r="C458" t="str">
            <v>ASSENTAMENTO DE CONEXÃO 2 ACESSOS INCLINADOS DE FERRO FUNDIDO PARA REDE DE ÁGUA, DN 100, JUNTA ELÁSTICA, INSTALADO EM LOCAL COM NÍVEL ALTO DE INTERFERÊNCIAS (NÃO INCLUI FORNECIMENTO). AF_05/2024</v>
          </cell>
          <cell r="D458" t="str">
            <v>UN</v>
          </cell>
          <cell r="E458">
            <v>22.18</v>
          </cell>
          <cell r="F458">
            <v>0</v>
          </cell>
        </row>
        <row r="459">
          <cell r="B459">
            <v>105282</v>
          </cell>
          <cell r="C459" t="str">
            <v>ASSENTAMENTO DE CONEXÃO 2 ACESSOS INCLINADOS DE FERRO FUNDIDO PARA REDE DE ÁGUA, DN 100, JUNTA ELÁSTICA, INSTALADO EM LOCAL COM NÍVEL BAIXO DE INTERFERÊNCIAS (NÃO INCLUI FORNECIMENTO). AF_05/2024</v>
          </cell>
          <cell r="D459" t="str">
            <v>UN</v>
          </cell>
          <cell r="E459">
            <v>17.239999999999998</v>
          </cell>
          <cell r="F459">
            <v>0</v>
          </cell>
        </row>
        <row r="460">
          <cell r="B460">
            <v>105276</v>
          </cell>
          <cell r="C460" t="str">
            <v>ASSENTAMENTO DE CONEXÃO 2 ACESSOS INCLINADOS DE FERRO FUNDIDO PARA REDE DE ÁGUA, DN 1000, JUNTA ELÁSTICA, INSTALADO EM LOCAL COM NÍVEL ALTO DE INTERFERÊNCIAS (NÃO INCLUI FORNECIMENTO). AF_05/2024</v>
          </cell>
          <cell r="D460" t="str">
            <v>UN</v>
          </cell>
          <cell r="E460">
            <v>178.23</v>
          </cell>
          <cell r="F460">
            <v>0</v>
          </cell>
        </row>
        <row r="461">
          <cell r="B461">
            <v>105341</v>
          </cell>
          <cell r="C461" t="str">
            <v>ASSENTAMENTO DE CONEXÃO 2 ACESSOS INCLINADOS DE FERRO FUNDIDO PARA REDE DE ÁGUA, DN 1000, JUNTA ELÁSTICA, INSTALADO EM LOCAL COM NÍVEL BAIXO DE INTERFERÊNCIAS (NÃO INCLUI FORNECIMENTO). AF_05/2024</v>
          </cell>
          <cell r="D461" t="str">
            <v>UN</v>
          </cell>
          <cell r="E461">
            <v>144.77000000000001</v>
          </cell>
          <cell r="F461">
            <v>0</v>
          </cell>
        </row>
        <row r="462">
          <cell r="B462">
            <v>105277</v>
          </cell>
          <cell r="C462" t="str">
            <v>ASSENTAMENTO DE CONEXÃO 2 ACESSOS INCLINADOS DE FERRO FUNDIDO PARA REDE DE ÁGUA, DN 1200, JUNTA ELÁSTICA, INSTALADO EM LOCAL COM NÍVEL ALTO DE INTERFERÊNCIAS (NÃO INCLUI FORNECIMENTO). AF_05/2024</v>
          </cell>
          <cell r="D462" t="str">
            <v>UN</v>
          </cell>
          <cell r="E462">
            <v>214.87</v>
          </cell>
          <cell r="F462">
            <v>0</v>
          </cell>
        </row>
        <row r="463">
          <cell r="B463">
            <v>105342</v>
          </cell>
          <cell r="C463" t="str">
            <v>ASSENTAMENTO DE CONEXÃO 2 ACESSOS INCLINADOS DE FERRO FUNDIDO PARA REDE DE ÁGUA, DN 1200, JUNTA ELÁSTICA, INSTALADO EM LOCAL COM NÍVEL BAIXO DE INTERFERÊNCIAS (NÃO INCLUI FORNECIMENTO). AF_05/2024</v>
          </cell>
          <cell r="D463" t="str">
            <v>UN</v>
          </cell>
          <cell r="E463">
            <v>175.36</v>
          </cell>
          <cell r="F463">
            <v>0</v>
          </cell>
        </row>
        <row r="464">
          <cell r="B464">
            <v>105252</v>
          </cell>
          <cell r="C464" t="str">
            <v>ASSENTAMENTO DE CONEXÃO 2 ACESSOS INCLINADOS DE FERRO FUNDIDO PARA REDE DE ÁGUA, DN 150, JUNTA ELÁSTICA, INSTALADO EM LOCAL COM NÍVEL ALTO DE INTERFERÊNCIAS (NÃO INCLUI FORNECIMENTO). AF_05/2024</v>
          </cell>
          <cell r="D464" t="str">
            <v>UN</v>
          </cell>
          <cell r="E464">
            <v>29.73</v>
          </cell>
          <cell r="F464">
            <v>0</v>
          </cell>
        </row>
        <row r="465">
          <cell r="B465">
            <v>105298</v>
          </cell>
          <cell r="C465" t="str">
            <v>ASSENTAMENTO DE CONEXÃO 2 ACESSOS INCLINADOS DE FERRO FUNDIDO PARA REDE DE ÁGUA, DN 150, JUNTA ELÁSTICA, INSTALADO EM LOCAL COM NÍVEL BAIXO DE INTERFERÊNCIAS (NÃO INCLUI FORNECIMENTO). AF_05/2024</v>
          </cell>
          <cell r="D465" t="str">
            <v>UN</v>
          </cell>
          <cell r="E465">
            <v>23.52</v>
          </cell>
          <cell r="F465">
            <v>0</v>
          </cell>
        </row>
        <row r="466">
          <cell r="B466">
            <v>105253</v>
          </cell>
          <cell r="C466" t="str">
            <v>ASSENTAMENTO DE CONEXÃO 2 ACESSOS INCLINADOS DE FERRO FUNDIDO PARA REDE DE ÁGUA, DN 200, JUNTA ELÁSTICA, INSTALADO EM LOCAL COM NÍVEL ALTO DE INTERFERÊNCIAS (NÃO INCLUI FORNECIMENTO). AF_05/2024</v>
          </cell>
          <cell r="D466" t="str">
            <v>UN</v>
          </cell>
          <cell r="E466">
            <v>37.29</v>
          </cell>
          <cell r="F466">
            <v>0</v>
          </cell>
        </row>
        <row r="467">
          <cell r="B467">
            <v>105299</v>
          </cell>
          <cell r="C467" t="str">
            <v>ASSENTAMENTO DE CONEXÃO 2 ACESSOS INCLINADOS DE FERRO FUNDIDO PARA REDE DE ÁGUA, DN 200, JUNTA ELÁSTICA, INSTALADO EM LOCAL COM NÍVEL BAIXO DE INTERFERÊNCIAS (NÃO INCLUI FORNECIMENTO). AF_05/2024</v>
          </cell>
          <cell r="D467" t="str">
            <v>UN</v>
          </cell>
          <cell r="E467">
            <v>29.83</v>
          </cell>
          <cell r="F467">
            <v>0</v>
          </cell>
        </row>
        <row r="468">
          <cell r="B468">
            <v>105254</v>
          </cell>
          <cell r="C468" t="str">
            <v>ASSENTAMENTO DE CONEXÃO 2 ACESSOS INCLINADOS DE FERRO FUNDIDO PARA REDE DE ÁGUA, DN 250, JUNTA ELÁSTICA, INSTALADO EM LOCAL COM NÍVEL ALTO DE INTERFERÊNCIAS (NÃO INCLUI FORNECIMENTO). AF_05/2024</v>
          </cell>
          <cell r="D468" t="str">
            <v>UN</v>
          </cell>
          <cell r="E468">
            <v>44.98</v>
          </cell>
          <cell r="F468">
            <v>0</v>
          </cell>
        </row>
        <row r="469">
          <cell r="B469">
            <v>105300</v>
          </cell>
          <cell r="C469" t="str">
            <v>ASSENTAMENTO DE CONEXÃO 2 ACESSOS INCLINADOS DE FERRO FUNDIDO PARA REDE DE ÁGUA, DN 250, JUNTA ELÁSTICA, INSTALADO EM LOCAL COM NÍVEL BAIXO DE INTERFERÊNCIAS (NÃO INCLUI FORNECIMENTO). AF_05/2024</v>
          </cell>
          <cell r="D469" t="str">
            <v>UN</v>
          </cell>
          <cell r="E469">
            <v>36.26</v>
          </cell>
          <cell r="F469">
            <v>0</v>
          </cell>
        </row>
        <row r="470">
          <cell r="B470">
            <v>105255</v>
          </cell>
          <cell r="C470" t="str">
            <v>ASSENTAMENTO DE CONEXÃO 2 ACESSOS INCLINADOS DE FERRO FUNDIDO PARA REDE DE ÁGUA, DN 300, JUNTA ELÁSTICA, INSTALADO EM LOCAL COM NÍVEL ALTO DE INTERFERÊNCIAS (NÃO INCLUI FORNECIMENTO). AF_05/2024</v>
          </cell>
          <cell r="D470" t="str">
            <v>UN</v>
          </cell>
          <cell r="E470">
            <v>52.66</v>
          </cell>
          <cell r="F470">
            <v>0</v>
          </cell>
        </row>
        <row r="471">
          <cell r="B471">
            <v>105301</v>
          </cell>
          <cell r="C471" t="str">
            <v>ASSENTAMENTO DE CONEXÃO 2 ACESSOS INCLINADOS DE FERRO FUNDIDO PARA REDE DE ÁGUA, DN 300, JUNTA ELÁSTICA, INSTALADO EM LOCAL COM NÍVEL BAIXO DE INTERFERÊNCIAS (NÃO INCLUI FORNECIMENTO). AF_05/2024</v>
          </cell>
          <cell r="D471" t="str">
            <v>UN</v>
          </cell>
          <cell r="E471">
            <v>42.7</v>
          </cell>
          <cell r="F471">
            <v>0</v>
          </cell>
        </row>
        <row r="472">
          <cell r="B472">
            <v>105256</v>
          </cell>
          <cell r="C472" t="str">
            <v>ASSENTAMENTO DE CONEXÃO 2 ACESSOS INCLINADOS DE FERRO FUNDIDO PARA REDE DE ÁGUA, DN 350, JUNTA ELÁSTICA, INSTALADO EM LOCAL COM NÍVEL ALTO DE INTERFERÊNCIAS (NÃO INCLUI FORNECIMENTO). AF_05/2024</v>
          </cell>
          <cell r="D472" t="str">
            <v>UN</v>
          </cell>
          <cell r="E472">
            <v>60.34</v>
          </cell>
          <cell r="F472">
            <v>0</v>
          </cell>
        </row>
        <row r="473">
          <cell r="B473">
            <v>105302</v>
          </cell>
          <cell r="C473" t="str">
            <v>ASSENTAMENTO DE CONEXÃO 2 ACESSOS INCLINADOS DE FERRO FUNDIDO PARA REDE DE ÁGUA, DN 350, JUNTA ELÁSTICA, INSTALADO EM LOCAL COM NÍVEL BAIXO DE INTERFERÊNCIAS (NÃO INCLUI FORNECIMENTO). AF_05/2024</v>
          </cell>
          <cell r="D473" t="str">
            <v>UN</v>
          </cell>
          <cell r="E473">
            <v>49.13</v>
          </cell>
          <cell r="F473">
            <v>0</v>
          </cell>
        </row>
        <row r="474">
          <cell r="B474">
            <v>105257</v>
          </cell>
          <cell r="C474" t="str">
            <v>ASSENTAMENTO DE CONEXÃO 2 ACESSOS INCLINADOS DE FERRO FUNDIDO PARA REDE DE ÁGUA, DN 400, JUNTA ELÁSTICA, INSTALADO EM LOCAL COM NÍVEL ALTO DE INTERFERÊNCIAS (NÃO INCLUI FORNECIMENTO). AF_05/2024</v>
          </cell>
          <cell r="D474" t="str">
            <v>UN</v>
          </cell>
          <cell r="E474">
            <v>68.010000000000005</v>
          </cell>
          <cell r="F474">
            <v>0</v>
          </cell>
        </row>
        <row r="475">
          <cell r="B475">
            <v>105303</v>
          </cell>
          <cell r="C475" t="str">
            <v>ASSENTAMENTO DE CONEXÃO 2 ACESSOS INCLINADOS DE FERRO FUNDIDO PARA REDE DE ÁGUA, DN 400, JUNTA ELÁSTICA, INSTALADO EM LOCAL COM NÍVEL BAIXO DE INTERFERÊNCIAS (NÃO INCLUI FORNECIMENTO). AF_05/2024</v>
          </cell>
          <cell r="D475" t="str">
            <v>UN</v>
          </cell>
          <cell r="E475">
            <v>55.54</v>
          </cell>
          <cell r="F475">
            <v>0</v>
          </cell>
        </row>
        <row r="476">
          <cell r="B476">
            <v>105270</v>
          </cell>
          <cell r="C476" t="str">
            <v>ASSENTAMENTO DE CONEXÃO 2 ACESSOS INCLINADOS DE FERRO FUNDIDO PARA REDE DE ÁGUA, DN 450, JUNTA ELÁSTICA, INSTALADO EM LOCAL COM NÍVEL ALTO DE INTERFERÊNCIAS (NÃO INCLUI FORNECIMENTO). AF_05/2024</v>
          </cell>
          <cell r="D476" t="str">
            <v>UN</v>
          </cell>
          <cell r="E476">
            <v>75.819999999999993</v>
          </cell>
          <cell r="F476">
            <v>0</v>
          </cell>
        </row>
        <row r="477">
          <cell r="B477">
            <v>105304</v>
          </cell>
          <cell r="C477" t="str">
            <v>ASSENTAMENTO DE CONEXÃO 2 ACESSOS INCLINADOS DE FERRO FUNDIDO PARA REDE DE ÁGUA, DN 450, JUNTA ELÁSTICA, INSTALADO EM LOCAL COM NÍVEL BAIXO DE INTERFERÊNCIAS (NÃO INCLUI FORNECIMENTO). AF_05/2024</v>
          </cell>
          <cell r="D477" t="str">
            <v>UN</v>
          </cell>
          <cell r="E477">
            <v>62.11</v>
          </cell>
          <cell r="F477">
            <v>0</v>
          </cell>
        </row>
        <row r="478">
          <cell r="B478">
            <v>105271</v>
          </cell>
          <cell r="C478" t="str">
            <v>ASSENTAMENTO DE CONEXÃO 2 ACESSOS INCLINADOS DE FERRO FUNDIDO PARA REDE DE ÁGUA, DN 500, JUNTA ELÁSTICA, INSTALADO EM LOCAL COM NÍVEL ALTO DE INTERFERÊNCIAS (NÃO INCLUI FORNECIMENTO). AF_05/2024</v>
          </cell>
          <cell r="D478" t="str">
            <v>UN</v>
          </cell>
          <cell r="E478">
            <v>93.97</v>
          </cell>
          <cell r="F478">
            <v>0</v>
          </cell>
        </row>
        <row r="479">
          <cell r="B479">
            <v>105305</v>
          </cell>
          <cell r="C479" t="str">
            <v>ASSENTAMENTO DE CONEXÃO 2 ACESSOS INCLINADOS DE FERRO FUNDIDO PARA REDE DE ÁGUA, DN 500, JUNTA ELÁSTICA, INSTALADO EM LOCAL COM NÍVEL BAIXO DE INTERFERÊNCIAS (NÃO INCLUI FORNECIMENTO). AF_05/2024</v>
          </cell>
          <cell r="D479" t="str">
            <v>UN</v>
          </cell>
          <cell r="E479">
            <v>75.61</v>
          </cell>
          <cell r="F479">
            <v>0</v>
          </cell>
        </row>
        <row r="480">
          <cell r="B480">
            <v>105272</v>
          </cell>
          <cell r="C480" t="str">
            <v>ASSENTAMENTO DE CONEXÃO 2 ACESSOS INCLINADOS DE FERRO FUNDIDO PARA REDE DE ÁGUA, DN 600, JUNTA ELÁSTICA, INSTALADO EM LOCAL COM NÍVEL ALTO DE INTERFERÊNCIAS (NÃO INCLUI FORNECIMENTO). AF_05/2024</v>
          </cell>
          <cell r="D480" t="str">
            <v>UN</v>
          </cell>
          <cell r="E480">
            <v>111.14</v>
          </cell>
          <cell r="F480">
            <v>0</v>
          </cell>
        </row>
        <row r="481">
          <cell r="B481">
            <v>105306</v>
          </cell>
          <cell r="C481" t="str">
            <v>ASSENTAMENTO DE CONEXÃO 2 ACESSOS INCLINADOS DE FERRO FUNDIDO PARA REDE DE ÁGUA, DN 600, JUNTA ELÁSTICA, INSTALADO EM LOCAL COM NÍVEL BAIXO DE INTERFERÊNCIAS (NÃO INCLUI FORNECIMENTO). AF_05/2024</v>
          </cell>
          <cell r="D481" t="str">
            <v>UN</v>
          </cell>
          <cell r="E481">
            <v>89.73</v>
          </cell>
          <cell r="F481">
            <v>0</v>
          </cell>
        </row>
        <row r="482">
          <cell r="B482">
            <v>105273</v>
          </cell>
          <cell r="C482" t="str">
            <v>ASSENTAMENTO DE CONEXÃO 2 ACESSOS INCLINADOS DE FERRO FUNDIDO PARA REDE DE ÁGUA, DN 700, JUNTA ELÁSTICA, INSTALADO EM LOCAL COM NÍVEL ALTO DE INTERFERÊNCIAS (NÃO INCLUI FORNECIMENTO). AF_05/2024</v>
          </cell>
          <cell r="D482" t="str">
            <v>UN</v>
          </cell>
          <cell r="E482">
            <v>127.58</v>
          </cell>
          <cell r="F482">
            <v>0</v>
          </cell>
        </row>
        <row r="483">
          <cell r="B483">
            <v>105307</v>
          </cell>
          <cell r="C483" t="str">
            <v>ASSENTAMENTO DE CONEXÃO 2 ACESSOS INCLINADOS DE FERRO FUNDIDO PARA REDE DE ÁGUA, DN 700, JUNTA ELÁSTICA, INSTALADO EM LOCAL COM NÍVEL BAIXO DE INTERFERÊNCIAS (NÃO INCLUI FORNECIMENTO). AF_05/2024</v>
          </cell>
          <cell r="D483" t="str">
            <v>UN</v>
          </cell>
          <cell r="E483">
            <v>103.17</v>
          </cell>
          <cell r="F483">
            <v>0</v>
          </cell>
        </row>
        <row r="484">
          <cell r="B484">
            <v>105250</v>
          </cell>
          <cell r="C484" t="str">
            <v>ASSENTAMENTO DE CONEXÃO 2 ACESSOS INCLINADOS DE FERRO FUNDIDO PARA REDE DE ÁGUA, DN 80, JUNTA ELÁSTICA, INSTALADO EM LOCAL COM NÍVEL ALTO DE INTERFERÊNCIAS (NÃO INCLUI FORNECIMENTO). AF_05/2024</v>
          </cell>
          <cell r="D484" t="str">
            <v>UN</v>
          </cell>
          <cell r="E484">
            <v>19.12</v>
          </cell>
          <cell r="F484">
            <v>0</v>
          </cell>
        </row>
        <row r="485">
          <cell r="B485">
            <v>105269</v>
          </cell>
          <cell r="C485" t="str">
            <v>ASSENTAMENTO DE CONEXÃO 2 ACESSOS INCLINADOS DE FERRO FUNDIDO PARA REDE DE ÁGUA, DN 80, JUNTA ELÁSTICA, INSTALADO EM LOCAL COM NÍVEL BAIXO DE INTERFERÊNCIAS (NÃO INCLUI FORNECIMENTO). AF_05/2024</v>
          </cell>
          <cell r="D485" t="str">
            <v>UN</v>
          </cell>
          <cell r="E485">
            <v>14.67</v>
          </cell>
          <cell r="F485">
            <v>0</v>
          </cell>
        </row>
        <row r="486">
          <cell r="B486">
            <v>105274</v>
          </cell>
          <cell r="C486" t="str">
            <v>ASSENTAMENTO DE CONEXÃO 2 ACESSOS INCLINADOS DE FERRO FUNDIDO PARA REDE DE ÁGUA, DN 800, JUNTA ELÁSTICA, INSTALADO EM LOCAL COM NÍVEL ALTO DE INTERFERÊNCIAS (NÃO INCLUI FORNECIMENTO). AF_05/2024</v>
          </cell>
          <cell r="D486" t="str">
            <v>UN</v>
          </cell>
          <cell r="E486">
            <v>144.30000000000001</v>
          </cell>
          <cell r="F486">
            <v>0</v>
          </cell>
        </row>
        <row r="487">
          <cell r="B487">
            <v>105340</v>
          </cell>
          <cell r="C487" t="str">
            <v>ASSENTAMENTO DE CONEXÃO 2 ACESSOS INCLINADOS DE FERRO FUNDIDO PARA REDE DE ÁGUA, DN 800, JUNTA ELÁSTICA, INSTALADO EM LOCAL COM NÍVEL BAIXO DE INTERFERÊNCIAS (NÃO INCLUI FORNECIMENTO). AF_05/2024</v>
          </cell>
          <cell r="D487" t="str">
            <v>UN</v>
          </cell>
          <cell r="E487">
            <v>116.88</v>
          </cell>
          <cell r="F487">
            <v>0</v>
          </cell>
        </row>
        <row r="488">
          <cell r="B488">
            <v>105275</v>
          </cell>
          <cell r="C488" t="str">
            <v>ASSENTAMENTO DE CONEXÃO 2 ACESSOS INCLINADOS DE FERRO FUNDIDO PARA REDE DE ÁGUA, DN 900, JUNTA ELÁSTICA, INSTALADO EM LOCAL COM NÍVEL ALTO DE INTERFERÊNCIAS (NÃO INCLUI FORNECIMENTO). AF_05/2024</v>
          </cell>
          <cell r="D488" t="str">
            <v>UN</v>
          </cell>
          <cell r="E488">
            <v>161.21</v>
          </cell>
          <cell r="F488">
            <v>0</v>
          </cell>
        </row>
        <row r="489">
          <cell r="B489">
            <v>105390</v>
          </cell>
          <cell r="C489" t="str">
            <v>ASSENTAMENTO DE CONEXÃO 2 ACESSOS INCLINADOS DE FERRO FUNDIDO PARA REDE DE ÁGUA, DN 900, JUNTA ELÁSTICA, INSTALADO EM LOCAL COM NÍVEL BAIXO DE INTERFERÊNCIAS (NÃO INCLUI FORNECIMENTO). AF_05/2024</v>
          </cell>
          <cell r="D489" t="str">
            <v>UN</v>
          </cell>
          <cell r="E489">
            <v>130.76</v>
          </cell>
          <cell r="F489">
            <v>0</v>
          </cell>
        </row>
        <row r="490">
          <cell r="B490">
            <v>105364</v>
          </cell>
          <cell r="C490" t="str">
            <v>ASSENTAMENTO DE CONEXÃO 2 ACESSOS INCLINADOS DE PVC PBA PARA REDE DE ÁGUA, DN 100, JUNTA ELÁSTICA INTEGRADA, INSTALADO EM LOCAL COM NÍVEL ALTO DE INTERFERÊNCIAS (NÃO INCLUI FORNECIMENTO). AF_05/2024</v>
          </cell>
          <cell r="D490" t="str">
            <v>UN</v>
          </cell>
          <cell r="E490">
            <v>34.82</v>
          </cell>
          <cell r="F490">
            <v>0</v>
          </cell>
        </row>
        <row r="491">
          <cell r="B491">
            <v>105385</v>
          </cell>
          <cell r="C491" t="str">
            <v>ASSENTAMENTO DE CONEXÃO 2 ACESSOS INCLINADOS DE PVC PBA PARA REDE DE ÁGUA, DN 100, JUNTA ELÁSTICA INTEGRADA, INSTALADO EM LOCAL COM NÍVEL BAIXO DE INTERFERÊNCIAS (NÃO INCLUI FORNECIMENTO). AF_05/2024</v>
          </cell>
          <cell r="D491" t="str">
            <v>UN</v>
          </cell>
          <cell r="E491">
            <v>28.52</v>
          </cell>
          <cell r="F491">
            <v>0</v>
          </cell>
        </row>
        <row r="492">
          <cell r="B492">
            <v>105362</v>
          </cell>
          <cell r="C492" t="str">
            <v>ASSENTAMENTO DE CONEXÃO 2 ACESSOS INCLINADOS DE PVC PBA PARA REDE DE ÁGUA, DN 50, JUNTA ELÁSTICA INTEGRADA, INSTALADO EM LOCAL COM NÍVEL ALTO DE INTERFERÊNCIAS (NÃO INCLUI FORNECIMENTO). AF_05/2024</v>
          </cell>
          <cell r="D492" t="str">
            <v>UN</v>
          </cell>
          <cell r="E492">
            <v>25.13</v>
          </cell>
          <cell r="F492">
            <v>0</v>
          </cell>
        </row>
        <row r="493">
          <cell r="B493">
            <v>105383</v>
          </cell>
          <cell r="C493" t="str">
            <v>ASSENTAMENTO DE CONEXÃO 2 ACESSOS INCLINADOS DE PVC PBA PARA REDE DE ÁGUA, DN 50, JUNTA ELÁSTICA INTEGRADA, INSTALADO EM LOCAL COM NÍVEL BAIXO DE INTERFERÊNCIAS (NÃO INCLUI FORNECIMENTO). AF_05/2024</v>
          </cell>
          <cell r="D493" t="str">
            <v>UN</v>
          </cell>
          <cell r="E493">
            <v>20.51</v>
          </cell>
          <cell r="F493">
            <v>0</v>
          </cell>
        </row>
        <row r="494">
          <cell r="B494">
            <v>105363</v>
          </cell>
          <cell r="C494" t="str">
            <v>ASSENTAMENTO DE CONEXÃO 2 ACESSOS INCLINADOS DE PVC PBA PARA REDE DE ÁGUA, DN 75, JUNTA ELÁSTICA INTEGRADA, INSTALADO EM LOCAL COM NÍVEL ALTO DE INTERFERÊNCIAS (NÃO INCLUI FORNECIMENTO). AF_05/2024</v>
          </cell>
          <cell r="D494" t="str">
            <v>UN</v>
          </cell>
          <cell r="E494">
            <v>30.05</v>
          </cell>
          <cell r="F494">
            <v>0</v>
          </cell>
        </row>
        <row r="495">
          <cell r="B495">
            <v>105384</v>
          </cell>
          <cell r="C495" t="str">
            <v>ASSENTAMENTO DE CONEXÃO 2 ACESSOS INCLINADOS DE PVC PBA PARA REDE DE ÁGUA, DN 75, JUNTA ELÁSTICA INTEGRADA, INSTALADO EM LOCAL COM NÍVEL BAIXO DE INTERFERÊNCIAS (NÃO INCLUI FORNECIMENTO). AF_05/2024</v>
          </cell>
          <cell r="D495" t="str">
            <v>UN</v>
          </cell>
          <cell r="E495">
            <v>24.59</v>
          </cell>
          <cell r="F495">
            <v>0</v>
          </cell>
        </row>
        <row r="496">
          <cell r="B496">
            <v>105279</v>
          </cell>
          <cell r="C496" t="str">
            <v>ASSENTAMENTO DE CONEXÃO 3 ACESSOS DE FERRO FUNDIDO PARA REDE DE ÁGUA, DN 100, JUNTA ELÁSTICA, INSTALADO EM LOCAL COM NÍVEL ALTO DE INTERFERÊNCIAS (NÃO INCLUI FORNECIMENTO). AF_05/2024</v>
          </cell>
          <cell r="D496" t="str">
            <v>UN</v>
          </cell>
          <cell r="E496">
            <v>30.14</v>
          </cell>
          <cell r="F496">
            <v>0</v>
          </cell>
        </row>
        <row r="497">
          <cell r="B497">
            <v>105259</v>
          </cell>
          <cell r="C497" t="str">
            <v>ASSENTAMENTO DE CONEXÃO 3 ACESSOS DE FERRO FUNDIDO PARA REDE DE ÁGUA, DN 100, JUNTA ELÁSTICA, INSTALADO EM LOCAL COM NÍVEL BAIXO DE INTERFERÊNCIAS (NÃO INCLUI FORNECIMENTO). AF_05/2024</v>
          </cell>
          <cell r="D497" t="str">
            <v>UN</v>
          </cell>
          <cell r="E497">
            <v>23.54</v>
          </cell>
          <cell r="F497">
            <v>0</v>
          </cell>
        </row>
        <row r="498">
          <cell r="B498">
            <v>105357</v>
          </cell>
          <cell r="C498" t="str">
            <v>ASSENTAMENTO DE CONEXÃO 3 ACESSOS DE FERRO FUNDIDO PARA REDE DE ÁGUA, DN 1000, JUNTA ELÁSTICA, INSTALADO EM LOCAL COM NÍVEL ALTO DE INTERFERÊNCIAS (NÃO INCLUI FORNECIMENTO). AF_05/2024</v>
          </cell>
          <cell r="D498" t="str">
            <v>UN</v>
          </cell>
          <cell r="E498">
            <v>242.38</v>
          </cell>
          <cell r="F498">
            <v>0</v>
          </cell>
        </row>
        <row r="499">
          <cell r="B499">
            <v>105346</v>
          </cell>
          <cell r="C499" t="str">
            <v>ASSENTAMENTO DE CONEXÃO 3 ACESSOS DE FERRO FUNDIDO PARA REDE DE ÁGUA, DN 1000, JUNTA ELÁSTICA, INSTALADO EM LOCAL COM NÍVEL BAIXO DE INTERFERÊNCIAS (NÃO INCLUI FORNECIMENTO). AF_05/2024</v>
          </cell>
          <cell r="D499" t="str">
            <v>UN</v>
          </cell>
          <cell r="E499">
            <v>197.76</v>
          </cell>
          <cell r="F499">
            <v>0</v>
          </cell>
        </row>
        <row r="500">
          <cell r="B500">
            <v>105358</v>
          </cell>
          <cell r="C500" t="str">
            <v>ASSENTAMENTO DE CONEXÃO 3 ACESSOS DE FERRO FUNDIDO PARA REDE DE ÁGUA, DN 1200, JUNTA ELÁSTICA, INSTALADO EM LOCAL COM NÍVEL ALTO DE INTERFERÊNCIAS (NÃO INCLUI FORNECIMENTO). AF_05/2024</v>
          </cell>
          <cell r="D500" t="str">
            <v>UN</v>
          </cell>
          <cell r="E500">
            <v>294.07</v>
          </cell>
          <cell r="F500">
            <v>0</v>
          </cell>
        </row>
        <row r="501">
          <cell r="B501">
            <v>105347</v>
          </cell>
          <cell r="C501" t="str">
            <v>ASSENTAMENTO DE CONEXÃO 3 ACESSOS DE FERRO FUNDIDO PARA REDE DE ÁGUA, DN 1200, JUNTA ELÁSTICA, INSTALADO EM LOCAL COM NÍVEL BAIXO DE INTERFERÊNCIAS (NÃO INCLUI FORNECIMENTO). AF_05/2024</v>
          </cell>
          <cell r="D501" t="str">
            <v>UN</v>
          </cell>
          <cell r="E501">
            <v>241.41</v>
          </cell>
          <cell r="F501">
            <v>0</v>
          </cell>
        </row>
        <row r="502">
          <cell r="B502">
            <v>105280</v>
          </cell>
          <cell r="C502" t="str">
            <v>ASSENTAMENTO DE CONEXÃO 3 ACESSOS DE FERRO FUNDIDO PARA REDE DE ÁGUA, DN 150, JUNTA ELÁSTICA, INSTALADO EM LOCAL COM NÍVEL ALTO DE INTERFERÊNCIAS (NÃO INCLUI FORNECIMENTO). AF_05/2024</v>
          </cell>
          <cell r="D502" t="str">
            <v>UN</v>
          </cell>
          <cell r="E502">
            <v>40.369999999999997</v>
          </cell>
          <cell r="F502">
            <v>0</v>
          </cell>
        </row>
        <row r="503">
          <cell r="B503">
            <v>105283</v>
          </cell>
          <cell r="C503" t="str">
            <v>ASSENTAMENTO DE CONEXÃO 3 ACESSOS DE FERRO FUNDIDO PARA REDE DE ÁGUA, DN 150, JUNTA ELÁSTICA, INSTALADO EM LOCAL COM NÍVEL BAIXO DE INTERFERÊNCIAS (NÃO INCLUI FORNECIMENTO). AF_05/2024</v>
          </cell>
          <cell r="D503" t="str">
            <v>UN</v>
          </cell>
          <cell r="E503">
            <v>32.1</v>
          </cell>
          <cell r="F503">
            <v>0</v>
          </cell>
        </row>
        <row r="504">
          <cell r="B504">
            <v>105281</v>
          </cell>
          <cell r="C504" t="str">
            <v>ASSENTAMENTO DE CONEXÃO 3 ACESSOS DE FERRO FUNDIDO PARA REDE DE ÁGUA, DN 200, JUNTA ELÁSTICA, INSTALADO EM LOCAL COM NÍVEL ALTO DE INTERFERÊNCIAS (NÃO INCLUI FORNECIMENTO). AF_05/2024</v>
          </cell>
          <cell r="D504" t="str">
            <v>UN</v>
          </cell>
          <cell r="E504">
            <v>50.6</v>
          </cell>
          <cell r="F504">
            <v>0</v>
          </cell>
        </row>
        <row r="505">
          <cell r="B505">
            <v>105319</v>
          </cell>
          <cell r="C505" t="str">
            <v>ASSENTAMENTO DE CONEXÃO 3 ACESSOS DE FERRO FUNDIDO PARA REDE DE ÁGUA, DN 200, JUNTA ELÁSTICA, INSTALADO EM LOCAL COM NÍVEL BAIXO DE INTERFERÊNCIAS (NÃO INCLUI FORNECIMENTO). AF_05/2024</v>
          </cell>
          <cell r="D505" t="str">
            <v>UN</v>
          </cell>
          <cell r="E505">
            <v>40.659999999999997</v>
          </cell>
          <cell r="F505">
            <v>0</v>
          </cell>
        </row>
        <row r="506">
          <cell r="B506">
            <v>105284</v>
          </cell>
          <cell r="C506" t="str">
            <v>ASSENTAMENTO DE CONEXÃO 3 ACESSOS DE FERRO FUNDIDO PARA REDE DE ÁGUA, DN 250, JUNTA ELÁSTICA, INSTALADO EM LOCAL COM NÍVEL ALTO DE INTERFERÊNCIAS (NÃO INCLUI FORNECIMENTO). AF_05/2024</v>
          </cell>
          <cell r="D506" t="str">
            <v>UN</v>
          </cell>
          <cell r="E506">
            <v>61.11</v>
          </cell>
          <cell r="F506">
            <v>0</v>
          </cell>
        </row>
        <row r="507">
          <cell r="B507">
            <v>105320</v>
          </cell>
          <cell r="C507" t="str">
            <v>ASSENTAMENTO DE CONEXÃO 3 ACESSOS DE FERRO FUNDIDO PARA REDE DE ÁGUA, DN 250, JUNTA ELÁSTICA, INSTALADO EM LOCAL COM NÍVEL BAIXO DE INTERFERÊNCIAS (NÃO INCLUI FORNECIMENTO). AF_05/2024</v>
          </cell>
          <cell r="D507" t="str">
            <v>UN</v>
          </cell>
          <cell r="E507">
            <v>49.51</v>
          </cell>
          <cell r="F507">
            <v>0</v>
          </cell>
        </row>
        <row r="508">
          <cell r="B508">
            <v>105348</v>
          </cell>
          <cell r="C508" t="str">
            <v>ASSENTAMENTO DE CONEXÃO 3 ACESSOS DE FERRO FUNDIDO PARA REDE DE ÁGUA, DN 300, JUNTA ELÁSTICA, INSTALADO EM LOCAL COM NÍVEL ALTO DE INTERFERÊNCIAS (NÃO INCLUI FORNECIMENTO). AF_05/2024</v>
          </cell>
          <cell r="D508" t="str">
            <v>UN</v>
          </cell>
          <cell r="E508">
            <v>71.599999999999994</v>
          </cell>
          <cell r="F508">
            <v>0</v>
          </cell>
        </row>
        <row r="509">
          <cell r="B509">
            <v>105321</v>
          </cell>
          <cell r="C509" t="str">
            <v>ASSENTAMENTO DE CONEXÃO 3 ACESSOS DE FERRO FUNDIDO PARA REDE DE ÁGUA, DN 300, JUNTA ELÁSTICA, INSTALADO EM LOCAL COM NÍVEL BAIXO DE INTERFERÊNCIAS (NÃO INCLUI FORNECIMENTO). AF_05/2024</v>
          </cell>
          <cell r="D509" t="str">
            <v>UN</v>
          </cell>
          <cell r="E509">
            <v>58.33</v>
          </cell>
          <cell r="F509">
            <v>0</v>
          </cell>
        </row>
        <row r="510">
          <cell r="B510">
            <v>105349</v>
          </cell>
          <cell r="C510" t="str">
            <v>ASSENTAMENTO DE CONEXÃO 3 ACESSOS DE FERRO FUNDIDO PARA REDE DE ÁGUA, DN 350, JUNTA ELÁSTICA, INSTALADO EM LOCAL COM NÍVEL ALTO DE INTERFERÊNCIAS (NÃO INCLUI FORNECIMENTO). AF_05/2024</v>
          </cell>
          <cell r="D510" t="str">
            <v>UN</v>
          </cell>
          <cell r="E510">
            <v>82.09</v>
          </cell>
          <cell r="F510">
            <v>0</v>
          </cell>
        </row>
        <row r="511">
          <cell r="B511">
            <v>105322</v>
          </cell>
          <cell r="C511" t="str">
            <v>ASSENTAMENTO DE CONEXÃO 3 ACESSOS DE FERRO FUNDIDO PARA REDE DE ÁGUA, DN 350, JUNTA ELÁSTICA, INSTALADO EM LOCAL COM NÍVEL BAIXO DE INTERFERÊNCIAS (NÃO INCLUI FORNECIMENTO). AF_05/2024</v>
          </cell>
          <cell r="D511" t="str">
            <v>UN</v>
          </cell>
          <cell r="E511">
            <v>67.14</v>
          </cell>
          <cell r="F511">
            <v>0</v>
          </cell>
        </row>
        <row r="512">
          <cell r="B512">
            <v>105350</v>
          </cell>
          <cell r="C512" t="str">
            <v>ASSENTAMENTO DE CONEXÃO 3 ACESSOS DE FERRO FUNDIDO PARA REDE DE ÁGUA, DN 400, JUNTA ELÁSTICA, INSTALADO EM LOCAL COM NÍVEL ALTO DE INTERFERÊNCIAS (NÃO INCLUI FORNECIMENTO). AF_05/2024</v>
          </cell>
          <cell r="D512" t="str">
            <v>UN</v>
          </cell>
          <cell r="E512">
            <v>92.59</v>
          </cell>
          <cell r="F512">
            <v>0</v>
          </cell>
        </row>
        <row r="513">
          <cell r="B513">
            <v>105323</v>
          </cell>
          <cell r="C513" t="str">
            <v>ASSENTAMENTO DE CONEXÃO 3 ACESSOS DE FERRO FUNDIDO PARA REDE DE ÁGUA, DN 400, JUNTA ELÁSTICA, INSTALADO EM LOCAL COM NÍVEL BAIXO DE INTERFERÊNCIAS (NÃO INCLUI FORNECIMENTO). AF_05/2024</v>
          </cell>
          <cell r="D513" t="str">
            <v>UN</v>
          </cell>
          <cell r="E513">
            <v>75.959999999999994</v>
          </cell>
          <cell r="F513">
            <v>0</v>
          </cell>
        </row>
        <row r="514">
          <cell r="B514">
            <v>105351</v>
          </cell>
          <cell r="C514" t="str">
            <v>ASSENTAMENTO DE CONEXÃO 3 ACESSOS DE FERRO FUNDIDO PARA REDE DE ÁGUA, DN 450, JUNTA ELÁSTICA, INSTALADO EM LOCAL COM NÍVEL ALTO DE INTERFERÊNCIAS (NÃO INCLUI FORNECIMENTO). AF_05/2024</v>
          </cell>
          <cell r="D514" t="str">
            <v>UN</v>
          </cell>
          <cell r="E514">
            <v>103.31</v>
          </cell>
          <cell r="F514">
            <v>0</v>
          </cell>
        </row>
        <row r="515">
          <cell r="B515">
            <v>105324</v>
          </cell>
          <cell r="C515" t="str">
            <v>ASSENTAMENTO DE CONEXÃO 3 ACESSOS DE FERRO FUNDIDO PARA REDE DE ÁGUA, DN 450, JUNTA ELÁSTICA, INSTALADO EM LOCAL COM NÍVEL BAIXO DE INTERFERÊNCIAS (NÃO INCLUI FORNECIMENTO). AF_05/2024</v>
          </cell>
          <cell r="D515" t="str">
            <v>UN</v>
          </cell>
          <cell r="E515">
            <v>85.02</v>
          </cell>
          <cell r="F515">
            <v>0</v>
          </cell>
        </row>
        <row r="516">
          <cell r="B516">
            <v>105352</v>
          </cell>
          <cell r="C516" t="str">
            <v>ASSENTAMENTO DE CONEXÃO 3 ACESSOS DE FERRO FUNDIDO PARA REDE DE ÁGUA, DN 500, JUNTA ELÁSTICA, INSTALADO EM LOCAL COM NÍVEL ALTO DE INTERFERÊNCIAS (NÃO INCLUI FORNECIMENTO). AF_05/2024</v>
          </cell>
          <cell r="D516" t="str">
            <v>UN</v>
          </cell>
          <cell r="E516">
            <v>127.79</v>
          </cell>
          <cell r="F516">
            <v>0</v>
          </cell>
        </row>
        <row r="517">
          <cell r="B517">
            <v>105325</v>
          </cell>
          <cell r="C517" t="str">
            <v>ASSENTAMENTO DE CONEXÃO 3 ACESSOS DE FERRO FUNDIDO PARA REDE DE ÁGUA, DN 500, JUNTA ELÁSTICA, INSTALADO EM LOCAL COM NÍVEL BAIXO DE INTERFERÊNCIAS (NÃO INCLUI FORNECIMENTO). AF_05/2024</v>
          </cell>
          <cell r="D517" t="str">
            <v>UN</v>
          </cell>
          <cell r="E517">
            <v>103.29</v>
          </cell>
          <cell r="F517">
            <v>0</v>
          </cell>
        </row>
        <row r="518">
          <cell r="B518">
            <v>105353</v>
          </cell>
          <cell r="C518" t="str">
            <v>ASSENTAMENTO DE CONEXÃO 3 ACESSOS DE FERRO FUNDIDO PARA REDE DE ÁGUA, DN 600, JUNTA ELÁSTICA, INSTALADO EM LOCAL COM NÍVEL ALTO DE INTERFERÊNCIAS (NÃO INCLUI FORNECIMENTO). AF_05/2024</v>
          </cell>
          <cell r="D518" t="str">
            <v>UN</v>
          </cell>
          <cell r="E518">
            <v>151.32</v>
          </cell>
          <cell r="F518">
            <v>0</v>
          </cell>
        </row>
        <row r="519">
          <cell r="B519">
            <v>105326</v>
          </cell>
          <cell r="C519" t="str">
            <v>ASSENTAMENTO DE CONEXÃO 3 ACESSOS DE FERRO FUNDIDO PARA REDE DE ÁGUA, DN 600, JUNTA ELÁSTICA, INSTALADO EM LOCAL COM NÍVEL BAIXO DE INTERFERÊNCIAS (NÃO INCLUI FORNECIMENTO). AF_05/2024</v>
          </cell>
          <cell r="D519" t="str">
            <v>UN</v>
          </cell>
          <cell r="E519">
            <v>122.79</v>
          </cell>
          <cell r="F519">
            <v>0</v>
          </cell>
        </row>
        <row r="520">
          <cell r="B520">
            <v>105354</v>
          </cell>
          <cell r="C520" t="str">
            <v>ASSENTAMENTO DE CONEXÃO 3 ACESSOS DE FERRO FUNDIDO PARA REDE DE ÁGUA, DN 700, JUNTA ELÁSTICA, INSTALADO EM LOCAL COM NÍVEL ALTO DE INTERFERÊNCIAS (NÃO INCLUI FORNECIMENTO). AF_05/2024</v>
          </cell>
          <cell r="D520" t="str">
            <v>UN</v>
          </cell>
          <cell r="E520">
            <v>173.45</v>
          </cell>
          <cell r="F520">
            <v>0</v>
          </cell>
        </row>
        <row r="521">
          <cell r="B521">
            <v>105344</v>
          </cell>
          <cell r="C521" t="str">
            <v>ASSENTAMENTO DE CONEXÃO 3 ACESSOS DE FERRO FUNDIDO PARA REDE DE ÁGUA, DN 700, JUNTA ELÁSTICA, INSTALADO EM LOCAL COM NÍVEL BAIXO DE INTERFERÊNCIAS (NÃO INCLUI FORNECIMENTO). AF_05/2024</v>
          </cell>
          <cell r="D521" t="str">
            <v>UN</v>
          </cell>
          <cell r="E521">
            <v>140.9</v>
          </cell>
          <cell r="F521">
            <v>0</v>
          </cell>
        </row>
        <row r="522">
          <cell r="B522">
            <v>105278</v>
          </cell>
          <cell r="C522" t="str">
            <v>ASSENTAMENTO DE CONEXÃO 3 ACESSOS DE FERRO FUNDIDO PARA REDE DE ÁGUA, DN 80, JUNTA ELÁSTICA, INSTALADO EM LOCAL COM NÍVEL ALTO DE INTERFERÊNCIAS (NÃO INCLUI FORNECIMENTO). AF_05/2024</v>
          </cell>
          <cell r="D522" t="str">
            <v>UN</v>
          </cell>
          <cell r="E522">
            <v>25.97</v>
          </cell>
          <cell r="F522">
            <v>0</v>
          </cell>
        </row>
        <row r="523">
          <cell r="B523">
            <v>105343</v>
          </cell>
          <cell r="C523" t="str">
            <v>ASSENTAMENTO DE CONEXÃO 3 ACESSOS DE FERRO FUNDIDO PARA REDE DE ÁGUA, DN 80, JUNTA ELÁSTICA, INSTALADO EM LOCAL COM NÍVEL BAIXO DE INTERFERÊNCIAS (NÃO INCLUI FORNECIMENTO). AF_05/2024</v>
          </cell>
          <cell r="D523" t="str">
            <v>UN</v>
          </cell>
          <cell r="E523">
            <v>20.03</v>
          </cell>
          <cell r="F523">
            <v>0</v>
          </cell>
        </row>
        <row r="524">
          <cell r="B524">
            <v>105355</v>
          </cell>
          <cell r="C524" t="str">
            <v>ASSENTAMENTO DE CONEXÃO 3 ACESSOS DE FERRO FUNDIDO PARA REDE DE ÁGUA, DN 800, JUNTA ELÁSTICA, INSTALADO EM LOCAL COM NÍVEL ALTO DE INTERFERÊNCIAS (NÃO INCLUI FORNECIMENTO). AF_05/2024</v>
          </cell>
          <cell r="D524" t="str">
            <v>UN</v>
          </cell>
          <cell r="E524">
            <v>196.1</v>
          </cell>
          <cell r="F524">
            <v>0</v>
          </cell>
        </row>
        <row r="525">
          <cell r="B525">
            <v>105391</v>
          </cell>
          <cell r="C525" t="str">
            <v>ASSENTAMENTO DE CONEXÃO 3 ACESSOS DE FERRO FUNDIDO PARA REDE DE ÁGUA, DN 800, JUNTA ELÁSTICA, INSTALADO EM LOCAL COM NÍVEL BAIXO DE INTERFERÊNCIAS (NÃO INCLUI FORNECIMENTO). AF_05/2024</v>
          </cell>
          <cell r="D525" t="str">
            <v>UN</v>
          </cell>
          <cell r="E525">
            <v>159.51</v>
          </cell>
          <cell r="F525">
            <v>0</v>
          </cell>
        </row>
        <row r="526">
          <cell r="B526">
            <v>105356</v>
          </cell>
          <cell r="C526" t="str">
            <v>ASSENTAMENTO DE CONEXÃO 3 ACESSOS DE FERRO FUNDIDO PARA REDE DE ÁGUA, DN 900, JUNTA ELÁSTICA, INSTALADO EM LOCAL COM NÍVEL ALTO DE INTERFERÊNCIAS (NÃO INCLUI FORNECIMENTO). AF_05/2024</v>
          </cell>
          <cell r="D526" t="str">
            <v>UN</v>
          </cell>
          <cell r="E526">
            <v>219.13</v>
          </cell>
          <cell r="F526">
            <v>0</v>
          </cell>
        </row>
        <row r="527">
          <cell r="B527">
            <v>105345</v>
          </cell>
          <cell r="C527" t="str">
            <v>ASSENTAMENTO DE CONEXÃO 3 ACESSOS DE FERRO FUNDIDO PARA REDE DE ÁGUA, DN 900, JUNTA ELÁSTICA, INSTALADO EM LOCAL COM NÍVEL BAIXO DE INTERFERÊNCIAS (NÃO INCLUI FORNECIMENTO). AF_05/2024</v>
          </cell>
          <cell r="D527" t="str">
            <v>UN</v>
          </cell>
          <cell r="E527">
            <v>178.52</v>
          </cell>
          <cell r="F527">
            <v>0</v>
          </cell>
        </row>
        <row r="528">
          <cell r="B528">
            <v>105367</v>
          </cell>
          <cell r="C528" t="str">
            <v>ASSENTAMENTO DE CONEXÃO 3 ACESSOS DE PVC PBA PARA REDE DE ÁGUA, DN 100, JUNTA ELÁSTICA INTEGRADA, INSTALADO EM LOCAL COM NÍVEL ALTO DE INTERFERÊNCIAS (NÃO INCLUI FORNECIMENTO). AF_05/2024</v>
          </cell>
          <cell r="D528" t="str">
            <v>UN</v>
          </cell>
          <cell r="E528">
            <v>47.38</v>
          </cell>
          <cell r="F528">
            <v>0</v>
          </cell>
        </row>
        <row r="529">
          <cell r="B529">
            <v>105371</v>
          </cell>
          <cell r="C529" t="str">
            <v>ASSENTAMENTO DE CONEXÃO 3 ACESSOS DE PVC PBA PARA REDE DE ÁGUA, DN 100, JUNTA ELÁSTICA INTEGRADA, INSTALADO EM LOCAL COM NÍVEL BAIXO DE INTERFERÊNCIAS (NÃO INCLUI FORNECIMENTO). AF_05/2024</v>
          </cell>
          <cell r="D529" t="str">
            <v>UN</v>
          </cell>
          <cell r="E529">
            <v>38.97</v>
          </cell>
          <cell r="F529">
            <v>0</v>
          </cell>
        </row>
        <row r="530">
          <cell r="B530">
            <v>105365</v>
          </cell>
          <cell r="C530" t="str">
            <v>ASSENTAMENTO DE CONEXÃO 3 ACESSOS DE PVC PBA PARA REDE DE ÁGUA, DN 50, JUNTA ELÁSTICA INTEGRADA, INSTALADO EM LOCAL COM NÍVEL ALTO DE INTERFERÊNCIAS (NÃO INCLUI FORNECIMENTO). AF_05/2024</v>
          </cell>
          <cell r="D530" t="str">
            <v>UN</v>
          </cell>
          <cell r="E530">
            <v>33.94</v>
          </cell>
          <cell r="F530">
            <v>0</v>
          </cell>
        </row>
        <row r="531">
          <cell r="B531">
            <v>105386</v>
          </cell>
          <cell r="C531" t="str">
            <v>ASSENTAMENTO DE CONEXÃO 3 ACESSOS DE PVC PBA PARA REDE DE ÁGUA, DN 50, JUNTA ELÁSTICA INTEGRADA, INSTALADO EM LOCAL COM NÍVEL BAIXO DE INTERFERÊNCIAS (NÃO INCLUI FORNECIMENTO). AF_05/2024</v>
          </cell>
          <cell r="D531" t="str">
            <v>UN</v>
          </cell>
          <cell r="E531">
            <v>27.77</v>
          </cell>
          <cell r="F531">
            <v>0</v>
          </cell>
        </row>
        <row r="532">
          <cell r="B532">
            <v>105366</v>
          </cell>
          <cell r="C532" t="str">
            <v>ASSENTAMENTO DE CONEXÃO 3 ACESSOS DE PVC PBA PARA REDE DE ÁGUA, DN 75, JUNTA ELÁSTICA INTEGRADA, INSTALADO EM LOCAL COM NÍVEL ALTO DE INTERFERÊNCIAS (NÃO INCLUI FORNECIMENTO). AF_05/2024</v>
          </cell>
          <cell r="D532" t="str">
            <v>UN</v>
          </cell>
          <cell r="E532">
            <v>40.81</v>
          </cell>
          <cell r="F532">
            <v>0</v>
          </cell>
        </row>
        <row r="533">
          <cell r="B533">
            <v>105387</v>
          </cell>
          <cell r="C533" t="str">
            <v>ASSENTAMENTO DE CONEXÃO 3 ACESSOS DE PVC PBA PARA REDE DE ÁGUA, DN 75, JUNTA ELÁSTICA INTEGRADA, INSTALADO EM LOCAL COM NÍVEL BAIXO DE INTERFERÊNCIAS (NÃO INCLUI FORNECIMENTO). AF_05/2024</v>
          </cell>
          <cell r="D533" t="str">
            <v>UN</v>
          </cell>
          <cell r="E533">
            <v>33.53</v>
          </cell>
          <cell r="F533">
            <v>0</v>
          </cell>
        </row>
        <row r="534">
          <cell r="B534">
            <v>97177</v>
          </cell>
          <cell r="C534" t="str">
            <v>ASSENTAMENTO DE TUBO DE AÇO CARBONO PARA REDE DE ÁGUA, DN 1000 MM (40") OU DN 1100 MM (44"), JUNTA SOLDADA, INSTALADO EM LOCAL COM NÍVEL ALTO DE INTERFERÊNCIAS (NÃO INCLUI FORNECIMENTO). AF_05/2024</v>
          </cell>
          <cell r="D534" t="str">
            <v>M</v>
          </cell>
          <cell r="E534">
            <v>96.98</v>
          </cell>
          <cell r="F534">
            <v>0</v>
          </cell>
        </row>
        <row r="535">
          <cell r="B535">
            <v>97187</v>
          </cell>
          <cell r="C535" t="str">
            <v>ASSENTAMENTO DE TUBO DE AÇO CARBONO PARA REDE DE ÁGUA, DN 1000 MM (40") OU DN 1100 MM (44"), JUNTA SOLDADA, INSTALADO EM LOCAL COM NÍVEL BAIXO DE INTERFERÊNCIAS (NÃO INCLUI FORNECIMENTO). AF_05/2024</v>
          </cell>
          <cell r="D535" t="str">
            <v>M</v>
          </cell>
          <cell r="E535">
            <v>87.58</v>
          </cell>
          <cell r="F535">
            <v>0</v>
          </cell>
        </row>
        <row r="536">
          <cell r="B536">
            <v>97178</v>
          </cell>
          <cell r="C536" t="str">
            <v>ASSENTAMENTO DE TUBO DE AÇO CARBONO PARA REDE DE ÁGUA, DN 1200 MM (48") OU DN 1300 MM (52"), JUNTA SOLDADA, INSTALADO EM LOCAL COM NÍVEL ALTO DE INTERFERÊNCIAS (NÃO INCLUI FORNECIMENTO). AF_05/2024</v>
          </cell>
          <cell r="D536" t="str">
            <v>M</v>
          </cell>
          <cell r="E536">
            <v>118.27</v>
          </cell>
          <cell r="F536">
            <v>0</v>
          </cell>
        </row>
        <row r="537">
          <cell r="B537">
            <v>97188</v>
          </cell>
          <cell r="C537" t="str">
            <v>ASSENTAMENTO DE TUBO DE AÇO CARBONO PARA REDE DE ÁGUA, DN 1200 MM (48") OU DN 1300 MM (52"), JUNTA SOLDADA, INSTALADO EM LOCAL COM NÍVEL BAIXO DE INTERFERÊNCIAS (NÃO INCLUI FORNECIMENTO). AF_05/2024</v>
          </cell>
          <cell r="D537" t="str">
            <v>M</v>
          </cell>
          <cell r="E537">
            <v>106.91</v>
          </cell>
          <cell r="F537">
            <v>0</v>
          </cell>
        </row>
        <row r="538">
          <cell r="B538">
            <v>97179</v>
          </cell>
          <cell r="C538" t="str">
            <v>ASSENTAMENTO DE TUBO DE AÇO CARBONO PARA REDE DE ÁGUA, DN 1400 MM (56'') OU DN 1500 MM (60"), JUNTA SOLDADA, INSTALADO EM LOCAL COM NÍVEL ALTO DE INTERFERÊNCIAS (NÃO INCLUI FORNECIMENTO). AF_05/2024</v>
          </cell>
          <cell r="D538" t="str">
            <v>M</v>
          </cell>
          <cell r="E538">
            <v>139.56</v>
          </cell>
          <cell r="F538">
            <v>0</v>
          </cell>
        </row>
        <row r="539">
          <cell r="B539">
            <v>97189</v>
          </cell>
          <cell r="C539" t="str">
            <v>ASSENTAMENTO DE TUBO DE AÇO CARBONO PARA REDE DE ÁGUA, DN 1400 MM (56'') OU DN 1500 MM (60"), JUNTA SOLDADA, INSTALADO EM LOCAL COM NÍVEL BAIXO DE INTERFERÊNCIAS (NÃO INCLUI FORNECIMENTO). AF_05/2024</v>
          </cell>
          <cell r="D539" t="str">
            <v>M</v>
          </cell>
          <cell r="E539">
            <v>126.23</v>
          </cell>
          <cell r="F539">
            <v>0</v>
          </cell>
        </row>
        <row r="540">
          <cell r="B540">
            <v>97180</v>
          </cell>
          <cell r="C540" t="str">
            <v>ASSENTAMENTO DE TUBO DE AÇO CARBONO PARA REDE DE ÁGUA, DN 1600 MM (64") OU DN 1700 MM (68"), JUNTA SOLDADA, INSTALADO EM LOCAL COM NÍVEL ALTO DE INTERFERÊNCIAS (NÃO INCLUI FORNECIMENTO). AF_05/2024</v>
          </cell>
          <cell r="D540" t="str">
            <v>M</v>
          </cell>
          <cell r="E540">
            <v>160.83000000000001</v>
          </cell>
          <cell r="F540">
            <v>0</v>
          </cell>
        </row>
        <row r="541">
          <cell r="B541">
            <v>97190</v>
          </cell>
          <cell r="C541" t="str">
            <v>ASSENTAMENTO DE TUBO DE AÇO CARBONO PARA REDE DE ÁGUA, DN 1600 MM (64") OU DN 1700 MM (68"), JUNTA SOLDADA, INSTALADO EM LOCAL COM NÍVEL BAIXO DE INTERFERÊNCIAS (NÃO INCLUI FORNECIMENTO). AF_05/2024</v>
          </cell>
          <cell r="D541" t="str">
            <v>M</v>
          </cell>
          <cell r="E541">
            <v>145.55000000000001</v>
          </cell>
          <cell r="F541">
            <v>0</v>
          </cell>
        </row>
        <row r="542">
          <cell r="B542">
            <v>97181</v>
          </cell>
          <cell r="C542" t="str">
            <v>ASSENTAMENTO DE TUBO DE AÇO CARBONO PARA REDE DE ÁGUA, DN 1800 MM (72") OU DN 1900 MM (76"), JUNTA SOLDADA, INSTALADO EM LOCAL COM NÍVEL ALTO DE INTERFERÊNCIAS (NÃO INCLUI FORNECIMENTO). AF_05/2024</v>
          </cell>
          <cell r="D542" t="str">
            <v>M</v>
          </cell>
          <cell r="E542">
            <v>182.12</v>
          </cell>
          <cell r="F542">
            <v>0</v>
          </cell>
        </row>
        <row r="543">
          <cell r="B543">
            <v>97191</v>
          </cell>
          <cell r="C543" t="str">
            <v>ASSENTAMENTO DE TUBO DE AÇO CARBONO PARA REDE DE ÁGUA, DN 1800 MM (72") OU DN 1900 MM (76"), JUNTA SOLDADA, INSTALADO EM LOCAL COM NÍVEL BAIXO DE INTERFERÊNCIAS (NÃO INCLUI FORNECIMENTO). AF_05/2024</v>
          </cell>
          <cell r="D543" t="str">
            <v>M</v>
          </cell>
          <cell r="E543">
            <v>164.87</v>
          </cell>
          <cell r="F543">
            <v>0</v>
          </cell>
        </row>
        <row r="544">
          <cell r="B544">
            <v>97182</v>
          </cell>
          <cell r="C544" t="str">
            <v>ASSENTAMENTO DE TUBO DE AÇO CARBONO PARA REDE DE ÁGUA, DN 2000 MM (80") OU DN 2100 MM (84"), JUNTA SOLDADA, INSTALADO EM LOCAL COM NÍVEL ALTO DE INTERFERÊNCIAS (NÃO INCLUI FORNECIMENTO). AF_05/2024</v>
          </cell>
          <cell r="D544" t="str">
            <v>M</v>
          </cell>
          <cell r="E544">
            <v>207.75</v>
          </cell>
          <cell r="F544">
            <v>0</v>
          </cell>
        </row>
        <row r="545">
          <cell r="B545">
            <v>97192</v>
          </cell>
          <cell r="C545" t="str">
            <v>ASSENTAMENTO DE TUBO DE AÇO CARBONO PARA REDE DE ÁGUA, DN 2000 MM (80") OU DN 2100 MM (84"), JUNTA SOLDADA, INSTALADO EM LOCAL COM NÍVEL BAIXO DE INTERFERÊNCIAS (NÃO INCLUI FORNECIMENTO). AF_05/2024</v>
          </cell>
          <cell r="D545" t="str">
            <v>M</v>
          </cell>
          <cell r="E545">
            <v>187.51</v>
          </cell>
          <cell r="F545">
            <v>0</v>
          </cell>
        </row>
        <row r="546">
          <cell r="B546">
            <v>97173</v>
          </cell>
          <cell r="C546" t="str">
            <v>ASSENTAMENTO DE TUBO DE AÇO CARBONO PARA REDE DE ÁGUA, DN 600 MM (24"), JUNTA SOLDADA, INSTALADO EM LOCAL COM NÍVEL ALTO DE INTERFERÊNCIAS (NÃO INCLUI FORNECIMENTO). AF_05/2024</v>
          </cell>
          <cell r="D546" t="str">
            <v>M</v>
          </cell>
          <cell r="E546">
            <v>54.42</v>
          </cell>
          <cell r="F546">
            <v>0</v>
          </cell>
        </row>
        <row r="547">
          <cell r="B547">
            <v>97183</v>
          </cell>
          <cell r="C547" t="str">
            <v>ASSENTAMENTO DE TUBO DE AÇO CARBONO PARA REDE DE ÁGUA, DN 600 MM (24"), JUNTA SOLDADA, INSTALADO EM LOCAL COM NÍVEL BAIXO DE INTERFERÊNCIAS (NÃO INCLUI FORNECIMENTO). AF_05/2024</v>
          </cell>
          <cell r="D547" t="str">
            <v>M</v>
          </cell>
          <cell r="E547">
            <v>48.94</v>
          </cell>
          <cell r="F547">
            <v>0</v>
          </cell>
        </row>
        <row r="548">
          <cell r="B548">
            <v>97174</v>
          </cell>
          <cell r="C548" t="str">
            <v>ASSENTAMENTO DE TUBO DE AÇO CARBONO PARA REDE DE ÁGUA, DN 700 MM (28"), JUNTA SOLDADA, INSTALADO EM LOCAL COM NÍVEL ALTO DE INTERFERÊNCIAS (NÃO INCLUI FORNECIMENTO). AF_05/2024</v>
          </cell>
          <cell r="D548" t="str">
            <v>M</v>
          </cell>
          <cell r="E548">
            <v>65.05</v>
          </cell>
          <cell r="F548">
            <v>0</v>
          </cell>
        </row>
        <row r="549">
          <cell r="B549">
            <v>97184</v>
          </cell>
          <cell r="C549" t="str">
            <v>ASSENTAMENTO DE TUBO DE AÇO CARBONO PARA REDE DE ÁGUA, DN 700 MM (28"), JUNTA SOLDADA, INSTALADO EM LOCAL COM NÍVEL BAIXO DE INTERFERÊNCIAS (NÃO INCLUI FORNECIMENTO). AF_05/2024</v>
          </cell>
          <cell r="D549" t="str">
            <v>M</v>
          </cell>
          <cell r="E549">
            <v>58.58</v>
          </cell>
          <cell r="F549">
            <v>0</v>
          </cell>
        </row>
        <row r="550">
          <cell r="B550">
            <v>97175</v>
          </cell>
          <cell r="C550" t="str">
            <v>ASSENTAMENTO DE TUBO DE AÇO CARBONO PARA REDE DE ÁGUA, DN 800 MM (32"), JUNTA SOLDADA, INSTALADO EM LOCAL COM NÍVEL ALTO DE INTERFERÊNCIAS (NÃO INCLUI FORNECIMENTO). AF_05/2024</v>
          </cell>
          <cell r="D550" t="str">
            <v>M</v>
          </cell>
          <cell r="E550">
            <v>75.680000000000007</v>
          </cell>
          <cell r="F550">
            <v>0</v>
          </cell>
        </row>
        <row r="551">
          <cell r="B551">
            <v>97185</v>
          </cell>
          <cell r="C551" t="str">
            <v>ASSENTAMENTO DE TUBO DE AÇO CARBONO PARA REDE DE ÁGUA, DN 800 MM (32"), JUNTA SOLDADA, INSTALADO EM LOCAL COM NÍVEL BAIXO DE INTERFERÊNCIAS (NÃO INCLUI FORNECIMENTO). AF_05/2024</v>
          </cell>
          <cell r="D551" t="str">
            <v>M</v>
          </cell>
          <cell r="E551">
            <v>68.25</v>
          </cell>
          <cell r="F551">
            <v>0</v>
          </cell>
        </row>
        <row r="552">
          <cell r="B552">
            <v>97176</v>
          </cell>
          <cell r="C552" t="str">
            <v>ASSENTAMENTO DE TUBO DE AÇO CARBONO PARA REDE DE ÁGUA, DN 900 MM (36"), JUNTA SOLDADA, INSTALADO EM LOCAL COM NÍVEL ALTO DE INTERFERÊNCIAS (NÃO INCLUI FORNECIMENTO). AF_05/2024</v>
          </cell>
          <cell r="D552" t="str">
            <v>M</v>
          </cell>
          <cell r="E552">
            <v>86.35</v>
          </cell>
          <cell r="F552">
            <v>0</v>
          </cell>
        </row>
        <row r="553">
          <cell r="B553">
            <v>97186</v>
          </cell>
          <cell r="C553" t="str">
            <v>ASSENTAMENTO DE TUBO DE AÇO CARBONO PARA REDE DE ÁGUA, DN 900 MM (36"), JUNTA SOLDADA, INSTALADO EM LOCAL COM NÍVEL BAIXO DE INTERFERÊNCIAS (NÃO INCLUI FORNECIMENTO). AF_05/2024</v>
          </cell>
          <cell r="D553" t="str">
            <v>M</v>
          </cell>
          <cell r="E553">
            <v>77.92</v>
          </cell>
          <cell r="F553">
            <v>0</v>
          </cell>
        </row>
        <row r="554">
          <cell r="B554">
            <v>97142</v>
          </cell>
          <cell r="C554" t="str">
            <v>ASSENTAMENTO DE TUBO DE FERRO FUNDIDO PARA REDE DE ÁGUA, DN 100 MM, JUNTA ELÁSTICA, INSTALADO EM LOCAL COM NÍVEL ALTO DE INTERFERÊNCIAS (NÃO INCLUI FORNECIMENTO). AF_05/2024</v>
          </cell>
          <cell r="D554" t="str">
            <v>M</v>
          </cell>
          <cell r="E554">
            <v>7.07</v>
          </cell>
          <cell r="F554">
            <v>0</v>
          </cell>
        </row>
        <row r="555">
          <cell r="B555">
            <v>97158</v>
          </cell>
          <cell r="C555" t="str">
            <v>ASSENTAMENTO DE TUBO DE FERRO FUNDIDO PARA REDE DE ÁGUA, DN 100 MM, JUNTA ELÁSTICA, INSTALADO EM LOCAL COM NÍVEL BAIXO DE INTERFERÊNCIAS (NÃO INCLUI FORNECIMENTO). AF_05/2024</v>
          </cell>
          <cell r="D555" t="str">
            <v>M</v>
          </cell>
          <cell r="E555">
            <v>5.46</v>
          </cell>
          <cell r="F555">
            <v>0</v>
          </cell>
        </row>
        <row r="556">
          <cell r="B556">
            <v>97155</v>
          </cell>
          <cell r="C556" t="str">
            <v>ASSENTAMENTO DE TUBO DE FERRO FUNDIDO PARA REDE DE ÁGUA, DN 1000 MM, JUNTA ELÁSTICA, INSTALADO EM LOCAL COM NÍVEL ALTO DE INTERFERÊNCIAS (NÃO INCLUI FORNECIMENTO). AF_05/2024</v>
          </cell>
          <cell r="D556" t="str">
            <v>M</v>
          </cell>
          <cell r="E556">
            <v>56.62</v>
          </cell>
          <cell r="F556">
            <v>0</v>
          </cell>
        </row>
        <row r="557">
          <cell r="B557">
            <v>97171</v>
          </cell>
          <cell r="C557" t="str">
            <v>ASSENTAMENTO DE TUBO DE FERRO FUNDIDO PARA REDE DE ÁGUA, DN 1000 MM, JUNTA ELÁSTICA, INSTALADO EM LOCAL COM NÍVEL BAIXO DE INTERFERÊNCIAS (NÃO INCLUI FORNECIMENTO). AF_05/2024</v>
          </cell>
          <cell r="D557" t="str">
            <v>M</v>
          </cell>
          <cell r="E557">
            <v>45.75</v>
          </cell>
          <cell r="F557">
            <v>0</v>
          </cell>
        </row>
        <row r="558">
          <cell r="B558">
            <v>97156</v>
          </cell>
          <cell r="C558" t="str">
            <v>ASSENTAMENTO DE TUBO DE FERRO FUNDIDO PARA REDE DE ÁGUA, DN 1200 MM, JUNTA ELÁSTICA, INSTALADO EM LOCAL COM NÍVEL ALTO DE INTERFERÊNCIAS (NÃO INCLUI FORNECIMENTO). AF_05/2024</v>
          </cell>
          <cell r="D558" t="str">
            <v>M</v>
          </cell>
          <cell r="E558">
            <v>67.739999999999995</v>
          </cell>
          <cell r="F558">
            <v>0</v>
          </cell>
        </row>
        <row r="559">
          <cell r="B559">
            <v>97172</v>
          </cell>
          <cell r="C559" t="str">
            <v>ASSENTAMENTO DE TUBO DE FERRO FUNDIDO PARA REDE DE ÁGUA, DN 1200 MM, JUNTA ELÁSTICA, INSTALADO EM LOCAL COM NÍVEL BAIXO DE INTERFERÊNCIAS (NÃO INCLUI FORNECIMENTO). AF_05/2024</v>
          </cell>
          <cell r="D559" t="str">
            <v>M</v>
          </cell>
          <cell r="E559">
            <v>54.91</v>
          </cell>
          <cell r="F559">
            <v>0</v>
          </cell>
        </row>
        <row r="560">
          <cell r="B560">
            <v>97143</v>
          </cell>
          <cell r="C560" t="str">
            <v>ASSENTAMENTO DE TUBO DE FERRO FUNDIDO PARA REDE DE ÁGUA, DN 150 MM, JUNTA ELÁSTICA, INSTALADO EM LOCAL COM NÍVEL ALTO DE INTERFERÊNCIAS (NÃO INCLUI FORNECIMENTO). AF_05/2024</v>
          </cell>
          <cell r="D560" t="str">
            <v>M</v>
          </cell>
          <cell r="E560">
            <v>9.48</v>
          </cell>
          <cell r="F560">
            <v>0</v>
          </cell>
        </row>
        <row r="561">
          <cell r="B561">
            <v>97159</v>
          </cell>
          <cell r="C561" t="str">
            <v>ASSENTAMENTO DE TUBO DE FERRO FUNDIDO PARA REDE DE ÁGUA, DN 150 MM, JUNTA ELÁSTICA, INSTALADO EM LOCAL COM NÍVEL BAIXO DE INTERFERÊNCIAS (NÃO INCLUI FORNECIMENTO). AF_05/2024</v>
          </cell>
          <cell r="D561" t="str">
            <v>M</v>
          </cell>
          <cell r="E561">
            <v>7.46</v>
          </cell>
          <cell r="F561">
            <v>0</v>
          </cell>
        </row>
        <row r="562">
          <cell r="B562">
            <v>97144</v>
          </cell>
          <cell r="C562" t="str">
            <v>ASSENTAMENTO DE TUBO DE FERRO FUNDIDO PARA REDE DE ÁGUA, DN 200 MM, JUNTA ELÁSTICA, INSTALADO EM LOCAL COM NÍVEL ALTO DE INTERFERÊNCIAS (NÃO INCLUI FORNECIMENTO). AF_05/2024</v>
          </cell>
          <cell r="D562" t="str">
            <v>M</v>
          </cell>
          <cell r="E562">
            <v>11.89</v>
          </cell>
          <cell r="F562">
            <v>0</v>
          </cell>
        </row>
        <row r="563">
          <cell r="B563">
            <v>97160</v>
          </cell>
          <cell r="C563" t="str">
            <v>ASSENTAMENTO DE TUBO DE FERRO FUNDIDO PARA REDE DE ÁGUA, DN 200 MM, JUNTA ELÁSTICA, INSTALADO EM LOCAL COM NÍVEL BAIXO DE INTERFERÊNCIAS (NÃO INCLUI FORNECIMENTO). AF_05/2024</v>
          </cell>
          <cell r="D563" t="str">
            <v>M</v>
          </cell>
          <cell r="E563">
            <v>9.4700000000000006</v>
          </cell>
          <cell r="F563">
            <v>0</v>
          </cell>
        </row>
        <row r="564">
          <cell r="B564">
            <v>97145</v>
          </cell>
          <cell r="C564" t="str">
            <v>ASSENTAMENTO DE TUBO DE FERRO FUNDIDO PARA REDE DE ÁGUA, DN 250 MM, JUNTA ELÁSTICA, INSTALADO EM LOCAL COM NÍVEL ALTO DE INTERFERÊNCIAS (NÃO INCLUI FORNECIMENTO). AF_05/2024</v>
          </cell>
          <cell r="D564" t="str">
            <v>M</v>
          </cell>
          <cell r="E564">
            <v>14.33</v>
          </cell>
          <cell r="F564">
            <v>0</v>
          </cell>
        </row>
        <row r="565">
          <cell r="B565">
            <v>97161</v>
          </cell>
          <cell r="C565" t="str">
            <v>ASSENTAMENTO DE TUBO DE FERRO FUNDIDO PARA REDE DE ÁGUA, DN 250 MM, JUNTA ELÁSTICA, INSTALADO EM LOCAL COM NÍVEL BAIXO DE INTERFERÊNCIAS (NÃO INCLUI FORNECIMENTO). AF_05/2024</v>
          </cell>
          <cell r="D565" t="str">
            <v>M</v>
          </cell>
          <cell r="E565">
            <v>11.51</v>
          </cell>
          <cell r="F565">
            <v>0</v>
          </cell>
        </row>
        <row r="566">
          <cell r="B566">
            <v>97146</v>
          </cell>
          <cell r="C566" t="str">
            <v>ASSENTAMENTO DE TUBO DE FERRO FUNDIDO PARA REDE DE ÁGUA, DN 300 MM, JUNTA ELÁSTICA, INSTALADO EM LOCAL COM NÍVEL ALTO DE INTERFERÊNCIAS (NÃO INCLUI FORNECIMENTO). AF_05/2024</v>
          </cell>
          <cell r="D566" t="str">
            <v>M</v>
          </cell>
          <cell r="E566">
            <v>16.78</v>
          </cell>
          <cell r="F566">
            <v>0</v>
          </cell>
        </row>
        <row r="567">
          <cell r="B567">
            <v>97162</v>
          </cell>
          <cell r="C567" t="str">
            <v>ASSENTAMENTO DE TUBO DE FERRO FUNDIDO PARA REDE DE ÁGUA, DN 300 MM, JUNTA ELÁSTICA, INSTALADO EM LOCAL COM NÍVEL BAIXO DE INTERFERÊNCIAS (NÃO INCLUI FORNECIMENTO). AF_05/2024</v>
          </cell>
          <cell r="D567" t="str">
            <v>M</v>
          </cell>
          <cell r="E567">
            <v>13.53</v>
          </cell>
          <cell r="F567">
            <v>0</v>
          </cell>
        </row>
        <row r="568">
          <cell r="B568">
            <v>97147</v>
          </cell>
          <cell r="C568" t="str">
            <v>ASSENTAMENTO DE TUBO DE FERRO FUNDIDO PARA REDE DE ÁGUA, DN 350 MM, JUNTA ELÁSTICA, INSTALADO EM LOCAL COM NÍVEL ALTO DE INTERFERÊNCIAS (NÃO INCLUI FORNECIMENTO). AF_05/2024</v>
          </cell>
          <cell r="D568" t="str">
            <v>M</v>
          </cell>
          <cell r="E568">
            <v>19.2</v>
          </cell>
          <cell r="F568">
            <v>0</v>
          </cell>
        </row>
        <row r="569">
          <cell r="B569">
            <v>97163</v>
          </cell>
          <cell r="C569" t="str">
            <v>ASSENTAMENTO DE TUBO DE FERRO FUNDIDO PARA REDE DE ÁGUA, DN 350 MM, JUNTA ELÁSTICA, INSTALADO EM LOCAL COM NÍVEL BAIXO DE INTERFERÊNCIAS (NÃO INCLUI FORNECIMENTO). AF_05/2024</v>
          </cell>
          <cell r="D569" t="str">
            <v>M</v>
          </cell>
          <cell r="E569">
            <v>15.56</v>
          </cell>
          <cell r="F569">
            <v>0</v>
          </cell>
        </row>
        <row r="570">
          <cell r="B570">
            <v>97148</v>
          </cell>
          <cell r="C570" t="str">
            <v>ASSENTAMENTO DE TUBO DE FERRO FUNDIDO PARA REDE DE ÁGUA, DN 400 MM, JUNTA ELÁSTICA, INSTALADO EM LOCAL COM NÍVEL ALTO DE INTERFERÊNCIAS (NÃO INCLUI FORNECIMENTO). AF_05/2024</v>
          </cell>
          <cell r="D570" t="str">
            <v>M</v>
          </cell>
          <cell r="E570">
            <v>21.64</v>
          </cell>
          <cell r="F570">
            <v>0</v>
          </cell>
        </row>
        <row r="571">
          <cell r="B571">
            <v>97164</v>
          </cell>
          <cell r="C571" t="str">
            <v>ASSENTAMENTO DE TUBO DE FERRO FUNDIDO PARA REDE DE ÁGUA, DN 400 MM, JUNTA ELÁSTICA, INSTALADO EM LOCAL COM NÍVEL BAIXO DE INTERFERÊNCIAS (NÃO INCLUI FORNECIMENTO). AF_05/2024</v>
          </cell>
          <cell r="D571" t="str">
            <v>M</v>
          </cell>
          <cell r="E571">
            <v>17.600000000000001</v>
          </cell>
          <cell r="F571">
            <v>0</v>
          </cell>
        </row>
        <row r="572">
          <cell r="B572">
            <v>97149</v>
          </cell>
          <cell r="C572" t="str">
            <v>ASSENTAMENTO DE TUBO DE FERRO FUNDIDO PARA REDE DE ÁGUA, DN 450 MM, JUNTA ELÁSTICA, INSTALADO EM LOCAL COM NÍVEL ALTO DE INTERFERÊNCIAS (NÃO INCLUI FORNECIMENTO). AF_05/2024</v>
          </cell>
          <cell r="D572" t="str">
            <v>M</v>
          </cell>
          <cell r="E572">
            <v>24.11</v>
          </cell>
          <cell r="F572">
            <v>0</v>
          </cell>
        </row>
        <row r="573">
          <cell r="B573">
            <v>97165</v>
          </cell>
          <cell r="C573" t="str">
            <v>ASSENTAMENTO DE TUBO DE FERRO FUNDIDO PARA REDE DE ÁGUA, DN 450 MM, JUNTA ELÁSTICA, INSTALADO EM LOCAL COM NÍVEL BAIXO DE INTERFERÊNCIAS (NÃO INCLUI FORNECIMENTO). AF_05/2024</v>
          </cell>
          <cell r="D573" t="str">
            <v>M</v>
          </cell>
          <cell r="E573">
            <v>19.64</v>
          </cell>
          <cell r="F573">
            <v>0</v>
          </cell>
        </row>
        <row r="574">
          <cell r="B574">
            <v>97150</v>
          </cell>
          <cell r="C574" t="str">
            <v>ASSENTAMENTO DE TUBO DE FERRO FUNDIDO PARA REDE DE ÁGUA, DN 500 MM, JUNTA ELÁSTICA, INSTALADO EM LOCAL COM NÍVEL ALTO DE INTERFERÊNCIAS (NÃO INCLUI FORNECIMENTO). AF_05/2024</v>
          </cell>
          <cell r="D574" t="str">
            <v>M</v>
          </cell>
          <cell r="E574">
            <v>29.93</v>
          </cell>
          <cell r="F574">
            <v>0</v>
          </cell>
        </row>
        <row r="575">
          <cell r="B575">
            <v>97166</v>
          </cell>
          <cell r="C575" t="str">
            <v>ASSENTAMENTO DE TUBO DE FERRO FUNDIDO PARA REDE DE ÁGUA, DN 500 MM, JUNTA ELÁSTICA, INSTALADO EM LOCAL COM NÍVEL BAIXO DE INTERFERÊNCIAS (NÃO INCLUI FORNECIMENTO). AF_05/2024</v>
          </cell>
          <cell r="D575" t="str">
            <v>M</v>
          </cell>
          <cell r="E575">
            <v>23.95</v>
          </cell>
          <cell r="F575">
            <v>0</v>
          </cell>
        </row>
        <row r="576">
          <cell r="B576">
            <v>97151</v>
          </cell>
          <cell r="C576" t="str">
            <v>ASSENTAMENTO DE TUBO DE FERRO FUNDIDO PARA REDE DE ÁGUA, DN 600 MM, JUNTA ELÁSTICA, INSTALADO EM LOCAL COM NÍVEL ALTO DE INTERFERÊNCIAS (NÃO INCLUI FORNECIMENTO). AF_05/2024</v>
          </cell>
          <cell r="D576" t="str">
            <v>M</v>
          </cell>
          <cell r="E576">
            <v>35.369999999999997</v>
          </cell>
          <cell r="F576">
            <v>0</v>
          </cell>
        </row>
        <row r="577">
          <cell r="B577">
            <v>97167</v>
          </cell>
          <cell r="C577" t="str">
            <v>ASSENTAMENTO DE TUBO DE FERRO FUNDIDO PARA REDE DE ÁGUA, DN 600 MM, JUNTA ELÁSTICA, INSTALADO EM LOCAL COM NÍVEL BAIXO DE INTERFERÊNCIAS (NÃO INCLUI FORNECIMENTO). AF_05/2024</v>
          </cell>
          <cell r="D577" t="str">
            <v>M</v>
          </cell>
          <cell r="E577">
            <v>28.4</v>
          </cell>
          <cell r="F577">
            <v>0</v>
          </cell>
        </row>
        <row r="578">
          <cell r="B578">
            <v>97152</v>
          </cell>
          <cell r="C578" t="str">
            <v>ASSENTAMENTO DE TUBO DE FERRO FUNDIDO PARA REDE DE ÁGUA, DN 700 MM, JUNTA ELÁSTICA, INSTALADO EM LOCAL COM NÍVEL ALTO DE INTERFERÊNCIAS (NÃO INCLUI FORNECIMENTO). AF_05/2024</v>
          </cell>
          <cell r="D578" t="str">
            <v>M</v>
          </cell>
          <cell r="E578">
            <v>40.54</v>
          </cell>
          <cell r="F578">
            <v>0</v>
          </cell>
        </row>
        <row r="579">
          <cell r="B579">
            <v>97168</v>
          </cell>
          <cell r="C579" t="str">
            <v>ASSENTAMENTO DE TUBO DE FERRO FUNDIDO PARA REDE DE ÁGUA, DN 700 MM, JUNTA ELÁSTICA, INSTALADO EM LOCAL COM NÍVEL BAIXO DE INTERFERÊNCIAS (NÃO INCLUI FORNECIMENTO). AF_05/2024</v>
          </cell>
          <cell r="D579" t="str">
            <v>M</v>
          </cell>
          <cell r="E579">
            <v>32.61</v>
          </cell>
          <cell r="F579">
            <v>0</v>
          </cell>
        </row>
        <row r="580">
          <cell r="B580">
            <v>97141</v>
          </cell>
          <cell r="C580" t="str">
            <v>ASSENTAMENTO DE TUBO DE FERRO FUNDIDO PARA REDE DE ÁGUA, DN 80 MM, JUNTA ELÁSTICA, INSTALADO EM LOCAL COM NÍVEL ALTO DE INTERFERÊNCIAS (NÃO INCLUI FORNECIMENTO). AF_05/2024</v>
          </cell>
          <cell r="D580" t="str">
            <v>M</v>
          </cell>
          <cell r="E580">
            <v>6.09</v>
          </cell>
          <cell r="F580">
            <v>0</v>
          </cell>
        </row>
        <row r="581">
          <cell r="B581">
            <v>97157</v>
          </cell>
          <cell r="C581" t="str">
            <v>ASSENTAMENTO DE TUBO DE FERRO FUNDIDO PARA REDE DE ÁGUA, DN 80 MM, JUNTA ELÁSTICA, INSTALADO EM LOCAL COM NÍVEL BAIXO DE INTERFERÊNCIAS (NÃO INCLUI FORNECIMENTO). AF_05/2024</v>
          </cell>
          <cell r="D581" t="str">
            <v>M</v>
          </cell>
          <cell r="E581">
            <v>4.6399999999999997</v>
          </cell>
          <cell r="F581">
            <v>0</v>
          </cell>
        </row>
        <row r="582">
          <cell r="B582">
            <v>97153</v>
          </cell>
          <cell r="C582" t="str">
            <v>ASSENTAMENTO DE TUBO DE FERRO FUNDIDO PARA REDE DE ÁGUA, DN 800 MM, JUNTA ELÁSTICA, INSTALADO EM LOCAL COM NÍVEL ALTO DE INTERFERÊNCIAS (NÃO INCLUI FORNECIMENTO). AF_05/2024</v>
          </cell>
          <cell r="D582" t="str">
            <v>M</v>
          </cell>
          <cell r="E582">
            <v>45.88</v>
          </cell>
          <cell r="F582">
            <v>0</v>
          </cell>
        </row>
        <row r="583">
          <cell r="B583">
            <v>97169</v>
          </cell>
          <cell r="C583" t="str">
            <v>ASSENTAMENTO DE TUBO DE FERRO FUNDIDO PARA REDE DE ÁGUA, DN 800 MM, JUNTA ELÁSTICA, INSTALADO EM LOCAL COM NÍVEL BAIXO DE INTERFERÊNCIAS (NÃO INCLUI FORNECIMENTO). AF_05/2024</v>
          </cell>
          <cell r="D583" t="str">
            <v>M</v>
          </cell>
          <cell r="E583">
            <v>36.97</v>
          </cell>
          <cell r="F583">
            <v>0</v>
          </cell>
        </row>
        <row r="584">
          <cell r="B584">
            <v>97154</v>
          </cell>
          <cell r="C584" t="str">
            <v>ASSENTAMENTO DE TUBO DE FERRO FUNDIDO PARA REDE DE ÁGUA, DN 900 MM, JUNTA ELÁSTICA, INSTALADO EM LOCAL COM NÍVEL ALTO DE INTERFERÊNCIAS (NÃO INCLUI FORNECIMENTO). AF_05/2024</v>
          </cell>
          <cell r="D584" t="str">
            <v>M</v>
          </cell>
          <cell r="E584">
            <v>51.25</v>
          </cell>
          <cell r="F584">
            <v>0</v>
          </cell>
        </row>
        <row r="585">
          <cell r="B585">
            <v>97170</v>
          </cell>
          <cell r="C585" t="str">
            <v>ASSENTAMENTO DE TUBO DE FERRO FUNDIDO PARA REDE DE ÁGUA, DN 900 MM, JUNTA ELÁSTICA, INSTALADO EM LOCAL COM NÍVEL BAIXO DE INTERFERÊNCIAS (NÃO INCLUI FORNECIMENTO). AF_05/2024</v>
          </cell>
          <cell r="D585" t="str">
            <v>M</v>
          </cell>
          <cell r="E585">
            <v>41.36</v>
          </cell>
          <cell r="F585">
            <v>0</v>
          </cell>
        </row>
        <row r="586">
          <cell r="B586">
            <v>105311</v>
          </cell>
          <cell r="C586" t="str">
            <v>ASSENTAMENTO DE TUBO DE PVC DEFOFO OU PRFV OU RPVC PARA REDE DE ÁGUA, DN 100, JUNTA ELÁSTICA INTEGRADA, INSTALADO EM LOCAL COM NÍVEL ALTO DE INTERFERÊNCIAS (NÃO INCLUI FORNECIMENTO). AF_05/2024</v>
          </cell>
          <cell r="D586" t="str">
            <v>M</v>
          </cell>
          <cell r="E586">
            <v>5.32</v>
          </cell>
          <cell r="F586">
            <v>0</v>
          </cell>
        </row>
        <row r="587">
          <cell r="B587">
            <v>105339</v>
          </cell>
          <cell r="C587" t="str">
            <v>ASSENTAMENTO DE TUBO DE PVC DEFOFO OU PRFV OU RPVC PARA REDE DE ÁGUA, DN 100, JUNTA ELÁSTICA INTEGRADA, INSTALADO EM LOCAL COM NÍVEL BAIXO DE INTERFERÊNCIAS (NÃO INCLUI FORNECIMENTO). AF_05/2024</v>
          </cell>
          <cell r="D587" t="str">
            <v>M</v>
          </cell>
          <cell r="E587">
            <v>4.3499999999999996</v>
          </cell>
          <cell r="F587">
            <v>0</v>
          </cell>
        </row>
        <row r="588">
          <cell r="B588">
            <v>97127</v>
          </cell>
          <cell r="C588" t="str">
            <v>ASSENTAMENTO DE TUBO DE PVC DEFOFO OU PRFV OU RPVC PARA REDE DE ÁGUA, DN 150 MM, JUNTA ELÁSTICA INTEGRADA, INSTALADO EM LOCAL COM NÍVEL ALTO DE INTERFERÊNCIAS (NÃO INCLUI FORNECIMENTO). AF_05/2024</v>
          </cell>
          <cell r="D588" t="str">
            <v>M</v>
          </cell>
          <cell r="E588">
            <v>6.92</v>
          </cell>
          <cell r="F588">
            <v>0</v>
          </cell>
        </row>
        <row r="589">
          <cell r="B589">
            <v>97134</v>
          </cell>
          <cell r="C589" t="str">
            <v>ASSENTAMENTO DE TUBO DE PVC DEFOFO OU PRFV OU RPVC PARA REDE DE ÁGUA, DN 150 MM, JUNTA ELÁSTICA INTEGRADA, INSTALADO EM LOCAL COM NÍVEL BAIXO DE INTERFERÊNCIAS (NÃO INCLUI FORNECIMENTO). AF_05/2024</v>
          </cell>
          <cell r="D589" t="str">
            <v>M</v>
          </cell>
          <cell r="E589">
            <v>5.68</v>
          </cell>
          <cell r="F589">
            <v>0</v>
          </cell>
        </row>
        <row r="590">
          <cell r="B590">
            <v>97128</v>
          </cell>
          <cell r="C590" t="str">
            <v>ASSENTAMENTO DE TUBO DE PVC DEFOFO OU PRFV OU RPVC PARA REDE DE ÁGUA, DN 200 MM, JUNTA ELÁSTICA INTEGRADA, INSTALADO EM LOCAL COM NÍVEL ALTO DE INTERFERÊNCIAS (NÃO INCLUI FORNECIMENTO). AF_05/2024</v>
          </cell>
          <cell r="D590" t="str">
            <v>M</v>
          </cell>
          <cell r="E590">
            <v>12.89</v>
          </cell>
          <cell r="F590">
            <v>0</v>
          </cell>
        </row>
        <row r="591">
          <cell r="B591">
            <v>97135</v>
          </cell>
          <cell r="C591" t="str">
            <v>ASSENTAMENTO DE TUBO DE PVC DEFOFO OU PRFV OU RPVC PARA REDE DE ÁGUA, DN 200 MM, JUNTA ELÁSTICA INTEGRADA, INSTALADO EM LOCAL COM NÍVEL BAIXO DE INTERFERÊNCIAS (NÃO INCLUI FORNECIMENTO). AF_05/2024</v>
          </cell>
          <cell r="D591" t="str">
            <v>M</v>
          </cell>
          <cell r="E591">
            <v>9.84</v>
          </cell>
          <cell r="F591">
            <v>0</v>
          </cell>
        </row>
        <row r="592">
          <cell r="B592">
            <v>97129</v>
          </cell>
          <cell r="C592" t="str">
            <v>ASSENTAMENTO DE TUBO DE PVC DEFOFO OU PRFV OU RPVC PARA REDE DE ÁGUA, DN 250 MM, JUNTA ELÁSTICA INTEGRADA, INSTALADO EM LOCAL COM NÍVEL ALTO DE INTERFERÊNCIAS (NÃO INCLUI FORNECIMENTO). AF_05/2024</v>
          </cell>
          <cell r="D592" t="str">
            <v>M</v>
          </cell>
          <cell r="E592">
            <v>15.25</v>
          </cell>
          <cell r="F592">
            <v>0</v>
          </cell>
        </row>
        <row r="593">
          <cell r="B593">
            <v>97136</v>
          </cell>
          <cell r="C593" t="str">
            <v>ASSENTAMENTO DE TUBO DE PVC DEFOFO OU PRFV OU RPVC PARA REDE DE ÁGUA, DN 250 MM, JUNTA ELÁSTICA INTEGRADA, INSTALADO EM LOCAL COM NÍVEL BAIXO DE INTERFERÊNCIAS (NÃO INCLUI FORNECIMENTO). AF_05/2024</v>
          </cell>
          <cell r="D593" t="str">
            <v>M</v>
          </cell>
          <cell r="E593">
            <v>11.65</v>
          </cell>
          <cell r="F593">
            <v>0</v>
          </cell>
        </row>
        <row r="594">
          <cell r="B594">
            <v>97130</v>
          </cell>
          <cell r="C594" t="str">
            <v>ASSENTAMENTO DE TUBO DE PVC DEFOFO OU PRFV OU RPVC PARA REDE DE ÁGUA, DN 300 MM, JUNTA ELÁSTICA INTEGRADA, INSTALADO EM LOCAL COM NÍVEL ALTO DE INTERFERÊNCIAS (NÃO INCLUI FORNECIMENTO). AF_05/2024</v>
          </cell>
          <cell r="D594" t="str">
            <v>M</v>
          </cell>
          <cell r="E594">
            <v>17.64</v>
          </cell>
          <cell r="F594">
            <v>0</v>
          </cell>
        </row>
        <row r="595">
          <cell r="B595">
            <v>97137</v>
          </cell>
          <cell r="C595" t="str">
            <v>ASSENTAMENTO DE TUBO DE PVC DEFOFO OU PRFV OU RPVC PARA REDE DE ÁGUA, DN 300 MM, JUNTA ELÁSTICA INTEGRADA, INSTALADO EM LOCAL COM NÍVEL BAIXO DE INTERFERÊNCIAS (NÃO INCLUI FORNECIMENTO). AF_05/2024</v>
          </cell>
          <cell r="D595" t="str">
            <v>M</v>
          </cell>
          <cell r="E595">
            <v>13.48</v>
          </cell>
          <cell r="F595">
            <v>0</v>
          </cell>
        </row>
        <row r="596">
          <cell r="B596">
            <v>97131</v>
          </cell>
          <cell r="C596" t="str">
            <v>ASSENTAMENTO DE TUBO DE PVC DEFOFO OU PRFV OU RPVC PARA REDE DE ÁGUA, DN 350 MM, JUNTA ELÁSTICA INTEGRADA, INSTALADO EM LOCAL COM NÍVEL ALTO DE INTERFERÊNCIAS (NÃO INCLUI FORNECIMENTO). AF_05/2024</v>
          </cell>
          <cell r="D596" t="str">
            <v>M</v>
          </cell>
          <cell r="E596">
            <v>20.02</v>
          </cell>
          <cell r="F596">
            <v>0</v>
          </cell>
        </row>
        <row r="597">
          <cell r="B597">
            <v>97138</v>
          </cell>
          <cell r="C597" t="str">
            <v>ASSENTAMENTO DE TUBO DE PVC DEFOFO OU PRFV OU RPVC PARA REDE DE ÁGUA, DN 350 MM, JUNTA ELÁSTICA INTEGRADA, INSTALADO EM LOCAL COM NÍVEL BAIXO DE INTERFERÊNCIAS (NÃO INCLUI FORNECIMENTO). AF_05/2024</v>
          </cell>
          <cell r="D597" t="str">
            <v>M</v>
          </cell>
          <cell r="E597">
            <v>15.3</v>
          </cell>
          <cell r="F597">
            <v>0</v>
          </cell>
        </row>
        <row r="598">
          <cell r="B598">
            <v>97132</v>
          </cell>
          <cell r="C598" t="str">
            <v>ASSENTAMENTO DE TUBO DE PVC DEFOFO OU PRFV OU RPVC PARA REDE DE ÁGUA, DN 400 MM, JUNTA ELÁSTICA INTEGRADA, INSTALADO EM LOCAL COM NÍVEL ALTO DE INTERFERÊNCIAS (NÃO INCLUI FORNECIMENTO). AF_05/2024</v>
          </cell>
          <cell r="D598" t="str">
            <v>M</v>
          </cell>
          <cell r="E598">
            <v>22.4</v>
          </cell>
          <cell r="F598">
            <v>0</v>
          </cell>
        </row>
        <row r="599">
          <cell r="B599">
            <v>97139</v>
          </cell>
          <cell r="C599" t="str">
            <v>ASSENTAMENTO DE TUBO DE PVC DEFOFO OU PRFV OU RPVC PARA REDE DE ÁGUA, DN 400 MM, JUNTA ELÁSTICA INTEGRADA, INSTALADO EM LOCAL COM NÍVEL BAIXO DE INTERFERÊNCIAS (NÃO INCLUI FORNECIMENTO). AF_05/2024</v>
          </cell>
          <cell r="D599" t="str">
            <v>M</v>
          </cell>
          <cell r="E599">
            <v>17.13</v>
          </cell>
          <cell r="F599">
            <v>0</v>
          </cell>
        </row>
        <row r="600">
          <cell r="B600">
            <v>97133</v>
          </cell>
          <cell r="C600" t="str">
            <v>ASSENTAMENTO DE TUBO DE PVC DEFOFO OU PRFV OU RPVC PARA REDE DE ÁGUA, DN 500 MM, JUNTA ELÁSTICA INTEGRADA, INSTALADO EM LOCAL COM NÍVEL ALTO DE INTERFERÊNCIAS (NÃO INCLUI FORNECIMENTO). AF_05/2024</v>
          </cell>
          <cell r="D600" t="str">
            <v>M</v>
          </cell>
          <cell r="E600">
            <v>27.16</v>
          </cell>
          <cell r="F600">
            <v>0</v>
          </cell>
        </row>
        <row r="601">
          <cell r="B601">
            <v>97140</v>
          </cell>
          <cell r="C601" t="str">
            <v>ASSENTAMENTO DE TUBO DE PVC DEFOFO OU PRFV OU RPVC PARA REDE DE ÁGUA, DN 500 MM, JUNTA ELÁSTICA INTEGRADA, INSTALADO EM LOCAL COM NÍVEL BAIXO DE INTERFERÊNCIAS (NÃO INCLUI FORNECIMENTO). AF_05/2024</v>
          </cell>
          <cell r="D601" t="str">
            <v>M</v>
          </cell>
          <cell r="E601">
            <v>20.76</v>
          </cell>
          <cell r="F601">
            <v>0</v>
          </cell>
        </row>
        <row r="602">
          <cell r="B602">
            <v>97123</v>
          </cell>
          <cell r="C602" t="str">
            <v>ASSENTAMENTO DE TUBO DE PVC PBA PARA REDE DE ÁGUA, DN 100 MM, JUNTA ELÁSTICA INTEGRADA, INSTALADO EM LOCAL COM NÍVEL ALTO DE INTERFERÊNCIAS (NÃO INCLUI FORNECIMENTO). AF_05/2024</v>
          </cell>
          <cell r="D602" t="str">
            <v>M</v>
          </cell>
          <cell r="E602">
            <v>5.73</v>
          </cell>
          <cell r="F602">
            <v>0</v>
          </cell>
        </row>
        <row r="603">
          <cell r="B603">
            <v>97126</v>
          </cell>
          <cell r="C603" t="str">
            <v>ASSENTAMENTO DE TUBO DE PVC PBA PARA REDE DE ÁGUA, DN 100 MM, JUNTA ELÁSTICA INTEGRADA, INSTALADO EM LOCAL COM NÍVEL BAIXO DE INTERFERÊNCIAS (NÃO INCLUI FORNECIMENTO). AF_05/2024</v>
          </cell>
          <cell r="D603" t="str">
            <v>M</v>
          </cell>
          <cell r="E603">
            <v>4.7</v>
          </cell>
          <cell r="F603">
            <v>0</v>
          </cell>
        </row>
        <row r="604">
          <cell r="B604">
            <v>105308</v>
          </cell>
          <cell r="C604" t="str">
            <v>ASSENTAMENTO DE TUBO DE PVC PBA PARA REDE DE ÁGUA, DN 125, JUNTA ELÁSTICA INTEGRADA, INSTALADO EM LOCAL COM NÍVEL ALTO DE INTERFERÊNCIAS (NÃO INCLUI FORNECIMENTO). AF_05/2024</v>
          </cell>
          <cell r="D604" t="str">
            <v>M</v>
          </cell>
          <cell r="E604">
            <v>6.58</v>
          </cell>
          <cell r="F604">
            <v>0</v>
          </cell>
        </row>
        <row r="605">
          <cell r="B605">
            <v>105312</v>
          </cell>
          <cell r="C605" t="str">
            <v>ASSENTAMENTO DE TUBO DE PVC PBA PARA REDE DE ÁGUA, DN 125, JUNTA ELÁSTICA INTEGRADA, INSTALADO EM LOCAL COM NÍVEL BAIXO DE INTERFERÊNCIAS (NÃO INCLUI FORNECIMENTO). AF_05/2024</v>
          </cell>
          <cell r="D605" t="str">
            <v>M</v>
          </cell>
          <cell r="E605">
            <v>5.4</v>
          </cell>
          <cell r="F605">
            <v>0</v>
          </cell>
        </row>
        <row r="606">
          <cell r="B606">
            <v>105309</v>
          </cell>
          <cell r="C606" t="str">
            <v>ASSENTAMENTO DE TUBO DE PVC PBA PARA REDE DE ÁGUA, DN 140, JUNTA ELÁSTICA INTEGRADA, INSTALADO EM LOCAL COM NÍVEL ALTO DE INTERFERÊNCIAS (NÃO INCLUI FORNECIMENTO). AF_05/2024</v>
          </cell>
          <cell r="D606" t="str">
            <v>M</v>
          </cell>
          <cell r="E606">
            <v>7.06</v>
          </cell>
          <cell r="F606">
            <v>0</v>
          </cell>
        </row>
        <row r="607">
          <cell r="B607">
            <v>105313</v>
          </cell>
          <cell r="C607" t="str">
            <v>ASSENTAMENTO DE TUBO DE PVC PBA PARA REDE DE ÁGUA, DN 140, JUNTA ELÁSTICA INTEGRADA, INSTALADO EM LOCAL COM NÍVEL BAIXO DE INTERFERÊNCIAS (NÃO INCLUI FORNECIMENTO). AF_05/2024</v>
          </cell>
          <cell r="D607" t="str">
            <v>M</v>
          </cell>
          <cell r="E607">
            <v>5.8</v>
          </cell>
          <cell r="F607">
            <v>0</v>
          </cell>
        </row>
        <row r="608">
          <cell r="B608">
            <v>105310</v>
          </cell>
          <cell r="C608" t="str">
            <v>ASSENTAMENTO DE TUBO DE PVC PBA PARA REDE DE ÁGUA, DN 180, JUNTA ELÁSTICA INTEGRADA, INSTALADO EM LOCAL COM NÍVEL ALTO DE INTERFERÊNCIAS (NÃO INCLUI FORNECIMENTO). AF_05/2024</v>
          </cell>
          <cell r="D608" t="str">
            <v>M</v>
          </cell>
          <cell r="E608">
            <v>8.33</v>
          </cell>
          <cell r="F608">
            <v>0</v>
          </cell>
        </row>
        <row r="609">
          <cell r="B609">
            <v>105314</v>
          </cell>
          <cell r="C609" t="str">
            <v>ASSENTAMENTO DE TUBO DE PVC PBA PARA REDE DE ÁGUA, DN 180, JUNTA ELÁSTICA INTEGRADA, INSTALADO EM LOCAL COM NÍVEL BAIXO DE INTERFERÊNCIAS (NÃO INCLUI FORNECIMENTO). AF_05/2024</v>
          </cell>
          <cell r="D609" t="str">
            <v>M</v>
          </cell>
          <cell r="E609">
            <v>6.84</v>
          </cell>
          <cell r="F609">
            <v>0</v>
          </cell>
        </row>
        <row r="610">
          <cell r="B610">
            <v>97121</v>
          </cell>
          <cell r="C610" t="str">
            <v>ASSENTAMENTO DE TUBO DE PVC PBA PARA REDE DE ÁGUA, DN 50 MM, JUNTA ELÁSTICA INTEGRADA, INSTALADO EM LOCAL COM NÍVEL ALTO DE INTERFERÊNCIAS (NÃO INCLUI FORNECIMENTO). AF_05/2024</v>
          </cell>
          <cell r="D610" t="str">
            <v>M</v>
          </cell>
          <cell r="E610">
            <v>4.1399999999999997</v>
          </cell>
          <cell r="F610">
            <v>0</v>
          </cell>
        </row>
        <row r="611">
          <cell r="B611">
            <v>97124</v>
          </cell>
          <cell r="C611" t="str">
            <v>ASSENTAMENTO DE TUBO DE PVC PBA PARA REDE DE ÁGUA, DN 50 MM, JUNTA ELÁSTICA INTEGRADA, INSTALADO EM LOCAL COM NÍVEL BAIXO DE INTERFERÊNCIAS (NÃO INCLUI FORNECIMENTO). AF_05/2024</v>
          </cell>
          <cell r="D611" t="str">
            <v>M</v>
          </cell>
          <cell r="E611">
            <v>3.37</v>
          </cell>
          <cell r="F611">
            <v>0</v>
          </cell>
        </row>
        <row r="612">
          <cell r="B612">
            <v>97122</v>
          </cell>
          <cell r="C612" t="str">
            <v>ASSENTAMENTO DE TUBO DE PVC PBA PARA REDE DE ÁGUA, DN 75 MM, JUNTA ELÁSTICA INTEGRADA, INSTALADO EM LOCAL COM NÍVEL ALTO DE INTERFERÊNCIAS (NÃO INCLUI FORNECIMENTO). AF_05/2024</v>
          </cell>
          <cell r="D612" t="str">
            <v>M</v>
          </cell>
          <cell r="E612">
            <v>4.95</v>
          </cell>
          <cell r="F612">
            <v>0</v>
          </cell>
        </row>
        <row r="613">
          <cell r="B613">
            <v>97125</v>
          </cell>
          <cell r="C613" t="str">
            <v>ASSENTAMENTO DE TUBO DE PVC PBA PARA REDE DE ÁGUA, DN 75 MM, JUNTA ELÁSTICA INTEGRADA, INSTALADO EM LOCAL COM NÍVEL BAIXO DE INTERFERÊNCIAS (NÃO INCLUI FORNECIMENTO). AF_05/2024</v>
          </cell>
          <cell r="D613" t="str">
            <v>M</v>
          </cell>
          <cell r="E613">
            <v>4.04</v>
          </cell>
          <cell r="F613">
            <v>0</v>
          </cell>
        </row>
        <row r="614">
          <cell r="B614">
            <v>105296</v>
          </cell>
          <cell r="C614" t="str">
            <v>ASSENTAMENTO E FORNECIMENTO DE CURVA PVC PBA, JE, PB, 45 GRAUS, DN 100 / DE 110 MM, PARA REDE AGUA, JUNTA ELÁSTICA INTEGRADA, INSTALADO EM LOCAL COM NÍVEL ALTO DE INTERFERÊNCIAS (INCLUI FORNECIMENTO). AF_05/2024</v>
          </cell>
          <cell r="D614" t="str">
            <v>UN</v>
          </cell>
          <cell r="E614">
            <v>202.02</v>
          </cell>
          <cell r="F614">
            <v>0</v>
          </cell>
        </row>
        <row r="615">
          <cell r="B615">
            <v>105374</v>
          </cell>
          <cell r="C615" t="str">
            <v>ASSENTAMENTO E FORNECIMENTO DE CURVA PVC PBA, JE, PB, 45 GRAUS, DN 100 / DE 110 MM, PARA REDE AGUA, JUNTA ELÁSTICA INTEGRADA, INSTALADO EM LOCAL COM NÍVEL BAIXO DE INTERFERÊNCIAS (INCLUI FORNECIMENTO). AF_05/2024</v>
          </cell>
          <cell r="D615" t="str">
            <v>UN</v>
          </cell>
          <cell r="E615">
            <v>195.72</v>
          </cell>
          <cell r="F615">
            <v>0</v>
          </cell>
        </row>
        <row r="616">
          <cell r="B616">
            <v>105292</v>
          </cell>
          <cell r="C616" t="str">
            <v>ASSENTAMENTO E FORNECIMENTO DE CURVA PVC PBA, JE, PB, 45 GRAUS, DN 50 / DE 60 MM, PARA REDE AGUA, JUNTA ELÁSTICA INTEGRADA, INSTALADO EM LOCAL COM NÍVEL ALTO DE INTERFERÊNCIAS (INCLUI FORNECIMENTO). AF_05/2024</v>
          </cell>
          <cell r="D616" t="str">
            <v>UN</v>
          </cell>
          <cell r="E616">
            <v>61.63</v>
          </cell>
          <cell r="F616">
            <v>0</v>
          </cell>
        </row>
        <row r="617">
          <cell r="B617">
            <v>105293</v>
          </cell>
          <cell r="C617" t="str">
            <v>ASSENTAMENTO E FORNECIMENTO DE CURVA PVC PBA, JE, PB, 45 GRAUS, DN 50 / DE 60 MM, PARA REDE AGUA, JUNTA ELÁSTICA INTEGRADA, INSTALADO EM LOCAL COM NÍVEL BAIXO DE INTERFERÊNCIAS (INCLUI FORNECIMENTO). AF_05/2024</v>
          </cell>
          <cell r="D617" t="str">
            <v>UN</v>
          </cell>
          <cell r="E617">
            <v>57.01</v>
          </cell>
          <cell r="F617">
            <v>0</v>
          </cell>
        </row>
        <row r="618">
          <cell r="B618">
            <v>105294</v>
          </cell>
          <cell r="C618" t="str">
            <v>ASSENTAMENTO E FORNECIMENTO DE CURVA PVC PBA, JE, PB, 45 GRAUS, DN 75 / DE 85 MM, PARA REDE AGUA, JUNTA ELÁSTICA INTEGRADA, INSTALADO EM LOCAL COM NÍVEL ALTO DE INTERFERÊNCIAS (INCLUI FORNECIMENTO). AF_05/2024</v>
          </cell>
          <cell r="D618" t="str">
            <v>UN</v>
          </cell>
          <cell r="E618">
            <v>120.13</v>
          </cell>
          <cell r="F618">
            <v>0</v>
          </cell>
        </row>
        <row r="619">
          <cell r="B619">
            <v>105295</v>
          </cell>
          <cell r="C619" t="str">
            <v>ASSENTAMENTO E FORNECIMENTO DE CURVA PVC PBA, JE, PB, 45 GRAUS, DN 75 / DE 85 MM, PARA REDE AGUA, JUNTA ELÁSTICA INTEGRADA, INSTALADO EM LOCAL COM NÍVEL BAIXO DE INTERFERÊNCIAS (INCLUI FORNECIMENTO). AF_05/2024</v>
          </cell>
          <cell r="D619" t="str">
            <v>UN</v>
          </cell>
          <cell r="E619">
            <v>114.67</v>
          </cell>
          <cell r="F619">
            <v>0</v>
          </cell>
        </row>
        <row r="620">
          <cell r="B620">
            <v>105290</v>
          </cell>
          <cell r="C620" t="str">
            <v>ASSENTAMENTO E FORNECIMENTO DE LUVA SIMPLES, PVC PBA, JE, DN 100 / DE 110 MM, PARA REDE AGUA, JUNTA ELÁSTICA INTEGRADA, INSTALADO EM LOCAL COM NÍVEL ALTO DE INTERFERÊNCIAS (INCLUI FORNECIMENTO). AF_05/2024</v>
          </cell>
          <cell r="D620" t="str">
            <v>UN</v>
          </cell>
          <cell r="E620">
            <v>79.38</v>
          </cell>
          <cell r="F620">
            <v>0</v>
          </cell>
        </row>
        <row r="621">
          <cell r="B621">
            <v>105291</v>
          </cell>
          <cell r="C621" t="str">
            <v>ASSENTAMENTO E FORNECIMENTO DE LUVA SIMPLES, PVC PBA, JE, DN 100 / DE 110 MM, PARA REDE AGUA, JUNTA ELÁSTICA INTEGRADA, INSTALADO EM LOCAL COM NÍVEL BAIXO DE INTERFERÊNCIAS (INCLUI FORNECIMENTO). AF_05/2024</v>
          </cell>
          <cell r="D621" t="str">
            <v>UN</v>
          </cell>
          <cell r="E621">
            <v>75.17</v>
          </cell>
          <cell r="F621">
            <v>0</v>
          </cell>
        </row>
        <row r="622">
          <cell r="B622">
            <v>105286</v>
          </cell>
          <cell r="C622" t="str">
            <v>ASSENTAMENTO E FORNECIMENTO DE LUVA SIMPLES, PVC PBA, JE, DN 50 / DE 60 MM, PARA REDE AGUA, JUNTA ELÁSTICA INTEGRADA, INSTALADO EM LOCAL COM NÍVEL ALTO DE INTERFERÊNCIAS (INCLUI FORNECIMENTO). AF_05/2024</v>
          </cell>
          <cell r="D622" t="str">
            <v>UN</v>
          </cell>
          <cell r="E622">
            <v>37.31</v>
          </cell>
          <cell r="F622">
            <v>0</v>
          </cell>
        </row>
        <row r="623">
          <cell r="B623">
            <v>105287</v>
          </cell>
          <cell r="C623" t="str">
            <v>ASSENTAMENTO E FORNECIMENTO DE LUVA SIMPLES, PVC PBA, JE, DN 50 / DE 60 MM, PARA REDE AGUA, JUNTA ELÁSTICA INTEGRADA, INSTALADO EM LOCAL COM NÍVEL BAIXO DE INTERFERÊNCIAS (INCLUI FORNECIMENTO). AF_05/2024</v>
          </cell>
          <cell r="D623" t="str">
            <v>UN</v>
          </cell>
          <cell r="E623">
            <v>34.22</v>
          </cell>
          <cell r="F623">
            <v>0</v>
          </cell>
        </row>
        <row r="624">
          <cell r="B624">
            <v>105288</v>
          </cell>
          <cell r="C624" t="str">
            <v>ASSENTAMENTO E FORNECIMENTO DE LUVA SIMPLES, PVC PBA, JE, DN 75 / DE 85 MM, PARA REDE AGUA, JUNTA ELÁSTICA INTEGRADA, INSTALADO EM LOCAL COM NÍVEL ALTO DE INTERFERÊNCIAS (INCLUI FORNECIMENTO). AF_05/2024</v>
          </cell>
          <cell r="D624" t="str">
            <v>UN</v>
          </cell>
          <cell r="E624">
            <v>59.64</v>
          </cell>
          <cell r="F624">
            <v>0</v>
          </cell>
        </row>
        <row r="625">
          <cell r="B625">
            <v>105289</v>
          </cell>
          <cell r="C625" t="str">
            <v>ASSENTAMENTO E FORNECIMENTO DE LUVA SIMPLES, PVC PBA, JE, DN 75 / DE 85 MM, PARA REDE AGUA, JUNTA ELÁSTICA INTEGRADA, INSTALADO EM LOCAL COM NÍVEL BAIXO DE INTERFERÊNCIAS (INCLUI FORNECIMENTO). AF_05/2024</v>
          </cell>
          <cell r="D625" t="str">
            <v>UN</v>
          </cell>
          <cell r="E625">
            <v>55.99</v>
          </cell>
          <cell r="F625">
            <v>0</v>
          </cell>
        </row>
        <row r="626">
          <cell r="B626">
            <v>105375</v>
          </cell>
          <cell r="C626" t="str">
            <v>ASSENTAMENTO E FORNECIMENTO DE TE DE REDUCAO, PVC PBA, BBB, JE, DN 100 X 50 / DE 110 X 60 MM, PARA REDE AGUA, JUNTA ELÁSTICA INTEGRADA, INSTALADO EM LOCAL COM NÍVEL ALTO DE INTERFERÊNCIAS (INCLUI FORNECIMENTO). AF_05/2024</v>
          </cell>
          <cell r="D626" t="str">
            <v>UN</v>
          </cell>
          <cell r="E626">
            <v>160.59</v>
          </cell>
          <cell r="F626">
            <v>0</v>
          </cell>
        </row>
        <row r="627">
          <cell r="B627">
            <v>105376</v>
          </cell>
          <cell r="C627" t="str">
            <v>ASSENTAMENTO E FORNECIMENTO DE TE DE REDUCAO, PVC PBA, BBB, JE, DN 100 X 50 / DE 110 X 60 MM, PARA REDE AGUA, JUNTA ELÁSTICA INTEGRADA, INSTALADO EM LOCAL COM NÍVEL BAIXO DE INTERFERÊNCIAS (INCLUI FORNECIMENTO). AF_05/2024</v>
          </cell>
          <cell r="D627" t="str">
            <v>UN</v>
          </cell>
          <cell r="E627">
            <v>152.18</v>
          </cell>
          <cell r="F627">
            <v>0</v>
          </cell>
        </row>
        <row r="628">
          <cell r="B628">
            <v>105331</v>
          </cell>
          <cell r="C628" t="str">
            <v>ASSENTAMENTO E FORNECIMENTO DE TUBO DE PVC DEFOFO OU PRFV OU RPVC PARA REDE DE ÁGUA, DN 100, JUNTA ELÁSTICA INTEGRADA, INSTALADO EM LOCAL COM NÍVEL ALTO DE INTERFERÊNCIAS (INCLUI FORNECIMENTO). AF_05/2024</v>
          </cell>
          <cell r="D628" t="str">
            <v>M</v>
          </cell>
          <cell r="E628">
            <v>64.5</v>
          </cell>
          <cell r="F628">
            <v>0</v>
          </cell>
        </row>
        <row r="629">
          <cell r="B629">
            <v>105332</v>
          </cell>
          <cell r="C629" t="str">
            <v>ASSENTAMENTO E FORNECIMENTO DE TUBO DE PVC DEFOFO OU PRFV OU RPVC PARA REDE DE ÁGUA, DN 100, JUNTA ELÁSTICA INTEGRADA, INSTALADO EM LOCAL COM NÍVEL BAIXO DE INTERFERÊNCIAS (INCLUI FORNECIMENTO). AF_05/2024</v>
          </cell>
          <cell r="D629" t="str">
            <v>M</v>
          </cell>
          <cell r="E629">
            <v>63.53</v>
          </cell>
          <cell r="F629">
            <v>0</v>
          </cell>
        </row>
        <row r="630">
          <cell r="B630">
            <v>105333</v>
          </cell>
          <cell r="C630" t="str">
            <v>ASSENTAMENTO E FORNECIMENTO DE TUBO DE PVC DEFOFO PARA REDE DE ÁGUA, DN 200, JUNTA ELÁSTICA INTEGRADA, INSTALADO EM LOCAL COM NÍVEL ALTO DE INTERFERÊNCIAS (INCLUI FORNECIMENTO). AF_05/2024</v>
          </cell>
          <cell r="D630" t="str">
            <v>M</v>
          </cell>
          <cell r="E630">
            <v>282.79000000000002</v>
          </cell>
          <cell r="F630">
            <v>0</v>
          </cell>
        </row>
        <row r="631">
          <cell r="B631">
            <v>105334</v>
          </cell>
          <cell r="C631" t="str">
            <v>ASSENTAMENTO E FORNECIMENTO DE TUBO DE PVC DEFOFO PARA REDE DE ÁGUA, DN 200, JUNTA ELÁSTICA INTEGRADA, INSTALADO EM LOCAL COM NÍVEL BAIXO DE INTERFERÊNCIAS (INCLUI FORNECIMENTO). AF_05/2024</v>
          </cell>
          <cell r="D631" t="str">
            <v>M</v>
          </cell>
          <cell r="E631">
            <v>279.74</v>
          </cell>
          <cell r="F631">
            <v>0</v>
          </cell>
        </row>
        <row r="632">
          <cell r="B632">
            <v>105335</v>
          </cell>
          <cell r="C632" t="str">
            <v>ASSENTAMENTO E FORNECIMENTO DE TUBO DE PVC DEFOFO PARA REDE DE ÁGUA, DN 250, JUNTA ELÁSTICA INTEGRADA, INSTALADO EM LOCAL COM NÍVEL ALTO DE INTERFERÊNCIAS (INCLUI FORNECIMENTO). AF_05/2024</v>
          </cell>
          <cell r="D632" t="str">
            <v>M</v>
          </cell>
          <cell r="E632">
            <v>426.14</v>
          </cell>
          <cell r="F632">
            <v>0</v>
          </cell>
        </row>
        <row r="633">
          <cell r="B633">
            <v>105336</v>
          </cell>
          <cell r="C633" t="str">
            <v>ASSENTAMENTO E FORNECIMENTO DE TUBO DE PVC DEFOFO PARA REDE DE ÁGUA, DN 250, JUNTA ELÁSTICA INTEGRADA, INSTALADO EM LOCAL COM NÍVEL BAIXO DE INTERFERÊNCIAS (INCLUI FORNECIMENTO). AF_05/2024</v>
          </cell>
          <cell r="D633" t="str">
            <v>M</v>
          </cell>
          <cell r="E633">
            <v>422.54</v>
          </cell>
          <cell r="F633">
            <v>0</v>
          </cell>
        </row>
        <row r="634">
          <cell r="B634">
            <v>105337</v>
          </cell>
          <cell r="C634" t="str">
            <v>ASSENTAMENTO E FORNECIMENTO DE TUBO DE PVC DEFOFO PARA REDE DE ÁGUA, DN 300, JUNTA ELÁSTICA INTEGRADA, INSTALADO EM LOCAL COM NÍVEL ALTO DE INTERFERÊNCIAS (INCLUI FORNECIMENTO). AF_05/2024</v>
          </cell>
          <cell r="D634" t="str">
            <v>M</v>
          </cell>
          <cell r="E634">
            <v>601.11</v>
          </cell>
          <cell r="F634">
            <v>0</v>
          </cell>
        </row>
        <row r="635">
          <cell r="B635">
            <v>105338</v>
          </cell>
          <cell r="C635" t="str">
            <v>ASSENTAMENTO E FORNECIMENTO DE TUBO DE PVC DEFOFO PARA REDE DE ÁGUA, DN 300, JUNTA ELÁSTICA INTEGRADA, INSTALADO EM LOCAL COM NÍVEL BAIXO DE INTERFERÊNCIAS (INCLUI FORNECIMENTO). AF_05/2024</v>
          </cell>
          <cell r="D635" t="str">
            <v>M</v>
          </cell>
          <cell r="E635">
            <v>596.95000000000005</v>
          </cell>
          <cell r="F635">
            <v>0</v>
          </cell>
        </row>
        <row r="636">
          <cell r="B636">
            <v>106108</v>
          </cell>
          <cell r="C636" t="str">
            <v>ASSENTAMENTO E FORNECIMENTO DE TUBO DE PVC PBA PARA REDE DE ÁGUA, DN 100, JUNTA ELÁSTICA INTEGRADA, INSTALADO EM LOCAL COM NÍVEL ALTO DE INTERFERÊNCIAS (INCLUI FORNECIMENTO). AF_05/2024</v>
          </cell>
          <cell r="D636" t="str">
            <v>M</v>
          </cell>
          <cell r="E636">
            <v>90.81</v>
          </cell>
          <cell r="F636">
            <v>0</v>
          </cell>
        </row>
        <row r="637">
          <cell r="B637">
            <v>106109</v>
          </cell>
          <cell r="C637" t="str">
            <v>ASSENTAMENTO E FORNECIMENTO DE TUBO DE PVC PBA PARA REDE DE ÁGUA, DN 100, JUNTA ELÁSTICA INTEGRADA, INSTALADO EM LOCAL COM NÍVEL BAIXO DE INTERFERÊNCIAS (INCLUI FORNECIMENTO). AF_05/2024</v>
          </cell>
          <cell r="D637" t="str">
            <v>M</v>
          </cell>
          <cell r="E637">
            <v>89.78</v>
          </cell>
          <cell r="F637">
            <v>0</v>
          </cell>
        </row>
        <row r="638">
          <cell r="B638">
            <v>106104</v>
          </cell>
          <cell r="C638" t="str">
            <v>ASSENTAMENTO E FORNECIMENTO DE TUBO DE PVC PBA PARA REDE DE ÁGUA, DN 50, JUNTA ELÁSTICA INTEGRADA, INSTALADO EM LOCAL COM NÍVEL ALTO DE INTERFERÊNCIAS (INCLUI FORNECIMENTO). AF_05/2024</v>
          </cell>
          <cell r="D638" t="str">
            <v>M</v>
          </cell>
          <cell r="E638">
            <v>30.07</v>
          </cell>
          <cell r="F638">
            <v>0</v>
          </cell>
        </row>
        <row r="639">
          <cell r="B639">
            <v>106105</v>
          </cell>
          <cell r="C639" t="str">
            <v>ASSENTAMENTO E FORNECIMENTO DE TUBO DE PVC PBA PARA REDE DE ÁGUA, DN 50, JUNTA ELÁSTICA INTEGRADA, INSTALADO EM LOCAL COM NÍVEL BAIXO DE INTERFERÊNCIAS (INCLUI FORNECIMENTO). AF_05/2024</v>
          </cell>
          <cell r="D639" t="str">
            <v>M</v>
          </cell>
          <cell r="E639">
            <v>29.3</v>
          </cell>
          <cell r="F639">
            <v>0</v>
          </cell>
        </row>
        <row r="640">
          <cell r="B640">
            <v>106106</v>
          </cell>
          <cell r="C640" t="str">
            <v>ASSENTAMENTO E FORNECIMENTO DE TUBO DE PVC PBA PARA REDE DE ÁGUA, DN 75, JUNTA ELÁSTICA INTEGRADA, INSTALADO EM LOCAL COM NÍVEL ALTO DE INTERFERÊNCIAS (INCLUI FORNECIMENTO). AF_05/2024</v>
          </cell>
          <cell r="D640" t="str">
            <v>M</v>
          </cell>
          <cell r="E640">
            <v>55.87</v>
          </cell>
          <cell r="F640">
            <v>0</v>
          </cell>
        </row>
        <row r="641">
          <cell r="B641">
            <v>106107</v>
          </cell>
          <cell r="C641" t="str">
            <v>ASSENTAMENTO E FORNECIMENTO DE TUBO DE PVC PBA PARA REDE DE ÁGUA, DN 75, JUNTA ELÁSTICA INTEGRADA, INSTALADO EM LOCAL COM NÍVEL BAIXO DE INTERFERÊNCIAS (INCLUI FORNECIMENTO). AF_05/2024</v>
          </cell>
          <cell r="D641" t="str">
            <v>M</v>
          </cell>
          <cell r="E641">
            <v>54.96</v>
          </cell>
          <cell r="F641">
            <v>0</v>
          </cell>
        </row>
        <row r="642">
          <cell r="B642">
            <v>105377</v>
          </cell>
          <cell r="C642" t="str">
            <v>FORNECIMENTO E ASSENTAMENTO DE CURVA 45 GRAUS RANHURADA EM FERRO FUNDIDO, DN 80 MM (3") PARA REDE DE ÁGUA, INSTALADO EM LOCAL COM NÍVEL ALTO DE INTERFERÊNCIAS (INCLUI FORNECIMENTO). AF_05/2024</v>
          </cell>
          <cell r="D642" t="str">
            <v>UN</v>
          </cell>
          <cell r="E642">
            <v>50.86</v>
          </cell>
          <cell r="F642">
            <v>0</v>
          </cell>
        </row>
        <row r="643">
          <cell r="B643">
            <v>105368</v>
          </cell>
          <cell r="C643" t="str">
            <v>FORNECIMENTO E ASSENTAMENTO DE CURVA 45 GRAUS RANHURADA EM FERRO FUNDIDO, DN 80 MM (3") PARA REDE DE ÁGUA, INSTALADO EM LOCAL COM NÍVEL BAIXO DE INTERFERÊNCIAS (INCLUI FORNECIMENTO). AF_05/2024</v>
          </cell>
          <cell r="D643" t="str">
            <v>UN</v>
          </cell>
          <cell r="E643">
            <v>46.41</v>
          </cell>
          <cell r="F643">
            <v>0</v>
          </cell>
        </row>
        <row r="644">
          <cell r="B644">
            <v>105369</v>
          </cell>
          <cell r="C644" t="str">
            <v>FORNECIMENTO E ASSENTAMENTO DE TE RANHURADO EM FERRO FUNDIDO, DN 80 (3") PARA REDE DE ÁGUA, INSTALADO EM LOCAL COM NÍVEL ALTO DE INTERFERÊNCIAS (INCLUI FORNECIMENTO). AF_05/2024</v>
          </cell>
          <cell r="D644" t="str">
            <v>UN</v>
          </cell>
          <cell r="E644">
            <v>79.17</v>
          </cell>
          <cell r="F644">
            <v>0</v>
          </cell>
        </row>
        <row r="645">
          <cell r="B645">
            <v>105370</v>
          </cell>
          <cell r="C645" t="str">
            <v>FORNECIMENTO E ASSENTAMENTO DE TE RANHURADO EM FERRO FUNDIDO, DN 80 (3") PARA REDE DE ÁGUA, INSTALADO EM LOCAL COM NÍVEL BAIXO DE INTERFERÊNCIAS (INCLUI FORNECIMENTO). AF_05/2024</v>
          </cell>
          <cell r="D645" t="str">
            <v>UN</v>
          </cell>
          <cell r="E645">
            <v>73.23</v>
          </cell>
          <cell r="F645">
            <v>0</v>
          </cell>
        </row>
        <row r="646">
          <cell r="B646">
            <v>92864</v>
          </cell>
          <cell r="C646" t="str">
            <v>ASSENTAMENTO DE TUBO DE CONCRETO PARA REDES COLETORAS DE ESGOTO SANITÁRIO, DIÂMETRO DE 1000 MM, JUNTA ELÁSTICA, INSTALADO EM LOCAL COM ALTO NÍVEL DE INTERFERÊNCIAS (NÃO INCLUI FORNECIMENTO). AF_03/2024</v>
          </cell>
          <cell r="D646" t="str">
            <v>M</v>
          </cell>
          <cell r="E646">
            <v>98.72</v>
          </cell>
          <cell r="F646">
            <v>0</v>
          </cell>
        </row>
        <row r="647">
          <cell r="B647">
            <v>92848</v>
          </cell>
          <cell r="C647" t="str">
            <v>ASSENTAMENTO DE TUBO DE CONCRETO PARA REDES COLETORAS DE ESGOTO SANITÁRIO, DIÂMETRO DE 1000 MM, JUNTA ELÁSTICA, INSTALADO EM LOCAL COM BAIXO NÍVEL DE INTERFERÊNCIAS (NÃO INCLUI FORNECIMENTO). AF_03/2024</v>
          </cell>
          <cell r="D647" t="str">
            <v>M</v>
          </cell>
          <cell r="E647">
            <v>86.46</v>
          </cell>
          <cell r="F647">
            <v>0</v>
          </cell>
        </row>
        <row r="648">
          <cell r="B648">
            <v>104937</v>
          </cell>
          <cell r="C648" t="str">
            <v>ASSENTAMENTO DE TUBO DE CONCRETO PARA REDES COLETORAS DE ESGOTO SANITÁRIO, DIÂMETRO DE 1200 MM, JUNTA ELÁSTICA, INSTALADO EM LOCAL COM ALTO NÍVEL DE INTERFERÊNCIAS (NÃO INCLUI FORNECIMENTO). AF_03/2024</v>
          </cell>
          <cell r="D648" t="str">
            <v>M</v>
          </cell>
          <cell r="E648">
            <v>0</v>
          </cell>
        </row>
        <row r="649">
          <cell r="B649">
            <v>104933</v>
          </cell>
          <cell r="C649" t="str">
            <v>ASSENTAMENTO DE TUBO DE CONCRETO PARA REDES COLETORAS DE ESGOTO SANITÁRIO, DIÂMETRO DE 1200 MM, JUNTA ELÁSTICA, INSTALADO EM LOCAL COM BAIXO NÍVEL DE INTERFERÊNCIAS (NÃO INCLUI FORNECIMENTO). AF_03/2024</v>
          </cell>
          <cell r="D649" t="str">
            <v>M</v>
          </cell>
          <cell r="E649">
            <v>0</v>
          </cell>
        </row>
        <row r="650">
          <cell r="B650">
            <v>104939</v>
          </cell>
          <cell r="C650" t="str">
            <v>ASSENTAMENTO DE TUBO DE CONCRETO PARA REDES COLETORAS DE ESGOTO SANITÁRIO, DIÂMETRO DE 1500 MM, JUNTA ELÁSTICA, INSTALADO EM LOCAL COM ALTO NÍVEL DE INTERFERÊNCIAS (NÃO INCLUI FORNECIMENTO). AF_03/2024</v>
          </cell>
          <cell r="D650" t="str">
            <v>M</v>
          </cell>
          <cell r="E650">
            <v>0</v>
          </cell>
        </row>
        <row r="651">
          <cell r="B651">
            <v>104935</v>
          </cell>
          <cell r="C651" t="str">
            <v>ASSENTAMENTO DE TUBO DE CONCRETO PARA REDES COLETORAS DE ESGOTO SANITÁRIO, DIÂMETRO DE 1500 MM, JUNTA ELÁSTICA, INSTALADO EM LOCAL COM BAIXO NÍVEL DE INTERFERÊNCIAS (NÃO INCLUI FORNECIMENTO). AF_03/2024</v>
          </cell>
          <cell r="D651" t="str">
            <v>M</v>
          </cell>
          <cell r="E651">
            <v>0</v>
          </cell>
        </row>
        <row r="652">
          <cell r="B652">
            <v>92850</v>
          </cell>
          <cell r="C652" t="str">
            <v>ASSENTAMENTO DE TUBO DE CONCRETO PARA REDES COLETORAS DE ESGOTO SANITÁRIO, DIÂMETRO DE 300 MM, JUNTA ELÁSTICA, INSTALADO EM LOCAL COM ALTO NÍVEL DE INTERFERÊNCIAS (NÃO INCLUI FORNECIMENTO). AF_03/2024</v>
          </cell>
          <cell r="D652" t="str">
            <v>M</v>
          </cell>
          <cell r="E652">
            <v>24.47</v>
          </cell>
          <cell r="F652">
            <v>0</v>
          </cell>
        </row>
        <row r="653">
          <cell r="B653">
            <v>92834</v>
          </cell>
          <cell r="C653" t="str">
            <v>ASSENTAMENTO DE TUBO DE CONCRETO PARA REDES COLETORAS DE ESGOTO SANITÁRIO, DIÂMETRO DE 300 MM, JUNTA ELÁSTICA, INSTALADO EM LOCAL COM BAIXO NÍVEL DE INTERFERÊNCIAS (NÃO INCLUI FORNECIMENTO). AF_03/2024</v>
          </cell>
          <cell r="D653" t="str">
            <v>M</v>
          </cell>
          <cell r="E653">
            <v>21.38</v>
          </cell>
          <cell r="F653">
            <v>0</v>
          </cell>
        </row>
        <row r="654">
          <cell r="B654">
            <v>92852</v>
          </cell>
          <cell r="C654" t="str">
            <v>ASSENTAMENTO DE TUBO DE CONCRETO PARA REDES COLETORAS DE ESGOTO SANITÁRIO, DIÂMETRO DE 400 MM, JUNTA ELÁSTICA, INSTALADO EM LOCAL COM ALTO NÍVEL DE INTERFERÊNCIAS (NÃO INCLUI FORNECIMENTO). AF_03/2024</v>
          </cell>
          <cell r="D654" t="str">
            <v>M</v>
          </cell>
          <cell r="E654">
            <v>33.11</v>
          </cell>
          <cell r="F654">
            <v>0</v>
          </cell>
        </row>
        <row r="655">
          <cell r="B655">
            <v>92836</v>
          </cell>
          <cell r="C655" t="str">
            <v>ASSENTAMENTO DE TUBO DE CONCRETO PARA REDES COLETORAS DE ESGOTO SANITÁRIO, DIÂMETRO DE 400 MM, JUNTA ELÁSTICA, INSTALADO EM LOCAL COM BAIXO NÍVEL DE INTERFERÊNCIAS (NÃO INCLUI FORNECIMENTO). AF_03/2024</v>
          </cell>
          <cell r="D655" t="str">
            <v>M</v>
          </cell>
          <cell r="E655">
            <v>28.73</v>
          </cell>
          <cell r="F655">
            <v>0</v>
          </cell>
        </row>
        <row r="656">
          <cell r="B656">
            <v>92854</v>
          </cell>
          <cell r="C656" t="str">
            <v>ASSENTAMENTO DE TUBO DE CONCRETO PARA REDES COLETORAS DE ESGOTO SANITÁRIO, DIÂMETRO DE 500 MM, JUNTA ELÁSTICA, INSTALADO EM LOCAL COM ALTO NÍVEL DE INTERFERÊNCIAS (NÃO INCLUI FORNECIMENTO). AF_03/2024</v>
          </cell>
          <cell r="D656" t="str">
            <v>M</v>
          </cell>
          <cell r="E656">
            <v>42.07</v>
          </cell>
          <cell r="F656">
            <v>0</v>
          </cell>
        </row>
        <row r="657">
          <cell r="B657">
            <v>92838</v>
          </cell>
          <cell r="C657" t="str">
            <v>ASSENTAMENTO DE TUBO DE CONCRETO PARA REDES COLETORAS DE ESGOTO SANITÁRIO, DIÂMETRO DE 500 MM, JUNTA ELÁSTICA, INSTALADO EM LOCAL COM BAIXO NÍVEL DE INTERFERÊNCIAS (NÃO INCLUI FORNECIMENTO). AF_03/2024</v>
          </cell>
          <cell r="D657" t="str">
            <v>M</v>
          </cell>
          <cell r="E657">
            <v>36.380000000000003</v>
          </cell>
          <cell r="F657">
            <v>0</v>
          </cell>
        </row>
        <row r="658">
          <cell r="B658">
            <v>92856</v>
          </cell>
          <cell r="C658" t="str">
            <v>ASSENTAMENTO DE TUBO DE CONCRETO PARA REDES COLETORAS DE ESGOTO SANITÁRIO, DIÂMETRO DE 600 MM, JUNTA ELÁSTICA, INSTALADO EM LOCAL COM ALTO NÍVEL DE INTERFERÊNCIAS (NÃO INCLUI FORNECIMENTO). AF_03/2024</v>
          </cell>
          <cell r="D658" t="str">
            <v>M</v>
          </cell>
          <cell r="E658">
            <v>51.27</v>
          </cell>
          <cell r="F658">
            <v>0</v>
          </cell>
        </row>
        <row r="659">
          <cell r="B659">
            <v>92840</v>
          </cell>
          <cell r="C659" t="str">
            <v>ASSENTAMENTO DE TUBO DE CONCRETO PARA REDES COLETORAS DE ESGOTO SANITÁRIO, DIÂMETRO DE 600 MM, JUNTA ELÁSTICA, INSTALADO EM LOCAL COM BAIXO NÍVEL DE INTERFERÊNCIAS (NÃO INCLUI FORNECIMENTO). AF_03/2024</v>
          </cell>
          <cell r="D659" t="str">
            <v>M</v>
          </cell>
          <cell r="E659">
            <v>44.27</v>
          </cell>
          <cell r="F659">
            <v>0</v>
          </cell>
        </row>
        <row r="660">
          <cell r="B660">
            <v>92858</v>
          </cell>
          <cell r="C660" t="str">
            <v>ASSENTAMENTO DE TUBO DE CONCRETO PARA REDES COLETORAS DE ESGOTO SANITÁRIO, DIÂMETRO DE 700 MM, JUNTA ELÁSTICA, INSTALADO EM LOCAL COM ALTO NÍVEL DE INTERFERÊNCIAS (NÃO INCLUI FORNECIMENTO). AF_03/2024</v>
          </cell>
          <cell r="D660" t="str">
            <v>M</v>
          </cell>
          <cell r="E660">
            <v>63.17</v>
          </cell>
          <cell r="F660">
            <v>0</v>
          </cell>
        </row>
        <row r="661">
          <cell r="B661">
            <v>92842</v>
          </cell>
          <cell r="C661" t="str">
            <v>ASSENTAMENTO DE TUBO DE CONCRETO PARA REDES COLETORAS DE ESGOTO SANITÁRIO, DIÂMETRO DE 700 MM, JUNTA ELÁSTICA, INSTALADO EM LOCAL COM BAIXO NÍVEL DE INTERFERÊNCIAS (NÃO INCLUI FORNECIMENTO). AF_03/2024</v>
          </cell>
          <cell r="D661" t="str">
            <v>M</v>
          </cell>
          <cell r="E661">
            <v>54.84</v>
          </cell>
          <cell r="F661">
            <v>0</v>
          </cell>
        </row>
        <row r="662">
          <cell r="B662">
            <v>92860</v>
          </cell>
          <cell r="C662" t="str">
            <v>ASSENTAMENTO DE TUBO DE CONCRETO PARA REDES COLETORAS DE ESGOTO SANITÁRIO, DIÂMETRO DE 800 MM, JUNTA ELÁSTICA, INSTALADO EM LOCAL COM ALTO NÍVEL DE INTERFERÊNCIAS (NÃO INCLUI FORNECIMENTO). AF_03/2024</v>
          </cell>
          <cell r="D662" t="str">
            <v>M</v>
          </cell>
          <cell r="E662">
            <v>74.42</v>
          </cell>
          <cell r="F662">
            <v>0</v>
          </cell>
        </row>
        <row r="663">
          <cell r="B663">
            <v>92844</v>
          </cell>
          <cell r="C663" t="str">
            <v>ASSENTAMENTO DE TUBO DE CONCRETO PARA REDES COLETORAS DE ESGOTO SANITÁRIO, DIÂMETRO DE 800 MM, JUNTA ELÁSTICA, INSTALADO EM LOCAL COM BAIXO NÍVEL DE INTERFERÊNCIAS (NÃO INCLUI FORNECIMENTO). AF_03/2024</v>
          </cell>
          <cell r="D663" t="str">
            <v>M</v>
          </cell>
          <cell r="E663">
            <v>64.790000000000006</v>
          </cell>
          <cell r="F663">
            <v>0</v>
          </cell>
        </row>
        <row r="664">
          <cell r="B664">
            <v>92862</v>
          </cell>
          <cell r="C664" t="str">
            <v>ASSENTAMENTO DE TUBO DE CONCRETO PARA REDES COLETORAS DE ESGOTO SANITÁRIO, DIÂMETRO DE 900 MM, JUNTA ELÁSTICA, INSTALADO EM LOCAL COM ALTO NÍVEL DE INTERFERÊNCIAS (NÃO INCLUI FORNECIMENTO). AF_03/2024</v>
          </cell>
          <cell r="D664" t="str">
            <v>M</v>
          </cell>
          <cell r="E664">
            <v>85.09</v>
          </cell>
          <cell r="F664">
            <v>0</v>
          </cell>
        </row>
        <row r="665">
          <cell r="B665">
            <v>92846</v>
          </cell>
          <cell r="C665" t="str">
            <v>ASSENTAMENTO DE TUBO DE CONCRETO PARA REDES COLETORAS DE ESGOTO SANITÁRIO, DIÂMETRO DE 900 MM, JUNTA ELÁSTICA, INSTALADO EM LOCAL COM BAIXO NÍVEL DE INTERFERÊNCIAS (NÃO INCLUI FORNECIMENTO). AF_03/2024</v>
          </cell>
          <cell r="D665" t="str">
            <v>M</v>
          </cell>
          <cell r="E665">
            <v>74.150000000000006</v>
          </cell>
          <cell r="F665">
            <v>0</v>
          </cell>
        </row>
        <row r="666">
          <cell r="B666">
            <v>92828</v>
          </cell>
          <cell r="C666" t="str">
            <v>ASSENTAMENTO DE TUBO DE CONCRETO PARA REDES COLETORAS DE ÁGUAS PLUVIAIS, DIÂMETRO DE 1000 MM, JUNTA RÍGIDA, INSTALADO EM LOCAL COM ALTO NÍVEL DE INTERFERÊNCIAS (NÃO INCLUI FORNECIMENTO). AF_03/2024</v>
          </cell>
          <cell r="D666" t="str">
            <v>M</v>
          </cell>
          <cell r="E666">
            <v>131.63</v>
          </cell>
          <cell r="F666">
            <v>0</v>
          </cell>
        </row>
        <row r="667">
          <cell r="B667">
            <v>92815</v>
          </cell>
          <cell r="C667" t="str">
            <v>ASSENTAMENTO DE TUBO DE CONCRETO PARA REDES COLETORAS DE ÁGUAS PLUVIAIS, DIÂMETRO DE 1000 MM, JUNTA RÍGIDA, INSTALADO EM LOCAL COM BAIXO NÍVEL DE INTERFERÊNCIAS (NÃO INCLUI FORNECIMENTO). AF_03/2024</v>
          </cell>
          <cell r="D667" t="str">
            <v>M</v>
          </cell>
          <cell r="E667">
            <v>119.37</v>
          </cell>
          <cell r="F667">
            <v>0</v>
          </cell>
        </row>
        <row r="668">
          <cell r="B668">
            <v>92830</v>
          </cell>
          <cell r="C668" t="str">
            <v>ASSENTAMENTO DE TUBO DE CONCRETO PARA REDES COLETORAS DE ÁGUAS PLUVIAIS, DIÂMETRO DE 1200 MM, JUNTA RÍGIDA, INSTALADO EM LOCAL COM ALTO NÍVEL DE INTERFERÊNCIAS (NÃO INCLUI FORNECIMENTO). AF_03/2024</v>
          </cell>
          <cell r="D668" t="str">
            <v>M</v>
          </cell>
          <cell r="E668">
            <v>161.93</v>
          </cell>
          <cell r="F668">
            <v>0</v>
          </cell>
        </row>
        <row r="669">
          <cell r="B669">
            <v>92817</v>
          </cell>
          <cell r="C669" t="str">
            <v>ASSENTAMENTO DE TUBO DE CONCRETO PARA REDES COLETORAS DE ÁGUAS PLUVIAIS, DIÂMETRO DE 1200 MM, JUNTA RÍGIDA, INSTALADO EM LOCAL COM BAIXO NÍVEL DE INTERFERÊNCIAS (NÃO INCLUI FORNECIMENTO). AF_03/2024</v>
          </cell>
          <cell r="D669" t="str">
            <v>M</v>
          </cell>
          <cell r="E669">
            <v>147.06</v>
          </cell>
          <cell r="F669">
            <v>0</v>
          </cell>
        </row>
        <row r="670">
          <cell r="B670">
            <v>92832</v>
          </cell>
          <cell r="C670" t="str">
            <v>ASSENTAMENTO DE TUBO DE CONCRETO PARA REDES COLETORAS DE ÁGUAS PLUVIAIS, DIÂMETRO DE 1500 MM, JUNTA RÍGIDA, INSTALADO EM LOCAL COM ALTO NÍVEL DE INTERFERÊNCIAS (NÃO INCLUI FORNECIMENTO). AF_03/2024</v>
          </cell>
          <cell r="D670" t="str">
            <v>M</v>
          </cell>
          <cell r="E670">
            <v>209.3</v>
          </cell>
          <cell r="F670">
            <v>0</v>
          </cell>
        </row>
        <row r="671">
          <cell r="B671">
            <v>92819</v>
          </cell>
          <cell r="C671" t="str">
            <v>ASSENTAMENTO DE TUBO DE CONCRETO PARA REDES COLETORAS DE ÁGUAS PLUVIAIS, DIÂMETRO DE 1500 MM, JUNTA RÍGIDA, INSTALADO EM LOCAL COM BAIXO NÍVEL DE INTERFERÊNCIAS (NÃO INCLUI FORNECIMENTO). AF_03/2024</v>
          </cell>
          <cell r="D671" t="str">
            <v>M</v>
          </cell>
          <cell r="E671">
            <v>190.48</v>
          </cell>
          <cell r="F671">
            <v>0</v>
          </cell>
        </row>
        <row r="672">
          <cell r="B672">
            <v>92820</v>
          </cell>
          <cell r="C672" t="str">
            <v>ASSENTAMENTO DE TUBO DE CONCRETO PARA REDES COLETORAS DE ÁGUAS PLUVIAIS, DIÂMETRO DE 300 MM, JUNTA RÍGIDA, INSTALADO EM LOCAL COM ALTO NÍVEL DE INTERFERÊNCIAS (NÃO INCLUI FORNECIMENTO). AF_03/2024</v>
          </cell>
          <cell r="D672" t="str">
            <v>M</v>
          </cell>
          <cell r="E672">
            <v>33.67</v>
          </cell>
          <cell r="F672">
            <v>0</v>
          </cell>
        </row>
        <row r="673">
          <cell r="B673">
            <v>92808</v>
          </cell>
          <cell r="C673" t="str">
            <v>ASSENTAMENTO DE TUBO DE CONCRETO PARA REDES COLETORAS DE ÁGUAS PLUVIAIS, DIÂMETRO DE 300 MM, JUNTA RÍGIDA, INSTALADO EM LOCAL COM BAIXO NÍVEL DE INTERFERÊNCIAS (NÃO INCLUI FORNECIMENTO). AF_03/2024</v>
          </cell>
          <cell r="D673" t="str">
            <v>M</v>
          </cell>
          <cell r="E673">
            <v>30.58</v>
          </cell>
          <cell r="F673">
            <v>0</v>
          </cell>
        </row>
        <row r="674">
          <cell r="B674">
            <v>92821</v>
          </cell>
          <cell r="C674" t="str">
            <v>ASSENTAMENTO DE TUBO DE CONCRETO PARA REDES COLETORAS DE ÁGUAS PLUVIAIS, DIÂMETRO DE 400 MM, JUNTA RÍGIDA, INSTALADO EM LOCAL COM ALTO NÍVEL DE INTERFERÊNCIAS (NÃO INCLUI FORNECIMENTO). AF_03/2024</v>
          </cell>
          <cell r="D674" t="str">
            <v>M</v>
          </cell>
          <cell r="E674">
            <v>46.83</v>
          </cell>
          <cell r="F674">
            <v>0</v>
          </cell>
        </row>
        <row r="675">
          <cell r="B675">
            <v>92809</v>
          </cell>
          <cell r="C675" t="str">
            <v>ASSENTAMENTO DE TUBO DE CONCRETO PARA REDES COLETORAS DE ÁGUAS PLUVIAIS, DIÂMETRO DE 400 MM, JUNTA RÍGIDA, INSTALADO EM LOCAL COM BAIXO NÍVEL DE INTERFERÊNCIAS (NÃO INCLUI FORNECIMENTO). AF_03/2024</v>
          </cell>
          <cell r="D675" t="str">
            <v>M</v>
          </cell>
          <cell r="E675">
            <v>42.46</v>
          </cell>
          <cell r="F675">
            <v>0</v>
          </cell>
        </row>
        <row r="676">
          <cell r="B676">
            <v>92822</v>
          </cell>
          <cell r="C676" t="str">
            <v>ASSENTAMENTO DE TUBO DE CONCRETO PARA REDES COLETORAS DE ÁGUAS PLUVIAIS, DIÂMETRO DE 500 MM, JUNTA RÍGIDA, INSTALADO EM LOCAL COM ALTO NÍVEL DE INTERFERÊNCIAS (NÃO INCLUI FORNECIMENTO). AF_03/2024</v>
          </cell>
          <cell r="D676" t="str">
            <v>M</v>
          </cell>
          <cell r="E676">
            <v>60.36</v>
          </cell>
          <cell r="F676">
            <v>0</v>
          </cell>
        </row>
        <row r="677">
          <cell r="B677">
            <v>92810</v>
          </cell>
          <cell r="C677" t="str">
            <v>ASSENTAMENTO DE TUBO DE CONCRETO PARA REDES COLETORAS DE ÁGUAS PLUVIAIS, DIÂMETRO DE 500 MM, JUNTA RÍGIDA, INSTALADO EM LOCAL COM BAIXO NÍVEL DE INTERFERÊNCIAS (NÃO INCLUI FORNECIMENTO). AF_03/2024</v>
          </cell>
          <cell r="D677" t="str">
            <v>M</v>
          </cell>
          <cell r="E677">
            <v>54.66</v>
          </cell>
          <cell r="F677">
            <v>0</v>
          </cell>
        </row>
        <row r="678">
          <cell r="B678">
            <v>92824</v>
          </cell>
          <cell r="C678" t="str">
            <v>ASSENTAMENTO DE TUBO DE CONCRETO PARA REDES COLETORAS DE ÁGUAS PLUVIAIS, DIÂMETRO DE 600 MM, JUNTA RÍGIDA, INSTALADO EM LOCAL COM ALTO NÍVEL DE INTERFERÊNCIAS (NÃO INCLUI FORNECIMENTO). AF_03/2024</v>
          </cell>
          <cell r="D678" t="str">
            <v>M</v>
          </cell>
          <cell r="E678">
            <v>74.069999999999993</v>
          </cell>
          <cell r="F678">
            <v>0</v>
          </cell>
        </row>
        <row r="679">
          <cell r="B679">
            <v>92811</v>
          </cell>
          <cell r="C679" t="str">
            <v>ASSENTAMENTO DE TUBO DE CONCRETO PARA REDES COLETORAS DE ÁGUAS PLUVIAIS, DIÂMETRO DE 600 MM, JUNTA RÍGIDA, INSTALADO EM LOCAL COM BAIXO NÍVEL DE INTERFERÊNCIAS (NÃO INCLUI FORNECIMENTO). AF_03/2024</v>
          </cell>
          <cell r="D679" t="str">
            <v>M</v>
          </cell>
          <cell r="E679">
            <v>67.08</v>
          </cell>
          <cell r="F679">
            <v>0</v>
          </cell>
        </row>
        <row r="680">
          <cell r="B680">
            <v>92825</v>
          </cell>
          <cell r="C680" t="str">
            <v>ASSENTAMENTO DE TUBO DE CONCRETO PARA REDES COLETORAS DE ÁGUAS PLUVIAIS, DIÂMETRO DE 700 MM, JUNTA RÍGIDA, INSTALADO EM LOCAL COM ALTO NÍVEL DE INTERFERÊNCIAS (NÃO INCLUI FORNECIMENTO). AF_03/2024</v>
          </cell>
          <cell r="D680" t="str">
            <v>M</v>
          </cell>
          <cell r="E680">
            <v>88.06</v>
          </cell>
          <cell r="F680">
            <v>0</v>
          </cell>
        </row>
        <row r="681">
          <cell r="B681">
            <v>92812</v>
          </cell>
          <cell r="C681" t="str">
            <v>ASSENTAMENTO DE TUBO DE CONCRETO PARA REDES COLETORAS DE ÁGUAS PLUVIAIS, DIÂMETRO DE 700 MM, JUNTA RÍGIDA, INSTALADO EM LOCAL COM BAIXO NÍVEL DE INTERFERÊNCIAS (NÃO INCLUI FORNECIMENTO). AF_03/2024</v>
          </cell>
          <cell r="D681" t="str">
            <v>M</v>
          </cell>
          <cell r="E681">
            <v>79.760000000000005</v>
          </cell>
          <cell r="F681">
            <v>0</v>
          </cell>
        </row>
        <row r="682">
          <cell r="B682">
            <v>92826</v>
          </cell>
          <cell r="C682" t="str">
            <v>ASSENTAMENTO DE TUBO DE CONCRETO PARA REDES COLETORAS DE ÁGUAS PLUVIAIS, DIÂMETRO DE 800 MM, JUNTA RÍGIDA, INSTALADO EM LOCAL COM ALTO NÍVEL DE INTERFERÊNCIAS (NÃO INCLUI FORNECIMENTO). AF_03/2024</v>
          </cell>
          <cell r="D682" t="str">
            <v>M</v>
          </cell>
          <cell r="E682">
            <v>102.33</v>
          </cell>
          <cell r="F682">
            <v>0</v>
          </cell>
        </row>
        <row r="683">
          <cell r="B683">
            <v>92813</v>
          </cell>
          <cell r="C683" t="str">
            <v>ASSENTAMENTO DE TUBO DE CONCRETO PARA REDES COLETORAS DE ÁGUAS PLUVIAIS, DIÂMETRO DE 800 MM, JUNTA RÍGIDA, INSTALADO EM LOCAL COM BAIXO NÍVEL DE INTERFERÊNCIAS (NÃO INCLUI FORNECIMENTO). AF_03/2024</v>
          </cell>
          <cell r="D683" t="str">
            <v>M</v>
          </cell>
          <cell r="E683">
            <v>92.72</v>
          </cell>
          <cell r="F683">
            <v>0</v>
          </cell>
        </row>
        <row r="684">
          <cell r="B684">
            <v>92827</v>
          </cell>
          <cell r="C684" t="str">
            <v>ASSENTAMENTO DE TUBO DE CONCRETO PARA REDES COLETORAS DE ÁGUAS PLUVIAIS, DIÂMETRO DE 900 MM, JUNTA RÍGIDA, INSTALADO EM LOCAL COM ALTO NÍVEL DE INTERFERÊNCIAS (NÃO INCLUI FORNECIMENTO). AF_03/2024</v>
          </cell>
          <cell r="D684" t="str">
            <v>M</v>
          </cell>
          <cell r="E684">
            <v>116.89</v>
          </cell>
          <cell r="F684">
            <v>0</v>
          </cell>
        </row>
        <row r="685">
          <cell r="B685">
            <v>92814</v>
          </cell>
          <cell r="C685" t="str">
            <v>ASSENTAMENTO DE TUBO DE CONCRETO PARA REDES COLETORAS DE ÁGUAS PLUVIAIS, DIÂMETRO DE 900 MM, JUNTA RÍGIDA, INSTALADO EM LOCAL COM BAIXO NÍVEL DE INTERFERÊNCIAS (NÃO INCLUI FORNECIMENTO). AF_03/2024</v>
          </cell>
          <cell r="D685" t="str">
            <v>M</v>
          </cell>
          <cell r="E685">
            <v>105.94</v>
          </cell>
          <cell r="F685">
            <v>0</v>
          </cell>
        </row>
        <row r="686">
          <cell r="B686">
            <v>95570</v>
          </cell>
          <cell r="C686" t="str">
            <v>TUBO DE CONCRETO (SIMPLES) PARA REDES COLETORAS DE ÁGUAS PLUVIAIS, DIÂMETRO DE 300 MM, JUNTA RÍGIDA, INSTALADO EM LOCAL COM ALTO NÍVEL DE INTERFERÊNCIAS - FORNECIMENTO E ASSENTAMENTO. AF_03/2024</v>
          </cell>
          <cell r="D686" t="str">
            <v>M</v>
          </cell>
          <cell r="E686">
            <v>109.21</v>
          </cell>
          <cell r="F686">
            <v>0</v>
          </cell>
        </row>
        <row r="687">
          <cell r="B687">
            <v>95567</v>
          </cell>
          <cell r="C687" t="str">
            <v>TUBO DE CONCRETO (SIMPLES) PARA REDES COLETORAS DE ÁGUAS PLUVIAIS, DIÂMETRO DE 300 MM, JUNTA RÍGIDA, INSTALADO EM LOCAL COM BAIXO NÍVEL DE INTERFERÊNCIAS - FORNECIMENTO E ASSENTAMENTO. AF_03/2024</v>
          </cell>
          <cell r="D687" t="str">
            <v>M</v>
          </cell>
          <cell r="E687">
            <v>106.12</v>
          </cell>
          <cell r="F687">
            <v>0</v>
          </cell>
        </row>
        <row r="688">
          <cell r="B688">
            <v>95571</v>
          </cell>
          <cell r="C688" t="str">
            <v>TUBO DE CONCRETO (SIMPLES) PARA REDES COLETORAS DE ÁGUAS PLUVIAIS, DIÂMETRO DE 400 MM, JUNTA RÍGIDA, INSTALADO EM LOCAL COM ALTO NÍVEL DE INTERFERÊNCIAS - FORNECIMENTO E ASSENTAMENTO. AF_03/2024</v>
          </cell>
          <cell r="D688" t="str">
            <v>M</v>
          </cell>
          <cell r="E688">
            <v>136.1</v>
          </cell>
          <cell r="F688">
            <v>0</v>
          </cell>
        </row>
        <row r="689">
          <cell r="B689">
            <v>95568</v>
          </cell>
          <cell r="C689" t="str">
            <v>TUBO DE CONCRETO (SIMPLES) PARA REDES COLETORAS DE ÁGUAS PLUVIAIS, DIÂMETRO DE 400 MM, JUNTA RÍGIDA, INSTALADO EM LOCAL COM BAIXO NÍVEL DE INTERFERÊNCIAS - FORNECIMENTO E ASSENTAMENTO. AF_03/2024</v>
          </cell>
          <cell r="D689" t="str">
            <v>M</v>
          </cell>
          <cell r="E689">
            <v>131.72999999999999</v>
          </cell>
          <cell r="F689">
            <v>0</v>
          </cell>
        </row>
        <row r="690">
          <cell r="B690">
            <v>95572</v>
          </cell>
          <cell r="C690" t="str">
            <v>TUBO DE CONCRETO (SIMPLES) PARA REDES COLETORAS DE ÁGUAS PLUVIAIS, DIÂMETRO DE 500 MM, JUNTA RÍGIDA, INSTALADO EM LOCAL COM ALTO NÍVEL DE INTERFERÊNCIAS - FORNECIMENTO E ASSENTAMENTO. AF_03/2024</v>
          </cell>
          <cell r="D690" t="str">
            <v>M</v>
          </cell>
          <cell r="E690">
            <v>193.2</v>
          </cell>
          <cell r="F690">
            <v>0</v>
          </cell>
        </row>
        <row r="691">
          <cell r="B691">
            <v>95569</v>
          </cell>
          <cell r="C691" t="str">
            <v>TUBO DE CONCRETO (SIMPLES) PARA REDES COLETORAS DE ÁGUAS PLUVIAIS, DIÂMETRO DE 500 MM, JUNTA RÍGIDA, INSTALADO EM LOCAL COM BAIXO NÍVEL DE INTERFERÊNCIAS - FORNECIMENTO E ASSENTAMENTO. AF_03/2024</v>
          </cell>
          <cell r="D691" t="str">
            <v>M</v>
          </cell>
          <cell r="E691">
            <v>187.5</v>
          </cell>
          <cell r="F691">
            <v>0</v>
          </cell>
        </row>
        <row r="692">
          <cell r="B692">
            <v>92863</v>
          </cell>
          <cell r="C692" t="str">
            <v>TUBO DE CONCRETO PARA REDES COLETORAS DE ESGOTO SANITÁRIO, DIÂMETRO DE 1000 MM, JUNTA ELÁSTICA, INSTALADO EM LOCAL COM ALTO NÍVEL DE INTERFERÊNCIAS - FORNECIMENTO E ASSENTAMENTO. AF_03/2024</v>
          </cell>
          <cell r="D692" t="str">
            <v>M</v>
          </cell>
          <cell r="E692">
            <v>1179.27</v>
          </cell>
          <cell r="F692">
            <v>0</v>
          </cell>
        </row>
        <row r="693">
          <cell r="B693">
            <v>92847</v>
          </cell>
          <cell r="C693" t="str">
            <v>TUBO DE CONCRETO PARA REDES COLETORAS DE ESGOTO SANITÁRIO, DIÂMETRO DE 1000 MM, JUNTA ELÁSTICA, INSTALADO EM LOCAL COM BAIXO NÍVEL DE INTERFERÊNCIAS - FORNECIMENTO E ASSENTAMENTO. AF_03/2024</v>
          </cell>
          <cell r="D693" t="str">
            <v>M</v>
          </cell>
          <cell r="E693">
            <v>1167.01</v>
          </cell>
          <cell r="F693">
            <v>0</v>
          </cell>
        </row>
        <row r="694">
          <cell r="B694">
            <v>104936</v>
          </cell>
          <cell r="C694" t="str">
            <v>TUBO DE CONCRETO PARA REDES COLETORAS DE ESGOTO SANITÁRIO, DIÂMETRO DE 1200 MM, JUNTA ELÁSTICA, INSTALADO EM LOCAL COM ALTO NÍVEL DE INTERFERÊNCIAS - FORNECIMENTO E ASSENTAMENTO. AF_03/2024</v>
          </cell>
          <cell r="D694" t="str">
            <v>M</v>
          </cell>
          <cell r="E694">
            <v>0</v>
          </cell>
        </row>
        <row r="695">
          <cell r="B695">
            <v>104932</v>
          </cell>
          <cell r="C695" t="str">
            <v>TUBO DE CONCRETO PARA REDES COLETORAS DE ESGOTO SANITÁRIO, DIÂMETRO DE 1200 MM, JUNTA ELÁSTICA, INSTALADO EM LOCAL COM BAIXO NÍVEL DE INTERFERÊNCIAS - FORNECIMENTO E ASSENTAMENTO. AF_03/2024</v>
          </cell>
          <cell r="D695" t="str">
            <v>M</v>
          </cell>
          <cell r="E695">
            <v>0</v>
          </cell>
        </row>
        <row r="696">
          <cell r="B696">
            <v>104938</v>
          </cell>
          <cell r="C696" t="str">
            <v>TUBO DE CONCRETO PARA REDES COLETORAS DE ESGOTO SANITÁRIO, DIÂMETRO DE 1500 MM, JUNTA ELÁSTICA, INSTALADO EM LOCAL COM ALTO NÍVEL DE INTERFERÊNCIAS - FORNECIMENTO E ASSENTAMENTO. AF_03/2024</v>
          </cell>
          <cell r="D696" t="str">
            <v>M</v>
          </cell>
          <cell r="E696">
            <v>0</v>
          </cell>
        </row>
        <row r="697">
          <cell r="B697">
            <v>104934</v>
          </cell>
          <cell r="C697" t="str">
            <v>TUBO DE CONCRETO PARA REDES COLETORAS DE ESGOTO SANITÁRIO, DIÂMETRO DE 1500 MM, JUNTA ELÁSTICA, INSTALADO EM LOCAL COM BAIXO NÍVEL DE INTERFERÊNCIAS - FORNECIMENTO E ASSENTAMENTO. AF_03/2024</v>
          </cell>
          <cell r="D697" t="str">
            <v>M</v>
          </cell>
          <cell r="E697">
            <v>0</v>
          </cell>
        </row>
        <row r="698">
          <cell r="B698">
            <v>92849</v>
          </cell>
          <cell r="C698" t="str">
            <v>TUBO DE CONCRETO PARA REDES COLETORAS DE ESGOTO SANITÁRIO, DIÂMETRO DE 300 MM, JUNTA ELÁSTICA, INSTALADO EM LOCAL COM ALTO NÍVEL DE INTERFERÊNCIAS - FORNECIMENTO E ASSENTAMENTO. AF_03/2024</v>
          </cell>
          <cell r="D698" t="str">
            <v>M</v>
          </cell>
          <cell r="E698">
            <v>250.54</v>
          </cell>
          <cell r="F698">
            <v>0</v>
          </cell>
        </row>
        <row r="699">
          <cell r="B699">
            <v>92833</v>
          </cell>
          <cell r="C699" t="str">
            <v>TUBO DE CONCRETO PARA REDES COLETORAS DE ESGOTO SANITÁRIO, DIÂMETRO DE 300 MM, JUNTA ELÁSTICA, INSTALADO EM LOCAL COM BAIXO NÍVEL DE INTERFERÊNCIAS - FORNECIMENTO E ASSENTAMENTO. AF_03/2024</v>
          </cell>
          <cell r="D699" t="str">
            <v>M</v>
          </cell>
          <cell r="E699">
            <v>247.45</v>
          </cell>
          <cell r="F699">
            <v>0</v>
          </cell>
        </row>
        <row r="700">
          <cell r="B700">
            <v>92851</v>
          </cell>
          <cell r="C700" t="str">
            <v>TUBO DE CONCRETO PARA REDES COLETORAS DE ESGOTO SANITÁRIO, DIÂMETRO DE 400 MM, JUNTA ELÁSTICA, INSTALADO EM LOCAL COM ALTO NÍVEL DE INTERFERÊNCIAS - FORNECIMENTO E ASSENTAMENTO. AF_03/2024</v>
          </cell>
          <cell r="D700" t="str">
            <v>M</v>
          </cell>
          <cell r="E700">
            <v>264.98</v>
          </cell>
          <cell r="F700">
            <v>0</v>
          </cell>
        </row>
        <row r="701">
          <cell r="B701">
            <v>92835</v>
          </cell>
          <cell r="C701" t="str">
            <v>TUBO DE CONCRETO PARA REDES COLETORAS DE ESGOTO SANITÁRIO, DIÂMETRO DE 400 MM, JUNTA ELÁSTICA, INSTALADO EM LOCAL COM BAIXO NÍVEL DE INTERFERÊNCIAS - FORNECIMENTO E ASSENTAMENTO. AF_03/2024</v>
          </cell>
          <cell r="D701" t="str">
            <v>M</v>
          </cell>
          <cell r="E701">
            <v>260.60000000000002</v>
          </cell>
          <cell r="F701">
            <v>0</v>
          </cell>
        </row>
        <row r="702">
          <cell r="B702">
            <v>92853</v>
          </cell>
          <cell r="C702" t="str">
            <v>TUBO DE CONCRETO PARA REDES COLETORAS DE ESGOTO SANITÁRIO, DIÂMETRO DE 500 MM, JUNTA ELÁSTICA, INSTALADO EM LOCAL COM ALTO NÍVEL DE INTERFERÊNCIAS - FORNECIMENTO E ASSENTAMENTO. AF_03/2024</v>
          </cell>
          <cell r="D702" t="str">
            <v>M</v>
          </cell>
          <cell r="E702">
            <v>471.04</v>
          </cell>
          <cell r="F702">
            <v>0</v>
          </cell>
        </row>
        <row r="703">
          <cell r="B703">
            <v>92837</v>
          </cell>
          <cell r="C703" t="str">
            <v>TUBO DE CONCRETO PARA REDES COLETORAS DE ESGOTO SANITÁRIO, DIÂMETRO DE 500 MM, JUNTA ELÁSTICA, INSTALADO EM LOCAL COM BAIXO NÍVEL DE INTERFERÊNCIAS - FORNECIMENTO E ASSENTAMENTO. AF_03/2024</v>
          </cell>
          <cell r="D703" t="str">
            <v>M</v>
          </cell>
          <cell r="E703">
            <v>465.35</v>
          </cell>
          <cell r="F703">
            <v>0</v>
          </cell>
        </row>
        <row r="704">
          <cell r="B704">
            <v>92855</v>
          </cell>
          <cell r="C704" t="str">
            <v>TUBO DE CONCRETO PARA REDES COLETORAS DE ESGOTO SANITÁRIO, DIÂMETRO DE 600 MM, JUNTA ELÁSTICA, INSTALADO EM LOCAL COM ALTO NÍVEL DE INTERFERÊNCIAS - FORNECIMENTO E ASSENTAMENTO. AF_03/2024</v>
          </cell>
          <cell r="D704" t="str">
            <v>M</v>
          </cell>
          <cell r="E704">
            <v>577.63</v>
          </cell>
          <cell r="F704">
            <v>0</v>
          </cell>
        </row>
        <row r="705">
          <cell r="B705">
            <v>92839</v>
          </cell>
          <cell r="C705" t="str">
            <v>TUBO DE CONCRETO PARA REDES COLETORAS DE ESGOTO SANITÁRIO, DIÂMETRO DE 600 MM, JUNTA ELÁSTICA, INSTALADO EM LOCAL COM BAIXO NÍVEL DE INTERFERÊNCIAS - FORNECIMENTO E ASSENTAMENTO. AF_03/2024</v>
          </cell>
          <cell r="D705" t="str">
            <v>M</v>
          </cell>
          <cell r="E705">
            <v>570.63</v>
          </cell>
          <cell r="F705">
            <v>0</v>
          </cell>
        </row>
        <row r="706">
          <cell r="B706">
            <v>92857</v>
          </cell>
          <cell r="C706" t="str">
            <v>TUBO DE CONCRETO PARA REDES COLETORAS DE ESGOTO SANITÁRIO, DIÂMETRO DE 700 MM, JUNTA ELÁSTICA, INSTALADO EM LOCAL COM ALTO NÍVEL DE INTERFERÊNCIAS - FORNECIMENTO E ASSENTAMENTO. AF_03/2024</v>
          </cell>
          <cell r="D706" t="str">
            <v>M</v>
          </cell>
          <cell r="E706">
            <v>750.68</v>
          </cell>
          <cell r="F706">
            <v>0</v>
          </cell>
        </row>
        <row r="707">
          <cell r="B707">
            <v>92841</v>
          </cell>
          <cell r="C707" t="str">
            <v>TUBO DE CONCRETO PARA REDES COLETORAS DE ESGOTO SANITÁRIO, DIÂMETRO DE 700 MM, JUNTA ELÁSTICA, INSTALADO EM LOCAL COM BAIXO NÍVEL DE INTERFERÊNCIAS - FORNECIMENTO E ASSENTAMENTO. AF_03/2024</v>
          </cell>
          <cell r="D707" t="str">
            <v>M</v>
          </cell>
          <cell r="E707">
            <v>742.35</v>
          </cell>
          <cell r="F707">
            <v>0</v>
          </cell>
        </row>
        <row r="708">
          <cell r="B708">
            <v>92859</v>
          </cell>
          <cell r="C708" t="str">
            <v>TUBO DE CONCRETO PARA REDES COLETORAS DE ESGOTO SANITÁRIO, DIÂMETRO DE 800 MM, JUNTA ELÁSTICA, INSTALADO EM LOCAL COM ALTO NÍVEL DE INTERFERÊNCIAS - FORNECIMENTO E ASSENTAMENTO. AF_03/2024</v>
          </cell>
          <cell r="D708" t="str">
            <v>M</v>
          </cell>
          <cell r="E708">
            <v>777.12</v>
          </cell>
          <cell r="F708">
            <v>0</v>
          </cell>
        </row>
        <row r="709">
          <cell r="B709">
            <v>92843</v>
          </cell>
          <cell r="C709" t="str">
            <v>TUBO DE CONCRETO PARA REDES COLETORAS DE ESGOTO SANITÁRIO, DIÂMETRO DE 800 MM, JUNTA ELÁSTICA, INSTALADO EM LOCAL COM BAIXO NÍVEL DE INTERFERÊNCIAS - FORNECIMENTO E ASSENTAMENTO. AF_03/2024</v>
          </cell>
          <cell r="D709" t="str">
            <v>M</v>
          </cell>
          <cell r="E709">
            <v>767.49</v>
          </cell>
          <cell r="F709">
            <v>0</v>
          </cell>
        </row>
        <row r="710">
          <cell r="B710">
            <v>92861</v>
          </cell>
          <cell r="C710" t="str">
            <v>TUBO DE CONCRETO PARA REDES COLETORAS DE ESGOTO SANITÁRIO, DIÂMETRO DE 900 MM, JUNTA ELÁSTICA, INSTALADO EM LOCAL COM ALTO NÍVEL DE INTERFERÊNCIAS - FORNECIMENTO E ASSENTAMENTO. AF_03/2024</v>
          </cell>
          <cell r="D710" t="str">
            <v>M</v>
          </cell>
          <cell r="E710">
            <v>1150.57</v>
          </cell>
          <cell r="F710">
            <v>0</v>
          </cell>
        </row>
        <row r="711">
          <cell r="B711">
            <v>92845</v>
          </cell>
          <cell r="C711" t="str">
            <v>TUBO DE CONCRETO PARA REDES COLETORAS DE ESGOTO SANITÁRIO, DIÂMETRO DE 900 MM, JUNTA ELÁSTICA, INSTALADO EM LOCAL COM BAIXO NÍVEL DE INTERFERÊNCIAS - FORNECIMENTO E ASSENTAMENTO. AF_03/2024</v>
          </cell>
          <cell r="D711" t="str">
            <v>M</v>
          </cell>
          <cell r="E711">
            <v>1139.6300000000001</v>
          </cell>
          <cell r="F711">
            <v>0</v>
          </cell>
        </row>
        <row r="712">
          <cell r="B712">
            <v>92226</v>
          </cell>
          <cell r="C712" t="str">
            <v>TUBO DE CONCRETO PARA REDES COLETORAS DE ÁGUAS PLUVIAIS, DIÂMETRO DE 1000 MM, JUNTA RÍGIDA, INSTALADO EM LOCAL COM ALTO NÍVEL DE INTERFERÊNCIAS - FORNECIMENTO E ASSENTAMENTO. AF_03/2024</v>
          </cell>
          <cell r="D712" t="str">
            <v>M</v>
          </cell>
          <cell r="E712">
            <v>669.58</v>
          </cell>
          <cell r="F712">
            <v>0</v>
          </cell>
        </row>
        <row r="713">
          <cell r="B713">
            <v>92216</v>
          </cell>
          <cell r="C713" t="str">
            <v>TUBO DE CONCRETO PARA REDES COLETORAS DE ÁGUAS PLUVIAIS, DIÂMETRO DE 1000 MM, JUNTA RÍGIDA, INSTALADO EM LOCAL COM BAIXO NÍVEL DE INTERFERÊNCIAS - FORNECIMENTO E ASSENTAMENTO. AF_03/2024</v>
          </cell>
          <cell r="D713" t="str">
            <v>M</v>
          </cell>
          <cell r="E713">
            <v>657.32</v>
          </cell>
          <cell r="F713">
            <v>0</v>
          </cell>
        </row>
        <row r="714">
          <cell r="B714">
            <v>92829</v>
          </cell>
          <cell r="C714" t="str">
            <v>TUBO DE CONCRETO PARA REDES COLETORAS DE ÁGUAS PLUVIAIS, DIÂMETRO DE 1200 MM, JUNTA RÍGIDA, INSTALADO EM LOCAL COM ALTO NÍVEL DE INTERFERÊNCIAS - FORNECIMENTO E ASSENTAMENTO. AF_03/2024</v>
          </cell>
          <cell r="D714" t="str">
            <v>M</v>
          </cell>
          <cell r="E714">
            <v>965.39</v>
          </cell>
          <cell r="F714">
            <v>0</v>
          </cell>
        </row>
        <row r="715">
          <cell r="B715">
            <v>92816</v>
          </cell>
          <cell r="C715" t="str">
            <v>TUBO DE CONCRETO PARA REDES COLETORAS DE ÁGUAS PLUVIAIS, DIÂMETRO DE 1200 MM, JUNTA RÍGIDA, INSTALADO EM LOCAL COM BAIXO NÍVEL DE INTERFERÊNCIAS - FORNECIMENTO E ASSENTAMENTO. AF_03/2024</v>
          </cell>
          <cell r="D715" t="str">
            <v>M</v>
          </cell>
          <cell r="E715">
            <v>950.52</v>
          </cell>
          <cell r="F715">
            <v>0</v>
          </cell>
        </row>
        <row r="716">
          <cell r="B716">
            <v>92831</v>
          </cell>
          <cell r="C716" t="str">
            <v>TUBO DE CONCRETO PARA REDES COLETORAS DE ÁGUAS PLUVIAIS, DIÂMETRO DE 1500 MM, JUNTA RÍGIDA, INSTALADO EM LOCAL COM ALTO NÍVEL DE INTERFERÊNCIAS - FORNECIMENTO E ASSENTAMENTO. AF_03/2024</v>
          </cell>
          <cell r="D716" t="str">
            <v>M</v>
          </cell>
          <cell r="E716">
            <v>1373.33</v>
          </cell>
          <cell r="F716">
            <v>0</v>
          </cell>
        </row>
        <row r="717">
          <cell r="B717">
            <v>92818</v>
          </cell>
          <cell r="C717" t="str">
            <v>TUBO DE CONCRETO PARA REDES COLETORAS DE ÁGUAS PLUVIAIS, DIÂMETRO DE 1500 MM, JUNTA RÍGIDA, INSTALADO EM LOCAL COM BAIXO NÍVEL DE INTERFERÊNCIAS - FORNECIMENTO E ASSENTAMENTO. AF_03/2024</v>
          </cell>
          <cell r="D717" t="str">
            <v>M</v>
          </cell>
          <cell r="E717">
            <v>1354.51</v>
          </cell>
          <cell r="F717">
            <v>0</v>
          </cell>
        </row>
        <row r="718">
          <cell r="B718">
            <v>95566</v>
          </cell>
          <cell r="C718" t="str">
            <v>TUBO DE CONCRETO PARA REDES COLETORAS DE ÁGUAS PLUVIAIS, DIÂMETRO DE 300MM, JUNTA RÍGIDA, INSTALADO EM LOCAL COM ALTO NÍVEL DE INTERFERÊNCIAS - FORNECIMENTO E ASSENTAMENTO. AF_03/2024</v>
          </cell>
          <cell r="D718" t="str">
            <v>M</v>
          </cell>
          <cell r="E718">
            <v>160.04</v>
          </cell>
          <cell r="F718">
            <v>0</v>
          </cell>
        </row>
        <row r="719">
          <cell r="B719">
            <v>95565</v>
          </cell>
          <cell r="C719" t="str">
            <v>TUBO DE CONCRETO PARA REDES COLETORAS DE ÁGUAS PLUVIAIS, DIÂMETRO DE 300MM, JUNTA RÍGIDA, INSTALADO EM LOCAL COM BAIXO NÍVEL DE INTERFERÊNCIAS - FORNECIMENTO E ASSENTAMENTO. AF_03/2024</v>
          </cell>
          <cell r="D719" t="str">
            <v>M</v>
          </cell>
          <cell r="E719">
            <v>156.94999999999999</v>
          </cell>
          <cell r="F719">
            <v>0</v>
          </cell>
        </row>
        <row r="720">
          <cell r="B720">
            <v>92219</v>
          </cell>
          <cell r="C720" t="str">
            <v>TUBO DE CONCRETO PARA REDES COLETORAS DE ÁGUAS PLUVIAIS, DIÂMETRO DE 400 MM, JUNTA RÍGIDA, INSTALADO EM LOCAL COM ALTO NÍVEL DE INTERFERÊNCIAS - FORNECIMENTO E ASSENTAMENTO. AF_03/2024</v>
          </cell>
          <cell r="D720" t="str">
            <v>M</v>
          </cell>
          <cell r="E720">
            <v>189.43</v>
          </cell>
          <cell r="F720">
            <v>0</v>
          </cell>
        </row>
        <row r="721">
          <cell r="B721">
            <v>92210</v>
          </cell>
          <cell r="C721" t="str">
            <v>TUBO DE CONCRETO PARA REDES COLETORAS DE ÁGUAS PLUVIAIS, DIÂMETRO DE 400 MM, JUNTA RÍGIDA, INSTALADO EM LOCAL COM BAIXO NÍVEL DE INTERFERÊNCIAS - FORNECIMENTO E ASSENTAMENTO. AF_03/2024</v>
          </cell>
          <cell r="D721" t="str">
            <v>M</v>
          </cell>
          <cell r="E721">
            <v>185.06</v>
          </cell>
          <cell r="F721">
            <v>0</v>
          </cell>
        </row>
        <row r="722">
          <cell r="B722">
            <v>92220</v>
          </cell>
          <cell r="C722" t="str">
            <v>TUBO DE CONCRETO PARA REDES COLETORAS DE ÁGUAS PLUVIAIS, DIÂMETRO DE 500 MM, JUNTA RÍGIDA, INSTALADO EM LOCAL COM ALTO NÍVEL DE INTERFERÊNCIAS - FORNECIMENTO E ASSENTAMENTO. AF_03/2024</v>
          </cell>
          <cell r="D722" t="str">
            <v>M</v>
          </cell>
          <cell r="E722">
            <v>230.78</v>
          </cell>
          <cell r="F722">
            <v>0</v>
          </cell>
        </row>
        <row r="723">
          <cell r="B723">
            <v>92211</v>
          </cell>
          <cell r="C723" t="str">
            <v>TUBO DE CONCRETO PARA REDES COLETORAS DE ÁGUAS PLUVIAIS, DIÂMETRO DE 500 MM, JUNTA RÍGIDA, INSTALADO EM LOCAL COM BAIXO NÍVEL DE INTERFERÊNCIAS - FORNECIMENTO E ASSENTAMENTO. AF_03/2024</v>
          </cell>
          <cell r="D723" t="str">
            <v>M</v>
          </cell>
          <cell r="E723">
            <v>225.08</v>
          </cell>
          <cell r="F723">
            <v>0</v>
          </cell>
        </row>
        <row r="724">
          <cell r="B724">
            <v>92221</v>
          </cell>
          <cell r="C724" t="str">
            <v>TUBO DE CONCRETO PARA REDES COLETORAS DE ÁGUAS PLUVIAIS, DIÂMETRO DE 600 MM, JUNTA RÍGIDA, INSTALADO EM LOCAL COM ALTO NÍVEL DE INTERFERÊNCIAS - FORNECIMENTO E ASSENTAMENTO. AF_03/2024</v>
          </cell>
          <cell r="D724" t="str">
            <v>M</v>
          </cell>
          <cell r="E724">
            <v>350</v>
          </cell>
          <cell r="F724">
            <v>0</v>
          </cell>
        </row>
        <row r="725">
          <cell r="B725">
            <v>92212</v>
          </cell>
          <cell r="C725" t="str">
            <v>TUBO DE CONCRETO PARA REDES COLETORAS DE ÁGUAS PLUVIAIS, DIÂMETRO DE 600 MM, JUNTA RÍGIDA, INSTALADO EM LOCAL COM BAIXO NÍVEL DE INTERFERÊNCIAS - FORNECIMENTO E ASSENTAMENTO. AF_03/2024</v>
          </cell>
          <cell r="D725" t="str">
            <v>M</v>
          </cell>
          <cell r="E725">
            <v>343.01</v>
          </cell>
          <cell r="F725">
            <v>0</v>
          </cell>
        </row>
        <row r="726">
          <cell r="B726">
            <v>92222</v>
          </cell>
          <cell r="C726" t="str">
            <v>TUBO DE CONCRETO PARA REDES COLETORAS DE ÁGUAS PLUVIAIS, DIÂMETRO DE 700 MM, JUNTA RÍGIDA, INSTALADO EM LOCAL COM ALTO NÍVEL DE INTERFERÊNCIAS - FORNECIMENTO E ASSENTAMENTO. AF_03/2024</v>
          </cell>
          <cell r="D726" t="str">
            <v>M</v>
          </cell>
          <cell r="E726">
            <v>464.16</v>
          </cell>
          <cell r="F726">
            <v>0</v>
          </cell>
        </row>
        <row r="727">
          <cell r="B727">
            <v>92213</v>
          </cell>
          <cell r="C727" t="str">
            <v>TUBO DE CONCRETO PARA REDES COLETORAS DE ÁGUAS PLUVIAIS, DIÂMETRO DE 700 MM, JUNTA RÍGIDA, INSTALADO EM LOCAL COM BAIXO NÍVEL DE INTERFERÊNCIAS - FORNECIMENTO E ASSENTAMENTO. AF_03/2024</v>
          </cell>
          <cell r="D727" t="str">
            <v>M</v>
          </cell>
          <cell r="E727">
            <v>455.86</v>
          </cell>
          <cell r="F727">
            <v>0</v>
          </cell>
        </row>
        <row r="728">
          <cell r="B728">
            <v>92223</v>
          </cell>
          <cell r="C728" t="str">
            <v>TUBO DE CONCRETO PARA REDES COLETORAS DE ÁGUAS PLUVIAIS, DIÂMETRO DE 800 MM, JUNTA RÍGIDA, INSTALADO EM LOCAL COM ALTO NÍVEL DE INTERFERÊNCIAS - FORNECIMENTO E ASSENTAMENTO. AF_03/2024</v>
          </cell>
          <cell r="D728" t="str">
            <v>M</v>
          </cell>
          <cell r="E728">
            <v>561.44000000000005</v>
          </cell>
          <cell r="F728">
            <v>0</v>
          </cell>
        </row>
        <row r="729">
          <cell r="B729">
            <v>92214</v>
          </cell>
          <cell r="C729" t="str">
            <v>TUBO DE CONCRETO PARA REDES COLETORAS DE ÁGUAS PLUVIAIS, DIÂMETRO DE 800 MM, JUNTA RÍGIDA, INSTALADO EM LOCAL COM BAIXO NÍVEL DE INTERFERÊNCIAS - FORNECIMENTO E ASSENTAMENTO. AF_03/2024</v>
          </cell>
          <cell r="D729" t="str">
            <v>M</v>
          </cell>
          <cell r="E729">
            <v>551.83000000000004</v>
          </cell>
          <cell r="F729">
            <v>0</v>
          </cell>
        </row>
        <row r="730">
          <cell r="B730">
            <v>92224</v>
          </cell>
          <cell r="C730" t="str">
            <v>TUBO DE CONCRETO PARA REDES COLETORAS DE ÁGUAS PLUVIAIS, DIÂMETRO DE 900 MM, JUNTA RÍGIDA, INSTALADO EM LOCAL COM ALTO NÍVEL DE INTERFERÊNCIAS - FORNECIMENTO E ASSENTAMENTO. AF_03/2024</v>
          </cell>
          <cell r="D730" t="str">
            <v>M</v>
          </cell>
          <cell r="E730">
            <v>644.41</v>
          </cell>
          <cell r="F730">
            <v>0</v>
          </cell>
        </row>
        <row r="731">
          <cell r="B731">
            <v>92215</v>
          </cell>
          <cell r="C731" t="str">
            <v>TUBO DE CONCRETO PARA REDES COLETORAS DE ÁGUAS PLUVIAIS, DIÂMETRO DE 900 MM, JUNTA RÍGIDA, INSTALADO EM LOCAL COM BAIXO NÍVEL DE INTERFERÊNCIAS - FORNECIMENTO E ASSENTAMENTO. AF_03/2024</v>
          </cell>
          <cell r="D731" t="str">
            <v>M</v>
          </cell>
          <cell r="E731">
            <v>633.46</v>
          </cell>
          <cell r="F731">
            <v>0</v>
          </cell>
        </row>
        <row r="732">
          <cell r="B732">
            <v>94342</v>
          </cell>
          <cell r="C732" t="str">
            <v>ATERRO MANUAL DE VALAS COM AREIA PARA ATERRO. AF_08/2023</v>
          </cell>
          <cell r="D732" t="str">
            <v>M3</v>
          </cell>
          <cell r="E732">
            <v>94.72</v>
          </cell>
          <cell r="F732">
            <v>0</v>
          </cell>
        </row>
        <row r="733">
          <cell r="B733">
            <v>94319</v>
          </cell>
          <cell r="C733" t="str">
            <v>ATERRO MANUAL DE VALAS COM SOLO ARGILO-ARENOSO. AF_08/2023</v>
          </cell>
          <cell r="D733" t="str">
            <v>M3</v>
          </cell>
          <cell r="E733">
            <v>89.53</v>
          </cell>
          <cell r="F733">
            <v>0</v>
          </cell>
        </row>
        <row r="734">
          <cell r="B734">
            <v>94304</v>
          </cell>
          <cell r="C734" t="str">
            <v>ATERRO MECANIZADO DE VALA COM ESCAVADEIRA HIDRÁULICA (CAPACIDADE DA CAÇAMBA: 0,8 M³ / POTÊNCIA: 111 HP), LARGURA ATÉ 2,5 M, PROFUNDIDADE ATÉ 1,5 M, COM SOLO ARGILO-ARENOSO. AF_08/2023</v>
          </cell>
          <cell r="D734" t="str">
            <v>M3</v>
          </cell>
          <cell r="E734">
            <v>81.03</v>
          </cell>
          <cell r="F734">
            <v>0</v>
          </cell>
        </row>
        <row r="735">
          <cell r="B735">
            <v>94306</v>
          </cell>
          <cell r="C735" t="str">
            <v>ATERRO MECANIZADO DE VALA COM ESCAVADEIRA HIDRÁULICA (CAPACIDADE DA CAÇAMBA: 0,8 M³ / POTÊNCIA: 111 HP), LARGURA ATÉ 2,5 M, PROFUNDIDADE DE 1,5 A 3,0 M, COM SOLO ARGILO-ARENOSO. AF_08/2023</v>
          </cell>
          <cell r="D735" t="str">
            <v>M3</v>
          </cell>
          <cell r="E735">
            <v>73.52</v>
          </cell>
          <cell r="F735">
            <v>0</v>
          </cell>
        </row>
        <row r="736">
          <cell r="B736">
            <v>94327</v>
          </cell>
          <cell r="C736" t="str">
            <v>ATERRO MECANIZADO DE VALA COM ESCAVADEIRA HIDRÁULICA (CAPACIDADE DA CAÇAMBA: 0,8 M³/POTÊNCIA: 111 HP), LARGURA ATÉ 2,5 M, PROFUNDIDADE ATÉ 1,5 M, COM AREIA PARA ATERRO. AF_08/2023</v>
          </cell>
          <cell r="D736" t="str">
            <v>M3</v>
          </cell>
          <cell r="E736">
            <v>86.22</v>
          </cell>
          <cell r="F736">
            <v>0</v>
          </cell>
        </row>
        <row r="737">
          <cell r="B737">
            <v>94329</v>
          </cell>
          <cell r="C737" t="str">
            <v>ATERRO MECANIZADO DE VALA COM ESCAVADEIRA HIDRÁULICA (CAPACIDADE DA CAÇAMBA: 0,8 M³/POTÊNCIA: 111 HP), LARGURA ATÉ 2,5 M, PROFUNDIDADE DE 1,5 A 3,0 M, COM AREIA PARA ATERRO. AF_08/2023</v>
          </cell>
          <cell r="D737" t="str">
            <v>M3</v>
          </cell>
          <cell r="E737">
            <v>78.709999999999994</v>
          </cell>
          <cell r="F737">
            <v>0</v>
          </cell>
        </row>
        <row r="738">
          <cell r="B738">
            <v>94333</v>
          </cell>
          <cell r="C738" t="str">
            <v>ATERRO MECANIZADO DE VALA COM ESCAVADEIRA HIDRÁULICA (CAPACIDADE DA CAÇAMBA: 0,8 M³/POTÊNCIA: 111 HP), LARGURA ATÉ 2,5 M, PROFUNDIDADE DE 3,0 A 6,0 M, COM AREIA PARA ATERRO. AF_08/2023</v>
          </cell>
          <cell r="D738" t="str">
            <v>M3</v>
          </cell>
          <cell r="E738">
            <v>75.34</v>
          </cell>
          <cell r="F738">
            <v>0</v>
          </cell>
        </row>
        <row r="739">
          <cell r="B739">
            <v>94310</v>
          </cell>
          <cell r="C739" t="str">
            <v>ATERRO MECANIZADO DE VALA COM ESCAVADEIRA HIDRÁULICA (CAPACIDADE DA CAÇAMBA: 0,8 M³/POTÊNCIA: 111 HP), LARGURA ATÉ 2,5 M, PROFUNDIDADE DE 3,0 A 6,0 M, COM SOLO ARGILO-ARENOSO. AF_08/2023</v>
          </cell>
          <cell r="D739" t="str">
            <v>M3</v>
          </cell>
          <cell r="E739">
            <v>70.150000000000006</v>
          </cell>
          <cell r="F739">
            <v>0</v>
          </cell>
        </row>
        <row r="740">
          <cell r="B740">
            <v>104739</v>
          </cell>
          <cell r="C740" t="str">
            <v>ATERRO MECANIZADO DE VALA COM MINICARREGADEIRA, COM AREIA PARA ATERRO. AF_08/2023</v>
          </cell>
          <cell r="D740" t="str">
            <v>M3</v>
          </cell>
          <cell r="E740">
            <v>91.96</v>
          </cell>
          <cell r="F740">
            <v>0</v>
          </cell>
        </row>
        <row r="741">
          <cell r="B741">
            <v>104738</v>
          </cell>
          <cell r="C741" t="str">
            <v>ATERRO MECANIZADO DE VALA COM MINICARREGADEIRA, COM SOLO ARGILO-ARENOSO. AF_08/2023</v>
          </cell>
          <cell r="D741" t="str">
            <v>M3</v>
          </cell>
          <cell r="E741">
            <v>86.77</v>
          </cell>
          <cell r="F741">
            <v>0</v>
          </cell>
        </row>
        <row r="742">
          <cell r="B742">
            <v>94316</v>
          </cell>
          <cell r="C742" t="str">
            <v>ATERRO MECANIZADO DE VALA COM RETROESCAVADEIRA (CAPACIDADE DA CAÇAMBA DA RETRO: 0,26 M³ / POTÊNCIA: 88 HP), LARGURA ATÉ 1,5 M, PROFUNDIDADE ATÉ 1,5 M, COM SOLO ARGILO-ARENOSO. AF_08/2023</v>
          </cell>
          <cell r="D742" t="str">
            <v>M3</v>
          </cell>
          <cell r="E742">
            <v>75.72</v>
          </cell>
          <cell r="F742">
            <v>0</v>
          </cell>
        </row>
        <row r="743">
          <cell r="B743">
            <v>94318</v>
          </cell>
          <cell r="C743" t="str">
            <v>ATERRO MECANIZADO DE VALA COM RETROESCAVADEIRA (CAPACIDADE DA CAÇAMBA DA RETRO: 0,26 M³ / POTÊNCIA: 88 HP), LARGURA ATÉ 1,5 M, PROFUNDIDADE DE 1,5 A 3,0 M, COM SOLO ARGILO-ARENOSO. AF_08/2023</v>
          </cell>
          <cell r="D743" t="str">
            <v>M3</v>
          </cell>
          <cell r="E743">
            <v>68.930000000000007</v>
          </cell>
          <cell r="F743">
            <v>0</v>
          </cell>
        </row>
        <row r="744">
          <cell r="B744">
            <v>94339</v>
          </cell>
          <cell r="C744" t="str">
            <v>ATERRO MECANIZADO DE VALA COM RETROESCAVADEIRA (CAPACIDADE DA CAÇAMBA DA RETRO: 0,26 M³/POTÊNCIA: 88 HP), LARGURA ATÉ 1,5 M, PROFUNDIDADE ATÉ 1,5 M, COM AREIA PARA ATERRO. AF_08/2023</v>
          </cell>
          <cell r="D744" t="str">
            <v>M3</v>
          </cell>
          <cell r="E744">
            <v>80.91</v>
          </cell>
          <cell r="F744">
            <v>0</v>
          </cell>
        </row>
        <row r="745">
          <cell r="B745">
            <v>94341</v>
          </cell>
          <cell r="C745" t="str">
            <v>ATERRO MECANIZADO DE VALA COM RETROESCAVADEIRA (CAPACIDADE DA CAÇAMBA DA RETRO: 0,26 M³/POTÊNCIA: 88 HP), LARGURA ATÉ 1,5 M, PROFUNDIDADE DE 1,5 A 3,0 M, COM AREIA PARA ATERRO. AF_08/2023</v>
          </cell>
          <cell r="D745" t="str">
            <v>M3</v>
          </cell>
          <cell r="E745">
            <v>74.12</v>
          </cell>
          <cell r="F745">
            <v>0</v>
          </cell>
        </row>
        <row r="746">
          <cell r="B746">
            <v>104742</v>
          </cell>
          <cell r="C746" t="str">
            <v>COMPACTAÇÃO DE VALAS COM ROLO COMPRESSOR. AF_08/2023</v>
          </cell>
          <cell r="D746" t="str">
            <v>M2</v>
          </cell>
          <cell r="E746">
            <v>8.86</v>
          </cell>
          <cell r="F746">
            <v>0</v>
          </cell>
        </row>
        <row r="747">
          <cell r="B747">
            <v>93382</v>
          </cell>
          <cell r="C747" t="str">
            <v>REATERRO MANUAL DE VALAS, COM COMPACTADOR DE SOLOS DE PERCUSSÃO. AF_08/2023</v>
          </cell>
          <cell r="D747" t="str">
            <v>M3</v>
          </cell>
          <cell r="E747">
            <v>35.700000000000003</v>
          </cell>
          <cell r="F747">
            <v>0</v>
          </cell>
        </row>
        <row r="748">
          <cell r="B748">
            <v>104737</v>
          </cell>
          <cell r="C748" t="str">
            <v>REATERRO MANUAL DE VALAS, COM PLACA VIBRATÓRIA. AF_08/2023</v>
          </cell>
          <cell r="D748" t="str">
            <v>M3</v>
          </cell>
          <cell r="E748">
            <v>30.26</v>
          </cell>
          <cell r="F748">
            <v>0</v>
          </cell>
        </row>
        <row r="749">
          <cell r="B749">
            <v>93369</v>
          </cell>
          <cell r="C749" t="str">
            <v>REATERRO MECANIZADO DE VALA COM ESCAVADEIRA HIDRÁULICA (CAPACIDADE DA CAÇAMBA: 0,8 M³/POTÊNCIA: 111 HP), LARGURA 1,5 A 2,5 M, PROFUNDIDADE 1,5 A 3,0 M, COM SOLO (SEM SUBSTITUIÇÃO) DE 1ª CATEGORIA, COM COMPACTADOR DE SOLOS DE PERCUSSÃO. AF_08/2023</v>
          </cell>
          <cell r="D749" t="str">
            <v>M3</v>
          </cell>
          <cell r="E749">
            <v>19.690000000000001</v>
          </cell>
          <cell r="F749">
            <v>0</v>
          </cell>
        </row>
        <row r="750">
          <cell r="B750">
            <v>93373</v>
          </cell>
          <cell r="C750" t="str">
            <v>REATERRO MECANIZADO DE VALA COM ESCAVADEIRA HIDRÁULICA (CAPACIDADE DA CAÇAMBA: 0,8 M³/POTÊNCIA: 111 HP), LARGURA 1,5 A 2,5 M, PROFUNDIDADE 3,0 A 6,0 M, COM SOLO (SEM SUBSTITUIÇÃO) DE 1ª CATEGORIA, COM COMPACTADOR DE SOLOS DE PERCUSSÃO. AF_08/2023</v>
          </cell>
          <cell r="D750" t="str">
            <v>M3</v>
          </cell>
          <cell r="E750">
            <v>16.32</v>
          </cell>
          <cell r="F750">
            <v>0</v>
          </cell>
        </row>
        <row r="751">
          <cell r="B751">
            <v>93368</v>
          </cell>
          <cell r="C751" t="str">
            <v>REATERRO MECANIZADO DE VALA COM ESCAVADEIRA HIDRÁULICA (CAPACIDADE DA CAÇAMBA: 0,8 M³/POTÊNCIA: 111 HP), LARGURA ATÉ 1,5 M, PROFUNDIDADE DE 1,5 A 3,0 M, COM SOLO (SEM SUBSTITUIÇÃO) DE 1ª CATEGORIA, COM COMPACTADOR DE SOLOS DE PERCUSSÃO. AF_08/2023</v>
          </cell>
          <cell r="D751" t="str">
            <v>M3</v>
          </cell>
          <cell r="E751">
            <v>23.86</v>
          </cell>
          <cell r="F751">
            <v>0</v>
          </cell>
        </row>
        <row r="752">
          <cell r="B752">
            <v>104729</v>
          </cell>
          <cell r="C752" t="str">
            <v>REATERRO MECANIZADO DE VALA COM ESCAVADEIRA HIDRÁULICA (CAPACIDADE DA CAÇAMBA: 0,8 M³/POTÊNCIA: 111 HP), LARGURA ATÉ 1,5 M, PROFUNDIDADE DE 1,5 A 3,0 M, COM SOLO (SEM SUBSTITUIÇÃO) DE 1ª CATEGORIA, COM PLACA VIBRATÓRIA. AF_08/2023</v>
          </cell>
          <cell r="D752" t="str">
            <v>M3</v>
          </cell>
          <cell r="E752">
            <v>18.84</v>
          </cell>
          <cell r="F752">
            <v>0</v>
          </cell>
        </row>
        <row r="753">
          <cell r="B753">
            <v>93372</v>
          </cell>
          <cell r="C753" t="str">
            <v>REATERRO MECANIZADO DE VALA COM ESCAVADEIRA HIDRÁULICA (CAPACIDADE DA CAÇAMBA: 0,8 M³/POTÊNCIA: 111 HP), LARGURA ATÉ 1,5 M, PROFUNDIDADE DE 3,0 A 6,0 M, COM SOLO (SEM SUBSTITUIÇÃO) DE 1ª CATEGORIA, COM COMPACTADOR DE SOLOS DE PERCUSSÃO. AF_08/2023</v>
          </cell>
          <cell r="D753" t="str">
            <v>M3</v>
          </cell>
          <cell r="E753">
            <v>18.940000000000001</v>
          </cell>
          <cell r="F753">
            <v>0</v>
          </cell>
        </row>
        <row r="754">
          <cell r="B754">
            <v>104731</v>
          </cell>
          <cell r="C754" t="str">
            <v>REATERRO MECANIZADO DE VALA COM ESCAVADEIRA HIDRÁULICA (CAPACIDADE DA CAÇAMBA: 0,8 M³/POTÊNCIA: 111 HP), LARGURA ATÉ 1,5 M, PROFUNDIDADE DE 3,0 A 6,0 M, COM SOLO (SEM SUBSTITUIÇÃO) DE 1ª CATEGORIA, COM PLACA VIBRATÓRIA. AF_08/2023</v>
          </cell>
          <cell r="D754" t="str">
            <v>M3</v>
          </cell>
          <cell r="E754">
            <v>13.94</v>
          </cell>
          <cell r="F754">
            <v>0</v>
          </cell>
        </row>
        <row r="755">
          <cell r="B755">
            <v>93367</v>
          </cell>
          <cell r="C755" t="str">
            <v>REATERRO MECANIZADO DE VALA COM ESCAVADEIRA HIDRÁULICA (CAPACIDADE DA CAÇAMBA: 0,8 M³/POTÊNCIA: 111 HP), LARGURA DE 1,5 A 2,5 M, PROFUNDIDADE ATÉ 1,5 M, COM SOLO (SEM SUBSTITUIÇÃO) DE 1ª CATEGORIA, COM COMPACTADOR DE SOLOS DE PERCUSSÃO. AF_08/2023</v>
          </cell>
          <cell r="D755" t="str">
            <v>M3</v>
          </cell>
          <cell r="E755">
            <v>27.2</v>
          </cell>
          <cell r="F755">
            <v>0</v>
          </cell>
        </row>
        <row r="756">
          <cell r="B756">
            <v>104728</v>
          </cell>
          <cell r="C756" t="str">
            <v>REATERRO MECANIZADO DE VALA COM ESCAVADEIRA HIDRÁULICA (CAPACIDADE DA CAÇAMBA: 0,8 M³/POTÊNCIA: 111 HP), LARGURA DE 1,5 A 2,5 M, PROFUNDIDADE ATÉ 1,5 M, COM SOLO (SEM SUBSTITUIÇÃO) DE 1ª CATEGORIA, COM PLACA VIBRATÓRIA. AF_08/2023</v>
          </cell>
          <cell r="D756" t="str">
            <v>M3</v>
          </cell>
          <cell r="E756">
            <v>22.14</v>
          </cell>
          <cell r="F756">
            <v>0</v>
          </cell>
        </row>
        <row r="757">
          <cell r="B757">
            <v>104730</v>
          </cell>
          <cell r="C757" t="str">
            <v>REATERRO MECANIZADO DE VALA COM ESCAVADEIRA HIDRÁULICA (CAPACIDADE DA CAÇAMBA: 0,8 M³/POTÊNCIA: 111 HP), LARGURA DE 1,5 A 2,5 M, PROFUNDIDADE DE 1,5 A 3,0 M, COM SOLO (SEM SUBSTITUIÇÃO) DE 1ª CATEGORIA, COM PLACA VIBRATÓRIA. AF_08/2023</v>
          </cell>
          <cell r="D757" t="str">
            <v>M3</v>
          </cell>
          <cell r="E757">
            <v>14.69</v>
          </cell>
          <cell r="F757">
            <v>0</v>
          </cell>
        </row>
        <row r="758">
          <cell r="B758">
            <v>104732</v>
          </cell>
          <cell r="C758" t="str">
            <v>REATERRO MECANIZADO DE VALA COM ESCAVADEIRA HIDRÁULICA (CAPACIDADE DA CAÇAMBA: 0,8 M³/POTÊNCIA: 111 HP), LARGURA DE 1,5 A 2,5 M, PROFUNDIDADE DE 3,0 A 6,0 M, COM SOLO (SEM SUBSTITUIÇÃO) DE 1ª CATEGORIA, COM PLACA VIBRATÓRIA. AF_08/2023</v>
          </cell>
          <cell r="D758" t="str">
            <v>M3</v>
          </cell>
          <cell r="E758">
            <v>11.32</v>
          </cell>
          <cell r="F758">
            <v>0</v>
          </cell>
        </row>
        <row r="759">
          <cell r="B759">
            <v>104740</v>
          </cell>
          <cell r="C759" t="str">
            <v>REATERRO MECANIZADO DE VALA COM MINICARREGADEIRA, COM COMPACTADOR DE SOLOS DE PERCUSSÃO. AF_08/2023</v>
          </cell>
          <cell r="D759" t="str">
            <v>M3</v>
          </cell>
          <cell r="E759">
            <v>32.94</v>
          </cell>
          <cell r="F759">
            <v>0</v>
          </cell>
        </row>
        <row r="760">
          <cell r="B760">
            <v>104741</v>
          </cell>
          <cell r="C760" t="str">
            <v>REATERRO MECANIZADO DE VALA COM MINICARREGADEIRA, COM PLACA VIBRATÓRIA. AF_08/2023</v>
          </cell>
          <cell r="D760" t="str">
            <v>M3</v>
          </cell>
          <cell r="E760">
            <v>27.49</v>
          </cell>
          <cell r="F760">
            <v>0</v>
          </cell>
        </row>
        <row r="761">
          <cell r="B761">
            <v>93381</v>
          </cell>
          <cell r="C761" t="str">
            <v>REATERRO MECANIZADO DE VALA COM RETROESCAVADEIRA (CAPACIDADE DA CAÇAMBA DA RETRO: 0,26 M³/POTÊNCIA: 88 HP), LARGURA 0,8 A 1,5 M, PROFUNDIDADE 1,5 A 3,0 M, COM SOLO (SEM SUBSTITUIÇÃO) DE 1ª CATEGORIA E COMPACTADOR DE SOLOS DE PERCUSSÃO. AF_08/2023</v>
          </cell>
          <cell r="D761" t="str">
            <v>M3</v>
          </cell>
          <cell r="E761">
            <v>15.1</v>
          </cell>
          <cell r="F761">
            <v>0</v>
          </cell>
        </row>
        <row r="762">
          <cell r="B762">
            <v>93379</v>
          </cell>
          <cell r="C762" t="str">
            <v>REATERRO MECANIZADO DE VALA COM RETROESCAVADEIRA (CAPACIDADE DA CAÇAMBA DA RETRO: 0,26 M³/POTÊNCIA: 88 HP), LARGURA 0,8 A 1,5 M, PROFUNDIDADE ATÉ 1,5 M, COM SOLO (SEM SUBSTITUIÇÃO) DE 1ª CATEGORIA, COM COMPACTADOR DE SOLOS DE PERCUSSÃO AF_08/2023</v>
          </cell>
          <cell r="D762" t="str">
            <v>M3</v>
          </cell>
          <cell r="E762">
            <v>21.89</v>
          </cell>
          <cell r="F762">
            <v>0</v>
          </cell>
        </row>
        <row r="763">
          <cell r="B763">
            <v>93380</v>
          </cell>
          <cell r="C763" t="str">
            <v>REATERRO MECANIZADO DE VALA COM RETROESCAVADEIRA (CAPACIDADE DA CAÇAMBA DA RETRO: 0,26 M³/POTÊNCIA: 88 HP), LARGURA ATÉ 0,8 M, PROFUNDIDADE 1,5 A 3,0 M, COM SOLO (SEM SUBSTITUIÇÃO) DE 1ª CATEGORIA, COM COMPACTADOR DE SOLOS DE PERCUSSÃO AF_08/2023</v>
          </cell>
          <cell r="D763" t="str">
            <v>M3</v>
          </cell>
          <cell r="E763">
            <v>18.62</v>
          </cell>
          <cell r="F763">
            <v>0</v>
          </cell>
        </row>
        <row r="764">
          <cell r="B764">
            <v>93378</v>
          </cell>
          <cell r="C764" t="str">
            <v>REATERRO MECANIZADO DE VALA COM RETROESCAVADEIRA (CAPACIDADE DA CAÇAMBA DA RETRO: 0,26 M³/POTÊNCIA: 88 HP), LARGURA ATÉ 0,8 M, PROFUNDIDADE ATÉ 1,5 M, COM SOLO (SEM SUBSTITUIÇÃO) DE 1ª CATEGORIA, COM COMPACTADOR DE SOLOS DE PERCUSSÃO. AF_08/2023</v>
          </cell>
          <cell r="D764" t="str">
            <v>M3</v>
          </cell>
          <cell r="E764">
            <v>28.48</v>
          </cell>
          <cell r="F764">
            <v>0</v>
          </cell>
        </row>
        <row r="765">
          <cell r="B765">
            <v>104733</v>
          </cell>
          <cell r="C765" t="str">
            <v>REATERRO MECANIZADO DE VALA COM RETROESCAVADEIRA (CAPACIDADE DA CAÇAMBA DA RETRO: 0,26 M³/POTÊNCIA: 88 HP), LARGURA ATÉ 0,8 M, PROFUNDIDADE ATÉ 1,5 M, COM SOLO (SEM SUBSTITUIÇÃO) DE 1ª CATEGORIA, COM PLACA VIBRATÓRIA. AF_08/2023</v>
          </cell>
          <cell r="D765" t="str">
            <v>M3</v>
          </cell>
          <cell r="E765">
            <v>23.04</v>
          </cell>
          <cell r="F765">
            <v>0</v>
          </cell>
        </row>
        <row r="766">
          <cell r="B766">
            <v>104735</v>
          </cell>
          <cell r="C766" t="str">
            <v>REATERRO MECANIZADO DE VALA COM RETROESCAVADEIRA (CAPACIDADE DA CAÇAMBA DA RETRO: 0,26 M³/POTÊNCIA: 88 HP), LARGURA ATÉ 0,8 M, PROFUNDIDADE DE 1,5 A 3,0 M, COM SOLO (SEM SUBSTITUIÇÃO) DE 1ª CATEGORIA, COM PLACA VIBRATÓRIA. AF_08/2023</v>
          </cell>
          <cell r="D766" t="str">
            <v>M3</v>
          </cell>
          <cell r="E766">
            <v>13.52</v>
          </cell>
          <cell r="F766">
            <v>0</v>
          </cell>
        </row>
        <row r="767">
          <cell r="B767">
            <v>104734</v>
          </cell>
          <cell r="C767" t="str">
            <v>REATERRO MECANIZADO DE VALA COM RETROESCAVADEIRA (CAPACIDADE DA CAÇAMBA DA RETRO: 0,26 M³/POTÊNCIA: 88 HP), LARGURA DE 0,8 A 1,5 M, PROFUNDIDADE ATÉ 1,5 M, COM SOLO (SEM SUBSTITUIÇÃO) DE 1ª CATEGORIA, COM PLACA VIBRATÓRIA. AF_08/2023</v>
          </cell>
          <cell r="D767" t="str">
            <v>M3</v>
          </cell>
          <cell r="E767">
            <v>16.649999999999999</v>
          </cell>
          <cell r="F767">
            <v>0</v>
          </cell>
        </row>
        <row r="768">
          <cell r="B768">
            <v>104736</v>
          </cell>
          <cell r="C768" t="str">
            <v>REATERRO MECANIZADO DE VALA COM RETROESCAVADEIRA (CAPACIDADE DA CAÇAMBA DA RETRO: 0,26 M³/POTÊNCIA: 88 HP), LARGURA DE 0,8 A 1,5 M, PROFUNDIDADE DE 1,5 A 3,0 M, COM SOLO (SEM SUBSTITUIÇÃO) DE 1ª CATEGORIA, COM PLACA VIBRATÓRIA. AF_08/2023</v>
          </cell>
          <cell r="D768" t="str">
            <v>M3</v>
          </cell>
          <cell r="E768">
            <v>10.07</v>
          </cell>
          <cell r="F768">
            <v>0</v>
          </cell>
        </row>
        <row r="769">
          <cell r="B769">
            <v>105732</v>
          </cell>
          <cell r="C769" t="str">
            <v>CONSTRUÇÃO DE BASE E SUB-BASE PARA PAVIMENTAÇÃO DE BRITA GRADUADA SIMPLES TRATADA COM CIMENTO, COM ESPESSURA DE 10 CM - EXCLUSIVE CARGA E TRANSPORTE. AF_09/2024</v>
          </cell>
          <cell r="D769" t="str">
            <v>M3</v>
          </cell>
          <cell r="E769">
            <v>207.36</v>
          </cell>
          <cell r="F769">
            <v>0</v>
          </cell>
        </row>
        <row r="770">
          <cell r="B770">
            <v>96397</v>
          </cell>
          <cell r="C770" t="str">
            <v>CONSTRUÇÃO DE BASE E SUB-BASE PARA PAVIMENTAÇÃO DE BRITA GRADUADA SIMPLES TRATADA COM CIMENTO, COM ESPESSURA DE 15 CM - EXCLUSIVE CARGA E TRANSPORTE. AF_09/2024</v>
          </cell>
          <cell r="D770" t="str">
            <v>M3</v>
          </cell>
          <cell r="E770">
            <v>202.45</v>
          </cell>
          <cell r="F770">
            <v>0</v>
          </cell>
        </row>
        <row r="771">
          <cell r="B771">
            <v>105735</v>
          </cell>
          <cell r="C771" t="str">
            <v>CONSTRUÇÃO DE BASE E SUB-BASE PARA PAVIMENTAÇÃO DE BRITA GRADUADA SIMPLES TRATADA COM CIMENTO, COM ESPESSURA DE 20 CM - EXCLUSIVE CARGA E TRANSPORTE. AF_09/2024</v>
          </cell>
          <cell r="D771" t="str">
            <v>M3</v>
          </cell>
          <cell r="E771">
            <v>199.96</v>
          </cell>
          <cell r="F771">
            <v>0</v>
          </cell>
        </row>
        <row r="772">
          <cell r="B772">
            <v>105727</v>
          </cell>
          <cell r="C772" t="str">
            <v>CONSTRUÇÃO DE BASE E SUB-BASE PARA PAVIMENTAÇÃO DE BRITA GRADUADA SIMPLES, COM ESPESSURA DE 10 CM - EXCLUSIVE CARGA E TRANSPORTE. AF_09/2024</v>
          </cell>
          <cell r="D772" t="str">
            <v>M3</v>
          </cell>
          <cell r="E772">
            <v>147.55000000000001</v>
          </cell>
          <cell r="F772">
            <v>0</v>
          </cell>
        </row>
        <row r="773">
          <cell r="B773">
            <v>96396</v>
          </cell>
          <cell r="C773" t="str">
            <v>CONSTRUÇÃO DE BASE E SUB-BASE PARA PAVIMENTAÇÃO DE BRITA GRADUADA SIMPLES, COM ESPESSURA DE 15 CM - EXCLUSIVE CARGA E TRANSPORTE. AF_09/2024</v>
          </cell>
          <cell r="D773" t="str">
            <v>M3</v>
          </cell>
          <cell r="E773">
            <v>143.76</v>
          </cell>
          <cell r="F773">
            <v>0</v>
          </cell>
        </row>
        <row r="774">
          <cell r="B774">
            <v>105730</v>
          </cell>
          <cell r="C774" t="str">
            <v>CONSTRUÇÃO DE BASE E SUB-BASE PARA PAVIMENTAÇÃO DE BRITA GRADUADA SIMPLES, COM ESPESSURA DE 20 CM - EXCLUSIVE CARGA E TRANSPORTE. AF_09/2024</v>
          </cell>
          <cell r="D774" t="str">
            <v>M3</v>
          </cell>
          <cell r="E774">
            <v>141.84</v>
          </cell>
          <cell r="F774">
            <v>0</v>
          </cell>
        </row>
        <row r="775">
          <cell r="B775">
            <v>105737</v>
          </cell>
          <cell r="C775" t="str">
            <v>CONSTRUÇÃO DE BASE E SUB-BASE PARA PAVIMENTAÇÃO DE CONCRETO COMPACTADO COM ROLO, COM ESPESSURA DE 10 CM - EXCLUSIVE CARGA E TRANSPORTE. AF_09/2024</v>
          </cell>
          <cell r="D775" t="str">
            <v>M3</v>
          </cell>
          <cell r="E775">
            <v>283.44</v>
          </cell>
          <cell r="F775">
            <v>0</v>
          </cell>
        </row>
        <row r="776">
          <cell r="B776">
            <v>96398</v>
          </cell>
          <cell r="C776" t="str">
            <v>CONSTRUÇÃO DE BASE E SUB-BASE PARA PAVIMENTAÇÃO DE CONCRETO COMPACTADO COM ROLO, COM ESPESSURA DE 15 CM - EXCLUSIVE CARGA E TRANSPORTE. AF_09/2024</v>
          </cell>
          <cell r="D776" t="str">
            <v>M3</v>
          </cell>
          <cell r="E776">
            <v>279.75</v>
          </cell>
          <cell r="F776">
            <v>0</v>
          </cell>
        </row>
        <row r="777">
          <cell r="B777">
            <v>105740</v>
          </cell>
          <cell r="C777" t="str">
            <v>CONSTRUÇÃO DE BASE E SUB-BASE PARA PAVIMENTAÇÃO DE CONCRETO COMPACTADO COM ROLO, COM ESPESSURA DE 20 CM - EXCLUSIVE CARGA E TRANSPORTE. AF_09/2024</v>
          </cell>
          <cell r="D777" t="str">
            <v>M3</v>
          </cell>
          <cell r="E777">
            <v>277.77999999999997</v>
          </cell>
          <cell r="F777">
            <v>0</v>
          </cell>
        </row>
        <row r="778">
          <cell r="B778">
            <v>105749</v>
          </cell>
          <cell r="C778" t="str">
            <v>CONSTRUÇÃO DE BASE E SUB-BASE PARA PAVIMENTAÇÃO DE MACADAME SECO, COM ESPESSURA DE 10 CM - EXCLUSIVE CARGA E TRANSPORTE. AF_09/2024</v>
          </cell>
          <cell r="D778" t="str">
            <v>M3</v>
          </cell>
          <cell r="E778">
            <v>133.91</v>
          </cell>
          <cell r="F778">
            <v>0</v>
          </cell>
        </row>
        <row r="779">
          <cell r="B779">
            <v>96400</v>
          </cell>
          <cell r="C779" t="str">
            <v>CONSTRUÇÃO DE BASE E SUB-BASE PARA PAVIMENTAÇÃO DE MACADAME SECO, COM ESPESSURA DE 15 CM - EXCLUSIVE CARGA E TRANSPORTE. AF_09/2024</v>
          </cell>
          <cell r="D779" t="str">
            <v>M3</v>
          </cell>
          <cell r="E779">
            <v>131.9</v>
          </cell>
          <cell r="F779">
            <v>0</v>
          </cell>
        </row>
        <row r="780">
          <cell r="B780">
            <v>105752</v>
          </cell>
          <cell r="C780" t="str">
            <v>CONSTRUÇÃO DE BASE E SUB-BASE PARA PAVIMENTAÇÃO DE MACADAME SECO, COM ESPESSURA DE 20 CM - EXCLUSIVE CARGA E TRANSPORTE. AF_09/2024</v>
          </cell>
          <cell r="D780" t="str">
            <v>M3</v>
          </cell>
          <cell r="E780">
            <v>130.11000000000001</v>
          </cell>
          <cell r="F780">
            <v>0</v>
          </cell>
        </row>
        <row r="781">
          <cell r="B781">
            <v>105754</v>
          </cell>
          <cell r="C781" t="str">
            <v>CONSTRUÇÃO DE BASE E SUB-BASE PARA PAVIMENTAÇÃO DE MACADAME SECO, COM ESPESSURA DE 25 CM - EXCLUSIVE CARGA E TRANSPORTE. AF_09/2024</v>
          </cell>
          <cell r="D781" t="str">
            <v>M3</v>
          </cell>
          <cell r="E781">
            <v>128.41</v>
          </cell>
          <cell r="F781">
            <v>0</v>
          </cell>
        </row>
        <row r="782">
          <cell r="B782">
            <v>105742</v>
          </cell>
          <cell r="C782" t="str">
            <v>CONSTRUÇÃO DE BASE E SUB-BASE PARA PAVIMENTAÇÃO DE RACHÃO, COM ESPESSURA DE 30 CM - EXCLUSIVE CARGA E TRANSPORTE. AF_09/2024</v>
          </cell>
          <cell r="D782" t="str">
            <v>M3</v>
          </cell>
          <cell r="E782">
            <v>101.55</v>
          </cell>
          <cell r="F782">
            <v>0</v>
          </cell>
        </row>
        <row r="783">
          <cell r="B783">
            <v>96399</v>
          </cell>
          <cell r="C783" t="str">
            <v>CONSTRUÇÃO DE BASE E SUB-BASE PARA PAVIMENTAÇÃO DE RACHÃO, COM ESPESSURA DE 40 CM - EXCLUSIVE CARGA E TRANSPORTE. AF_09/2024</v>
          </cell>
          <cell r="D783" t="str">
            <v>M3</v>
          </cell>
          <cell r="E783">
            <v>99.69</v>
          </cell>
          <cell r="F783">
            <v>0</v>
          </cell>
        </row>
        <row r="784">
          <cell r="B784">
            <v>105745</v>
          </cell>
          <cell r="C784" t="str">
            <v>CONSTRUÇÃO DE BASE E SUB-BASE PARA PAVIMENTAÇÃO DE RACHÃO, COM ESPESSURA DE 50 CM - EXCLUSIVE CARGA E TRANSPORTE. AF_09/2024</v>
          </cell>
          <cell r="D784" t="str">
            <v>M3</v>
          </cell>
          <cell r="E784">
            <v>97.83</v>
          </cell>
          <cell r="F784">
            <v>0</v>
          </cell>
        </row>
        <row r="785">
          <cell r="B785">
            <v>105747</v>
          </cell>
          <cell r="C785" t="str">
            <v>CONSTRUÇÃO DE BASE E SUB-BASE PARA PAVIMENTAÇÃO DE RACHÃO, COM ESPESSURA DE 60 CM - EXCLUSIVE CARGA E TRANSPORTE. AF_09/2024</v>
          </cell>
          <cell r="D785" t="str">
            <v>M3</v>
          </cell>
          <cell r="E785">
            <v>95.95</v>
          </cell>
          <cell r="F785">
            <v>0</v>
          </cell>
        </row>
        <row r="786">
          <cell r="B786">
            <v>105657</v>
          </cell>
          <cell r="C786" t="str">
            <v>CONSTRUÇÃO DE BASE E SUB-BASE PARA PAVIMENTAÇÃO DE SOLO (PREDOMINANTEMENTE ARENOSO) BRITA - 40%-60% COM CIMENTO - 4%, MISTURA EM PISTA, COM ESPESSURA DE 10 CM - EXCLUSIVE ESCAVAÇÃO, CARGA E TRANSPORTE E SOLO. AF_09/2024</v>
          </cell>
          <cell r="D786" t="str">
            <v>M3</v>
          </cell>
          <cell r="E786">
            <v>159.34</v>
          </cell>
          <cell r="F786">
            <v>0</v>
          </cell>
        </row>
        <row r="787">
          <cell r="B787">
            <v>100566</v>
          </cell>
          <cell r="C787" t="str">
            <v>CONSTRUÇÃO DE BASE E SUB-BASE PARA PAVIMENTAÇÃO DE SOLO (PREDOMINANTEMENTE ARENOSO) BRITA - 40%-60% COM CIMENTO - 4%, MISTURA EM PISTA, COM ESPESSURA DE 15 CM - EXCLUSIVE ESCAVAÇÃO, CARGA E TRANSPORTE E SOLO. AF_09/2024</v>
          </cell>
          <cell r="D787" t="str">
            <v>M3</v>
          </cell>
          <cell r="E787">
            <v>151.24</v>
          </cell>
          <cell r="F787">
            <v>0</v>
          </cell>
        </row>
        <row r="788">
          <cell r="B788">
            <v>105666</v>
          </cell>
          <cell r="C788" t="str">
            <v>CONSTRUÇÃO DE BASE E SUB-BASE PARA PAVIMENTAÇÃO DE SOLO (PREDOMINANTEMENTE ARENOSO) BRITA - 40%-60% COM CIMENTO - 4%, MISTURA EM PISTA, COM ESPESSURA DE 20 CM - EXCLUSIVE ESCAVAÇÃO, CARGA E TRANSPORTE E SOLO. AF_09/2024</v>
          </cell>
          <cell r="D788" t="str">
            <v>M3</v>
          </cell>
          <cell r="E788">
            <v>147.16</v>
          </cell>
          <cell r="F788">
            <v>0</v>
          </cell>
        </row>
        <row r="789">
          <cell r="B789">
            <v>105639</v>
          </cell>
          <cell r="C789" t="str">
            <v>CONSTRUÇÃO DE BASE E SUB-BASE PARA PAVIMENTAÇÃO DE SOLO (PREDOMINANTEMENTE ARENOSO) BRITA - 40%-60% COM CIMENTO - 4%, MISTURA EM USINA, COM ESPESSURA DE 10 CM - EXCLUSIVE CARGA E TRANSPORTE. AF_09/2024</v>
          </cell>
          <cell r="D789" t="str">
            <v>M3</v>
          </cell>
          <cell r="E789">
            <v>179.12</v>
          </cell>
          <cell r="F789">
            <v>0</v>
          </cell>
        </row>
        <row r="790">
          <cell r="B790">
            <v>105645</v>
          </cell>
          <cell r="C790" t="str">
            <v>CONSTRUÇÃO DE BASE E SUB-BASE PARA PAVIMENTAÇÃO DE SOLO (PREDOMINANTEMENTE ARENOSO) BRITA - 40%-60% COM CIMENTO - 4%, MISTURA EM USINA, COM ESPESSURA DE 15 CM - EXCLUSIVE CARGA E TRANSPORTE. AF_09/2024</v>
          </cell>
          <cell r="D790" t="str">
            <v>M3</v>
          </cell>
          <cell r="E790">
            <v>175.33</v>
          </cell>
          <cell r="F790">
            <v>0</v>
          </cell>
        </row>
        <row r="791">
          <cell r="B791">
            <v>105651</v>
          </cell>
          <cell r="C791" t="str">
            <v>CONSTRUÇÃO DE BASE E SUB-BASE PARA PAVIMENTAÇÃO DE SOLO (PREDOMINANTEMENTE ARENOSO) BRITA - 40%-60% COM CIMENTO - 4%, MISTURA EM USINA, COM ESPESSURA DE 20 CM - EXCLUSIVE CARGA E TRANSPORTE. AF_09/2024</v>
          </cell>
          <cell r="D791" t="str">
            <v>M3</v>
          </cell>
          <cell r="E791">
            <v>173.41</v>
          </cell>
          <cell r="F791">
            <v>0</v>
          </cell>
        </row>
        <row r="792">
          <cell r="B792">
            <v>105658</v>
          </cell>
          <cell r="C792" t="str">
            <v>CONSTRUÇÃO DE BASE E SUB-BASE PARA PAVIMENTAÇÃO DE SOLO (PREDOMINANTEMENTE ARENOSO) BRITA - 40%-60% COM CIMENTO - 6%, MISTURA EM PISTA, COM ESPESSURA DE 10 CM - EXCLUSIVE ESCAVAÇÃO, CARGA E TRANSPORTE E SOLO. AF_09/2024</v>
          </cell>
          <cell r="D792" t="str">
            <v>M3</v>
          </cell>
          <cell r="E792">
            <v>187.3</v>
          </cell>
          <cell r="F792">
            <v>0</v>
          </cell>
        </row>
        <row r="793">
          <cell r="B793">
            <v>100567</v>
          </cell>
          <cell r="C793" t="str">
            <v>CONSTRUÇÃO DE BASE E SUB-BASE PARA PAVIMENTAÇÃO DE SOLO (PREDOMINANTEMENTE ARENOSO) BRITA - 40%-60% COM CIMENTO - 6%, MISTURA EM PISTA, COM ESPESSURA DE 15 CM - EXCLUSIVE ESCAVAÇÃO, CARGA E TRANSPORTE E SOLO. AF_09/2024</v>
          </cell>
          <cell r="D793" t="str">
            <v>M3</v>
          </cell>
          <cell r="E793">
            <v>179.2</v>
          </cell>
          <cell r="F793">
            <v>0</v>
          </cell>
        </row>
        <row r="794">
          <cell r="B794">
            <v>105667</v>
          </cell>
          <cell r="C794" t="str">
            <v>CONSTRUÇÃO DE BASE E SUB-BASE PARA PAVIMENTAÇÃO DE SOLO (PREDOMINANTEMENTE ARENOSO) BRITA - 40%-60% COM CIMENTO - 6%, MISTURA EM PISTA, COM ESPESSURA DE 20 CM - EXCLUSIVE ESCAVAÇÃO, CARGA E TRANSPORTE E SOLO. AF_09/2024</v>
          </cell>
          <cell r="D794" t="str">
            <v>M3</v>
          </cell>
          <cell r="E794">
            <v>175.12</v>
          </cell>
          <cell r="F794">
            <v>0</v>
          </cell>
        </row>
        <row r="795">
          <cell r="B795">
            <v>105640</v>
          </cell>
          <cell r="C795" t="str">
            <v>CONSTRUÇÃO DE BASE E SUB-BASE PARA PAVIMENTAÇÃO DE SOLO (PREDOMINANTEMENTE ARENOSO) BRITA - 40%-60% COM CIMENTO - 6%, MISTURA EM USINA, COM ESPESSURA DE 10 CM - EXCLUSIVE CARGA E TRANSPORTE. AF_09/2024</v>
          </cell>
          <cell r="D795" t="str">
            <v>M3</v>
          </cell>
          <cell r="E795">
            <v>205.29</v>
          </cell>
          <cell r="F795">
            <v>0</v>
          </cell>
        </row>
        <row r="796">
          <cell r="B796">
            <v>105646</v>
          </cell>
          <cell r="C796" t="str">
            <v>CONSTRUÇÃO DE BASE E SUB-BASE PARA PAVIMENTAÇÃO DE SOLO (PREDOMINANTEMENTE ARENOSO) BRITA - 40%-60% COM CIMENTO - 6%, MISTURA EM USINA, COM ESPESSURA DE 15 CM - EXCLUSIVE CARGA E TRANSPORTE. AF_09/2024</v>
          </cell>
          <cell r="D796" t="str">
            <v>M3</v>
          </cell>
          <cell r="E796">
            <v>201.5</v>
          </cell>
          <cell r="F796">
            <v>0</v>
          </cell>
        </row>
        <row r="797">
          <cell r="B797">
            <v>105652</v>
          </cell>
          <cell r="C797" t="str">
            <v>CONSTRUÇÃO DE BASE E SUB-BASE PARA PAVIMENTAÇÃO DE SOLO (PREDOMINANTEMENTE ARENOSO) BRITA - 40%-60% COM CIMENTO - 6%, MISTURA EM USINA, COM ESPESSURA DE 20 CM - EXCLUSIVE CARGA E TRANSPORTE. AF_09/2024</v>
          </cell>
          <cell r="D797" t="str">
            <v>M3</v>
          </cell>
          <cell r="E797">
            <v>199.58</v>
          </cell>
          <cell r="F797">
            <v>0</v>
          </cell>
        </row>
        <row r="798">
          <cell r="B798">
            <v>105659</v>
          </cell>
          <cell r="C798" t="str">
            <v>CONSTRUÇÃO DE BASE E SUB-BASE PARA PAVIMENTAÇÃO DE SOLO (PREDOMINANTEMENTE ARENOSO) BRITA - 40%-60% COM CIMENTO - 8%, MISTURA EM PISTA, COM ESPESSURA DE 10 CM - EXCLUSIVE ESCAVAÇÃO, CARGA E TRANSPORTE E SOLO. AF_09/2024</v>
          </cell>
          <cell r="D798" t="str">
            <v>M3</v>
          </cell>
          <cell r="E798">
            <v>214.86</v>
          </cell>
          <cell r="F798">
            <v>0</v>
          </cell>
        </row>
        <row r="799">
          <cell r="B799">
            <v>100568</v>
          </cell>
          <cell r="C799" t="str">
            <v>CONSTRUÇÃO DE BASE E SUB-BASE PARA PAVIMENTAÇÃO DE SOLO (PREDOMINANTEMENTE ARENOSO) BRITA - 40%-60% COM CIMENTO - 8%, MISTURA EM PISTA, COM ESPESSURA DE 15 CM - EXCLUSIVE ESCAVAÇÃO, CARGA E TRANSPORTE E SOLO. AF_09/2024</v>
          </cell>
          <cell r="D799" t="str">
            <v>M3</v>
          </cell>
          <cell r="E799">
            <v>206.76</v>
          </cell>
          <cell r="F799">
            <v>0</v>
          </cell>
        </row>
        <row r="800">
          <cell r="B800">
            <v>105668</v>
          </cell>
          <cell r="C800" t="str">
            <v>CONSTRUÇÃO DE BASE E SUB-BASE PARA PAVIMENTAÇÃO DE SOLO (PREDOMINANTEMENTE ARENOSO) BRITA - 40%-60% COM CIMENTO - 8%, MISTURA EM PISTA, COM ESPESSURA DE 20 CM - EXCLUSIVE ESCAVAÇÃO, CARGA E TRANSPORTE E SOLO. AF_09/2024</v>
          </cell>
          <cell r="D800" t="str">
            <v>M3</v>
          </cell>
          <cell r="E800">
            <v>202.68</v>
          </cell>
          <cell r="F800">
            <v>0</v>
          </cell>
        </row>
        <row r="801">
          <cell r="B801">
            <v>105641</v>
          </cell>
          <cell r="C801" t="str">
            <v>CONSTRUÇÃO DE BASE E SUB-BASE PARA PAVIMENTAÇÃO DE SOLO (PREDOMINANTEMENTE ARENOSO) BRITA - 40%-60% COM CIMENTO - 8%, MISTURA EM USINA, COM ESPESSURA DE 10 CM - EXCLUSIVE CARGA E TRANSPORTE. AF_09/2024</v>
          </cell>
          <cell r="D801" t="str">
            <v>M3</v>
          </cell>
          <cell r="E801">
            <v>231.46</v>
          </cell>
          <cell r="F801">
            <v>0</v>
          </cell>
        </row>
        <row r="802">
          <cell r="B802">
            <v>105647</v>
          </cell>
          <cell r="C802" t="str">
            <v>CONSTRUÇÃO DE BASE E SUB-BASE PARA PAVIMENTAÇÃO DE SOLO (PREDOMINANTEMENTE ARENOSO) BRITA - 40%-60% COM CIMENTO - 8%, MISTURA EM USINA, COM ESPESSURA DE 15 CM - EXCLUSIVE CARGA E TRANSPORTE. AF_09/2024</v>
          </cell>
          <cell r="D802" t="str">
            <v>M3</v>
          </cell>
          <cell r="E802">
            <v>227.67</v>
          </cell>
          <cell r="F802">
            <v>0</v>
          </cell>
        </row>
        <row r="803">
          <cell r="B803">
            <v>105653</v>
          </cell>
          <cell r="C803" t="str">
            <v>CONSTRUÇÃO DE BASE E SUB-BASE PARA PAVIMENTAÇÃO DE SOLO (PREDOMINANTEMENTE ARENOSO) BRITA - 40%-60% COM CIMENTO - 8%, MISTURA EM USINA, COM ESPESSURA DE 20 CM - EXCLUSIVE CARGA E TRANSPORTE. AF_09/2024</v>
          </cell>
          <cell r="D803" t="str">
            <v>M3</v>
          </cell>
          <cell r="E803">
            <v>225.75</v>
          </cell>
          <cell r="F803">
            <v>0</v>
          </cell>
        </row>
        <row r="804">
          <cell r="B804">
            <v>105710</v>
          </cell>
          <cell r="C804" t="str">
            <v>CONSTRUÇÃO DE BASE E SUB-BASE PARA PAVIMENTAÇÃO DE SOLO (PREDOMINANTEMENTE ARENOSO) BRITA - 40%-60%, MISTURA EM PISTA, COM ESPESSURA DE 10 CM - EXCLUSIVE ESCAVAÇÃO, CARGA E TRANSPORTE E SOLO. AF_09/2024</v>
          </cell>
          <cell r="D804" t="str">
            <v>M3</v>
          </cell>
          <cell r="E804">
            <v>99.68</v>
          </cell>
          <cell r="F804">
            <v>0</v>
          </cell>
        </row>
        <row r="805">
          <cell r="B805">
            <v>100564</v>
          </cell>
          <cell r="C805" t="str">
            <v>CONSTRUÇÃO DE BASE E SUB-BASE PARA PAVIMENTAÇÃO DE SOLO (PREDOMINANTEMENTE ARENOSO) BRITA - 40%-60%, MISTURA EM PISTA, COM ESPESSURA DE 15 CM - EXCLUSIVE ESCAVAÇÃO, CARGA E TRANSPORTE E SOLO. AF_09/2024</v>
          </cell>
          <cell r="D805" t="str">
            <v>M3</v>
          </cell>
          <cell r="E805">
            <v>91.59</v>
          </cell>
          <cell r="F805">
            <v>0</v>
          </cell>
        </row>
        <row r="806">
          <cell r="B806">
            <v>105711</v>
          </cell>
          <cell r="C806" t="str">
            <v>CONSTRUÇÃO DE BASE E SUB-BASE PARA PAVIMENTAÇÃO DE SOLO (PREDOMINANTEMENTE ARENOSO) BRITA - 40%-60%, MISTURA EM PISTA, COM ESPESSURA DE 20 CM - EXCLUSIVE ESCAVAÇÃO, CARGA E TRANSPORTE E SOLO. AF_09/2024</v>
          </cell>
          <cell r="D806" t="str">
            <v>M3</v>
          </cell>
          <cell r="E806">
            <v>87.51</v>
          </cell>
          <cell r="F806">
            <v>0</v>
          </cell>
        </row>
        <row r="807">
          <cell r="B807">
            <v>105705</v>
          </cell>
          <cell r="C807" t="str">
            <v>CONSTRUÇÃO DE BASE E SUB-BASE PARA PAVIMENTAÇÃO DE SOLO (PREDOMINANTEMENTE ARENOSO) BRITA - 40%-60%, MISTURA EM USINA, COM ESPESSURA DE 10 CM - EXCLUSIVE CARGA E TRANSPORTE. AF_09/2024</v>
          </cell>
          <cell r="D807" t="str">
            <v>M3</v>
          </cell>
          <cell r="E807">
            <v>126.79</v>
          </cell>
          <cell r="F807">
            <v>0</v>
          </cell>
        </row>
        <row r="808">
          <cell r="B808">
            <v>105706</v>
          </cell>
          <cell r="C808" t="str">
            <v>CONSTRUÇÃO DE BASE E SUB-BASE PARA PAVIMENTAÇÃO DE SOLO (PREDOMINANTEMENTE ARENOSO) BRITA - 40%-60%, MISTURA EM USINA, COM ESPESSURA DE 15 CM - EXCLUSIVE CARGA E TRANSPORTE. AF_09/2024</v>
          </cell>
          <cell r="D808" t="str">
            <v>M3</v>
          </cell>
          <cell r="E808">
            <v>123</v>
          </cell>
          <cell r="F808">
            <v>0</v>
          </cell>
        </row>
        <row r="809">
          <cell r="B809">
            <v>105708</v>
          </cell>
          <cell r="C809" t="str">
            <v>CONSTRUÇÃO DE BASE E SUB-BASE PARA PAVIMENTAÇÃO DE SOLO (PREDOMINANTEMENTE ARENOSO) BRITA - 40%-60%, MISTURA EM USINA, COM ESPESSURA DE 20 CM - EXCLUSIVE CARGA E TRANSPORTE. AF_09/2024</v>
          </cell>
          <cell r="D809" t="str">
            <v>M3</v>
          </cell>
          <cell r="E809">
            <v>121.08</v>
          </cell>
          <cell r="F809">
            <v>0</v>
          </cell>
        </row>
        <row r="810">
          <cell r="B810">
            <v>105690</v>
          </cell>
          <cell r="C810" t="str">
            <v>CONSTRUÇÃO DE BASE E SUB-BASE PARA PAVIMENTAÇÃO DE SOLO (PREDOMINANTEMENTE ARENOSO) BRITA - 50%-50% COM CIMENTO - 4%, MISTURA EM PISTA, COM ESPESSURA DE 10 CM - EXCLUSIVE ESCAVAÇÃO, CARGA E TRANSPORTE E SOLO. AF_09/2024</v>
          </cell>
          <cell r="D810" t="str">
            <v>M3</v>
          </cell>
          <cell r="E810">
            <v>149.07</v>
          </cell>
          <cell r="F810">
            <v>0</v>
          </cell>
        </row>
        <row r="811">
          <cell r="B811">
            <v>100569</v>
          </cell>
          <cell r="C811" t="str">
            <v>CONSTRUÇÃO DE BASE E SUB-BASE PARA PAVIMENTAÇÃO DE SOLO (PREDOMINANTEMENTE ARENOSO) BRITA - 50%-50% COM CIMENTO - 4%, MISTURA EM PISTA, COM ESPESSURA DE 15 CM - EXCLUSIVE ESCAVAÇÃO, CARGA E TRANSPORTE E SOLO. AF_09/2024</v>
          </cell>
          <cell r="D811" t="str">
            <v>M3</v>
          </cell>
          <cell r="E811">
            <v>140.97</v>
          </cell>
          <cell r="F811">
            <v>0</v>
          </cell>
        </row>
        <row r="812">
          <cell r="B812">
            <v>105699</v>
          </cell>
          <cell r="C812" t="str">
            <v>CONSTRUÇÃO DE BASE E SUB-BASE PARA PAVIMENTAÇÃO DE SOLO (PREDOMINANTEMENTE ARENOSO) BRITA - 50%-50% COM CIMENTO - 4%, MISTURA EM PISTA, COM ESPESSURA DE 20 CM - EXCLUSIVE ESCAVAÇÃO, CARGA E TRANSPORTE E SOLO. AF_09/2024</v>
          </cell>
          <cell r="D812" t="str">
            <v>M3</v>
          </cell>
          <cell r="E812">
            <v>136.88999999999999</v>
          </cell>
          <cell r="F812">
            <v>0</v>
          </cell>
        </row>
        <row r="813">
          <cell r="B813">
            <v>105672</v>
          </cell>
          <cell r="C813" t="str">
            <v>CONSTRUÇÃO DE BASE E SUB-BASE PARA PAVIMENTAÇÃO DE SOLO (PREDOMINANTEMENTE ARENOSO) BRITA - 50%-50% COM CIMENTO - 4%, MISTURA EM USINA, COM ESPESSURA DE 10 CM - EXCLUSIVE CARGA E TRANSPORTE. AF_09/2024</v>
          </cell>
          <cell r="D813" t="str">
            <v>M3</v>
          </cell>
          <cell r="E813">
            <v>163.51</v>
          </cell>
          <cell r="F813">
            <v>0</v>
          </cell>
        </row>
        <row r="814">
          <cell r="B814">
            <v>105678</v>
          </cell>
          <cell r="C814" t="str">
            <v>CONSTRUÇÃO DE BASE E SUB-BASE PARA PAVIMENTAÇÃO DE SOLO (PREDOMINANTEMENTE ARENOSO) BRITA - 50%-50% COM CIMENTO - 4%, MISTURA EM USINA, COM ESPESSURA DE 15 CM - EXCLUSIVE CARGA E TRANSPORTE. AF_09/2024</v>
          </cell>
          <cell r="D814" t="str">
            <v>M3</v>
          </cell>
          <cell r="E814">
            <v>159.72</v>
          </cell>
          <cell r="F814">
            <v>0</v>
          </cell>
        </row>
        <row r="815">
          <cell r="B815">
            <v>105684</v>
          </cell>
          <cell r="C815" t="str">
            <v>CONSTRUÇÃO DE BASE E SUB-BASE PARA PAVIMENTAÇÃO DE SOLO (PREDOMINANTEMENTE ARENOSO) BRITA - 50%-50% COM CIMENTO - 4%, MISTURA EM USINA, COM ESPESSURA DE 20 CM - EXCLUSIVE CARGA E TRANSPORTE. AF_09/2024</v>
          </cell>
          <cell r="D815" t="str">
            <v>M3</v>
          </cell>
          <cell r="E815">
            <v>157.80000000000001</v>
          </cell>
          <cell r="F815">
            <v>0</v>
          </cell>
        </row>
        <row r="816">
          <cell r="B816">
            <v>105691</v>
          </cell>
          <cell r="C816" t="str">
            <v>CONSTRUÇÃO DE BASE E SUB-BASE PARA PAVIMENTAÇÃO DE SOLO (PREDOMINANTEMENTE ARENOSO) BRITA - 50%-50% COM CIMENTO - 6%, MISTURA EM PISTA, COM ESPESSURA DE 10 CM - EXCLUSIVE ESCAVAÇÃO, CARGA E TRANSPORTE E SOLO. AF_09/2024</v>
          </cell>
          <cell r="D816" t="str">
            <v>M3</v>
          </cell>
          <cell r="E816">
            <v>177.24</v>
          </cell>
          <cell r="F816">
            <v>0</v>
          </cell>
        </row>
        <row r="817">
          <cell r="B817">
            <v>100570</v>
          </cell>
          <cell r="C817" t="str">
            <v>CONSTRUÇÃO DE BASE E SUB-BASE PARA PAVIMENTAÇÃO DE SOLO (PREDOMINANTEMENTE ARENOSO) BRITA - 50%-50% COM CIMENTO - 6%, MISTURA EM PISTA, COM ESPESSURA DE 15 CM - EXCLUSIVE ESCAVAÇÃO, CARGA E TRANSPORTE E SOLO. AF_09/2024</v>
          </cell>
          <cell r="D817" t="str">
            <v>M3</v>
          </cell>
          <cell r="E817">
            <v>169.14</v>
          </cell>
          <cell r="F817">
            <v>0</v>
          </cell>
        </row>
        <row r="818">
          <cell r="B818">
            <v>105700</v>
          </cell>
          <cell r="C818" t="str">
            <v>CONSTRUÇÃO DE BASE E SUB-BASE PARA PAVIMENTAÇÃO DE SOLO (PREDOMINANTEMENTE ARENOSO) BRITA - 50%-50% COM CIMENTO - 6%, MISTURA EM PISTA, COM ESPESSURA DE 20 CM - EXCLUSIVE ESCAVAÇÃO, CARGA E TRANSPORTE E SOLO. AF_09/2024</v>
          </cell>
          <cell r="D818" t="str">
            <v>M3</v>
          </cell>
          <cell r="E818">
            <v>165.06</v>
          </cell>
          <cell r="F818">
            <v>0</v>
          </cell>
        </row>
        <row r="819">
          <cell r="B819">
            <v>105673</v>
          </cell>
          <cell r="C819" t="str">
            <v>CONSTRUÇÃO DE BASE E SUB-BASE PARA PAVIMENTAÇÃO DE SOLO (PREDOMINANTEMENTE ARENOSO) BRITA - 50%-50% COM CIMENTO - 6%, MISTURA EM USINA, COM ESPESSURA DE 10 CM - EXCLUSIVE CARGA E TRANSPORTE. AF_09/2024</v>
          </cell>
          <cell r="D819" t="str">
            <v>M3</v>
          </cell>
          <cell r="E819">
            <v>190</v>
          </cell>
          <cell r="F819">
            <v>0</v>
          </cell>
        </row>
        <row r="820">
          <cell r="B820">
            <v>105679</v>
          </cell>
          <cell r="C820" t="str">
            <v>CONSTRUÇÃO DE BASE E SUB-BASE PARA PAVIMENTAÇÃO DE SOLO (PREDOMINANTEMENTE ARENOSO) BRITA - 50%-50% COM CIMENTO - 6%, MISTURA EM USINA, COM ESPESSURA DE 15 CM - EXCLUSIVE CARGA E TRANSPORTE. AF_09/2024</v>
          </cell>
          <cell r="D820" t="str">
            <v>M3</v>
          </cell>
          <cell r="E820">
            <v>186.21</v>
          </cell>
          <cell r="F820">
            <v>0</v>
          </cell>
        </row>
        <row r="821">
          <cell r="B821">
            <v>105685</v>
          </cell>
          <cell r="C821" t="str">
            <v>CONSTRUÇÃO DE BASE E SUB-BASE PARA PAVIMENTAÇÃO DE SOLO (PREDOMINANTEMENTE ARENOSO) BRITA - 50%-50% COM CIMENTO - 6%, MISTURA EM USINA, COM ESPESSURA DE 20 CM - EXCLUSIVE CARGA E TRANSPORTE. AF_09/2024</v>
          </cell>
          <cell r="D821" t="str">
            <v>M3</v>
          </cell>
          <cell r="E821">
            <v>184.29</v>
          </cell>
          <cell r="F821">
            <v>0</v>
          </cell>
        </row>
        <row r="822">
          <cell r="B822">
            <v>105692</v>
          </cell>
          <cell r="C822" t="str">
            <v>CONSTRUÇÃO DE BASE E SUB-BASE PARA PAVIMENTAÇÃO DE SOLO (PREDOMINANTEMENTE ARENOSO) BRITA - 50%-50% COM CIMENTO - 8%, MISTURA EM PISTA, COM ESPESSURA DE 10 CM - EXCLUSIVE ESCAVAÇÃO, CARGA E TRANSPORTE E SOLO. AF_09/2024</v>
          </cell>
          <cell r="D822" t="str">
            <v>M3</v>
          </cell>
          <cell r="E822">
            <v>205.02</v>
          </cell>
          <cell r="F822">
            <v>0</v>
          </cell>
        </row>
        <row r="823">
          <cell r="B823">
            <v>100571</v>
          </cell>
          <cell r="C823" t="str">
            <v>CONSTRUÇÃO DE BASE E SUB-BASE PARA PAVIMENTAÇÃO DE SOLO (PREDOMINANTEMENTE ARENOSO) BRITA - 50%-50% COM CIMENTO - 8%, MISTURA EM PISTA, COM ESPESSURA DE 15 CM - EXCLUSIVE ESCAVAÇÃO, CARGA E TRANSPORTE E SOLO. AF_09/2024</v>
          </cell>
          <cell r="D823" t="str">
            <v>M3</v>
          </cell>
          <cell r="E823">
            <v>196.92</v>
          </cell>
          <cell r="F823">
            <v>0</v>
          </cell>
        </row>
        <row r="824">
          <cell r="B824">
            <v>105701</v>
          </cell>
          <cell r="C824" t="str">
            <v>CONSTRUÇÃO DE BASE E SUB-BASE PARA PAVIMENTAÇÃO DE SOLO (PREDOMINANTEMENTE ARENOSO) BRITA - 50%-50% COM CIMENTO - 8%, MISTURA EM PISTA, COM ESPESSURA DE 20 CM - EXCLUSIVE ESCAVAÇÃO, CARGA E TRANSPORTE E SOLO. AF_09/2024</v>
          </cell>
          <cell r="D824" t="str">
            <v>M3</v>
          </cell>
          <cell r="E824">
            <v>192.84</v>
          </cell>
          <cell r="F824">
            <v>0</v>
          </cell>
        </row>
        <row r="825">
          <cell r="B825">
            <v>105674</v>
          </cell>
          <cell r="C825" t="str">
            <v>CONSTRUÇÃO DE BASE E SUB-BASE PARA PAVIMENTAÇÃO DE SOLO (PREDOMINANTEMENTE ARENOSO) BRITA - 50%-50% COM CIMENTO - 8%, MISTURA EM USINA, COM ESPESSURA DE 10 CM - EXCLUSIVE CARGA E TRANSPORTE. AF_09/2024</v>
          </cell>
          <cell r="D825" t="str">
            <v>M3</v>
          </cell>
          <cell r="E825">
            <v>216.5</v>
          </cell>
          <cell r="F825">
            <v>0</v>
          </cell>
        </row>
        <row r="826">
          <cell r="B826">
            <v>105680</v>
          </cell>
          <cell r="C826" t="str">
            <v>CONSTRUÇÃO DE BASE E SUB-BASE PARA PAVIMENTAÇÃO DE SOLO (PREDOMINANTEMENTE ARENOSO) BRITA - 50%-50% COM CIMENTO - 8%, MISTURA EM USINA, COM ESPESSURA DE 15 CM - EXCLUSIVE CARGA E TRANSPORTE. AF_09/2024</v>
          </cell>
          <cell r="D826" t="str">
            <v>M3</v>
          </cell>
          <cell r="E826">
            <v>212.71</v>
          </cell>
          <cell r="F826">
            <v>0</v>
          </cell>
        </row>
        <row r="827">
          <cell r="B827">
            <v>105686</v>
          </cell>
          <cell r="C827" t="str">
            <v>CONSTRUÇÃO DE BASE E SUB-BASE PARA PAVIMENTAÇÃO DE SOLO (PREDOMINANTEMENTE ARENOSO) BRITA - 50%-50% COM CIMENTO - 8%, MISTURA EM USINA, COM ESPESSURA DE 20 CM - EXCLUSIVE CARGA E TRANSPORTE. AF_09/2024</v>
          </cell>
          <cell r="D827" t="str">
            <v>M3</v>
          </cell>
          <cell r="E827">
            <v>210.79</v>
          </cell>
          <cell r="F827">
            <v>0</v>
          </cell>
        </row>
        <row r="828">
          <cell r="B828">
            <v>105718</v>
          </cell>
          <cell r="C828" t="str">
            <v>CONSTRUÇÃO DE BASE E SUB-BASE PARA PAVIMENTAÇÃO DE SOLO (PREDOMINANTEMENTE ARENOSO) BRITA - 50%-50%, MISTURA EM PISTA, COM ESPESSURA DE 10 CM - EXCLUSIVE ESCAVAÇÃO, CARGA E TRANSPORTE E SOLO. AF_09/2024</v>
          </cell>
          <cell r="D828" t="str">
            <v>M3</v>
          </cell>
          <cell r="E828">
            <v>88.98</v>
          </cell>
          <cell r="F828">
            <v>0</v>
          </cell>
        </row>
        <row r="829">
          <cell r="B829">
            <v>100565</v>
          </cell>
          <cell r="C829" t="str">
            <v>CONSTRUÇÃO DE BASE E SUB-BASE PARA PAVIMENTAÇÃO DE SOLO (PREDOMINANTEMENTE ARENOSO) BRITA - 50%-50%, MISTURA EM PISTA, COM ESPESSURA DE 15 CM - EXCLUSIVE ESCAVAÇÃO, CARGA E TRANSPORTE E SOLO. AF_09/2024</v>
          </cell>
          <cell r="D829" t="str">
            <v>M3</v>
          </cell>
          <cell r="E829">
            <v>80.89</v>
          </cell>
          <cell r="F829">
            <v>0</v>
          </cell>
        </row>
        <row r="830">
          <cell r="B830">
            <v>105581</v>
          </cell>
          <cell r="C830" t="str">
            <v>CONSTRUÇÃO DE BASE E SUB-BASE PARA PAVIMENTAÇÃO DE SOLO (PREDOMINANTEMENTE ARENOSO) BRITA - 50%-50%, MISTURA EM PISTA, COM ESPESSURA DE 20 CM - EXCLUSIVE ESCAVAÇÃO, CARGA E TRANSPORTE E SOLO. AF_09/2024</v>
          </cell>
          <cell r="D830" t="str">
            <v>M3</v>
          </cell>
          <cell r="E830">
            <v>76.81</v>
          </cell>
          <cell r="F830">
            <v>0</v>
          </cell>
        </row>
        <row r="831">
          <cell r="B831">
            <v>105713</v>
          </cell>
          <cell r="C831" t="str">
            <v>CONSTRUÇÃO DE BASE E SUB-BASE PARA PAVIMENTAÇÃO DE SOLO (PREDOMINANTEMENTE ARENOSO) BRITA - 50%-50%, MISTURA EM USINA, COM ESPESSURA DE 10 CM - EXCLUSIVE CARGA E TRANSPORTE. AF_09/2024</v>
          </cell>
          <cell r="D831" t="str">
            <v>M3</v>
          </cell>
          <cell r="E831">
            <v>110.53</v>
          </cell>
          <cell r="F831">
            <v>0</v>
          </cell>
        </row>
        <row r="832">
          <cell r="B832">
            <v>105714</v>
          </cell>
          <cell r="C832" t="str">
            <v>CONSTRUÇÃO DE BASE E SUB-BASE PARA PAVIMENTAÇÃO DE SOLO (PREDOMINANTEMENTE ARENOSO) BRITA - 50%-50%, MISTURA EM USINA, COM ESPESSURA DE 15 CM - EXCLUSIVE CARGA E TRANSPORTE. AF_09/2024</v>
          </cell>
          <cell r="D832" t="str">
            <v>M3</v>
          </cell>
          <cell r="E832">
            <v>106.74</v>
          </cell>
          <cell r="F832">
            <v>0</v>
          </cell>
        </row>
        <row r="833">
          <cell r="B833">
            <v>105716</v>
          </cell>
          <cell r="C833" t="str">
            <v>CONSTRUÇÃO DE BASE E SUB-BASE PARA PAVIMENTAÇÃO DE SOLO (PREDOMINANTEMENTE ARENOSO) BRITA - 50%-50%, MISTURA EM USINA, COM ESPESSURA DE 20 CM - EXCLUSIVE CARGA E TRANSPORTE. AF_09/2024</v>
          </cell>
          <cell r="D833" t="str">
            <v>M3</v>
          </cell>
          <cell r="E833">
            <v>104.82</v>
          </cell>
          <cell r="F833">
            <v>0</v>
          </cell>
        </row>
        <row r="834">
          <cell r="B834">
            <v>105624</v>
          </cell>
          <cell r="C834" t="str">
            <v>CONSTRUÇÃO DE BASE E SUB-BASE PARA PAVIMENTAÇÃO DE SOLO (PREDOMINANTEMENTE ARENOSO) COM CIMENTO - 6%, MISTURA EM PISTA, COM ESPESSURA DE 10 CM - EXCLUSIVE ESCAVAÇÃO, CARGA E TRANSPORTE E SOLO. AF_09/2024</v>
          </cell>
          <cell r="D834" t="str">
            <v>M3</v>
          </cell>
          <cell r="E834">
            <v>113.22</v>
          </cell>
          <cell r="F834">
            <v>0</v>
          </cell>
        </row>
        <row r="835">
          <cell r="B835">
            <v>96391</v>
          </cell>
          <cell r="C835" t="str">
            <v>CONSTRUÇÃO DE BASE E SUB-BASE PARA PAVIMENTAÇÃO DE SOLO (PREDOMINANTEMENTE ARENOSO) COM CIMENTO - 6%, MISTURA EM PISTA, COM ESPESSURA DE 15 CM - EXCLUSIVE ESCAVAÇÃO, CARGA E TRANSPORTE E SOLO. AF_09/2024</v>
          </cell>
          <cell r="D835" t="str">
            <v>M3</v>
          </cell>
          <cell r="E835">
            <v>106.7</v>
          </cell>
          <cell r="F835">
            <v>0</v>
          </cell>
        </row>
        <row r="836">
          <cell r="B836">
            <v>105632</v>
          </cell>
          <cell r="C836" t="str">
            <v>CONSTRUÇÃO DE BASE E SUB-BASE PARA PAVIMENTAÇÃO DE SOLO (PREDOMINANTEMENTE ARENOSO) COM CIMENTO - 6%, MISTURA EM PISTA, COM ESPESSURA DE 20 CM - EXCLUSIVE ESCAVAÇÃO, CARGA E TRANSPORTE E SOLO. AF_09/2024</v>
          </cell>
          <cell r="D836" t="str">
            <v>M3</v>
          </cell>
          <cell r="E836">
            <v>105.7</v>
          </cell>
          <cell r="F836">
            <v>0</v>
          </cell>
        </row>
        <row r="837">
          <cell r="B837">
            <v>105601</v>
          </cell>
          <cell r="C837" t="str">
            <v>CONSTRUÇÃO DE BASE E SUB-BASE PARA PAVIMENTAÇÃO DE SOLO (PREDOMINANTEMENTE ARENOSO) COM CIMENTO - 6%, MISTURA EM USINA, COM ESPESSURA DE 10 CM - EXCLUSIVE CARGA E TRANSPORTE. AF_09/2024</v>
          </cell>
          <cell r="D837" t="str">
            <v>M3</v>
          </cell>
          <cell r="E837">
            <v>106.18</v>
          </cell>
          <cell r="F837">
            <v>0</v>
          </cell>
        </row>
        <row r="838">
          <cell r="B838">
            <v>105609</v>
          </cell>
          <cell r="C838" t="str">
            <v>CONSTRUÇÃO DE BASE E SUB-BASE PARA PAVIMENTAÇÃO DE SOLO (PREDOMINANTEMENTE ARENOSO) COM CIMENTO - 6%, MISTURA EM USINA, COM ESPESSURA DE 15 CM - EXCLUSIVE CARGA E TRANSPORTE. AF_09/2024</v>
          </cell>
          <cell r="D838" t="str">
            <v>M3</v>
          </cell>
          <cell r="E838">
            <v>103.72</v>
          </cell>
          <cell r="F838">
            <v>0</v>
          </cell>
        </row>
        <row r="839">
          <cell r="B839">
            <v>105617</v>
          </cell>
          <cell r="C839" t="str">
            <v>CONSTRUÇÃO DE BASE E SUB-BASE PARA PAVIMENTAÇÃO DE SOLO (PREDOMINANTEMENTE ARENOSO) COM CIMENTO - 6%, MISTURA EM USINA, COM ESPESSURA DE 20 CM - EXCLUSIVE CARGA E TRANSPORTE. AF_09/2024</v>
          </cell>
          <cell r="D839" t="str">
            <v>M3</v>
          </cell>
          <cell r="E839">
            <v>101.93</v>
          </cell>
          <cell r="F839">
            <v>0</v>
          </cell>
        </row>
        <row r="840">
          <cell r="B840">
            <v>105625</v>
          </cell>
          <cell r="C840" t="str">
            <v>CONSTRUÇÃO DE BASE E SUB-BASE PARA PAVIMENTAÇÃO DE SOLO (PREDOMINANTEMENTE ARENOSO) COM CIMENTO - 8%, MISTURA EM PISTA, COM ESPESSURA DE 10 CM - EXCLUSIVE ESCAVAÇÃO, CARGA E TRANSPORTE E SOLO. AF_09/2024</v>
          </cell>
          <cell r="D840" t="str">
            <v>M3</v>
          </cell>
          <cell r="E840">
            <v>142.07</v>
          </cell>
          <cell r="F840">
            <v>0</v>
          </cell>
        </row>
        <row r="841">
          <cell r="B841">
            <v>96392</v>
          </cell>
          <cell r="C841" t="str">
            <v>CONSTRUÇÃO DE BASE E SUB-BASE PARA PAVIMENTAÇÃO DE SOLO (PREDOMINANTEMENTE ARENOSO) COM CIMENTO - 8%, MISTURA EM PISTA, COM ESPESSURA DE 15 CM - EXCLUSIVE ESCAVAÇÃO, CARGA E TRANSPORTE E SOLO. AF_09/2024</v>
          </cell>
          <cell r="D841" t="str">
            <v>M3</v>
          </cell>
          <cell r="E841">
            <v>135.55000000000001</v>
          </cell>
          <cell r="F841">
            <v>0</v>
          </cell>
        </row>
        <row r="842">
          <cell r="B842">
            <v>105633</v>
          </cell>
          <cell r="C842" t="str">
            <v>CONSTRUÇÃO DE BASE E SUB-BASE PARA PAVIMENTAÇÃO DE SOLO (PREDOMINANTEMENTE ARENOSO) COM CIMENTO - 8%, MISTURA EM PISTA, COM ESPESSURA DE 20 CM - EXCLUSIVE ESCAVAÇÃO, CARGA E TRANSPORTE E SOLO. AF_09/2024</v>
          </cell>
          <cell r="D842" t="str">
            <v>M3</v>
          </cell>
          <cell r="E842">
            <v>134.55000000000001</v>
          </cell>
          <cell r="F842">
            <v>0</v>
          </cell>
        </row>
        <row r="843">
          <cell r="B843">
            <v>105602</v>
          </cell>
          <cell r="C843" t="str">
            <v>CONSTRUÇÃO DE BASE E SUB-BASE PARA PAVIMENTAÇÃO DE SOLO (PREDOMINANTEMENTE ARENOSO) COM CIMENTO - 8%, MISTURA EM USINA, COM ESPESSURA DE 10 CM - EXCLUSIVE CARGA E TRANSPORTE. AF_09/2024</v>
          </cell>
          <cell r="D843" t="str">
            <v>M3</v>
          </cell>
          <cell r="E843">
            <v>134.30000000000001</v>
          </cell>
          <cell r="F843">
            <v>0</v>
          </cell>
        </row>
        <row r="844">
          <cell r="B844">
            <v>105610</v>
          </cell>
          <cell r="C844" t="str">
            <v>CONSTRUÇÃO DE BASE E SUB-BASE PARA PAVIMENTAÇÃO DE SOLO (PREDOMINANTEMENTE ARENOSO) COM CIMENTO - 8%, MISTURA EM USINA, COM ESPESSURA DE 15 CM - EXCLUSIVE CARGA E TRANSPORTE. AF_09/2024</v>
          </cell>
          <cell r="D844" t="str">
            <v>M3</v>
          </cell>
          <cell r="E844">
            <v>131.84</v>
          </cell>
          <cell r="F844">
            <v>0</v>
          </cell>
        </row>
        <row r="845">
          <cell r="B845">
            <v>105618</v>
          </cell>
          <cell r="C845" t="str">
            <v>CONSTRUÇÃO DE BASE E SUB-BASE PARA PAVIMENTAÇÃO DE SOLO (PREDOMINANTEMENTE ARENOSO) COM CIMENTO - 8%, MISTURA EM USINA, COM ESPESSURA DE 20 CM - EXCLUSIVE CARGA E TRANSPORTE. AF_09/2024</v>
          </cell>
          <cell r="D845" t="str">
            <v>M3</v>
          </cell>
          <cell r="E845">
            <v>130.05000000000001</v>
          </cell>
          <cell r="F845">
            <v>0</v>
          </cell>
        </row>
        <row r="846">
          <cell r="B846">
            <v>105571</v>
          </cell>
          <cell r="C846" t="str">
            <v>CONSTRUÇÃO DE BASE E SUB-BASE PARA PAVIMENTAÇÃO DE SOLO (PREDOMINANTEMENTE ARENOSO) MELHORADO COM CIMENTO - 2%, MISTURA EM PISTA, COM ESPESSURA DE 10 CM - EXCLUSIVE ESCAVAÇÃO, CARGA E TRANSPORTE E SOLO. AF_09/2024</v>
          </cell>
          <cell r="D846" t="str">
            <v>M3</v>
          </cell>
          <cell r="E846">
            <v>53.93</v>
          </cell>
          <cell r="F846">
            <v>0</v>
          </cell>
        </row>
        <row r="847">
          <cell r="B847">
            <v>96389</v>
          </cell>
          <cell r="C847" t="str">
            <v>CONSTRUÇÃO DE BASE E SUB-BASE PARA PAVIMENTAÇÃO DE SOLO (PREDOMINANTEMENTE ARENOSO) MELHORADO COM CIMENTO - 2%, MISTURA EM PISTA, COM ESPESSURA DE 15 CM - EXCLUSIVE ESCAVAÇÃO, CARGA E TRANSPORTE E SOLO. AF_09/2024</v>
          </cell>
          <cell r="D847" t="str">
            <v>M3</v>
          </cell>
          <cell r="E847">
            <v>47.41</v>
          </cell>
          <cell r="F847">
            <v>0</v>
          </cell>
        </row>
        <row r="848">
          <cell r="B848">
            <v>105575</v>
          </cell>
          <cell r="C848" t="str">
            <v>CONSTRUÇÃO DE BASE E SUB-BASE PARA PAVIMENTAÇÃO DE SOLO (PREDOMINANTEMENTE ARENOSO) MELHORADO COM CIMENTO - 2%, MISTURA EM PISTA, COM ESPESSURA DE 20 CM - EXCLUSIVE ESCAVAÇÃO, CARGA E TRANSPORTE E SOLO. AF_09/2024</v>
          </cell>
          <cell r="D848" t="str">
            <v>M3</v>
          </cell>
          <cell r="E848">
            <v>46.41</v>
          </cell>
          <cell r="F848">
            <v>0</v>
          </cell>
        </row>
        <row r="849">
          <cell r="B849">
            <v>105599</v>
          </cell>
          <cell r="C849" t="str">
            <v>CONSTRUÇÃO DE BASE E SUB-BASE PARA PAVIMENTAÇÃO DE SOLO (PREDOMINANTEMENTE ARENOSO) MELHORADO COM CIMENTO - 2%, MISTURA EM USINA, COM ESPESSURA DE 10 CM - EXCLUSIVE CARGA E TRANSPORTE. AF_09/2024</v>
          </cell>
          <cell r="D849" t="str">
            <v>M3</v>
          </cell>
          <cell r="E849">
            <v>49.94</v>
          </cell>
          <cell r="F849">
            <v>0</v>
          </cell>
        </row>
        <row r="850">
          <cell r="B850">
            <v>105607</v>
          </cell>
          <cell r="C850" t="str">
            <v>CONSTRUÇÃO DE BASE E SUB-BASE PARA PAVIMENTAÇÃO DE SOLO (PREDOMINANTEMENTE ARENOSO) MELHORADO COM CIMENTO - 2%, MISTURA EM USINA, COM ESPESSURA DE 15 CM - EXCLUSIVE CARGA E TRANSPORTE. AF_09/2024</v>
          </cell>
          <cell r="D850" t="str">
            <v>M3</v>
          </cell>
          <cell r="E850">
            <v>47.48</v>
          </cell>
          <cell r="F850">
            <v>0</v>
          </cell>
        </row>
        <row r="851">
          <cell r="B851">
            <v>105615</v>
          </cell>
          <cell r="C851" t="str">
            <v>CONSTRUÇÃO DE BASE E SUB-BASE PARA PAVIMENTAÇÃO DE SOLO (PREDOMINANTEMENTE ARENOSO) MELHORADO COM CIMENTO - 2%, MISTURA EM USINA, COM ESPESSURA DE 20 CM - EXCLUSIVE CARGA E TRANSPORTE. AF_09/2024</v>
          </cell>
          <cell r="D851" t="str">
            <v>M3</v>
          </cell>
          <cell r="E851">
            <v>45.69</v>
          </cell>
          <cell r="F851">
            <v>0</v>
          </cell>
        </row>
        <row r="852">
          <cell r="B852">
            <v>105623</v>
          </cell>
          <cell r="C852" t="str">
            <v>CONSTRUÇÃO DE BASE E SUB-BASE PARA PAVIMENTAÇÃO DE SOLO (PREDOMINANTEMENTE ARENOSO) MELHORADO COM CIMENTO - 4%, MISTURA EM PISTA, COM ESPESSURA DE 10 CM - EXCLUSIVE ESCAVAÇÃO, CARGA E TRANSPORTE E SOLO. AF_09/2024</v>
          </cell>
          <cell r="D852" t="str">
            <v>M3</v>
          </cell>
          <cell r="E852">
            <v>83.98</v>
          </cell>
          <cell r="F852">
            <v>0</v>
          </cell>
        </row>
        <row r="853">
          <cell r="B853">
            <v>96390</v>
          </cell>
          <cell r="C853" t="str">
            <v>CONSTRUÇÃO DE BASE E SUB-BASE PARA PAVIMENTAÇÃO DE SOLO (PREDOMINANTEMENTE ARENOSO) MELHORADO COM CIMENTO - 4%, MISTURA EM PISTA, COM ESPESSURA DE 15 CM - EXCLUSIVE ESCAVAÇÃO, CARGA E TRANSPORTE E SOLO. AF_09/2024</v>
          </cell>
          <cell r="D853" t="str">
            <v>M3</v>
          </cell>
          <cell r="E853">
            <v>77.459999999999994</v>
          </cell>
          <cell r="F853">
            <v>0</v>
          </cell>
        </row>
        <row r="854">
          <cell r="B854">
            <v>105631</v>
          </cell>
          <cell r="C854" t="str">
            <v>CONSTRUÇÃO DE BASE E SUB-BASE PARA PAVIMENTAÇÃO DE SOLO (PREDOMINANTEMENTE ARENOSO) MELHORADO COM CIMENTO - 4%, MISTURA EM PISTA, COM ESPESSURA DE 20 CM - EXCLUSIVE ESCAVAÇÃO, CARGA E TRANSPORTE E SOLO. AF_09/2024</v>
          </cell>
          <cell r="D854" t="str">
            <v>M3</v>
          </cell>
          <cell r="E854">
            <v>76.459999999999994</v>
          </cell>
          <cell r="F854">
            <v>0</v>
          </cell>
        </row>
        <row r="855">
          <cell r="B855">
            <v>105600</v>
          </cell>
          <cell r="C855" t="str">
            <v>CONSTRUÇÃO DE BASE E SUB-BASE PARA PAVIMENTAÇÃO DE SOLO (PREDOMINANTEMENTE ARENOSO) MELHORADO COM CIMENTO - 4%, MISTURA EM USINA, COM ESPESSURA DE 10 CM - EXCLUSIVE CARGA E TRANSPORTE. AF_09/2024</v>
          </cell>
          <cell r="D855" t="str">
            <v>M3</v>
          </cell>
          <cell r="E855">
            <v>78.06</v>
          </cell>
          <cell r="F855">
            <v>0</v>
          </cell>
        </row>
        <row r="856">
          <cell r="B856">
            <v>105608</v>
          </cell>
          <cell r="C856" t="str">
            <v>CONSTRUÇÃO DE BASE E SUB-BASE PARA PAVIMENTAÇÃO DE SOLO (PREDOMINANTEMENTE ARENOSO) MELHORADO COM CIMENTO - 4%, MISTURA EM USINA, COM ESPESSURA DE 15 CM - EXCLUSIVE CARGA E TRANSPORTE. AF_09/2024</v>
          </cell>
          <cell r="D856" t="str">
            <v>M3</v>
          </cell>
          <cell r="E856">
            <v>75.599999999999994</v>
          </cell>
          <cell r="F856">
            <v>0</v>
          </cell>
        </row>
        <row r="857">
          <cell r="B857">
            <v>105616</v>
          </cell>
          <cell r="C857" t="str">
            <v>CONSTRUÇÃO DE BASE E SUB-BASE PARA PAVIMENTAÇÃO DE SOLO (PREDOMINANTEMENTE ARENOSO) MELHORADO COM CIMENTO - 4%, MISTURA EM USINA, COM ESPESSURA DE 20 CM - EXCLUSIVE CARGA E TRANSPORTE. AF_09/2024</v>
          </cell>
          <cell r="D857" t="str">
            <v>M3</v>
          </cell>
          <cell r="E857">
            <v>73.81</v>
          </cell>
          <cell r="F857">
            <v>0</v>
          </cell>
        </row>
        <row r="858">
          <cell r="B858">
            <v>105585</v>
          </cell>
          <cell r="C858" t="str">
            <v>CONSTRUÇÃO DE BASE E SUB-BASE PARA PAVIMENTAÇÃO DE SOLO (PREDOMINANTEMENTE ARGILOSO) BRITA - 40%-60%, MISTURA EM PISTA, COM ESPESSURA DE 10 CM - EXCLUSIVE ESCAVAÇÃO, CARGA E TRANSPORTE E SOLO. AF_09/2024</v>
          </cell>
          <cell r="D858" t="str">
            <v>M3</v>
          </cell>
          <cell r="E858">
            <v>108.82</v>
          </cell>
          <cell r="F858">
            <v>0</v>
          </cell>
        </row>
        <row r="859">
          <cell r="B859">
            <v>100572</v>
          </cell>
          <cell r="C859" t="str">
            <v>CONSTRUÇÃO DE BASE E SUB-BASE PARA PAVIMENTAÇÃO DE SOLO (PREDOMINANTEMENTE ARGILOSO) BRITA - 40%-60%, MISTURA EM PISTA, COM ESPESSURA DE 15 CM - EXCLUSIVE ESCAVAÇÃO, CARGA E TRANSPORTE E SOLO. AF_09/2024</v>
          </cell>
          <cell r="D859" t="str">
            <v>M3</v>
          </cell>
          <cell r="E859">
            <v>97.68</v>
          </cell>
          <cell r="F859">
            <v>0</v>
          </cell>
        </row>
        <row r="860">
          <cell r="B860">
            <v>105588</v>
          </cell>
          <cell r="C860" t="str">
            <v>CONSTRUÇÃO DE BASE E SUB-BASE PARA PAVIMENTAÇÃO DE SOLO (PREDOMINANTEMENTE ARGILOSO) BRITA - 40%-60%, MISTURA EM PISTA, COM ESPESSURA DE 20 CM - EXCLUSIVE ESCAVAÇÃO, CARGA E TRANSPORTE E SOLO. AF_09/2024</v>
          </cell>
          <cell r="D860" t="str">
            <v>M3</v>
          </cell>
          <cell r="E860">
            <v>96.6</v>
          </cell>
          <cell r="F860">
            <v>0</v>
          </cell>
        </row>
        <row r="861">
          <cell r="B861">
            <v>105583</v>
          </cell>
          <cell r="C861" t="str">
            <v>CONSTRUÇÃO DE BASE E SUB-BASE PARA PAVIMENTAÇÃO DE SOLO (PREDOMINANTEMENTE ARGILOSO) BRITA - 40%-60%, MISTURA EM USINA, COM ESPESSURA DE 10 CM - EXCLUSIVE CARGA E TRANSPORTE. AF_09/2024</v>
          </cell>
          <cell r="D861" t="str">
            <v>M3</v>
          </cell>
          <cell r="E861">
            <v>133.49</v>
          </cell>
          <cell r="F861">
            <v>0</v>
          </cell>
        </row>
        <row r="862">
          <cell r="B862">
            <v>105719</v>
          </cell>
          <cell r="C862" t="str">
            <v>CONSTRUÇÃO DE BASE E SUB-BASE PARA PAVIMENTAÇÃO DE SOLO (PREDOMINANTEMENTE ARGILOSO) BRITA - 40%-60%, MISTURA EM USINA, COM ESPESSURA DE 15 CM - EXCLUSIVE CARGA E TRANSPORTE. AF_09/2024</v>
          </cell>
          <cell r="D862" t="str">
            <v>M3</v>
          </cell>
          <cell r="E862">
            <v>127.48</v>
          </cell>
          <cell r="F862">
            <v>0</v>
          </cell>
        </row>
        <row r="863">
          <cell r="B863">
            <v>105721</v>
          </cell>
          <cell r="C863" t="str">
            <v>CONSTRUÇÃO DE BASE E SUB-BASE PARA PAVIMENTAÇÃO DE SOLO (PREDOMINANTEMENTE ARGILOSO) BRITA - 40%-60%, MISTURA EM USINA, COM ESPESSURA DE 20 CM - EXCLUSIVE CARGA E TRANSPORTE. AF_09/2024</v>
          </cell>
          <cell r="D863" t="str">
            <v>M3</v>
          </cell>
          <cell r="E863">
            <v>127.78</v>
          </cell>
          <cell r="F863">
            <v>0</v>
          </cell>
        </row>
        <row r="864">
          <cell r="B864">
            <v>105592</v>
          </cell>
          <cell r="C864" t="str">
            <v>CONSTRUÇÃO DE BASE E SUB-BASE PARA PAVIMENTAÇÃO DE SOLO (PREDOMINANTEMENTE ARGILOSO) BRITA - 50%-50%, MISTURA EM PISTA, COM ESPESSURA DE 10 CM - EXCLUSIVE ESCAVAÇÃO, CARGA E TRANSPORTE E SOLO. AF_09/2024</v>
          </cell>
          <cell r="D864" t="str">
            <v>M3</v>
          </cell>
          <cell r="E864">
            <v>98.12</v>
          </cell>
          <cell r="F864">
            <v>0</v>
          </cell>
        </row>
        <row r="865">
          <cell r="B865">
            <v>100573</v>
          </cell>
          <cell r="C865" t="str">
            <v>CONSTRUÇÃO DE BASE E SUB-BASE PARA PAVIMENTAÇÃO DE SOLO (PREDOMINANTEMENTE ARGILOSO) BRITA - 50%-50%, MISTURA EM PISTA, COM ESPESSURA DE 15 CM - EXCLUSIVE ESCAVAÇÃO, CARGA E TRANSPORTE E SOLO. AF_09/2024</v>
          </cell>
          <cell r="D865" t="str">
            <v>M3</v>
          </cell>
          <cell r="E865">
            <v>86.98</v>
          </cell>
          <cell r="F865">
            <v>0</v>
          </cell>
        </row>
        <row r="866">
          <cell r="B866">
            <v>105595</v>
          </cell>
          <cell r="C866" t="str">
            <v>CONSTRUÇÃO DE BASE E SUB-BASE PARA PAVIMENTAÇÃO DE SOLO (PREDOMINANTEMENTE ARGILOSO) BRITA - 50%-50%, MISTURA EM PISTA, COM ESPESSURA DE 20 CM - EXCLUSIVE ESCAVAÇÃO, CARGA E TRANSPORTE E SOLO. AF_09/2024</v>
          </cell>
          <cell r="D866" t="str">
            <v>M3</v>
          </cell>
          <cell r="E866">
            <v>85.9</v>
          </cell>
          <cell r="F866">
            <v>0</v>
          </cell>
        </row>
        <row r="867">
          <cell r="B867">
            <v>105590</v>
          </cell>
          <cell r="C867" t="str">
            <v>CONSTRUÇÃO DE BASE E SUB-BASE PARA PAVIMENTAÇÃO DE SOLO (PREDOMINANTEMENTE ARGILOSO) BRITA - 50%-50%, MISTURA EM USINA, COM ESPESSURA DE 10 CM - EXCLUSIVE CARGA E TRANSPORTE. AF_09/2024</v>
          </cell>
          <cell r="D867" t="str">
            <v>M3</v>
          </cell>
          <cell r="E867">
            <v>117.23</v>
          </cell>
          <cell r="F867">
            <v>0</v>
          </cell>
        </row>
        <row r="868">
          <cell r="B868">
            <v>105723</v>
          </cell>
          <cell r="C868" t="str">
            <v>CONSTRUÇÃO DE BASE E SUB-BASE PARA PAVIMENTAÇÃO DE SOLO (PREDOMINANTEMENTE ARGILOSO) BRITA - 50%-50%, MISTURA EM USINA, COM ESPESSURA DE 15 CM - EXCLUSIVE CARGA E TRANSPORTE. AF_09/2024</v>
          </cell>
          <cell r="D868" t="str">
            <v>M3</v>
          </cell>
          <cell r="E868">
            <v>111.22</v>
          </cell>
          <cell r="F868">
            <v>0</v>
          </cell>
        </row>
        <row r="869">
          <cell r="B869">
            <v>105725</v>
          </cell>
          <cell r="C869" t="str">
            <v>CONSTRUÇÃO DE BASE E SUB-BASE PARA PAVIMENTAÇÃO DE SOLO (PREDOMINANTEMENTE ARGILOSO) BRITA - 50%-50%, MISTURA EM USINA, COM ESPESSURA DE 20 CM - EXCLUSIVE CARGA E TRANSPORTE. AF_09/2024</v>
          </cell>
          <cell r="D869" t="str">
            <v>M3</v>
          </cell>
          <cell r="E869">
            <v>111.52</v>
          </cell>
          <cell r="F869">
            <v>0</v>
          </cell>
        </row>
        <row r="870">
          <cell r="B870">
            <v>105566</v>
          </cell>
          <cell r="C870" t="str">
            <v>CONSTRUÇÃO DE BASE E SUB-BASE PARA PAVIMENTAÇÃO DE SOLO DE COMPORTAMENTO LATERÍTICO (ARENOSO), COM ESPESSURA DE 10 CM - EXCLUSIVE ESCAVAÇÃO, CARGA E TRANSPORTE E SOLO. AF_09/2024</v>
          </cell>
          <cell r="D870" t="str">
            <v>M3</v>
          </cell>
          <cell r="E870">
            <v>12.33</v>
          </cell>
          <cell r="F870">
            <v>0</v>
          </cell>
        </row>
        <row r="871">
          <cell r="B871">
            <v>96388</v>
          </cell>
          <cell r="C871" t="str">
            <v>CONSTRUÇÃO DE BASE E SUB-BASE PARA PAVIMENTAÇÃO DE SOLO DE COMPORTAMENTO LATERÍTICO (ARENOSO), COM ESPESSURA DE 15 CM - EXCLUSIVE ESCAVAÇÃO, CARGA E TRANSPORTE E SOLO. AF_09/2024</v>
          </cell>
          <cell r="D871" t="str">
            <v>M3</v>
          </cell>
          <cell r="E871">
            <v>9.86</v>
          </cell>
          <cell r="F871">
            <v>0</v>
          </cell>
        </row>
        <row r="872">
          <cell r="B872">
            <v>105569</v>
          </cell>
          <cell r="C872" t="str">
            <v>CONSTRUÇÃO DE BASE E SUB-BASE PARA PAVIMENTAÇÃO DE SOLO DE COMPORTAMENTO LATERÍTICO (ARENOSO), COM ESPESSURA DE 20 CM - EXCLUSIVE ESCAVAÇÃO, CARGA E TRANSPORTE E SOLO. AF_09/2024</v>
          </cell>
          <cell r="D872" t="str">
            <v>M3</v>
          </cell>
          <cell r="E872">
            <v>8.17</v>
          </cell>
          <cell r="F872">
            <v>0</v>
          </cell>
        </row>
        <row r="873">
          <cell r="B873">
            <v>101767</v>
          </cell>
          <cell r="C873" t="str">
            <v>CONSTRUÇÃO DE BASE E SUB-BASE PARA PAVIMENTAÇÃO DE SOLO ESTABILIZADO GRANULOMETRICAMENTE COM MISTURA DE SOLOS EM PISTA - EXCLUSIVE SOLO, ESCAVAÇÃO, CARGA E TRANSPORTE. AF_09/2024</v>
          </cell>
          <cell r="D873" t="str">
            <v>M3</v>
          </cell>
          <cell r="E873">
            <v>33.82</v>
          </cell>
          <cell r="F873">
            <v>0</v>
          </cell>
        </row>
        <row r="874">
          <cell r="B874">
            <v>101768</v>
          </cell>
          <cell r="C874" t="str">
            <v>CONSTRUÇÃO DE BASE E SUB-BASE PARA PAVIMENTAÇÃO DE SOLO ESTABILIZADO GRANULOMETRICAMENTE SEM MISTURA DE SOLOS - EXCLUSIVE SOLO, ESCAVAÇÃO, CARGA E TRANSPORTE. AF_09/2024</v>
          </cell>
          <cell r="D874" t="str">
            <v>M3</v>
          </cell>
          <cell r="E874">
            <v>28.48</v>
          </cell>
          <cell r="F874">
            <v>0</v>
          </cell>
        </row>
        <row r="875">
          <cell r="B875">
            <v>100574</v>
          </cell>
          <cell r="C875" t="str">
            <v>ESPALHAMENTO DE MATERIAL COM TRATOR DE ESTEIRAS. AF_09/2024</v>
          </cell>
          <cell r="D875" t="str">
            <v>M3</v>
          </cell>
          <cell r="E875">
            <v>1.57</v>
          </cell>
          <cell r="F875">
            <v>0</v>
          </cell>
        </row>
        <row r="876">
          <cell r="B876">
            <v>102470</v>
          </cell>
          <cell r="C876" t="str">
            <v>EXECUÇÃO DE IMPRIMAÇÃO COM ASFALTO DILUÍDO CM-30, PARA OBRAS DE CONSTRUÇÃO DE PAVIMENTOS. AF_09/2024</v>
          </cell>
          <cell r="D876" t="str">
            <v>M2</v>
          </cell>
          <cell r="E876">
            <v>0</v>
          </cell>
        </row>
        <row r="877">
          <cell r="B877">
            <v>105756</v>
          </cell>
          <cell r="C877" t="str">
            <v>EXECUÇÃO DE IMPRIMAÇÃO COM ASFALTO DILUÍDO CM-30, PARA OBRAS DE RECONSTRUÇÃO DE PAVIMENTOS. AF_09/2024</v>
          </cell>
          <cell r="D877" t="str">
            <v>M2</v>
          </cell>
          <cell r="E877">
            <v>0</v>
          </cell>
        </row>
        <row r="878">
          <cell r="B878">
            <v>104375</v>
          </cell>
          <cell r="C878" t="str">
            <v>EXECUÇÃO DE PINTURA DE LIGAÇÃO COM EMULSÃO ASFÁLTICA RR-2C, PARA OBRAS DE CONSTRUÇÃO DE PAVIMENTOS. AF_09/2024</v>
          </cell>
          <cell r="D878" t="str">
            <v>M2</v>
          </cell>
          <cell r="E878">
            <v>0</v>
          </cell>
        </row>
        <row r="879">
          <cell r="B879">
            <v>105757</v>
          </cell>
          <cell r="C879" t="str">
            <v>EXECUÇÃO DE PINTURA DE LIGAÇÃO COM EMULSÃO ASFÁLTICA RR-2C, PARA OBRAS DE RECONSTRUÇÃO DE PAVIMENTOS. AF_09/2024</v>
          </cell>
          <cell r="D879" t="str">
            <v>M2</v>
          </cell>
          <cell r="E879">
            <v>0</v>
          </cell>
        </row>
        <row r="880">
          <cell r="B880">
            <v>105562</v>
          </cell>
          <cell r="C880" t="str">
            <v>EXECUÇÃO E COMPACTAÇÃO DE CAMADA FINAL DE ATERRO (100% DE ENERGIA DO PROCTOR NORMAL) COM SOLO PREDOMINANTEMENTE ARENOSO, EM CAMADAS COM ESPESSURA DE 10 CM - EXCLUSIVE ESCAVAÇÃO, CARGA E TRANSPORTE E SOLO. AF_09/2024</v>
          </cell>
          <cell r="D880" t="str">
            <v>M3</v>
          </cell>
          <cell r="E880">
            <v>9.0500000000000007</v>
          </cell>
          <cell r="F880">
            <v>0</v>
          </cell>
        </row>
        <row r="881">
          <cell r="B881">
            <v>105563</v>
          </cell>
          <cell r="C881" t="str">
            <v>EXECUÇÃO E COMPACTAÇÃO DE CAMADA FINAL DE ATERRO (100% DE ENERGIA DO PROCTOR NORMAL) COM SOLO PREDOMINANTEMENTE ARENOSO, EM CAMADAS COM ESPESSURA DE 15 CM - EXCLUSIVE ESCAVAÇÃO, CARGA E TRANSPORTE E SOLO. AF_09/2024</v>
          </cell>
          <cell r="D881" t="str">
            <v>M3</v>
          </cell>
          <cell r="E881">
            <v>7.3</v>
          </cell>
          <cell r="F881">
            <v>0</v>
          </cell>
        </row>
        <row r="882">
          <cell r="B882">
            <v>105565</v>
          </cell>
          <cell r="C882" t="str">
            <v>EXECUÇÃO E COMPACTAÇÃO DE CAMADA FINAL DE ATERRO (100% DE ENERGIA DO PROCTOR NORMAL) COM SOLO PREDOMINANTEMENTE ARENOSO, EM CAMADAS COM ESPESSURA DE 20 CM - EXCLUSIVE ESCAVAÇÃO, CARGA E TRANSPORTE E SOLO. AF_09/2024</v>
          </cell>
          <cell r="D882" t="str">
            <v>M3</v>
          </cell>
          <cell r="E882">
            <v>6.79</v>
          </cell>
          <cell r="F882">
            <v>0</v>
          </cell>
        </row>
        <row r="883">
          <cell r="B883">
            <v>105557</v>
          </cell>
          <cell r="C883" t="str">
            <v>EXECUÇÃO E COMPACTAÇÃO DE CAMADA FINAL DE ATERRO (100% DE ENERGIA DO PROCTOR NORMAL) COM SOLO PREDOMINANTEMENTE ARGILOSO, EM CAMADAS COM ESPESSURA DE 10 CM - EXCLUSIVE ESCAVAÇÃO, CARGA E TRANSPORTE E SOLO. AF_09/2024</v>
          </cell>
          <cell r="D883" t="str">
            <v>M3</v>
          </cell>
          <cell r="E883">
            <v>17.59</v>
          </cell>
          <cell r="F883">
            <v>0</v>
          </cell>
        </row>
        <row r="884">
          <cell r="B884">
            <v>105558</v>
          </cell>
          <cell r="C884" t="str">
            <v>EXECUÇÃO E COMPACTAÇÃO DE CAMADA FINAL DE ATERRO (100% DE ENERGIA DO PROCTOR NORMAL) COM SOLO PREDOMINANTEMENTE ARGILOSO, EM CAMADAS COM ESPESSURA DE 15 CM - EXCLUSIVE ESCAVAÇÃO, CARGA E TRANSPORTE E SOLO. AF_09/2024</v>
          </cell>
          <cell r="D884" t="str">
            <v>M3</v>
          </cell>
          <cell r="E884">
            <v>15.15</v>
          </cell>
          <cell r="F884">
            <v>0</v>
          </cell>
        </row>
        <row r="885">
          <cell r="B885">
            <v>105560</v>
          </cell>
          <cell r="C885" t="str">
            <v>EXECUÇÃO E COMPACTAÇÃO DE CAMADA FINAL DE ATERRO (100% DE ENERGIA DO PROCTOR NORMAL) COM SOLO PREDOMINANTEMENTE ARGILOSO, EM CAMADAS COM ESPESSURA DE 20 CM - EXCLUSIVE ESCAVAÇÃO, CARGA E TRANSPORTE E SOLO. AF_09/2024</v>
          </cell>
          <cell r="D885" t="str">
            <v>M3</v>
          </cell>
          <cell r="E885">
            <v>13.85</v>
          </cell>
          <cell r="F885">
            <v>0</v>
          </cell>
        </row>
        <row r="886">
          <cell r="B886">
            <v>96386</v>
          </cell>
          <cell r="C886" t="str">
            <v>EXECUÇÃO E COMPACTAÇÃO DE CORPO DE ATERRO (95% DE ENERGIA DO PROCTOR NORMAL) COM SOLO PREDOMINANTEMENTE ARENOSO ESPESSURA 15CM - EXCLUSIVE MATERIAL, ESCAVAÇÃO, CARGA E TRANSPORTE. AF_09/2024</v>
          </cell>
          <cell r="D886" t="str">
            <v>M3</v>
          </cell>
          <cell r="E886">
            <v>7.25</v>
          </cell>
          <cell r="F886">
            <v>0</v>
          </cell>
        </row>
        <row r="887">
          <cell r="B887">
            <v>105564</v>
          </cell>
          <cell r="C887" t="str">
            <v>EXECUÇÃO E COMPACTAÇÃO DE CORPO DE ATERRO (95% DE ENERGIA DO PROCTOR NORMAL) COM SOLO PREDOMINANTEMENTE ARENOSO, EM CAMADAS COM ESPESSURA DE 20 CM - EXCLUSIVE ESCAVAÇÃO, CARGA E TRANSPORTE E SOLO. AF_09/2024</v>
          </cell>
          <cell r="D887" t="str">
            <v>M3</v>
          </cell>
          <cell r="E887">
            <v>6.74</v>
          </cell>
          <cell r="F887">
            <v>0</v>
          </cell>
        </row>
        <row r="888">
          <cell r="B888">
            <v>105561</v>
          </cell>
          <cell r="C888" t="str">
            <v>EXECUÇÃO E COMPACTAÇÃO DE CORPO DE ATERRO DE ATERRO (95% DE ENERGIA DO PROCTOR NORMAL) COM SOLO PREDOMINANTEMENTE ARENOSO, EM CAMADAS COM ESPESSURA DE 10 CM - EXCLUSIVE ESCAVAÇÃO, CARGA E TRANSPORTE E SOLO. AF_09/2024</v>
          </cell>
          <cell r="D888" t="str">
            <v>M3</v>
          </cell>
          <cell r="E888">
            <v>8.8800000000000008</v>
          </cell>
          <cell r="F888">
            <v>0</v>
          </cell>
        </row>
        <row r="889">
          <cell r="B889">
            <v>96385</v>
          </cell>
          <cell r="C889" t="str">
            <v>EXECUÇÃO E COMPACTAÇÃO DE CORPO DE ATERRO DE ATERRO (95% DE ENERGIA DO PROCTOR NORMAL) COM SOLO PREDOMINANTEMENTE ARGILOSO ESPESSURA 15 CM - EXCLUSIVE MATERIAL, ESCAVAÇÃO, CARGA E TRANSPORTE. AF_09/2024</v>
          </cell>
          <cell r="D889" t="str">
            <v>M3</v>
          </cell>
          <cell r="E889">
            <v>13.68</v>
          </cell>
          <cell r="F889">
            <v>0</v>
          </cell>
        </row>
        <row r="890">
          <cell r="B890">
            <v>105556</v>
          </cell>
          <cell r="C890" t="str">
            <v>EXECUÇÃO E COMPACTAÇÃO DE CORPO DE ATERRO DE ATERRO (95% DE ENERGIA DO PROCTOR NORMAL) COM SOLO PREDOMINANTEMENTE ARGILOSO, EM CAMADAS COM ESPESSURA DE 10 CM - EXCLUSIVE ESCAVAÇÃO, CARGA E TRANSPORTE E SOLO. AF_09/2024</v>
          </cell>
          <cell r="D890" t="str">
            <v>M3</v>
          </cell>
          <cell r="E890">
            <v>15.35</v>
          </cell>
          <cell r="F890">
            <v>0</v>
          </cell>
        </row>
        <row r="891">
          <cell r="B891">
            <v>105559</v>
          </cell>
          <cell r="C891" t="str">
            <v>EXECUÇÃO E COMPACTAÇÃO DE CORPO DE ATERRO DE ATERRO (95% DE ENERGIA DO PROCTOR NORMAL) COM SOLO PREDOMINANTEMENTE ARGILOSO, EM CAMADAS COM ESPESSURA DE 20 CM - EXCLUSIVE ESCAVAÇÃO, CARGA E TRANSPORTE E SOLO. AF_09/2024</v>
          </cell>
          <cell r="D891" t="str">
            <v>M3</v>
          </cell>
          <cell r="E891">
            <v>11.6</v>
          </cell>
          <cell r="F891">
            <v>0</v>
          </cell>
        </row>
        <row r="892">
          <cell r="B892">
            <v>105733</v>
          </cell>
          <cell r="C892" t="str">
            <v>RECONSTRUÇÃO DE BASE E SUB-BASE PARA PAVIMENTAÇÃO DE BRITA GRADUADA SIMPLES TRATADA COM CIMENTO, COM ESPESSURA DE 10 CM - EXCLUSIVE CARGA E TRANSPORTE. AF_09/2024</v>
          </cell>
          <cell r="D892" t="str">
            <v>M3</v>
          </cell>
          <cell r="E892">
            <v>215.92</v>
          </cell>
          <cell r="F892">
            <v>0</v>
          </cell>
        </row>
        <row r="893">
          <cell r="B893">
            <v>105734</v>
          </cell>
          <cell r="C893" t="str">
            <v>RECONSTRUÇÃO DE BASE E SUB-BASE PARA PAVIMENTAÇÃO DE BRITA GRADUADA SIMPLES TRATADA COM CIMENTO, COM ESPESSURA DE 15 CM - EXCLUSIVE CARGA E TRANSPORTE. AF_09/2024</v>
          </cell>
          <cell r="D893" t="str">
            <v>M3</v>
          </cell>
          <cell r="E893">
            <v>209.11</v>
          </cell>
          <cell r="F893">
            <v>0</v>
          </cell>
        </row>
        <row r="894">
          <cell r="B894">
            <v>105736</v>
          </cell>
          <cell r="C894" t="str">
            <v>RECONSTRUÇÃO DE BASE E SUB-BASE PARA PAVIMENTAÇÃO DE BRITA GRADUADA SIMPLES TRATADA COM CIMENTO, COM ESPESSURA DE 20 CM - EXCLUSIVE CARGA E TRANSPORTE. AF_09/2024</v>
          </cell>
          <cell r="D894" t="str">
            <v>M3</v>
          </cell>
          <cell r="E894">
            <v>205.69</v>
          </cell>
          <cell r="F894">
            <v>0</v>
          </cell>
        </row>
        <row r="895">
          <cell r="B895">
            <v>105728</v>
          </cell>
          <cell r="C895" t="str">
            <v>RECONSTRUÇÃO DE BASE E SUB-BASE PARA PAVIMENTAÇÃO DE BRITA GRADUADA SIMPLES, COM ESPESSURA DE 10 CM - EXCLUSIVE CARGA E TRANSPORTE. AF_09/2024</v>
          </cell>
          <cell r="D895" t="str">
            <v>M3</v>
          </cell>
          <cell r="E895">
            <v>154.68</v>
          </cell>
          <cell r="F895">
            <v>0</v>
          </cell>
        </row>
        <row r="896">
          <cell r="B896">
            <v>105729</v>
          </cell>
          <cell r="C896" t="str">
            <v>RECONSTRUÇÃO DE BASE E SUB-BASE PARA PAVIMENTAÇÃO DE BRITA GRADUADA SIMPLES, COM ESPESSURA DE 15 CM - EXCLUSIVE CARGA E TRANSPORTE. AF_09/2024</v>
          </cell>
          <cell r="D896" t="str">
            <v>M3</v>
          </cell>
          <cell r="E896">
            <v>149.47999999999999</v>
          </cell>
          <cell r="F896">
            <v>0</v>
          </cell>
        </row>
        <row r="897">
          <cell r="B897">
            <v>105731</v>
          </cell>
          <cell r="C897" t="str">
            <v>RECONSTRUÇÃO DE BASE E SUB-BASE PARA PAVIMENTAÇÃO DE BRITA GRADUADA SIMPLES, COM ESPESSURA DE 20 CM - EXCLUSIVE CARGA E TRANSPORTE. AF_09/2024</v>
          </cell>
          <cell r="D897" t="str">
            <v>M3</v>
          </cell>
          <cell r="E897">
            <v>146.84</v>
          </cell>
          <cell r="F897">
            <v>0</v>
          </cell>
        </row>
        <row r="898">
          <cell r="B898">
            <v>105738</v>
          </cell>
          <cell r="C898" t="str">
            <v>RECONSTRUÇÃO DE BASE E SUB-BASE PARA PAVIMENTAÇÃO DE CONCRETO COMPACTADO COM ROLO, COM ESPESSURA DE 10 CM - EXCLUSIVE CARGA E TRANSPORTE. AF_09/2024</v>
          </cell>
          <cell r="D898" t="str">
            <v>M3</v>
          </cell>
          <cell r="E898">
            <v>290.58</v>
          </cell>
          <cell r="F898">
            <v>0</v>
          </cell>
        </row>
        <row r="899">
          <cell r="B899">
            <v>105739</v>
          </cell>
          <cell r="C899" t="str">
            <v>RECONSTRUÇÃO DE BASE E SUB-BASE PARA PAVIMENTAÇÃO DE CONCRETO COMPACTADO COM ROLO, COM ESPESSURA DE 15 CM - EXCLUSIVE CARGA E TRANSPORTE. AF_09/2024</v>
          </cell>
          <cell r="D899" t="str">
            <v>M3</v>
          </cell>
          <cell r="E899">
            <v>285.47000000000003</v>
          </cell>
          <cell r="F899">
            <v>0</v>
          </cell>
        </row>
        <row r="900">
          <cell r="B900">
            <v>105741</v>
          </cell>
          <cell r="C900" t="str">
            <v>RECONSTRUÇÃO DE BASE E SUB-BASE PARA PAVIMENTAÇÃO DE CONCRETO COMPACTADO COM ROLO, COM ESPESSURA DE 20 CM - EXCLUSIVE CARGA E TRANSPORTE. AF_09/2024</v>
          </cell>
          <cell r="D900" t="str">
            <v>M3</v>
          </cell>
          <cell r="E900">
            <v>282.77999999999997</v>
          </cell>
          <cell r="F900">
            <v>0</v>
          </cell>
        </row>
        <row r="901">
          <cell r="B901">
            <v>105750</v>
          </cell>
          <cell r="C901" t="str">
            <v>RECONSTRUÇÃO DE BASE E SUB-BASE PARA PAVIMENTAÇÃO DE MACADAME SECO, COM ESPESSURA DE 10 CM - EXCLUSIVE CARGA E TRANSPORTE. AF_09/2024</v>
          </cell>
          <cell r="D901" t="str">
            <v>M3</v>
          </cell>
          <cell r="E901">
            <v>145.6</v>
          </cell>
          <cell r="F901">
            <v>0</v>
          </cell>
        </row>
        <row r="902">
          <cell r="B902">
            <v>105751</v>
          </cell>
          <cell r="C902" t="str">
            <v>RECONSTRUÇÃO DE BASE E SUB-BASE PARA PAVIMENTAÇÃO DE MACADAME SECO, COM ESPESSURA DE 15 CM - EXCLUSIVE CARGA E TRANSPORTE. AF_09/2024</v>
          </cell>
          <cell r="D902" t="str">
            <v>M3</v>
          </cell>
          <cell r="E902">
            <v>142.96</v>
          </cell>
          <cell r="F902">
            <v>0</v>
          </cell>
        </row>
        <row r="903">
          <cell r="B903">
            <v>105753</v>
          </cell>
          <cell r="C903" t="str">
            <v>RECONSTRUÇÃO DE BASE E SUB-BASE PARA PAVIMENTAÇÃO DE MACADAME SECO, COM ESPESSURA DE 20 CM - EXCLUSIVE CARGA E TRANSPORTE. AF_09/2024</v>
          </cell>
          <cell r="D903" t="str">
            <v>M3</v>
          </cell>
          <cell r="E903">
            <v>140.52000000000001</v>
          </cell>
          <cell r="F903">
            <v>0</v>
          </cell>
        </row>
        <row r="904">
          <cell r="B904">
            <v>105755</v>
          </cell>
          <cell r="C904" t="str">
            <v>RECONSTRUÇÃO DE BASE E SUB-BASE PARA PAVIMENTAÇÃO DE MACADAME SECO, COM ESPESSURA DE 25 CM - EXCLUSIVE CARGA E TRANSPORTE. AF_09/2024</v>
          </cell>
          <cell r="D904" t="str">
            <v>M3</v>
          </cell>
          <cell r="E904">
            <v>138.19999999999999</v>
          </cell>
          <cell r="F904">
            <v>0</v>
          </cell>
        </row>
        <row r="905">
          <cell r="B905">
            <v>105743</v>
          </cell>
          <cell r="C905" t="str">
            <v>RECONSTRUÇÃO DE BASE E SUB-BASE PARA PAVIMENTAÇÃO DE RACHÃO, COM ESPESSURA DE 30 CM - EXCLUSIVE CARGA E TRANSPORTE. AF_09/2024</v>
          </cell>
          <cell r="D905" t="str">
            <v>M3</v>
          </cell>
          <cell r="E905">
            <v>109.71</v>
          </cell>
          <cell r="F905">
            <v>0</v>
          </cell>
        </row>
        <row r="906">
          <cell r="B906">
            <v>105744</v>
          </cell>
          <cell r="C906" t="str">
            <v>RECONSTRUÇÃO DE BASE E SUB-BASE PARA PAVIMENTAÇÃO DE RACHÃO, COM ESPESSURA DE 40 CM - EXCLUSIVE CARGA E TRANSPORTE. AF_09/2024</v>
          </cell>
          <cell r="D906" t="str">
            <v>M3</v>
          </cell>
          <cell r="E906">
            <v>107.11</v>
          </cell>
          <cell r="F906">
            <v>0</v>
          </cell>
        </row>
        <row r="907">
          <cell r="B907">
            <v>105746</v>
          </cell>
          <cell r="C907" t="str">
            <v>RECONSTRUÇÃO DE BASE E SUB-BASE PARA PAVIMENTAÇÃO DE RACHÃO, COM ESPESSURA DE 50 CM - EXCLUSIVE CARGA E TRANSPORTE. AF_09/2024</v>
          </cell>
          <cell r="D907" t="str">
            <v>M3</v>
          </cell>
          <cell r="E907">
            <v>104.49</v>
          </cell>
          <cell r="F907">
            <v>0</v>
          </cell>
        </row>
        <row r="908">
          <cell r="B908">
            <v>105748</v>
          </cell>
          <cell r="C908" t="str">
            <v>RECONSTRUÇÃO DE BASE E SUB-BASE PARA PAVIMENTAÇÃO DE RACHÃO, COM ESPESSURA DE 60 CM - EXCLUSIVE CARGA E TRANSPORTE. AF_09/2024</v>
          </cell>
          <cell r="D908" t="str">
            <v>M3</v>
          </cell>
          <cell r="E908">
            <v>101.85</v>
          </cell>
          <cell r="F908">
            <v>0</v>
          </cell>
        </row>
        <row r="909">
          <cell r="B909">
            <v>105660</v>
          </cell>
          <cell r="C909" t="str">
            <v>RECONSTRUÇÃO DE BASE E SUB-BASE PARA PAVIMENTAÇÃO DE SOLO (PREDOMINANTEMENTE ARENOSO) BRITA - 40%-60% COM CIMENTO - 4%, MISTURA EM PISTA, COM ESPESSURA DE 10 CM - EXCLUSIVE ESCAVAÇÃO, CARGA E TRANSPORTE E SOLO. AF_09/2024</v>
          </cell>
          <cell r="D909" t="str">
            <v>M3</v>
          </cell>
          <cell r="E909">
            <v>173.1</v>
          </cell>
          <cell r="F909">
            <v>0</v>
          </cell>
        </row>
        <row r="910">
          <cell r="B910">
            <v>105663</v>
          </cell>
          <cell r="C910" t="str">
            <v>RECONSTRUÇÃO DE BASE E SUB-BASE PARA PAVIMENTAÇÃO DE SOLO (PREDOMINANTEMENTE ARENOSO) BRITA - 40%-60% COM CIMENTO - 4%, MISTURA EM PISTA, COM ESPESSURA DE 15 CM - EXCLUSIVE ESCAVAÇÃO, CARGA E TRANSPORTE E SOLO. AF_09/2024</v>
          </cell>
          <cell r="D910" t="str">
            <v>M3</v>
          </cell>
          <cell r="E910">
            <v>161.69999999999999</v>
          </cell>
          <cell r="F910">
            <v>0</v>
          </cell>
        </row>
        <row r="911">
          <cell r="B911">
            <v>105669</v>
          </cell>
          <cell r="C911" t="str">
            <v>RECONSTRUÇÃO DE BASE E SUB-BASE PARA PAVIMENTAÇÃO DE SOLO (PREDOMINANTEMENTE ARENOSO) BRITA - 40%-60% COM CIMENTO - 4%, MISTURA EM PISTA, COM ESPESSURA DE 20 CM - EXCLUSIVE ESCAVAÇÃO, CARGA E TRANSPORTE E SOLO. AF_09/2024</v>
          </cell>
          <cell r="D911" t="str">
            <v>M3</v>
          </cell>
          <cell r="E911">
            <v>155.99</v>
          </cell>
          <cell r="F911">
            <v>0</v>
          </cell>
        </row>
        <row r="912">
          <cell r="B912">
            <v>105642</v>
          </cell>
          <cell r="C912" t="str">
            <v>RECONSTRUÇÃO DE BASE E SUB-BASE PARA PAVIMENTAÇÃO DE SOLO (PREDOMINANTEMENTE ARENOSO) BRITA - 40%-60% COM CIMENTO - 4%, MISTURA EM USINA, COM ESPESSURA DE 10 CM - EXCLUSIVE CARGA E TRANSPORTE. AF_09/2024</v>
          </cell>
          <cell r="D912" t="str">
            <v>M3</v>
          </cell>
          <cell r="E912">
            <v>186.25</v>
          </cell>
          <cell r="F912">
            <v>0</v>
          </cell>
        </row>
        <row r="913">
          <cell r="B913">
            <v>105648</v>
          </cell>
          <cell r="C913" t="str">
            <v>RECONSTRUÇÃO DE BASE E SUB-BASE PARA PAVIMENTAÇÃO DE SOLO (PREDOMINANTEMENTE ARENOSO) BRITA - 40%-60% COM CIMENTO - 4%, MISTURA EM USINA, COM ESPESSURA DE 15 CM - EXCLUSIVE CARGA E TRANSPORTE. AF_09/2024</v>
          </cell>
          <cell r="D913" t="str">
            <v>M3</v>
          </cell>
          <cell r="E913">
            <v>181.05</v>
          </cell>
          <cell r="F913">
            <v>0</v>
          </cell>
        </row>
        <row r="914">
          <cell r="B914">
            <v>105654</v>
          </cell>
          <cell r="C914" t="str">
            <v>RECONSTRUÇÃO DE BASE E SUB-BASE PARA PAVIMENTAÇÃO DE SOLO (PREDOMINANTEMENTE ARENOSO) BRITA - 40%-60% COM CIMENTO - 4%, MISTURA EM USINA, COM ESPESSURA DE 20 CM - EXCLUSIVE CARGA E TRANSPORTE. AF_09/2024</v>
          </cell>
          <cell r="D914" t="str">
            <v>M3</v>
          </cell>
          <cell r="E914">
            <v>178.41</v>
          </cell>
          <cell r="F914">
            <v>0</v>
          </cell>
        </row>
        <row r="915">
          <cell r="B915">
            <v>105661</v>
          </cell>
          <cell r="C915" t="str">
            <v>RECONSTRUÇÃO DE BASE E SUB-BASE PARA PAVIMENTAÇÃO DE SOLO (PREDOMINANTEMENTE ARENOSO) BRITA - 40%-60% COM CIMENTO - 6%, MISTURA EM PISTA, COM ESPESSURA DE 10 CM - EXCLUSIVE ESCAVAÇÃO, CARGA E TRANSPORTE E SOLO. AF_09/2024</v>
          </cell>
          <cell r="D915" t="str">
            <v>M3</v>
          </cell>
          <cell r="E915">
            <v>201.06</v>
          </cell>
          <cell r="F915">
            <v>0</v>
          </cell>
        </row>
        <row r="916">
          <cell r="B916">
            <v>105664</v>
          </cell>
          <cell r="C916" t="str">
            <v>RECONSTRUÇÃO DE BASE E SUB-BASE PARA PAVIMENTAÇÃO DE SOLO (PREDOMINANTEMENTE ARENOSO) BRITA - 40%-60% COM CIMENTO - 6%, MISTURA EM PISTA, COM ESPESSURA DE 15 CM - EXCLUSIVE ESCAVAÇÃO, CARGA E TRANSPORTE E SOLO. AF_09/2024</v>
          </cell>
          <cell r="D916" t="str">
            <v>M3</v>
          </cell>
          <cell r="E916">
            <v>189.66</v>
          </cell>
          <cell r="F916">
            <v>0</v>
          </cell>
        </row>
        <row r="917">
          <cell r="B917">
            <v>105670</v>
          </cell>
          <cell r="C917" t="str">
            <v>RECONSTRUÇÃO DE BASE E SUB-BASE PARA PAVIMENTAÇÃO DE SOLO (PREDOMINANTEMENTE ARENOSO) BRITA - 40%-60% COM CIMENTO - 6%, MISTURA EM PISTA, COM ESPESSURA DE 20 CM - EXCLUSIVE ESCAVAÇÃO, CARGA E TRANSPORTE E SOLO. AF_09/2024</v>
          </cell>
          <cell r="D917" t="str">
            <v>M3</v>
          </cell>
          <cell r="E917">
            <v>183.95</v>
          </cell>
          <cell r="F917">
            <v>0</v>
          </cell>
        </row>
        <row r="918">
          <cell r="B918">
            <v>105643</v>
          </cell>
          <cell r="C918" t="str">
            <v>RECONSTRUÇÃO DE BASE E SUB-BASE PARA PAVIMENTAÇÃO DE SOLO (PREDOMINANTEMENTE ARENOSO) BRITA - 40%-60% COM CIMENTO - 6%, MISTURA EM USINA, COM ESPESSURA DE 10 CM - EXCLUSIVE CARGA E TRANSPORTE. AF_09/2024</v>
          </cell>
          <cell r="D918" t="str">
            <v>M3</v>
          </cell>
          <cell r="E918">
            <v>212.42</v>
          </cell>
          <cell r="F918">
            <v>0</v>
          </cell>
        </row>
        <row r="919">
          <cell r="B919">
            <v>105649</v>
          </cell>
          <cell r="C919" t="str">
            <v>RECONSTRUÇÃO DE BASE E SUB-BASE PARA PAVIMENTAÇÃO DE SOLO (PREDOMINANTEMENTE ARENOSO) BRITA - 40%-60% COM CIMENTO - 6%, MISTURA EM USINA, COM ESPESSURA DE 15 CM - EXCLUSIVE CARGA E TRANSPORTE. AF_09/2024</v>
          </cell>
          <cell r="D919" t="str">
            <v>M3</v>
          </cell>
          <cell r="E919">
            <v>207.22</v>
          </cell>
          <cell r="F919">
            <v>0</v>
          </cell>
        </row>
        <row r="920">
          <cell r="B920">
            <v>105655</v>
          </cell>
          <cell r="C920" t="str">
            <v>RECONSTRUÇÃO DE BASE E SUB-BASE PARA PAVIMENTAÇÃO DE SOLO (PREDOMINANTEMENTE ARENOSO) BRITA - 40%-60% COM CIMENTO - 6%, MISTURA EM USINA, COM ESPESSURA DE 20 CM - EXCLUSIVE CARGA E TRANSPORTE. AF_09/2024</v>
          </cell>
          <cell r="D920" t="str">
            <v>M3</v>
          </cell>
          <cell r="E920">
            <v>204.58</v>
          </cell>
          <cell r="F920">
            <v>0</v>
          </cell>
        </row>
        <row r="921">
          <cell r="B921">
            <v>105662</v>
          </cell>
          <cell r="C921" t="str">
            <v>RECONSTRUÇÃO DE BASE E SUB-BASE PARA PAVIMENTAÇÃO DE SOLO (PREDOMINANTEMENTE ARENOSO) BRITA - 40%-60% COM CIMENTO - 8%, MISTURA EM PISTA, COM ESPESSURA DE 10 CM - EXCLUSIVE ESCAVAÇÃO, CARGA E TRANSPORTE E SOLO. AF_09/2024</v>
          </cell>
          <cell r="D921" t="str">
            <v>M3</v>
          </cell>
          <cell r="E921">
            <v>228.62</v>
          </cell>
          <cell r="F921">
            <v>0</v>
          </cell>
        </row>
        <row r="922">
          <cell r="B922">
            <v>105665</v>
          </cell>
          <cell r="C922" t="str">
            <v>RECONSTRUÇÃO DE BASE E SUB-BASE PARA PAVIMENTAÇÃO DE SOLO (PREDOMINANTEMENTE ARENOSO) BRITA - 40%-60% COM CIMENTO - 8%, MISTURA EM PISTA, COM ESPESSURA DE 15 CM - EXCLUSIVE ESCAVAÇÃO, CARGA E TRANSPORTE E SOLO. AF_09/2024</v>
          </cell>
          <cell r="D922" t="str">
            <v>M3</v>
          </cell>
          <cell r="E922">
            <v>217.22</v>
          </cell>
          <cell r="F922">
            <v>0</v>
          </cell>
        </row>
        <row r="923">
          <cell r="B923">
            <v>105671</v>
          </cell>
          <cell r="C923" t="str">
            <v>RECONSTRUÇÃO DE BASE E SUB-BASE PARA PAVIMENTAÇÃO DE SOLO (PREDOMINANTEMENTE ARENOSO) BRITA - 40%-60% COM CIMENTO - 8%, MISTURA EM PISTA, COM ESPESSURA DE 20 CM - EXCLUSIVE ESCAVAÇÃO, CARGA E TRANSPORTE E SOLO. AF_09/2024</v>
          </cell>
          <cell r="D923" t="str">
            <v>M3</v>
          </cell>
          <cell r="E923">
            <v>211.51</v>
          </cell>
          <cell r="F923">
            <v>0</v>
          </cell>
        </row>
        <row r="924">
          <cell r="B924">
            <v>105644</v>
          </cell>
          <cell r="C924" t="str">
            <v>RECONSTRUÇÃO DE BASE E SUB-BASE PARA PAVIMENTAÇÃO DE SOLO (PREDOMINANTEMENTE ARENOSO) BRITA - 40%-60% COM CIMENTO - 8%, MISTURA EM USINA, COM ESPESSURA DE 10 CM - EXCLUSIVE CARGA E TRANSPORTE. AF_09/2024</v>
          </cell>
          <cell r="D924" t="str">
            <v>M3</v>
          </cell>
          <cell r="E924">
            <v>238.59</v>
          </cell>
          <cell r="F924">
            <v>0</v>
          </cell>
        </row>
        <row r="925">
          <cell r="B925">
            <v>105650</v>
          </cell>
          <cell r="C925" t="str">
            <v>RECONSTRUÇÃO DE BASE E SUB-BASE PARA PAVIMENTAÇÃO DE SOLO (PREDOMINANTEMENTE ARENOSO) BRITA - 40%-60% COM CIMENTO - 8%, MISTURA EM USINA, COM ESPESSURA DE 15 CM - EXCLUSIVE CARGA E TRANSPORTE. AF_09/2024</v>
          </cell>
          <cell r="D925" t="str">
            <v>M3</v>
          </cell>
          <cell r="E925">
            <v>233.39</v>
          </cell>
          <cell r="F925">
            <v>0</v>
          </cell>
        </row>
        <row r="926">
          <cell r="B926">
            <v>105656</v>
          </cell>
          <cell r="C926" t="str">
            <v>RECONSTRUÇÃO DE BASE E SUB-BASE PARA PAVIMENTAÇÃO DE SOLO (PREDOMINANTEMENTE ARENOSO) BRITA - 40%-60% COM CIMENTO - 8%, MISTURA EM USINA, COM ESPESSURA DE 20 CM - EXCLUSIVE CARGA E TRANSPORTE. AF_09/2024</v>
          </cell>
          <cell r="D926" t="str">
            <v>M3</v>
          </cell>
          <cell r="E926">
            <v>230.75</v>
          </cell>
          <cell r="F926">
            <v>0</v>
          </cell>
        </row>
        <row r="927">
          <cell r="B927">
            <v>105577</v>
          </cell>
          <cell r="C927" t="str">
            <v>RECONSTRUÇÃO DE BASE E SUB-BASE PARA PAVIMENTAÇÃO DE SOLO (PREDOMINANTEMENTE ARENOSO) BRITA - 40%-60%, MISTURA EM PISTA, COM ESPESSURA DE 10 CM - EXCLUSIVE ESCAVAÇÃO, CARGA E TRANSPORTE E SOLO. AF_09/2024</v>
          </cell>
          <cell r="D927" t="str">
            <v>M3</v>
          </cell>
          <cell r="E927">
            <v>113.44</v>
          </cell>
          <cell r="F927">
            <v>0</v>
          </cell>
        </row>
        <row r="928">
          <cell r="B928">
            <v>105578</v>
          </cell>
          <cell r="C928" t="str">
            <v>RECONSTRUÇÃO DE BASE E SUB-BASE PARA PAVIMENTAÇÃO DE SOLO (PREDOMINANTEMENTE ARENOSO) BRITA - 40%-60%, MISTURA EM PISTA, COM ESPESSURA DE 15 CM - EXCLUSIVE ESCAVAÇÃO, CARGA E TRANSPORTE E SOLO. AF_09/2024</v>
          </cell>
          <cell r="D928" t="str">
            <v>M3</v>
          </cell>
          <cell r="E928">
            <v>102.05</v>
          </cell>
          <cell r="F928">
            <v>0</v>
          </cell>
        </row>
        <row r="929">
          <cell r="B929">
            <v>105712</v>
          </cell>
          <cell r="C929" t="str">
            <v>RECONSTRUÇÃO DE BASE E SUB-BASE PARA PAVIMENTAÇÃO DE SOLO (PREDOMINANTEMENTE ARENOSO) BRITA - 40%-60%, MISTURA EM PISTA, COM ESPESSURA DE 20 CM - EXCLUSIVE ESCAVAÇÃO, CARGA E TRANSPORTE E SOLO. AF_09/2024</v>
          </cell>
          <cell r="D929" t="str">
            <v>M3</v>
          </cell>
          <cell r="E929">
            <v>96.34</v>
          </cell>
          <cell r="F929">
            <v>0</v>
          </cell>
        </row>
        <row r="930">
          <cell r="B930">
            <v>105637</v>
          </cell>
          <cell r="C930" t="str">
            <v>RECONSTRUÇÃO DE BASE E SUB-BASE PARA PAVIMENTAÇÃO DE SOLO (PREDOMINANTEMENTE ARENOSO) BRITA - 40%-60%, MISTURA EM USINA, COM ESPESSURA DE 10 CM - EXCLUSIVE CARGA E TRANSPORTE. AF_09/2024</v>
          </cell>
          <cell r="D930" t="str">
            <v>M3</v>
          </cell>
          <cell r="E930">
            <v>133.91999999999999</v>
          </cell>
          <cell r="F930">
            <v>0</v>
          </cell>
        </row>
        <row r="931">
          <cell r="B931">
            <v>105707</v>
          </cell>
          <cell r="C931" t="str">
            <v>RECONSTRUÇÃO DE BASE E SUB-BASE PARA PAVIMENTAÇÃO DE SOLO (PREDOMINANTEMENTE ARENOSO) BRITA - 40%-60%, MISTURA EM USINA, COM ESPESSURA DE 15 CM - EXCLUSIVE CARGA E TRANSPORTE. AF_09/2024</v>
          </cell>
          <cell r="D931" t="str">
            <v>M3</v>
          </cell>
          <cell r="E931">
            <v>128.72</v>
          </cell>
          <cell r="F931">
            <v>0</v>
          </cell>
        </row>
        <row r="932">
          <cell r="B932">
            <v>105709</v>
          </cell>
          <cell r="C932" t="str">
            <v>RECONSTRUÇÃO DE BASE E SUB-BASE PARA PAVIMENTAÇÃO DE SOLO (PREDOMINANTEMENTE ARENOSO) BRITA - 40%-60%, MISTURA EM USINA, COM ESPESSURA DE 20 CM - EXCLUSIVE CARGA E TRANSPORTE. AF_09/2024</v>
          </cell>
          <cell r="D932" t="str">
            <v>M3</v>
          </cell>
          <cell r="E932">
            <v>126.08</v>
          </cell>
          <cell r="F932">
            <v>0</v>
          </cell>
        </row>
        <row r="933">
          <cell r="B933">
            <v>105693</v>
          </cell>
          <cell r="C933" t="str">
            <v>RECONSTRUÇÃO DE BASE E SUB-BASE PARA PAVIMENTAÇÃO DE SOLO (PREDOMINANTEMENTE ARENOSO) BRITA - 50%-50% COM CIMENTO - 4%, MISTURA EM PISTA, COM ESPESSURA DE 10 CM - EXCLUSIVE ESCAVAÇÃO, CARGA E TRANSPORTE E SOLO. AF_09/2024</v>
          </cell>
          <cell r="D933" t="str">
            <v>M3</v>
          </cell>
          <cell r="E933">
            <v>162.83000000000001</v>
          </cell>
          <cell r="F933">
            <v>0</v>
          </cell>
        </row>
        <row r="934">
          <cell r="B934">
            <v>105696</v>
          </cell>
          <cell r="C934" t="str">
            <v>RECONSTRUÇÃO DE BASE E SUB-BASE PARA PAVIMENTAÇÃO DE SOLO (PREDOMINANTEMENTE ARENOSO) BRITA - 50%-50% COM CIMENTO - 4%, MISTURA EM PISTA, COM ESPESSURA DE 15 CM - EXCLUSIVE ESCAVAÇÃO, CARGA E TRANSPORTE E SOLO. AF_09/2024</v>
          </cell>
          <cell r="D934" t="str">
            <v>M3</v>
          </cell>
          <cell r="E934">
            <v>151.43</v>
          </cell>
          <cell r="F934">
            <v>0</v>
          </cell>
        </row>
        <row r="935">
          <cell r="B935">
            <v>105702</v>
          </cell>
          <cell r="C935" t="str">
            <v>RECONSTRUÇÃO DE BASE E SUB-BASE PARA PAVIMENTAÇÃO DE SOLO (PREDOMINANTEMENTE ARENOSO) BRITA - 50%-50% COM CIMENTO - 4%, MISTURA EM PISTA, COM ESPESSURA DE 20 CM - EXCLUSIVE ESCAVAÇÃO, CARGA E TRANSPORTE E SOLO. AF_09/2024</v>
          </cell>
          <cell r="D935" t="str">
            <v>M3</v>
          </cell>
          <cell r="E935">
            <v>145.72</v>
          </cell>
          <cell r="F935">
            <v>0</v>
          </cell>
        </row>
        <row r="936">
          <cell r="B936">
            <v>105675</v>
          </cell>
          <cell r="C936" t="str">
            <v>RECONSTRUÇÃO DE BASE E SUB-BASE PARA PAVIMENTAÇÃO DE SOLO (PREDOMINANTEMENTE ARENOSO) BRITA - 50%-50% COM CIMENTO - 4%, MISTURA EM USINA, COM ESPESSURA DE 10 CM - EXCLUSIVE CARGA E TRANSPORTE. AF_09/2024</v>
          </cell>
          <cell r="D936" t="str">
            <v>M3</v>
          </cell>
          <cell r="E936">
            <v>170.64</v>
          </cell>
          <cell r="F936">
            <v>0</v>
          </cell>
        </row>
        <row r="937">
          <cell r="B937">
            <v>105681</v>
          </cell>
          <cell r="C937" t="str">
            <v>RECONSTRUÇÃO DE BASE E SUB-BASE PARA PAVIMENTAÇÃO DE SOLO (PREDOMINANTEMENTE ARENOSO) BRITA - 50%-50% COM CIMENTO - 4%, MISTURA EM USINA, COM ESPESSURA DE 15 CM - EXCLUSIVE CARGA E TRANSPORTE. AF_09/2024</v>
          </cell>
          <cell r="D937" t="str">
            <v>M3</v>
          </cell>
          <cell r="E937">
            <v>165.44</v>
          </cell>
          <cell r="F937">
            <v>0</v>
          </cell>
        </row>
        <row r="938">
          <cell r="B938">
            <v>105687</v>
          </cell>
          <cell r="C938" t="str">
            <v>RECONSTRUÇÃO DE BASE E SUB-BASE PARA PAVIMENTAÇÃO DE SOLO (PREDOMINANTEMENTE ARENOSO) BRITA - 50%-50% COM CIMENTO - 4%, MISTURA EM USINA, COM ESPESSURA DE 20 CM - EXCLUSIVE CARGA E TRANSPORTE. AF_09/2024</v>
          </cell>
          <cell r="D938" t="str">
            <v>M3</v>
          </cell>
          <cell r="E938">
            <v>162.80000000000001</v>
          </cell>
          <cell r="F938">
            <v>0</v>
          </cell>
        </row>
        <row r="939">
          <cell r="B939">
            <v>105694</v>
          </cell>
          <cell r="C939" t="str">
            <v>RECONSTRUÇÃO DE BASE E SUB-BASE PARA PAVIMENTAÇÃO DE SOLO (PREDOMINANTEMENTE ARENOSO) BRITA - 50%-50% COM CIMENTO - 6%, MISTURA EM PISTA, COM ESPESSURA DE 10 CM - EXCLUSIVE ESCAVAÇÃO, CARGA E TRANSPORTE E SOLO. AF_09/2024</v>
          </cell>
          <cell r="D939" t="str">
            <v>M3</v>
          </cell>
          <cell r="E939">
            <v>191</v>
          </cell>
          <cell r="F939">
            <v>0</v>
          </cell>
        </row>
        <row r="940">
          <cell r="B940">
            <v>105697</v>
          </cell>
          <cell r="C940" t="str">
            <v>RECONSTRUÇÃO DE BASE E SUB-BASE PARA PAVIMENTAÇÃO DE SOLO (PREDOMINANTEMENTE ARENOSO) BRITA - 50%-50% COM CIMENTO - 6%, MISTURA EM PISTA, COM ESPESSURA DE 15 CM - EXCLUSIVE ESCAVAÇÃO, CARGA E TRANSPORTE E SOLO. AF_09/2024</v>
          </cell>
          <cell r="D940" t="str">
            <v>M3</v>
          </cell>
          <cell r="E940">
            <v>179.6</v>
          </cell>
          <cell r="F940">
            <v>0</v>
          </cell>
        </row>
        <row r="941">
          <cell r="B941">
            <v>105703</v>
          </cell>
          <cell r="C941" t="str">
            <v>RECONSTRUÇÃO DE BASE E SUB-BASE PARA PAVIMENTAÇÃO DE SOLO (PREDOMINANTEMENTE ARENOSO) BRITA - 50%-50% COM CIMENTO - 6%, MISTURA EM PISTA, COM ESPESSURA DE 20 CM - EXCLUSIVE ESCAVAÇÃO, CARGA E TRANSPORTE E SOLO. AF_09/2024</v>
          </cell>
          <cell r="D941" t="str">
            <v>M3</v>
          </cell>
          <cell r="E941">
            <v>173.89</v>
          </cell>
          <cell r="F941">
            <v>0</v>
          </cell>
        </row>
        <row r="942">
          <cell r="B942">
            <v>105676</v>
          </cell>
          <cell r="C942" t="str">
            <v>RECONSTRUÇÃO DE BASE E SUB-BASE PARA PAVIMENTAÇÃO DE SOLO (PREDOMINANTEMENTE ARENOSO) BRITA - 50%-50% COM CIMENTO - 6%, MISTURA EM USINA, COM ESPESSURA DE 10 CM - EXCLUSIVE CARGA E TRANSPORTE. AF_09/2024</v>
          </cell>
          <cell r="D942" t="str">
            <v>M3</v>
          </cell>
          <cell r="E942">
            <v>197.13</v>
          </cell>
          <cell r="F942">
            <v>0</v>
          </cell>
        </row>
        <row r="943">
          <cell r="B943">
            <v>105682</v>
          </cell>
          <cell r="C943" t="str">
            <v>RECONSTRUÇÃO DE BASE E SUB-BASE PARA PAVIMENTAÇÃO DE SOLO (PREDOMINANTEMENTE ARENOSO) BRITA - 50%-50% COM CIMENTO - 6%, MISTURA EM USINA, COM ESPESSURA DE 15 CM - EXCLUSIVE CARGA E TRANSPORTE. AF_09/2024</v>
          </cell>
          <cell r="D943" t="str">
            <v>M3</v>
          </cell>
          <cell r="E943">
            <v>191.93</v>
          </cell>
          <cell r="F943">
            <v>0</v>
          </cell>
        </row>
        <row r="944">
          <cell r="B944">
            <v>105688</v>
          </cell>
          <cell r="C944" t="str">
            <v>RECONSTRUÇÃO DE BASE E SUB-BASE PARA PAVIMENTAÇÃO DE SOLO (PREDOMINANTEMENTE ARENOSO) BRITA - 50%-50% COM CIMENTO - 6%, MISTURA EM USINA, COM ESPESSURA DE 20 CM - EXCLUSIVE CARGA E TRANSPORTE. AF_09/2024</v>
          </cell>
          <cell r="D944" t="str">
            <v>M3</v>
          </cell>
          <cell r="E944">
            <v>189.29</v>
          </cell>
          <cell r="F944">
            <v>0</v>
          </cell>
        </row>
        <row r="945">
          <cell r="B945">
            <v>105695</v>
          </cell>
          <cell r="C945" t="str">
            <v>RECONSTRUÇÃO DE BASE E SUB-BASE PARA PAVIMENTAÇÃO DE SOLO (PREDOMINANTEMENTE ARENOSO) BRITA - 50%-50% COM CIMENTO - 8%, MISTURA EM PISTA, COM ESPESSURA DE 10 CM - EXCLUSIVE ESCAVAÇÃO, CARGA E TRANSPORTE E SOLO. AF_09/2024</v>
          </cell>
          <cell r="D945" t="str">
            <v>M3</v>
          </cell>
          <cell r="E945">
            <v>218.78</v>
          </cell>
          <cell r="F945">
            <v>0</v>
          </cell>
        </row>
        <row r="946">
          <cell r="B946">
            <v>105698</v>
          </cell>
          <cell r="C946" t="str">
            <v>RECONSTRUÇÃO DE BASE E SUB-BASE PARA PAVIMENTAÇÃO DE SOLO (PREDOMINANTEMENTE ARENOSO) BRITA - 50%-50% COM CIMENTO - 8%, MISTURA EM PISTA, COM ESPESSURA DE 15 CM - EXCLUSIVE ESCAVAÇÃO, CARGA E TRANSPORTE E SOLO. AF_09/2024</v>
          </cell>
          <cell r="D946" t="str">
            <v>M3</v>
          </cell>
          <cell r="E946">
            <v>207.38</v>
          </cell>
          <cell r="F946">
            <v>0</v>
          </cell>
        </row>
        <row r="947">
          <cell r="B947">
            <v>105704</v>
          </cell>
          <cell r="C947" t="str">
            <v>RECONSTRUÇÃO DE BASE E SUB-BASE PARA PAVIMENTAÇÃO DE SOLO (PREDOMINANTEMENTE ARENOSO) BRITA - 50%-50% COM CIMENTO - 8%, MISTURA EM PISTA, COM ESPESSURA DE 20 CM - EXCLUSIVE ESCAVAÇÃO, CARGA E TRANSPORTE E SOLO. AF_09/2024</v>
          </cell>
          <cell r="D947" t="str">
            <v>M3</v>
          </cell>
          <cell r="E947">
            <v>201.67</v>
          </cell>
          <cell r="F947">
            <v>0</v>
          </cell>
        </row>
        <row r="948">
          <cell r="B948">
            <v>105677</v>
          </cell>
          <cell r="C948" t="str">
            <v>RECONSTRUÇÃO DE BASE E SUB-BASE PARA PAVIMENTAÇÃO DE SOLO (PREDOMINANTEMENTE ARENOSO) BRITA - 50%-50% COM CIMENTO - 8%, MISTURA EM USINA, COM ESPESSURA DE 10 CM - EXCLUSIVE CARGA E TRANSPORTE. AF_09/2024</v>
          </cell>
          <cell r="D948" t="str">
            <v>M3</v>
          </cell>
          <cell r="E948">
            <v>223.63</v>
          </cell>
          <cell r="F948">
            <v>0</v>
          </cell>
        </row>
        <row r="949">
          <cell r="B949">
            <v>105683</v>
          </cell>
          <cell r="C949" t="str">
            <v>RECONSTRUÇÃO DE BASE E SUB-BASE PARA PAVIMENTAÇÃO DE SOLO (PREDOMINANTEMENTE ARENOSO) BRITA - 50%-50% COM CIMENTO - 8%, MISTURA EM USINA, COM ESPESSURA DE 15 CM - EXCLUSIVE CARGA E TRANSPORTE. AF_09/2024</v>
          </cell>
          <cell r="D949" t="str">
            <v>M3</v>
          </cell>
          <cell r="E949">
            <v>218.43</v>
          </cell>
          <cell r="F949">
            <v>0</v>
          </cell>
        </row>
        <row r="950">
          <cell r="B950">
            <v>105689</v>
          </cell>
          <cell r="C950" t="str">
            <v>RECONSTRUÇÃO DE BASE E SUB-BASE PARA PAVIMENTAÇÃO DE SOLO (PREDOMINANTEMENTE ARENOSO) BRITA - 50%-50% COM CIMENTO - 8%, MISTURA EM USINA, COM ESPESSURA DE 20 CM - EXCLUSIVE CARGA E TRANSPORTE. AF_09/2024</v>
          </cell>
          <cell r="D950" t="str">
            <v>M3</v>
          </cell>
          <cell r="E950">
            <v>215.79</v>
          </cell>
          <cell r="F950">
            <v>0</v>
          </cell>
        </row>
        <row r="951">
          <cell r="B951">
            <v>105579</v>
          </cell>
          <cell r="C951" t="str">
            <v>RECONSTRUÇÃO DE BASE E SUB-BASE PARA PAVIMENTAÇÃO DE SOLO (PREDOMINANTEMENTE ARENOSO) BRITA - 50%-50%, MISTURA EM PISTA, COM ESPESSURA DE 10 CM - EXCLUSIVE ESCAVAÇÃO, CARGA E TRANSPORTE E SOLO. AF_09/2024</v>
          </cell>
          <cell r="D951" t="str">
            <v>M3</v>
          </cell>
          <cell r="E951">
            <v>102.74</v>
          </cell>
          <cell r="F951">
            <v>0</v>
          </cell>
        </row>
        <row r="952">
          <cell r="B952">
            <v>105580</v>
          </cell>
          <cell r="C952" t="str">
            <v>RECONSTRUÇÃO DE BASE E SUB-BASE PARA PAVIMENTAÇÃO DE SOLO (PREDOMINANTEMENTE ARENOSO) BRITA - 50%-50%, MISTURA EM PISTA, COM ESPESSURA DE 15 CM - EXCLUSIVE ESCAVAÇÃO, CARGA E TRANSPORTE E SOLO. AF_09/2024</v>
          </cell>
          <cell r="D952" t="str">
            <v>M3</v>
          </cell>
          <cell r="E952">
            <v>91.35</v>
          </cell>
          <cell r="F952">
            <v>0</v>
          </cell>
        </row>
        <row r="953">
          <cell r="B953">
            <v>105582</v>
          </cell>
          <cell r="C953" t="str">
            <v>RECONSTRUÇÃO DE BASE E SUB-BASE PARA PAVIMENTAÇÃO DE SOLO (PREDOMINANTEMENTE ARENOSO) BRITA - 50%-50%, MISTURA EM PISTA, COM ESPESSURA DE 20 CM - EXCLUSIVE ESCAVAÇÃO, CARGA E TRANSPORTE E SOLO. AF_09/2024</v>
          </cell>
          <cell r="D953" t="str">
            <v>M3</v>
          </cell>
          <cell r="E953">
            <v>85.64</v>
          </cell>
          <cell r="F953">
            <v>0</v>
          </cell>
        </row>
        <row r="954">
          <cell r="B954">
            <v>105638</v>
          </cell>
          <cell r="C954" t="str">
            <v>RECONSTRUÇÃO DE BASE E SUB-BASE PARA PAVIMENTAÇÃO DE SOLO (PREDOMINANTEMENTE ARENOSO) BRITA - 50%-50%, MISTURA EM USINA, COM ESPESSURA DE 10 CM - EXCLUSIVE CARGA E TRANSPORTE. AF_09/2024</v>
          </cell>
          <cell r="D954" t="str">
            <v>M3</v>
          </cell>
          <cell r="E954">
            <v>117.66</v>
          </cell>
          <cell r="F954">
            <v>0</v>
          </cell>
        </row>
        <row r="955">
          <cell r="B955">
            <v>105715</v>
          </cell>
          <cell r="C955" t="str">
            <v>RECONSTRUÇÃO DE BASE E SUB-BASE PARA PAVIMENTAÇÃO DE SOLO (PREDOMINANTEMENTE ARENOSO) BRITA - 50%-50%, MISTURA EM USINA, COM ESPESSURA DE 15 CM - EXCLUSIVE CARGA E TRANSPORTE. AF_09/2024</v>
          </cell>
          <cell r="D955" t="str">
            <v>M3</v>
          </cell>
          <cell r="E955">
            <v>112.46</v>
          </cell>
          <cell r="F955">
            <v>0</v>
          </cell>
        </row>
        <row r="956">
          <cell r="B956">
            <v>105717</v>
          </cell>
          <cell r="C956" t="str">
            <v>RECONSTRUÇÃO DE BASE E SUB-BASE PARA PAVIMENTAÇÃO DE SOLO (PREDOMINANTEMENTE ARENOSO) BRITA - 50%-50%, MISTURA EM USINA, COM ESPESSURA DE 20 CM - EXCLUSIVE CARGA E TRANSPORTE. AF_09/2024</v>
          </cell>
          <cell r="D956" t="str">
            <v>M3</v>
          </cell>
          <cell r="E956">
            <v>109.82</v>
          </cell>
          <cell r="F956">
            <v>0</v>
          </cell>
        </row>
        <row r="957">
          <cell r="B957">
            <v>105626</v>
          </cell>
          <cell r="C957" t="str">
            <v>RECONSTRUÇÃO DE BASE E SUB-BASE PARA PAVIMENTAÇÃO DE SOLO (PREDOMINANTEMENTE ARENOSO) COM CIMENTO - 6%, MISTURA EM PISTA, COM ESPESSURA DE 10 CM - EXCLUSIVE ESCAVAÇÃO, CARGA E TRANSPORTE E SOLO. AF_09/2024</v>
          </cell>
          <cell r="D957" t="str">
            <v>M3</v>
          </cell>
          <cell r="E957">
            <v>121.07</v>
          </cell>
          <cell r="F957">
            <v>0</v>
          </cell>
        </row>
        <row r="958">
          <cell r="B958">
            <v>105629</v>
          </cell>
          <cell r="C958" t="str">
            <v>RECONSTRUÇÃO DE BASE E SUB-BASE PARA PAVIMENTAÇÃO DE SOLO (PREDOMINANTEMENTE ARENOSO) COM CIMENTO - 6%, MISTURA EM PISTA, COM ESPESSURA DE 15 CM - EXCLUSIVE ESCAVAÇÃO, CARGA E TRANSPORTE E SOLO. AF_09/2024</v>
          </cell>
          <cell r="D958" t="str">
            <v>M3</v>
          </cell>
          <cell r="E958">
            <v>111.94</v>
          </cell>
          <cell r="F958">
            <v>0</v>
          </cell>
        </row>
        <row r="959">
          <cell r="B959">
            <v>105635</v>
          </cell>
          <cell r="C959" t="str">
            <v>RECONSTRUÇÃO DE BASE E SUB-BASE PARA PAVIMENTAÇÃO DE SOLO (PREDOMINANTEMENTE ARENOSO) COM CIMENTO - 6%, MISTURA EM PISTA, COM ESPESSURA DE 20 CM - EXCLUSIVE ESCAVAÇÃO, CARGA E TRANSPORTE E SOLO. AF_09/2024</v>
          </cell>
          <cell r="D959" t="str">
            <v>M3</v>
          </cell>
          <cell r="E959">
            <v>110.71</v>
          </cell>
          <cell r="F959">
            <v>0</v>
          </cell>
        </row>
        <row r="960">
          <cell r="B960">
            <v>105605</v>
          </cell>
          <cell r="C960" t="str">
            <v>RECONSTRUÇÃO DE BASE E SUB-BASE PARA PAVIMENTAÇÃO DE SOLO (PREDOMINANTEMENTE ARENOSO) COM CIMENTO - 6%, MISTURA EM USINA, COM ESPESSURA DE 10 CM - EXCLUSIVE CARGA E TRANSPORTE. AF_09/2024</v>
          </cell>
          <cell r="D960" t="str">
            <v>M3</v>
          </cell>
          <cell r="E960">
            <v>110.28</v>
          </cell>
          <cell r="F960">
            <v>0</v>
          </cell>
        </row>
        <row r="961">
          <cell r="B961">
            <v>105613</v>
          </cell>
          <cell r="C961" t="str">
            <v>RECONSTRUÇÃO DE BASE E SUB-BASE PARA PAVIMENTAÇÃO DE SOLO (PREDOMINANTEMENTE ARENOSO) COM CIMENTO - 6%, MISTURA EM USINA, COM ESPESSURA DE 15 CM - EXCLUSIVE CARGA E TRANSPORTE. AF_09/2024</v>
          </cell>
          <cell r="D961" t="str">
            <v>M3</v>
          </cell>
          <cell r="E961">
            <v>106.93</v>
          </cell>
          <cell r="F961">
            <v>0</v>
          </cell>
        </row>
        <row r="962">
          <cell r="B962">
            <v>105621</v>
          </cell>
          <cell r="C962" t="str">
            <v>RECONSTRUÇÃO DE BASE E SUB-BASE PARA PAVIMENTAÇÃO DE SOLO (PREDOMINANTEMENTE ARENOSO) COM CIMENTO - 6%, MISTURA EM USINA, COM ESPESSURA DE 20 CM - EXCLUSIVE CARGA E TRANSPORTE. AF_09/2024</v>
          </cell>
          <cell r="D962" t="str">
            <v>M3</v>
          </cell>
          <cell r="E962">
            <v>104.51</v>
          </cell>
          <cell r="F962">
            <v>0</v>
          </cell>
        </row>
        <row r="963">
          <cell r="B963">
            <v>105627</v>
          </cell>
          <cell r="C963" t="str">
            <v>RECONSTRUÇÃO DE BASE E SUB-BASE PARA PAVIMENTAÇÃO DE SOLO (PREDOMINANTEMENTE ARENOSO) COM CIMENTO - 8%, MISTURA EM PISTA, COM ESPESSURA DE 10 CM - EXCLUSIVE ESCAVAÇÃO, CARGA E TRANSPORTE E SOLO. AF_09/2024</v>
          </cell>
          <cell r="D963" t="str">
            <v>M3</v>
          </cell>
          <cell r="E963">
            <v>149.91999999999999</v>
          </cell>
          <cell r="F963">
            <v>0</v>
          </cell>
        </row>
        <row r="964">
          <cell r="B964">
            <v>105630</v>
          </cell>
          <cell r="C964" t="str">
            <v>RECONSTRUÇÃO DE BASE E SUB-BASE PARA PAVIMENTAÇÃO DE SOLO (PREDOMINANTEMENTE ARENOSO) COM CIMENTO - 8%, MISTURA EM PISTA, COM ESPESSURA DE 15 CM - EXCLUSIVE ESCAVAÇÃO, CARGA E TRANSPORTE E SOLO. AF_09/2024</v>
          </cell>
          <cell r="D964" t="str">
            <v>M3</v>
          </cell>
          <cell r="E964">
            <v>140.79</v>
          </cell>
          <cell r="F964">
            <v>0</v>
          </cell>
        </row>
        <row r="965">
          <cell r="B965">
            <v>105636</v>
          </cell>
          <cell r="C965" t="str">
            <v>RECONSTRUÇÃO DE BASE E SUB-BASE PARA PAVIMENTAÇÃO DE SOLO (PREDOMINANTEMENTE ARENOSO) COM CIMENTO - 8%, MISTURA EM PISTA, COM ESPESSURA DE 20 CM - EXCLUSIVE ESCAVAÇÃO, CARGA E TRANSPORTE E SOLO. AF_09/2024</v>
          </cell>
          <cell r="D965" t="str">
            <v>M3</v>
          </cell>
          <cell r="E965">
            <v>139.56</v>
          </cell>
          <cell r="F965">
            <v>0</v>
          </cell>
        </row>
        <row r="966">
          <cell r="B966">
            <v>105606</v>
          </cell>
          <cell r="C966" t="str">
            <v>RECONSTRUÇÃO DE BASE E SUB-BASE PARA PAVIMENTAÇÃO DE SOLO (PREDOMINANTEMENTE ARENOSO) COM CIMENTO - 8%, MISTURA EM USINA, COM ESPESSURA DE 10 CM - EXCLUSIVE CARGA E TRANSPORTE. AF_09/2024</v>
          </cell>
          <cell r="D966" t="str">
            <v>M3</v>
          </cell>
          <cell r="E966">
            <v>138.4</v>
          </cell>
          <cell r="F966">
            <v>0</v>
          </cell>
        </row>
        <row r="967">
          <cell r="B967">
            <v>105614</v>
          </cell>
          <cell r="C967" t="str">
            <v>RECONSTRUÇÃO DE BASE E SUB-BASE PARA PAVIMENTAÇÃO DE SOLO (PREDOMINANTEMENTE ARENOSO) COM CIMENTO - 8%, MISTURA EM USINA, COM ESPESSURA DE 15 CM - EXCLUSIVE CARGA E TRANSPORTE. AF_09/2024</v>
          </cell>
          <cell r="D967" t="str">
            <v>M3</v>
          </cell>
          <cell r="E967">
            <v>135.05000000000001</v>
          </cell>
          <cell r="F967">
            <v>0</v>
          </cell>
        </row>
        <row r="968">
          <cell r="B968">
            <v>105622</v>
          </cell>
          <cell r="C968" t="str">
            <v>RECONSTRUÇÃO DE BASE E SUB-BASE PARA PAVIMENTAÇÃO DE SOLO (PREDOMINANTEMENTE ARENOSO) COM CIMENTO - 8%, MISTURA EM USINA, COM ESPESSURA DE 20 CM - EXCLUSIVE CARGA E TRANSPORTE. AF_09/2024</v>
          </cell>
          <cell r="D968" t="str">
            <v>M3</v>
          </cell>
          <cell r="E968">
            <v>132.63</v>
          </cell>
          <cell r="F968">
            <v>0</v>
          </cell>
        </row>
        <row r="969">
          <cell r="B969">
            <v>105572</v>
          </cell>
          <cell r="C969" t="str">
            <v>RECONSTRUÇÃO DE BASE E SUB-BASE PARA PAVIMENTAÇÃO DE SOLO (PREDOMINANTEMENTE ARENOSO) MELHORADO COM CIMENTO - 2%, MISTURA EM PISTA, COM ESPESSURA DE 10 CM - EXCLUSIVE ESCAVAÇÃO, CARGA E TRANSPORTE E SOLO. AF_09/2024</v>
          </cell>
          <cell r="D969" t="str">
            <v>M3</v>
          </cell>
          <cell r="E969">
            <v>61.78</v>
          </cell>
          <cell r="F969">
            <v>0</v>
          </cell>
        </row>
        <row r="970">
          <cell r="B970">
            <v>105574</v>
          </cell>
          <cell r="C970" t="str">
            <v>RECONSTRUÇÃO DE BASE E SUB-BASE PARA PAVIMENTAÇÃO DE SOLO (PREDOMINANTEMENTE ARENOSO) MELHORADO COM CIMENTO - 2%, MISTURA EM PISTA, COM ESPESSURA DE 15 CM - EXCLUSIVE ESCAVAÇÃO, CARGA E TRANSPORTE E SOLO. AF_09/2024</v>
          </cell>
          <cell r="D970" t="str">
            <v>M3</v>
          </cell>
          <cell r="E970">
            <v>52.65</v>
          </cell>
          <cell r="F970">
            <v>0</v>
          </cell>
        </row>
        <row r="971">
          <cell r="B971">
            <v>105576</v>
          </cell>
          <cell r="C971" t="str">
            <v>RECONSTRUÇÃO DE BASE E SUB-BASE PARA PAVIMENTAÇÃO DE SOLO (PREDOMINANTEMENTE ARENOSO) MELHORADO COM CIMENTO - 2%, MISTURA EM PISTA, COM ESPESSURA DE 20 CM - EXCLUSIVE ESCAVAÇÃO, CARGA E TRANSPORTE E SOLO. AF_09/2024</v>
          </cell>
          <cell r="D971" t="str">
            <v>M3</v>
          </cell>
          <cell r="E971">
            <v>51.42</v>
          </cell>
          <cell r="F971">
            <v>0</v>
          </cell>
        </row>
        <row r="972">
          <cell r="B972">
            <v>105603</v>
          </cell>
          <cell r="C972" t="str">
            <v>RECONSTRUÇÃO DE BASE E SUB-BASE PARA PAVIMENTAÇÃO DE SOLO (PREDOMINANTEMENTE ARENOSO) MELHORADO COM CIMENTO - 2%, MISTURA EM USINA, COM ESPESSURA DE 10 CM - EXCLUSIVE CARGA E TRANSPORTE. AF_09/2024</v>
          </cell>
          <cell r="D972" t="str">
            <v>M3</v>
          </cell>
          <cell r="E972">
            <v>54.04</v>
          </cell>
          <cell r="F972">
            <v>0</v>
          </cell>
        </row>
        <row r="973">
          <cell r="B973">
            <v>105611</v>
          </cell>
          <cell r="C973" t="str">
            <v>RECONSTRUÇÃO DE BASE E SUB-BASE PARA PAVIMENTAÇÃO DE SOLO (PREDOMINANTEMENTE ARENOSO) MELHORADO COM CIMENTO - 2%, MISTURA EM USINA, COM ESPESSURA DE 15 CM - EXCLUSIVE CARGA E TRANSPORTE. AF_09/2024</v>
          </cell>
          <cell r="D973" t="str">
            <v>M3</v>
          </cell>
          <cell r="E973">
            <v>50.69</v>
          </cell>
          <cell r="F973">
            <v>0</v>
          </cell>
        </row>
        <row r="974">
          <cell r="B974">
            <v>105619</v>
          </cell>
          <cell r="C974" t="str">
            <v>RECONSTRUÇÃO DE BASE E SUB-BASE PARA PAVIMENTAÇÃO DE SOLO (PREDOMINANTEMENTE ARENOSO) MELHORADO COM CIMENTO - 2%, MISTURA EM USINA, COM ESPESSURA DE 20 CM - EXCLUSIVE CARGA E TRANSPORTE. AF_09/2024</v>
          </cell>
          <cell r="D974" t="str">
            <v>M3</v>
          </cell>
          <cell r="E974">
            <v>48.27</v>
          </cell>
          <cell r="F974">
            <v>0</v>
          </cell>
        </row>
        <row r="975">
          <cell r="B975">
            <v>105573</v>
          </cell>
          <cell r="C975" t="str">
            <v>RECONSTRUÇÃO DE BASE E SUB-BASE PARA PAVIMENTAÇÃO DE SOLO (PREDOMINANTEMENTE ARENOSO) MELHORADO COM CIMENTO - 4%, MISTURA EM PISTA, COM ESPESSURA DE 10 CM - EXCLUSIVE ESCAVAÇÃO, CARGA E TRANSPORTE E SOLO. AF_09/2024</v>
          </cell>
          <cell r="D975" t="str">
            <v>M3</v>
          </cell>
          <cell r="E975">
            <v>91.83</v>
          </cell>
          <cell r="F975">
            <v>0</v>
          </cell>
        </row>
        <row r="976">
          <cell r="B976">
            <v>105628</v>
          </cell>
          <cell r="C976" t="str">
            <v>RECONSTRUÇÃO DE BASE E SUB-BASE PARA PAVIMENTAÇÃO DE SOLO (PREDOMINANTEMENTE ARENOSO) MELHORADO COM CIMENTO - 4%, MISTURA EM PISTA, COM ESPESSURA DE 15 CM - EXCLUSIVE ESCAVAÇÃO, CARGA E TRANSPORTE E SOLO. AF_09/2024</v>
          </cell>
          <cell r="D976" t="str">
            <v>M3</v>
          </cell>
          <cell r="E976">
            <v>82.7</v>
          </cell>
          <cell r="F976">
            <v>0</v>
          </cell>
        </row>
        <row r="977">
          <cell r="B977">
            <v>105634</v>
          </cell>
          <cell r="C977" t="str">
            <v>RECONSTRUÇÃO DE BASE E SUB-BASE PARA PAVIMENTAÇÃO DE SOLO (PREDOMINANTEMENTE ARENOSO) MELHORADO COM CIMENTO - 4%, MISTURA EM PISTA, COM ESPESSURA DE 20 CM - EXCLUSIVE ESCAVAÇÃO, CARGA E TRANSPORTE E SOLO. AF_09/2024</v>
          </cell>
          <cell r="D977" t="str">
            <v>M3</v>
          </cell>
          <cell r="E977">
            <v>81.47</v>
          </cell>
          <cell r="F977">
            <v>0</v>
          </cell>
        </row>
        <row r="978">
          <cell r="B978">
            <v>105604</v>
          </cell>
          <cell r="C978" t="str">
            <v>RECONSTRUÇÃO DE BASE E SUB-BASE PARA PAVIMENTAÇÃO DE SOLO (PREDOMINANTEMENTE ARENOSO) MELHORADO COM CIMENTO - 4%, MISTURA EM USINA, COM ESPESSURA DE 10 CM - EXCLUSIVE CARGA E TRANSPORTE. AF_09/2024</v>
          </cell>
          <cell r="D978" t="str">
            <v>M3</v>
          </cell>
          <cell r="E978">
            <v>82.16</v>
          </cell>
          <cell r="F978">
            <v>0</v>
          </cell>
        </row>
        <row r="979">
          <cell r="B979">
            <v>105612</v>
          </cell>
          <cell r="C979" t="str">
            <v>RECONSTRUÇÃO DE BASE E SUB-BASE PARA PAVIMENTAÇÃO DE SOLO (PREDOMINANTEMENTE ARENOSO) MELHORADO COM CIMENTO - 4%, MISTURA EM USINA, COM ESPESSURA DE 15 CM - EXCLUSIVE CARGA E TRANSPORTE. AF_09/2024</v>
          </cell>
          <cell r="D979" t="str">
            <v>M3</v>
          </cell>
          <cell r="E979">
            <v>78.81</v>
          </cell>
          <cell r="F979">
            <v>0</v>
          </cell>
        </row>
        <row r="980">
          <cell r="B980">
            <v>105620</v>
          </cell>
          <cell r="C980" t="str">
            <v>RECONSTRUÇÃO DE BASE E SUB-BASE PARA PAVIMENTAÇÃO DE SOLO (PREDOMINANTEMENTE ARENOSO) MELHORADO COM CIMENTO - 4%, MISTURA EM USINA, COM ESPESSURA DE 20 CM - EXCLUSIVE CARGA E TRANSPORTE. AF_09/2024</v>
          </cell>
          <cell r="D980" t="str">
            <v>M3</v>
          </cell>
          <cell r="E980">
            <v>76.39</v>
          </cell>
          <cell r="F980">
            <v>0</v>
          </cell>
        </row>
        <row r="981">
          <cell r="B981">
            <v>105586</v>
          </cell>
          <cell r="C981" t="str">
            <v>RECONSTRUÇÃO DE BASE E SUB-BASE PARA PAVIMENTAÇÃO DE SOLO (PREDOMINANTEMENTE ARGILOSO) BRITA - 40%-60%, MISTURA EM PISTA, COM ESPESSURA DE 10 CM - EXCLUSIVE ESCAVAÇÃO, CARGA E TRANSPORTE E SOLO. AF_09/2024</v>
          </cell>
          <cell r="D981" t="str">
            <v>M3</v>
          </cell>
          <cell r="E981">
            <v>126.55</v>
          </cell>
          <cell r="F981">
            <v>0</v>
          </cell>
        </row>
        <row r="982">
          <cell r="B982">
            <v>105587</v>
          </cell>
          <cell r="C982" t="str">
            <v>RECONSTRUÇÃO DE BASE E SUB-BASE PARA PAVIMENTAÇÃO DE SOLO (PREDOMINANTEMENTE ARGILOSO) BRITA - 40%-60%, MISTURA EM PISTA, COM ESPESSURA DE 15 CM - EXCLUSIVE ESCAVAÇÃO, CARGA E TRANSPORTE E SOLO. AF_09/2024</v>
          </cell>
          <cell r="D982" t="str">
            <v>M3</v>
          </cell>
          <cell r="E982">
            <v>110.81</v>
          </cell>
          <cell r="F982">
            <v>0</v>
          </cell>
        </row>
        <row r="983">
          <cell r="B983">
            <v>105589</v>
          </cell>
          <cell r="C983" t="str">
            <v>RECONSTRUÇÃO DE BASE E SUB-BASE PARA PAVIMENTAÇÃO DE SOLO (PREDOMINANTEMENTE ARGILOSO) BRITA - 40%-60%, MISTURA EM PISTA, COM ESPESSURA DE 20 CM - EXCLUSIVE ESCAVAÇÃO, CARGA E TRANSPORTE E SOLO. AF_09/2024</v>
          </cell>
          <cell r="D983" t="str">
            <v>M3</v>
          </cell>
          <cell r="E983">
            <v>109.4</v>
          </cell>
          <cell r="F983">
            <v>0</v>
          </cell>
        </row>
        <row r="984">
          <cell r="B984">
            <v>105584</v>
          </cell>
          <cell r="C984" t="str">
            <v>RECONSTRUÇÃO DE BASE E SUB-BASE PARA PAVIMENTAÇÃO DE SOLO (PREDOMINANTEMENTE ARGILOSO) BRITA - 40%-60%, MISTURA EM USINA, COM ESPESSURA DE 10 CM - EXCLUSIVE CARGA E TRANSPORTE. AF_09/2024</v>
          </cell>
          <cell r="D984" t="str">
            <v>M3</v>
          </cell>
          <cell r="E984">
            <v>143.53</v>
          </cell>
          <cell r="F984">
            <v>0</v>
          </cell>
        </row>
        <row r="985">
          <cell r="B985">
            <v>105720</v>
          </cell>
          <cell r="C985" t="str">
            <v>RECONSTRUÇÃO DE BASE E SUB-BASE PARA PAVIMENTAÇÃO DE SOLO (PREDOMINANTEMENTE ARGILOSO) BRITA - 40%-60%, MISTURA EM USINA, COM ESPESSURA DE 15 CM - EXCLUSIVE CARGA E TRANSPORTE. AF_09/2024</v>
          </cell>
          <cell r="D985" t="str">
            <v>M3</v>
          </cell>
          <cell r="E985">
            <v>135.12</v>
          </cell>
          <cell r="F985">
            <v>0</v>
          </cell>
        </row>
        <row r="986">
          <cell r="B986">
            <v>105722</v>
          </cell>
          <cell r="C986" t="str">
            <v>RECONSTRUÇÃO DE BASE E SUB-BASE PARA PAVIMENTAÇÃO DE SOLO (PREDOMINANTEMENTE ARGILOSO) BRITA - 40%-60%, MISTURA EM USINA, COM ESPESSURA DE 20 CM - EXCLUSIVE CARGA E TRANSPORTE. AF_09/2024</v>
          </cell>
          <cell r="D986" t="str">
            <v>M3</v>
          </cell>
          <cell r="E986">
            <v>135.66</v>
          </cell>
          <cell r="F986">
            <v>0</v>
          </cell>
        </row>
        <row r="987">
          <cell r="B987">
            <v>105593</v>
          </cell>
          <cell r="C987" t="str">
            <v>RECONSTRUÇÃO DE BASE E SUB-BASE PARA PAVIMENTAÇÃO DE SOLO (PREDOMINANTEMENTE ARGILOSO) BRITA - 50%-50%, MISTURA EM PISTA, COM ESPESSURA DE 10 CM - EXCLUSIVE ESCAVAÇÃO, CARGA E TRANSPORTE E SOLO. AF_09/2024</v>
          </cell>
          <cell r="D987" t="str">
            <v>M3</v>
          </cell>
          <cell r="E987">
            <v>115.85</v>
          </cell>
          <cell r="F987">
            <v>0</v>
          </cell>
        </row>
        <row r="988">
          <cell r="B988">
            <v>105594</v>
          </cell>
          <cell r="C988" t="str">
            <v>RECONSTRUÇÃO DE BASE E SUB-BASE PARA PAVIMENTAÇÃO DE SOLO (PREDOMINANTEMENTE ARGILOSO) BRITA - 50%-50%, MISTURA EM PISTA, COM ESPESSURA DE 15 CM - EXCLUSIVE ESCAVAÇÃO, CARGA E TRANSPORTE E SOLO. AF_09/2024</v>
          </cell>
          <cell r="D988" t="str">
            <v>M3</v>
          </cell>
          <cell r="E988">
            <v>100.11</v>
          </cell>
          <cell r="F988">
            <v>0</v>
          </cell>
        </row>
        <row r="989">
          <cell r="B989">
            <v>105596</v>
          </cell>
          <cell r="C989" t="str">
            <v>RECONSTRUÇÃO DE BASE E SUB-BASE PARA PAVIMENTAÇÃO DE SOLO (PREDOMINANTEMENTE ARGILOSO) BRITA - 50%-50%, MISTURA EM PISTA, COM ESPESSURA DE 20 CM - EXCLUSIVE ESCAVAÇÃO, CARGA E TRANSPORTE E SOLO. AF_09/2024</v>
          </cell>
          <cell r="D989" t="str">
            <v>M3</v>
          </cell>
          <cell r="E989">
            <v>98.7</v>
          </cell>
          <cell r="F989">
            <v>0</v>
          </cell>
        </row>
        <row r="990">
          <cell r="B990">
            <v>105591</v>
          </cell>
          <cell r="C990" t="str">
            <v>RECONSTRUÇÃO DE BASE E SUB-BASE PARA PAVIMENTAÇÃO DE SOLO (PREDOMINANTEMENTE ARGILOSO) BRITA - 50%-50%, MISTURA EM USINA, COM ESPESSURA DE 10 CM - EXCLUSIVE CARGA E TRANSPORTE. AF_09/2024</v>
          </cell>
          <cell r="D990" t="str">
            <v>M3</v>
          </cell>
          <cell r="E990">
            <v>127.27</v>
          </cell>
          <cell r="F990">
            <v>0</v>
          </cell>
        </row>
        <row r="991">
          <cell r="B991">
            <v>105724</v>
          </cell>
          <cell r="C991" t="str">
            <v>RECONSTRUÇÃO DE BASE E SUB-BASE PARA PAVIMENTAÇÃO DE SOLO (PREDOMINANTEMENTE ARGILOSO) BRITA - 50%-50%, MISTURA EM USINA, COM ESPESSURA DE 15 CM - EXCLUSIVE CARGA E TRANSPORTE. AF_09/2024</v>
          </cell>
          <cell r="D991" t="str">
            <v>M3</v>
          </cell>
          <cell r="E991">
            <v>118.86</v>
          </cell>
          <cell r="F991">
            <v>0</v>
          </cell>
        </row>
        <row r="992">
          <cell r="B992">
            <v>105726</v>
          </cell>
          <cell r="C992" t="str">
            <v>RECONSTRUÇÃO DE BASE E SUB-BASE PARA PAVIMENTAÇÃO DE SOLO (PREDOMINANTEMENTE ARGILOSO) BRITA - 50%-50%, MISTURA EM USINA, COM ESPESSURA DE 20 CM - EXCLUSIVE CARGA E TRANSPORTE. AF_09/2024</v>
          </cell>
          <cell r="D992" t="str">
            <v>M3</v>
          </cell>
          <cell r="E992">
            <v>119.4</v>
          </cell>
          <cell r="F992">
            <v>0</v>
          </cell>
        </row>
        <row r="993">
          <cell r="B993">
            <v>105567</v>
          </cell>
          <cell r="C993" t="str">
            <v>RECONSTRUÇÃO DE BASE E SUB-BASE PARA PAVIMENTAÇÃO DE SOLO DE COMPORTAMENTO LATERÍTICO (ARENOSO), COM ESPESSURA DE 10 CM - EXCLUSIVE ESCAVAÇÃO, CARGA E TRANSPORTE E SOLO. AF_09/2024</v>
          </cell>
          <cell r="D993" t="str">
            <v>M3</v>
          </cell>
          <cell r="E993">
            <v>16.43</v>
          </cell>
          <cell r="F993">
            <v>0</v>
          </cell>
        </row>
        <row r="994">
          <cell r="B994">
            <v>105568</v>
          </cell>
          <cell r="C994" t="str">
            <v>RECONSTRUÇÃO DE BASE E SUB-BASE PARA PAVIMENTAÇÃO DE SOLO DE COMPORTAMENTO LATERÍTICO (ARENOSO), COM ESPESSURA DE 15 CM - EXCLUSIVE ESCAVAÇÃO, CARGA E TRANSPORTE E SOLO. AF_09/2024</v>
          </cell>
          <cell r="D994" t="str">
            <v>M3</v>
          </cell>
          <cell r="E994">
            <v>13.08</v>
          </cell>
          <cell r="F994">
            <v>0</v>
          </cell>
        </row>
        <row r="995">
          <cell r="B995">
            <v>105570</v>
          </cell>
          <cell r="C995" t="str">
            <v>RECONSTRUÇÃO DE BASE E SUB-BASE PARA PAVIMENTAÇÃO DE SOLO DE COMPORTAMENTO LATERÍTICO (ARENOSO), COM ESPESSURA DE 20 CM - EXCLUSIVE ESCAVAÇÃO, CARGA E TRANSPORTE E SOLO. AF_09/2024</v>
          </cell>
          <cell r="D995" t="str">
            <v>M3</v>
          </cell>
          <cell r="E995">
            <v>10.77</v>
          </cell>
          <cell r="F995">
            <v>0</v>
          </cell>
        </row>
        <row r="996">
          <cell r="B996">
            <v>100575</v>
          </cell>
          <cell r="C996" t="str">
            <v>REGULARIZAÇÃO DE SUPERFÍCIES COM MOTONIVELADORA. AF_09/2024</v>
          </cell>
          <cell r="D996" t="str">
            <v>M2</v>
          </cell>
          <cell r="E996">
            <v>0.66</v>
          </cell>
          <cell r="F996">
            <v>0</v>
          </cell>
        </row>
        <row r="997">
          <cell r="B997">
            <v>100577</v>
          </cell>
          <cell r="C997" t="str">
            <v>REGULARIZAÇÃO E COMPACTAÇÃO DE SUBLEITO DE SOLO PREDOMINANTEMENTE ARENOSO, PARA OBRAS DE CONSTRUÇÃO DE PAVIMENTOS. AF_09/2024</v>
          </cell>
          <cell r="D997" t="str">
            <v>M2</v>
          </cell>
          <cell r="E997">
            <v>1.58</v>
          </cell>
          <cell r="F997">
            <v>0</v>
          </cell>
        </row>
        <row r="998">
          <cell r="B998">
            <v>105598</v>
          </cell>
          <cell r="C998" t="str">
            <v>REGULARIZAÇÃO E COMPACTAÇÃO DE SUBLEITO DE SOLO PREDOMINANTEMENTE ARENOSO, PARA OBRAS DE RECONSTRUÇÃO DE PAVIMENTOS. AF_09/2024</v>
          </cell>
          <cell r="D998" t="str">
            <v>M2</v>
          </cell>
          <cell r="E998">
            <v>2.13</v>
          </cell>
          <cell r="F998">
            <v>0</v>
          </cell>
        </row>
        <row r="999">
          <cell r="B999">
            <v>100576</v>
          </cell>
          <cell r="C999" t="str">
            <v>REGULARIZAÇÃO E COMPACTAÇÃO DE SUBLEITO DE SOLO PREDOMINANTEMENTE ARGILOSO, PARA OBRAS DE CONSTRUÇÃO DE PAVIMENTOS. AF_09/2024</v>
          </cell>
          <cell r="D999" t="str">
            <v>M2</v>
          </cell>
          <cell r="E999">
            <v>3.16</v>
          </cell>
          <cell r="F999">
            <v>0</v>
          </cell>
        </row>
        <row r="1000">
          <cell r="B1000">
            <v>105597</v>
          </cell>
          <cell r="C1000" t="str">
            <v>REGULARIZAÇÃO E COMPACTAÇÃO DE SUBLEITO DE SOLO PREDOMINANTEMENTE ARGILOSO, PARA OBRAS DE RECONSTRUÇÃO DE PAVIMENTOS. AF_09/2024</v>
          </cell>
          <cell r="D1000" t="str">
            <v>M2</v>
          </cell>
          <cell r="E1000">
            <v>4.34</v>
          </cell>
          <cell r="F1000">
            <v>0</v>
          </cell>
        </row>
        <row r="1001">
          <cell r="B1001">
            <v>102730</v>
          </cell>
          <cell r="C1001" t="str">
            <v>ARMAÇÃO DE MURO ALA E MURO TESTA UTILIZANDO AÇO CA-50 DE 10 MM - MONTAGEM. AF_07/2021</v>
          </cell>
          <cell r="D1001" t="str">
            <v>KG</v>
          </cell>
          <cell r="E1001">
            <v>10.66</v>
          </cell>
          <cell r="F1001">
            <v>0</v>
          </cell>
        </row>
        <row r="1002">
          <cell r="B1002">
            <v>102731</v>
          </cell>
          <cell r="C1002" t="str">
            <v>ARMAÇÃO DE MURO ALA E MURO TESTA UTILIZANDO AÇO CA-50 DE 12,5 MM - MONTAGEM. AF_07/2021</v>
          </cell>
          <cell r="D1002" t="str">
            <v>KG</v>
          </cell>
          <cell r="E1002">
            <v>8.81</v>
          </cell>
          <cell r="F1002">
            <v>0</v>
          </cell>
        </row>
        <row r="1003">
          <cell r="B1003">
            <v>102732</v>
          </cell>
          <cell r="C1003" t="str">
            <v>ARMAÇÃO DE MURO ALA E MURO TESTA UTILIZANDO AÇO CA-50 DE 16 MM - MONTAGEM. AF_07/2021</v>
          </cell>
          <cell r="D1003" t="str">
            <v>KG</v>
          </cell>
          <cell r="E1003">
            <v>8.01</v>
          </cell>
          <cell r="F1003">
            <v>0</v>
          </cell>
        </row>
        <row r="1004">
          <cell r="B1004">
            <v>102733</v>
          </cell>
          <cell r="C1004" t="str">
            <v>ARMAÇÃO DE MURO ALA E MURO TESTA UTILIZANDO AÇO CA-50 DE 20 MM - MONTAGEM. AF_07/2021</v>
          </cell>
          <cell r="D1004" t="str">
            <v>KG</v>
          </cell>
          <cell r="E1004">
            <v>8.59</v>
          </cell>
          <cell r="F1004">
            <v>0</v>
          </cell>
        </row>
        <row r="1005">
          <cell r="B1005">
            <v>102728</v>
          </cell>
          <cell r="C1005" t="str">
            <v>ARMAÇÃO DE MURO ALA E MURO TESTA UTILIZANDO AÇO CA-50 DE 6,3 MM - MONTAGEM. AF_07/2021</v>
          </cell>
          <cell r="D1005" t="str">
            <v>KG</v>
          </cell>
          <cell r="E1005">
            <v>13.98</v>
          </cell>
          <cell r="F1005">
            <v>0</v>
          </cell>
        </row>
        <row r="1006">
          <cell r="B1006">
            <v>102729</v>
          </cell>
          <cell r="C1006" t="str">
            <v>ARMAÇÃO DE MURO ALA E MURO TESTA UTILIZANDO AÇO CA-50 DE 8 MM - MONTAGEM. AF_07/2021</v>
          </cell>
          <cell r="D1006" t="str">
            <v>KG</v>
          </cell>
          <cell r="E1006">
            <v>12.37</v>
          </cell>
          <cell r="F1006">
            <v>0</v>
          </cell>
        </row>
        <row r="1007">
          <cell r="B1007">
            <v>102734</v>
          </cell>
          <cell r="C1007" t="str">
            <v>ARMAÇÃO DE SOLEIRA UTILIZANDO AÇO CA-50 DE 6,3 MM - MONTAGEM. AF_07/2021</v>
          </cell>
          <cell r="D1007" t="str">
            <v>KG</v>
          </cell>
          <cell r="E1007">
            <v>12.67</v>
          </cell>
          <cell r="F1007">
            <v>0</v>
          </cell>
        </row>
        <row r="1008">
          <cell r="B1008">
            <v>102735</v>
          </cell>
          <cell r="C1008" t="str">
            <v>ARMAÇÃO DE SOLEIRA UTILIZANDO AÇO CA-50 DE 8 MM - MONTAGEM. AF_07/2021</v>
          </cell>
          <cell r="D1008" t="str">
            <v>KG</v>
          </cell>
          <cell r="E1008">
            <v>11.26</v>
          </cell>
          <cell r="F1008">
            <v>0</v>
          </cell>
        </row>
        <row r="1009">
          <cell r="B1009">
            <v>102765</v>
          </cell>
          <cell r="C1009" t="str">
            <v>BOCA PARA BUEIRO DUPLO CELULAR 150 X 150 CM EM CONCRETO, ALAS COM ESCONSIDADE DE 30°, INCLUINDO FÔRMAS E MATERIAIS. AF_07/2021</v>
          </cell>
          <cell r="D1009" t="str">
            <v>UN</v>
          </cell>
          <cell r="E1009">
            <v>15663.8</v>
          </cell>
          <cell r="F1009">
            <v>0</v>
          </cell>
        </row>
        <row r="1010">
          <cell r="B1010">
            <v>102795</v>
          </cell>
          <cell r="C1010" t="str">
            <v>BOCA PARA BUEIRO DUPLO CELULAR 150 X 150 CM EM GABIÃO, ALAS COM ESCONSIDADE DE 45°, INCLUINDO FÔRMAS E MATERIAIS. AF_07/2021</v>
          </cell>
          <cell r="D1010" t="str">
            <v>UN</v>
          </cell>
          <cell r="E1010">
            <v>32733.5</v>
          </cell>
          <cell r="F1010">
            <v>0</v>
          </cell>
        </row>
        <row r="1011">
          <cell r="B1011">
            <v>102766</v>
          </cell>
          <cell r="C1011" t="str">
            <v>BOCA PARA BUEIRO DUPLO CELULAR 200 X 200 CM EM CONCRETO, ALAS COM ESCONSIDADE DE 30°, INCLUINDO FÔRMAS E MATERIAIS. AF_07/2021</v>
          </cell>
          <cell r="D1011" t="str">
            <v>UN</v>
          </cell>
          <cell r="E1011">
            <v>23316.63</v>
          </cell>
          <cell r="F1011">
            <v>0</v>
          </cell>
        </row>
        <row r="1012">
          <cell r="B1012">
            <v>102796</v>
          </cell>
          <cell r="C1012" t="str">
            <v>BOCA PARA BUEIRO DUPLO CELULAR 200 X 200 CM EM GABIÃO, ALAS COM ESCONSIDADE DE 45°, INCLUINDO FÔRMAS E MATERIAIS. AF_07/2021</v>
          </cell>
          <cell r="D1012" t="str">
            <v>UN</v>
          </cell>
          <cell r="E1012">
            <v>52444.94</v>
          </cell>
          <cell r="F1012">
            <v>0</v>
          </cell>
        </row>
        <row r="1013">
          <cell r="B1013">
            <v>102767</v>
          </cell>
          <cell r="C1013" t="str">
            <v>BOCA PARA BUEIRO DUPLO CELULAR 250 X 250 CM EM CONCRETO, ALAS COM ESCONSIDADE DE 30°, INCLUINDO FÔRMAS E MATERIAIS. AF_07/2021</v>
          </cell>
          <cell r="D1013" t="str">
            <v>UN</v>
          </cell>
          <cell r="E1013">
            <v>32395.13</v>
          </cell>
          <cell r="F1013">
            <v>0</v>
          </cell>
        </row>
        <row r="1014">
          <cell r="B1014">
            <v>102797</v>
          </cell>
          <cell r="C1014" t="str">
            <v>BOCA PARA BUEIRO DUPLO CELULAR 250 X 250 CM EM GABIÃO, ALAS COM ESCONSIDADE DE 45°, INCLUINDO FÔRMAS E MATERIAIS. AF_07/2021</v>
          </cell>
          <cell r="D1014" t="str">
            <v>UN</v>
          </cell>
          <cell r="E1014">
            <v>74216.56</v>
          </cell>
          <cell r="F1014">
            <v>0</v>
          </cell>
        </row>
        <row r="1015">
          <cell r="B1015">
            <v>102768</v>
          </cell>
          <cell r="C1015" t="str">
            <v>BOCA PARA BUEIRO DUPLO CELULAR 300 X 300 CM EM CONCRETO, ALAS COM ESCONSIDADE DE 30°, INCLUINDO FÔRMAS E MATERIAIS. AF_07/2021</v>
          </cell>
          <cell r="D1015" t="str">
            <v>UN</v>
          </cell>
          <cell r="E1015">
            <v>44749.79</v>
          </cell>
          <cell r="F1015">
            <v>0</v>
          </cell>
        </row>
        <row r="1016">
          <cell r="B1016">
            <v>102798</v>
          </cell>
          <cell r="C1016" t="str">
            <v>BOCA PARA BUEIRO DUPLO CELULAR 300 X 300 CM EM GABIÃO, ALAS COM ESCONSIDADE DE 45°, INCLUINDO FÔRMAS E MATERIAIS. AF_07/2021</v>
          </cell>
          <cell r="D1016" t="str">
            <v>UN</v>
          </cell>
          <cell r="E1016">
            <v>90628.42</v>
          </cell>
          <cell r="F1016">
            <v>0</v>
          </cell>
        </row>
        <row r="1017">
          <cell r="B1017">
            <v>102744</v>
          </cell>
          <cell r="C1017" t="str">
            <v>BOCA PARA BUEIRO DUPLO TUBULAR D = 100 CM EM CONCRETO, ALAS COM ESCONSIDADE DE 0°, INCLUINDO FÔRMAS E MATERIAIS. AF_07/2021</v>
          </cell>
          <cell r="D1017" t="str">
            <v>UN</v>
          </cell>
          <cell r="E1017">
            <v>6478.48</v>
          </cell>
          <cell r="F1017">
            <v>0</v>
          </cell>
        </row>
        <row r="1018">
          <cell r="B1018">
            <v>102755</v>
          </cell>
          <cell r="C1018" t="str">
            <v>BOCA PARA BUEIRO DUPLO TUBULAR D = 100 CM EM CONCRETO, ALAS COM ESCONSIDADE DE 30°, INCLUINDO FÔRMAS E MATERIAIS. AF_07/2021</v>
          </cell>
          <cell r="D1018" t="str">
            <v>UN</v>
          </cell>
          <cell r="E1018">
            <v>9925.82</v>
          </cell>
          <cell r="F1018">
            <v>0</v>
          </cell>
        </row>
        <row r="1019">
          <cell r="B1019">
            <v>102782</v>
          </cell>
          <cell r="C1019" t="str">
            <v>BOCA PARA BUEIRO DUPLO TUBULAR D = 100 CM EM GABIÃO, ALAS COM ESCONSIDADE DE 45°, INCLUINDO FÔRMAS E MATERIAIS. AF_07/2021</v>
          </cell>
          <cell r="D1019" t="str">
            <v>UN</v>
          </cell>
          <cell r="E1019">
            <v>15989.15</v>
          </cell>
          <cell r="F1019">
            <v>0</v>
          </cell>
        </row>
        <row r="1020">
          <cell r="B1020">
            <v>102745</v>
          </cell>
          <cell r="C1020" t="str">
            <v>BOCA PARA BUEIRO DUPLO TUBULAR D = 120 CM EM CONCRETO, ALAS COM ESCONSIDADE DE 0°, INCLUINDO FÔRMAS E MATERIAIS. AF_07/2021</v>
          </cell>
          <cell r="D1020" t="str">
            <v>UN</v>
          </cell>
          <cell r="E1020">
            <v>9064.68</v>
          </cell>
          <cell r="F1020">
            <v>0</v>
          </cell>
        </row>
        <row r="1021">
          <cell r="B1021">
            <v>102756</v>
          </cell>
          <cell r="C1021" t="str">
            <v>BOCA PARA BUEIRO DUPLO TUBULAR D = 120 CM EM CONCRETO, ALAS COM ESCONSIDADE DE 30°, INCLUINDO FÔRMAS E MATERIAIS. AF_07/2021</v>
          </cell>
          <cell r="D1021" t="str">
            <v>UN</v>
          </cell>
          <cell r="E1021">
            <v>14659.66</v>
          </cell>
          <cell r="F1021">
            <v>0</v>
          </cell>
        </row>
        <row r="1022">
          <cell r="B1022">
            <v>102783</v>
          </cell>
          <cell r="C1022" t="str">
            <v>BOCA PARA BUEIRO DUPLO TUBULAR D = 120 CM EM GABIÃO, ALAS COM ESCONSIDADE DE 45°, INCLUINDO FÔRMAS E MATERIAIS. AF_07/2021</v>
          </cell>
          <cell r="D1022" t="str">
            <v>UN</v>
          </cell>
          <cell r="E1022">
            <v>21189.73</v>
          </cell>
          <cell r="F1022">
            <v>0</v>
          </cell>
        </row>
        <row r="1023">
          <cell r="B1023">
            <v>102746</v>
          </cell>
          <cell r="C1023" t="str">
            <v>BOCA PARA BUEIRO DUPLO TUBULAR D = 150 CM EM CONCRETO, ALAS COM ESCONSIDADE DE 0°, INCLUINDO FÔRMAS E MATERIAIS. AF_07/2021</v>
          </cell>
          <cell r="D1023" t="str">
            <v>UN</v>
          </cell>
          <cell r="E1023">
            <v>15643.29</v>
          </cell>
          <cell r="F1023">
            <v>0</v>
          </cell>
        </row>
        <row r="1024">
          <cell r="B1024">
            <v>102757</v>
          </cell>
          <cell r="C1024" t="str">
            <v>BOCA PARA BUEIRO DUPLO TUBULAR D = 150 CM EM CONCRETO, ALAS COM ESCONSIDADE DE 30°, INCLUINDO FÔRMAS E MATERIAIS. AF_07/2021</v>
          </cell>
          <cell r="D1024" t="str">
            <v>UN</v>
          </cell>
          <cell r="E1024">
            <v>27138.04</v>
          </cell>
          <cell r="F1024">
            <v>0</v>
          </cell>
        </row>
        <row r="1025">
          <cell r="B1025">
            <v>102784</v>
          </cell>
          <cell r="C1025" t="str">
            <v>BOCA PARA BUEIRO DUPLO TUBULAR D = 150 CM EM GABIÃO, ALAS COM ESCONSIDADE DE 45°, INCLUINDO FÔRMAS E MATERIAIS. AF_07/2021</v>
          </cell>
          <cell r="D1025" t="str">
            <v>UN</v>
          </cell>
          <cell r="E1025">
            <v>32130.15</v>
          </cell>
          <cell r="F1025">
            <v>0</v>
          </cell>
        </row>
        <row r="1026">
          <cell r="B1026">
            <v>102779</v>
          </cell>
          <cell r="C1026" t="str">
            <v>BOCA PARA BUEIRO DUPLO TUBULAR D = 40 CM EM GABIÃO, ALAS COM ESCONSIDADE DE 45°, INCLUINDO FÔRMAS E MATERIAIS. AF_07/2021</v>
          </cell>
          <cell r="D1026" t="str">
            <v>UN</v>
          </cell>
          <cell r="E1026">
            <v>8511.08</v>
          </cell>
          <cell r="F1026">
            <v>0</v>
          </cell>
        </row>
        <row r="1027">
          <cell r="B1027">
            <v>102780</v>
          </cell>
          <cell r="C1027" t="str">
            <v>BOCA PARA BUEIRO DUPLO TUBULAR D = 60 CM EM GABIÃO, ALAS COM ESCONSIDADE DE 45°, INCLUINDO FÔRMAS E MATERIAIS. AF_07/2021</v>
          </cell>
          <cell r="D1027" t="str">
            <v>UN</v>
          </cell>
          <cell r="E1027">
            <v>9797.25</v>
          </cell>
          <cell r="F1027">
            <v>0</v>
          </cell>
        </row>
        <row r="1028">
          <cell r="B1028">
            <v>102743</v>
          </cell>
          <cell r="C1028" t="str">
            <v>BOCA PARA BUEIRO DUPLO TUBULAR D = 80 CM EM CONCRETO, ALAS COM ESCONSIDADE DE 0°, INCLUINDO FÔRMAS E MATERIAIS. AF_07/2021</v>
          </cell>
          <cell r="D1028" t="str">
            <v>UN</v>
          </cell>
          <cell r="E1028">
            <v>4345.9399999999996</v>
          </cell>
          <cell r="F1028">
            <v>0</v>
          </cell>
        </row>
        <row r="1029">
          <cell r="B1029">
            <v>102781</v>
          </cell>
          <cell r="C1029" t="str">
            <v>BOCA PARA BUEIRO DUPLO TUBULAR D = 80 CM EM GABIÃO, ALAS COM ESCONSIDADE DE 45°, INCLUINDO FÔRMAS E MATERIAIS. AF_07/2021</v>
          </cell>
          <cell r="D1029" t="str">
            <v>UN</v>
          </cell>
          <cell r="E1029">
            <v>14477.76</v>
          </cell>
          <cell r="F1029">
            <v>0</v>
          </cell>
        </row>
        <row r="1030">
          <cell r="B1030">
            <v>102761</v>
          </cell>
          <cell r="C1030" t="str">
            <v>BOCA PARA BUEIRO SIMPLES CELULAR 150 X 150 CM EM CONCRETO, ALAS COM ESCONSIDADE DE 30°, INCLUINDO FÔRMAS E MATERIAIS. AF_07/2021</v>
          </cell>
          <cell r="D1030" t="str">
            <v>UN</v>
          </cell>
          <cell r="E1030">
            <v>12552.94</v>
          </cell>
          <cell r="F1030">
            <v>0</v>
          </cell>
        </row>
        <row r="1031">
          <cell r="B1031">
            <v>102791</v>
          </cell>
          <cell r="C1031" t="str">
            <v>BOCA PARA BUEIRO SIMPLES CELULAR 150 X 150 CM EM GABIÃO, ALAS COM ESCONSIDADE DE 45°, INCLUINDO FÔRMAS E MATERIAIS. AF_07/2021</v>
          </cell>
          <cell r="D1031" t="str">
            <v>UN</v>
          </cell>
          <cell r="E1031">
            <v>30645.37</v>
          </cell>
          <cell r="F1031">
            <v>0</v>
          </cell>
        </row>
        <row r="1032">
          <cell r="B1032">
            <v>102762</v>
          </cell>
          <cell r="C1032" t="str">
            <v>BOCA PARA BUEIRO SIMPLES CELULAR 200 X 200 CM EM CONCRETO, ALAS COM ESCONSIDADE DE 30°, INCLUINDO FÔRMAS E MATERIAIS. AF_07/2021</v>
          </cell>
          <cell r="D1032" t="str">
            <v>UN</v>
          </cell>
          <cell r="E1032">
            <v>19163.189999999999</v>
          </cell>
          <cell r="F1032">
            <v>0</v>
          </cell>
        </row>
        <row r="1033">
          <cell r="B1033">
            <v>102792</v>
          </cell>
          <cell r="C1033" t="str">
            <v>BOCA PARA BUEIRO SIMPLES CELULAR 200 X 200 CM EM GABIÃO, ALAS COM ESCONSIDADE DE 45°, INCLUINDO FÔRMAS E MATERIAIS. AF_07/2021</v>
          </cell>
          <cell r="D1033" t="str">
            <v>UN</v>
          </cell>
          <cell r="E1033">
            <v>49564.76</v>
          </cell>
          <cell r="F1033">
            <v>0</v>
          </cell>
        </row>
        <row r="1034">
          <cell r="B1034">
            <v>102763</v>
          </cell>
          <cell r="C1034" t="str">
            <v>BOCA PARA BUEIRO SIMPLES CELULAR 250 X 250 CM EM CONCRETO, ALAS COM ESCONSIDADE DE 30°, INCLUINDO FÔRMAS E MATERIAIS. AF_07/2021</v>
          </cell>
          <cell r="D1034" t="str">
            <v>UN</v>
          </cell>
          <cell r="E1034">
            <v>26489.82</v>
          </cell>
          <cell r="F1034">
            <v>0</v>
          </cell>
        </row>
        <row r="1035">
          <cell r="B1035">
            <v>102793</v>
          </cell>
          <cell r="C1035" t="str">
            <v>BOCA PARA BUEIRO SIMPLES CELULAR 250 X 250 CM EM GABIÃO, ALAS COM ESCONSIDADE DE 45°, INCLUINDO FÔRMAS E MATERIAIS. AF_07/2021</v>
          </cell>
          <cell r="D1035" t="str">
            <v>UN</v>
          </cell>
          <cell r="E1035">
            <v>66343.22</v>
          </cell>
          <cell r="F1035">
            <v>0</v>
          </cell>
        </row>
        <row r="1036">
          <cell r="B1036">
            <v>102764</v>
          </cell>
          <cell r="C1036" t="str">
            <v>BOCA PARA BUEIRO SIMPLES CELULAR 300 X 300 CM EM CONCRETO, ALAS COM ESCONSIDADE DE 30°, INCLUINDO FÔRMAS E MATERIAIS. AF_07/2021</v>
          </cell>
          <cell r="D1036" t="str">
            <v>UN</v>
          </cell>
          <cell r="E1036">
            <v>36937.370000000003</v>
          </cell>
          <cell r="F1036">
            <v>0</v>
          </cell>
        </row>
        <row r="1037">
          <cell r="B1037">
            <v>102794</v>
          </cell>
          <cell r="C1037" t="str">
            <v>BOCA PARA BUEIRO SIMPLES CELULAR 300 X 300 CM EM GABIÃO, ALAS COM ESCONSIDADE DE 45°, INCLUINDO FÔRMAS E MATERIAIS. AF_07/2021</v>
          </cell>
          <cell r="D1037" t="str">
            <v>UN</v>
          </cell>
          <cell r="E1037">
            <v>94734.49</v>
          </cell>
          <cell r="F1037">
            <v>0</v>
          </cell>
        </row>
        <row r="1038">
          <cell r="B1038">
            <v>102740</v>
          </cell>
          <cell r="C1038" t="str">
            <v>BOCA PARA BUEIRO SIMPLES TUBULAR D = 100 CM EM CONCRETO, ALAS COM ESCONSIDADE DE 0°, INCLUINDO FÔRMAS E MATERIAIS. AF_07/2021</v>
          </cell>
          <cell r="D1038" t="str">
            <v>UN</v>
          </cell>
          <cell r="E1038">
            <v>5343.16</v>
          </cell>
          <cell r="F1038">
            <v>0</v>
          </cell>
        </row>
        <row r="1039">
          <cell r="B1039">
            <v>102752</v>
          </cell>
          <cell r="C1039" t="str">
            <v>BOCA PARA BUEIRO SIMPLES TUBULAR D = 100 CM EM CONCRETO, ALAS COM ESCONSIDADE DE 30°, INCLUINDO FÔRMAS E MATERIAIS. AF_07/2021</v>
          </cell>
          <cell r="D1039" t="str">
            <v>UN</v>
          </cell>
          <cell r="E1039">
            <v>7125.86</v>
          </cell>
          <cell r="F1039">
            <v>0</v>
          </cell>
        </row>
        <row r="1040">
          <cell r="B1040">
            <v>102776</v>
          </cell>
          <cell r="C1040" t="str">
            <v>BOCA PARA BUEIRO SIMPLES TUBULAR D = 100 CM EM GABIÃO, ALAS COM ESCONSIDADE DE 45°, INCLUINDO FÔRMAS E MATERIAIS. AF_07/2021</v>
          </cell>
          <cell r="D1040" t="str">
            <v>UN</v>
          </cell>
          <cell r="E1040">
            <v>12671.54</v>
          </cell>
          <cell r="F1040">
            <v>0</v>
          </cell>
        </row>
        <row r="1041">
          <cell r="B1041">
            <v>102741</v>
          </cell>
          <cell r="C1041" t="str">
            <v>BOCA PARA BUEIRO SIMPLES TUBULAR D = 120 CM EM CONCRETO, ALAS COM ESCONSIDADE DE 0°, INCLUINDO FÔRMAS E MATERIAIS. AF_07/2021</v>
          </cell>
          <cell r="D1041" t="str">
            <v>UN</v>
          </cell>
          <cell r="E1041">
            <v>7467.74</v>
          </cell>
          <cell r="F1041">
            <v>0</v>
          </cell>
        </row>
        <row r="1042">
          <cell r="B1042">
            <v>102753</v>
          </cell>
          <cell r="C1042" t="str">
            <v>BOCA PARA BUEIRO SIMPLES TUBULAR D = 120 CM EM CONCRETO, ALAS COM ESCONSIDADE DE 30°, INCLUINDO FÔRMAS E MATERIAIS. AF_07/2021</v>
          </cell>
          <cell r="D1042" t="str">
            <v>UN</v>
          </cell>
          <cell r="E1042">
            <v>10491.88</v>
          </cell>
          <cell r="F1042">
            <v>0</v>
          </cell>
        </row>
        <row r="1043">
          <cell r="B1043">
            <v>102777</v>
          </cell>
          <cell r="C1043" t="str">
            <v>BOCA PARA BUEIRO SIMPLES TUBULAR D = 120 CM EM GABIÃO, ALAS COM ESCONSIDADE DE 45°, INCLUINDO FÔRMAS E MATERIAIS. AF_07/2021</v>
          </cell>
          <cell r="D1043" t="str">
            <v>UN</v>
          </cell>
          <cell r="E1043">
            <v>19158.28</v>
          </cell>
          <cell r="F1043">
            <v>0</v>
          </cell>
        </row>
        <row r="1044">
          <cell r="B1044">
            <v>102742</v>
          </cell>
          <cell r="C1044" t="str">
            <v>BOCA PARA BUEIRO SIMPLES TUBULAR D = 150 CM EM CONCRETO, ALAS COM ESCONSIDADE DE 0°, INCLUINDO FÔRMAS E MATERIAIS. AF_07/2021</v>
          </cell>
          <cell r="D1044" t="str">
            <v>UN</v>
          </cell>
          <cell r="E1044">
            <v>12875.24</v>
          </cell>
          <cell r="F1044">
            <v>0</v>
          </cell>
        </row>
        <row r="1045">
          <cell r="B1045">
            <v>102754</v>
          </cell>
          <cell r="C1045" t="str">
            <v>BOCA PARA BUEIRO SIMPLES TUBULAR D = 150 CM EM CONCRETO, ALAS COM ESCONSIDADE DE 30°, INCLUINDO FÔRMAS E MATERIAIS. AF_07/2021</v>
          </cell>
          <cell r="D1045" t="str">
            <v>UN</v>
          </cell>
          <cell r="E1045">
            <v>19847.939999999999</v>
          </cell>
          <cell r="F1045">
            <v>0</v>
          </cell>
        </row>
        <row r="1046">
          <cell r="B1046">
            <v>102778</v>
          </cell>
          <cell r="C1046" t="str">
            <v>BOCA PARA BUEIRO SIMPLES TUBULAR D = 150 CM EM GABIÃO, ALAS COM ESCONSIDADE DE 45°, INCLUINDO FÔRMAS E MATERIAIS. AF_07/2021</v>
          </cell>
          <cell r="D1046" t="str">
            <v>UN</v>
          </cell>
          <cell r="E1046">
            <v>27806.19</v>
          </cell>
          <cell r="F1046">
            <v>0</v>
          </cell>
        </row>
        <row r="1047">
          <cell r="B1047">
            <v>102737</v>
          </cell>
          <cell r="C1047" t="str">
            <v>BOCA PARA BUEIRO SIMPLES TUBULAR D = 40 CM EM CONCRETO, ALAS COM ESCONSIDADE DE 0°, INCLUINDO FÔRMAS E MATERIAIS. AF_07/2021</v>
          </cell>
          <cell r="D1047" t="str">
            <v>UN</v>
          </cell>
          <cell r="E1047">
            <v>1058.51</v>
          </cell>
          <cell r="F1047">
            <v>0</v>
          </cell>
        </row>
        <row r="1048">
          <cell r="B1048">
            <v>102773</v>
          </cell>
          <cell r="C1048" t="str">
            <v>BOCA PARA BUEIRO SIMPLES TUBULAR D = 40 CM EM GABIÃO, ALAS COM ESCONSIDADE DE 45°, INCLUINDO FÔRMAS E MATERIAIS. AF_07/2021</v>
          </cell>
          <cell r="D1048" t="str">
            <v>UN</v>
          </cell>
          <cell r="E1048">
            <v>8511.08</v>
          </cell>
          <cell r="F1048">
            <v>0</v>
          </cell>
        </row>
        <row r="1049">
          <cell r="B1049">
            <v>102738</v>
          </cell>
          <cell r="C1049" t="str">
            <v>BOCA PARA BUEIRO SIMPLES TUBULAR D = 60 CM EM CONCRETO, ALAS COM ESCONSIDADE DE 0°, INCLUINDO FÔRMAS E MATERIAIS. AF_07/2021</v>
          </cell>
          <cell r="D1049" t="str">
            <v>UN</v>
          </cell>
          <cell r="E1049">
            <v>2149.38</v>
          </cell>
          <cell r="F1049">
            <v>0</v>
          </cell>
        </row>
        <row r="1050">
          <cell r="B1050">
            <v>102750</v>
          </cell>
          <cell r="C1050" t="str">
            <v>BOCA PARA BUEIRO SIMPLES TUBULAR D = 60 CM EM CONCRETO, ALAS COM ESCONSIDADE DE 30°, INCLUINDO FÔRMAS E MATERIAIS. AF_07/2021</v>
          </cell>
          <cell r="D1050" t="str">
            <v>UN</v>
          </cell>
          <cell r="E1050">
            <v>2612.64</v>
          </cell>
          <cell r="F1050">
            <v>0</v>
          </cell>
        </row>
        <row r="1051">
          <cell r="B1051">
            <v>102774</v>
          </cell>
          <cell r="C1051" t="str">
            <v>BOCA PARA BUEIRO SIMPLES TUBULAR D = 60 CM EM GABIÃO, ALAS COM ESCONSIDADE DE 45°, INCLUINDO FÔRMAS E MATERIAIS. AF_07/2021</v>
          </cell>
          <cell r="D1051" t="str">
            <v>UN</v>
          </cell>
          <cell r="E1051">
            <v>8511.08</v>
          </cell>
          <cell r="F1051">
            <v>0</v>
          </cell>
        </row>
        <row r="1052">
          <cell r="B1052">
            <v>102739</v>
          </cell>
          <cell r="C1052" t="str">
            <v>BOCA PARA BUEIRO SIMPLES TUBULAR D = 80 CM EM CONCRETO, ALAS COM ESCONSIDADE DE 0°, INCLUINDO FÔRMAS E MATERIAIS. AF_07/2021</v>
          </cell>
          <cell r="D1052" t="str">
            <v>UN</v>
          </cell>
          <cell r="E1052">
            <v>3581.29</v>
          </cell>
          <cell r="F1052">
            <v>0</v>
          </cell>
        </row>
        <row r="1053">
          <cell r="B1053">
            <v>102751</v>
          </cell>
          <cell r="C1053" t="str">
            <v>BOCA PARA BUEIRO SIMPLES TUBULAR D = 80 CM EM CONCRETO, ALAS COM ESCONSIDADE DE 30°, INCLUINDO FÔRMAS E MATERIAIS. AF_07/2021</v>
          </cell>
          <cell r="D1053" t="str">
            <v>UN</v>
          </cell>
          <cell r="E1053">
            <v>4500.7</v>
          </cell>
          <cell r="F1053">
            <v>0</v>
          </cell>
        </row>
        <row r="1054">
          <cell r="B1054">
            <v>102775</v>
          </cell>
          <cell r="C1054" t="str">
            <v>BOCA PARA BUEIRO SIMPLES TUBULAR D = 80 CM EM GABIÃO, ALAS COM ESCONSIDADE DE 45°, INCLUINDO FÔRMAS E MATERIAIS. AF_07/2021</v>
          </cell>
          <cell r="D1054" t="str">
            <v>UN</v>
          </cell>
          <cell r="E1054">
            <v>12671.54</v>
          </cell>
          <cell r="F1054">
            <v>0</v>
          </cell>
        </row>
        <row r="1055">
          <cell r="B1055">
            <v>102769</v>
          </cell>
          <cell r="C1055" t="str">
            <v>BOCA PARA BUEIRO TRIPLO CELULAR 150 X 150 CM EM CONCRETO, ALAS COM ESCONSIDADE DE 30°, INCLUINDO FÔRMAS E MATERIAIS. AF_07/2021</v>
          </cell>
          <cell r="D1055" t="str">
            <v>UN</v>
          </cell>
          <cell r="E1055">
            <v>18096.28</v>
          </cell>
          <cell r="F1055">
            <v>0</v>
          </cell>
        </row>
        <row r="1056">
          <cell r="B1056">
            <v>102799</v>
          </cell>
          <cell r="C1056" t="str">
            <v>BOCA PARA BUEIRO TRIPLO CELULAR 150 X 150 CM EM GABIÃO, ALAS COM ESCONSIDADE DE 45°, INCLUINDO FÔRMAS E MATERIAIS. AF_07/2021</v>
          </cell>
          <cell r="D1056" t="str">
            <v>UN</v>
          </cell>
          <cell r="E1056">
            <v>33426.910000000003</v>
          </cell>
          <cell r="F1056">
            <v>0</v>
          </cell>
        </row>
        <row r="1057">
          <cell r="B1057">
            <v>102770</v>
          </cell>
          <cell r="C1057" t="str">
            <v>BOCA PARA BUEIRO TRIPLO CELULAR 200 X 200 CM EM CONCRETO, ALAS COM ESCONSIDADE DE 30°, INCLUINDO FÔRMAS E MATERIAIS. AF_07/2021</v>
          </cell>
          <cell r="D1057" t="str">
            <v>UN</v>
          </cell>
          <cell r="E1057">
            <v>27512.799999999999</v>
          </cell>
          <cell r="F1057">
            <v>0</v>
          </cell>
        </row>
        <row r="1058">
          <cell r="B1058">
            <v>102800</v>
          </cell>
          <cell r="C1058" t="str">
            <v>BOCA PARA BUEIRO TRIPLO CELULAR 200 X 200 CM EM GABIÃO, ALAS COM ESCONSIDADE DE 45°, INCLUINDO FÔRMAS E MATERIAIS. AF_07/2021</v>
          </cell>
          <cell r="D1058" t="str">
            <v>UN</v>
          </cell>
          <cell r="E1058">
            <v>57615.55</v>
          </cell>
          <cell r="F1058">
            <v>0</v>
          </cell>
        </row>
        <row r="1059">
          <cell r="B1059">
            <v>102771</v>
          </cell>
          <cell r="C1059" t="str">
            <v>BOCA PARA BUEIRO TRIPLO CELULAR 250 X 250 CM EM CONCRETO, ALAS COM ESCONSIDADE DE 30°, INCLUINDO FÔRMAS E MATERIAIS. AF_07/2021</v>
          </cell>
          <cell r="D1059" t="str">
            <v>UN</v>
          </cell>
          <cell r="E1059">
            <v>38210.28</v>
          </cell>
          <cell r="F1059">
            <v>0</v>
          </cell>
        </row>
        <row r="1060">
          <cell r="B1060">
            <v>102801</v>
          </cell>
          <cell r="C1060" t="str">
            <v>BOCA PARA BUEIRO TRIPLO CELULAR 250 X 250 CM EM GABIÃO, ALAS COM ESCONSIDADE DE 45°, INCLUINDO FÔRMAS E MATERIAIS. AF_07/2021</v>
          </cell>
          <cell r="D1060" t="str">
            <v>UN</v>
          </cell>
          <cell r="E1060">
            <v>80452.22</v>
          </cell>
          <cell r="F1060">
            <v>0</v>
          </cell>
        </row>
        <row r="1061">
          <cell r="B1061">
            <v>102772</v>
          </cell>
          <cell r="C1061" t="str">
            <v>BOCA PARA BUEIRO TRIPLO CELULAR 300 X 300 CM EM CONCRETO, ALAS COM ESCONSIDADE DE 30°, INCLUINDO FÔRMAS E MATERIAIS. AF_07/2021</v>
          </cell>
          <cell r="D1061" t="str">
            <v>UN</v>
          </cell>
          <cell r="E1061">
            <v>53050.39</v>
          </cell>
          <cell r="F1061">
            <v>0</v>
          </cell>
        </row>
        <row r="1062">
          <cell r="B1062">
            <v>102802</v>
          </cell>
          <cell r="C1062" t="str">
            <v>BOCA PARA BUEIRO TRIPLO CELULAR 300 X 300 CM EM GABIÃO, ALAS COM ESCONSIDADE DE 45°, INCLUINDO FÔRMAS E MATERIAIS. AF_07/2021</v>
          </cell>
          <cell r="D1062" t="str">
            <v>UN</v>
          </cell>
          <cell r="E1062">
            <v>96362.84</v>
          </cell>
          <cell r="F1062">
            <v>0</v>
          </cell>
        </row>
        <row r="1063">
          <cell r="B1063">
            <v>102747</v>
          </cell>
          <cell r="C1063" t="str">
            <v>BOCA PARA BUEIRO TRIPLO TUBULAR D = 100 CM EM CONCRETO, ALAS COM ESCONSIDADE DE 0°, INCLUINDO FÔRMAS E MATERIAIS. AF_07/2021</v>
          </cell>
          <cell r="D1063" t="str">
            <v>UN</v>
          </cell>
          <cell r="E1063">
            <v>8033.98</v>
          </cell>
          <cell r="F1063">
            <v>0</v>
          </cell>
        </row>
        <row r="1064">
          <cell r="B1064">
            <v>102758</v>
          </cell>
          <cell r="C1064" t="str">
            <v>BOCA PARA BUEIRO TRIPLO TUBULAR D = 100 CM EM CONCRETO, ALAS COM ESCONSIDADE DE 30°, INCLUINDO FÔRMAS E MATERIAIS. AF_07/2021</v>
          </cell>
          <cell r="D1064" t="str">
            <v>UN</v>
          </cell>
          <cell r="E1064">
            <v>12739.31</v>
          </cell>
          <cell r="F1064">
            <v>0</v>
          </cell>
        </row>
        <row r="1065">
          <cell r="B1065">
            <v>102788</v>
          </cell>
          <cell r="C1065" t="str">
            <v>BOCA PARA BUEIRO TRIPLO TUBULAR D = 100 CM EM GABIÃO, ALAS COM ESCONSIDADE DE 45°, INCLUINDO FÔRMAS E MATERIAIS. AF_07/2021</v>
          </cell>
          <cell r="D1065" t="str">
            <v>UN</v>
          </cell>
          <cell r="E1065">
            <v>17445.25</v>
          </cell>
          <cell r="F1065">
            <v>0</v>
          </cell>
        </row>
        <row r="1066">
          <cell r="B1066">
            <v>102748</v>
          </cell>
          <cell r="C1066" t="str">
            <v>BOCA PARA BUEIRO TRIPLO TUBULAR D = 120 CM EM CONCRETO, ALAS COM ESCONSIDADE DE 0°, INCLUINDO FÔRMAS E MATERIAIS. AF_07/2021</v>
          </cell>
          <cell r="D1066" t="str">
            <v>UN</v>
          </cell>
          <cell r="E1066">
            <v>11194.34</v>
          </cell>
          <cell r="F1066">
            <v>0</v>
          </cell>
        </row>
        <row r="1067">
          <cell r="B1067">
            <v>102759</v>
          </cell>
          <cell r="C1067" t="str">
            <v>BOCA PARA BUEIRO TRIPLO TUBULAR D = 120 CM EM CONCRETO, ALAS COM ESCONSIDADE DE 30°, INCLUINDO FÔRMAS E MATERIAIS. AF_07/2021</v>
          </cell>
          <cell r="D1067" t="str">
            <v>UN</v>
          </cell>
          <cell r="E1067">
            <v>18847.990000000002</v>
          </cell>
          <cell r="F1067">
            <v>0</v>
          </cell>
        </row>
        <row r="1068">
          <cell r="B1068">
            <v>102789</v>
          </cell>
          <cell r="C1068" t="str">
            <v>BOCA PARA BUEIRO TRIPLO TUBULAR D = 120 CM EM GABIÃO, ALAS COM ESCONSIDADE DE 45°, INCLUINDO FÔRMAS E MATERIAIS. AF_07/2021</v>
          </cell>
          <cell r="D1068" t="str">
            <v>UN</v>
          </cell>
          <cell r="E1068">
            <v>22889.48</v>
          </cell>
          <cell r="F1068">
            <v>0</v>
          </cell>
        </row>
        <row r="1069">
          <cell r="B1069">
            <v>102749</v>
          </cell>
          <cell r="C1069" t="str">
            <v>BOCA PARA BUEIRO TRIPLO TUBULAR D = 150 CM EM CONCRETO, ALAS COM ESCONSIDADE DE 0°, INCLUINDO FÔRMAS E MATERIAIS. AF_07/2021</v>
          </cell>
          <cell r="D1069" t="str">
            <v>UN</v>
          </cell>
          <cell r="E1069">
            <v>19134.38</v>
          </cell>
          <cell r="F1069">
            <v>0</v>
          </cell>
        </row>
        <row r="1070">
          <cell r="B1070">
            <v>102760</v>
          </cell>
          <cell r="C1070" t="str">
            <v>BOCA PARA BUEIRO TRIPLO TUBULAR D = 150 CM EM CONCRETO, ALAS COM ESCONSIDADE DE 30°, INCLUINDO FÔRMAS E MATERIAIS. AF_07/2021</v>
          </cell>
          <cell r="D1070" t="str">
            <v>UN</v>
          </cell>
          <cell r="E1070">
            <v>34571.449999999997</v>
          </cell>
          <cell r="F1070">
            <v>0</v>
          </cell>
        </row>
        <row r="1071">
          <cell r="B1071">
            <v>102790</v>
          </cell>
          <cell r="C1071" t="str">
            <v>BOCA PARA BUEIRO TRIPLO TUBULAR D = 150 CM EM GABIÃO, ALAS COM ESCONSIDADE DE 45°, INCLUINDO FÔRMAS E MATERIAIS. AF_07/2021</v>
          </cell>
          <cell r="D1071" t="str">
            <v>UN</v>
          </cell>
          <cell r="E1071">
            <v>37375.480000000003</v>
          </cell>
          <cell r="F1071">
            <v>0</v>
          </cell>
        </row>
        <row r="1072">
          <cell r="B1072">
            <v>102785</v>
          </cell>
          <cell r="C1072" t="str">
            <v>BOCA PARA BUEIRO TRIPLO TUBULAR D = 40 CM EM GABIÃO, ALAS COM ESCONSIDADE DE 45°, INCLUINDO FÔRMAS E MATERIAIS. AF_07/2021</v>
          </cell>
          <cell r="D1072" t="str">
            <v>UN</v>
          </cell>
          <cell r="E1072">
            <v>9797.25</v>
          </cell>
          <cell r="F1072">
            <v>0</v>
          </cell>
        </row>
        <row r="1073">
          <cell r="B1073">
            <v>102786</v>
          </cell>
          <cell r="C1073" t="str">
            <v>BOCA PARA BUEIRO TRIPLO TUBULAR D = 60 CM EM GABIÃO, ALAS COM ESCONSIDADE DE 45°, INCLUINDO FÔRMAS E MATERIAIS. AF_07/2021</v>
          </cell>
          <cell r="D1073" t="str">
            <v>UN</v>
          </cell>
          <cell r="E1073">
            <v>10788.58</v>
          </cell>
          <cell r="F1073">
            <v>0</v>
          </cell>
        </row>
        <row r="1074">
          <cell r="B1074">
            <v>102787</v>
          </cell>
          <cell r="C1074" t="str">
            <v>BOCA PARA BUEIRO TRIPLO TUBULAR D = 80 CM EM GABIÃO, ALAS COM ESCONSIDADE DE 45°, INCLUINDO FÔRMAS E MATERIAIS. AF_07/2021</v>
          </cell>
          <cell r="D1074" t="str">
            <v>UN</v>
          </cell>
          <cell r="E1074">
            <v>15989.15</v>
          </cell>
          <cell r="F1074">
            <v>0</v>
          </cell>
        </row>
        <row r="1075">
          <cell r="B1075">
            <v>102736</v>
          </cell>
          <cell r="C1075" t="str">
            <v>CONCRETAGEM DE BOCA PARA BUEIRO, FCK = 20 MPA, COM USO DE BOMBA - LANÇAMENTO, ADENSAMENTO E ACABAMENTO. AF_07/2021</v>
          </cell>
          <cell r="D1075" t="str">
            <v>M3</v>
          </cell>
          <cell r="E1075">
            <v>576.35</v>
          </cell>
          <cell r="F1075">
            <v>0</v>
          </cell>
        </row>
        <row r="1076">
          <cell r="B1076">
            <v>102727</v>
          </cell>
          <cell r="C1076" t="str">
            <v>FABRICAÇÃO, MONTAGEM E DESMONTAGEM DE FÔRMA PARA BOCA PARA BUEIRO, EM CHAPA DE MADEIRA COMPENSADA RESINADA, E = 17 MM, 2 UTILIZAÇÕES. AF_07/2021</v>
          </cell>
          <cell r="D1076" t="str">
            <v>M2</v>
          </cell>
          <cell r="E1076">
            <v>105.98</v>
          </cell>
          <cell r="F1076">
            <v>0</v>
          </cell>
        </row>
        <row r="1077">
          <cell r="B1077">
            <v>102111</v>
          </cell>
          <cell r="C1077" t="str">
            <v>BOMBA CENTRÍFUGA, MONOFÁSICA, 0,5 CV OU 0,49 HP, HM 6 A 20 M, Q 1,2 A 8,3 M3/H - FORNECIMENTO E INSTALAÇÃO. AF_11/2025_PS</v>
          </cell>
          <cell r="D1077" t="str">
            <v>UN</v>
          </cell>
          <cell r="E1077">
            <v>1017.82</v>
          </cell>
          <cell r="F1077">
            <v>0</v>
          </cell>
        </row>
        <row r="1078">
          <cell r="B1078">
            <v>102113</v>
          </cell>
          <cell r="C1078" t="str">
            <v>BOMBA CENTRÍFUGA, TRIFÁSICA, 1,0 CV OU 0,99 HP, HM 14 A 40 M, Q 0,6 A 8,4 M3/H - FORNECIMENTO E INSTALAÇÃO. AF_11/2025_PS</v>
          </cell>
          <cell r="D1078" t="str">
            <v>UN</v>
          </cell>
          <cell r="E1078">
            <v>1524.89</v>
          </cell>
          <cell r="F1078">
            <v>0</v>
          </cell>
        </row>
        <row r="1079">
          <cell r="B1079">
            <v>102116</v>
          </cell>
          <cell r="C1079" t="str">
            <v>BOMBA CENTRÍFUGA, TRIFÁSICA, 1,5 CV OU 1,48 HP, HM 10 A 24 M, Q 6,1 A 21,9 M3/H - FORNECIMENTO E INSTALAÇÃO. AF_11/2025_PS</v>
          </cell>
          <cell r="D1079" t="str">
            <v>UN</v>
          </cell>
          <cell r="E1079">
            <v>1619.73</v>
          </cell>
          <cell r="F1079">
            <v>0</v>
          </cell>
        </row>
        <row r="1080">
          <cell r="B1080">
            <v>102132</v>
          </cell>
          <cell r="C1080" t="str">
            <v>BOMBA CENTRÍFUGA, TRIFÁSICA, 1,5 CV OU 1,48 HP, HM 10 A 24 M, Q 6,1 A 21,9 M3/H, 2 UNIDADES, INCLUSO QUADRO ELÉTRICO - FORNECIMENTO E INSTALAÇÃO. AF_11/2025</v>
          </cell>
          <cell r="D1080" t="str">
            <v>UN</v>
          </cell>
          <cell r="E1080">
            <v>0</v>
          </cell>
        </row>
        <row r="1081">
          <cell r="B1081">
            <v>102115</v>
          </cell>
          <cell r="C1081" t="str">
            <v>BOMBA CENTRÍFUGA, TRIFÁSICA, 1,5 CV OU 1,48 HP, HM 10 A 70 M, Q 1,8 A 5,3 M3/H - FORNECIMENTO E INSTALAÇÃO. AF_11/2025_PS</v>
          </cell>
          <cell r="D1081" t="str">
            <v>UN</v>
          </cell>
          <cell r="E1081">
            <v>2492.42</v>
          </cell>
          <cell r="F1081">
            <v>0</v>
          </cell>
        </row>
        <row r="1082">
          <cell r="B1082">
            <v>102122</v>
          </cell>
          <cell r="C1082" t="str">
            <v>BOMBA CENTRÍFUGA, TRIFÁSICA, 10 CV OU 9,86 HP, HM 85 A 140 M, Q 4,2 A 14,9 M3/H - FORNECIMENTO E INSTALAÇÃO. AF_11/2025_PS</v>
          </cell>
          <cell r="D1082" t="str">
            <v>UN</v>
          </cell>
          <cell r="E1082">
            <v>6882.89</v>
          </cell>
          <cell r="F1082">
            <v>0</v>
          </cell>
        </row>
        <row r="1083">
          <cell r="B1083">
            <v>102118</v>
          </cell>
          <cell r="C1083" t="str">
            <v>BOMBA CENTRÍFUGA, TRIFÁSICA, 3 CV OU 2,96 HP, HM 34 A 40 M, Q 8,6 A 14,8 M3/H - FORNECIMENTO E INSTALAÇÃO. AF_11/2025_PS</v>
          </cell>
          <cell r="D1083" t="str">
            <v>UN</v>
          </cell>
          <cell r="E1083">
            <v>2148.0100000000002</v>
          </cell>
          <cell r="F1083">
            <v>0</v>
          </cell>
        </row>
        <row r="1084">
          <cell r="B1084">
            <v>102133</v>
          </cell>
          <cell r="C1084" t="str">
            <v>BOMBA CENTRÍFUGA, TRIFÁSICA, 3 CV OU 2,96 HP, HM 34 A 40 M, Q 8,6 A 14,8 M3/H, 2 UNIDADES, INCLUSO QUADRO ELÉTRICO - FORNECIMENTO E INSTALAÇÃO. AF_11/2025</v>
          </cell>
          <cell r="D1084" t="str">
            <v>UN</v>
          </cell>
          <cell r="E1084">
            <v>0</v>
          </cell>
        </row>
        <row r="1085">
          <cell r="B1085">
            <v>102126</v>
          </cell>
          <cell r="C1085" t="str">
            <v>BOMBA SUBMERSÍVEL, TRIFÁSICA, 3,80 CV OU 3,75 HP, HM 5 A 25,5 M, Q 3,6 A 61,2 M3/H - FORNECIMENTO E INSTALAÇÃO. AF_11/2025</v>
          </cell>
          <cell r="D1085" t="str">
            <v>UN</v>
          </cell>
          <cell r="E1085">
            <v>10948.47</v>
          </cell>
          <cell r="F1085">
            <v>0</v>
          </cell>
        </row>
        <row r="1086">
          <cell r="B1086">
            <v>102137</v>
          </cell>
          <cell r="C1086" t="str">
            <v>CHAVE DE BOIA AUTOMÁTICA SUPERIOR/INFERIOR 15A/250V - FORNECIMENTO E INSTALAÇÃO. AF_11/2025</v>
          </cell>
          <cell r="D1086" t="str">
            <v>UN</v>
          </cell>
          <cell r="E1086">
            <v>160.53</v>
          </cell>
          <cell r="F1086">
            <v>0</v>
          </cell>
        </row>
        <row r="1087">
          <cell r="B1087">
            <v>106258</v>
          </cell>
          <cell r="C1087" t="str">
            <v>CONJUNTO FLUTUANTE DE SUCÇÃO DE 1", TECHNIK OU EQUIVALENTE - FORNECIMENTO E INSTALAÇÃO. AF_11/2025</v>
          </cell>
          <cell r="D1087" t="str">
            <v>UN</v>
          </cell>
          <cell r="E1087">
            <v>0</v>
          </cell>
        </row>
        <row r="1088">
          <cell r="B1088">
            <v>102112</v>
          </cell>
          <cell r="C1088" t="str">
            <v>INSTALAÇÃO DE BOMBA CENTRÍFUGA, MONOFÁSICA, 0,5 CV OU 0,49 HP, HM 6 A 20 M, Q 1,2 A 8,3 M3/H (SEM FORNECIMENTO). AF_11/2025_PS</v>
          </cell>
          <cell r="D1088" t="str">
            <v>UN</v>
          </cell>
          <cell r="E1088">
            <v>285.5</v>
          </cell>
          <cell r="F1088">
            <v>0</v>
          </cell>
        </row>
        <row r="1089">
          <cell r="B1089">
            <v>102114</v>
          </cell>
          <cell r="C1089" t="str">
            <v>INSTALAÇÃO DE BOMBA CENTRÍFUGA, TRIFÁSICA, 1,0 CV OU 0,99 HP, HM 14 A 40 M, Q 0,6 A 8,4 M3/H (SEM FORNECIMENTO). AF_11/2025_PS</v>
          </cell>
          <cell r="D1089" t="str">
            <v>UN</v>
          </cell>
          <cell r="E1089">
            <v>290.44</v>
          </cell>
          <cell r="F1089">
            <v>0</v>
          </cell>
        </row>
        <row r="1090">
          <cell r="B1090">
            <v>102117</v>
          </cell>
          <cell r="C1090" t="str">
            <v>INSTALAÇÃO DE BOMBA CENTRÍFUGA, TRIFÁSICA, 1,5 CV OU 1,48 HP (SEM FORNECIMENTO). AF_11/2025_PS</v>
          </cell>
          <cell r="D1090" t="str">
            <v>UN</v>
          </cell>
          <cell r="E1090">
            <v>296.41000000000003</v>
          </cell>
          <cell r="F1090">
            <v>0</v>
          </cell>
        </row>
        <row r="1091">
          <cell r="B1091">
            <v>102123</v>
          </cell>
          <cell r="C1091" t="str">
            <v>INSTALAÇÃO DE BOMBA CENTRÍFUGA, TRIFÁSICA, 10 CV OU 9,86 HP, HM 85 A 140 M, Q 4,2 A 14,9 M3/H (SEM FORNECIMENTO). AF_11/2025_PS</v>
          </cell>
          <cell r="D1091" t="str">
            <v>UN</v>
          </cell>
          <cell r="E1091">
            <v>370.72</v>
          </cell>
          <cell r="F1091">
            <v>0</v>
          </cell>
        </row>
        <row r="1092">
          <cell r="B1092">
            <v>102119</v>
          </cell>
          <cell r="C1092" t="str">
            <v>INSTALAÇÃO DE BOMBA CENTRÍFUGA, TRIFÁSICA, 3 CV OU 2,96 HP, HM 34 A 40 M, Q 8,6 A 14,8 M3/H (SEM FORNECIMENTO). AF_11/2025_PS</v>
          </cell>
          <cell r="D1092" t="str">
            <v>UN</v>
          </cell>
          <cell r="E1092">
            <v>301.56</v>
          </cell>
          <cell r="F1092">
            <v>0</v>
          </cell>
        </row>
        <row r="1093">
          <cell r="B1093">
            <v>102127</v>
          </cell>
          <cell r="C1093" t="str">
            <v>INSTALAÇÃO DE BOMBA SUBMERSÍVEL, TRIFÁSICA, 3,80 CV OU 3,75 HP, HM 5 A 25,5 M, Q 3,6 A 61,2 M3/H (SEM FORNECIMENTO). AF_11/2025</v>
          </cell>
          <cell r="D1093" t="str">
            <v>UN</v>
          </cell>
          <cell r="E1093">
            <v>898.47</v>
          </cell>
          <cell r="F1093">
            <v>0</v>
          </cell>
        </row>
        <row r="1094">
          <cell r="B1094">
            <v>102121</v>
          </cell>
          <cell r="C1094" t="str">
            <v>INSTALAÇÃO DE MOTO BOMBA HORIZONTAL ATÉ 10 CV, HM 75 A 80 M, Q 25,4 A 48 M3/H (SEM FORNECIMENTO). AF_11/2025_PS</v>
          </cell>
          <cell r="D1094" t="str">
            <v>UN</v>
          </cell>
          <cell r="E1094">
            <v>355.38</v>
          </cell>
          <cell r="F1094">
            <v>0</v>
          </cell>
        </row>
        <row r="1095">
          <cell r="B1095">
            <v>102138</v>
          </cell>
          <cell r="C1095" t="str">
            <v>INSTALAÇÃO DE MOTO BOMBA HORIZONTAL DE 12,5 A 25 CV, HM 140 M (SEM FORNECIMENTO). AF_11/2025_PS</v>
          </cell>
          <cell r="D1095" t="str">
            <v>UN</v>
          </cell>
          <cell r="E1095">
            <v>395.68</v>
          </cell>
          <cell r="F1095">
            <v>0</v>
          </cell>
        </row>
        <row r="1096">
          <cell r="B1096">
            <v>102129</v>
          </cell>
          <cell r="C1096" t="str">
            <v>INSTALAÇÃO DE MOTO BOMBA SUBMERSÍVEL ATÉ 10 CV, HM 21 M (SEM FORNECIMENTO). AF_11/2025</v>
          </cell>
          <cell r="D1096" t="str">
            <v>UN</v>
          </cell>
          <cell r="E1096">
            <v>1190.49</v>
          </cell>
          <cell r="F1096">
            <v>0</v>
          </cell>
        </row>
        <row r="1097">
          <cell r="B1097">
            <v>102131</v>
          </cell>
          <cell r="C1097" t="str">
            <v>INSTALAÇÃO DE MOTO BOMBA SUBMERSÍVEL DE 11 A 25 CV, HM 33 M (SEM FORNECIMENTO). AF_11/2025</v>
          </cell>
          <cell r="D1097" t="str">
            <v>UN</v>
          </cell>
          <cell r="E1097">
            <v>1300.69</v>
          </cell>
          <cell r="F1097">
            <v>0</v>
          </cell>
        </row>
        <row r="1098">
          <cell r="B1098">
            <v>102120</v>
          </cell>
          <cell r="C1098" t="str">
            <v>MOTO BOMBA HORIZONTAL ATÉ 10 CV, HM 75 A 80 M, Q 25,4 A 48 M3/H- FORNECIMENTO E INSTALAÇÃO. AF_11/2025</v>
          </cell>
          <cell r="D1098" t="str">
            <v>UN</v>
          </cell>
          <cell r="E1098">
            <v>0</v>
          </cell>
        </row>
        <row r="1099">
          <cell r="B1099">
            <v>102334</v>
          </cell>
          <cell r="C1099" t="str">
            <v>MOTO BOMBA HORIZONTAL DE 12,5 A 25CV, HM 140 M - FORNECIMENTO E INSTALAÇÃO. AF_11/2025</v>
          </cell>
          <cell r="D1099" t="str">
            <v>UN</v>
          </cell>
          <cell r="E1099">
            <v>0</v>
          </cell>
        </row>
        <row r="1100">
          <cell r="B1100">
            <v>102128</v>
          </cell>
          <cell r="C1100" t="str">
            <v>MOTO BOMBA SUBMERSÍVEL ATÉ 10 CV, HM 21 M - FORNECIMENTO E INSTALAÇÃO. AF_11/2025</v>
          </cell>
          <cell r="D1100" t="str">
            <v>UN</v>
          </cell>
          <cell r="E1100">
            <v>0</v>
          </cell>
        </row>
        <row r="1101">
          <cell r="B1101">
            <v>102130</v>
          </cell>
          <cell r="C1101" t="str">
            <v>MOTO BOMBA SUBMERSÍVEL DE 11 A 25 CV, HM 33 M - FORNECIMENTO E INSTALAÇÃO. AF_11/2025</v>
          </cell>
          <cell r="D1101" t="str">
            <v>UN</v>
          </cell>
          <cell r="E1101">
            <v>0</v>
          </cell>
        </row>
        <row r="1102">
          <cell r="B1102">
            <v>104941</v>
          </cell>
          <cell r="C1102" t="str">
            <v>FORNECIMENTO E INSTALAÇÃO DE BRISE DE ALUMÍNIO B57, COM PINTURA ELETROSTÁTICA BRANCA, ACABAMENTO LISO, FIXADO EM PORTA-PAINEL RANHURADO. AF_03/2024</v>
          </cell>
          <cell r="D1102" t="str">
            <v>M2</v>
          </cell>
          <cell r="E1102">
            <v>0</v>
          </cell>
        </row>
        <row r="1103">
          <cell r="B1103">
            <v>104942</v>
          </cell>
          <cell r="C1103" t="str">
            <v>FORNECIMENTO E INSTALAÇÃO DE BRISE DE ALUZINC SL4, COM PINTURA ELETROSTÁTICA BRANCA, INCLINAÇÃO DE 45°, ACABAMENTO LISO, FIXADO EM PORTA-PAINEL RANHURADO. AF_03/2024</v>
          </cell>
          <cell r="D1103" t="str">
            <v>M2</v>
          </cell>
          <cell r="E1103">
            <v>0</v>
          </cell>
        </row>
        <row r="1104">
          <cell r="B1104">
            <v>104940</v>
          </cell>
          <cell r="C1104" t="str">
            <v>FORNECIMENTO E INSTALAÇÃO DE CAIXA DE ALUMÍNIO PROTETORA PARA CONDENSADORA DE AR-CONDICIONADO, PINTURA ELETROSTÁTICA BRANCA, DIMENSÕES 100 CM X 78 CM X 50 CM. AF_03/2024</v>
          </cell>
          <cell r="D1104" t="str">
            <v>UN</v>
          </cell>
          <cell r="E1104">
            <v>0</v>
          </cell>
        </row>
        <row r="1105">
          <cell r="B1105">
            <v>104943</v>
          </cell>
          <cell r="C1105" t="str">
            <v>FORNECIMENTO E INSTALAÇÃO DE CONJUNTO DE BRISE EM REQUADRO DE ALUMÍNIO DESLIZANTE, COM PERFIS INTERNOS TUBULARES FIXOS, COM PINTURA ELETROSTÁTICA BRANCA, ACABAMENTO, 150 CM X 265 CM. AF_03/2024</v>
          </cell>
          <cell r="D1105" t="str">
            <v>M2</v>
          </cell>
          <cell r="E1105">
            <v>0</v>
          </cell>
        </row>
        <row r="1106">
          <cell r="B1106">
            <v>101801</v>
          </cell>
          <cell r="C1106" t="str">
            <v>CAIXA COM GRELHA RETANGULAR DE FERRO FUNDIDO, EM ALVENARIA COM BLOCOS DE CONCRETO, DIMENSÕES INTERNAS: 0,30 X 1,00 X 1,00. AF_12/2020</v>
          </cell>
          <cell r="D1106" t="str">
            <v>UN</v>
          </cell>
          <cell r="E1106">
            <v>1111.98</v>
          </cell>
          <cell r="F1106">
            <v>0</v>
          </cell>
        </row>
        <row r="1107">
          <cell r="B1107">
            <v>101800</v>
          </cell>
          <cell r="C1107" t="str">
            <v>CAIXA COM GRELHA RETANGULAR DE FERRO FUNDIDO, EM ALVENARIA COM TIJOLOS CERÂMICOS MACIÇOS, DIMENSÕES INTERNAS: 0,30 X 1,00 X 1,00. AF_12/2020</v>
          </cell>
          <cell r="D1107" t="str">
            <v>UN</v>
          </cell>
          <cell r="E1107">
            <v>1548.23</v>
          </cell>
          <cell r="F1107">
            <v>0</v>
          </cell>
        </row>
        <row r="1108">
          <cell r="B1108">
            <v>98108</v>
          </cell>
          <cell r="C1108" t="str">
            <v>CAIXA DE GORDURA DUPLA (CAPACIDADE: 126 L), RETANGULAR, EM ALVENARIA COM BLOCOS DE CONCRETO, DIMENSÕES INTERNAS = 0,4X0,7 M, ALTURA INTERNA = 0,8 M. AF_12/2020</v>
          </cell>
          <cell r="D1108" t="str">
            <v>UN</v>
          </cell>
          <cell r="E1108">
            <v>572.01</v>
          </cell>
          <cell r="F1108">
            <v>0</v>
          </cell>
        </row>
        <row r="1109">
          <cell r="B1109">
            <v>98105</v>
          </cell>
          <cell r="C1109" t="str">
            <v>CAIXA DE GORDURA DUPLA (CAPACIDADE: 126 L), RETANGULAR, EM ALVENARIA COM TIJOLOS CERÂMICOS MACIÇOS, DIMENSÕES INTERNAS = 0,4X0,7 M, ALTURA INTERNA = 0,8 M. AF_12/2020</v>
          </cell>
          <cell r="D1109" t="str">
            <v>UN</v>
          </cell>
          <cell r="E1109">
            <v>737.59</v>
          </cell>
          <cell r="F1109">
            <v>0</v>
          </cell>
        </row>
        <row r="1110">
          <cell r="B1110">
            <v>98109</v>
          </cell>
          <cell r="C1110" t="str">
            <v>CAIXA DE GORDURA ESPECIAL (CAPACIDADE: 312 L - PARA ATÉ 146 PESSOAS SERVIDAS NO PICO), RETANGULAR, EM ALVENARIA COM BLOCOS DE CONCRETO, DIMENSÕES INTERNAS = 0,4X1,2 M, ALTURA INTERNA = 1 M. AF_12/2020</v>
          </cell>
          <cell r="D1110" t="str">
            <v>UN</v>
          </cell>
          <cell r="E1110">
            <v>927.32</v>
          </cell>
          <cell r="F1110">
            <v>0</v>
          </cell>
        </row>
        <row r="1111">
          <cell r="B1111">
            <v>98106</v>
          </cell>
          <cell r="C1111" t="str">
            <v>CAIXA DE GORDURA ESPECIAL (CAPACIDADE: 312 L - PARA ATÉ 146 PESSOAS SERVIDAS NO PICO), RETANGULAR, EM ALVENARIA COM TIJOLOS CERÂMICOS MACIÇOS, DIMENSÕES INTERNAS = 0,4X1,2 M, ALTURA INTERNA = 1 M. AF_12/2020</v>
          </cell>
          <cell r="D1111" t="str">
            <v>UN</v>
          </cell>
          <cell r="E1111">
            <v>1214.1300000000001</v>
          </cell>
          <cell r="F1111">
            <v>0</v>
          </cell>
        </row>
        <row r="1112">
          <cell r="B1112">
            <v>98110</v>
          </cell>
          <cell r="C1112" t="str">
            <v>CAIXA DE GORDURA PEQUENA (CAPACIDADE: 19 L), CIRCULAR, EM PVC, DIÂMETRO INTERNO= 0,3 M. AF_12/2020</v>
          </cell>
          <cell r="D1112" t="str">
            <v>UN</v>
          </cell>
          <cell r="E1112">
            <v>418.16</v>
          </cell>
          <cell r="F1112">
            <v>0</v>
          </cell>
        </row>
        <row r="1113">
          <cell r="B1113">
            <v>98107</v>
          </cell>
          <cell r="C1113" t="str">
            <v>CAIXA DE GORDURA SIMPLES (CAPACIDADE: 36 L), RETANGULAR, EM ALVENARIA COM BLOCOS DE CONCRETO, DIMENSÕES INTERNAS = 0,2X0,4 M, ALTURA INTERNA = 0,8 M. AF_12/2020</v>
          </cell>
          <cell r="D1113" t="str">
            <v>UN</v>
          </cell>
          <cell r="E1113">
            <v>319.73</v>
          </cell>
          <cell r="F1113">
            <v>0</v>
          </cell>
        </row>
        <row r="1114">
          <cell r="B1114">
            <v>98104</v>
          </cell>
          <cell r="C1114" t="str">
            <v>CAIXA DE GORDURA SIMPLES (CAPACIDADE: 36L), RETANGULAR, EM ALVENARIA COM TIJOLOS CERÂMICOS MACIÇOS, DIMENSÕES INTERNAS = 0,2X0,4 M, ALTURA INTERNA = 0,8 M. AF_12/2020</v>
          </cell>
          <cell r="D1114" t="str">
            <v>UN</v>
          </cell>
          <cell r="E1114">
            <v>422.29</v>
          </cell>
          <cell r="F1114">
            <v>0</v>
          </cell>
        </row>
        <row r="1115">
          <cell r="B1115">
            <v>98102</v>
          </cell>
          <cell r="C1115" t="str">
            <v>CAIXA DE GORDURA SIMPLES, CIRCULAR, EM CONCRETO PRÉ-MOLDADO, DIÂMETRO INTERNO = 0,4 M, ALTURA INTERNA = 0,4 M. AF_12/2020</v>
          </cell>
          <cell r="D1115" t="str">
            <v>UN</v>
          </cell>
          <cell r="E1115">
            <v>203.87</v>
          </cell>
          <cell r="F1115">
            <v>0</v>
          </cell>
        </row>
        <row r="1116">
          <cell r="B1116">
            <v>98111</v>
          </cell>
          <cell r="C1116" t="str">
            <v>CAIXA DE INSPEÇÃO PARA ATERRAMENTO, CIRCULAR, EM POLIETILENO, DIÂMETRO INTERNO = 0,3 M. AF_12/2020</v>
          </cell>
          <cell r="D1116" t="str">
            <v>UN</v>
          </cell>
          <cell r="E1116">
            <v>57.76</v>
          </cell>
          <cell r="F1116">
            <v>0</v>
          </cell>
        </row>
        <row r="1117">
          <cell r="B1117">
            <v>97891</v>
          </cell>
          <cell r="C1117" t="str">
            <v>CAIXA ENTERRADA ELÉTRICA RETANGULAR, EM ALVENARIA COM BLOCOS DE CONCRETO, FUNDO COM BRITA, DIMENSÕES INTERNAS: 0,4X0,4X0,4 M. AF_12/2020</v>
          </cell>
          <cell r="D1117" t="str">
            <v>UN</v>
          </cell>
          <cell r="E1117">
            <v>236.52</v>
          </cell>
          <cell r="F1117">
            <v>0</v>
          </cell>
        </row>
        <row r="1118">
          <cell r="B1118">
            <v>97892</v>
          </cell>
          <cell r="C1118" t="str">
            <v>CAIXA ENTERRADA ELÉTRICA RETANGULAR, EM ALVENARIA COM BLOCOS DE CONCRETO, FUNDO COM BRITA, DIMENSÕES INTERNAS: 0,6X0,6X0,6 M. AF_12/2020</v>
          </cell>
          <cell r="D1118" t="str">
            <v>UN</v>
          </cell>
          <cell r="E1118">
            <v>440.73</v>
          </cell>
          <cell r="F1118">
            <v>0</v>
          </cell>
        </row>
        <row r="1119">
          <cell r="B1119">
            <v>97893</v>
          </cell>
          <cell r="C1119" t="str">
            <v>CAIXA ENTERRADA ELÉTRICA RETANGULAR, EM ALVENARIA COM BLOCOS DE CONCRETO, FUNDO COM BRITA, DIMENSÕES INTERNAS: 0,8X0,8X0,6 M. AF_12/2020</v>
          </cell>
          <cell r="D1119" t="str">
            <v>UN</v>
          </cell>
          <cell r="E1119">
            <v>608.34</v>
          </cell>
          <cell r="F1119">
            <v>0</v>
          </cell>
        </row>
        <row r="1120">
          <cell r="B1120">
            <v>97894</v>
          </cell>
          <cell r="C1120" t="str">
            <v>CAIXA ENTERRADA ELÉTRICA RETANGULAR, EM ALVENARIA COM BLOCOS DE CONCRETO, FUNDO COM BRITA, DIMENSÕES INTERNAS: 1X1X0,6 M. AF_12/2020</v>
          </cell>
          <cell r="D1120" t="str">
            <v>UN</v>
          </cell>
          <cell r="E1120">
            <v>666.92</v>
          </cell>
          <cell r="F1120">
            <v>0</v>
          </cell>
        </row>
        <row r="1121">
          <cell r="B1121">
            <v>97886</v>
          </cell>
          <cell r="C1121" t="str">
            <v>CAIXA ENTERRADA ELÉTRICA RETANGULAR, EM ALVENARIA COM TIJOLOS CERÂMICOS MACIÇOS, FUNDO COM BRITA, DIMENSÕES INTERNAS: 0,3X0,3X0,3 M. AF_12/2020</v>
          </cell>
          <cell r="D1121" t="str">
            <v>UN</v>
          </cell>
          <cell r="E1121">
            <v>190.67</v>
          </cell>
          <cell r="F1121">
            <v>0</v>
          </cell>
        </row>
        <row r="1122">
          <cell r="B1122">
            <v>97887</v>
          </cell>
          <cell r="C1122" t="str">
            <v>CAIXA ENTERRADA ELÉTRICA RETANGULAR, EM ALVENARIA COM TIJOLOS CERÂMICOS MACIÇOS, FUNDO COM BRITA, DIMENSÕES INTERNAS: 0,4X0,4X0,4 M. AF_12/2020</v>
          </cell>
          <cell r="D1122" t="str">
            <v>UN</v>
          </cell>
          <cell r="E1122">
            <v>300.56</v>
          </cell>
          <cell r="F1122">
            <v>0</v>
          </cell>
        </row>
        <row r="1123">
          <cell r="B1123">
            <v>97888</v>
          </cell>
          <cell r="C1123" t="str">
            <v>CAIXA ENTERRADA ELÉTRICA RETANGULAR, EM ALVENARIA COM TIJOLOS CERÂMICOS MACIÇOS, FUNDO COM BRITA, DIMENSÕES INTERNAS: 0,6X0,6X0,6 M. AF_12/2020</v>
          </cell>
          <cell r="D1123" t="str">
            <v>UN</v>
          </cell>
          <cell r="E1123">
            <v>576.13</v>
          </cell>
          <cell r="F1123">
            <v>0</v>
          </cell>
        </row>
        <row r="1124">
          <cell r="B1124">
            <v>97889</v>
          </cell>
          <cell r="C1124" t="str">
            <v>CAIXA ENTERRADA ELÉTRICA RETANGULAR, EM ALVENARIA COM TIJOLOS CERÂMICOS MACIÇOS, FUNDO COM BRITA, DIMENSÕES INTERNAS: 0,8X0,8X0,6 M. AF_12/2020</v>
          </cell>
          <cell r="D1124" t="str">
            <v>UN</v>
          </cell>
          <cell r="E1124">
            <v>781.02</v>
          </cell>
          <cell r="F1124">
            <v>0</v>
          </cell>
        </row>
        <row r="1125">
          <cell r="B1125">
            <v>97890</v>
          </cell>
          <cell r="C1125" t="str">
            <v>CAIXA ENTERRADA ELÉTRICA RETANGULAR, EM ALVENARIA COM TIJOLOS CERÂMICOS MACIÇOS, FUNDO COM BRITA, DIMENSÕES INTERNAS: 1X1X0,6 M. AF_12/2020</v>
          </cell>
          <cell r="D1125" t="str">
            <v>UN</v>
          </cell>
          <cell r="E1125">
            <v>876.17</v>
          </cell>
          <cell r="F1125">
            <v>0</v>
          </cell>
        </row>
        <row r="1126">
          <cell r="B1126">
            <v>97881</v>
          </cell>
          <cell r="C1126" t="str">
            <v>CAIXA ENTERRADA ELÉTRICA RETANGULAR, EM CONCRETO PRÉ-MOLDADO, FUNDO COM BRITA, DIMENSÕES INTERNAS: 0,3X0,3X0,3 M. AF_12/2020</v>
          </cell>
          <cell r="D1126" t="str">
            <v>UN</v>
          </cell>
          <cell r="E1126">
            <v>155.62</v>
          </cell>
          <cell r="F1126">
            <v>0</v>
          </cell>
        </row>
        <row r="1127">
          <cell r="B1127">
            <v>97882</v>
          </cell>
          <cell r="C1127" t="str">
            <v>CAIXA ENTERRADA ELÉTRICA RETANGULAR, EM CONCRETO PRÉ-MOLDADO, FUNDO COM BRITA, DIMENSÕES INTERNAS: 0,4X0,4X0,4 M. AF_12/2020</v>
          </cell>
          <cell r="D1127" t="str">
            <v>UN</v>
          </cell>
          <cell r="E1127">
            <v>246.79</v>
          </cell>
          <cell r="F1127">
            <v>0</v>
          </cell>
        </row>
        <row r="1128">
          <cell r="B1128">
            <v>97883</v>
          </cell>
          <cell r="C1128" t="str">
            <v>CAIXA ENTERRADA ELÉTRICA RETANGULAR, EM CONCRETO PRÉ-MOLDADO, FUNDO COM BRITA, DIMENSÕES INTERNAS: 0,6X0,6X0,5 M. AF_12/2020</v>
          </cell>
          <cell r="D1128" t="str">
            <v>UN</v>
          </cell>
          <cell r="E1128">
            <v>475.21</v>
          </cell>
          <cell r="F1128">
            <v>0</v>
          </cell>
        </row>
        <row r="1129">
          <cell r="B1129">
            <v>97884</v>
          </cell>
          <cell r="C1129" t="str">
            <v>CAIXA ENTERRADA ELÉTRICA RETANGULAR, EM CONCRETO PRÉ-MOLDADO, FUNDO COM BRITA, DIMENSÕES INTERNAS: 0,8X0,8X0,5 M. AF_12/2020</v>
          </cell>
          <cell r="D1129" t="str">
            <v>UN</v>
          </cell>
          <cell r="E1129">
            <v>934.78</v>
          </cell>
          <cell r="F1129">
            <v>0</v>
          </cell>
        </row>
        <row r="1130">
          <cell r="B1130">
            <v>97885</v>
          </cell>
          <cell r="C1130" t="str">
            <v>CAIXA ENTERRADA ELÉTRICA RETANGULAR, EM CONCRETO PRÉ-MOLDADO, FUNDO COM BRITA, DIMENSÕES INTERNAS: 1X1X0,5 M. AF_12/2020</v>
          </cell>
          <cell r="D1130" t="str">
            <v>UN</v>
          </cell>
          <cell r="E1130">
            <v>1448.67</v>
          </cell>
          <cell r="F1130">
            <v>0</v>
          </cell>
        </row>
        <row r="1131">
          <cell r="B1131">
            <v>99250</v>
          </cell>
          <cell r="C1131" t="str">
            <v>CAIXA ENTERRADA HIDRÁULICA RETANGULAR EM ALVENARIA COM TIJOLOS CERÂMICOS MACIÇOS, DIMENSÕES INTERNAS: 0,3X0,3X0,3 M PARA REDE DE DRENAGEM. AF_12/2020</v>
          </cell>
          <cell r="D1131" t="str">
            <v>UN</v>
          </cell>
          <cell r="E1131">
            <v>210.01</v>
          </cell>
          <cell r="F1131">
            <v>0</v>
          </cell>
        </row>
        <row r="1132">
          <cell r="B1132">
            <v>97900</v>
          </cell>
          <cell r="C1132" t="str">
            <v>CAIXA ENTERRADA HIDRÁULICA RETANGULAR EM ALVENARIA COM TIJOLOS CERÂMICOS MACIÇOS, DIMENSÕES INTERNAS: 0,3X0,3X0,3 M PARA REDE DE ESGOTO. AF_12/2020</v>
          </cell>
          <cell r="D1132" t="str">
            <v>UN</v>
          </cell>
          <cell r="E1132">
            <v>214.34</v>
          </cell>
          <cell r="F1132">
            <v>0</v>
          </cell>
        </row>
        <row r="1133">
          <cell r="B1133">
            <v>99251</v>
          </cell>
          <cell r="C1133" t="str">
            <v>CAIXA ENTERRADA HIDRÁULICA RETANGULAR EM ALVENARIA COM TIJOLOS CERÂMICOS MACIÇOS, DIMENSÕES INTERNAS: 0,4X0,4X0,4 M PARA REDE DE DRENAGEM. AF_12/2020</v>
          </cell>
          <cell r="D1133" t="str">
            <v>UN</v>
          </cell>
          <cell r="E1133">
            <v>328.84</v>
          </cell>
          <cell r="F1133">
            <v>0</v>
          </cell>
        </row>
        <row r="1134">
          <cell r="B1134">
            <v>97901</v>
          </cell>
          <cell r="C1134" t="str">
            <v>CAIXA ENTERRADA HIDRÁULICA RETANGULAR EM ALVENARIA COM TIJOLOS CERÂMICOS MACIÇOS, DIMENSÕES INTERNAS: 0,4X0,4X0,4 M PARA REDE DE ESGOTO. AF_12/2020</v>
          </cell>
          <cell r="D1134" t="str">
            <v>UN</v>
          </cell>
          <cell r="E1134">
            <v>336.28</v>
          </cell>
          <cell r="F1134">
            <v>0</v>
          </cell>
        </row>
        <row r="1135">
          <cell r="B1135">
            <v>99253</v>
          </cell>
          <cell r="C1135" t="str">
            <v>CAIXA ENTERRADA HIDRÁULICA RETANGULAR EM ALVENARIA COM TIJOLOS CERÂMICOS MACIÇOS, DIMENSÕES INTERNAS: 0,6X0,6X0,6 M PARA REDE DE DRENAGEM. AF_12/2020</v>
          </cell>
          <cell r="D1135" t="str">
            <v>UN</v>
          </cell>
          <cell r="E1135">
            <v>631.25</v>
          </cell>
          <cell r="F1135">
            <v>0</v>
          </cell>
        </row>
        <row r="1136">
          <cell r="B1136">
            <v>97902</v>
          </cell>
          <cell r="C1136" t="str">
            <v>CAIXA ENTERRADA HIDRÁULICA RETANGULAR EM ALVENARIA COM TIJOLOS CERÂMICOS MACIÇOS, DIMENSÕES INTERNAS: 0,6X0,6X0,6 M PARA REDE DE ESGOTO. AF_12/2020</v>
          </cell>
          <cell r="D1136" t="str">
            <v>UN</v>
          </cell>
          <cell r="E1136">
            <v>647.95000000000005</v>
          </cell>
          <cell r="F1136">
            <v>0</v>
          </cell>
        </row>
        <row r="1137">
          <cell r="B1137">
            <v>99255</v>
          </cell>
          <cell r="C1137" t="str">
            <v>CAIXA ENTERRADA HIDRÁULICA RETANGULAR EM ALVENARIA COM TIJOLOS CERÂMICOS MACIÇOS, DIMENSÕES INTERNAS: 0,8X0,8X0,6 M PARA REDE DE DRENAGEM. AF_12/2020</v>
          </cell>
          <cell r="D1137" t="str">
            <v>UN</v>
          </cell>
          <cell r="E1137">
            <v>878.27</v>
          </cell>
          <cell r="F1137">
            <v>0</v>
          </cell>
        </row>
        <row r="1138">
          <cell r="B1138">
            <v>97903</v>
          </cell>
          <cell r="C1138" t="str">
            <v>CAIXA ENTERRADA HIDRÁULICA RETANGULAR EM ALVENARIA COM TIJOLOS CERÂMICOS MACIÇOS, DIMENSÕES INTERNAS: 0,8X0,8X0,6 M PARA REDE DE ESGOTO. AF_12/2020</v>
          </cell>
          <cell r="D1138" t="str">
            <v>UN</v>
          </cell>
          <cell r="E1138">
            <v>901.18</v>
          </cell>
          <cell r="F1138">
            <v>0</v>
          </cell>
        </row>
        <row r="1139">
          <cell r="B1139">
            <v>99257</v>
          </cell>
          <cell r="C1139" t="str">
            <v>CAIXA ENTERRADA HIDRÁULICA RETANGULAR EM ALVENARIA COM TIJOLOS CERÂMICOS MACIÇOS, DIMENSÕES INTERNAS: 1X1X0,6 M PARA REDE DE DRENAGEM. AF_12/2020</v>
          </cell>
          <cell r="D1139" t="str">
            <v>UN</v>
          </cell>
          <cell r="E1139">
            <v>1012.91</v>
          </cell>
          <cell r="F1139">
            <v>0</v>
          </cell>
        </row>
        <row r="1140">
          <cell r="B1140">
            <v>97904</v>
          </cell>
          <cell r="C1140" t="str">
            <v>CAIXA ENTERRADA HIDRÁULICA RETANGULAR EM ALVENARIA COM TIJOLOS CERÂMICOS MACIÇOS, DIMENSÕES INTERNAS: 1X1X0,6 M PARA REDE DE ESGOTO. AF_12/2020</v>
          </cell>
          <cell r="D1140" t="str">
            <v>UN</v>
          </cell>
          <cell r="E1140">
            <v>1042.54</v>
          </cell>
          <cell r="F1140">
            <v>0</v>
          </cell>
        </row>
        <row r="1141">
          <cell r="B1141">
            <v>99258</v>
          </cell>
          <cell r="C1141" t="str">
            <v>CAIXA ENTERRADA HIDRÁULICA RETANGULAR, EM ALVENARIA COM BLOCOS DE CONCRETO, DIMENSÕES INTERNAS: 0,4X0,4X0,4 M PARA REDE DE DRENAGEM. AF_12/2020</v>
          </cell>
          <cell r="D1141" t="str">
            <v>UN</v>
          </cell>
          <cell r="E1141">
            <v>275.01</v>
          </cell>
          <cell r="F1141">
            <v>0</v>
          </cell>
        </row>
        <row r="1142">
          <cell r="B1142">
            <v>97905</v>
          </cell>
          <cell r="C1142" t="str">
            <v>CAIXA ENTERRADA HIDRÁULICA RETANGULAR, EM ALVENARIA COM BLOCOS DE CONCRETO, DIMENSÕES INTERNAS: 0,4X0,4X0,4 M PARA REDE DE ESGOTO. AF_12/2020</v>
          </cell>
          <cell r="D1142" t="str">
            <v>UN</v>
          </cell>
          <cell r="E1142">
            <v>279.74</v>
          </cell>
          <cell r="F1142">
            <v>0</v>
          </cell>
        </row>
        <row r="1143">
          <cell r="B1143">
            <v>99260</v>
          </cell>
          <cell r="C1143" t="str">
            <v>CAIXA ENTERRADA HIDRÁULICA RETANGULAR, EM ALVENARIA COM BLOCOS DE CONCRETO, DIMENSÕES INTERNAS: 0,6X0,6X0,6 M PARA REDE DE DRENAGEM. AF_12/2020</v>
          </cell>
          <cell r="D1143" t="str">
            <v>UN</v>
          </cell>
          <cell r="E1143">
            <v>504.96</v>
          </cell>
          <cell r="F1143">
            <v>0</v>
          </cell>
        </row>
        <row r="1144">
          <cell r="B1144">
            <v>97906</v>
          </cell>
          <cell r="C1144" t="str">
            <v>CAIXA ENTERRADA HIDRÁULICA RETANGULAR, EM ALVENARIA COM BLOCOS DE CONCRETO, DIMENSÕES INTERNAS: 0,6X0,6X0,6 M PARA REDE DE ESGOTO. AF_12/2020</v>
          </cell>
          <cell r="D1144" t="str">
            <v>UN</v>
          </cell>
          <cell r="E1144">
            <v>515.48</v>
          </cell>
          <cell r="F1144">
            <v>0</v>
          </cell>
        </row>
        <row r="1145">
          <cell r="B1145">
            <v>99262</v>
          </cell>
          <cell r="C1145" t="str">
            <v>CAIXA ENTERRADA HIDRÁULICA RETANGULAR, EM ALVENARIA COM BLOCOS DE CONCRETO, DIMENSÕES INTERNAS: 0,8X0,8X0,6 M PARA REDE DE DRENAGEM. AF_12/2020</v>
          </cell>
          <cell r="D1145" t="str">
            <v>UN</v>
          </cell>
          <cell r="E1145">
            <v>717.11</v>
          </cell>
          <cell r="F1145">
            <v>0</v>
          </cell>
        </row>
        <row r="1146">
          <cell r="B1146">
            <v>97907</v>
          </cell>
          <cell r="C1146" t="str">
            <v>CAIXA ENTERRADA HIDRÁULICA RETANGULAR, EM ALVENARIA COM BLOCOS DE CONCRETO, DIMENSÕES INTERNAS: 0,8X0,8X0,6 M PARA REDE DE ESGOTO. AF_12/2020</v>
          </cell>
          <cell r="D1146" t="str">
            <v>UN</v>
          </cell>
          <cell r="E1146">
            <v>732.13</v>
          </cell>
          <cell r="F1146">
            <v>0</v>
          </cell>
        </row>
        <row r="1147">
          <cell r="B1147">
            <v>99264</v>
          </cell>
          <cell r="C1147" t="str">
            <v>CAIXA ENTERRADA HIDRÁULICA RETANGULAR, EM ALVENARIA COM BLOCOS DE CONCRETO, DIMENSÕES INTERNAS: 1X1X0,6 M PARA REDE DE DRENAGEM. AF_12/2020</v>
          </cell>
          <cell r="D1147" t="str">
            <v>UN</v>
          </cell>
          <cell r="E1147">
            <v>822.23</v>
          </cell>
          <cell r="F1147">
            <v>0</v>
          </cell>
        </row>
        <row r="1148">
          <cell r="B1148">
            <v>97908</v>
          </cell>
          <cell r="C1148" t="str">
            <v>CAIXA ENTERRADA HIDRÁULICA RETANGULAR, EM ALVENARIA COM BLOCOS DE CONCRETO, DIMENSÕES INTERNAS: 1X1X0,6 M PARA REDE DE ESGOTO. AF_12/2020</v>
          </cell>
          <cell r="D1148" t="str">
            <v>UN</v>
          </cell>
          <cell r="E1148">
            <v>842.52</v>
          </cell>
          <cell r="F1148">
            <v>0</v>
          </cell>
        </row>
        <row r="1149">
          <cell r="B1149">
            <v>97895</v>
          </cell>
          <cell r="C1149" t="str">
            <v>CAIXA ENTERRADA HIDRÁULICA RETANGULAR, EM CONCRETO PRÉ-MOLDADO, DIMENSÕES INTERNAS: 0,3X0,3X0,3 M. AF_12/2020</v>
          </cell>
          <cell r="D1149" t="str">
            <v>UN</v>
          </cell>
          <cell r="E1149">
            <v>214.46</v>
          </cell>
          <cell r="F1149">
            <v>0</v>
          </cell>
        </row>
        <row r="1150">
          <cell r="B1150">
            <v>97896</v>
          </cell>
          <cell r="C1150" t="str">
            <v>CAIXA ENTERRADA HIDRÁULICA RETANGULAR, EM CONCRETO PRÉ-MOLDADO, DIMENSÕES INTERNAS: 0,4X0,4X0,4 M. AF_12/2020</v>
          </cell>
          <cell r="D1150" t="str">
            <v>UN</v>
          </cell>
          <cell r="E1150">
            <v>397.9</v>
          </cell>
          <cell r="F1150">
            <v>0</v>
          </cell>
        </row>
        <row r="1151">
          <cell r="B1151">
            <v>97897</v>
          </cell>
          <cell r="C1151" t="str">
            <v>CAIXA ENTERRADA HIDRÁULICA RETANGULAR, EM CONCRETO PRÉ-MOLDADO, DIMENSÕES INTERNAS: 0,6X0,6X0,5 M. AF_12/2020</v>
          </cell>
          <cell r="D1151" t="str">
            <v>UN</v>
          </cell>
          <cell r="E1151">
            <v>516.16</v>
          </cell>
          <cell r="F1151">
            <v>0</v>
          </cell>
        </row>
        <row r="1152">
          <cell r="B1152">
            <v>97898</v>
          </cell>
          <cell r="C1152" t="str">
            <v>CAIXA ENTERRADA HIDRÁULICA RETANGULAR, EM CONCRETO PRÉ-MOLDADO, DIMENSÕES INTERNAS: 0,8X0,8X0,5 M. AF_12/2020</v>
          </cell>
          <cell r="D1152" t="str">
            <v>UN</v>
          </cell>
          <cell r="E1152">
            <v>992.92</v>
          </cell>
          <cell r="F1152">
            <v>0</v>
          </cell>
        </row>
        <row r="1153">
          <cell r="B1153">
            <v>97899</v>
          </cell>
          <cell r="C1153" t="str">
            <v>CAIXA ENTERRADA HIDRÁULICA RETANGULAR, EM CONCRETO PRÉ-MOLDADO, DIMENSÕES INTERNAS: 1X1X0,5 M. AF_12/2020</v>
          </cell>
          <cell r="D1153" t="str">
            <v>UN</v>
          </cell>
          <cell r="E1153">
            <v>0</v>
          </cell>
        </row>
        <row r="1154">
          <cell r="B1154">
            <v>101795</v>
          </cell>
          <cell r="C1154" t="str">
            <v>CAIXA ENTERRADA PARA INSTALAÇÕES TELEFÔNICAS TIPO R1, EM ALVENARIA COM BLOCOS DE CONCRETO, DIMENSÕES INTERNAS: 0,35X0,60X0,60 M, EXCLUINDO TAMPÃO. AF_12/2020</v>
          </cell>
          <cell r="D1154" t="str">
            <v>UN</v>
          </cell>
          <cell r="E1154">
            <v>654.95000000000005</v>
          </cell>
          <cell r="F1154">
            <v>0</v>
          </cell>
        </row>
        <row r="1155">
          <cell r="B1155">
            <v>101796</v>
          </cell>
          <cell r="C1155" t="str">
            <v>CAIXA ENTERRADA PARA INSTALAÇÕES TELEFÔNICAS TIPO R2, EM ALVENARIA COM BLOCOS DE CONCRETO, DIMENSÕES INTERNAS: 0,52X1,07X0,60 M, EXCLUINDO TAMPÃO. AF_12/2020</v>
          </cell>
          <cell r="D1155" t="str">
            <v>UN</v>
          </cell>
          <cell r="E1155">
            <v>0</v>
          </cell>
        </row>
        <row r="1156">
          <cell r="B1156">
            <v>101797</v>
          </cell>
          <cell r="C1156" t="str">
            <v>CAIXA ENTERRADA PARA INSTALAÇÕES TELEFÔNICAS TIPO R3, EM ALVENARIA COM BLOCOS DE CONCRETO, DIMENSÕES INTERNAS: 1,2X1,5X1,40 M, EXCLUINDO TAMPÃO. AF_12/2020</v>
          </cell>
          <cell r="D1156" t="str">
            <v>UN</v>
          </cell>
          <cell r="E1156">
            <v>0</v>
          </cell>
        </row>
        <row r="1157">
          <cell r="B1157">
            <v>101802</v>
          </cell>
          <cell r="C1157" t="str">
            <v>CAIXA ENTERRADA RETENTORA DE AREIA RETANGULAR, EM ALVENARIA COM BLOCOS DE CONCRETO, DIMENSÕES INTERNAS: 1,00 X 1,00 X 1,20 M, EXCLUINDO TAMPÃO. AF_12/2020</v>
          </cell>
          <cell r="D1157" t="str">
            <v>UN</v>
          </cell>
          <cell r="E1157">
            <v>1901.51</v>
          </cell>
          <cell r="F1157">
            <v>0</v>
          </cell>
        </row>
        <row r="1158">
          <cell r="B1158">
            <v>101803</v>
          </cell>
          <cell r="C1158" t="str">
            <v>CAIXA ENTERRADA SEPARADORA DE ÓLEO RETANGULAR, EM ALVENARIA COM BLOCOS DE CONCRETO, DIMENSÕES INTERNAS: 0,6 X 0,6 X 1,00 M, EXCLUINDO TAMPÃO. AF_12/2020</v>
          </cell>
          <cell r="D1158" t="str">
            <v>UN</v>
          </cell>
          <cell r="E1158">
            <v>1230.82</v>
          </cell>
          <cell r="F1158">
            <v>0</v>
          </cell>
        </row>
        <row r="1159">
          <cell r="B1159">
            <v>101804</v>
          </cell>
          <cell r="C1159" t="str">
            <v>CAIXA ENTERRADA SEPARADORA DE ÓLEO RETANGULAR, EM ALVENARIA COM BLOCOS DE CONCRETO, DIMENSÕES INTERNAS: 0,8 X 0,8 X 1,00 M, EXCLUINDO TAMPÃO. AF_12/2020</v>
          </cell>
          <cell r="D1159" t="str">
            <v>UN</v>
          </cell>
          <cell r="E1159">
            <v>1527.24</v>
          </cell>
          <cell r="F1159">
            <v>0</v>
          </cell>
        </row>
        <row r="1160">
          <cell r="B1160">
            <v>101805</v>
          </cell>
          <cell r="C1160" t="str">
            <v>CAIXA ENTERRADA SEPARADORA DE ÓLEO RETANGULAR, EM ALVENARIA COM BLOCOS DE CONCRETO, DIMENSÕES INTERNAS: 1,00 X 1,00 X 1,00 M, EXCLUINDO TAMPÃO. AF_12/2020</v>
          </cell>
          <cell r="D1160" t="str">
            <v>UN</v>
          </cell>
          <cell r="E1160">
            <v>1940.91</v>
          </cell>
          <cell r="F1160">
            <v>0</v>
          </cell>
        </row>
        <row r="1161">
          <cell r="B1161">
            <v>98115</v>
          </cell>
          <cell r="C1161" t="str">
            <v>TAMPA CIRCULAR PARA ESGOTO E DRENAGEM, EM CONCRETO PRÉ-MOLDADO, DIÂMETRO INTERNO = 0,60 M E ALTURA = 0,10 M. AF_12/2020</v>
          </cell>
          <cell r="D1161" t="str">
            <v>UN</v>
          </cell>
          <cell r="E1161">
            <v>113.87</v>
          </cell>
          <cell r="F1161">
            <v>0</v>
          </cell>
        </row>
        <row r="1162">
          <cell r="B1162">
            <v>98114</v>
          </cell>
          <cell r="C1162" t="str">
            <v>TAMPA CIRCULAR PARA ESGOTO E DRENAGEM, EM FERRO FUNDIDO, DIÂMETRO INTERNO = 0,6 M. AF_12/2020</v>
          </cell>
          <cell r="D1162" t="str">
            <v>UN</v>
          </cell>
          <cell r="E1162">
            <v>607.82000000000005</v>
          </cell>
          <cell r="F1162">
            <v>0</v>
          </cell>
        </row>
        <row r="1163">
          <cell r="B1163">
            <v>98112</v>
          </cell>
          <cell r="C1163" t="str">
            <v>TIL (TUBO DE INSPEÇÃO E LIMPEZA) CONDOMINIAL PARA ESGOTO, EM PVC, DN 100 X 100 MM. AF_12/2020</v>
          </cell>
          <cell r="D1163" t="str">
            <v>UN</v>
          </cell>
          <cell r="E1163">
            <v>116.44</v>
          </cell>
          <cell r="F1163">
            <v>0</v>
          </cell>
        </row>
        <row r="1164">
          <cell r="B1164">
            <v>100128</v>
          </cell>
          <cell r="C1164" t="str">
            <v>TIL (TUBO DE INSPEÇÃO E LIMPEZA) RADIAL PARA ESGOTO, EM PVC, DN 300X200 MM. AF_12/2020</v>
          </cell>
          <cell r="D1164" t="str">
            <v>UN</v>
          </cell>
          <cell r="E1164">
            <v>1879.53</v>
          </cell>
          <cell r="F1164">
            <v>0</v>
          </cell>
        </row>
        <row r="1165">
          <cell r="B1165">
            <v>102623</v>
          </cell>
          <cell r="C1165" t="str">
            <v>CAIXA D´ÁGUA EM POLIETILENO, 1000 LITROS (INCLUSOS TUBOS, CONEXÕES E TORNEIRA DE BÓIA) - FORNECIMENTO E INSTALAÇÃO. AF_06/2021</v>
          </cell>
          <cell r="D1165" t="str">
            <v>UN</v>
          </cell>
          <cell r="E1165">
            <v>929.17</v>
          </cell>
          <cell r="F1165">
            <v>0</v>
          </cell>
        </row>
        <row r="1166">
          <cell r="B1166">
            <v>102607</v>
          </cell>
          <cell r="C1166" t="str">
            <v>CAIXA D´ÁGUA EM POLIETILENO, 1000 LITROS - FORNECIMENTO E INSTALAÇÃO. AF_06/2021</v>
          </cell>
          <cell r="D1166" t="str">
            <v>UN</v>
          </cell>
          <cell r="E1166">
            <v>465.56</v>
          </cell>
          <cell r="F1166">
            <v>0</v>
          </cell>
        </row>
        <row r="1167">
          <cell r="B1167">
            <v>102608</v>
          </cell>
          <cell r="C1167" t="str">
            <v>CAIXA D´ÁGUA EM POLIETILENO, 1500 LITROS - FORNECIMENTO E INSTALAÇÃO. AF_06/2021</v>
          </cell>
          <cell r="D1167" t="str">
            <v>UN</v>
          </cell>
          <cell r="E1167">
            <v>1063.73</v>
          </cell>
          <cell r="F1167">
            <v>0</v>
          </cell>
        </row>
        <row r="1168">
          <cell r="B1168">
            <v>102609</v>
          </cell>
          <cell r="C1168" t="str">
            <v>CAIXA D´ÁGUA EM POLIETILENO, 2000 LITROS - FORNECIMENTO E INSTALAÇÃO. AF_06/2021</v>
          </cell>
          <cell r="D1168" t="str">
            <v>UN</v>
          </cell>
          <cell r="E1168">
            <v>1209.6400000000001</v>
          </cell>
          <cell r="F1168">
            <v>0</v>
          </cell>
        </row>
        <row r="1169">
          <cell r="B1169">
            <v>102610</v>
          </cell>
          <cell r="C1169" t="str">
            <v>CAIXA D´ÁGUA EM POLIETILENO, 3000 LITROS - FORNECIMENTO E INSTALAÇÃO. AF_06/2021</v>
          </cell>
          <cell r="D1169" t="str">
            <v>UN</v>
          </cell>
          <cell r="E1169">
            <v>2076.0700000000002</v>
          </cell>
          <cell r="F1169">
            <v>0</v>
          </cell>
        </row>
        <row r="1170">
          <cell r="B1170">
            <v>102622</v>
          </cell>
          <cell r="C1170" t="str">
            <v>CAIXA D´ÁGUA EM POLIETILENO, 500 LITROS (INCLUSOS TUBOS, CONEXÕES E TORNEIRA DE BÓIA) - FORNECIMENTO E INSTALAÇÃO. AF_06/2021</v>
          </cell>
          <cell r="D1170" t="str">
            <v>UN</v>
          </cell>
          <cell r="E1170">
            <v>684.92</v>
          </cell>
          <cell r="F1170">
            <v>0</v>
          </cell>
        </row>
        <row r="1171">
          <cell r="B1171">
            <v>102605</v>
          </cell>
          <cell r="C1171" t="str">
            <v>CAIXA D´ÁGUA EM POLIETILENO, 500 LITROS - FORNECIMENTO E INSTALAÇÃO. AF_06/2021</v>
          </cell>
          <cell r="D1171" t="str">
            <v>UN</v>
          </cell>
          <cell r="E1171">
            <v>282.56</v>
          </cell>
          <cell r="F1171">
            <v>0</v>
          </cell>
        </row>
        <row r="1172">
          <cell r="B1172">
            <v>102606</v>
          </cell>
          <cell r="C1172" t="str">
            <v>CAIXA D´ÁGUA EM POLIETILENO, 750 LITROS - FORNECIMENTO E INSTALAÇÃO. AF_06/2021</v>
          </cell>
          <cell r="D1172" t="str">
            <v>UN</v>
          </cell>
          <cell r="E1172">
            <v>434.64</v>
          </cell>
          <cell r="F1172">
            <v>0</v>
          </cell>
        </row>
        <row r="1173">
          <cell r="B1173">
            <v>102613</v>
          </cell>
          <cell r="C1173" t="str">
            <v>CAIXA D´ÁGUA EM POLIÉSTER REFORÇADO COM FIBRA DE VIDRO, 1000 LITROS - FORNECIMENTO E INSTALAÇÃO. AF_06/2021</v>
          </cell>
          <cell r="D1173" t="str">
            <v>UN</v>
          </cell>
          <cell r="E1173">
            <v>651.26</v>
          </cell>
          <cell r="F1173">
            <v>0</v>
          </cell>
        </row>
        <row r="1174">
          <cell r="B1174">
            <v>102619</v>
          </cell>
          <cell r="C1174" t="str">
            <v>CAIXA D´ÁGUA EM POLIÉSTER REFORÇADO COM FIBRA DE VIDRO, 10000 LITROS - FORNECIMENTO E INSTALAÇÃO. AF_06/2021</v>
          </cell>
          <cell r="D1174" t="str">
            <v>UN</v>
          </cell>
          <cell r="E1174">
            <v>5572.47</v>
          </cell>
          <cell r="F1174">
            <v>0</v>
          </cell>
        </row>
        <row r="1175">
          <cell r="B1175">
            <v>102614</v>
          </cell>
          <cell r="C1175" t="str">
            <v>CAIXA D´ÁGUA EM POLIÉSTER REFORÇADO COM FIBRA DE VIDRO, 1500 LITROS - FORNECIMENTO E INSTALAÇÃO. AF_06/2021</v>
          </cell>
          <cell r="D1175" t="str">
            <v>UN</v>
          </cell>
          <cell r="E1175">
            <v>1000.48</v>
          </cell>
          <cell r="F1175">
            <v>0</v>
          </cell>
        </row>
        <row r="1176">
          <cell r="B1176">
            <v>102620</v>
          </cell>
          <cell r="C1176" t="str">
            <v>CAIXA D´ÁGUA EM POLIÉSTER REFORÇADO COM FIBRA DE VIDRO, 15000 LITROS - FORNECIMENTO E INSTALAÇÃO. AF_06/2021</v>
          </cell>
          <cell r="D1176" t="str">
            <v>UN</v>
          </cell>
          <cell r="E1176">
            <v>8071.81</v>
          </cell>
          <cell r="F1176">
            <v>0</v>
          </cell>
        </row>
        <row r="1177">
          <cell r="B1177">
            <v>102615</v>
          </cell>
          <cell r="C1177" t="str">
            <v>CAIXA D´ÁGUA EM POLIÉSTER REFORÇADO COM FIBRA DE VIDRO, 2000 LITROS - FORNECIMENTO E INSTALAÇÃO. AF_06/2021</v>
          </cell>
          <cell r="D1177" t="str">
            <v>UN</v>
          </cell>
          <cell r="E1177">
            <v>1255.5899999999999</v>
          </cell>
          <cell r="F1177">
            <v>0</v>
          </cell>
        </row>
        <row r="1178">
          <cell r="B1178">
            <v>102621</v>
          </cell>
          <cell r="C1178" t="str">
            <v>CAIXA D´ÁGUA EM POLIÉSTER REFORÇADO COM FIBRA DE VIDRO, 20000 LITROS - FORNECIMENTO E INSTALAÇÃO. AF_06/2021</v>
          </cell>
          <cell r="D1178" t="str">
            <v>UN</v>
          </cell>
          <cell r="E1178">
            <v>12378.83</v>
          </cell>
          <cell r="F1178">
            <v>0</v>
          </cell>
        </row>
        <row r="1179">
          <cell r="B1179">
            <v>102616</v>
          </cell>
          <cell r="C1179" t="str">
            <v>CAIXA D´ÁGUA EM POLIÉSTER REFORÇADO COM FIBRA DE VIDRO, 3000 LITROS - FORNECIMENTO E INSTALAÇÃO. AF_06/2021</v>
          </cell>
          <cell r="D1179" t="str">
            <v>UN</v>
          </cell>
          <cell r="E1179">
            <v>1857.71</v>
          </cell>
          <cell r="F1179">
            <v>0</v>
          </cell>
        </row>
        <row r="1180">
          <cell r="B1180">
            <v>102611</v>
          </cell>
          <cell r="C1180" t="str">
            <v>CAIXA D´ÁGUA EM POLIÉSTER REFORÇADO COM FIBRA DE VIDRO, 500 LITROS - FORNECIMENTO E INSTALAÇÃO. AF_06/2021</v>
          </cell>
          <cell r="D1180" t="str">
            <v>UN</v>
          </cell>
          <cell r="E1180">
            <v>468.06</v>
          </cell>
          <cell r="F1180">
            <v>0</v>
          </cell>
        </row>
        <row r="1181">
          <cell r="B1181">
            <v>102617</v>
          </cell>
          <cell r="C1181" t="str">
            <v>CAIXA D´ÁGUA EM POLIÉSTER REFORÇADO COM FIBRA DE VIDRO, 5000 LITROS - FORNECIMENTO E INSTALAÇÃO. AF_06/2021</v>
          </cell>
          <cell r="D1181" t="str">
            <v>UN</v>
          </cell>
          <cell r="E1181">
            <v>3470.61</v>
          </cell>
          <cell r="F1181">
            <v>0</v>
          </cell>
        </row>
        <row r="1182">
          <cell r="B1182">
            <v>102618</v>
          </cell>
          <cell r="C1182" t="str">
            <v>CAIXA D´ÁGUA EM POLIÉSTER REFORÇADO COM FIBRA DE VIDRO, 7000 LITROS - FORNECIMENTO E INSTALAÇÃO. AF_06/2021</v>
          </cell>
          <cell r="D1182" t="str">
            <v>UN</v>
          </cell>
          <cell r="E1182">
            <v>4164.5600000000004</v>
          </cell>
          <cell r="F1182">
            <v>0</v>
          </cell>
        </row>
        <row r="1183">
          <cell r="B1183">
            <v>102612</v>
          </cell>
          <cell r="C1183" t="str">
            <v>CAIXA D´ÁGUA EM POLIÉSTER REFORÇADO COM FIBRA DE VIDRO, 750 LITROS - FORNECIMENTO E INSTALAÇÃO. AF_06/2021</v>
          </cell>
          <cell r="D1183" t="str">
            <v>UN</v>
          </cell>
          <cell r="E1183">
            <v>671.13</v>
          </cell>
          <cell r="F1183">
            <v>0</v>
          </cell>
        </row>
        <row r="1184">
          <cell r="B1184">
            <v>102603</v>
          </cell>
          <cell r="C1184" t="str">
            <v>FURO EM CAIXA D'ÁGUA COM ESPESSURA DE 2 ATÉ 5 MM E DIÂMETRO DE 100 MM. AF_06/2021</v>
          </cell>
          <cell r="D1184" t="str">
            <v>UN</v>
          </cell>
          <cell r="E1184">
            <v>15</v>
          </cell>
          <cell r="F1184">
            <v>0</v>
          </cell>
        </row>
        <row r="1185">
          <cell r="B1185">
            <v>102587</v>
          </cell>
          <cell r="C1185" t="str">
            <v>FURO EM CAIXA D'ÁGUA COM ESPESSURA DE 2 ATÉ 5 MM E DIÂMETRO DE 15 MM. AF_06/2021</v>
          </cell>
          <cell r="D1185" t="str">
            <v>UN</v>
          </cell>
          <cell r="E1185">
            <v>5.14</v>
          </cell>
          <cell r="F1185">
            <v>0</v>
          </cell>
        </row>
        <row r="1186">
          <cell r="B1186">
            <v>102589</v>
          </cell>
          <cell r="C1186" t="str">
            <v>FURO EM CAIXA D'ÁGUA COM ESPESSURA DE 2 ATÉ 5 MM E DIÂMETRO DE 20 MM. AF_06/2021</v>
          </cell>
          <cell r="D1186" t="str">
            <v>UN</v>
          </cell>
          <cell r="E1186">
            <v>5.72</v>
          </cell>
          <cell r="F1186">
            <v>0</v>
          </cell>
        </row>
        <row r="1187">
          <cell r="B1187">
            <v>102591</v>
          </cell>
          <cell r="C1187" t="str">
            <v>FURO EM CAIXA D'ÁGUA COM ESPESSURA DE 2 ATÉ 5 MM E DIÂMETRO DE 25 MM. AF_06/2021</v>
          </cell>
          <cell r="D1187" t="str">
            <v>UN</v>
          </cell>
          <cell r="E1187">
            <v>6.3</v>
          </cell>
          <cell r="F1187">
            <v>0</v>
          </cell>
        </row>
        <row r="1188">
          <cell r="B1188">
            <v>102593</v>
          </cell>
          <cell r="C1188" t="str">
            <v>FURO EM CAIXA D'ÁGUA COM ESPESSURA DE 2 ATÉ 5 MM E DIÂMETRO DE 32 MM. AF_06/2021</v>
          </cell>
          <cell r="D1188" t="str">
            <v>UN</v>
          </cell>
          <cell r="E1188">
            <v>7.12</v>
          </cell>
          <cell r="F1188">
            <v>0</v>
          </cell>
        </row>
        <row r="1189">
          <cell r="B1189">
            <v>102595</v>
          </cell>
          <cell r="C1189" t="str">
            <v>FURO EM CAIXA D'ÁGUA COM ESPESSURA DE 2 ATÉ 5 MM E DIÂMETRO DE 40 MM. AF_06/2021</v>
          </cell>
          <cell r="D1189" t="str">
            <v>UN</v>
          </cell>
          <cell r="E1189">
            <v>8.0399999999999991</v>
          </cell>
          <cell r="F1189">
            <v>0</v>
          </cell>
        </row>
        <row r="1190">
          <cell r="B1190">
            <v>102597</v>
          </cell>
          <cell r="C1190" t="str">
            <v>FURO EM CAIXA D'ÁGUA COM ESPESSURA DE 2 ATÉ 5 MM E DIÂMETRO DE 50 MM. AF_06/2021</v>
          </cell>
          <cell r="D1190" t="str">
            <v>UN</v>
          </cell>
          <cell r="E1190">
            <v>9.2100000000000009</v>
          </cell>
          <cell r="F1190">
            <v>0</v>
          </cell>
        </row>
        <row r="1191">
          <cell r="B1191">
            <v>102599</v>
          </cell>
          <cell r="C1191" t="str">
            <v>FURO EM CAIXA D'ÁGUA COM ESPESSURA DE 2 ATÉ 5 MM E DIÂMETRO DE 60 MM. AF_06/2021</v>
          </cell>
          <cell r="D1191" t="str">
            <v>UN</v>
          </cell>
          <cell r="E1191">
            <v>10.36</v>
          </cell>
          <cell r="F1191">
            <v>0</v>
          </cell>
        </row>
        <row r="1192">
          <cell r="B1192">
            <v>102601</v>
          </cell>
          <cell r="C1192" t="str">
            <v>FURO EM CAIXA D'ÁGUA COM ESPESSURA DE 2 ATÉ 5 MM E DIÂMETRO DE 75 MM. AF_06/2021</v>
          </cell>
          <cell r="D1192" t="str">
            <v>UN</v>
          </cell>
          <cell r="E1192">
            <v>12.1</v>
          </cell>
          <cell r="F1192">
            <v>0</v>
          </cell>
        </row>
        <row r="1193">
          <cell r="B1193">
            <v>102604</v>
          </cell>
          <cell r="C1193" t="str">
            <v>FURO EM CAIXA D'ÁGUA COM ESPESSURA DE 6 ATÉ 8 MM E DIÂMETRO DE 100 MM. AF_06/2021</v>
          </cell>
          <cell r="D1193" t="str">
            <v>UN</v>
          </cell>
          <cell r="E1193">
            <v>17.309999999999999</v>
          </cell>
          <cell r="F1193">
            <v>0</v>
          </cell>
        </row>
        <row r="1194">
          <cell r="B1194">
            <v>102588</v>
          </cell>
          <cell r="C1194" t="str">
            <v>FURO EM CAIXA D'ÁGUA COM ESPESSURA DE 6 ATÉ 8 MM E DIÂMETRO DE 15 MM. AF_06/2021</v>
          </cell>
          <cell r="D1194" t="str">
            <v>UN</v>
          </cell>
          <cell r="E1194">
            <v>7.44</v>
          </cell>
          <cell r="F1194">
            <v>0</v>
          </cell>
        </row>
        <row r="1195">
          <cell r="B1195">
            <v>102590</v>
          </cell>
          <cell r="C1195" t="str">
            <v>FURO EM CAIXA D'ÁGUA COM ESPESSURA DE 6 ATÉ 8 MM E DIÂMETRO DE 20 MM. AF_06/2021</v>
          </cell>
          <cell r="D1195" t="str">
            <v>UN</v>
          </cell>
          <cell r="E1195">
            <v>8.0299999999999994</v>
          </cell>
          <cell r="F1195">
            <v>0</v>
          </cell>
        </row>
        <row r="1196">
          <cell r="B1196">
            <v>102592</v>
          </cell>
          <cell r="C1196" t="str">
            <v>FURO EM CAIXA D'ÁGUA COM ESPESSURA DE 6 ATÉ 8 MM E DIÂMETRO DE 25 MM. AF_06/2021</v>
          </cell>
          <cell r="D1196" t="str">
            <v>UN</v>
          </cell>
          <cell r="E1196">
            <v>8.59</v>
          </cell>
          <cell r="F1196">
            <v>0</v>
          </cell>
        </row>
        <row r="1197">
          <cell r="B1197">
            <v>102594</v>
          </cell>
          <cell r="C1197" t="str">
            <v>FURO EM CAIXA D'ÁGUA COM ESPESSURA DE 6 ATÉ 8 MM E DIÂMETRO DE 32 MM. AF_06/2021</v>
          </cell>
          <cell r="D1197" t="str">
            <v>UN</v>
          </cell>
          <cell r="E1197">
            <v>9.41</v>
          </cell>
          <cell r="F1197">
            <v>0</v>
          </cell>
        </row>
        <row r="1198">
          <cell r="B1198">
            <v>102596</v>
          </cell>
          <cell r="C1198" t="str">
            <v>FURO EM CAIXA D'ÁGUA COM ESPESSURA DE 6 ATÉ 8 MM E DIÂMETRO DE 40 MM. AF_06/2021</v>
          </cell>
          <cell r="D1198" t="str">
            <v>UN</v>
          </cell>
          <cell r="E1198">
            <v>10.34</v>
          </cell>
          <cell r="F1198">
            <v>0</v>
          </cell>
        </row>
        <row r="1199">
          <cell r="B1199">
            <v>102598</v>
          </cell>
          <cell r="C1199" t="str">
            <v>FURO EM CAIXA D'ÁGUA COM ESPESSURA DE 6 ATÉ 8 MM E DIÂMETRO DE 50 MM. AF_06/2021</v>
          </cell>
          <cell r="D1199" t="str">
            <v>UN</v>
          </cell>
          <cell r="E1199">
            <v>11.5</v>
          </cell>
          <cell r="F1199">
            <v>0</v>
          </cell>
        </row>
        <row r="1200">
          <cell r="B1200">
            <v>102600</v>
          </cell>
          <cell r="C1200" t="str">
            <v>FURO EM CAIXA D'ÁGUA COM ESPESSURA DE 6 ATÉ 8 MM E DIÂMETRO DE 60 MM. AF_06/2021</v>
          </cell>
          <cell r="D1200" t="str">
            <v>UN</v>
          </cell>
          <cell r="E1200">
            <v>12.66</v>
          </cell>
          <cell r="F1200">
            <v>0</v>
          </cell>
        </row>
        <row r="1201">
          <cell r="B1201">
            <v>102602</v>
          </cell>
          <cell r="C1201" t="str">
            <v>FURO EM CAIXA D'ÁGUA COM ESPESSURA DE 6 ATÉ 8 MM E DIÂMETRO DE 75 MM. AF_06/2021</v>
          </cell>
          <cell r="D1201" t="str">
            <v>UN</v>
          </cell>
          <cell r="E1201">
            <v>14.4</v>
          </cell>
          <cell r="F1201">
            <v>0</v>
          </cell>
        </row>
        <row r="1202">
          <cell r="B1202">
            <v>103005</v>
          </cell>
          <cell r="C1202" t="str">
            <v>CAIXA COM GRELHA RETANGULAR DE FERRO FUNDIDO, EM ALVENARIA COM TIJOLOS CERÂMICOS MACIÇOS, DIMENSÕES INTERNAS: 0,15 X 1,00 X 0,3 M. AF_05/2025</v>
          </cell>
          <cell r="D1202" t="str">
            <v>UN</v>
          </cell>
          <cell r="E1202">
            <v>643.38</v>
          </cell>
          <cell r="F1202">
            <v>0</v>
          </cell>
        </row>
        <row r="1203">
          <cell r="B1203">
            <v>103006</v>
          </cell>
          <cell r="C1203" t="str">
            <v>CAIXA COM GRELHA RETANGULAR DE FERRO FUNDIDO, EM ALVENARIA COM TIJOLOS CERÂMICOS MACIÇOS, DIMENSÕES INTERNAS: 0,20 X 1,00 X 0,4 M. AF_05/2025</v>
          </cell>
          <cell r="D1203" t="str">
            <v>UN</v>
          </cell>
          <cell r="E1203">
            <v>816.49</v>
          </cell>
          <cell r="F1203">
            <v>0</v>
          </cell>
        </row>
        <row r="1204">
          <cell r="B1204">
            <v>103007</v>
          </cell>
          <cell r="C1204" t="str">
            <v>CAIXA COM GRELHA RETANGULAR DE FERRO FUNDIDO, EM ALVENARIA COM TIJOLOS CERÂMICOS MACIÇOS, DIMENSÕES INTERNAS: 0,30 X 1,00 X 0,5 M. AF_05/2025</v>
          </cell>
          <cell r="D1204" t="str">
            <v>UN</v>
          </cell>
          <cell r="E1204">
            <v>1077.49</v>
          </cell>
          <cell r="F1204">
            <v>0</v>
          </cell>
        </row>
        <row r="1205">
          <cell r="B1205">
            <v>103004</v>
          </cell>
          <cell r="C1205" t="str">
            <v>CANALETA DE CONCRETO POLIMÉRICO COM GRELHA, LARGURA DE 13 CM - FORNECIMENTO E INSTALAÇÃO. AF_05/2025</v>
          </cell>
          <cell r="D1205" t="str">
            <v>M</v>
          </cell>
          <cell r="E1205">
            <v>0</v>
          </cell>
        </row>
        <row r="1206">
          <cell r="B1206">
            <v>102989</v>
          </cell>
          <cell r="C1206" t="str">
            <v>CANALETA MEIA CANA PRÉ-MOLDADA DE CONCRETO (D = 20 CM) - FORNECIMENTO E INSTALAÇÃO. AF_05/2025</v>
          </cell>
          <cell r="D1206" t="str">
            <v>M</v>
          </cell>
          <cell r="E1206">
            <v>47.86</v>
          </cell>
          <cell r="F1206">
            <v>0</v>
          </cell>
        </row>
        <row r="1207">
          <cell r="B1207">
            <v>102990</v>
          </cell>
          <cell r="C1207" t="str">
            <v>CANALETA MEIA CANA PRÉ-MOLDADA DE CONCRETO (D = 30 CM) - FORNECIMENTO E INSTALAÇÃO. AF_05/2025</v>
          </cell>
          <cell r="D1207" t="str">
            <v>M</v>
          </cell>
          <cell r="E1207">
            <v>60.14</v>
          </cell>
          <cell r="F1207">
            <v>0</v>
          </cell>
        </row>
        <row r="1208">
          <cell r="B1208">
            <v>102991</v>
          </cell>
          <cell r="C1208" t="str">
            <v>CANALETA MEIA CANA PRÉ-MOLDADA DE CONCRETO (D = 40 CM) - FORNECIMENTO E INSTALAÇÃO. AF_05/2025</v>
          </cell>
          <cell r="D1208" t="str">
            <v>M</v>
          </cell>
          <cell r="E1208">
            <v>79.16</v>
          </cell>
          <cell r="F1208">
            <v>0</v>
          </cell>
        </row>
        <row r="1209">
          <cell r="B1209">
            <v>102992</v>
          </cell>
          <cell r="C1209" t="str">
            <v>CANALETA MEIA CANA PRÉ-MOLDADA DE CONCRETO (D = 50 CM) - FORNECIMENTO E INSTALAÇÃO. AF_05/2025</v>
          </cell>
          <cell r="D1209" t="str">
            <v>M</v>
          </cell>
          <cell r="E1209">
            <v>114.93</v>
          </cell>
          <cell r="F1209">
            <v>0</v>
          </cell>
        </row>
        <row r="1210">
          <cell r="B1210">
            <v>102993</v>
          </cell>
          <cell r="C1210" t="str">
            <v>CANALETA MEIA CANA PRÉ-MOLDADA DE CONCRETO (D = 60 CM) - FORNECIMENTO E INSTALAÇÃO. AF_05/2025</v>
          </cell>
          <cell r="D1210" t="str">
            <v>M</v>
          </cell>
          <cell r="E1210">
            <v>149.46</v>
          </cell>
          <cell r="F1210">
            <v>0</v>
          </cell>
        </row>
        <row r="1211">
          <cell r="B1211">
            <v>102994</v>
          </cell>
          <cell r="C1211" t="str">
            <v>CANALETA MEIA CANA PRÉ-MOLDADA DE CONCRETO (D = 80 CM) - FORNECIMENTO E INSTALAÇÃO. AF_05/2025</v>
          </cell>
          <cell r="D1211" t="str">
            <v>M</v>
          </cell>
          <cell r="E1211">
            <v>279.2</v>
          </cell>
          <cell r="F1211">
            <v>0</v>
          </cell>
        </row>
        <row r="1212">
          <cell r="B1212">
            <v>106017</v>
          </cell>
          <cell r="C1212" t="str">
            <v>CANALETA PRÉ-MOLDADA DE CONCRETO, COM GRELHA PERFURADA DE CONCRETO, GEOMETRIA RETANGULAR, COM DIMENSÕES INTERNAS: L=0,20 M; H=0,20 M; C=*0,60* M - FORNECIMENTO E INSTALAÇÃO. AF_05/2025</v>
          </cell>
          <cell r="D1212" t="str">
            <v>UN</v>
          </cell>
          <cell r="E1212">
            <v>0</v>
          </cell>
        </row>
        <row r="1213">
          <cell r="B1213">
            <v>105944</v>
          </cell>
          <cell r="C1213" t="str">
            <v>CONCRETAGEM DE VALETA/ CANALETA MOLDADA IN LOCO. AF_05/2025</v>
          </cell>
          <cell r="D1213" t="str">
            <v>M3</v>
          </cell>
          <cell r="E1213">
            <v>806.8</v>
          </cell>
          <cell r="F1213">
            <v>0</v>
          </cell>
        </row>
        <row r="1214">
          <cell r="B1214">
            <v>106004</v>
          </cell>
          <cell r="C1214" t="str">
            <v>EXECUÇÃO DE CANALETA DE CONCRETO ARMADO MOLDADA IN LOCO, ESPESSURA DE 0,1 M, GEOMETRIA QUADRADA, COM DIMENSÕES INTERNAS: L=0,20 M; H=0,20 M. AF_05/2025</v>
          </cell>
          <cell r="D1214" t="str">
            <v>M</v>
          </cell>
          <cell r="E1214">
            <v>189.69</v>
          </cell>
          <cell r="F1214">
            <v>0</v>
          </cell>
        </row>
        <row r="1215">
          <cell r="B1215">
            <v>106005</v>
          </cell>
          <cell r="C1215" t="str">
            <v>EXECUÇÃO DE CANALETA DE CONCRETO ARMADO MOLDADA IN LOCO, ESPESSURA DE 0,1 M, GEOMETRIA QUADRADA, COM DIMENSÕES INTERNAS: L=0,25 M; H=0,25 M. AF_05/2025</v>
          </cell>
          <cell r="D1215" t="str">
            <v>M</v>
          </cell>
          <cell r="E1215">
            <v>224.4</v>
          </cell>
          <cell r="F1215">
            <v>0</v>
          </cell>
        </row>
        <row r="1216">
          <cell r="B1216">
            <v>106006</v>
          </cell>
          <cell r="C1216" t="str">
            <v>EXECUÇÃO DE CANALETA DE CONCRETO ARMADO MOLDADA IN LOCO, ESPESSURA DE 0,1 M, GEOMETRIA QUADRADA, COM DIMENSÕES INTERNAS: L=0,30 M; H=0,30 M. AF_05/2025</v>
          </cell>
          <cell r="D1216" t="str">
            <v>M</v>
          </cell>
          <cell r="E1216">
            <v>267.16000000000003</v>
          </cell>
          <cell r="F1216">
            <v>0</v>
          </cell>
        </row>
        <row r="1217">
          <cell r="B1217">
            <v>106007</v>
          </cell>
          <cell r="C1217" t="str">
            <v>EXECUÇÃO DE CANALETA DE CONCRETO ARMADO MOLDADA IN LOCO, ESPESSURA DE 0,1 M, GEOMETRIA QUADRADA, COM DIMENSÕES INTERNAS: L=0,35 M; H=0,35 M. AF_05/2025</v>
          </cell>
          <cell r="D1217" t="str">
            <v>M</v>
          </cell>
          <cell r="E1217">
            <v>304.58</v>
          </cell>
          <cell r="F1217">
            <v>0</v>
          </cell>
        </row>
        <row r="1218">
          <cell r="B1218">
            <v>106008</v>
          </cell>
          <cell r="C1218" t="str">
            <v>EXECUÇÃO DE CANALETA DE CONCRETO ARMADO MOLDADA IN LOCO, ESPESSURA DE 0,1 M, GEOMETRIA QUADRADA, COM DIMENSÕES INTERNAS: L=0,40 M; H=0,40 M. AF_05/2025</v>
          </cell>
          <cell r="D1218" t="str">
            <v>M</v>
          </cell>
          <cell r="E1218">
            <v>341.97</v>
          </cell>
          <cell r="F1218">
            <v>0</v>
          </cell>
        </row>
        <row r="1219">
          <cell r="B1219">
            <v>106009</v>
          </cell>
          <cell r="C1219" t="str">
            <v>EXECUÇÃO DE CANALETA DE CONCRETO ARMADO MOLDADA IN LOCO, ESPESSURA DE 0,1 M, GEOMETRIA QUADRADA, COM DIMENSÕES INTERNAS: L=0,50 M; H=0,50 M. AF_05/2025</v>
          </cell>
          <cell r="D1219" t="str">
            <v>M</v>
          </cell>
          <cell r="E1219">
            <v>422.13</v>
          </cell>
          <cell r="F1219">
            <v>0</v>
          </cell>
        </row>
        <row r="1220">
          <cell r="B1220">
            <v>106010</v>
          </cell>
          <cell r="C1220" t="str">
            <v>EXECUÇÃO DE CANALETA DE CONCRETO ARMADO MOLDADA IN LOCO, ESPESSURA DE 0,1 M, GEOMETRIA QUADRADA, COM DIMENSÕES INTERNAS: L=0,60 M; H=0,60 M. AF_05/2025</v>
          </cell>
          <cell r="D1220" t="str">
            <v>M</v>
          </cell>
          <cell r="E1220">
            <v>494.26</v>
          </cell>
          <cell r="F1220">
            <v>0</v>
          </cell>
        </row>
        <row r="1221">
          <cell r="B1221">
            <v>106011</v>
          </cell>
          <cell r="C1221" t="str">
            <v>EXECUÇÃO DE CANALETA DE CONCRETO MOLDADO IN LOCO, COM GRELHA DE CONCRETO; ESPESSURA DE 0,15 M, GEOMETRIA RETANGULAR, COM DIMENSÕES INTERNAS: L=0,4 M; H=*0,3*M. AF_05/2025</v>
          </cell>
          <cell r="D1221" t="str">
            <v>M</v>
          </cell>
          <cell r="E1221">
            <v>852.32</v>
          </cell>
          <cell r="F1221">
            <v>0</v>
          </cell>
        </row>
        <row r="1222">
          <cell r="B1222">
            <v>106013</v>
          </cell>
          <cell r="C1222" t="str">
            <v>EXECUÇÃO DE CANALETA DE CONCRETO MOLDADO IN LOCO, COM GRELHA DE CONCRETO; ESPESSURA DE 0,15 M, GEOMETRIA RETANGULAR, COM DIMENSÕES INTERNAS: L=0,60 M; H=0,50 M. AF_05/2025</v>
          </cell>
          <cell r="D1222" t="str">
            <v>M</v>
          </cell>
          <cell r="E1222">
            <v>1067.1500000000001</v>
          </cell>
          <cell r="F1222">
            <v>0</v>
          </cell>
        </row>
        <row r="1223">
          <cell r="B1223">
            <v>106012</v>
          </cell>
          <cell r="C1223" t="str">
            <v>EXECUÇÃO DE CANALETA DE CONCRETO MOLDADO IN LOCO, COM GRELHA DE CONCRETO; ESPESSURA DE 0,15 M, GEOMETRIA RETANGULAR, COM DIMENSÕES INTERNAS:L=*0,6* M; H=* 0,3* M. AF_05/2025</v>
          </cell>
          <cell r="D1223" t="str">
            <v>M</v>
          </cell>
          <cell r="E1223">
            <v>937.53</v>
          </cell>
          <cell r="F1223">
            <v>0</v>
          </cell>
        </row>
        <row r="1224">
          <cell r="B1224">
            <v>106014</v>
          </cell>
          <cell r="C1224" t="str">
            <v>EXECUÇÃO DE CANALETA DE CONCRETO MOLDADO IN LOCO, COM GRELHA DE CONCRETO; ESPESSURA DE 0,20 M, GEOMETRIA RETANGULAR, COM DIMENSÕES INTERNAS: L=0,80 M; H=0,30 M. AF_05/2025</v>
          </cell>
          <cell r="D1224" t="str">
            <v>M</v>
          </cell>
          <cell r="E1224">
            <v>1191.83</v>
          </cell>
          <cell r="F1224">
            <v>0</v>
          </cell>
        </row>
        <row r="1225">
          <cell r="B1225">
            <v>106015</v>
          </cell>
          <cell r="C1225" t="str">
            <v>EXECUÇÃO DE CANALETA DE CONCRETO MOLDADO IN LOCO, COM GRELHA DE CONCRETO; ESPESSURA DE 0,20 M, GEOMETRIA RETANGULAR, COM DIMENSÕES INTERNAS: L=0,80 M; H=0,60 M. AF_05/2025</v>
          </cell>
          <cell r="D1225" t="str">
            <v>M</v>
          </cell>
          <cell r="E1225">
            <v>1431.23</v>
          </cell>
          <cell r="F1225">
            <v>0</v>
          </cell>
        </row>
        <row r="1226">
          <cell r="B1226">
            <v>106016</v>
          </cell>
          <cell r="C1226" t="str">
            <v>EXECUÇÃO DE CANALETA DE CONCRETO MOLDADO IN LOCO, COM GRELHA DE CONCRETO; ESPESSURA DE 0,20 M, GEOMETRIA RETANGULAR, COM DIMENSÕES INTERNAS: L=0,80 M; H=0,90 M. AF_05/2025</v>
          </cell>
          <cell r="D1226" t="str">
            <v>M</v>
          </cell>
          <cell r="E1226">
            <v>1684.46</v>
          </cell>
          <cell r="F1226">
            <v>0</v>
          </cell>
        </row>
        <row r="1227">
          <cell r="B1227">
            <v>106003</v>
          </cell>
          <cell r="C1227" t="str">
            <v>EXECUÇÃO DE VALETA DE CONCRETO ARMADO MOLDADO IN LOCO, ESPESSURA DE 0,08 M, GEOMETRIA TRAPEIZOIDAL, COM DIMENSÕES INTERNAS: B1=*1,20* M; B2=*0,4* M; H=0,4 M. AF_05/2025</v>
          </cell>
          <cell r="D1227" t="str">
            <v>M</v>
          </cell>
          <cell r="E1227">
            <v>174.88</v>
          </cell>
          <cell r="F1227">
            <v>0</v>
          </cell>
        </row>
        <row r="1228">
          <cell r="B1228">
            <v>105997</v>
          </cell>
          <cell r="C1228" t="str">
            <v>EXECUÇÃO DE VALETA DE CONCRETO ARMADO MOLDADO IN LOCO, ESPESSURA DE 0,08 M, GEOMETRIA TRAPEIZOIDAL, COM DIMENSÕES INTERNAS: B1=0,6 M; B2=0,20 M; H=0,20 M. AF_05/2025</v>
          </cell>
          <cell r="D1228" t="str">
            <v>M</v>
          </cell>
          <cell r="E1228">
            <v>95.75</v>
          </cell>
          <cell r="F1228">
            <v>0</v>
          </cell>
        </row>
        <row r="1229">
          <cell r="B1229">
            <v>105998</v>
          </cell>
          <cell r="C1229" t="str">
            <v>EXECUÇÃO DE VALETA DE CONCRETO ARMADO MOLDADO IN LOCO, ESPESSURA DE 0,08 M, GEOMETRIA TRAPEIZOIDAL, COM DIMENSÕES INTERNAS: B1=0,7 M; B2=0,30 M; H=0,20 M. AF_05/2025</v>
          </cell>
          <cell r="D1229" t="str">
            <v>M</v>
          </cell>
          <cell r="E1229">
            <v>106.09</v>
          </cell>
          <cell r="F1229">
            <v>0</v>
          </cell>
        </row>
        <row r="1230">
          <cell r="B1230">
            <v>105999</v>
          </cell>
          <cell r="C1230" t="str">
            <v>EXECUÇÃO DE VALETA DE CONCRETO ARMADO MOLDADO IN LOCO, ESPESSURA DE 0,08 M, GEOMETRIA TRAPEIZOIDAL, COM DIMENSÕES INTERNAS: B1=0,8 M; B2=0,30 M; H=0,25 M. AF_05/2025</v>
          </cell>
          <cell r="D1230" t="str">
            <v>M</v>
          </cell>
          <cell r="E1230">
            <v>120.71</v>
          </cell>
          <cell r="F1230">
            <v>0</v>
          </cell>
        </row>
        <row r="1231">
          <cell r="B1231">
            <v>106000</v>
          </cell>
          <cell r="C1231" t="str">
            <v>EXECUÇÃO DE VALETA DE CONCRETO ARMADO MOLDADO IN LOCO, ESPESSURA DE 0,08 M, GEOMETRIA TRAPEIZOIDAL, COM DIMENSÕES INTERNAS: B1=0,9 M; B2=0,30 M; H=0,30 M. AF_05/2025</v>
          </cell>
          <cell r="D1231" t="str">
            <v>M</v>
          </cell>
          <cell r="E1231">
            <v>135.32</v>
          </cell>
          <cell r="F1231">
            <v>0</v>
          </cell>
        </row>
        <row r="1232">
          <cell r="B1232">
            <v>106001</v>
          </cell>
          <cell r="C1232" t="str">
            <v>EXECUÇÃO DE VALETA DE CONCRETO ARMADO MOLDADO IN LOCO, ESPESSURA DE 0,08 M, GEOMETRIA TRAPEIZOIDAL, COM DIMENSÕES INTERNAS: B1=1,0 M; B2=0,40 M; H=0,30 M. AF_05/2025</v>
          </cell>
          <cell r="D1232" t="str">
            <v>M</v>
          </cell>
          <cell r="E1232">
            <v>145.65</v>
          </cell>
          <cell r="F1232">
            <v>0</v>
          </cell>
        </row>
        <row r="1233">
          <cell r="B1233">
            <v>106002</v>
          </cell>
          <cell r="C1233" t="str">
            <v>EXECUÇÃO DE VALETA DE CONCRETO ARMADO MOLDADO IN LOCO, ESPESSURA DE 0,08 M, GEOMETRIA TRAPEIZOIDAL, COM DIMENSÕES INTERNAS: B1=1,1 M; B2=0,40 M; H=0,35 M. AF_05/2025</v>
          </cell>
          <cell r="D1233" t="str">
            <v>M</v>
          </cell>
          <cell r="E1233">
            <v>160.28</v>
          </cell>
          <cell r="F1233">
            <v>0</v>
          </cell>
        </row>
        <row r="1234">
          <cell r="B1234">
            <v>105992</v>
          </cell>
          <cell r="C1234" t="str">
            <v>EXECUÇÃO DE VALETA DE CONCRETO MOLDADO IN LOCO, ESPESSURA DE 0,08 M, GEOMETRIA TRAPEIZOIDAL, COM DIMENSÕES INTERNAS: B1=*1,0* M; B2=0,40 M; H=*0,30* M. AF_05/2025</v>
          </cell>
          <cell r="D1234" t="str">
            <v>M</v>
          </cell>
          <cell r="E1234">
            <v>105.06</v>
          </cell>
          <cell r="F1234">
            <v>0</v>
          </cell>
        </row>
        <row r="1235">
          <cell r="B1235">
            <v>105993</v>
          </cell>
          <cell r="C1235" t="str">
            <v>EXECUÇÃO DE VALETA DE CONCRETO MOLDADO IN LOCO, ESPESSURA DE 0,08 M, GEOMETRIA TRAPEIZOIDAL, COM DIMENSÕES INTERNAS: B1=*1,2* M; B2=*0,4* M; H= 0,4 M. AF_05/2025</v>
          </cell>
          <cell r="D1235" t="str">
            <v>M</v>
          </cell>
          <cell r="E1235">
            <v>126.06</v>
          </cell>
          <cell r="F1235">
            <v>0</v>
          </cell>
        </row>
        <row r="1236">
          <cell r="B1236">
            <v>105994</v>
          </cell>
          <cell r="C1236" t="str">
            <v>EXECUÇÃO DE VALETA DE CONCRETO MOLDADO IN LOCO, ESPESSURA DE 0,08 M, GEOMETRIA TRAPEIZOIDAL, COM DIMENSÕES INTERNAS: B1=*1,5* M; B2=*0,50* M; H=*0,50* M. AF_05/2025</v>
          </cell>
          <cell r="D1236" t="str">
            <v>M</v>
          </cell>
          <cell r="E1236">
            <v>154.5</v>
          </cell>
          <cell r="F1236">
            <v>0</v>
          </cell>
        </row>
        <row r="1237">
          <cell r="B1237">
            <v>105995</v>
          </cell>
          <cell r="C1237" t="str">
            <v>EXECUÇÃO DE VALETA DE CONCRETO MOLDADO IN LOCO, ESPESSURA DE 0,08 M, GEOMETRIA TRAPEIZOIDAL, COM DIMENSÕES INTERNAS: B1=*1,8* M; B2=*0,60* M; H=*0,6* M. AF_05/2025</v>
          </cell>
          <cell r="D1237" t="str">
            <v>M</v>
          </cell>
          <cell r="E1237">
            <v>183</v>
          </cell>
          <cell r="F1237">
            <v>0</v>
          </cell>
        </row>
        <row r="1238">
          <cell r="B1238">
            <v>105996</v>
          </cell>
          <cell r="C1238" t="str">
            <v>EXECUÇÃO DE VALETA DE CONCRETO MOLDADO IN LOCO, ESPESSURA DE 0,08 M, GEOMETRIA TRAPEIZOIDAL, COM DIMENSÕES INTERNAS: B1=*2,0* M; B2=*0,8* M; H=0,6 M. AF_05/2025</v>
          </cell>
          <cell r="D1238" t="str">
            <v>M</v>
          </cell>
          <cell r="E1238">
            <v>197.85</v>
          </cell>
          <cell r="F1238">
            <v>0</v>
          </cell>
        </row>
        <row r="1239">
          <cell r="B1239">
            <v>105988</v>
          </cell>
          <cell r="C1239" t="str">
            <v>EXECUÇÃO DE VALETA DE CONCRETO MOLDADO IN LOCO, ESPESSURA DE 0,08 M, GEOMETRIA TRAPEIZOIDAL, COM DIMENSÕES INTERNAS: B1=0,6M; B2=0,20 M; H=0,20 M. AF_05/2025</v>
          </cell>
          <cell r="D1239" t="str">
            <v>M</v>
          </cell>
          <cell r="E1239">
            <v>69.209999999999994</v>
          </cell>
          <cell r="F1239">
            <v>0</v>
          </cell>
        </row>
        <row r="1240">
          <cell r="B1240">
            <v>105989</v>
          </cell>
          <cell r="C1240" t="str">
            <v>EXECUÇÃO DE VALETA DE CONCRETO MOLDADO IN LOCO, ESPESSURA DE 0,08 M, GEOMETRIA TRAPEIZOIDAL, COM DIMENSÕES INTERNAS: B1=0,7 M; B2=0,30 M; H=0,20 M. AF_05/2025</v>
          </cell>
          <cell r="D1240" t="str">
            <v>M</v>
          </cell>
          <cell r="E1240">
            <v>76.64</v>
          </cell>
          <cell r="F1240">
            <v>0</v>
          </cell>
        </row>
        <row r="1241">
          <cell r="B1241">
            <v>105990</v>
          </cell>
          <cell r="C1241" t="str">
            <v>EXECUÇÃO DE VALETA DE CONCRETO MOLDADO IN LOCO, ESPESSURA DE 0,08 M, GEOMETRIA TRAPEIZOIDAL, COM DIMENSÕES INTERNAS: B1=0,8 M; B2=0,30 M; H=0,25 M. AF_05/2025</v>
          </cell>
          <cell r="D1241" t="str">
            <v>M</v>
          </cell>
          <cell r="E1241">
            <v>87.14</v>
          </cell>
          <cell r="F1241">
            <v>0</v>
          </cell>
        </row>
        <row r="1242">
          <cell r="B1242">
            <v>105991</v>
          </cell>
          <cell r="C1242" t="str">
            <v>EXECUÇÃO DE VALETA DE CONCRETO MOLDADO IN LOCO, ESPESSURA DE 0,08 M, GEOMETRIA TRAPEIZOIDAL, COM DIMENSÕES INTERNAS: B1=0,9 M; B2=0,30 M; H=0,30 M. AF_05/2025</v>
          </cell>
          <cell r="D1242" t="str">
            <v>M</v>
          </cell>
          <cell r="E1242">
            <v>97.64</v>
          </cell>
          <cell r="F1242">
            <v>0</v>
          </cell>
        </row>
        <row r="1243">
          <cell r="B1243">
            <v>105987</v>
          </cell>
          <cell r="C1243" t="str">
            <v>EXECUÇÃO DE VALETA DE CONCRETO MOLDADO IN LOCO, ESPESSURA DE 0,08 M, GEOMETRIA TRAPEIZOIDAL, COM DIMENSÕES INTERNAS: B1=1,2 M; B2=0,6 M; H=0,3 M. AF_05/2025</v>
          </cell>
          <cell r="D1243" t="str">
            <v>M</v>
          </cell>
          <cell r="E1243">
            <v>119.92</v>
          </cell>
          <cell r="F1243">
            <v>0</v>
          </cell>
        </row>
        <row r="1244">
          <cell r="B1244">
            <v>105986</v>
          </cell>
          <cell r="C1244" t="str">
            <v>EXECUÇÃO DE VALETA DE CONCRETO MOLDADO IN LOCO, ESPESSURA DE 0,08 M, GEOMETRIA TRAPEIZOIDAL, COM DIMENSÕES INTERNAS: B1=1,6 M; B2=1,0 M; H=0,3 M. AF_05/2025</v>
          </cell>
          <cell r="D1244" t="str">
            <v>M</v>
          </cell>
          <cell r="E1244">
            <v>149.65</v>
          </cell>
          <cell r="F1244">
            <v>0</v>
          </cell>
        </row>
        <row r="1245">
          <cell r="B1245">
            <v>106019</v>
          </cell>
          <cell r="C1245" t="str">
            <v>GRELHA ARTICULADA PARA CALHA DE PISO 20X50 CM - FORNECIMENTO E INSTALAÇÃO. AF_05/2025</v>
          </cell>
          <cell r="D1245" t="str">
            <v>UN</v>
          </cell>
          <cell r="E1245">
            <v>0</v>
          </cell>
        </row>
        <row r="1246">
          <cell r="B1246">
            <v>103001</v>
          </cell>
          <cell r="C1246" t="str">
            <v>GRELHA DE FERRO FUNDIDO SIMPLES COM REQUADRO, 150 X 1000 MM, ASSENTADA COM ARGAMASSA 1 : 3 CIMENTO: AREIA - FORNECIMENTO E INSTALAÇÃO. AF_05/2025</v>
          </cell>
          <cell r="D1246" t="str">
            <v>UN</v>
          </cell>
          <cell r="E1246">
            <v>197.85</v>
          </cell>
          <cell r="F1246">
            <v>0</v>
          </cell>
        </row>
        <row r="1247">
          <cell r="B1247">
            <v>103002</v>
          </cell>
          <cell r="C1247" t="str">
            <v>GRELHA DE FERRO FUNDIDO SIMPLES COM REQUADRO, 200 X 1000 MM, ASSENTADA COM ARGAMASSA 1 : 3 CIMENTO: AREIA - FORNECIMENTO E INSTALAÇÃO. AF_05/2025</v>
          </cell>
          <cell r="D1247" t="str">
            <v>UN</v>
          </cell>
          <cell r="E1247">
            <v>246.86</v>
          </cell>
          <cell r="F1247">
            <v>0</v>
          </cell>
        </row>
        <row r="1248">
          <cell r="B1248">
            <v>103003</v>
          </cell>
          <cell r="C1248" t="str">
            <v>GRELHA DE FERRO FUNDIDO SIMPLES COM REQUADRO, 300 X 1000 MM, ASSENTADA COM ARGAMASSA 1 : 3 CIMENTO: AREIA - FORNECIMENTO E INSTALAÇÃO. AF_05/2025</v>
          </cell>
          <cell r="D1248" t="str">
            <v>UN</v>
          </cell>
          <cell r="E1248">
            <v>344.87</v>
          </cell>
          <cell r="F1248">
            <v>0</v>
          </cell>
        </row>
        <row r="1249">
          <cell r="B1249">
            <v>106018</v>
          </cell>
          <cell r="C1249" t="str">
            <v>GRELHA PARA CALHA DE PISO 20X50 CM - FORNECIMENTO E INSTALAÇÃO. AF_05/2025</v>
          </cell>
          <cell r="D1249" t="str">
            <v>UN</v>
          </cell>
          <cell r="E1249">
            <v>0</v>
          </cell>
        </row>
        <row r="1250">
          <cell r="B1250">
            <v>105945</v>
          </cell>
          <cell r="C1250" t="str">
            <v>PREPARO DE SOLO E GABARITO DE MADEIRA PARA VALETA MOLDADA IN LOCO COM GEOMETRIA TRAPEZOIDAL. AF_05/2025</v>
          </cell>
          <cell r="D1250" t="str">
            <v>M2</v>
          </cell>
          <cell r="E1250">
            <v>9.7200000000000006</v>
          </cell>
          <cell r="F1250">
            <v>0</v>
          </cell>
        </row>
        <row r="1251">
          <cell r="B1251">
            <v>98522</v>
          </cell>
          <cell r="C1251" t="str">
            <v>ALAMBRADO EM MOURÕES DE CONCRETO, COM TELA DE ARAME GALVANIZADO (INCLUSIVE MURETA EM CONCRETO). AF_12/2025</v>
          </cell>
          <cell r="D1251" t="str">
            <v>M</v>
          </cell>
          <cell r="E1251">
            <v>178.44</v>
          </cell>
          <cell r="F1251">
            <v>0</v>
          </cell>
        </row>
        <row r="1252">
          <cell r="B1252">
            <v>98523</v>
          </cell>
          <cell r="C1252" t="str">
            <v>ALAMBRADO EM PERFIS METÁLICOS RETANGULARES COM GRADIL METÁLICO (EXCLUSIVE MURETA EM CONCRETO). AF_12/2025</v>
          </cell>
          <cell r="D1252" t="str">
            <v>M</v>
          </cell>
          <cell r="E1252">
            <v>0</v>
          </cell>
        </row>
        <row r="1253">
          <cell r="B1253">
            <v>102364</v>
          </cell>
          <cell r="C1253" t="str">
            <v>ALAMBRADO PARA QUADRA POLIESPORTIVA, ESTRUTURADO POR TUBOS DE AÇO GALVANIZADO, (MONTANTES COM DIÂMETRO 2", TRAVESSAS E ESCORAS COM DIÂMETRO 1 ¼"), COM TELA DE ARAME GALVANIZADO, FIO 10 BWG E MALHA QUADRADA 5X5CM (EXCETO MURETA). AF_12/2025</v>
          </cell>
          <cell r="D1253" t="str">
            <v>M2</v>
          </cell>
          <cell r="E1253">
            <v>190.11</v>
          </cell>
          <cell r="F1253">
            <v>0</v>
          </cell>
        </row>
        <row r="1254">
          <cell r="B1254">
            <v>102363</v>
          </cell>
          <cell r="C1254" t="str">
            <v>ALAMBRADO PARA QUADRA POLIESPORTIVA, ESTRUTURADO POR TUBOS DE AÇO GALVANIZADO, (MONTANTES COM DIÂMETRO 2", TRAVESSAS E ESCORAS COM DIÂMETRO 1 ¼"), COM TELA DE ARAME GALVANIZADO, FIO 12 BWG E MALHA QUADRADA 5X5CM (EXCETO MURETA). AF_12/2025</v>
          </cell>
          <cell r="D1254" t="str">
            <v>M2</v>
          </cell>
          <cell r="E1254">
            <v>167.62</v>
          </cell>
          <cell r="F1254">
            <v>0</v>
          </cell>
        </row>
        <row r="1255">
          <cell r="B1255">
            <v>102362</v>
          </cell>
          <cell r="C1255" t="str">
            <v>ALAMBRADO PARA QUADRA POLIESPORTIVA, ESTRUTURADO POR TUBOS DE AÇO GALVANIZADO, (MONTANTES COM DIÂMETRO 2", TRAVESSAS E ESCORAS COM DIÂMETRO 1 ¼"), COM TELA DE ARAME GALVANIZADO, FIO 14 BWG E MALHA QUADRADA 5X5CM (EXCETO MURETA). AF_12/2025</v>
          </cell>
          <cell r="D1255" t="str">
            <v>M2</v>
          </cell>
          <cell r="E1255">
            <v>154.88</v>
          </cell>
          <cell r="F1255">
            <v>0</v>
          </cell>
        </row>
        <row r="1256">
          <cell r="B1256">
            <v>101196</v>
          </cell>
          <cell r="C1256" t="str">
            <v>CERCA COM MOURÕES DE CONCRETO, RETO, 15X15 CM, H= 2,30 M, ESPAÇAMENTO DE 2,5 M, CRAVADOS 0,5 M, ESCORAS DE 10X10 CM A CADA 50 M, COM 12 FIOS DE ARAME DE AÇO OVALADO 15X17 - FORNECIMENTO E INSTALAÇÃO. AF_12/2025</v>
          </cell>
          <cell r="D1256" t="str">
            <v>M</v>
          </cell>
          <cell r="E1256">
            <v>0</v>
          </cell>
        </row>
        <row r="1257">
          <cell r="B1257">
            <v>101195</v>
          </cell>
          <cell r="C1257" t="str">
            <v>CERCA COM MOURÕES DE CONCRETO, RETO, 15X15 CM,H= 2,30 M, ESPAÇAMENTO DE 2,5 M, CRAVADOS 0,5 M, ESCORAS DE 10X10 CM A CADA 50 M, COM 9 FIOS DE ARAME DE AÇO OVALADO 15X17 - FORNECIMENTO E INSTALAÇÃO. AF_12/2025</v>
          </cell>
          <cell r="D1257" t="str">
            <v>M</v>
          </cell>
          <cell r="E1257">
            <v>0</v>
          </cell>
        </row>
        <row r="1258">
          <cell r="B1258">
            <v>101193</v>
          </cell>
          <cell r="C1258" t="str">
            <v>CERCA COM MOURÕES DE CONCRETO, RETO, H=2,30 M, ESPAÇAMENTO DE 2,5 M, CRAVADOS 0,5 M, COM 4 FIOS DE ARAME DE AÇO OVALADO 15X17 - FORNECIMENTO E INSTALAÇÃO. AF_12/2025</v>
          </cell>
          <cell r="D1258" t="str">
            <v>M</v>
          </cell>
          <cell r="E1258">
            <v>55.79</v>
          </cell>
          <cell r="F1258">
            <v>0</v>
          </cell>
        </row>
        <row r="1259">
          <cell r="B1259">
            <v>106459</v>
          </cell>
          <cell r="C1259" t="str">
            <v>CERCA COM MOURÕES DE CONCRETO, RETO, H=2,30 M, ESPAÇAMENTO DE 2,5 M, CRAVADOS 0,5 M, COM 4 FIOS DE ARAME FARPADO Nº 14 OU 16 CLASSE 250 - FORNECIMENTO E INSTALAÇÃO. AF_12/2025</v>
          </cell>
          <cell r="D1259" t="str">
            <v>M</v>
          </cell>
          <cell r="E1259">
            <v>55.94</v>
          </cell>
          <cell r="F1259">
            <v>0</v>
          </cell>
        </row>
        <row r="1260">
          <cell r="B1260">
            <v>101194</v>
          </cell>
          <cell r="C1260" t="str">
            <v>CERCA COM MOURÕES DE CONCRETO, RETO, H=2,30 M, ESPAÇAMENTO DE 2,5 M, CRAVADOS 0,5 M, COM 4 FIOS DE ARAME MISTO - FORNECIMENTO E INSTALAÇÃO. AF_12/2025</v>
          </cell>
          <cell r="D1260" t="str">
            <v>M</v>
          </cell>
          <cell r="E1260">
            <v>56.12</v>
          </cell>
          <cell r="F1260">
            <v>0</v>
          </cell>
        </row>
        <row r="1261">
          <cell r="B1261">
            <v>101190</v>
          </cell>
          <cell r="C1261" t="str">
            <v>CERCA COM MOURÕES DE CONCRETO, RETO, H=3,00 M, ESPAÇAMENTO DE 2,5 M, CRAVADOS 0,5 M, COM 4 FIOS DE ARAME DE AÇO OVALADO 15X17 - FORNECIMENTO E INSTALAÇÃO. AF_12/2025</v>
          </cell>
          <cell r="D1261" t="str">
            <v>M</v>
          </cell>
          <cell r="E1261">
            <v>60.8</v>
          </cell>
          <cell r="F1261">
            <v>0</v>
          </cell>
        </row>
        <row r="1262">
          <cell r="B1262">
            <v>106458</v>
          </cell>
          <cell r="C1262" t="str">
            <v>CERCA COM MOURÕES DE CONCRETO, RETO, H=3,00 M, ESPAÇAMENTO DE 2,5 M, CRAVADOS 0,5 M, COM 4 FIOS DE ARAME FARPADO Nº 14 OU 16 CLASSE 250 - FORNECIMENTO E INSTALAÇÃO. AF_12/2025</v>
          </cell>
          <cell r="D1262" t="str">
            <v>M</v>
          </cell>
          <cell r="E1262">
            <v>60.95</v>
          </cell>
          <cell r="F1262">
            <v>0</v>
          </cell>
        </row>
        <row r="1263">
          <cell r="B1263">
            <v>101191</v>
          </cell>
          <cell r="C1263" t="str">
            <v>CERCA COM MOURÕES DE CONCRETO, RETO, H=3,00 M, ESPAÇAMENTO DE 2,5 M, CRAVADOS 0,5 M, COM 4 FIOS DE ARAME MISTO - FORNECIMENTO E INSTALAÇÃO. AF_12/2025</v>
          </cell>
          <cell r="D1263" t="str">
            <v>M</v>
          </cell>
          <cell r="E1263">
            <v>61.13</v>
          </cell>
          <cell r="F1263">
            <v>0</v>
          </cell>
        </row>
        <row r="1264">
          <cell r="B1264">
            <v>101198</v>
          </cell>
          <cell r="C1264" t="str">
            <v>CERCA COM MOURÕES DE CONCRETO, SEÇÃO "T" PONTA INCLINADA, 10X10 CM, ESPAÇAMENTO DE 2,5 M, CRAVADOS 0,5 M, COM 11 FIOS DE ARAME DE AÇO OVALADO 15X17 - FORNECIMENTO E INSTALAÇÃO. AF_12/2025</v>
          </cell>
          <cell r="D1264" t="str">
            <v>M</v>
          </cell>
          <cell r="E1264">
            <v>89.32</v>
          </cell>
          <cell r="F1264">
            <v>0</v>
          </cell>
        </row>
        <row r="1265">
          <cell r="B1265">
            <v>106460</v>
          </cell>
          <cell r="C1265" t="str">
            <v>CERCA COM MOURÕES DE CONCRETO, SEÇÃO "T" PONTA INCLINADA, 10X10CM, ESPAÇAMENTO DE 2,5M, CRAVADOS 0,5M, COM 11 FIOS DE ARAME FARPADO Nº 14 OU 16 - FORNECIMENTO E INSTALAÇÃO. AF_12/2025</v>
          </cell>
          <cell r="D1265" t="str">
            <v>M</v>
          </cell>
          <cell r="E1265">
            <v>89.71</v>
          </cell>
          <cell r="F1265">
            <v>0</v>
          </cell>
        </row>
        <row r="1266">
          <cell r="B1266">
            <v>101199</v>
          </cell>
          <cell r="C1266" t="str">
            <v>CERCA COM MOURÕES DE CONCRETO, SEÇÃO "T" PONTA INCLINADA, 10X10CM, ESPAÇAMENTO DE 2,5M, CRAVADOS 0,5M, COM 11 FIOS DE ARAME MISTO - FORNECIMENTO E INSTALAÇÃO. AF_12/2025</v>
          </cell>
          <cell r="D1266" t="str">
            <v>M</v>
          </cell>
          <cell r="E1266">
            <v>90.14</v>
          </cell>
          <cell r="F1266">
            <v>0</v>
          </cell>
        </row>
        <row r="1267">
          <cell r="B1267">
            <v>101203</v>
          </cell>
          <cell r="C1267" t="str">
            <v>CERCA COM MOURÕES DE MADEIRA ROLIÇA, DIÂMETRO 11 CM, ESPAÇAMENTO DE 2,5 M, ALTURA LIVRE DE 1,7 M, CRAVADOS 0,5 M, COM 5 FIOS DE ARAME DE AÇO OVALADO 15X17 - FORNECIMENTO E INSTALAÇÃO. AF_12/2025</v>
          </cell>
          <cell r="D1267" t="str">
            <v>M</v>
          </cell>
          <cell r="E1267">
            <v>40.200000000000003</v>
          </cell>
          <cell r="F1267">
            <v>0</v>
          </cell>
        </row>
        <row r="1268">
          <cell r="B1268">
            <v>101204</v>
          </cell>
          <cell r="C1268" t="str">
            <v>CERCA COM MOURÕES DE MADEIRA ROLIÇA, DIÂMETRO 11 CM, ESPAÇAMENTO DE 2,5 M, ALTURA LIVRE DE 1,7 M, CRAVADOS 0,5 M, COM 5 FIOS DE ARAME MISTO - FORNECIMENTO E INSTALAÇÃO. AF_12/2025</v>
          </cell>
          <cell r="D1268" t="str">
            <v>M</v>
          </cell>
          <cell r="E1268">
            <v>40.53</v>
          </cell>
          <cell r="F1268">
            <v>0</v>
          </cell>
        </row>
        <row r="1269">
          <cell r="B1269">
            <v>106257</v>
          </cell>
          <cell r="C1269" t="str">
            <v>CERCA COM MOURÕES DE MADEIRA ROLIÇA, DIÂMETRO 11CM, ESPAÇAMENTO DE 2,5M, ALTURA LIVRE DE 1,7M, CRAVADOS 0,5M, COM 5 FIOS DE ARAME FARPADO Nº 14 OU 16 CLASSE 250 - FORNECIMENTO E INSTALAÇÃO. AF_12/2025</v>
          </cell>
          <cell r="D1269" t="str">
            <v>M</v>
          </cell>
          <cell r="E1269">
            <v>40.380000000000003</v>
          </cell>
          <cell r="F1269">
            <v>0</v>
          </cell>
        </row>
        <row r="1270">
          <cell r="B1270">
            <v>106461</v>
          </cell>
          <cell r="C1270" t="str">
            <v>CERCA COM MOURÕES DE MADEIRA, 7,5X7,5 CM, ESPAÇAMENTO DE 2,5 M, ALTURA LIVRE DE 2 M, CRAVADOS 0,5 M, COM 4 FIOS DE ARAME FARPADO Nº 14 OU 16 CLASSE 250 - FORNECIMENTO E INSTALAÇÃO. AF_12/2025</v>
          </cell>
          <cell r="D1270" t="str">
            <v>M</v>
          </cell>
          <cell r="E1270">
            <v>60.19</v>
          </cell>
          <cell r="F1270">
            <v>0</v>
          </cell>
        </row>
        <row r="1271">
          <cell r="B1271">
            <v>106462</v>
          </cell>
          <cell r="C1271" t="str">
            <v>CERCA COM MOURÕES DE MADEIRA, 7,5X7,5CM, ESPAÇAMENTO DE 2,5M, ALTURA LIVRE DE 2M, CRAVADOS 0,5M, COM 8 FIOS DE ARAME FARPADO Nº 14 OU 16 CLASSE 250 - FORNECIMENTO E INSTALAÇÃO. AF_12/2025</v>
          </cell>
          <cell r="D1271" t="str">
            <v>M</v>
          </cell>
          <cell r="E1271">
            <v>74.209999999999994</v>
          </cell>
          <cell r="F1271">
            <v>0</v>
          </cell>
        </row>
        <row r="1272">
          <cell r="B1272">
            <v>106479</v>
          </cell>
          <cell r="C1272" t="str">
            <v>INSTALAÇÃO DE ESCORAS PARA ALAMBRADO EM TUBO AÇO GALVANIZADO COM COSTURA, CLASSE MÉDIA, DN 1.1/4", E = *3,25* MM, PESO *3,14* KG/M. AF_12/2025</v>
          </cell>
          <cell r="D1272" t="str">
            <v>M</v>
          </cell>
          <cell r="E1272">
            <v>66.83</v>
          </cell>
          <cell r="F1272">
            <v>0</v>
          </cell>
        </row>
        <row r="1273">
          <cell r="B1273">
            <v>106483</v>
          </cell>
          <cell r="C1273" t="str">
            <v>INSTALAÇÃO DE MOURÃO DE CONCRETO PONTA INCLINADA (CURVA), *10 X 10* CM, H= *2,60* M + CURVA DE 0,40 M. AF_12/2025</v>
          </cell>
          <cell r="D1273" t="str">
            <v>UN</v>
          </cell>
          <cell r="E1273">
            <v>101.24</v>
          </cell>
          <cell r="F1273">
            <v>0</v>
          </cell>
        </row>
        <row r="1274">
          <cell r="B1274">
            <v>106484</v>
          </cell>
          <cell r="C1274" t="str">
            <v>INSTALAÇÃO DE MOURÃO DE CONCRETO PONTA INCLINADA (CURVA), SEÇÃO "T", H = 2,80 M + CURVA COM 0,45 M, COM FUROS PARA FIOS. AF_12/2025</v>
          </cell>
          <cell r="D1274" t="str">
            <v>UN</v>
          </cell>
          <cell r="E1274">
            <v>108.65</v>
          </cell>
          <cell r="F1274">
            <v>0</v>
          </cell>
        </row>
        <row r="1275">
          <cell r="B1275">
            <v>106480</v>
          </cell>
          <cell r="C1275" t="str">
            <v>INSTALAÇÃO DE MOURÃO DE CONCRETO RETO, SEÇÃO QUADRADA *10 X 10* CM, H= 2,30 A 2,50 M. AF_12/2025</v>
          </cell>
          <cell r="D1275" t="str">
            <v>UN</v>
          </cell>
          <cell r="E1275">
            <v>97.8</v>
          </cell>
          <cell r="F1275">
            <v>0</v>
          </cell>
        </row>
        <row r="1276">
          <cell r="B1276">
            <v>106482</v>
          </cell>
          <cell r="C1276" t="str">
            <v>INSTALAÇÃO DE MOURÃO DE CONCRETO RETO, SEÇÃO QUADRADA *15 X 15* CM, H= 2,30 M. AF_12/2025</v>
          </cell>
          <cell r="D1276" t="str">
            <v>UN</v>
          </cell>
          <cell r="E1276">
            <v>0</v>
          </cell>
        </row>
        <row r="1277">
          <cell r="B1277">
            <v>106481</v>
          </cell>
          <cell r="C1277" t="str">
            <v>INSTALAÇÃO DE MOURÃO DE CONCRETO RETO, SEÇÃO QUADRADA, *10 X 10* CM, H= 3,00 M. AF_12/2025</v>
          </cell>
          <cell r="D1277" t="str">
            <v>UN</v>
          </cell>
          <cell r="E1277">
            <v>110.32</v>
          </cell>
          <cell r="F1277">
            <v>0</v>
          </cell>
        </row>
        <row r="1278">
          <cell r="B1278">
            <v>106467</v>
          </cell>
          <cell r="C1278" t="str">
            <v>INSTALAÇÃO DE TELA DE ARAME GALVANIZADA REVESTIDA EM PVC, PARA ALAMBRADO COM TUBOS DE AÇO, QUADRANGULAR / LOSANGULAR, FIO 2,11 MM (14 BWG), MALHA 5 X 5 CM, H = 2 M. AF_12/2025</v>
          </cell>
          <cell r="D1278" t="str">
            <v>M2</v>
          </cell>
          <cell r="E1278">
            <v>0</v>
          </cell>
        </row>
        <row r="1279">
          <cell r="B1279">
            <v>106465</v>
          </cell>
          <cell r="C1279" t="str">
            <v>INSTALAÇÃO DE TELA DE ARAME GALVANIZADA REVESTIDA EM PVC, PARA ALAMBRADO COM TUBOS DE AÇO, QUADRANGULAR / LOSANGULAR, FIO 2,77 MM (12 BWG), MALHA 5 X 5 CM, H = 2 M. AF_12/2025</v>
          </cell>
          <cell r="D1279" t="str">
            <v>M2</v>
          </cell>
          <cell r="E1279">
            <v>0</v>
          </cell>
        </row>
        <row r="1280">
          <cell r="B1280">
            <v>106469</v>
          </cell>
          <cell r="C1280" t="str">
            <v>INSTALAÇÃO DE TELA DE ARAME GALVANIZADA, PARA ALAMBRADO COM MOURÕES DE CONCRETO, QUADRANGULAR / LOSANGULAR, FIO 2,11 MM (14 BWG), MALHA 8 X 8 CM, H = 2 M, COM REVESTIMENTO EM PVC. AF_12/2025</v>
          </cell>
          <cell r="D1280" t="str">
            <v>M2</v>
          </cell>
          <cell r="E1280">
            <v>34.979999999999997</v>
          </cell>
          <cell r="F1280">
            <v>0</v>
          </cell>
        </row>
        <row r="1281">
          <cell r="B1281">
            <v>106468</v>
          </cell>
          <cell r="C1281" t="str">
            <v>INSTALAÇÃO DE TELA DE ARAME GALVANIZADA, PARA ALAMBRADO COM MOURÕES DE CONCRETO, QUADRANGULAR / LOSANGULAR, FIO 2,11 MM (14 BWG), MALHA 8 X 8 CM, H = 2 M. AF_12/2025</v>
          </cell>
          <cell r="D1281" t="str">
            <v>M2</v>
          </cell>
          <cell r="E1281">
            <v>22.27</v>
          </cell>
          <cell r="F1281">
            <v>0</v>
          </cell>
        </row>
        <row r="1282">
          <cell r="B1282">
            <v>106466</v>
          </cell>
          <cell r="C1282" t="str">
            <v>INSTALAÇÃO DE TELA DE ARAME GALVANIZADA, PARA ALAMBRADO COM TUBOS DE AÇO, QUADRANGULAR / LOSANGULAR, FIO 2,11 MM (14 BWG), MALHA 5 X 5 CM, H = 2 M. AF_12/2025</v>
          </cell>
          <cell r="D1282" t="str">
            <v>M2</v>
          </cell>
          <cell r="E1282">
            <v>47.13</v>
          </cell>
          <cell r="F1282">
            <v>0</v>
          </cell>
        </row>
        <row r="1283">
          <cell r="B1283">
            <v>106464</v>
          </cell>
          <cell r="C1283" t="str">
            <v>INSTALAÇÃO DE TELA DE ARAME GALVANIZADA, PARA ALAMBRADO COM TUBOS DE AÇO, QUADRANGULAR / LOSANGULAR, FIO 2,77 MM (12 BWG), MALHA 5 X 5 CM, H = 2 M. AF_12/2025</v>
          </cell>
          <cell r="D1283" t="str">
            <v>M2</v>
          </cell>
          <cell r="E1283">
            <v>61.71</v>
          </cell>
          <cell r="F1283">
            <v>0</v>
          </cell>
        </row>
        <row r="1284">
          <cell r="B1284">
            <v>106476</v>
          </cell>
          <cell r="C1284" t="str">
            <v>INSTALAÇÃO DE TRAVESSA PARA ALAMBRADO EM TUBO AÇO GALVANIZADO COM COSTURA, CLASSE MÉDIA, DN 1 1/4", E = *3,25* MM, PESO *3,14* KG/M, COM ESPAÇAMENTO DE 2,0 A 2,5 M. AF_12/2025</v>
          </cell>
          <cell r="D1284" t="str">
            <v>M</v>
          </cell>
          <cell r="E1284">
            <v>62.45</v>
          </cell>
          <cell r="F1284">
            <v>0</v>
          </cell>
        </row>
        <row r="1285">
          <cell r="B1285">
            <v>106477</v>
          </cell>
          <cell r="C1285" t="str">
            <v>INSTALAÇÃO DE TRAVESSA PARA ALAMBRADO EM TUBO AÇO GALVANIZADO COM COSTURA, CLASSE MÉDIA, DN 1", E = *3,25* MM, PESO *3,14* KG/M, COM ESPAÇAMENTO DE 2,0 A 2,5 M. AF_12/2025</v>
          </cell>
          <cell r="D1285" t="str">
            <v>M</v>
          </cell>
          <cell r="E1285">
            <v>52.85</v>
          </cell>
          <cell r="F1285">
            <v>0</v>
          </cell>
        </row>
        <row r="1286">
          <cell r="B1286">
            <v>106478</v>
          </cell>
          <cell r="C1286" t="str">
            <v>INSTALAÇÃO DE TRAVESSA PARA ALAMBRADO EM TUBO AÇO GALVANIZADO COM COSTURA, CLASSE MÉDIA, DN 2 1/2", E = *3,65* MM, PESO *6,51* KG/M, COM ESPAÇAMENTO DE 2,0 A 2,5 M. AF_12/2025</v>
          </cell>
          <cell r="D1286" t="str">
            <v>M</v>
          </cell>
          <cell r="E1286">
            <v>112.48</v>
          </cell>
          <cell r="F1286">
            <v>0</v>
          </cell>
        </row>
        <row r="1287">
          <cell r="B1287">
            <v>106471</v>
          </cell>
          <cell r="C1287" t="str">
            <v>INSTALAÇÃO MONTANTE, PARA ALAMBRADO COM 1 M DE ALTURA, EM TUBO AÇO GALVANIZADO COM COSTURA, CLASSE MÉDIA, DN 2 1/2", E = *3,65* MM, PESO *6,51* KG/M. AF_12/2025</v>
          </cell>
          <cell r="D1287" t="str">
            <v>M</v>
          </cell>
          <cell r="E1287">
            <v>143.25</v>
          </cell>
          <cell r="F1287">
            <v>0</v>
          </cell>
        </row>
        <row r="1288">
          <cell r="B1288">
            <v>106470</v>
          </cell>
          <cell r="C1288" t="str">
            <v>INSTALAÇÃO MONTANTE, PARA ALAMBRADO COM 1 M DE ALTURA, EM TUBO AÇO GALVANIZADO COM COSTURA, CLASSE MÉDIA, DN 2", E = *3,65* MM, PESO *5,10* KG/M. AF_12/2025</v>
          </cell>
          <cell r="D1288" t="str">
            <v>M</v>
          </cell>
          <cell r="E1288">
            <v>124.78</v>
          </cell>
          <cell r="F1288">
            <v>0</v>
          </cell>
        </row>
        <row r="1289">
          <cell r="B1289">
            <v>106472</v>
          </cell>
          <cell r="C1289" t="str">
            <v>INSTALAÇÃO MONTANTE, PARA ALAMBRADO COM 1 M DE ALTURA, EM TUBO AÇO GALVANIZADO COM COSTURA, CLASSE MÉDIA, DN 3", E = *3,35* MM, PESO *7,32* KG/M. AF_12/2025</v>
          </cell>
          <cell r="D1289" t="str">
            <v>M</v>
          </cell>
          <cell r="E1289">
            <v>176.27</v>
          </cell>
          <cell r="F1289">
            <v>0</v>
          </cell>
        </row>
        <row r="1290">
          <cell r="B1290">
            <v>106475</v>
          </cell>
          <cell r="C1290" t="str">
            <v>INSTALAÇÃO MONTANTE, PARA ALAMBRADO COM 2,40 A 5,00 M DE ALTURA, EM TUBO AÇO GALVANIZADO COM COSTURA, CLASSE MÉDIA, DN 3", E = *3,35* MM, PESO *7,32* KG/M. AF_12/2025</v>
          </cell>
          <cell r="D1290" t="str">
            <v>M</v>
          </cell>
          <cell r="E1290">
            <v>141.34</v>
          </cell>
          <cell r="F1290">
            <v>0</v>
          </cell>
        </row>
        <row r="1291">
          <cell r="B1291">
            <v>106474</v>
          </cell>
          <cell r="C1291" t="str">
            <v>INSTALAÇÃO MONTANTE, PARA ALAMBRADO DE 2,40 A 5,00 M DE ALTURA, EM TUBO AÇO GALVANIZADO COM COSTURA, CLASSE MÉDIA, DN 2 1/2", E = *3,65* MM, PESO *6,51* KG/M. AF_12/2025</v>
          </cell>
          <cell r="D1291" t="str">
            <v>M</v>
          </cell>
          <cell r="E1291">
            <v>108.09</v>
          </cell>
          <cell r="F1291">
            <v>0</v>
          </cell>
        </row>
        <row r="1292">
          <cell r="B1292">
            <v>106473</v>
          </cell>
          <cell r="C1292" t="str">
            <v>INSTALAÇÃO MONTANTE, PARA ALAMBRADO DE 2,40 A 5,00 M DE ALTURA, EM TUBO AÇO GALVANIZADO COM COSTURA, CLASSE MÉDIA, DN 2", E = *3,65* MM, PESO *5,10* KG/M. AF_12/2025</v>
          </cell>
          <cell r="D1292" t="str">
            <v>M</v>
          </cell>
          <cell r="E1292">
            <v>89.43</v>
          </cell>
          <cell r="F1292">
            <v>0</v>
          </cell>
        </row>
        <row r="1293">
          <cell r="B1293">
            <v>101205</v>
          </cell>
          <cell r="C1293" t="str">
            <v>PORTÃO COM MOURÕES DE MADEIRA ROLIÇA, DIÂMETRO 11 CM, COM 5 FIOS DE ARAME FARPADO Nº 14 CLASSE 250, SEM DOBRADIÇAS - FORNECIMENTO E INSTALAÇÃO. AF_12/2025</v>
          </cell>
          <cell r="D1293" t="str">
            <v>M</v>
          </cell>
          <cell r="E1293">
            <v>40.380000000000003</v>
          </cell>
          <cell r="F1293">
            <v>0</v>
          </cell>
        </row>
        <row r="1294">
          <cell r="B1294">
            <v>106463</v>
          </cell>
          <cell r="C1294" t="str">
            <v>PORTÃO DE ABRIR/GIRO, ESTRUTURADO POR TUBOS DE AÇO GALVANIZADO, COM TELA DE ARAME, PARA PEDESTRE - COMPLETO. AF_12/2025</v>
          </cell>
          <cell r="D1294" t="str">
            <v>M2</v>
          </cell>
          <cell r="E1294">
            <v>0</v>
          </cell>
        </row>
        <row r="1295">
          <cell r="B1295">
            <v>106457</v>
          </cell>
          <cell r="C1295" t="str">
            <v>RECOMPOSIÇÃO PARCIAL DE ARAME FARPADO Nº 14 OU 16 CLASSE 250, FIXADO EM CERCA COM MOURÕES DE CONCRETO - FORNECIMENTO E INSTALAÇÃO. AF_12/2025</v>
          </cell>
          <cell r="D1295" t="str">
            <v>M</v>
          </cell>
          <cell r="E1295">
            <v>7.05</v>
          </cell>
          <cell r="F1295">
            <v>0</v>
          </cell>
        </row>
        <row r="1296">
          <cell r="B1296">
            <v>87905</v>
          </cell>
          <cell r="C1296" t="str">
            <v>CHAPISCO APLICADO EM ALVENARIA (COM PRESENÇA DE VÃOS) E ESTRUTURAS DE CONCRETO DE FACHADA, COM COLHER DE PEDREIRO. ARGAMASSA TRAÇO 1:3 COM PREPARO EM BETONEIRA 400L. AF_10/2022</v>
          </cell>
          <cell r="D1296" t="str">
            <v>M2</v>
          </cell>
          <cell r="E1296">
            <v>9.8800000000000008</v>
          </cell>
          <cell r="F1296">
            <v>0</v>
          </cell>
        </row>
        <row r="1297">
          <cell r="B1297">
            <v>87904</v>
          </cell>
          <cell r="C1297" t="str">
            <v>CHAPISCO APLICADO EM ALVENARIA (COM PRESENÇA DE VÃOS) E ESTRUTURAS DE CONCRETO DE FACHADA, COM COLHER DE PEDREIRO. ARGAMASSA TRAÇO 1:3 COM PREPARO MANUAL. AF_10/2022</v>
          </cell>
          <cell r="D1297" t="str">
            <v>M2</v>
          </cell>
          <cell r="E1297">
            <v>10.58</v>
          </cell>
          <cell r="F1297">
            <v>0</v>
          </cell>
        </row>
        <row r="1298">
          <cell r="B1298">
            <v>87908</v>
          </cell>
          <cell r="C1298" t="str">
            <v>CHAPISCO APLICADO EM ALVENARIA (COM PRESENÇA DE VÃOS) E ESTRUTURAS DE CONCRETO DE FACHADA, COM EQUIPAMENTO DE PROJEÇÃO. ARGAMASSA TRAÇO 1:3 COM PREPARO EM BETONEIRA 400 L. AF_10/2022</v>
          </cell>
          <cell r="D1298" t="str">
            <v>M2</v>
          </cell>
          <cell r="E1298">
            <v>7.22</v>
          </cell>
          <cell r="F1298">
            <v>0</v>
          </cell>
        </row>
        <row r="1299">
          <cell r="B1299">
            <v>87907</v>
          </cell>
          <cell r="C1299" t="str">
            <v>CHAPISCO APLICADO EM ALVENARIA (COM PRESENÇA DE VÃOS) E ESTRUTURAS DE CONCRETO DE FACHADA, COM EQUIPAMENTO DE PROJEÇÃO. ARGAMASSA TRAÇO 1:3 COM PREPARO MANUAL. AF_10/2022</v>
          </cell>
          <cell r="D1299" t="str">
            <v>M2</v>
          </cell>
          <cell r="E1299">
            <v>7.92</v>
          </cell>
          <cell r="F1299">
            <v>0</v>
          </cell>
        </row>
        <row r="1300">
          <cell r="B1300">
            <v>87903</v>
          </cell>
          <cell r="C1300" t="str">
            <v>CHAPISCO APLICADO EM ALVENARIA (COM PRESENÇA DE VÃOS) E ESTRUTURAS DE CONCRETO DE FACHADA, COM ROLO PARA TEXTURA ACRÍLICA. ARGAMASSA INDUSTRIALIZADA COM PREPARO EM MISTURADOR 300 KG. AF_10/2022</v>
          </cell>
          <cell r="D1300" t="str">
            <v>M2</v>
          </cell>
          <cell r="E1300">
            <v>13.03</v>
          </cell>
          <cell r="F1300">
            <v>0</v>
          </cell>
        </row>
        <row r="1301">
          <cell r="B1301">
            <v>87902</v>
          </cell>
          <cell r="C1301" t="str">
            <v>CHAPISCO APLICADO EM ALVENARIA (COM PRESENÇA DE VÃOS) E ESTRUTURAS DE CONCRETO DE FACHADA, COM ROLO PARA TEXTURA ACRÍLICA. ARGAMASSA INDUSTRIALIZADA COM PREPARO MANUAL. AF_10/2022</v>
          </cell>
          <cell r="D1301" t="str">
            <v>M2</v>
          </cell>
          <cell r="E1301">
            <v>13.56</v>
          </cell>
          <cell r="F1301">
            <v>0</v>
          </cell>
        </row>
        <row r="1302">
          <cell r="B1302">
            <v>87900</v>
          </cell>
          <cell r="C1302" t="str">
            <v>CHAPISCO APLICADO EM ALVENARIA (COM PRESENÇA DE VÃOS) E ESTRUTURAS DE CONCRETO DE FACHADA, COM ROLO PARA TEXTURA ACRÍLICA. ARGAMASSA TRAÇO 1:4 E EMULSÃO POLIMÉRICA (ADESIVO) COM PREPARO EM BETONEIRA 400L. AF_10/2022</v>
          </cell>
          <cell r="D1302" t="str">
            <v>M2</v>
          </cell>
          <cell r="E1302">
            <v>9.66</v>
          </cell>
          <cell r="F1302">
            <v>0</v>
          </cell>
        </row>
        <row r="1303">
          <cell r="B1303">
            <v>87899</v>
          </cell>
          <cell r="C1303" t="str">
            <v>CHAPISCO APLICADO EM ALVENARIA (COM PRESENÇA DE VÃOS) E ESTRUTURAS DE CONCRETO DE FACHADA, COM ROLO PARA TEXTURA ACRÍLICA. ARGAMASSA TRAÇO 1:4 E EMULSÃO POLIMÉRICA (ADESIVO) COM PREPARO MANUAL. AF_10/2022</v>
          </cell>
          <cell r="D1303" t="str">
            <v>M2</v>
          </cell>
          <cell r="E1303">
            <v>9.89</v>
          </cell>
          <cell r="F1303">
            <v>0</v>
          </cell>
        </row>
        <row r="1304">
          <cell r="B1304">
            <v>87894</v>
          </cell>
          <cell r="C1304" t="str">
            <v>CHAPISCO APLICADO EM ALVENARIA (SEM PRESENÇA DE VÃOS) E ESTRUTURAS DE CONCRETO DE FACHADA, COM COLHER DE PEDREIRO. ARGAMASSA TRAÇO 1:3 COM PREPARO EM BETONEIRA 400L. AF_10/2022</v>
          </cell>
          <cell r="D1304" t="str">
            <v>M2</v>
          </cell>
          <cell r="E1304">
            <v>8.35</v>
          </cell>
          <cell r="F1304">
            <v>0</v>
          </cell>
        </row>
        <row r="1305">
          <cell r="B1305">
            <v>87893</v>
          </cell>
          <cell r="C1305" t="str">
            <v>CHAPISCO APLICADO EM ALVENARIA (SEM PRESENÇA DE VÃOS) E ESTRUTURAS DE CONCRETO DE FACHADA, COM COLHER DE PEDREIRO. ARGAMASSA TRAÇO 1:3 COM PREPARO MANUAL. AF_10/2022</v>
          </cell>
          <cell r="D1305" t="str">
            <v>M2</v>
          </cell>
          <cell r="E1305">
            <v>9.0500000000000007</v>
          </cell>
          <cell r="F1305">
            <v>0</v>
          </cell>
        </row>
        <row r="1306">
          <cell r="B1306">
            <v>87897</v>
          </cell>
          <cell r="C1306" t="str">
            <v>CHAPISCO APLICADO EM ALVENARIA (SEM PRESENÇA DE VÃOS) E ESTRUTURAS DE CONCRETO DE FACHADA, COM EQUIPAMENTO DE PROJEÇÃO. ARGAMASSA TRAÇO 1:3 COM PREPARO EM BETONEIRA 400 L. AF_10/2022</v>
          </cell>
          <cell r="D1306" t="str">
            <v>M2</v>
          </cell>
          <cell r="E1306">
            <v>5.83</v>
          </cell>
          <cell r="F1306">
            <v>0</v>
          </cell>
        </row>
        <row r="1307">
          <cell r="B1307">
            <v>87896</v>
          </cell>
          <cell r="C1307" t="str">
            <v>CHAPISCO APLICADO EM ALVENARIA (SEM PRESENÇA DE VÃOS) E ESTRUTURAS DE CONCRETO DE FACHADA, COM EQUIPAMENTO DE PROJEÇÃO. ARGAMASSA TRAÇO 1:3 COM PREPARO MANUAL. AF_10/2022</v>
          </cell>
          <cell r="D1307" t="str">
            <v>M2</v>
          </cell>
          <cell r="E1307">
            <v>6.53</v>
          </cell>
          <cell r="F1307">
            <v>0</v>
          </cell>
        </row>
        <row r="1308">
          <cell r="B1308">
            <v>87892</v>
          </cell>
          <cell r="C1308" t="str">
            <v>CHAPISCO APLICADO EM ALVENARIA (SEM PRESENÇA DE VÃOS) E ESTRUTURAS DE CONCRETO DE FACHADA, COM ROLO PARA TEXTURA ACRÍLICA. ARGAMASSA INDUSTRIALIZADA COM PREPARO EM MISTURADOR 300 KG. AF_10/2022</v>
          </cell>
          <cell r="D1308" t="str">
            <v>M2</v>
          </cell>
          <cell r="E1308">
            <v>12.08</v>
          </cell>
          <cell r="F1308">
            <v>0</v>
          </cell>
        </row>
        <row r="1309">
          <cell r="B1309">
            <v>87891</v>
          </cell>
          <cell r="C1309" t="str">
            <v>CHAPISCO APLICADO EM ALVENARIA (SEM PRESENÇA DE VÃOS) E ESTRUTURAS DE CONCRETO DE FACHADA, COM ROLO PARA TEXTURA ACRÍLICA. ARGAMASSA INDUSTRIALIZADA COM PREPARO MANUAL. AF_10/2022</v>
          </cell>
          <cell r="D1309" t="str">
            <v>M2</v>
          </cell>
          <cell r="E1309">
            <v>12.61</v>
          </cell>
          <cell r="F1309">
            <v>0</v>
          </cell>
        </row>
        <row r="1310">
          <cell r="B1310">
            <v>87889</v>
          </cell>
          <cell r="C1310" t="str">
            <v>CHAPISCO APLICADO EM ALVENARIA (SEM PRESENÇA DE VÃOS) E ESTRUTURAS DE CONCRETO DE FACHADA, COM ROLO PARA TEXTURA ACRÍLICA. ARGAMASSA TRAÇO 1:4 E EMULSÃO POLIMÉRICA (ADESIVO) COM PREPARO EM BETONEIRA 400L. AF_10/2022</v>
          </cell>
          <cell r="D1310" t="str">
            <v>M2</v>
          </cell>
          <cell r="E1310">
            <v>8.7100000000000009</v>
          </cell>
          <cell r="F1310">
            <v>0</v>
          </cell>
        </row>
        <row r="1311">
          <cell r="B1311">
            <v>87888</v>
          </cell>
          <cell r="C1311" t="str">
            <v>CHAPISCO APLICADO EM ALVENARIA (SEM PRESENÇA DE VÃOS) E ESTRUTURAS DE CONCRETO DE FACHADA, COM ROLO PARA TEXTURA ACRÍLICA. ARGAMASSA TRAÇO 1:4 E EMULSÃO POLIMÉRICA (ADESIVO) COM PREPARO MANUAL. AF_10/2022</v>
          </cell>
          <cell r="D1311" t="str">
            <v>M2</v>
          </cell>
          <cell r="E1311">
            <v>8.94</v>
          </cell>
          <cell r="F1311">
            <v>0</v>
          </cell>
        </row>
        <row r="1312">
          <cell r="B1312">
            <v>104411</v>
          </cell>
          <cell r="C1312" t="str">
            <v>CHAPISCO APLICADO EM ALVENARIA E ESTRUTURAS DE CONCRETO INTERNAS, COM EQUIPAMENTO DE PROJEÇÃO. ARGAMASSA TRAÇO 1:3 COM PREPARO EM BETONEIRA 400 L. AF_10/2022</v>
          </cell>
          <cell r="D1312" t="str">
            <v>M2</v>
          </cell>
          <cell r="E1312">
            <v>5.0999999999999996</v>
          </cell>
          <cell r="F1312">
            <v>0</v>
          </cell>
        </row>
        <row r="1313">
          <cell r="B1313">
            <v>104410</v>
          </cell>
          <cell r="C1313" t="str">
            <v>CHAPISCO APLICADO EM ALVENARIA E ESTRUTURAS DE CONCRETO INTERNAS, COM EQUIPAMENTO DE PROJEÇÃO. ARGAMASSA TRAÇO 1:3 COM PREPARO MANUAL. AF_10/2022</v>
          </cell>
          <cell r="D1313" t="str">
            <v>M2</v>
          </cell>
          <cell r="E1313">
            <v>5.9</v>
          </cell>
          <cell r="F1313">
            <v>0</v>
          </cell>
        </row>
        <row r="1314">
          <cell r="B1314">
            <v>87879</v>
          </cell>
          <cell r="C1314" t="str">
            <v>CHAPISCO APLICADO EM ALVENARIAS E ESTRUTURAS DE CONCRETO INTERNAS, COM COLHER DE PEDREIRO. ARGAMASSA TRAÇO 1:3 COM PREPARO EM BETONEIRA 400L. AF_10/2022</v>
          </cell>
          <cell r="D1314" t="str">
            <v>M2</v>
          </cell>
          <cell r="E1314">
            <v>5.14</v>
          </cell>
          <cell r="F1314">
            <v>0</v>
          </cell>
        </row>
        <row r="1315">
          <cell r="B1315">
            <v>87878</v>
          </cell>
          <cell r="C1315" t="str">
            <v>CHAPISCO APLICADO EM ALVENARIAS E ESTRUTURAS DE CONCRETO INTERNAS, COM COLHER DE PEDREIRO. ARGAMASSA TRAÇO 1:3 COM PREPARO MANUAL. AF_10/2022</v>
          </cell>
          <cell r="D1315" t="str">
            <v>M2</v>
          </cell>
          <cell r="E1315">
            <v>5.84</v>
          </cell>
          <cell r="F1315">
            <v>0</v>
          </cell>
        </row>
        <row r="1316">
          <cell r="B1316">
            <v>87885</v>
          </cell>
          <cell r="C1316" t="str">
            <v>CHAPISCO APLICADO NO TETO OU EM ALVENARIA E ESTRUTURA, COM ROLO PARA TEXTURA ACRÍLICA. ARGAMASSA INDUSTRIALIZADA COM PREPARO EM MISTURADOR 300 KG. AF_10/2022</v>
          </cell>
          <cell r="D1316" t="str">
            <v>M2</v>
          </cell>
          <cell r="E1316">
            <v>9.91</v>
          </cell>
          <cell r="F1316">
            <v>0</v>
          </cell>
        </row>
        <row r="1317">
          <cell r="B1317">
            <v>87884</v>
          </cell>
          <cell r="C1317" t="str">
            <v>CHAPISCO APLICADO NO TETO OU EM ALVENARIA E ESTRUTURA, COM ROLO PARA TEXTURA ACRÍLICA. ARGAMASSA INDUSTRIALIZADA COM PREPARO MANUAL. AF_10/2022</v>
          </cell>
          <cell r="D1317" t="str">
            <v>M2</v>
          </cell>
          <cell r="E1317">
            <v>10.44</v>
          </cell>
          <cell r="F1317">
            <v>0</v>
          </cell>
        </row>
        <row r="1318">
          <cell r="B1318">
            <v>87882</v>
          </cell>
          <cell r="C1318" t="str">
            <v>CHAPISCO APLICADO NO TETO OU EM ALVENARIA E ESTRUTURA, COM ROLO PARA TEXTURA ACRÍLICA. ARGAMASSA TRAÇO 1:4 E EMULSÃO POLIMÉRICA (ADESIVO) COM PREPARO EM BETONEIRA 400L. AF_10/2022</v>
          </cell>
          <cell r="D1318" t="str">
            <v>M2</v>
          </cell>
          <cell r="E1318">
            <v>6.54</v>
          </cell>
          <cell r="F1318">
            <v>0</v>
          </cell>
        </row>
        <row r="1319">
          <cell r="B1319">
            <v>87881</v>
          </cell>
          <cell r="C1319" t="str">
            <v>CHAPISCO APLICADO NO TETO OU EM ALVENARIA E ESTRUTURA, COM ROLO PARA TEXTURA ACRÍLICA. ARGAMASSA TRAÇO 1:4 E EMULSÃO POLIMÉRICA (ADESIVO) COM PREPARO MANUAL. AF_10/2022</v>
          </cell>
          <cell r="D1319" t="str">
            <v>M2</v>
          </cell>
          <cell r="E1319">
            <v>6.77</v>
          </cell>
          <cell r="F1319">
            <v>0</v>
          </cell>
        </row>
        <row r="1320">
          <cell r="B1320">
            <v>87887</v>
          </cell>
          <cell r="C1320" t="str">
            <v>CHAPISCO APLICADO NO TETO OU EM ESTRUTURA, COM DESEMPENADEIRA DENTADA. ARGAMASSA INDUSTRIALIZADA COM PREPARO EM MISTURADOR 300 KG. AF_10/2022</v>
          </cell>
          <cell r="D1320" t="str">
            <v>M2</v>
          </cell>
          <cell r="E1320">
            <v>17.71</v>
          </cell>
          <cell r="F1320">
            <v>0</v>
          </cell>
        </row>
        <row r="1321">
          <cell r="B1321">
            <v>87886</v>
          </cell>
          <cell r="C1321" t="str">
            <v>CHAPISCO APLICADO NO TETO OU EM ESTRUTURA, COM DESEMPENADEIRA DENTADA. ARGAMASSA INDUSTRIALIZADA COM PREPARO MANUAL. AF_10/2022</v>
          </cell>
          <cell r="D1321" t="str">
            <v>M2</v>
          </cell>
          <cell r="E1321">
            <v>18.87</v>
          </cell>
          <cell r="F1321">
            <v>0</v>
          </cell>
        </row>
        <row r="1322">
          <cell r="B1322">
            <v>87911</v>
          </cell>
          <cell r="C1322" t="str">
            <v>CHAPISCO APLICADO SOMENTE NA ESTRUTURA DE CONCRETO DA FACHADA, COM DESEMPENADEIRA DENTADA. ARGAMASSA INDUSTRIALIZADA COM PREPARO EM MISTURADOR 300 KG. AF_10/2022</v>
          </cell>
          <cell r="D1322" t="str">
            <v>M2</v>
          </cell>
          <cell r="E1322">
            <v>24.93</v>
          </cell>
          <cell r="F1322">
            <v>0</v>
          </cell>
        </row>
        <row r="1323">
          <cell r="B1323">
            <v>87910</v>
          </cell>
          <cell r="C1323" t="str">
            <v>CHAPISCO APLICADO SOMENTE NA ESTRUTURA DE CONCRETO DA FACHADA, COM DESEMPENADEIRA DENTADA. ARGAMASSA INDUSTRIALIZADA COM PREPARO MANUAL. AF_10/2022</v>
          </cell>
          <cell r="D1323" t="str">
            <v>M2</v>
          </cell>
          <cell r="E1323">
            <v>26.09</v>
          </cell>
          <cell r="F1323">
            <v>0</v>
          </cell>
        </row>
        <row r="1324">
          <cell r="B1324">
            <v>103686</v>
          </cell>
          <cell r="C1324" t="str">
            <v>CONCRETAGEM DE ESCADAS, FCK=25 MPA, COM USO DE BOMBA - LANÇAMENTO, ADENSAMENTO E ACABAMENTO. AF_02/2022_PS</v>
          </cell>
          <cell r="D1324" t="str">
            <v>M3</v>
          </cell>
          <cell r="E1324">
            <v>670.82</v>
          </cell>
          <cell r="F1324">
            <v>0</v>
          </cell>
        </row>
        <row r="1325">
          <cell r="B1325">
            <v>103685</v>
          </cell>
          <cell r="C1325" t="str">
            <v>CONCRETAGEM DE MURETAS, FCK=25 MPA, COM USO DE BOMBA - LANÇAMENTO, ADENSAMENTO E ACABAMENTO. AF_02/2022_PS</v>
          </cell>
          <cell r="D1325" t="str">
            <v>M3</v>
          </cell>
          <cell r="E1325">
            <v>593.16</v>
          </cell>
          <cell r="F1325">
            <v>0</v>
          </cell>
        </row>
        <row r="1326">
          <cell r="B1326">
            <v>103669</v>
          </cell>
          <cell r="C1326" t="str">
            <v>CONCRETAGEM DE PILARES, FCK = 25 MPA, COM USO DE BALDES - LANÇAMENTO, ADENSAMENTO E ACABAMENTO. AF_02/2022</v>
          </cell>
          <cell r="D1326" t="str">
            <v>M3</v>
          </cell>
          <cell r="E1326">
            <v>968.65</v>
          </cell>
          <cell r="F1326">
            <v>0</v>
          </cell>
        </row>
        <row r="1327">
          <cell r="B1327">
            <v>103672</v>
          </cell>
          <cell r="C1327" t="str">
            <v>CONCRETAGEM DE PILARES, FCK = 25 MPA, COM USO DE BOMBA - LANÇAMENTO, ADENSAMENTO E ACABAMENTO. AF_02/2022_PS</v>
          </cell>
          <cell r="D1327" t="str">
            <v>M3</v>
          </cell>
          <cell r="E1327">
            <v>587.64</v>
          </cell>
          <cell r="F1327">
            <v>0</v>
          </cell>
        </row>
        <row r="1328">
          <cell r="B1328">
            <v>103671</v>
          </cell>
          <cell r="C1328" t="str">
            <v>CONCRETAGEM DE PILARES, FCK = 25 MPA, COM USO DE GRUA - LANÇAMENTO, ADENSAMENTO E ACABAMENTO. AF_02/2022</v>
          </cell>
          <cell r="D1328" t="str">
            <v>M3</v>
          </cell>
          <cell r="E1328">
            <v>627.92999999999995</v>
          </cell>
          <cell r="F1328">
            <v>0</v>
          </cell>
        </row>
        <row r="1329">
          <cell r="B1329">
            <v>103688</v>
          </cell>
          <cell r="C1329" t="str">
            <v>CONCRETAGEM DE PILARES, FCK=25 MPA, COM USO DE JERICAS EM CREMALHEIRA - LANÇAMENTO, ADENSAMENTO E ACABAMENTO. AF_02/2022</v>
          </cell>
          <cell r="D1329" t="str">
            <v>M3</v>
          </cell>
          <cell r="E1329">
            <v>805.7</v>
          </cell>
          <cell r="F1329">
            <v>0</v>
          </cell>
        </row>
        <row r="1330">
          <cell r="B1330">
            <v>103687</v>
          </cell>
          <cell r="C1330" t="str">
            <v>CONCRETAGEM DE PILARES, FCK=25 MPA, COM USO DE JERICAS EM ELEVADOR DE CABO - LANÇAMENTO, ADENSAMENTO E ACABAMENTO. AF_02/2022</v>
          </cell>
          <cell r="D1330" t="str">
            <v>M3</v>
          </cell>
          <cell r="E1330">
            <v>1140.54</v>
          </cell>
          <cell r="F1330">
            <v>0</v>
          </cell>
        </row>
        <row r="1331">
          <cell r="B1331">
            <v>103684</v>
          </cell>
          <cell r="C1331" t="str">
            <v>CONCRETAGEM DE RESERVATÓRIOS, FCK=25 MPA, COM USO DE BOMBA - LANÇAMENTO, ADENSAMENTO E ACABAMENTO. AF_02/2022_PS</v>
          </cell>
          <cell r="D1331" t="str">
            <v>M3</v>
          </cell>
          <cell r="E1331">
            <v>610.42999999999995</v>
          </cell>
          <cell r="F1331">
            <v>0</v>
          </cell>
        </row>
        <row r="1332">
          <cell r="B1332">
            <v>103681</v>
          </cell>
          <cell r="C1332" t="str">
            <v>CONCRETAGEM DE VIGAS E LAJES, FCK=25 MPA, PARA LAJES MACIÇAS OU NERVURADAS COM GRUA DE CAÇAMBA DE 500 L EM EDIFICAÇÃO DE MULTIPAVIMENTOS ATÉ 16 ANDARES - LANÇAMENTO, ADENSAMENTO E ACABAMENTO. AF_02/2022</v>
          </cell>
          <cell r="D1332" t="str">
            <v>M3</v>
          </cell>
          <cell r="E1332">
            <v>661.78</v>
          </cell>
          <cell r="F1332">
            <v>0</v>
          </cell>
        </row>
        <row r="1333">
          <cell r="B1333">
            <v>103679</v>
          </cell>
          <cell r="C1333" t="str">
            <v>CONCRETAGEM DE VIGAS E LAJES, FCK=25 MPA, PARA LAJES MACIÇAS OU NERVURADAS COM JERICAS EM CREMALHEIRA EM EDIFICAÇÃO DE MULTIPAVIMENTOS ATÉ 16 ANDARES - LANÇAMENTO, ADENSAMENTO E ACABAMENTO. AF_02/2022</v>
          </cell>
          <cell r="D1333" t="str">
            <v>M3</v>
          </cell>
          <cell r="E1333">
            <v>757.53</v>
          </cell>
          <cell r="F1333">
            <v>0</v>
          </cell>
        </row>
        <row r="1334">
          <cell r="B1334">
            <v>103677</v>
          </cell>
          <cell r="C1334" t="str">
            <v>CONCRETAGEM DE VIGAS E LAJES, FCK=25 MPA, PARA LAJES MACIÇAS OU NERVURADAS COM JERICAS EM ELEVADOR DE CABO EM EDIFICAÇÃO DE MULTIPAVIMENTOS ATÉ 16 ANDARES - LANÇAMENTO, ADENSAMENTO E ACABAMENTO. AF_02/2022</v>
          </cell>
          <cell r="D1334" t="str">
            <v>M3</v>
          </cell>
          <cell r="E1334">
            <v>815.48</v>
          </cell>
          <cell r="F1334">
            <v>0</v>
          </cell>
        </row>
        <row r="1335">
          <cell r="B1335">
            <v>103675</v>
          </cell>
          <cell r="C1335" t="str">
            <v>CONCRETAGEM DE VIGAS E LAJES, FCK=25 MPA, PARA LAJES MACIÇAS OU NERVURADAS COM USO DE BOMBA - LANÇAMENTO, ADENSAMENTO E ACABAMENTO. AF_02/2022_PS</v>
          </cell>
          <cell r="D1335" t="str">
            <v>M3</v>
          </cell>
          <cell r="E1335">
            <v>587.01</v>
          </cell>
          <cell r="F1335">
            <v>0</v>
          </cell>
        </row>
        <row r="1336">
          <cell r="B1336">
            <v>103680</v>
          </cell>
          <cell r="C1336" t="str">
            <v>CONCRETAGEM DE VIGAS E LAJES, FCK=25 MPA, PARA LAJES PREMOLDADAS COM GRUA DE CAÇAMBA DE 350 L EM EDIFICAÇÃO DE MULTIPAVIMENTOS ATÉ 16 ANDARES - LANÇAMENTO, ADENSAMENTO E ACABAMENTO. AF_02/2022</v>
          </cell>
          <cell r="D1336" t="str">
            <v>M3</v>
          </cell>
          <cell r="E1336">
            <v>815.23</v>
          </cell>
          <cell r="F1336">
            <v>0</v>
          </cell>
        </row>
        <row r="1337">
          <cell r="B1337">
            <v>103678</v>
          </cell>
          <cell r="C1337" t="str">
            <v>CONCRETAGEM DE VIGAS E LAJES, FCK=25 MPA, PARA LAJES PREMOLDADAS COM JERICAS EM CREMALHEIRA EM EDIFICAÇÃO DE MULTIPAVIMENTOS ATÉ 16 ANDARES - LANÇAMENTO, ADENSAMENTO E ACABAMENTO. AF_02/2022</v>
          </cell>
          <cell r="D1337" t="str">
            <v>M3</v>
          </cell>
          <cell r="E1337">
            <v>920.15</v>
          </cell>
          <cell r="F1337">
            <v>0</v>
          </cell>
        </row>
        <row r="1338">
          <cell r="B1338">
            <v>103676</v>
          </cell>
          <cell r="C1338" t="str">
            <v>CONCRETAGEM DE VIGAS E LAJES, FCK=25 MPA, PARA LAJES PREMOLDADAS COM JERICAS EM ELEVADOR DE CABO EM EDIFICAÇÃO DE MULTIPAVIMENTOS ATÉ 16 ANDARES - LANÇAMENTO, ADENSAMENTO E ACABAMENTO. AF_02/2022</v>
          </cell>
          <cell r="D1338" t="str">
            <v>M3</v>
          </cell>
          <cell r="E1338">
            <v>1050.93</v>
          </cell>
          <cell r="F1338">
            <v>0</v>
          </cell>
        </row>
        <row r="1339">
          <cell r="B1339">
            <v>103674</v>
          </cell>
          <cell r="C1339" t="str">
            <v>CONCRETAGEM DE VIGAS E LAJES, FCK=25 MPA, PARA LAJES PREMOLDADAS COM USO DE BOMBA - LANÇAMENTO, ADENSAMENTO E ACABAMENTO. AF_02/2022_PS</v>
          </cell>
          <cell r="D1339" t="str">
            <v>M3</v>
          </cell>
          <cell r="E1339">
            <v>613.80999999999995</v>
          </cell>
          <cell r="F1339">
            <v>0</v>
          </cell>
        </row>
        <row r="1340">
          <cell r="B1340">
            <v>103683</v>
          </cell>
          <cell r="C1340" t="str">
            <v>CONCRETAGEM DE VIGAS E LAJES, FCK=25 MPA, PARA QUALQUER TIPO DE LAJE COM BALDES EM EDIFICAÇÃO DE MULTIPAVIMENTOS ATÉ 04 ANDARES - LANÇAMENTO, ADENSAMENTO E ACABAMENTO. AF_02/2022</v>
          </cell>
          <cell r="D1340" t="str">
            <v>M3</v>
          </cell>
          <cell r="E1340">
            <v>1391.76</v>
          </cell>
          <cell r="F1340">
            <v>0</v>
          </cell>
        </row>
        <row r="1341">
          <cell r="B1341">
            <v>103682</v>
          </cell>
          <cell r="C1341" t="str">
            <v>CONCRETAGEM DE VIGAS E LAJES, FCK=25 MPA, PARA QUALQUER TIPO DE LAJE COM BALDES EM EDIFICAÇÃO TÉRREA - LANÇAMENTO, ADENSAMENTO E ACABAMENTO. AF_02/2022</v>
          </cell>
          <cell r="D1341" t="str">
            <v>M3</v>
          </cell>
          <cell r="E1341">
            <v>995.22</v>
          </cell>
          <cell r="F1341">
            <v>0</v>
          </cell>
        </row>
        <row r="1342">
          <cell r="B1342">
            <v>103670</v>
          </cell>
          <cell r="C1342" t="str">
            <v>LANÇAMENTO COM USO DE BALDES, ADENSAMENTO E ACABAMENTO DE CONCRETO EM ESTRUTURAS. AF_02/2022</v>
          </cell>
          <cell r="D1342" t="str">
            <v>M3</v>
          </cell>
          <cell r="E1342">
            <v>406.65</v>
          </cell>
          <cell r="F1342">
            <v>0</v>
          </cell>
        </row>
        <row r="1343">
          <cell r="B1343">
            <v>103673</v>
          </cell>
          <cell r="C1343" t="str">
            <v>LANÇAMENTO COM USO DE BOMBA, ADENSAMENTO E ACABAMENTO DE CONCRETO EM ESTRUTURAS. AF_02/2022</v>
          </cell>
          <cell r="D1343" t="str">
            <v>M3</v>
          </cell>
          <cell r="E1343">
            <v>57.98</v>
          </cell>
          <cell r="F1343">
            <v>0</v>
          </cell>
        </row>
        <row r="1344">
          <cell r="B1344">
            <v>91084</v>
          </cell>
          <cell r="C1344" t="str">
            <v>EXECUÇÃO DE REVESTIMENTO DE CONCRETO PROJETADO COM ESPESSURA DE 10 CM, ARMADO COM FIBRAS DE AÇO, INCLINAÇÃO DE 90°, APLICAÇÃO CONTÍNUA, UTILIZANDO EQUIPAMENTO DE PROJEÇÃO COM 3 M3/H DE CAPACIDADE. AF_07/2024</v>
          </cell>
          <cell r="D1344" t="str">
            <v>M2</v>
          </cell>
          <cell r="E1344">
            <v>259.56</v>
          </cell>
          <cell r="F1344">
            <v>0</v>
          </cell>
        </row>
        <row r="1345">
          <cell r="B1345">
            <v>91080</v>
          </cell>
          <cell r="C1345" t="str">
            <v>EXECUÇÃO DE REVESTIMENTO DE CONCRETO PROJETADO COM ESPESSURA DE 10 CM, ARMADO COM FIBRAS DE AÇO, INCLINAÇÃO DE 90°, APLICAÇÃO CONTÍNUA, UTILIZANDO EQUIPAMENTO DE PROJEÇÃO COM 6 M3/H DE CAPACIDADE. AF_07/2024</v>
          </cell>
          <cell r="D1345" t="str">
            <v>M2</v>
          </cell>
          <cell r="E1345">
            <v>203.12</v>
          </cell>
          <cell r="F1345">
            <v>0</v>
          </cell>
        </row>
        <row r="1346">
          <cell r="B1346">
            <v>91101</v>
          </cell>
          <cell r="C1346" t="str">
            <v>EXECUÇÃO DE REVESTIMENTO DE CONCRETO PROJETADO COM ESPESSURA DE 10 CM, ARMADO COM FIBRAS DE AÇO, INCLINAÇÃO DE 90°, APLICAÇÃO DESCONTÍNUA, UTILIZANDO EQUIPAMENTO DE PROJEÇÃO COM 3 M3/H DE CAPACIDADE. AF_07/2024</v>
          </cell>
          <cell r="D1346" t="str">
            <v>M2</v>
          </cell>
          <cell r="E1346">
            <v>240.63</v>
          </cell>
          <cell r="F1346">
            <v>0</v>
          </cell>
        </row>
        <row r="1347">
          <cell r="B1347">
            <v>91097</v>
          </cell>
          <cell r="C1347" t="str">
            <v>EXECUÇÃO DE REVESTIMENTO DE CONCRETO PROJETADO COM ESPESSURA DE 10 CM, ARMADO COM FIBRAS DE AÇO, INCLINAÇÃO DE 90°, APLICAÇÃO DESCONTÍNUA, UTILIZANDO EQUIPAMENTO DE PROJEÇÃO COM 6 M3/H DE CAPACIDADE. AF_07/2024</v>
          </cell>
          <cell r="D1347" t="str">
            <v>M2</v>
          </cell>
          <cell r="E1347">
            <v>195.98</v>
          </cell>
          <cell r="F1347">
            <v>0</v>
          </cell>
        </row>
        <row r="1348">
          <cell r="B1348">
            <v>91082</v>
          </cell>
          <cell r="C1348" t="str">
            <v>EXECUÇÃO DE REVESTIMENTO DE CONCRETO PROJETADO COM ESPESSURA DE 10 CM, ARMADO COM FIBRAS DE AÇO, INCLINAÇÃO MENOR QUE 90°, APLICAÇÃO CONTÍNUA, UTILIZANDO EQUIPAMENTO DE PROJEÇÃO COM 3 M3/H DE CAPACIDADE. AF_07/2024</v>
          </cell>
          <cell r="D1348" t="str">
            <v>M2</v>
          </cell>
          <cell r="E1348">
            <v>231.2</v>
          </cell>
          <cell r="F1348">
            <v>0</v>
          </cell>
        </row>
        <row r="1349">
          <cell r="B1349">
            <v>91078</v>
          </cell>
          <cell r="C1349" t="str">
            <v>EXECUÇÃO DE REVESTIMENTO DE CONCRETO PROJETADO COM ESPESSURA DE 10 CM, ARMADO COM FIBRAS DE AÇO, INCLINAÇÃO MENOR QUE 90°, APLICAÇÃO CONTÍNUA, UTILIZANDO EQUIPAMENTO DE PROJEÇÃO COM 6 M3/H DE CAPACIDADE. AF_07/2024</v>
          </cell>
          <cell r="D1349" t="str">
            <v>M2</v>
          </cell>
          <cell r="E1349">
            <v>189.68</v>
          </cell>
          <cell r="F1349">
            <v>0</v>
          </cell>
        </row>
        <row r="1350">
          <cell r="B1350">
            <v>91099</v>
          </cell>
          <cell r="C1350" t="str">
            <v>EXECUÇÃO DE REVESTIMENTO DE CONCRETO PROJETADO COM ESPESSURA DE 10 CM, ARMADO COM FIBRAS DE AÇO, INCLINAÇÃO MENOR QUE 90°, APLICAÇÃO DESCONTÍNUA, UTILIZANDO EQUIPAMENTO DE PROJEÇÃO COM 3 M3/H DE CAPACIDADE. AF_07/2024</v>
          </cell>
          <cell r="D1350" t="str">
            <v>M2</v>
          </cell>
          <cell r="E1350">
            <v>218.05</v>
          </cell>
          <cell r="F1350">
            <v>0</v>
          </cell>
        </row>
        <row r="1351">
          <cell r="B1351">
            <v>91095</v>
          </cell>
          <cell r="C1351" t="str">
            <v>EXECUÇÃO DE REVESTIMENTO DE CONCRETO PROJETADO COM ESPESSURA DE 10 CM, ARMADO COM FIBRAS DE AÇO, INCLINAÇÃO MENOR QUE 90°, APLICAÇÃO DESCONTÍNUA, UTILIZANDO EQUIPAMENTO DE PROJEÇÃO COM 6 M3/H DE CAPACIDADE. AF_07/2024</v>
          </cell>
          <cell r="D1351" t="str">
            <v>M2</v>
          </cell>
          <cell r="E1351">
            <v>184.11</v>
          </cell>
          <cell r="F1351">
            <v>0</v>
          </cell>
        </row>
        <row r="1352">
          <cell r="B1352">
            <v>91076</v>
          </cell>
          <cell r="C1352" t="str">
            <v>EXECUÇÃO DE REVESTIMENTO DE CONCRETO PROJETADO COM ESPESSURA DE 10 CM, ARMADO COM TELA, INCLINAÇÃO DE 90°, APLICAÇÃO CONTÍNUA, UTILIZANDO EQUIPAMENTO DE PROJEÇÃO COM 3 M3/H DE CAPACIDADE. AF_07/2024</v>
          </cell>
          <cell r="D1352" t="str">
            <v>M2</v>
          </cell>
          <cell r="E1352">
            <v>352.9</v>
          </cell>
          <cell r="F1352">
            <v>0</v>
          </cell>
        </row>
        <row r="1353">
          <cell r="B1353">
            <v>91072</v>
          </cell>
          <cell r="C1353" t="str">
            <v>EXECUÇÃO DE REVESTIMENTO DE CONCRETO PROJETADO COM ESPESSURA DE 10 CM, ARMADO COM TELA, INCLINAÇÃO DE 90°, APLICAÇÃO CONTÍNUA, UTILIZANDO EQUIPAMENTO DE PROJEÇÃO COM 6 M3/H DE CAPACIDADE. AF_07/2024</v>
          </cell>
          <cell r="D1353" t="str">
            <v>M2</v>
          </cell>
          <cell r="E1353">
            <v>308.27999999999997</v>
          </cell>
          <cell r="F1353">
            <v>0</v>
          </cell>
        </row>
        <row r="1354">
          <cell r="B1354">
            <v>91093</v>
          </cell>
          <cell r="C1354" t="str">
            <v>EXECUÇÃO DE REVESTIMENTO DE CONCRETO PROJETADO COM ESPESSURA DE 10 CM, ARMADO COM TELA, INCLINAÇÃO DE 90°, APLICAÇÃO DESCONTÍNUA, UTILIZANDO EQUIPAMENTO DE PROJEÇÃO COM 3 M3/H DE CAPACIDADE. AF_07/2024</v>
          </cell>
          <cell r="D1354" t="str">
            <v>M2</v>
          </cell>
          <cell r="E1354">
            <v>366.63</v>
          </cell>
          <cell r="F1354">
            <v>0</v>
          </cell>
        </row>
        <row r="1355">
          <cell r="B1355">
            <v>91089</v>
          </cell>
          <cell r="C1355" t="str">
            <v>EXECUÇÃO DE REVESTIMENTO DE CONCRETO PROJETADO COM ESPESSURA DE 10 CM, ARMADO COM TELA, INCLINAÇÃO DE 90°, APLICAÇÃO DESCONTÍNUA, UTILIZANDO EQUIPAMENTO DE PROJEÇÃO COM 6 M3/H DE CAPACIDADE. AF_07/2024</v>
          </cell>
          <cell r="D1355" t="str">
            <v>M2</v>
          </cell>
          <cell r="E1355">
            <v>330.15</v>
          </cell>
          <cell r="F1355">
            <v>0</v>
          </cell>
        </row>
        <row r="1356">
          <cell r="B1356">
            <v>91074</v>
          </cell>
          <cell r="C1356" t="str">
            <v>EXECUÇÃO DE REVESTIMENTO DE CONCRETO PROJETADO COM ESPESSURA DE 10 CM, ARMADO COM TELA, INCLINAÇÃO MENOR QUE 90°, APLICAÇÃO CONTÍNUA, UTILIZANDO EQUIPAMENTO DE PROJEÇÃO COM 3 M3/H DE CAPACIDADE. AF_07/2024</v>
          </cell>
          <cell r="D1356" t="str">
            <v>M2</v>
          </cell>
          <cell r="E1356">
            <v>223.95</v>
          </cell>
          <cell r="F1356">
            <v>0</v>
          </cell>
        </row>
        <row r="1357">
          <cell r="B1357">
            <v>91070</v>
          </cell>
          <cell r="C1357" t="str">
            <v>EXECUÇÃO DE REVESTIMENTO DE CONCRETO PROJETADO COM ESPESSURA DE 10 CM, ARMADO COM TELA, INCLINAÇÃO MENOR QUE 90°, APLICAÇÃO CONTÍNUA, UTILIZANDO EQUIPAMENTO DE PROJEÇÃO COM 6 M3/H DE CAPACIDADE. AF_07/2024</v>
          </cell>
          <cell r="D1357" t="str">
            <v>M2</v>
          </cell>
          <cell r="E1357">
            <v>190.32</v>
          </cell>
          <cell r="F1357">
            <v>0</v>
          </cell>
        </row>
        <row r="1358">
          <cell r="B1358">
            <v>91091</v>
          </cell>
          <cell r="C1358" t="str">
            <v>EXECUÇÃO DE REVESTIMENTO DE CONCRETO PROJETADO COM ESPESSURA DE 10 CM, ARMADO COM TELA, INCLINAÇÃO MENOR QUE 90°, APLICAÇÃO DESCONTÍNUA, UTILIZANDO EQUIPAMENTO DE PROJEÇÃO COM 3 M3/H DE CAPACIDADE. AF_07/2024</v>
          </cell>
          <cell r="D1358" t="str">
            <v>M2</v>
          </cell>
          <cell r="E1358">
            <v>238.48</v>
          </cell>
          <cell r="F1358">
            <v>0</v>
          </cell>
        </row>
        <row r="1359">
          <cell r="B1359">
            <v>91087</v>
          </cell>
          <cell r="C1359" t="str">
            <v>EXECUÇÃO DE REVESTIMENTO DE CONCRETO PROJETADO COM ESPESSURA DE 10 CM, ARMADO COM TELA, INCLINAÇÃO MENOR QUE 90°, APLICAÇÃO DESCONTÍNUA, UTILIZANDO EQUIPAMENTO DE PROJEÇÃO COM 6 M3/H DE CAPACIDADE. AF_07/2024</v>
          </cell>
          <cell r="D1359" t="str">
            <v>M2</v>
          </cell>
          <cell r="E1359">
            <v>210.42</v>
          </cell>
          <cell r="F1359">
            <v>0</v>
          </cell>
        </row>
        <row r="1360">
          <cell r="B1360">
            <v>91083</v>
          </cell>
          <cell r="C1360" t="str">
            <v>EXECUÇÃO DE REVESTIMENTO DE CONCRETO PROJETADO COM ESPESSURA DE 7 CM, ARMADO COM FIBRAS DE AÇO, INCLINAÇÃO DE 90°, APLICAÇÃO CONTÍNUA, UTILIZANDO EQUIPAMENTO DE PROJEÇÃO COM 3 M3/H DE CAPACIDADE. AF_07/2024</v>
          </cell>
          <cell r="D1360" t="str">
            <v>M2</v>
          </cell>
          <cell r="E1360">
            <v>323.51</v>
          </cell>
          <cell r="F1360">
            <v>0</v>
          </cell>
        </row>
        <row r="1361">
          <cell r="B1361">
            <v>91079</v>
          </cell>
          <cell r="C1361" t="str">
            <v>EXECUÇÃO DE REVESTIMENTO DE CONCRETO PROJETADO COM ESPESSURA DE 7 CM, ARMADO COM FIBRAS DE AÇO, INCLINAÇÃO DE 90°, APLICAÇÃO CONTÍNUA, UTILIZANDO EQUIPAMENTO DE PROJEÇÃO COM 6 M3/H DE CAPACIDADE. AF_07/2024</v>
          </cell>
          <cell r="D1361" t="str">
            <v>M2</v>
          </cell>
          <cell r="E1361">
            <v>191.01</v>
          </cell>
          <cell r="F1361">
            <v>0</v>
          </cell>
        </row>
        <row r="1362">
          <cell r="B1362">
            <v>91100</v>
          </cell>
          <cell r="C1362" t="str">
            <v>EXECUÇÃO DE REVESTIMENTO DE CONCRETO PROJETADO COM ESPESSURA DE 7 CM, ARMADO COM FIBRAS DE AÇO, INCLINAÇÃO DE 90°, APLICAÇÃO DESCONTÍNUA, UTILIZANDO EQUIPAMENTO DE PROJEÇÃO COM 3 M3/H DE CAPACIDADE. AF_07/2024</v>
          </cell>
          <cell r="D1362" t="str">
            <v>M2</v>
          </cell>
          <cell r="E1362">
            <v>267.87</v>
          </cell>
          <cell r="F1362">
            <v>0</v>
          </cell>
        </row>
        <row r="1363">
          <cell r="B1363">
            <v>91096</v>
          </cell>
          <cell r="C1363" t="str">
            <v>EXECUÇÃO DE REVESTIMENTO DE CONCRETO PROJETADO COM ESPESSURA DE 7 CM, ARMADO COM FIBRAS DE AÇO, INCLINAÇÃO DE 90°, APLICAÇÃO DESCONTÍNUA, UTILIZANDO EQUIPAMENTO DE PROJEÇÃO COM 6 M3/H DE CAPACIDADE. AF_07/2024</v>
          </cell>
          <cell r="D1363" t="str">
            <v>M2</v>
          </cell>
          <cell r="E1363">
            <v>180.22</v>
          </cell>
          <cell r="F1363">
            <v>0</v>
          </cell>
        </row>
        <row r="1364">
          <cell r="B1364">
            <v>91081</v>
          </cell>
          <cell r="C1364" t="str">
            <v>EXECUÇÃO DE REVESTIMENTO DE CONCRETO PROJETADO COM ESPESSURA DE 7 CM, ARMADO COM FIBRAS DE AÇO, INCLINAÇÃO MENOR QUE 90°, APLICAÇÃO CONTÍNUA, UTILIZANDO EQUIPAMENTO DE PROJEÇÃO COM 3 M3/H DE CAPACIDADE. AF_07/2024</v>
          </cell>
          <cell r="D1364" t="str">
            <v>M2</v>
          </cell>
          <cell r="E1364">
            <v>254.72</v>
          </cell>
          <cell r="F1364">
            <v>0</v>
          </cell>
        </row>
        <row r="1365">
          <cell r="B1365">
            <v>91077</v>
          </cell>
          <cell r="C1365" t="str">
            <v>EXECUÇÃO DE REVESTIMENTO DE CONCRETO PROJETADO COM ESPESSURA DE 7 CM, ARMADO COM FIBRAS DE AÇO, INCLINAÇÃO MENOR QUE 90°, APLICAÇÃO CONTÍNUA, UTILIZANDO EQUIPAMENTO DE PROJEÇÃO COM 6 M3/H DE CAPACIDADE. AF_07/2024</v>
          </cell>
          <cell r="D1365" t="str">
            <v>M2</v>
          </cell>
          <cell r="E1365">
            <v>173.89</v>
          </cell>
          <cell r="F1365">
            <v>0</v>
          </cell>
        </row>
        <row r="1366">
          <cell r="B1366">
            <v>91098</v>
          </cell>
          <cell r="C1366" t="str">
            <v>EXECUÇÃO DE REVESTIMENTO DE CONCRETO PROJETADO COM ESPESSURA DE 7 CM, ARMADO COM FIBRAS DE AÇO, INCLINAÇÃO MENOR QUE 90°, APLICAÇÃO DESCONTÍNUA, UTILIZANDO EQUIPAMENTO DE PROJEÇÃO COM 3 M3/H DE CAPACIDADE. AF_07/2024</v>
          </cell>
          <cell r="D1366" t="str">
            <v>M2</v>
          </cell>
          <cell r="E1366">
            <v>223.85</v>
          </cell>
          <cell r="F1366">
            <v>0</v>
          </cell>
        </row>
        <row r="1367">
          <cell r="B1367">
            <v>91094</v>
          </cell>
          <cell r="C1367" t="str">
            <v>EXECUÇÃO DE REVESTIMENTO DE CONCRETO PROJETADO COM ESPESSURA DE 7 CM, ARMADO COM FIBRAS DE AÇO, INCLINAÇÃO MENOR QUE 90°, APLICAÇÃO DESCONTÍNUA, UTILIZANDO EQUIPAMENTO DE PROJEÇÃO COM 6 M3/H DE CAPACIDADE. AF_07/2024</v>
          </cell>
          <cell r="D1367" t="str">
            <v>M2</v>
          </cell>
          <cell r="E1367">
            <v>166.06</v>
          </cell>
          <cell r="F1367">
            <v>0</v>
          </cell>
        </row>
        <row r="1368">
          <cell r="B1368">
            <v>91075</v>
          </cell>
          <cell r="C1368" t="str">
            <v>EXECUÇÃO DE REVESTIMENTO DE CONCRETO PROJETADO COM ESPESSURA DE 7 CM, ARMADO COM TELA, INCLINAÇÃO DE 90°, APLICAÇÃO CONTÍNUA, UTILIZANDO EQUIPAMENTO DE PROJEÇÃO COM 3 M3/H DE CAPACIDADE. AF_07/2024</v>
          </cell>
          <cell r="D1368" t="str">
            <v>M2</v>
          </cell>
          <cell r="E1368">
            <v>387.17</v>
          </cell>
          <cell r="F1368">
            <v>0</v>
          </cell>
        </row>
        <row r="1369">
          <cell r="B1369">
            <v>91071</v>
          </cell>
          <cell r="C1369" t="str">
            <v>EXECUÇÃO DE REVESTIMENTO DE CONCRETO PROJETADO COM ESPESSURA DE 7 CM, ARMADO COM TELA, INCLINAÇÃO DE 90°, APLICAÇÃO CONTÍNUA, UTILIZANDO EQUIPAMENTO DE PROJEÇÃO COM 6 M3/H DE CAPACIDADE. AF_07/2024</v>
          </cell>
          <cell r="D1369" t="str">
            <v>M2</v>
          </cell>
          <cell r="E1369">
            <v>301.02999999999997</v>
          </cell>
          <cell r="F1369">
            <v>0</v>
          </cell>
        </row>
        <row r="1370">
          <cell r="B1370">
            <v>91092</v>
          </cell>
          <cell r="C1370" t="str">
            <v>EXECUÇÃO DE REVESTIMENTO DE CONCRETO PROJETADO COM ESPESSURA DE 7 CM, ARMADO COM TELA, INCLINAÇÃO DE 90°, APLICAÇÃO DESCONTÍNUA, UTILIZANDO EQUIPAMENTO DE PROJEÇÃO COM 3 M3/H DE CAPACIDADE. AF_07/2024</v>
          </cell>
          <cell r="D1370" t="str">
            <v>M2</v>
          </cell>
          <cell r="E1370">
            <v>382.31</v>
          </cell>
          <cell r="F1370">
            <v>0</v>
          </cell>
        </row>
        <row r="1371">
          <cell r="B1371">
            <v>91088</v>
          </cell>
          <cell r="C1371" t="str">
            <v>EXECUÇÃO DE REVESTIMENTO DE CONCRETO PROJETADO COM ESPESSURA DE 7 CM, ARMADO COM TELA, INCLINAÇÃO DE 90°, APLICAÇÃO DESCONTÍNUA, UTILIZANDO EQUIPAMENTO DE PROJEÇÃO COM 6 M3/H DE CAPACIDADE. AF_07/2024</v>
          </cell>
          <cell r="D1371" t="str">
            <v>M2</v>
          </cell>
          <cell r="E1371">
            <v>320.5</v>
          </cell>
          <cell r="F1371">
            <v>0</v>
          </cell>
        </row>
        <row r="1372">
          <cell r="B1372">
            <v>91073</v>
          </cell>
          <cell r="C1372" t="str">
            <v>EXECUÇÃO DE REVESTIMENTO DE CONCRETO PROJETADO COM ESPESSURA DE 7 CM, ARMADO COM TELA, INCLINAÇÃO MENOR QUE 90°, APLICAÇÃO CONTÍNUA, UTILIZANDO EQUIPAMENTO DE PROJEÇÃO COM 3 M3/H DE CAPACIDADE. AF_07/2024</v>
          </cell>
          <cell r="D1372" t="str">
            <v>M2</v>
          </cell>
          <cell r="E1372">
            <v>237.81</v>
          </cell>
          <cell r="F1372">
            <v>0</v>
          </cell>
        </row>
        <row r="1373">
          <cell r="B1373">
            <v>91069</v>
          </cell>
          <cell r="C1373" t="str">
            <v>EXECUÇÃO DE REVESTIMENTO DE CONCRETO PROJETADO COM ESPESSURA DE 7 CM, ARMADO COM TELA, INCLINAÇÃO MENOR QUE 90°, APLICAÇÃO CONTÍNUA, UTILIZANDO EQUIPAMENTO DE PROJEÇÃO COM 6 M3/H DE CAPACIDADE. AF_07/2024</v>
          </cell>
          <cell r="D1373" t="str">
            <v>M2</v>
          </cell>
          <cell r="E1373">
            <v>180.85</v>
          </cell>
          <cell r="F1373">
            <v>0</v>
          </cell>
        </row>
        <row r="1374">
          <cell r="B1374">
            <v>91090</v>
          </cell>
          <cell r="C1374" t="str">
            <v>EXECUÇÃO DE REVESTIMENTO DE CONCRETO PROJETADO COM ESPESSURA DE 7 CM, ARMADO COM TELA, INCLINAÇÃO MENOR QUE 90°, APLICAÇÃO DESCONTÍNUA, UTILIZANDO EQUIPAMENTO DE PROJEÇÃO COM 3 M3/H DE CAPACIDADE. AF_07/2024</v>
          </cell>
          <cell r="D1374" t="str">
            <v>M2</v>
          </cell>
          <cell r="E1374">
            <v>242.42</v>
          </cell>
          <cell r="F1374">
            <v>0</v>
          </cell>
        </row>
        <row r="1375">
          <cell r="B1375">
            <v>91086</v>
          </cell>
          <cell r="C1375" t="str">
            <v>EXECUÇÃO DE REVESTIMENTO DE CONCRETO PROJETADO COM ESPESSURA DE 7 CM, ARMADO COM TELA, INCLINAÇÃO MENOR QUE 90°, APLICAÇÃO DESCONTÍNUA, UTILIZANDO EQUIPAMENTO DE PROJEÇÃO COM 6 M3/H DE CAPACIDADE. AF_07/2024</v>
          </cell>
          <cell r="D1375" t="str">
            <v>M2</v>
          </cell>
          <cell r="E1375">
            <v>199.44</v>
          </cell>
          <cell r="F1375">
            <v>0</v>
          </cell>
        </row>
        <row r="1376">
          <cell r="B1376">
            <v>105522</v>
          </cell>
          <cell r="C1376" t="str">
            <v>REVESTIMENTO VEGETAL PARA SOLO GRAMPEADO VERDE, ATRAVÉS DE HIDROSSEMEADURA. AF_07/2024</v>
          </cell>
          <cell r="D1376" t="str">
            <v>M2</v>
          </cell>
          <cell r="E1376">
            <v>0</v>
          </cell>
        </row>
        <row r="1377">
          <cell r="B1377">
            <v>104281</v>
          </cell>
          <cell r="C1377" t="str">
            <v>ANCORAGEM ATIVA PARA CABO COM 1 CORDOALHA DE DIÂMETRO NOMINAL DE 12,7 MM. AF_08/2022</v>
          </cell>
          <cell r="D1377" t="str">
            <v>UN</v>
          </cell>
          <cell r="E1377">
            <v>0</v>
          </cell>
        </row>
        <row r="1378">
          <cell r="B1378">
            <v>104287</v>
          </cell>
          <cell r="C1378" t="str">
            <v>ANCORAGEM ATIVA PARA CABO COM 1 CORDOALHA DE DIÂMETRO NOMINAL DE 15,2 MM. AF_08/2022</v>
          </cell>
          <cell r="D1378" t="str">
            <v>UN</v>
          </cell>
          <cell r="E1378">
            <v>0</v>
          </cell>
        </row>
        <row r="1379">
          <cell r="B1379">
            <v>104286</v>
          </cell>
          <cell r="C1379" t="str">
            <v>ANCORAGEM ATIVA PARA CABO COM 12 CORDOALHAS DE DIÂMETRO NOMINAL DE 12,7 MM. AF_08/2022</v>
          </cell>
          <cell r="D1379" t="str">
            <v>UN</v>
          </cell>
          <cell r="E1379">
            <v>0</v>
          </cell>
        </row>
        <row r="1380">
          <cell r="B1380">
            <v>104292</v>
          </cell>
          <cell r="C1380" t="str">
            <v>ANCORAGEM ATIVA PARA CABO COM 12 CORDOALHAS DE DIÂMETRO NOMINAL DE 15,2 MM. AF_08/2022</v>
          </cell>
          <cell r="D1380" t="str">
            <v>UN</v>
          </cell>
          <cell r="E1380">
            <v>0</v>
          </cell>
        </row>
        <row r="1381">
          <cell r="B1381">
            <v>104282</v>
          </cell>
          <cell r="C1381" t="str">
            <v>ANCORAGEM ATIVA PARA CABO COM 2 CORDOALHAS DE DIÂMETRO NOMINAL DE 12,7 MM. AF_08/2022</v>
          </cell>
          <cell r="D1381" t="str">
            <v>UN</v>
          </cell>
          <cell r="E1381">
            <v>0</v>
          </cell>
        </row>
        <row r="1382">
          <cell r="B1382">
            <v>104288</v>
          </cell>
          <cell r="C1382" t="str">
            <v>ANCORAGEM ATIVA PARA CABO COM 2 CORDOALHAS DE DIÂMETRO NOMINAL DE 15,2 MM. AF_08/2022</v>
          </cell>
          <cell r="D1382" t="str">
            <v>UN</v>
          </cell>
          <cell r="E1382">
            <v>0</v>
          </cell>
        </row>
        <row r="1383">
          <cell r="B1383">
            <v>104283</v>
          </cell>
          <cell r="C1383" t="str">
            <v>ANCORAGEM ATIVA PARA CABO COM 4 CORDOALHAS DE DIÂMETRO NOMINAL DE 12,7 MM. AF_08/2022</v>
          </cell>
          <cell r="D1383" t="str">
            <v>UN</v>
          </cell>
          <cell r="E1383">
            <v>0</v>
          </cell>
        </row>
        <row r="1384">
          <cell r="B1384">
            <v>104289</v>
          </cell>
          <cell r="C1384" t="str">
            <v>ANCORAGEM ATIVA PARA CABO COM 4 CORDOALHAS DE DIÂMETRO NOMINAL DE 15,2 MM. AF_08/2022</v>
          </cell>
          <cell r="D1384" t="str">
            <v>UN</v>
          </cell>
          <cell r="E1384">
            <v>0</v>
          </cell>
        </row>
        <row r="1385">
          <cell r="B1385">
            <v>104284</v>
          </cell>
          <cell r="C1385" t="str">
            <v>ANCORAGEM ATIVA PARA CABO COM 6 CORDOALHAS DE DIÂMETRO NOMINAL DE 12,7 MM. AF_08/2022</v>
          </cell>
          <cell r="D1385" t="str">
            <v>UN</v>
          </cell>
          <cell r="E1385">
            <v>0</v>
          </cell>
        </row>
        <row r="1386">
          <cell r="B1386">
            <v>104290</v>
          </cell>
          <cell r="C1386" t="str">
            <v>ANCORAGEM ATIVA PARA CABO COM 6 CORDOALHAS DE DIÂMETRO NOMINAL DE 15,2 MM. AF_08/2022</v>
          </cell>
          <cell r="D1386" t="str">
            <v>UN</v>
          </cell>
          <cell r="E1386">
            <v>0</v>
          </cell>
        </row>
        <row r="1387">
          <cell r="B1387">
            <v>104285</v>
          </cell>
          <cell r="C1387" t="str">
            <v>ANCORAGEM ATIVA PARA CABO COM 7 CORDOALHAS DE DIÂMETRO NOMINAL DE 12,7 MM. AF_08/2022</v>
          </cell>
          <cell r="D1387" t="str">
            <v>UN</v>
          </cell>
          <cell r="E1387">
            <v>0</v>
          </cell>
        </row>
        <row r="1388">
          <cell r="B1388">
            <v>104291</v>
          </cell>
          <cell r="C1388" t="str">
            <v>ANCORAGEM ATIVA PARA CABO COM 7 CORDOALHAS DE DIÂMETRO NOMINAL DE 15,2 MM. AF_08/2022</v>
          </cell>
          <cell r="D1388" t="str">
            <v>UN</v>
          </cell>
          <cell r="E1388">
            <v>0</v>
          </cell>
        </row>
        <row r="1389">
          <cell r="B1389">
            <v>104267</v>
          </cell>
          <cell r="C1389" t="str">
            <v>ANCORAGEM ATIVA PARA CORDOALHA COM 7 FIOS E DIÂMETRO NOMINAL DE 12,7 MM. AF_08/2022</v>
          </cell>
          <cell r="D1389" t="str">
            <v>UN</v>
          </cell>
          <cell r="E1389">
            <v>0</v>
          </cell>
        </row>
        <row r="1390">
          <cell r="B1390">
            <v>104268</v>
          </cell>
          <cell r="C1390" t="str">
            <v>ANCORAGEM ATIVA PARA CORDOALHA COM 7 FIOS E DIÂMETRO NOMINAL DE 15,2 MM. AF_08/2022</v>
          </cell>
          <cell r="D1390" t="str">
            <v>UN</v>
          </cell>
          <cell r="E1390">
            <v>0</v>
          </cell>
        </row>
        <row r="1391">
          <cell r="B1391">
            <v>104269</v>
          </cell>
          <cell r="C1391" t="str">
            <v>ANCORAGEM PASSIVA PARA CABO COM 1 CORDOALHA DE DIÂMETRO NOMINAL DE 12,7 MM. AF_08/2022</v>
          </cell>
          <cell r="D1391" t="str">
            <v>UN</v>
          </cell>
          <cell r="E1391">
            <v>0</v>
          </cell>
        </row>
        <row r="1392">
          <cell r="B1392">
            <v>104270</v>
          </cell>
          <cell r="C1392" t="str">
            <v>ANCORAGEM PASSIVA PARA CABO COM 1 CORDOALHA DE DIÂMETRO NOMINAL DE 15,2 MM. AF_08/2022</v>
          </cell>
          <cell r="D1392" t="str">
            <v>UN</v>
          </cell>
          <cell r="E1392">
            <v>0</v>
          </cell>
        </row>
        <row r="1393">
          <cell r="B1393">
            <v>104276</v>
          </cell>
          <cell r="C1393" t="str">
            <v>ANCORAGEM PASSIVA PARA CABO COM 12 CORDOALHAS DE DIÂMETRO NOMINAL DE 12,7 MM. AF_08/2022</v>
          </cell>
          <cell r="D1393" t="str">
            <v>UN</v>
          </cell>
          <cell r="E1393">
            <v>0</v>
          </cell>
        </row>
        <row r="1394">
          <cell r="B1394">
            <v>104280</v>
          </cell>
          <cell r="C1394" t="str">
            <v>ANCORAGEM PASSIVA PARA CABO COM 12 CORDOALHAS DE DIÂMETRO NOMINAL DE 15,2 MM. AF_08/2022</v>
          </cell>
          <cell r="D1394" t="str">
            <v>UN</v>
          </cell>
          <cell r="E1394">
            <v>0</v>
          </cell>
        </row>
        <row r="1395">
          <cell r="B1395">
            <v>104271</v>
          </cell>
          <cell r="C1395" t="str">
            <v>ANCORAGEM PASSIVA PARA CABO COM 2 CORDOALHAS DE DIÂMETRO NOMINAL DE 12,7 MM. AF_08/2022</v>
          </cell>
          <cell r="D1395" t="str">
            <v>UN</v>
          </cell>
          <cell r="E1395">
            <v>0</v>
          </cell>
        </row>
        <row r="1396">
          <cell r="B1396">
            <v>104272</v>
          </cell>
          <cell r="C1396" t="str">
            <v>ANCORAGEM PASSIVA PARA CABO COM 2 CORDOALHAS DE DIÂMETRO NOMINAL DE 15,2 MM. AF_08/2022</v>
          </cell>
          <cell r="D1396" t="str">
            <v>UN</v>
          </cell>
          <cell r="E1396">
            <v>0</v>
          </cell>
        </row>
        <row r="1397">
          <cell r="B1397">
            <v>104273</v>
          </cell>
          <cell r="C1397" t="str">
            <v>ANCORAGEM PASSIVA PARA CABO COM 4 CORDOALHAS DE DIÂMETRO NOMINAL DE 12,7 MM. AF_08/2022</v>
          </cell>
          <cell r="D1397" t="str">
            <v>UN</v>
          </cell>
          <cell r="E1397">
            <v>0</v>
          </cell>
        </row>
        <row r="1398">
          <cell r="B1398">
            <v>104277</v>
          </cell>
          <cell r="C1398" t="str">
            <v>ANCORAGEM PASSIVA PARA CABO COM 4 CORDOALHAS DE DIÂMETRO NOMINAL DE 15,2 MM. AF_08/2022</v>
          </cell>
          <cell r="D1398" t="str">
            <v>UN</v>
          </cell>
          <cell r="E1398">
            <v>0</v>
          </cell>
        </row>
        <row r="1399">
          <cell r="B1399">
            <v>104274</v>
          </cell>
          <cell r="C1399" t="str">
            <v>ANCORAGEM PASSIVA PARA CABO COM 6 CORDOALHAS DE DIÂMETRO NOMINAL DE 12,7 MM. AF_08/2022</v>
          </cell>
          <cell r="D1399" t="str">
            <v>UN</v>
          </cell>
          <cell r="E1399">
            <v>0</v>
          </cell>
        </row>
        <row r="1400">
          <cell r="B1400">
            <v>104278</v>
          </cell>
          <cell r="C1400" t="str">
            <v>ANCORAGEM PASSIVA PARA CABO COM 6 CORDOALHAS DE DIÂMETRO NOMINAL DE 15,2 MM. AF_08/2022</v>
          </cell>
          <cell r="D1400" t="str">
            <v>UN</v>
          </cell>
          <cell r="E1400">
            <v>0</v>
          </cell>
        </row>
        <row r="1401">
          <cell r="B1401">
            <v>104275</v>
          </cell>
          <cell r="C1401" t="str">
            <v>ANCORAGEM PASSIVA PARA CABO COM 7 CORDOALHAS DE DIÂMETRO NOMINAL DE 12,7 MM. AF_08/2022</v>
          </cell>
          <cell r="D1401" t="str">
            <v>UN</v>
          </cell>
          <cell r="E1401">
            <v>0</v>
          </cell>
        </row>
        <row r="1402">
          <cell r="B1402">
            <v>104279</v>
          </cell>
          <cell r="C1402" t="str">
            <v>ANCORAGEM PASSIVA PARA CABO COM 7 CORDOALHAS DE DIÂMETRO NOMINAL DE 15,2 MM. AF_08/2022</v>
          </cell>
          <cell r="D1402" t="str">
            <v>UN</v>
          </cell>
          <cell r="E1402">
            <v>0</v>
          </cell>
        </row>
        <row r="1403">
          <cell r="B1403">
            <v>104265</v>
          </cell>
          <cell r="C1403" t="str">
            <v>ANCORAGEM PASSIVA PARA CORDOALHA COM 7 FIOS E DIÂMETRO NOMINAL DE 12,7 MM. AF_08/2022</v>
          </cell>
          <cell r="D1403" t="str">
            <v>UN</v>
          </cell>
          <cell r="E1403">
            <v>0</v>
          </cell>
        </row>
        <row r="1404">
          <cell r="B1404">
            <v>104266</v>
          </cell>
          <cell r="C1404" t="str">
            <v>ANCORAGEM PASSIVA PARA CORDOALHA COM 7 FIOS E DIÂMETRO NOMINAL DE 15,2 MM. AF_08/2022</v>
          </cell>
          <cell r="D1404" t="str">
            <v>UN</v>
          </cell>
          <cell r="E1404">
            <v>0</v>
          </cell>
        </row>
        <row r="1405">
          <cell r="B1405">
            <v>104305</v>
          </cell>
          <cell r="C1405" t="str">
            <v>FORNECIMENTO E INSTALAÇÃO DE BAINHA CIRCULAR COM DIÂMETRO NOMINAL DE 35 MM, INCLUSIVE INJEÇÃO DE NATA DE CIMENTO. AF_08/2022</v>
          </cell>
          <cell r="D1405" t="str">
            <v>M</v>
          </cell>
          <cell r="E1405">
            <v>0</v>
          </cell>
        </row>
        <row r="1406">
          <cell r="B1406">
            <v>104306</v>
          </cell>
          <cell r="C1406" t="str">
            <v>FORNECIMENTO E INSTALAÇÃO DE BAINHA CIRCULAR COM DIÂMETRO NOMINAL DE 40 MM, INCLUSIVE INJEÇÃO DE NATA DE CIMENTO. AF_08/2022</v>
          </cell>
          <cell r="D1406" t="str">
            <v>M</v>
          </cell>
          <cell r="E1406">
            <v>0</v>
          </cell>
        </row>
        <row r="1407">
          <cell r="B1407">
            <v>104307</v>
          </cell>
          <cell r="C1407" t="str">
            <v>FORNECIMENTO E INSTALAÇÃO DE BAINHA CIRCULAR COM DIÂMETRO NOMINAL DE 50 MM, INCLUSIVE INJEÇÃO DE NATA DE CIMENTO. AF_08/2022</v>
          </cell>
          <cell r="D1407" t="str">
            <v>M</v>
          </cell>
          <cell r="E1407">
            <v>0</v>
          </cell>
        </row>
        <row r="1408">
          <cell r="B1408">
            <v>104308</v>
          </cell>
          <cell r="C1408" t="str">
            <v>FORNECIMENTO E INSTALAÇÃO DE BAINHA CIRCULAR COM DIÂMETRO NOMINAL DE 55 MM, INCLUSIVE INJEÇÃO DE NATA DE CIMENTO. AF_08/2022</v>
          </cell>
          <cell r="D1408" t="str">
            <v>M</v>
          </cell>
          <cell r="E1408">
            <v>0</v>
          </cell>
        </row>
        <row r="1409">
          <cell r="B1409">
            <v>104309</v>
          </cell>
          <cell r="C1409" t="str">
            <v>FORNECIMENTO E INSTALAÇÃO DE BAINHA CIRCULAR COM DIÂMETRO NOMINAL DE 60 MM, INCLUSIVE INJEÇÃO DE NATA DE CIMENTO. AF_08/2022</v>
          </cell>
          <cell r="D1409" t="str">
            <v>M</v>
          </cell>
          <cell r="E1409">
            <v>0</v>
          </cell>
        </row>
        <row r="1410">
          <cell r="B1410">
            <v>104310</v>
          </cell>
          <cell r="C1410" t="str">
            <v>FORNECIMENTO E INSTALAÇÃO DE BAINHA CIRCULAR COM DIÂMETRO NOMINAL DE 65 MM, INCLUSIVE INJEÇÃO DE NATA DE CIMENTO. AF_08/2022</v>
          </cell>
          <cell r="D1410" t="str">
            <v>M</v>
          </cell>
          <cell r="E1410">
            <v>0</v>
          </cell>
        </row>
        <row r="1411">
          <cell r="B1411">
            <v>104311</v>
          </cell>
          <cell r="C1411" t="str">
            <v>FORNECIMENTO E INSTALAÇÃO DE BAINHA CIRCULAR COM DIÂMETRO NOMINAL DE 80 MM, INCLUSIVE INJEÇÃO DE NATA DE CIMENTO. AF_08/2022</v>
          </cell>
          <cell r="D1411" t="str">
            <v>M</v>
          </cell>
          <cell r="E1411">
            <v>0</v>
          </cell>
        </row>
        <row r="1412">
          <cell r="B1412">
            <v>104301</v>
          </cell>
          <cell r="C1412" t="str">
            <v>FORNECIMENTO E INSTALAÇÃO DE CABO COM CORDOALHA NUA, RESISTÊNCIA À TRAÇÃO DE 190 KGF/MM² E DIÂMETRO NOMINAL DE 12,7 MM, EM VIGA. AF_08/2022</v>
          </cell>
          <cell r="D1412" t="str">
            <v>KG</v>
          </cell>
          <cell r="E1412">
            <v>0</v>
          </cell>
        </row>
        <row r="1413">
          <cell r="B1413">
            <v>104302</v>
          </cell>
          <cell r="C1413" t="str">
            <v>FORNECIMENTO E INSTALAÇÃO DE CABO COM CORDOALHA NUA, RESISTÊNCIA À TRAÇÃO DE 190 KGF/MM² E DIÂMETRO NOMINAL DE 15,2 MM, EM VIGA. AF_08/2022</v>
          </cell>
          <cell r="D1413" t="str">
            <v>KG</v>
          </cell>
          <cell r="E1413">
            <v>0</v>
          </cell>
        </row>
        <row r="1414">
          <cell r="B1414">
            <v>104303</v>
          </cell>
          <cell r="C1414" t="str">
            <v>FORNECIMENTO E INSTALAÇÃO DE CABO COM CORDOALHA NUA, RESISTÊNCIA À TRAÇÃO DE 210 KGF/MM² E DIÂMETRO NOMINAL DE 12,7 MM, EM VIGA. AF_08/2022</v>
          </cell>
          <cell r="D1414" t="str">
            <v>KG</v>
          </cell>
          <cell r="E1414">
            <v>0</v>
          </cell>
        </row>
        <row r="1415">
          <cell r="B1415">
            <v>104304</v>
          </cell>
          <cell r="C1415" t="str">
            <v>FORNECIMENTO E INSTALAÇÃO DE CABO COM CORDOALHA NUA, RESISTÊNCIA À TRAÇÃO DE 210 KGF/MM² E DIÂMETRO NOMINAL DE 15,2 MM, EM VIGA. AF_08/2022</v>
          </cell>
          <cell r="D1415" t="str">
            <v>KG</v>
          </cell>
          <cell r="E1415">
            <v>0</v>
          </cell>
        </row>
        <row r="1416">
          <cell r="B1416">
            <v>104293</v>
          </cell>
          <cell r="C1416" t="str">
            <v>FORNECIMENTO E INSTALAÇÃO DE CORDOALHA COM 7 FIOS, RESISTÊNCIA À TRAÇÃO DE 190 KGF/MM² E DIÂMETRO NOMINAL DE 12,7 MM, EM LAJE. AF_08/2022</v>
          </cell>
          <cell r="D1416" t="str">
            <v>KG</v>
          </cell>
          <cell r="E1416">
            <v>0</v>
          </cell>
        </row>
        <row r="1417">
          <cell r="B1417">
            <v>104297</v>
          </cell>
          <cell r="C1417" t="str">
            <v>FORNECIMENTO E INSTALAÇÃO DE CORDOALHA COM 7 FIOS, RESISTÊNCIA À TRAÇÃO DE 190 KGF/MM² E DIÂMETRO NOMINAL DE 12,7 MM, EM VIGA. AF_08/2022</v>
          </cell>
          <cell r="D1417" t="str">
            <v>KG</v>
          </cell>
          <cell r="E1417">
            <v>0</v>
          </cell>
        </row>
        <row r="1418">
          <cell r="B1418">
            <v>104295</v>
          </cell>
          <cell r="C1418" t="str">
            <v>FORNECIMENTO E INSTALAÇÃO DE CORDOALHA COM 7 FIOS, RESISTÊNCIA À TRAÇÃO DE 190 KGF/MM² E DIÂMETRO NOMINAL DE 15,2 MM, EM LAJE. AF_08/2022</v>
          </cell>
          <cell r="D1418" t="str">
            <v>KG</v>
          </cell>
          <cell r="E1418">
            <v>0</v>
          </cell>
        </row>
        <row r="1419">
          <cell r="B1419">
            <v>104299</v>
          </cell>
          <cell r="C1419" t="str">
            <v>FORNECIMENTO E INSTALAÇÃO DE CORDOALHA COM 7 FIOS, RESISTÊNCIA À TRAÇÃO DE 190 KGF/MM² E DIÂMETRO NOMINAL DE 15,2 MM, EM VIGA. AF_08/2022</v>
          </cell>
          <cell r="D1419" t="str">
            <v>KG</v>
          </cell>
          <cell r="E1419">
            <v>0</v>
          </cell>
        </row>
        <row r="1420">
          <cell r="B1420">
            <v>104294</v>
          </cell>
          <cell r="C1420" t="str">
            <v>FORNECIMENTO E INSTALAÇÃO DE CORDOALHA COM 7 FIOS, RESISTÊNCIA À TRAÇÃO DE 210 KGF/MM² E DIÂMETRO NOMINAL DE 12,7 MM, EM LAJE. AF_08/2022</v>
          </cell>
          <cell r="D1420" t="str">
            <v>KG</v>
          </cell>
          <cell r="E1420">
            <v>0</v>
          </cell>
        </row>
        <row r="1421">
          <cell r="B1421">
            <v>104298</v>
          </cell>
          <cell r="C1421" t="str">
            <v>FORNECIMENTO E INSTALAÇÃO DE CORDOALHA COM 7 FIOS, RESISTÊNCIA À TRAÇÃO DE 210 KGF/MM² E DIÂMETRO NOMINAL DE 12,7 MM, EM VIGA. AF_08/2022</v>
          </cell>
          <cell r="D1421" t="str">
            <v>KG</v>
          </cell>
          <cell r="E1421">
            <v>0</v>
          </cell>
        </row>
        <row r="1422">
          <cell r="B1422">
            <v>104296</v>
          </cell>
          <cell r="C1422" t="str">
            <v>FORNECIMENTO E INSTALAÇÃO DE CORDOALHA COM 7 FIOS, RESISTÊNCIA À TRAÇÃO DE 210 KGF/MM² E DIÂMETRO NOMINAL DE 15,2 MM, EM LAJE. AF_08/2022</v>
          </cell>
          <cell r="D1422" t="str">
            <v>KG</v>
          </cell>
          <cell r="E1422">
            <v>0</v>
          </cell>
        </row>
        <row r="1423">
          <cell r="B1423">
            <v>104300</v>
          </cell>
          <cell r="C1423" t="str">
            <v>FORNECIMENTO E INSTALAÇÃO DE CORDOALHA COM 7 FIOS, RESISTÊNCIA À TRAÇÃO DE 210 KGF/MM² E DIÂMETRO NOMINAL DE 15,2 MM, EM VIGA. AF_08/2022</v>
          </cell>
          <cell r="D1423" t="str">
            <v>KG</v>
          </cell>
          <cell r="E1423">
            <v>0</v>
          </cell>
        </row>
        <row r="1424">
          <cell r="B1424">
            <v>90944</v>
          </cell>
          <cell r="C1424" t="str">
            <v>CONTRAPISO ACÚSTICO EM ARGAMASSA PRONTA, PREPARO MANUAL, APLICADO EM ÁREAS SECA, ACABAMENTO NÃO REFORÇADO, ESPESSURA 6CM. AF_07/2021</v>
          </cell>
          <cell r="D1424" t="str">
            <v>M2</v>
          </cell>
          <cell r="E1424">
            <v>205.03</v>
          </cell>
          <cell r="F1424">
            <v>0</v>
          </cell>
        </row>
        <row r="1425">
          <cell r="B1425">
            <v>90934</v>
          </cell>
          <cell r="C1425" t="str">
            <v>CONTRAPISO ACÚSTICO EM ARGAMASSA PRONTA, PREPARO MANUAL, APLICADO EM ÁREAS SECAS, ACABAMENTO NÃO REFORÇADO, ESPESSURA 5CM. AF_07/2021</v>
          </cell>
          <cell r="D1425" t="str">
            <v>M2</v>
          </cell>
          <cell r="E1425">
            <v>189.94</v>
          </cell>
          <cell r="F1425">
            <v>0</v>
          </cell>
        </row>
        <row r="1426">
          <cell r="B1426">
            <v>90954</v>
          </cell>
          <cell r="C1426" t="str">
            <v>CONTRAPISO ACÚSTICO EM ARGAMASSA PRONTA, PREPARO MANUAL, APLICADO EM ÁREAS SECAS, ACABAMENTO NÃO REFORÇADO, ESPESSURA 7CM. AF_07/2021</v>
          </cell>
          <cell r="D1426" t="str">
            <v>M2</v>
          </cell>
          <cell r="E1426">
            <v>232.67</v>
          </cell>
          <cell r="F1426">
            <v>0</v>
          </cell>
        </row>
        <row r="1427">
          <cell r="B1427">
            <v>90933</v>
          </cell>
          <cell r="C1427" t="str">
            <v>CONTRAPISO ACÚSTICO EM ARGAMASSA PRONTA, PREPARO MECÂNICO COM MISTURADOR 300 KG, APLICADO EM ÁREAS SECAS, ACABAMENTO NÃO REFORÇADO, ESPESSURA 5CM. AF_07/2021</v>
          </cell>
          <cell r="D1427" t="str">
            <v>M2</v>
          </cell>
          <cell r="E1427">
            <v>171.46</v>
          </cell>
          <cell r="F1427">
            <v>0</v>
          </cell>
        </row>
        <row r="1428">
          <cell r="B1428">
            <v>90943</v>
          </cell>
          <cell r="C1428" t="str">
            <v>CONTRAPISO ACÚSTICO EM ARGAMASSA PRONTA, PREPARO MECÂNICO COM MISTURADOR 300 KG, APLICADO EM ÁREAS SECAS, ACABAMENTO NÃO REFORÇADO, ESPESSURA 6CM. AF_07/2021</v>
          </cell>
          <cell r="D1428" t="str">
            <v>M2</v>
          </cell>
          <cell r="E1428">
            <v>184.91</v>
          </cell>
          <cell r="F1428">
            <v>0</v>
          </cell>
        </row>
        <row r="1429">
          <cell r="B1429">
            <v>90953</v>
          </cell>
          <cell r="C1429" t="str">
            <v>CONTRAPISO ACÚSTICO EM ARGAMASSA PRONTA, PREPARO MECÂNICO COM MISTURADOR 300 KG, APLICADO EM ÁREAS SECAS, ACABAMENTO NÃO REFORÇADO, ESPESSURA 7CM. AF_07/2021</v>
          </cell>
          <cell r="D1429" t="str">
            <v>M2</v>
          </cell>
          <cell r="E1429">
            <v>209.54</v>
          </cell>
          <cell r="F1429">
            <v>0</v>
          </cell>
        </row>
        <row r="1430">
          <cell r="B1430">
            <v>90932</v>
          </cell>
          <cell r="C1430" t="str">
            <v>CONTRAPISO ACÚSTICO EM ARGAMASSA TRAÇO 1:4 (CIMENTO E AREIA), PREPARO MANUAL, APLICADO EM ÁREAS SECAS, ACABAMENTO NÃO REFORÇADO, ESPESSURA 5CM. AF_07/2021</v>
          </cell>
          <cell r="D1430" t="str">
            <v>M2</v>
          </cell>
          <cell r="E1430">
            <v>94.26</v>
          </cell>
          <cell r="F1430">
            <v>0</v>
          </cell>
        </row>
        <row r="1431">
          <cell r="B1431">
            <v>90942</v>
          </cell>
          <cell r="C1431" t="str">
            <v>CONTRAPISO ACÚSTICO EM ARGAMASSA TRAÇO 1:4 (CIMENTO E AREIA), PREPARO MANUAL, APLICADO EM ÁREAS SECAS, ACABAMENTO NÃO REFORÇADO, ESPESSURA 6CM. AF_07/2021</v>
          </cell>
          <cell r="D1431" t="str">
            <v>M2</v>
          </cell>
          <cell r="E1431">
            <v>100.84</v>
          </cell>
          <cell r="F1431">
            <v>0</v>
          </cell>
        </row>
        <row r="1432">
          <cell r="B1432">
            <v>90952</v>
          </cell>
          <cell r="C1432" t="str">
            <v>CONTRAPISO ACÚSTICO EM ARGAMASSA TRAÇO 1:4 (CIMENTO E AREIA), PREPARO MANUAL, APLICADO EM ÁREAS SECAS, ACABAMENTO NÃO REFORÇADO, ESPESSURA 7CM. AF_07/2021</v>
          </cell>
          <cell r="D1432" t="str">
            <v>M2</v>
          </cell>
          <cell r="E1432">
            <v>112.88</v>
          </cell>
          <cell r="F1432">
            <v>0</v>
          </cell>
        </row>
        <row r="1433">
          <cell r="B1433">
            <v>90930</v>
          </cell>
          <cell r="C1433" t="str">
            <v>CONTRAPISO ACÚSTICO EM ARGAMASSA TRAÇO 1:4 (CIMENTO E AREIA), PREPARO MECÂNICO COM BETONEIRA 400L, APLICADO EM ÁREAS SECAS, ACABAMENTO NÃO REFORÇADO, ESPESSURA 5CM. AF_07/2021</v>
          </cell>
          <cell r="D1433" t="str">
            <v>M2</v>
          </cell>
          <cell r="E1433">
            <v>83.97</v>
          </cell>
          <cell r="F1433">
            <v>0</v>
          </cell>
        </row>
        <row r="1434">
          <cell r="B1434">
            <v>90940</v>
          </cell>
          <cell r="C1434" t="str">
            <v>CONTRAPISO ACÚSTICO EM ARGAMASSA TRAÇO 1:4 (CIMENTO E AREIA), PREPARO MECÂNICO COM BETONEIRA 400L, APLICADO EM ÁREAS SECAS, ACABAMENTO NÃO REFORÇADO, ESPESSURA 6CM. AF_07/2021</v>
          </cell>
          <cell r="D1434" t="str">
            <v>M2</v>
          </cell>
          <cell r="E1434">
            <v>89.63</v>
          </cell>
          <cell r="F1434">
            <v>0</v>
          </cell>
        </row>
        <row r="1435">
          <cell r="B1435">
            <v>90950</v>
          </cell>
          <cell r="C1435" t="str">
            <v>CONTRAPISO ACÚSTICO EM ARGAMASSA TRAÇO 1:4 (CIMENTO E AREIA), PREPARO MECÂNICO COM BETONEIRA 400L, APLICADO EM ÁREAS SECAS, ACABAMENTO NÃO REFORÇADO, ESPESSURA 7CM. AF_07/2021</v>
          </cell>
          <cell r="D1435" t="str">
            <v>M2</v>
          </cell>
          <cell r="E1435">
            <v>100</v>
          </cell>
          <cell r="F1435">
            <v>0</v>
          </cell>
        </row>
        <row r="1436">
          <cell r="B1436">
            <v>88476</v>
          </cell>
          <cell r="C1436" t="str">
            <v>CONTRAPISO COM ARGAMASSA AUTONIVELANTE, APLICADO SOBRE LAJE, ADERIDO, ESPESSURA 2CM. AF_07/2021</v>
          </cell>
          <cell r="D1436" t="str">
            <v>M2</v>
          </cell>
          <cell r="E1436">
            <v>20.3</v>
          </cell>
          <cell r="F1436">
            <v>0</v>
          </cell>
        </row>
        <row r="1437">
          <cell r="B1437">
            <v>88477</v>
          </cell>
          <cell r="C1437" t="str">
            <v>CONTRAPISO COM ARGAMASSA AUTONIVELANTE, APLICADO SOBRE LAJE, ADERIDO, ESPESSURA 3CM. AF_07/2021</v>
          </cell>
          <cell r="D1437" t="str">
            <v>M2</v>
          </cell>
          <cell r="E1437">
            <v>28.37</v>
          </cell>
          <cell r="F1437">
            <v>0</v>
          </cell>
        </row>
        <row r="1438">
          <cell r="B1438">
            <v>88478</v>
          </cell>
          <cell r="C1438" t="str">
            <v>CONTRAPISO COM ARGAMASSA AUTONIVELANTE, APLICADO SOBRE LAJE, ADERIDO, ESPESSURA 4CM. AF_07/2021</v>
          </cell>
          <cell r="D1438" t="str">
            <v>M2</v>
          </cell>
          <cell r="E1438">
            <v>35.04</v>
          </cell>
          <cell r="F1438">
            <v>0</v>
          </cell>
        </row>
        <row r="1439">
          <cell r="B1439">
            <v>88470</v>
          </cell>
          <cell r="C1439" t="str">
            <v>CONTRAPISO COM ARGAMASSA AUTONIVELANTE, APLICADO SOBRE LAJE, NÃO ADERIDO, ESPESSURA 3CM. AF_07/2021</v>
          </cell>
          <cell r="D1439" t="str">
            <v>M2</v>
          </cell>
          <cell r="E1439">
            <v>24.49</v>
          </cell>
          <cell r="F1439">
            <v>0</v>
          </cell>
        </row>
        <row r="1440">
          <cell r="B1440">
            <v>88471</v>
          </cell>
          <cell r="C1440" t="str">
            <v>CONTRAPISO COM ARGAMASSA AUTONIVELANTE, APLICADO SOBRE LAJE, NÃO ADERIDO, ESPESSURA 4CM. AF_07/2021</v>
          </cell>
          <cell r="D1440" t="str">
            <v>M2</v>
          </cell>
          <cell r="E1440">
            <v>30.85</v>
          </cell>
          <cell r="F1440">
            <v>0</v>
          </cell>
        </row>
        <row r="1441">
          <cell r="B1441">
            <v>88472</v>
          </cell>
          <cell r="C1441" t="str">
            <v>CONTRAPISO COM ARGAMASSA AUTONIVELANTE, APLICADO SOBRE LAJE, NÃO ADERIDO, ESPESSURA 5CM. AF_07/2021</v>
          </cell>
          <cell r="D1441" t="str">
            <v>M2</v>
          </cell>
          <cell r="E1441">
            <v>35.89</v>
          </cell>
          <cell r="F1441">
            <v>0</v>
          </cell>
        </row>
        <row r="1442">
          <cell r="B1442">
            <v>87759</v>
          </cell>
          <cell r="C1442" t="str">
            <v>CONTRAPISO EM ARGAMASSA PRONTA, PREPARO MANUAL, APLICADO EM ÁREAS MOLHADAS SOBRE IMPERMEABILIZAÇÃO, ACABAMENTO NÃO REFORÇADO, ESPESSURA 3CM. AF_07/2021</v>
          </cell>
          <cell r="D1442" t="str">
            <v>M2</v>
          </cell>
          <cell r="E1442">
            <v>131.4</v>
          </cell>
          <cell r="F1442">
            <v>0</v>
          </cell>
        </row>
        <row r="1443">
          <cell r="B1443">
            <v>87769</v>
          </cell>
          <cell r="C1443" t="str">
            <v>CONTRAPISO EM ARGAMASSA PRONTA, PREPARO MANUAL, APLICADO EM ÁREAS MOLHADAS SOBRE IMPERMEABILIZAÇÃO, ACABAMENTO NÃO REFORÇADO, ESPESSURA 4CM. AF_07/2021</v>
          </cell>
          <cell r="D1443" t="str">
            <v>M2</v>
          </cell>
          <cell r="E1443">
            <v>155.96</v>
          </cell>
          <cell r="F1443">
            <v>0</v>
          </cell>
        </row>
        <row r="1444">
          <cell r="B1444">
            <v>87739</v>
          </cell>
          <cell r="C1444" t="str">
            <v>CONTRAPISO EM ARGAMASSA PRONTA, PREPARO MANUAL, APLICADO EM ÁREAS MOLHADAS SOBRE LAJE, ADERIDO, ACABAMENTO NÃO REFORÇADO, ESPESSURA 2CM. AF_07/2021</v>
          </cell>
          <cell r="D1444" t="str">
            <v>M2</v>
          </cell>
          <cell r="E1444">
            <v>103.07</v>
          </cell>
          <cell r="F1444">
            <v>0</v>
          </cell>
        </row>
        <row r="1445">
          <cell r="B1445">
            <v>87749</v>
          </cell>
          <cell r="C1445" t="str">
            <v>CONTRAPISO EM ARGAMASSA PRONTA, PREPARO MANUAL, APLICADO EM ÁREAS MOLHADAS SOBRE LAJE, ADERIDO, ACABAMENTO NÃO REFORÇADO, ESPESSURA 3CM. AF_07/2021</v>
          </cell>
          <cell r="D1445" t="str">
            <v>M2</v>
          </cell>
          <cell r="E1445">
            <v>132.99</v>
          </cell>
          <cell r="F1445">
            <v>0</v>
          </cell>
        </row>
        <row r="1446">
          <cell r="B1446">
            <v>87624</v>
          </cell>
          <cell r="C1446" t="str">
            <v>CONTRAPISO EM ARGAMASSA PRONTA, PREPARO MANUAL, APLICADO EM ÁREAS SECAS SOBRE LAJE, ADERIDO, ACABAMENTO NÃO REFORÇADO, ESPESSURA 2CM. AF_07/2021</v>
          </cell>
          <cell r="D1446" t="str">
            <v>M2</v>
          </cell>
          <cell r="E1446">
            <v>86.85</v>
          </cell>
          <cell r="F1446">
            <v>0</v>
          </cell>
        </row>
        <row r="1447">
          <cell r="B1447">
            <v>87634</v>
          </cell>
          <cell r="C1447" t="str">
            <v>CONTRAPISO EM ARGAMASSA PRONTA, PREPARO MANUAL, APLICADO EM ÁREAS SECAS SOBRE LAJE, ADERIDO, ACABAMENTO NÃO REFORÇADO, ESPESSURA 3CM. AF_07/2021</v>
          </cell>
          <cell r="D1447" t="str">
            <v>M2</v>
          </cell>
          <cell r="E1447">
            <v>116.76</v>
          </cell>
          <cell r="F1447">
            <v>0</v>
          </cell>
        </row>
        <row r="1448">
          <cell r="B1448">
            <v>87644</v>
          </cell>
          <cell r="C1448" t="str">
            <v>CONTRAPISO EM ARGAMASSA PRONTA, PREPARO MANUAL, APLICADO EM ÁREAS SECAS SOBRE LAJE, ADERIDO, ACABAMENTO NÃO REFORÇADO, ESPESSURA 4CM. AF_07/2021</v>
          </cell>
          <cell r="D1448" t="str">
            <v>M2</v>
          </cell>
          <cell r="E1448">
            <v>141.25</v>
          </cell>
          <cell r="F1448">
            <v>0</v>
          </cell>
        </row>
        <row r="1449">
          <cell r="B1449">
            <v>87684</v>
          </cell>
          <cell r="C1449" t="str">
            <v>CONTRAPISO EM ARGAMASSA PRONTA, PREPARO MANUAL, APLICADO EM ÁREAS SECAS SOBRE LAJE, NÃO ADERIDO, ACABAMENTO NÃO REFORÇADO, ESPESSURA 4CM. AF_07/2021</v>
          </cell>
          <cell r="D1449" t="str">
            <v>M2</v>
          </cell>
          <cell r="E1449">
            <v>136.69999999999999</v>
          </cell>
          <cell r="F1449">
            <v>0</v>
          </cell>
        </row>
        <row r="1450">
          <cell r="B1450">
            <v>87694</v>
          </cell>
          <cell r="C1450" t="str">
            <v>CONTRAPISO EM ARGAMASSA PRONTA, PREPARO MANUAL, APLICADO EM ÁREAS SECAS SOBRE LAJE, NÃO ADERIDO, ACABAMENTO NÃO REFORÇADO, ESPESSURA 5CM. AF_07/2021</v>
          </cell>
          <cell r="D1450" t="str">
            <v>M2</v>
          </cell>
          <cell r="E1450">
            <v>156.6</v>
          </cell>
          <cell r="F1450">
            <v>0</v>
          </cell>
        </row>
        <row r="1451">
          <cell r="B1451">
            <v>87704</v>
          </cell>
          <cell r="C1451" t="str">
            <v>CONTRAPISO EM ARGAMASSA PRONTA, PREPARO MANUAL, APLICADO EM ÁREAS SECAS SOBRE LAJE, NÃO ADERIDO, ACABAMENTO NÃO REFORÇADO, ESPESSURA 6CM. AF_07/2021</v>
          </cell>
          <cell r="D1451" t="str">
            <v>M2</v>
          </cell>
          <cell r="E1451">
            <v>169.95</v>
          </cell>
          <cell r="F1451">
            <v>0</v>
          </cell>
        </row>
        <row r="1452">
          <cell r="B1452">
            <v>87758</v>
          </cell>
          <cell r="C1452" t="str">
            <v>CONTRAPISO EM ARGAMASSA PRONTA, PREPARO MECÂNICO COM MISTURADOR 300 KG, APLICADO EM ÁREAS MOLHADAS SOBRE IMPERMEABILIZAÇÃO, ACABAMENTO NÃO REFORÇADO, ESPESSURA 3CM. AF_07/2021</v>
          </cell>
          <cell r="D1452" t="str">
            <v>M2</v>
          </cell>
          <cell r="E1452">
            <v>118.28</v>
          </cell>
          <cell r="F1452">
            <v>0</v>
          </cell>
        </row>
        <row r="1453">
          <cell r="B1453">
            <v>87768</v>
          </cell>
          <cell r="C1453" t="str">
            <v>CONTRAPISO EM ARGAMASSA PRONTA, PREPARO MECÂNICO COM MISTURADOR 300 KG, APLICADO EM ÁREAS MOLHADAS SOBRE IMPERMEABILIZAÇÃO, ACABAMENTO NÃO REFORÇADO, ESPESSURA 4CM. AF_07/2021</v>
          </cell>
          <cell r="D1453" t="str">
            <v>M2</v>
          </cell>
          <cell r="E1453">
            <v>139.83000000000001</v>
          </cell>
          <cell r="F1453">
            <v>0</v>
          </cell>
        </row>
        <row r="1454">
          <cell r="B1454">
            <v>87738</v>
          </cell>
          <cell r="C1454" t="str">
            <v>CONTRAPISO EM ARGAMASSA PRONTA, PREPARO MECÂNICO COM MISTURADOR 300 KG, APLICADO EM ÁREAS MOLHADAS SOBRE LAJE, ADERIDO, ACABAMENTO NÃO REFORÇADO, ESPESSURA 2CM. AF_07/2021</v>
          </cell>
          <cell r="D1454" t="str">
            <v>M2</v>
          </cell>
          <cell r="E1454">
            <v>93.63</v>
          </cell>
          <cell r="F1454">
            <v>0</v>
          </cell>
        </row>
        <row r="1455">
          <cell r="B1455">
            <v>87748</v>
          </cell>
          <cell r="C1455" t="str">
            <v>CONTRAPISO EM ARGAMASSA PRONTA, PREPARO MECÂNICO COM MISTURADOR 300 KG, APLICADO EM ÁREAS MOLHADAS SOBRE LAJE, ADERIDO, ACABAMENTO NÃO REFORÇADO, ESPESSURA 3CM. AF_07/2021</v>
          </cell>
          <cell r="D1455" t="str">
            <v>M2</v>
          </cell>
          <cell r="E1455">
            <v>119.87</v>
          </cell>
          <cell r="F1455">
            <v>0</v>
          </cell>
        </row>
        <row r="1456">
          <cell r="B1456">
            <v>87623</v>
          </cell>
          <cell r="C1456" t="str">
            <v>CONTRAPISO EM ARGAMASSA PRONTA, PREPARO MECÂNICO COM MISTURADOR 300 KG, APLICADO EM ÁREAS SECAS SOBRE LAJE, ADERIDO, ACABAMENTO NÃO REFORÇADO, ESPESSURA 2CM. AF_07/2021</v>
          </cell>
          <cell r="D1456" t="str">
            <v>M2</v>
          </cell>
          <cell r="E1456">
            <v>77.41</v>
          </cell>
          <cell r="F1456">
            <v>0</v>
          </cell>
        </row>
        <row r="1457">
          <cell r="B1457">
            <v>87633</v>
          </cell>
          <cell r="C1457" t="str">
            <v>CONTRAPISO EM ARGAMASSA PRONTA, PREPARO MECÂNICO COM MISTURADOR 300 KG, APLICADO EM ÁREAS SECAS SOBRE LAJE, ADERIDO, ACABAMENTO NÃO REFORÇADO, ESPESSURA 3CM. AF_07/2021</v>
          </cell>
          <cell r="D1457" t="str">
            <v>M2</v>
          </cell>
          <cell r="E1457">
            <v>103.64</v>
          </cell>
          <cell r="F1457">
            <v>0</v>
          </cell>
        </row>
        <row r="1458">
          <cell r="B1458">
            <v>87643</v>
          </cell>
          <cell r="C1458" t="str">
            <v>CONTRAPISO EM ARGAMASSA PRONTA, PREPARO MECÂNICO COM MISTURADOR 300 KG, APLICADO EM ÁREAS SECAS SOBRE LAJE, ADERIDO, ACABAMENTO NÃO REFORÇADO, ESPESSURA 4CM. AF_07/2021</v>
          </cell>
          <cell r="D1458" t="str">
            <v>M2</v>
          </cell>
          <cell r="E1458">
            <v>125.12</v>
          </cell>
          <cell r="F1458">
            <v>0</v>
          </cell>
        </row>
        <row r="1459">
          <cell r="B1459">
            <v>87683</v>
          </cell>
          <cell r="C1459" t="str">
            <v>CONTRAPISO EM ARGAMASSA PRONTA, PREPARO MECÂNICO COM MISTURADOR 300 KG, APLICADO EM ÁREAS SECAS SOBRE LAJE, NÃO ADERIDO, ACABAMENTO NÃO REFORÇADO, ESPESSURA 4CM. AF_07/2021</v>
          </cell>
          <cell r="D1459" t="str">
            <v>M2</v>
          </cell>
          <cell r="E1459">
            <v>120.57</v>
          </cell>
          <cell r="F1459">
            <v>0</v>
          </cell>
        </row>
        <row r="1460">
          <cell r="B1460">
            <v>87703</v>
          </cell>
          <cell r="C1460" t="str">
            <v>CONTRAPISO EM ARGAMASSA PRONTA, PREPARO MECÂNICO COM MISTURADOR 300 KG, APLICADO EM ÁREAS SECAS SOBRE LAJE, NÃO ADERIDO, ACABAMENTO NÃO REFORÇADO, ESPESSURA 6CM. AF_07/2021</v>
          </cell>
          <cell r="D1460" t="str">
            <v>M2</v>
          </cell>
          <cell r="E1460">
            <v>149.83000000000001</v>
          </cell>
          <cell r="F1460">
            <v>0</v>
          </cell>
        </row>
        <row r="1461">
          <cell r="B1461">
            <v>87693</v>
          </cell>
          <cell r="C1461" t="str">
            <v>CONTRAPISO EM ARGAMASSA PRONTA, PREPARO MECÂNICO COM MISTURADOR 300 KG, APLICADO EM ÁREAS SECAS SOBRE LAJE, NÃO ADERIDO, ESPESSURA 5CM. AF_07/2021</v>
          </cell>
          <cell r="D1461" t="str">
            <v>M2</v>
          </cell>
          <cell r="E1461">
            <v>138.12</v>
          </cell>
          <cell r="F1461">
            <v>0</v>
          </cell>
        </row>
        <row r="1462">
          <cell r="B1462">
            <v>87757</v>
          </cell>
          <cell r="C1462" t="str">
            <v>CONTRAPISO EM ARGAMASSA TRAÇO 1:4 (CIMENTO E AREIA), PREPARO MANUAL, APLICADO EM ÁREAS MOLHADAS SOBRE IMPERMEABILIZAÇÃO, ACABAMENTO NÃO REFORÇADO, ESPESSURA 3CM. AF_07/2021</v>
          </cell>
          <cell r="D1462" t="str">
            <v>M2</v>
          </cell>
          <cell r="E1462">
            <v>63.46</v>
          </cell>
          <cell r="F1462">
            <v>0</v>
          </cell>
        </row>
        <row r="1463">
          <cell r="B1463">
            <v>87767</v>
          </cell>
          <cell r="C1463" t="str">
            <v>CONTRAPISO EM ARGAMASSA TRAÇO 1:4 (CIMENTO E AREIA), PREPARO MANUAL, APLICADO EM ÁREAS MOLHADAS SOBRE IMPERMEABILIZAÇÃO, ACABAMENTO NÃO REFORÇADO, ESPESSURA 4CM. AF_07/2021</v>
          </cell>
          <cell r="D1463" t="str">
            <v>M2</v>
          </cell>
          <cell r="E1463">
            <v>72.42</v>
          </cell>
          <cell r="F1463">
            <v>0</v>
          </cell>
        </row>
        <row r="1464">
          <cell r="B1464">
            <v>87737</v>
          </cell>
          <cell r="C1464" t="str">
            <v>CONTRAPISO EM ARGAMASSA TRAÇO 1:4 (CIMENTO E AREIA), PREPARO MANUAL, APLICADO EM ÁREAS MOLHADAS SOBRE LAJE, ADERIDO, ACABAMENTO NÃO REFORÇADO, ESPESSURA 2CM. AF_07/2021</v>
          </cell>
          <cell r="D1464" t="str">
            <v>M2</v>
          </cell>
          <cell r="E1464">
            <v>54.2</v>
          </cell>
          <cell r="F1464">
            <v>0</v>
          </cell>
        </row>
        <row r="1465">
          <cell r="B1465">
            <v>87747</v>
          </cell>
          <cell r="C1465" t="str">
            <v>CONTRAPISO EM ARGAMASSA TRAÇO 1:4 (CIMENTO E AREIA), PREPARO MANUAL, APLICADO EM ÁREAS MOLHADAS SOBRE LAJE, ADERIDO, ACABAMENTO NÃO REFORÇADO, ESPESSURA 3CM. AF_07/2021</v>
          </cell>
          <cell r="D1465" t="str">
            <v>M2</v>
          </cell>
          <cell r="E1465">
            <v>65.05</v>
          </cell>
          <cell r="F1465">
            <v>0</v>
          </cell>
        </row>
        <row r="1466">
          <cell r="B1466">
            <v>87622</v>
          </cell>
          <cell r="C1466" t="str">
            <v>CONTRAPISO EM ARGAMASSA TRAÇO 1:4 (CIMENTO E AREIA), PREPARO MANUAL, APLICADO EM ÁREAS SECAS SOBRE LAJE, ADERIDO, ACABAMENTO NÃO REFORÇADO, ESPESSURA 2CM. AF_07/2021</v>
          </cell>
          <cell r="D1466" t="str">
            <v>M2</v>
          </cell>
          <cell r="E1466">
            <v>37.979999999999997</v>
          </cell>
          <cell r="F1466">
            <v>0</v>
          </cell>
        </row>
        <row r="1467">
          <cell r="B1467">
            <v>87632</v>
          </cell>
          <cell r="C1467" t="str">
            <v>CONTRAPISO EM ARGAMASSA TRAÇO 1:4 (CIMENTO E AREIA), PREPARO MANUAL, APLICADO EM ÁREAS SECAS SOBRE LAJE, ADERIDO, ACABAMENTO NÃO REFORÇADO, ESPESSURA 3CM. AF_07/2021</v>
          </cell>
          <cell r="D1467" t="str">
            <v>M2</v>
          </cell>
          <cell r="E1467">
            <v>48.82</v>
          </cell>
          <cell r="F1467">
            <v>0</v>
          </cell>
        </row>
        <row r="1468">
          <cell r="B1468">
            <v>87642</v>
          </cell>
          <cell r="C1468" t="str">
            <v>CONTRAPISO EM ARGAMASSA TRAÇO 1:4 (CIMENTO E AREIA), PREPARO MANUAL, APLICADO EM ÁREAS SECAS SOBRE LAJE, ADERIDO, ACABAMENTO NÃO REFORÇADO, ESPESSURA 4CM. AF_07/2021</v>
          </cell>
          <cell r="D1468" t="str">
            <v>M2</v>
          </cell>
          <cell r="E1468">
            <v>57.71</v>
          </cell>
          <cell r="F1468">
            <v>0</v>
          </cell>
        </row>
        <row r="1469">
          <cell r="B1469">
            <v>87682</v>
          </cell>
          <cell r="C1469" t="str">
            <v>CONTRAPISO EM ARGAMASSA TRAÇO 1:4 (CIMENTO E AREIA), PREPARO MANUAL, APLICADO EM ÁREAS SECAS SOBRE LAJE, NÃO ADERIDO, ACABAMENTO NÃO REFORÇADO, ESPESSURA 4CM. AF_07/2021</v>
          </cell>
          <cell r="D1469" t="str">
            <v>M2</v>
          </cell>
          <cell r="E1469">
            <v>53.16</v>
          </cell>
          <cell r="F1469">
            <v>0</v>
          </cell>
        </row>
        <row r="1470">
          <cell r="B1470">
            <v>87692</v>
          </cell>
          <cell r="C1470" t="str">
            <v>CONTRAPISO EM ARGAMASSA TRAÇO 1:4 (CIMENTO E AREIA), PREPARO MANUAL, APLICADO EM ÁREAS SECAS SOBRE LAJE, NÃO ADERIDO, ACABAMENTO NÃO REFORÇADO, ESPESSURA 5CM. AF_07/2021</v>
          </cell>
          <cell r="D1470" t="str">
            <v>M2</v>
          </cell>
          <cell r="E1470">
            <v>60.92</v>
          </cell>
          <cell r="F1470">
            <v>0</v>
          </cell>
        </row>
        <row r="1471">
          <cell r="B1471">
            <v>87702</v>
          </cell>
          <cell r="C1471" t="str">
            <v>CONTRAPISO EM ARGAMASSA TRAÇO 1:4 (CIMENTO E AREIA), PREPARO MANUAL, APLICADO EM ÁREAS SECAS SOBRE LAJE, NÃO ADERIDO, ACABAMENTO NÃO REFORÇADO, ESPESSURA 6CM. AF_07/2021</v>
          </cell>
          <cell r="D1471" t="str">
            <v>M2</v>
          </cell>
          <cell r="E1471">
            <v>65.760000000000005</v>
          </cell>
          <cell r="F1471">
            <v>0</v>
          </cell>
        </row>
        <row r="1472">
          <cell r="B1472">
            <v>87755</v>
          </cell>
          <cell r="C1472" t="str">
            <v>CONTRAPISO EM ARGAMASSA TRAÇO 1:4 (CIMENTO E AREIA), PREPARO MECÂNICO COM BETONEIRA 400 L, APLICADO EM ÁREAS MOLHADAS SOBRE IMPERMEABILIZAÇÃO, ACABAMENTO NÃO REFORÇADO, ESPESSURA 3CM. AF_07/2021</v>
          </cell>
          <cell r="D1472" t="str">
            <v>M2</v>
          </cell>
          <cell r="E1472">
            <v>56.15</v>
          </cell>
          <cell r="F1472">
            <v>0</v>
          </cell>
        </row>
        <row r="1473">
          <cell r="B1473">
            <v>87765</v>
          </cell>
          <cell r="C1473" t="str">
            <v>CONTRAPISO EM ARGAMASSA TRAÇO 1:4 (CIMENTO E AREIA), PREPARO MECÂNICO COM BETONEIRA 400 L, APLICADO EM ÁREAS MOLHADAS SOBRE IMPERMEABILIZAÇÃO, ACABAMENTO NÃO REFORÇADO, ESPESSURA 4CM. AF_07/2021</v>
          </cell>
          <cell r="D1473" t="str">
            <v>M2</v>
          </cell>
          <cell r="E1473">
            <v>63.44</v>
          </cell>
          <cell r="F1473">
            <v>0</v>
          </cell>
        </row>
        <row r="1474">
          <cell r="B1474">
            <v>87735</v>
          </cell>
          <cell r="C1474" t="str">
            <v>CONTRAPISO EM ARGAMASSA TRAÇO 1:4 (CIMENTO E AREIA), PREPARO MECÂNICO COM BETONEIRA 400 L, APLICADO EM ÁREAS MOLHADAS SOBRE LAJE, ADERIDO, ACABAMENTO NÃO REFORÇADO, ESPESSURA 2CM. AF_07/2021</v>
          </cell>
          <cell r="D1474" t="str">
            <v>M2</v>
          </cell>
          <cell r="E1474">
            <v>48.95</v>
          </cell>
          <cell r="F1474">
            <v>0</v>
          </cell>
        </row>
        <row r="1475">
          <cell r="B1475">
            <v>87745</v>
          </cell>
          <cell r="C1475" t="str">
            <v>CONTRAPISO EM ARGAMASSA TRAÇO 1:4 (CIMENTO E AREIA), PREPARO MECÂNICO COM BETONEIRA 400 L, APLICADO EM ÁREAS MOLHADAS SOBRE LAJE, ADERIDO, ACABAMENTO NÃO REFORÇADO, ESPESSURA 3CM. AF_07/2021</v>
          </cell>
          <cell r="D1475" t="str">
            <v>M2</v>
          </cell>
          <cell r="E1475">
            <v>57.74</v>
          </cell>
          <cell r="F1475">
            <v>0</v>
          </cell>
        </row>
        <row r="1476">
          <cell r="B1476">
            <v>87620</v>
          </cell>
          <cell r="C1476" t="str">
            <v>CONTRAPISO EM ARGAMASSA TRAÇO 1:4 (CIMENTO E AREIA), PREPARO MECÂNICO COM BETONEIRA 400 L, APLICADO EM ÁREAS SECAS SOBRE LAJE, ADERIDO, ACABAMENTO NÃO REFORÇADO, ESPESSURA 2CM. AF_07/2021</v>
          </cell>
          <cell r="D1476" t="str">
            <v>M2</v>
          </cell>
          <cell r="E1476">
            <v>32.729999999999997</v>
          </cell>
          <cell r="F1476">
            <v>0</v>
          </cell>
        </row>
        <row r="1477">
          <cell r="B1477">
            <v>87630</v>
          </cell>
          <cell r="C1477" t="str">
            <v>CONTRAPISO EM ARGAMASSA TRAÇO 1:4 (CIMENTO E AREIA), PREPARO MECÂNICO COM BETONEIRA 400 L, APLICADO EM ÁREAS SECAS SOBRE LAJE, ADERIDO, ACABAMENTO NÃO REFORÇADO, ESPESSURA 3CM. AF_07/2021</v>
          </cell>
          <cell r="D1477" t="str">
            <v>M2</v>
          </cell>
          <cell r="E1477">
            <v>41.51</v>
          </cell>
          <cell r="F1477">
            <v>0</v>
          </cell>
        </row>
        <row r="1478">
          <cell r="B1478">
            <v>87640</v>
          </cell>
          <cell r="C1478" t="str">
            <v>CONTRAPISO EM ARGAMASSA TRAÇO 1:4 (CIMENTO E AREIA), PREPARO MECÂNICO COM BETONEIRA 400 L, APLICADO EM ÁREAS SECAS SOBRE LAJE, ADERIDO, ACABAMENTO NÃO REFORÇADO, ESPESSURA 4CM. AF_07/2021</v>
          </cell>
          <cell r="D1478" t="str">
            <v>M2</v>
          </cell>
          <cell r="E1478">
            <v>48.73</v>
          </cell>
          <cell r="F1478">
            <v>0</v>
          </cell>
        </row>
        <row r="1479">
          <cell r="B1479">
            <v>87680</v>
          </cell>
          <cell r="C1479" t="str">
            <v>CONTRAPISO EM ARGAMASSA TRAÇO 1:4 (CIMENTO E AREIA), PREPARO MECÂNICO COM BETONEIRA 400 L, APLICADO EM ÁREAS SECAS SOBRE LAJE, NÃO ADERIDO, ACABAMENTO NÃO REFORÇADO, ESPESSURA 4CM. AF_07/2021</v>
          </cell>
          <cell r="D1479" t="str">
            <v>M2</v>
          </cell>
          <cell r="E1479">
            <v>44.18</v>
          </cell>
          <cell r="F1479">
            <v>0</v>
          </cell>
        </row>
        <row r="1480">
          <cell r="B1480">
            <v>87690</v>
          </cell>
          <cell r="C1480" t="str">
            <v>CONTRAPISO EM ARGAMASSA TRAÇO 1:4 (CIMENTO E AREIA), PREPARO MECÂNICO COM BETONEIRA 400 L, APLICADO EM ÁREAS SECAS SOBRE LAJE, NÃO ADERIDO, ACABAMENTO NÃO REFORÇADO, ESPESSURA 5CM. AF_07/2021</v>
          </cell>
          <cell r="D1480" t="str">
            <v>M2</v>
          </cell>
          <cell r="E1480">
            <v>50.63</v>
          </cell>
          <cell r="F1480">
            <v>0</v>
          </cell>
        </row>
        <row r="1481">
          <cell r="B1481">
            <v>87700</v>
          </cell>
          <cell r="C1481" t="str">
            <v>CONTRAPISO EM ARGAMASSA TRAÇO 1:4 (CIMENTO E AREIA), PREPARO MECÂNICO COM BETONEIRA 400 L, APLICADO EM ÁREAS SECAS SOBRE LAJE, NÃO ADERIDO, ACABAMENTO NÃO REFORÇADO, ESPESSURA 6CM. AF_07/2021</v>
          </cell>
          <cell r="D1481" t="str">
            <v>M2</v>
          </cell>
          <cell r="E1481">
            <v>54.55</v>
          </cell>
          <cell r="F1481">
            <v>0</v>
          </cell>
        </row>
        <row r="1482">
          <cell r="B1482">
            <v>102803</v>
          </cell>
          <cell r="C1482" t="str">
            <v>REFORÇO SUPERFICIAL PARA CONTRAPISOS DE ARGAMASSA SEMI-SECA. AF_07/2021</v>
          </cell>
          <cell r="D1482" t="str">
            <v>M2</v>
          </cell>
          <cell r="E1482">
            <v>2.99</v>
          </cell>
          <cell r="F1482">
            <v>0</v>
          </cell>
        </row>
        <row r="1483">
          <cell r="B1483">
            <v>92717</v>
          </cell>
          <cell r="C1483" t="str">
            <v>APARELHO PARA CORTE E SOLDA OXI-ACETILENO SOBRE RODAS, INCLUSIVE CILINDROS E MAÇARICOS - CHI DIURNO. AF_05/2023</v>
          </cell>
          <cell r="D1483" t="str">
            <v>CHI</v>
          </cell>
          <cell r="E1483">
            <v>0.26</v>
          </cell>
          <cell r="F1483">
            <v>0</v>
          </cell>
        </row>
        <row r="1484">
          <cell r="B1484">
            <v>92716</v>
          </cell>
          <cell r="C1484" t="str">
            <v>APARELHO PARA CORTE E SOLDA OXI-ACETILENO SOBRE RODAS, INCLUSIVE CILINDROS E MAÇARICOS - CHP DIURNO. AF_05/2023</v>
          </cell>
          <cell r="D1484" t="str">
            <v>CHP</v>
          </cell>
          <cell r="E1484">
            <v>115.25</v>
          </cell>
          <cell r="F1484">
            <v>0</v>
          </cell>
        </row>
        <row r="1485">
          <cell r="B1485">
            <v>103668</v>
          </cell>
          <cell r="C1485" t="str">
            <v>BATE ESTACA PARA INSTALAÇÃO DE DEFENSAS METÁLICAS (GUARD RAIL) FIXO, INCLUSIVE CAMINHÃO TOCO PBT 9.700 KG, POTÊNCIA DE 160 CV - CHI DIURNO. AF_05/2023</v>
          </cell>
          <cell r="D1485" t="str">
            <v>CHI</v>
          </cell>
          <cell r="E1485">
            <v>0</v>
          </cell>
        </row>
        <row r="1486">
          <cell r="B1486">
            <v>103667</v>
          </cell>
          <cell r="C1486" t="str">
            <v>BATE ESTACA PARA INSTALAÇÃO DE DEFENSAS METÁLICAS (GUARD RAIL) FIXO, INCLUSIVE CAMINHÃO TOCO PBT 9.700 KG, POTÊNCIA DE 160 CV - CHP DIURNO. AF_05/2023</v>
          </cell>
          <cell r="D1486" t="str">
            <v>CHP</v>
          </cell>
          <cell r="E1486">
            <v>0</v>
          </cell>
        </row>
        <row r="1487">
          <cell r="B1487">
            <v>89218</v>
          </cell>
          <cell r="C1487" t="str">
            <v>BATE-ESTACAS POR GRAVIDADE, POTÊNCIA DE 160 HP, PESO DO MARTELO ATÉ 3 TONELADAS - CHI DIURNO. AF_11/2014</v>
          </cell>
          <cell r="D1487" t="str">
            <v>CHI</v>
          </cell>
          <cell r="E1487">
            <v>117.93</v>
          </cell>
          <cell r="F1487">
            <v>0</v>
          </cell>
        </row>
        <row r="1488">
          <cell r="B1488">
            <v>89843</v>
          </cell>
          <cell r="C1488" t="str">
            <v>BATE-ESTACAS POR GRAVIDADE, POTÊNCIA DE 160 HP, PESO DO MARTELO ATÉ 3 TONELADAS - CHP DIURNO. AF_11/2014</v>
          </cell>
          <cell r="D1488" t="str">
            <v>CHP</v>
          </cell>
          <cell r="E1488">
            <v>240.14</v>
          </cell>
          <cell r="F1488">
            <v>0</v>
          </cell>
        </row>
        <row r="1489">
          <cell r="B1489">
            <v>87446</v>
          </cell>
          <cell r="C1489" t="str">
            <v>BETONEIRA CAPACIDADE NOMINAL 400 L, CAPACIDADE DE MISTURA 310 L, MOTOR A DIESEL POTÊNCIA 5,0 HP, SEM CARREGADOR - CHI DIURNO. AF_05/2023</v>
          </cell>
          <cell r="D1489" t="str">
            <v>CHI</v>
          </cell>
          <cell r="E1489">
            <v>0.56999999999999995</v>
          </cell>
          <cell r="F1489">
            <v>0</v>
          </cell>
        </row>
        <row r="1490">
          <cell r="B1490">
            <v>87445</v>
          </cell>
          <cell r="C1490" t="str">
            <v>BETONEIRA CAPACIDADE NOMINAL 400 L, CAPACIDADE DE MISTURA 310 L, MOTOR A DIESEL POTÊNCIA 5,0 HP, SEM CARREGADOR - CHP DIURNO. AF_05/2023</v>
          </cell>
          <cell r="D1490" t="str">
            <v>CHP</v>
          </cell>
          <cell r="E1490">
            <v>5.39</v>
          </cell>
          <cell r="F1490">
            <v>0</v>
          </cell>
        </row>
        <row r="1491">
          <cell r="B1491">
            <v>93234</v>
          </cell>
          <cell r="C1491" t="str">
            <v>BETONEIRA CAPACIDADE NOMINAL 400 L, CAPACIDADE DE MISTURA 310 L, MOTOR A GASOLINA POTÊNCIA 5,5 HP, SEM CARREGADOR - CHI DIURNO. AF_02/2016</v>
          </cell>
          <cell r="D1491" t="str">
            <v>CHI</v>
          </cell>
          <cell r="E1491">
            <v>0.52</v>
          </cell>
          <cell r="F1491">
            <v>0</v>
          </cell>
        </row>
        <row r="1492">
          <cell r="B1492">
            <v>93233</v>
          </cell>
          <cell r="C1492" t="str">
            <v>BETONEIRA CAPACIDADE NOMINAL 400 L, CAPACIDADE DE MISTURA 310 L, MOTOR A GASOLINA POTÊNCIA 5,5 HP, SEM CARREGADOR - CHP DIURNO. AF_02/2016</v>
          </cell>
          <cell r="D1492" t="str">
            <v>CHP</v>
          </cell>
          <cell r="E1492">
            <v>5.8</v>
          </cell>
          <cell r="F1492">
            <v>0</v>
          </cell>
        </row>
        <row r="1493">
          <cell r="B1493">
            <v>102953</v>
          </cell>
          <cell r="C1493" t="str">
            <v>BETONEIRA CAPACIDADE NOMINAL DE 250 L, CAPACIDADE DE MISTURA DE 175 L, MOTOR ELÉTRICO MONOFÁSICO POTÊNCIA 1CV - CHI DIURNO. AF_05/2023</v>
          </cell>
          <cell r="D1493" t="str">
            <v>CHI</v>
          </cell>
          <cell r="E1493">
            <v>0</v>
          </cell>
        </row>
        <row r="1494">
          <cell r="B1494">
            <v>102952</v>
          </cell>
          <cell r="C1494" t="str">
            <v>BETONEIRA CAPACIDADE NOMINAL DE 250 L, CAPACIDADE DE MISTURA DE 175 L, MOTOR ELÉTRICO MONOFÁSICO POTÊNCIA 1CV - CHP DIURNO. AF_05/2023</v>
          </cell>
          <cell r="D1494" t="str">
            <v>CHP</v>
          </cell>
          <cell r="E1494">
            <v>0</v>
          </cell>
        </row>
        <row r="1495">
          <cell r="B1495">
            <v>88831</v>
          </cell>
          <cell r="C1495" t="str">
            <v>BETONEIRA CAPACIDADE NOMINAL DE 400 L, CAPACIDADE DE MISTURA 280 L, MOTOR ELÉTRICO TRIFÁSICO POTÊNCIA DE 2 CV, SEM CARREGADOR - CHI DIURNO. AF_05/2023</v>
          </cell>
          <cell r="D1495" t="str">
            <v>CHI</v>
          </cell>
          <cell r="E1495">
            <v>0.41</v>
          </cell>
          <cell r="F1495">
            <v>0</v>
          </cell>
        </row>
        <row r="1496">
          <cell r="B1496">
            <v>88830</v>
          </cell>
          <cell r="C1496" t="str">
            <v>BETONEIRA CAPACIDADE NOMINAL DE 400 L, CAPACIDADE DE MISTURA 280 L, MOTOR ELÉTRICO TRIFÁSICO POTÊNCIA DE 2 CV, SEM CARREGADOR - CHP DIURNO. AF_05/2023</v>
          </cell>
          <cell r="D1496" t="str">
            <v>CHP</v>
          </cell>
          <cell r="E1496">
            <v>1.86</v>
          </cell>
          <cell r="F1496">
            <v>0</v>
          </cell>
        </row>
        <row r="1497">
          <cell r="B1497">
            <v>89226</v>
          </cell>
          <cell r="C1497" t="str">
            <v>BETONEIRA CAPACIDADE NOMINAL DE 600 L, CAPACIDADE DE MISTURA 360 L, MOTOR ELÉTRICO TRIFÁSICO POTÊNCIA DE 4 CV, SEM CARREGADOR - CHI DIURNO. AF_05/2023</v>
          </cell>
          <cell r="D1497" t="str">
            <v>CHI</v>
          </cell>
          <cell r="E1497">
            <v>1.72</v>
          </cell>
          <cell r="F1497">
            <v>0</v>
          </cell>
        </row>
        <row r="1498">
          <cell r="B1498">
            <v>89225</v>
          </cell>
          <cell r="C1498" t="str">
            <v>BETONEIRA CAPACIDADE NOMINAL DE 600 L, CAPACIDADE DE MISTURA 360 L, MOTOR ELÉTRICO TRIFÁSICO POTÊNCIA DE 4 CV, SEM CARREGADOR - CHP DIURNO. AF_05/2023</v>
          </cell>
          <cell r="D1498" t="str">
            <v>CHP</v>
          </cell>
          <cell r="E1498">
            <v>5.42</v>
          </cell>
          <cell r="F1498">
            <v>0</v>
          </cell>
        </row>
        <row r="1499">
          <cell r="B1499">
            <v>89279</v>
          </cell>
          <cell r="C1499" t="str">
            <v>BETONEIRA CAPACIDADE NOMINAL DE 600 L, CAPACIDADE DE MISTURA 440 L, MOTOR A DIESEL POTÊNCIA 10 HP, COM CARREGADOR - CHI DIURNO. AF_05/2023</v>
          </cell>
          <cell r="D1499" t="str">
            <v>CHI</v>
          </cell>
          <cell r="E1499">
            <v>2.09</v>
          </cell>
          <cell r="F1499">
            <v>0</v>
          </cell>
        </row>
        <row r="1500">
          <cell r="B1500">
            <v>89278</v>
          </cell>
          <cell r="C1500" t="str">
            <v>BETONEIRA CAPACIDADE NOMINAL DE 600 L, CAPACIDADE DE MISTURA 440 L, MOTOR A DIESEL POTÊNCIA 10 HP, COM CARREGADOR - CHP DIURNO. AF_05/2023</v>
          </cell>
          <cell r="D1500" t="str">
            <v>CHP</v>
          </cell>
          <cell r="E1500">
            <v>12.7</v>
          </cell>
          <cell r="F1500">
            <v>0</v>
          </cell>
        </row>
        <row r="1501">
          <cell r="B1501">
            <v>90651</v>
          </cell>
          <cell r="C1501" t="str">
            <v>BOMBA CENTRÍFUGA MONOESTÁGIO COM MOTOR ELÉTRICO MONOFÁSICO, POTÊNCIA 15 HP, DIÂMETRO DO ROTOR 173 MM, HM/Q = 30 MCA / 90 M3/H A 45 MCA / 55 M3/H - CHI DIURNO. AF_06/2015</v>
          </cell>
          <cell r="D1501" t="str">
            <v>CHI</v>
          </cell>
          <cell r="E1501">
            <v>0.85</v>
          </cell>
          <cell r="F1501">
            <v>0</v>
          </cell>
        </row>
        <row r="1502">
          <cell r="B1502">
            <v>90650</v>
          </cell>
          <cell r="C1502" t="str">
            <v>BOMBA CENTRÍFUGA MONOESTÁGIO COM MOTOR ELÉTRICO MONOFÁSICO, POTÊNCIA 15 HP, DIÂMETRO DO ROTOR 173 MM, HM/Q = 30 MCA / 90 M3/H A 45 MCA / 55 M3/H - CHP DIURNO. AF_06/2015</v>
          </cell>
          <cell r="D1502" t="str">
            <v>CHP</v>
          </cell>
          <cell r="E1502">
            <v>10.07</v>
          </cell>
          <cell r="F1502">
            <v>0</v>
          </cell>
        </row>
        <row r="1503">
          <cell r="B1503">
            <v>106101</v>
          </cell>
          <cell r="C1503" t="str">
            <v>BOMBA DE INJEÇÃO, ELÉTRICA, TRIFÁSICA, POTÊNCIA 7,5 CV - CHI DIURNO. AF_08/2025</v>
          </cell>
          <cell r="D1503" t="str">
            <v>CHI</v>
          </cell>
          <cell r="E1503">
            <v>0</v>
          </cell>
        </row>
        <row r="1504">
          <cell r="B1504">
            <v>106100</v>
          </cell>
          <cell r="C1504" t="str">
            <v>BOMBA DE INJEÇÃO, ELÉTRICA, TRIFÁSICA, POTÊNCIA 7,5 CV- CHP DIURNO. AF_08/2025</v>
          </cell>
          <cell r="D1504" t="str">
            <v>CHP</v>
          </cell>
          <cell r="E1504">
            <v>0</v>
          </cell>
        </row>
        <row r="1505">
          <cell r="B1505">
            <v>90657</v>
          </cell>
          <cell r="C1505" t="str">
            <v>BOMBA DE PROJEÇÃO DE CONCRETO SECO, POTÊNCIA 10 CV, VAZÃO 3 M3/H - CHI DIURNO. AF_06/2015</v>
          </cell>
          <cell r="D1505" t="str">
            <v>CHI</v>
          </cell>
          <cell r="E1505">
            <v>5.18</v>
          </cell>
          <cell r="F1505">
            <v>0</v>
          </cell>
        </row>
        <row r="1506">
          <cell r="B1506">
            <v>90656</v>
          </cell>
          <cell r="C1506" t="str">
            <v>BOMBA DE PROJEÇÃO DE CONCRETO SECO, POTÊNCIA 10 CV, VAZÃO 3 M3/H - CHP DIURNO. AF_06/2015</v>
          </cell>
          <cell r="D1506" t="str">
            <v>CHP</v>
          </cell>
          <cell r="E1506">
            <v>15.35</v>
          </cell>
          <cell r="F1506">
            <v>0</v>
          </cell>
        </row>
        <row r="1507">
          <cell r="B1507">
            <v>90663</v>
          </cell>
          <cell r="C1507" t="str">
            <v>BOMBA DE PROJEÇÃO DE CONCRETO SECO, POTÊNCIA 10 CV, VAZÃO 6 M3/H - CHI DIURNO. AF_06/2015</v>
          </cell>
          <cell r="D1507" t="str">
            <v>CHI</v>
          </cell>
          <cell r="E1507">
            <v>5.55</v>
          </cell>
          <cell r="F1507">
            <v>0</v>
          </cell>
        </row>
        <row r="1508">
          <cell r="B1508">
            <v>90662</v>
          </cell>
          <cell r="C1508" t="str">
            <v>BOMBA DE PROJEÇÃO DE CONCRETO SECO, POTÊNCIA 10 CV, VAZÃO 6 M3/H - CHP DIURNO. AF_06/2015</v>
          </cell>
          <cell r="D1508" t="str">
            <v>CHP</v>
          </cell>
          <cell r="E1508">
            <v>16.05</v>
          </cell>
          <cell r="F1508">
            <v>0</v>
          </cell>
        </row>
        <row r="1509">
          <cell r="B1509">
            <v>89022</v>
          </cell>
          <cell r="C1509" t="str">
            <v>BOMBA SUBMERSÍVEL ELÉTRICA TRIFÁSICA, POTÊNCIA 2,96 HP, Ø ROTOR 144 MM SEMI-ABERTO, BOCAL DE SAÍDA Ø 2", HM/Q = 2 MCA / 38,8 M3/H A 28 MCA / 5 M3/H - CHI DIURNO. AF_06/2014</v>
          </cell>
          <cell r="D1509" t="str">
            <v>CHI</v>
          </cell>
          <cell r="E1509">
            <v>0.49</v>
          </cell>
          <cell r="F1509">
            <v>0</v>
          </cell>
        </row>
        <row r="1510">
          <cell r="B1510">
            <v>89021</v>
          </cell>
          <cell r="C1510" t="str">
            <v>BOMBA SUBMERSÍVEL ELÉTRICA TRIFÁSICA, POTÊNCIA 2,96 HP, Ø ROTOR 144 MM SEMI-ABERTO, BOCAL DE SAÍDA Ø 2", HM/Q = 2 MCA / 38,8 M3/H A 28 MCA / 5 M3/H - CHP DIURNO. AF_06/2014</v>
          </cell>
          <cell r="D1510" t="str">
            <v>CHP</v>
          </cell>
          <cell r="E1510">
            <v>2.6</v>
          </cell>
          <cell r="F1510">
            <v>0</v>
          </cell>
        </row>
        <row r="1511">
          <cell r="B1511">
            <v>90644</v>
          </cell>
          <cell r="C1511" t="str">
            <v>BOMBA TRIPLEX, PARA INJEÇÃO DE NATA DE CIMENTO, VAZÃO MÁXIMA DE 100 LITROS/MINUTO, PRESSÃO MÁXIMA DE 70 BAR - CHI DIURNO. AF_06/2015</v>
          </cell>
          <cell r="D1511" t="str">
            <v>CHI</v>
          </cell>
          <cell r="E1511">
            <v>7.96</v>
          </cell>
          <cell r="F1511">
            <v>0</v>
          </cell>
        </row>
        <row r="1512">
          <cell r="B1512">
            <v>90643</v>
          </cell>
          <cell r="C1512" t="str">
            <v>BOMBA TRIPLEX, PARA INJEÇÃO DE NATA DE CIMENTO, VAZÃO MÁXIMA DE 100 LITROS/MINUTO, PRESSÃO MÁXIMA DE 70 BAR - CHP DIURNO. AF_06/2015</v>
          </cell>
          <cell r="D1512" t="str">
            <v>CHP</v>
          </cell>
          <cell r="E1512">
            <v>27.75</v>
          </cell>
          <cell r="F1512">
            <v>0</v>
          </cell>
        </row>
        <row r="1513">
          <cell r="B1513">
            <v>102811</v>
          </cell>
          <cell r="C1513" t="str">
            <v>CALDEIRA A GÁS COM TERMOSTATO, CAPACIDADE 100 LITROS - CHI DIURNO. AF_05/2023</v>
          </cell>
          <cell r="D1513" t="str">
            <v>CHI</v>
          </cell>
          <cell r="E1513">
            <v>0</v>
          </cell>
        </row>
        <row r="1514">
          <cell r="B1514">
            <v>102810</v>
          </cell>
          <cell r="C1514" t="str">
            <v>CALDEIRA A GÁS COM TERMOSTATO, CAPACIDADE 100 LITROS - CHP DIURNO. AF_05/2023</v>
          </cell>
          <cell r="D1514" t="str">
            <v>CHP</v>
          </cell>
          <cell r="E1514">
            <v>0</v>
          </cell>
        </row>
        <row r="1515">
          <cell r="B1515">
            <v>92146</v>
          </cell>
          <cell r="C1515" t="str">
            <v>CAMINHONETE CABINE SIMPLES COM MOTOR 1.6 FLEX, CÂMBIO MANUAL, POTÊNCIA 101/104 CV, 2 PORTAS - CHI DIURNO. AF_11/2015</v>
          </cell>
          <cell r="D1515" t="str">
            <v>CHI</v>
          </cell>
          <cell r="E1515">
            <v>39.880000000000003</v>
          </cell>
          <cell r="F1515">
            <v>0</v>
          </cell>
        </row>
        <row r="1516">
          <cell r="B1516">
            <v>92145</v>
          </cell>
          <cell r="C1516" t="str">
            <v>CAMINHONETE CABINE SIMPLES COM MOTOR 1.6 FLEX, CÂMBIO MANUAL, POTÊNCIA 101/104 CV, 2 PORTAS - CHP DIURNO. AF_11/2015</v>
          </cell>
          <cell r="D1516" t="str">
            <v>CHP</v>
          </cell>
          <cell r="E1516">
            <v>87.47</v>
          </cell>
          <cell r="F1516">
            <v>0</v>
          </cell>
        </row>
        <row r="1517">
          <cell r="B1517">
            <v>92139</v>
          </cell>
          <cell r="C1517" t="str">
            <v>CAMINHONETE COM MOTOR A DIESEL, POTÊNCIA 180 CV, CABINE DUPLA, 4X4 - CHI DIURNO. AF_11/2015</v>
          </cell>
          <cell r="D1517" t="str">
            <v>CHI</v>
          </cell>
          <cell r="E1517">
            <v>52.55</v>
          </cell>
          <cell r="F1517">
            <v>0</v>
          </cell>
        </row>
        <row r="1518">
          <cell r="B1518">
            <v>92138</v>
          </cell>
          <cell r="C1518" t="str">
            <v>CAMINHONETE COM MOTOR A DIESEL, POTÊNCIA 180 CV, CABINE DUPLA, 4X4 - CHP DIURNO. AF_11/2015</v>
          </cell>
          <cell r="D1518" t="str">
            <v>CHP</v>
          </cell>
          <cell r="E1518">
            <v>105.67</v>
          </cell>
          <cell r="F1518">
            <v>0</v>
          </cell>
        </row>
        <row r="1519">
          <cell r="B1519">
            <v>91387</v>
          </cell>
          <cell r="C1519" t="str">
            <v>CAMINHÃO BASCULANTE 10 M3, TRUCADO CABINE SIMPLES, PESO BRUTO TOTAL 23.000 KG, CARGA ÚTIL MÁXIMA 15.935 KG, DISTÂNCIA ENTRE EIXOS 4,80 M, POTÊNCIA 230 CV INCLUSIVE CAÇAMBA METÁLICA - CHI DIURNO. AF_06/2014</v>
          </cell>
          <cell r="D1519" t="str">
            <v>CHI</v>
          </cell>
          <cell r="E1519">
            <v>85.43</v>
          </cell>
          <cell r="F1519">
            <v>0</v>
          </cell>
        </row>
        <row r="1520">
          <cell r="B1520">
            <v>91386</v>
          </cell>
          <cell r="C1520" t="str">
            <v>CAMINHÃO BASCULANTE 10 M3, TRUCADO CABINE SIMPLES, PESO BRUTO TOTAL 23.000 KG, CARGA ÚTIL MÁXIMA 15.935 KG, DISTÂNCIA ENTRE EIXOS 4,80 M, POTÊNCIA 230 CV INCLUSIVE CAÇAMBA METÁLICA - CHP DIURNO. AF_06/2014</v>
          </cell>
          <cell r="D1520" t="str">
            <v>CHP</v>
          </cell>
          <cell r="E1520">
            <v>283.81</v>
          </cell>
          <cell r="F1520">
            <v>0</v>
          </cell>
        </row>
        <row r="1521">
          <cell r="B1521">
            <v>96036</v>
          </cell>
          <cell r="C1521" t="str">
            <v>CAMINHÃO BASCULANTE 10 M3, TRUCADO, POTÊNCIA 230 CV, INCLUSIVE CAÇAMBA METÁLICA, COM DISTRIBUIDOR DE AGREGADOS ACOPLADO - CHI DIURNO. AF_02/2017</v>
          </cell>
          <cell r="D1521" t="str">
            <v>CHI</v>
          </cell>
          <cell r="E1521">
            <v>94.88</v>
          </cell>
          <cell r="F1521">
            <v>0</v>
          </cell>
        </row>
        <row r="1522">
          <cell r="B1522">
            <v>96035</v>
          </cell>
          <cell r="C1522" t="str">
            <v>CAMINHÃO BASCULANTE 10 M3, TRUCADO, POTÊNCIA 230 CV, INCLUSIVE CAÇAMBA METÁLICA, COM DISTRIBUIDOR DE AGREGADOS ACOPLADO - CHP DIURNO. AF_02/2017</v>
          </cell>
          <cell r="D1522" t="str">
            <v>CHP</v>
          </cell>
          <cell r="E1522">
            <v>299.39</v>
          </cell>
          <cell r="F1522">
            <v>0</v>
          </cell>
        </row>
        <row r="1523">
          <cell r="B1523">
            <v>89877</v>
          </cell>
          <cell r="C1523" t="str">
            <v>CAMINHÃO BASCULANTE 14 M3, COM CAVALO MECÂNICO DE CAPACIDADE MÁXIMA DE TRAÇÃO COMBINADO DE 36000 KG, POTÊNCIA 286 CV, INCLUSIVE SEMIREBOQUE COM CAÇAMBA METÁLICA - CHI DIURNO. AF_12/2014</v>
          </cell>
          <cell r="D1523" t="str">
            <v>CHI</v>
          </cell>
          <cell r="E1523">
            <v>97.97</v>
          </cell>
          <cell r="F1523">
            <v>0</v>
          </cell>
        </row>
        <row r="1524">
          <cell r="B1524">
            <v>89876</v>
          </cell>
          <cell r="C1524" t="str">
            <v>CAMINHÃO BASCULANTE 14 M3, COM CAVALO MECÂNICO DE CAPACIDADE MÁXIMA DE TRAÇÃO COMBINADO DE 36000 KG, POTÊNCIA 286 CV, INCLUSIVE SEMIREBOQUE COM CAÇAMBA METÁLICA - CHP DIURNO. AF_12/2014</v>
          </cell>
          <cell r="D1524" t="str">
            <v>CHP</v>
          </cell>
          <cell r="E1524">
            <v>344.49</v>
          </cell>
          <cell r="F1524">
            <v>0</v>
          </cell>
        </row>
        <row r="1525">
          <cell r="B1525">
            <v>89884</v>
          </cell>
          <cell r="C1525" t="str">
            <v>CAMINHÃO BASCULANTE 18 M3, COM CAVALO MECÂNICO DE CAPACIDADE MÁXIMA DE TRAÇÃO COMBINADO DE 45000 KG, POTÊNCIA 330 CV, INCLUSIVE SEMIREBOQUE COM CAÇAMBA METÁLICA - CHI DIURNO. AF_12/2014</v>
          </cell>
          <cell r="D1525" t="str">
            <v>CHI</v>
          </cell>
          <cell r="E1525">
            <v>101.83</v>
          </cell>
          <cell r="F1525">
            <v>0</v>
          </cell>
        </row>
        <row r="1526">
          <cell r="B1526">
            <v>89883</v>
          </cell>
          <cell r="C1526" t="str">
            <v>CAMINHÃO BASCULANTE 18 M3, COM CAVALO MECÂNICO DE CAPACIDADE MÁXIMA DE TRAÇÃO COMBINADO DE 45000 KG, POTÊNCIA 330 CV, INCLUSIVE SEMIREBOQUE COM CAÇAMBA METÁLICA - CHP DIURNO. AF_12/2014</v>
          </cell>
          <cell r="D1526" t="str">
            <v>CHP</v>
          </cell>
          <cell r="E1526">
            <v>379.92</v>
          </cell>
          <cell r="F1526">
            <v>0</v>
          </cell>
        </row>
        <row r="1527">
          <cell r="B1527">
            <v>67827</v>
          </cell>
          <cell r="C1527" t="str">
            <v>CAMINHÃO BASCULANTE 6 M3 TOCO, PESO BRUTO TOTAL 16.000 KG, CARGA ÚTIL MÁXIMA 11.130 KG, DISTÂNCIA ENTRE EIXOS 5,36 M, POTÊNCIA 185 CV, INCLUSIVE CAÇAMBA METÁLICA - CHI DIURNO. AF_06/2014</v>
          </cell>
          <cell r="D1527" t="str">
            <v>CHI</v>
          </cell>
          <cell r="E1527">
            <v>75.489999999999995</v>
          </cell>
          <cell r="F1527">
            <v>0</v>
          </cell>
        </row>
        <row r="1528">
          <cell r="B1528">
            <v>67826</v>
          </cell>
          <cell r="C1528" t="str">
            <v>CAMINHÃO BASCULANTE 6 M3 TOCO, PESO BRUTO TOTAL 16.000 KG, CARGA ÚTIL MÁXIMA 11.130 KG, DISTÂNCIA ENTRE EIXOS 5,36 M, POTÊNCIA 185 CV, INCLUSIVE CAÇAMBA METÁLICA - CHP DIURNO. AF_06/2014</v>
          </cell>
          <cell r="D1528" t="str">
            <v>CHP</v>
          </cell>
          <cell r="E1528">
            <v>201.16</v>
          </cell>
          <cell r="F1528">
            <v>0</v>
          </cell>
        </row>
        <row r="1529">
          <cell r="B1529">
            <v>5961</v>
          </cell>
          <cell r="C1529" t="str">
            <v>CAMINHÃO BASCULANTE 6 M3, PESO BRUTO TOTAL 16.000 KG, CARGA ÚTIL MÁXIMA 13.071 KG, DISTÂNCIA ENTRE EIXOS 4,80 M, POTÊNCIA 230 CV INCLUSIVE CAÇAMBA METÁLICA - CHI DIURNO. AF_06/2014</v>
          </cell>
          <cell r="D1529" t="str">
            <v>CHI</v>
          </cell>
          <cell r="E1529">
            <v>74.209999999999994</v>
          </cell>
          <cell r="F1529">
            <v>0</v>
          </cell>
        </row>
        <row r="1530">
          <cell r="B1530">
            <v>5811</v>
          </cell>
          <cell r="C1530" t="str">
            <v>CAMINHÃO BASCULANTE 6 M3, PESO BRUTO TOTAL 16.000 KG, CARGA ÚTIL MÁXIMA 13.071 KG, DISTÂNCIA ENTRE EIXOS 4,80 M, POTÊNCIA 230 CV INCLUSIVE CAÇAMBA METÁLICA - CHP DIURNO. AF_06/2014</v>
          </cell>
          <cell r="D1530" t="str">
            <v>CHP</v>
          </cell>
          <cell r="E1530">
            <v>218.49</v>
          </cell>
          <cell r="F1530">
            <v>0</v>
          </cell>
        </row>
        <row r="1531">
          <cell r="B1531">
            <v>106373</v>
          </cell>
          <cell r="C1531" t="str">
            <v>CAMINHÃO BITRUCK TRAÇÃO 8X2, PBT 29.000 KG, PESO BRUTO TOTAL COMBINADO (PBTC) *36.000* KG, POTÊNCIA 321 CV, INCLUSIVE PLATAFORMA GUINCHO-SOCORRO, COMPRIMENTO ÚTIL 10 M, LARGURA 2,60 M COM GUINCHO DE ARRASTE BASCULANTE - CHI DIURNO. AF_11/2025</v>
          </cell>
          <cell r="D1531" t="str">
            <v>CHI</v>
          </cell>
          <cell r="E1531">
            <v>0</v>
          </cell>
        </row>
        <row r="1532">
          <cell r="B1532">
            <v>106366</v>
          </cell>
          <cell r="C1532" t="str">
            <v>CAMINHÃO BITRUCK TRAÇÃO 8X2, PBT 29.000 KG, PESO BRUTO TOTAL COMBINADO (PBTC) *36.000* KG, POTÊNCIA 321 CV, INCLUSIVE PLATAFORMA GUINCHO-SOCORRO, COMPRIMENTO ÚTIL 10 M, LARGURA 2,60 M COM GUINCHO DE ARRASTE BASCULANTE - CHP DIURNO. AF_11/2025</v>
          </cell>
          <cell r="D1532" t="str">
            <v>CHP</v>
          </cell>
          <cell r="E1532">
            <v>0</v>
          </cell>
        </row>
        <row r="1533">
          <cell r="B1533">
            <v>106371</v>
          </cell>
          <cell r="C1533" t="str">
            <v>CAMINHÃO BITRUCK TRAÇÃO 8X2, PBT 29.000 KG, PESO BRUTO TOTAL COMBINADO (PBTC) *36.000* KG, POTÊNCIA 321 CV, INCLUSIVE PLATAFORMA SOBRE CHASSI, COMPRIMENTO ÚTIL 10 M, LARGURA 2,60 M COM GUINCHO DE ARRASTE E RAMPA COM ACIONAMENTO ELETRO-HIDRÁULICO - CHI DIURNO. AF_11/2025</v>
          </cell>
          <cell r="D1533" t="str">
            <v>CHI</v>
          </cell>
          <cell r="E1533">
            <v>0</v>
          </cell>
        </row>
        <row r="1534">
          <cell r="B1534">
            <v>106364</v>
          </cell>
          <cell r="C1534" t="str">
            <v>CAMINHÃO BITRUCK TRAÇÃO 8X2, PBT 29.000 KG, PESO BRUTO TOTAL COMBINADO (PBTC) *36.000* KG, POTÊNCIA 321 CV, INCLUSIVE PLATAFORMA SOBRE CHASSI, COMPRIMENTO ÚTIL 10 M, LARGURA 2,60 M COM GUINCHO DE ARRASTE E RAMPA COM ACIONAMENTO ELETRO-HIDRÁULICO - CHP DIURNO. AF_11/2025</v>
          </cell>
          <cell r="D1534" t="str">
            <v>CHP</v>
          </cell>
          <cell r="E1534">
            <v>0</v>
          </cell>
        </row>
        <row r="1535">
          <cell r="B1535">
            <v>92243</v>
          </cell>
          <cell r="C1535" t="str">
            <v>CAMINHÃO DE TRANSPORTE DE MATERIAL ASFÁLTICO 20.000 L, COM CAVALO MECÂNICO DE CAPACIDADE MÁXIMA DE TRAÇÃO COMBINADO DE 45.000 KG, POTÊNCIA 330 CV, INCLUSIVE TANQUE DE ASFALTO COM MAÇARICO - CHI DIURNO. AF_12/2015</v>
          </cell>
          <cell r="D1535" t="str">
            <v>CHI</v>
          </cell>
          <cell r="E1535">
            <v>91.52</v>
          </cell>
          <cell r="F1535">
            <v>0</v>
          </cell>
        </row>
        <row r="1536">
          <cell r="B1536">
            <v>92242</v>
          </cell>
          <cell r="C1536" t="str">
            <v>CAMINHÃO DE TRANSPORTE DE MATERIAL ASFÁLTICO 20.000 L, COM CAVALO MECÂNICO DE CAPACIDADE MÁXIMA DE TRAÇÃO COMBINADO DE 45.000 KG, POTÊNCIA 330 CV, INCLUSIVE TANQUE DE ASFALTO COM MAÇARICO - CHP DIURNO. AF_12/2015</v>
          </cell>
          <cell r="D1536" t="str">
            <v>CHP</v>
          </cell>
          <cell r="E1536">
            <v>424.78</v>
          </cell>
          <cell r="F1536">
            <v>0</v>
          </cell>
        </row>
        <row r="1537">
          <cell r="B1537">
            <v>91646</v>
          </cell>
          <cell r="C1537" t="str">
            <v>CAMINHÃO DE TRANSPORTE DE MATERIAL ASFÁLTICO 30.000 L, COM CAVALO MECÂNICO DE CAPACIDADE MÁXIMA DE TRAÇÃO COMBINADO DE 66.000 KG, POTÊNCIA 360 CV, INCLUSIVE TANQUE DE ASFALTO COM SERPENTINA - CHI DIURNO. AF_08/2015</v>
          </cell>
          <cell r="D1537" t="str">
            <v>CHI</v>
          </cell>
          <cell r="E1537">
            <v>109</v>
          </cell>
          <cell r="F1537">
            <v>0</v>
          </cell>
        </row>
        <row r="1538">
          <cell r="B1538">
            <v>91645</v>
          </cell>
          <cell r="C1538" t="str">
            <v>CAMINHÃO DE TRANSPORTE DE MATERIAL ASFÁLTICO 30.000 L, COM CAVALO MECÂNICO DE CAPACIDADE MÁXIMA DE TRAÇÃO COMBINADO DE 66.000 KG, POTÊNCIA 360 CV, INCLUSIVE TANQUE DE ASFALTO COM SERPENTINA - CHP DIURNO. AF_08/2015</v>
          </cell>
          <cell r="D1538" t="str">
            <v>CHP</v>
          </cell>
          <cell r="E1538">
            <v>487.94</v>
          </cell>
          <cell r="F1538">
            <v>0</v>
          </cell>
        </row>
        <row r="1539">
          <cell r="B1539">
            <v>92107</v>
          </cell>
          <cell r="C1539" t="str">
            <v>CAMINHÃO PARA EQUIPAMENTO DE LIMPEZA A SUCÇÃO COM CAMINHÃO TRUCADO DE PESO BRUTO TOTAL 23000 KG, CARGA ÚTIL MÁXIMA 15935 KG, DISTÂNCIA ENTRE EIXOS 4,80 M, POTÊNCIA 230 CV, INCLUSIVE LIMPADORA A SUCÇÃO, TANQUE 12000 L - CHI DIURNO. AF_05/2023</v>
          </cell>
          <cell r="D1539" t="str">
            <v>CHI</v>
          </cell>
          <cell r="E1539">
            <v>105.77</v>
          </cell>
          <cell r="F1539">
            <v>0</v>
          </cell>
        </row>
        <row r="1540">
          <cell r="B1540">
            <v>92106</v>
          </cell>
          <cell r="C1540" t="str">
            <v>CAMINHÃO PARA EQUIPAMENTO DE LIMPEZA A SUCÇÃO, COM CAMINHÃO TRUCADO DE PESO BRUTO TOTAL 23000 KG, CARGA ÚTIL MÁXIMA 15935 KG, DISTÂNCIA ENTRE EIXOS 4,80 M, POTÊNCIA 230 CV, INCLUSIVE LIMPADORA A SUCÇÃO, TANQUE 12000 L - CHP DIURNO. AF_05/2023</v>
          </cell>
          <cell r="D1540" t="str">
            <v>CHP</v>
          </cell>
          <cell r="E1540">
            <v>375.42</v>
          </cell>
          <cell r="F1540">
            <v>0</v>
          </cell>
        </row>
        <row r="1541">
          <cell r="B1541">
            <v>5903</v>
          </cell>
          <cell r="C1541" t="str">
            <v>CAMINHÃO PIPA 10.000 L TRUCADO, PESO BRUTO TOTAL 23.000 KG, CARGA ÚTIL MÁXIMA 15.935 KG, DISTÂNCIA ENTRE EIXOS 4,8 M, POTÊNCIA 230 CV, INCLUSIVE TANQUE DE AÇO PARA TRANSPORTE DE ÁGUA - CHI DIURNO. AF_06/2014</v>
          </cell>
          <cell r="D1541" t="str">
            <v>CHI</v>
          </cell>
          <cell r="E1541">
            <v>84.71</v>
          </cell>
          <cell r="F1541">
            <v>0</v>
          </cell>
        </row>
        <row r="1542">
          <cell r="B1542">
            <v>5901</v>
          </cell>
          <cell r="C1542" t="str">
            <v>CAMINHÃO PIPA 10.000 L TRUCADO, PESO BRUTO TOTAL 23.000 KG, CARGA ÚTIL MÁXIMA 15.935 KG, DISTÂNCIA ENTRE EIXOS 4,8 M, POTÊNCIA 230 CV, INCLUSIVE TANQUE DE AÇO PARA TRANSPORTE DE ÁGUA - CHP DIURNO. AF_06/2014</v>
          </cell>
          <cell r="D1542" t="str">
            <v>CHP</v>
          </cell>
          <cell r="E1542">
            <v>333.85</v>
          </cell>
          <cell r="F1542">
            <v>0</v>
          </cell>
        </row>
        <row r="1543">
          <cell r="B1543">
            <v>106252</v>
          </cell>
          <cell r="C1543" t="str">
            <v>CAMINHÃO PIPA 14.000 L TRUCADO, PESO BRUTO TOTAL 23.000 KG, CARGA ÚTIL MÁXIMA 16.540 KG, DISTÂNCIA ENTRE EIXOS 4,8 M, POTÊNCIA 256 CV, INCLUSIVE TANQUE DE AÇO PARA TRANSPORTE DE ÁGUA - CHI DIURNO. AF_10/2025</v>
          </cell>
          <cell r="D1543" t="str">
            <v>CHI</v>
          </cell>
          <cell r="E1543">
            <v>84.25</v>
          </cell>
          <cell r="F1543">
            <v>0</v>
          </cell>
        </row>
        <row r="1544">
          <cell r="B1544">
            <v>106247</v>
          </cell>
          <cell r="C1544" t="str">
            <v>CAMINHÃO PIPA 14.000 L TRUCADO, PESO BRUTO TOTAL 23.000 KG, CARGA ÚTIL MÁXIMA 16.540 KG, DISTÂNCIA ENTRE EIXOS 4,8 M, POTÊNCIA 256 CV, INCLUSIVE TANQUE DE AÇO PARA TRANSPORTE DE ÁGUA - CHP DIURNO. AF_10/2025</v>
          </cell>
          <cell r="D1544" t="str">
            <v>CHP</v>
          </cell>
          <cell r="E1544">
            <v>297.36</v>
          </cell>
          <cell r="F1544">
            <v>0</v>
          </cell>
        </row>
        <row r="1545">
          <cell r="B1545">
            <v>6260</v>
          </cell>
          <cell r="C1545" t="str">
            <v>CAMINHÃO PIPA 6.000 L, PESO BRUTO TOTAL 13.000 KG, DISTÂNCIA ENTRE EIXOS 4,80 M, POTÊNCIA 189 CV INCLUSIVE TANQUE DE AÇO PARA TRANSPORTE DE ÁGUA, CAPACIDADE 6 M3 - CHI DIURNO. AF_06/2014</v>
          </cell>
          <cell r="D1545" t="str">
            <v>CHI</v>
          </cell>
          <cell r="E1545">
            <v>71.42</v>
          </cell>
          <cell r="F1545">
            <v>0</v>
          </cell>
        </row>
        <row r="1546">
          <cell r="B1546">
            <v>6259</v>
          </cell>
          <cell r="C1546" t="str">
            <v>CAMINHÃO PIPA 6.000 L, PESO BRUTO TOTAL 13.000 KG, DISTÂNCIA ENTRE EIXOS 4,80 M, POTÊNCIA 189 CV INCLUSIVE TANQUE DE AÇO PARA TRANSPORTE DE ÁGUA, CAPACIDADE 6 M3 - CHP DIURNO. AF_06/2014</v>
          </cell>
          <cell r="D1546" t="str">
            <v>CHP</v>
          </cell>
          <cell r="E1546">
            <v>270.35000000000002</v>
          </cell>
          <cell r="F1546">
            <v>0</v>
          </cell>
        </row>
        <row r="1547">
          <cell r="B1547">
            <v>104705</v>
          </cell>
          <cell r="C1547" t="str">
            <v>CAMINHÃO TANQUE PARA HIDROSSEMEADURA, COM CAPACIDADE DE 8.000 LITROS, INCLUINDO BOMBA PARA LANÇAMENTO COM MOTOR DIESEL COM POTÊNCIA DE 105 CV - CHI DIURNO. AF_06/2023</v>
          </cell>
          <cell r="D1547" t="str">
            <v>CHI</v>
          </cell>
          <cell r="E1547">
            <v>0</v>
          </cell>
        </row>
        <row r="1548">
          <cell r="B1548">
            <v>104704</v>
          </cell>
          <cell r="C1548" t="str">
            <v>CAMINHÃO TANQUE PARA HIDROSSEMEADURA, COM CAPACIDADE DE 8.000 LITROS, INCLUINDO BOMBA PARA LANÇAMENTO COM MOTOR DIESEL COM POTÊNCIA DE 105 CV - CHP DIURNO. AF_06/2023</v>
          </cell>
          <cell r="D1548" t="str">
            <v>CHP</v>
          </cell>
          <cell r="E1548">
            <v>0</v>
          </cell>
        </row>
        <row r="1549">
          <cell r="B1549">
            <v>91395</v>
          </cell>
          <cell r="C1549" t="str">
            <v>CAMINHÃO TOCO, PBT 14.300 KG, CARGA ÚTIL MÁX. 9.710 KG, DIST. ENTRE EIXOS 3,56 M, POTÊNCIA 185 CV, INCLUSIVE CARROCERIA FIXA ABERTA DE MADEIRA P/ TRANSPORTE GERAL DE CARGA SECA, DIMEN. APROX. 2,50 X 6,50 X 0,50 M - CHI DIURNO. AF_06/2014</v>
          </cell>
          <cell r="D1549" t="str">
            <v>CHI</v>
          </cell>
          <cell r="E1549">
            <v>68.88</v>
          </cell>
          <cell r="F1549">
            <v>0</v>
          </cell>
        </row>
        <row r="1550">
          <cell r="B1550">
            <v>73467</v>
          </cell>
          <cell r="C1550" t="str">
            <v>CAMINHÃO TOCO, PBT 14.300 KG, CARGA ÚTIL MÁX. 9.710 KG, DIST. ENTRE EIXOS 3,56 M, POTÊNCIA 185 CV, INCLUSIVE CARROCERIA FIXA ABERTA DE MADEIRA P/ TRANSPORTE GERAL DE CARGA SECA, DIMEN. APROX. 2,50 X 6,50 X 0,50 M - CHP DIURNO. AF_06/2014</v>
          </cell>
          <cell r="D1550" t="str">
            <v>CHP</v>
          </cell>
          <cell r="E1550">
            <v>262.35000000000002</v>
          </cell>
          <cell r="F1550">
            <v>0</v>
          </cell>
        </row>
        <row r="1551">
          <cell r="B1551">
            <v>5826</v>
          </cell>
          <cell r="C1551" t="str">
            <v>CAMINHÃO TOCO, PBT 16.000 KG, CARGA ÚTIL MÁX. 10.685 KG, DIST. ENTRE EIXOS 4,8 M, POTÊNCIA 189 CV, INCLUSIVE CARROCERIA FIXA ABERTA DE MADEIRA P/ TRANSPORTE GERAL DE CARGA SECA, DIMEN. APROX. 2,5 X 7,00 X 0,50 M - CHI DIURNO. AF_06/2014</v>
          </cell>
          <cell r="D1551" t="str">
            <v>CHI</v>
          </cell>
          <cell r="E1551">
            <v>71.89</v>
          </cell>
          <cell r="F1551">
            <v>0</v>
          </cell>
        </row>
        <row r="1552">
          <cell r="B1552">
            <v>5824</v>
          </cell>
          <cell r="C1552" t="str">
            <v>CAMINHÃO TOCO, PBT 16.000 KG, CARGA ÚTIL MÁX. 10.685 KG, DIST. ENTRE EIXOS 4,8 M, POTÊNCIA 189 CV, INCLUSIVE CARROCERIA FIXA ABERTA DE MADEIRA P/ TRANSPORTE GERAL DE CARGA SECA, DIMEN. APROX. 2,5 X 7,00 X 0,50 M - CHP DIURNO. AF_06/2014</v>
          </cell>
          <cell r="D1552" t="str">
            <v>CHP</v>
          </cell>
          <cell r="E1552">
            <v>230.11</v>
          </cell>
          <cell r="F1552">
            <v>0</v>
          </cell>
        </row>
        <row r="1553">
          <cell r="B1553">
            <v>106369</v>
          </cell>
          <cell r="C1553" t="str">
            <v>CAMINHÃO TOCO, PBT 16.000 KG, CARGA ÚTIL MÁX. 10.830 KG, DIST. ENTRE EIXOS 3,56 M, POTÊNCIA 226 CV, INCLUSIVE PLATAFORMA SOBRE CHASSI, COMPRIMENTO ÚTIL 10 M, LARGURA 2,60 M COM GUINCHO DE ARRASTE E RAMPA COM ACIONAMENTO ELETRO-HIDRÁULICO - CHI DIURNO. AF_11/2025</v>
          </cell>
          <cell r="D1553" t="str">
            <v>CHI</v>
          </cell>
          <cell r="E1553">
            <v>0</v>
          </cell>
        </row>
        <row r="1554">
          <cell r="B1554">
            <v>106362</v>
          </cell>
          <cell r="C1554" t="str">
            <v>CAMINHÃO TOCO, PBT 16.000 KG, CARGA ÚTIL MÁX. 10.830 KG, DIST. ENTRE EIXOS 3,56 M, POTÊNCIA 226 CV, INCLUSIVE PLATAFORMA SOBRE CHASSI, COMPRIMENTO ÚTIL 10 M, LARGURA 2,60 M COM GUINCHO DE ARRASTE E RAMPA COM ACIONAMENTO ELETRO-HIDRÁULICO - CHP DIURNO. AF_11/2025</v>
          </cell>
          <cell r="D1554" t="str">
            <v>CHP</v>
          </cell>
          <cell r="E1554">
            <v>0</v>
          </cell>
        </row>
        <row r="1555">
          <cell r="B1555">
            <v>106253</v>
          </cell>
          <cell r="C1555" t="str">
            <v>CAMINHÃO TOCO, PBT 23.000 KG, CARGA ÚTIL MÁX. 16.540 KG, DIST. ENTRE EIXOS 4,8 M, POTÊNCIA 256 CV, INCLUSIVE CARROCERIA FIXA ABERTA DE MADEIRA P/ TRANSPORTE GERAL DE CARGA SECA, DIMEN. APROX. 2,6 X 12,50 X 0,50 M - CHI DIURNO. AF_10/2025</v>
          </cell>
          <cell r="D1555" t="str">
            <v>CHI</v>
          </cell>
          <cell r="E1555">
            <v>87.36</v>
          </cell>
          <cell r="F1555">
            <v>0</v>
          </cell>
        </row>
        <row r="1556">
          <cell r="B1556">
            <v>106248</v>
          </cell>
          <cell r="C1556" t="str">
            <v>CAMINHÃO TOCO, PBT 23.000 KG, CARGA ÚTIL MÁX. 16.540 KG, DIST. ENTRE EIXOS 4,8 M, POTÊNCIA 256 CV, INCLUSIVE CARROCERIA FIXA ABERTA DE MADEIRA P/ TRANSPORTE GERAL DE CARGA SECA, DIMEN. APROX. 2,6 X 12,50 X 0,50 M - CHP DIURNO. AF_10/2025</v>
          </cell>
          <cell r="D1556" t="str">
            <v>CHP</v>
          </cell>
          <cell r="E1556">
            <v>306.52</v>
          </cell>
          <cell r="F1556">
            <v>0</v>
          </cell>
        </row>
        <row r="1557">
          <cell r="B1557">
            <v>106372</v>
          </cell>
          <cell r="C1557" t="str">
            <v>CAMINHÃO TOCO, PBT 23.000 KG, CARGA ÚTIL MÁX. 16.540 KG, DIST. ENTRE EIXOS 4,80 M, POTÊNCIA 256 CV, INCLUSIVE PLATAFORMA GUINCHO-SOCORRO, COMPRIMENTO ÚTIL 10 M, LARGURA 2,60 M COM GUINCHO DE ARRASTE BASCULANTE - CHI DIURNO. AF_11/2025</v>
          </cell>
          <cell r="D1557" t="str">
            <v>CHI</v>
          </cell>
          <cell r="E1557">
            <v>0</v>
          </cell>
        </row>
        <row r="1558">
          <cell r="B1558">
            <v>106365</v>
          </cell>
          <cell r="C1558" t="str">
            <v>CAMINHÃO TOCO, PBT 23.000 KG, CARGA ÚTIL MÁX. 16.540 KG, DIST. ENTRE EIXOS 4,80 M, POTÊNCIA 256 CV, INCLUSIVE PLATAFORMA GUINCHO-SOCORRO, COMPRIMENTO ÚTIL 10 M, LARGURA 2,60 M COM GUINCHO DE ARRASTE BASCULANTE - CHP DIURNO. AF_11/2025</v>
          </cell>
          <cell r="D1558" t="str">
            <v>CHP</v>
          </cell>
          <cell r="E1558">
            <v>0</v>
          </cell>
        </row>
        <row r="1559">
          <cell r="B1559">
            <v>106370</v>
          </cell>
          <cell r="C1559" t="str">
            <v>CAMINHÃO TOCO, PBT 23.000 KG, CARGA ÚTIL MÁX. 16.540 KG, DIST. ENTRE EIXOS 4,80 M, POTÊNCIA 256 CV, INCLUSIVE PLATAFORMA SOBRE CHASSI, COMPRIMENTO ÚTIL 10 M, LARGURA 2,60 M COM GUINCHO DE ARRASTE E RAMPA COM ACIONAMENTO ELETRO-HIDRÁULICO - CHI DIURNO. AF_11/2025</v>
          </cell>
          <cell r="D1559" t="str">
            <v>CHI</v>
          </cell>
          <cell r="E1559">
            <v>0</v>
          </cell>
        </row>
        <row r="1560">
          <cell r="B1560">
            <v>106363</v>
          </cell>
          <cell r="C1560" t="str">
            <v>CAMINHÃO TOCO, PBT 23.000 KG, CARGA ÚTIL MÁX. 16.540 KG, DIST. ENTRE EIXOS 4,80 M, POTÊNCIA 256 CV, INCLUSIVE PLATAFORMA SOBRE CHASSI, COMPRIMENTO ÚTIL 10 M, LARGURA 2,60 M COM GUINCHO DE ARRASTE E RAMPA COM ACIONAMENTO ELETRO-HIDRÁULICO - CHP DIURNO. AF_11/2025</v>
          </cell>
          <cell r="D1560" t="str">
            <v>CHP</v>
          </cell>
          <cell r="E1560">
            <v>0</v>
          </cell>
        </row>
        <row r="1561">
          <cell r="B1561">
            <v>5892</v>
          </cell>
          <cell r="C1561" t="str">
            <v>CAMINHÃO TOCO, PESO BRUTO TOTAL 14.300 KG, CARGA ÚTIL MÁXIMA 9590 KG, DISTÂNCIA ENTRE EIXOS 4,76 M, POTÊNCIA 185 CV (NÃO INCLUI CARROCERIA) - CHI DIURNO. AF_06/2014</v>
          </cell>
          <cell r="D1561" t="str">
            <v>CHI</v>
          </cell>
          <cell r="E1561">
            <v>66.63</v>
          </cell>
          <cell r="F1561">
            <v>0</v>
          </cell>
        </row>
        <row r="1562">
          <cell r="B1562">
            <v>5890</v>
          </cell>
          <cell r="C1562" t="str">
            <v>CAMINHÃO TOCO, PESO BRUTO TOTAL 14.300 KG, CARGA ÚTIL MÁXIMA 9590 KG, DISTÂNCIA ENTRE EIXOS 4,76 M, POTÊNCIA 185 CV (NÃO INCLUI CARROCERIA) - CHP DIURNO. AF_06/2014</v>
          </cell>
          <cell r="D1562" t="str">
            <v>CHP</v>
          </cell>
          <cell r="E1562">
            <v>216.77</v>
          </cell>
          <cell r="F1562">
            <v>0</v>
          </cell>
        </row>
        <row r="1563">
          <cell r="B1563">
            <v>5896</v>
          </cell>
          <cell r="C1563" t="str">
            <v>CAMINHÃO TOCO, PESO BRUTO TOTAL 16.000 KG, CARGA ÚTIL MÁXIMA DE 10.685 KG, DISTÂNCIA ENTRE EIXOS 4,80 M, POTÊNCIA 189 CV EXCLUSIVE CARROCERIA - CHI DIURNO. AF_06/2014</v>
          </cell>
          <cell r="D1563" t="str">
            <v>CHI</v>
          </cell>
          <cell r="E1563">
            <v>69.489999999999995</v>
          </cell>
          <cell r="F1563">
            <v>0</v>
          </cell>
        </row>
        <row r="1564">
          <cell r="B1564">
            <v>5894</v>
          </cell>
          <cell r="C1564" t="str">
            <v>CAMINHÃO TOCO, PESO BRUTO TOTAL 16.000 KG, CARGA ÚTIL MÁXIMA DE 10.685 KG, DISTÂNCIA ENTRE EIXOS 4,80 M, POTÊNCIA 189 CV EXCLUSIVE CARROCERIA - CHP DIURNO. AF_06/2014</v>
          </cell>
          <cell r="D1564" t="str">
            <v>CHP</v>
          </cell>
          <cell r="E1564">
            <v>225.5</v>
          </cell>
          <cell r="F1564">
            <v>0</v>
          </cell>
        </row>
        <row r="1565">
          <cell r="B1565">
            <v>91032</v>
          </cell>
          <cell r="C1565" t="str">
            <v>CAMINHÃO TRUCADO (C/ TERCEIRO EIXO) ELETRÔNICO - POTÊNCIA 231CV - PBT = 22000KG - DIST. ENTRE EIXOS 5170 MM - INCLUI CARROCERIA FIXA ABERTA DE MADEIRA - CHI DIURNO. AF_06/2015</v>
          </cell>
          <cell r="D1565" t="str">
            <v>CHI</v>
          </cell>
          <cell r="E1565">
            <v>77.98</v>
          </cell>
          <cell r="F1565">
            <v>0</v>
          </cell>
        </row>
        <row r="1566">
          <cell r="B1566">
            <v>91031</v>
          </cell>
          <cell r="C1566" t="str">
            <v>CAMINHÃO TRUCADO (C/ TERCEIRO EIXO) ELETRÔNICO - POTÊNCIA 231CV - PBT = 22000KG - DIST. ENTRE EIXOS 5170 MM - INCLUI CARROCERIA FIXA ABERTA DE MADEIRA - CHP DIURNO. AF_06/2015</v>
          </cell>
          <cell r="D1566" t="str">
            <v>CHP</v>
          </cell>
          <cell r="E1566">
            <v>274.08999999999997</v>
          </cell>
          <cell r="F1566">
            <v>0</v>
          </cell>
        </row>
        <row r="1567">
          <cell r="B1567">
            <v>106255</v>
          </cell>
          <cell r="C1567" t="str">
            <v>CAVALO MECÂNICO TRAÇÃO 6X2, PBT COMBINADO 56.000 KG, CAPACIDADE MÁX. TRAÇÃO 66.000 KG, POTÊNCIA 360 CV, INCLUSIVE CARROCERIA FIXA ABERTA DE MADEIRA P/ TRANSPORTE GERAL DE CARGA SECA, DIMEN. APROX. 2,6 X 14,50 X 0,50 M - CHI DIURNO. AF_10/2025</v>
          </cell>
          <cell r="D1567" t="str">
            <v>CHI</v>
          </cell>
          <cell r="E1567">
            <v>0</v>
          </cell>
        </row>
        <row r="1568">
          <cell r="B1568">
            <v>106250</v>
          </cell>
          <cell r="C1568" t="str">
            <v>CAVALO MECÂNICO TRAÇÃO 6X2, PBT COMBINADO 56.000 KG, CAPACIDADE MÁX. TRAÇÃO 66.000 KG, POTÊNCIA 360 CV, INCLUSIVE CARROCERIA FIXA ABERTA DE MADEIRA P/ TRANSPORTE GERAL DE CARGA SECA, DIMEN. APROX. 2,6 X 14,50 X 0,50 M - CHP DIURNO. AF_10/2025</v>
          </cell>
          <cell r="D1568" t="str">
            <v>CHP</v>
          </cell>
          <cell r="E1568">
            <v>0</v>
          </cell>
        </row>
        <row r="1569">
          <cell r="B1569">
            <v>106374</v>
          </cell>
          <cell r="C1569" t="str">
            <v>CAVALO MECÂNICO TRAÇÃO 6X2, PBT COMBINADO 56.000 KG, CAPACIDADE MÁX. TRAÇÃO 66.000 KG, POTÊNCIA 360 CV, INCLUSIVE PRANCHA REBAIXADA 3 EIXOS, DIMENSÕES *17,33 X 3,00* M, COM RAMPA DE ACIONAMENTO HIDRÁULICO - CHI DIURNO. AF_11/2025</v>
          </cell>
          <cell r="D1569" t="str">
            <v>CHI</v>
          </cell>
          <cell r="E1569">
            <v>0</v>
          </cell>
        </row>
        <row r="1570">
          <cell r="B1570">
            <v>106367</v>
          </cell>
          <cell r="C1570" t="str">
            <v>CAVALO MECÂNICO TRAÇÃO 6X2, PBT COMBINADO 56.000 KG, CAPACIDADE MÁX. TRAÇÃO 66.000 KG, POTÊNCIA 360 CV, INCLUSIVE PRANCHA REBAIXADA 3 EIXOS, DIMENSÕES *17,33 X 3,00* M, COM RAMPA DE ACIONAMENTO HIDRÁULICO - CHP DIURNO. AF_11/2025</v>
          </cell>
          <cell r="D1570" t="str">
            <v>CHP</v>
          </cell>
          <cell r="E1570">
            <v>0</v>
          </cell>
        </row>
        <row r="1571">
          <cell r="B1571">
            <v>106375</v>
          </cell>
          <cell r="C1571" t="str">
            <v>CAVALO MECÂNICO TRAÇÃO 6X2, PBT COMBINADO 56.000 KG, CAPACIDADE MÁX. TRAÇÃO 66.000 KG, POTÊNCIA 360 CV, INCLUSIVE PRANCHA RETA 3 EIXOS, COMPRIMENTO ÚTIL 11,3 M, PESCOÇO DE 3,5 M, LARGURA 3,00 M, COM RAMPA DE ACIONAMENTO HIDRÁULICO - CHI DIURNO. AF_11/2025</v>
          </cell>
          <cell r="D1571" t="str">
            <v>CHI</v>
          </cell>
          <cell r="E1571">
            <v>0</v>
          </cell>
        </row>
        <row r="1572">
          <cell r="B1572">
            <v>106368</v>
          </cell>
          <cell r="C1572" t="str">
            <v>CAVALO MECÂNICO TRAÇÃO 6X2, PBT COMBINADO 56.000 KG, CAPACIDADE MÁX. TRAÇÃO 66.000 KG, POTÊNCIA 360 CV, INCLUSIVE PRANCHA RETA 3 EIXOS, COMPRIMENTO ÚTIL 11,3 M, PESCOÇO DE 3,5 M, LARGURA 3,00 M, COM RAMPA DE ACIONAMENTO HIDRÁULICO - CHP DIURNO. AF_11/2025</v>
          </cell>
          <cell r="D1572" t="str">
            <v>CHP</v>
          </cell>
          <cell r="E1572">
            <v>0</v>
          </cell>
        </row>
        <row r="1573">
          <cell r="B1573">
            <v>102817</v>
          </cell>
          <cell r="C1573" t="str">
            <v>CENTRAL DE LAMA BENTONÍTICA (DEPÓSITO DE BENTONITA, MISTURADOR DE ALTA TURBULÊNCIA, SILOS DE ARMAZENAMENTO DE LAMA E ÁGUA, LABORATÓRIO DE CONTROLE DE QUALIDADE DA LAMA) - CHI DIURNO. AF_04/2019</v>
          </cell>
          <cell r="D1573" t="str">
            <v>CHI</v>
          </cell>
          <cell r="E1573">
            <v>0</v>
          </cell>
        </row>
        <row r="1574">
          <cell r="B1574">
            <v>102816</v>
          </cell>
          <cell r="C1574" t="str">
            <v>CENTRAL DE LAMA BENTONÍTICA (DEPÓSITO DE BENTONITA, MISTURADOR DE ALTA TURBULÊNCIA, SILOS DE ARMAZENAMENTO DE LAMA E ÁGUA, LABORATÓRIO DE CONTROLE DE QUALIDADE DA LAMA) - CHP DIURNO. AF_04/2019</v>
          </cell>
          <cell r="D1574" t="str">
            <v>CHP</v>
          </cell>
          <cell r="E1574">
            <v>0</v>
          </cell>
        </row>
        <row r="1575">
          <cell r="B1575">
            <v>91534</v>
          </cell>
          <cell r="C1575" t="str">
            <v>COMPACTADOR DE SOLOS DE PERCUSSÃO (SOQUETE) COM MOTOR A GASOLINA 4 TEMPOS, POTÊNCIA 4 CV - CHI DIURNO. AF_08/2015</v>
          </cell>
          <cell r="D1575" t="str">
            <v>CHI</v>
          </cell>
          <cell r="E1575">
            <v>40.200000000000003</v>
          </cell>
          <cell r="F1575">
            <v>0</v>
          </cell>
        </row>
        <row r="1576">
          <cell r="B1576">
            <v>91533</v>
          </cell>
          <cell r="C1576" t="str">
            <v>COMPACTADOR DE SOLOS DE PERCUSSÃO (SOQUETE) COM MOTOR A GASOLINA 4 TEMPOS, POTÊNCIA 4 CV - CHP DIURNO. AF_08/2015</v>
          </cell>
          <cell r="D1576" t="str">
            <v>CHP</v>
          </cell>
          <cell r="E1576">
            <v>47.67</v>
          </cell>
          <cell r="F1576">
            <v>0</v>
          </cell>
        </row>
        <row r="1577">
          <cell r="B1577">
            <v>95265</v>
          </cell>
          <cell r="C1577" t="str">
            <v>COMPACTADOR DE SOLOS DE PERCUSÃO (SOQUETE) COM MOTOR A GASOLINA, POTÊNCIA 3 CV - CHI DIURNO. AF_09/2016</v>
          </cell>
          <cell r="D1577" t="str">
            <v>CHI</v>
          </cell>
          <cell r="E1577">
            <v>0.92</v>
          </cell>
          <cell r="F1577">
            <v>0</v>
          </cell>
        </row>
        <row r="1578">
          <cell r="B1578">
            <v>95264</v>
          </cell>
          <cell r="C1578" t="str">
            <v>COMPACTADOR DE SOLOS DE PERCUSÃO (SOQUETE) COM MOTOR A GASOLINA, POTÊNCIA 3 CV - CHP DIURNO. AF_09/2016</v>
          </cell>
          <cell r="D1578" t="str">
            <v>CHP</v>
          </cell>
          <cell r="E1578">
            <v>6.63</v>
          </cell>
          <cell r="F1578">
            <v>0</v>
          </cell>
        </row>
        <row r="1579">
          <cell r="B1579">
            <v>90973</v>
          </cell>
          <cell r="C1579" t="str">
            <v>COMPRESSOR DE AR REBOCAVEL, VAZÃO 250 PCM, PRESSAO DE TRABALHO 102 PSI, MOTOR A DIESEL POTÊNCIA 81 CV - CHI DIURNO. AF_06/2015</v>
          </cell>
          <cell r="D1579" t="str">
            <v>CHI</v>
          </cell>
          <cell r="E1579">
            <v>8.93</v>
          </cell>
          <cell r="F1579">
            <v>0</v>
          </cell>
        </row>
        <row r="1580">
          <cell r="B1580">
            <v>90972</v>
          </cell>
          <cell r="C1580" t="str">
            <v>COMPRESSOR DE AR REBOCAVEL, VAZÃO 250 PCM, PRESSAO DE TRABALHO 102 PSI, MOTOR A DIESEL POTÊNCIA 81 CV - CHP DIURNO. AF_06/2015</v>
          </cell>
          <cell r="D1580" t="str">
            <v>CHP</v>
          </cell>
          <cell r="E1580">
            <v>79.12</v>
          </cell>
          <cell r="F1580">
            <v>0</v>
          </cell>
        </row>
        <row r="1581">
          <cell r="B1581">
            <v>91001</v>
          </cell>
          <cell r="C1581" t="str">
            <v>COMPRESSOR DE AR REBOCAVEL, VAZÃO 400 PCM, PRESSAO DE TRABALHO 102 PSI, MOTOR A DIESEL POTÊNCIA 110 CV - CHI DIURNO. AF_06/2015</v>
          </cell>
          <cell r="D1581" t="str">
            <v>CHI</v>
          </cell>
          <cell r="E1581">
            <v>10.59</v>
          </cell>
          <cell r="F1581">
            <v>0</v>
          </cell>
        </row>
        <row r="1582">
          <cell r="B1582">
            <v>90999</v>
          </cell>
          <cell r="C1582" t="str">
            <v>COMPRESSOR DE AR REBOCAVEL, VAZÃO 400 PCM, PRESSAO DE TRABALHO 102 PSI, MOTOR A DIESEL POTÊNCIA 110 CV - CHP DIURNO. AF_06/2015</v>
          </cell>
          <cell r="D1582" t="str">
            <v>CHP</v>
          </cell>
          <cell r="E1582">
            <v>104.42</v>
          </cell>
          <cell r="F1582">
            <v>0</v>
          </cell>
        </row>
        <row r="1583">
          <cell r="B1583">
            <v>5954</v>
          </cell>
          <cell r="C1583" t="str">
            <v>COMPRESSOR DE AR REBOCÁVEL, VAZÃO 189 PCM, PRESSÃO EFETIVA DE TRABALHO 102 PSI, MOTOR DIESEL, POTÊNCIA 63 CV - CHI DIURNO. AF_06/2015</v>
          </cell>
          <cell r="D1583" t="str">
            <v>CHI</v>
          </cell>
          <cell r="E1583">
            <v>6.67</v>
          </cell>
          <cell r="F1583">
            <v>0</v>
          </cell>
        </row>
        <row r="1584">
          <cell r="B1584">
            <v>5953</v>
          </cell>
          <cell r="C1584" t="str">
            <v>COMPRESSOR DE AR REBOCÁVEL, VAZÃO 189 PCM, PRESSÃO EFETIVA DE TRABALHO 102 PSI, MOTOR DIESEL, POTÊNCIA 63 CV - CHP DIURNO. AF_06/2015</v>
          </cell>
          <cell r="D1584" t="str">
            <v>CHP</v>
          </cell>
          <cell r="E1584">
            <v>61</v>
          </cell>
          <cell r="F1584">
            <v>0</v>
          </cell>
        </row>
        <row r="1585">
          <cell r="B1585">
            <v>90982</v>
          </cell>
          <cell r="C1585" t="str">
            <v>COMPRESSOR DE AR REBOCÁVEL, VAZÃO 748 PCM, PRESSÃO EFETIVA DE TRABALHO 102 PSI, MOTOR DIESEL, POTÊNCIA 210 CV - CHI DIURNO. AF_06/2015</v>
          </cell>
          <cell r="D1585" t="str">
            <v>CHI</v>
          </cell>
          <cell r="E1585">
            <v>22.69</v>
          </cell>
          <cell r="F1585">
            <v>0</v>
          </cell>
        </row>
        <row r="1586">
          <cell r="B1586">
            <v>90979</v>
          </cell>
          <cell r="C1586" t="str">
            <v>COMPRESSOR DE AR REBOCÁVEL, VAZÃO 748 PCM, PRESSÃO EFETIVA DE TRABALHO 102 PSI, MOTOR DIESEL, POTÊNCIA 210 CV - CHP DIURNO. AF_06/2015</v>
          </cell>
          <cell r="D1586" t="str">
            <v>CHP</v>
          </cell>
          <cell r="E1586">
            <v>204.33</v>
          </cell>
          <cell r="F1586">
            <v>0</v>
          </cell>
        </row>
        <row r="1587">
          <cell r="B1587">
            <v>90965</v>
          </cell>
          <cell r="C1587" t="str">
            <v>COMPRESSOR DE AR REBOCÁVEL, VAZÃO 89 PCM, PRESSÃO EFETIVA DE TRABALHO 102 PSI, MOTOR DIESEL, POTÊNCIA 20 CV - CHI DIURNO. AF_06/2015</v>
          </cell>
          <cell r="D1587" t="str">
            <v>CHI</v>
          </cell>
          <cell r="E1587">
            <v>8.9</v>
          </cell>
          <cell r="F1587">
            <v>0</v>
          </cell>
        </row>
        <row r="1588">
          <cell r="B1588">
            <v>90964</v>
          </cell>
          <cell r="C1588" t="str">
            <v>COMPRESSOR DE AR REBOCÁVEL, VAZÃO 89 PCM, PRESSÃO EFETIVA DE TRABALHO 102 PSI, MOTOR DIESEL, POTÊNCIA 20 CV - CHP DIURNO. AF_06/2015</v>
          </cell>
          <cell r="D1588" t="str">
            <v>CHP</v>
          </cell>
          <cell r="E1588">
            <v>32.840000000000003</v>
          </cell>
          <cell r="F1588">
            <v>0</v>
          </cell>
        </row>
        <row r="1589">
          <cell r="B1589">
            <v>102970</v>
          </cell>
          <cell r="C1589" t="str">
            <v>COMPRESSOR DE AR, VAZAO DE 10 PCM, RESERVATORIO 100 L, PRESSAO DE TRABALHO ENTRE 6,9 E 9,7 BAR POTENCIA 2 HP, TENSAO 110/220 V - CHI DIURNO. AF_05/2023</v>
          </cell>
          <cell r="D1589" t="str">
            <v>CHI</v>
          </cell>
          <cell r="E1589">
            <v>0.2</v>
          </cell>
          <cell r="F1589">
            <v>0</v>
          </cell>
        </row>
        <row r="1590">
          <cell r="B1590">
            <v>102971</v>
          </cell>
          <cell r="C1590" t="str">
            <v>COMPRESSOR DE AR, VAZAO DE 10 PCM, RESERVATORIO 100 L, PRESSAO DE TRABALHO ENTRE 6,9 E 9,7 BAR, POTENCIA 2 HP, TENSAO 110/220 V - CHP DIURNO. AF_05/2023</v>
          </cell>
          <cell r="D1590" t="str">
            <v>CHP</v>
          </cell>
          <cell r="E1590">
            <v>0.49</v>
          </cell>
          <cell r="F1590">
            <v>0</v>
          </cell>
        </row>
        <row r="1591">
          <cell r="B1591">
            <v>102822</v>
          </cell>
          <cell r="C1591" t="str">
            <v>CONJUNTO CILINDRO E BOMBA HIDRÁULICA PARA PROTENSÃO DE MONOBARRAS PARA TIRANTES, ESFORÇO MÁXIMO DE 30 TONELADAS - CHI DIURNO. AF_05/2023</v>
          </cell>
          <cell r="D1591" t="str">
            <v>CHI</v>
          </cell>
          <cell r="E1591">
            <v>0</v>
          </cell>
        </row>
        <row r="1592">
          <cell r="B1592">
            <v>102821</v>
          </cell>
          <cell r="C1592" t="str">
            <v>CONJUNTO CILINDRO E BOMBA HIDRÁULICA PARA PROTENSÃO DE MONOBARRAS PARA TIRANTES, ESFORÇO MÁXIMO DE 30 TONELADAS - CHP DIURNO. AF_05/2023</v>
          </cell>
          <cell r="D1592" t="str">
            <v>CHP</v>
          </cell>
          <cell r="E1592">
            <v>0</v>
          </cell>
        </row>
        <row r="1593">
          <cell r="B1593">
            <v>102828</v>
          </cell>
          <cell r="C1593" t="str">
            <v>CONJUNTO MACACO E BOMBA HIDRÁULICA PARA PROTENSAO DE CORDOALHAS, ESFORÇO MAXIMO DE 115 TONELADAS - CHI DIURNO. AF_05/2023</v>
          </cell>
          <cell r="D1593" t="str">
            <v>CHI</v>
          </cell>
          <cell r="E1593">
            <v>0</v>
          </cell>
        </row>
        <row r="1594">
          <cell r="B1594">
            <v>102827</v>
          </cell>
          <cell r="C1594" t="str">
            <v>CONJUNTO MACACO E BOMBA HIDRÁULICA PARA PROTENSAO DE CORDOALHAS, ESFORÇO MAXIMO DE 115 TONELADAS - CHP DIURNO. AF_05/2023</v>
          </cell>
          <cell r="D1594" t="str">
            <v>CHP</v>
          </cell>
          <cell r="E1594">
            <v>0</v>
          </cell>
        </row>
        <row r="1595">
          <cell r="B1595">
            <v>103939</v>
          </cell>
          <cell r="C1595" t="str">
            <v>CONJUNTO MACACO HIDRÁULICO E CENTRAL DE BOMBEAMENTO MOTORIZADO 1,8 KW PARA PROTENSÃO DE MONOCABOS PARA CONCRETO PROTENDIDO, ESFORÇO MÁXIMO DE 20 TONELADAS - CHI DIURNO. AF_05/2022</v>
          </cell>
          <cell r="D1595" t="str">
            <v>CHI</v>
          </cell>
          <cell r="E1595">
            <v>0</v>
          </cell>
        </row>
        <row r="1596">
          <cell r="B1596">
            <v>103938</v>
          </cell>
          <cell r="C1596" t="str">
            <v>CONJUNTO MACACO HIDRÁULICO E CENTRAL DE BOMBEAMENTO MOTORIZADO 1,8 KW PARA PROTENSÃO DE MONOCABOS PARA CONCRETO PROTENDIDO, ESFORÇO MÁXIMO DE 20 TONELADAS - CHP DIURNO. AF_05/2022</v>
          </cell>
          <cell r="D1596" t="str">
            <v>CHP</v>
          </cell>
          <cell r="E1596">
            <v>0</v>
          </cell>
        </row>
        <row r="1597">
          <cell r="B1597">
            <v>103945</v>
          </cell>
          <cell r="C1597" t="str">
            <v>CONJUNTO MACACO HIDRÁULICO E CENTRAL DE BOMBEAMENTO MOTORIZADO 1,8 KW PARA PROTENSÃO DE MONOCABOS PARA CONCRETO PROTENDIDO, ESFORÇO MÁXIMO DE 30 TONELADAS - CHI DIURNO. AF_05/2022</v>
          </cell>
          <cell r="D1597" t="str">
            <v>CHI</v>
          </cell>
          <cell r="E1597">
            <v>0</v>
          </cell>
        </row>
        <row r="1598">
          <cell r="B1598">
            <v>103944</v>
          </cell>
          <cell r="C1598" t="str">
            <v>CONJUNTO MACACO HIDRÁULICO E CENTRAL DE BOMBEAMENTO MOTORIZADO 1,8 KW PARA PROTENSÃO DE MONOCABOS PARA CONCRETO PROTENDIDO, ESFORÇO MÁXIMO DE 30 TONELADAS - CHP DIURNO. AF_05/2022</v>
          </cell>
          <cell r="D1598" t="str">
            <v>CHP</v>
          </cell>
          <cell r="E1598">
            <v>0</v>
          </cell>
        </row>
        <row r="1599">
          <cell r="B1599">
            <v>106416</v>
          </cell>
          <cell r="C1599" t="str">
            <v>CORTADEIRA HIDRÁULICA DE VERGALHÃO, PARA AÇO DE DIÂMETRO ATÉ 50 MM, MOTOR ELÉTRICO TRIFÁSICO, POTÊNCIA DE 5,5 HP A 7,5 HP - CHI DIURNO. AF_12/2025</v>
          </cell>
          <cell r="D1599" t="str">
            <v>CHI</v>
          </cell>
          <cell r="E1599">
            <v>11.91</v>
          </cell>
          <cell r="F1599">
            <v>0</v>
          </cell>
        </row>
        <row r="1600">
          <cell r="B1600">
            <v>106414</v>
          </cell>
          <cell r="C1600" t="str">
            <v>CORTADEIRA HIDRÁULICA DE VERGALHÃO, PARA AÇO DE DIÂMETRO ATÉ 50 MM, MOTOR ELÉTRICO TRIFÁSICO, POTÊNCIA DE 5,5 HP A 7,5 HP - CHP DIURNO. AF_12/2025</v>
          </cell>
          <cell r="D1600" t="str">
            <v>CHP</v>
          </cell>
          <cell r="E1600">
            <v>22.35</v>
          </cell>
          <cell r="F1600">
            <v>0</v>
          </cell>
        </row>
        <row r="1601">
          <cell r="B1601">
            <v>91285</v>
          </cell>
          <cell r="C1601" t="str">
            <v>CORTADORA DE PISO COM MOTOR 4 TEMPOS A GASOLINA, POTÊNCIA DE 13 HP, COM DISCO DE CORTE DIAMANTADO SEGMENTADO PARA CONCRETO, DIÂMETRO DE 350 MM, FURO DE 1" (14 X 1") - CHI DIURNO. AF_08/2015</v>
          </cell>
          <cell r="D1601" t="str">
            <v>CHI</v>
          </cell>
          <cell r="E1601">
            <v>0.48</v>
          </cell>
          <cell r="F1601">
            <v>0</v>
          </cell>
        </row>
        <row r="1602">
          <cell r="B1602">
            <v>91283</v>
          </cell>
          <cell r="C1602" t="str">
            <v>CORTADORA DE PISO COM MOTOR 4 TEMPOS A GASOLINA, POTÊNCIA DE 13 HP, COM DISCO DE CORTE DIAMANTADO SEGMENTADO PARA CONCRETO, DIÂMETRO DE 350 MM, FURO DE 1" (14 X 1") - CHP DIURNO. AF_08/2015</v>
          </cell>
          <cell r="D1602" t="str">
            <v>CHP</v>
          </cell>
          <cell r="E1602">
            <v>9.91</v>
          </cell>
          <cell r="F1602">
            <v>0</v>
          </cell>
        </row>
        <row r="1603">
          <cell r="B1603">
            <v>95283</v>
          </cell>
          <cell r="C1603" t="str">
            <v>DESEMPENADEIRA DE CONCRETO, PESO DE 78 KG, 4 PÁS, MOTOR A GASOLINA, POTÊNCIA 5,5 HP - CHI DIURNO. AF_05/2023</v>
          </cell>
          <cell r="D1603" t="str">
            <v>CHI</v>
          </cell>
          <cell r="E1603">
            <v>0.88</v>
          </cell>
          <cell r="F1603">
            <v>0</v>
          </cell>
        </row>
        <row r="1604">
          <cell r="B1604">
            <v>95282</v>
          </cell>
          <cell r="C1604" t="str">
            <v>DESEMPENADEIRA DE CONCRETO, PESO DE 78 KG, 4 PÁS, MOTOR A GASOLINA, POTÊNCIA 5,5 HP - CHP DIURNO. AF_05/2023</v>
          </cell>
          <cell r="D1604" t="str">
            <v>CHP</v>
          </cell>
          <cell r="E1604">
            <v>10.46</v>
          </cell>
          <cell r="F1604">
            <v>0</v>
          </cell>
        </row>
        <row r="1605">
          <cell r="B1605">
            <v>95128</v>
          </cell>
          <cell r="C1605" t="str">
            <v>DISTRIBUIDOR DE AGREGADOS AUTOPROPELIDO, CAP 3 M3, A DIESEL, POTÊNCIA 176CV - CHI DIURNO. AF_07/2016</v>
          </cell>
          <cell r="D1605" t="str">
            <v>CHI</v>
          </cell>
          <cell r="E1605">
            <v>65.63</v>
          </cell>
          <cell r="F1605">
            <v>0</v>
          </cell>
        </row>
        <row r="1606">
          <cell r="B1606">
            <v>95127</v>
          </cell>
          <cell r="C1606" t="str">
            <v>DISTRIBUIDOR DE AGREGADOS AUTOPROPELIDO, CAP 3 M3, A DIESEL, POTÊNCIA 176CV - CHP DIURNO. AF_07/2016</v>
          </cell>
          <cell r="D1606" t="str">
            <v>CHP</v>
          </cell>
          <cell r="E1606">
            <v>236.98</v>
          </cell>
          <cell r="F1606">
            <v>0</v>
          </cell>
        </row>
        <row r="1607">
          <cell r="B1607">
            <v>92044</v>
          </cell>
          <cell r="C1607" t="str">
            <v>DISTRIBUIDOR DE AGREGADOS REBOCAVEL, CAPACIDADE 1,9 M³, LARGURA DE TRABALHO 3,66 M - CHI DIURNO. AF_11/2015</v>
          </cell>
          <cell r="D1607" t="str">
            <v>CHI</v>
          </cell>
          <cell r="E1607">
            <v>8.8699999999999992</v>
          </cell>
          <cell r="F1607">
            <v>0</v>
          </cell>
        </row>
        <row r="1608">
          <cell r="B1608">
            <v>92043</v>
          </cell>
          <cell r="C1608" t="str">
            <v>DISTRIBUIDOR DE AGREGADOS REBOCAVEL, CAPACIDADE 1,9 M³, LARGURA DE TRABALHO 3,66 M - CHP DIURNO. AF_11/2015</v>
          </cell>
          <cell r="D1608" t="str">
            <v>CHP</v>
          </cell>
          <cell r="E1608">
            <v>15</v>
          </cell>
          <cell r="F1608">
            <v>0</v>
          </cell>
        </row>
        <row r="1609">
          <cell r="B1609">
            <v>106417</v>
          </cell>
          <cell r="C1609" t="str">
            <v>DOBRADEIRA ELETROMECÂNICA DE VERGALHÃO, PARA AÇO DE DIÂMETRO ATÉ 1 1/2", MOTOR ELÉTRICO TRIFÁSICO, POTÊNCIA DE 3 HP ATÉ 5 HP- CHI DIURNO. AF_12/2025</v>
          </cell>
          <cell r="D1609" t="str">
            <v>CHI</v>
          </cell>
          <cell r="E1609">
            <v>6.78</v>
          </cell>
          <cell r="F1609">
            <v>0</v>
          </cell>
        </row>
        <row r="1610">
          <cell r="B1610">
            <v>106415</v>
          </cell>
          <cell r="C1610" t="str">
            <v>DOBRADEIRA ELETROMECÂNICA DE VERGALHÃO, PARA AÇO DE DIÂMETRO ATÉ 1 1/2", MOTOR ELÉTRICO TRIFÁSICO, POTÊNCIA DE 3 HP ATÉ 5 HP- CHP DIURNO. AF_12/2025</v>
          </cell>
          <cell r="D1610" t="str">
            <v>CHP</v>
          </cell>
          <cell r="E1610">
            <v>14.19</v>
          </cell>
          <cell r="F1610">
            <v>0</v>
          </cell>
        </row>
        <row r="1611">
          <cell r="B1611">
            <v>102834</v>
          </cell>
          <cell r="C1611" t="str">
            <v>DOBRADEIRA TDC, ESPESSURA 1,5MM - CHI DIURNO. AF_05/2023</v>
          </cell>
          <cell r="D1611" t="str">
            <v>CHI</v>
          </cell>
          <cell r="E1611">
            <v>0</v>
          </cell>
        </row>
        <row r="1612">
          <cell r="B1612">
            <v>102833</v>
          </cell>
          <cell r="C1612" t="str">
            <v>DOBRADEIRA TDC, ESPESSURA 1,5MM - CHP DIURNO. AF_05/2023</v>
          </cell>
          <cell r="D1612" t="str">
            <v>CHP</v>
          </cell>
          <cell r="E1612">
            <v>0</v>
          </cell>
        </row>
        <row r="1613">
          <cell r="B1613">
            <v>92119</v>
          </cell>
          <cell r="C1613" t="str">
            <v>DOSADOR DE AREIA, CAPACIDADE DE 26 LITROS - CHI DIURNO. AF_05/2023</v>
          </cell>
          <cell r="D1613" t="str">
            <v>CHI</v>
          </cell>
          <cell r="E1613">
            <v>0.3</v>
          </cell>
          <cell r="F1613">
            <v>0</v>
          </cell>
        </row>
        <row r="1614">
          <cell r="B1614">
            <v>92118</v>
          </cell>
          <cell r="C1614" t="str">
            <v>DOSADOR DE AREIA, CAPACIDADE DE 26 LITROS - CHP DIURNO. AF_05/2023</v>
          </cell>
          <cell r="D1614" t="str">
            <v>CHP</v>
          </cell>
          <cell r="E1614">
            <v>0.47</v>
          </cell>
          <cell r="F1614">
            <v>0</v>
          </cell>
        </row>
        <row r="1615">
          <cell r="B1615">
            <v>102917</v>
          </cell>
          <cell r="C1615" t="str">
            <v>ENCERADEIRA INDUSTRIAL, 400 MM, 220V, 1 HP - CHI DIURNO. AF_05/2023</v>
          </cell>
          <cell r="D1615" t="str">
            <v>CHI</v>
          </cell>
          <cell r="E1615">
            <v>0</v>
          </cell>
        </row>
        <row r="1616">
          <cell r="B1616">
            <v>102916</v>
          </cell>
          <cell r="C1616" t="str">
            <v>ENCERADEIRA INDUSTRIAL, 400 MM, 220V, 1 HP - CHP DIURNO. AF_05/2023</v>
          </cell>
          <cell r="D1616" t="str">
            <v>CHP</v>
          </cell>
          <cell r="E1616">
            <v>0</v>
          </cell>
        </row>
        <row r="1617">
          <cell r="B1617">
            <v>95721</v>
          </cell>
          <cell r="C1617" t="str">
            <v>ESCAVADEIRA HIDRAULICA SOBRE ESTEIRA, EQUIPADA COM CLAMSHELL, COM CAPACIDADE DA CAÇAMBA ENTRE 1,20 E 1,50 M3, PESO OPERACIONAL ENTRE 20,00 E 22,00 TON, POTENCIA LIQUIDA ENTRE 150 E 160 HP - CHI DIURNO. AF_11/2016</v>
          </cell>
          <cell r="D1617" t="str">
            <v>CHI</v>
          </cell>
          <cell r="E1617">
            <v>129.69999999999999</v>
          </cell>
          <cell r="F1617">
            <v>0</v>
          </cell>
        </row>
        <row r="1618">
          <cell r="B1618">
            <v>95720</v>
          </cell>
          <cell r="C1618" t="str">
            <v>ESCAVADEIRA HIDRAULICA SOBRE ESTEIRA, EQUIPADA COM CLAMSHELL, COM CAPACIDADE DA CAÇAMBA ENTRE 1,20 E 1,50 M3, PESO OPERACIONAL ENTRE 20,00 E 22,00 TON, POTENCIA LIQUIDA ENTRE 150 E 160 HP - CHP DIURNO. AF_11/2016</v>
          </cell>
          <cell r="D1618" t="str">
            <v>CHP</v>
          </cell>
          <cell r="E1618">
            <v>302.91000000000003</v>
          </cell>
          <cell r="F1618">
            <v>0</v>
          </cell>
        </row>
        <row r="1619">
          <cell r="B1619">
            <v>104717</v>
          </cell>
          <cell r="C1619" t="str">
            <v>ESCAVADEIRA HIDRÁULICA DE BRAÇO LONGO (LONGO ALCANCE) SOBRE ESTEIRAS, CAÇAMBA 0,52 M3, PESO OPERACIONAL 24 T, POTÊNCIA LÍQUIDA 155 HP - CHI DIURNO. AF_06/2023</v>
          </cell>
          <cell r="D1619" t="str">
            <v>CHI</v>
          </cell>
          <cell r="E1619">
            <v>124.71</v>
          </cell>
          <cell r="F1619">
            <v>0</v>
          </cell>
        </row>
        <row r="1620">
          <cell r="B1620">
            <v>104716</v>
          </cell>
          <cell r="C1620" t="str">
            <v>ESCAVADEIRA HIDRÁULICA DE BRAÇO LONGO (LONGO ALCANCE) SOBRE ESTEIRAS, CAÇAMBA 0,52 M3, PESO OPERACIONAL 24 T, POTÊNCIA LÍQUIDA 155 HP - CHP DIURNO. AF_06/2023</v>
          </cell>
          <cell r="D1620" t="str">
            <v>CHP</v>
          </cell>
          <cell r="E1620">
            <v>292.99</v>
          </cell>
          <cell r="F1620">
            <v>0</v>
          </cell>
        </row>
        <row r="1621">
          <cell r="B1621">
            <v>106399</v>
          </cell>
          <cell r="C1621" t="str">
            <v>ESCAVADEIRA HIDRÁULICA SOBRE ESTEIRA, PESO OPERACIONAL 21,00 T, POTÊNCIA NOMINAL 155 HP, COM MARTELO VIBRATÓRIO HIDRÁULICO *1200 A 2200* KG - CHI DIURNO. AF_11/2025</v>
          </cell>
          <cell r="D1621" t="str">
            <v>CHI</v>
          </cell>
          <cell r="E1621">
            <v>0</v>
          </cell>
        </row>
        <row r="1622">
          <cell r="B1622">
            <v>106398</v>
          </cell>
          <cell r="C1622" t="str">
            <v>ESCAVADEIRA HIDRÁULICA SOBRE ESTEIRA, PESO OPERACIONAL 21,00 T, POTÊNCIA NOMINAL 155 HP, COM MARTELO VIBRATÓRIO HIDRÁULICO *1200 A 2200* KG - CHP DIURNO. AF_11/2025</v>
          </cell>
          <cell r="D1622" t="str">
            <v>CHP</v>
          </cell>
          <cell r="E1622">
            <v>0</v>
          </cell>
        </row>
        <row r="1623">
          <cell r="B1623">
            <v>106405</v>
          </cell>
          <cell r="C1623" t="str">
            <v>ESCAVADEIRA HIDRÁULICA SOBRE ESTEIRA, PESO OPERACIONAL 21,00 T, POTÊNCIA NOMINAL 155 HP, COM TORRE DE CRAVAÇÃO PARA EXECUÇÃO DE GEODRENO VERTICAL, LANÇA DE 32 M, PARA DRENO FIBROQUÍMICO DE LARGURA PADRÃO (100 MM) - CHI DIURNO. AF_12/2025</v>
          </cell>
          <cell r="D1623" t="str">
            <v>CHI</v>
          </cell>
          <cell r="E1623">
            <v>0</v>
          </cell>
        </row>
        <row r="1624">
          <cell r="B1624">
            <v>106404</v>
          </cell>
          <cell r="C1624" t="str">
            <v>ESCAVADEIRA HIDRÁULICA SOBRE ESTEIRA, PESO OPERACIONAL 21,00 T, POTÊNCIA NOMINAL 155 HP, COM TORRE DE CRAVAÇÃO PARA EXECUÇÃO DE GEODRENO VERTICAL, LANÇA DE 32 M, PARA DRENO FIBROQUÍMICO DE LARGURA PADRÃO (100 MM)- CHP DIURNO. AF_12/2025</v>
          </cell>
          <cell r="D1624" t="str">
            <v>CHP</v>
          </cell>
          <cell r="E1624">
            <v>0</v>
          </cell>
        </row>
        <row r="1625">
          <cell r="B1625">
            <v>102899</v>
          </cell>
          <cell r="C1625" t="str">
            <v>ESCAVADEIRA HIDRÁULICA SOBRE ESTEIRA, PESO OPERACIONAL ENTRE 22,00 E 23,50 T, POTÊNCIA NOMINAL 139 HP, COM MARTELO ROMPEDOR HIDRÁULICO 1700 KG - CHI DIURNO. AF_04/2019</v>
          </cell>
          <cell r="D1625" t="str">
            <v>CHI</v>
          </cell>
          <cell r="E1625">
            <v>0</v>
          </cell>
        </row>
        <row r="1626">
          <cell r="B1626">
            <v>102898</v>
          </cell>
          <cell r="C1626" t="str">
            <v>ESCAVADEIRA HIDRÁULICA SOBRE ESTEIRA, PESO OPERACIONAL ENTRE 22,00 E 23,50 T, POTÊNCIA NOMINAL 139 HP, COM MARTELO ROMPEDOR HIDRÁULICO 1700 KG - CHP DIURNO. AF_04/2019</v>
          </cell>
          <cell r="D1626" t="str">
            <v>CHP</v>
          </cell>
          <cell r="E1626">
            <v>0</v>
          </cell>
        </row>
        <row r="1627">
          <cell r="B1627">
            <v>5632</v>
          </cell>
          <cell r="C1627" t="str">
            <v>ESCAVADEIRA HIDRÁULICA SOBRE ESTEIRAS, CAÇAMBA 0,80 M3, PESO OPERACIONAL 17 T, POTENCIA BRUTA 111 HP - CHI DIURNO. AF_06/2014</v>
          </cell>
          <cell r="D1627" t="str">
            <v>CHI</v>
          </cell>
          <cell r="E1627">
            <v>106.62</v>
          </cell>
          <cell r="F1627">
            <v>0</v>
          </cell>
        </row>
        <row r="1628">
          <cell r="B1628">
            <v>5631</v>
          </cell>
          <cell r="C1628" t="str">
            <v>ESCAVADEIRA HIDRÁULICA SOBRE ESTEIRAS, CAÇAMBA 0,80 M3, PESO OPERACIONAL 17 T, POTENCIA BRUTA 111 HP - CHP DIURNO. AF_06/2014</v>
          </cell>
          <cell r="D1628" t="str">
            <v>CHP</v>
          </cell>
          <cell r="E1628">
            <v>231.19</v>
          </cell>
          <cell r="F1628">
            <v>0</v>
          </cell>
        </row>
        <row r="1629">
          <cell r="B1629">
            <v>88908</v>
          </cell>
          <cell r="C1629" t="str">
            <v>ESCAVADEIRA HIDRÁULICA SOBRE ESTEIRAS, CAÇAMBA 1,20 M3, PESO OPERACIONAL 21 T, POTÊNCIA BRUTA 155 HP - CHI DIURNO. AF_06/2014</v>
          </cell>
          <cell r="D1629" t="str">
            <v>CHI</v>
          </cell>
          <cell r="E1629">
            <v>114.51</v>
          </cell>
          <cell r="F1629">
            <v>0</v>
          </cell>
        </row>
        <row r="1630">
          <cell r="B1630">
            <v>88907</v>
          </cell>
          <cell r="C1630" t="str">
            <v>ESCAVADEIRA HIDRÁULICA SOBRE ESTEIRAS, CAÇAMBA 1,20 M3, PESO OPERACIONAL 21 T, POTÊNCIA BRUTA 155 HP - CHP DIURNO. AF_06/2014</v>
          </cell>
          <cell r="D1630" t="str">
            <v>CHP</v>
          </cell>
          <cell r="E1630">
            <v>272.7</v>
          </cell>
          <cell r="F1630">
            <v>0</v>
          </cell>
        </row>
        <row r="1631">
          <cell r="B1631">
            <v>5911</v>
          </cell>
          <cell r="C1631" t="str">
            <v>ESPARGIDOR DE ASFALTO PRESSURIZADO COM TANQUE DE 2500 L, REBOCÁVEL COM MOTOR A GASOLINA POTÊNCIA 3,4 HP - CHI DIURNO. AF_07/2014</v>
          </cell>
          <cell r="D1631" t="str">
            <v>CHI</v>
          </cell>
          <cell r="E1631">
            <v>36.82</v>
          </cell>
          <cell r="F1631">
            <v>0</v>
          </cell>
        </row>
        <row r="1632">
          <cell r="B1632">
            <v>5909</v>
          </cell>
          <cell r="C1632" t="str">
            <v>ESPARGIDOR DE ASFALTO PRESSURIZADO COM TANQUE DE 2500 L, REBOCÁVEL COM MOTOR A GASOLINA POTÊNCIA 3,4 HP - CHP DIURNO. AF_07/2014</v>
          </cell>
          <cell r="D1632" t="str">
            <v>CHP</v>
          </cell>
          <cell r="E1632">
            <v>45.04</v>
          </cell>
          <cell r="F1632">
            <v>0</v>
          </cell>
        </row>
        <row r="1633">
          <cell r="B1633">
            <v>91486</v>
          </cell>
          <cell r="C1633" t="str">
            <v>ESPARGIDOR DE ASFALTO PRESSURIZADO, TANQUE 6 M3 COM ISOLAÇÃO TÉRMICA, AQUECIDO COM 2 MAÇARICOS, COM BARRA ESPARGIDORA 3,60 M, MONTADO SOBRE CAMINHÃO TOCO, PBT 14.300 KG, POTÊNCIA 185 CV - CHI DIURNO. AF_05/2023</v>
          </cell>
          <cell r="D1633" t="str">
            <v>CHI</v>
          </cell>
          <cell r="E1633">
            <v>79.930000000000007</v>
          </cell>
          <cell r="F1633">
            <v>0</v>
          </cell>
        </row>
        <row r="1634">
          <cell r="B1634">
            <v>83362</v>
          </cell>
          <cell r="C1634" t="str">
            <v>ESPARGIDOR DE ASFALTO PRESSURIZADO, TANQUE 6 M3 COM ISOLAÇÃO TÉRMICA, AQUECIDO COM 2 MAÇARICOS, COM BARRA ESPARGIDORA 3,60 M, MONTADO SOBRE CAMINHÃO TOCO, PBT 14.300 KG, POTÊNCIA 185 CV - CHP DIURNO. AF_05/2023</v>
          </cell>
          <cell r="D1634" t="str">
            <v>CHP</v>
          </cell>
          <cell r="E1634">
            <v>282.47000000000003</v>
          </cell>
          <cell r="F1634">
            <v>0</v>
          </cell>
        </row>
        <row r="1635">
          <cell r="B1635">
            <v>102839</v>
          </cell>
          <cell r="C1635" t="str">
            <v>ESTABILIZADOR DE LINHA E PRESSÃO, CAPACIDADE DE 120 BAR, COM MANÔMETRO DE LEITURA, REGISTRO DE 1 COM RETORNO E LINHA - CHI DIURNO. AF_05/2023</v>
          </cell>
          <cell r="D1635" t="str">
            <v>CHI</v>
          </cell>
          <cell r="E1635">
            <v>0</v>
          </cell>
        </row>
        <row r="1636">
          <cell r="B1636">
            <v>102838</v>
          </cell>
          <cell r="C1636" t="str">
            <v>ESTABILIZADOR DE LINHA E PRESSÃO, CAPACIDADE DE 120 BAR, COM MANÔMETRO DE LEITURA, REGISTRO DE 1 COM RETORNO E LINHA - CHP DIURNO. AF_05/2023</v>
          </cell>
          <cell r="D1636" t="str">
            <v>CHP</v>
          </cell>
          <cell r="E1636">
            <v>0</v>
          </cell>
        </row>
        <row r="1637">
          <cell r="B1637">
            <v>89235</v>
          </cell>
          <cell r="C1637" t="str">
            <v>FRESADORA DE ASFALTO A FRIO SOBRE RODAS, LARGURA FRESAGEM DE 1,0 M, POTÊNCIA 208 HP - CHI DIURNO. AF_11/2014</v>
          </cell>
          <cell r="D1637" t="str">
            <v>CHI</v>
          </cell>
          <cell r="E1637">
            <v>200.14</v>
          </cell>
          <cell r="F1637">
            <v>0</v>
          </cell>
        </row>
        <row r="1638">
          <cell r="B1638">
            <v>89234</v>
          </cell>
          <cell r="C1638" t="str">
            <v>FRESADORA DE ASFALTO A FRIO SOBRE RODAS, LARGURA FRESAGEM DE 1,0 M, POTÊNCIA 208 HP - CHP DIURNO. AF_11/2014</v>
          </cell>
          <cell r="D1638" t="str">
            <v>CHP</v>
          </cell>
          <cell r="E1638">
            <v>592.37</v>
          </cell>
          <cell r="F1638">
            <v>0</v>
          </cell>
        </row>
        <row r="1639">
          <cell r="B1639">
            <v>89243</v>
          </cell>
          <cell r="C1639" t="str">
            <v>FRESADORA DE ASFALTO A FRIO SOBRE RODAS, LARGURA FRESAGEM DE 2,0 M, POTÊNCIA 550 HP - CHI DIURNO. AF_11/2014</v>
          </cell>
          <cell r="D1639" t="str">
            <v>CHI</v>
          </cell>
          <cell r="E1639">
            <v>418.29</v>
          </cell>
          <cell r="F1639">
            <v>0</v>
          </cell>
        </row>
        <row r="1640">
          <cell r="B1640">
            <v>89242</v>
          </cell>
          <cell r="C1640" t="str">
            <v>FRESADORA DE ASFALTO A FRIO SOBRE RODAS, LARGURA FRESAGEM DE 2,0 M, POTÊNCIA 550 HP - CHP DIURNO. AF_11/2014</v>
          </cell>
          <cell r="D1640" t="str">
            <v>CHP</v>
          </cell>
          <cell r="E1640">
            <v>1386.77</v>
          </cell>
          <cell r="F1640">
            <v>0</v>
          </cell>
        </row>
        <row r="1641">
          <cell r="B1641">
            <v>102935</v>
          </cell>
          <cell r="C1641" t="str">
            <v>FURADEIRA ELETROMAGNÉTICA, VELOCIDADE (SEM CARGA/ COM CARGA) 450/ 270 RPM, ESPESSURA MÁXIMA DA CHAPA A SER FURADA 50 MM, PORÇA DE ADESÃO MAGNÉTICA 17000 N, POTÊNCIA 1100 W, ALIMENTÇÃO 220 - 60 HZ, MONOFÁSICA - CHI DIURNO. AF_08/2019</v>
          </cell>
          <cell r="D1641" t="str">
            <v>CHI</v>
          </cell>
          <cell r="E1641">
            <v>0</v>
          </cell>
        </row>
        <row r="1642">
          <cell r="B1642">
            <v>102934</v>
          </cell>
          <cell r="C1642" t="str">
            <v>FURADEIRA ELETROMAGNÉTICA, VELOCIDADE (SEM CARGA/ COM CARGA) 450/ 270 RPM, ESPESSURA MÁXIMA DA CHAPA A SER FURADA 50 MM, PORÇA DE ADESÃO MAGNÉTICA 17000 N, POTÊNCIA 1100 W, ALIMENTÇÃO 220 - 60 HZ, MONOFÁSICA - CHP DIURNO. AF_08/2019</v>
          </cell>
          <cell r="D1642" t="str">
            <v>CHP</v>
          </cell>
          <cell r="E1642">
            <v>0</v>
          </cell>
        </row>
        <row r="1643">
          <cell r="B1643">
            <v>93416</v>
          </cell>
          <cell r="C1643" t="str">
            <v>GERADOR PORTÁTIL MONOFÁSICO, POTÊNCIA 5500 VA, MOTOR A GASOLINA, POTÊNCIA DO MOTOR 13 CV - CHI DIURNO. AF_03/2016</v>
          </cell>
          <cell r="D1643" t="str">
            <v>CHI</v>
          </cell>
          <cell r="E1643">
            <v>0.5</v>
          </cell>
          <cell r="F1643">
            <v>0</v>
          </cell>
        </row>
        <row r="1644">
          <cell r="B1644">
            <v>93415</v>
          </cell>
          <cell r="C1644" t="str">
            <v>GERADOR PORTÁTIL MONOFÁSICO, POTÊNCIA 5500 VA, MOTOR A GASOLINA, POTÊNCIA DO MOTOR 13 CV - CHP DIURNO. AF_03/2016</v>
          </cell>
          <cell r="D1644" t="str">
            <v>CHP</v>
          </cell>
          <cell r="E1644">
            <v>12.04</v>
          </cell>
          <cell r="F1644">
            <v>0</v>
          </cell>
        </row>
        <row r="1645">
          <cell r="B1645">
            <v>5689</v>
          </cell>
          <cell r="C1645" t="str">
            <v>GRADE DE DISCO CONTROLE REMOTO REBOCÁVEL, COM 24 DISCOS 24 X 6 MM COM PNEUS PARA TRANSPORTE - CHP DIURNO. AF_06/2014</v>
          </cell>
          <cell r="D1645" t="str">
            <v>CHP</v>
          </cell>
          <cell r="E1645">
            <v>6.32</v>
          </cell>
          <cell r="F1645">
            <v>0</v>
          </cell>
        </row>
        <row r="1646">
          <cell r="B1646">
            <v>5690</v>
          </cell>
          <cell r="C1646" t="str">
            <v>GRADE DE DISCO CONTROLE REMOTO REBOCÁVEL, COM 24 DISCOS 24" X 6 MM COM PNEUS PARA TRANSPORTE - CHI DIURNO. AF_06/2014</v>
          </cell>
          <cell r="D1646" t="str">
            <v>CHI</v>
          </cell>
          <cell r="E1646">
            <v>4.09</v>
          </cell>
          <cell r="F1646">
            <v>0</v>
          </cell>
        </row>
        <row r="1647">
          <cell r="B1647">
            <v>5923</v>
          </cell>
          <cell r="C1647" t="str">
            <v>GRADE DE DISCO REBOCÁVEL COM 20 DISCOS 24" X 6 MM COM PNEUS PARA TRANSPORTE - CHI DIURNO. AF_06/2014</v>
          </cell>
          <cell r="D1647" t="str">
            <v>CHI</v>
          </cell>
          <cell r="E1647">
            <v>3.2</v>
          </cell>
          <cell r="F1647">
            <v>0</v>
          </cell>
        </row>
        <row r="1648">
          <cell r="B1648">
            <v>5921</v>
          </cell>
          <cell r="C1648" t="str">
            <v>GRADE DE DISCO REBOCÁVEL COM 20 DISCOS 24" X 6 MM COM PNEUS PARA TRANSPORTE - CHP DIURNO. AF_06/2014</v>
          </cell>
          <cell r="D1648" t="str">
            <v>CHP</v>
          </cell>
          <cell r="E1648">
            <v>4.9400000000000004</v>
          </cell>
          <cell r="F1648">
            <v>0</v>
          </cell>
        </row>
        <row r="1649">
          <cell r="B1649">
            <v>95212</v>
          </cell>
          <cell r="C1649" t="str">
            <v>GRUA ASCENCIONAL, LANCA DE 42 M, CAPACIDADE DE 1,5 T A 30 M, ALTURA ATE 39 M - CHP DIURNO. AF_05/2023</v>
          </cell>
          <cell r="D1649" t="str">
            <v>CHP</v>
          </cell>
          <cell r="E1649">
            <v>169.83</v>
          </cell>
          <cell r="F1649">
            <v>0</v>
          </cell>
        </row>
        <row r="1650">
          <cell r="B1650">
            <v>95213</v>
          </cell>
          <cell r="C1650" t="str">
            <v>GRUA ASCENCIONAL, LANÇA DE 42 M, CAPACIDADE DE 1,5 T A 30 M, ALTURA ATÉ 39 M - CHI DIURNO. AF_05/2023</v>
          </cell>
          <cell r="D1650" t="str">
            <v>CHI</v>
          </cell>
          <cell r="E1650">
            <v>102.5</v>
          </cell>
          <cell r="F1650">
            <v>0</v>
          </cell>
        </row>
        <row r="1651">
          <cell r="B1651">
            <v>93272</v>
          </cell>
          <cell r="C1651" t="str">
            <v>GRUA ASCENSIONAL, LANCA DE 30 M, CAPACIDADE DE 1,0 T A 30 M, ALTURA ATE 39 M - CHP DIURNO. AF_05/2023</v>
          </cell>
          <cell r="D1651" t="str">
            <v>CHP</v>
          </cell>
          <cell r="E1651">
            <v>107.05</v>
          </cell>
          <cell r="F1651">
            <v>0</v>
          </cell>
        </row>
        <row r="1652">
          <cell r="B1652">
            <v>93274</v>
          </cell>
          <cell r="C1652" t="str">
            <v>GRUA ASCENSIONAL, LANÇA DE 30 M, CAPACIDADE DE 1,0 T A 30 M, ALTURA ATÉ 39 M - CHI DIURNO. AF_05/2023</v>
          </cell>
          <cell r="D1652" t="str">
            <v>CHI</v>
          </cell>
          <cell r="E1652">
            <v>72.8</v>
          </cell>
          <cell r="F1652">
            <v>0</v>
          </cell>
        </row>
        <row r="1653">
          <cell r="B1653">
            <v>83766</v>
          </cell>
          <cell r="C1653" t="str">
            <v>GRUPO DE SOLDAGEM COM GERADOR A DIESEL 60 CV PARA SOLDA ELÉTRICA, SOBRE 04 RODAS, COM MOTOR 4 CILINDROS 600 A - CHI DIURNO. AF_02/2016</v>
          </cell>
          <cell r="D1653" t="str">
            <v>CHI</v>
          </cell>
          <cell r="E1653">
            <v>54.09</v>
          </cell>
          <cell r="F1653">
            <v>0</v>
          </cell>
        </row>
        <row r="1654">
          <cell r="B1654">
            <v>83765</v>
          </cell>
          <cell r="C1654" t="str">
            <v>GRUPO DE SOLDAGEM COM GERADOR A DIESEL 60 CV PARA SOLDA ELÉTRICA, SOBRE 04 RODAS, COM MOTOR 4 CILINDROS 600 A - CHP DIURNO. AF_02/2016</v>
          </cell>
          <cell r="D1654" t="str">
            <v>CHP</v>
          </cell>
          <cell r="E1654">
            <v>114.2</v>
          </cell>
          <cell r="F1654">
            <v>0</v>
          </cell>
        </row>
        <row r="1655">
          <cell r="B1655">
            <v>95873</v>
          </cell>
          <cell r="C1655" t="str">
            <v>GRUPO GERADOR COM CARENAGEM, MOTOR DIESEL POTÊNCIA STANDART ENTRE 250 E 260 KVA - CHI DIURNO. AF_12/2016</v>
          </cell>
          <cell r="D1655" t="str">
            <v>CHI</v>
          </cell>
          <cell r="E1655">
            <v>15</v>
          </cell>
          <cell r="F1655">
            <v>0</v>
          </cell>
        </row>
        <row r="1656">
          <cell r="B1656">
            <v>95872</v>
          </cell>
          <cell r="C1656" t="str">
            <v>GRUPO GERADOR COM CARENAGEM, MOTOR DIESEL POTÊNCIA STANDART ENTRE 250 E 260 KVA - CHP DIURNO. AF_12/2016</v>
          </cell>
          <cell r="D1656" t="str">
            <v>CHP</v>
          </cell>
          <cell r="E1656">
            <v>301.47000000000003</v>
          </cell>
          <cell r="F1656">
            <v>0</v>
          </cell>
        </row>
        <row r="1657">
          <cell r="B1657">
            <v>104689</v>
          </cell>
          <cell r="C1657" t="str">
            <v>GRUPO GERADOR DIESEL, COM CARENAGEM, POTÊNCIA STANDART ENTRE 400 E 460 KVA, VELOCIDADE DE 1800 RPM, FREQUÊNCIA DE 60 HZ - CHI DIURNO. AF_05/2023</v>
          </cell>
          <cell r="D1657" t="str">
            <v>CHI</v>
          </cell>
          <cell r="E1657">
            <v>0</v>
          </cell>
        </row>
        <row r="1658">
          <cell r="B1658">
            <v>104688</v>
          </cell>
          <cell r="C1658" t="str">
            <v>GRUPO GERADOR DIESEL, COM CARENAGEM, POTÊNCIA STANDART ENTRE 400 E 460 KVA, VELOCIDADE DE 1800 RPM, FREQUÊNCIA DE 60 HZ - CHP DIURNO. AF_05/2023</v>
          </cell>
          <cell r="D1658" t="str">
            <v>CHP</v>
          </cell>
          <cell r="E1658">
            <v>0</v>
          </cell>
        </row>
        <row r="1659">
          <cell r="B1659">
            <v>73395</v>
          </cell>
          <cell r="C1659" t="str">
            <v>GRUPO GERADOR ESTACIONÁRIO, MOTOR DIESEL POTÊNCIA 170 KVA - CHI DIURNO. AF_02/2016</v>
          </cell>
          <cell r="D1659" t="str">
            <v>CHI</v>
          </cell>
          <cell r="E1659">
            <v>10.53</v>
          </cell>
          <cell r="F1659">
            <v>0</v>
          </cell>
        </row>
        <row r="1660">
          <cell r="B1660">
            <v>73417</v>
          </cell>
          <cell r="C1660" t="str">
            <v>GRUPO GERADOR ESTACIONÁRIO, MOTOR DIESEL POTÊNCIA 170 KVA - CHP DIURNO. AF_02/2016</v>
          </cell>
          <cell r="D1660" t="str">
            <v>CHP</v>
          </cell>
          <cell r="E1660">
            <v>195.14</v>
          </cell>
          <cell r="F1660">
            <v>0</v>
          </cell>
        </row>
        <row r="1661">
          <cell r="B1661">
            <v>93428</v>
          </cell>
          <cell r="C1661" t="str">
            <v>GRUPO GERADOR ESTACIONÁRIO, POTÊNCIA 150 KVA, MOTOR A DIESEL- CHI DIURNO. AF_03/2016</v>
          </cell>
          <cell r="D1661" t="str">
            <v>CHI</v>
          </cell>
          <cell r="E1661">
            <v>9.3800000000000008</v>
          </cell>
          <cell r="F1661">
            <v>0</v>
          </cell>
        </row>
        <row r="1662">
          <cell r="B1662">
            <v>93427</v>
          </cell>
          <cell r="C1662" t="str">
            <v>GRUPO GERADOR ESTACIONÁRIO, POTÊNCIA 150 KVA, MOTOR A DIESEL- CHP DIURNO. AF_03/2016</v>
          </cell>
          <cell r="D1662" t="str">
            <v>CHP</v>
          </cell>
          <cell r="E1662">
            <v>177.91</v>
          </cell>
          <cell r="F1662">
            <v>0</v>
          </cell>
        </row>
        <row r="1663">
          <cell r="B1663">
            <v>93422</v>
          </cell>
          <cell r="C1663" t="str">
            <v>GRUPO GERADOR REBOCÁVEL, POTÊNCIA 66 KVA, MOTOR A DIESEL - CHI DIURNO. AF_03/2016</v>
          </cell>
          <cell r="D1663" t="str">
            <v>CHI</v>
          </cell>
          <cell r="E1663">
            <v>6.62</v>
          </cell>
          <cell r="F1663">
            <v>0</v>
          </cell>
        </row>
        <row r="1664">
          <cell r="B1664">
            <v>93421</v>
          </cell>
          <cell r="C1664" t="str">
            <v>GRUPO GERADOR REBOCÁVEL, POTÊNCIA 66 KVA, MOTOR A DIESEL - CHP DIURNO. AF_03/2016</v>
          </cell>
          <cell r="D1664" t="str">
            <v>CHP</v>
          </cell>
          <cell r="E1664">
            <v>78.92</v>
          </cell>
          <cell r="F1664">
            <v>0</v>
          </cell>
        </row>
        <row r="1665">
          <cell r="B1665">
            <v>93282</v>
          </cell>
          <cell r="C1665" t="str">
            <v>GUINCHO ELÉTRICO DE COLUNA, CAPACIDADE 400 KG, COM MOTO FREIO, MOTOR TRIFÁSICO DE 1,25 CV - CHI DIURNO. AF_03/2016</v>
          </cell>
          <cell r="D1665" t="str">
            <v>CHI</v>
          </cell>
          <cell r="E1665">
            <v>35.229999999999997</v>
          </cell>
          <cell r="F1665">
            <v>0</v>
          </cell>
        </row>
        <row r="1666">
          <cell r="B1666">
            <v>93281</v>
          </cell>
          <cell r="C1666" t="str">
            <v>GUINCHO ELÉTRICO DE COLUNA, CAPACIDADE 400 KG, COM MOTO FREIO, MOTOR TRIFÁSICO DE 1,25 CV - CHP DIURNO. AF_03/2016</v>
          </cell>
          <cell r="D1666" t="str">
            <v>CHP</v>
          </cell>
          <cell r="E1666">
            <v>36.119999999999997</v>
          </cell>
          <cell r="F1666">
            <v>0</v>
          </cell>
        </row>
        <row r="1667">
          <cell r="B1667">
            <v>104914</v>
          </cell>
          <cell r="C1667" t="str">
            <v>GUINDASTE DERRICK, LANÇA DE *20* M, CARGA MÁXIMA 10T, POTÊNCIA 45 KW - CHI DIURNO. AF_01/2024</v>
          </cell>
          <cell r="D1667" t="str">
            <v>CHI</v>
          </cell>
          <cell r="E1667">
            <v>0</v>
          </cell>
        </row>
        <row r="1668">
          <cell r="B1668">
            <v>104913</v>
          </cell>
          <cell r="C1668" t="str">
            <v>GUINDASTE DERRICK, LANÇA DE *20* M, CARGA MÁXIMA 10T, POTÊNCIA 45 KW - CHP DIURNO. AF_01/2024</v>
          </cell>
          <cell r="D1668" t="str">
            <v>CHP</v>
          </cell>
          <cell r="E1668">
            <v>0</v>
          </cell>
        </row>
        <row r="1669">
          <cell r="B1669">
            <v>102845</v>
          </cell>
          <cell r="C1669" t="str">
            <v>GUINDASTE HIDRAULICO AUTOPROPELIDO, COM LANÇA TRELIÇADA 40 M, CAPACIDADE MÁXIMA 75 T, EQUIPADO COM CLAMSHELL - CHI DIURNO. AF_04/2019</v>
          </cell>
          <cell r="D1669" t="str">
            <v>CHI</v>
          </cell>
          <cell r="E1669">
            <v>0</v>
          </cell>
        </row>
        <row r="1670">
          <cell r="B1670">
            <v>102844</v>
          </cell>
          <cell r="C1670" t="str">
            <v>GUINDASTE HIDRAULICO AUTOPROPELIDO, COM LANÇA TRELIÇADA 40 M, CAPACIDADE MÁXIMA 75 T, EQUIPADO COM CLAMSHELL - CHP DIURNO. AF_04/2019</v>
          </cell>
          <cell r="D1670" t="str">
            <v>CHP</v>
          </cell>
          <cell r="E1670">
            <v>0</v>
          </cell>
        </row>
        <row r="1671">
          <cell r="B1671">
            <v>89273</v>
          </cell>
          <cell r="C1671" t="str">
            <v>GUINDASTE HIDRÁULICO AUTOPROPELIDO, COM LANÇA TELESCÓPICA 28,80 M, CAPACIDADE MÁXIMA 30 T, POTÊNCIA 97 KW, TRAÇÃO 4 X 4 - CHI DIURNO. AF_11/2014</v>
          </cell>
          <cell r="D1671" t="str">
            <v>CHI</v>
          </cell>
          <cell r="E1671">
            <v>113.91</v>
          </cell>
          <cell r="F1671">
            <v>0</v>
          </cell>
        </row>
        <row r="1672">
          <cell r="B1672">
            <v>89272</v>
          </cell>
          <cell r="C1672" t="str">
            <v>GUINDASTE HIDRÁULICO AUTOPROPELIDO, COM LANÇA TELESCÓPICA 28,80 M, CAPACIDADE MÁXIMA 30 T, POTÊNCIA 97 KW, TRAÇÃO 4 X 4 - CHP DIURNO. AF_11/2014</v>
          </cell>
          <cell r="D1672" t="str">
            <v>CHP</v>
          </cell>
          <cell r="E1672">
            <v>227.24</v>
          </cell>
          <cell r="F1672">
            <v>0</v>
          </cell>
        </row>
        <row r="1673">
          <cell r="B1673">
            <v>93288</v>
          </cell>
          <cell r="C1673" t="str">
            <v>GUINDASTE HIDRÁULICO AUTOPROPELIDO, COM LANÇA TELESCÓPICA 40 M, CAPACIDADE MÁXIMA 60 T, POTÊNCIA 260 KW - CHI DIURNO. AF_03/2016</v>
          </cell>
          <cell r="D1673" t="str">
            <v>CHI</v>
          </cell>
          <cell r="E1673">
            <v>185.97</v>
          </cell>
          <cell r="F1673">
            <v>0</v>
          </cell>
        </row>
        <row r="1674">
          <cell r="B1674">
            <v>93287</v>
          </cell>
          <cell r="C1674" t="str">
            <v>GUINDASTE HIDRÁULICO AUTOPROPELIDO, COM LANÇA TELESCÓPICA 40 M, CAPACIDADE MÁXIMA 60 T, POTÊNCIA 260 KW - CHP DIURNO. AF_03/2016</v>
          </cell>
          <cell r="D1674" t="str">
            <v>CHP</v>
          </cell>
          <cell r="E1674">
            <v>358.7</v>
          </cell>
          <cell r="F1674">
            <v>0</v>
          </cell>
        </row>
        <row r="1675">
          <cell r="B1675">
            <v>104711</v>
          </cell>
          <cell r="C1675" t="str">
            <v>GUINDASTE HIDRÁULICO AUTOPROPELIDO, COM LANÇA TRELICADA 41 M, CAPACIDADE MÁXIMA DE ELEVAÇÃO 43 T, POTÊNCIA 230 KW, EQUIPADO COM CAÇAMBA DE ARRASTO (DRAGLINE) DE 0,76 M3 - CHI DIURNO. AF_06/2023</v>
          </cell>
          <cell r="D1675" t="str">
            <v>CHI</v>
          </cell>
          <cell r="E1675">
            <v>0</v>
          </cell>
        </row>
        <row r="1676">
          <cell r="B1676">
            <v>104710</v>
          </cell>
          <cell r="C1676" t="str">
            <v>GUINDASTE HIDRÁULICO AUTOPROPELIDO, COM LANÇA TRELICADA 41 M, CAPACIDADE MÁXIMA DE ELEVAÇÃO 43 T, POTÊNCIA 230 KW, EQUIPADO COM CAÇAMBA DE ARRASTO (DRAGLINE) DE 0,76 M3 - CHP DIURNO. AF_06/2023</v>
          </cell>
          <cell r="D1676" t="str">
            <v>CHP</v>
          </cell>
          <cell r="E1676">
            <v>0</v>
          </cell>
        </row>
        <row r="1677">
          <cell r="B1677">
            <v>104908</v>
          </cell>
          <cell r="C1677" t="str">
            <v>GUINDASTE HIDRÁULICO RODOVIÁRIO, LANCA TELESCÓPICA DE *50+20* M, CAPACIDADE MÁXIMA DE 90T, 4 EIXOS, POTÊNCIA 330 KW, MOTOR DIESEL - CHI DIURNO. AF_01/2024</v>
          </cell>
          <cell r="D1677" t="str">
            <v>CHI</v>
          </cell>
          <cell r="E1677">
            <v>0</v>
          </cell>
        </row>
        <row r="1678">
          <cell r="B1678">
            <v>104907</v>
          </cell>
          <cell r="C1678" t="str">
            <v>GUINDASTE HIDRÁULICO RODOVIÁRIO, LANCA TELESCÓPICA DE *50+20* M, CAPACIDADE MÁXIMA DE 90T, 4 EIXOS, POTÊNCIA 330 KW, MOTOR DIESEL - CHP DIURNO. AF_01/2024</v>
          </cell>
          <cell r="D1678" t="str">
            <v>CHP</v>
          </cell>
          <cell r="E1678">
            <v>0</v>
          </cell>
        </row>
        <row r="1679">
          <cell r="B1679">
            <v>102851</v>
          </cell>
          <cell r="C1679" t="str">
            <v>GUINDASTE SOBRE ESTEIRAS, COM LANÇA TRELIÇADA 40 M, CAPACIDADE MÁXIMA 75 T - CHI DIURNO. AF_04/2019</v>
          </cell>
          <cell r="D1679" t="str">
            <v>CHI</v>
          </cell>
          <cell r="E1679">
            <v>0</v>
          </cell>
        </row>
        <row r="1680">
          <cell r="B1680">
            <v>102850</v>
          </cell>
          <cell r="C1680" t="str">
            <v>GUINDASTE SOBRE ESTEIRAS, COM LANÇA TRELIÇADA 40 M, CAPACIDADE MÁXIMA 75 T - CHP DIURNO. AF_04/2019</v>
          </cell>
          <cell r="D1680" t="str">
            <v>CHP</v>
          </cell>
          <cell r="E1680">
            <v>0</v>
          </cell>
        </row>
        <row r="1681">
          <cell r="B1681">
            <v>102857</v>
          </cell>
          <cell r="C1681" t="str">
            <v>GUINDASTE SOBRE ESTEIRAS, COM LANÇA TRELIÇADA 40 M, CAPACIDADE MÁXIMA 75 T, EQUIPADO COM CLAMSHELL - CHI DIURNO. AF_04/2019</v>
          </cell>
          <cell r="D1681" t="str">
            <v>CHI</v>
          </cell>
          <cell r="E1681">
            <v>0</v>
          </cell>
        </row>
        <row r="1682">
          <cell r="B1682">
            <v>102856</v>
          </cell>
          <cell r="C1682" t="str">
            <v>GUINDASTE SOBRE ESTEIRAS, COM LANÇA TRELIÇADA 40 M, CAPACIDADE MÁXIMA 75 T, EQUIPADO COM CLAMSHELL - CHP DIURNO. AF_04/2019</v>
          </cell>
          <cell r="D1682" t="str">
            <v>CHP</v>
          </cell>
          <cell r="E1682">
            <v>0</v>
          </cell>
        </row>
        <row r="1683">
          <cell r="B1683">
            <v>106256</v>
          </cell>
          <cell r="C1683" t="str">
            <v>GUINDAUTO HIDRÁULICO, CAPACIDADE MÁXIMA DE CARGA 14340 KG, MOMENTO MÁXIMO DE CARGA 42,3 TM, ALCANCE MÁXIMO HORIZONTAL16,80 M, INCLUSIVE CAMINHÃO TOCO PBT 23.000 KG, POTÊNCIA DE 256 CV - CHI DIURNO. AF_10/2025</v>
          </cell>
          <cell r="D1683" t="str">
            <v>CHI</v>
          </cell>
          <cell r="E1683">
            <v>110.81</v>
          </cell>
          <cell r="F1683">
            <v>0</v>
          </cell>
        </row>
        <row r="1684">
          <cell r="B1684">
            <v>106251</v>
          </cell>
          <cell r="C1684" t="str">
            <v>GUINDAUTO HIDRÁULICO, CAPACIDADE MÁXIMA DE CARGA 14340 KG, MOMENTO MÁXIMO DE CARGA 42,3 TM, ALCANCE MÁXIMO HORIZONTAL16,80 M, INCLUSIVE CAMINHÃO TOCO PBT 23.000 KG, POTÊNCIA DE 256 CV - CHP DIURNO. AF_10/2025</v>
          </cell>
          <cell r="D1684" t="str">
            <v>CHP</v>
          </cell>
          <cell r="E1684">
            <v>344.55</v>
          </cell>
          <cell r="F1684">
            <v>0</v>
          </cell>
        </row>
        <row r="1685">
          <cell r="B1685">
            <v>93403</v>
          </cell>
          <cell r="C1685" t="str">
            <v>GUINDAUTO HIDRÁULICO, CAPACIDADE MÁXIMA DE CARGA 3300 KG, MOMENTO MÁXIMO DE CARGA 5,8 TM, ALCANCE MÁXIMO HORIZONTAL 7,60 M, INCLUSIVE CAMINHÃO TOCO PBT 16.000 KG, POTÊNCIA DE 189 CV - CHI DIURNO. AF_03/2016</v>
          </cell>
          <cell r="D1685" t="str">
            <v>CHI</v>
          </cell>
          <cell r="E1685">
            <v>81.17</v>
          </cell>
          <cell r="F1685">
            <v>0</v>
          </cell>
        </row>
        <row r="1686">
          <cell r="B1686">
            <v>93402</v>
          </cell>
          <cell r="C1686" t="str">
            <v>GUINDAUTO HIDRÁULICO, CAPACIDADE MÁXIMA DE CARGA 3300 KG, MOMENTO MÁXIMO DE CARGA 5,8 TM, ALCANCE MÁXIMO HORIZONTAL 7,60 M, INCLUSIVE CAMINHÃO TOCO PBT 16.000 KG, POTÊNCIA DE 189 CV - CHP DIURNO. AF_03/2016</v>
          </cell>
          <cell r="D1686" t="str">
            <v>CHP</v>
          </cell>
          <cell r="E1686">
            <v>286.45</v>
          </cell>
          <cell r="F1686">
            <v>0</v>
          </cell>
        </row>
        <row r="1687">
          <cell r="B1687">
            <v>5930</v>
          </cell>
          <cell r="C1687" t="str">
            <v>GUINDAUTO HIDRÁULICO, CAPACIDADE MÁXIMA DE CARGA 6200 KG, MOMENTO MÁXIMO DE CARGA 11,7 TM, ALCANCE MÁXIMO HORIZONTAL 9,70 M, INCLUSIVE CAMINHÃO TOCO PBT 16.000 KG, POTÊNCIA DE 189 CV - CHI DIURNO. AF_06/2014</v>
          </cell>
          <cell r="D1687" t="str">
            <v>CHI</v>
          </cell>
          <cell r="E1687">
            <v>84.33</v>
          </cell>
          <cell r="F1687">
            <v>0</v>
          </cell>
        </row>
        <row r="1688">
          <cell r="B1688">
            <v>5928</v>
          </cell>
          <cell r="C1688" t="str">
            <v>GUINDAUTO HIDRÁULICO, CAPACIDADE MÁXIMA DE CARGA 6200 KG, MOMENTO MÁXIMO DE CARGA 11,7 TM, ALCANCE MÁXIMO HORIZONTAL 9,70 M, INCLUSIVE CAMINHÃO TOCO PBT 16.000 KG, POTÊNCIA DE 189 CV - CHP DIURNO. AF_06/2014</v>
          </cell>
          <cell r="D1688" t="str">
            <v>CHP</v>
          </cell>
          <cell r="E1688">
            <v>292.5</v>
          </cell>
          <cell r="F1688">
            <v>0</v>
          </cell>
        </row>
        <row r="1689">
          <cell r="B1689">
            <v>105845</v>
          </cell>
          <cell r="C1689" t="str">
            <v>GUINDAUTO HIDRÁULICO, CAPACIDADE MÁXIMA DE CARGA 6200 KG, MOMENTO MÁXIMO DE CARGA 11,7 TM, ALCANCE MÁXIMO HORIZONTAL 9,70 M, INCLUSIVE CAMINHÃO TOCO PBT 16.000 KG, POTÊNCIA DE 189 CV E CESTA AÉREA COM ISOLAMENTO CLASSE C - CHI DIURNO. AF_01/2025</v>
          </cell>
          <cell r="D1689" t="str">
            <v>CHI</v>
          </cell>
          <cell r="E1689">
            <v>0</v>
          </cell>
        </row>
        <row r="1690">
          <cell r="B1690">
            <v>105844</v>
          </cell>
          <cell r="C1690" t="str">
            <v>GUINDAUTO HIDRÁULICO, CAPACIDADE MÁXIMA DE CARGA 6200 KG, MOMENTO MÁXIMO DE CARGA 11,7 TM, ALCANCE MÁXIMO HORIZONTAL 9,70 M, INCLUSIVE CAMINHÃO TOCO PBT 16.000 KG, POTÊNCIA DE 189 CV E CESTA AÉREA COM ISOLAMENTO CLASSE C - CHP DIURNO. AF_01/2025</v>
          </cell>
          <cell r="D1690" t="str">
            <v>CHP</v>
          </cell>
          <cell r="E1690">
            <v>0</v>
          </cell>
        </row>
        <row r="1691">
          <cell r="B1691">
            <v>91635</v>
          </cell>
          <cell r="C1691" t="str">
            <v>GUINDAUTO HIDRÁULICO, CAPACIDADE MÁXIMA DE CARGA 6500 KG, MOMENTO MÁXIMO DE CARGA 5,8 TM, ALCANCE MÁXIMO HORIZONTAL 7,60 M, INCLUSIVE CAMINHÃO TOCO PBT 9.700 KG, POTÊNCIA DE 160 CV - CHI DIURNO. AF_08/2015</v>
          </cell>
          <cell r="D1691" t="str">
            <v>CHI</v>
          </cell>
          <cell r="E1691">
            <v>75.569999999999993</v>
          </cell>
          <cell r="F1691">
            <v>0</v>
          </cell>
        </row>
        <row r="1692">
          <cell r="B1692">
            <v>91634</v>
          </cell>
          <cell r="C1692" t="str">
            <v>GUINDAUTO HIDRÁULICO, CAPACIDADE MÁXIMA DE CARGA 6500 KG, MOMENTO MÁXIMO DE CARGA 5,8 TM, ALCANCE MÁXIMO HORIZONTAL 7,60 M, INCLUSIVE CAMINHÃO TOCO PBT 9.700 KG, POTÊNCIA DE 160 CV - CHP DIURNO. AF_08/2015</v>
          </cell>
          <cell r="D1692" t="str">
            <v>CHP</v>
          </cell>
          <cell r="E1692">
            <v>249.61</v>
          </cell>
          <cell r="F1692">
            <v>0</v>
          </cell>
        </row>
        <row r="1693">
          <cell r="B1693">
            <v>105985</v>
          </cell>
          <cell r="C1693" t="str">
            <v>GUINDAUTO HIDRÁULICO, CAPACIDADE MÁXIMA DE CARGA 8500 KG, MOMENTO MÁXIMO DE CARGA 30,4 TM, ALCANCE MÁXIMO HORIZONTAL 14,30 M, INCLUSIVE CAMINHÃO TRUCADO PBT 23.000 KG, POTÊNCIA DE 256 CV E CARROCERIA FIXA ABERTA DE MADEIRA - CHI DIURNO. AF_05/2025</v>
          </cell>
          <cell r="D1693" t="str">
            <v>CHI</v>
          </cell>
          <cell r="E1693">
            <v>108.01</v>
          </cell>
          <cell r="F1693">
            <v>0</v>
          </cell>
        </row>
        <row r="1694">
          <cell r="B1694">
            <v>105984</v>
          </cell>
          <cell r="C1694" t="str">
            <v>GUINDAUTO HIDRÁULICO, CAPACIDADE MÁXIMA DE CARGA 8500 KG, MOMENTO MÁXIMO DE CARGA 30,4 TM, ALCANCE MÁXIMO HORIZONTAL 14,30 M, INCLUSIVE CAMINHÃO TRUCADO PBT 23.000 KG, POTÊNCIA DE 256 CV E CARROCERIA FIXA ABERTA DE MADEIRA - CHP DIURNO. AF_05/2025</v>
          </cell>
          <cell r="D1694" t="str">
            <v>CHP</v>
          </cell>
          <cell r="E1694">
            <v>339.21</v>
          </cell>
          <cell r="F1694">
            <v>0</v>
          </cell>
        </row>
        <row r="1695">
          <cell r="B1695">
            <v>98765</v>
          </cell>
          <cell r="C1695" t="str">
            <v>INVERSOR DE SOLDA MONOFÁSICO DE 160 A, POTÊNCIA DE 7000 W, TENSÃO DE 220 V, TURBO VENTILADO, PROTEÇÃO POR TERMOSTATO, PARA ELETRODOS DE 2,0 A 4,0 MM - CHI DIURNO. AF_06/2018</v>
          </cell>
          <cell r="D1695" t="str">
            <v>CHI</v>
          </cell>
          <cell r="E1695">
            <v>0.06</v>
          </cell>
          <cell r="F1695">
            <v>0</v>
          </cell>
        </row>
        <row r="1696">
          <cell r="B1696">
            <v>98764</v>
          </cell>
          <cell r="C1696" t="str">
            <v>INVERSOR DE SOLDA MONOFÁSICO DE 160 A, POTÊNCIA DE 7000 W, TENSÃO DE 220 V, TURBO VENTILADO, PROTEÇÃO POR TERMOSTATO, PARA ELETRODOS DE 2,0 A 4,0 MM - CHP DIURNO. AF_06/2018</v>
          </cell>
          <cell r="D1696" t="str">
            <v>CHP</v>
          </cell>
          <cell r="E1696">
            <v>5.3</v>
          </cell>
          <cell r="F1696">
            <v>0</v>
          </cell>
        </row>
        <row r="1697">
          <cell r="B1697">
            <v>99834</v>
          </cell>
          <cell r="C1697" t="str">
            <v>LAVADORA DE ALTA PRESSAO (LAVA-JATO) PARA AGUA FRIA, PRESSAO DE OPERACAO ENTRE 1400 E 1900 LIB/POL2, VAZAO MAXIMA ENTRE 400 E 700 L/H - CHI DIURNO. AF_05/2023</v>
          </cell>
          <cell r="D1697" t="str">
            <v>CHI</v>
          </cell>
          <cell r="E1697">
            <v>0.19</v>
          </cell>
          <cell r="F1697">
            <v>0</v>
          </cell>
        </row>
        <row r="1698">
          <cell r="B1698">
            <v>99833</v>
          </cell>
          <cell r="C1698" t="str">
            <v>LAVADORA DE ALTA PRESSAO (LAVA-JATO) PARA AGUA FRIA, PRESSAO DE OPERACAO ENTRE 1400 E 1900 LIB/POL2, VAZAO MAXIMA ENTRE 400 E 700 L/H - CHP DIURNO. AF_05/2023</v>
          </cell>
          <cell r="D1698" t="str">
            <v>CHP</v>
          </cell>
          <cell r="E1698">
            <v>4.1399999999999997</v>
          </cell>
          <cell r="F1698">
            <v>0</v>
          </cell>
        </row>
        <row r="1699">
          <cell r="B1699">
            <v>104521</v>
          </cell>
          <cell r="C1699" t="str">
            <v>LIXADEIRA DE PAREDE, COM LED, POTÊNCIA 750 W, FREQUÊNCIA 60 HZ, VELOCIDADE 1000 A 2100 RPM, DIÂMETRO DA LIXA 225 MM - CHI DIURNO AF_12/2022</v>
          </cell>
          <cell r="D1699" t="str">
            <v>CHI</v>
          </cell>
          <cell r="E1699">
            <v>0</v>
          </cell>
        </row>
        <row r="1700">
          <cell r="B1700">
            <v>104520</v>
          </cell>
          <cell r="C1700" t="str">
            <v>LIXADEIRA DE PAREDE, COM LED, POTÊNCIA 750 W, FREQUÊNCIA 60 HZ, VELOCIDADE 1000 A 2100 RPM, DIÂMETRO DA LIXA 225 MM - CHP DIURNO. AF_12/2022</v>
          </cell>
          <cell r="D1700" t="str">
            <v>CHP</v>
          </cell>
          <cell r="E1700">
            <v>0</v>
          </cell>
        </row>
        <row r="1701">
          <cell r="B1701">
            <v>90687</v>
          </cell>
          <cell r="C1701" t="str">
            <v>MANIPULADOR TELESCÓPICO, POTÊNCIA DE 85 HP, CAPACIDADE DE CARGA DE 3.500 KG, ALTURA MÁXIMA DE ELEVAÇÃO DE 12,3 M - CHI DIURNO. AF_05/2023</v>
          </cell>
          <cell r="D1701" t="str">
            <v>CHI</v>
          </cell>
          <cell r="E1701">
            <v>84.56</v>
          </cell>
          <cell r="F1701">
            <v>0</v>
          </cell>
        </row>
        <row r="1702">
          <cell r="B1702">
            <v>90686</v>
          </cell>
          <cell r="C1702" t="str">
            <v>MANIPULADOR TELESCÓPICO, POTÊNCIA DE 85 HP, CAPACIDADE DE CARGA DE 3.500 KG, ALTURA MÁXIMA DE ELEVAÇÃO DE 12,3 M - CHP DIURNO. AF_05/2023</v>
          </cell>
          <cell r="D1702" t="str">
            <v>CHP</v>
          </cell>
          <cell r="E1702">
            <v>184.58</v>
          </cell>
          <cell r="F1702">
            <v>0</v>
          </cell>
        </row>
        <row r="1703">
          <cell r="B1703">
            <v>5952</v>
          </cell>
          <cell r="C1703" t="str">
            <v>MARTELETE OU ROMPEDOR PNEUMÁTICO MANUAL, 28 KG, COM SILENCIADOR - CHI DIURNO. AF_07/2016</v>
          </cell>
          <cell r="D1703" t="str">
            <v>CHI</v>
          </cell>
          <cell r="E1703">
            <v>35.21</v>
          </cell>
          <cell r="F1703">
            <v>0</v>
          </cell>
        </row>
        <row r="1704">
          <cell r="B1704">
            <v>5795</v>
          </cell>
          <cell r="C1704" t="str">
            <v>MARTELETE OU ROMPEDOR PNEUMÁTICO MANUAL, 28 KG, COM SILENCIADOR - CHP DIURNO. AF_07/2016</v>
          </cell>
          <cell r="D1704" t="str">
            <v>CHP</v>
          </cell>
          <cell r="E1704">
            <v>35.700000000000003</v>
          </cell>
          <cell r="F1704">
            <v>0</v>
          </cell>
        </row>
        <row r="1705">
          <cell r="B1705">
            <v>104657</v>
          </cell>
          <cell r="C1705" t="str">
            <v>MARTELETE PERFURADOR/ ROMPEDOR ELÉTRICO, POTÊNCIA 800 W, 220 V - CHI DIURNO. AF_05/2023</v>
          </cell>
          <cell r="D1705" t="str">
            <v>CHI</v>
          </cell>
          <cell r="E1705">
            <v>0</v>
          </cell>
        </row>
        <row r="1706">
          <cell r="B1706">
            <v>104656</v>
          </cell>
          <cell r="C1706" t="str">
            <v>MARTELETE PERFURADOR/ ROMPEDOR ELÉTRICO, POTÊNCIA 800 W, 220 V - CHP DIURNO. AF_05/2023</v>
          </cell>
          <cell r="D1706" t="str">
            <v>CHP</v>
          </cell>
          <cell r="E1706">
            <v>0</v>
          </cell>
        </row>
        <row r="1707">
          <cell r="B1707">
            <v>102274</v>
          </cell>
          <cell r="C1707" t="str">
            <v>MARTELO DEMOLIDOR ELÉTRICO, COM POTÊNCIA DE 2.000 W, 1.000 IMPACTOS POR MINUTO, PESO DE 30 KG - CHI DIURNO. AF_01/2021</v>
          </cell>
          <cell r="D1707" t="str">
            <v>CHI</v>
          </cell>
          <cell r="E1707">
            <v>0.81</v>
          </cell>
          <cell r="F1707">
            <v>0</v>
          </cell>
        </row>
        <row r="1708">
          <cell r="B1708">
            <v>102275</v>
          </cell>
          <cell r="C1708" t="str">
            <v>MARTELO DEMOLIDOR ELÉTRICO, COM POTÊNCIA DE 2.000 W, 1.000 IMPACTOS POR MINUTO, PESO DE 30 KG - CHP DIURNO. AF_01/2021</v>
          </cell>
          <cell r="D1708" t="str">
            <v>CHP</v>
          </cell>
          <cell r="E1708">
            <v>3.11</v>
          </cell>
          <cell r="F1708">
            <v>0</v>
          </cell>
        </row>
        <row r="1709">
          <cell r="B1709">
            <v>95259</v>
          </cell>
          <cell r="C1709" t="str">
            <v>MARTELO DEMOLIDOR PNEUMÁTICO MANUAL, 32 KG - CHI DIURNO. AF_09/2016</v>
          </cell>
          <cell r="D1709" t="str">
            <v>CHI</v>
          </cell>
          <cell r="E1709">
            <v>35.700000000000003</v>
          </cell>
          <cell r="F1709">
            <v>0</v>
          </cell>
        </row>
        <row r="1710">
          <cell r="B1710">
            <v>95258</v>
          </cell>
          <cell r="C1710" t="str">
            <v>MARTELO DEMOLIDOR PNEUMÁTICO MANUAL, 32 KG - CHP DIURNO. AF_09/2016</v>
          </cell>
          <cell r="D1710" t="str">
            <v>CHP</v>
          </cell>
          <cell r="E1710">
            <v>36.69</v>
          </cell>
          <cell r="F1710">
            <v>0</v>
          </cell>
        </row>
        <row r="1711">
          <cell r="B1711">
            <v>105917</v>
          </cell>
          <cell r="C1711" t="str">
            <v>MARTELO PERFURADOR PNEUMÁTICO MANUAL, HASTE 19 X 108 MM, *11* KG - CHI DIURNO. AF_02/2025</v>
          </cell>
          <cell r="D1711" t="str">
            <v>CHI</v>
          </cell>
          <cell r="E1711">
            <v>35.549999999999997</v>
          </cell>
          <cell r="F1711">
            <v>0</v>
          </cell>
        </row>
        <row r="1712">
          <cell r="B1712">
            <v>105916</v>
          </cell>
          <cell r="C1712" t="str">
            <v>MARTELO PERFURADOR PNEUMÁTICO MANUAL, HASTE 19 X 108 MM, *11* KG - CHP DIURNO. AF_02/2025</v>
          </cell>
          <cell r="D1712" t="str">
            <v>CHP</v>
          </cell>
          <cell r="E1712">
            <v>36.39</v>
          </cell>
          <cell r="F1712">
            <v>0</v>
          </cell>
        </row>
        <row r="1713">
          <cell r="B1713">
            <v>103794</v>
          </cell>
          <cell r="C1713" t="str">
            <v>MINI GUINDASTE ARANHA SOBRE ESTEIRAS E LANCA TELESCÓPICA, CAPACIDADE MÁXIMA DE CARGA 3,0 TON, RAIO MÁXIMO DE TRABALHO 8,25 M, ALTURA DE LANÇA DO SOLO 9,2 M, 55 M DE CABO DE AÇO 8 MM, MOTOR ELÉTRICO 220/380 VOLTS TRIFÁSICO - CHI DIURNO. AF_03/2022</v>
          </cell>
          <cell r="D1713" t="str">
            <v>CHI</v>
          </cell>
          <cell r="E1713">
            <v>0</v>
          </cell>
        </row>
        <row r="1714">
          <cell r="B1714">
            <v>103793</v>
          </cell>
          <cell r="C1714" t="str">
            <v>MINI GUINDASTE ARANHA SOBRE ESTEIRAS E LANCA TELESCÓPICA, CAPACIDADE MÁXIMA DE CARGA 3,0 TON, RAIO MÁXIMO DE TRABALHO 8,25 M, ALTURA DE LANÇA DO SOLO 9,2 M, 55 M DE CABO DE AÇO 8 MM, MOTOR ELÉTRICO 220/380 VOLTS TRIFÁSICO - CHP DIURNO. AF_03/2022</v>
          </cell>
          <cell r="D1714" t="str">
            <v>CHP</v>
          </cell>
          <cell r="E1714">
            <v>0</v>
          </cell>
        </row>
        <row r="1715">
          <cell r="B1715">
            <v>96156</v>
          </cell>
          <cell r="C1715" t="str">
            <v>MINICARREGADEIRA SOBRE RODAS POTENCIA 47HP CAPACIDADE OPERACAO 646 KG, COM VASSOURA MECÂNICA ACOPLADA - CHI DIURNO. AF_03/2017</v>
          </cell>
          <cell r="D1715" t="str">
            <v>CHI</v>
          </cell>
          <cell r="E1715">
            <v>76.010000000000005</v>
          </cell>
          <cell r="F1715">
            <v>0</v>
          </cell>
        </row>
        <row r="1716">
          <cell r="B1716">
            <v>96158</v>
          </cell>
          <cell r="C1716" t="str">
            <v>MINICARREGADEIRA SOBRE RODAS POTENCIA 47HP CAPACIDADE OPERACAO 646 KG, COM VASSOURA MECÂNICA ACOPLADA - CHP DIURNO. AF_03/2017</v>
          </cell>
          <cell r="D1716" t="str">
            <v>CHP</v>
          </cell>
          <cell r="E1716">
            <v>156.99</v>
          </cell>
          <cell r="F1716">
            <v>0</v>
          </cell>
        </row>
        <row r="1717">
          <cell r="B1717">
            <v>90693</v>
          </cell>
          <cell r="C1717" t="str">
            <v>MINICARREGADEIRA SOBRE RODAS, POTÊNCIA LÍQUIDA DE 47 HP, CAPACIDADE NOMINAL DE OPERAÇÃO DE 646 KG - CHI DIURNO. AF_06/2015</v>
          </cell>
          <cell r="D1717" t="str">
            <v>CHI</v>
          </cell>
          <cell r="E1717">
            <v>71.33</v>
          </cell>
          <cell r="F1717">
            <v>0</v>
          </cell>
        </row>
        <row r="1718">
          <cell r="B1718">
            <v>90692</v>
          </cell>
          <cell r="C1718" t="str">
            <v>MINICARREGADEIRA SOBRE RODAS, POTÊNCIA LÍQUIDA DE 47 HP, CAPACIDADE NOMINAL DE OPERAÇÃO DE 646 KG - CHP DIURNO. AF_06/2015</v>
          </cell>
          <cell r="D1718" t="str">
            <v>CHP</v>
          </cell>
          <cell r="E1718">
            <v>147.68</v>
          </cell>
          <cell r="F1718">
            <v>0</v>
          </cell>
        </row>
        <row r="1719">
          <cell r="B1719">
            <v>96246</v>
          </cell>
          <cell r="C1719" t="str">
            <v>MINIESCAVADEIRA SOBRE ESTEIRAS, POTÊNCIA LÍQUIDA DE *30* HP, PESO OPERACIONAL DE *3.500* KG - CHI DIURNO. AF_04/2017</v>
          </cell>
          <cell r="D1719" t="str">
            <v>CHI</v>
          </cell>
          <cell r="E1719">
            <v>85.31</v>
          </cell>
          <cell r="F1719">
            <v>0</v>
          </cell>
        </row>
        <row r="1720">
          <cell r="B1720">
            <v>96245</v>
          </cell>
          <cell r="C1720" t="str">
            <v>MINIESCAVADEIRA SOBRE ESTEIRAS, POTÊNCIA LÍQUIDA DE *30* HP, PESO OPERACIONAL DE *3.500* KG - CHP DIURNO. AF_04/2017</v>
          </cell>
          <cell r="D1720" t="str">
            <v>CHP</v>
          </cell>
          <cell r="E1720">
            <v>141.19</v>
          </cell>
          <cell r="F1720">
            <v>0</v>
          </cell>
        </row>
        <row r="1721">
          <cell r="B1721">
            <v>88404</v>
          </cell>
          <cell r="C1721" t="str">
            <v>MISTURADOR DE ARGAMASSA, EIXO HORIZONTAL, CAPACIDADE DE MISTURA 160 KG, MOTOR ELÉTRICO POTÊNCIA 3 CV - CHI DIURNO. AF_05/2023</v>
          </cell>
          <cell r="D1721" t="str">
            <v>CHI</v>
          </cell>
          <cell r="E1721">
            <v>1.06</v>
          </cell>
          <cell r="F1721">
            <v>0</v>
          </cell>
        </row>
        <row r="1722">
          <cell r="B1722">
            <v>88399</v>
          </cell>
          <cell r="C1722" t="str">
            <v>MISTURADOR DE ARGAMASSA, EIXO HORIZONTAL, CAPACIDADE DE MISTURA 160 KG, MOTOR ELÉTRICO POTÊNCIA 3 CV - CHP DIURNO. AF_05/2023</v>
          </cell>
          <cell r="D1722" t="str">
            <v>CHP</v>
          </cell>
          <cell r="E1722">
            <v>3.63</v>
          </cell>
          <cell r="F1722">
            <v>0</v>
          </cell>
        </row>
        <row r="1723">
          <cell r="B1723">
            <v>88392</v>
          </cell>
          <cell r="C1723" t="str">
            <v>MISTURADOR DE ARGAMASSA, EIXO HORIZONTAL, CAPACIDADE DE MISTURA 300 KG, MOTOR ELÉTRICO POTÊNCIA 5 CV - CHI DIURNO. AF_05/2023</v>
          </cell>
          <cell r="D1723" t="str">
            <v>CHI</v>
          </cell>
          <cell r="E1723">
            <v>1.1200000000000001</v>
          </cell>
          <cell r="F1723">
            <v>0</v>
          </cell>
        </row>
        <row r="1724">
          <cell r="B1724">
            <v>88386</v>
          </cell>
          <cell r="C1724" t="str">
            <v>MISTURADOR DE ARGAMASSA, EIXO HORIZONTAL, CAPACIDADE DE MISTURA 300 KG, MOTOR ELÉTRICO POTÊNCIA 5 CV - CHP DIURNO. AF_05/2023</v>
          </cell>
          <cell r="D1724" t="str">
            <v>CHP</v>
          </cell>
          <cell r="E1724">
            <v>4.84</v>
          </cell>
          <cell r="F1724">
            <v>0</v>
          </cell>
        </row>
        <row r="1725">
          <cell r="B1725">
            <v>88398</v>
          </cell>
          <cell r="C1725" t="str">
            <v>MISTURADOR DE ARGAMASSA, EIXO HORIZONTAL, CAPACIDADE DE MISTURA 600 KG, MOTOR ELÉTRICO POTÊNCIA 7,5 CV - CHI DIURNO. AF_05/2023</v>
          </cell>
          <cell r="D1725" t="str">
            <v>CHI</v>
          </cell>
          <cell r="E1725">
            <v>1.33</v>
          </cell>
          <cell r="F1725">
            <v>0</v>
          </cell>
        </row>
        <row r="1726">
          <cell r="B1726">
            <v>88393</v>
          </cell>
          <cell r="C1726" t="str">
            <v>MISTURADOR DE ARGAMASSA, EIXO HORIZONTAL, CAPACIDADE DE MISTURA 600 KG, MOTOR ELÉTRICO POTÊNCIA 7,5 CV - CHP DIURNO. AF_05/2023</v>
          </cell>
          <cell r="D1726" t="str">
            <v>CHP</v>
          </cell>
          <cell r="E1726">
            <v>6.6</v>
          </cell>
          <cell r="F1726">
            <v>0</v>
          </cell>
        </row>
        <row r="1727">
          <cell r="B1727">
            <v>90638</v>
          </cell>
          <cell r="C1727" t="str">
            <v>MISTURADOR DUPLO HORIZONTAL DE ALTA TURBULÊNCIA, CAPACIDADE / VOLUME 2 X 500 LITROS, MOTORES ELÉTRICOS MÍNIMO 5 CV CADA, PARA NATA CIMENTO, ARGAMASSA E OUTROS - CHI DIURNO. AF_06/2015</v>
          </cell>
          <cell r="D1727" t="str">
            <v>CHI</v>
          </cell>
          <cell r="E1727">
            <v>5.33</v>
          </cell>
          <cell r="F1727">
            <v>0</v>
          </cell>
        </row>
        <row r="1728">
          <cell r="B1728">
            <v>90637</v>
          </cell>
          <cell r="C1728" t="str">
            <v>MISTURADOR DUPLO HORIZONTAL DE ALTA TURBULÊNCIA, CAPACIDADE / VOLUME 2 X 500 LITROS, MOTORES ELÉTRICOS MÍNIMO 5 CV CADA, PARA NATA CIMENTO, ARGAMASSA E OUTROS - CHP DIURNO. AF_06/2015</v>
          </cell>
          <cell r="D1728" t="str">
            <v>CHP</v>
          </cell>
          <cell r="E1728">
            <v>15.51</v>
          </cell>
          <cell r="F1728">
            <v>0</v>
          </cell>
        </row>
        <row r="1729">
          <cell r="B1729">
            <v>103243</v>
          </cell>
          <cell r="C1729" t="str">
            <v>MISTURADOR PARA PREPARO DE LAMA ESTABILIZANTE COM CAPACIDADE DE *4000* L, COM BOMBA CENTRÍFUGA 5,5 HP A 23,07 HP, PARA SISTEMA DE FURO DIRECIONAL - CHI DIURNO. AF_05/2023</v>
          </cell>
          <cell r="D1729" t="str">
            <v>CHI</v>
          </cell>
          <cell r="E1729">
            <v>0</v>
          </cell>
        </row>
        <row r="1730">
          <cell r="B1730">
            <v>103242</v>
          </cell>
          <cell r="C1730" t="str">
            <v>MISTURADOR PARA PREPARO DE LAMA ESTABILIZANTE COM CAPACIDADE DE *4000* L, COM BOMBA CENTRÍFUGA 5,5 HP A 23,07 HP, PARA SISTEMA DE FURO DIRECIONAL - CHP DIURNO. AF_05/2023</v>
          </cell>
          <cell r="D1730" t="str">
            <v>CHP</v>
          </cell>
          <cell r="E1730">
            <v>0</v>
          </cell>
        </row>
        <row r="1731">
          <cell r="B1731">
            <v>5806</v>
          </cell>
          <cell r="C1731" t="str">
            <v>MOTOBOMBA CENTRÍFUGA, MOTOR A GASOLINA, POTÊNCIA 5,42 HP, BOCAIS 1 1/2" X 1", DIÂMETRO ROTOR 143 MM HM/Q = 6 MCA / 16,8 M3/H A 38 MCA / 6,6 M3/H - CHI DIURNO. AF_06/2014</v>
          </cell>
          <cell r="D1731" t="str">
            <v>CHI</v>
          </cell>
          <cell r="E1731">
            <v>0.23</v>
          </cell>
          <cell r="F1731">
            <v>0</v>
          </cell>
        </row>
        <row r="1732">
          <cell r="B1732">
            <v>73536</v>
          </cell>
          <cell r="C1732" t="str">
            <v>MOTOBOMBA CENTRÍFUGA, MOTOR A GASOLINA, POTÊNCIA 5,42 HP, BOCAIS 1 1/2" X 1", DIÂMETRO ROTOR 143 MM HM/Q = 6 MCA / 16,8 M3/H A 38 MCA / 6,6 M3/H - CHP DIURNO. AF_06/2014</v>
          </cell>
          <cell r="D1732" t="str">
            <v>CHP</v>
          </cell>
          <cell r="E1732">
            <v>21.63</v>
          </cell>
          <cell r="F1732">
            <v>0</v>
          </cell>
        </row>
        <row r="1733">
          <cell r="B1733">
            <v>7043</v>
          </cell>
          <cell r="C1733" t="str">
            <v>MOTOBOMBA TRASH (PARA ÁGUA SUJA) AUTO ESCORVANTE, MOTOR GASOLINA DE 6,41 HP, DIÂMETROS DE SUCÇÃO X RECALQUE: 3" X 3", HM/Q = 10 MCA / 60 M3/H A 23 MCA / 0 M3/H - CHI DIURNO. AF_10/2014</v>
          </cell>
          <cell r="D1733" t="str">
            <v>CHI</v>
          </cell>
          <cell r="E1733">
            <v>0.28999999999999998</v>
          </cell>
          <cell r="F1733">
            <v>0</v>
          </cell>
        </row>
        <row r="1734">
          <cell r="B1734">
            <v>7042</v>
          </cell>
          <cell r="C1734" t="str">
            <v>MOTOBOMBA TRASH (PARA ÁGUA SUJA) AUTO ESCORVANTE, MOTOR GASOLINA DE 6,41 HP, DIÂMETROS DE SUCÇÃO X RECALQUE: 3" X 3", HM/Q = 10 MCA / 60 M3/H A 23 MCA / 0 M3/H - CHP DIURNO. AF_10/2014</v>
          </cell>
          <cell r="D1734" t="str">
            <v>CHP</v>
          </cell>
          <cell r="E1734">
            <v>25.55</v>
          </cell>
          <cell r="F1734">
            <v>0</v>
          </cell>
        </row>
        <row r="1735">
          <cell r="B1735">
            <v>5934</v>
          </cell>
          <cell r="C1735" t="str">
            <v>MOTONIVELADORA POTÊNCIA BÁSICA LÍQUIDA (PRIMEIRA MARCHA) 125 HP, PESO BRUTO 13032 KG, LARGURA DA LÂMINA DE 3,7 M - CHI DIURNO. AF_06/2014</v>
          </cell>
          <cell r="D1735" t="str">
            <v>CHI</v>
          </cell>
          <cell r="E1735">
            <v>112.23</v>
          </cell>
          <cell r="F1735">
            <v>0</v>
          </cell>
        </row>
        <row r="1736">
          <cell r="B1736">
            <v>5932</v>
          </cell>
          <cell r="C1736" t="str">
            <v>MOTONIVELADORA POTÊNCIA BÁSICA LÍQUIDA (PRIMEIRA MARCHA) 125 HP, PESO BRUTO 13032 KG, LARGURA DA LÂMINA DE 3,7 M - CHP DIURNO. AF_06/2014</v>
          </cell>
          <cell r="D1736" t="str">
            <v>CHP</v>
          </cell>
          <cell r="E1736">
            <v>273.51</v>
          </cell>
          <cell r="F1736">
            <v>0</v>
          </cell>
        </row>
        <row r="1737">
          <cell r="B1737">
            <v>96159</v>
          </cell>
          <cell r="C1737" t="str">
            <v>MÁQUINA DEMARCADORA DE FAIXA DE TRÁFEGO À FRIO, AUTOPROPELIDA, POTÊNCIA 38 HP - CHI DIURNO. AF_07/2016</v>
          </cell>
          <cell r="D1737" t="str">
            <v>CHI</v>
          </cell>
          <cell r="E1737">
            <v>110.99</v>
          </cell>
          <cell r="F1737">
            <v>0</v>
          </cell>
        </row>
        <row r="1738">
          <cell r="B1738">
            <v>95133</v>
          </cell>
          <cell r="C1738" t="str">
            <v>MÁQUINA DEMARCADORA DE FAIXA DE TRÁFEGO À FRIO, AUTOPROPELIDA, POTÊNCIA 38 HP - CHP DIURNO. AF_07/2016</v>
          </cell>
          <cell r="D1738" t="str">
            <v>CHP</v>
          </cell>
          <cell r="E1738">
            <v>207.7</v>
          </cell>
          <cell r="F1738">
            <v>0</v>
          </cell>
        </row>
        <row r="1739">
          <cell r="B1739">
            <v>102986</v>
          </cell>
          <cell r="C1739" t="str">
            <v>MÁQUINA DEMARCADORA DE FAIXA DE TRÁFEGO À FRIO, TRAÇÃO MANUAL, 4 CV, PRESSÃO MAX 3300 PSI, TANQUE 20 L - CHI DIURNO. AF_06/2021</v>
          </cell>
          <cell r="D1739" t="str">
            <v>CHI</v>
          </cell>
          <cell r="E1739">
            <v>0</v>
          </cell>
        </row>
        <row r="1740">
          <cell r="B1740">
            <v>102987</v>
          </cell>
          <cell r="C1740" t="str">
            <v>MÁQUINA DEMARCADORA DE FAIXA DE TRÁFEGO À FRIO, TRAÇÃO MANUAL, 4 CV, PRESSÃO MAX 3300 PSI, TANQUE 20 L - CHP DIURNO. AF_06/2021</v>
          </cell>
          <cell r="D1740" t="str">
            <v>CHP</v>
          </cell>
          <cell r="E1740">
            <v>0</v>
          </cell>
        </row>
        <row r="1741">
          <cell r="B1741">
            <v>92961</v>
          </cell>
          <cell r="C1741" t="str">
            <v>MÁQUINA EXTRUSORA DE CONCRETO PARA GUIAS E SARJETAS, MOTOR A DIESEL, POTÊNCIA 14 CV - CHI DIURNO. AF_12/2015</v>
          </cell>
          <cell r="D1741" t="str">
            <v>CHI</v>
          </cell>
          <cell r="E1741">
            <v>5.22</v>
          </cell>
          <cell r="F1741">
            <v>0</v>
          </cell>
        </row>
        <row r="1742">
          <cell r="B1742">
            <v>92960</v>
          </cell>
          <cell r="C1742" t="str">
            <v>MÁQUINA EXTRUSORA DE CONCRETO PARA GUIAS E SARJETAS, MOTOR A DIESEL, POTÊNCIA 14 CV - CHP DIURNO. AF_12/2015</v>
          </cell>
          <cell r="D1742" t="str">
            <v>CHP</v>
          </cell>
          <cell r="E1742">
            <v>19.25</v>
          </cell>
          <cell r="F1742">
            <v>0</v>
          </cell>
        </row>
        <row r="1743">
          <cell r="B1743">
            <v>102863</v>
          </cell>
          <cell r="C1743" t="str">
            <v>MÁQUINA FORMER DOBRAS DIVERSAS: 220V/380V TRIFÁSICO OU MONOFÁSICO, CAPACIDADE 0,5-1,27MM, MOTOR 2CV - CHI DIURNO. AF_05/2023</v>
          </cell>
          <cell r="D1743" t="str">
            <v>CHI</v>
          </cell>
          <cell r="E1743">
            <v>0</v>
          </cell>
        </row>
        <row r="1744">
          <cell r="B1744">
            <v>102862</v>
          </cell>
          <cell r="C1744" t="str">
            <v>MÁQUINA FORMER DOBRAS DIVERSAS: 220V/380V TRIFÁSICO OU MONOFÁSICO, CAPACIDADE 0,5-1,27MM, MOTOR 2CV - CHP DIURNO. AF_05/2023</v>
          </cell>
          <cell r="D1744" t="str">
            <v>CHP</v>
          </cell>
          <cell r="E1744">
            <v>0</v>
          </cell>
        </row>
        <row r="1745">
          <cell r="B1745">
            <v>93409</v>
          </cell>
          <cell r="C1745" t="str">
            <v>MÁQUINA JATO DE PRESSAO PORTÁTIL, CAMARA DE 1 SAIDA, CAPACIDADE 280 L, DIAMETRO 670 MM, BICO DE JATO CURTO VENTURI DE 5/16", MANGUEIRA DE 1" COM COMPRESSOR DE AR REBOCÁVEL 189 PCM E MOTOR DIESEL 63 CV - CHI DIURNO. AF_05/2023</v>
          </cell>
          <cell r="D1745" t="str">
            <v>CHI</v>
          </cell>
          <cell r="E1745">
            <v>39.22</v>
          </cell>
          <cell r="F1745">
            <v>0</v>
          </cell>
        </row>
        <row r="1746">
          <cell r="B1746">
            <v>93408</v>
          </cell>
          <cell r="C1746" t="str">
            <v>MÁQUINA JATO DE PRESSAO PORTÁTIL, CAMARA DE 1 SAIDA, CAPACIDADE 280 L, DIAMETRO 670 MM, BICO DE JATO CURTO VENTURI DE 5/16", MANGUEIRA DE 1" COM COMPRESSOR DE AR REBOCÁVEL 189 PCM E MOTOR DIESEL 63 CV - CHP DIURNO. AF_05/2023</v>
          </cell>
          <cell r="D1746" t="str">
            <v>CHP</v>
          </cell>
          <cell r="E1746">
            <v>96.27</v>
          </cell>
          <cell r="F1746">
            <v>0</v>
          </cell>
        </row>
        <row r="1747">
          <cell r="B1747">
            <v>102941</v>
          </cell>
          <cell r="C1747" t="str">
            <v>MÁQUINA METALEIRA UNIVERSAL MODELO IW 110/180 BTD - CHI DIURNO. AF_05/2023</v>
          </cell>
          <cell r="D1747" t="str">
            <v>CHI</v>
          </cell>
          <cell r="E1747">
            <v>0</v>
          </cell>
        </row>
        <row r="1748">
          <cell r="B1748">
            <v>102940</v>
          </cell>
          <cell r="C1748" t="str">
            <v>MÁQUINA METALEIRA UNIVERSAL MODELO IW 110/180 BTD - CHP DIURNO. AF_05/2023</v>
          </cell>
          <cell r="D1748" t="str">
            <v>CHP</v>
          </cell>
          <cell r="E1748">
            <v>0</v>
          </cell>
        </row>
        <row r="1749">
          <cell r="B1749">
            <v>103164</v>
          </cell>
          <cell r="C1749" t="str">
            <v>MÁQUINA PARA SOLDA POR ELETROFUSÃO PARA TUBOS DE POLIETILENO DE ALTA DENSIDADE (PEAD) COM DIÂMETRO EXTERNO DE 20 A 1600 MM, POTÊNCIA DE 3500 W - CHI DIURNO. AF_05/2023</v>
          </cell>
          <cell r="D1749" t="str">
            <v>CHI</v>
          </cell>
          <cell r="E1749">
            <v>0</v>
          </cell>
        </row>
        <row r="1750">
          <cell r="B1750">
            <v>103163</v>
          </cell>
          <cell r="C1750" t="str">
            <v>MÁQUINA PARA SOLDA POR ELETROFUSÃO PARA TUBOS DE POLIETILENO DE ALTA DENSIDADE (PEAD) COM DIÂMETRO EXTERNO DE 20 A 1600 MM, POTÊNCIA DE 3500 W - CHP DIURNO. AF_05/2023</v>
          </cell>
          <cell r="D1750" t="str">
            <v>CHP</v>
          </cell>
          <cell r="E1750">
            <v>0</v>
          </cell>
        </row>
        <row r="1751">
          <cell r="B1751">
            <v>103158</v>
          </cell>
          <cell r="C1751" t="str">
            <v>MÁQUINA PARA SOLDA POR ELETROFUSÃO PARA TUBOS DE POLIETILENO DE ALTA DENSIDADE (PEAD) COM DIÂMETRO EXTERNO DE 20 A 800 MM, POTÊNCIA ENTRE 2750 E 3000 W - CHI DIURNO. AF_05/2023</v>
          </cell>
          <cell r="D1751" t="str">
            <v>CHI</v>
          </cell>
          <cell r="E1751">
            <v>0</v>
          </cell>
        </row>
        <row r="1752">
          <cell r="B1752">
            <v>103157</v>
          </cell>
          <cell r="C1752" t="str">
            <v>MÁQUINA PARA SOLDA POR ELETROFUSÃO PARA TUBOS DE POLIETILENO DE ALTA DENSIDADE (PEAD) COM DIÂMETRO EXTERNO DE 20 A 800 MM, POTÊNCIA ENTRE 2750 E 3000 W - CHP DIURNO. AF_05/2023</v>
          </cell>
          <cell r="D1752" t="str">
            <v>CHP</v>
          </cell>
          <cell r="E1752">
            <v>0</v>
          </cell>
        </row>
        <row r="1753">
          <cell r="B1753">
            <v>103176</v>
          </cell>
          <cell r="C1753" t="str">
            <v>MÁQUINA PARA SOLDA POR TERMOFUSÃO PARA TUBOS DE POLIETILENO DE ALTA DENSIDADE (PEAD) COM DIÂMETRO EXTERNO DE 315 A 630 MM, POTÊNCIA ENTRE 8000 E 12350 W - CHI DIURNO. AF_05/2023</v>
          </cell>
          <cell r="D1753" t="str">
            <v>CHI</v>
          </cell>
          <cell r="E1753">
            <v>0</v>
          </cell>
        </row>
        <row r="1754">
          <cell r="B1754">
            <v>103175</v>
          </cell>
          <cell r="C1754" t="str">
            <v>MÁQUINA PARA SOLDA POR TERMOFUSÃO PARA TUBOS DE POLIETILENO DE ALTA DENSIDADE (PEAD) COM DIÂMETRO EXTERNO DE 315 A 630 MM, POTÊNCIA ENTRE 8000 E 12350 W - CHP DIURNO. AF_05/2023</v>
          </cell>
          <cell r="D1754" t="str">
            <v>CHP</v>
          </cell>
          <cell r="E1754">
            <v>0</v>
          </cell>
        </row>
        <row r="1755">
          <cell r="B1755">
            <v>103182</v>
          </cell>
          <cell r="C1755" t="str">
            <v>MÁQUINA PARA SOLDA POR TERMOFUSÃO PARA TUBOS DE POLIETILENO DE ALTA DENSIDADE (PEAD) COM DIÂMETRO EXTERNO DE 710 A 1200 MM, POTÊNCIA ENTRE 16000 E 29500 W - CHI DIURNO. AF_05/2023</v>
          </cell>
          <cell r="D1755" t="str">
            <v>CHI</v>
          </cell>
          <cell r="E1755">
            <v>0</v>
          </cell>
        </row>
        <row r="1756">
          <cell r="B1756">
            <v>103181</v>
          </cell>
          <cell r="C1756" t="str">
            <v>MÁQUINA PARA SOLDA POR TERMOFUSÃO PARA TUBOS DE POLIETILENO DE ALTA DENSIDADE (PEAD) COM DIÂMETRO EXTERNO DE 710 A 1200 MM, POTÊNCIA ENTRE 16000 E 29500 W - CHP DIURNO. AF_05/2023</v>
          </cell>
          <cell r="D1756" t="str">
            <v>CHP</v>
          </cell>
          <cell r="E1756">
            <v>0</v>
          </cell>
        </row>
        <row r="1757">
          <cell r="B1757">
            <v>103170</v>
          </cell>
          <cell r="C1757" t="str">
            <v>MÁQUINA PARA SOLDA POR TERMOFUSÃO PARA TUBOS DE POLIETILENO DE ALTA DENSIDADE (PEAD) COM DIÂMETRO EXTERNO DE 90 A 315 MM, POTÊNCIA ENTRE 2500 E 5350 W - CHI DIURNO. AF_05/2023</v>
          </cell>
          <cell r="D1757" t="str">
            <v>CHI</v>
          </cell>
          <cell r="E1757">
            <v>0</v>
          </cell>
        </row>
        <row r="1758">
          <cell r="B1758">
            <v>103169</v>
          </cell>
          <cell r="C1758" t="str">
            <v>MÁQUINA PARA SOLDA POR TERMOFUSÃO PARA TUBOS DE POLIETILENO DE ALTA DENSIDADE (PEAD) COM DIÂMETRO EXTERNO DE 90 A 315 MM, POTÊNCIA ENTRE 2500 E 5350 W - CHP DIURNO. AF_05/2023</v>
          </cell>
          <cell r="D1758" t="str">
            <v>CHP</v>
          </cell>
          <cell r="E1758">
            <v>0</v>
          </cell>
        </row>
        <row r="1759">
          <cell r="B1759">
            <v>102869</v>
          </cell>
          <cell r="C1759" t="str">
            <v>MÁQUINA SOLDA ARCO COM PISTOLA DE SOLDAGEM PARA STUD BOLT DE 5 MM A 22 MM - CHI DIURNO. AF_05/2023</v>
          </cell>
          <cell r="D1759" t="str">
            <v>CHI</v>
          </cell>
          <cell r="E1759">
            <v>0</v>
          </cell>
        </row>
        <row r="1760">
          <cell r="B1760">
            <v>102868</v>
          </cell>
          <cell r="C1760" t="str">
            <v>MÁQUINA SOLDA ARCO COM PISTOLA DE SOLDAGEM PARA STUD BOLT DE 5 MM A 22 MM - CHP DIURNO. AF_05/2023</v>
          </cell>
          <cell r="D1760" t="str">
            <v>CHP</v>
          </cell>
          <cell r="E1760">
            <v>0</v>
          </cell>
        </row>
        <row r="1761">
          <cell r="B1761">
            <v>106326</v>
          </cell>
          <cell r="C1761" t="str">
            <v>PENEIRA ROTATIVA COM MOTOR ELÉTRICO MONOFÁSICO DE *0,5 A 1,0* CV, CILINDRO COM DIÂMETRO DE *0,48 A 0,85* M E COMPRIMENTO DE *1,0 A 1,65* M - CHI DIURNO. AF_11/2025</v>
          </cell>
          <cell r="D1761" t="str">
            <v>CHI</v>
          </cell>
          <cell r="E1761">
            <v>0</v>
          </cell>
        </row>
        <row r="1762">
          <cell r="B1762">
            <v>106325</v>
          </cell>
          <cell r="C1762" t="str">
            <v>PENEIRA ROTATIVA COM MOTOR ELÉTRICO MONOFÁSICO DE *0,5 A 1,0* CV, CILINDRO COM DIÂMETRO DE *0,48 A 0,85* M E COMPRIMENTO DE *1,0 A 1,65* M - CHP DIURNO. AF_11/2025</v>
          </cell>
          <cell r="D1762" t="str">
            <v>CHP</v>
          </cell>
          <cell r="E1762">
            <v>0</v>
          </cell>
        </row>
        <row r="1763">
          <cell r="B1763">
            <v>92113</v>
          </cell>
          <cell r="C1763" t="str">
            <v>PENEIRA ROTATIVA COM MOTOR ELÉTRICO TRIFÁSICO DE 2 CV, CILINDRO DE 1 M X 0,60 M, COM FUROS DE 3,17 MM - CHI DIURNO. AF_05/2023</v>
          </cell>
          <cell r="D1763" t="str">
            <v>CHI</v>
          </cell>
          <cell r="E1763">
            <v>1.24</v>
          </cell>
          <cell r="F1763">
            <v>0</v>
          </cell>
        </row>
        <row r="1764">
          <cell r="B1764">
            <v>92112</v>
          </cell>
          <cell r="C1764" t="str">
            <v>PENEIRA ROTATIVA COM MOTOR ELÉTRICO TRIFÁSICO DE 2 CV, CILINDRO DE 1 M X 0,60 M, COM FUROS DE 3,17 MM - CHP DIURNO. AF_05/2023</v>
          </cell>
          <cell r="D1764" t="str">
            <v>CHP</v>
          </cell>
          <cell r="E1764">
            <v>3.58</v>
          </cell>
          <cell r="F1764">
            <v>0</v>
          </cell>
        </row>
        <row r="1765">
          <cell r="B1765">
            <v>90675</v>
          </cell>
          <cell r="C1765" t="str">
            <v>PERFURATRIZ COM TORRE METÁLICA PARA EXECUÇÃO DE ESTACA HÉLICE CONTÍNUA, PROFUNDIDADE MÁXIMA DE 30 M, DIÂMETRO MÁXIMO DE 800 MM, POTÊNCIA INSTALADA DE 268 HP, MESA ROTATIVA COM TORQUE MÁXIMO DE 170 KNM - CHI DIURNO. AF_06/2015</v>
          </cell>
          <cell r="D1765" t="str">
            <v>CHI</v>
          </cell>
          <cell r="E1765">
            <v>348.69</v>
          </cell>
          <cell r="F1765">
            <v>0</v>
          </cell>
        </row>
        <row r="1766">
          <cell r="B1766">
            <v>90674</v>
          </cell>
          <cell r="C1766" t="str">
            <v>PERFURATRIZ COM TORRE METÁLICA PARA EXECUÇÃO DE ESTACA HÉLICE CONTÍNUA, PROFUNDIDADE MÁXIMA DE 30 M, DIÂMETRO MÁXIMO DE 800 MM, POTÊNCIA INSTALADA DE 268 HP, MESA ROTATIVA COM TORQUE MÁXIMO DE 170 KNM - CHP DIURNO. AF_06/2015</v>
          </cell>
          <cell r="D1766" t="str">
            <v>CHP</v>
          </cell>
          <cell r="E1766">
            <v>775.33</v>
          </cell>
          <cell r="F1766">
            <v>0</v>
          </cell>
        </row>
        <row r="1767">
          <cell r="B1767">
            <v>93225</v>
          </cell>
          <cell r="C1767" t="str">
            <v>PERFURATRIZ COM TORRE METÁLICA PARA EXECUÇÃO DE ESTACA HÉLICE CONTÍNUA, PROFUNDIDADE MÁXIMA DE 32 M, DIÂMETRO MÁXIMO DE 1000 MM, POTÊNCIA INSTALADA DE 350 HP, MESA ROTATIVA COM TORQUE MÁXIMO DE 263 KNM - CHI DIURNO. AF_01/2016</v>
          </cell>
          <cell r="D1767" t="str">
            <v>CHI</v>
          </cell>
          <cell r="E1767">
            <v>513.83000000000004</v>
          </cell>
          <cell r="F1767">
            <v>0</v>
          </cell>
        </row>
        <row r="1768">
          <cell r="B1768">
            <v>93224</v>
          </cell>
          <cell r="C1768" t="str">
            <v>PERFURATRIZ COM TORRE METÁLICA PARA EXECUÇÃO DE ESTACA HÉLICE CONTÍNUA, PROFUNDIDADE MÁXIMA DE 32 M, DIÂMETRO MÁXIMO DE 1000 MM, POTÊNCIA INSTALADA DE 350 HP, MESA ROTATIVA COM TORQUE MÁXIMO DE 263 KNM - CHP DIURNO. AF_01/2016</v>
          </cell>
          <cell r="D1768" t="str">
            <v>CHP</v>
          </cell>
          <cell r="E1768">
            <v>1140.5</v>
          </cell>
          <cell r="F1768">
            <v>0</v>
          </cell>
        </row>
        <row r="1769">
          <cell r="B1769">
            <v>104696</v>
          </cell>
          <cell r="C1769" t="str">
            <v>PERFURATRIZ DE COROA DIAMANTADA PARA CONCRETO, DIÂMETRO ATÉ 250 MM, MOTOR ELÉTRICO 220 V, POTÊNCIA 2.500 W - CHI DIURNO. AF_05/2023</v>
          </cell>
          <cell r="D1769" t="str">
            <v>CHI</v>
          </cell>
          <cell r="E1769">
            <v>40.25</v>
          </cell>
          <cell r="F1769">
            <v>0</v>
          </cell>
        </row>
        <row r="1770">
          <cell r="B1770">
            <v>104695</v>
          </cell>
          <cell r="C1770" t="str">
            <v>PERFURATRIZ DE COROA DIAMANTADA PARA CONCRETO, DIÂMETRO ATÉ 250 MM, MOTOR ELÉTRICO 220 V, POTÊNCIA 2.500 W - CHP DIURNO. AF_05/2023</v>
          </cell>
          <cell r="D1770" t="str">
            <v>CHP</v>
          </cell>
          <cell r="E1770">
            <v>43.31</v>
          </cell>
          <cell r="F1770">
            <v>0</v>
          </cell>
        </row>
        <row r="1771">
          <cell r="B1771">
            <v>90681</v>
          </cell>
          <cell r="C1771" t="str">
            <v>PERFURATRIZ HIDRÁULICA SOBRE CAMINHÃO COM TRADO CURTO ACOPLADO, PROFUNDIDADE MÁXIMA DE 20 M, DIÂMETRO MÁXIMO DE 1500 MM, POTÊNCIA INSTALADA DE 137 HP, MESA ROTATIVA COM TORQUE MÁXIMO DE 30 KNM - CHI DIURNO. AF_06/2015</v>
          </cell>
          <cell r="D1771" t="str">
            <v>CHI</v>
          </cell>
          <cell r="E1771">
            <v>182.19</v>
          </cell>
          <cell r="F1771">
            <v>0</v>
          </cell>
        </row>
        <row r="1772">
          <cell r="B1772">
            <v>90680</v>
          </cell>
          <cell r="C1772" t="str">
            <v>PERFURATRIZ HIDRÁULICA SOBRE CAMINHÃO COM TRADO CURTO ACOPLADO, PROFUNDIDADE MÁXIMA DE 20 M, DIÂMETRO MÁXIMO DE 1500 MM, POTÊNCIA INSTALADA DE 137 HP, MESA ROTATIVA COM TORQUE MÁXIMO DE 30 KNM - CHP DIURNO. AF_06/2015</v>
          </cell>
          <cell r="D1772" t="str">
            <v>CHP</v>
          </cell>
          <cell r="E1772">
            <v>415.85</v>
          </cell>
          <cell r="F1772">
            <v>0</v>
          </cell>
        </row>
        <row r="1773">
          <cell r="B1773">
            <v>102875</v>
          </cell>
          <cell r="C1773" t="str">
            <v>PERFURATRIZ HIDRÁULICA SOBRE ESTEIRA, TORQUE MÁXIMO 161 KNM, PROFUNDIDADE MÁXIMA 54 M, DIÂMETRO MÁXIMO 1500 MM, POTÊNCIA MOTOR 268 HP - CHI DIURNO. AF_04/2019</v>
          </cell>
          <cell r="D1773" t="str">
            <v>CHI</v>
          </cell>
          <cell r="E1773">
            <v>491.29</v>
          </cell>
          <cell r="F1773">
            <v>0</v>
          </cell>
        </row>
        <row r="1774">
          <cell r="B1774">
            <v>102874</v>
          </cell>
          <cell r="C1774" t="str">
            <v>PERFURATRIZ HIDRÁULICA SOBRE ESTEIRA, TORQUE MÁXIMO 161 KNM, PROFUNDIDADE MÁXIMA 54 M, DIÂMETRO MÁXIMO 1500 MM, POTÊNCIA MOTOR 268 HP - CHP DIURNO. AF_04/2019</v>
          </cell>
          <cell r="D1774" t="str">
            <v>CHP</v>
          </cell>
          <cell r="E1774">
            <v>1057.97</v>
          </cell>
          <cell r="F1774">
            <v>0</v>
          </cell>
        </row>
        <row r="1775">
          <cell r="B1775">
            <v>102965</v>
          </cell>
          <cell r="C1775" t="str">
            <v>PERFURATRIZ HIDRÁULICA SOBRE ESTEIRA, TORQUE MÁXIMO 98 KNM, PROFUNDIDADE MÁXIMA 25 M, DIÂMETRO MÁXIMO 115 MM, POTÊNCIA MOTOR 190 HP - CHI DIURNO. AF_02/2021</v>
          </cell>
          <cell r="D1775" t="str">
            <v>CHI</v>
          </cell>
          <cell r="E1775">
            <v>258.52999999999997</v>
          </cell>
          <cell r="F1775">
            <v>0</v>
          </cell>
        </row>
        <row r="1776">
          <cell r="B1776">
            <v>102964</v>
          </cell>
          <cell r="C1776" t="str">
            <v>PERFURATRIZ HIDRÁULICA SOBRE ESTEIRA, TORQUE MÁXIMO 98 KNM, PROFUNDIDADE MÁXIMA 25 M, DIÂMETRO MÁXIMO 115 MM, POTÊNCIA MOTOR 190 HP - CHP DIURNO. AF_02/2021</v>
          </cell>
          <cell r="D1776" t="str">
            <v>CHP</v>
          </cell>
          <cell r="E1776">
            <v>506.49</v>
          </cell>
          <cell r="F1776">
            <v>0</v>
          </cell>
        </row>
        <row r="1777">
          <cell r="B1777">
            <v>90626</v>
          </cell>
          <cell r="C1777" t="str">
            <v>PERFURATRIZ MANUAL, TORQUE MÁXIMO 83 N.M, POTÊNCIA 5 CV, COM DIÂMETRO MÁXIMO 4" - CHI DIURNO. AF_06/2015</v>
          </cell>
          <cell r="D1777" t="str">
            <v>CHI</v>
          </cell>
          <cell r="E1777">
            <v>3.05</v>
          </cell>
          <cell r="F1777">
            <v>0</v>
          </cell>
        </row>
        <row r="1778">
          <cell r="B1778">
            <v>90625</v>
          </cell>
          <cell r="C1778" t="str">
            <v>PERFURATRIZ MANUAL, TORQUE MÁXIMO 83 N.M, POTÊNCIA 5 CV, COM DIÂMETRO MÁXIMO 4" - CHP DIURNO. AF_06/2015</v>
          </cell>
          <cell r="D1778" t="str">
            <v>CHP</v>
          </cell>
          <cell r="E1778">
            <v>8.8800000000000008</v>
          </cell>
          <cell r="F1778">
            <v>0</v>
          </cell>
        </row>
        <row r="1779">
          <cell r="B1779">
            <v>102881</v>
          </cell>
          <cell r="C1779" t="str">
            <v>PERFURATRIZ PARA EXECUÇÃO DE ESTACAS SECANTES, TIPO HÉLICE CONTÍNUA COM CABEÇOTE DUPLO E TUBO METÁLICO - CHI DIURNO. AF_04/2019</v>
          </cell>
          <cell r="D1779" t="str">
            <v>CHI</v>
          </cell>
          <cell r="E1779">
            <v>667.51</v>
          </cell>
          <cell r="F1779">
            <v>0</v>
          </cell>
        </row>
        <row r="1780">
          <cell r="B1780">
            <v>102880</v>
          </cell>
          <cell r="C1780" t="str">
            <v>PERFURATRIZ PARA EXECUÇÃO DE ESTACAS SECANTES, TIPO HÉLICE CONTÍNUA COM CABEÇOTE DUPLO E TUBO METÁLICO - CHP DIURNO. AF_04/2019</v>
          </cell>
          <cell r="D1780" t="str">
            <v>CHP</v>
          </cell>
          <cell r="E1780">
            <v>1468.49</v>
          </cell>
          <cell r="F1780">
            <v>0</v>
          </cell>
        </row>
        <row r="1781">
          <cell r="B1781">
            <v>103225</v>
          </cell>
          <cell r="C1781" t="str">
            <v>PERFURATRIZ PARA FURO DIRECIONAL HORIZONTAL (HDD) COM CAPACIDADE ATÉ 89 KN, POTÊNCIA 24,8 HP A 80 HP (INCLUSO FERRAMENTAS E LOCALIZADOR) - CHI DIURNO. AF_05/2023</v>
          </cell>
          <cell r="D1781" t="str">
            <v>CHI</v>
          </cell>
          <cell r="E1781">
            <v>231.25</v>
          </cell>
          <cell r="F1781">
            <v>0</v>
          </cell>
        </row>
        <row r="1782">
          <cell r="B1782">
            <v>103224</v>
          </cell>
          <cell r="C1782" t="str">
            <v>PERFURATRIZ PARA FURO DIRECIONAL HORIZONTAL (HDD) COM CAPACIDADE ATÉ 89 KN, POTÊNCIA 24,8 HP A 80 HP (INCLUSO FERRAMENTAS E LOCALIZADOR) - CHP DIURNO. AF_05/2023</v>
          </cell>
          <cell r="D1782" t="str">
            <v>CHP</v>
          </cell>
          <cell r="E1782">
            <v>456.12</v>
          </cell>
          <cell r="F1782">
            <v>0</v>
          </cell>
        </row>
        <row r="1783">
          <cell r="B1783">
            <v>103237</v>
          </cell>
          <cell r="C1783" t="str">
            <v>PERFURATRIZ PARA FURO DIRECIONAL HORIZONTAL (HDD) COM CAPACIDADE DE 201 KN A 560 KN, POTÊNCIA 200 HP A 260 HP (INCLUSO FERRAMENTAS E LOCALIZADOR) - CHI DIURNO. AF_05/2023</v>
          </cell>
          <cell r="D1783" t="str">
            <v>CHI</v>
          </cell>
          <cell r="E1783">
            <v>642.04</v>
          </cell>
          <cell r="F1783">
            <v>0</v>
          </cell>
        </row>
        <row r="1784">
          <cell r="B1784">
            <v>103236</v>
          </cell>
          <cell r="C1784" t="str">
            <v>PERFURATRIZ PARA FURO DIRECIONAL HORIZONTAL (HDD) COM CAPACIDADE DE 201 KN A 560 KN, POTÊNCIA 200 HP A 260 HP (INCLUSO FERRAMENTAS E LOCALIZADOR) - CHP DIURNO. AF_05/2023</v>
          </cell>
          <cell r="D1784" t="str">
            <v>CHP</v>
          </cell>
          <cell r="E1784">
            <v>1369.5</v>
          </cell>
          <cell r="F1784">
            <v>0</v>
          </cell>
        </row>
        <row r="1785">
          <cell r="B1785">
            <v>103231</v>
          </cell>
          <cell r="C1785" t="str">
            <v>PERFURATRIZ PARA FURO DIRECIONAL HORIZONTAL (HDD) COM CAPACIDADE DE 90 KN A 200 KN, POTÊNCIA 100 HP A 160 HP (INCLUSO FERRAMENTAS E LOCALIZADOR) - CHI DIURNO. AF_05/2023</v>
          </cell>
          <cell r="D1785" t="str">
            <v>CHI</v>
          </cell>
          <cell r="E1785">
            <v>479.99</v>
          </cell>
          <cell r="F1785">
            <v>0</v>
          </cell>
        </row>
        <row r="1786">
          <cell r="B1786">
            <v>103230</v>
          </cell>
          <cell r="C1786" t="str">
            <v>PERFURATRIZ PARA FURO DIRECIONAL HORIZONTAL (HDD) COM CAPACIDADE DE 90 KN A 200 KN, POTÊNCIA 100 HP A 160 HP (INCLUSO FERRAMENTAS E LOCALIZADOR) - CHP DIURNO. AF_05/2023</v>
          </cell>
          <cell r="D1786" t="str">
            <v>CHP</v>
          </cell>
          <cell r="E1786">
            <v>1002.58</v>
          </cell>
          <cell r="F1786">
            <v>0</v>
          </cell>
        </row>
        <row r="1787">
          <cell r="B1787">
            <v>102975</v>
          </cell>
          <cell r="C1787" t="str">
            <v>PERFURATRIZ ROTATIVA SOBRE ESTEIRA, TORQUE MAXIMO 2500 KGM, POTENCIA 110 HP, MOTOR DIESEL - CHI DIURNO. AF_05/2017</v>
          </cell>
          <cell r="D1787" t="str">
            <v>CHI</v>
          </cell>
          <cell r="E1787">
            <v>156.88999999999999</v>
          </cell>
          <cell r="F1787">
            <v>0</v>
          </cell>
        </row>
        <row r="1788">
          <cell r="B1788">
            <v>102976</v>
          </cell>
          <cell r="C1788" t="str">
            <v>PERFURATRIZ ROTATIVA SOBRE ESTEIRA, TORQUE MAXIMO 2500 KGM, POTENCIA 110 HP, MOTOR DIESEL- CHP DIURNO. AF_05/2017</v>
          </cell>
          <cell r="D1788" t="str">
            <v>CHP</v>
          </cell>
          <cell r="E1788">
            <v>293.14999999999998</v>
          </cell>
          <cell r="F1788">
            <v>0</v>
          </cell>
        </row>
        <row r="1789">
          <cell r="B1789">
            <v>90632</v>
          </cell>
          <cell r="C1789" t="str">
            <v>PERFURATRIZ SOBRE ESTEIRA, TORQUE MÁXIMO 600 KGF, PESO MÉDIO 1000 KG, POTÊNCIA 20 HP, DIÂMETRO MÁXIMO 10" - CHI DIURNO. AF_06/2015</v>
          </cell>
          <cell r="D1789" t="str">
            <v>CHI</v>
          </cell>
          <cell r="E1789">
            <v>107.68</v>
          </cell>
          <cell r="F1789">
            <v>0</v>
          </cell>
        </row>
        <row r="1790">
          <cell r="B1790">
            <v>90631</v>
          </cell>
          <cell r="C1790" t="str">
            <v>PERFURATRIZ SOBRE ESTEIRA, TORQUE MÁXIMO 600 KGF, PESO MÉDIO 1000 KG, POTÊNCIA 20 HP, DIÂMETRO MÁXIMO 10" - CHP DIURNO. AF_06/2015</v>
          </cell>
          <cell r="D1790" t="str">
            <v>CHP</v>
          </cell>
          <cell r="E1790">
            <v>176.69</v>
          </cell>
          <cell r="F1790">
            <v>0</v>
          </cell>
        </row>
        <row r="1791">
          <cell r="B1791">
            <v>95709</v>
          </cell>
          <cell r="C1791" t="str">
            <v>PERFURATRIZ SOBRE ESTEIRA, TORQUE MÁXIMO 600 KGF, POTÊNCIA ENTRE 50 E 60 HP, DIÂMETRO MÁXIMO 10" - CHI DIURNO. AF_11/2016</v>
          </cell>
          <cell r="D1791" t="str">
            <v>CHI</v>
          </cell>
          <cell r="E1791">
            <v>108.36</v>
          </cell>
          <cell r="F1791">
            <v>0</v>
          </cell>
        </row>
        <row r="1792">
          <cell r="B1792">
            <v>95708</v>
          </cell>
          <cell r="C1792" t="str">
            <v>PERFURATRIZ SOBRE ESTEIRA, TORQUE MÁXIMO 600 KGF, POTÊNCIA ENTRE 50 E 60 HP, DIÂMETRO MÁXIMO 10" - CHP DIURNO. AF_11/2016</v>
          </cell>
          <cell r="D1792" t="str">
            <v>CHP</v>
          </cell>
          <cell r="E1792">
            <v>180.3</v>
          </cell>
          <cell r="F1792">
            <v>0</v>
          </cell>
        </row>
        <row r="1793">
          <cell r="B1793">
            <v>91278</v>
          </cell>
          <cell r="C1793" t="str">
            <v>PLACA VIBRATÓRIA REVERSÍVEL COM MOTOR 4 TEMPOS A GASOLINA, FORÇA CENTRÍFUGA DE 25 KN (2500 KGF), POTÊNCIA 5,5 CV - CHI DIURNO. AF_08/2015</v>
          </cell>
          <cell r="D1793" t="str">
            <v>CHI</v>
          </cell>
          <cell r="E1793">
            <v>0.77</v>
          </cell>
          <cell r="F1793">
            <v>0</v>
          </cell>
        </row>
        <row r="1794">
          <cell r="B1794">
            <v>91277</v>
          </cell>
          <cell r="C1794" t="str">
            <v>PLACA VIBRATÓRIA REVERSÍVEL COM MOTOR 4 TEMPOS A GASOLINA, FORÇA CENTRÍFUGA DE 25 KN (2500 KGF), POTÊNCIA 5,5 CV - CHP DIURNO. AF_08/2015</v>
          </cell>
          <cell r="D1794" t="str">
            <v>CHP</v>
          </cell>
          <cell r="E1794">
            <v>10.4</v>
          </cell>
          <cell r="F1794">
            <v>0</v>
          </cell>
        </row>
        <row r="1795">
          <cell r="B1795">
            <v>102887</v>
          </cell>
          <cell r="C1795" t="str">
            <v>PLATAFORMA ELEVATÓRIA - CHI DIURNO. AF_04/2019</v>
          </cell>
          <cell r="D1795" t="str">
            <v>CHI</v>
          </cell>
          <cell r="E1795">
            <v>0</v>
          </cell>
        </row>
        <row r="1796">
          <cell r="B1796">
            <v>102886</v>
          </cell>
          <cell r="C1796" t="str">
            <v>PLATAFORMA ELEVATÓRIA - CHP DIURNO. AF_04/2019</v>
          </cell>
          <cell r="D1796" t="str">
            <v>CHP</v>
          </cell>
          <cell r="E1796">
            <v>0</v>
          </cell>
        </row>
        <row r="1797">
          <cell r="B1797">
            <v>95277</v>
          </cell>
          <cell r="C1797" t="str">
            <v>POLIDORA DE PISO (POLITRIZ), PESO DE 100KG, DIÂMETRO 450 MM, MOTOR ELÉTRICO, POTÊNCIA 4 HP - CHI DIURNO. AF_05/2023</v>
          </cell>
          <cell r="D1797" t="str">
            <v>CHI</v>
          </cell>
          <cell r="E1797">
            <v>0.73</v>
          </cell>
          <cell r="F1797">
            <v>0</v>
          </cell>
        </row>
        <row r="1798">
          <cell r="B1798">
            <v>95276</v>
          </cell>
          <cell r="C1798" t="str">
            <v>POLIDORA DE PISO (POLITRIZ), PESO DE 100KG, DIÂMETRO 450 MM, MOTOR ELÉTRICO, POTÊNCIA 4 HP - CHP DIURNO. AF_05/2023</v>
          </cell>
          <cell r="D1798" t="str">
            <v>CHP</v>
          </cell>
          <cell r="E1798">
            <v>3.39</v>
          </cell>
          <cell r="F1798">
            <v>0</v>
          </cell>
        </row>
        <row r="1799">
          <cell r="B1799">
            <v>106254</v>
          </cell>
          <cell r="C1799" t="str">
            <v>POLIGUINDASTE, CAPACIDADE MÁXIMA DE CARGA 8000 KG, PARA TRANSPORTE DE CAÇAMBAS ESTACIONÁRIAS, INCLUSIVE CAMINHÃO TOCO PBT 14.300 KG, POTÊNCIA DE 185 CV - CHI DIURNO. AF_10/2025</v>
          </cell>
          <cell r="D1799" t="str">
            <v>CHI</v>
          </cell>
          <cell r="E1799">
            <v>0</v>
          </cell>
        </row>
        <row r="1800">
          <cell r="B1800">
            <v>106249</v>
          </cell>
          <cell r="C1800" t="str">
            <v>POLIGUINDASTE, CAPACIDADE MÁXIMA DE CARGA 8000 KG, PARA TRANSPORTE DE CAÇAMBAS ESTACIONÁRIAS, INCLUSIVE CAMINHÃO TOCO PBT 14.300 KG, POTÊNCIA DE 185 CV - CHP DIURNO. AF_10/2025</v>
          </cell>
          <cell r="D1800" t="str">
            <v>CHP</v>
          </cell>
          <cell r="E1800">
            <v>0</v>
          </cell>
        </row>
        <row r="1801">
          <cell r="B1801">
            <v>88430</v>
          </cell>
          <cell r="C1801" t="str">
            <v>PROJETOR DE ARGAMASSA, CAPACIDADE DE PROJEÇÃO 1,5 M3/H, ALCANCE DE 30 ATÉ 60 M, MOTOR ELÉTRICO POTÊNCIA 7,5 HP - CHI DIURNO. AF_06/2014</v>
          </cell>
          <cell r="D1801" t="str">
            <v>CHI</v>
          </cell>
          <cell r="E1801">
            <v>6.93</v>
          </cell>
          <cell r="F1801">
            <v>0</v>
          </cell>
        </row>
        <row r="1802">
          <cell r="B1802">
            <v>88418</v>
          </cell>
          <cell r="C1802" t="str">
            <v>PROJETOR DE ARGAMASSA, CAPACIDADE DE PROJEÇÃO 1,5 M3/H, ALCANCE DE 30 ATÉ 60 M, MOTOR ELÉTRICO POTÊNCIA 7,5 HP - CHP DIURNO. AF_06/2014</v>
          </cell>
          <cell r="D1802" t="str">
            <v>CHP</v>
          </cell>
          <cell r="E1802">
            <v>14.89</v>
          </cell>
          <cell r="F1802">
            <v>0</v>
          </cell>
        </row>
        <row r="1803">
          <cell r="B1803">
            <v>88438</v>
          </cell>
          <cell r="C1803" t="str">
            <v>PROJETOR DE ARGAMASSA, CAPACIDADE DE PROJEÇÃO 2 M3/H, ALCANCE ATÉ 50 M, MOTOR ELÉTRICO POTÊNCIA 7,5 HP - CHI DIURNO. AF_06/2014</v>
          </cell>
          <cell r="D1803" t="str">
            <v>CHI</v>
          </cell>
          <cell r="E1803">
            <v>9.18</v>
          </cell>
          <cell r="F1803">
            <v>0</v>
          </cell>
        </row>
        <row r="1804">
          <cell r="B1804">
            <v>88433</v>
          </cell>
          <cell r="C1804" t="str">
            <v>PROJETOR DE ARGAMASSA, CAPACIDADE DE PROJEÇÃO 2 M3/H, ALCANCE ATÉ 50 M, MOTOR ELÉTRICO POTÊNCIA 7,5 HP - CHP DIURNO. AF_06/2014</v>
          </cell>
          <cell r="D1804" t="str">
            <v>CHP</v>
          </cell>
          <cell r="E1804">
            <v>19.43</v>
          </cell>
          <cell r="F1804">
            <v>0</v>
          </cell>
        </row>
        <row r="1805">
          <cell r="B1805">
            <v>90669</v>
          </cell>
          <cell r="C1805" t="str">
            <v>PROJETOR PNEUMÁTICO DE ARGAMASSA PARA CHAPISCO E REBOCO COM RECIPIENTE ACOPLADO, TIPO CANEQUINHA, COM COMPRESSOR DE AR REBOCÁVEL VAZÃO 89 PCM E MOTOR DIESEL DE 20 CV - CHI DIURNO. AF_05/2023</v>
          </cell>
          <cell r="D1805" t="str">
            <v>CHI</v>
          </cell>
          <cell r="E1805">
            <v>8.94</v>
          </cell>
          <cell r="F1805">
            <v>0</v>
          </cell>
        </row>
        <row r="1806">
          <cell r="B1806">
            <v>90668</v>
          </cell>
          <cell r="C1806" t="str">
            <v>PROJETOR PNEUMÁTICO DE ARGAMASSA PARA CHAPISCO E REBOCO COM RECIPIENTE ACOPLADO, TIPO CANEQUINHA, COM COMPRESSOR DE AR REBOCÁVEL VAZÃO 89 PCM E MOTOR DIESEL DE 20 CV - CHP DIURNO. AF_05/2023</v>
          </cell>
          <cell r="D1806" t="str">
            <v>CHP</v>
          </cell>
          <cell r="E1806">
            <v>32.93</v>
          </cell>
          <cell r="F1806">
            <v>0</v>
          </cell>
        </row>
        <row r="1807">
          <cell r="B1807">
            <v>102980</v>
          </cell>
          <cell r="C1807" t="str">
            <v>PULVERIZADOR DE TINTA ELÉTRICO/MÁQUINA DE PINTURA AIRLESS, VAZÃO 2 L/MIN - CHI DIURNO. AF_05/2023</v>
          </cell>
          <cell r="D1807" t="str">
            <v>CHI</v>
          </cell>
          <cell r="E1807">
            <v>0</v>
          </cell>
        </row>
        <row r="1808">
          <cell r="B1808">
            <v>102981</v>
          </cell>
          <cell r="C1808" t="str">
            <v>PULVERIZADOR DE TINTA ELÉTRICO/MÁQUINA DE PINTURA AIRLESS, VAZÃO 2 L/MIN - CHP DIURNO. AF_05/2023</v>
          </cell>
          <cell r="D1808" t="str">
            <v>CHP</v>
          </cell>
          <cell r="E1808">
            <v>0</v>
          </cell>
        </row>
        <row r="1809">
          <cell r="B1809">
            <v>5946</v>
          </cell>
          <cell r="C1809" t="str">
            <v>PÁ CARREGADEIRA SOBRE RODAS, POTÊNCIA 197 HP, CAPACIDADE DA CAÇAMBA 2,5 A 3,5 M3, PESO OPERACIONAL 18338 KG - CHI DIURNO. AF_06/2014</v>
          </cell>
          <cell r="D1809" t="str">
            <v>CHI</v>
          </cell>
          <cell r="E1809">
            <v>102.12</v>
          </cell>
          <cell r="F1809">
            <v>0</v>
          </cell>
        </row>
        <row r="1810">
          <cell r="B1810">
            <v>5944</v>
          </cell>
          <cell r="C1810" t="str">
            <v>PÁ CARREGADEIRA SOBRE RODAS, POTÊNCIA 197 HP, CAPACIDADE DA CAÇAMBA 2,5 A 3,5 M3, PESO OPERACIONAL 18338 KG - CHP DIURNO. AF_06/2014</v>
          </cell>
          <cell r="D1810" t="str">
            <v>CHP</v>
          </cell>
          <cell r="E1810">
            <v>237.92</v>
          </cell>
          <cell r="F1810">
            <v>0</v>
          </cell>
        </row>
        <row r="1811">
          <cell r="B1811">
            <v>5942</v>
          </cell>
          <cell r="C1811" t="str">
            <v>PÁ CARREGADEIRA SOBRE RODAS, POTÊNCIA LÍQUIDA 128 HP, CAPACIDADE DA CAÇAMBA 1,7 A 2,8 M3, PESO OPERACIONAL 11632 KG - CHI DIURNO. AF_06/2014</v>
          </cell>
          <cell r="D1811" t="str">
            <v>CHI</v>
          </cell>
          <cell r="E1811">
            <v>83.93</v>
          </cell>
          <cell r="F1811">
            <v>0</v>
          </cell>
        </row>
        <row r="1812">
          <cell r="B1812">
            <v>5940</v>
          </cell>
          <cell r="C1812" t="str">
            <v>PÁ CARREGADEIRA SOBRE RODAS, POTÊNCIA LÍQUIDA 128 HP, CAPACIDADE DA CAÇAMBA 1,7 A 2,8 M3, PESO OPERACIONAL 11632 KG - CHP DIURNO. AF_06/2014</v>
          </cell>
          <cell r="D1812" t="str">
            <v>CHP</v>
          </cell>
          <cell r="E1812">
            <v>176.77</v>
          </cell>
          <cell r="F1812">
            <v>0</v>
          </cell>
        </row>
        <row r="1813">
          <cell r="B1813">
            <v>102893</v>
          </cell>
          <cell r="C1813" t="str">
            <v>PÓRTICO ROLANTE MONOVIGA, PERFIL I, 4 PERNAS, CAPACIDADE 5 T - CHI DIURNO. AF_04/2019</v>
          </cell>
          <cell r="D1813" t="str">
            <v>CHI</v>
          </cell>
          <cell r="E1813">
            <v>0</v>
          </cell>
        </row>
        <row r="1814">
          <cell r="B1814">
            <v>102892</v>
          </cell>
          <cell r="C1814" t="str">
            <v>PÓRTICO ROLANTE MONOVIGA, PERFIL I, 4 PERNAS, CAPACIDADE 5 T - CHP DIURNO. AF_04/2019</v>
          </cell>
          <cell r="D1814" t="str">
            <v>CHP</v>
          </cell>
          <cell r="E1814">
            <v>0</v>
          </cell>
        </row>
        <row r="1815">
          <cell r="B1815">
            <v>89251</v>
          </cell>
          <cell r="C1815" t="str">
            <v>RECICLADORA DE ASFALTO A FRIO SOBRE RODAS, LARGURA FRESAGEM DE 2,0 M, POTÊNCIA 422 HP - CHI DIURNO. AF_11/2014</v>
          </cell>
          <cell r="D1815" t="str">
            <v>CHI</v>
          </cell>
          <cell r="E1815">
            <v>368.3</v>
          </cell>
          <cell r="F1815">
            <v>0</v>
          </cell>
        </row>
        <row r="1816">
          <cell r="B1816">
            <v>89250</v>
          </cell>
          <cell r="C1816" t="str">
            <v>RECICLADORA DE ASFALTO A FRIO SOBRE RODAS, LARGURA FRESAGEM DE 2,0 M, POTÊNCIA 422 HP - CHP DIURNO. AF_11/2014</v>
          </cell>
          <cell r="D1816" t="str">
            <v>CHP</v>
          </cell>
          <cell r="E1816">
            <v>1202.45</v>
          </cell>
          <cell r="F1816">
            <v>0</v>
          </cell>
        </row>
        <row r="1817">
          <cell r="B1817">
            <v>102959</v>
          </cell>
          <cell r="C1817" t="str">
            <v>RETROESCAVADEIRA SOBRE RODAS COM CARREGADEIRA, PESO OPERACIONAL MÍN. 6,674, POTÊNCIA LÍQ 88 HP, COM MARTELO ROMPEDOR HIDRÁULICO ENTRE 275 A 362 KG - CHI DIURNO. AF_02/2021</v>
          </cell>
          <cell r="D1817" t="str">
            <v>CHI</v>
          </cell>
          <cell r="E1817">
            <v>0</v>
          </cell>
        </row>
        <row r="1818">
          <cell r="B1818">
            <v>102958</v>
          </cell>
          <cell r="C1818" t="str">
            <v>RETROESCAVADEIRA SOBRE RODAS COM CARREGADEIRA, PESO OPERACIONAL MÍN. 6,674, POTÊNCIA LÍQ 88 HP, COM MARTELO ROMPEDOR HIDRÁULICO ENTRE 275 A 362 KG - CHP DIURNO. AF_02/2021</v>
          </cell>
          <cell r="D1818" t="str">
            <v>CHP</v>
          </cell>
          <cell r="E1818">
            <v>0</v>
          </cell>
        </row>
        <row r="1819">
          <cell r="B1819">
            <v>5681</v>
          </cell>
          <cell r="C1819" t="str">
            <v>RETROESCAVADEIRA SOBRE RODAS COM CARREGADEIRA, TRAÇÃO 4X2, POTÊNCIA LÍQ. 79 HP, CAÇAMBA CARREG. CAP. MÍN. 1 M3, CAÇAMBA RETRO CAP. 0,20 M3, PESO OPERACIONAL MÍN. 6.570 KG, PROFUNDIDADE ESCAVAÇÃO MÁX. 4,37 M - CHI DIURNO. AF_06/2014</v>
          </cell>
          <cell r="D1819" t="str">
            <v>CHI</v>
          </cell>
          <cell r="E1819">
            <v>76</v>
          </cell>
          <cell r="F1819">
            <v>0</v>
          </cell>
        </row>
        <row r="1820">
          <cell r="B1820">
            <v>5680</v>
          </cell>
          <cell r="C1820" t="str">
            <v>RETROESCAVADEIRA SOBRE RODAS COM CARREGADEIRA, TRAÇÃO 4X2, POTÊNCIA LÍQ. 79 HP, CAÇAMBA CARREG. CAP. MÍN. 1 M3, CAÇAMBA RETRO CAP. 0,20 M3, PESO OPERACIONAL MÍN. 6.570 KG, PROFUNDIDADE ESCAVAÇÃO MÁX. 4,37 M - CHP DIURNO. AF_06/2014</v>
          </cell>
          <cell r="D1820" t="str">
            <v>CHP</v>
          </cell>
          <cell r="E1820">
            <v>151.44999999999999</v>
          </cell>
          <cell r="F1820">
            <v>0</v>
          </cell>
        </row>
        <row r="1821">
          <cell r="B1821">
            <v>5877</v>
          </cell>
          <cell r="C1821" t="str">
            <v>RETROESCAVADEIRA SOBRE RODAS COM CARREGADEIRA, TRAÇÃO 4X4, POTÊNCIA LÍQ. 72 HP, CAÇAMBA CARREG. CAP. MÍN. 0,79 M3, CAÇAMBA RETRO CAP. 0,18 M3, PESO OPERACIONAL MÍN. 7.140 KG, PROFUNDIDADE ESCAVAÇÃO MÁX. 4,50 M - CHI DIURNO. AF_06/2014</v>
          </cell>
          <cell r="D1821" t="str">
            <v>CHI</v>
          </cell>
          <cell r="E1821">
            <v>78.489999999999995</v>
          </cell>
          <cell r="F1821">
            <v>0</v>
          </cell>
        </row>
        <row r="1822">
          <cell r="B1822">
            <v>5875</v>
          </cell>
          <cell r="C1822" t="str">
            <v>RETROESCAVADEIRA SOBRE RODAS COM CARREGADEIRA, TRAÇÃO 4X4, POTÊNCIA LÍQ. 72 HP, CAÇAMBA CARREG. CAP. MÍN. 0,79 M3, CAÇAMBA RETRO CAP. 0,18 M3, PESO OPERACIONAL MÍN. 7.140 KG, PROFUNDIDADE ESCAVAÇÃO MÁX. 4,50 M - CHP DIURNO. AF_06/2014</v>
          </cell>
          <cell r="D1822" t="str">
            <v>CHP</v>
          </cell>
          <cell r="E1822">
            <v>152.28</v>
          </cell>
          <cell r="F1822">
            <v>0</v>
          </cell>
        </row>
        <row r="1823">
          <cell r="B1823">
            <v>5679</v>
          </cell>
          <cell r="C1823" t="str">
            <v>RETROESCAVADEIRA SOBRE RODAS COM CARREGADEIRA, TRAÇÃO 4X4, POTÊNCIA LÍQ. 88 HP, CAÇAMBA CARREG. CAP. MÍN. 1 M3, CAÇAMBA RETRO CAP. 0,26 M3, PESO OPERACIONAL MÍN. 6.674 KG, PROFUNDIDADE ESCAVAÇÃO MÁX. 4,37 M - CHI DIURNO. AF_06/2014</v>
          </cell>
          <cell r="D1823" t="str">
            <v>CHI</v>
          </cell>
          <cell r="E1823">
            <v>79.650000000000006</v>
          </cell>
          <cell r="F1823">
            <v>0</v>
          </cell>
        </row>
        <row r="1824">
          <cell r="B1824">
            <v>5678</v>
          </cell>
          <cell r="C1824" t="str">
            <v>RETROESCAVADEIRA SOBRE RODAS COM CARREGADEIRA, TRAÇÃO 4X4, POTÊNCIA LÍQ. 88 HP, CAÇAMBA CARREG. CAP. MÍN. 1 M3, CAÇAMBA RETRO CAP. 0,26 M3, PESO OPERACIONAL MÍN. 6.674 KG, PROFUNDIDADE ESCAVAÇÃO MÁX. 4,37 M - CHP DIURNO. AF_06/2014</v>
          </cell>
          <cell r="D1824" t="str">
            <v>CHP</v>
          </cell>
          <cell r="E1824">
            <v>163.99</v>
          </cell>
          <cell r="F1824">
            <v>0</v>
          </cell>
        </row>
        <row r="1825">
          <cell r="B1825">
            <v>6880</v>
          </cell>
          <cell r="C1825" t="str">
            <v>ROLO COMPACTADOR DE PNEUS ESTÁTICO, PRESSÃO VARIÁVEL, POTÊNCIA 111 HP, PESO SEM/COM LASTRO 9,5 / 26 T, LARGURA DE TRABALHO 1,90 M - CHI DIURNO. AF_07/2014</v>
          </cell>
          <cell r="D1825" t="str">
            <v>CHI</v>
          </cell>
          <cell r="E1825">
            <v>97.53</v>
          </cell>
          <cell r="F1825">
            <v>0</v>
          </cell>
        </row>
        <row r="1826">
          <cell r="B1826">
            <v>6879</v>
          </cell>
          <cell r="C1826" t="str">
            <v>ROLO COMPACTADOR DE PNEUS ESTÁTICO, PRESSÃO VARIÁVEL, POTÊNCIA 111 HP, PESO SEM/COM LASTRO 9,5 / 26 T, LARGURA DE TRABALHO 1,90 M - CHP DIURNO. AF_07/2014</v>
          </cell>
          <cell r="D1826" t="str">
            <v>CHP</v>
          </cell>
          <cell r="E1826">
            <v>222.15</v>
          </cell>
          <cell r="F1826">
            <v>0</v>
          </cell>
        </row>
        <row r="1827">
          <cell r="B1827">
            <v>96464</v>
          </cell>
          <cell r="C1827" t="str">
            <v>ROLO COMPACTADOR DE PNEUS, ESTÁTICO, PRESSÃO VARIÁVEL, POTÊNCIA 110 HP, PESO SEM/COM LASTRO 10,8/27 T, LARGURA DE ROLAGEM 2,30 M - CHI DIURNO. AF_06/2017</v>
          </cell>
          <cell r="D1827" t="str">
            <v>CHI</v>
          </cell>
          <cell r="E1827">
            <v>101.23</v>
          </cell>
          <cell r="F1827">
            <v>0</v>
          </cell>
        </row>
        <row r="1828">
          <cell r="B1828">
            <v>96463</v>
          </cell>
          <cell r="C1828" t="str">
            <v>ROLO COMPACTADOR DE PNEUS, ESTÁTICO, PRESSÃO VARIÁVEL, POTÊNCIA 110 HP, PESO SEM/COM LASTRO 10,8/27 T, LARGURA DE ROLAGEM 2,30 M - CHP DIURNO. AF_06/2017</v>
          </cell>
          <cell r="D1828" t="str">
            <v>CHP</v>
          </cell>
          <cell r="E1828">
            <v>228.9</v>
          </cell>
          <cell r="F1828">
            <v>0</v>
          </cell>
        </row>
        <row r="1829">
          <cell r="B1829">
            <v>7050</v>
          </cell>
          <cell r="C1829" t="str">
            <v>ROLO COMPACTADOR PE DE CARNEIRO VIBRATORIO, POTENCIA 125 HP, PESO OPERACIONAL SEM/COM LASTRO 11,95 / 13,30 T, IMPACTO DINAMICO 38,5 / 22,5 T, LARGURA DE TRABALHO 2,15 M - CHI DIURNO. AF_06/2014</v>
          </cell>
          <cell r="D1829" t="str">
            <v>CHI</v>
          </cell>
          <cell r="E1829">
            <v>90.81</v>
          </cell>
          <cell r="F1829">
            <v>0</v>
          </cell>
        </row>
        <row r="1830">
          <cell r="B1830">
            <v>7049</v>
          </cell>
          <cell r="C1830" t="str">
            <v>ROLO COMPACTADOR PE DE CARNEIRO VIBRATORIO, POTENCIA 125 HP, PESO OPERACIONAL SEM/COM LASTRO 11,95 / 13,30 T, IMPACTO DINAMICO 38,5 / 22,5 T, LARGURA DE TRABALHO 2,15 M - CHP DIURNO. AF_06/2014</v>
          </cell>
          <cell r="D1830" t="str">
            <v>CHP</v>
          </cell>
          <cell r="E1830">
            <v>233.87</v>
          </cell>
          <cell r="F1830">
            <v>0</v>
          </cell>
        </row>
        <row r="1831">
          <cell r="B1831">
            <v>95632</v>
          </cell>
          <cell r="C1831" t="str">
            <v>ROLO COMPACTADOR VIBRATORIO TANDEM, ACO LISO, POTENCIA 125 HP, PESO SEM/COM LASTRO 10,20/11,65 T, LARGURA DE TRABALHO 1,73 M - CHI DIURNO. AF_11/2016</v>
          </cell>
          <cell r="D1831" t="str">
            <v>CHI</v>
          </cell>
          <cell r="E1831">
            <v>94.96</v>
          </cell>
          <cell r="F1831">
            <v>0</v>
          </cell>
        </row>
        <row r="1832">
          <cell r="B1832">
            <v>95631</v>
          </cell>
          <cell r="C1832" t="str">
            <v>ROLO COMPACTADOR VIBRATORIO TANDEM, ACO LISO, POTENCIA 125 HP, PESO SEM/COM LASTRO 10,20/11,65 T, LARGURA DE TRABALHO 1,73 M - CHP DIURNO. AF_11/2016</v>
          </cell>
          <cell r="D1832" t="str">
            <v>CHP</v>
          </cell>
          <cell r="E1832">
            <v>242.18</v>
          </cell>
          <cell r="F1832">
            <v>0</v>
          </cell>
        </row>
        <row r="1833">
          <cell r="B1833">
            <v>5685</v>
          </cell>
          <cell r="C1833" t="str">
            <v>ROLO COMPACTADOR VIBRATÓRIO DE UM CILINDRO AÇO LISO, POTÊNCIA 80 HP, PESO OPERACIONAL MÁXIMO 8,1 T, IMPACTO DINÂMICO 16,15 / 9,5 T, LARGURA DE TRABALHO 1,68 M - CHI DIURNO. AF_06/2014</v>
          </cell>
          <cell r="D1833" t="str">
            <v>CHI</v>
          </cell>
          <cell r="E1833">
            <v>75.87</v>
          </cell>
          <cell r="F1833">
            <v>0</v>
          </cell>
        </row>
        <row r="1834">
          <cell r="B1834">
            <v>5684</v>
          </cell>
          <cell r="C1834" t="str">
            <v>ROLO COMPACTADOR VIBRATÓRIO DE UM CILINDRO AÇO LISO, POTÊNCIA 80 HP, PESO OPERACIONAL MÁXIMO 8,1 T, IMPACTO DINÂMICO 16,15 / 9,5 T, LARGURA DE TRABALHO 1,68 M - CHP DIURNO. AF_06/2014</v>
          </cell>
          <cell r="D1834" t="str">
            <v>CHP</v>
          </cell>
          <cell r="E1834">
            <v>171.72</v>
          </cell>
          <cell r="F1834">
            <v>0</v>
          </cell>
        </row>
        <row r="1835">
          <cell r="B1835">
            <v>93244</v>
          </cell>
          <cell r="C1835" t="str">
            <v>ROLO COMPACTADOR VIBRATÓRIO PÉ DE CARNEIRO PARA SOLOS, POTÊNCIA 80 HP, PESO OPERACIONAL SEM/COM LASTRO 7,4 / 8,8 T, LARGURA DE TRABALHO 1,68 M - CHI DIURNO. AF_02/2016</v>
          </cell>
          <cell r="D1835" t="str">
            <v>CHI</v>
          </cell>
          <cell r="E1835">
            <v>77.45</v>
          </cell>
          <cell r="F1835">
            <v>0</v>
          </cell>
        </row>
        <row r="1836">
          <cell r="B1836">
            <v>73436</v>
          </cell>
          <cell r="C1836" t="str">
            <v>ROLO COMPACTADOR VIBRATÓRIO PÉ DE CARNEIRO PARA SOLOS, POTÊNCIA 80 HP, PESO OPERACIONAL SEM/COM LASTRO 7,4 / 8,8 T, LARGURA DE TRABALHO 1,68 M - CHP DIURNO. AF_02/2016</v>
          </cell>
          <cell r="D1836" t="str">
            <v>CHP</v>
          </cell>
          <cell r="E1836">
            <v>174.81</v>
          </cell>
          <cell r="F1836">
            <v>0</v>
          </cell>
        </row>
        <row r="1837">
          <cell r="B1837">
            <v>5881</v>
          </cell>
          <cell r="C1837" t="str">
            <v>ROLO COMPACTADOR VIBRATÓRIO PÉ DE CARNEIRO, OPERADO POR CONTROLE REMOTO, POTÊNCIA 12,5 KW, PESO OPERACIONAL 1,675 T, LARGURA DE TRABALHO 0,85 M - CHI DIURNO. AF_02/2016</v>
          </cell>
          <cell r="D1837" t="str">
            <v>CHI</v>
          </cell>
          <cell r="E1837">
            <v>89.97</v>
          </cell>
          <cell r="F1837">
            <v>0</v>
          </cell>
        </row>
        <row r="1838">
          <cell r="B1838">
            <v>5879</v>
          </cell>
          <cell r="C1838" t="str">
            <v>ROLO COMPACTADOR VIBRATÓRIO PÉ DE CARNEIRO, OPERADO POR CONTROLE REMOTO, POTÊNCIA 12,5 KW, PESO OPERACIONAL 1,675 T, LARGURA DE TRABALHO 0,85 M - CHP DIURNO. AF_02/2016</v>
          </cell>
          <cell r="D1838" t="str">
            <v>CHP</v>
          </cell>
          <cell r="E1838">
            <v>153.99</v>
          </cell>
          <cell r="F1838">
            <v>0</v>
          </cell>
        </row>
        <row r="1839">
          <cell r="B1839">
            <v>5865</v>
          </cell>
          <cell r="C1839" t="str">
            <v>ROLO COMPACTADOR VIBRATÓRIO REBOCÁVEL, CILINDRO DE AÇO LISO, POTÊNCIA DE TRAÇÃO DE 65 CV, PESO 4,7 T, IMPACTO DINÂMICO 18,3 T, LARGURA DE TRABALHO 1,67 M - CHI DIURNO. AF_02/2016</v>
          </cell>
          <cell r="D1839" t="str">
            <v>CHI</v>
          </cell>
          <cell r="E1839">
            <v>11.61</v>
          </cell>
          <cell r="F1839">
            <v>0</v>
          </cell>
        </row>
        <row r="1840">
          <cell r="B1840">
            <v>5863</v>
          </cell>
          <cell r="C1840" t="str">
            <v>ROLO COMPACTADOR VIBRATÓRIO REBOCÁVEL, CILINDRO DE AÇO LISO, POTÊNCIA DE TRAÇÃO DE 65 CV, PESO 4,7 T, IMPACTO DINÂMICO 18,3 T, LARGURA DE TRABALHO 1,67 M - CHP DIURNO. AF_02/2016</v>
          </cell>
          <cell r="D1840" t="str">
            <v>CHP</v>
          </cell>
          <cell r="E1840">
            <v>23.07</v>
          </cell>
          <cell r="F1840">
            <v>0</v>
          </cell>
        </row>
        <row r="1841">
          <cell r="B1841">
            <v>5869</v>
          </cell>
          <cell r="C1841" t="str">
            <v>ROLO COMPACTADOR VIBRATÓRIO TANDEM AÇO LISO, POTÊNCIA 58 HP, PESO SEM/COM LASTRO 6,5 / 9,4 T, LARGURA DE TRABALHO 1,2 M - CHI DIURNO. AF_06/2014</v>
          </cell>
          <cell r="D1841" t="str">
            <v>CHI</v>
          </cell>
          <cell r="E1841">
            <v>84.64</v>
          </cell>
          <cell r="F1841">
            <v>0</v>
          </cell>
        </row>
        <row r="1842">
          <cell r="B1842">
            <v>5867</v>
          </cell>
          <cell r="C1842" t="str">
            <v>ROLO COMPACTADOR VIBRATÓRIO TANDEM AÇO LISO, POTÊNCIA 58 HP, PESO SEM/COM LASTRO 6,5 / 9,4 T, LARGURA DE TRABALHO 1,2 M - CHP DIURNO. AF_06/2014</v>
          </cell>
          <cell r="D1842" t="str">
            <v>CHP</v>
          </cell>
          <cell r="E1842">
            <v>172.66</v>
          </cell>
          <cell r="F1842">
            <v>0</v>
          </cell>
        </row>
        <row r="1843">
          <cell r="B1843">
            <v>95271</v>
          </cell>
          <cell r="C1843" t="str">
            <v>RÉGUA VIBRATÓRIA DUPLA PARA CONCRETO, PESO DE 60KG, COMPRIMENTO 4 M, COM MOTOR A GASOLINA, POTÊNCIA 5,5 HP - CHI DIURNO. AF_09/2016</v>
          </cell>
          <cell r="D1843" t="str">
            <v>CHI</v>
          </cell>
          <cell r="E1843">
            <v>0.73</v>
          </cell>
          <cell r="F1843">
            <v>0</v>
          </cell>
        </row>
        <row r="1844">
          <cell r="B1844">
            <v>95270</v>
          </cell>
          <cell r="C1844" t="str">
            <v>RÉGUA VIBRATÓRIA DUPLA PARA CONCRETO, PESO DE 60KG, COMPRIMENTO 4 M, COM MOTOR A GASOLINA, POTÊNCIA 5,5 HP - CHP DIURNO. AF_09/2016</v>
          </cell>
          <cell r="D1844" t="str">
            <v>CHP</v>
          </cell>
          <cell r="E1844">
            <v>10.19</v>
          </cell>
          <cell r="F1844">
            <v>0</v>
          </cell>
        </row>
        <row r="1845">
          <cell r="B1845">
            <v>91693</v>
          </cell>
          <cell r="C1845" t="str">
            <v>SERRA CIRCULAR DE BANCADA COM MOTOR ELÉTRICO POTÊNCIA DE 5HP, COM COIFA PARA DISCO 10" - CHI DIURNO. AF_08/2015</v>
          </cell>
          <cell r="D1845" t="str">
            <v>CHI</v>
          </cell>
          <cell r="E1845">
            <v>39.159999999999997</v>
          </cell>
          <cell r="F1845">
            <v>0</v>
          </cell>
        </row>
        <row r="1846">
          <cell r="B1846">
            <v>91692</v>
          </cell>
          <cell r="C1846" t="str">
            <v>SERRA CIRCULAR DE BANCADA COM MOTOR ELÉTRICO POTÊNCIA DE 5HP, COM COIFA PARA DISCO 10" - CHP DIURNO. AF_08/2015</v>
          </cell>
          <cell r="D1846" t="str">
            <v>CHP</v>
          </cell>
          <cell r="E1846">
            <v>40.4</v>
          </cell>
          <cell r="F1846">
            <v>0</v>
          </cell>
        </row>
        <row r="1847">
          <cell r="B1847">
            <v>102929</v>
          </cell>
          <cell r="C1847" t="str">
            <v>SERRA FITA HORIZONTAL, ELÉTRICA, COM CONTROLE HIDRÁULICO, PAINEL DE COMANDO EM 24 V, MOTOR ELÉTRICO 1,5 CV, DIMENSÕES DA FITA 3880 X 27 X 0,9 MM, TRIFÁSICA - CHI DIURNO. AF_05/2023</v>
          </cell>
          <cell r="D1847" t="str">
            <v>CHI</v>
          </cell>
          <cell r="E1847">
            <v>0</v>
          </cell>
        </row>
        <row r="1848">
          <cell r="B1848">
            <v>102928</v>
          </cell>
          <cell r="C1848" t="str">
            <v>SERRA FITA HORIZONTAL, ELÉTRICA, COM CONTROLE HIDRÁULICO, PAINEL DE COMANDO EM 24 V, MOTOR ELÉTRICO 1,5 CV, DIMENSÕES DA FITA 3880 X 27 X 0,9 MM, TRIFÁSICA - CHP DIURNO. AF_05/2023</v>
          </cell>
          <cell r="D1848" t="str">
            <v>CHP</v>
          </cell>
          <cell r="E1848">
            <v>0</v>
          </cell>
        </row>
        <row r="1849">
          <cell r="B1849">
            <v>95140</v>
          </cell>
          <cell r="C1849" t="str">
            <v>TALHA MANUAL DE CORRENTE, CAPACIDADE DE 2 TON. COM ELEVAÇÃO DE 3 M - CHI DIURNO. AF_07/2016</v>
          </cell>
          <cell r="D1849" t="str">
            <v>CHI</v>
          </cell>
          <cell r="E1849">
            <v>0.03</v>
          </cell>
          <cell r="F1849">
            <v>0</v>
          </cell>
        </row>
        <row r="1850">
          <cell r="B1850">
            <v>95139</v>
          </cell>
          <cell r="C1850" t="str">
            <v>TALHA MANUAL DE CORRENTE, CAPACIDADE DE 2 TON. COM ELEVAÇÃO DE 3 M - CHP DIURNO. AF_07/2016</v>
          </cell>
          <cell r="D1850" t="str">
            <v>CHP</v>
          </cell>
          <cell r="E1850">
            <v>0.05</v>
          </cell>
          <cell r="F1850">
            <v>0</v>
          </cell>
        </row>
        <row r="1851">
          <cell r="B1851">
            <v>89027</v>
          </cell>
          <cell r="C1851" t="str">
            <v>TANQUE DE ASFALTO ESTACIONÁRIO COM MAÇARICO, CAPACIDADE 20.000 L - CHI DIURNO. AF_05/2023</v>
          </cell>
          <cell r="D1851" t="str">
            <v>CHI</v>
          </cell>
          <cell r="E1851">
            <v>5.49</v>
          </cell>
          <cell r="F1851">
            <v>0</v>
          </cell>
        </row>
        <row r="1852">
          <cell r="B1852">
            <v>89028</v>
          </cell>
          <cell r="C1852" t="str">
            <v>TANQUE DE ASFALTO ESTACIONÁRIO COM MAÇARICO, CAPACIDADE 20.000 L - CHP DIURNO. AF_05/2023</v>
          </cell>
          <cell r="D1852" t="str">
            <v>CHP</v>
          </cell>
          <cell r="E1852">
            <v>183.75</v>
          </cell>
          <cell r="F1852">
            <v>0</v>
          </cell>
        </row>
        <row r="1853">
          <cell r="B1853">
            <v>7031</v>
          </cell>
          <cell r="C1853" t="str">
            <v>TANQUE DE ASFALTO ESTACIONÁRIO COM SERPENTINA, CAPACIDADE 30.000 L - CHI DIURNO. AF_05/2023</v>
          </cell>
          <cell r="D1853" t="str">
            <v>CHI</v>
          </cell>
          <cell r="E1853">
            <v>6.76</v>
          </cell>
          <cell r="F1853">
            <v>0</v>
          </cell>
        </row>
        <row r="1854">
          <cell r="B1854">
            <v>7030</v>
          </cell>
          <cell r="C1854" t="str">
            <v>TANQUE DE ASFALTO ESTACIONÁRIO COM SERPENTINA, CAPACIDADE 30.000 L - CHP DIURNO. AF_05/2023</v>
          </cell>
          <cell r="D1854" t="str">
            <v>CHP</v>
          </cell>
          <cell r="E1854">
            <v>272.77</v>
          </cell>
          <cell r="F1854">
            <v>0</v>
          </cell>
        </row>
        <row r="1855">
          <cell r="B1855">
            <v>102947</v>
          </cell>
          <cell r="C1855" t="str">
            <v>TARTARUGA DE OXICORTE CG1, MONOFÁSICA, 220 V, FREQUÊNCIA 50 HZ, VELOCIDADE DE CORTE (MM/MIN) 50 A 750, DIÂMETRO MÍNIMO DO COMPASSO MM 200 - CHI DIURNO. AF_05/2023</v>
          </cell>
          <cell r="D1855" t="str">
            <v>CHI</v>
          </cell>
          <cell r="E1855">
            <v>0</v>
          </cell>
        </row>
        <row r="1856">
          <cell r="B1856">
            <v>102946</v>
          </cell>
          <cell r="C1856" t="str">
            <v>TARTARUGA DE OXICORTE CG1, MONOFÁSICA, 220 V, FREQUÊNCIA 50 HZ, VELOCIDADE DE CORTE (MM/MIN) 50 A 750, DIÂMETRO MÍNIMO DO COMPASSO MM 200 - CHP DIURNO. AF_05/2023</v>
          </cell>
          <cell r="D1856" t="str">
            <v>CHP</v>
          </cell>
          <cell r="E1856">
            <v>0</v>
          </cell>
        </row>
        <row r="1857">
          <cell r="B1857">
            <v>104092</v>
          </cell>
          <cell r="C1857" t="str">
            <v>TERMOFUSORA PARA TUBOS E CONEXÕES EM PPR COM DIÂMETROS DE 20 A 63 MM, POTÊNCIA DE 800 W, TENSAO 220 V - CHI DIURNO. AF_05/2022</v>
          </cell>
          <cell r="D1857" t="str">
            <v>CHI</v>
          </cell>
          <cell r="E1857">
            <v>0.03</v>
          </cell>
          <cell r="F1857">
            <v>0</v>
          </cell>
        </row>
        <row r="1858">
          <cell r="B1858">
            <v>104091</v>
          </cell>
          <cell r="C1858" t="str">
            <v>TERMOFUSORA PARA TUBOS E CONEXÕES EM PPR COM DIÂMETROS DE 20 A 63 MM, POTÊNCIA DE 800 W, TENSAO 220 V - CHP DIURNO. AF_05/2022</v>
          </cell>
          <cell r="D1858" t="str">
            <v>CHP</v>
          </cell>
          <cell r="E1858">
            <v>0.66</v>
          </cell>
          <cell r="F1858">
            <v>0</v>
          </cell>
        </row>
        <row r="1859">
          <cell r="B1859">
            <v>104098</v>
          </cell>
          <cell r="C1859" t="str">
            <v>TERMOFUSORA PARA TUBOS E CONEXÕES EM PPR COM DIÂMETROS DE 75 A 110 MM, POTÊNCIA DE *1100* W, TENSÃO 220 V - CHI DIURNO. AF_05/2022</v>
          </cell>
          <cell r="D1859" t="str">
            <v>CHI</v>
          </cell>
          <cell r="E1859">
            <v>0.05</v>
          </cell>
          <cell r="F1859">
            <v>0</v>
          </cell>
        </row>
        <row r="1860">
          <cell r="B1860">
            <v>104097</v>
          </cell>
          <cell r="C1860" t="str">
            <v>TERMOFUSORA PARA TUBOS E CONEXÕES EM PPR COM DIÂMETROS DE 75 A 110 MM, POTÊNCIA DE *1100* W, TENSÃO 220 V - CHP DIURNO. AF_05/2022</v>
          </cell>
          <cell r="D1860" t="str">
            <v>CHP</v>
          </cell>
          <cell r="E1860">
            <v>0.91</v>
          </cell>
          <cell r="F1860">
            <v>0</v>
          </cell>
        </row>
        <row r="1861">
          <cell r="B1861">
            <v>102905</v>
          </cell>
          <cell r="C1861" t="str">
            <v>TORRE, COMPOSTA POR GUINCHO MECÂNICO, GUINCHO MANUAL, CABOS DE AÇO, PITEIRA E SOQUETE - CHI DIURNO. AF_05/2023</v>
          </cell>
          <cell r="D1861" t="str">
            <v>CHI</v>
          </cell>
          <cell r="E1861">
            <v>0</v>
          </cell>
        </row>
        <row r="1862">
          <cell r="B1862">
            <v>102904</v>
          </cell>
          <cell r="C1862" t="str">
            <v>TORRE, COMPOSTA POR GUINCHO MECÂNICO, GUINCHO MANUAL, CABOS DE AÇO, PITEIRA E SOQUETE - CHP DIURNO. AF_05/2023</v>
          </cell>
          <cell r="D1862" t="str">
            <v>CHP</v>
          </cell>
          <cell r="E1862">
            <v>0</v>
          </cell>
        </row>
        <row r="1863">
          <cell r="B1863">
            <v>89031</v>
          </cell>
          <cell r="C1863" t="str">
            <v>TRATOR DE ESTEIRAS, POTÊNCIA 100 HP, PESO OPERACIONAL 9,4 T, COM LÂMINA 2,19 M3 - CHI DIURNO. AF_06/2014</v>
          </cell>
          <cell r="D1863" t="str">
            <v>CHI</v>
          </cell>
          <cell r="E1863">
            <v>87.43</v>
          </cell>
          <cell r="F1863">
            <v>0</v>
          </cell>
        </row>
        <row r="1864">
          <cell r="B1864">
            <v>89032</v>
          </cell>
          <cell r="C1864" t="str">
            <v>TRATOR DE ESTEIRAS, POTÊNCIA 100 HP, PESO OPERACIONAL 9,4 T, COM LÂMINA 2,19 M3 - CHP DIURNO. AF_06/2014</v>
          </cell>
          <cell r="D1864" t="str">
            <v>CHP</v>
          </cell>
          <cell r="E1864">
            <v>210.73</v>
          </cell>
          <cell r="F1864">
            <v>0</v>
          </cell>
        </row>
        <row r="1865">
          <cell r="B1865">
            <v>88844</v>
          </cell>
          <cell r="C1865" t="str">
            <v>TRATOR DE ESTEIRAS, POTÊNCIA 125 HP, PESO OPERACIONAL 12,9 T, COM LÂMINA 2,7 M3 - CHI DIURNO. AF_10/2014</v>
          </cell>
          <cell r="D1865" t="str">
            <v>CHI</v>
          </cell>
          <cell r="E1865">
            <v>89.69</v>
          </cell>
          <cell r="F1865">
            <v>0</v>
          </cell>
        </row>
        <row r="1866">
          <cell r="B1866">
            <v>88843</v>
          </cell>
          <cell r="C1866" t="str">
            <v>TRATOR DE ESTEIRAS, POTÊNCIA 125 HP, PESO OPERACIONAL 12,9 T, COM LÂMINA 2,7 M3 - CHP DIURNO. AF_10/2014</v>
          </cell>
          <cell r="D1866" t="str">
            <v>CHP</v>
          </cell>
          <cell r="E1866">
            <v>231.67</v>
          </cell>
          <cell r="F1866">
            <v>0</v>
          </cell>
        </row>
        <row r="1867">
          <cell r="B1867">
            <v>5853</v>
          </cell>
          <cell r="C1867" t="str">
            <v>TRATOR DE ESTEIRAS, POTÊNCIA 150 HP, PESO OPERACIONAL 16,7 T, COM RODA MOTRIZ ELEVADA E LÂMINA 3,18 M3 - CHI DIURNO. AF_06/2014</v>
          </cell>
          <cell r="D1867" t="str">
            <v>CHI</v>
          </cell>
          <cell r="E1867">
            <v>101.78</v>
          </cell>
          <cell r="F1867">
            <v>0</v>
          </cell>
        </row>
        <row r="1868">
          <cell r="B1868">
            <v>5851</v>
          </cell>
          <cell r="C1868" t="str">
            <v>TRATOR DE ESTEIRAS, POTÊNCIA 150 HP, PESO OPERACIONAL 16,7 T, COM RODA MOTRIZ ELEVADA E LÂMINA 3,18 M3 - CHP DIURNO. AF_06/2014</v>
          </cell>
          <cell r="D1868" t="str">
            <v>CHP</v>
          </cell>
          <cell r="E1868">
            <v>274.58</v>
          </cell>
          <cell r="F1868">
            <v>0</v>
          </cell>
        </row>
        <row r="1869">
          <cell r="B1869">
            <v>5849</v>
          </cell>
          <cell r="C1869" t="str">
            <v>TRATOR DE ESTEIRAS, POTÊNCIA 170 HP, PESO OPERACIONAL 19 T, CAÇAMBA 5,2 M3 - CHI DIURNO. AF_06/2014</v>
          </cell>
          <cell r="D1869" t="str">
            <v>CHI</v>
          </cell>
          <cell r="E1869">
            <v>101.39</v>
          </cell>
          <cell r="F1869">
            <v>0</v>
          </cell>
        </row>
        <row r="1870">
          <cell r="B1870">
            <v>5847</v>
          </cell>
          <cell r="C1870" t="str">
            <v>TRATOR DE ESTEIRAS, POTÊNCIA 170 HP, PESO OPERACIONAL 19 T, CAÇAMBA 5,2 M3 - CHP DIURNO. AF_06/2014</v>
          </cell>
          <cell r="D1870" t="str">
            <v>CHP</v>
          </cell>
          <cell r="E1870">
            <v>286.37</v>
          </cell>
          <cell r="F1870">
            <v>0</v>
          </cell>
        </row>
        <row r="1871">
          <cell r="B1871">
            <v>5857</v>
          </cell>
          <cell r="C1871" t="str">
            <v>TRATOR DE ESTEIRAS, POTÊNCIA 347 HP, PESO OPERACIONAL 38,5 T, COM LÂMINA 8,70 M3 - CHI DIURNO. AF_06/2014</v>
          </cell>
          <cell r="D1871" t="str">
            <v>CHI</v>
          </cell>
          <cell r="E1871">
            <v>244.49</v>
          </cell>
          <cell r="F1871">
            <v>0</v>
          </cell>
        </row>
        <row r="1872">
          <cell r="B1872">
            <v>5855</v>
          </cell>
          <cell r="C1872" t="str">
            <v>TRATOR DE ESTEIRAS, POTÊNCIA 347 HP, PESO OPERACIONAL 38,5 T, COM LÂMINA 8,70 M3 - CHP DIURNO. AF_06/2014</v>
          </cell>
          <cell r="D1872" t="str">
            <v>CHP</v>
          </cell>
          <cell r="E1872">
            <v>719.06</v>
          </cell>
          <cell r="F1872">
            <v>0</v>
          </cell>
        </row>
        <row r="1873">
          <cell r="B1873">
            <v>96021</v>
          </cell>
          <cell r="C1873" t="str">
            <v>TRATOR DE PNEUS COM POTÊNCIA DE 122 CV, TRAÇÃO 4X4, COM GRADE DE DISCOS ACOPLADA - CHI DIURNO. AF_02/2017</v>
          </cell>
          <cell r="D1873" t="str">
            <v>CHI</v>
          </cell>
          <cell r="E1873">
            <v>65.989999999999995</v>
          </cell>
          <cell r="F1873">
            <v>0</v>
          </cell>
        </row>
        <row r="1874">
          <cell r="B1874">
            <v>96020</v>
          </cell>
          <cell r="C1874" t="str">
            <v>TRATOR DE PNEUS COM POTÊNCIA DE 122 CV, TRAÇÃO 4X4, COM GRADE DE DISCOS ACOPLADA - CHP DIURNO. AF_02/2017</v>
          </cell>
          <cell r="D1874" t="str">
            <v>CHP</v>
          </cell>
          <cell r="E1874">
            <v>187.15</v>
          </cell>
          <cell r="F1874">
            <v>0</v>
          </cell>
        </row>
        <row r="1875">
          <cell r="B1875">
            <v>96014</v>
          </cell>
          <cell r="C1875" t="str">
            <v>TRATOR DE PNEUS COM POTÊNCIA DE 122 CV, TRAÇÃO 4X4, COM VASSOURA MECÂNICA ACOPLADA - CHI DIURNO. AF_02/2017</v>
          </cell>
          <cell r="D1875" t="str">
            <v>CHI</v>
          </cell>
          <cell r="E1875">
            <v>66.239999999999995</v>
          </cell>
          <cell r="F1875">
            <v>0</v>
          </cell>
        </row>
        <row r="1876">
          <cell r="B1876">
            <v>96013</v>
          </cell>
          <cell r="C1876" t="str">
            <v>TRATOR DE PNEUS COM POTÊNCIA DE 122 CV, TRAÇÃO 4X4, COM VASSOURA MECÂNICA ACOPLADA - CHP DIURNO. AF_02/2017</v>
          </cell>
          <cell r="D1876" t="str">
            <v>CHP</v>
          </cell>
          <cell r="E1876">
            <v>187.62</v>
          </cell>
          <cell r="F1876">
            <v>0</v>
          </cell>
        </row>
        <row r="1877">
          <cell r="B1877">
            <v>96029</v>
          </cell>
          <cell r="C1877" t="str">
            <v>TRATOR DE PNEUS COM POTÊNCIA DE 85 CV, TRAÇÃO 4X4, COM GRADE DE DISCOS ACOPLADA - CHI DIURNO. AF_02/2017</v>
          </cell>
          <cell r="D1877" t="str">
            <v>CHI</v>
          </cell>
          <cell r="E1877">
            <v>59.93</v>
          </cell>
          <cell r="F1877">
            <v>0</v>
          </cell>
        </row>
        <row r="1878">
          <cell r="B1878">
            <v>96028</v>
          </cell>
          <cell r="C1878" t="str">
            <v>TRATOR DE PNEUS COM POTÊNCIA DE 85 CV, TRAÇÃO 4X4, COM GRADE DE DISCOS ACOPLADA - CHP DIURNO. AF_02/2017</v>
          </cell>
          <cell r="D1878" t="str">
            <v>CHP</v>
          </cell>
          <cell r="E1878">
            <v>146.16</v>
          </cell>
          <cell r="F1878">
            <v>0</v>
          </cell>
        </row>
        <row r="1879">
          <cell r="B1879">
            <v>96155</v>
          </cell>
          <cell r="C1879" t="str">
            <v>TRATOR DE PNEUS COM POTÊNCIA DE 85 CV, TRAÇÃO 4X4, COM VASSOURA MECÂNICA ACOPLADA - CHI DIURNO. AF_02/2017</v>
          </cell>
          <cell r="D1879" t="str">
            <v>CHI</v>
          </cell>
          <cell r="E1879">
            <v>60.18</v>
          </cell>
          <cell r="F1879">
            <v>0</v>
          </cell>
        </row>
        <row r="1880">
          <cell r="B1880">
            <v>96157</v>
          </cell>
          <cell r="C1880" t="str">
            <v>TRATOR DE PNEUS COM POTÊNCIA DE 85 CV, TRAÇÃO 4X4, COM VASSOURA MECÂNICA ACOPLADA - CHP DIURNO. AF_03/2017</v>
          </cell>
          <cell r="D1880" t="str">
            <v>CHP</v>
          </cell>
          <cell r="E1880">
            <v>146.63</v>
          </cell>
          <cell r="F1880">
            <v>0</v>
          </cell>
        </row>
        <row r="1881">
          <cell r="B1881">
            <v>5845</v>
          </cell>
          <cell r="C1881" t="str">
            <v>TRATOR DE PNEUS, POTÊNCIA 122 CV, TRAÇÃO 4X4, PESO COM LASTRO DE 4.510 KG - CHI DIURNO. AF_06/2014</v>
          </cell>
          <cell r="D1881" t="str">
            <v>CHI</v>
          </cell>
          <cell r="E1881">
            <v>61.81</v>
          </cell>
          <cell r="F1881">
            <v>0</v>
          </cell>
        </row>
        <row r="1882">
          <cell r="B1882">
            <v>5843</v>
          </cell>
          <cell r="C1882" t="str">
            <v>TRATOR DE PNEUS, POTÊNCIA 122 CV, TRAÇÃO 4X4, PESO COM LASTRO DE 4.510 KG - CHP DIURNO. AF_06/2014</v>
          </cell>
          <cell r="D1882" t="str">
            <v>CHP</v>
          </cell>
          <cell r="E1882">
            <v>179.33</v>
          </cell>
          <cell r="F1882">
            <v>0</v>
          </cell>
        </row>
        <row r="1883">
          <cell r="B1883">
            <v>89036</v>
          </cell>
          <cell r="C1883" t="str">
            <v>TRATOR DE PNEUS, POTÊNCIA 85 CV, TRAÇÃO 4X4, PESO COM LASTRO DE 4.675 KG - CHI DIURNO. AF_06/2014</v>
          </cell>
          <cell r="D1883" t="str">
            <v>CHI</v>
          </cell>
          <cell r="E1883">
            <v>55.71</v>
          </cell>
          <cell r="F1883">
            <v>0</v>
          </cell>
        </row>
        <row r="1884">
          <cell r="B1884">
            <v>89035</v>
          </cell>
          <cell r="C1884" t="str">
            <v>TRATOR DE PNEUS, POTÊNCIA 85 CV, TRAÇÃO 4X4, PESO COM LASTRO DE 4.675 KG - CHP DIURNO. AF_06/2014</v>
          </cell>
          <cell r="D1884" t="str">
            <v>CHP</v>
          </cell>
          <cell r="E1884">
            <v>138.30000000000001</v>
          </cell>
          <cell r="F1884">
            <v>0</v>
          </cell>
        </row>
        <row r="1885">
          <cell r="B1885">
            <v>102911</v>
          </cell>
          <cell r="C1885" t="str">
            <v>UNIDADE DOSADORA AIRLESS TIPO HOT SPRAY - CHI DIURNO. AF_05/2023</v>
          </cell>
          <cell r="D1885" t="str">
            <v>CHI</v>
          </cell>
          <cell r="E1885">
            <v>0</v>
          </cell>
        </row>
        <row r="1886">
          <cell r="B1886">
            <v>102910</v>
          </cell>
          <cell r="C1886" t="str">
            <v>UNIDADE DOSADORA AIRLESS TIPO HOT SPRAY - CHP DIURNO. AF_05/2023</v>
          </cell>
          <cell r="D1886" t="str">
            <v>CHP</v>
          </cell>
          <cell r="E1886">
            <v>0</v>
          </cell>
        </row>
        <row r="1887">
          <cell r="B1887">
            <v>93440</v>
          </cell>
          <cell r="C1887" t="str">
            <v>USINA DE ASFALTO À FRIO, CAPACIDADE DE 40 A 60 TON/HORA, ELÉTRICA POTÊNCIA 30 CV - CHI DIURNO. AF_05/2023</v>
          </cell>
          <cell r="D1887" t="str">
            <v>CHI</v>
          </cell>
          <cell r="E1887">
            <v>184.49</v>
          </cell>
          <cell r="F1887">
            <v>0</v>
          </cell>
        </row>
        <row r="1888">
          <cell r="B1888">
            <v>93439</v>
          </cell>
          <cell r="C1888" t="str">
            <v>USINA DE ASFALTO À FRIO, CAPACIDADE DE 40 A 60 TON/HORA, ELÉTRICA POTÊNCIA 30 CV - CHP DIURNO. AF_05/2023</v>
          </cell>
          <cell r="D1888" t="str">
            <v>CHP</v>
          </cell>
          <cell r="E1888">
            <v>308.29000000000002</v>
          </cell>
          <cell r="F1888">
            <v>0</v>
          </cell>
        </row>
        <row r="1889">
          <cell r="B1889">
            <v>100648</v>
          </cell>
          <cell r="C1889" t="str">
            <v>USINA DE ASFALTO, TIPO GRAVIMÉTRICA, PROD 150 TON/HORA - CHI DIURNO. AF_12/2019</v>
          </cell>
          <cell r="D1889" t="str">
            <v>CHI</v>
          </cell>
          <cell r="E1889">
            <v>605.82000000000005</v>
          </cell>
          <cell r="F1889">
            <v>0</v>
          </cell>
        </row>
        <row r="1890">
          <cell r="B1890">
            <v>100647</v>
          </cell>
          <cell r="C1890" t="str">
            <v>USINA DE ASFALTO, TIPO GRAVIMÉTRICA, PROD 150 TON/HORA - CHP DIURNO. AF_12/2019</v>
          </cell>
          <cell r="D1890" t="str">
            <v>CHP</v>
          </cell>
          <cell r="E1890">
            <v>6722.99</v>
          </cell>
          <cell r="F1890">
            <v>0</v>
          </cell>
        </row>
        <row r="1891">
          <cell r="B1891">
            <v>5829</v>
          </cell>
          <cell r="C1891" t="str">
            <v>USINA DE CONCRETO FIXA, CAPACIDADE NOMINAL DE 90 A 120 M3/H, SEM SILO - CHI DIURNO. AF_07/2016</v>
          </cell>
          <cell r="D1891" t="str">
            <v>CHI</v>
          </cell>
          <cell r="E1891">
            <v>215.05</v>
          </cell>
          <cell r="F1891">
            <v>0</v>
          </cell>
        </row>
        <row r="1892">
          <cell r="B1892">
            <v>5823</v>
          </cell>
          <cell r="C1892" t="str">
            <v>USINA DE CONCRETO FIXA, CAPACIDADE NOMINAL DE 90 A 120 M3/H, SEM SILO - CHP DIURNO. AF_07/2016</v>
          </cell>
          <cell r="D1892" t="str">
            <v>CHP</v>
          </cell>
          <cell r="E1892">
            <v>271.37</v>
          </cell>
          <cell r="F1892">
            <v>0</v>
          </cell>
        </row>
        <row r="1893">
          <cell r="B1893">
            <v>106095</v>
          </cell>
          <cell r="C189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1893" t="str">
            <v>CHI</v>
          </cell>
          <cell r="E1893">
            <v>118.66</v>
          </cell>
          <cell r="F1893">
            <v>0</v>
          </cell>
        </row>
        <row r="1894">
          <cell r="B1894">
            <v>106094</v>
          </cell>
          <cell r="C189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1894" t="str">
            <v>CHP</v>
          </cell>
          <cell r="E1894">
            <v>342.74</v>
          </cell>
          <cell r="F1894">
            <v>0</v>
          </cell>
        </row>
        <row r="1895">
          <cell r="B1895">
            <v>100642</v>
          </cell>
          <cell r="C1895" t="str">
            <v>USINA DE MISTURA ASFÁLTICA À QUENTE, TIPO CONTRA FLUXO, PROD 100 A 140 TON/HORA - CHI DIURNO. AF_12/2019</v>
          </cell>
          <cell r="D1895" t="str">
            <v>CHI</v>
          </cell>
          <cell r="E1895">
            <v>311.08999999999997</v>
          </cell>
          <cell r="F1895">
            <v>0</v>
          </cell>
        </row>
        <row r="1896">
          <cell r="B1896">
            <v>100641</v>
          </cell>
          <cell r="C1896" t="str">
            <v>USINA DE MISTURA ASFÁLTICA À QUENTE, TIPO CONTRA FLUXO, PROD 100 A 140 TON/HORA - CHP DIURNO. AF_12/2019</v>
          </cell>
          <cell r="D1896" t="str">
            <v>CHP</v>
          </cell>
          <cell r="E1896">
            <v>4926.16</v>
          </cell>
          <cell r="F1896">
            <v>0</v>
          </cell>
        </row>
        <row r="1897">
          <cell r="B1897">
            <v>93434</v>
          </cell>
          <cell r="C1897" t="str">
            <v>USINA DE MISTURA ASFÁLTICA À QUENTE, TIPO CONTRA FLUXO, PROD 40 A 80 TON/HORA - CHI DIURNO. AF_05/2023</v>
          </cell>
          <cell r="D1897" t="str">
            <v>CHI</v>
          </cell>
          <cell r="E1897">
            <v>386.75</v>
          </cell>
          <cell r="F1897">
            <v>0</v>
          </cell>
        </row>
        <row r="1898">
          <cell r="B1898">
            <v>93433</v>
          </cell>
          <cell r="C1898" t="str">
            <v>USINA DE MISTURA ASFÁLTICA À QUENTE, TIPO CONTRA FLUXO, PROD 40 A 80 TON/HORA - CHP DIURNO. AF_05/2023</v>
          </cell>
          <cell r="D1898" t="str">
            <v>CHP</v>
          </cell>
          <cell r="E1898">
            <v>2773.4</v>
          </cell>
          <cell r="F1898">
            <v>0</v>
          </cell>
        </row>
        <row r="1899">
          <cell r="B1899">
            <v>95122</v>
          </cell>
          <cell r="C1899" t="str">
            <v>USINA MISTURADORA DE SOLOS, CAPACIDADE DE 200 A 500 TON/H, POTENCIA 75KW - CHI DIURNO. AF_07/2016</v>
          </cell>
          <cell r="D1899" t="str">
            <v>CHI</v>
          </cell>
          <cell r="E1899">
            <v>270.82</v>
          </cell>
          <cell r="F1899">
            <v>0</v>
          </cell>
        </row>
        <row r="1900">
          <cell r="B1900">
            <v>95121</v>
          </cell>
          <cell r="C1900" t="str">
            <v>USINA MISTURADORA DE SOLOS, CAPACIDADE DE 200 A 500 TON/H, POTENCIA 75KW - CHP DIURNO. AF_07/2016</v>
          </cell>
          <cell r="D1900" t="str">
            <v>CHP</v>
          </cell>
          <cell r="E1900">
            <v>408.53</v>
          </cell>
          <cell r="F1900">
            <v>0</v>
          </cell>
        </row>
        <row r="1901">
          <cell r="B1901">
            <v>103662</v>
          </cell>
          <cell r="C1901" t="str">
            <v>VARREDEIRA DE GRAMA SINTÉTICA A GASOLINA, 2,4 CV, 4 TEMPOS - CHI DIURNO. AF_05/2023</v>
          </cell>
          <cell r="D1901" t="str">
            <v>CHI</v>
          </cell>
          <cell r="E1901">
            <v>0</v>
          </cell>
        </row>
        <row r="1902">
          <cell r="B1902">
            <v>103661</v>
          </cell>
          <cell r="C1902" t="str">
            <v>VARREDEIRA DE GRAMA SINTÉTICA A GASOLINA, 2,4 CV, 4 TEMPOS - CHP DIURNO. AF_05/2023</v>
          </cell>
          <cell r="D1902" t="str">
            <v>CHP</v>
          </cell>
          <cell r="E1902">
            <v>0</v>
          </cell>
        </row>
        <row r="1903">
          <cell r="B1903">
            <v>5841</v>
          </cell>
          <cell r="C1903" t="str">
            <v>VASSOURA MECÂNICA REBOCÁVEL COM ESCOVA CILÍNDRICA, LARGURA ÚTIL DE VARRIMENTO DE 2,44 M - CHI DIURNO. AF_06/2014</v>
          </cell>
          <cell r="D1903" t="str">
            <v>CHI</v>
          </cell>
          <cell r="E1903">
            <v>4.68</v>
          </cell>
          <cell r="F1903">
            <v>0</v>
          </cell>
        </row>
        <row r="1904">
          <cell r="B1904">
            <v>5839</v>
          </cell>
          <cell r="C1904" t="str">
            <v>VASSOURA MECÂNICA REBOCÁVEL COM ESCOVA CILÍNDRICA, LARGURA ÚTIL DE VARRIMENTO DE 2,44 M - CHP DIURNO. AF_06/2014</v>
          </cell>
          <cell r="D1904" t="str">
            <v>CHP</v>
          </cell>
          <cell r="E1904">
            <v>9.31</v>
          </cell>
          <cell r="F1904">
            <v>0</v>
          </cell>
        </row>
        <row r="1905">
          <cell r="B1905">
            <v>90587</v>
          </cell>
          <cell r="C1905" t="str">
            <v>VIBRADOR DE IMERSÃO, DIÂMETRO DE PONTEIRA 45MM, MOTOR ELÉTRICO TRIFÁSICO POTÊNCIA DE 2 CV - CHI DIURNO. AF_06/2015</v>
          </cell>
          <cell r="D1905" t="str">
            <v>CHI</v>
          </cell>
          <cell r="E1905">
            <v>0.56000000000000005</v>
          </cell>
          <cell r="F1905">
            <v>0</v>
          </cell>
        </row>
        <row r="1906">
          <cell r="B1906">
            <v>90586</v>
          </cell>
          <cell r="C1906" t="str">
            <v>VIBRADOR DE IMERSÃO, DIÂMETRO DE PONTEIRA 45MM, MOTOR ELÉTRICO TRIFÁSICO POTÊNCIA DE 2 CV - CHP DIURNO. AF_06/2015</v>
          </cell>
          <cell r="D1906" t="str">
            <v>CHP</v>
          </cell>
          <cell r="E1906">
            <v>1.37</v>
          </cell>
          <cell r="F1906">
            <v>0</v>
          </cell>
        </row>
        <row r="1907">
          <cell r="B1907">
            <v>106392</v>
          </cell>
          <cell r="C1907" t="str">
            <v>VIBROACABADORA DE ASFALTO SOBRE ESTEIRAS, LARG. PAVIM. 2,60 M A 5,75 M, POT. 110 HP, CAP. 450 T/ H - CHI DIURNO. AF_11/2025</v>
          </cell>
          <cell r="D1907" t="str">
            <v>CHI</v>
          </cell>
          <cell r="E1907">
            <v>136.88999999999999</v>
          </cell>
          <cell r="F1907">
            <v>0</v>
          </cell>
        </row>
        <row r="1908">
          <cell r="B1908">
            <v>106389</v>
          </cell>
          <cell r="C1908" t="str">
            <v>VIBROACABADORA DE ASFALTO SOBRE ESTEIRAS, LARG. PAVIM. 2,60 M A 5,75 M, POT. 110 HP, CAP. 450 T/ H - CHP DIURNO. AF_11/2025</v>
          </cell>
          <cell r="D1908" t="str">
            <v>CHP</v>
          </cell>
          <cell r="E1908">
            <v>350.27</v>
          </cell>
          <cell r="F1908">
            <v>0</v>
          </cell>
        </row>
        <row r="1909">
          <cell r="B1909">
            <v>106391</v>
          </cell>
          <cell r="C1909" t="str">
            <v>VIBROACABADORA DE ASFALTO SOBRE ESTEIRAS, LARG. PAVIM. MÁX. 8,00 M, POT. 100 KW/ 134 HP, CAP. 600 T/ H - CHI DIURNO. AF_11/2025</v>
          </cell>
          <cell r="D1909" t="str">
            <v>CHI</v>
          </cell>
          <cell r="E1909">
            <v>272.79000000000002</v>
          </cell>
          <cell r="F1909">
            <v>0</v>
          </cell>
        </row>
        <row r="1910">
          <cell r="B1910">
            <v>106388</v>
          </cell>
          <cell r="C1910" t="str">
            <v>VIBROACABADORA DE ASFALTO SOBRE ESTEIRAS, LARG. PAVIM. MÁX. 8,00 M, POT. 100 KW/ 134 HP, CAP. 600 T/ H - CHP DIURNO. AF_11/2025</v>
          </cell>
          <cell r="D1910" t="str">
            <v>CHP</v>
          </cell>
          <cell r="E1910">
            <v>668.29</v>
          </cell>
          <cell r="F1910">
            <v>0</v>
          </cell>
        </row>
        <row r="1911">
          <cell r="B1911">
            <v>5837</v>
          </cell>
          <cell r="C1911" t="str">
            <v>VIBROACABADORA DE ASFALTO SOBRE ESTEIRAS, LARGURA DE PAVIMENTAÇÃO 1,90 M A 5,30 M, POTÊNCIA 105 HP CAPACIDADE 450 T/H - CHI DIURNO. AF_11/2014</v>
          </cell>
          <cell r="D1911" t="str">
            <v>CHI</v>
          </cell>
          <cell r="E1911">
            <v>158.06</v>
          </cell>
          <cell r="F1911">
            <v>0</v>
          </cell>
        </row>
        <row r="1912">
          <cell r="B1912">
            <v>5835</v>
          </cell>
          <cell r="C1912" t="str">
            <v>VIBROACABADORA DE ASFALTO SOBRE ESTEIRAS, LARGURA DE PAVIMENTAÇÃO 1,90 M A 5,30 M, POTÊNCIA 105 HP CAPACIDADE 450 T/H - CHP DIURNO. AF_11/2014</v>
          </cell>
          <cell r="D1912" t="str">
            <v>CHP</v>
          </cell>
          <cell r="E1912">
            <v>392.29</v>
          </cell>
          <cell r="F1912">
            <v>0</v>
          </cell>
        </row>
        <row r="1913">
          <cell r="B1913">
            <v>89257</v>
          </cell>
          <cell r="C1913" t="str">
            <v>VIBROACABADORA DE ASFALTO SOBRE ESTEIRAS, LARGURA DE PAVIMENTAÇÃO 2,13 M A 4,55 M, POTÊNCIA 100 HP CAPACIDADE 400 T/H - CHP DIURNO. AF_11/2014</v>
          </cell>
          <cell r="D1913" t="str">
            <v>CHP</v>
          </cell>
          <cell r="E1913">
            <v>340.09</v>
          </cell>
          <cell r="F1913">
            <v>0</v>
          </cell>
        </row>
        <row r="1914">
          <cell r="B1914">
            <v>89258</v>
          </cell>
          <cell r="C1914" t="str">
            <v>VIBROACABADORA DE ASFALTO SOBRE ESTEIRAS, LARGURA DE PAVIMENTAÇÃO 2,13 M A 4,55 M, POTÊNCIA 100 HP, CAPACIDADE 400 T/H - CHI DIURNO. AF_11/2014</v>
          </cell>
          <cell r="D1914" t="str">
            <v>CHI</v>
          </cell>
          <cell r="E1914">
            <v>136.16999999999999</v>
          </cell>
          <cell r="F1914">
            <v>0</v>
          </cell>
        </row>
        <row r="1915">
          <cell r="B1915">
            <v>106393</v>
          </cell>
          <cell r="C1915" t="str">
            <v>VIBROACABADORA DE ASFALTO SOBRE RODAS, LARGURA DE PAVIMENTAÇÃO DE 1,70 A 4,20 M, POTÊNCIA 78 KW/105 HP, CAPACIDADE 300 T/H - CHI DIURNO. AF_11/2025</v>
          </cell>
          <cell r="D1915" t="str">
            <v>CHI</v>
          </cell>
          <cell r="E1915">
            <v>155.54</v>
          </cell>
          <cell r="F1915">
            <v>0</v>
          </cell>
        </row>
        <row r="1916">
          <cell r="B1916">
            <v>106390</v>
          </cell>
          <cell r="C1916" t="str">
            <v>VIBROACABADORA DE ASFALTO SOBRE RODAS, LARGURA DE PAVIMENTAÇÃO DE 1,70 A 4,20 M, POTÊNCIA 78 KW/105 HP, CAPACIDADE 300 T/H - CHP DIURNO. AF_11/2025</v>
          </cell>
          <cell r="D1916" t="str">
            <v>CHP</v>
          </cell>
          <cell r="E1916">
            <v>373.35</v>
          </cell>
          <cell r="F1916">
            <v>0</v>
          </cell>
        </row>
        <row r="1917">
          <cell r="B1917">
            <v>97621</v>
          </cell>
          <cell r="C1917" t="str">
            <v>DEMOLIÇÃO DE ALVENARIA DE BLOCO FURADO, DE FORMA MANUAL, COM REAPROVEITAMENTO. AF_09/2023</v>
          </cell>
          <cell r="D1917" t="str">
            <v>M3</v>
          </cell>
          <cell r="E1917">
            <v>166.38</v>
          </cell>
          <cell r="F1917">
            <v>0</v>
          </cell>
        </row>
        <row r="1918">
          <cell r="B1918">
            <v>97622</v>
          </cell>
          <cell r="C1918" t="str">
            <v>DEMOLIÇÃO DE ALVENARIA DE BLOCO FURADO, DE FORMA MANUAL, SEM REAPROVEITAMENTO. AF_09/2023</v>
          </cell>
          <cell r="D1918" t="str">
            <v>M3</v>
          </cell>
          <cell r="E1918">
            <v>81.09</v>
          </cell>
          <cell r="F1918">
            <v>0</v>
          </cell>
        </row>
        <row r="1919">
          <cell r="B1919">
            <v>97623</v>
          </cell>
          <cell r="C1919" t="str">
            <v>DEMOLIÇÃO DE ALVENARIA DE TIJOLO MACIÇO, DE FORMA MANUAL, COM REAPROVEITAMENTO. AF_09/2023</v>
          </cell>
          <cell r="D1919" t="str">
            <v>M3</v>
          </cell>
          <cell r="E1919">
            <v>248.39</v>
          </cell>
          <cell r="F1919">
            <v>0</v>
          </cell>
        </row>
        <row r="1920">
          <cell r="B1920">
            <v>97624</v>
          </cell>
          <cell r="C1920" t="str">
            <v>DEMOLIÇÃO DE ALVENARIA DE TIJOLO MACIÇO, DE FORMA MANUAL, SEM REAPROVEITAMENTO. AF_09/2023</v>
          </cell>
          <cell r="D1920" t="str">
            <v>M3</v>
          </cell>
          <cell r="E1920">
            <v>152.46</v>
          </cell>
          <cell r="F1920">
            <v>0</v>
          </cell>
        </row>
        <row r="1921">
          <cell r="B1921">
            <v>97625</v>
          </cell>
          <cell r="C1921" t="str">
            <v>DEMOLIÇÃO DE ALVENARIA PARA QUALQUER TIPO DE BLOCO, DE FORMA MECANIZADA, SEM REAPROVEITAMENTO. AF_09/2023</v>
          </cell>
          <cell r="D1921" t="str">
            <v>M3</v>
          </cell>
          <cell r="E1921">
            <v>54.11</v>
          </cell>
          <cell r="F1921">
            <v>0</v>
          </cell>
        </row>
        <row r="1922">
          <cell r="B1922">
            <v>104791</v>
          </cell>
          <cell r="C1922" t="str">
            <v>DEMOLIÇÃO DE ARGAMASSAS, DE FORMA DE FORMA MECANIZADA COM MARTELETE, SEM REAPROVEITAMENTO. AF_09/2023</v>
          </cell>
          <cell r="D1922" t="str">
            <v>M2</v>
          </cell>
          <cell r="E1922">
            <v>3.49</v>
          </cell>
          <cell r="F1922">
            <v>0</v>
          </cell>
        </row>
        <row r="1923">
          <cell r="B1923">
            <v>97631</v>
          </cell>
          <cell r="C1923" t="str">
            <v>DEMOLIÇÃO DE ARGAMASSAS, DE FORMA MANUAL, SEM REAPROVEITAMENTO. AF_09/2023</v>
          </cell>
          <cell r="D1923" t="str">
            <v>M2</v>
          </cell>
          <cell r="E1923">
            <v>16.18</v>
          </cell>
          <cell r="F1923">
            <v>0</v>
          </cell>
        </row>
        <row r="1924">
          <cell r="B1924">
            <v>97630</v>
          </cell>
          <cell r="C1924" t="str">
            <v>DEMOLIÇÃO DE ESTRUTURAS DE CONCRETO ARMADO EM GERAL, DE FORMA MECANIZADA COM ROMPEDOR ACOPLADO EM ESCAVADEIRA HIDRÁULICA, SEM REAPROVEITAMENTO. AF_09/2023</v>
          </cell>
          <cell r="D1924" t="str">
            <v>M3</v>
          </cell>
          <cell r="E1924">
            <v>0</v>
          </cell>
        </row>
        <row r="1925">
          <cell r="B1925">
            <v>104796</v>
          </cell>
          <cell r="C1925" t="str">
            <v>DEMOLIÇÃO DE GUIAS, SARJETAS OU SARJETÕES, DE FORMA MECANIZADA, SEM REAPROVEITAMENTO. AF_09/2023</v>
          </cell>
          <cell r="D1925" t="str">
            <v>M</v>
          </cell>
          <cell r="E1925">
            <v>17.66</v>
          </cell>
          <cell r="F1925">
            <v>0</v>
          </cell>
        </row>
        <row r="1926">
          <cell r="B1926">
            <v>97628</v>
          </cell>
          <cell r="C1926" t="str">
            <v>DEMOLIÇÃO DE LAJES, EM CONCRETO ARMADO, DE FORMA MANUAL, SEM REAPROVEITAMENTO. AF_09/2023</v>
          </cell>
          <cell r="D1926" t="str">
            <v>M3</v>
          </cell>
          <cell r="E1926">
            <v>379.54</v>
          </cell>
          <cell r="F1926">
            <v>0</v>
          </cell>
        </row>
        <row r="1927">
          <cell r="B1927">
            <v>97629</v>
          </cell>
          <cell r="C1927" t="str">
            <v>DEMOLIÇÃO DE LAJES, EM CONCRETO ARMADO, DE FORMA MECANIZADA COM MARTELETE, SEM REAPROVEITAMENTO. AF_09/2023</v>
          </cell>
          <cell r="D1927" t="str">
            <v>M3</v>
          </cell>
          <cell r="E1927">
            <v>27.32</v>
          </cell>
          <cell r="F1927">
            <v>0</v>
          </cell>
        </row>
        <row r="1928">
          <cell r="B1928">
            <v>97626</v>
          </cell>
          <cell r="C1928" t="str">
            <v>DEMOLIÇÃO DE PILARES E VIGAS EM CONCRETO ARMADO, DE FORMA MANUAL, SEM REAPROVEITAMENTO. AF_09/2023</v>
          </cell>
          <cell r="D1928" t="str">
            <v>M3</v>
          </cell>
          <cell r="E1928">
            <v>814.92</v>
          </cell>
          <cell r="F1928">
            <v>0</v>
          </cell>
        </row>
        <row r="1929">
          <cell r="B1929">
            <v>97627</v>
          </cell>
          <cell r="C1929" t="str">
            <v>DEMOLIÇÃO DE PILARES E VIGAS EM CONCRETO ARMADO, DE FORMA MECANIZADA COM MARTELETE, SEM REAPROVEITAMENTO. AF_09/2023</v>
          </cell>
          <cell r="D1929" t="str">
            <v>M3</v>
          </cell>
          <cell r="E1929">
            <v>58.67</v>
          </cell>
          <cell r="F1929">
            <v>0</v>
          </cell>
        </row>
        <row r="1930">
          <cell r="B1930">
            <v>104789</v>
          </cell>
          <cell r="C1930" t="str">
            <v>DEMOLIÇÃO DE PISO DE CONCRETO SIMPLES, DE FORMA MANUAL, SEM REAPROVEITAMENTO. AF_09/2023</v>
          </cell>
          <cell r="D1930" t="str">
            <v>M3</v>
          </cell>
          <cell r="E1930">
            <v>285.38</v>
          </cell>
          <cell r="F1930">
            <v>0</v>
          </cell>
        </row>
        <row r="1931">
          <cell r="B1931">
            <v>104790</v>
          </cell>
          <cell r="C1931" t="str">
            <v>DEMOLIÇÃO DE PISO DE CONCRETO SIMPLES, DE FORMA MECANIZADA COM MARTELETE, SEM REAPROVEITAMENTO. AF_09/2023</v>
          </cell>
          <cell r="D1931" t="str">
            <v>M3</v>
          </cell>
          <cell r="E1931">
            <v>132.79</v>
          </cell>
          <cell r="F1931">
            <v>0</v>
          </cell>
        </row>
        <row r="1932">
          <cell r="B1932">
            <v>97633</v>
          </cell>
          <cell r="C1932" t="str">
            <v>DEMOLIÇÃO DE REVESTIMENTO CERÂMICO, DE FORMA MANUAL, SEM REAPROVEITAMENTO. AF_09/2023</v>
          </cell>
          <cell r="D1932" t="str">
            <v>M2</v>
          </cell>
          <cell r="E1932">
            <v>32.32</v>
          </cell>
          <cell r="F1932">
            <v>0</v>
          </cell>
        </row>
        <row r="1933">
          <cell r="B1933">
            <v>97634</v>
          </cell>
          <cell r="C1933" t="str">
            <v>DEMOLIÇÃO DE REVESTIMENTO CERÂMICO, DE FORMA MECANIZADA COM MARTELETE, SEM REAPROVEITAMENTO. AF_09/2023</v>
          </cell>
          <cell r="D1933" t="str">
            <v>M2</v>
          </cell>
          <cell r="E1933">
            <v>4.8</v>
          </cell>
          <cell r="F1933">
            <v>0</v>
          </cell>
        </row>
        <row r="1934">
          <cell r="B1934">
            <v>97632</v>
          </cell>
          <cell r="C1934" t="str">
            <v>DEMOLIÇÃO DE RODAPÉ CERÂMICO, DE FORMA MANUAL, SEM REAPROVEITAMENTO. AF_09/2023</v>
          </cell>
          <cell r="D1934" t="str">
            <v>M</v>
          </cell>
          <cell r="E1934">
            <v>3.7</v>
          </cell>
          <cell r="F1934">
            <v>0</v>
          </cell>
        </row>
        <row r="1935">
          <cell r="B1935">
            <v>97636</v>
          </cell>
          <cell r="C1935" t="str">
            <v>DEMOLIÇÃO PARCIAL DE PAVIMENTO ASFÁLTICO, DE FORMA MECANIZADA, SEM REAPROVEITAMENTO. AF_09/2023</v>
          </cell>
          <cell r="D1935" t="str">
            <v>M2</v>
          </cell>
          <cell r="E1935">
            <v>26.35</v>
          </cell>
          <cell r="F1935">
            <v>0</v>
          </cell>
        </row>
        <row r="1936">
          <cell r="B1936">
            <v>104797</v>
          </cell>
          <cell r="C1936" t="str">
            <v>REMOÇAO DE GUIAS PRÉ-FABRICADAS DE CONCRETO, DE FORMA MECANIZADA, COM REAPROVEITAMENTO. AF_09/2023</v>
          </cell>
          <cell r="D1936" t="str">
            <v>M</v>
          </cell>
          <cell r="E1936">
            <v>22.08</v>
          </cell>
          <cell r="F1936">
            <v>0</v>
          </cell>
        </row>
        <row r="1937">
          <cell r="B1937">
            <v>104803</v>
          </cell>
          <cell r="C1937" t="str">
            <v>REMOÇÃO CALHAS E RUFOS, DE FORMA MANUAL, SEM REAPROVEITAMENTO. AF_09/2023</v>
          </cell>
          <cell r="D1937" t="str">
            <v>M</v>
          </cell>
          <cell r="E1937">
            <v>6.36</v>
          </cell>
          <cell r="F1937">
            <v>0</v>
          </cell>
        </row>
        <row r="1938">
          <cell r="B1938">
            <v>97664</v>
          </cell>
          <cell r="C1938" t="str">
            <v>REMOÇÃO DE ACESSÓRIOS, DE FORMA MANUAL, SEM REAPROVEITAMENTO. AF_09/2023</v>
          </cell>
          <cell r="D1938" t="str">
            <v>UN</v>
          </cell>
          <cell r="E1938">
            <v>2.3199999999999998</v>
          </cell>
          <cell r="F1938">
            <v>0</v>
          </cell>
        </row>
        <row r="1939">
          <cell r="B1939">
            <v>104801</v>
          </cell>
          <cell r="C1939" t="str">
            <v>REMOÇÃO DE ALAMBRADOS PARA QUADRAS POLIESPORTIVAS, ESTRUTURADO POR TUBOS DE AÇO GALVANIZADO, COM TELA DE ARAME GALVANIZADO, DE FORMA MANUAL, SEM REAPROVEITAMENTO. AF_09/2023</v>
          </cell>
          <cell r="D1939" t="str">
            <v>M2</v>
          </cell>
          <cell r="E1939">
            <v>19.71</v>
          </cell>
          <cell r="F1939">
            <v>0</v>
          </cell>
        </row>
        <row r="1940">
          <cell r="B1940">
            <v>97661</v>
          </cell>
          <cell r="C1940" t="str">
            <v>REMOÇÃO DE CABOS ELÉTRICOS, COM SEÇÃO DE 10 MM², FORMA MANUAL, SEM REAPROVEITAMENTO. AF_09/2023</v>
          </cell>
          <cell r="D1940" t="str">
            <v>M</v>
          </cell>
          <cell r="E1940">
            <v>1.07</v>
          </cell>
          <cell r="F1940">
            <v>0</v>
          </cell>
        </row>
        <row r="1941">
          <cell r="B1941">
            <v>104794</v>
          </cell>
          <cell r="C1941" t="str">
            <v>REMOÇÃO DE CABOS ELÉTRICOS, COM SEÇÃO DE 16 MM², FORMA MANUAL, SEM REAPROVEITAMENTO. AF_09/2023</v>
          </cell>
          <cell r="D1941" t="str">
            <v>M</v>
          </cell>
          <cell r="E1941">
            <v>1.46</v>
          </cell>
          <cell r="F1941">
            <v>0</v>
          </cell>
        </row>
        <row r="1942">
          <cell r="B1942">
            <v>104795</v>
          </cell>
          <cell r="C1942" t="str">
            <v>REMOÇÃO DE CABOS ELÉTRICOS, COM SEÇÃO DE 25 MM², FORMA MANUAL, SEM REAPROVEITAMENTO. AF_09/2023</v>
          </cell>
          <cell r="D1942" t="str">
            <v>M</v>
          </cell>
          <cell r="E1942">
            <v>2.04</v>
          </cell>
          <cell r="F1942">
            <v>0</v>
          </cell>
        </row>
        <row r="1943">
          <cell r="B1943">
            <v>104792</v>
          </cell>
          <cell r="C1943" t="str">
            <v>REMOÇÃO DE CABOS ELÉTRICOS, COM SEÇÃO DE ATÉ 2,5 MM², DE FORMA MANUAL, SEM REAPROVEITAMENTO. AF_09/2023</v>
          </cell>
          <cell r="D1943" t="str">
            <v>M</v>
          </cell>
          <cell r="E1943">
            <v>0.59</v>
          </cell>
          <cell r="F1943">
            <v>0</v>
          </cell>
        </row>
        <row r="1944">
          <cell r="B1944">
            <v>104793</v>
          </cell>
          <cell r="C1944" t="str">
            <v>REMOÇÃO DE CABOS ELÉTRICOS, COM SEÇÃO MAIOR QUE 2,5 MM² E MENOR QUE 10 MM², DE FORMA MANUAL, SEM REAPROVEITAMENTO. AF_09/2023</v>
          </cell>
          <cell r="D1944" t="str">
            <v>M</v>
          </cell>
          <cell r="E1944">
            <v>0.81</v>
          </cell>
          <cell r="F1944">
            <v>0</v>
          </cell>
        </row>
        <row r="1945">
          <cell r="B1945">
            <v>104800</v>
          </cell>
          <cell r="C1945" t="str">
            <v>REMOÇÃO DE CERCAS E MOURÕES, DE FORMA MANUAL, SEM REAPROVEITAMENTO. AF_09/2023</v>
          </cell>
          <cell r="D1945" t="str">
            <v>M</v>
          </cell>
          <cell r="E1945">
            <v>12.84</v>
          </cell>
          <cell r="F1945">
            <v>0</v>
          </cell>
        </row>
        <row r="1946">
          <cell r="B1946">
            <v>97638</v>
          </cell>
          <cell r="C1946" t="str">
            <v>REMOÇÃO DE CHAPAS E PERFIS DE DRYWALL, DE FORMA MANUAL, SEM REAPROVEITAMENTO. AF_09/2023</v>
          </cell>
          <cell r="D1946" t="str">
            <v>M2</v>
          </cell>
          <cell r="E1946">
            <v>12.01</v>
          </cell>
          <cell r="F1946">
            <v>0</v>
          </cell>
        </row>
        <row r="1947">
          <cell r="B1947">
            <v>97641</v>
          </cell>
          <cell r="C1947" t="str">
            <v>REMOÇÃO DE FORRO DE GESSO, DE FORMA MANUAL, SEM REAPROVEITAMENTO. AF_09/2023</v>
          </cell>
          <cell r="D1947" t="str">
            <v>M2</v>
          </cell>
          <cell r="E1947">
            <v>4.1500000000000004</v>
          </cell>
          <cell r="F1947">
            <v>0</v>
          </cell>
        </row>
        <row r="1948">
          <cell r="B1948">
            <v>97640</v>
          </cell>
          <cell r="C1948" t="str">
            <v>REMOÇÃO DE FORROS DE DRYWALL, PVC E FIBROMINERAL, DE FORMA MANUAL, SEM REAPROVEITAMENTO. AF_09/2023</v>
          </cell>
          <cell r="D1948" t="str">
            <v>M2</v>
          </cell>
          <cell r="E1948">
            <v>2.8</v>
          </cell>
          <cell r="F1948">
            <v>0</v>
          </cell>
        </row>
        <row r="1949">
          <cell r="B1949">
            <v>97660</v>
          </cell>
          <cell r="C1949" t="str">
            <v>REMOÇÃO DE INTERRUPTORES/TOMADAS ELÉTRICAS, DE FORMA MANUAL, SEM REAPROVEITAMENTO. AF_09/2023</v>
          </cell>
          <cell r="D1949" t="str">
            <v>UN</v>
          </cell>
          <cell r="E1949">
            <v>1</v>
          </cell>
          <cell r="F1949">
            <v>0</v>
          </cell>
        </row>
        <row r="1950">
          <cell r="B1950">
            <v>97645</v>
          </cell>
          <cell r="C1950" t="str">
            <v>REMOÇÃO DE JANELAS, DE FORMA MANUAL, SEM REAPROVEITAMENTO. AF_09/2023</v>
          </cell>
          <cell r="D1950" t="str">
            <v>M2</v>
          </cell>
          <cell r="E1950">
            <v>34.78</v>
          </cell>
          <cell r="F1950">
            <v>0</v>
          </cell>
        </row>
        <row r="1951">
          <cell r="B1951">
            <v>97663</v>
          </cell>
          <cell r="C1951" t="str">
            <v>REMOÇÃO DE LOUÇAS, DE FORMA MANUAL, SEM REAPROVEITAMENTO. AF_09/2023</v>
          </cell>
          <cell r="D1951" t="str">
            <v>UN</v>
          </cell>
          <cell r="E1951">
            <v>18.62</v>
          </cell>
          <cell r="F1951">
            <v>0</v>
          </cell>
        </row>
        <row r="1952">
          <cell r="B1952">
            <v>97665</v>
          </cell>
          <cell r="C1952" t="str">
            <v>REMOÇÃO DE LUMINÁRIAS, DE FORMA MANUAL, SEM REAPROVEITAMENTO. AF_09/2023</v>
          </cell>
          <cell r="D1952" t="str">
            <v>UN</v>
          </cell>
          <cell r="E1952">
            <v>2.72</v>
          </cell>
          <cell r="F1952">
            <v>0</v>
          </cell>
        </row>
        <row r="1953">
          <cell r="B1953">
            <v>97666</v>
          </cell>
          <cell r="C1953" t="str">
            <v>REMOÇÃO DE METAIS SANITÁRIOS, DE FORMA MANUAL, SEM REAPROVEITAMENTO. AF_09/2023</v>
          </cell>
          <cell r="D1953" t="str">
            <v>UN</v>
          </cell>
          <cell r="E1953">
            <v>13.58</v>
          </cell>
          <cell r="F1953">
            <v>0</v>
          </cell>
        </row>
        <row r="1954">
          <cell r="B1954">
            <v>97635</v>
          </cell>
          <cell r="C1954" t="str">
            <v>REMOÇÃO DE PISO DE BLOCO INTERTRAVADO OU DE PEDRA PORTUGUESA, DE FORMA MANUAL, COM REAPROVEITAMENTO. AF_09/2023</v>
          </cell>
          <cell r="D1954" t="str">
            <v>M2</v>
          </cell>
          <cell r="E1954">
            <v>23.72</v>
          </cell>
          <cell r="F1954">
            <v>0</v>
          </cell>
        </row>
        <row r="1955">
          <cell r="B1955">
            <v>97643</v>
          </cell>
          <cell r="C1955" t="str">
            <v>REMOÇÃO DE PISO DE MADEIRA (ASSOALHO E BARROTE), DE FORMA MANUAL, SEM REAPROVEITAMENTO. AF_09/2023</v>
          </cell>
          <cell r="D1955" t="str">
            <v>M2</v>
          </cell>
          <cell r="E1955">
            <v>35.61</v>
          </cell>
          <cell r="F1955">
            <v>0</v>
          </cell>
        </row>
        <row r="1956">
          <cell r="B1956">
            <v>104799</v>
          </cell>
          <cell r="C1956" t="str">
            <v>REMOÇÃO DE PLACAS DE SINALIZAÇÃO VIÁRIA, DE FORMA MANUAL, SEM REAPROVEITAMENTO. AF_09/2023</v>
          </cell>
          <cell r="D1956" t="str">
            <v>M2</v>
          </cell>
          <cell r="E1956">
            <v>15.51</v>
          </cell>
          <cell r="F1956">
            <v>0</v>
          </cell>
        </row>
        <row r="1957">
          <cell r="B1957">
            <v>97639</v>
          </cell>
          <cell r="C1957" t="str">
            <v>REMOÇÃO DE PLACAS E PILARETES DE CONCRETO, DE FORMA MANUAL, SEM REAPROVEITAMENTO. AF_09/2023</v>
          </cell>
          <cell r="D1957" t="str">
            <v>M2</v>
          </cell>
          <cell r="E1957">
            <v>29.08</v>
          </cell>
          <cell r="F1957">
            <v>0</v>
          </cell>
        </row>
        <row r="1958">
          <cell r="B1958">
            <v>97644</v>
          </cell>
          <cell r="C1958" t="str">
            <v>REMOÇÃO DE PORTAS, DE FORMA MANUAL, SEM REAPROVEITAMENTO. AF_09/2023</v>
          </cell>
          <cell r="D1958" t="str">
            <v>M2</v>
          </cell>
          <cell r="E1958">
            <v>13.46</v>
          </cell>
          <cell r="F1958">
            <v>0</v>
          </cell>
        </row>
        <row r="1959">
          <cell r="B1959">
            <v>97648</v>
          </cell>
          <cell r="C1959" t="str">
            <v>REMOÇÃO DE PROTEÇÃO TÉRMICA PARA COBERTURA EM EPS, DE FORMA MANUAL, SEM REAPROVEITAMENTO. AF_09/2023</v>
          </cell>
          <cell r="D1959" t="str">
            <v>M2</v>
          </cell>
          <cell r="E1959">
            <v>2.88</v>
          </cell>
          <cell r="F1959">
            <v>0</v>
          </cell>
        </row>
        <row r="1960">
          <cell r="B1960">
            <v>104798</v>
          </cell>
          <cell r="C1960" t="str">
            <v>REMOÇÃO DE SUPORTE METÁLICO OU DE MADEIRA PARA PLACAS DE SINALIZAÇÃO VIÁRIA, DE FORMA MANUAL, SEM REAPROVEITAMENTO. AF_09/2023</v>
          </cell>
          <cell r="D1960" t="str">
            <v>UN</v>
          </cell>
          <cell r="E1960">
            <v>19.760000000000002</v>
          </cell>
          <cell r="F1960">
            <v>0</v>
          </cell>
        </row>
        <row r="1961">
          <cell r="B1961">
            <v>97637</v>
          </cell>
          <cell r="C1961" t="str">
            <v>REMOÇÃO DE TAPUME/ CHAPAS METÁLICAS E DE MADEIRA, DE FORMA MANUAL, SEM REAPROVEITAMENTO. AF_09/2023</v>
          </cell>
          <cell r="D1961" t="str">
            <v>M2</v>
          </cell>
          <cell r="E1961">
            <v>4.13</v>
          </cell>
          <cell r="F1961">
            <v>0</v>
          </cell>
        </row>
        <row r="1962">
          <cell r="B1962">
            <v>104802</v>
          </cell>
          <cell r="C1962" t="str">
            <v>REMOÇÃO DE TELA DE ARAME GALVANIZADO DE ALAMBRADOS PARA QUADRAS POLIESPORTIVAS, DE FORMA MANUAL, SEM REMOÇÃO DA ESTRUTURA DE SUSTENTAÇÃO, SEM REAPROVEITAMENTO. AF_09/2023</v>
          </cell>
          <cell r="D1962" t="str">
            <v>M2</v>
          </cell>
          <cell r="E1962">
            <v>13.11</v>
          </cell>
          <cell r="F1962">
            <v>0</v>
          </cell>
        </row>
        <row r="1963">
          <cell r="B1963">
            <v>97647</v>
          </cell>
          <cell r="C1963" t="str">
            <v>REMOÇÃO DE TELHAS DE FIBROCIMENTO METÁLICA E CERÂMICA, DE FORMA MANUAL, SEM REAPROVEITAMENTO. AF_09/2023</v>
          </cell>
          <cell r="D1963" t="str">
            <v>M2</v>
          </cell>
          <cell r="E1963">
            <v>5.0199999999999996</v>
          </cell>
          <cell r="F1963">
            <v>0</v>
          </cell>
        </row>
        <row r="1964">
          <cell r="B1964">
            <v>97649</v>
          </cell>
          <cell r="C1964" t="str">
            <v>REMOÇÃO DE TELHAS DE FIBROCIMENTO, METÁLICA E CERÂMICA, DE FORMA MECANIZADA, COM USO DE GUINDASTE, SEM REAPROVEITAMENTO. AF_09/2023</v>
          </cell>
          <cell r="D1964" t="str">
            <v>M2</v>
          </cell>
          <cell r="E1964">
            <v>6.09</v>
          </cell>
          <cell r="F1964">
            <v>0</v>
          </cell>
        </row>
        <row r="1965">
          <cell r="B1965">
            <v>97652</v>
          </cell>
          <cell r="C1965" t="str">
            <v>REMOÇÃO DE TESOURAS DE MADEIRA, COM VÃO MAIOR OU IGUAL A 8M, DE FORMA MANUAL, SEM REAPROVEITAMENTO. AF_09/2023</v>
          </cell>
          <cell r="D1965" t="str">
            <v>UN</v>
          </cell>
          <cell r="E1965">
            <v>267.41000000000003</v>
          </cell>
          <cell r="F1965">
            <v>0</v>
          </cell>
        </row>
        <row r="1966">
          <cell r="B1966">
            <v>97654</v>
          </cell>
          <cell r="C1966" t="str">
            <v>REMOÇÃO DE TESOURAS DE MADEIRA, COM VÃO MAIOR OU IGUAL A 8M, DE FORMA MECANIZADA, COM REAPROVEITAMENTO. AF_09/2023</v>
          </cell>
          <cell r="D1966" t="str">
            <v>UN</v>
          </cell>
          <cell r="E1966">
            <v>206.83</v>
          </cell>
          <cell r="F1966">
            <v>0</v>
          </cell>
        </row>
        <row r="1967">
          <cell r="B1967">
            <v>97651</v>
          </cell>
          <cell r="C1967" t="str">
            <v>REMOÇÃO DE TESOURAS DE MADEIRA, COM VÃO MENOR QUE 8M, DE FORMA MANUAL, SEM REAPROVEITAMENTO. AF_09/2023</v>
          </cell>
          <cell r="D1967" t="str">
            <v>UN</v>
          </cell>
          <cell r="E1967">
            <v>117.96</v>
          </cell>
          <cell r="F1967">
            <v>0</v>
          </cell>
        </row>
        <row r="1968">
          <cell r="B1968">
            <v>97653</v>
          </cell>
          <cell r="C1968" t="str">
            <v>REMOÇÃO DE TESOURAS DE MADEIRA, COM VÃO MENOR QUE 8M, DE FORMA MECANIZADA, COM REAPROVEITAMENTO. AF_09/2023</v>
          </cell>
          <cell r="D1968" t="str">
            <v>UN</v>
          </cell>
          <cell r="E1968">
            <v>157.91999999999999</v>
          </cell>
          <cell r="F1968">
            <v>0</v>
          </cell>
        </row>
        <row r="1969">
          <cell r="B1969">
            <v>97657</v>
          </cell>
          <cell r="C1969" t="str">
            <v>REMOÇÃO DE TESOURAS METÁLICAS, COM VÃO MAIOR OU IGUAL A 8M, DE FORMA MANUAL, SEM REAPROVEITAMENTO. AF_09/2023</v>
          </cell>
          <cell r="D1969" t="str">
            <v>UN</v>
          </cell>
          <cell r="E1969">
            <v>844</v>
          </cell>
          <cell r="F1969">
            <v>0</v>
          </cell>
        </row>
        <row r="1970">
          <cell r="B1970">
            <v>97659</v>
          </cell>
          <cell r="C1970" t="str">
            <v>REMOÇÃO DE TESOURAS METÁLICAS, COM VÃO MAIOR OU IGUAL A 8M, DE FORMA MECANIZADA, COM REAPROVEITAMENTO. AF_09/2023</v>
          </cell>
          <cell r="D1970" t="str">
            <v>UN</v>
          </cell>
          <cell r="E1970">
            <v>368.2</v>
          </cell>
          <cell r="F1970">
            <v>0</v>
          </cell>
        </row>
        <row r="1971">
          <cell r="B1971">
            <v>97656</v>
          </cell>
          <cell r="C1971" t="str">
            <v>REMOÇÃO DE TESOURAS METÁLICAS, COM VÃO MENOR QUE 8M, DE FORMA MANUAL, SEM REAPROVEITAMENTO. AF_09/2023</v>
          </cell>
          <cell r="D1971" t="str">
            <v>UN</v>
          </cell>
          <cell r="E1971">
            <v>425.81</v>
          </cell>
          <cell r="F1971">
            <v>0</v>
          </cell>
        </row>
        <row r="1972">
          <cell r="B1972">
            <v>97658</v>
          </cell>
          <cell r="C1972" t="str">
            <v>REMOÇÃO DE TESOURAS METÁLICAS, COM VÃO MENOR QUE 8M, DE FORMA MECANIZADA, COM REAPROVEITAMENTO. AF_09/2023</v>
          </cell>
          <cell r="D1972" t="str">
            <v>UN</v>
          </cell>
          <cell r="E1972">
            <v>257.05</v>
          </cell>
          <cell r="F1972">
            <v>0</v>
          </cell>
        </row>
        <row r="1973">
          <cell r="B1973">
            <v>97650</v>
          </cell>
          <cell r="C1973" t="str">
            <v>REMOÇÃO DE TRAMA DE MADEIRA PARA COBERTURA, DE FORMA MANUAL, SEM REAPROVEITAMENTO. AF_09/2023</v>
          </cell>
          <cell r="D1973" t="str">
            <v>M2</v>
          </cell>
          <cell r="E1973">
            <v>10.83</v>
          </cell>
          <cell r="F1973">
            <v>0</v>
          </cell>
        </row>
        <row r="1974">
          <cell r="B1974">
            <v>97642</v>
          </cell>
          <cell r="C1974" t="str">
            <v>REMOÇÃO DE TRAMA METÁLICA OU DE MADEIRA PARA FORRO, DE FORMA MANUAL, SEM REAPROVEITAMENTO. AF_09/2023</v>
          </cell>
          <cell r="D1974" t="str">
            <v>M2</v>
          </cell>
          <cell r="E1974">
            <v>4.0199999999999996</v>
          </cell>
          <cell r="F1974">
            <v>0</v>
          </cell>
        </row>
        <row r="1975">
          <cell r="B1975">
            <v>97655</v>
          </cell>
          <cell r="C1975" t="str">
            <v>REMOÇÃO DE TRAMA METÁLICA PARA COBERTURA, DE FORMA MANUAL, SEM REAPROVEITAMENTO. AF_09/2023</v>
          </cell>
          <cell r="D1975" t="str">
            <v>M2</v>
          </cell>
          <cell r="E1975">
            <v>45.93</v>
          </cell>
          <cell r="F1975">
            <v>0</v>
          </cell>
        </row>
        <row r="1976">
          <cell r="B1976">
            <v>97662</v>
          </cell>
          <cell r="C1976" t="str">
            <v>REMOÇÃO DE TUBULAÇÕES (TUBOS E CONEXÕES) DE ÁGUA FRIA, DE FORMA MANUAL, SEM REAPROVEITAMENTO. AF_09/2023</v>
          </cell>
          <cell r="D1976" t="str">
            <v>M</v>
          </cell>
          <cell r="E1976">
            <v>0.74</v>
          </cell>
          <cell r="F1976">
            <v>0</v>
          </cell>
        </row>
        <row r="1977">
          <cell r="B1977">
            <v>97646</v>
          </cell>
          <cell r="C1977" t="str">
            <v>REMOÇÃO DE VIDRO, EM FACHADAS DE VIDRO, DE FORMA MECANIZADA, COM USO DE PLATAFORMA ELEVATÓRIA, SEM REAPROVEITAMENTO. AF_09/2023</v>
          </cell>
          <cell r="D1977" t="str">
            <v>M2</v>
          </cell>
          <cell r="E1977">
            <v>0</v>
          </cell>
        </row>
        <row r="1978">
          <cell r="B1978">
            <v>92712</v>
          </cell>
          <cell r="C1978" t="str">
            <v>APARELHO PARA CORTE E SOLDA OXI-ACETILENO SOBRE RODAS, INCLUSIVE CILINDROS E MAÇARICOS - DEPRECIAÇÃO. AF_05/2023</v>
          </cell>
          <cell r="D1978" t="str">
            <v>H</v>
          </cell>
          <cell r="E1978">
            <v>0.21</v>
          </cell>
          <cell r="F1978">
            <v>0</v>
          </cell>
        </row>
        <row r="1979">
          <cell r="B1979">
            <v>92713</v>
          </cell>
          <cell r="C1979" t="str">
            <v>APARELHO PARA CORTE E SOLDA OXI-ACETILENO SOBRE RODAS, INCLUSIVE CILINDROS E MAÇARICOS - JUROS. AF_05/2023</v>
          </cell>
          <cell r="D1979" t="str">
            <v>H</v>
          </cell>
          <cell r="E1979">
            <v>0.05</v>
          </cell>
          <cell r="F1979">
            <v>0</v>
          </cell>
        </row>
        <row r="1980">
          <cell r="B1980">
            <v>92714</v>
          </cell>
          <cell r="C1980" t="str">
            <v>APARELHO PARA CORTE E SOLDA OXI-ACETILENO SOBRE RODAS, INCLUSIVE CILINDROS E MAÇARICOS - MANUTENÇÃO. AF_05/2023</v>
          </cell>
          <cell r="D1980" t="str">
            <v>H</v>
          </cell>
          <cell r="E1980">
            <v>0.27</v>
          </cell>
          <cell r="F1980">
            <v>0</v>
          </cell>
        </row>
        <row r="1981">
          <cell r="B1981">
            <v>92715</v>
          </cell>
          <cell r="C1981" t="str">
            <v>APARELHO PARA CORTE E SOLDA OXI-ACETILENO SOBRE RODAS, INCLUSIVE CILINDROS E MAÇARICOS - MATERIAIS NA OPERAÇÃO. AF_05/2023</v>
          </cell>
          <cell r="D1981" t="str">
            <v>H</v>
          </cell>
          <cell r="E1981">
            <v>114.72</v>
          </cell>
          <cell r="F1981">
            <v>0</v>
          </cell>
        </row>
        <row r="1982">
          <cell r="B1982">
            <v>103663</v>
          </cell>
          <cell r="C1982" t="str">
            <v>BATE ESTACA PARA INSTALAÇÃO DE DEFENSAS METÁLICAS (GUARD RAIL) FIXO, INCLUSIVE CAMINHÃO TOCO PBT 9.700 KG, POTÊNCIA DE 160 CV - DEPRECIAÇÃO. AF_05/2023</v>
          </cell>
          <cell r="D1982" t="str">
            <v>H</v>
          </cell>
          <cell r="E1982">
            <v>0</v>
          </cell>
        </row>
        <row r="1983">
          <cell r="B1983">
            <v>104390</v>
          </cell>
          <cell r="C1983" t="str">
            <v>BATE ESTACA PARA INSTALAÇÃO DE DEFENSAS METÁLICAS (GUARD RAIL) FIXO, INCLUSIVE CAMINHÃO TOCO PBT 9.700 KG, POTÊNCIA DE 160 CV - IMPOSTOS E SEGUROS. AF_05/2023</v>
          </cell>
          <cell r="D1983" t="str">
            <v>H</v>
          </cell>
          <cell r="E1983">
            <v>0</v>
          </cell>
        </row>
        <row r="1984">
          <cell r="B1984">
            <v>103664</v>
          </cell>
          <cell r="C1984" t="str">
            <v>BATE ESTACA PARA INSTALAÇÃO DE DEFENSAS METÁLICAS (GUARD RAIL) FIXO, INCLUSIVE CAMINHÃO TOCO PBT 9.700 KG, POTÊNCIA DE 160 CV - JUROS. AF_05/2023</v>
          </cell>
          <cell r="D1984" t="str">
            <v>H</v>
          </cell>
          <cell r="E1984">
            <v>0</v>
          </cell>
        </row>
        <row r="1985">
          <cell r="B1985">
            <v>104451</v>
          </cell>
          <cell r="C1985" t="str">
            <v>BATE ESTACA PARA INSTALAÇÃO DE DEFENSAS METÁLICAS (GUARD RAIL) FIXO, INCLUSIVE CAMINHÃO TOCO PBT 9.700 KG, POTÊNCIA DE 160 CV - MANUTENÇÃO. AF_05/2023</v>
          </cell>
          <cell r="D1985" t="str">
            <v>H</v>
          </cell>
          <cell r="E1985">
            <v>0</v>
          </cell>
        </row>
        <row r="1986">
          <cell r="B1986">
            <v>103666</v>
          </cell>
          <cell r="C1986" t="str">
            <v>BATE ESTACA PARA INSTALAÇÃO DE DEFENSAS METÁLICAS (GUARD RAIL) FIXO, INCLUSIVE CAMINHÃO TOCO PBT 9.700 KG, POTÊNCIA DE 160 CV - MATERIAIS NA OPERAÇÃO. AF_05/2023</v>
          </cell>
          <cell r="D1986" t="str">
            <v>H</v>
          </cell>
          <cell r="E1986">
            <v>137.44</v>
          </cell>
          <cell r="F1986">
            <v>0</v>
          </cell>
        </row>
        <row r="1987">
          <cell r="B1987">
            <v>89212</v>
          </cell>
          <cell r="C1987" t="str">
            <v>BATE-ESTACAS POR GRAVIDADE, POTÊNCIA DE 160 HP, PESO DO MARTELO ATÉ 3 TONELADAS - DEPRECIAÇÃO. AF_11/2014</v>
          </cell>
          <cell r="D1987" t="str">
            <v>H</v>
          </cell>
          <cell r="E1987">
            <v>30</v>
          </cell>
          <cell r="F1987">
            <v>0</v>
          </cell>
        </row>
        <row r="1988">
          <cell r="B1988">
            <v>89213</v>
          </cell>
          <cell r="C1988" t="str">
            <v>BATE-ESTACAS POR GRAVIDADE, POTÊNCIA DE 160 HP, PESO DO MARTELO ATÉ 3 TONELADAS - JUROS. AF_11/2014</v>
          </cell>
          <cell r="D1988" t="str">
            <v>H</v>
          </cell>
          <cell r="E1988">
            <v>9.25</v>
          </cell>
          <cell r="F1988">
            <v>0</v>
          </cell>
        </row>
        <row r="1989">
          <cell r="B1989">
            <v>89214</v>
          </cell>
          <cell r="C1989" t="str">
            <v>BATE-ESTACAS POR GRAVIDADE, POTÊNCIA DE 160 HP, PESO DO MARTELO ATÉ 3 TONELADAS - MANUTENÇÃO. AF_11/2014</v>
          </cell>
          <cell r="D1989" t="str">
            <v>H</v>
          </cell>
          <cell r="E1989">
            <v>28.16</v>
          </cell>
          <cell r="F1989">
            <v>0</v>
          </cell>
        </row>
        <row r="1990">
          <cell r="B1990">
            <v>89215</v>
          </cell>
          <cell r="C1990" t="str">
            <v>BATE-ESTACAS POR GRAVIDADE, POTÊNCIA DE 160 HP, PESO DO MARTELO ATÉ 3 TONELADAS - MATERIAIS NA OPERAÇÃO. AF_11/2014</v>
          </cell>
          <cell r="D1990" t="str">
            <v>H</v>
          </cell>
          <cell r="E1990">
            <v>94.05</v>
          </cell>
          <cell r="F1990">
            <v>0</v>
          </cell>
        </row>
        <row r="1991">
          <cell r="B1991">
            <v>87441</v>
          </cell>
          <cell r="C1991" t="str">
            <v>BETONEIRA CAPACIDADE NOMINAL 400 L, CAPACIDADE DE MISTURA 310 L, MOTOR A DIESEL POTÊNCIA 5,0 CV, SEM CARREGADOR - DEPRECIAÇÃO. AF_05/2023</v>
          </cell>
          <cell r="D1991" t="str">
            <v>H</v>
          </cell>
          <cell r="E1991">
            <v>0.47</v>
          </cell>
          <cell r="F1991">
            <v>0</v>
          </cell>
        </row>
        <row r="1992">
          <cell r="B1992">
            <v>87442</v>
          </cell>
          <cell r="C1992" t="str">
            <v>BETONEIRA CAPACIDADE NOMINAL 400 L, CAPACIDADE DE MISTURA 310 L, MOTOR A DIESEL POTÊNCIA 5,0 CV, SEM CARREGADOR - JUROS. AF_05/2023</v>
          </cell>
          <cell r="D1992" t="str">
            <v>H</v>
          </cell>
          <cell r="E1992">
            <v>0.1</v>
          </cell>
          <cell r="F1992">
            <v>0</v>
          </cell>
        </row>
        <row r="1993">
          <cell r="B1993">
            <v>87443</v>
          </cell>
          <cell r="C1993" t="str">
            <v>BETONEIRA CAPACIDADE NOMINAL 400 L, CAPACIDADE DE MISTURA 310 L, MOTOR A DIESEL POTÊNCIA 5,0 CV, SEM CARREGADOR - MANUTENÇÃO. AF_05/2023</v>
          </cell>
          <cell r="D1993" t="str">
            <v>H</v>
          </cell>
          <cell r="E1993">
            <v>0.57999999999999996</v>
          </cell>
          <cell r="F1993">
            <v>0</v>
          </cell>
        </row>
        <row r="1994">
          <cell r="B1994">
            <v>87444</v>
          </cell>
          <cell r="C1994" t="str">
            <v>BETONEIRA CAPACIDADE NOMINAL 400 L, CAPACIDADE DE MISTURA 310 L, MOTOR A DIESEL POTÊNCIA 5,0 CV, SEM CARREGADOR - MATERIAIS NA OPERAÇÃO. AF_05/2023</v>
          </cell>
          <cell r="D1994" t="str">
            <v>H</v>
          </cell>
          <cell r="E1994">
            <v>4.24</v>
          </cell>
          <cell r="F1994">
            <v>0</v>
          </cell>
        </row>
        <row r="1995">
          <cell r="B1995">
            <v>93229</v>
          </cell>
          <cell r="C1995" t="str">
            <v>BETONEIRA CAPACIDADE NOMINAL 400 L, CAPACIDADE DE MISTURA 310 L, MOTOR A GASOLINA POTÊNCIA 5,5 CV, SEM CARREGADOR - DEPRECIAÇÃO. AF_02/2016</v>
          </cell>
          <cell r="D1995" t="str">
            <v>H</v>
          </cell>
          <cell r="E1995">
            <v>0.43</v>
          </cell>
          <cell r="F1995">
            <v>0</v>
          </cell>
        </row>
        <row r="1996">
          <cell r="B1996">
            <v>93230</v>
          </cell>
          <cell r="C1996" t="str">
            <v>BETONEIRA CAPACIDADE NOMINAL 400 L, CAPACIDADE DE MISTURA 310 L, MOTOR A GASOLINA POTÊNCIA 5,5 CV, SEM CARREGADOR - JUROS. AF_02/2016</v>
          </cell>
          <cell r="D1996" t="str">
            <v>H</v>
          </cell>
          <cell r="E1996">
            <v>0.09</v>
          </cell>
          <cell r="F1996">
            <v>0</v>
          </cell>
        </row>
        <row r="1997">
          <cell r="B1997">
            <v>93231</v>
          </cell>
          <cell r="C1997" t="str">
            <v>BETONEIRA CAPACIDADE NOMINAL 400 L, CAPACIDADE DE MISTURA 310 L, MOTOR A GASOLINA POTÊNCIA 5,5 CV, SEM CARREGADOR - MANUTENÇÃO. AF_02/2016</v>
          </cell>
          <cell r="D1997" t="str">
            <v>H</v>
          </cell>
          <cell r="E1997">
            <v>0.54</v>
          </cell>
          <cell r="F1997">
            <v>0</v>
          </cell>
        </row>
        <row r="1998">
          <cell r="B1998">
            <v>93232</v>
          </cell>
          <cell r="C1998" t="str">
            <v>BETONEIRA CAPACIDADE NOMINAL 400 L, CAPACIDADE DE MISTURA 310 L, MOTOR A GASOLINA POTÊNCIA 5,5 CV, SEM CARREGADOR - MATERIAIS NA OPERAÇÃO. AF_02/2016</v>
          </cell>
          <cell r="D1998" t="str">
            <v>H</v>
          </cell>
          <cell r="E1998">
            <v>4.74</v>
          </cell>
          <cell r="F1998">
            <v>0</v>
          </cell>
        </row>
        <row r="1999">
          <cell r="B1999">
            <v>102948</v>
          </cell>
          <cell r="C1999" t="str">
            <v>BETONEIRA CAPACIDADE NOMINAL DE 250 L, CAPACIDADE DE MISTURA DE 175 L, MOTOR ELÉTRICO MONOFÁSICO POTÊNCIA 1CV - DEPRECIAÇÃO. AF_05/2023</v>
          </cell>
          <cell r="D1999" t="str">
            <v>H</v>
          </cell>
          <cell r="E1999">
            <v>0</v>
          </cell>
        </row>
        <row r="2000">
          <cell r="B2000">
            <v>102949</v>
          </cell>
          <cell r="C2000" t="str">
            <v>BETONEIRA CAPACIDADE NOMINAL DE 250 L, CAPACIDADE DE MISTURA DE 175 L, MOTOR ELÉTRICO MONOFÁSICO POTÊNCIA 1CV - JUROS. AF_05/2023</v>
          </cell>
          <cell r="D2000" t="str">
            <v>H</v>
          </cell>
          <cell r="E2000">
            <v>0</v>
          </cell>
        </row>
        <row r="2001">
          <cell r="B2001">
            <v>102950</v>
          </cell>
          <cell r="C2001" t="str">
            <v>BETONEIRA CAPACIDADE NOMINAL DE 250 L, CAPACIDADE DE MISTURA DE 175 L, MOTOR ELÉTRICO MONOFÁSICO POTÊNCIA 1CV - MANUTENÇÃO. AF_05/2023</v>
          </cell>
          <cell r="D2001" t="str">
            <v>H</v>
          </cell>
          <cell r="E2001">
            <v>0</v>
          </cell>
        </row>
        <row r="2002">
          <cell r="B2002">
            <v>102951</v>
          </cell>
          <cell r="C2002" t="str">
            <v>BETONEIRA CAPACIDADE NOMINAL DE 250 L, CAPACIDADE DE MISTURA DE 175 L, MOTOR ELÉTRICO MONOFÁSICO POTÊNCIA 1CV - MATERIAIS NA OPERAÇÃO. AF_05/2023</v>
          </cell>
          <cell r="D2002" t="str">
            <v>H</v>
          </cell>
          <cell r="E2002">
            <v>0.54</v>
          </cell>
          <cell r="F2002">
            <v>0</v>
          </cell>
        </row>
        <row r="2003">
          <cell r="B2003">
            <v>88826</v>
          </cell>
          <cell r="C2003" t="str">
            <v>BETONEIRA CAPACIDADE NOMINAL DE 400 L, CAPACIDADE DE MISTURA 280 L, MOTOR ELÉTRICO TRIFÁSICO POTÊNCIA DE 2 CV, SEM CARREGADOR - DEPRECIAÇÃO. AF_05/2023</v>
          </cell>
          <cell r="D2003" t="str">
            <v>H</v>
          </cell>
          <cell r="E2003">
            <v>0.34</v>
          </cell>
          <cell r="F2003">
            <v>0</v>
          </cell>
        </row>
        <row r="2004">
          <cell r="B2004">
            <v>88827</v>
          </cell>
          <cell r="C2004" t="str">
            <v>BETONEIRA CAPACIDADE NOMINAL DE 400 L, CAPACIDADE DE MISTURA 280 L, MOTOR ELÉTRICO TRIFÁSICO POTÊNCIA DE 2 CV, SEM CARREGADOR - JUROS. AF_05/2023</v>
          </cell>
          <cell r="D2004" t="str">
            <v>H</v>
          </cell>
          <cell r="E2004">
            <v>7.0000000000000007E-2</v>
          </cell>
          <cell r="F2004">
            <v>0</v>
          </cell>
        </row>
        <row r="2005">
          <cell r="B2005">
            <v>88828</v>
          </cell>
          <cell r="C2005" t="str">
            <v>BETONEIRA CAPACIDADE NOMINAL DE 400 L, CAPACIDADE DE MISTURA 280 L, MOTOR ELÉTRICO TRIFÁSICO POTÊNCIA DE 2 CV, SEM CARREGADOR - MANUTENÇÃO. AF_05/2023</v>
          </cell>
          <cell r="D2005" t="str">
            <v>H</v>
          </cell>
          <cell r="E2005">
            <v>0.37</v>
          </cell>
          <cell r="F2005">
            <v>0</v>
          </cell>
        </row>
        <row r="2006">
          <cell r="B2006">
            <v>88829</v>
          </cell>
          <cell r="C2006" t="str">
            <v>BETONEIRA CAPACIDADE NOMINAL DE 400 L, CAPACIDADE DE MISTURA 280 L, MOTOR ELÉTRICO TRIFÁSICO POTÊNCIA DE 2 CV, SEM CARREGADOR - MATERIAIS NA OPERAÇÃO. AF_05/2023</v>
          </cell>
          <cell r="D2006" t="str">
            <v>H</v>
          </cell>
          <cell r="E2006">
            <v>1.08</v>
          </cell>
          <cell r="F2006">
            <v>0</v>
          </cell>
        </row>
        <row r="2007">
          <cell r="B2007">
            <v>89221</v>
          </cell>
          <cell r="C2007" t="str">
            <v>BETONEIRA CAPACIDADE NOMINAL DE 600 L, CAPACIDADE DE MISTURA 360 L, MOTOR ELÉTRICO TRIFÁSICO POTÊNCIA DE 4 CV, SEM CARREGADOR - DEPRECIAÇÃO. AF_05/2023</v>
          </cell>
          <cell r="D2007" t="str">
            <v>H</v>
          </cell>
          <cell r="E2007">
            <v>1.4</v>
          </cell>
          <cell r="F2007">
            <v>0</v>
          </cell>
        </row>
        <row r="2008">
          <cell r="B2008">
            <v>89222</v>
          </cell>
          <cell r="C2008" t="str">
            <v>BETONEIRA CAPACIDADE NOMINAL DE 600 L, CAPACIDADE DE MISTURA 360 L, MOTOR ELÉTRICO TRIFÁSICO POTÊNCIA DE 4 CV, SEM CARREGADOR - JUROS. AF_05/2023</v>
          </cell>
          <cell r="D2008" t="str">
            <v>H</v>
          </cell>
          <cell r="E2008">
            <v>0.32</v>
          </cell>
          <cell r="F2008">
            <v>0</v>
          </cell>
        </row>
        <row r="2009">
          <cell r="B2009">
            <v>89223</v>
          </cell>
          <cell r="C2009" t="str">
            <v>BETONEIRA CAPACIDADE NOMINAL DE 600 L, CAPACIDADE DE MISTURA 360 L, MOTOR ELÉTRICO TRIFÁSICO POTÊNCIA DE 4 CV, SEM CARREGADOR - MANUTENÇÃO. AF_05/2023</v>
          </cell>
          <cell r="D2009" t="str">
            <v>H</v>
          </cell>
          <cell r="E2009">
            <v>1.53</v>
          </cell>
          <cell r="F2009">
            <v>0</v>
          </cell>
        </row>
        <row r="2010">
          <cell r="B2010">
            <v>89224</v>
          </cell>
          <cell r="C2010" t="str">
            <v>BETONEIRA CAPACIDADE NOMINAL DE 600 L, CAPACIDADE DE MISTURA 360 L, MOTOR ELÉTRICO TRIFÁSICO POTÊNCIA DE 4 CV, SEM CARREGADOR - MATERIAIS NA OPERAÇÃO. AF_05/2023</v>
          </cell>
          <cell r="D2010" t="str">
            <v>H</v>
          </cell>
          <cell r="E2010">
            <v>2.17</v>
          </cell>
          <cell r="F2010">
            <v>0</v>
          </cell>
        </row>
        <row r="2011">
          <cell r="B2011">
            <v>89274</v>
          </cell>
          <cell r="C2011" t="str">
            <v>BETONEIRA CAPACIDADE NOMINAL DE 600 L, CAPACIDADE DE MISTURA 440 L, MOTOR A DIESEL POTÊNCIA 10 CV, COM CARREGADOR - DEPRECIAÇÃO. AF_05/2023</v>
          </cell>
          <cell r="D2011" t="str">
            <v>H</v>
          </cell>
          <cell r="E2011">
            <v>1.7</v>
          </cell>
          <cell r="F2011">
            <v>0</v>
          </cell>
        </row>
        <row r="2012">
          <cell r="B2012">
            <v>89275</v>
          </cell>
          <cell r="C2012" t="str">
            <v>BETONEIRA CAPACIDADE NOMINAL DE 600 L, CAPACIDADE DE MISTURA 440 L, MOTOR A DIESEL POTÊNCIA 10 CV, COM CARREGADOR - JUROS. AF_05/2023</v>
          </cell>
          <cell r="D2012" t="str">
            <v>H</v>
          </cell>
          <cell r="E2012">
            <v>0.39</v>
          </cell>
          <cell r="F2012">
            <v>0</v>
          </cell>
        </row>
        <row r="2013">
          <cell r="B2013">
            <v>89276</v>
          </cell>
          <cell r="C2013" t="str">
            <v>BETONEIRA CAPACIDADE NOMINAL DE 600 L, CAPACIDADE DE MISTURA 440 L, MOTOR A DIESEL POTÊNCIA 10 CV, COM CARREGADOR - MANUTENÇÃO. AF_05/2023</v>
          </cell>
          <cell r="D2013" t="str">
            <v>H</v>
          </cell>
          <cell r="E2013">
            <v>2.13</v>
          </cell>
          <cell r="F2013">
            <v>0</v>
          </cell>
        </row>
        <row r="2014">
          <cell r="B2014">
            <v>89277</v>
          </cell>
          <cell r="C2014" t="str">
            <v>BETONEIRA CAPACIDADE NOMINAL DE 600 L, CAPACIDADE DE MISTURA 440 L, MOTOR A DIESEL POTÊNCIA 10 CV, COM CARREGADOR - MATERIAIS NA OPERAÇÃO. AF_05/2023</v>
          </cell>
          <cell r="D2014" t="str">
            <v>H</v>
          </cell>
          <cell r="E2014">
            <v>8.48</v>
          </cell>
          <cell r="F2014">
            <v>0</v>
          </cell>
        </row>
        <row r="2015">
          <cell r="B2015">
            <v>90646</v>
          </cell>
          <cell r="C2015" t="str">
            <v>BOMBA CENTRÍFUGA MONOESTÁGIO COM MOTOR ELÉTRICO MONOFÁSICO, POTÊNCIA 15 HP, DIÂMETRO DO ROTOR 173 MM, HM/Q = 30 MCA / 90 M3/H A 45 MCA / 55 M3/H - DEPRECIAÇÃO. AF_06/2015</v>
          </cell>
          <cell r="D2015" t="str">
            <v>H</v>
          </cell>
          <cell r="E2015">
            <v>0.69</v>
          </cell>
          <cell r="F2015">
            <v>0</v>
          </cell>
        </row>
        <row r="2016">
          <cell r="B2016">
            <v>90647</v>
          </cell>
          <cell r="C2016" t="str">
            <v>BOMBA CENTRÍFUGA MONOESTÁGIO COM MOTOR ELÉTRICO MONOFÁSICO, POTÊNCIA 15 HP, DIÂMETRO DO ROTOR 173 MM, HM/Q = 30 MCA / 90 M3/H A 45 MCA / 55 M3/H - JUROS. AF_06/2015</v>
          </cell>
          <cell r="D2016" t="str">
            <v>H</v>
          </cell>
          <cell r="E2016">
            <v>0.16</v>
          </cell>
          <cell r="F2016">
            <v>0</v>
          </cell>
        </row>
        <row r="2017">
          <cell r="B2017">
            <v>90648</v>
          </cell>
          <cell r="C2017" t="str">
            <v>BOMBA CENTRÍFUGA MONOESTÁGIO COM MOTOR ELÉTRICO MONOFÁSICO, POTÊNCIA 15 HP, DIÂMETRO DO ROTOR 173 MM, HM/Q = 30 MCA / 90 M3/H A 45 MCA / 55 M3/H - MANUTENÇÃO. AF_06/2015</v>
          </cell>
          <cell r="D2017" t="str">
            <v>H</v>
          </cell>
          <cell r="E2017">
            <v>0.76</v>
          </cell>
          <cell r="F2017">
            <v>0</v>
          </cell>
        </row>
        <row r="2018">
          <cell r="B2018">
            <v>90649</v>
          </cell>
          <cell r="C2018" t="str">
            <v>BOMBA CENTRÍFUGA MONOESTÁGIO COM MOTOR ELÉTRICO MONOFÁSICO, POTÊNCIA 15 HP, DIÂMETRO DO ROTOR 173 MM, HM/Q = 30 MCA / 90 M3/H A 45 MCA / 55 M3/H - MATERIAIS NA OPERAÇÃO. AF_06/2015</v>
          </cell>
          <cell r="D2018" t="str">
            <v>H</v>
          </cell>
          <cell r="E2018">
            <v>8.4600000000000009</v>
          </cell>
          <cell r="F2018">
            <v>0</v>
          </cell>
        </row>
        <row r="2019">
          <cell r="B2019">
            <v>106096</v>
          </cell>
          <cell r="C2019" t="str">
            <v>BOMBA DE INJEÇÃO, ELÉTRICA, TRIFÁSICA, POTÊNCIA 7,5 CV - DEPRECIAÇÃO. AF_08/2025</v>
          </cell>
          <cell r="D2019" t="str">
            <v>H</v>
          </cell>
          <cell r="E2019">
            <v>0</v>
          </cell>
        </row>
        <row r="2020">
          <cell r="B2020">
            <v>106097</v>
          </cell>
          <cell r="C2020" t="str">
            <v>BOMBA DE INJEÇÃO, ELÉTRICA, TRIFÁSICA, POTÊNCIA 7,5 CV - JUROS. AF_08/2025</v>
          </cell>
          <cell r="D2020" t="str">
            <v>H</v>
          </cell>
          <cell r="E2020">
            <v>0</v>
          </cell>
        </row>
        <row r="2021">
          <cell r="B2021">
            <v>106098</v>
          </cell>
          <cell r="C2021" t="str">
            <v>BOMBA DE INJEÇÃO, ELÉTRICA, TRIFÁSICA, POTÊNCIA 7,5 CV - MANUTENÇÃO. AF_08/2025</v>
          </cell>
          <cell r="D2021" t="str">
            <v>H</v>
          </cell>
          <cell r="E2021">
            <v>0</v>
          </cell>
        </row>
        <row r="2022">
          <cell r="B2022">
            <v>106099</v>
          </cell>
          <cell r="C2022" t="str">
            <v>BOMBA DE INJEÇÃO, ELÉTRICA, TRIFÁSICA, POTÊNCIA 7,5 CV - MATERIAIS NA OPERAÇÃO. AF_08/2025</v>
          </cell>
          <cell r="D2022" t="str">
            <v>H</v>
          </cell>
          <cell r="E2022">
            <v>0.91</v>
          </cell>
          <cell r="F2022">
            <v>0</v>
          </cell>
        </row>
        <row r="2023">
          <cell r="B2023">
            <v>90652</v>
          </cell>
          <cell r="C2023" t="str">
            <v>BOMBA DE PROJEÇÃO DE CONCRETO SECO, POTÊNCIA 10 CV, VAZÃO 3 M3/H - DEPRECIAÇÃO. AF_06/2015</v>
          </cell>
          <cell r="D2023" t="str">
            <v>H</v>
          </cell>
          <cell r="E2023">
            <v>4.21</v>
          </cell>
          <cell r="F2023">
            <v>0</v>
          </cell>
        </row>
        <row r="2024">
          <cell r="B2024">
            <v>90653</v>
          </cell>
          <cell r="C2024" t="str">
            <v>BOMBA DE PROJEÇÃO DE CONCRETO SECO, POTÊNCIA 10 CV, VAZÃO 3 M3/H - JUROS. AF_06/2015</v>
          </cell>
          <cell r="D2024" t="str">
            <v>H</v>
          </cell>
          <cell r="E2024">
            <v>0.97</v>
          </cell>
          <cell r="F2024">
            <v>0</v>
          </cell>
        </row>
        <row r="2025">
          <cell r="B2025">
            <v>90654</v>
          </cell>
          <cell r="C2025" t="str">
            <v>BOMBA DE PROJEÇÃO DE CONCRETO SECO, POTÊNCIA 10 CV, VAZÃO 3 M3/H - MANUTENÇÃO. AF_06/2015</v>
          </cell>
          <cell r="D2025" t="str">
            <v>H</v>
          </cell>
          <cell r="E2025">
            <v>4.5999999999999996</v>
          </cell>
          <cell r="F2025">
            <v>0</v>
          </cell>
        </row>
        <row r="2026">
          <cell r="B2026">
            <v>90655</v>
          </cell>
          <cell r="C2026" t="str">
            <v>BOMBA DE PROJEÇÃO DE CONCRETO SECO, POTÊNCIA 10 CV, VAZÃO 3 M3/H - MATERIAIS NA OPERAÇÃO. AF_06/2015</v>
          </cell>
          <cell r="D2026" t="str">
            <v>H</v>
          </cell>
          <cell r="E2026">
            <v>5.57</v>
          </cell>
          <cell r="F2026">
            <v>0</v>
          </cell>
        </row>
        <row r="2027">
          <cell r="B2027">
            <v>90658</v>
          </cell>
          <cell r="C2027" t="str">
            <v>BOMBA DE PROJEÇÃO DE CONCRETO SECO, POTÊNCIA 10 CV, VAZÃO 6 M3/H - DEPRECIAÇÃO. AF_06/2015</v>
          </cell>
          <cell r="D2027" t="str">
            <v>H</v>
          </cell>
          <cell r="E2027">
            <v>4.51</v>
          </cell>
          <cell r="F2027">
            <v>0</v>
          </cell>
        </row>
        <row r="2028">
          <cell r="B2028">
            <v>90659</v>
          </cell>
          <cell r="C2028" t="str">
            <v>BOMBA DE PROJEÇÃO DE CONCRETO SECO, POTÊNCIA 10 CV, VAZÃO 6 M3/H - JUROS. AF_06/2015</v>
          </cell>
          <cell r="D2028" t="str">
            <v>H</v>
          </cell>
          <cell r="E2028">
            <v>1.04</v>
          </cell>
          <cell r="F2028">
            <v>0</v>
          </cell>
        </row>
        <row r="2029">
          <cell r="B2029">
            <v>90660</v>
          </cell>
          <cell r="C2029" t="str">
            <v>BOMBA DE PROJEÇÃO DE CONCRETO SECO, POTÊNCIA 10 CV, VAZÃO 6 M3/H - MANUTENÇÃO. AF_06/2015</v>
          </cell>
          <cell r="D2029" t="str">
            <v>H</v>
          </cell>
          <cell r="E2029">
            <v>4.93</v>
          </cell>
          <cell r="F2029">
            <v>0</v>
          </cell>
        </row>
        <row r="2030">
          <cell r="B2030">
            <v>90661</v>
          </cell>
          <cell r="C2030" t="str">
            <v>BOMBA DE PROJEÇÃO DE CONCRETO SECO, POTÊNCIA 10 CV, VAZÃO 6 M3/H - MATERIAIS NA OPERAÇÃO. AF_06/2015</v>
          </cell>
          <cell r="D2030" t="str">
            <v>H</v>
          </cell>
          <cell r="E2030">
            <v>5.57</v>
          </cell>
          <cell r="F2030">
            <v>0</v>
          </cell>
        </row>
        <row r="2031">
          <cell r="B2031">
            <v>89019</v>
          </cell>
          <cell r="C2031" t="str">
            <v>BOMBA SUBMERSÍVEL ELÉTRICA TRIFÁSICA, POTÊNCIA 2,96 HP, Ø ROTOR 144 MM SEMI-ABERTO, BOCAL DE SAÍDA Ø 2", HM/Q = 2 MCA / 38,8 M3/H A 28 MCA / 5 M3/H - DEPRECIAÇÃO. AF_06/2014</v>
          </cell>
          <cell r="D2031" t="str">
            <v>H</v>
          </cell>
          <cell r="E2031">
            <v>0.4</v>
          </cell>
          <cell r="F2031">
            <v>0</v>
          </cell>
        </row>
        <row r="2032">
          <cell r="B2032">
            <v>89020</v>
          </cell>
          <cell r="C2032" t="str">
            <v>BOMBA SUBMERSÍVEL ELÉTRICA TRIFÁSICA, POTÊNCIA 2,96 HP, Ø ROTOR 144 MM SEMI-ABERTO, BOCAL DE SAÍDA Ø 2", HM/Q = 2 MCA / 38,8 M3/H A 28 MCA / 5 M3/H - JUROS. AF_06/2014</v>
          </cell>
          <cell r="D2032" t="str">
            <v>H</v>
          </cell>
          <cell r="E2032">
            <v>0.09</v>
          </cell>
          <cell r="F2032">
            <v>0</v>
          </cell>
        </row>
        <row r="2033">
          <cell r="B2033">
            <v>5800</v>
          </cell>
          <cell r="C2033" t="str">
            <v>BOMBA SUBMERSÍVEL ELÉTRICA TRIFÁSICA, POTÊNCIA 2,96 HP, Ø ROTOR 144 MM SEMI-ABERTO, BOCAL DE SAÍDA Ø 2", HM/Q = 2 MCA / 38,8 M3/H A 28 MCA / 5 M3/H - MANUTENÇÃO. AF_06/2014</v>
          </cell>
          <cell r="D2033" t="str">
            <v>H</v>
          </cell>
          <cell r="E2033">
            <v>0.44</v>
          </cell>
          <cell r="F2033">
            <v>0</v>
          </cell>
        </row>
        <row r="2034">
          <cell r="B2034">
            <v>53866</v>
          </cell>
          <cell r="C2034" t="str">
            <v>BOMBA SUBMERSÍVEL ELÉTRICA TRIFÁSICA, POTÊNCIA 2,96 HP, Ø ROTOR 144 MM SEMI-ABERTO, BOCAL DE SAÍDA Ø 2", HM/Q = 2 MCA / 38,8 M3/H A 28 MCA / 5 M3/H - MATERIAIS NA OPERAÇÃO. AF_06/2014</v>
          </cell>
          <cell r="D2034" t="str">
            <v>H</v>
          </cell>
          <cell r="E2034">
            <v>1.67</v>
          </cell>
          <cell r="F2034">
            <v>0</v>
          </cell>
        </row>
        <row r="2035">
          <cell r="B2035">
            <v>90639</v>
          </cell>
          <cell r="C2035" t="str">
            <v>BOMBA TRIPLEX, PARA INJEÇÃO DE NATA DE CIMENTO, VAZÃO MÁXIMA DE 100 LITROS/MINUTO, PRESSÃO MÁXIMA DE 70 BAR - DEPRECIAÇÃO. AF_06/2015</v>
          </cell>
          <cell r="D2035" t="str">
            <v>H</v>
          </cell>
          <cell r="E2035">
            <v>6.47</v>
          </cell>
          <cell r="F2035">
            <v>0</v>
          </cell>
        </row>
        <row r="2036">
          <cell r="B2036">
            <v>90640</v>
          </cell>
          <cell r="C2036" t="str">
            <v>BOMBA TRIPLEX, PARA INJEÇÃO DE NATA DE CIMENTO, VAZÃO MÁXIMA DE 100 LITROS/MINUTO, PRESSÃO MÁXIMA DE 70 BAR - JUROS. AF_06/2015</v>
          </cell>
          <cell r="D2036" t="str">
            <v>H</v>
          </cell>
          <cell r="E2036">
            <v>1.49</v>
          </cell>
          <cell r="F2036">
            <v>0</v>
          </cell>
        </row>
        <row r="2037">
          <cell r="B2037">
            <v>90641</v>
          </cell>
          <cell r="C2037" t="str">
            <v>BOMBA TRIPLEX, PARA INJEÇÃO DE NATA DE CIMENTO, VAZÃO MÁXIMA DE 100 LITROS/MINUTO, PRESSÃO MÁXIMA DE 70 BAR - MANUTENÇÃO. AF_06/2015</v>
          </cell>
          <cell r="D2037" t="str">
            <v>H</v>
          </cell>
          <cell r="E2037">
            <v>7.07</v>
          </cell>
          <cell r="F2037">
            <v>0</v>
          </cell>
        </row>
        <row r="2038">
          <cell r="B2038">
            <v>90642</v>
          </cell>
          <cell r="C2038" t="str">
            <v>BOMBA TRIPLEX, PARA INJEÇÃO DE NATA DE CIMENTO, VAZÃO MÁXIMA DE 100 LITROS/MINUTO, PRESSÃO MÁXIMA DE 70 BAR - MATERIAIS NA OPERAÇÃO. AF_06/2015</v>
          </cell>
          <cell r="D2038" t="str">
            <v>H</v>
          </cell>
          <cell r="E2038">
            <v>12.72</v>
          </cell>
          <cell r="F2038">
            <v>0</v>
          </cell>
        </row>
        <row r="2039">
          <cell r="B2039">
            <v>102806</v>
          </cell>
          <cell r="C2039" t="str">
            <v>CALDEIRA A GÁS COM TERMOSTATO, CAPACIDADE 100 LITROS - DEPRECIAÇÃO. AF_05/2023</v>
          </cell>
          <cell r="D2039" t="str">
            <v>H</v>
          </cell>
          <cell r="E2039">
            <v>0</v>
          </cell>
        </row>
        <row r="2040">
          <cell r="B2040">
            <v>102807</v>
          </cell>
          <cell r="C2040" t="str">
            <v>CALDEIRA A GÁS COM TERMOSTATO, CAPACIDADE 100 LITROS - JUROS. AF_05/2023</v>
          </cell>
          <cell r="D2040" t="str">
            <v>H</v>
          </cell>
          <cell r="E2040">
            <v>0</v>
          </cell>
        </row>
        <row r="2041">
          <cell r="B2041">
            <v>102808</v>
          </cell>
          <cell r="C2041" t="str">
            <v>CALDEIRA A GÁS COM TERMOSTATO, CAPACIDADE 100 LITROS - MANUTENÇÃO. AF_05/2023</v>
          </cell>
          <cell r="D2041" t="str">
            <v>H</v>
          </cell>
          <cell r="E2041">
            <v>0</v>
          </cell>
        </row>
        <row r="2042">
          <cell r="B2042">
            <v>102809</v>
          </cell>
          <cell r="C2042" t="str">
            <v>CALDEIRA A GÁS COM TERMOSTATO, CAPACIDADE 100 LITROS - MATERIAIS NA OPERAÇÃO. AF_05/2023</v>
          </cell>
          <cell r="D2042" t="str">
            <v>H</v>
          </cell>
          <cell r="E2042">
            <v>18.170000000000002</v>
          </cell>
          <cell r="F2042">
            <v>0</v>
          </cell>
        </row>
        <row r="2043">
          <cell r="B2043">
            <v>92140</v>
          </cell>
          <cell r="C2043" t="str">
            <v>CAMINHONETE CABINE SIMPLES COM MOTOR 1.6 FLEX, CÂMBIO MANUAL, POTÊNCIA 101/104 CV, 2 PORTAS - DEPRECIAÇÃO. AF_11/2015</v>
          </cell>
          <cell r="D2043" t="str">
            <v>H</v>
          </cell>
          <cell r="E2043">
            <v>5.1100000000000003</v>
          </cell>
          <cell r="F2043">
            <v>0</v>
          </cell>
        </row>
        <row r="2044">
          <cell r="B2044">
            <v>92142</v>
          </cell>
          <cell r="C2044" t="str">
            <v>CAMINHONETE CABINE SIMPLES COM MOTOR 1.6 FLEX, CÂMBIO MANUAL, POTÊNCIA 101/104 CV, 2 PORTAS - IMPOSTOS E SEGUROS. AF_11/2015</v>
          </cell>
          <cell r="D2044" t="str">
            <v>H</v>
          </cell>
          <cell r="E2044">
            <v>0.63</v>
          </cell>
          <cell r="F2044">
            <v>0</v>
          </cell>
        </row>
        <row r="2045">
          <cell r="B2045">
            <v>92141</v>
          </cell>
          <cell r="C2045" t="str">
            <v>CAMINHONETE CABINE SIMPLES COM MOTOR 1.6 FLEX, CÂMBIO MANUAL, POTÊNCIA 101/104 CV, 2 PORTAS - JUROS. AF_11/2015</v>
          </cell>
          <cell r="D2045" t="str">
            <v>H</v>
          </cell>
          <cell r="E2045">
            <v>1.57</v>
          </cell>
          <cell r="F2045">
            <v>0</v>
          </cell>
        </row>
        <row r="2046">
          <cell r="B2046">
            <v>92143</v>
          </cell>
          <cell r="C2046" t="str">
            <v>CAMINHONETE CABINE SIMPLES COM MOTOR 1.6 FLEX, CÂMBIO MANUAL, POTÊNCIA 101/104 CV, 2 PORTAS - MANUTENÇÃO. AF_11/2015</v>
          </cell>
          <cell r="D2046" t="str">
            <v>H</v>
          </cell>
          <cell r="E2046">
            <v>6.38</v>
          </cell>
          <cell r="F2046">
            <v>0</v>
          </cell>
        </row>
        <row r="2047">
          <cell r="B2047">
            <v>92144</v>
          </cell>
          <cell r="C2047" t="str">
            <v>CAMINHONETE CABINE SIMPLES COM MOTOR 1.6 FLEX, CÂMBIO MANUAL, POTÊNCIA 101/104 CV, 2 PORTAS - MATERIAIS NA OPERAÇÃO. AF_11/2015</v>
          </cell>
          <cell r="D2047" t="str">
            <v>H</v>
          </cell>
          <cell r="E2047">
            <v>41.21</v>
          </cell>
          <cell r="F2047">
            <v>0</v>
          </cell>
        </row>
        <row r="2048">
          <cell r="B2048">
            <v>92133</v>
          </cell>
          <cell r="C2048" t="str">
            <v>CAMINHONETE COM MOTOR A DIESEL, POTÊNCIA 180 CV, CABINE DUPLA, 4X4 - DEPRECIAÇÃO. AF_11/2015</v>
          </cell>
          <cell r="D2048" t="str">
            <v>H</v>
          </cell>
          <cell r="E2048">
            <v>13.94</v>
          </cell>
          <cell r="F2048">
            <v>0</v>
          </cell>
        </row>
        <row r="2049">
          <cell r="B2049">
            <v>92135</v>
          </cell>
          <cell r="C2049" t="str">
            <v>CAMINHONETE COM MOTOR A DIESEL, POTÊNCIA 180 CV, CABINE DUPLA, 4X4 - IMPOSTOS E SEGUROS. AF_11/2015</v>
          </cell>
          <cell r="D2049" t="str">
            <v>H</v>
          </cell>
          <cell r="E2049">
            <v>1.74</v>
          </cell>
          <cell r="F2049">
            <v>0</v>
          </cell>
        </row>
        <row r="2050">
          <cell r="B2050">
            <v>92134</v>
          </cell>
          <cell r="C2050" t="str">
            <v>CAMINHONETE COM MOTOR A DIESEL, POTÊNCIA 180 CV, CABINE DUPLA, 4X4 - JUROS. AF_11/2015</v>
          </cell>
          <cell r="D2050" t="str">
            <v>H</v>
          </cell>
          <cell r="E2050">
            <v>4.3</v>
          </cell>
          <cell r="F2050">
            <v>0</v>
          </cell>
        </row>
        <row r="2051">
          <cell r="B2051">
            <v>92136</v>
          </cell>
          <cell r="C2051" t="str">
            <v>CAMINHONETE COM MOTOR A DIESEL, POTÊNCIA 180 CV, CABINE DUPLA, 4X4 - MANUTENÇÃO. AF_11/2015</v>
          </cell>
          <cell r="D2051" t="str">
            <v>H</v>
          </cell>
          <cell r="E2051">
            <v>17.43</v>
          </cell>
          <cell r="F2051">
            <v>0</v>
          </cell>
        </row>
        <row r="2052">
          <cell r="B2052">
            <v>92137</v>
          </cell>
          <cell r="C2052" t="str">
            <v>CAMINHONETE COM MOTOR A DIESEL, POTÊNCIA 180 CV, CABINE DUPLA, 4X4 - MATERIAIS NA OPERAÇÃO. AF_11/2015</v>
          </cell>
          <cell r="D2052" t="str">
            <v>H</v>
          </cell>
          <cell r="E2052">
            <v>35.69</v>
          </cell>
          <cell r="F2052">
            <v>0</v>
          </cell>
        </row>
        <row r="2053">
          <cell r="B2053">
            <v>91380</v>
          </cell>
          <cell r="C2053" t="str">
            <v>CAMINHÃO BASCULANTE 10 M3, TRUCADO CABINE SIMPLES, PESO BRUTO TOTAL 23.000 KG, CARGA ÚTIL MÁXIMA 15.935 KG, DISTÂNCIA ENTRE EIXOS 4,80 M, POTÊNCIA 230 CV INCLUSIVE CAÇAMBA METÁLICA - DEPRECIAÇÃO. AF_06/2014</v>
          </cell>
          <cell r="D2053" t="str">
            <v>H</v>
          </cell>
          <cell r="E2053">
            <v>30.39</v>
          </cell>
          <cell r="F2053">
            <v>0</v>
          </cell>
        </row>
        <row r="2054">
          <cell r="B2054">
            <v>91382</v>
          </cell>
          <cell r="C2054" t="str">
            <v>CAMINHÃO BASCULANTE 10 M3, TRUCADO CABINE SIMPLES, PESO BRUTO TOTAL 23.000 KG, CARGA ÚTIL MÁXIMA 15.935 KG, DISTÂNCIA ENTRE EIXOS 4,80 M, POTÊNCIA 230 CV INCLUSIVE CAÇAMBA METÁLICA - IMPOSTOS E SEGUROS. AF_06/2014</v>
          </cell>
          <cell r="D2054" t="str">
            <v>H</v>
          </cell>
          <cell r="E2054">
            <v>4.71</v>
          </cell>
          <cell r="F2054">
            <v>0</v>
          </cell>
        </row>
        <row r="2055">
          <cell r="B2055">
            <v>91381</v>
          </cell>
          <cell r="C2055" t="str">
            <v>CAMINHÃO BASCULANTE 10 M3, TRUCADO CABINE SIMPLES, PESO BRUTO TOTAL 23.000 KG, CARGA ÚTIL MÁXIMA 15.935 KG, DISTÂNCIA ENTRE EIXOS 4,80 M, POTÊNCIA 230 CV INCLUSIVE CAÇAMBA METÁLICA - JUROS. AF_06/2014</v>
          </cell>
          <cell r="D2055" t="str">
            <v>H</v>
          </cell>
          <cell r="E2055">
            <v>11.69</v>
          </cell>
          <cell r="F2055">
            <v>0</v>
          </cell>
        </row>
        <row r="2056">
          <cell r="B2056">
            <v>91383</v>
          </cell>
          <cell r="C2056" t="str">
            <v>CAMINHÃO BASCULANTE 10 M3, TRUCADO CABINE SIMPLES, PESO BRUTO TOTAL 23.000 KG, CARGA ÚTIL MÁXIMA 15.935 KG, DISTÂNCIA ENTRE EIXOS 4,80 M, POTÊNCIA 230 CV INCLUSIVE CAÇAMBA METÁLICA - MANUTENÇÃO. AF_06/2014</v>
          </cell>
          <cell r="D2056" t="str">
            <v>H</v>
          </cell>
          <cell r="E2056">
            <v>54.76</v>
          </cell>
          <cell r="F2056">
            <v>0</v>
          </cell>
        </row>
        <row r="2057">
          <cell r="B2057">
            <v>91384</v>
          </cell>
          <cell r="C2057" t="str">
            <v>CAMINHÃO BASCULANTE 10 M3, TRUCADO CABINE SIMPLES, PESO BRUTO TOTAL 23.000 KG, CARGA ÚTIL MÁXIMA 15.935 KG, DISTÂNCIA ENTRE EIXOS 4,80 M, POTÊNCIA 230 CV INCLUSIVE CAÇAMBA METÁLICA - MATERIAIS NA OPERAÇÃO. AF_06/2014</v>
          </cell>
          <cell r="D2057" t="str">
            <v>H</v>
          </cell>
          <cell r="E2057">
            <v>143.62</v>
          </cell>
          <cell r="F2057">
            <v>0</v>
          </cell>
        </row>
        <row r="2058">
          <cell r="B2058">
            <v>96030</v>
          </cell>
          <cell r="C2058" t="str">
            <v>CAMINHÃO BASCULANTE 10 M3, TRUCADO, POTÊNCIA 230 CV, INCLUSIVE CAÇAMBA METÁLICA, COM DISTRIBUIDOR DE AGREGADOS ACOPLADO - DEPRECIAÇÃO. AF_02/2017</v>
          </cell>
          <cell r="D2058" t="str">
            <v>H</v>
          </cell>
          <cell r="E2058">
            <v>37.75</v>
          </cell>
          <cell r="F2058">
            <v>0</v>
          </cell>
        </row>
        <row r="2059">
          <cell r="B2059">
            <v>96032</v>
          </cell>
          <cell r="C2059" t="str">
            <v>CAMINHÃO BASCULANTE 10 M3, TRUCADO, POTÊNCIA 230 CV, INCLUSIVE CAÇAMBA METÁLICA, COM DISTRIBUIDOR DE AGREGADOS ACOPLADO - IMPOSTOS E SEGUROS. AF_02/2017</v>
          </cell>
          <cell r="D2059" t="str">
            <v>H</v>
          </cell>
          <cell r="E2059">
            <v>5.29</v>
          </cell>
          <cell r="F2059">
            <v>0</v>
          </cell>
        </row>
        <row r="2060">
          <cell r="B2060">
            <v>96031</v>
          </cell>
          <cell r="C2060" t="str">
            <v>CAMINHÃO BASCULANTE 10 M3, TRUCADO, POTÊNCIA 230 CV, INCLUSIVE CAÇAMBA METÁLICA, COM DISTRIBUIDOR DE AGREGADOS ACOPLADO - JUROS. AF_02/2017</v>
          </cell>
          <cell r="D2060" t="str">
            <v>H</v>
          </cell>
          <cell r="E2060">
            <v>13.2</v>
          </cell>
          <cell r="F2060">
            <v>0</v>
          </cell>
        </row>
        <row r="2061">
          <cell r="B2061">
            <v>96033</v>
          </cell>
          <cell r="C2061" t="str">
            <v>CAMINHÃO BASCULANTE 10 M3, TRUCADO, POTÊNCIA 230 CV, INCLUSIVE CAÇAMBA METÁLICA, COM DISTRIBUIDOR DE AGREGADOS ACOPLADO - MANUTENÇÃO. AF_02/2017</v>
          </cell>
          <cell r="D2061" t="str">
            <v>H</v>
          </cell>
          <cell r="E2061">
            <v>60.89</v>
          </cell>
          <cell r="F2061">
            <v>0</v>
          </cell>
        </row>
        <row r="2062">
          <cell r="B2062">
            <v>96034</v>
          </cell>
          <cell r="C2062" t="str">
            <v>CAMINHÃO BASCULANTE 10 M3, TRUCADO, POTÊNCIA 230 CV, INCLUSIVE CAÇAMBA METÁLICA, COM DISTRIBUIDOR DE AGREGADOS ACOPLADO - MATERIAIS NA OPERAÇÃO. AF_02/2017</v>
          </cell>
          <cell r="D2062" t="str">
            <v>H</v>
          </cell>
          <cell r="E2062">
            <v>143.62</v>
          </cell>
          <cell r="F2062">
            <v>0</v>
          </cell>
        </row>
        <row r="2063">
          <cell r="B2063">
            <v>89870</v>
          </cell>
          <cell r="C2063" t="str">
            <v>CAMINHÃO BASCULANTE 14 M3, COM CAVALO MECÂNICO DE CAPACIDADE MÁXIMA DE TRAÇÃO COMBINADO DE 36000 KG, POTÊNCIA 286 CV, INCLUSIVE SEMIREBOQUE COM CAÇAMBA METÁLICA - DEPRECIAÇÃO. AF_12/2014</v>
          </cell>
          <cell r="D2063" t="str">
            <v>H</v>
          </cell>
          <cell r="E2063">
            <v>39.75</v>
          </cell>
          <cell r="F2063">
            <v>0</v>
          </cell>
        </row>
        <row r="2064">
          <cell r="B2064">
            <v>89872</v>
          </cell>
          <cell r="C2064" t="str">
            <v>CAMINHÃO BASCULANTE 14 M3, COM CAVALO MECÂNICO DE CAPACIDADE MÁXIMA DE TRAÇÃO COMBINADO DE 36000 KG, POTÊNCIA 286 CV, INCLUSIVE SEMIREBOQUE COM CAÇAMBA METÁLICA - IMPOSTOS E SEGUROS. AF_12/2014</v>
          </cell>
          <cell r="D2064" t="str">
            <v>H</v>
          </cell>
          <cell r="E2064">
            <v>5.63</v>
          </cell>
          <cell r="F2064">
            <v>0</v>
          </cell>
        </row>
        <row r="2065">
          <cell r="B2065">
            <v>89871</v>
          </cell>
          <cell r="C2065" t="str">
            <v>CAMINHÃO BASCULANTE 14 M3, COM CAVALO MECÂNICO DE CAPACIDADE MÁXIMA DE TRAÇÃO COMBINADO DE 36000 KG, POTÊNCIA 286 CV, INCLUSIVE SEMIREBOQUE COM CAÇAMBA METÁLICA - JUROS. AF_12/2014</v>
          </cell>
          <cell r="D2065" t="str">
            <v>H</v>
          </cell>
          <cell r="E2065">
            <v>13.95</v>
          </cell>
          <cell r="F2065">
            <v>0</v>
          </cell>
        </row>
        <row r="2066">
          <cell r="B2066">
            <v>89873</v>
          </cell>
          <cell r="C2066" t="str">
            <v>CAMINHÃO BASCULANTE 14 M3, COM CAVALO MECÂNICO DE CAPACIDADE MÁXIMA DE TRAÇÃO COMBINADO DE 36000 KG, POTÊNCIA 286 CV, INCLUSIVE SEMIREBOQUE COM CAÇAMBA METÁLICA - MANUTENÇÃO. AF_12/2014</v>
          </cell>
          <cell r="D2066" t="str">
            <v>H</v>
          </cell>
          <cell r="E2066">
            <v>67.94</v>
          </cell>
          <cell r="F2066">
            <v>0</v>
          </cell>
        </row>
        <row r="2067">
          <cell r="B2067">
            <v>89874</v>
          </cell>
          <cell r="C2067" t="str">
            <v>CAMINHÃO BASCULANTE 14 M3, COM CAVALO MECÂNICO DE CAPACIDADE MÁXIMA DE TRAÇÃO COMBINADO DE 36000 KG, POTÊNCIA 286 CV, INCLUSIVE SEMIREBOQUE COM CAÇAMBA METÁLICA - MATERIAIS NA OPERAÇÃO. AF_12/2014</v>
          </cell>
          <cell r="D2067" t="str">
            <v>H</v>
          </cell>
          <cell r="E2067">
            <v>178.58</v>
          </cell>
          <cell r="F2067">
            <v>0</v>
          </cell>
        </row>
        <row r="2068">
          <cell r="B2068">
            <v>89878</v>
          </cell>
          <cell r="C2068" t="str">
            <v>CAMINHÃO BASCULANTE 18 M3, COM CAVALO MECÂNICO DE CAPACIDADE MÁXIMA DE TRAÇÃO COMBINADO DE 45000 KG, POTÊNCIA 330 CV, INCLUSIVE SEMIREBOQUE COM CAÇAMBA METÁLICA - DEPRECIAÇÃO. AF_12/2014</v>
          </cell>
          <cell r="D2068" t="str">
            <v>H</v>
          </cell>
          <cell r="E2068">
            <v>42.57</v>
          </cell>
          <cell r="F2068">
            <v>0</v>
          </cell>
        </row>
        <row r="2069">
          <cell r="B2069">
            <v>89880</v>
          </cell>
          <cell r="C2069" t="str">
            <v>CAMINHÃO BASCULANTE 18 M3, COM CAVALO MECÂNICO DE CAPACIDADE MÁXIMA DE TRAÇÃO COMBINADO DE 45000 KG, POTÊNCIA 330 CV, INCLUSIVE SEMIREBOQUE COM CAÇAMBA METÁLICA - IMPOSTOS E SEGUROS. AF_12/2014</v>
          </cell>
          <cell r="D2069" t="str">
            <v>H</v>
          </cell>
          <cell r="E2069">
            <v>5.93</v>
          </cell>
          <cell r="F2069">
            <v>0</v>
          </cell>
        </row>
        <row r="2070">
          <cell r="B2070">
            <v>89879</v>
          </cell>
          <cell r="C2070" t="str">
            <v>CAMINHÃO BASCULANTE 18 M3, COM CAVALO MECÂNICO DE CAPACIDADE MÁXIMA DE TRAÇÃO COMBINADO DE 45000 KG, POTÊNCIA 330 CV, INCLUSIVE SEMIREBOQUE COM CAÇAMBA METÁLICA - JUROS. AF_12/2014</v>
          </cell>
          <cell r="D2070" t="str">
            <v>H</v>
          </cell>
          <cell r="E2070">
            <v>14.69</v>
          </cell>
          <cell r="F2070">
            <v>0</v>
          </cell>
        </row>
        <row r="2071">
          <cell r="B2071">
            <v>89881</v>
          </cell>
          <cell r="C2071" t="str">
            <v>CAMINHÃO BASCULANTE 18 M3, COM CAVALO MECÂNICO DE CAPACIDADE MÁXIMA DE TRAÇÃO COMBINADO DE 45000 KG, POTÊNCIA 330 CV, INCLUSIVE SEMIREBOQUE COM CAÇAMBA METÁLICA - MANUTENÇÃO. AF_12/2014</v>
          </cell>
          <cell r="D2071" t="str">
            <v>H</v>
          </cell>
          <cell r="E2071">
            <v>72.05</v>
          </cell>
          <cell r="F2071">
            <v>0</v>
          </cell>
        </row>
        <row r="2072">
          <cell r="B2072">
            <v>89882</v>
          </cell>
          <cell r="C2072" t="str">
            <v>CAMINHÃO BASCULANTE 18 M3, COM CAVALO MECÂNICO DE CAPACIDADE MÁXIMA DE TRAÇÃO COMBINADO DE 45000 KG, POTÊNCIA 330 CV, INCLUSIVE SEMIREBOQUE COM CAÇAMBA METÁLICA - MATERIAIS NA OPERAÇÃO. AF_12/2014</v>
          </cell>
          <cell r="D2072" t="str">
            <v>H</v>
          </cell>
          <cell r="E2072">
            <v>206.04</v>
          </cell>
          <cell r="F2072">
            <v>0</v>
          </cell>
        </row>
        <row r="2073">
          <cell r="B2073">
            <v>7058</v>
          </cell>
          <cell r="C2073" t="str">
            <v>CAMINHÃO BASCULANTE 6 M3 TOCO, PESO BRUTO TOTAL 16.000 KG, CARGA ÚTIL MÁXIMA 11.130 KG, DISTÂNCIA ENTRE EIXOS 5,36 M, POTÊNCIA 185 CV, INCLUSIVE CAÇAMBA METÁLICA - DEPRECIAÇÃO. AF_06/2014</v>
          </cell>
          <cell r="D2073" t="str">
            <v>H</v>
          </cell>
          <cell r="E2073">
            <v>23.9</v>
          </cell>
          <cell r="F2073">
            <v>0</v>
          </cell>
        </row>
        <row r="2074">
          <cell r="B2074">
            <v>91402</v>
          </cell>
          <cell r="C2074" t="str">
            <v>CAMINHÃO BASCULANTE 6 M3 TOCO, PESO BRUTO TOTAL 16.000 KG, CARGA ÚTIL MÁXIMA 11.130 KG, DISTÂNCIA ENTRE EIXOS 5,36 M, POTÊNCIA 185 CV, INCLUSIVE CAÇAMBA METÁLICA - IMPOSTOS E SEGUROS. AF_06/2014</v>
          </cell>
          <cell r="D2074" t="str">
            <v>H</v>
          </cell>
          <cell r="E2074">
            <v>3.72</v>
          </cell>
          <cell r="F2074">
            <v>0</v>
          </cell>
        </row>
        <row r="2075">
          <cell r="B2075">
            <v>7059</v>
          </cell>
          <cell r="C2075" t="str">
            <v>CAMINHÃO BASCULANTE 6 M3 TOCO, PESO BRUTO TOTAL 16.000 KG, CARGA ÚTIL MÁXIMA 11.130 KG, DISTÂNCIA ENTRE EIXOS 5,36 M, POTÊNCIA 185 CV, INCLUSIVE CAÇAMBA METÁLICA - JUROS. AF_06/2014</v>
          </cell>
          <cell r="D2075" t="str">
            <v>H</v>
          </cell>
          <cell r="E2075">
            <v>9.23</v>
          </cell>
          <cell r="F2075">
            <v>0</v>
          </cell>
        </row>
        <row r="2076">
          <cell r="B2076">
            <v>7060</v>
          </cell>
          <cell r="C2076" t="str">
            <v>CAMINHÃO BASCULANTE 6 M3 TOCO, PESO BRUTO TOTAL 16.000 KG, CARGA ÚTIL MÁXIMA 11.130 KG, DISTÂNCIA ENTRE EIXOS 5,36 M, POTÊNCIA 185 CV, INCLUSIVE CAÇAMBA METÁLICA - MANUTENÇÃO. AF_06/2014</v>
          </cell>
          <cell r="D2076" t="str">
            <v>H</v>
          </cell>
          <cell r="E2076">
            <v>43.14</v>
          </cell>
          <cell r="F2076">
            <v>0</v>
          </cell>
        </row>
        <row r="2077">
          <cell r="B2077">
            <v>7061</v>
          </cell>
          <cell r="C2077" t="str">
            <v>CAMINHÃO BASCULANTE 6 M3 TOCO, PESO BRUTO TOTAL 16.000 KG, CARGA ÚTIL MÁXIMA 11.130 KG, DISTÂNCIA ENTRE EIXOS 5,36 M, POTÊNCIA 185 CV, INCLUSIVE CAÇAMBA METÁLICA - MATERIAIS NA OPERAÇÃO. AF_06/2014</v>
          </cell>
          <cell r="D2077" t="str">
            <v>H</v>
          </cell>
          <cell r="E2077">
            <v>82.53</v>
          </cell>
          <cell r="F2077">
            <v>0</v>
          </cell>
        </row>
        <row r="2078">
          <cell r="B2078">
            <v>91367</v>
          </cell>
          <cell r="C2078" t="str">
            <v>CAMINHÃO BASCULANTE 6 M3, PESO BRUTO TOTAL 16.000 KG, CARGA ÚTIL MÁXIMA 13.071 KG, DISTÂNCIA ENTRE EIXOS 4,80 M, POTÊNCIA 230 CV INCLUSIVE CAÇAMBA METÁLICA - DEPRECIAÇÃO. AF_06/2014</v>
          </cell>
          <cell r="D2078" t="str">
            <v>H</v>
          </cell>
          <cell r="E2078">
            <v>23.09</v>
          </cell>
          <cell r="F2078">
            <v>0</v>
          </cell>
        </row>
        <row r="2079">
          <cell r="B2079">
            <v>91369</v>
          </cell>
          <cell r="C2079" t="str">
            <v>CAMINHÃO BASCULANTE 6 M3, PESO BRUTO TOTAL 16.000 KG, CARGA ÚTIL MÁXIMA 13.071 KG, DISTÂNCIA ENTRE EIXOS 4,80 M, POTÊNCIA 230 CV INCLUSIVE CAÇAMBA METÁLICA - IMPOSTOS E SEGUROS. AF_06/2014</v>
          </cell>
          <cell r="D2079" t="str">
            <v>H</v>
          </cell>
          <cell r="E2079">
            <v>3.58</v>
          </cell>
          <cell r="F2079">
            <v>0</v>
          </cell>
        </row>
        <row r="2080">
          <cell r="B2080">
            <v>91368</v>
          </cell>
          <cell r="C2080" t="str">
            <v>CAMINHÃO BASCULANTE 6 M3, PESO BRUTO TOTAL 16.000 KG, CARGA ÚTIL MÁXIMA 13.071 KG, DISTÂNCIA ENTRE EIXOS 4,80 M, POTÊNCIA 230 CV INCLUSIVE CAÇAMBA METÁLICA - JUROS. AF_06/2014</v>
          </cell>
          <cell r="D2080" t="str">
            <v>H</v>
          </cell>
          <cell r="E2080">
            <v>8.9</v>
          </cell>
          <cell r="F2080">
            <v>0</v>
          </cell>
        </row>
        <row r="2081">
          <cell r="B2081">
            <v>5695</v>
          </cell>
          <cell r="C2081" t="str">
            <v>CAMINHÃO BASCULANTE 6 M3, PESO BRUTO TOTAL 16.000 KG, CARGA ÚTIL MÁXIMA 13.071 KG, DISTÂNCIA ENTRE EIXOS 4,80 M, POTÊNCIA 230 CV INCLUSIVE CAÇAMBA METÁLICA - MANUTENÇÃO. AF_06/2014</v>
          </cell>
          <cell r="D2081" t="str">
            <v>H</v>
          </cell>
          <cell r="E2081">
            <v>41.69</v>
          </cell>
          <cell r="F2081">
            <v>0</v>
          </cell>
        </row>
        <row r="2082">
          <cell r="B2082">
            <v>53792</v>
          </cell>
          <cell r="C2082" t="str">
            <v>CAMINHÃO BASCULANTE 6 M3, PESO BRUTO TOTAL 16.000 KG, CARGA ÚTIL MÁXIMA 13.071 KG, DISTÂNCIA ENTRE EIXOS 4,80 M, POTÊNCIA 230 CV INCLUSIVE CAÇAMBA METÁLICA - MATERIAIS NA OPERAÇÃO. AF_06/2014</v>
          </cell>
          <cell r="D2082" t="str">
            <v>H</v>
          </cell>
          <cell r="E2082">
            <v>102.59</v>
          </cell>
          <cell r="F2082">
            <v>0</v>
          </cell>
        </row>
        <row r="2083">
          <cell r="B2083">
            <v>106347</v>
          </cell>
          <cell r="C2083" t="str">
            <v>CAMINHÃO BITRUCK TRAÇÃO 8X2, PBT 29.000 KG, PESO BRUTO TOTAL COMBINADO (PBTC) *36.000* KG, POTÊNCIA 321 CV, INCLUSIVE PLATAFORMA GUINCHO-SOCORRO, COMPRIMENTO ÚTIL 10 M, LARGURA 2,60 M COM GUINCHO DE ARRASTE BASCULANTE - DEPRECIAÇÃO. AF_11/2025</v>
          </cell>
          <cell r="D2083" t="str">
            <v>H</v>
          </cell>
          <cell r="E2083">
            <v>0</v>
          </cell>
        </row>
        <row r="2084">
          <cell r="B2084">
            <v>106350</v>
          </cell>
          <cell r="C2084" t="str">
            <v>CAMINHÃO BITRUCK TRAÇÃO 8X2, PBT 29.000 KG, PESO BRUTO TOTAL COMBINADO (PBTC) *36.000* KG, POTÊNCIA 321 CV, INCLUSIVE PLATAFORMA GUINCHO-SOCORRO, COMPRIMENTO ÚTIL 10 M, LARGURA 2,60 M COM GUINCHO DE ARRASTE BASCULANTE - IMPOSTOS E SEGUROS. AF_11/2025</v>
          </cell>
          <cell r="D2084" t="str">
            <v>H</v>
          </cell>
          <cell r="E2084">
            <v>0</v>
          </cell>
        </row>
        <row r="2085">
          <cell r="B2085">
            <v>106348</v>
          </cell>
          <cell r="C2085" t="str">
            <v>CAMINHÃO BITRUCK TRAÇÃO 8X2, PBT 29.000 KG, PESO BRUTO TOTAL COMBINADO (PBTC) *36.000* KG, POTÊNCIA 321 CV, INCLUSIVE PLATAFORMA GUINCHO-SOCORRO, COMPRIMENTO ÚTIL 10 M, LARGURA 2,60 M COM GUINCHO DE ARRASTE BASCULANTE - JUROS. AF_11/2025</v>
          </cell>
          <cell r="D2085" t="str">
            <v>H</v>
          </cell>
          <cell r="E2085">
            <v>0</v>
          </cell>
        </row>
        <row r="2086">
          <cell r="B2086">
            <v>106349</v>
          </cell>
          <cell r="C2086" t="str">
            <v>CAMINHÃO BITRUCK TRAÇÃO 8X2, PBT 29.000 KG, PESO BRUTO TOTAL COMBINADO (PBTC) *36.000* KG, POTÊNCIA 321 CV, INCLUSIVE PLATAFORMA GUINCHO-SOCORRO, COMPRIMENTO ÚTIL 10 M, LARGURA 2,60 M COM GUINCHO DE ARRASTE BASCULANTE - MANUTENÇÃO. AF_11/2025</v>
          </cell>
          <cell r="D2086" t="str">
            <v>H</v>
          </cell>
          <cell r="E2086">
            <v>0</v>
          </cell>
        </row>
        <row r="2087">
          <cell r="B2087">
            <v>106351</v>
          </cell>
          <cell r="C2087" t="str">
            <v>CAMINHÃO BITRUCK TRAÇÃO 8X2, PBT 29.000 KG, PESO BRUTO TOTAL COMBINADO (PBTC) *36.000* KG, POTÊNCIA 321 CV, INCLUSIVE PLATAFORMA GUINCHO-SOCORRO, COMPRIMENTO ÚTIL 10 M, LARGURA 2,60 M COM GUINCHO DE ARRASTE BASCULANTE - MATERIAIS NA OPERAÇÃO. AF_11/2025</v>
          </cell>
          <cell r="D2087" t="str">
            <v>H</v>
          </cell>
          <cell r="E2087">
            <v>200.46</v>
          </cell>
          <cell r="F2087">
            <v>0</v>
          </cell>
        </row>
        <row r="2088">
          <cell r="B2088">
            <v>106337</v>
          </cell>
          <cell r="C2088"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D2088" t="str">
            <v>H</v>
          </cell>
          <cell r="E2088">
            <v>0</v>
          </cell>
        </row>
        <row r="2089">
          <cell r="B2089">
            <v>106340</v>
          </cell>
          <cell r="C2089"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D2089" t="str">
            <v>H</v>
          </cell>
          <cell r="E2089">
            <v>0</v>
          </cell>
        </row>
        <row r="2090">
          <cell r="B2090">
            <v>106338</v>
          </cell>
          <cell r="C2090" t="str">
            <v>CAMINHÃO BITRUCK TRAÇÃO 8X2, PBT 29.000 KG, PESO BRUTO TOTAL COMBINADO (PBTC) *36.000* KG, POTÊNCIA 321 CV, INCLUSIVE PLATAFORMA SOBRE CHASSI, COMPRIMENTO ÚTIL 10 M, LARGURA 2,60 M COM GUINCHO DE ARRASTE E RAMPA COM ACIONAMENTO ELETRO-HIDRÁULICO - JUROS. AF_11/2025</v>
          </cell>
          <cell r="D2090" t="str">
            <v>H</v>
          </cell>
          <cell r="E2090">
            <v>0</v>
          </cell>
        </row>
        <row r="2091">
          <cell r="B2091">
            <v>106339</v>
          </cell>
          <cell r="C2091"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D2091" t="str">
            <v>H</v>
          </cell>
          <cell r="E2091">
            <v>0</v>
          </cell>
        </row>
        <row r="2092">
          <cell r="B2092">
            <v>106341</v>
          </cell>
          <cell r="C2092"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D2092" t="str">
            <v>H</v>
          </cell>
          <cell r="E2092">
            <v>272.02999999999997</v>
          </cell>
          <cell r="F2092">
            <v>0</v>
          </cell>
        </row>
        <row r="2093">
          <cell r="B2093">
            <v>92237</v>
          </cell>
          <cell r="C2093" t="str">
            <v>CAMINHÃO DE TRANSPORTE DE MATERIAL ASFÁLTICO 20.000 L, COM CAVALO MECÂNICO DE CAPACIDADE MÁXIMA DE TRAÇÃO COMBINADO DE 45.000 KG, POTÊNCIA 330 CV, INCLUSIVE TANQUE DE ASFALTO COM MAÇARICO - DEPRECIAÇÃO. AF_12/2015</v>
          </cell>
          <cell r="D2093" t="str">
            <v>H</v>
          </cell>
          <cell r="E2093">
            <v>29.95</v>
          </cell>
          <cell r="F2093">
            <v>0</v>
          </cell>
        </row>
        <row r="2094">
          <cell r="B2094">
            <v>92239</v>
          </cell>
          <cell r="C2094" t="str">
            <v>CAMINHÃO DE TRANSPORTE DE MATERIAL ASFÁLTICO 20.000 L, COM CAVALO MECÂNICO DE CAPACIDADE MÁXIMA DE TRAÇÃO COMBINADO DE 45.000 KG, POTÊNCIA 330 CV, INCLUSIVE TANQUE DE ASFALTO COM MAÇARICO - IMPOSTOS E SEGUROS. AF_12/2015</v>
          </cell>
          <cell r="D2094" t="str">
            <v>H</v>
          </cell>
          <cell r="E2094">
            <v>4.8600000000000003</v>
          </cell>
          <cell r="F2094">
            <v>0</v>
          </cell>
        </row>
        <row r="2095">
          <cell r="B2095">
            <v>92238</v>
          </cell>
          <cell r="C2095" t="str">
            <v>CAMINHÃO DE TRANSPORTE DE MATERIAL ASFÁLTICO 20.000 L, COM CAVALO MECÂNICO DE CAPACIDADE MÁXIMA DE TRAÇÃO COMBINADO DE 45.000 KG, POTÊNCIA 330 CV, INCLUSIVE TANQUE DE ASFALTO COM MAÇARICO - JUROS. AF_12/2015</v>
          </cell>
          <cell r="D2095" t="str">
            <v>H</v>
          </cell>
          <cell r="E2095">
            <v>12.04</v>
          </cell>
          <cell r="F2095">
            <v>0</v>
          </cell>
        </row>
        <row r="2096">
          <cell r="B2096">
            <v>92240</v>
          </cell>
          <cell r="C2096" t="str">
            <v>CAMINHÃO DE TRANSPORTE DE MATERIAL ASFÁLTICO 20.000 L, COM CAVALO MECÂNICO DE CAPACIDADE MÁXIMA DE TRAÇÃO COMBINADO DE 45.000 KG, POTÊNCIA 330 CV, INCLUSIVE TANQUE DE ASFALTO COM MAÇARICO - MANUTENÇÃO. AF_12/2015</v>
          </cell>
          <cell r="D2096" t="str">
            <v>H</v>
          </cell>
          <cell r="E2096">
            <v>53.6</v>
          </cell>
          <cell r="F2096">
            <v>0</v>
          </cell>
        </row>
        <row r="2097">
          <cell r="B2097">
            <v>92241</v>
          </cell>
          <cell r="C2097" t="str">
            <v>CAMINHÃO DE TRANSPORTE DE MATERIAL ASFÁLTICO 20.000 L, COM CAVALO MECÂNICO DE CAPACIDADE MÁXIMA DE TRAÇÃO COMBINADO DE 45.000 KG, POTÊNCIA 330 CV, INCLUSIVE TANQUE DE ASFALTO COM MAÇARICO - MATERIAIS NA OPERAÇÃO. AF_12/2015</v>
          </cell>
          <cell r="D2097" t="str">
            <v>H</v>
          </cell>
          <cell r="E2097">
            <v>279.66000000000003</v>
          </cell>
          <cell r="F2097">
            <v>0</v>
          </cell>
        </row>
        <row r="2098">
          <cell r="B2098">
            <v>91640</v>
          </cell>
          <cell r="C2098" t="str">
            <v>CAMINHÃO DE TRANSPORTE DE MATERIAL ASFÁLTICO 30.000 L, COM CAVALO MECÂNICO DE CAPACIDADE MÁXIMA DE TRAÇÃO COMBINADO DE 66.000 KG, POTÊNCIA 360 CV, INCLUSIVE TANQUE DE ASFALTO COM SERPENTINA - DEPRECIAÇÃO. AF_08/2015</v>
          </cell>
          <cell r="D2098" t="str">
            <v>H</v>
          </cell>
          <cell r="E2098">
            <v>41.08</v>
          </cell>
          <cell r="F2098">
            <v>0</v>
          </cell>
        </row>
        <row r="2099">
          <cell r="B2099">
            <v>91642</v>
          </cell>
          <cell r="C2099" t="str">
            <v>CAMINHÃO DE TRANSPORTE DE MATERIAL ASFÁLTICO 30.000 L, COM CAVALO MECÂNICO DE CAPACIDADE MÁXIMA DE TRAÇÃO COMBINADO DE 66.000 KG, POTÊNCIA 360 CV, INCLUSIVE TANQUE DE ASFALTO COM SERPENTINA - IMPOSTOS E SEGUROS. AF_08/2015</v>
          </cell>
          <cell r="D2099" t="str">
            <v>H</v>
          </cell>
          <cell r="E2099">
            <v>6.69</v>
          </cell>
          <cell r="F2099">
            <v>0</v>
          </cell>
        </row>
        <row r="2100">
          <cell r="B2100">
            <v>91641</v>
          </cell>
          <cell r="C2100" t="str">
            <v>CAMINHÃO DE TRANSPORTE DE MATERIAL ASFÁLTICO 30.000 L, COM CAVALO MECÂNICO DE CAPACIDADE MÁXIMA DE TRAÇÃO COMBINADO DE 66.000 KG, POTÊNCIA 360 CV, INCLUSIVE TANQUE DE ASFALTO COM SERPENTINA - JUROS. AF_08/2015</v>
          </cell>
          <cell r="D2100" t="str">
            <v>H</v>
          </cell>
          <cell r="E2100">
            <v>16.559999999999999</v>
          </cell>
          <cell r="F2100">
            <v>0</v>
          </cell>
        </row>
        <row r="2101">
          <cell r="B2101">
            <v>91643</v>
          </cell>
          <cell r="C2101" t="str">
            <v>CAMINHÃO DE TRANSPORTE DE MATERIAL ASFÁLTICO 30.000 L, COM CAVALO MECÂNICO DE CAPACIDADE MÁXIMA DE TRAÇÃO COMBINADO DE 66.000 KG, POTÊNCIA 360 CV, INCLUSIVE TANQUE DE ASFALTO COM SERPENTINA - MANUTENÇÃO. AF_08/2015</v>
          </cell>
          <cell r="D2101" t="str">
            <v>H</v>
          </cell>
          <cell r="E2101">
            <v>73.88</v>
          </cell>
          <cell r="F2101">
            <v>0</v>
          </cell>
        </row>
        <row r="2102">
          <cell r="B2102">
            <v>91644</v>
          </cell>
          <cell r="C2102" t="str">
            <v>CAMINHÃO DE TRANSPORTE DE MATERIAL ASFÁLTICO 30.000 L, COM CAVALO MECÂNICO DE CAPACIDADE MÁXIMA DE TRAÇÃO COMBINADO DE 66.000 KG, POTÊNCIA 360 CV, INCLUSIVE TANQUE DE ASFALTO COM SERPENTINA - MATERIAIS NA OPERAÇÃO. AF_08/2015</v>
          </cell>
          <cell r="D2102" t="str">
            <v>H</v>
          </cell>
          <cell r="E2102">
            <v>305.06</v>
          </cell>
          <cell r="F2102">
            <v>0</v>
          </cell>
        </row>
        <row r="2103">
          <cell r="B2103">
            <v>92105</v>
          </cell>
          <cell r="C2103" t="str">
            <v>CAMINHÃO PARA EQUIPAMENTO DE LIMPEZA A SUCÇÃO COM CAMINHÃO TRUCADO DE PESO BRUTO TOTAL 23000 KG, CARGA ÚTIL MÁX. 15935 KG, DISTÂNCIA ENTRE EIXOS 4,80 M, POTÊNCIA 230 CV, INCLUSIVE LIMPADORA A SUCÇÃO, TANQUE 12000 L - MATERIAIS NA OPERAÇÃO. AF_05/2023</v>
          </cell>
          <cell r="D2103" t="str">
            <v>H</v>
          </cell>
          <cell r="E2103">
            <v>194.88</v>
          </cell>
          <cell r="F2103">
            <v>0</v>
          </cell>
        </row>
        <row r="2104">
          <cell r="B2104">
            <v>92101</v>
          </cell>
          <cell r="C2104" t="str">
            <v>CAMINHÃO PARA EQUIPAMENTO DE LIMPEZA A SUCÇÃO COM CAMINHÃO TRUCADO DE PESO BRUTO TOTAL 23000 KG, CARGA ÚTIL MÁXIMA 15935 KG, DISTÂNCIA ENTRE EIXOS 4,80 M, POTÊNCIA 230 CV, INCLUSIVE LIMPADORA A SUCÇÃO, TANQUE 12000 L - DEPRECIAÇÃO. AF_05/2023</v>
          </cell>
          <cell r="D2104" t="str">
            <v>H</v>
          </cell>
          <cell r="E2104">
            <v>47.45</v>
          </cell>
          <cell r="F2104">
            <v>0</v>
          </cell>
        </row>
        <row r="2105">
          <cell r="B2105">
            <v>92103</v>
          </cell>
          <cell r="C2105" t="str">
            <v>CAMINHÃO PARA EQUIPAMENTO DE LIMPEZA A SUCÇÃO COM CAMINHÃO TRUCADO DE PESO BRUTO TOTAL 23000 KG, CARGA ÚTIL MÁXIMA 15935 KG, DISTÂNCIA ENTRE EIXOS 4,80 M, POTÊNCIA 230 CV, INCLUSIVE LIMPADORA A SUCÇÃO, TANQUE 12000 L - IMPOSTOS E SEGUROS. AF_05/2023</v>
          </cell>
          <cell r="D2105" t="str">
            <v>H</v>
          </cell>
          <cell r="E2105">
            <v>6</v>
          </cell>
          <cell r="F2105">
            <v>0</v>
          </cell>
        </row>
        <row r="2106">
          <cell r="B2106">
            <v>92102</v>
          </cell>
          <cell r="C2106" t="str">
            <v>CAMINHÃO PARA EQUIPAMENTO DE LIMPEZA A SUCÇÃO COM CAMINHÃO TRUCADO DE PESO BRUTO TOTAL 23000 KG, CARGA ÚTIL MÁXIMA 15935 KG, DISTÂNCIA ENTRE EIXOS 4,80 M, POTÊNCIA 230 CV, INCLUSIVE LIMPADORA A SUCÇÃO, TANQUE 12000 L - JUROS. AF_05/2023</v>
          </cell>
          <cell r="D2106" t="str">
            <v>H</v>
          </cell>
          <cell r="E2106">
            <v>14.83</v>
          </cell>
          <cell r="F2106">
            <v>0</v>
          </cell>
        </row>
        <row r="2107">
          <cell r="B2107">
            <v>92104</v>
          </cell>
          <cell r="C2107" t="str">
            <v>CAMINHÃO PARA EQUIPAMENTO DE LIMPEZA A SUCÇÃO COM CAMINHÃO TRUCADO DE PESO BRUTO TOTAL 23000 KG, CARGA ÚTIL MÁXIMA 15935 KG, DISTÂNCIA ENTRE EIXOS 4,80 M, POTÊNCIA 230 CV, INCLUSIVE LIMPADORA A SUCÇÃO, TANQUE 12000 L - MANUTENÇÃO. AF_05/2023</v>
          </cell>
          <cell r="D2107" t="str">
            <v>H</v>
          </cell>
          <cell r="E2107">
            <v>74.77</v>
          </cell>
          <cell r="F2107">
            <v>0</v>
          </cell>
        </row>
        <row r="2108">
          <cell r="B2108">
            <v>91396</v>
          </cell>
          <cell r="C2108" t="str">
            <v>CAMINHÃO PIPA 10.000 L TRUCADO, PESO BRUTO TOTAL 23.000 KG, CARGA ÚTIL MÁXIMA 15.935 KG, DISTÂNCIA ENTRE EIXOS 4,8 M, POTÊNCIA 230 CV, INCLUSIVE TANQUE DE AÇO PARA TRANSPORTE DE ÁGUA - DEPRECIAÇÃO. AF_06/2014</v>
          </cell>
          <cell r="D2108" t="str">
            <v>H</v>
          </cell>
          <cell r="E2108">
            <v>30.62</v>
          </cell>
          <cell r="F2108">
            <v>0</v>
          </cell>
        </row>
        <row r="2109">
          <cell r="B2109">
            <v>91398</v>
          </cell>
          <cell r="C2109" t="str">
            <v>CAMINHÃO PIPA 10.000 L TRUCADO, PESO BRUTO TOTAL 23.000 KG, CARGA ÚTIL MÁXIMA 15.935 KG, DISTÂNCIA ENTRE EIXOS 4,8 M, POTÊNCIA 230 CV, INCLUSIVE TANQUE DE AÇO PARA TRANSPORTE DE ÁGUA - IMPOSTOS E SEGUROS. AF_06/2014</v>
          </cell>
          <cell r="D2109" t="str">
            <v>H</v>
          </cell>
          <cell r="E2109">
            <v>4.7699999999999996</v>
          </cell>
          <cell r="F2109">
            <v>0</v>
          </cell>
        </row>
        <row r="2110">
          <cell r="B2110">
            <v>91397</v>
          </cell>
          <cell r="C2110" t="str">
            <v>CAMINHÃO PIPA 10.000 L TRUCADO, PESO BRUTO TOTAL 23.000 KG, CARGA ÚTIL MÁXIMA 15.935 KG, DISTÂNCIA ENTRE EIXOS 4,8 M, POTÊNCIA 230 CV, INCLUSIVE TANQUE DE AÇO PARA TRANSPORTE DE ÁGUA - JUROS. AF_06/2014</v>
          </cell>
          <cell r="D2110" t="str">
            <v>H</v>
          </cell>
          <cell r="E2110">
            <v>11.83</v>
          </cell>
          <cell r="F2110">
            <v>0</v>
          </cell>
        </row>
        <row r="2111">
          <cell r="B2111">
            <v>5763</v>
          </cell>
          <cell r="C2111" t="str">
            <v>CAMINHÃO PIPA 10.000 L TRUCADO, PESO BRUTO TOTAL 23.000 KG, CARGA ÚTIL MÁXIMA 15.935 KG, DISTÂNCIA ENTRE EIXOS 4,8 M, POTÊNCIA 230 CV, INCLUSIVE TANQUE DE AÇO PARA TRANSPORTE DE ÁGUA - MANUTENÇÃO. AF_06/2014</v>
          </cell>
          <cell r="D2111" t="str">
            <v>H</v>
          </cell>
          <cell r="E2111">
            <v>54.26</v>
          </cell>
          <cell r="F2111">
            <v>0</v>
          </cell>
        </row>
        <row r="2112">
          <cell r="B2112">
            <v>53831</v>
          </cell>
          <cell r="C2112" t="str">
            <v>CAMINHÃO PIPA 10.000 L TRUCADO, PESO BRUTO TOTAL 23.000 KG, CARGA ÚTIL MÁXIMA 15.935 KG, DISTÂNCIA ENTRE EIXOS 4,8 M, POTÊNCIA 230 CV, INCLUSIVE TANQUE DE AÇO PARA TRANSPORTE DE ÁGUA - MATERIAIS NA OPERAÇÃO. AF_06/2014</v>
          </cell>
          <cell r="D2112" t="str">
            <v>H</v>
          </cell>
          <cell r="E2112">
            <v>194.88</v>
          </cell>
          <cell r="F2112">
            <v>0</v>
          </cell>
        </row>
        <row r="2113">
          <cell r="B2113">
            <v>106222</v>
          </cell>
          <cell r="C2113" t="str">
            <v>CAMINHÃO PIPA 14.000 L TRUCADO, PESO BRUTO TOTAL 23.000 KG, CARGA ÚTIL MÁXIMA 16.540 KG, DISTÂNCIA ENTRE EIXOS 4,8 M, POTÊNCIA 256 CV, INCLUSIVE TANQUE DE AÇO PARA TRANSPORTE DE ÁGUA - DEPRECIAÇÃO. AF_10/2025</v>
          </cell>
          <cell r="D2113" t="str">
            <v>H</v>
          </cell>
          <cell r="E2113">
            <v>30.48</v>
          </cell>
          <cell r="F2113">
            <v>0</v>
          </cell>
        </row>
        <row r="2114">
          <cell r="B2114">
            <v>106225</v>
          </cell>
          <cell r="C2114" t="str">
            <v>CAMINHÃO PIPA 14.000 L TRUCADO, PESO BRUTO TOTAL 23.000 KG, CARGA ÚTIL MÁXIMA 16.540 KG, DISTÂNCIA ENTRE EIXOS 4,8 M, POTÊNCIA 256 CV, INCLUSIVE TANQUE DE AÇO PARA TRANSPORTE DE ÁGUA - IMPOSTOS E SEGUROS. AF_10/2025</v>
          </cell>
          <cell r="D2114" t="str">
            <v>H</v>
          </cell>
          <cell r="E2114">
            <v>4.6900000000000004</v>
          </cell>
          <cell r="F2114">
            <v>0</v>
          </cell>
        </row>
        <row r="2115">
          <cell r="B2115">
            <v>106223</v>
          </cell>
          <cell r="C2115" t="str">
            <v>CAMINHÃO PIPA 14.000 L TRUCADO, PESO BRUTO TOTAL 23.000 KG, CARGA ÚTIL MÁXIMA 16.540 KG, DISTÂNCIA ENTRE EIXOS 4,8 M, POTÊNCIA 256 CV, INCLUSIVE TANQUE DE AÇO PARA TRANSPORTE DE ÁGUA - JUROS. AF_10/2025</v>
          </cell>
          <cell r="D2115" t="str">
            <v>H</v>
          </cell>
          <cell r="E2115">
            <v>11.59</v>
          </cell>
          <cell r="F2115">
            <v>0</v>
          </cell>
        </row>
        <row r="2116">
          <cell r="B2116">
            <v>106224</v>
          </cell>
          <cell r="C2116" t="str">
            <v>CAMINHÃO PIPA 14.000 L TRUCADO, PESO BRUTO TOTAL 23.000 KG, CARGA ÚTIL MÁXIMA 16.540 KG, DISTÂNCIA ENTRE EIXOS 4,8 M, POTÊNCIA 256 CV, INCLUSIVE TANQUE DE AÇO PARA TRANSPORTE DE ÁGUA - MANUTENÇÃO. AF_10/2025</v>
          </cell>
          <cell r="D2116" t="str">
            <v>H</v>
          </cell>
          <cell r="E2116">
            <v>53.25</v>
          </cell>
          <cell r="F2116">
            <v>0</v>
          </cell>
        </row>
        <row r="2117">
          <cell r="B2117">
            <v>106226</v>
          </cell>
          <cell r="C2117" t="str">
            <v>CAMINHÃO PIPA 14.000 L TRUCADO, PESO BRUTO TOTAL 23.000 KG, CARGA ÚTIL MÁXIMA 16.540 KG, DISTÂNCIA ENTRE EIXOS 4,8 M, POTÊNCIA 256 CV, INCLUSIVE TANQUE DE AÇO PARA TRANSPORTE DE ÁGUA - MATERIAIS NA OPERAÇÃO. AF_10/2025</v>
          </cell>
          <cell r="D2117" t="str">
            <v>H</v>
          </cell>
          <cell r="E2117">
            <v>159.86000000000001</v>
          </cell>
          <cell r="F2117">
            <v>0</v>
          </cell>
        </row>
        <row r="2118">
          <cell r="B2118">
            <v>91359</v>
          </cell>
          <cell r="C2118" t="str">
            <v>CAMINHÃO PIPA 6.000 L, PESO BRUTO TOTAL 13.000 KG, DISTÂNCIA ENTRE EIXOS 4,80 M, POTÊNCIA 189 CV INCLUSIVE TANQUE DE AÇO PARA TRANSPORTE DE ÁGUA, CAPACIDADE 6 M3 - DEPRECIAÇÃO. AF_06/2014</v>
          </cell>
          <cell r="D2118" t="str">
            <v>H</v>
          </cell>
          <cell r="E2118">
            <v>22.08</v>
          </cell>
          <cell r="F2118">
            <v>0</v>
          </cell>
        </row>
        <row r="2119">
          <cell r="B2119">
            <v>91361</v>
          </cell>
          <cell r="C2119" t="str">
            <v>CAMINHÃO PIPA 6.000 L, PESO BRUTO TOTAL 13.000 KG, DISTÂNCIA ENTRE EIXOS 4,80 M, POTÊNCIA 189 CV INCLUSIVE TANQUE DE AÇO PARA TRANSPORTE DE ÁGUA, CAPACIDADE 6 M3 - IMPOSTOS E SEGUROS. AF_06/2014</v>
          </cell>
          <cell r="D2119" t="str">
            <v>H</v>
          </cell>
          <cell r="E2119">
            <v>3.41</v>
          </cell>
          <cell r="F2119">
            <v>0</v>
          </cell>
        </row>
        <row r="2120">
          <cell r="B2120">
            <v>91360</v>
          </cell>
          <cell r="C2120" t="str">
            <v>CAMINHÃO PIPA 6.000 L, PESO BRUTO TOTAL 13.000 KG, DISTÂNCIA ENTRE EIXOS 4,80 M, POTÊNCIA 189 CV INCLUSIVE TANQUE DE AÇO PARA TRANSPORTE DE ÁGUA, CAPACIDADE 6 M3 - JUROS. AF_06/2014</v>
          </cell>
          <cell r="D2120" t="str">
            <v>H</v>
          </cell>
          <cell r="E2120">
            <v>8.44</v>
          </cell>
          <cell r="F2120">
            <v>0</v>
          </cell>
        </row>
        <row r="2121">
          <cell r="B2121">
            <v>53882</v>
          </cell>
          <cell r="C2121" t="str">
            <v>CAMINHÃO PIPA 6.000 L, PESO BRUTO TOTAL 13.000 KG, DISTÂNCIA ENTRE EIXOS 4,80 M, POTÊNCIA 189 CV INCLUSIVE TANQUE DE AÇO PARA TRANSPORTE DE ÁGUA, CAPACIDADE 6 M3 - MANUTENÇÃO. AF_06/2014</v>
          </cell>
          <cell r="D2121" t="str">
            <v>H</v>
          </cell>
          <cell r="E2121">
            <v>38.770000000000003</v>
          </cell>
          <cell r="F2121">
            <v>0</v>
          </cell>
        </row>
        <row r="2122">
          <cell r="B2122">
            <v>5747</v>
          </cell>
          <cell r="C2122" t="str">
            <v>CAMINHÃO PIPA 6.000 L, PESO BRUTO TOTAL 13.000 KG, DISTÂNCIA ENTRE EIXOS 4,80 M, POTÊNCIA 189 CV INCLUSIVE TANQUE DE AÇO PARA TRANSPORTE DE ÁGUA, CAPACIDADE 6 M3 - MATERIAIS NA OPERAÇÃO. AF_06/2014</v>
          </cell>
          <cell r="D2122" t="str">
            <v>H</v>
          </cell>
          <cell r="E2122">
            <v>160.16</v>
          </cell>
          <cell r="F2122">
            <v>0</v>
          </cell>
        </row>
        <row r="2123">
          <cell r="B2123">
            <v>104699</v>
          </cell>
          <cell r="C2123" t="str">
            <v>CAMINHÃO TANQUE PARA HIDROSSEMEADURA, COM CAPACIDADE DE 8.000 LITROS, INCLUINDO BOMBA PARA LANÇAMENTO COM MOTOR DIESEL COM POTÊNCIA DE 105 CV - DEPRECIAÇÃO. AF_06/2023</v>
          </cell>
          <cell r="D2123" t="str">
            <v>H</v>
          </cell>
          <cell r="E2123">
            <v>0</v>
          </cell>
        </row>
        <row r="2124">
          <cell r="B2124">
            <v>104702</v>
          </cell>
          <cell r="C2124" t="str">
            <v>CAMINHÃO TANQUE PARA HIDROSSEMEADURA, COM CAPACIDADE DE 8.000 LITROS, INCLUINDO BOMBA PARA LANÇAMENTO COM MOTOR DIESEL COM POTÊNCIA DE 105 CV - IMPOSTOS E SEGUROS. AF_06/2023</v>
          </cell>
          <cell r="D2124" t="str">
            <v>H</v>
          </cell>
          <cell r="E2124">
            <v>0</v>
          </cell>
        </row>
        <row r="2125">
          <cell r="B2125">
            <v>104700</v>
          </cell>
          <cell r="C2125" t="str">
            <v>CAMINHÃO TANQUE PARA HIDROSSEMEADURA, COM CAPACIDADE DE 8.000 LITROS, INCLUINDO BOMBA PARA LANÇAMENTO COM MOTOR DIESEL COM POTÊNCIA DE 105 CV - JUROS. AF_06/2023</v>
          </cell>
          <cell r="D2125" t="str">
            <v>H</v>
          </cell>
          <cell r="E2125">
            <v>0</v>
          </cell>
        </row>
        <row r="2126">
          <cell r="B2126">
            <v>104701</v>
          </cell>
          <cell r="C2126" t="str">
            <v>CAMINHÃO TANQUE PARA HIDROSSEMEADURA, COM CAPACIDADE DE 8.000 LITROS, INCLUINDO BOMBA PARA LANÇAMENTO COM MOTOR DIESEL COM POTÊNCIA DE 105 CV - MANUTENÇÃO. AF_06/2023</v>
          </cell>
          <cell r="D2126" t="str">
            <v>H</v>
          </cell>
          <cell r="E2126">
            <v>0</v>
          </cell>
        </row>
        <row r="2127">
          <cell r="B2127">
            <v>104703</v>
          </cell>
          <cell r="C2127" t="str">
            <v>CAMINHÃO TANQUE PARA HIDROSSEMEADURA, COM CAPACIDADE DE 8.000 LITROS, INCLUINDO BOMBA PARA LANÇAMENTO COM MOTOR DIESEL COM POTÊNCIA DE 105 CV - MATERIAIS NA OPERAÇÃO. AF_06/2023</v>
          </cell>
          <cell r="D2127" t="str">
            <v>H</v>
          </cell>
          <cell r="E2127">
            <v>93.68</v>
          </cell>
          <cell r="F2127">
            <v>0</v>
          </cell>
        </row>
        <row r="2128">
          <cell r="B2128">
            <v>91390</v>
          </cell>
          <cell r="C2128" t="str">
            <v>CAMINHÃO TOCO, PBT 14.300 KG, CARGA ÚTIL MÁX. 9.710 KG, DIST. ENTRE EIXOS 3,56 M, POTÊNCIA 185 CV, INCLUSIVE CARROCERIA FIXA ABERTA DE MADEIRA P/ TRANSPORTE GERAL DE CARGA SECA, DIMEN. APROX. 2,50 X 6,50 X 0,50 M - DEPRECIAÇÃO. AF_06/2014</v>
          </cell>
          <cell r="D2128" t="str">
            <v>H</v>
          </cell>
          <cell r="E2128">
            <v>20.13</v>
          </cell>
          <cell r="F2128">
            <v>0</v>
          </cell>
        </row>
        <row r="2129">
          <cell r="B2129">
            <v>91392</v>
          </cell>
          <cell r="C2129" t="str">
            <v>CAMINHÃO TOCO, PBT 14.300 KG, CARGA ÚTIL MÁX. 9.710 KG, DIST. ENTRE EIXOS 3,56 M, POTÊNCIA 185 CV, INCLUSIVE CARROCERIA FIXA ABERTA DE MADEIRA P/ TRANSPORTE GERAL DE CARGA SECA, DIMEN. APROX. 2,50 X 6,50 X 0,50 M - IMPOSTOS E SEGUROS. AF_06/2014</v>
          </cell>
          <cell r="D2129" t="str">
            <v>H</v>
          </cell>
          <cell r="E2129">
            <v>3.24</v>
          </cell>
          <cell r="F2129">
            <v>0</v>
          </cell>
        </row>
        <row r="2130">
          <cell r="B2130">
            <v>91391</v>
          </cell>
          <cell r="C2130" t="str">
            <v>CAMINHÃO TOCO, PBT 14.300 KG, CARGA ÚTIL MÁX. 9.710 KG, DIST. ENTRE EIXOS 3,56 M, POTÊNCIA 185 CV, INCLUSIVE CARROCERIA FIXA ABERTA DE MADEIRA P/ TRANSPORTE GERAL DE CARGA SECA, DIMEN. APROX. 2,50 X 6,50 X 0,50 M - JUROS. AF_06/2014</v>
          </cell>
          <cell r="D2130" t="str">
            <v>H</v>
          </cell>
          <cell r="E2130">
            <v>8.02</v>
          </cell>
          <cell r="F2130">
            <v>0</v>
          </cell>
        </row>
        <row r="2131">
          <cell r="B2131">
            <v>73335</v>
          </cell>
          <cell r="C2131" t="str">
            <v>CAMINHÃO TOCO, PBT 14.300 KG, CARGA ÚTIL MÁX. 9.710 KG, DIST. ENTRE EIXOS 3,56 M, POTÊNCIA 185 CV, INCLUSIVE CARROCERIA FIXA ABERTA DE MADEIRA P/ TRANSPORTE GERAL DE CARGA SECA, DIMEN. APROX. 2,50 X 6,50 X 0,50 M - MANUTENÇÃO. AF_06/2014</v>
          </cell>
          <cell r="D2131" t="str">
            <v>H</v>
          </cell>
          <cell r="E2131">
            <v>36.700000000000003</v>
          </cell>
          <cell r="F2131">
            <v>0</v>
          </cell>
        </row>
        <row r="2132">
          <cell r="B2132">
            <v>73340</v>
          </cell>
          <cell r="C2132" t="str">
            <v>CAMINHÃO TOCO, PBT 14.300 KG, CARGA ÚTIL MÁX. 9.710 KG, DIST. ENTRE EIXOS 3,56 M, POTÊNCIA 185 CV, INCLUSIVE CARROCERIA FIXA ABERTA DE MADEIRA P/ TRANSPORTE GERAL DE CARGA SECA, DIMEN. APROX. 2,50 X 6,50 X 0,50 M - MATERIAIS NA OPERAÇÃO. AF_06/2014</v>
          </cell>
          <cell r="D2132" t="str">
            <v>H</v>
          </cell>
          <cell r="E2132">
            <v>156.77000000000001</v>
          </cell>
          <cell r="F2132">
            <v>0</v>
          </cell>
        </row>
        <row r="2133">
          <cell r="B2133">
            <v>89264</v>
          </cell>
          <cell r="C2133" t="str">
            <v>CAMINHÃO TOCO, PBT 16.000 KG, CARGA ÚTIL MÁX. 10.685 KG, DIST. ENTRE EIXOS 4,8 M, POTÊNCIA 189 CV, INCLUSIVE CARROCERIA FIXA ABERTA DE MADEIRA P/ TRANSPORTE GERAL DE CARGA SECA, DIMEN. APROX. 2,5 X 7,00 X 0,50 M - DEPRECIAÇÃO. AF_06/2014</v>
          </cell>
          <cell r="D2133" t="str">
            <v>H</v>
          </cell>
          <cell r="E2133">
            <v>22.05</v>
          </cell>
          <cell r="F2133">
            <v>0</v>
          </cell>
        </row>
        <row r="2134">
          <cell r="B2134">
            <v>89266</v>
          </cell>
          <cell r="C2134" t="str">
            <v>CAMINHÃO TOCO, PBT 16.000 KG, CARGA ÚTIL MÁX. 10.685 KG, DIST. ENTRE EIXOS 4,8 M, POTÊNCIA 189 CV, INCLUSIVE CARROCERIA FIXA ABERTA DE MADEIRA P/ TRANSPORTE GERAL DE CARGA SECA, DIMEN. APROX. 2,5 X 7,00 X 0,50 M - IMPOSTOS E SEGUROS. AF_06/2014</v>
          </cell>
          <cell r="D2134" t="str">
            <v>H</v>
          </cell>
          <cell r="E2134">
            <v>3.55</v>
          </cell>
          <cell r="F2134">
            <v>0</v>
          </cell>
        </row>
        <row r="2135">
          <cell r="B2135">
            <v>89265</v>
          </cell>
          <cell r="C2135" t="str">
            <v>CAMINHÃO TOCO, PBT 16.000 KG, CARGA ÚTIL MÁX. 10.685 KG, DIST. ENTRE EIXOS 4,8 M, POTÊNCIA 189 CV, INCLUSIVE CARROCERIA FIXA ABERTA DE MADEIRA P/ TRANSPORTE GERAL DE CARGA SECA, DIMEN. APROX. 2,5 X 7,00 X 0,50 M - JUROS. AF_06/2014</v>
          </cell>
          <cell r="D2135" t="str">
            <v>H</v>
          </cell>
          <cell r="E2135">
            <v>8.8000000000000007</v>
          </cell>
          <cell r="F2135">
            <v>0</v>
          </cell>
        </row>
        <row r="2136">
          <cell r="B2136">
            <v>5705</v>
          </cell>
          <cell r="C2136" t="str">
            <v>CAMINHÃO TOCO, PBT 16.000 KG, CARGA ÚTIL MÁX. 10.685 KG, DIST. ENTRE EIXOS 4,8 M, POTÊNCIA 189 CV, INCLUSIVE CARROCERIA FIXA ABERTA DE MADEIRA P/ TRANSPORTE GERAL DE CARGA SECA, DIMEN. APROX. 2,5 X 7,00 X 0,50 M - MANUTENÇÃO. AF_06/2014</v>
          </cell>
          <cell r="D2136" t="str">
            <v>H</v>
          </cell>
          <cell r="E2136">
            <v>40.24</v>
          </cell>
          <cell r="F2136">
            <v>0</v>
          </cell>
        </row>
        <row r="2137">
          <cell r="B2137">
            <v>53797</v>
          </cell>
          <cell r="C2137" t="str">
            <v>CAMINHÃO TOCO, PBT 16.000 KG, CARGA ÚTIL MÁX. 10.685 KG, DIST. ENTRE EIXOS 4,8 M, POTÊNCIA 189 CV, INCLUSIVE CARROCERIA FIXA ABERTA DE MADEIRA P/ TRANSPORTE GERAL DE CARGA SECA, DIMEN. APROX. 2,5 X 7,00 X 0,50 M - MATERIAIS NA OPERAÇÃO. AF_06/2014</v>
          </cell>
          <cell r="D2137" t="str">
            <v>H</v>
          </cell>
          <cell r="E2137">
            <v>117.98</v>
          </cell>
          <cell r="F2137">
            <v>0</v>
          </cell>
        </row>
        <row r="2138">
          <cell r="B2138">
            <v>106327</v>
          </cell>
          <cell r="C2138" t="str">
            <v>CAMINHÃO TOCO, PBT 16.000 KG, CARGA ÚTIL MÁX. 10.830 KG, DIST. ENTRE EIXOS 3,56 M, POTÊNCIA 226 CV, INCLUSIVE PLATAFORMA SOBRE CHASSI, COMPRIMENTO ÚTIL 10 M, LARGURA 2,60 M COM GUINCHO DE ARRASTE E RAMPA COM ACIONAMENTO ELETRO-HIDRÁULICO - DEPRECIAÇÃO. AF_11/2025</v>
          </cell>
          <cell r="D2138" t="str">
            <v>H</v>
          </cell>
          <cell r="E2138">
            <v>0</v>
          </cell>
        </row>
        <row r="2139">
          <cell r="B2139">
            <v>106330</v>
          </cell>
          <cell r="C2139" t="str">
            <v>CAMINHÃO TOCO, PBT 16.000 KG, CARGA ÚTIL MÁX. 10.830 KG, DIST. ENTRE EIXOS 3,56 M, POTÊNCIA 226 CV, INCLUSIVE PLATAFORMA SOBRE CHASSI, COMPRIMENTO ÚTIL 10 M, LARGURA 2,60 M COM GUINCHO DE ARRASTE E RAMPA COM ACIONAMENTO ELETRO-HIDRÁULICO - IMPOSTOS E SEGUROS. AF_11/2025</v>
          </cell>
          <cell r="D2139" t="str">
            <v>H</v>
          </cell>
          <cell r="E2139">
            <v>0</v>
          </cell>
        </row>
        <row r="2140">
          <cell r="B2140">
            <v>106328</v>
          </cell>
          <cell r="C2140" t="str">
            <v>CAMINHÃO TOCO, PBT 16.000 KG, CARGA ÚTIL MÁX. 10.830 KG, DIST. ENTRE EIXOS 3,56 M, POTÊNCIA 226 CV, INCLUSIVE PLATAFORMA SOBRE CHASSI, COMPRIMENTO ÚTIL 10 M, LARGURA 2,60 M COM GUINCHO DE ARRASTE E RAMPA COM ACIONAMENTO ELETRO-HIDRÁULICO - JUROS. AF_11/2025</v>
          </cell>
          <cell r="D2140" t="str">
            <v>H</v>
          </cell>
          <cell r="E2140">
            <v>0</v>
          </cell>
        </row>
        <row r="2141">
          <cell r="B2141">
            <v>106329</v>
          </cell>
          <cell r="C2141" t="str">
            <v>CAMINHÃO TOCO, PBT 16.000 KG, CARGA ÚTIL MÁX. 10.830 KG, DIST. ENTRE EIXOS 3,56 M, POTÊNCIA 226 CV, INCLUSIVE PLATAFORMA SOBRE CHASSI, COMPRIMENTO ÚTIL 10 M, LARGURA 2,60 M COM GUINCHO DE ARRASTE E RAMPA COM ACIONAMENTO ELETRO-HIDRÁULICO - MANUTENÇÃO. AF_11/2025</v>
          </cell>
          <cell r="D2141" t="str">
            <v>H</v>
          </cell>
          <cell r="E2141">
            <v>0</v>
          </cell>
        </row>
        <row r="2142">
          <cell r="B2142">
            <v>106331</v>
          </cell>
          <cell r="C2142"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D2142" t="str">
            <v>H</v>
          </cell>
          <cell r="E2142">
            <v>100.77</v>
          </cell>
          <cell r="F2142">
            <v>0</v>
          </cell>
        </row>
        <row r="2143">
          <cell r="B2143">
            <v>106227</v>
          </cell>
          <cell r="C2143" t="str">
            <v>CAMINHÃO TOCO, PBT 23.000 KG, CARGA ÚTIL MÁX. 16.540 KG, DIST. ENTRE EIXOS 4,8 M, POTÊNCIA 256 CV, INCLUSIVE CARROCERIA FIXA ABERTA DE MADEIRA P/ TRANSPORTE GERAL DE CARGA SECA, DIMEN. APROX. 2,6 X 12,50 X 0,50 M - DEPRECIAÇÃO. AF_10/2025</v>
          </cell>
          <cell r="D2143" t="str">
            <v>H</v>
          </cell>
          <cell r="E2143">
            <v>31.63</v>
          </cell>
          <cell r="F2143">
            <v>0</v>
          </cell>
        </row>
        <row r="2144">
          <cell r="B2144">
            <v>106230</v>
          </cell>
          <cell r="C2144" t="str">
            <v>CAMINHÃO TOCO, PBT 23.000 KG, CARGA ÚTIL MÁX. 16.540 KG, DIST. ENTRE EIXOS 4,8 M, POTÊNCIA 256 CV, INCLUSIVE CARROCERIA FIXA ABERTA DE MADEIRA P/ TRANSPORTE GERAL DE CARGA SECA, DIMEN. APROX. 2,6 X 12,50 X 0,50 M - IMPOSTOS E SEGUROS. AF_10/2025</v>
          </cell>
          <cell r="D2144" t="str">
            <v>H</v>
          </cell>
          <cell r="E2144">
            <v>5.25</v>
          </cell>
          <cell r="F2144">
            <v>0</v>
          </cell>
        </row>
        <row r="2145">
          <cell r="B2145">
            <v>106228</v>
          </cell>
          <cell r="C2145" t="str">
            <v>CAMINHÃO TOCO, PBT 23.000 KG, CARGA ÚTIL MÁX. 16.540 KG, DIST. ENTRE EIXOS 4,8 M, POTÊNCIA 256 CV, INCLUSIVE CARROCERIA FIXA ABERTA DE MADEIRA P/ TRANSPORTE GERAL DE CARGA SECA, DIMEN. APROX. 2,6 X 12,50 X 0,50 M - JUROS. AF_10/2025</v>
          </cell>
          <cell r="D2145" t="str">
            <v>H</v>
          </cell>
          <cell r="E2145">
            <v>12.99</v>
          </cell>
          <cell r="F2145">
            <v>0</v>
          </cell>
        </row>
        <row r="2146">
          <cell r="B2146">
            <v>106229</v>
          </cell>
          <cell r="C2146" t="str">
            <v>CAMINHÃO TOCO, PBT 23.000 KG, CARGA ÚTIL MÁX. 16.540 KG, DIST. ENTRE EIXOS 4,8 M, POTÊNCIA 256 CV, INCLUSIVE CARROCERIA FIXA ABERTA DE MADEIRA P/ TRANSPORTE GERAL DE CARGA SECA, DIMEN. APROX. 2,6 X 12,50 X 0,50 M - MANUTENÇÃO. AF_10/2025</v>
          </cell>
          <cell r="D2146" t="str">
            <v>H</v>
          </cell>
          <cell r="E2146">
            <v>59.3</v>
          </cell>
          <cell r="F2146">
            <v>0</v>
          </cell>
        </row>
        <row r="2147">
          <cell r="B2147">
            <v>106231</v>
          </cell>
          <cell r="C2147" t="str">
            <v>CAMINHÃO TOCO, PBT 23.000 KG, CARGA ÚTIL MÁX. 16.540 KG, DIST. ENTRE EIXOS 4,8 M, POTÊNCIA 256 CV, INCLUSIVE CARROCERIA FIXA ABERTA DE MADEIRA P/ TRANSPORTE GERAL DE CARGA SECA, DIMEN. APROX. 2,6 X 12,50 X 0,50 M - MATERIAIS NA OPERAÇÃO. AF_10/2025</v>
          </cell>
          <cell r="D2147" t="str">
            <v>H</v>
          </cell>
          <cell r="E2147">
            <v>159.86000000000001</v>
          </cell>
          <cell r="F2147">
            <v>0</v>
          </cell>
        </row>
        <row r="2148">
          <cell r="B2148">
            <v>106342</v>
          </cell>
          <cell r="C2148" t="str">
            <v>CAMINHÃO TOCO, PBT 23.000 KG, CARGA ÚTIL MÁX. 16.540 KG, DIST. ENTRE EIXOS 4,80 M, POTÊNCIA 256 CV, INCLUSIVE PLATAFORMA GUINCHO-SOCORRO, COMPRIMENTO ÚTIL 10 M, LARGURA 2,60 M COM GUINCHO DE ARRASTE BASCULANTE - DEPRECIAÇÃO. AF_11/2025</v>
          </cell>
          <cell r="D2148" t="str">
            <v>H</v>
          </cell>
          <cell r="E2148">
            <v>0</v>
          </cell>
        </row>
        <row r="2149">
          <cell r="B2149">
            <v>106345</v>
          </cell>
          <cell r="C2149" t="str">
            <v>CAMINHÃO TOCO, PBT 23.000 KG, CARGA ÚTIL MÁX. 16.540 KG, DIST. ENTRE EIXOS 4,80 M, POTÊNCIA 256 CV, INCLUSIVE PLATAFORMA GUINCHO-SOCORRO, COMPRIMENTO ÚTIL 10 M, LARGURA 2,60 M COM GUINCHO DE ARRASTE BASCULANTE - IMPOSTOS E SEGUROS. AF_11/2025</v>
          </cell>
          <cell r="D2149" t="str">
            <v>H</v>
          </cell>
          <cell r="E2149">
            <v>0</v>
          </cell>
        </row>
        <row r="2150">
          <cell r="B2150">
            <v>106343</v>
          </cell>
          <cell r="C2150" t="str">
            <v>CAMINHÃO TOCO, PBT 23.000 KG, CARGA ÚTIL MÁX. 16.540 KG, DIST. ENTRE EIXOS 4,80 M, POTÊNCIA 256 CV, INCLUSIVE PLATAFORMA GUINCHO-SOCORRO, COMPRIMENTO ÚTIL 10 M, LARGURA 2,60 M COM GUINCHO DE ARRASTE BASCULANTE - JUROS. AF_11/2025</v>
          </cell>
          <cell r="D2150" t="str">
            <v>H</v>
          </cell>
          <cell r="E2150">
            <v>0</v>
          </cell>
        </row>
        <row r="2151">
          <cell r="B2151">
            <v>106344</v>
          </cell>
          <cell r="C2151" t="str">
            <v>CAMINHÃO TOCO, PBT 23.000 KG, CARGA ÚTIL MÁX. 16.540 KG, DIST. ENTRE EIXOS 4,80 M, POTÊNCIA 256 CV, INCLUSIVE PLATAFORMA GUINCHO-SOCORRO, COMPRIMENTO ÚTIL 10 M, LARGURA 2,60 M COM GUINCHO DE ARRASTE BASCULANTE - MANUTENÇÃO. AF_11/2025</v>
          </cell>
          <cell r="D2151" t="str">
            <v>H</v>
          </cell>
          <cell r="E2151">
            <v>0</v>
          </cell>
        </row>
        <row r="2152">
          <cell r="B2152">
            <v>106346</v>
          </cell>
          <cell r="C2152" t="str">
            <v>CAMINHÃO TOCO, PBT 23.000 KG, CARGA ÚTIL MÁX. 16.540 KG, DIST. ENTRE EIXOS 4,80 M, POTÊNCIA 256 CV, INCLUSIVE PLATAFORMA GUINCHO-SOCORRO, COMPRIMENTO ÚTIL 10 M, LARGURA 2,60 M COM GUINCHO DE ARRASTE BASCULANTE - MATERIAIS NA OPERAÇÃO. AF_11/2025</v>
          </cell>
          <cell r="D2152" t="str">
            <v>H</v>
          </cell>
          <cell r="E2152">
            <v>159.86000000000001</v>
          </cell>
          <cell r="F2152">
            <v>0</v>
          </cell>
        </row>
        <row r="2153">
          <cell r="B2153">
            <v>106332</v>
          </cell>
          <cell r="C2153" t="str">
            <v>CAMINHÃO TOCO, PBT 23.000 KG, CARGA ÚTIL MÁX. 16.540 KG, DIST. ENTRE EIXOS 4,80 M, POTÊNCIA 256 CV, INCLUSIVE PLATAFORMA SOBRE CHASSI, COMPRIMENTO ÚTIL 10 M, LARGURA 2,60 M COM GUINCHO DE ARRASTE E RAMPA COM ACIONAMENTO ELETRO-HIDRÁULICO - DEPRECIAÇÃO. AF_11/2025</v>
          </cell>
          <cell r="D2153" t="str">
            <v>H</v>
          </cell>
          <cell r="E2153">
            <v>0</v>
          </cell>
        </row>
        <row r="2154">
          <cell r="B2154">
            <v>106335</v>
          </cell>
          <cell r="C2154" t="str">
            <v>CAMINHÃO TOCO, PBT 23.000 KG, CARGA ÚTIL MÁX. 16.540 KG, DIST. ENTRE EIXOS 4,80 M, POTÊNCIA 256 CV, INCLUSIVE PLATAFORMA SOBRE CHASSI, COMPRIMENTO ÚTIL 10 M, LARGURA 2,60 M COM GUINCHO DE ARRASTE E RAMPA COM ACIONAMENTO ELETRO-HIDRÁULICO - IMPOSTOS E SEGUROS. AF_11/2025</v>
          </cell>
          <cell r="D2154" t="str">
            <v>H</v>
          </cell>
          <cell r="E2154">
            <v>0</v>
          </cell>
        </row>
        <row r="2155">
          <cell r="B2155">
            <v>106333</v>
          </cell>
          <cell r="C2155" t="str">
            <v>CAMINHÃO TOCO, PBT 23.000 KG, CARGA ÚTIL MÁX. 16.540 KG, DIST. ENTRE EIXOS 4,80 M, POTÊNCIA 256 CV, INCLUSIVE PLATAFORMA SOBRE CHASSI, COMPRIMENTO ÚTIL 10 M, LARGURA 2,60 M COM GUINCHO DE ARRASTE E RAMPA COM ACIONAMENTO ELETRO-HIDRÁULICO - JUROS. AF_11/2025</v>
          </cell>
          <cell r="D2155" t="str">
            <v>H</v>
          </cell>
          <cell r="E2155">
            <v>0</v>
          </cell>
        </row>
        <row r="2156">
          <cell r="B2156">
            <v>106334</v>
          </cell>
          <cell r="C2156" t="str">
            <v>CAMINHÃO TOCO, PBT 23.000 KG, CARGA ÚTIL MÁX. 16.540 KG, DIST. ENTRE EIXOS 4,80 M, POTÊNCIA 256 CV, INCLUSIVE PLATAFORMA SOBRE CHASSI, COMPRIMENTO ÚTIL 10 M, LARGURA 2,60 M COM GUINCHO DE ARRASTE E RAMPA COM ACIONAMENTO ELETRO-HIDRÁULICO - MANUTENÇÃO. AF_11/2025</v>
          </cell>
          <cell r="D2156" t="str">
            <v>H</v>
          </cell>
          <cell r="E2156">
            <v>0</v>
          </cell>
        </row>
        <row r="2157">
          <cell r="B2157">
            <v>106336</v>
          </cell>
          <cell r="C2157"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D2157" t="str">
            <v>H</v>
          </cell>
          <cell r="E2157">
            <v>159.86000000000001</v>
          </cell>
          <cell r="F2157">
            <v>0</v>
          </cell>
        </row>
        <row r="2158">
          <cell r="B2158">
            <v>91354</v>
          </cell>
          <cell r="C2158" t="str">
            <v>CAMINHÃO TOCO, PESO BRUTO TOTAL 14.300 KG, CARGA ÚTIL MÁXIMA 9590 KG, DISTÂNCIA ENTRE EIXOS 4,76 M, POTÊNCIA 185 CV (NÃO INCLUI CARROCERIA) - DEPRECIAÇÃO. AF_06/2014</v>
          </cell>
          <cell r="D2158" t="str">
            <v>H</v>
          </cell>
          <cell r="E2158">
            <v>18.48</v>
          </cell>
          <cell r="F2158">
            <v>0</v>
          </cell>
        </row>
        <row r="2159">
          <cell r="B2159">
            <v>91356</v>
          </cell>
          <cell r="C2159" t="str">
            <v>CAMINHÃO TOCO, PESO BRUTO TOTAL 14.300 KG, CARGA ÚTIL MÁXIMA 9590 KG, DISTÂNCIA ENTRE EIXOS 4,76 M, POTÊNCIA 185 CV (NÃO INCLUI CARROCERIA) - IMPOSTOS E SEGUROS. AF_06/2014</v>
          </cell>
          <cell r="D2159" t="str">
            <v>H</v>
          </cell>
          <cell r="E2159">
            <v>3.07</v>
          </cell>
          <cell r="F2159">
            <v>0</v>
          </cell>
        </row>
        <row r="2160">
          <cell r="B2160">
            <v>91355</v>
          </cell>
          <cell r="C2160" t="str">
            <v>CAMINHÃO TOCO, PESO BRUTO TOTAL 14.300 KG, CARGA ÚTIL MÁXIMA 9590 KG, DISTÂNCIA ENTRE EIXOS 4,76 M, POTÊNCIA 185 CV (NÃO INCLUI CARROCERIA) - JUROS. AF_06/2014</v>
          </cell>
          <cell r="D2160" t="str">
            <v>H</v>
          </cell>
          <cell r="E2160">
            <v>7.59</v>
          </cell>
          <cell r="F2160">
            <v>0</v>
          </cell>
        </row>
        <row r="2161">
          <cell r="B2161">
            <v>5751</v>
          </cell>
          <cell r="C2161" t="str">
            <v>CAMINHÃO TOCO, PESO BRUTO TOTAL 14.300 KG, CARGA ÚTIL MÁXIMA 9590 KG, DISTÂNCIA ENTRE EIXOS 4,76 M, POTÊNCIA 185 CV (NÃO INCLUI CARROCERIA) - MANUTENÇÃO. AF_06/2014</v>
          </cell>
          <cell r="D2161" t="str">
            <v>H</v>
          </cell>
          <cell r="E2161">
            <v>34.64</v>
          </cell>
          <cell r="F2161">
            <v>0</v>
          </cell>
        </row>
        <row r="2162">
          <cell r="B2162">
            <v>53827</v>
          </cell>
          <cell r="C2162" t="str">
            <v>CAMINHÃO TOCO, PESO BRUTO TOTAL 14.300 KG, CARGA ÚTIL MÁXIMA 9590 KG, DISTÂNCIA ENTRE EIXOS 4,76 M, POTÊNCIA 185 CV (NÃO INCLUI CARROCERIA) - MATERIAIS NA OPERAÇÃO. AF_06/2014</v>
          </cell>
          <cell r="D2162" t="str">
            <v>H</v>
          </cell>
          <cell r="E2162">
            <v>115.5</v>
          </cell>
          <cell r="F2162">
            <v>0</v>
          </cell>
        </row>
        <row r="2163">
          <cell r="B2163">
            <v>91375</v>
          </cell>
          <cell r="C2163" t="str">
            <v>CAMINHÃO TOCO, PESO BRUTO TOTAL 16.000 KG, CARGA ÚTIL MÁXIMA DE 10.685 KG, DISTÂNCIA ENTRE EIXOS 4,80 M, POTÊNCIA 189 CV EXCLUSIVE CARROCERIA - DEPRECIAÇÃO. AF_06/2014</v>
          </cell>
          <cell r="D2163" t="str">
            <v>H</v>
          </cell>
          <cell r="E2163">
            <v>20.29</v>
          </cell>
          <cell r="F2163">
            <v>0</v>
          </cell>
        </row>
        <row r="2164">
          <cell r="B2164">
            <v>91377</v>
          </cell>
          <cell r="C2164" t="str">
            <v>CAMINHÃO TOCO, PESO BRUTO TOTAL 16.000 KG, CARGA ÚTIL MÁXIMA DE 10.685 KG, DISTÂNCIA ENTRE EIXOS 4,80 M, POTÊNCIA 189 CV EXCLUSIVE CARROCERIA - IMPOSTOS E SEGUROS. AF_06/2014</v>
          </cell>
          <cell r="D2164" t="str">
            <v>H</v>
          </cell>
          <cell r="E2164">
            <v>3.37</v>
          </cell>
          <cell r="F2164">
            <v>0</v>
          </cell>
        </row>
        <row r="2165">
          <cell r="B2165">
            <v>91376</v>
          </cell>
          <cell r="C2165" t="str">
            <v>CAMINHÃO TOCO, PESO BRUTO TOTAL 16.000 KG, CARGA ÚTIL MÁXIMA DE 10.685 KG, DISTÂNCIA ENTRE EIXOS 4,80 M, POTÊNCIA 189 CV EXCLUSIVE CARROCERIA - JUROS. AF_06/2014</v>
          </cell>
          <cell r="D2165" t="str">
            <v>H</v>
          </cell>
          <cell r="E2165">
            <v>8.34</v>
          </cell>
          <cell r="F2165">
            <v>0</v>
          </cell>
        </row>
        <row r="2166">
          <cell r="B2166">
            <v>5754</v>
          </cell>
          <cell r="C2166" t="str">
            <v>CAMINHÃO TOCO, PESO BRUTO TOTAL 16.000 KG, CARGA ÚTIL MÁXIMA DE 10.685 KG, DISTÂNCIA ENTRE EIXOS 4,80 M, POTÊNCIA 189 CV EXCLUSIVE CARROCERIA - MANUTENÇÃO. AF_06/2014</v>
          </cell>
          <cell r="D2166" t="str">
            <v>H</v>
          </cell>
          <cell r="E2166">
            <v>38.03</v>
          </cell>
          <cell r="F2166">
            <v>0</v>
          </cell>
        </row>
        <row r="2167">
          <cell r="B2167">
            <v>53829</v>
          </cell>
          <cell r="C2167" t="str">
            <v>CAMINHÃO TOCO, PESO BRUTO TOTAL 16.000 KG, CARGA ÚTIL MÁXIMA DE 10.685 KG, DISTÂNCIA ENTRE EIXOS 4,80 M, POTÊNCIA 189 CV EXCLUSIVE CARROCERIA - MATERIAIS NA OPERAÇÃO. AF_06/2014</v>
          </cell>
          <cell r="D2167" t="str">
            <v>H</v>
          </cell>
          <cell r="E2167">
            <v>117.98</v>
          </cell>
          <cell r="F2167">
            <v>0</v>
          </cell>
        </row>
        <row r="2168">
          <cell r="B2168">
            <v>91026</v>
          </cell>
          <cell r="C2168" t="str">
            <v>CAMINHÃO TRUCADO (C/ TERCEIRO EIXO) ELETRÔNICO - POTÊNCIA 231CV - PBT = 22000KG - DIST. ENTRE EIXOS 5170 MM - INCLUI CARROCERIA FIXA ABERTA DE MADEIRA - DEPRECIAÇÃO. AF_06/2015</v>
          </cell>
          <cell r="D2168" t="str">
            <v>H</v>
          </cell>
          <cell r="E2168">
            <v>25.9</v>
          </cell>
          <cell r="F2168">
            <v>0</v>
          </cell>
        </row>
        <row r="2169">
          <cell r="B2169">
            <v>91028</v>
          </cell>
          <cell r="C2169" t="str">
            <v>CAMINHÃO TRUCADO (C/ TERCEIRO EIXO) ELETRÔNICO - POTÊNCIA 231CV - PBT = 22000KG - DIST. ENTRE EIXOS 5170 MM - INCLUI CARROCERIA FIXA ABERTA DE MADEIRA - IMPOSTOS E SEGUROS. AF_06/2015</v>
          </cell>
          <cell r="D2169" t="str">
            <v>H</v>
          </cell>
          <cell r="E2169">
            <v>4.2</v>
          </cell>
          <cell r="F2169">
            <v>0</v>
          </cell>
        </row>
        <row r="2170">
          <cell r="B2170">
            <v>91027</v>
          </cell>
          <cell r="C2170" t="str">
            <v>CAMINHÃO TRUCADO (C/ TERCEIRO EIXO) ELETRÔNICO - POTÊNCIA 231CV - PBT = 22000KG - DIST. ENTRE EIXOS 5170 MM - INCLUI CARROCERIA FIXA ABERTA DE MADEIRA - JUROS. AF_06/2015</v>
          </cell>
          <cell r="D2170" t="str">
            <v>H</v>
          </cell>
          <cell r="E2170">
            <v>10.39</v>
          </cell>
          <cell r="F2170">
            <v>0</v>
          </cell>
        </row>
        <row r="2171">
          <cell r="B2171">
            <v>91029</v>
          </cell>
          <cell r="C2171" t="str">
            <v>CAMINHÃO TRUCADO (C/ TERCEIRO EIXO) ELETRÔNICO - POTÊNCIA 231CV - PBT = 22000KG - DIST. ENTRE EIXOS 5170 MM - INCLUI CARROCERIA FIXA ABERTA DE MADEIRA - MANUTENÇÃO. AF_06/2015</v>
          </cell>
          <cell r="D2171" t="str">
            <v>H</v>
          </cell>
          <cell r="E2171">
            <v>47.52</v>
          </cell>
          <cell r="F2171">
            <v>0</v>
          </cell>
        </row>
        <row r="2172">
          <cell r="B2172">
            <v>91030</v>
          </cell>
          <cell r="C2172" t="str">
            <v>CAMINHÃO TRUCADO (C/ TERCEIRO EIXO) ELETRÔNICO - POTÊNCIA 231CV - PBT = 22000KG - DIST. ENTRE EIXOS 5170 MM - INCLUI CARROCERIA FIXA ABERTA DE MADEIRA - MATERIAIS NA OPERAÇÃO. AF_06/2015</v>
          </cell>
          <cell r="D2172" t="str">
            <v>H</v>
          </cell>
          <cell r="E2172">
            <v>148.59</v>
          </cell>
          <cell r="F2172">
            <v>0</v>
          </cell>
        </row>
        <row r="2173">
          <cell r="B2173">
            <v>106237</v>
          </cell>
          <cell r="C2173" t="str">
            <v>CAVALO MECÂNICO TRAÇÃO 6X2, PBT COMBINADO 56.000 KG, CAPACIDADE MÁX. TRAÇÃO 66.000 KG, POTÊNCIA 360 CV, INCLUSIVE CARROCERIA FIXA ABERTA DE MADEIRA P/ TRANSPORTE GERAL DE CARGA SECA, DIMEN. APROX. 2,6 X 14,50 X 0,50 M - DEPRECIAÇÃO. AF_10/2025</v>
          </cell>
          <cell r="D2173" t="str">
            <v>H</v>
          </cell>
          <cell r="E2173">
            <v>0</v>
          </cell>
        </row>
        <row r="2174">
          <cell r="B2174">
            <v>106240</v>
          </cell>
          <cell r="C2174" t="str">
            <v>CAVALO MECÂNICO TRAÇÃO 6X2, PBT COMBINADO 56.000 KG, CAPACIDADE MÁX. TRAÇÃO 66.000 KG, POTÊNCIA 360 CV, INCLUSIVE CARROCERIA FIXA ABERTA DE MADEIRA P/ TRANSPORTE GERAL DE CARGA SECA, DIMEN. APROX. 2,6 X 14,50 X 0,50 M - IMPOSTOS E SEGUROS. AF_10/2025</v>
          </cell>
          <cell r="D2174" t="str">
            <v>H</v>
          </cell>
          <cell r="E2174">
            <v>0</v>
          </cell>
        </row>
        <row r="2175">
          <cell r="B2175">
            <v>106238</v>
          </cell>
          <cell r="C2175" t="str">
            <v>CAVALO MECÂNICO TRAÇÃO 6X2, PBT COMBINADO 56.000 KG, CAPACIDADE MÁX. TRAÇÃO 66.000 KG, POTÊNCIA 360 CV, INCLUSIVE CARROCERIA FIXA ABERTA DE MADEIRA P/ TRANSPORTE GERAL DE CARGA SECA, DIMEN. APROX. 2,6 X 14,50 X 0,50 M - JUROS. AF_10/2025</v>
          </cell>
          <cell r="D2175" t="str">
            <v>H</v>
          </cell>
          <cell r="E2175">
            <v>0</v>
          </cell>
        </row>
        <row r="2176">
          <cell r="B2176">
            <v>106239</v>
          </cell>
          <cell r="C2176" t="str">
            <v>CAVALO MECÂNICO TRAÇÃO 6X2, PBT COMBINADO 56.000 KG, CAPACIDADE MÁX. TRAÇÃO 66.000 KG, POTÊNCIA 360 CV, INCLUSIVE CARROCERIA FIXA ABERTA DE MADEIRA P/ TRANSPORTE GERAL DE CARGA SECA, DIMEN. APROX. 2,6 X 14,50 X 0,50 M - MANUTENÇÃO. AF_10/2025</v>
          </cell>
          <cell r="D2176" t="str">
            <v>H</v>
          </cell>
          <cell r="E2176">
            <v>0</v>
          </cell>
        </row>
        <row r="2177">
          <cell r="B2177">
            <v>106241</v>
          </cell>
          <cell r="C2177" t="str">
            <v>CAVALO MECÂNICO TRAÇÃO 6X2, PBT COMBINADO 56.000 KG, CAPACIDADE MÁX. TRAÇÃO 66.000 KG, POTÊNCIA 360 CV, INCLUSIVE CARROCERIA FIXA ABERTA DE MADEIRA P/ TRANSPORTE GERAL DE CARGA SECA, DIMEN. APROX. 2,6 X 14,50 X 0,50 M - MATERIAIS NA OPERAÇÃO. AF_10/2025</v>
          </cell>
          <cell r="D2177" t="str">
            <v>H</v>
          </cell>
          <cell r="E2177">
            <v>224.76</v>
          </cell>
          <cell r="F2177">
            <v>0</v>
          </cell>
        </row>
        <row r="2178">
          <cell r="B2178">
            <v>106352</v>
          </cell>
          <cell r="C2178" t="str">
            <v>CAVALO MECÂNICO TRAÇÃO 6X2, PBT COMBINADO 56.000 KG, CAPACIDADE MÁX. TRAÇÃO 66.000 KG, POTÊNCIA 360 CV, INCLUSIVE PRANCHA REBAIXADA 3 EIXOS, DIMENSÕES *17,33 X 3,00* M, COM RAMPA DE ACIONAMENTO HIDRÁULICO - DEPRECIAÇÃO. AF_11/2025</v>
          </cell>
          <cell r="D2178" t="str">
            <v>H</v>
          </cell>
          <cell r="E2178">
            <v>0</v>
          </cell>
        </row>
        <row r="2179">
          <cell r="B2179">
            <v>106355</v>
          </cell>
          <cell r="C2179" t="str">
            <v>CAVALO MECÂNICO TRAÇÃO 6X2, PBT COMBINADO 56.000 KG, CAPACIDADE MÁX. TRAÇÃO 66.000 KG, POTÊNCIA 360 CV, INCLUSIVE PRANCHA REBAIXADA 3 EIXOS, DIMENSÕES *17,33 X 3,00* M, COM RAMPA DE ACIONAMENTO HIDRÁULICO - IMPOSTOS E SEGUROS. AF_11/2025</v>
          </cell>
          <cell r="D2179" t="str">
            <v>H</v>
          </cell>
          <cell r="E2179">
            <v>0</v>
          </cell>
        </row>
        <row r="2180">
          <cell r="B2180">
            <v>106353</v>
          </cell>
          <cell r="C2180" t="str">
            <v>CAVALO MECÂNICO TRAÇÃO 6X2, PBT COMBINADO 56.000 KG, CAPACIDADE MÁX. TRAÇÃO 66.000 KG, POTÊNCIA 360 CV, INCLUSIVE PRANCHA REBAIXADA 3 EIXOS, DIMENSÕES *17,33 X 3,00* M, COM RAMPA DE ACIONAMENTO HIDRÁULICO - JUROS. AF_11/2025</v>
          </cell>
          <cell r="D2180" t="str">
            <v>H</v>
          </cell>
          <cell r="E2180">
            <v>0</v>
          </cell>
        </row>
        <row r="2181">
          <cell r="B2181">
            <v>106354</v>
          </cell>
          <cell r="C2181" t="str">
            <v>CAVALO MECÂNICO TRAÇÃO 6X2, PBT COMBINADO 56.000 KG, CAPACIDADE MÁX. TRAÇÃO 66.000 KG, POTÊNCIA 360 CV, INCLUSIVE PRANCHA REBAIXADA 3 EIXOS, DIMENSÕES *17,33 X 3,00* M, COM RAMPA DE ACIONAMENTO HIDRÁULICO - MANUTENÇÃO. AF_11/2025</v>
          </cell>
          <cell r="D2181" t="str">
            <v>H</v>
          </cell>
          <cell r="E2181">
            <v>0</v>
          </cell>
        </row>
        <row r="2182">
          <cell r="B2182">
            <v>106356</v>
          </cell>
          <cell r="C2182" t="str">
            <v>CAVALO MECÂNICO TRAÇÃO 6X2, PBT COMBINADO 56.000 KG, CAPACIDADE MÁX. TRAÇÃO 66.000 KG, POTÊNCIA 360 CV, INCLUSIVE PRANCHA REBAIXADA 3 EIXOS, DIMENSÕES *17,33 X 3,00* M, COM RAMPA DE ACIONAMENTO HIDRÁULICO - MATERIAIS NA OPERAÇÃO. AF_11/2025</v>
          </cell>
          <cell r="D2182" t="str">
            <v>H</v>
          </cell>
          <cell r="E2182">
            <v>224.76</v>
          </cell>
          <cell r="F2182">
            <v>0</v>
          </cell>
        </row>
        <row r="2183">
          <cell r="B2183">
            <v>106357</v>
          </cell>
          <cell r="C2183" t="str">
            <v>CAVALO MECÂNICO TRAÇÃO 6X2, PBT COMBINADO 56.000 KG, CAPACIDADE MÁX. TRAÇÃO 66.000 KG, POTÊNCIA 360 CV, INCLUSIVE PRANCHA RETA 3 EIXOS, COMPRIMENTO ÚTIL 11,3 M, PESCOÇO DE 3,5 M, LARGURA 3,00 M, COM RAMPA DE ACIONAMENTO HIDRÁULICO - DEPRECIAÇÃO. AF_11/2025</v>
          </cell>
          <cell r="D2183" t="str">
            <v>H</v>
          </cell>
          <cell r="E2183">
            <v>0</v>
          </cell>
        </row>
        <row r="2184">
          <cell r="B2184">
            <v>106360</v>
          </cell>
          <cell r="C2184" t="str">
            <v>CAVALO MECÂNICO TRAÇÃO 6X2, PBT COMBINADO 56.000 KG, CAPACIDADE MÁX. TRAÇÃO 66.000 KG, POTÊNCIA 360 CV, INCLUSIVE PRANCHA RETA 3 EIXOS, COMPRIMENTO ÚTIL 11,3 M, PESCOÇO DE 3,5 M, LARGURA 3,00 M, COM RAMPA DE ACIONAMENTO HIDRÁULICO - IMPOSTOS E SEGUROS. AF_11/2025</v>
          </cell>
          <cell r="D2184" t="str">
            <v>H</v>
          </cell>
          <cell r="E2184">
            <v>0</v>
          </cell>
        </row>
        <row r="2185">
          <cell r="B2185">
            <v>106358</v>
          </cell>
          <cell r="C2185" t="str">
            <v>CAVALO MECÂNICO TRAÇÃO 6X2, PBT COMBINADO 56.000 KG, CAPACIDADE MÁX. TRAÇÃO 66.000 KG, POTÊNCIA 360 CV, INCLUSIVE PRANCHA RETA 3 EIXOS, COMPRIMENTO ÚTIL 11,3 M, PESCOÇO DE 3,5 M, LARGURA 3,00 M, COM RAMPA DE ACIONAMENTO HIDRÁULICO - JUROS. AF_11/2025</v>
          </cell>
          <cell r="D2185" t="str">
            <v>H</v>
          </cell>
          <cell r="E2185">
            <v>0</v>
          </cell>
        </row>
        <row r="2186">
          <cell r="B2186">
            <v>106359</v>
          </cell>
          <cell r="C2186" t="str">
            <v>CAVALO MECÂNICO TRAÇÃO 6X2, PBT COMBINADO 56.000 KG, CAPACIDADE MÁX. TRAÇÃO 66.000 KG, POTÊNCIA 360 CV, INCLUSIVE PRANCHA RETA 3 EIXOS, COMPRIMENTO ÚTIL 11,3 M, PESCOÇO DE 3,5 M, LARGURA 3,00 M, COM RAMPA DE ACIONAMENTO HIDRÁULICO - MANUTENÇÃO. AF_11/2025</v>
          </cell>
          <cell r="D2186" t="str">
            <v>H</v>
          </cell>
          <cell r="E2186">
            <v>0</v>
          </cell>
        </row>
        <row r="2187">
          <cell r="B2187">
            <v>106361</v>
          </cell>
          <cell r="C2187"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D2187" t="str">
            <v>H</v>
          </cell>
          <cell r="E2187">
            <v>305.06</v>
          </cell>
          <cell r="F2187">
            <v>0</v>
          </cell>
        </row>
        <row r="2188">
          <cell r="B2188">
            <v>102812</v>
          </cell>
          <cell r="C2188" t="str">
            <v>CENTRAL DE LAMA BENTONÍTICA (DEPÓSITO DE BENTONITA, MISTURADOR DE ALTA TURBULÊNCIA, SILOS DE ARMAZENAMENTO DE LAMA E ÁGUA, LABORATÓRIO DE CONTROLE DE QUALIDADE DA LAMA) - DEPRECIAÇÃO. AF_04/2019</v>
          </cell>
          <cell r="D2188" t="str">
            <v>H</v>
          </cell>
          <cell r="E2188">
            <v>0</v>
          </cell>
        </row>
        <row r="2189">
          <cell r="B2189">
            <v>102813</v>
          </cell>
          <cell r="C2189" t="str">
            <v>CENTRAL DE LAMA BENTONÍTICA (DEPÓSITO DE BENTONITA, MISTURADOR DE ALTA TURBULÊNCIA, SILOS DE ARMAZENAMENTO DE LAMA E ÁGUA, LABORATÓRIO DE CONTROLE DE QUALIDADE DA LAMA) - JUROS. AF_04/2019</v>
          </cell>
          <cell r="D2189" t="str">
            <v>H</v>
          </cell>
          <cell r="E2189">
            <v>0</v>
          </cell>
        </row>
        <row r="2190">
          <cell r="B2190">
            <v>102814</v>
          </cell>
          <cell r="C2190" t="str">
            <v>CENTRAL DE LAMA BENTONÍTICA (DEPÓSITO DE BENTONITA, MISTURADOR DE ALTA TURBULÊNCIA, SILOS DE ARMAZENAMENTO DE LAMA E ÁGUA, LABORATÓRIO DE CONTROLE DE QUALIDADE DA LAMA) - MANUTENÇÃO. AF_04/2019</v>
          </cell>
          <cell r="D2190" t="str">
            <v>H</v>
          </cell>
          <cell r="E2190">
            <v>0</v>
          </cell>
        </row>
        <row r="2191">
          <cell r="B2191">
            <v>102815</v>
          </cell>
          <cell r="C2191" t="str">
            <v>CENTRAL DE LAMA BENTONÍTICA (DEPÓSITO DE BENTONITA, MISTURADOR DE ALTA TURBULÊNCIA, SILOS DE ARMAZENAMENTO DE LAMA E ÁGUA, LABORATÓRIO DE CONTROLE DE QUALIDADE DA LAMA) - MATERIAIS NA OPERAÇÃO. AF_04/2019</v>
          </cell>
          <cell r="D2191" t="str">
            <v>H</v>
          </cell>
          <cell r="E2191">
            <v>2.95</v>
          </cell>
          <cell r="F2191">
            <v>0</v>
          </cell>
        </row>
        <row r="2192">
          <cell r="B2192">
            <v>91529</v>
          </cell>
          <cell r="C2192" t="str">
            <v>COMPACTADOR DE SOLOS DE PERCUSSÃO (SOQUETE) COM MOTOR A GASOLINA 4 TEMPOS, POTÊNCIA 4 CV - DEPRECIAÇÃO. AF_08/2015</v>
          </cell>
          <cell r="D2192" t="str">
            <v>H</v>
          </cell>
          <cell r="E2192">
            <v>0.9</v>
          </cell>
          <cell r="F2192">
            <v>0</v>
          </cell>
        </row>
        <row r="2193">
          <cell r="B2193">
            <v>91530</v>
          </cell>
          <cell r="C2193" t="str">
            <v>COMPACTADOR DE SOLOS DE PERCUSSÃO (SOQUETE) COM MOTOR A GASOLINA 4 TEMPOS, POTÊNCIA 4 CV - JUROS. AF_08/2015</v>
          </cell>
          <cell r="D2193" t="str">
            <v>H</v>
          </cell>
          <cell r="E2193">
            <v>0.24</v>
          </cell>
          <cell r="F2193">
            <v>0</v>
          </cell>
        </row>
        <row r="2194">
          <cell r="B2194">
            <v>91531</v>
          </cell>
          <cell r="C2194" t="str">
            <v>COMPACTADOR DE SOLOS DE PERCUSSÃO (SOQUETE) COM MOTOR A GASOLINA 4 TEMPOS, POTÊNCIA 4 CV - MANUTENÇÃO. AF_08/2015</v>
          </cell>
          <cell r="D2194" t="str">
            <v>H</v>
          </cell>
          <cell r="E2194">
            <v>1.1299999999999999</v>
          </cell>
          <cell r="F2194">
            <v>0</v>
          </cell>
        </row>
        <row r="2195">
          <cell r="B2195">
            <v>91532</v>
          </cell>
          <cell r="C2195" t="str">
            <v>COMPACTADOR DE SOLOS DE PERCUSSÃO (SOQUETE) COM MOTOR A GASOLINA 4 TEMPOS, POTÊNCIA 4 CV - MATERIAIS NA OPERAÇÃO. AF_08/2015</v>
          </cell>
          <cell r="D2195" t="str">
            <v>H</v>
          </cell>
          <cell r="E2195">
            <v>6.34</v>
          </cell>
          <cell r="F2195">
            <v>0</v>
          </cell>
        </row>
        <row r="2196">
          <cell r="B2196">
            <v>95260</v>
          </cell>
          <cell r="C2196" t="str">
            <v>COMPACTADOR DE SOLOS DE PERCUSÃO (SOQUETE) COM MOTOR A GASOLINA, POTÊNCIA 3 CV - DEPRECIAÇÃO. AF_09/2016</v>
          </cell>
          <cell r="D2196" t="str">
            <v>H</v>
          </cell>
          <cell r="E2196">
            <v>0.73</v>
          </cell>
          <cell r="F2196">
            <v>0</v>
          </cell>
        </row>
        <row r="2197">
          <cell r="B2197">
            <v>95261</v>
          </cell>
          <cell r="C2197" t="str">
            <v>COMPACTADOR DE SOLOS DE PERCUSÃO (SOQUETE) COM MOTOR A GASOLINA, POTÊNCIA 3 CV - JUROS. AF_09/2016</v>
          </cell>
          <cell r="D2197" t="str">
            <v>H</v>
          </cell>
          <cell r="E2197">
            <v>0.19</v>
          </cell>
          <cell r="F2197">
            <v>0</v>
          </cell>
        </row>
        <row r="2198">
          <cell r="B2198">
            <v>95262</v>
          </cell>
          <cell r="C2198" t="str">
            <v>COMPACTADOR DE SOLOS DE PERCUSÃO (SOQUETE) COM MOTOR A GASOLINA, POTÊNCIA 3 CV - MANUTENÇÃO. AF_09/2016</v>
          </cell>
          <cell r="D2198" t="str">
            <v>H</v>
          </cell>
          <cell r="E2198">
            <v>0.91</v>
          </cell>
          <cell r="F2198">
            <v>0</v>
          </cell>
        </row>
        <row r="2199">
          <cell r="B2199">
            <v>95263</v>
          </cell>
          <cell r="C2199" t="str">
            <v>COMPACTADOR DE SOLOS DE PERCUSÃO (SOQUETE) COM MOTOR A GASOLINA, POTÊNCIA 3 CV - MATERIAIS NA OPERAÇÃO. AF_09/2016</v>
          </cell>
          <cell r="D2199" t="str">
            <v>H</v>
          </cell>
          <cell r="E2199">
            <v>4.8</v>
          </cell>
          <cell r="F2199">
            <v>0</v>
          </cell>
        </row>
        <row r="2200">
          <cell r="B2200">
            <v>90968</v>
          </cell>
          <cell r="C2200" t="str">
            <v>COMPRESSOR DE AR REBOCAVEL, VAZÃO 250 PCM, PRESSAO DE TRABALHO 102 PSI, MOTOR A DIESEL POTÊNCIA 81 CV - DEPRECIAÇÃO. AF_06/2015</v>
          </cell>
          <cell r="D2200" t="str">
            <v>H</v>
          </cell>
          <cell r="E2200">
            <v>7.04</v>
          </cell>
          <cell r="F2200">
            <v>0</v>
          </cell>
        </row>
        <row r="2201">
          <cell r="B2201">
            <v>90969</v>
          </cell>
          <cell r="C2201" t="str">
            <v>COMPRESSOR DE AR REBOCAVEL, VAZÃO 250 PCM, PRESSAO DE TRABALHO 102 PSI, MOTOR A DIESEL POTÊNCIA 81 CV - JUROS. AF_06/2015</v>
          </cell>
          <cell r="D2201" t="str">
            <v>H</v>
          </cell>
          <cell r="E2201">
            <v>1.89</v>
          </cell>
          <cell r="F2201">
            <v>0</v>
          </cell>
        </row>
        <row r="2202">
          <cell r="B2202">
            <v>90970</v>
          </cell>
          <cell r="C2202" t="str">
            <v>COMPRESSOR DE AR REBOCAVEL, VAZÃO 250 PCM, PRESSAO DE TRABALHO 102 PSI, MOTOR A DIESEL POTÊNCIA 81 CV - MANUTENÇÃO. AF_06/2015</v>
          </cell>
          <cell r="D2202" t="str">
            <v>H</v>
          </cell>
          <cell r="E2202">
            <v>8.81</v>
          </cell>
          <cell r="F2202">
            <v>0</v>
          </cell>
        </row>
        <row r="2203">
          <cell r="B2203">
            <v>90971</v>
          </cell>
          <cell r="C2203" t="str">
            <v>COMPRESSOR DE AR REBOCAVEL, VAZÃO 250 PCM, PRESSAO DE TRABALHO 102 PSI, MOTOR A DIESEL POTÊNCIA 81 CV - MATERIAIS NA OPERAÇÃO. AF_06/2015</v>
          </cell>
          <cell r="D2203" t="str">
            <v>H</v>
          </cell>
          <cell r="E2203">
            <v>61.38</v>
          </cell>
          <cell r="F2203">
            <v>0</v>
          </cell>
        </row>
        <row r="2204">
          <cell r="B2204">
            <v>90992</v>
          </cell>
          <cell r="C2204" t="str">
            <v>COMPRESSOR DE AR REBOCAVEL, VAZÃO 400 PCM, PRESSAO DE TRABALHO 102 PSI, MOTOR A DIESEL POTÊNCIA 110 CV - DEPRECIAÇÃO. AF_06/2015</v>
          </cell>
          <cell r="D2204" t="str">
            <v>H</v>
          </cell>
          <cell r="E2204">
            <v>8.35</v>
          </cell>
          <cell r="F2204">
            <v>0</v>
          </cell>
        </row>
        <row r="2205">
          <cell r="B2205">
            <v>90993</v>
          </cell>
          <cell r="C2205" t="str">
            <v>COMPRESSOR DE AR REBOCAVEL, VAZÃO 400 PCM, PRESSAO DE TRABALHO 102 PSI, MOTOR A DIESEL POTÊNCIA 110 CV - JUROS. AF_06/2015</v>
          </cell>
          <cell r="D2205" t="str">
            <v>H</v>
          </cell>
          <cell r="E2205">
            <v>2.2400000000000002</v>
          </cell>
          <cell r="F2205">
            <v>0</v>
          </cell>
        </row>
        <row r="2206">
          <cell r="B2206">
            <v>90994</v>
          </cell>
          <cell r="C2206" t="str">
            <v>COMPRESSOR DE AR REBOCAVEL, VAZÃO 400 PCM, PRESSAO DE TRABALHO 102 PSI, MOTOR A DIESEL POTÊNCIA 110 CV - MANUTENÇÃO. AF_06/2015</v>
          </cell>
          <cell r="D2206" t="str">
            <v>H</v>
          </cell>
          <cell r="E2206">
            <v>10.45</v>
          </cell>
          <cell r="F2206">
            <v>0</v>
          </cell>
        </row>
        <row r="2207">
          <cell r="B2207">
            <v>90995</v>
          </cell>
          <cell r="C2207" t="str">
            <v>COMPRESSOR DE AR REBOCAVEL, VAZÃO 400 PCM, PRESSAO DE TRABALHO 102 PSI, MOTOR A DIESEL POTÊNCIA 110 CV - MATERIAIS NA OPERAÇÃO. AF_06/2015</v>
          </cell>
          <cell r="D2207" t="str">
            <v>H</v>
          </cell>
          <cell r="E2207">
            <v>83.38</v>
          </cell>
          <cell r="F2207">
            <v>0</v>
          </cell>
        </row>
        <row r="2208">
          <cell r="B2208">
            <v>90957</v>
          </cell>
          <cell r="C2208" t="str">
            <v>COMPRESSOR DE AR REBOCÁVEL, VAZÃO 189 PCM, PRESSÃO EFETIVA DE TRABALHO 102 PSI, MOTOR DIESEL, POTÊNCIA 63 CV - DEPRECIAÇÃO. AF_06/2015</v>
          </cell>
          <cell r="D2208" t="str">
            <v>H</v>
          </cell>
          <cell r="E2208">
            <v>5.26</v>
          </cell>
          <cell r="F2208">
            <v>0</v>
          </cell>
        </row>
        <row r="2209">
          <cell r="B2209">
            <v>90958</v>
          </cell>
          <cell r="C2209" t="str">
            <v>COMPRESSOR DE AR REBOCÁVEL, VAZÃO 189 PCM, PRESSÃO EFETIVA DE TRABALHO 102 PSI, MOTOR DIESEL, POTÊNCIA 63 CV - JUROS. AF_06/2015</v>
          </cell>
          <cell r="D2209" t="str">
            <v>H</v>
          </cell>
          <cell r="E2209">
            <v>1.41</v>
          </cell>
          <cell r="F2209">
            <v>0</v>
          </cell>
        </row>
        <row r="2210">
          <cell r="B2210">
            <v>5797</v>
          </cell>
          <cell r="C2210" t="str">
            <v>COMPRESSOR DE AR REBOCÁVEL, VAZÃO 189 PCM, PRESSÃO EFETIVA DE TRABALHO 102 PSI, MOTOR DIESEL, POTÊNCIA 63 CV - MANUTENÇÃO. AF_06/2015</v>
          </cell>
          <cell r="D2210" t="str">
            <v>H</v>
          </cell>
          <cell r="E2210">
            <v>6.58</v>
          </cell>
          <cell r="F2210">
            <v>0</v>
          </cell>
        </row>
        <row r="2211">
          <cell r="B2211">
            <v>53865</v>
          </cell>
          <cell r="C2211" t="str">
            <v>COMPRESSOR DE AR REBOCÁVEL, VAZÃO 189 PCM, PRESSÃO EFETIVA DE TRABALHO 102 PSI, MOTOR DIESEL, POTÊNCIA 63 CV - MATERIAIS NA OPERAÇÃO. AF_06/2015</v>
          </cell>
          <cell r="D2211" t="str">
            <v>H</v>
          </cell>
          <cell r="E2211">
            <v>47.75</v>
          </cell>
          <cell r="F2211">
            <v>0</v>
          </cell>
        </row>
        <row r="2212">
          <cell r="B2212">
            <v>90975</v>
          </cell>
          <cell r="C2212" t="str">
            <v>COMPRESSOR DE AR REBOCÁVEL, VAZÃO 748 PCM, PRESSÃO EFETIVA DE TRABALHO 102 PSI, MOTOR DIESEL, POTÊNCIA 210 CV - DEPRECIAÇÃO. AF_06/2015</v>
          </cell>
          <cell r="D2212" t="str">
            <v>H</v>
          </cell>
          <cell r="E2212">
            <v>17.89</v>
          </cell>
          <cell r="F2212">
            <v>0</v>
          </cell>
        </row>
        <row r="2213">
          <cell r="B2213">
            <v>90976</v>
          </cell>
          <cell r="C2213" t="str">
            <v>COMPRESSOR DE AR REBOCÁVEL, VAZÃO 748 PCM, PRESSÃO EFETIVA DE TRABALHO 102 PSI, MOTOR DIESEL, POTÊNCIA 210 CV - JUROS. AF_06/2015</v>
          </cell>
          <cell r="D2213" t="str">
            <v>H</v>
          </cell>
          <cell r="E2213">
            <v>4.8</v>
          </cell>
          <cell r="F2213">
            <v>0</v>
          </cell>
        </row>
        <row r="2214">
          <cell r="B2214">
            <v>90977</v>
          </cell>
          <cell r="C2214" t="str">
            <v>COMPRESSOR DE AR REBOCÁVEL, VAZÃO 748 PCM, PRESSÃO EFETIVA DE TRABALHO 102 PSI, MOTOR DIESEL, POTÊNCIA 210 CV - MANUTENÇÃO. AF_06/2015</v>
          </cell>
          <cell r="D2214" t="str">
            <v>H</v>
          </cell>
          <cell r="E2214">
            <v>22.39</v>
          </cell>
          <cell r="F2214">
            <v>0</v>
          </cell>
        </row>
        <row r="2215">
          <cell r="B2215">
            <v>90978</v>
          </cell>
          <cell r="C2215" t="str">
            <v>COMPRESSOR DE AR REBOCÁVEL, VAZÃO 748 PCM, PRESSÃO EFETIVA DE TRABALHO 102 PSI, MOTOR DIESEL, POTÊNCIA 210 CV - MATERIAIS NA OPERAÇÃO. AF_06/2015</v>
          </cell>
          <cell r="D2215" t="str">
            <v>H</v>
          </cell>
          <cell r="E2215">
            <v>159.25</v>
          </cell>
          <cell r="F2215">
            <v>0</v>
          </cell>
        </row>
        <row r="2216">
          <cell r="B2216">
            <v>90960</v>
          </cell>
          <cell r="C2216" t="str">
            <v>COMPRESSOR DE AR REBOCÁVEL, VAZÃO 89 PCM, PRESSÃO EFETIVA DE TRABALHO 102 PSI, MOTOR DIESEL, POTÊNCIA 20 CV - DEPRECIAÇÃO. AF_06/2015</v>
          </cell>
          <cell r="D2216" t="str">
            <v>H</v>
          </cell>
          <cell r="E2216">
            <v>7.02</v>
          </cell>
          <cell r="F2216">
            <v>0</v>
          </cell>
        </row>
        <row r="2217">
          <cell r="B2217">
            <v>90961</v>
          </cell>
          <cell r="C2217" t="str">
            <v>COMPRESSOR DE AR REBOCÁVEL, VAZÃO 89 PCM, PRESSÃO EFETIVA DE TRABALHO 102 PSI, MOTOR DIESEL, POTÊNCIA 20 CV - JUROS. AF_06/2015</v>
          </cell>
          <cell r="D2217" t="str">
            <v>H</v>
          </cell>
          <cell r="E2217">
            <v>1.88</v>
          </cell>
          <cell r="F2217">
            <v>0</v>
          </cell>
        </row>
        <row r="2218">
          <cell r="B2218">
            <v>90962</v>
          </cell>
          <cell r="C2218" t="str">
            <v>COMPRESSOR DE AR REBOCÁVEL, VAZÃO 89 PCM, PRESSÃO EFETIVA DE TRABALHO 102 PSI, MOTOR DIESEL, POTÊNCIA 20 CV - MANUTENÇÃO. AF_06/2015</v>
          </cell>
          <cell r="D2218" t="str">
            <v>H</v>
          </cell>
          <cell r="E2218">
            <v>8.7899999999999991</v>
          </cell>
          <cell r="F2218">
            <v>0</v>
          </cell>
        </row>
        <row r="2219">
          <cell r="B2219">
            <v>90963</v>
          </cell>
          <cell r="C2219" t="str">
            <v>COMPRESSOR DE AR REBOCÁVEL, VAZÃO 89 PCM, PRESSÃO EFETIVA DE TRABALHO 102 PSI, MOTOR DIESEL, POTÊNCIA 20 CV - MATERIAIS NA OPERAÇÃO. AF_06/2015</v>
          </cell>
          <cell r="D2219" t="str">
            <v>H</v>
          </cell>
          <cell r="E2219">
            <v>15.15</v>
          </cell>
          <cell r="F2219">
            <v>0</v>
          </cell>
        </row>
        <row r="2220">
          <cell r="B2220">
            <v>102966</v>
          </cell>
          <cell r="C2220" t="str">
            <v>COMPRESSOR DE AR, VAZAO DE 10 PCM, RESERVATORIO 100 L, PRESSAO DE TRABALHO ENTRE 6,9 E 9,7 BAR, POTENCIA 2 HP, TENSAO 110/220 V - DEPRECIAÇÃO. AF_05/2023</v>
          </cell>
          <cell r="D2220" t="str">
            <v>H</v>
          </cell>
          <cell r="E2220">
            <v>0.17</v>
          </cell>
          <cell r="F2220">
            <v>0</v>
          </cell>
        </row>
        <row r="2221">
          <cell r="B2221">
            <v>102967</v>
          </cell>
          <cell r="C2221" t="str">
            <v>COMPRESSOR DE AR, VAZAO DE 10 PCM, RESERVATORIO 100 L, PRESSAO DE TRABALHO ENTRE 6,9 E 9,7 BAR, POTENCIA 2 HP, TENSAO 110/220 V - JUROS. AF_05/2023</v>
          </cell>
          <cell r="D2221" t="str">
            <v>H</v>
          </cell>
          <cell r="E2221">
            <v>0.03</v>
          </cell>
          <cell r="F2221">
            <v>0</v>
          </cell>
        </row>
        <row r="2222">
          <cell r="B2222">
            <v>102968</v>
          </cell>
          <cell r="C2222" t="str">
            <v>COMPRESSOR DE AR, VAZAO DE 10 PCM, RESERVATORIO 100 L, PRESSAO DE TRABALHO ENTRE 6,9 E 9,7 BAR, POTENCIA 2 HP, TENSAO 110/220 V - MANUTENÇÃO. AF_05/2023</v>
          </cell>
          <cell r="D2222" t="str">
            <v>H</v>
          </cell>
          <cell r="E2222">
            <v>0.16</v>
          </cell>
          <cell r="F2222">
            <v>0</v>
          </cell>
        </row>
        <row r="2223">
          <cell r="B2223">
            <v>102969</v>
          </cell>
          <cell r="C2223" t="str">
            <v>COMPRESSOR DE AR, VAZAO DE 10 PCM, RESERVATORIO 100 L, PRESSAO DE TRABALHO ENTRE 6,9 E 9,7 BAR, POTENCIA 2 HP, TENSAO 110/220 V - MATERIAIS NA OPERAÇÃO. AF_05/2023</v>
          </cell>
          <cell r="D2223" t="str">
            <v>H</v>
          </cell>
          <cell r="E2223">
            <v>0.13</v>
          </cell>
          <cell r="F2223">
            <v>0</v>
          </cell>
        </row>
        <row r="2224">
          <cell r="B2224">
            <v>102818</v>
          </cell>
          <cell r="C2224" t="str">
            <v>CONJUNTO CILINDRO E BOMBA HIDRÁULICA PARA PROTENSÃO DE MONOBARRAS PARA TIRANTES, ESFORÇO MÁXIMO DE 30 TONELADAS - DEPRECIAÇÃO. AF_05/2023</v>
          </cell>
          <cell r="D2224" t="str">
            <v>H</v>
          </cell>
          <cell r="E2224">
            <v>0</v>
          </cell>
        </row>
        <row r="2225">
          <cell r="B2225">
            <v>102819</v>
          </cell>
          <cell r="C2225" t="str">
            <v>CONJUNTO CILINDRO E BOMBA HIDRÁULICA PARA PROTENSÃO DE MONOBARRAS PARA TIRANTES, ESFORÇO MÁXIMO DE 30 TONELADAS - JUROS. AF_05/2023</v>
          </cell>
          <cell r="D2225" t="str">
            <v>H</v>
          </cell>
          <cell r="E2225">
            <v>0</v>
          </cell>
        </row>
        <row r="2226">
          <cell r="B2226">
            <v>102820</v>
          </cell>
          <cell r="C2226" t="str">
            <v>CONJUNTO CILINDRO E BOMBA HIDRÁULICA PARA PROTENSÃO DE MONOBARRAS PARA TIRANTES, ESFORÇO MÁXIMO DE 30 TONELADAS - MANUTENÇÃO. AF_05/2023</v>
          </cell>
          <cell r="D2226" t="str">
            <v>H</v>
          </cell>
          <cell r="E2226">
            <v>0</v>
          </cell>
        </row>
        <row r="2227">
          <cell r="B2227">
            <v>102832</v>
          </cell>
          <cell r="C2227" t="str">
            <v>CONJUNTO CILINDRO E BOMBA HIDRÁULICA PARA PROTENSÃO DE MONOBARRAS PARA TIRANTES, ESFORÇO MÁXIMO DE 30 TONELADAS - MATERIAIS NA OPERAÇÃO. AF_05/2023</v>
          </cell>
          <cell r="D2227" t="str">
            <v>H</v>
          </cell>
          <cell r="E2227">
            <v>7.39</v>
          </cell>
          <cell r="F2227">
            <v>0</v>
          </cell>
        </row>
        <row r="2228">
          <cell r="B2228">
            <v>102823</v>
          </cell>
          <cell r="C2228" t="str">
            <v>CONJUNTO MACACO E BOMBA HIDRÁULICA PARA PROTENSAO DE CORDOALHAS, ESFORÇO MAXIMO DE 115 TONELADAS - DEPRECIAÇÃO. AF_05/2023</v>
          </cell>
          <cell r="D2228" t="str">
            <v>H</v>
          </cell>
          <cell r="E2228">
            <v>0</v>
          </cell>
        </row>
        <row r="2229">
          <cell r="B2229">
            <v>102824</v>
          </cell>
          <cell r="C2229" t="str">
            <v>CONJUNTO MACACO E BOMBA HIDRÁULICA PARA PROTENSAO DE CORDOALHAS, ESFORÇO MAXIMO DE 115 TONELADAS - JUROS. AF_05/2023</v>
          </cell>
          <cell r="D2229" t="str">
            <v>H</v>
          </cell>
          <cell r="E2229">
            <v>0</v>
          </cell>
        </row>
        <row r="2230">
          <cell r="B2230">
            <v>102825</v>
          </cell>
          <cell r="C2230" t="str">
            <v>CONJUNTO MACACO E BOMBA HIDRÁULICA PARA PROTENSAO DE CORDOALHAS, ESFORÇO MAXIMO DE 115 TONELADAS - MANUTENÇÃO. AF_05/2023</v>
          </cell>
          <cell r="D2230" t="str">
            <v>H</v>
          </cell>
          <cell r="E2230">
            <v>0</v>
          </cell>
        </row>
        <row r="2231">
          <cell r="B2231">
            <v>102826</v>
          </cell>
          <cell r="C2231" t="str">
            <v>CONJUNTO MACACO E BOMBA HIDRÁULICA PARA PROTENSAO DE CORDOALHAS, ESFORÇO MAXIMO DE 115 TONELADAS - MATERIAIS NA OPERAÇÃO. AF_05/2023</v>
          </cell>
          <cell r="D2231" t="str">
            <v>H</v>
          </cell>
          <cell r="E2231">
            <v>5.55</v>
          </cell>
          <cell r="F2231">
            <v>0</v>
          </cell>
        </row>
        <row r="2232">
          <cell r="B2232">
            <v>103934</v>
          </cell>
          <cell r="C2232" t="str">
            <v>CONJUNTO MACACO HIDRÁULICO E CENTRAL DE BOMBEAMENTO MOTORIZADO 1,8 KW PARA PROTENSÃO DE MONOCABOS PARA CONCRETO PROTENDIDO, ESFORÇO MÁXIMO DE 20 TONELADAS - DEPRECIAÇÃO. AF_05/2022</v>
          </cell>
          <cell r="D2232" t="str">
            <v>H</v>
          </cell>
          <cell r="E2232">
            <v>0</v>
          </cell>
        </row>
        <row r="2233">
          <cell r="B2233">
            <v>103935</v>
          </cell>
          <cell r="C2233" t="str">
            <v>CONJUNTO MACACO HIDRÁULICO E CENTRAL DE BOMBEAMENTO MOTORIZADO 1,8 KW PARA PROTENSÃO DE MONOCABOS PARA CONCRETO PROTENDIDO, ESFORÇO MÁXIMO DE 20 TONELADAS - JUROS. AF_05/2022</v>
          </cell>
          <cell r="D2233" t="str">
            <v>H</v>
          </cell>
          <cell r="E2233">
            <v>0</v>
          </cell>
        </row>
        <row r="2234">
          <cell r="B2234">
            <v>103936</v>
          </cell>
          <cell r="C2234" t="str">
            <v>CONJUNTO MACACO HIDRÁULICO E CENTRAL DE BOMBEAMENTO MOTORIZADO 1,8 KW PARA PROTENSÃO DE MONOCABOS PARA CONCRETO PROTENDIDO, ESFORÇO MÁXIMO DE 20 TONELADAS - MANUTENÇÃO. AF_05/2022</v>
          </cell>
          <cell r="D2234" t="str">
            <v>H</v>
          </cell>
          <cell r="E2234">
            <v>0</v>
          </cell>
        </row>
        <row r="2235">
          <cell r="B2235">
            <v>103937</v>
          </cell>
          <cell r="C2235" t="str">
            <v>CONJUNTO MACACO HIDRÁULICO E CENTRAL DE BOMBEAMENTO MOTORIZADO 1,8 KW PARA PROTENSÃO DE MONOCABOS PARA CONCRETO PROTENDIDO, ESFORÇO MÁXIMO DE 20 TONELADAS - MATERIAIS NA OPERAÇÃO. AF_05/2022</v>
          </cell>
          <cell r="D2235" t="str">
            <v>H</v>
          </cell>
          <cell r="E2235">
            <v>1.33</v>
          </cell>
          <cell r="F2235">
            <v>0</v>
          </cell>
        </row>
        <row r="2236">
          <cell r="B2236">
            <v>103940</v>
          </cell>
          <cell r="C2236" t="str">
            <v>CONJUNTO MACACO HIDRÁULICO E CENTRAL DE BOMBEAMENTO MOTORIZADO 1,8 KW PARA PROTENSÃO DE MONOCABOS PARA CONCRETO PROTENDIDO, ESFORÇO MÁXIMO DE 30 TONELADAS - DEPRECIAÇÃO. AF_05/2022</v>
          </cell>
          <cell r="D2236" t="str">
            <v>H</v>
          </cell>
          <cell r="E2236">
            <v>0</v>
          </cell>
        </row>
        <row r="2237">
          <cell r="B2237">
            <v>103941</v>
          </cell>
          <cell r="C2237" t="str">
            <v>CONJUNTO MACACO HIDRÁULICO E CENTRAL DE BOMBEAMENTO MOTORIZADO 1,8 KW PARA PROTENSÃO DE MONOCABOS PARA CONCRETO PROTENDIDO, ESFORÇO MÁXIMO DE 30 TONELADAS - JUROS. AF_05/2022</v>
          </cell>
          <cell r="D2237" t="str">
            <v>H</v>
          </cell>
          <cell r="E2237">
            <v>0</v>
          </cell>
        </row>
        <row r="2238">
          <cell r="B2238">
            <v>103942</v>
          </cell>
          <cell r="C2238" t="str">
            <v>CONJUNTO MACACO HIDRÁULICO E CENTRAL DE BOMBEAMENTO MOTORIZADO 1,8 KW PARA PROTENSÃO DE MONOCABOS PARA CONCRETO PROTENDIDO, ESFORÇO MÁXIMO DE 30 TONELADAS - MANUTENÇÃO. AF_05/2022</v>
          </cell>
          <cell r="D2238" t="str">
            <v>H</v>
          </cell>
          <cell r="E2238">
            <v>0</v>
          </cell>
        </row>
        <row r="2239">
          <cell r="B2239">
            <v>103943</v>
          </cell>
          <cell r="C2239" t="str">
            <v>CONJUNTO MACACO HIDRÁULICO E CENTRAL DE BOMBEAMENTO MOTORIZADO 1,8 KW PARA PROTENSÃO DE MONOCABOS PARA CONCRETO PROTENDIDO, ESFORÇO MÁXIMO DE 30 TONELADAS - MATERIAIS NA OPERAÇÃO. AF_05/2022</v>
          </cell>
          <cell r="D2239" t="str">
            <v>H</v>
          </cell>
          <cell r="E2239">
            <v>1.33</v>
          </cell>
          <cell r="F2239">
            <v>0</v>
          </cell>
        </row>
        <row r="2240">
          <cell r="B2240">
            <v>106406</v>
          </cell>
          <cell r="C2240" t="str">
            <v>CORTADEIRA HIDRÁULICA DE VERGALHÃO, PARA AÇO DE DIÂMETRO ATÉ 50 MM, MOTOR ELÉTRICO TRIFÁSICO, POTÊNCIA DE 5,5 HP A 7,5 HP - DEPRECIAÇÃO. AF_12/2025</v>
          </cell>
          <cell r="D2240" t="str">
            <v>H</v>
          </cell>
          <cell r="E2240">
            <v>9.8800000000000008</v>
          </cell>
          <cell r="F2240">
            <v>0</v>
          </cell>
        </row>
        <row r="2241">
          <cell r="B2241">
            <v>106407</v>
          </cell>
          <cell r="C2241" t="str">
            <v>CORTADEIRA HIDRÁULICA DE VERGALHÃO, PARA AÇO DE DIÂMETRO ATÉ 50 MM, MOTOR ELÉTRICO TRIFÁSICO, POTÊNCIA DE 5,5 HP A 7,5 HP - JUROS. AF_12/2025</v>
          </cell>
          <cell r="D2241" t="str">
            <v>H</v>
          </cell>
          <cell r="E2241">
            <v>2.0299999999999998</v>
          </cell>
          <cell r="F2241">
            <v>0</v>
          </cell>
        </row>
        <row r="2242">
          <cell r="B2242">
            <v>106408</v>
          </cell>
          <cell r="C2242" t="str">
            <v>CORTADEIRA HIDRÁULICA DE VERGALHÃO, PARA AÇO DE DIÂMETRO ATÉ 50 MM, MOTOR ELÉTRICO TRIFÁSICO, POTÊNCIA DE 5,5 HP A 7,5 HP - MANUTENÇÃO. AF_12/2025</v>
          </cell>
          <cell r="D2242" t="str">
            <v>H</v>
          </cell>
          <cell r="E2242">
            <v>6.86</v>
          </cell>
          <cell r="F2242">
            <v>0</v>
          </cell>
        </row>
        <row r="2243">
          <cell r="B2243">
            <v>106409</v>
          </cell>
          <cell r="C2243" t="str">
            <v>CORTADEIRA HIDRÁULICA DE VERGALHÃO, PARA AÇO DE DIÂMETRO ATÉ 50 MM, MOTOR ELÉTRICO TRIFÁSICO, POTÊNCIA DE 5,5 HP A 7,5 HP - MATERIAIS NA OPERAÇÃO. AF_12/2025</v>
          </cell>
          <cell r="D2243" t="str">
            <v>H</v>
          </cell>
          <cell r="E2243">
            <v>3.58</v>
          </cell>
          <cell r="F2243">
            <v>0</v>
          </cell>
        </row>
        <row r="2244">
          <cell r="B2244">
            <v>91279</v>
          </cell>
          <cell r="C2244" t="str">
            <v>CORTADORA DE PISO COM MOTOR 4 TEMPOS A GASOLINA, POTÊNCIA DE 13 HP, COM DISCO DE CORTE DIAMANTADO SEGMENTADO PARA CONCRETO, DIÂMETRO DE 350 MM, FURO DE 1" (14 X 1") - DEPRECIAÇÃO. AF_08/2015</v>
          </cell>
          <cell r="D2244" t="str">
            <v>H</v>
          </cell>
          <cell r="E2244">
            <v>0.4</v>
          </cell>
          <cell r="F2244">
            <v>0</v>
          </cell>
        </row>
        <row r="2245">
          <cell r="B2245">
            <v>91280</v>
          </cell>
          <cell r="C2245" t="str">
            <v>CORTADORA DE PISO COM MOTOR 4 TEMPOS A GASOLINA, POTÊNCIA DE 13 HP, COM DISCO DE CORTE DIAMANTADO SEGMENTADO PARA CONCRETO, DIÂMETRO DE 350 MM, FURO DE 1" (14 X 1") - JUROS. AF_08/2015</v>
          </cell>
          <cell r="D2245" t="str">
            <v>H</v>
          </cell>
          <cell r="E2245">
            <v>0.08</v>
          </cell>
          <cell r="F2245">
            <v>0</v>
          </cell>
        </row>
        <row r="2246">
          <cell r="B2246">
            <v>91281</v>
          </cell>
          <cell r="C2246" t="str">
            <v>CORTADORA DE PISO COM MOTOR 4 TEMPOS A GASOLINA, POTÊNCIA DE 13 HP, COM DISCO DE CORTE DIAMANTADO SEGMENTADO PARA CONCRETO, DIÂMETRO DE 350 MM, FURO DE 1" (14 X 1") - MANUTENÇÃO. AF_08/2015</v>
          </cell>
          <cell r="D2246" t="str">
            <v>H</v>
          </cell>
          <cell r="E2246">
            <v>0.5</v>
          </cell>
          <cell r="F2246">
            <v>0</v>
          </cell>
        </row>
        <row r="2247">
          <cell r="B2247">
            <v>91282</v>
          </cell>
          <cell r="C2247" t="str">
            <v>CORTADORA DE PISO COM MOTOR 4 TEMPOS A GASOLINA, POTÊNCIA DE 13 HP, COM DISCO DE CORTE DIAMANTADO SEGMENTADO PARA CONCRETO, DIÂMETRO DE 350 MM, FURO DE 1" (14 X 1") - MATERIAIS NA OPERAÇÃO. AF_08/2015</v>
          </cell>
          <cell r="D2247" t="str">
            <v>H</v>
          </cell>
          <cell r="E2247">
            <v>8.93</v>
          </cell>
          <cell r="F2247">
            <v>0</v>
          </cell>
        </row>
        <row r="2248">
          <cell r="B2248">
            <v>95278</v>
          </cell>
          <cell r="C2248" t="str">
            <v>DESEMPENADEIRA DE CONCRETO, PESO DE 78 KG, 4 PÁS, MOTOR A GASOLINA, POTÊNCIA 5,5 HP - DEPRECIAÇÃO. AF_05/2023</v>
          </cell>
          <cell r="D2248" t="str">
            <v>H</v>
          </cell>
          <cell r="E2248">
            <v>0.73</v>
          </cell>
          <cell r="F2248">
            <v>0</v>
          </cell>
        </row>
        <row r="2249">
          <cell r="B2249">
            <v>95279</v>
          </cell>
          <cell r="C2249" t="str">
            <v>DESEMPENADEIRA DE CONCRETO, PESO DE 78 KG, 4 PÁS, MOTOR A GASOLINA, POTÊNCIA 5,5 HP - JUROS. AF_05/2023</v>
          </cell>
          <cell r="D2249" t="str">
            <v>H</v>
          </cell>
          <cell r="E2249">
            <v>0.15</v>
          </cell>
          <cell r="F2249">
            <v>0</v>
          </cell>
        </row>
        <row r="2250">
          <cell r="B2250">
            <v>95280</v>
          </cell>
          <cell r="C2250" t="str">
            <v>DESEMPENADEIRA DE CONCRETO, PESO DE 78 KG, 4 PÁS, MOTOR A GASOLINA, POTÊNCIA 5,5 HP - MANUTENÇÃO. AF_05/2023</v>
          </cell>
          <cell r="D2250" t="str">
            <v>H</v>
          </cell>
          <cell r="E2250">
            <v>0.71</v>
          </cell>
          <cell r="F2250">
            <v>0</v>
          </cell>
        </row>
        <row r="2251">
          <cell r="B2251">
            <v>95281</v>
          </cell>
          <cell r="C2251" t="str">
            <v>DESEMPENADEIRA DE CONCRETO, PESO DE 78 KG, 4 PÁS, MOTOR A GASOLINA, POTÊNCIA 5,5 HP MATERIAIS NA OPERAÇÃO. AF_05/2023</v>
          </cell>
          <cell r="D2251" t="str">
            <v>H</v>
          </cell>
          <cell r="E2251">
            <v>8.8699999999999992</v>
          </cell>
          <cell r="F2251">
            <v>0</v>
          </cell>
        </row>
        <row r="2252">
          <cell r="B2252">
            <v>95124</v>
          </cell>
          <cell r="C2252" t="str">
            <v>DISTRIBUIDOR DE AGREGADOS AUTOPROPELIDO, C/AP 3 M3, A DIESEL, POTÊNCIA 176CV - JUROS. AF_07/2016</v>
          </cell>
          <cell r="D2252" t="str">
            <v>H</v>
          </cell>
          <cell r="E2252">
            <v>6.26</v>
          </cell>
          <cell r="F2252">
            <v>0</v>
          </cell>
        </row>
        <row r="2253">
          <cell r="B2253">
            <v>95123</v>
          </cell>
          <cell r="C2253" t="str">
            <v>DISTRIBUIDOR DE AGREGADOS AUTOPROPELIDO, CAP 3 M3, A DIESEL, POTÊNCIA 176CV - DEPRECIAÇÃO. AF_07/2016</v>
          </cell>
          <cell r="D2253" t="str">
            <v>H</v>
          </cell>
          <cell r="E2253">
            <v>20.309999999999999</v>
          </cell>
          <cell r="F2253">
            <v>0</v>
          </cell>
        </row>
        <row r="2254">
          <cell r="B2254">
            <v>95125</v>
          </cell>
          <cell r="C2254" t="str">
            <v>DISTRIBUIDOR DE AGREGADOS AUTOPROPELIDO, CAP 3 M3, A DIESEL, POTÊNCIA 176CV - MANUTENÇÃO. AF_07/2016</v>
          </cell>
          <cell r="D2254" t="str">
            <v>H</v>
          </cell>
          <cell r="E2254">
            <v>22.22</v>
          </cell>
          <cell r="F2254">
            <v>0</v>
          </cell>
        </row>
        <row r="2255">
          <cell r="B2255">
            <v>95126</v>
          </cell>
          <cell r="C2255" t="str">
            <v>DISTRIBUIDOR DE AGREGADOS AUTOPROPELIDO, CAP 3 M3, A DIESEL, POTÊNCIA 176CV - MATERIAIS NA OPERAÇÃO. AF_07/2016</v>
          </cell>
          <cell r="D2255" t="str">
            <v>H</v>
          </cell>
          <cell r="E2255">
            <v>149.13</v>
          </cell>
          <cell r="F2255">
            <v>0</v>
          </cell>
        </row>
        <row r="2256">
          <cell r="B2256">
            <v>92040</v>
          </cell>
          <cell r="C2256" t="str">
            <v>DISTRIBUIDOR DE AGREGADOS REBOCAVEL, CAPACIDADE 1,9 M³, LARGURA DE TRABALHO 3,66 M - DEPRECIAÇÃO. AF_11/2015</v>
          </cell>
          <cell r="D2256" t="str">
            <v>H</v>
          </cell>
          <cell r="E2256">
            <v>7.36</v>
          </cell>
          <cell r="F2256">
            <v>0</v>
          </cell>
        </row>
        <row r="2257">
          <cell r="B2257">
            <v>92041</v>
          </cell>
          <cell r="C2257" t="str">
            <v>DISTRIBUIDOR DE AGREGADOS REBOCAVEL, CAPACIDADE 1,9 M³, LARGURA DE TRABALHO 3,66 M - JUROS. AF_11/2015</v>
          </cell>
          <cell r="D2257" t="str">
            <v>H</v>
          </cell>
          <cell r="E2257">
            <v>1.51</v>
          </cell>
          <cell r="F2257">
            <v>0</v>
          </cell>
        </row>
        <row r="2258">
          <cell r="B2258">
            <v>92042</v>
          </cell>
          <cell r="C2258" t="str">
            <v>DISTRIBUIDOR DE AGREGADOS REBOCAVEL, CAPACIDADE 1,9 M³, LARGURA DE TRABALHO 3,66 M - MANUTENÇÃO. AF_11/2015</v>
          </cell>
          <cell r="D2258" t="str">
            <v>H</v>
          </cell>
          <cell r="E2258">
            <v>6.13</v>
          </cell>
          <cell r="F2258">
            <v>0</v>
          </cell>
        </row>
        <row r="2259">
          <cell r="B2259">
            <v>106410</v>
          </cell>
          <cell r="C2259" t="str">
            <v>DOBRADEIRA ELETROMECÂNICA DE VERGALHÃO, PARA AÇO DE DIÂMETRO ATÉ 1 1/2", MOTOR ELÉTRICO TRIFÁSICO, POTÊNCIA DE 3 HP ATÉ 5 HP - DEPRECIAÇÃO. AF_12/2025</v>
          </cell>
          <cell r="D2259" t="str">
            <v>H</v>
          </cell>
          <cell r="E2259">
            <v>4.76</v>
          </cell>
          <cell r="F2259">
            <v>0</v>
          </cell>
        </row>
        <row r="2260">
          <cell r="B2260">
            <v>106411</v>
          </cell>
          <cell r="C2260" t="str">
            <v>DOBRADEIRA ELETROMECÂNICA DE VERGALHÃO, PARA AÇO DE DIÂMETRO ATÉ 1 1/2", MOTOR ELÉTRICO TRIFÁSICO, POTÊNCIA DE 3 HP ATÉ 5 HP - JUROS. AF_12/2025</v>
          </cell>
          <cell r="D2260" t="str">
            <v>H</v>
          </cell>
          <cell r="E2260">
            <v>2.02</v>
          </cell>
          <cell r="F2260">
            <v>0</v>
          </cell>
        </row>
        <row r="2261">
          <cell r="B2261">
            <v>106412</v>
          </cell>
          <cell r="C2261" t="str">
            <v>DOBRADEIRA ELETROMECÂNICA DE VERGALHÃO, PARA AÇO DE DIÂMETRO ATÉ 1 1/2", MOTOR ELÉTRICO TRIFÁSICO, POTÊNCIA DE 3 HP ATÉ 5 HP - MANUTENÇÃO. AF_12/2025</v>
          </cell>
          <cell r="D2261" t="str">
            <v>H</v>
          </cell>
          <cell r="E2261">
            <v>5.21</v>
          </cell>
          <cell r="F2261">
            <v>0</v>
          </cell>
        </row>
        <row r="2262">
          <cell r="B2262">
            <v>106413</v>
          </cell>
          <cell r="C2262" t="str">
            <v>DOBRADEIRA ELETROMECÂNICA DE VERGALHÃO, PARA AÇO DE DIÂMETRO ATÉ 1 1/2", MOTOR ELÉTRICO TRIFÁSICO, POTÊNCIA DE 3 HP ATÉ 5 HP - MATERIAIS NA OPERAÇÃO. AF_12/2025</v>
          </cell>
          <cell r="D2262" t="str">
            <v>H</v>
          </cell>
          <cell r="E2262">
            <v>2.2000000000000002</v>
          </cell>
          <cell r="F2262">
            <v>0</v>
          </cell>
        </row>
        <row r="2263">
          <cell r="B2263">
            <v>102829</v>
          </cell>
          <cell r="C2263" t="str">
            <v>DOBRADEIRA TDC, ESPESSURA 1,5MM - DEPRECIAÇÃO. AF_05/2023</v>
          </cell>
          <cell r="D2263" t="str">
            <v>H</v>
          </cell>
          <cell r="E2263">
            <v>0</v>
          </cell>
        </row>
        <row r="2264">
          <cell r="B2264">
            <v>102830</v>
          </cell>
          <cell r="C2264" t="str">
            <v>DOBRADEIRA TDC, ESPESSURA 1,5MM - JUROS. AF_05/2023</v>
          </cell>
          <cell r="D2264" t="str">
            <v>H</v>
          </cell>
          <cell r="E2264">
            <v>0</v>
          </cell>
        </row>
        <row r="2265">
          <cell r="B2265">
            <v>102831</v>
          </cell>
          <cell r="C2265" t="str">
            <v>DOBRADEIRA TDC, ESPESSURA 1,5MM - MANUTENÇÃO. AF_05/2023</v>
          </cell>
          <cell r="D2265" t="str">
            <v>H</v>
          </cell>
          <cell r="E2265">
            <v>0</v>
          </cell>
        </row>
        <row r="2266">
          <cell r="B2266">
            <v>92114</v>
          </cell>
          <cell r="C2266" t="str">
            <v>DOSADOR DE AREIA, CAPACIDADE DE 26 LITROS - DEPRECIAÇÃO. AF_05/2023</v>
          </cell>
          <cell r="D2266" t="str">
            <v>H</v>
          </cell>
          <cell r="E2266">
            <v>0.25</v>
          </cell>
          <cell r="F2266">
            <v>0</v>
          </cell>
        </row>
        <row r="2267">
          <cell r="B2267">
            <v>92115</v>
          </cell>
          <cell r="C2267" t="str">
            <v>DOSADOR DE AREIA, CAPACIDADE DE 26 LITROS - JUROS. AF_05/2023</v>
          </cell>
          <cell r="D2267" t="str">
            <v>H</v>
          </cell>
          <cell r="E2267">
            <v>0.05</v>
          </cell>
          <cell r="F2267">
            <v>0</v>
          </cell>
        </row>
        <row r="2268">
          <cell r="B2268">
            <v>92116</v>
          </cell>
          <cell r="C2268" t="str">
            <v>DOSADOR DE AREIA, CAPACIDADE DE 26 LITROS - MANUTENÇÃO. AF_05/2023</v>
          </cell>
          <cell r="D2268" t="str">
            <v>H</v>
          </cell>
          <cell r="E2268">
            <v>0.17</v>
          </cell>
          <cell r="F2268">
            <v>0</v>
          </cell>
        </row>
        <row r="2269">
          <cell r="B2269">
            <v>102912</v>
          </cell>
          <cell r="C2269" t="str">
            <v>ENCERADEIRA INDUSTRIAL, 400 MM, 220V, 1 HP - DEPRECIAÇÃO. AF_05/2023</v>
          </cell>
          <cell r="D2269" t="str">
            <v>H</v>
          </cell>
          <cell r="E2269">
            <v>0</v>
          </cell>
        </row>
        <row r="2270">
          <cell r="B2270">
            <v>102913</v>
          </cell>
          <cell r="C2270" t="str">
            <v>ENCERADEIRA INDUSTRIAL, 400 MM, 220V, 1 HP - JUROS. AF_05/2023</v>
          </cell>
          <cell r="D2270" t="str">
            <v>H</v>
          </cell>
          <cell r="E2270">
            <v>0</v>
          </cell>
        </row>
        <row r="2271">
          <cell r="B2271">
            <v>102914</v>
          </cell>
          <cell r="C2271" t="str">
            <v>ENCERADEIRA INDUSTRIAL, 400 MM, 220V, 1 HP - MANUTENÇÃO. AF_05/2023</v>
          </cell>
          <cell r="D2271" t="str">
            <v>H</v>
          </cell>
          <cell r="E2271">
            <v>0</v>
          </cell>
        </row>
        <row r="2272">
          <cell r="B2272">
            <v>102915</v>
          </cell>
          <cell r="C2272" t="str">
            <v>ENCERADEIRA INDUSTRIAL, 400 MM, 220V, 1 HP - MATERIAIS NA OPERAÇÃO. AF_05/2023</v>
          </cell>
          <cell r="D2272" t="str">
            <v>H</v>
          </cell>
          <cell r="E2272">
            <v>0.54</v>
          </cell>
          <cell r="F2272">
            <v>0</v>
          </cell>
        </row>
        <row r="2273">
          <cell r="B2273">
            <v>95716</v>
          </cell>
          <cell r="C2273" t="str">
            <v>ESCAVADEIRA HIDRAULICA SOBRE ESTEIRA, EQUIPADA COM CLAMSHELL, COM CAPACIDADE DA CAÇAMBA ENTRE 1,20 E 1,50 M3, PESO OPERACIONAL ENTRE 20,00 E 22,00 TON, POTENCIA LIQUIDA ENTRE 150 E 160 HP - DEPRECIAÇÃO. AF_11/2016</v>
          </cell>
          <cell r="D2273" t="str">
            <v>H</v>
          </cell>
          <cell r="E2273">
            <v>65.709999999999994</v>
          </cell>
          <cell r="F2273">
            <v>0</v>
          </cell>
        </row>
        <row r="2274">
          <cell r="B2274">
            <v>95717</v>
          </cell>
          <cell r="C2274" t="str">
            <v>ESCAVADEIRA HIDRAULICA SOBRE ESTEIRA, EQUIPADA COM CLAMSHELL, COM CAPACIDADE DA CAÇAMBA ENTRE 1,20 E 1,50 M3, PESO OPERACIONAL ENTRE 20,00 E 22,00 TON, POTENCIA LIQUIDA ENTRE 150 E 160 HP - JUROS. AF_11/2016</v>
          </cell>
          <cell r="D2274" t="str">
            <v>H</v>
          </cell>
          <cell r="E2274">
            <v>17.36</v>
          </cell>
          <cell r="F2274">
            <v>0</v>
          </cell>
        </row>
        <row r="2275">
          <cell r="B2275">
            <v>95718</v>
          </cell>
          <cell r="C2275" t="str">
            <v>ESCAVADEIRA HIDRAULICA SOBRE ESTEIRA, EQUIPADA COM CLAMSHELL, COM CAPACIDADE DA CAÇAMBA ENTRE 1,20 E 1,50 M3, PESO OPERACIONAL ENTRE 20,00 E 22,00 TON, POTENCIA LIQUIDA ENTRE 150 E 160 HP - MANUTENÇÃO. AF_11/2016</v>
          </cell>
          <cell r="D2275" t="str">
            <v>H</v>
          </cell>
          <cell r="E2275">
            <v>82.13</v>
          </cell>
          <cell r="F2275">
            <v>0</v>
          </cell>
        </row>
        <row r="2276">
          <cell r="B2276">
            <v>95719</v>
          </cell>
          <cell r="C2276" t="str">
            <v>ESCAVADEIRA HIDRAULICA SOBRE ESTEIRA, EQUIPADA COM CLAMSHELL, COM CAPACIDADE DA CAÇAMBA ENTRE 1,20 E 1,50 M3, PESO OPERACIONAL ENTRE 20,00 E 22,00 TON, POTENCIA LIQUIDA ENTRE 150 E 160 HP - MATERIAIS NA OPERAÇÃO. AF_11/2016</v>
          </cell>
          <cell r="D2276" t="str">
            <v>H</v>
          </cell>
          <cell r="E2276">
            <v>91.08</v>
          </cell>
          <cell r="F2276">
            <v>0</v>
          </cell>
        </row>
        <row r="2277">
          <cell r="B2277">
            <v>104712</v>
          </cell>
          <cell r="C2277" t="str">
            <v>ESCAVADEIRA HIDRÁULICA DE BRAÇO LONGO (LONGO ALCANCE) SOBRE ESTEIRAS, CAÇAMBA 0,52 M3, PESO OPERACIONAL 24 T, POTÊNCIA LÍQUIDA 155 HP - DEPRECIAÇÃO. AF_06/2023</v>
          </cell>
          <cell r="D2277" t="str">
            <v>H</v>
          </cell>
          <cell r="E2277">
            <v>61.76</v>
          </cell>
          <cell r="F2277">
            <v>0</v>
          </cell>
        </row>
        <row r="2278">
          <cell r="B2278">
            <v>104713</v>
          </cell>
          <cell r="C2278" t="str">
            <v>ESCAVADEIRA HIDRÁULICA DE BRAÇO LONGO (LONGO ALCANCE) SOBRE ESTEIRAS, CAÇAMBA 0,52 M3, PESO OPERACIONAL 24 T, POTÊNCIA LÍQUIDA 155 HP - JUROS. AF_06/2023</v>
          </cell>
          <cell r="D2278" t="str">
            <v>H</v>
          </cell>
          <cell r="E2278">
            <v>16.32</v>
          </cell>
          <cell r="F2278">
            <v>0</v>
          </cell>
        </row>
        <row r="2279">
          <cell r="B2279">
            <v>104714</v>
          </cell>
          <cell r="C2279" t="str">
            <v>ESCAVADEIRA HIDRÁULICA DE BRAÇO LONGO (LONGO ALCANCE) SOBRE ESTEIRAS, CAÇAMBA 0,52 M3, PESO OPERACIONAL 24 T, POTÊNCIA LÍQUIDA 155 HP - MANUTENÇÃO. AF_06/2023</v>
          </cell>
          <cell r="D2279" t="str">
            <v>H</v>
          </cell>
          <cell r="E2279">
            <v>77.2</v>
          </cell>
          <cell r="F2279">
            <v>0</v>
          </cell>
        </row>
        <row r="2280">
          <cell r="B2280">
            <v>104715</v>
          </cell>
          <cell r="C2280" t="str">
            <v>ESCAVADEIRA HIDRÁULICA DE BRAÇO LONGO (LONGO ALCANCE) SOBRE ESTEIRAS, CAÇAMBA 0,52 M3, PESO OPERACIONAL 24 T, POTÊNCIA LÍQUIDA 155 HP - MATERIAIS NA OPERAÇÃO. AF_06/2023</v>
          </cell>
          <cell r="D2280" t="str">
            <v>H</v>
          </cell>
          <cell r="E2280">
            <v>91.08</v>
          </cell>
          <cell r="F2280">
            <v>0</v>
          </cell>
        </row>
        <row r="2281">
          <cell r="B2281">
            <v>106394</v>
          </cell>
          <cell r="C2281" t="str">
            <v>ESCAVADEIRA HIDRÁULICA SOBRE ESTEIRA, PESO OPERACIONAL 21,00 T, POTÊNCIA NOMINAL 155 HP, COM MARTELO VIBRATÓRIO HIDRÁULICO *1200 A 2200* KG - DEPRECIAÇÃO. AF_11/2025</v>
          </cell>
          <cell r="D2281" t="str">
            <v>H</v>
          </cell>
          <cell r="E2281">
            <v>0</v>
          </cell>
        </row>
        <row r="2282">
          <cell r="B2282">
            <v>106395</v>
          </cell>
          <cell r="C2282" t="str">
            <v>ESCAVADEIRA HIDRÁULICA SOBRE ESTEIRA, PESO OPERACIONAL 21,00 T, POTÊNCIA NOMINAL 155 HP, COM MARTELO VIBRATÓRIO HIDRÁULICO *1200 A 2200* KG - JUROS. AF_11/2025</v>
          </cell>
          <cell r="D2282" t="str">
            <v>H</v>
          </cell>
          <cell r="E2282">
            <v>0</v>
          </cell>
        </row>
        <row r="2283">
          <cell r="B2283">
            <v>106396</v>
          </cell>
          <cell r="C2283" t="str">
            <v>ESCAVADEIRA HIDRÁULICA SOBRE ESTEIRA, PESO OPERACIONAL 21,00 T, POTÊNCIA NOMINAL 155 HP, COM MARTELO VIBRATÓRIO HIDRÁULICO *1200 A 2200* KG - MANUTENÇÃO. AF_11/2025</v>
          </cell>
          <cell r="D2283" t="str">
            <v>H</v>
          </cell>
          <cell r="E2283">
            <v>0</v>
          </cell>
        </row>
        <row r="2284">
          <cell r="B2284">
            <v>106397</v>
          </cell>
          <cell r="C2284" t="str">
            <v>ESCAVADEIRA HIDRÁULICA SOBRE ESTEIRA, PESO OPERACIONAL 21,00 T, POTÊNCIA NOMINAL 155 HP, COM MARTELO VIBRATÓRIO HIDRÁULICO *1200 A 2200* KG - MATERIAIS NA OPERAÇÃO. AF_11/2025</v>
          </cell>
          <cell r="D2284" t="str">
            <v>H</v>
          </cell>
          <cell r="E2284">
            <v>91.08</v>
          </cell>
          <cell r="F2284">
            <v>0</v>
          </cell>
        </row>
        <row r="2285">
          <cell r="B2285">
            <v>106400</v>
          </cell>
          <cell r="C2285" t="str">
            <v>ESCAVADEIRA HIDRÁULICA SOBRE ESTEIRA, PESO OPERACIONAL 21,00 T, POTÊNCIA NOMINAL 155 HP, COM TORRE DE CRAVAÇÃO PARA EXECUÇÃO DE GEODRENO VERTICAL, LANÇA DE 32 M, PARA DRENO FIBROQUÍMICO DE LARGURA PADRÃO (100 MM) - DEPRECIAÇÃO. AF_12/2025</v>
          </cell>
          <cell r="D2285" t="str">
            <v>H</v>
          </cell>
          <cell r="E2285">
            <v>0</v>
          </cell>
        </row>
        <row r="2286">
          <cell r="B2286">
            <v>106401</v>
          </cell>
          <cell r="C2286" t="str">
            <v>ESCAVADEIRA HIDRÁULICA SOBRE ESTEIRA, PESO OPERACIONAL 21,00 T, POTÊNCIA NOMINAL 155 HP, COM TORRE DE CRAVAÇÃO PARA EXECUÇÃO DE GEODRENO VERTICAL, LANÇA DE 32 M, PARA DRENO FIBROQUÍMICO DE LARGURA PADRÃO (100 MM) - JUROS. AF_12/2025</v>
          </cell>
          <cell r="D2286" t="str">
            <v>H</v>
          </cell>
          <cell r="E2286">
            <v>0</v>
          </cell>
        </row>
        <row r="2287">
          <cell r="B2287">
            <v>106402</v>
          </cell>
          <cell r="C2287" t="str">
            <v>ESCAVADEIRA HIDRÁULICA SOBRE ESTEIRA, PESO OPERACIONAL 21,00 T, POTÊNCIA NOMINAL 155 HP, COM TORRE DE CRAVAÇÃO PARA EXECUÇÃO DE GEODRENO VERTICAL, LANÇA DE 32 M, PARA DRENO FIBROQUÍMICO DE LARGURA PADRÃO (100 MM) - MANUTENÇÃO. AF_12/2025</v>
          </cell>
          <cell r="D2287" t="str">
            <v>H</v>
          </cell>
          <cell r="E2287">
            <v>0</v>
          </cell>
        </row>
        <row r="2288">
          <cell r="B2288">
            <v>106403</v>
          </cell>
          <cell r="C2288" t="str">
            <v>ESCAVADEIRA HIDRÁULICA SOBRE ESTEIRA, PESO OPERACIONAL 21,00 T, POTÊNCIA NOMINAL 155 HP, COM TORRE DE CRAVAÇÃO PARA EXECUÇÃO DE GEODRENO VERTICAL, LANÇA DE 32 M, PARA DRENO FIBROQUÍMICO DE LARGURA PADRÃO (100 MM) - MATERIAIS NA OPERAÇÃO. AF_12/2025</v>
          </cell>
          <cell r="D2288" t="str">
            <v>H</v>
          </cell>
          <cell r="E2288">
            <v>91.08</v>
          </cell>
          <cell r="F2288">
            <v>0</v>
          </cell>
        </row>
        <row r="2289">
          <cell r="B2289">
            <v>102894</v>
          </cell>
          <cell r="C2289" t="str">
            <v>ESCAVADEIRA HIDRÁULICA SOBRE ESTEIRA, PESO OPERACIONAL ENTRE 22,00 E 23,50 T, POTÊNCIA NOMINAL 139 HP, COM MARTELO ROMPEDOR HIDRÁULICO 1700 KG - DEPRECIAÇÃO. AF_04/2019</v>
          </cell>
          <cell r="D2289" t="str">
            <v>H</v>
          </cell>
          <cell r="E2289">
            <v>0</v>
          </cell>
        </row>
        <row r="2290">
          <cell r="B2290">
            <v>104161</v>
          </cell>
          <cell r="C2290" t="str">
            <v>ESCAVADEIRA HIDRÁULICA SOBRE ESTEIRA, PESO OPERACIONAL ENTRE 22,00 E 23,50 T, POTÊNCIA NOMINAL 139 HP, COM MARTELO ROMPEDOR HIDRÁULICO 1700 KG - JUROS. AF_04/2019</v>
          </cell>
          <cell r="D2290" t="str">
            <v>H</v>
          </cell>
          <cell r="E2290">
            <v>0</v>
          </cell>
        </row>
        <row r="2291">
          <cell r="B2291">
            <v>102896</v>
          </cell>
          <cell r="C2291" t="str">
            <v>ESCAVADEIRA HIDRÁULICA SOBRE ESTEIRA, PESO OPERACIONAL ENTRE 22,00 E 23,50 T, POTÊNCIA NOMINAL 139 HP, COM MARTELO ROMPEDOR HIDRÁULICO 1700 KG - MANUTENÇÃO. AF_04/2019</v>
          </cell>
          <cell r="D2291" t="str">
            <v>H</v>
          </cell>
          <cell r="E2291">
            <v>0</v>
          </cell>
        </row>
        <row r="2292">
          <cell r="B2292">
            <v>102897</v>
          </cell>
          <cell r="C2292" t="str">
            <v>ESCAVADEIRA HIDRÁULICA SOBRE ESTEIRA, PESO OPERACIONAL ENTRE 22,00 E 23,50 T, POTÊNCIA NOMINAL 139 HP, COM MARTELO ROMPEDOR HIDRÁULICO 1700 KG - MATERIAIS NA OPERAÇÃO. AF_04/2019</v>
          </cell>
          <cell r="D2292" t="str">
            <v>H</v>
          </cell>
          <cell r="E2292">
            <v>91.08</v>
          </cell>
          <cell r="F2292">
            <v>0</v>
          </cell>
        </row>
        <row r="2293">
          <cell r="B2293">
            <v>5627</v>
          </cell>
          <cell r="C2293" t="str">
            <v>ESCAVADEIRA HIDRÁULICA SOBRE ESTEIRAS, CAÇAMBA 0,80 M3, PESO OPERACIONAL 17 T, POTENCIA BRUTA 111 HP - DEPRECIAÇÃO. AF_06/2014</v>
          </cell>
          <cell r="D2293" t="str">
            <v>H</v>
          </cell>
          <cell r="E2293">
            <v>47.45</v>
          </cell>
          <cell r="F2293">
            <v>0</v>
          </cell>
        </row>
        <row r="2294">
          <cell r="B2294">
            <v>5628</v>
          </cell>
          <cell r="C2294" t="str">
            <v>ESCAVADEIRA HIDRÁULICA SOBRE ESTEIRAS, CAÇAMBA 0,80 M3, PESO OPERACIONAL 17 T, POTENCIA BRUTA 111 HP - JUROS. AF_06/2014</v>
          </cell>
          <cell r="D2294" t="str">
            <v>H</v>
          </cell>
          <cell r="E2294">
            <v>12.54</v>
          </cell>
          <cell r="F2294">
            <v>0</v>
          </cell>
        </row>
        <row r="2295">
          <cell r="B2295">
            <v>5629</v>
          </cell>
          <cell r="C2295" t="str">
            <v>ESCAVADEIRA HIDRÁULICA SOBRE ESTEIRAS, CAÇAMBA 0,80 M3, PESO OPERACIONAL 17 T, POTENCIA BRUTA 111 HP - MANUTENÇÃO. AF_06/2014</v>
          </cell>
          <cell r="D2295" t="str">
            <v>H</v>
          </cell>
          <cell r="E2295">
            <v>59.31</v>
          </cell>
          <cell r="F2295">
            <v>0</v>
          </cell>
        </row>
        <row r="2296">
          <cell r="B2296">
            <v>5630</v>
          </cell>
          <cell r="C2296" t="str">
            <v>ESCAVADEIRA HIDRÁULICA SOBRE ESTEIRAS, CAÇAMBA 0,80 M3, PESO OPERACIONAL 17 T, POTENCIA BRUTA 111 HP - MATERIAIS NA OPERAÇÃO. AF_06/2014</v>
          </cell>
          <cell r="D2296" t="str">
            <v>H</v>
          </cell>
          <cell r="E2296">
            <v>65.260000000000005</v>
          </cell>
          <cell r="F2296">
            <v>0</v>
          </cell>
        </row>
        <row r="2297">
          <cell r="B2297">
            <v>88900</v>
          </cell>
          <cell r="C2297" t="str">
            <v>ESCAVADEIRA HIDRÁULICA SOBRE ESTEIRAS, CAÇAMBA 1,20 M3, PESO OPERACIONAL 21 T, POTÊNCIA BRUTA 155 HP - DEPRECIAÇÃO. AF_06/2014</v>
          </cell>
          <cell r="D2297" t="str">
            <v>H</v>
          </cell>
          <cell r="E2297">
            <v>53.69</v>
          </cell>
          <cell r="F2297">
            <v>0</v>
          </cell>
        </row>
        <row r="2298">
          <cell r="B2298">
            <v>88902</v>
          </cell>
          <cell r="C2298" t="str">
            <v>ESCAVADEIRA HIDRÁULICA SOBRE ESTEIRAS, CAÇAMBA 1,20 M3, PESO OPERACIONAL 21 T, POTÊNCIA BRUTA 155 HP - JUROS. AF_06/2014</v>
          </cell>
          <cell r="D2298" t="str">
            <v>H</v>
          </cell>
          <cell r="E2298">
            <v>14.19</v>
          </cell>
          <cell r="F2298">
            <v>0</v>
          </cell>
        </row>
        <row r="2299">
          <cell r="B2299">
            <v>88903</v>
          </cell>
          <cell r="C2299" t="str">
            <v>ESCAVADEIRA HIDRÁULICA SOBRE ESTEIRAS, CAÇAMBA 1,20 M3, PESO OPERACIONAL 21 T, POTÊNCIA BRUTA 155 HP - MANUTENÇÃO. AF_06/2014</v>
          </cell>
          <cell r="D2299" t="str">
            <v>H</v>
          </cell>
          <cell r="E2299">
            <v>67.11</v>
          </cell>
          <cell r="F2299">
            <v>0</v>
          </cell>
        </row>
        <row r="2300">
          <cell r="B2300">
            <v>88904</v>
          </cell>
          <cell r="C2300" t="str">
            <v>ESCAVADEIRA HIDRÁULICA SOBRE ESTEIRAS, CAÇAMBA 1,20 M3, PESO OPERACIONAL 21 T, POTÊNCIA BRUTA 155 HP - MATERIAIS NA OPERAÇÃO. AF_06/2014</v>
          </cell>
          <cell r="D2300" t="str">
            <v>H</v>
          </cell>
          <cell r="E2300">
            <v>91.08</v>
          </cell>
          <cell r="F2300">
            <v>0</v>
          </cell>
        </row>
        <row r="2301">
          <cell r="B2301">
            <v>88569</v>
          </cell>
          <cell r="C2301" t="str">
            <v>ESPARGIDOR DE ASFALTO PRESSURIZADO COM TANQUE DE 2500 L, REBOCÁVEL COM MOTOR A GASOLINA POTÊNCIA 3,4 HP - DEPRECIAÇÃO. AF_07/2014</v>
          </cell>
          <cell r="D2301" t="str">
            <v>H</v>
          </cell>
          <cell r="E2301">
            <v>4.21</v>
          </cell>
          <cell r="F2301">
            <v>0</v>
          </cell>
        </row>
        <row r="2302">
          <cell r="B2302">
            <v>88570</v>
          </cell>
          <cell r="C2302" t="str">
            <v>ESPARGIDOR DE ASFALTO PRESSURIZADO COM TANQUE DE 2500 L, REBOCÁVEL COM MOTOR A GASOLINA POTÊNCIA 3,4 HP - JUROS. AF_07/2014</v>
          </cell>
          <cell r="D2302" t="str">
            <v>H</v>
          </cell>
          <cell r="E2302">
            <v>1.46</v>
          </cell>
          <cell r="F2302">
            <v>0</v>
          </cell>
        </row>
        <row r="2303">
          <cell r="B2303">
            <v>5765</v>
          </cell>
          <cell r="C2303" t="str">
            <v>ESPARGIDOR DE ASFALTO PRESSURIZADO COM TANQUE DE 2500 L, REBOCÁVEL COM MOTOR A GASOLINA POTÊNCIA 3,4 HP - MANUTENÇÃO. AF_07/2014</v>
          </cell>
          <cell r="D2303" t="str">
            <v>H</v>
          </cell>
          <cell r="E2303">
            <v>5.27</v>
          </cell>
          <cell r="F2303">
            <v>0</v>
          </cell>
        </row>
        <row r="2304">
          <cell r="B2304">
            <v>5766</v>
          </cell>
          <cell r="C2304" t="str">
            <v>ESPARGIDOR DE ASFALTO PRESSURIZADO COM TANQUE DE 2500 L, REBOCÁVEL COM MOTOR A GASOLINA POTÊNCIA 3,4 HP - MATERIAIS NA OPERAÇÃO. AF_07/2014</v>
          </cell>
          <cell r="D2304" t="str">
            <v>H</v>
          </cell>
          <cell r="E2304">
            <v>2.95</v>
          </cell>
          <cell r="F2304">
            <v>0</v>
          </cell>
        </row>
        <row r="2305">
          <cell r="B2305">
            <v>91468</v>
          </cell>
          <cell r="C2305" t="str">
            <v>ESPARGIDOR DE ASFALTO PRESSURIZADO, TANQUE 6 M3 COM ISOLAÇÃO TÉRMICA, AQUECIDO COM 2 MAÇARICOS, COM BARRA ESPARGIDORA 3,60 M, MONTADO SOBRE CAMINHÃO TOCO, PBT 14.300 KG, POTÊNCIA 185 CV - DEPRECIAÇÃO. AF_05/2023</v>
          </cell>
          <cell r="D2305" t="str">
            <v>H</v>
          </cell>
          <cell r="E2305">
            <v>27.43</v>
          </cell>
          <cell r="F2305">
            <v>0</v>
          </cell>
        </row>
        <row r="2306">
          <cell r="B2306">
            <v>91484</v>
          </cell>
          <cell r="C2306" t="str">
            <v>ESPARGIDOR DE ASFALTO PRESSURIZADO, TANQUE 6 M3 COM ISOLAÇÃO TÉRMICA, AQUECIDO COM 2 MAÇARICOS, COM BARRA ESPARGIDORA 3,60 M, MONTADO SOBRE CAMINHÃO TOCO, PBT 14.300 KG, POTÊNCIA 185 CV - IMPOSTOS E SEGUROS. AF_05/2023</v>
          </cell>
          <cell r="D2306" t="str">
            <v>H</v>
          </cell>
          <cell r="E2306">
            <v>4.32</v>
          </cell>
          <cell r="F2306">
            <v>0</v>
          </cell>
        </row>
        <row r="2307">
          <cell r="B2307">
            <v>91469</v>
          </cell>
          <cell r="C2307" t="str">
            <v>ESPARGIDOR DE ASFALTO PRESSURIZADO, TANQUE 6 M3 COM ISOLAÇÃO TÉRMICA, AQUECIDO COM 2 MAÇARICOS, COM BARRA ESPARGIDORA 3,60 M, MONTADO SOBRE CAMINHÃO TOCO, PBT 14.300 KG, POTÊNCIA 185 CV - JUROS. AF_05/2023</v>
          </cell>
          <cell r="D2307" t="str">
            <v>H</v>
          </cell>
          <cell r="E2307">
            <v>10.69</v>
          </cell>
          <cell r="F2307">
            <v>0</v>
          </cell>
        </row>
        <row r="2308">
          <cell r="B2308">
            <v>83361</v>
          </cell>
          <cell r="C2308" t="str">
            <v>ESPARGIDOR DE ASFALTO PRESSURIZADO, TANQUE 6 M3 COM ISOLAÇÃO TÉRMICA, AQUECIDO COM 2 MAÇARICOS, COM BARRA ESPARGIDORA 3,60 M, MONTADO SOBRE CAMINHÃO TOCO, PBT 14.300 KG, POTÊNCIA 185 CV - MANUTENÇÃO. AF_08/2015</v>
          </cell>
          <cell r="D2308" t="str">
            <v>H</v>
          </cell>
          <cell r="E2308">
            <v>45.77</v>
          </cell>
          <cell r="F2308">
            <v>0</v>
          </cell>
        </row>
        <row r="2309">
          <cell r="B2309">
            <v>91485</v>
          </cell>
          <cell r="C2309" t="str">
            <v>ESPARGIDOR DE ASFALTO PRESSURIZADO, TANQUE 6 M3 COM ISOLAÇÃO TÉRMICA, AQUECIDO COM 2 MAÇARICOS, COM BARRA ESPARGIDORA 3,60 M, MONTADO SOBRE CAMINHÃO TOCO, PBT 14.300 KG, POTÊNCIA 185 CV - MATERIAIS NA OPERAÇÃO. AF_05/2023</v>
          </cell>
          <cell r="D2309" t="str">
            <v>H</v>
          </cell>
          <cell r="E2309">
            <v>156.77000000000001</v>
          </cell>
          <cell r="F2309">
            <v>0</v>
          </cell>
        </row>
        <row r="2310">
          <cell r="B2310">
            <v>102835</v>
          </cell>
          <cell r="C2310" t="str">
            <v>ESTABILIZADOR DE LINHA E PRESSÃO, CAPACIDADE DE 120 BAR, COM MANÔMETRO DE LEITURA, REGISTRO DE 1 COM RETORNO E LINHA - DEPRECIAÇÃO. AF_05/2023</v>
          </cell>
          <cell r="D2310" t="str">
            <v>H</v>
          </cell>
          <cell r="E2310">
            <v>0</v>
          </cell>
        </row>
        <row r="2311">
          <cell r="B2311">
            <v>102836</v>
          </cell>
          <cell r="C2311" t="str">
            <v>ESTABILIZADOR DE LINHA E PRESSÃO, CAPACIDADE DE 120 BAR, COM MANÔMETRO DE LEITURA, REGISTRO DE 1 COM RETORNO E LINHA - JUROS. AF_05/2023</v>
          </cell>
          <cell r="D2311" t="str">
            <v>H</v>
          </cell>
          <cell r="E2311">
            <v>0</v>
          </cell>
        </row>
        <row r="2312">
          <cell r="B2312">
            <v>102837</v>
          </cell>
          <cell r="C2312" t="str">
            <v>ESTABILIZADOR DE LINHA E PRESSÃO, CAPACIDADE DE 120 BAR, COM MANÔMETRO DE LEITURA, REGISTRO DE 1 COM RETORNO E LINHA - MANUTENÇÃO. AF_05/2023</v>
          </cell>
          <cell r="D2312" t="str">
            <v>H</v>
          </cell>
          <cell r="E2312">
            <v>0</v>
          </cell>
        </row>
        <row r="2313">
          <cell r="B2313">
            <v>89230</v>
          </cell>
          <cell r="C2313" t="str">
            <v>FRESADORA DE ASFALTO A FRIO SOBRE RODAS, LARGURA FRESAGEM DE 1,0 M, POTÊNCIA 208 HP - DEPRECIAÇÃO. AF_11/2014</v>
          </cell>
          <cell r="D2313" t="str">
            <v>H</v>
          </cell>
          <cell r="E2313">
            <v>125.01</v>
          </cell>
          <cell r="F2313">
            <v>0</v>
          </cell>
        </row>
        <row r="2314">
          <cell r="B2314">
            <v>89231</v>
          </cell>
          <cell r="C2314" t="str">
            <v>FRESADORA DE ASFALTO A FRIO SOBRE RODAS, LARGURA FRESAGEM DE 1,0 M, POTÊNCIA 208 HP - JUROS. AF_11/2014</v>
          </cell>
          <cell r="D2314" t="str">
            <v>H</v>
          </cell>
          <cell r="E2314">
            <v>38.28</v>
          </cell>
          <cell r="F2314">
            <v>0</v>
          </cell>
        </row>
        <row r="2315">
          <cell r="B2315">
            <v>89232</v>
          </cell>
          <cell r="C2315" t="str">
            <v>FRESADORA DE ASFALTO A FRIO SOBRE RODAS, LARGURA FRESAGEM DE 1,0 M, POTÊNCIA 208 HP - MANUTENÇÃO. AF_11/2014</v>
          </cell>
          <cell r="D2315" t="str">
            <v>H</v>
          </cell>
          <cell r="E2315">
            <v>222.98</v>
          </cell>
          <cell r="F2315">
            <v>0</v>
          </cell>
        </row>
        <row r="2316">
          <cell r="B2316">
            <v>89233</v>
          </cell>
          <cell r="C2316" t="str">
            <v>FRESADORA DE ASFALTO A FRIO SOBRE RODAS, LARGURA FRESAGEM DE 1,0 M, POTÊNCIA 208 HP - MATERIAIS NA OPERAÇÃO. AF_11/2014</v>
          </cell>
          <cell r="D2316" t="str">
            <v>H</v>
          </cell>
          <cell r="E2316">
            <v>169.25</v>
          </cell>
          <cell r="F2316">
            <v>0</v>
          </cell>
        </row>
        <row r="2317">
          <cell r="B2317">
            <v>89236</v>
          </cell>
          <cell r="C2317" t="str">
            <v>FRESADORA DE ASFALTO A FRIO SOBRE RODAS, LARGURA FRESAGEM DE 2,0 M, POTÊNCIA 550 HP - DEPRECIAÇÃO. AF_11/2014</v>
          </cell>
          <cell r="D2317" t="str">
            <v>H</v>
          </cell>
          <cell r="E2317">
            <v>292.02</v>
          </cell>
          <cell r="F2317">
            <v>0</v>
          </cell>
        </row>
        <row r="2318">
          <cell r="B2318">
            <v>89237</v>
          </cell>
          <cell r="C2318" t="str">
            <v>FRESADORA DE ASFALTO A FRIO SOBRE RODAS, LARGURA FRESAGEM DE 2,0 M, POTÊNCIA 550 HP - JUROS. AF_11/2014</v>
          </cell>
          <cell r="D2318" t="str">
            <v>H</v>
          </cell>
          <cell r="E2318">
            <v>89.42</v>
          </cell>
          <cell r="F2318">
            <v>0</v>
          </cell>
        </row>
        <row r="2319">
          <cell r="B2319">
            <v>89238</v>
          </cell>
          <cell r="C2319" t="str">
            <v>FRESADORA DE ASFALTO A FRIO SOBRE RODAS, LARGURA FRESAGEM DE 2,0 M, POTÊNCIA 550 HP - MANUTENÇÃO. AF_11/2014</v>
          </cell>
          <cell r="D2319" t="str">
            <v>H</v>
          </cell>
          <cell r="E2319">
            <v>520.89</v>
          </cell>
          <cell r="F2319">
            <v>0</v>
          </cell>
        </row>
        <row r="2320">
          <cell r="B2320">
            <v>89239</v>
          </cell>
          <cell r="C2320" t="str">
            <v>FRESADORA DE ASFALTO A FRIO SOBRE RODAS, LARGURA FRESAGEM DE 2,0 M, POTÊNCIA 550 HP - MATERIAIS NA OPERAÇÃO. AF_11/2014</v>
          </cell>
          <cell r="D2320" t="str">
            <v>H</v>
          </cell>
          <cell r="E2320">
            <v>447.59</v>
          </cell>
          <cell r="F2320">
            <v>0</v>
          </cell>
        </row>
        <row r="2321">
          <cell r="B2321">
            <v>102930</v>
          </cell>
          <cell r="C2321" t="str">
            <v>FURADEIRA ELETROMAGNÉTICA, VELOCIDADE (SEM CARGA/ COM CARGA) 450/ 270 RPM, ESPESSURA MÁXIMA DA CHAPA A SER FURADA 50 MM, PORÇA DE ADESÃO MAGNÉTICA 17000 N, POTÊNCIA 1100 W, ALIMENTÇÃO 220 - 60 HZ, MONOFÁSICA - DEPRECIAÇÃO. AF_08/2019</v>
          </cell>
          <cell r="D2321" t="str">
            <v>H</v>
          </cell>
          <cell r="E2321">
            <v>0</v>
          </cell>
        </row>
        <row r="2322">
          <cell r="B2322">
            <v>102931</v>
          </cell>
          <cell r="C2322" t="str">
            <v>FURADEIRA ELETROMAGNÉTICA, VELOCIDADE (SEM CARGA/ COM CARGA) 450/ 270 RPM, ESPESSURA MÁXIMA DA CHAPA A SER FURADA 50 MM, PORÇA DE ADESÃO MAGNÉTICA 17000 N, POTÊNCIA 1100 W, ALIMENTÇÃO 220 - 60 HZ, MONOFÁSICA - JUROS. AF_08/2019</v>
          </cell>
          <cell r="D2322" t="str">
            <v>H</v>
          </cell>
          <cell r="E2322">
            <v>0</v>
          </cell>
        </row>
        <row r="2323">
          <cell r="B2323">
            <v>102932</v>
          </cell>
          <cell r="C2323" t="str">
            <v>FURADEIRA ELETROMAGNÉTICA, VELOCIDADE (SEM CARGA/ COM CARGA) 450/ 270 RPM, ESPESSURA MÁXIMA DA CHAPA A SER FURADA 50 MM, PORÇA DE ADESÃO MAGNÉTICA 17000 N, POTÊNCIA 1100 W, ALIMENTÇÃO 220 - 60 HZ, MONOFÁSICA - MANUTENÇÃO. AF_08/2019</v>
          </cell>
          <cell r="D2323" t="str">
            <v>H</v>
          </cell>
          <cell r="E2323">
            <v>0</v>
          </cell>
        </row>
        <row r="2324">
          <cell r="B2324">
            <v>102933</v>
          </cell>
          <cell r="C2324" t="str">
            <v>FURADEIRA ELETROMAGNÉTICA, VELOCIDADE (SEM CARGA/ COM CARGA) 450/ 270 RPM, ESPESSURA MÁXIMA DA CHAPA A SER FURADA 50 MM, PORÇA DE ADESÃO MAGNÉTICA 17000 N, POTÊNCIA 1100 W, ALIMENTÇÃO 220 - 60 HZ, MONOFÁSICA - MATERIAIS NA OPERAÇÃO. AF_08/2019</v>
          </cell>
          <cell r="D2324" t="str">
            <v>H</v>
          </cell>
          <cell r="E2324">
            <v>0.81</v>
          </cell>
          <cell r="F2324">
            <v>0</v>
          </cell>
        </row>
        <row r="2325">
          <cell r="B2325">
            <v>93411</v>
          </cell>
          <cell r="C2325" t="str">
            <v>GERADOR PORTÁTIL MONOFÁSICO, POTÊNCIA 5500 VA, MOTOR A GASOLINA, POTÊNCIA DO MOTOR 13 CV - DEPRECIAÇÃO. AF_03/2016</v>
          </cell>
          <cell r="D2325" t="str">
            <v>H</v>
          </cell>
          <cell r="E2325">
            <v>0.37</v>
          </cell>
          <cell r="F2325">
            <v>0</v>
          </cell>
        </row>
        <row r="2326">
          <cell r="B2326">
            <v>93412</v>
          </cell>
          <cell r="C2326" t="str">
            <v>GERADOR PORTÁTIL MONOFÁSICO, POTÊNCIA 5500 VA, MOTOR A GASOLINA, POTÊNCIA DO MOTOR 13 CV - JUROS. AF_03/2016</v>
          </cell>
          <cell r="D2326" t="str">
            <v>H</v>
          </cell>
          <cell r="E2326">
            <v>0.13</v>
          </cell>
          <cell r="F2326">
            <v>0</v>
          </cell>
        </row>
        <row r="2327">
          <cell r="B2327">
            <v>93413</v>
          </cell>
          <cell r="C2327" t="str">
            <v>GERADOR PORTÁTIL MONOFÁSICO, POTÊNCIA 5500 VA, MOTOR A GASOLINA, POTÊNCIA DO MOTOR 13 CV - MANUTENÇÃO. AF_03/2016</v>
          </cell>
          <cell r="D2327" t="str">
            <v>H</v>
          </cell>
          <cell r="E2327">
            <v>0.33</v>
          </cell>
          <cell r="F2327">
            <v>0</v>
          </cell>
        </row>
        <row r="2328">
          <cell r="B2328">
            <v>93414</v>
          </cell>
          <cell r="C2328" t="str">
            <v>GERADOR PORTÁTIL MONOFÁSICO, POTÊNCIA 5500 VA, MOTOR A GASOLINA, POTÊNCIA DO MOTOR 13 CV - MATERIAIS NA OPERAÇÃO. AF_03/2016</v>
          </cell>
          <cell r="D2328" t="str">
            <v>H</v>
          </cell>
          <cell r="E2328">
            <v>11.21</v>
          </cell>
          <cell r="F2328">
            <v>0</v>
          </cell>
        </row>
        <row r="2329">
          <cell r="B2329">
            <v>88855</v>
          </cell>
          <cell r="C2329" t="str">
            <v>GRADE DE DISCO CONTROLE REMOTO REBOCÁVEL, COM 24 DISCOS 24" X 6 MM COM PNEUS PARA TRANSPORTE - DEPRECIAÇÃO. AF_06/2014</v>
          </cell>
          <cell r="D2329" t="str">
            <v>H</v>
          </cell>
          <cell r="E2329">
            <v>3.21</v>
          </cell>
          <cell r="F2329">
            <v>0</v>
          </cell>
        </row>
        <row r="2330">
          <cell r="B2330">
            <v>88856</v>
          </cell>
          <cell r="C2330" t="str">
            <v>GRADE DE DISCO CONTROLE REMOTO REBOCÁVEL, COM 24 DISCOS 24" X 6 MM COM PNEUS PARA TRANSPORTE - JUROS. AF_06/2014</v>
          </cell>
          <cell r="D2330" t="str">
            <v>H</v>
          </cell>
          <cell r="E2330">
            <v>0.88</v>
          </cell>
          <cell r="F2330">
            <v>0</v>
          </cell>
        </row>
        <row r="2331">
          <cell r="B2331">
            <v>5658</v>
          </cell>
          <cell r="C2331" t="str">
            <v>GRADE DE DISCO CONTROLE REMOTO REBOCÁVEL, COM 24 DISCOS 24" X 6 MM COM PNEUS PARA TRANSPORTE - MANUTENÇÃO. AF_06/2014</v>
          </cell>
          <cell r="D2331" t="str">
            <v>H</v>
          </cell>
          <cell r="E2331">
            <v>2.23</v>
          </cell>
          <cell r="F2331">
            <v>0</v>
          </cell>
        </row>
        <row r="2332">
          <cell r="B2332">
            <v>53840</v>
          </cell>
          <cell r="C2332" t="str">
            <v>GRADE DE DISCO REBOCÁVEL COM 20 DISCOS 24" X 6 MM COM PNEUS PARA TRANSPORTE - DEPRECIAÇÃO. AF_06/2014</v>
          </cell>
          <cell r="D2332" t="str">
            <v>H</v>
          </cell>
          <cell r="E2332">
            <v>2.5099999999999998</v>
          </cell>
          <cell r="F2332">
            <v>0</v>
          </cell>
        </row>
        <row r="2333">
          <cell r="B2333">
            <v>87026</v>
          </cell>
          <cell r="C2333" t="str">
            <v>GRADE DE DISCO REBOCÁVEL COM 20 DISCOS 24" X 6 MM COM PNEUS PARA TRANSPORTE - JUROS. AF_06/2014</v>
          </cell>
          <cell r="D2333" t="str">
            <v>H</v>
          </cell>
          <cell r="E2333">
            <v>0.69</v>
          </cell>
          <cell r="F2333">
            <v>0</v>
          </cell>
        </row>
        <row r="2334">
          <cell r="B2334">
            <v>53841</v>
          </cell>
          <cell r="C2334" t="str">
            <v>GRADE DE DISCO REBOCÁVEL COM 20 DISCOS 24" X 6 MM COM PNEUS PARA TRANSPORTE - MANUTENÇÃO. AF_06/2014</v>
          </cell>
          <cell r="D2334" t="str">
            <v>H</v>
          </cell>
          <cell r="E2334">
            <v>1.74</v>
          </cell>
          <cell r="F2334">
            <v>0</v>
          </cell>
        </row>
        <row r="2335">
          <cell r="B2335">
            <v>95209</v>
          </cell>
          <cell r="C2335" t="str">
            <v>GRUA ASCENCIONAL, LANCA DE 42 M, CAPACIDADE DE 1,5 T A 30 M, ALTURA ATE 39 M JUROS. AF_05/2023</v>
          </cell>
          <cell r="D2335" t="str">
            <v>H</v>
          </cell>
          <cell r="E2335">
            <v>12.51</v>
          </cell>
          <cell r="F2335">
            <v>0</v>
          </cell>
        </row>
        <row r="2336">
          <cell r="B2336">
            <v>95210</v>
          </cell>
          <cell r="C2336" t="str">
            <v>GRUA ASCENCIONAL, LANCA DE 42 M, CAPACIDADE DE 1,5 T A 30 M, ALTURA ATE 39 M MANUTENÇÃO. AF_05/2023</v>
          </cell>
          <cell r="D2336" t="str">
            <v>H</v>
          </cell>
          <cell r="E2336">
            <v>59.2</v>
          </cell>
          <cell r="F2336">
            <v>0</v>
          </cell>
        </row>
        <row r="2337">
          <cell r="B2337">
            <v>95211</v>
          </cell>
          <cell r="C2337" t="str">
            <v>GRUA ASCENCIONAL, LANCA DE 42 M, CAPACIDADE DE 1,5 T A 30 M, ALTURA ATE 39 M MATERIAIS NA OPERAÇÃO. AF_05/2023</v>
          </cell>
          <cell r="D2337" t="str">
            <v>H</v>
          </cell>
          <cell r="E2337">
            <v>8.1300000000000008</v>
          </cell>
          <cell r="F2337">
            <v>0</v>
          </cell>
        </row>
        <row r="2338">
          <cell r="B2338">
            <v>93267</v>
          </cell>
          <cell r="C2338" t="str">
            <v>GRUA ASCENCIONAL, LANÇA DE 30 M, CAPACIDADE DE 1,0 T A 30 M, ALTURA ATÉ 39 M DEPRECIAÇÃO. AF_05/2023</v>
          </cell>
          <cell r="D2338" t="str">
            <v>H</v>
          </cell>
          <cell r="E2338">
            <v>26.87</v>
          </cell>
          <cell r="F2338">
            <v>0</v>
          </cell>
        </row>
        <row r="2339">
          <cell r="B2339">
            <v>93269</v>
          </cell>
          <cell r="C2339" t="str">
            <v>GRUA ASCENCIONAL, LANÇA DE 30 M, CAPACIDADE DE 1,0 T A 30 M, ALTURA ATÉ 39 M JUROS. AF_05/2023</v>
          </cell>
          <cell r="D2339" t="str">
            <v>H</v>
          </cell>
          <cell r="E2339">
            <v>10.07</v>
          </cell>
          <cell r="F2339">
            <v>0</v>
          </cell>
        </row>
        <row r="2340">
          <cell r="B2340">
            <v>93270</v>
          </cell>
          <cell r="C2340" t="str">
            <v>GRUA ASCENCIONAL, LANÇA DE 30 M, CAPACIDADE DE 1,0 T A 30 M, ALTURA ATÉ 39 M MANUTENÇÃO. AF_05/2023</v>
          </cell>
          <cell r="D2340" t="str">
            <v>H</v>
          </cell>
          <cell r="E2340">
            <v>26.12</v>
          </cell>
          <cell r="F2340">
            <v>0</v>
          </cell>
        </row>
        <row r="2341">
          <cell r="B2341">
            <v>93271</v>
          </cell>
          <cell r="C2341" t="str">
            <v>GRUA ASCENCIONAL, LANÇA DE 30 M, CAPACIDADE DE 1,0 T A 30 M, ALTURA ATÉ 39 M MATERIAIS NA OPERAÇÃO. AF_05/2023</v>
          </cell>
          <cell r="D2341" t="str">
            <v>H</v>
          </cell>
          <cell r="E2341">
            <v>8.1300000000000008</v>
          </cell>
          <cell r="F2341">
            <v>0</v>
          </cell>
        </row>
        <row r="2342">
          <cell r="B2342">
            <v>95208</v>
          </cell>
          <cell r="C2342" t="str">
            <v>GRUA ASCENCIONAL, LANÇA DE 42 M, CAPACIDADE DE 1,5 T A 30 M, ALTURA ATÉ 39 M DEPRECIAÇÃO. AF_05/2023</v>
          </cell>
          <cell r="D2342" t="str">
            <v>H</v>
          </cell>
          <cell r="E2342">
            <v>54.13</v>
          </cell>
          <cell r="F2342">
            <v>0</v>
          </cell>
        </row>
        <row r="2343">
          <cell r="B2343">
            <v>83761</v>
          </cell>
          <cell r="C2343" t="str">
            <v>GRUPO DE SOLDAGEM COM GERADOR A DIESEL 60 CV PARA SOLDA ELÉTRICA, SOBRE 04 RODAS, COM MOTOR 4 CILINDROS 600 A - DEPRECIAÇÃO. AF_02/2016</v>
          </cell>
          <cell r="D2343" t="str">
            <v>H</v>
          </cell>
          <cell r="E2343">
            <v>10.38</v>
          </cell>
          <cell r="F2343">
            <v>0</v>
          </cell>
        </row>
        <row r="2344">
          <cell r="B2344">
            <v>83764</v>
          </cell>
          <cell r="C2344" t="str">
            <v>GRUPO DE SOLDAGEM COM GERADOR A DIESEL 60 CV PARA SOLDA ELÉTRICA, SOBRE 04 RODAS, COM MOTOR 4 CILINDROS 600 A - JUROS. AF_02/2016</v>
          </cell>
          <cell r="D2344" t="str">
            <v>H</v>
          </cell>
          <cell r="E2344">
            <v>3.66</v>
          </cell>
          <cell r="F2344">
            <v>0</v>
          </cell>
        </row>
        <row r="2345">
          <cell r="B2345">
            <v>83762</v>
          </cell>
          <cell r="C2345" t="str">
            <v>GRUPO DE SOLDAGEM COM GERADOR A DIESEL 60 CV PARA SOLDA ELÉTRICA, SOBRE 04 RODAS, COM MOTOR 4 CILINDROS 600 A - MANUTENÇÃO. AF_02/2016</v>
          </cell>
          <cell r="D2345" t="str">
            <v>H</v>
          </cell>
          <cell r="E2345">
            <v>9.27</v>
          </cell>
          <cell r="F2345">
            <v>0</v>
          </cell>
        </row>
        <row r="2346">
          <cell r="B2346">
            <v>83763</v>
          </cell>
          <cell r="C2346" t="str">
            <v>GRUPO DE SOLDAGEM COM GERADOR A DIESEL 60 CV PARA SOLDA ELÉTRICA, SOBRE 04 RODAS, COM MOTOR 4 CILINDROS 600 A - MATERIAIS NA OPERAÇÃO. AF_02/2016</v>
          </cell>
          <cell r="D2346" t="str">
            <v>H</v>
          </cell>
          <cell r="E2346">
            <v>50.84</v>
          </cell>
          <cell r="F2346">
            <v>0</v>
          </cell>
        </row>
        <row r="2347">
          <cell r="B2347">
            <v>95874</v>
          </cell>
          <cell r="C2347" t="str">
            <v>GRUPO GERADOR COM CARENAGEM, MOTOR DIESEL POTÊNCIA STANDART ENTRE 250 E 260 KVA - DEPRECIAÇÃO. AF_12/2016</v>
          </cell>
          <cell r="D2347" t="str">
            <v>H</v>
          </cell>
          <cell r="E2347">
            <v>11.09</v>
          </cell>
          <cell r="F2347">
            <v>0</v>
          </cell>
        </row>
        <row r="2348">
          <cell r="B2348">
            <v>95869</v>
          </cell>
          <cell r="C2348" t="str">
            <v>GRUPO GERADOR COM CARENAGEM, MOTOR DIESEL POTÊNCIA STANDART ENTRE 250 E 260 KVA - JUROS. AF_12/2016</v>
          </cell>
          <cell r="D2348" t="str">
            <v>H</v>
          </cell>
          <cell r="E2348">
            <v>3.91</v>
          </cell>
          <cell r="F2348">
            <v>0</v>
          </cell>
        </row>
        <row r="2349">
          <cell r="B2349">
            <v>95870</v>
          </cell>
          <cell r="C2349" t="str">
            <v>GRUPO GERADOR COM CARENAGEM, MOTOR DIESEL POTÊNCIA STANDART ENTRE 250 E 260 KVA - MANUTENÇÃO. AF_12/2016</v>
          </cell>
          <cell r="D2349" t="str">
            <v>H</v>
          </cell>
          <cell r="E2349">
            <v>9.9</v>
          </cell>
          <cell r="F2349">
            <v>0</v>
          </cell>
        </row>
        <row r="2350">
          <cell r="B2350">
            <v>95871</v>
          </cell>
          <cell r="C2350" t="str">
            <v>GRUPO GERADOR COM CARENAGEM, MOTOR DIESEL POTÊNCIA STANDART ENTRE 250 E 260 KVA - MATERIAIS NA OPERAÇÃO. AF_12/2016</v>
          </cell>
          <cell r="D2350" t="str">
            <v>H</v>
          </cell>
          <cell r="E2350">
            <v>276.57</v>
          </cell>
          <cell r="F2350">
            <v>0</v>
          </cell>
        </row>
        <row r="2351">
          <cell r="B2351">
            <v>104684</v>
          </cell>
          <cell r="C2351" t="str">
            <v>GRUPO GERADOR DIESEL, COM CARENAGEM, POTÊNCIA STANDART ENTRE 400 E 460 KVA, VELOCIDADE DE 1800 RPM, FREQUÊNCIA DE 60 HZ - DEPRECIAÇÃO. AF_05/2023</v>
          </cell>
          <cell r="D2351" t="str">
            <v>H</v>
          </cell>
          <cell r="E2351">
            <v>0</v>
          </cell>
        </row>
        <row r="2352">
          <cell r="B2352">
            <v>104685</v>
          </cell>
          <cell r="C2352" t="str">
            <v>GRUPO GERADOR DIESEL, COM CARENAGEM, POTÊNCIA STANDART ENTRE 400 E 460 KVA, VELOCIDADE DE 1800 RPM, FREQUÊNCIA DE 60 HZ - JUROS. AF_05/2023</v>
          </cell>
          <cell r="D2352" t="str">
            <v>H</v>
          </cell>
          <cell r="E2352">
            <v>0</v>
          </cell>
        </row>
        <row r="2353">
          <cell r="B2353">
            <v>104686</v>
          </cell>
          <cell r="C2353" t="str">
            <v>GRUPO GERADOR DIESEL, COM CARENAGEM, POTÊNCIA STANDART ENTRE 400 E 460 KVA, VELOCIDADE DE 1800 RPM, FREQUÊNCIA DE 60 HZ - MANUTENÇÃO. AF_05/2023</v>
          </cell>
          <cell r="D2353" t="str">
            <v>H</v>
          </cell>
          <cell r="E2353">
            <v>0</v>
          </cell>
        </row>
        <row r="2354">
          <cell r="B2354">
            <v>104687</v>
          </cell>
          <cell r="C2354" t="str">
            <v>GRUPO GERADOR DIESEL, COM CARENAGEM, POTÊNCIA STANDART ENTRE 400 E 460 KVA, VELOCIDADE DE 1800 RPM, FREQUÊNCIA DE 60 HZ - MATERIAIS NA OPERAÇÃO. AF_05/2023</v>
          </cell>
          <cell r="D2354" t="str">
            <v>H</v>
          </cell>
          <cell r="E2354">
            <v>455.22</v>
          </cell>
          <cell r="F2354">
            <v>0</v>
          </cell>
        </row>
        <row r="2355">
          <cell r="B2355">
            <v>73303</v>
          </cell>
          <cell r="C2355" t="str">
            <v>GRUPO GERADOR ESTACIONÁRIO, MOTOR DIESEL POTÊNCIA 170 KVA - DEPRECIAÇÃO. AF_02/2016</v>
          </cell>
          <cell r="D2355" t="str">
            <v>H</v>
          </cell>
          <cell r="E2355">
            <v>7.79</v>
          </cell>
          <cell r="F2355">
            <v>0</v>
          </cell>
        </row>
        <row r="2356">
          <cell r="B2356">
            <v>93235</v>
          </cell>
          <cell r="C2356" t="str">
            <v>GRUPO GERADOR ESTACIONÁRIO, MOTOR DIESEL POTÊNCIA 170 KVA - JUROS. AF_02/2016</v>
          </cell>
          <cell r="D2356" t="str">
            <v>H</v>
          </cell>
          <cell r="E2356">
            <v>2.74</v>
          </cell>
          <cell r="F2356">
            <v>0</v>
          </cell>
        </row>
        <row r="2357">
          <cell r="B2357">
            <v>73307</v>
          </cell>
          <cell r="C2357" t="str">
            <v>GRUPO GERADOR ESTACIONÁRIO, MOTOR DIESEL POTÊNCIA 170 KVA - MANUTENÇÃO. AF_02/2016</v>
          </cell>
          <cell r="D2357" t="str">
            <v>H</v>
          </cell>
          <cell r="E2357">
            <v>6.95</v>
          </cell>
          <cell r="F2357">
            <v>0</v>
          </cell>
        </row>
        <row r="2358">
          <cell r="B2358">
            <v>73311</v>
          </cell>
          <cell r="C2358" t="str">
            <v>GRUPO GERADOR ESTACIONÁRIO, MOTOR DIESEL POTÊNCIA 170 KVA - MATERIAIS NA OPERAÇÃO. AF_02/2016</v>
          </cell>
          <cell r="D2358" t="str">
            <v>H</v>
          </cell>
          <cell r="E2358">
            <v>180.4</v>
          </cell>
          <cell r="F2358">
            <v>0</v>
          </cell>
        </row>
        <row r="2359">
          <cell r="B2359">
            <v>93423</v>
          </cell>
          <cell r="C2359" t="str">
            <v>GRUPO GERADOR ESTACIONÁRIO, POTÊNCIA 150 KVA, MOTOR A DIESEL- DEPRECIAÇÃO. AF_03/2016</v>
          </cell>
          <cell r="D2359" t="str">
            <v>H</v>
          </cell>
          <cell r="E2359">
            <v>6.94</v>
          </cell>
          <cell r="F2359">
            <v>0</v>
          </cell>
        </row>
        <row r="2360">
          <cell r="B2360">
            <v>93424</v>
          </cell>
          <cell r="C2360" t="str">
            <v>GRUPO GERADOR ESTACIONÁRIO, POTÊNCIA 150 KVA, MOTOR A DIESEL- JUROS. AF_03/2016</v>
          </cell>
          <cell r="D2360" t="str">
            <v>H</v>
          </cell>
          <cell r="E2360">
            <v>2.44</v>
          </cell>
          <cell r="F2360">
            <v>0</v>
          </cell>
        </row>
        <row r="2361">
          <cell r="B2361">
            <v>93425</v>
          </cell>
          <cell r="C2361" t="str">
            <v>GRUPO GERADOR ESTACIONÁRIO, POTÊNCIA 150 KVA, MOTOR A DIESEL- MANUTENÇÃO. AF_03/2016</v>
          </cell>
          <cell r="D2361" t="str">
            <v>H</v>
          </cell>
          <cell r="E2361">
            <v>6.19</v>
          </cell>
          <cell r="F2361">
            <v>0</v>
          </cell>
        </row>
        <row r="2362">
          <cell r="B2362">
            <v>93426</v>
          </cell>
          <cell r="C2362" t="str">
            <v>GRUPO GERADOR ESTACIONÁRIO, POTÊNCIA 150 KVA, MOTOR A DIESEL- MATERIAIS NA OPERAÇÃO. AF_03/2016</v>
          </cell>
          <cell r="D2362" t="str">
            <v>H</v>
          </cell>
          <cell r="E2362">
            <v>162.34</v>
          </cell>
          <cell r="F2362">
            <v>0</v>
          </cell>
        </row>
        <row r="2363">
          <cell r="B2363">
            <v>93417</v>
          </cell>
          <cell r="C2363" t="str">
            <v>GRUPO GERADOR REBOCÁVEL, POTÊNCIA 66 KVA, MOTOR A DIESEL - DEPRECIAÇÃO. AF_03/2016</v>
          </cell>
          <cell r="D2363" t="str">
            <v>H</v>
          </cell>
          <cell r="E2363">
            <v>4.9000000000000004</v>
          </cell>
          <cell r="F2363">
            <v>0</v>
          </cell>
        </row>
        <row r="2364">
          <cell r="B2364">
            <v>93418</v>
          </cell>
          <cell r="C2364" t="str">
            <v>GRUPO GERADOR REBOCÁVEL, POTÊNCIA 66 KVA, MOTOR A DIESEL - JUROS. AF_03/2016</v>
          </cell>
          <cell r="D2364" t="str">
            <v>H</v>
          </cell>
          <cell r="E2364">
            <v>1.72</v>
          </cell>
          <cell r="F2364">
            <v>0</v>
          </cell>
        </row>
        <row r="2365">
          <cell r="B2365">
            <v>93419</v>
          </cell>
          <cell r="C2365" t="str">
            <v>GRUPO GERADOR REBOCÁVEL, POTÊNCIA 66 KVA, MOTOR A DIESEL - MANUTENÇÃO. AF_03/2016</v>
          </cell>
          <cell r="D2365" t="str">
            <v>H</v>
          </cell>
          <cell r="E2365">
            <v>4.37</v>
          </cell>
          <cell r="F2365">
            <v>0</v>
          </cell>
        </row>
        <row r="2366">
          <cell r="B2366">
            <v>93420</v>
          </cell>
          <cell r="C2366" t="str">
            <v>GRUPO GERADOR REBOCÁVEL, POTÊNCIA 66 KVA, MOTOR A DIESEL - MATERIAIS NA OPERAÇÃO. AF_03/2016</v>
          </cell>
          <cell r="D2366" t="str">
            <v>H</v>
          </cell>
          <cell r="E2366">
            <v>67.930000000000007</v>
          </cell>
          <cell r="F2366">
            <v>0</v>
          </cell>
        </row>
        <row r="2367">
          <cell r="B2367">
            <v>93277</v>
          </cell>
          <cell r="C2367" t="str">
            <v>GUINCHO ELÉTRICO DE COLUNA, CAPACIDADE 400 KG, COM MOTO FREIO, MOTOR TRIFÁSICO DE 1,25 CV - DEPRECIAÇÃO. AF_03/2016</v>
          </cell>
          <cell r="D2367" t="str">
            <v>H</v>
          </cell>
          <cell r="E2367">
            <v>0.24</v>
          </cell>
          <cell r="F2367">
            <v>0</v>
          </cell>
        </row>
        <row r="2368">
          <cell r="B2368">
            <v>93278</v>
          </cell>
          <cell r="C2368" t="str">
            <v>GUINCHO ELÉTRICO DE COLUNA, CAPACIDADE 400 KG, COM MOTO FREIO, MOTOR TRIFÁSICO DE 1,25 CV - JUROS. AF_03/2016</v>
          </cell>
          <cell r="D2368" t="str">
            <v>H</v>
          </cell>
          <cell r="E2368">
            <v>0.05</v>
          </cell>
          <cell r="F2368">
            <v>0</v>
          </cell>
        </row>
        <row r="2369">
          <cell r="B2369">
            <v>93279</v>
          </cell>
          <cell r="C2369" t="str">
            <v>GUINCHO ELÉTRICO DE COLUNA, CAPACIDADE 400 KG, COM MOTO FREIO, MOTOR TRIFÁSICO DE 1,25 CV - MANUTENÇÃO. AF_03/2016</v>
          </cell>
          <cell r="D2369" t="str">
            <v>H</v>
          </cell>
          <cell r="E2369">
            <v>0.22</v>
          </cell>
          <cell r="F2369">
            <v>0</v>
          </cell>
        </row>
        <row r="2370">
          <cell r="B2370">
            <v>93280</v>
          </cell>
          <cell r="C2370" t="str">
            <v>GUINCHO ELÉTRICO DE COLUNA, CAPACIDADE 400 KG, COM MOTO FREIO, MOTOR TRIFÁSICO DE 1,25 CV - MATERIAIS NA OPERAÇÃO. AF_03/2016</v>
          </cell>
          <cell r="D2370" t="str">
            <v>H</v>
          </cell>
          <cell r="E2370">
            <v>0.67</v>
          </cell>
          <cell r="F2370">
            <v>0</v>
          </cell>
        </row>
        <row r="2371">
          <cell r="B2371">
            <v>104909</v>
          </cell>
          <cell r="C2371" t="str">
            <v>GUINDASTE DERRICK, LANÇA DE *20* M, CARGA MÁXIMA 10T, POTÊNCIA 45 KW - DEPRECIAÇÃO. AF_01/2024</v>
          </cell>
          <cell r="D2371" t="str">
            <v>H</v>
          </cell>
          <cell r="E2371">
            <v>0</v>
          </cell>
        </row>
        <row r="2372">
          <cell r="B2372">
            <v>104910</v>
          </cell>
          <cell r="C2372" t="str">
            <v>GUINDASTE DERRICK, LANÇA DE *20* M, CARGA MÁXIMA 10T, POTÊNCIA 45 KW - JUROS. AF_01/2024</v>
          </cell>
          <cell r="D2372" t="str">
            <v>H</v>
          </cell>
          <cell r="E2372">
            <v>0</v>
          </cell>
        </row>
        <row r="2373">
          <cell r="B2373">
            <v>104911</v>
          </cell>
          <cell r="C2373" t="str">
            <v>GUINDASTE DERRICK, LANÇA DE *20* M, CARGA MÁXIMA 10T, POTÊNCIA 45 KW - MANUTENÇÃO. AF_01/2024</v>
          </cell>
          <cell r="D2373" t="str">
            <v>H</v>
          </cell>
          <cell r="E2373">
            <v>0</v>
          </cell>
        </row>
        <row r="2374">
          <cell r="B2374">
            <v>104912</v>
          </cell>
          <cell r="C2374" t="str">
            <v>GUINDASTE DERRICK, LANÇA DE *20* M, CARGA MÁXIMA 10T, POTÊNCIA 45 KW - MATERIAIS NA OPERAÇÃO. AF_01/2024</v>
          </cell>
          <cell r="D2374" t="str">
            <v>H</v>
          </cell>
          <cell r="E2374">
            <v>33.270000000000003</v>
          </cell>
          <cell r="F2374">
            <v>0</v>
          </cell>
        </row>
        <row r="2375">
          <cell r="B2375">
            <v>102840</v>
          </cell>
          <cell r="C2375" t="str">
            <v>GUINDASTE HIDRAULICO AUTOPROPELIDO, COM LANÇA TRELIÇADA 40 M, CAPACIDADE MÁXIMA 75 T, EQUIPADO COM CLAMSHELL - DEPRECIAÇÃO. AF_04/2019</v>
          </cell>
          <cell r="D2375" t="str">
            <v>H</v>
          </cell>
          <cell r="E2375">
            <v>0</v>
          </cell>
        </row>
        <row r="2376">
          <cell r="B2376">
            <v>102841</v>
          </cell>
          <cell r="C2376" t="str">
            <v>GUINDASTE HIDRAULICO AUTOPROPELIDO, COM LANÇA TRELIÇADA 40 M, CAPACIDADE MÁXIMA 75 T, EQUIPADO COM CLAMSHELL - JUROS. AF_04/2019</v>
          </cell>
          <cell r="D2376" t="str">
            <v>H</v>
          </cell>
          <cell r="E2376">
            <v>0</v>
          </cell>
        </row>
        <row r="2377">
          <cell r="B2377">
            <v>102842</v>
          </cell>
          <cell r="C2377" t="str">
            <v>GUINDASTE HIDRAULICO AUTOPROPELIDO, COM LANÇA TRELIÇADA 40 M, CAPACIDADE MÁXIMA 75 T, EQUIPADO COM CLAMSHELL - MANUTENÇÃO. AF_04/2019</v>
          </cell>
          <cell r="D2377" t="str">
            <v>H</v>
          </cell>
          <cell r="E2377">
            <v>0</v>
          </cell>
        </row>
        <row r="2378">
          <cell r="B2378">
            <v>102843</v>
          </cell>
          <cell r="C2378" t="str">
            <v>GUINDASTE HIDRAULICO AUTOPROPELIDO, COM LANÇA TRELIÇADA 40 M, CAPACIDADE MÁXIMA 75 T, EQUIPADO COM CLAMSHELL - MATERIAIS NA OPERAÇÃO. AF_04/2019</v>
          </cell>
          <cell r="D2378" t="str">
            <v>H</v>
          </cell>
          <cell r="E2378">
            <v>136.35</v>
          </cell>
          <cell r="F2378">
            <v>0</v>
          </cell>
        </row>
        <row r="2379">
          <cell r="B2379">
            <v>89267</v>
          </cell>
          <cell r="C2379" t="str">
            <v>GUINDASTE HIDRÁULICO AUTOPROPELIDO, COM LANÇA TELESCÓPICA 28,80 M, CAPACIDADE MÁXIMA 30 T, POTÊNCIA 97 KW, TRAÇÃO 4 X 4 - DEPRECIAÇÃO. AF_11/2014</v>
          </cell>
          <cell r="D2379" t="str">
            <v>H</v>
          </cell>
          <cell r="E2379">
            <v>52.21</v>
          </cell>
          <cell r="F2379">
            <v>0</v>
          </cell>
        </row>
        <row r="2380">
          <cell r="B2380">
            <v>89269</v>
          </cell>
          <cell r="C2380" t="str">
            <v>GUINDASTE HIDRÁULICO AUTOPROPELIDO, COM LANÇA TELESCÓPICA 28,80 M, CAPACIDADE MÁXIMA 30 T, POTÊNCIA 97 KW, TRAÇÃO 4 X 4 - IMPOSTOS E SEGUROS. AF_11/2014</v>
          </cell>
          <cell r="D2380" t="str">
            <v>H</v>
          </cell>
          <cell r="E2380">
            <v>7.44</v>
          </cell>
          <cell r="F2380">
            <v>0</v>
          </cell>
        </row>
        <row r="2381">
          <cell r="B2381">
            <v>89268</v>
          </cell>
          <cell r="C2381" t="str">
            <v>GUINDASTE HIDRÁULICO AUTOPROPELIDO, COM LANÇA TELESCÓPICA 28,80 M, CAPACIDADE MÁXIMA 30 T, POTÊNCIA 97 KW, TRAÇÃO 4 X 4 - JUROS. AF_11/2014</v>
          </cell>
          <cell r="D2381" t="str">
            <v>H</v>
          </cell>
          <cell r="E2381">
            <v>18.399999999999999</v>
          </cell>
          <cell r="F2381">
            <v>0</v>
          </cell>
        </row>
        <row r="2382">
          <cell r="B2382">
            <v>89270</v>
          </cell>
          <cell r="C2382" t="str">
            <v>GUINDASTE HIDRÁULICO AUTOPROPELIDO, COM LANÇA TELESCÓPICA 28,80 M, CAPACIDADE MÁXIMA 30 T, POTÊNCIA 97 KW, TRAÇÃO 4 X 4 - MANUTENÇÃO. AF_11/2014</v>
          </cell>
          <cell r="D2382" t="str">
            <v>H</v>
          </cell>
          <cell r="E2382">
            <v>83.94</v>
          </cell>
          <cell r="F2382">
            <v>0</v>
          </cell>
        </row>
        <row r="2383">
          <cell r="B2383">
            <v>89271</v>
          </cell>
          <cell r="C2383" t="str">
            <v>GUINDASTE HIDRÁULICO AUTOPROPELIDO, COM LANÇA TELESCÓPICA 28,80 M, CAPACIDADE MÁXIMA 30 T, POTÊNCIA 97 KW, TRAÇÃO 4 X 4 - MATERIAIS NA OPERAÇÃO. AF_11/2014</v>
          </cell>
          <cell r="D2383" t="str">
            <v>H</v>
          </cell>
          <cell r="E2383">
            <v>29.39</v>
          </cell>
          <cell r="F2383">
            <v>0</v>
          </cell>
        </row>
        <row r="2384">
          <cell r="B2384">
            <v>93283</v>
          </cell>
          <cell r="C2384" t="str">
            <v>GUINDASTE HIDRÁULICO AUTOPROPELIDO, COM LANÇA TELESCÓPICA 40 M, CAPACIDADE MÁXIMA 60 T, POTÊNCIA 260 KW - DEPRECIAÇÃO. AF_03/2016</v>
          </cell>
          <cell r="D2384" t="str">
            <v>H</v>
          </cell>
          <cell r="E2384">
            <v>100.42</v>
          </cell>
          <cell r="F2384">
            <v>0</v>
          </cell>
        </row>
        <row r="2385">
          <cell r="B2385">
            <v>93296</v>
          </cell>
          <cell r="C2385" t="str">
            <v>GUINDASTE HIDRÁULICO AUTOPROPELIDO, COM LANÇA TELESCÓPICA 40 M, CAPACIDADE MÁXIMA 60 T, POTÊNCIA 260 KW - IMPOSTOS E SEGUROS. AF_03/2016</v>
          </cell>
          <cell r="D2385" t="str">
            <v>H</v>
          </cell>
          <cell r="E2385">
            <v>14.3</v>
          </cell>
          <cell r="F2385">
            <v>0</v>
          </cell>
        </row>
        <row r="2386">
          <cell r="B2386">
            <v>93284</v>
          </cell>
          <cell r="C2386" t="str">
            <v>GUINDASTE HIDRÁULICO AUTOPROPELIDO, COM LANÇA TELESCÓPICA 40 M, CAPACIDADE MÁXIMA 60 T, POTÊNCIA 260 KW - JUROS. AF_03/2016</v>
          </cell>
          <cell r="D2386" t="str">
            <v>H</v>
          </cell>
          <cell r="E2386">
            <v>35.39</v>
          </cell>
          <cell r="F2386">
            <v>0</v>
          </cell>
        </row>
        <row r="2387">
          <cell r="B2387">
            <v>93285</v>
          </cell>
          <cell r="C2387" t="str">
            <v>GUINDASTE HIDRÁULICO AUTOPROPELIDO, COM LANÇA TELESCÓPICA 40 M, CAPACIDADE MÁXIMA 60 T, POTÊNCIA 260 KW - MANUTENÇÃO. AF_03/2016</v>
          </cell>
          <cell r="D2387" t="str">
            <v>H</v>
          </cell>
          <cell r="E2387">
            <v>161.41999999999999</v>
          </cell>
          <cell r="F2387">
            <v>0</v>
          </cell>
        </row>
        <row r="2388">
          <cell r="B2388">
            <v>93286</v>
          </cell>
          <cell r="C2388" t="str">
            <v>GUINDASTE HIDRÁULICO AUTOPROPELIDO, COM LANÇA TELESCÓPICA 40 M, CAPACIDADE MÁXIMA 60 T, POTÊNCIA 260 KW - MATERIAIS NA OPERAÇÃO. AF_03/2016</v>
          </cell>
          <cell r="D2388" t="str">
            <v>H</v>
          </cell>
          <cell r="E2388">
            <v>11.31</v>
          </cell>
          <cell r="F2388">
            <v>0</v>
          </cell>
        </row>
        <row r="2389">
          <cell r="B2389">
            <v>104706</v>
          </cell>
          <cell r="C2389" t="str">
            <v>GUINDASTE HIDRÁULICO AUTOPROPELIDO, COM LANÇA TRELICADA 41 M, CAPACIDADE MÁXIMA DE ELEVAÇÃO 43 T, POTÊNCIA 230 KW, EQUIPADO COM CAÇAMBA DE ARRASTO (DRAGLINE) DE 0,76 M3 - DEPRECIAÇÃO. AF_06/2023</v>
          </cell>
          <cell r="D2389" t="str">
            <v>H</v>
          </cell>
          <cell r="E2389">
            <v>0</v>
          </cell>
        </row>
        <row r="2390">
          <cell r="B2390">
            <v>104707</v>
          </cell>
          <cell r="C2390" t="str">
            <v>GUINDASTE HIDRÁULICO AUTOPROPELIDO, COM LANÇA TRELICADA 41 M, CAPACIDADE MÁXIMA DE ELEVAÇÃO 43 T, POTÊNCIA 230 KW, EQUIPADO COM CAÇAMBA DE ARRASTO (DRAGLINE) DE 0,76 M3 - JUROS. AF_06/2023</v>
          </cell>
          <cell r="D2390" t="str">
            <v>H</v>
          </cell>
          <cell r="E2390">
            <v>0</v>
          </cell>
        </row>
        <row r="2391">
          <cell r="B2391">
            <v>104708</v>
          </cell>
          <cell r="C2391" t="str">
            <v>GUINDASTE HIDRÁULICO AUTOPROPELIDO, COM LANÇA TRELICADA 41 M, CAPACIDADE MÁXIMA DE ELEVAÇÃO 43 T, POTÊNCIA 230 KW, EQUIPADO COM CAÇAMBA DE ARRASTO (DRAGLINE) DE 0,76 M3 - MANUTENÇÃO. AF_06/2023</v>
          </cell>
          <cell r="D2391" t="str">
            <v>H</v>
          </cell>
          <cell r="E2391">
            <v>0</v>
          </cell>
        </row>
        <row r="2392">
          <cell r="B2392">
            <v>104709</v>
          </cell>
          <cell r="C2392" t="str">
            <v>GUINDASTE HIDRÁULICO AUTOPROPELIDO, COM LANÇA TRELICADA 41 M, CAPACIDADE MÁXIMA DE ELEVAÇÃO 43 T, POTÊNCIA 230 KW, EQUIPADO COM CAÇAMBA DE ARRASTO (DRAGLINE) DE 0,76 M3 - MATERIAIS NA OPERAÇÃO. AF_06/2023</v>
          </cell>
          <cell r="D2392" t="str">
            <v>H</v>
          </cell>
          <cell r="E2392">
            <v>1184.73</v>
          </cell>
          <cell r="F2392">
            <v>0</v>
          </cell>
        </row>
        <row r="2393">
          <cell r="B2393">
            <v>104903</v>
          </cell>
          <cell r="C2393" t="str">
            <v>GUINDASTE HIDRÁULICO RODOVIÁRIO, LANCA TELESCÓPICA DE *50+20* M, CAPACIDADE MÁXIMA DE 90T, 4 EIXOS, POTÊNCIA 330 KW, MOTOR DIESEL - DEPRECIAÇÃO. AF_01/2024</v>
          </cell>
          <cell r="D2393" t="str">
            <v>H</v>
          </cell>
          <cell r="E2393">
            <v>0</v>
          </cell>
        </row>
        <row r="2394">
          <cell r="B2394">
            <v>104904</v>
          </cell>
          <cell r="C2394" t="str">
            <v>GUINDASTE HIDRÁULICO RODOVIÁRIO, LANCA TELESCÓPICA DE *50+20* M, CAPACIDADE MÁXIMA DE 90T, 4 EIXOS, POTÊNCIA 330 KW, MOTOR DIESEL - JUROS. AF_01/2024</v>
          </cell>
          <cell r="D2394" t="str">
            <v>H</v>
          </cell>
          <cell r="E2394">
            <v>0</v>
          </cell>
        </row>
        <row r="2395">
          <cell r="B2395">
            <v>104905</v>
          </cell>
          <cell r="C2395" t="str">
            <v>GUINDASTE HIDRÁULICO RODOVIÁRIO, LANCA TELESCÓPICA DE *50+20* M, CAPACIDADE MÁXIMA DE 90T, 4 EIXOS, POTÊNCIA 330 KW, MOTOR DIESEL - MANUTENÇÃO. AF_01/2024</v>
          </cell>
          <cell r="D2395" t="str">
            <v>H</v>
          </cell>
          <cell r="E2395">
            <v>0</v>
          </cell>
        </row>
        <row r="2396">
          <cell r="B2396">
            <v>104906</v>
          </cell>
          <cell r="C2396" t="str">
            <v>GUINDASTE HIDRÁULICO RODOVIÁRIO, LANCA TELESCÓPICA DE *50+20* M, CAPACIDADE MÁXIMA DE 90T, 4 EIXOS, POTÊNCIA 330 KW, MOTOR DIESEL - MATERIAIS NA OPERAÇÃO. AF_01/2024</v>
          </cell>
          <cell r="D2396" t="str">
            <v>H</v>
          </cell>
          <cell r="E2396">
            <v>99.99</v>
          </cell>
          <cell r="F2396">
            <v>0</v>
          </cell>
        </row>
        <row r="2397">
          <cell r="B2397">
            <v>102846</v>
          </cell>
          <cell r="C2397" t="str">
            <v>GUINDASTE SOBRE ESTEIRAS, COM LANÇA TRELIÇADA 40 M, CAPACIDADE MÁXIMA 75 T - DEPRECIAÇÃO. AF_04/2019</v>
          </cell>
          <cell r="D2397" t="str">
            <v>H</v>
          </cell>
          <cell r="E2397">
            <v>0</v>
          </cell>
        </row>
        <row r="2398">
          <cell r="B2398">
            <v>102847</v>
          </cell>
          <cell r="C2398" t="str">
            <v>GUINDASTE SOBRE ESTEIRAS, COM LANÇA TRELIÇADA 40 M, CAPACIDADE MÁXIMA 75 T - JUROS. AF_04/2019</v>
          </cell>
          <cell r="D2398" t="str">
            <v>H</v>
          </cell>
          <cell r="E2398">
            <v>0</v>
          </cell>
        </row>
        <row r="2399">
          <cell r="B2399">
            <v>102848</v>
          </cell>
          <cell r="C2399" t="str">
            <v>GUINDASTE SOBRE ESTEIRAS, COM LANÇA TRELIÇADA 40 M, CAPACIDADE MÁXIMA 75 T - MANUTENÇÃO. AF_04/2019</v>
          </cell>
          <cell r="D2399" t="str">
            <v>H</v>
          </cell>
          <cell r="E2399">
            <v>0</v>
          </cell>
        </row>
        <row r="2400">
          <cell r="B2400">
            <v>102849</v>
          </cell>
          <cell r="C2400" t="str">
            <v>GUINDASTE SOBRE ESTEIRAS, COM LANÇA TRELIÇADA 40 M, CAPACIDADE MÁXIMA 75 T - MATERIAIS NA OPERAÇÃO. AF_04/2019</v>
          </cell>
          <cell r="D2400" t="str">
            <v>H</v>
          </cell>
          <cell r="E2400">
            <v>66.66</v>
          </cell>
          <cell r="F2400">
            <v>0</v>
          </cell>
        </row>
        <row r="2401">
          <cell r="B2401">
            <v>102852</v>
          </cell>
          <cell r="C2401" t="str">
            <v>GUINDASTE SOBRE ESTEIRAS, COM LANÇA TRELIÇADA 40 M, CAPACIDADE MÁXIMA 75 T, EQUIPADO COM CLAMSHELL - DEPRECIAÇÃO. AF_04/2019</v>
          </cell>
          <cell r="D2401" t="str">
            <v>H</v>
          </cell>
          <cell r="E2401">
            <v>0</v>
          </cell>
        </row>
        <row r="2402">
          <cell r="B2402">
            <v>102853</v>
          </cell>
          <cell r="C2402" t="str">
            <v>GUINDASTE SOBRE ESTEIRAS, COM LANÇA TRELIÇADA 40 M, CAPACIDADE MÁXIMA 75 T, EQUIPADO COM CLAMSHELL - JUROS. AF_04/2019</v>
          </cell>
          <cell r="D2402" t="str">
            <v>H</v>
          </cell>
          <cell r="E2402">
            <v>0</v>
          </cell>
        </row>
        <row r="2403">
          <cell r="B2403">
            <v>102854</v>
          </cell>
          <cell r="C2403" t="str">
            <v>GUINDASTE SOBRE ESTEIRAS, COM LANÇA TRELIÇADA 40 M, CAPACIDADE MÁXIMA 75 T, EQUIPADO COM CLAMSHELL - MANUTENÇÃO. AF_04/2019</v>
          </cell>
          <cell r="D2403" t="str">
            <v>H</v>
          </cell>
          <cell r="E2403">
            <v>0</v>
          </cell>
        </row>
        <row r="2404">
          <cell r="B2404">
            <v>102855</v>
          </cell>
          <cell r="C2404" t="str">
            <v>GUINDASTE SOBRE ESTEIRAS, COM LANÇA TRELIÇADA 40 M, CAPACIDADE MÁXIMA 75 T, EQUIPADO COM CLAMSHELL - MATERIAIS NA OPERAÇÃO. AF_04/2019</v>
          </cell>
          <cell r="D2404" t="str">
            <v>H</v>
          </cell>
          <cell r="E2404">
            <v>66.66</v>
          </cell>
          <cell r="F2404">
            <v>0</v>
          </cell>
        </row>
        <row r="2405">
          <cell r="B2405">
            <v>106242</v>
          </cell>
          <cell r="C2405" t="str">
            <v>GUINDAUTO HIDRÁULICO, CAPACIDADE MÁXIMA DE CARGA 14340 KG, MOMENTO MÁXIMO DE CARGA 42,3 TM, ALCANCE MÁXIMO HORIZONTAL16,80 M, INCLUSIVE CAMINHÃO TOCO PBT 23.000 KG, POTÊNCIA DE 256 CV - DEPRECIAÇÃO. AF_10/2025</v>
          </cell>
          <cell r="D2405" t="str">
            <v>H</v>
          </cell>
          <cell r="E2405">
            <v>46.99</v>
          </cell>
          <cell r="F2405">
            <v>0</v>
          </cell>
        </row>
        <row r="2406">
          <cell r="B2406">
            <v>106245</v>
          </cell>
          <cell r="C2406" t="str">
            <v>GUINDAUTO HIDRÁULICO, CAPACIDADE MÁXIMA DE CARGA 14340 KG, MOMENTO MÁXIMO DE CARGA 42,3 TM, ALCANCE MÁXIMO HORIZONTAL16,80 M, INCLUSIVE CAMINHÃO TOCO PBT 23.000 KG, POTÊNCIA DE 256 CV - IMPOSTOS E SEGUROS. AF_10/2025</v>
          </cell>
          <cell r="D2406" t="str">
            <v>H</v>
          </cell>
          <cell r="E2406">
            <v>6.46</v>
          </cell>
          <cell r="F2406">
            <v>0</v>
          </cell>
        </row>
        <row r="2407">
          <cell r="B2407">
            <v>106243</v>
          </cell>
          <cell r="C2407" t="str">
            <v>GUINDAUTO HIDRÁULICO, CAPACIDADE MÁXIMA DE CARGA 14340 KG, MOMENTO MÁXIMO DE CARGA 42,3 TM, ALCANCE MÁXIMO HORIZONTAL16,80 M, INCLUSIVE CAMINHÃO TOCO PBT 23.000 KG, POTÊNCIA DE 256 CV - JUROS. AF_10/2025</v>
          </cell>
          <cell r="D2407" t="str">
            <v>H</v>
          </cell>
          <cell r="E2407">
            <v>15.93</v>
          </cell>
          <cell r="F2407">
            <v>0</v>
          </cell>
        </row>
        <row r="2408">
          <cell r="B2408">
            <v>106244</v>
          </cell>
          <cell r="C2408" t="str">
            <v>GUINDAUTO HIDRÁULICO, CAPACIDADE MÁXIMA DE CARGA 14340 KG, MOMENTO MÁXIMO DE CARGA 42,3 TM, ALCANCE MÁXIMO HORIZONTAL16,80 M, INCLUSIVE CAMINHÃO TOCO PBT 23.000 KG, POTÊNCIA DE 256 CV - MANUTENÇÃO. AF_10/2025</v>
          </cell>
          <cell r="D2408" t="str">
            <v>H</v>
          </cell>
          <cell r="E2408">
            <v>73.88</v>
          </cell>
          <cell r="F2408">
            <v>0</v>
          </cell>
        </row>
        <row r="2409">
          <cell r="B2409">
            <v>106246</v>
          </cell>
          <cell r="C2409" t="str">
            <v>GUINDAUTO HIDRÁULICO, CAPACIDADE MÁXIMA DE CARGA 14340 KG, MOMENTO MÁXIMO DE CARGA 42,3 TM, ALCANCE MÁXIMO HORIZONTAL16,80 M, INCLUSIVE CAMINHÃO TOCO PBT 23.000 KG, POTÊNCIA DE 256 CV - MATERIAIS NA OPERAÇÃO. AF_10/2025</v>
          </cell>
          <cell r="D2409" t="str">
            <v>H</v>
          </cell>
          <cell r="E2409">
            <v>159.86000000000001</v>
          </cell>
          <cell r="F2409">
            <v>0</v>
          </cell>
        </row>
        <row r="2410">
          <cell r="B2410">
            <v>93397</v>
          </cell>
          <cell r="C2410" t="str">
            <v>GUINDAUTO HIDRÁULICO, CAPACIDADE MÁXIMA DE CARGA 3300 KG, MOMENTO MÁXIMO DE CARGA 5,8 TM, ALCANCE MÁXIMO HORIZONTAL 7,60 M, INCLUSIVE CAMINHÃO TOCO PBT 16.000 KG, POTÊNCIA DE 189 CV - DEPRECIAÇÃO. AF_03/2016</v>
          </cell>
          <cell r="D2410" t="str">
            <v>H</v>
          </cell>
          <cell r="E2410">
            <v>25.96</v>
          </cell>
          <cell r="F2410">
            <v>0</v>
          </cell>
        </row>
        <row r="2411">
          <cell r="B2411">
            <v>93399</v>
          </cell>
          <cell r="C2411" t="str">
            <v>GUINDAUTO HIDRÁULICO, CAPACIDADE MÁXIMA DE CARGA 3300 KG, MOMENTO MÁXIMO DE CARGA 5,8 TM, ALCANCE MÁXIMO HORIZONTAL 7,60 M, INCLUSIVE CAMINHÃO TOCO PBT 16.000 KG, POTÊNCIA DE 189 CV - IMPOSTOS E SEGUROS. AF_03/2016</v>
          </cell>
          <cell r="D2411" t="str">
            <v>H</v>
          </cell>
          <cell r="E2411">
            <v>3.96</v>
          </cell>
          <cell r="F2411">
            <v>0</v>
          </cell>
        </row>
        <row r="2412">
          <cell r="B2412">
            <v>93398</v>
          </cell>
          <cell r="C2412" t="str">
            <v>GUINDAUTO HIDRÁULICO, CAPACIDADE MÁXIMA DE CARGA 3300 KG, MOMENTO MÁXIMO DE CARGA 5,8 TM, ALCANCE MÁXIMO HORIZONTAL 7,60 M, INCLUSIVE CAMINHÃO TOCO PBT 16.000 KG, POTÊNCIA DE 189 CV - JUROS. AF_03/2016</v>
          </cell>
          <cell r="D2412" t="str">
            <v>H</v>
          </cell>
          <cell r="E2412">
            <v>9.82</v>
          </cell>
          <cell r="F2412">
            <v>0</v>
          </cell>
        </row>
        <row r="2413">
          <cell r="B2413">
            <v>93400</v>
          </cell>
          <cell r="C2413" t="str">
            <v>GUINDAUTO HIDRÁULICO, CAPACIDADE MÁXIMA DE CARGA 3300 KG, MOMENTO MÁXIMO DE CARGA 5,8 TM, ALCANCE MÁXIMO HORIZONTAL 7,60 M, INCLUSIVE CAMINHÃO TOCO PBT 16.000 KG, POTÊNCIA DE 189 CV - MANUTENÇÃO. AF_03/2016</v>
          </cell>
          <cell r="D2413" t="str">
            <v>H</v>
          </cell>
          <cell r="E2413">
            <v>45.12</v>
          </cell>
          <cell r="F2413">
            <v>0</v>
          </cell>
        </row>
        <row r="2414">
          <cell r="B2414">
            <v>93401</v>
          </cell>
          <cell r="C2414" t="str">
            <v>GUINDAUTO HIDRÁULICO, CAPACIDADE MÁXIMA DE CARGA 3300 KG, MOMENTO MÁXIMO DE CARGA 5,8 TM, ALCANCE MÁXIMO HORIZONTAL 7,60 M, INCLUSIVE CAMINHÃO TOCO PBT 16.000 KG, POTÊNCIA DE 189 CV - MATERIAIS NA OPERAÇÃO. AF_03/2016</v>
          </cell>
          <cell r="D2414" t="str">
            <v>H</v>
          </cell>
          <cell r="E2414">
            <v>160.16</v>
          </cell>
          <cell r="F2414">
            <v>0</v>
          </cell>
        </row>
        <row r="2415">
          <cell r="B2415">
            <v>89259</v>
          </cell>
          <cell r="C2415" t="str">
            <v>GUINDAUTO HIDRÁULICO, CAPACIDADE MÁXIMA DE CARGA 6200 KG, MOMENTO MÁXIMO DE CARGA 11,7 TM, ALCANCE MÁXIMO HORIZONTAL 9,70 M, INCLUSIVE CAMINHÃO TOCO PBT 16.000 KG, POTÊNCIA DE 189 CV - DEPRECIAÇÃO. AF_06/2014</v>
          </cell>
          <cell r="D2415" t="str">
            <v>H</v>
          </cell>
          <cell r="E2415">
            <v>28.27</v>
          </cell>
          <cell r="F2415">
            <v>0</v>
          </cell>
        </row>
        <row r="2416">
          <cell r="B2416">
            <v>91466</v>
          </cell>
          <cell r="C2416" t="str">
            <v>GUINDAUTO HIDRÁULICO, CAPACIDADE MÁXIMA DE CARGA 6200 KG, MOMENTO MÁXIMO DE CARGA 11,7 TM, ALCANCE MÁXIMO HORIZONTAL 9,70 M, INCLUSIVE CAMINHÃO TOCO PBT 16.000 KG, POTÊNCIA DE 189 CV - IMPOSTOS E SEGUROS. AF_08/2015</v>
          </cell>
          <cell r="D2416" t="str">
            <v>H</v>
          </cell>
          <cell r="E2416">
            <v>4.21</v>
          </cell>
          <cell r="F2416">
            <v>0</v>
          </cell>
        </row>
        <row r="2417">
          <cell r="B2417">
            <v>89260</v>
          </cell>
          <cell r="C2417" t="str">
            <v>GUINDAUTO HIDRÁULICO, CAPACIDADE MÁXIMA DE CARGA 6200 KG, MOMENTO MÁXIMO DE CARGA 11,7 TM, ALCANCE MÁXIMO HORIZONTAL 9,70 M, INCLUSIVE CAMINHÃO TOCO PBT 16.000 KG, POTÊNCIA DE 189 CV - JUROS. AF_06/2014</v>
          </cell>
          <cell r="D2417" t="str">
            <v>H</v>
          </cell>
          <cell r="E2417">
            <v>10.42</v>
          </cell>
          <cell r="F2417">
            <v>0</v>
          </cell>
        </row>
        <row r="2418">
          <cell r="B2418">
            <v>89262</v>
          </cell>
          <cell r="C2418" t="str">
            <v>GUINDAUTO HIDRÁULICO, CAPACIDADE MÁXIMA DE CARGA 6200 KG, MOMENTO MÁXIMO DE CARGA 11,7 TM, ALCANCE MÁXIMO HORIZONTAL 9,70 M, INCLUSIVE CAMINHÃO TOCO PBT 16.000 KG, POTÊNCIA DE 189 CV - MANUTENÇÃO. AF_06/2014</v>
          </cell>
          <cell r="D2418" t="str">
            <v>H</v>
          </cell>
          <cell r="E2418">
            <v>48.01</v>
          </cell>
          <cell r="F2418">
            <v>0</v>
          </cell>
        </row>
        <row r="2419">
          <cell r="B2419">
            <v>91467</v>
          </cell>
          <cell r="C2419" t="str">
            <v>GUINDAUTO HIDRÁULICO, CAPACIDADE MÁXIMA DE CARGA 6200 KG, MOMENTO MÁXIMO DE CARGA 11,7 TM, ALCANCE MÁXIMO HORIZONTAL 9,70 M, INCLUSIVE CAMINHÃO TOCO PBT 16.000 KG, POTÊNCIA DE 189 CV - MATERIAIS NA OPERAÇÃO. AF_08/2015</v>
          </cell>
          <cell r="D2419" t="str">
            <v>H</v>
          </cell>
          <cell r="E2419">
            <v>160.16</v>
          </cell>
          <cell r="F2419">
            <v>0</v>
          </cell>
        </row>
        <row r="2420">
          <cell r="B2420">
            <v>105839</v>
          </cell>
          <cell r="C2420" t="str">
            <v>GUINDAUTO HIDRÁULICO, CAPACIDADE MÁXIMA DE CARGA 6200 KG, MOMENTO MÁXIMO DE CARGA 11,7 TM, ALCANCE MÁXIMO HORIZONTAL 9,70 M, INCLUSIVE CAMINHÃO TOCO PBT 16.000 KG, POTÊNCIA DE 189 CV E CESTA AÉREA COM ISOLAMENTO CLASSE C - DEPRECIAÇÃO. AF_01/2025</v>
          </cell>
          <cell r="D2420" t="str">
            <v>H</v>
          </cell>
          <cell r="E2420">
            <v>0</v>
          </cell>
        </row>
        <row r="2421">
          <cell r="B2421">
            <v>105842</v>
          </cell>
          <cell r="C2421" t="str">
            <v>GUINDAUTO HIDRÁULICO, CAPACIDADE MÁXIMA DE CARGA 6200 KG, MOMENTO MÁXIMO DE CARGA 11,7 TM, ALCANCE MÁXIMO HORIZONTAL 9,70 M, INCLUSIVE CAMINHÃO TOCO PBT 16.000 KG, POTÊNCIA DE 189 CV E CESTA AÉREA COM ISOLAMENTO CLASSE C - IMPOSTOS E SEGUROS. AF_01/2025</v>
          </cell>
          <cell r="D2421" t="str">
            <v>H</v>
          </cell>
          <cell r="E2421">
            <v>0</v>
          </cell>
        </row>
        <row r="2422">
          <cell r="B2422">
            <v>105840</v>
          </cell>
          <cell r="C2422" t="str">
            <v>GUINDAUTO HIDRÁULICO, CAPACIDADE MÁXIMA DE CARGA 6200 KG, MOMENTO MÁXIMO DE CARGA 11,7 TM, ALCANCE MÁXIMO HORIZONTAL 9,70 M, INCLUSIVE CAMINHÃO TOCO PBT 16.000 KG, POTÊNCIA DE 189 CV E CESTA AÉREA COM ISOLAMENTO CLASSE C - JUROS. AF_01/2025</v>
          </cell>
          <cell r="D2422" t="str">
            <v>H</v>
          </cell>
          <cell r="E2422">
            <v>0</v>
          </cell>
        </row>
        <row r="2423">
          <cell r="B2423">
            <v>105841</v>
          </cell>
          <cell r="C2423" t="str">
            <v>GUINDAUTO HIDRÁULICO, CAPACIDADE MÁXIMA DE CARGA 6200 KG, MOMENTO MÁXIMO DE CARGA 11,7 TM, ALCANCE MÁXIMO HORIZONTAL 9,70 M, INCLUSIVE CAMINHÃO TOCO PBT 16.000 KG, POTÊNCIA DE 189 CV E CESTA AÉREA COM ISOLAMENTO CLASSE C - MANUTENÇÃO. AF_01/2025</v>
          </cell>
          <cell r="D2423" t="str">
            <v>H</v>
          </cell>
          <cell r="E2423">
            <v>0</v>
          </cell>
        </row>
        <row r="2424">
          <cell r="B2424">
            <v>105843</v>
          </cell>
          <cell r="C2424" t="str">
            <v>GUINDAUTO HIDRÁULICO, CAPACIDADE MÁXIMA DE CARGA 6200 KG, MOMENTO MÁXIMO DE CARGA 11,7 TM, ALCANCE MÁXIMO HORIZONTAL 9,70 M, INCLUSIVE CAMINHÃO TOCO PBT 16.000 KG, POTÊNCIA DE 189 CV E CESTA AÉREA COM ISOLAMENTO CLASSE C - MATERIAIS NA OPERAÇÃO. AF_01/2025</v>
          </cell>
          <cell r="D2424" t="str">
            <v>H</v>
          </cell>
          <cell r="E2424">
            <v>84.29</v>
          </cell>
          <cell r="F2424">
            <v>0</v>
          </cell>
        </row>
        <row r="2425">
          <cell r="B2425">
            <v>91629</v>
          </cell>
          <cell r="C2425" t="str">
            <v>GUINDAUTO HIDRÁULICO, CAPACIDADE MÁXIMA DE CARGA 6500 KG, MOMENTO MÁXIMO DE CARGA 5,8 TM, ALCANCE MÁXIMO HORIZONTAL 7,60 M, INCLUSIVE CAMINHÃO TOCO PBT 9.700 KG, POTÊNCIA DE 160 CV - DEPRECIAÇÃO. AF_08/2015</v>
          </cell>
          <cell r="D2425" t="str">
            <v>H</v>
          </cell>
          <cell r="E2425">
            <v>22.41</v>
          </cell>
          <cell r="F2425">
            <v>0</v>
          </cell>
        </row>
        <row r="2426">
          <cell r="B2426">
            <v>91631</v>
          </cell>
          <cell r="C2426" t="str">
            <v>GUINDAUTO HIDRÁULICO, CAPACIDADE MÁXIMA DE CARGA 6500 KG, MOMENTO MÁXIMO DE CARGA 5,8 TM, ALCANCE MÁXIMO HORIZONTAL 7,60 M, INCLUSIVE CAMINHÃO TOCO PBT 9.700 KG, POTÊNCIA DE 160 CV - IMPOSTOS E SEGUROS. AF_08/2015</v>
          </cell>
          <cell r="D2426" t="str">
            <v>H</v>
          </cell>
          <cell r="E2426">
            <v>3.37</v>
          </cell>
          <cell r="F2426">
            <v>0</v>
          </cell>
        </row>
        <row r="2427">
          <cell r="B2427">
            <v>91630</v>
          </cell>
          <cell r="C2427" t="str">
            <v>GUINDAUTO HIDRÁULICO, CAPACIDADE MÁXIMA DE CARGA 6500 KG, MOMENTO MÁXIMO DE CARGA 5,8 TM, ALCANCE MÁXIMO HORIZONTAL 7,60 M, INCLUSIVE CAMINHÃO TOCO PBT 9.700 KG, POTÊNCIA DE 160 CV - JUROS. AF_08/2015</v>
          </cell>
          <cell r="D2427" t="str">
            <v>H</v>
          </cell>
          <cell r="E2427">
            <v>8.36</v>
          </cell>
          <cell r="F2427">
            <v>0</v>
          </cell>
        </row>
        <row r="2428">
          <cell r="B2428">
            <v>91632</v>
          </cell>
          <cell r="C2428" t="str">
            <v>GUINDAUTO HIDRÁULICO, CAPACIDADE MÁXIMA DE CARGA 6500 KG, MOMENTO MÁXIMO DE CARGA 5,8 TM, ALCANCE MÁXIMO HORIZONTAL 7,60 M, INCLUSIVE CAMINHÃO TOCO PBT 9.700 KG, POTÊNCIA DE 160 CV - MANUTENÇÃO. AF_08/2015</v>
          </cell>
          <cell r="D2428" t="str">
            <v>H</v>
          </cell>
          <cell r="E2428">
            <v>38.479999999999997</v>
          </cell>
          <cell r="F2428">
            <v>0</v>
          </cell>
        </row>
        <row r="2429">
          <cell r="B2429">
            <v>91633</v>
          </cell>
          <cell r="C2429" t="str">
            <v>GUINDAUTO HIDRÁULICO, CAPACIDADE MÁXIMA DE CARGA 6500 KG, MOMENTO MÁXIMO DE CARGA 5,8 TM, ALCANCE MÁXIMO HORIZONTAL 7,60 M, INCLUSIVE CAMINHÃO TOCO PBT 9.700 KG, POTÊNCIA DE 160 CV - MATERIAIS NA OPERAÇÃO. AF_08/2015</v>
          </cell>
          <cell r="D2429" t="str">
            <v>H</v>
          </cell>
          <cell r="E2429">
            <v>135.56</v>
          </cell>
          <cell r="F2429">
            <v>0</v>
          </cell>
        </row>
        <row r="2430">
          <cell r="B2430">
            <v>105979</v>
          </cell>
          <cell r="C2430" t="str">
            <v>GUINDAUTO HIDRÁULICO, CAPACIDADE MÁXIMA DE CARGA 8500 KG, MOMENTO MÁXIMO DE CARGA 30,4 TM, ALCANCE MÁXIMO HORIZONTAL 14,30 M, INCLUSIVE CAMINHÃO TRUCADO PBT 23.000 KG, POTÊNCIA DE 256 CV E CARROCERIA FIXA ABERTA DE MADEIRA - DEPRECIAÇÃO. AF_05/2025</v>
          </cell>
          <cell r="D2430" t="str">
            <v>H</v>
          </cell>
          <cell r="E2430">
            <v>44.95</v>
          </cell>
          <cell r="F2430">
            <v>0</v>
          </cell>
        </row>
        <row r="2431">
          <cell r="B2431">
            <v>105982</v>
          </cell>
          <cell r="C2431" t="str">
            <v>GUINDAUTO HIDRÁULICO, CAPACIDADE MÁXIMA DE CARGA 8500 KG, MOMENTO MÁXIMO DE CARGA 30,4 TM, ALCANCE MÁXIMO HORIZONTAL 14,30 M, INCLUSIVE CAMINHÃO TRUCADO PBT 23.000 KG, POTÊNCIA DE 256 CV E CARROCERIA FIXA ABERTA DE MADEIRA - IMPOSTOS E SEGUROS. AF_05/2025</v>
          </cell>
          <cell r="D2431" t="str">
            <v>H</v>
          </cell>
          <cell r="E2431">
            <v>6.23</v>
          </cell>
          <cell r="F2431">
            <v>0</v>
          </cell>
        </row>
        <row r="2432">
          <cell r="B2432">
            <v>105980</v>
          </cell>
          <cell r="C2432" t="str">
            <v>GUINDAUTO HIDRÁULICO, CAPACIDADE MÁXIMA DE CARGA 8500 KG, MOMENTO MÁXIMO DE CARGA 30,4 TM, ALCANCE MÁXIMO HORIZONTAL 14,30 M, INCLUSIVE CAMINHÃO TRUCADO PBT 23.000 KG, POTÊNCIA DE 256 CV E CARROCERIA FIXA ABERTA DE MADEIRA - JUROS. AF_05/2025</v>
          </cell>
          <cell r="D2432" t="str">
            <v>H</v>
          </cell>
          <cell r="E2432">
            <v>15.4</v>
          </cell>
          <cell r="F2432">
            <v>0</v>
          </cell>
        </row>
        <row r="2433">
          <cell r="B2433">
            <v>105981</v>
          </cell>
          <cell r="C2433" t="str">
            <v>GUINDAUTO HIDRÁULICO, CAPACIDADE MÁXIMA DE CARGA 8500 KG, MOMENTO MÁXIMO DE CARGA 30,4 TM, ALCANCE MÁXIMO HORIZONTAL 14,30 M, INCLUSIVE CAMINHÃO TRUCADO PBT 23.000 KG, POTÊNCIA DE 256 CV E CARROCERIA FIXA ABERTA DE MADEIRA - MANUTENÇÃO. AF_05/2025</v>
          </cell>
          <cell r="D2433" t="str">
            <v>H</v>
          </cell>
          <cell r="E2433">
            <v>71.34</v>
          </cell>
          <cell r="F2433">
            <v>0</v>
          </cell>
        </row>
        <row r="2434">
          <cell r="B2434">
            <v>105983</v>
          </cell>
          <cell r="C2434" t="str">
            <v>GUINDAUTO HIDRÁULICO, CAPACIDADE MÁXIMA DE CARGA 8500 KG, MOMENTO MÁXIMO DE CARGA 30,4 TM, ALCANCE MÁXIMO HORIZONTAL 14,30 M, INCLUSIVE CAMINHÃO TRUCADO PBT 23.000 KG, POTÊNCIA DE 256 CV E CARROCERIA FIXA ABERTA DE MADEIRA - MATERIAIS NA OPERAÇÃO. AF_05/2025</v>
          </cell>
          <cell r="D2434" t="str">
            <v>H</v>
          </cell>
          <cell r="E2434">
            <v>159.86000000000001</v>
          </cell>
          <cell r="F2434">
            <v>0</v>
          </cell>
        </row>
        <row r="2435">
          <cell r="B2435">
            <v>98760</v>
          </cell>
          <cell r="C2435" t="str">
            <v>INVERSOR DE SOLDA MONOFÁSICO DE 160 A, POTÊNCIA DE 7000 W, TENSÃO DE 220 V, TURBO VENTILADO, PROTEÇÃO POR TERMOSTATO, PARA ELETRODOS DE 2,0 A 4,0 MM - DEPRECIAÇÃO. AF_06/2018</v>
          </cell>
          <cell r="D2435" t="str">
            <v>H</v>
          </cell>
          <cell r="E2435">
            <v>0.05</v>
          </cell>
          <cell r="F2435">
            <v>0</v>
          </cell>
        </row>
        <row r="2436">
          <cell r="B2436">
            <v>98761</v>
          </cell>
          <cell r="C2436" t="str">
            <v>INVERSOR DE SOLDA MONOFÁSICO DE 160 A, POTÊNCIA DE 7000 W, TENSÃO DE 220 V, TURBO VENTILADO, PROTEÇÃO POR TERMOSTATO, PARA ELETRODOS DE 2,0 A 4,0 MM - JUROS. AF_06/2018</v>
          </cell>
          <cell r="D2436" t="str">
            <v>H</v>
          </cell>
          <cell r="E2436">
            <v>0.01</v>
          </cell>
          <cell r="F2436">
            <v>0</v>
          </cell>
        </row>
        <row r="2437">
          <cell r="B2437">
            <v>98762</v>
          </cell>
          <cell r="C2437" t="str">
            <v>INVERSOR DE SOLDA MONOFÁSICO DE 160 A, POTÊNCIA DE 7000 W, TENSÃO DE 220 V, TURBO VENTILADO, PROTEÇÃO POR TERMOSTATO, PARA ELETRODOS DE 2,0 A 4,0 MM - MANUTENÇÃO. AF_06/2018</v>
          </cell>
          <cell r="D2437" t="str">
            <v>H</v>
          </cell>
          <cell r="E2437">
            <v>7.0000000000000007E-2</v>
          </cell>
          <cell r="F2437">
            <v>0</v>
          </cell>
        </row>
        <row r="2438">
          <cell r="B2438">
            <v>98763</v>
          </cell>
          <cell r="C2438" t="str">
            <v>INVERSOR DE SOLDA MONOFÁSICO DE 160 A, POTÊNCIA DE 7000 W, TENSÃO DE 220 V, TURBO VENTILADO, PROTEÇÃO POR TERMOSTATO, PARA ELETRODOS DE 2,0 A 4,0 MM - MATERIAIS NA OPERAÇÃO. AF_06/2018</v>
          </cell>
          <cell r="D2438" t="str">
            <v>H</v>
          </cell>
          <cell r="E2438">
            <v>5.17</v>
          </cell>
          <cell r="F2438">
            <v>0</v>
          </cell>
        </row>
        <row r="2439">
          <cell r="B2439">
            <v>99829</v>
          </cell>
          <cell r="C2439" t="str">
            <v>LAVADORA DE ALTA PRESSAO (LAVA-JATO) PARA AGUA FRIA, PRESSAO DE OPERACAO ENTRE 1400 E 1900 LIB/POL2, VAZAO MAXIMA ENTRE 400 E 700 L/H - DEPRECIAÇÃO. AF_05/2023</v>
          </cell>
          <cell r="D2439" t="str">
            <v>H</v>
          </cell>
          <cell r="E2439">
            <v>0.16</v>
          </cell>
          <cell r="F2439">
            <v>0</v>
          </cell>
        </row>
        <row r="2440">
          <cell r="B2440">
            <v>99830</v>
          </cell>
          <cell r="C2440" t="str">
            <v>LAVADORA DE ALTA PRESSAO (LAVA-JATO) PARA AGUA FRIA, PRESSAO DE OPERACAO ENTRE 1400 E 1900 LIB/POL2, VAZAO MAXIMA ENTRE 400 E 700 L/H - JUROS. AF_05/2023</v>
          </cell>
          <cell r="D2440" t="str">
            <v>H</v>
          </cell>
          <cell r="E2440">
            <v>0.03</v>
          </cell>
          <cell r="F2440">
            <v>0</v>
          </cell>
        </row>
        <row r="2441">
          <cell r="B2441">
            <v>99831</v>
          </cell>
          <cell r="C2441" t="str">
            <v>LAVADORA DE ALTA PRESSAO (LAVA-JATO) PARA AGUA FRIA, PRESSAO DE OPERACAO ENTRE 1400 E 1900 LIB/POL2, VAZAO MAXIMA ENTRE 400 E 700 L/H - MANUTENÇÃO. AF_05/2023</v>
          </cell>
          <cell r="D2441" t="str">
            <v>H</v>
          </cell>
          <cell r="E2441">
            <v>0.11</v>
          </cell>
          <cell r="F2441">
            <v>0</v>
          </cell>
        </row>
        <row r="2442">
          <cell r="B2442">
            <v>99832</v>
          </cell>
          <cell r="C2442" t="str">
            <v>LAVADORA DE ALTA PRESSAO (LAVA-JATO) PARA AGUA FRIA, PRESSAO DE OPERACAO ENTRE 1400 E 1900 LIB/POL2, VAZAO MAXIMA ENTRE 400 E 700 L/H - MATERIAIS NA OPERAÇÃO. AF_05/2023</v>
          </cell>
          <cell r="D2442" t="str">
            <v>H</v>
          </cell>
          <cell r="E2442">
            <v>3.84</v>
          </cell>
          <cell r="F2442">
            <v>0</v>
          </cell>
        </row>
        <row r="2443">
          <cell r="B2443">
            <v>104516</v>
          </cell>
          <cell r="C2443" t="str">
            <v>LIXADEIRA DE PAREDE, COM LED, POTÊNCIA 750 W, FREQUÊNCIA 60 HZ, VELOCIDADE 1000 A 2100 RPM, DIÂMETRO DA LIXA 225 MM - DEPRECIAÇÃO. AF_12/2022</v>
          </cell>
          <cell r="D2443" t="str">
            <v>H</v>
          </cell>
          <cell r="E2443">
            <v>0</v>
          </cell>
        </row>
        <row r="2444">
          <cell r="B2444">
            <v>104517</v>
          </cell>
          <cell r="C2444" t="str">
            <v>LIXADEIRA DE PAREDE, COM LED, POTÊNCIA 750 W, FREQUÊNCIA 60 HZ, VELOCIDADE 1000 A 2100 RPM, DIÂMETRO DA LIXA 225 MM - JUROS. AF_12/2022</v>
          </cell>
          <cell r="D2444" t="str">
            <v>H</v>
          </cell>
          <cell r="E2444">
            <v>0</v>
          </cell>
        </row>
        <row r="2445">
          <cell r="B2445">
            <v>104518</v>
          </cell>
          <cell r="C2445" t="str">
            <v>LIXADEIRA DE PAREDE, COM LED, POTÊNCIA 750 W, FREQUÊNCIA 60 HZ, VELOCIDADE 1000 A 2100 RPM, DIÂMETRO DA LIXA 225 MM - MANUTENÇÃO. AF_12/2022</v>
          </cell>
          <cell r="D2445" t="str">
            <v>H</v>
          </cell>
          <cell r="E2445">
            <v>0</v>
          </cell>
        </row>
        <row r="2446">
          <cell r="B2446">
            <v>104519</v>
          </cell>
          <cell r="C2446" t="str">
            <v>LIXADEIRA DE PAREDE, COM LED, POTÊNCIA 750 W, FREQUÊNCIA 60 HZ, VELOCIDADE 1000 A 2100 RPM, DIÂMETRO DA LIXA 225 MM - MATERIAIS NA OPERAÇÃO. AF_12/2022</v>
          </cell>
          <cell r="D2446" t="str">
            <v>H</v>
          </cell>
          <cell r="E2446">
            <v>0.55000000000000004</v>
          </cell>
          <cell r="F2446">
            <v>0</v>
          </cell>
        </row>
        <row r="2447">
          <cell r="B2447">
            <v>90682</v>
          </cell>
          <cell r="C2447" t="str">
            <v>MANIPULADOR TELESCÓPICO, POTÊNCIA DE 85 HP, CAPACIDADE DE CARGA DE 3.500 KG, ALTURA MÁXIMA DE ELEVAÇÃO DE 12,3 M - DEPRECIAÇÃO. AF_05/2023</v>
          </cell>
          <cell r="D2447" t="str">
            <v>H</v>
          </cell>
          <cell r="E2447">
            <v>38.75</v>
          </cell>
          <cell r="F2447">
            <v>0</v>
          </cell>
        </row>
        <row r="2448">
          <cell r="B2448">
            <v>90683</v>
          </cell>
          <cell r="C2448" t="str">
            <v>MANIPULADOR TELESCÓPICO, POTÊNCIA DE 85 HP, CAPACIDADE DE CARGA DE 3.500 KG, ALTURA MÁXIMA DE ELEVAÇÃO DE 12,3 M - JUROS. AF_05/2023</v>
          </cell>
          <cell r="D2448" t="str">
            <v>H</v>
          </cell>
          <cell r="E2448">
            <v>8.9600000000000009</v>
          </cell>
          <cell r="F2448">
            <v>0</v>
          </cell>
        </row>
        <row r="2449">
          <cell r="B2449">
            <v>90684</v>
          </cell>
          <cell r="C2449" t="str">
            <v>MANIPULADOR TELESCÓPICO, POTÊNCIA DE 85 HP, CAPACIDADE DE CARGA DE 3.500 KG, ALTURA MÁXIMA DE ELEVAÇÃO DE 12,3 M - MANUTENÇÃO. AF_05/2023</v>
          </cell>
          <cell r="D2449" t="str">
            <v>H</v>
          </cell>
          <cell r="E2449">
            <v>42.39</v>
          </cell>
          <cell r="F2449">
            <v>0</v>
          </cell>
        </row>
        <row r="2450">
          <cell r="B2450">
            <v>90685</v>
          </cell>
          <cell r="C2450" t="str">
            <v>MANIPULADOR TELESCÓPICO, POTÊNCIA DE 85 HP, CAPACIDADE DE CARGA DE 3.500 KG, ALTURA MÁXIMA DE ELEVAÇÃO DE 12,3 M - MATERIAIS NA OPERAÇÃO. AF_05/2023</v>
          </cell>
          <cell r="D2450" t="str">
            <v>H</v>
          </cell>
          <cell r="E2450">
            <v>57.63</v>
          </cell>
          <cell r="F2450">
            <v>0</v>
          </cell>
        </row>
        <row r="2451">
          <cell r="B2451">
            <v>95114</v>
          </cell>
          <cell r="C2451" t="str">
            <v>MARTELETE OU ROMPEDOR PNEUMÁTICO MANUAL, 28 KG, COM SILENCIADOR - DEPRECIAÇÃO. AF_07/2016</v>
          </cell>
          <cell r="D2451" t="str">
            <v>H</v>
          </cell>
          <cell r="E2451">
            <v>0.39</v>
          </cell>
          <cell r="F2451">
            <v>0</v>
          </cell>
        </row>
        <row r="2452">
          <cell r="B2452">
            <v>95115</v>
          </cell>
          <cell r="C2452" t="str">
            <v>MARTELETE OU ROMPEDOR PNEUMÁTICO MANUAL, 28 KG, COM SILENCIADOR - JUROS. AF_07/2016</v>
          </cell>
          <cell r="D2452" t="str">
            <v>H</v>
          </cell>
          <cell r="E2452">
            <v>0.09</v>
          </cell>
          <cell r="F2452">
            <v>0</v>
          </cell>
        </row>
        <row r="2453">
          <cell r="B2453">
            <v>53863</v>
          </cell>
          <cell r="C2453" t="str">
            <v>MARTELETE OU ROMPEDOR PNEUMÁTICO MANUAL, 28 KG, COM SILENCIADOR - MANUTENÇÃO. AF_07/2016</v>
          </cell>
          <cell r="D2453" t="str">
            <v>H</v>
          </cell>
          <cell r="E2453">
            <v>0.49</v>
          </cell>
          <cell r="F2453">
            <v>0</v>
          </cell>
        </row>
        <row r="2454">
          <cell r="B2454">
            <v>104652</v>
          </cell>
          <cell r="C2454" t="str">
            <v>MARTELETE PERFURADOR/ ROMPEDOR ELÉTRICO, POTÊNCIA 800 W, 220 V - DEPRECIAÇÃO. AF_05/2023</v>
          </cell>
          <cell r="D2454" t="str">
            <v>H</v>
          </cell>
          <cell r="E2454">
            <v>0</v>
          </cell>
        </row>
        <row r="2455">
          <cell r="B2455">
            <v>104653</v>
          </cell>
          <cell r="C2455" t="str">
            <v>MARTELETE PERFURADOR/ ROMPEDOR ELÉTRICO, POTÊNCIA 800 W, 220 V - JUROS. AF_05/2023</v>
          </cell>
          <cell r="D2455" t="str">
            <v>H</v>
          </cell>
          <cell r="E2455">
            <v>0</v>
          </cell>
        </row>
        <row r="2456">
          <cell r="B2456">
            <v>104654</v>
          </cell>
          <cell r="C2456" t="str">
            <v>MARTELETE PERFURADOR/ ROMPEDOR ELÉTRICO, POTÊNCIA 800 W, 220 V - MANUTENÇÃO. AF_05/2023</v>
          </cell>
          <cell r="D2456" t="str">
            <v>H</v>
          </cell>
          <cell r="E2456">
            <v>0</v>
          </cell>
        </row>
        <row r="2457">
          <cell r="B2457">
            <v>104655</v>
          </cell>
          <cell r="C2457" t="str">
            <v>MARTELETE PERFURADOR/ ROMPEDOR ELÉTRICO, POTÊNCIA 800 W, 220 V - MATERIAIS NA OPERAÇÃO. AF_05/2023</v>
          </cell>
          <cell r="D2457" t="str">
            <v>H</v>
          </cell>
          <cell r="E2457">
            <v>0.59</v>
          </cell>
          <cell r="F2457">
            <v>0</v>
          </cell>
        </row>
        <row r="2458">
          <cell r="B2458">
            <v>102270</v>
          </cell>
          <cell r="C2458" t="str">
            <v>MARTELO DEMOLIDOR ELÉTRICO, COM POTÊNCIA DE 2.000 W, 1.000 IMPACTOS POR MINUTO, PESO DE 30 KG - DEPRECIAÇÃO. AF_01/2021</v>
          </cell>
          <cell r="D2458" t="str">
            <v>H</v>
          </cell>
          <cell r="E2458">
            <v>0.66</v>
          </cell>
          <cell r="F2458">
            <v>0</v>
          </cell>
        </row>
        <row r="2459">
          <cell r="B2459">
            <v>102271</v>
          </cell>
          <cell r="C2459" t="str">
            <v>MARTELO DEMOLIDOR ELÉTRICO, COM POTÊNCIA DE 2.000 W, 1.000 IMPACTOS POR MINUTO, PESO DE 30 KG - JUROS. AF_01/2021</v>
          </cell>
          <cell r="D2459" t="str">
            <v>H</v>
          </cell>
          <cell r="E2459">
            <v>0.15</v>
          </cell>
          <cell r="F2459">
            <v>0</v>
          </cell>
        </row>
        <row r="2460">
          <cell r="B2460">
            <v>102272</v>
          </cell>
          <cell r="C2460" t="str">
            <v>MARTELO DEMOLIDOR ELÉTRICO, COM POTÊNCIA DE 2.000 W, 1.000 IMPACTOS POR MINUTO, PESO DE 30 KG - MANUTENÇÃO. AF_01/2021</v>
          </cell>
          <cell r="D2460" t="str">
            <v>H</v>
          </cell>
          <cell r="E2460">
            <v>0.83</v>
          </cell>
          <cell r="F2460">
            <v>0</v>
          </cell>
        </row>
        <row r="2461">
          <cell r="B2461">
            <v>102273</v>
          </cell>
          <cell r="C2461" t="str">
            <v>MARTELO DEMOLIDOR ELÉTRICO, COM POTÊNCIA DE 2.000 W, 1.000 IMPACTOS POR MINUTO, PESO DE 30 KG - MATERIAIS NA OPERAÇÃO. AF_01/2021</v>
          </cell>
          <cell r="D2461" t="str">
            <v>H</v>
          </cell>
          <cell r="E2461">
            <v>1.47</v>
          </cell>
          <cell r="F2461">
            <v>0</v>
          </cell>
        </row>
        <row r="2462">
          <cell r="B2462">
            <v>95255</v>
          </cell>
          <cell r="C2462" t="str">
            <v>MARTELO DEMOLIDOR PNEUMÁTICO MANUAL, 32 KG - DEPRECIAÇÃO. AF_09/2016</v>
          </cell>
          <cell r="D2462" t="str">
            <v>H</v>
          </cell>
          <cell r="E2462">
            <v>0.79</v>
          </cell>
          <cell r="F2462">
            <v>0</v>
          </cell>
        </row>
        <row r="2463">
          <cell r="B2463">
            <v>95256</v>
          </cell>
          <cell r="C2463" t="str">
            <v>MARTELO DEMOLIDOR PNEUMÁTICO MANUAL, 32 KG - JUROS. AF_09/2016</v>
          </cell>
          <cell r="D2463" t="str">
            <v>H</v>
          </cell>
          <cell r="E2463">
            <v>0.18</v>
          </cell>
          <cell r="F2463">
            <v>0</v>
          </cell>
        </row>
        <row r="2464">
          <cell r="B2464">
            <v>95257</v>
          </cell>
          <cell r="C2464" t="str">
            <v>MARTELO DEMOLIDOR PNEUMÁTICO MANUAL, 32 KG - MANUTENÇÃO. AF_09/2016</v>
          </cell>
          <cell r="D2464" t="str">
            <v>H</v>
          </cell>
          <cell r="E2464">
            <v>0.99</v>
          </cell>
          <cell r="F2464">
            <v>0</v>
          </cell>
        </row>
        <row r="2465">
          <cell r="B2465">
            <v>105913</v>
          </cell>
          <cell r="C2465" t="str">
            <v>MARTELO PERFURADOR PNEUMÁTICO MANUAL, HASTE 19 X 108 MM, *11* KG - DEPRECIAÇÃO. AF_02/2025</v>
          </cell>
          <cell r="D2465" t="str">
            <v>H</v>
          </cell>
          <cell r="E2465">
            <v>0.67</v>
          </cell>
          <cell r="F2465">
            <v>0</v>
          </cell>
        </row>
        <row r="2466">
          <cell r="B2466">
            <v>105914</v>
          </cell>
          <cell r="C2466" t="str">
            <v>MARTELO PERFURADOR PNEUMÁTICO MANUAL, HASTE 19 X 108 MM, *11* KG - JUROS. AF_02/2025</v>
          </cell>
          <cell r="D2466" t="str">
            <v>H</v>
          </cell>
          <cell r="E2466">
            <v>0.15</v>
          </cell>
          <cell r="F2466">
            <v>0</v>
          </cell>
        </row>
        <row r="2467">
          <cell r="B2467">
            <v>105915</v>
          </cell>
          <cell r="C2467" t="str">
            <v>MARTELO PERFURADOR PNEUMÁTICO MANUAL, HASTE 19 X 108 MM, *11* KG - MANUTENÇÃO. AF_02/2025</v>
          </cell>
          <cell r="D2467" t="str">
            <v>H</v>
          </cell>
          <cell r="E2467">
            <v>0.84</v>
          </cell>
          <cell r="F2467">
            <v>0</v>
          </cell>
        </row>
        <row r="2468">
          <cell r="B2468">
            <v>103792</v>
          </cell>
          <cell r="C2468" t="str">
            <v>MINI GUINDASTE ARANHA SOBRE ESTEIRAS E LANCA TELESCÓPICA, CAPACIDADE MÁXIMA DE CARGA 3,0 TON, RAIO MÁXIMO DE TRABALHO 8,25 M, ALTURA DE LANÇA DO SOLO 9,2 M, 55 M DE CABO DE AÇO 8 MM, MOTOR ELÉTRICO 220/380 VOLTS - MATERIAIS NA OPERAÇÃO. AF_03/2022</v>
          </cell>
          <cell r="D2468" t="str">
            <v>H</v>
          </cell>
          <cell r="E2468">
            <v>4.07</v>
          </cell>
          <cell r="F2468">
            <v>0</v>
          </cell>
        </row>
        <row r="2469">
          <cell r="B2469">
            <v>103789</v>
          </cell>
          <cell r="C2469" t="str">
            <v>MINI GUINDASTE ARANHA SOBRE ESTEIRAS E LANCA TELESCÓPICA, CAPACIDADE MÁXIMA DE CARGA 3,0 TON, RAIO MÁXIMO DE TRABALHO 8,25 M, ALTURA DE LANÇA DO SOLO 9,2 M, 55 M DE CABO DE AÇO 8 MM, MOTOR ELÉTRICO 220/380 VOLTS TRIFÁSICO - DEPRECIAÇÃO. AF_03/2022</v>
          </cell>
          <cell r="D2469" t="str">
            <v>H</v>
          </cell>
          <cell r="E2469">
            <v>0</v>
          </cell>
        </row>
        <row r="2470">
          <cell r="B2470">
            <v>103790</v>
          </cell>
          <cell r="C2470" t="str">
            <v>MINI GUINDASTE ARANHA SOBRE ESTEIRAS E LANCA TELESCÓPICA, CAPACIDADE MÁXIMA DE CARGA 3,0 TON, RAIO MÁXIMO DE TRABALHO 8,25 M, ALTURA DE LANÇA DO SOLO 9,2 M, 55 M DE CABO DE AÇO 8 MM, MOTOR ELÉTRICO 220/380 VOLTS TRIFÁSICO - JUROS. AF_03/2022</v>
          </cell>
          <cell r="D2470" t="str">
            <v>H</v>
          </cell>
          <cell r="E2470">
            <v>0</v>
          </cell>
        </row>
        <row r="2471">
          <cell r="B2471">
            <v>103791</v>
          </cell>
          <cell r="C2471" t="str">
            <v>MINI GUINDASTE ARANHA SOBRE ESTEIRAS E LANCA TELESCÓPICA, CAPACIDADE MÁXIMA DE CARGA 3,0 TON, RAIO MÁXIMO DE TRABALHO 8,25 M, ALTURA DE LANÇA DO SOLO 9,2 M, 55 M DE CABO DE AÇO 8 MM, MOTOR ELÉTRICO 220/380 VOLTS TRIFÁSICO - MANUTENÇÃO. AF_03/2022</v>
          </cell>
          <cell r="D2471" t="str">
            <v>H</v>
          </cell>
          <cell r="E2471">
            <v>0</v>
          </cell>
        </row>
        <row r="2472">
          <cell r="B2472">
            <v>96054</v>
          </cell>
          <cell r="C2472" t="str">
            <v>MINICARREGADEIRA SOBRE RODAS POTENCIA 47HP CAPACIDADE OPERACAO 646 KG, COM VASSOURA MECÂNICA ACOPLADA - DEPRECIAÇÃO. AF_03/2017</v>
          </cell>
          <cell r="D2472" t="str">
            <v>H</v>
          </cell>
          <cell r="E2472">
            <v>32.5</v>
          </cell>
          <cell r="F2472">
            <v>0</v>
          </cell>
        </row>
        <row r="2473">
          <cell r="B2473">
            <v>96060</v>
          </cell>
          <cell r="C2473" t="str">
            <v>MINICARREGADEIRA SOBRE RODAS POTENCIA 47HP CAPACIDADE OPERACAO 646 KG, COM VASSOURA MECÂNICA ACOPLADA - JUROS. AF_03/2017</v>
          </cell>
          <cell r="D2473" t="str">
            <v>H</v>
          </cell>
          <cell r="E2473">
            <v>6.66</v>
          </cell>
          <cell r="F2473">
            <v>0</v>
          </cell>
        </row>
        <row r="2474">
          <cell r="B2474">
            <v>96061</v>
          </cell>
          <cell r="C2474" t="str">
            <v>MINICARREGADEIRA SOBRE RODAS POTENCIA 47HP CAPACIDADE OPERACAO 646 KG, COM VASSOURA MECÂNICA ACOPLADA - MANUTENÇÃO. AF_03/2017</v>
          </cell>
          <cell r="D2474" t="str">
            <v>H</v>
          </cell>
          <cell r="E2474">
            <v>40.630000000000003</v>
          </cell>
          <cell r="F2474">
            <v>0</v>
          </cell>
        </row>
        <row r="2475">
          <cell r="B2475">
            <v>96062</v>
          </cell>
          <cell r="C2475" t="str">
            <v>MINICARREGADEIRA SOBRE RODAS POTENCIA 47HP CAPACIDADE OPERACAO 646 KG, COM VASSOURA MECÂNICA ACOPLADA - MATERIAIS NA OPERAÇÃO. AF_03/2017</v>
          </cell>
          <cell r="D2475" t="str">
            <v>H</v>
          </cell>
          <cell r="E2475">
            <v>40.35</v>
          </cell>
          <cell r="F2475">
            <v>0</v>
          </cell>
        </row>
        <row r="2476">
          <cell r="B2476">
            <v>90688</v>
          </cell>
          <cell r="C2476" t="str">
            <v>MINICARREGADEIRA SOBRE RODAS, POTÊNCIA LÍQUIDA DE 47 HP, CAPACIDADE NOMINAL DE OPERAÇÃO DE 646 KG - DEPRECIAÇÃO. AF_06/2015</v>
          </cell>
          <cell r="D2476" t="str">
            <v>H</v>
          </cell>
          <cell r="E2476">
            <v>28.8</v>
          </cell>
          <cell r="F2476">
            <v>0</v>
          </cell>
        </row>
        <row r="2477">
          <cell r="B2477">
            <v>90689</v>
          </cell>
          <cell r="C2477" t="str">
            <v>MINICARREGADEIRA SOBRE RODAS, POTÊNCIA LÍQUIDA DE 47 HP, CAPACIDADE NOMINAL DE OPERAÇÃO DE 646 KG - JUROS. AF_06/2015</v>
          </cell>
          <cell r="D2477" t="str">
            <v>H</v>
          </cell>
          <cell r="E2477">
            <v>5.68</v>
          </cell>
          <cell r="F2477">
            <v>0</v>
          </cell>
        </row>
        <row r="2478">
          <cell r="B2478">
            <v>90690</v>
          </cell>
          <cell r="C2478" t="str">
            <v>MINICARREGADEIRA SOBRE RODAS, POTÊNCIA LÍQUIDA DE 47 HP, CAPACIDADE NOMINAL DE OPERAÇÃO DE 646 KG - MANUTENÇÃO. AF_06/2015</v>
          </cell>
          <cell r="D2478" t="str">
            <v>H</v>
          </cell>
          <cell r="E2478">
            <v>36</v>
          </cell>
          <cell r="F2478">
            <v>0</v>
          </cell>
        </row>
        <row r="2479">
          <cell r="B2479">
            <v>90691</v>
          </cell>
          <cell r="C2479" t="str">
            <v>MINICARREGADEIRA SOBRE RODAS, POTÊNCIA LÍQUIDA DE 47 HP, CAPACIDADE NOMINAL DE OPERAÇÃO DE 646 KG - MATERIAIS NA OPERAÇÃO. AF_06/2015</v>
          </cell>
          <cell r="D2479" t="str">
            <v>H</v>
          </cell>
          <cell r="E2479">
            <v>40.35</v>
          </cell>
          <cell r="F2479">
            <v>0</v>
          </cell>
        </row>
        <row r="2480">
          <cell r="B2480">
            <v>96241</v>
          </cell>
          <cell r="C2480" t="str">
            <v>MINIESCAVADEIRA SOBRE ESTEIRAS, POTÊNCIA LÍQUIDA DE *30* HP, PESO OPERACIONAL DE *3.500* KG - DEPRECIAÇÃO. AF_04/2017</v>
          </cell>
          <cell r="D2480" t="str">
            <v>H</v>
          </cell>
          <cell r="E2480">
            <v>30.6</v>
          </cell>
          <cell r="F2480">
            <v>0</v>
          </cell>
        </row>
        <row r="2481">
          <cell r="B2481">
            <v>96242</v>
          </cell>
          <cell r="C2481" t="str">
            <v>MINIESCAVADEIRA SOBRE ESTEIRAS, POTÊNCIA LÍQUIDA DE *30* HP, PESO OPERACIONAL DE *3.500* KG - JUROS. AF_04/2017</v>
          </cell>
          <cell r="D2481" t="str">
            <v>H</v>
          </cell>
          <cell r="E2481">
            <v>8.08</v>
          </cell>
          <cell r="F2481">
            <v>0</v>
          </cell>
        </row>
        <row r="2482">
          <cell r="B2482">
            <v>96243</v>
          </cell>
          <cell r="C2482" t="str">
            <v>MINIESCAVADEIRA SOBRE ESTEIRAS, POTÊNCIA LÍQUIDA DE *30* HP, PESO OPERACIONAL DE *3.500* KG - MANUTENÇÃO. AF_04/2017</v>
          </cell>
          <cell r="D2482" t="str">
            <v>H</v>
          </cell>
          <cell r="E2482">
            <v>38.25</v>
          </cell>
          <cell r="F2482">
            <v>0</v>
          </cell>
        </row>
        <row r="2483">
          <cell r="B2483">
            <v>96244</v>
          </cell>
          <cell r="C2483" t="str">
            <v>MINIESCAVADEIRA SOBRE ESTEIRAS, POTÊNCIA LÍQUIDA DE *30* HP, PESO OPERACIONAL DE *3.500* KG - MATERIAIS NA OPERAÇÃO. AF_04/2017</v>
          </cell>
          <cell r="D2483" t="str">
            <v>H</v>
          </cell>
          <cell r="E2483">
            <v>17.63</v>
          </cell>
          <cell r="F2483">
            <v>0</v>
          </cell>
        </row>
        <row r="2484">
          <cell r="B2484">
            <v>88400</v>
          </cell>
          <cell r="C2484" t="str">
            <v>MISTURADOR DE ARGAMASSA, EIXO HORIZONTAL, CAPACIDADE DE MISTURA 160 KG, MOTOR ELÉTRICO POTÊNCIA 3 CV - DEPRECIAÇÃO. AF_05/2023</v>
          </cell>
          <cell r="D2484" t="str">
            <v>H</v>
          </cell>
          <cell r="E2484">
            <v>0.86</v>
          </cell>
          <cell r="F2484">
            <v>0</v>
          </cell>
        </row>
        <row r="2485">
          <cell r="B2485">
            <v>88401</v>
          </cell>
          <cell r="C2485" t="str">
            <v>MISTURADOR DE ARGAMASSA, EIXO HORIZONTAL, CAPACIDADE DE MISTURA 160 KG, MOTOR ELÉTRICO POTÊNCIA 3 CV - JUROS. AF_05/2023</v>
          </cell>
          <cell r="D2485" t="str">
            <v>H</v>
          </cell>
          <cell r="E2485">
            <v>0.2</v>
          </cell>
          <cell r="F2485">
            <v>0</v>
          </cell>
        </row>
        <row r="2486">
          <cell r="B2486">
            <v>88402</v>
          </cell>
          <cell r="C2486" t="str">
            <v>MISTURADOR DE ARGAMASSA, EIXO HORIZONTAL, CAPACIDADE DE MISTURA 160 KG, MOTOR ELÉTRICO POTÊNCIA 3 CV - MANUTENÇÃO. AF_05/2023</v>
          </cell>
          <cell r="D2486" t="str">
            <v>H</v>
          </cell>
          <cell r="E2486">
            <v>0.94</v>
          </cell>
          <cell r="F2486">
            <v>0</v>
          </cell>
        </row>
        <row r="2487">
          <cell r="B2487">
            <v>88403</v>
          </cell>
          <cell r="C2487" t="str">
            <v>MISTURADOR DE ARGAMASSA, EIXO HORIZONTAL, CAPACIDADE DE MISTURA 160 KG, MOTOR ELÉTRICO POTÊNCIA 3 CV - MATERIAIS NA OPERAÇÃO. AF_05/2023</v>
          </cell>
          <cell r="D2487" t="str">
            <v>H</v>
          </cell>
          <cell r="E2487">
            <v>1.63</v>
          </cell>
          <cell r="F2487">
            <v>0</v>
          </cell>
        </row>
        <row r="2488">
          <cell r="B2488">
            <v>88387</v>
          </cell>
          <cell r="C2488" t="str">
            <v>MISTURADOR DE ARGAMASSA, EIXO HORIZONTAL, CAPACIDADE DE MISTURA 300 KG, MOTOR ELÉTRICO POTÊNCIA 5 CV - DEPRECIAÇÃO. AF_05/2023</v>
          </cell>
          <cell r="D2488" t="str">
            <v>H</v>
          </cell>
          <cell r="E2488">
            <v>0.91</v>
          </cell>
          <cell r="F2488">
            <v>0</v>
          </cell>
        </row>
        <row r="2489">
          <cell r="B2489">
            <v>88389</v>
          </cell>
          <cell r="C2489" t="str">
            <v>MISTURADOR DE ARGAMASSA, EIXO HORIZONTAL, CAPACIDADE DE MISTURA 300 KG, MOTOR ELÉTRICO POTÊNCIA 5 CV - JUROS. AF_05/2023</v>
          </cell>
          <cell r="D2489" t="str">
            <v>H</v>
          </cell>
          <cell r="E2489">
            <v>0.21</v>
          </cell>
          <cell r="F2489">
            <v>0</v>
          </cell>
        </row>
        <row r="2490">
          <cell r="B2490">
            <v>88390</v>
          </cell>
          <cell r="C2490" t="str">
            <v>MISTURADOR DE ARGAMASSA, EIXO HORIZONTAL, CAPACIDADE DE MISTURA 300 KG, MOTOR ELÉTRICO POTÊNCIA 5 CV - MANUTENÇÃO. AF_05/2023</v>
          </cell>
          <cell r="D2490" t="str">
            <v>H</v>
          </cell>
          <cell r="E2490">
            <v>1</v>
          </cell>
          <cell r="F2490">
            <v>0</v>
          </cell>
        </row>
        <row r="2491">
          <cell r="B2491">
            <v>88391</v>
          </cell>
          <cell r="C2491" t="str">
            <v>MISTURADOR DE ARGAMASSA, EIXO HORIZONTAL, CAPACIDADE DE MISTURA 300 KG, MOTOR ELÉTRICO POTÊNCIA 5 CV - MATERIAIS NA OPERAÇÃO. AF_05/2023</v>
          </cell>
          <cell r="D2491" t="str">
            <v>H</v>
          </cell>
          <cell r="E2491">
            <v>2.72</v>
          </cell>
          <cell r="F2491">
            <v>0</v>
          </cell>
        </row>
        <row r="2492">
          <cell r="B2492">
            <v>88394</v>
          </cell>
          <cell r="C2492" t="str">
            <v>MISTURADOR DE ARGAMASSA, EIXO HORIZONTAL, CAPACIDADE DE MISTURA 600 KG, MOTOR ELÉTRICO POTÊNCIA 7,5 CV - DEPRECIAÇÃO. AF_05/2023</v>
          </cell>
          <cell r="D2492" t="str">
            <v>H</v>
          </cell>
          <cell r="E2492">
            <v>1.08</v>
          </cell>
          <cell r="F2492">
            <v>0</v>
          </cell>
        </row>
        <row r="2493">
          <cell r="B2493">
            <v>88395</v>
          </cell>
          <cell r="C2493" t="str">
            <v>MISTURADOR DE ARGAMASSA, EIXO HORIZONTAL, CAPACIDADE DE MISTURA 600 KG, MOTOR ELÉTRICO POTÊNCIA 7,5 CV - JUROS. AF_05/2023</v>
          </cell>
          <cell r="D2493" t="str">
            <v>H</v>
          </cell>
          <cell r="E2493">
            <v>0.25</v>
          </cell>
          <cell r="F2493">
            <v>0</v>
          </cell>
        </row>
        <row r="2494">
          <cell r="B2494">
            <v>88396</v>
          </cell>
          <cell r="C2494" t="str">
            <v>MISTURADOR DE ARGAMASSA, EIXO HORIZONTAL, CAPACIDADE DE MISTURA 600 KG, MOTOR ELÉTRICO POTÊNCIA 7,5 CV - MANUTENÇÃO. AF_05/2023</v>
          </cell>
          <cell r="D2494" t="str">
            <v>H</v>
          </cell>
          <cell r="E2494">
            <v>1.19</v>
          </cell>
          <cell r="F2494">
            <v>0</v>
          </cell>
        </row>
        <row r="2495">
          <cell r="B2495">
            <v>88397</v>
          </cell>
          <cell r="C2495" t="str">
            <v>MISTURADOR DE ARGAMASSA, EIXO HORIZONTAL, CAPACIDADE DE MISTURA 600 KG, MOTOR ELÉTRICO POTÊNCIA 7,5 CV - MATERIAIS NA OPERAÇÃO. AF_05/2023</v>
          </cell>
          <cell r="D2495" t="str">
            <v>H</v>
          </cell>
          <cell r="E2495">
            <v>4.08</v>
          </cell>
          <cell r="F2495">
            <v>0</v>
          </cell>
        </row>
        <row r="2496">
          <cell r="B2496">
            <v>90633</v>
          </cell>
          <cell r="C2496" t="str">
            <v>MISTURADOR DUPLO HORIZONTAL DE ALTA TURBULÊNCIA, CAPACIDADE / VOLUME 2 X 500 LITROS, MOTORES ELÉTRICOS MÍNIMO 5 CV CADA, PARA NATA CIMENTO, ARGAMASSA E OUTROS - DEPRECIAÇÃO. AF_06/2015</v>
          </cell>
          <cell r="D2496" t="str">
            <v>H</v>
          </cell>
          <cell r="E2496">
            <v>4.33</v>
          </cell>
          <cell r="F2496">
            <v>0</v>
          </cell>
        </row>
        <row r="2497">
          <cell r="B2497">
            <v>90634</v>
          </cell>
          <cell r="C2497" t="str">
            <v>MISTURADOR DUPLO HORIZONTAL DE ALTA TURBULÊNCIA, CAPACIDADE / VOLUME 2 X 500 LITROS, MOTORES ELÉTRICOS MÍNIMO 5 CV CADA, PARA NATA CIMENTO, ARGAMASSA E OUTROS - JUROS. AF_06/2015</v>
          </cell>
          <cell r="D2497" t="str">
            <v>H</v>
          </cell>
          <cell r="E2497">
            <v>1</v>
          </cell>
          <cell r="F2497">
            <v>0</v>
          </cell>
        </row>
        <row r="2498">
          <cell r="B2498">
            <v>90635</v>
          </cell>
          <cell r="C2498" t="str">
            <v>MISTURADOR DUPLO HORIZONTAL DE ALTA TURBULÊNCIA, CAPACIDADE / VOLUME 2 X 500 LITROS, MOTORES ELÉTRICOS MÍNIMO 5 CV CADA, PARA NATA CIMENTO, ARGAMASSA E OUTROS - MANUTENÇÃO. AF_06/2015</v>
          </cell>
          <cell r="D2498" t="str">
            <v>H</v>
          </cell>
          <cell r="E2498">
            <v>4.74</v>
          </cell>
          <cell r="F2498">
            <v>0</v>
          </cell>
        </row>
        <row r="2499">
          <cell r="B2499">
            <v>90636</v>
          </cell>
          <cell r="C2499" t="str">
            <v>MISTURADOR DUPLO HORIZONTAL DE ALTA TURBULÊNCIA, CAPACIDADE / VOLUME 2 X 500 LITROS, MOTORES ELÉTRICOS MÍNIMO 5 CV CADA, PARA NATA CIMENTO, ARGAMASSA E OUTROS - MATERIAIS NA OPERAÇÃO. AF_06/2015</v>
          </cell>
          <cell r="D2499" t="str">
            <v>H</v>
          </cell>
          <cell r="E2499">
            <v>5.44</v>
          </cell>
          <cell r="F2499">
            <v>0</v>
          </cell>
        </row>
        <row r="2500">
          <cell r="B2500">
            <v>103238</v>
          </cell>
          <cell r="C2500" t="str">
            <v>MISTURADOR PARA PREPARO DE LAMA ESTABILIZANTE COM CAPACIDADE DE *4000* L, COM BOMBA CENTRÍFUGA 5,5 HP A 23,07 HP, PARA SISTEMA DE FURO DIRECIONAL - DEPRECIAÇÃO. AF_05/2023</v>
          </cell>
          <cell r="D2500" t="str">
            <v>H</v>
          </cell>
          <cell r="E2500">
            <v>0</v>
          </cell>
        </row>
        <row r="2501">
          <cell r="B2501">
            <v>103239</v>
          </cell>
          <cell r="C2501" t="str">
            <v>MISTURADOR PARA PREPARO DE LAMA ESTABILIZANTE COM CAPACIDADE DE *4000* L, COM BOMBA CENTRÍFUGA 5,5 HP A 23,07 HP, PARA SISTEMA DE FURO DIRECIONAL - JUROS. AF_05/2023</v>
          </cell>
          <cell r="D2501" t="str">
            <v>H</v>
          </cell>
          <cell r="E2501">
            <v>0</v>
          </cell>
        </row>
        <row r="2502">
          <cell r="B2502">
            <v>103240</v>
          </cell>
          <cell r="C2502" t="str">
            <v>MISTURADOR PARA PREPARO DE LAMA ESTABILIZANTE COM CAPACIDADE DE *4000* L, COM BOMBA CENTRÍFUGA 5,5 HP A 23,07 HP, PARA SISTEMA DE FURO DIRECIONAL - MANUTENÇÃO. AF_05/2023</v>
          </cell>
          <cell r="D2502" t="str">
            <v>H</v>
          </cell>
          <cell r="E2502">
            <v>0</v>
          </cell>
        </row>
        <row r="2503">
          <cell r="B2503">
            <v>103241</v>
          </cell>
          <cell r="C2503" t="str">
            <v>MISTURADOR PARA PREPARO DE LAMA ESTABILIZANTE COM CAPACIDADE DE *4000* L, COM BOMBA CENTRÍFUGA 5,5 HP A 23,07 HP, PARA SISTEMA DE FURO DIRECIONAL - MATERIAIS NA OPERAÇÃO. AF_05/2023</v>
          </cell>
          <cell r="D2503" t="str">
            <v>H</v>
          </cell>
          <cell r="E2503">
            <v>10.199999999999999</v>
          </cell>
          <cell r="F2503">
            <v>0</v>
          </cell>
        </row>
        <row r="2504">
          <cell r="B2504">
            <v>88853</v>
          </cell>
          <cell r="C2504" t="str">
            <v>MOTOBOMBA CENTRÍFUGA, MOTOR A GASOLINA, POTÊNCIA 5,42 HP, BOCAIS 1 1/2" X 1", DIÂMETRO ROTOR 143 MM HM/Q = 6 MCA / 16,8 M3/H A 38 MCA / 6,6 M3/H - DEPRECIAÇÃO. AF_06/2014</v>
          </cell>
          <cell r="D2504" t="str">
            <v>H</v>
          </cell>
          <cell r="E2504">
            <v>0.19</v>
          </cell>
          <cell r="F2504">
            <v>0</v>
          </cell>
        </row>
        <row r="2505">
          <cell r="B2505">
            <v>88854</v>
          </cell>
          <cell r="C2505" t="str">
            <v>MOTOBOMBA CENTRÍFUGA, MOTOR A GASOLINA, POTÊNCIA 5,42 HP, BOCAIS 1 1/2" X 1", DIÂMETRO ROTOR 143 MM HM/Q = 6 MCA / 16,8 M3/H A 38 MCA / 6,6 M3/H - JUROS. AF_06/2014</v>
          </cell>
          <cell r="D2505" t="str">
            <v>H</v>
          </cell>
          <cell r="E2505">
            <v>0.04</v>
          </cell>
          <cell r="F2505">
            <v>0</v>
          </cell>
        </row>
        <row r="2506">
          <cell r="B2506">
            <v>5692</v>
          </cell>
          <cell r="C2506" t="str">
            <v>MOTOBOMBA CENTRÍFUGA, MOTOR A GASOLINA, POTÊNCIA 5,42 HP, BOCAIS 1 1/2" X 1", DIÂMETRO ROTOR 143 MM HM/Q = 6 MCA / 16,8 M3/H A 38 MCA / 6,6 M3/H - MANUTENÇÃO. AF_06/2014</v>
          </cell>
          <cell r="D2506" t="str">
            <v>H</v>
          </cell>
          <cell r="E2506">
            <v>0.21</v>
          </cell>
          <cell r="F2506">
            <v>0</v>
          </cell>
        </row>
        <row r="2507">
          <cell r="B2507">
            <v>5693</v>
          </cell>
          <cell r="C2507" t="str">
            <v>MOTOBOMBA CENTRÍFUGA, MOTOR A GASOLINA, POTÊNCIA 5,42 HP, BOCAIS 1 1/2" X 1", DIÂMETRO ROTOR 143 MM HM/Q = 6 MCA / 16,8 M3/H A 38 MCA / 6,6 M3/H - MATERIAIS NA OPERAÇÃO. AF_06/2014</v>
          </cell>
          <cell r="D2507" t="str">
            <v>H</v>
          </cell>
          <cell r="E2507">
            <v>21.19</v>
          </cell>
          <cell r="F2507">
            <v>0</v>
          </cell>
        </row>
        <row r="2508">
          <cell r="B2508">
            <v>7044</v>
          </cell>
          <cell r="C2508" t="str">
            <v>MOTOBOMBA TRASH (PARA ÁGUA SUJA) AUTO ESCORVANTE, MOTOR GASOLINA DE 6,41 HP, DIÂMETROS DE SUCÇÃO X RECALQUE: 3" X 3", HM/Q = 10 MCA / 60 M3/H A 23 MCA / 0 M3/H - DEPRECIAÇÃO. AF_10/2014</v>
          </cell>
          <cell r="D2508" t="str">
            <v>H</v>
          </cell>
          <cell r="E2508">
            <v>0.24</v>
          </cell>
          <cell r="F2508">
            <v>0</v>
          </cell>
        </row>
        <row r="2509">
          <cell r="B2509">
            <v>7045</v>
          </cell>
          <cell r="C2509" t="str">
            <v>MOTOBOMBA TRASH (PARA ÁGUA SUJA) AUTO ESCORVANTE, MOTOR GASOLINA DE 6,41 HP, DIÂMETROS DE SUCÇÃO X RECALQUE: 3" X 3", HM/Q = 10 MCA / 60 M3/H A 23 MCA / 0 M3/H - JUROS. AF_10/2014</v>
          </cell>
          <cell r="D2509" t="str">
            <v>H</v>
          </cell>
          <cell r="E2509">
            <v>0.05</v>
          </cell>
          <cell r="F2509">
            <v>0</v>
          </cell>
        </row>
        <row r="2510">
          <cell r="B2510">
            <v>7046</v>
          </cell>
          <cell r="C2510" t="str">
            <v>MOTOBOMBA TRASH (PARA ÁGUA SUJA) AUTO ESCORVANTE, MOTOR GASOLINA DE 6,41 HP, DIÂMETROS DE SUCÇÃO X RECALQUE: 3" X 3", HM/Q = 10 MCA / 60 M3/H A 23 MCA / 0 M3/H - MANUTENÇÃO. AF_10/2014</v>
          </cell>
          <cell r="D2510" t="str">
            <v>H</v>
          </cell>
          <cell r="E2510">
            <v>0.26</v>
          </cell>
          <cell r="F2510">
            <v>0</v>
          </cell>
        </row>
        <row r="2511">
          <cell r="B2511">
            <v>7047</v>
          </cell>
          <cell r="C2511" t="str">
            <v>MOTOBOMBA TRASH (PARA ÁGUA SUJA) AUTO ESCORVANTE, MOTOR GASOLINA DE 6,41 HP, DIÂMETROS DE SUCÇÃO X RECALQUE: 3" X 3", HM/Q = 10 MCA / 60 M3/H A 23 MCA / 0 M3/H - MATERIAIS NA OPERAÇÃO. AF_10/2014</v>
          </cell>
          <cell r="D2511" t="str">
            <v>H</v>
          </cell>
          <cell r="E2511">
            <v>25</v>
          </cell>
          <cell r="F2511">
            <v>0</v>
          </cell>
        </row>
        <row r="2512">
          <cell r="B2512">
            <v>89228</v>
          </cell>
          <cell r="C2512" t="str">
            <v>MOTONIVELADORA POTÊNCIA BÁSICA LÍQUIDA (PRIMEIRA MARCHA) 125 HP, PESO BRUTO 13032 KG, LARGURA DA LÂMINA DE 3,7 M - DEPRECIAÇÃO. AF_06/2014</v>
          </cell>
          <cell r="D2512" t="str">
            <v>H</v>
          </cell>
          <cell r="E2512">
            <v>47.6</v>
          </cell>
          <cell r="F2512">
            <v>0</v>
          </cell>
        </row>
        <row r="2513">
          <cell r="B2513">
            <v>89229</v>
          </cell>
          <cell r="C2513" t="str">
            <v>MOTONIVELADORA POTÊNCIA BÁSICA LÍQUIDA (PRIMEIRA MARCHA) 125 HP, PESO BRUTO 13032 KG, LARGURA DA LÂMINA DE 3,7 M - JUROS. AF_06/2014</v>
          </cell>
          <cell r="D2513" t="str">
            <v>H</v>
          </cell>
          <cell r="E2513">
            <v>16.77</v>
          </cell>
          <cell r="F2513">
            <v>0</v>
          </cell>
        </row>
        <row r="2514">
          <cell r="B2514">
            <v>5779</v>
          </cell>
          <cell r="C2514" t="str">
            <v>MOTONIVELADORA POTÊNCIA BÁSICA LÍQUIDA (PRIMEIRA MARCHA) 125 HP, PESO BRUTO 13032 KG, LARGURA DA LÂMINA DE 3,7 M - MANUTENÇÃO. AF_06/2014</v>
          </cell>
          <cell r="D2514" t="str">
            <v>H</v>
          </cell>
          <cell r="E2514">
            <v>76.510000000000005</v>
          </cell>
          <cell r="F2514">
            <v>0</v>
          </cell>
        </row>
        <row r="2515">
          <cell r="B2515">
            <v>53849</v>
          </cell>
          <cell r="C2515" t="str">
            <v>MOTONIVELADORA POTÊNCIA BÁSICA LÍQUIDA (PRIMEIRA MARCHA) 125 HP, PESO BRUTO 13032 KG, LARGURA DA LÂMINA DE 3,7 M - MATERIAIS NA OPERAÇÃO. AF_06/2014</v>
          </cell>
          <cell r="D2515" t="str">
            <v>H</v>
          </cell>
          <cell r="E2515">
            <v>84.77</v>
          </cell>
          <cell r="F2515">
            <v>0</v>
          </cell>
        </row>
        <row r="2516">
          <cell r="B2516">
            <v>95129</v>
          </cell>
          <cell r="C2516" t="str">
            <v>MÁQUINA DEMARCADORA DE FAIXA DE TRÁFEGO À FRIO, AUTOPROPELIDA, POTÊNCIA 38 HP - DEPRECIAÇÃO. AF_07/2016</v>
          </cell>
          <cell r="D2516" t="str">
            <v>H</v>
          </cell>
          <cell r="E2516">
            <v>54.41</v>
          </cell>
          <cell r="F2516">
            <v>0</v>
          </cell>
        </row>
        <row r="2517">
          <cell r="B2517">
            <v>95130</v>
          </cell>
          <cell r="C2517" t="str">
            <v>MÁQUINA DEMARCADORA DE FAIXA DE TRÁFEGO À FRIO, AUTOPROPELIDA, POTÊNCIA 38 HP - JUROS. AF_07/2016</v>
          </cell>
          <cell r="D2517" t="str">
            <v>H</v>
          </cell>
          <cell r="E2517">
            <v>19.73</v>
          </cell>
          <cell r="F2517">
            <v>0</v>
          </cell>
        </row>
        <row r="2518">
          <cell r="B2518">
            <v>95131</v>
          </cell>
          <cell r="C2518" t="str">
            <v>MÁQUINA DEMARCADORA DE FAIXA DE TRÁFEGO À FRIO, AUTOPROPELIDA, POTÊNCIA 38 HP - MANUTENÇÃO. AF_07/2016</v>
          </cell>
          <cell r="D2518" t="str">
            <v>H</v>
          </cell>
          <cell r="E2518">
            <v>64.05</v>
          </cell>
          <cell r="F2518">
            <v>0</v>
          </cell>
        </row>
        <row r="2519">
          <cell r="B2519">
            <v>95132</v>
          </cell>
          <cell r="C2519" t="str">
            <v>MÁQUINA DEMARCADORA DE FAIXA DE TRÁFEGO À FRIO, AUTOPROPELIDA, POTÊNCIA 38 HP - MATERIAIS NA OPERAÇÃO. AF_07/2016</v>
          </cell>
          <cell r="D2519" t="str">
            <v>H</v>
          </cell>
          <cell r="E2519">
            <v>32.659999999999997</v>
          </cell>
          <cell r="F2519">
            <v>0</v>
          </cell>
        </row>
        <row r="2520">
          <cell r="B2520">
            <v>102982</v>
          </cell>
          <cell r="C2520" t="str">
            <v>MÁQUINA DEMARCADORA DE FAIXA DE TRÁFEGO À FRIO, TRAÇÃO MANUAL, 4 CV, PRESSÃO MAX 3300 PSI, TANQUE 20 L - DEPRECIAÇÃO. AF_06/2021</v>
          </cell>
          <cell r="D2520" t="str">
            <v>H</v>
          </cell>
          <cell r="E2520">
            <v>0</v>
          </cell>
        </row>
        <row r="2521">
          <cell r="B2521">
            <v>102983</v>
          </cell>
          <cell r="C2521" t="str">
            <v>MÁQUINA DEMARCADORA DE FAIXA DE TRÁFEGO À FRIO, TRAÇÃO MANUAL, 4 CV, PRESSÃO MAX 3300 PSI, TANQUE 20 L - JUROS. AF_06/2021</v>
          </cell>
          <cell r="D2521" t="str">
            <v>H</v>
          </cell>
          <cell r="E2521">
            <v>0</v>
          </cell>
        </row>
        <row r="2522">
          <cell r="B2522">
            <v>102984</v>
          </cell>
          <cell r="C2522" t="str">
            <v>MÁQUINA DEMARCADORA DE FAIXA DE TRÁFEGO À FRIO, TRAÇÃO MANUAL, 4 CV, PRESSÃO MAX 3300 PSI, TANQUE 20 L - MANUTENÇÃO. AF_06/2021</v>
          </cell>
          <cell r="D2522" t="str">
            <v>H</v>
          </cell>
          <cell r="E2522">
            <v>0</v>
          </cell>
        </row>
        <row r="2523">
          <cell r="B2523">
            <v>102985</v>
          </cell>
          <cell r="C2523" t="str">
            <v>MÁQUINA DEMARCADORA DE FAIXA DE TRÁFEGO À FRIO, TRAÇÃO MANUAL, 4 CV, PRESSÃO MAX 3300 PSI, TANQUE 20 L - MATERIAIS NA OPERAÇÃO. AF_06/2021</v>
          </cell>
          <cell r="D2523" t="str">
            <v>H</v>
          </cell>
          <cell r="E2523">
            <v>15.15</v>
          </cell>
          <cell r="F2523">
            <v>0</v>
          </cell>
        </row>
        <row r="2524">
          <cell r="B2524">
            <v>92956</v>
          </cell>
          <cell r="C2524" t="str">
            <v>MÁQUINA EXTRUSORA DE CONCRETO PARA GUIAS E SARJETAS, MOTOR A DIESEL, POTÊNCIA 14 CV - DEPRECIAÇÃO. AF_12/2015</v>
          </cell>
          <cell r="D2524" t="str">
            <v>H</v>
          </cell>
          <cell r="E2524">
            <v>4.24</v>
          </cell>
          <cell r="F2524">
            <v>0</v>
          </cell>
        </row>
        <row r="2525">
          <cell r="B2525">
            <v>92957</v>
          </cell>
          <cell r="C2525" t="str">
            <v>MÁQUINA EXTRUSORA DE CONCRETO PARA GUIAS E SARJETAS, MOTOR A DIESEL, POTÊNCIA 14 CV - JUROS. AF_12/2015</v>
          </cell>
          <cell r="D2525" t="str">
            <v>H</v>
          </cell>
          <cell r="E2525">
            <v>0.98</v>
          </cell>
          <cell r="F2525">
            <v>0</v>
          </cell>
        </row>
        <row r="2526">
          <cell r="B2526">
            <v>92958</v>
          </cell>
          <cell r="C2526" t="str">
            <v>MÁQUINA EXTRUSORA DE CONCRETO PARA GUIAS E SARJETAS, MOTOR A DIESEL, POTÊNCIA 14 CV - MANUTENÇÃO. AF_12/2015</v>
          </cell>
          <cell r="D2526" t="str">
            <v>H</v>
          </cell>
          <cell r="E2526">
            <v>4.6399999999999997</v>
          </cell>
          <cell r="F2526">
            <v>0</v>
          </cell>
        </row>
        <row r="2527">
          <cell r="B2527">
            <v>92959</v>
          </cell>
          <cell r="C2527" t="str">
            <v>MÁQUINA EXTRUSORA DE CONCRETO PARA GUIAS E SARJETAS, MOTOR A DIESEL, POTÊNCIA 14 CV - MATERIAIS NA OPERAÇÃO. AF_12/2015</v>
          </cell>
          <cell r="D2527" t="str">
            <v>H</v>
          </cell>
          <cell r="E2527">
            <v>9.39</v>
          </cell>
          <cell r="F2527">
            <v>0</v>
          </cell>
        </row>
        <row r="2528">
          <cell r="B2528">
            <v>102858</v>
          </cell>
          <cell r="C2528" t="str">
            <v>MÁQUINA FORMER DOBRAS DIVERSAS: 220V/380V TRIFÁSICO OU MONOFÁSICO, CAPACIDADE 0,5-1,27MM, MOTOR 2CV - DEPRECIAÇÃO. AF_05/2023</v>
          </cell>
          <cell r="D2528" t="str">
            <v>H</v>
          </cell>
          <cell r="E2528">
            <v>0</v>
          </cell>
        </row>
        <row r="2529">
          <cell r="B2529">
            <v>102859</v>
          </cell>
          <cell r="C2529" t="str">
            <v>MÁQUINA FORMER DOBRAS DIVERSAS: 220V/380V TRIFÁSICO OU MONOFÁSICO, CAPACIDADE 0,5-1,27MM, MOTOR 2CV - JUROS. AF_05/2023</v>
          </cell>
          <cell r="D2529" t="str">
            <v>H</v>
          </cell>
          <cell r="E2529">
            <v>0</v>
          </cell>
        </row>
        <row r="2530">
          <cell r="B2530">
            <v>102860</v>
          </cell>
          <cell r="C2530" t="str">
            <v>MÁQUINA FORMER DOBRAS DIVERSAS: 220V/380V TRIFÁSICO OU MONOFÁSICO, CAPACIDADE 0,5-1,27MM, MOTOR 2CV - MANUTENÇÃO. AF_05/2023</v>
          </cell>
          <cell r="D2530" t="str">
            <v>H</v>
          </cell>
          <cell r="E2530">
            <v>0</v>
          </cell>
        </row>
        <row r="2531">
          <cell r="B2531">
            <v>102861</v>
          </cell>
          <cell r="C2531" t="str">
            <v>MÁQUINA FORMER DOBRAS DIVERSAS: 220V/380V TRIFÁSICO OU MONOFÁSICO, CAPACIDADE 0,5-1,27MM, MOTOR 2CV - MATERIAIS NA OPERAÇÃO. AF_05/2023</v>
          </cell>
          <cell r="D2531" t="str">
            <v>H</v>
          </cell>
          <cell r="E2531">
            <v>1.08</v>
          </cell>
          <cell r="F2531">
            <v>0</v>
          </cell>
        </row>
        <row r="2532">
          <cell r="B2532">
            <v>93404</v>
          </cell>
          <cell r="C2532" t="str">
            <v>MÁQUINA JATO DE PRESSAO PORTÁTIL, CAMARA DE 1 SAIDA, CAPACIDADE 280 L, DIAMETRO 670 MM, BICO DE JATO CURTO VENTURI DE 5/16", MANGUEIRA DE 1" COM COMPRESSOR DE AR REBOCÁVEL 189 PCM E MOTOR DIESEL 63 CV - DEPRECIAÇÃO. AF_05/2023</v>
          </cell>
          <cell r="D2532" t="str">
            <v>H</v>
          </cell>
          <cell r="E2532">
            <v>7.75</v>
          </cell>
          <cell r="F2532">
            <v>0</v>
          </cell>
        </row>
        <row r="2533">
          <cell r="B2533">
            <v>93405</v>
          </cell>
          <cell r="C2533" t="str">
            <v>MÁQUINA JATO DE PRESSAO PORTÁTIL, CAMARA DE 1 SAIDA, CAPACIDADE 280 L, DIAMETRO 670 MM, BICO DE JATO CURTO VENTURI DE 5/16", MANGUEIRA DE 1" COM COMPRESSOR DE AR REBOCÁVEL 189 PCM E MOTOR DIESEL 63 CV - JUROS. AF_05/2023</v>
          </cell>
          <cell r="D2533" t="str">
            <v>H</v>
          </cell>
          <cell r="E2533">
            <v>1.98</v>
          </cell>
          <cell r="F2533">
            <v>0</v>
          </cell>
        </row>
        <row r="2534">
          <cell r="B2534">
            <v>93406</v>
          </cell>
          <cell r="C2534" t="str">
            <v>MÁQUINA JATO DE PRESSAO PORTÁTIL, CAMARA DE 1 SAIDA, CAPACIDADE 280 L, DIAMETRO 670 MM, BICO DE JATO CURTO VENTURI DE 5/16", MANGUEIRA DE 1" COM COMPRESSOR DE AR REBOCÁVEL 189 PCM E MOTOR DIESEL 63 CV - MANUTENÇÃO. AF_05/2023</v>
          </cell>
          <cell r="D2534" t="str">
            <v>H</v>
          </cell>
          <cell r="E2534">
            <v>9.3000000000000007</v>
          </cell>
          <cell r="F2534">
            <v>0</v>
          </cell>
        </row>
        <row r="2535">
          <cell r="B2535">
            <v>93407</v>
          </cell>
          <cell r="C2535" t="str">
            <v>MÁQUINA JATO DE PRESSAO PORTÁTIL, CAMARA DE 1 SAIDA, CAPACIDADE 280 L, DIAMETRO 670 MM, BICO DE JATO CURTO VENTURI DE 5/16", MANGUEIRA DE 1" COM COMPRESSOR DE AR REBOCÁVEL 189 PCM E MOTOR DIESEL 63 CV - MATERIAIS NA OPERAÇÃO. AF_05/2023</v>
          </cell>
          <cell r="D2535" t="str">
            <v>H</v>
          </cell>
          <cell r="E2535">
            <v>47.75</v>
          </cell>
          <cell r="F2535">
            <v>0</v>
          </cell>
        </row>
        <row r="2536">
          <cell r="B2536">
            <v>102936</v>
          </cell>
          <cell r="C2536" t="str">
            <v>MÁQUINA METALEIRA UNIVERSAL MODELO IW 110/180 BTD - DEPRECIAÇÃO. AF_05/2023</v>
          </cell>
          <cell r="D2536" t="str">
            <v>H</v>
          </cell>
          <cell r="E2536">
            <v>0</v>
          </cell>
        </row>
        <row r="2537">
          <cell r="B2537">
            <v>102937</v>
          </cell>
          <cell r="C2537" t="str">
            <v>MÁQUINA METALEIRA UNIVERSAL MODELO IW 110/180 BTD - JUROS. AF_05/2023</v>
          </cell>
          <cell r="D2537" t="str">
            <v>H</v>
          </cell>
          <cell r="E2537">
            <v>0</v>
          </cell>
        </row>
        <row r="2538">
          <cell r="B2538">
            <v>102938</v>
          </cell>
          <cell r="C2538" t="str">
            <v>MÁQUINA METALEIRA UNIVERSAL MODELO IW 110/180 BTD - MANUTENÇÃO. AF_05/2023</v>
          </cell>
          <cell r="D2538" t="str">
            <v>H</v>
          </cell>
          <cell r="E2538">
            <v>0</v>
          </cell>
        </row>
        <row r="2539">
          <cell r="B2539">
            <v>102939</v>
          </cell>
          <cell r="C2539" t="str">
            <v>MÁQUINA METALEIRA UNIVERSAL MODELO IW 110/180 BTD - MATERIAIS NA OPERAÇÃO. AF_05/2023</v>
          </cell>
          <cell r="D2539" t="str">
            <v>H</v>
          </cell>
          <cell r="E2539">
            <v>8.1300000000000008</v>
          </cell>
          <cell r="F2539">
            <v>0</v>
          </cell>
        </row>
        <row r="2540">
          <cell r="B2540">
            <v>103159</v>
          </cell>
          <cell r="C2540" t="str">
            <v>MÁQUINA PARA SOLDA POR ELETROFUSÃO PARA TUBOS DE POLIETILENO DE ALTA DENSIDADE (PEAD) COM DIÂMETRO EXTERNO DE 20 A 1600 MM, POTÊNCIA DE 3500 W - DEPRECIAÇÃO. AF_05/2023</v>
          </cell>
          <cell r="D2540" t="str">
            <v>H</v>
          </cell>
          <cell r="E2540">
            <v>0</v>
          </cell>
        </row>
        <row r="2541">
          <cell r="B2541">
            <v>103160</v>
          </cell>
          <cell r="C2541" t="str">
            <v>MÁQUINA PARA SOLDA POR ELETROFUSÃO PARA TUBOS DE POLIETILENO DE ALTA DENSIDADE (PEAD) COM DIÂMETRO EXTERNO DE 20 A 1600 MM, POTÊNCIA DE 3500 W - JUROS. AF_05/2023</v>
          </cell>
          <cell r="D2541" t="str">
            <v>H</v>
          </cell>
          <cell r="E2541">
            <v>0</v>
          </cell>
        </row>
        <row r="2542">
          <cell r="B2542">
            <v>103161</v>
          </cell>
          <cell r="C2542" t="str">
            <v>MÁQUINA PARA SOLDA POR ELETROFUSÃO PARA TUBOS DE POLIETILENO DE ALTA DENSIDADE (PEAD) COM DIÂMETRO EXTERNO DE 20 A 1600 MM, POTÊNCIA DE 3500 W - MANUTENÇÃO. AF_05/2023</v>
          </cell>
          <cell r="D2542" t="str">
            <v>H</v>
          </cell>
          <cell r="E2542">
            <v>0</v>
          </cell>
        </row>
        <row r="2543">
          <cell r="B2543">
            <v>103162</v>
          </cell>
          <cell r="C2543" t="str">
            <v>MÁQUINA PARA SOLDA POR ELETROFUSÃO PARA TUBOS DE POLIETILENO DE ALTA DENSIDADE (PEAD) COM DIÂMETRO EXTERNO DE 20 A 1600 MM, POTÊNCIA DE 3500 W - MATERIAIS NA OPERAÇÃO. AF_05/2023</v>
          </cell>
          <cell r="D2543" t="str">
            <v>H</v>
          </cell>
          <cell r="E2543">
            <v>0.57999999999999996</v>
          </cell>
          <cell r="F2543">
            <v>0</v>
          </cell>
        </row>
        <row r="2544">
          <cell r="B2544">
            <v>103153</v>
          </cell>
          <cell r="C2544" t="str">
            <v>MÁQUINA PARA SOLDA POR ELETROFUSÃO PARA TUBOS DE POLIETILENO DE ALTA DENSIDADE (PEAD) COM DIÂMETRO EXTERNO DE 20 A 800 MM, POTÊNCIA ENTRE 2750 E 3000 W - DEPRECIAÇÃO. AF_05/2023</v>
          </cell>
          <cell r="D2544" t="str">
            <v>H</v>
          </cell>
          <cell r="E2544">
            <v>0</v>
          </cell>
        </row>
        <row r="2545">
          <cell r="B2545">
            <v>103154</v>
          </cell>
          <cell r="C2545" t="str">
            <v>MÁQUINA PARA SOLDA POR ELETROFUSÃO PARA TUBOS DE POLIETILENO DE ALTA DENSIDADE (PEAD) COM DIÂMETRO EXTERNO DE 20 A 800 MM, POTÊNCIA ENTRE 2750 E 3000 W - JUROS. AF_05/2023</v>
          </cell>
          <cell r="D2545" t="str">
            <v>H</v>
          </cell>
          <cell r="E2545">
            <v>0</v>
          </cell>
        </row>
        <row r="2546">
          <cell r="B2546">
            <v>103155</v>
          </cell>
          <cell r="C2546" t="str">
            <v>MÁQUINA PARA SOLDA POR ELETROFUSÃO PARA TUBOS DE POLIETILENO DE ALTA DENSIDADE (PEAD) COM DIÂMETRO EXTERNO DE 20 A 800 MM, POTÊNCIA ENTRE 2750 E 3000 W - MANUTENÇÃO. AF_05/2023</v>
          </cell>
          <cell r="D2546" t="str">
            <v>H</v>
          </cell>
          <cell r="E2546">
            <v>0</v>
          </cell>
        </row>
        <row r="2547">
          <cell r="B2547">
            <v>103156</v>
          </cell>
          <cell r="C2547" t="str">
            <v>MÁQUINA PARA SOLDA POR ELETROFUSÃO PARA TUBOS DE POLIETILENO DE ALTA DENSIDADE (PEAD) COM DIÂMETRO EXTERNO DE 20 A 800 MM, POTÊNCIA ENTRE 2750 E 3000 W - MATERIAIS NA OPERAÇÃO. AF_05/2023</v>
          </cell>
          <cell r="D2547" t="str">
            <v>H</v>
          </cell>
          <cell r="E2547">
            <v>2.0699999999999998</v>
          </cell>
          <cell r="F2547">
            <v>0</v>
          </cell>
        </row>
        <row r="2548">
          <cell r="B2548">
            <v>103171</v>
          </cell>
          <cell r="C2548" t="str">
            <v>MÁQUINA PARA SOLDA POR TERMOFUSÃO PARA TUBOS DE POLIETILENO DE ALTA DENSIDADE (PEAD) COM DIÂMETRO EXTERNO DE 315 A 630 MM, POTÊNCIA ENTRE 8000 E 12350 W - DEPRECIAÇÃO. AF_05/2023</v>
          </cell>
          <cell r="D2548" t="str">
            <v>H</v>
          </cell>
          <cell r="E2548">
            <v>0</v>
          </cell>
        </row>
        <row r="2549">
          <cell r="B2549">
            <v>103172</v>
          </cell>
          <cell r="C2549" t="str">
            <v>MÁQUINA PARA SOLDA POR TERMOFUSÃO PARA TUBOS DE POLIETILENO DE ALTA DENSIDADE (PEAD) COM DIÂMETRO EXTERNO DE 315 A 630 MM, POTÊNCIA ENTRE 8000 E 12350 W - JUROS. AF_05/2023</v>
          </cell>
          <cell r="D2549" t="str">
            <v>H</v>
          </cell>
          <cell r="E2549">
            <v>0</v>
          </cell>
        </row>
        <row r="2550">
          <cell r="B2550">
            <v>103173</v>
          </cell>
          <cell r="C2550" t="str">
            <v>MÁQUINA PARA SOLDA POR TERMOFUSÃO PARA TUBOS DE POLIETILENO DE ALTA DENSIDADE (PEAD) COM DIÂMETRO EXTERNO DE 315 A 630 MM, POTÊNCIA ENTRE 8000 E 12350 W - MANUTENÇÃO. AF_05/2023</v>
          </cell>
          <cell r="D2550" t="str">
            <v>H</v>
          </cell>
          <cell r="E2550">
            <v>0</v>
          </cell>
        </row>
        <row r="2551">
          <cell r="B2551">
            <v>103174</v>
          </cell>
          <cell r="C2551" t="str">
            <v>MÁQUINA PARA SOLDA POR TERMOFUSÃO PARA TUBOS DE POLIETILENO DE ALTA DENSIDADE (PEAD) COM DIÂMETRO EXTERNO DE 315 A 630 MM, POTÊNCIA ENTRE 8000 E 12350 W - MATERIAIS NA OPERAÇÃO. AF_05/2023</v>
          </cell>
          <cell r="D2551" t="str">
            <v>H</v>
          </cell>
          <cell r="E2551">
            <v>1.65</v>
          </cell>
          <cell r="F2551">
            <v>0</v>
          </cell>
        </row>
        <row r="2552">
          <cell r="B2552">
            <v>103177</v>
          </cell>
          <cell r="C2552" t="str">
            <v>MÁQUINA PARA SOLDA POR TERMOFUSÃO PARA TUBOS DE POLIETILENO DE ALTA DENSIDADE (PEAD) COM DIÂMETRO EXTERNO DE 710 A 1200 MM, POTÊNCIA ENTRE 16000 E 29500 W - DEPRECIAÇÃO. AF_05/2023</v>
          </cell>
          <cell r="D2552" t="str">
            <v>H</v>
          </cell>
          <cell r="E2552">
            <v>0</v>
          </cell>
        </row>
        <row r="2553">
          <cell r="B2553">
            <v>103178</v>
          </cell>
          <cell r="C2553" t="str">
            <v>MÁQUINA PARA SOLDA POR TERMOFUSÃO PARA TUBOS DE POLIETILENO DE ALTA DENSIDADE (PEAD) COM DIÂMETRO EXTERNO DE 710 A 1200 MM, POTÊNCIA ENTRE 16000 E 29500 W - JUROS. AF_05/2023</v>
          </cell>
          <cell r="D2553" t="str">
            <v>H</v>
          </cell>
          <cell r="E2553">
            <v>0</v>
          </cell>
        </row>
        <row r="2554">
          <cell r="B2554">
            <v>103179</v>
          </cell>
          <cell r="C2554" t="str">
            <v>MÁQUINA PARA SOLDA POR TERMOFUSÃO PARA TUBOS DE POLIETILENO DE ALTA DENSIDADE (PEAD) COM DIÂMETRO EXTERNO DE 710 A 1200 MM, POTÊNCIA ENTRE 16000 E 29500 W - MANUTENÇÃO. AF_05/2023</v>
          </cell>
          <cell r="D2554" t="str">
            <v>H</v>
          </cell>
          <cell r="E2554">
            <v>0</v>
          </cell>
        </row>
        <row r="2555">
          <cell r="B2555">
            <v>103180</v>
          </cell>
          <cell r="C2555" t="str">
            <v>MÁQUINA PARA SOLDA POR TERMOFUSÃO PARA TUBOS DE POLIETILENO DE ALTA DENSIDADE (PEAD) COM DIÂMETRO EXTERNO DE 710 A 1200 MM, POTÊNCIA ENTRE 16000 E 29500 W - MATERIAIS NA OPERAÇÃO. AF_05/2023</v>
          </cell>
          <cell r="D2555" t="str">
            <v>H</v>
          </cell>
          <cell r="E2555">
            <v>3.8</v>
          </cell>
          <cell r="F2555">
            <v>0</v>
          </cell>
        </row>
        <row r="2556">
          <cell r="B2556">
            <v>103165</v>
          </cell>
          <cell r="C2556" t="str">
            <v>MÁQUINA PARA SOLDA POR TERMOFUSÃO PARA TUBOS DE POLIETILENO DE ALTA DENSIDADE (PEAD) COM DIÂMETRO EXTERNO DE 90 A 315 MM, POTÊNCIA ENTRE 2500 E 5350 W - DEPRECIAÇÃO. AF_05/2023</v>
          </cell>
          <cell r="D2556" t="str">
            <v>H</v>
          </cell>
          <cell r="E2556">
            <v>0</v>
          </cell>
        </row>
        <row r="2557">
          <cell r="B2557">
            <v>103166</v>
          </cell>
          <cell r="C2557" t="str">
            <v>MÁQUINA PARA SOLDA POR TERMOFUSÃO PARA TUBOS DE POLIETILENO DE ALTA DENSIDADE (PEAD) COM DIÂMETRO EXTERNO DE 90 A 315 MM, POTÊNCIA ENTRE 2500 E 5350 W - JUROS. AF_05/2023</v>
          </cell>
          <cell r="D2557" t="str">
            <v>H</v>
          </cell>
          <cell r="E2557">
            <v>0</v>
          </cell>
        </row>
        <row r="2558">
          <cell r="B2558">
            <v>103167</v>
          </cell>
          <cell r="C2558" t="str">
            <v>MÁQUINA PARA SOLDA POR TERMOFUSÃO PARA TUBOS DE POLIETILENO DE ALTA DENSIDADE (PEAD) COM DIÂMETRO EXTERNO DE 90 A 315 MM, POTÊNCIA ENTRE 2500 E 5350 W - MANUTENÇÃO. AF_05/2023</v>
          </cell>
          <cell r="D2558" t="str">
            <v>H</v>
          </cell>
          <cell r="E2558">
            <v>0</v>
          </cell>
        </row>
        <row r="2559">
          <cell r="B2559">
            <v>103168</v>
          </cell>
          <cell r="C2559" t="str">
            <v>MÁQUINA PARA SOLDA POR TERMOFUSÃO PARA TUBOS DE POLIETILENO DE ALTA DENSIDADE (PEAD) COM DIÂMETRO EXTERNO DE 90 A 315 MM, POTÊNCIA ENTRE 2500 E 5350 W - MATERIAIS NA OPERAÇÃO. AF_05/2023</v>
          </cell>
          <cell r="D2559" t="str">
            <v>H</v>
          </cell>
          <cell r="E2559">
            <v>0.66</v>
          </cell>
          <cell r="F2559">
            <v>0</v>
          </cell>
        </row>
        <row r="2560">
          <cell r="B2560">
            <v>102864</v>
          </cell>
          <cell r="C2560" t="str">
            <v>MÁQUINA SOLDA ARCO COM PISTOLA DE SOLDAGEM PARA STUD BOLT DE 5 MM A 22 MM - DEPRECIAÇÃO. AF_05/2023</v>
          </cell>
          <cell r="D2560" t="str">
            <v>H</v>
          </cell>
          <cell r="E2560">
            <v>0</v>
          </cell>
        </row>
        <row r="2561">
          <cell r="B2561">
            <v>102865</v>
          </cell>
          <cell r="C2561" t="str">
            <v>MÁQUINA SOLDA ARCO COM PISTOLA DE SOLDAGEM PARA STUD BOLT DE 5 MM A 22 MM - JUROS. AF_05/2023</v>
          </cell>
          <cell r="D2561" t="str">
            <v>H</v>
          </cell>
          <cell r="E2561">
            <v>0</v>
          </cell>
        </row>
        <row r="2562">
          <cell r="B2562">
            <v>102866</v>
          </cell>
          <cell r="C2562" t="str">
            <v>MÁQUINA SOLDA ARCO COM PISTOLA DE SOLDAGEM PARA STUD BOLT DE 5 MM A 22 MM - MANUTENÇÃO. AF_05/2023</v>
          </cell>
          <cell r="D2562" t="str">
            <v>H</v>
          </cell>
          <cell r="E2562">
            <v>0</v>
          </cell>
        </row>
        <row r="2563">
          <cell r="B2563">
            <v>102867</v>
          </cell>
          <cell r="C2563" t="str">
            <v>MÁQUINA SOLDA ARCO COM PISTOLA DE SOLDAGEM PARA STUD BOLT DE 5 MM A 22 MM - MATERIAIS NA OPERAÇÃO. AF_05/2023</v>
          </cell>
          <cell r="D2563" t="str">
            <v>H</v>
          </cell>
          <cell r="E2563">
            <v>0.59</v>
          </cell>
          <cell r="F2563">
            <v>0</v>
          </cell>
        </row>
        <row r="2564">
          <cell r="B2564">
            <v>106321</v>
          </cell>
          <cell r="C2564" t="str">
            <v>PENEIRA ROTATIVA COM MOTOR ELÉTRICO MONOFÁSICO DE *0,5 A 1,0* CV, CILINDRO COM DIÂMETRO DE *0,48 A 0,85* M E COMPRIMENTO DE *1,0 A 1,65* M - DEPRECIAÇÃO. AF_11/2025</v>
          </cell>
          <cell r="D2564" t="str">
            <v>H</v>
          </cell>
          <cell r="E2564">
            <v>0</v>
          </cell>
        </row>
        <row r="2565">
          <cell r="B2565">
            <v>106322</v>
          </cell>
          <cell r="C2565" t="str">
            <v>PENEIRA ROTATIVA COM MOTOR ELÉTRICO MONOFÁSICO DE *0,5 A 1,0* CV, CILINDRO COM DIÂMETRO DE *0,48 A 0,85* M E COMPRIMENTO DE *1,0 A 1,65* M - JUROS. AF_11/2025</v>
          </cell>
          <cell r="D2565" t="str">
            <v>H</v>
          </cell>
          <cell r="E2565">
            <v>0</v>
          </cell>
        </row>
        <row r="2566">
          <cell r="B2566">
            <v>106323</v>
          </cell>
          <cell r="C2566" t="str">
            <v>PENEIRA ROTATIVA COM MOTOR ELÉTRICO MONOFÁSICO DE *0,5 A 1,0* CV, CILINDRO COM DIÂMETRO DE *0,48 A 0,85* M E COMPRIMENTO DE *1,0 A 1,65* M - MANUTENÇÃO. AF_11/2025</v>
          </cell>
          <cell r="D2566" t="str">
            <v>H</v>
          </cell>
          <cell r="E2566">
            <v>0</v>
          </cell>
        </row>
        <row r="2567">
          <cell r="B2567">
            <v>106324</v>
          </cell>
          <cell r="C2567" t="str">
            <v>PENEIRA ROTATIVA COM MOTOR ELÉTRICO MONOFÁSICO DE *0,5 A 1,0* CV, CILINDRO COM DIÂMETRO DE *0,48 A 0,85* M E COMPRIMENTO DE *1,0 A 1,65* M - MATERIAIS NA OPERAÇÃO. AF_11/2025</v>
          </cell>
          <cell r="D2567" t="str">
            <v>H</v>
          </cell>
          <cell r="E2567">
            <v>0.54</v>
          </cell>
          <cell r="F2567">
            <v>0</v>
          </cell>
        </row>
        <row r="2568">
          <cell r="B2568">
            <v>92108</v>
          </cell>
          <cell r="C2568" t="str">
            <v>PENEIRA ROTATIVA COM MOTOR ELÉTRICO TRIFÁSICO DE 2 CV, CILINDRO DE 1 M X 0,60 M, COM FUROS DE 3,17 MM - DEPRECIAÇÃO. AF_05/2023</v>
          </cell>
          <cell r="D2568" t="str">
            <v>H</v>
          </cell>
          <cell r="E2568">
            <v>1.01</v>
          </cell>
          <cell r="F2568">
            <v>0</v>
          </cell>
        </row>
        <row r="2569">
          <cell r="B2569">
            <v>92109</v>
          </cell>
          <cell r="C2569" t="str">
            <v>PENEIRA ROTATIVA COM MOTOR ELÉTRICO TRIFÁSICO DE 2 CV, CILINDRO DE 1 M X 0,60 M, COM FUROS DE 3,17 MM - JUROS. AF_05/2023</v>
          </cell>
          <cell r="D2569" t="str">
            <v>H</v>
          </cell>
          <cell r="E2569">
            <v>0.23</v>
          </cell>
          <cell r="F2569">
            <v>0</v>
          </cell>
        </row>
        <row r="2570">
          <cell r="B2570">
            <v>92110</v>
          </cell>
          <cell r="C2570" t="str">
            <v>PENEIRA ROTATIVA COM MOTOR ELÉTRICO TRIFÁSICO DE 2 CV, CILINDRO DE 1 M X 0,60 M, COM FUROS DE 3,17 MM - MANUTENÇÃO. AF_05/2023</v>
          </cell>
          <cell r="D2570" t="str">
            <v>H</v>
          </cell>
          <cell r="E2570">
            <v>1.26</v>
          </cell>
          <cell r="F2570">
            <v>0</v>
          </cell>
        </row>
        <row r="2571">
          <cell r="B2571">
            <v>92111</v>
          </cell>
          <cell r="C2571" t="str">
            <v>PENEIRA ROTATIVA COM MOTOR ELÉTRICO TRIFÁSICO DE 2 CV, CILINDRO DE 1 M X 0,60 M, COM FUROS DE 3,17 MM - MATERIAIS NA OPERAÇÃO. AF_05/2023</v>
          </cell>
          <cell r="D2571" t="str">
            <v>H</v>
          </cell>
          <cell r="E2571">
            <v>1.08</v>
          </cell>
          <cell r="F2571">
            <v>0</v>
          </cell>
        </row>
        <row r="2572">
          <cell r="B2572">
            <v>90670</v>
          </cell>
          <cell r="C2572" t="str">
            <v>PERFURATRIZ COM TORRE METÁLICA PARA EXECUÇÃO DE ESTACA HÉLICE CONTÍNUA, PROFUNDIDADE MÁXIMA DE 30 M, DIÂMETRO MÁXIMO DE 800 MM, POTÊNCIA INSTALADA DE 268 HP, MESA ROTATIVA COM TORQUE MÁXIMO DE 170 KNM - DEPRECIAÇÃO. AF_06/2015</v>
          </cell>
          <cell r="D2572" t="str">
            <v>H</v>
          </cell>
          <cell r="E2572">
            <v>244.13</v>
          </cell>
          <cell r="F2572">
            <v>0</v>
          </cell>
        </row>
        <row r="2573">
          <cell r="B2573">
            <v>90671</v>
          </cell>
          <cell r="C2573" t="str">
            <v>PERFURATRIZ COM TORRE METÁLICA PARA EXECUÇÃO DE ESTACA HÉLICE CONTÍNUA, PROFUNDIDADE MÁXIMA DE 30 M, DIÂMETRO MÁXIMO DE 800 MM, POTÊNCIA INSTALADA DE 268 HP, MESA ROTATIVA COM TORQUE MÁXIMO DE 170 KNM - JUROS. AF_06/2015</v>
          </cell>
          <cell r="D2573" t="str">
            <v>H</v>
          </cell>
          <cell r="E2573">
            <v>65.5</v>
          </cell>
          <cell r="F2573">
            <v>0</v>
          </cell>
        </row>
        <row r="2574">
          <cell r="B2574">
            <v>90672</v>
          </cell>
          <cell r="C2574" t="str">
            <v>PERFURATRIZ COM TORRE METÁLICA PARA EXECUÇÃO DE ESTACA HÉLICE CONTÍNUA, PROFUNDIDADE MÁXIMA DE 30 M, DIÂMETRO MÁXIMO DE 800 MM, POTÊNCIA INSTALADA DE 268 HP, MESA ROTATIVA COM TORQUE MÁXIMO DE 170 KNM - MANUTENÇÃO. AF_06/2015</v>
          </cell>
          <cell r="D2574" t="str">
            <v>H</v>
          </cell>
          <cell r="E2574">
            <v>305.51</v>
          </cell>
          <cell r="F2574">
            <v>0</v>
          </cell>
        </row>
        <row r="2575">
          <cell r="B2575">
            <v>90673</v>
          </cell>
          <cell r="C2575" t="str">
            <v>PERFURATRIZ COM TORRE METÁLICA PARA EXECUÇÃO DE ESTACA HÉLICE CONTÍNUA, PROFUNDIDADE MÁXIMA DE 30 M, DIÂMETRO MÁXIMO DE 800 MM, POTÊNCIA INSTALADA DE 268 HP, MESA ROTATIVA COM TORQUE MÁXIMO DE 170 KNM - MATERIAIS NA OPERAÇÃO. AF_06/2015</v>
          </cell>
          <cell r="D2575" t="str">
            <v>H</v>
          </cell>
          <cell r="E2575">
            <v>121.13</v>
          </cell>
          <cell r="F2575">
            <v>0</v>
          </cell>
        </row>
        <row r="2576">
          <cell r="B2576">
            <v>93220</v>
          </cell>
          <cell r="C2576" t="str">
            <v>PERFURATRIZ COM TORRE METÁLICA PARA EXECUÇÃO DE ESTACA HÉLICE CONTÍNUA, PROFUNDIDADE MÁXIMA DE 32 M, DIÂMETRO MÁXIMO DE 1000 MM, POTÊNCIA INSTALADA DE 350 HP, MESA ROTATIVA COM TORQUE MÁXIMO DE 263 KNM - DEPRECIAÇÃO. AF_01/2016</v>
          </cell>
          <cell r="D2576" t="str">
            <v>H</v>
          </cell>
          <cell r="E2576">
            <v>374.34</v>
          </cell>
          <cell r="F2576">
            <v>0</v>
          </cell>
        </row>
        <row r="2577">
          <cell r="B2577">
            <v>93221</v>
          </cell>
          <cell r="C2577" t="str">
            <v>PERFURATRIZ COM TORRE METÁLICA PARA EXECUÇÃO DE ESTACA HÉLICE CONTÍNUA, PROFUNDIDADE MÁXIMA DE 32 M, DIÂMETRO MÁXIMO DE 1000 MM, POTÊNCIA INSTALADA DE 350 HP, MESA ROTATIVA COM TORQUE MÁXIMO DE 263 KNM - JUROS. AF_01/2016</v>
          </cell>
          <cell r="D2577" t="str">
            <v>H</v>
          </cell>
          <cell r="E2577">
            <v>100.43</v>
          </cell>
          <cell r="F2577">
            <v>0</v>
          </cell>
        </row>
        <row r="2578">
          <cell r="B2578">
            <v>93222</v>
          </cell>
          <cell r="C2578" t="str">
            <v>PERFURATRIZ COM TORRE METÁLICA PARA EXECUÇÃO DE ESTACA HÉLICE CONTÍNUA, PROFUNDIDADE MÁXIMA DE 32 M, DIÂMETRO MÁXIMO DE 1000 MM, POTÊNCIA INSTALADA DE 350 HP, MESA ROTATIVA COM TORQUE MÁXIMO DE 263 KNM - MANUTENÇÃO. AF_01/2016</v>
          </cell>
          <cell r="D2578" t="str">
            <v>H</v>
          </cell>
          <cell r="E2578">
            <v>468.45</v>
          </cell>
          <cell r="F2578">
            <v>0</v>
          </cell>
        </row>
        <row r="2579">
          <cell r="B2579">
            <v>93223</v>
          </cell>
          <cell r="C2579" t="str">
            <v>PERFURATRIZ COM TORRE METÁLICA PARA EXECUÇÃO DE ESTACA HÉLICE CONTÍNUA, PROFUNDIDADE MÁXIMA DE 32 M, DIÂMETRO MÁXIMO DE 1000 MM, POTÊNCIA INSTALADA DE 350 HP, MESA ROTATIVA COM TORQUE MÁXIMO DE 263 KNM - MATERIAIS NA OPERAÇÃO. AF_01/2016</v>
          </cell>
          <cell r="D2579" t="str">
            <v>H</v>
          </cell>
          <cell r="E2579">
            <v>158.22</v>
          </cell>
          <cell r="F2579">
            <v>0</v>
          </cell>
        </row>
        <row r="2580">
          <cell r="B2580">
            <v>104691</v>
          </cell>
          <cell r="C2580" t="str">
            <v>PERFURATRIZ DE COROA DIAMANTADA PARA CONCRETO, DIÂMETRO ATÉ 250 MM, MOTOR ELÉTRICO 220 V, POTÊNCIA 2.500 W - DEPRECIAÇÃO. AF_05/2023</v>
          </cell>
          <cell r="D2580" t="str">
            <v>H</v>
          </cell>
          <cell r="E2580">
            <v>0.97</v>
          </cell>
          <cell r="F2580">
            <v>0</v>
          </cell>
        </row>
        <row r="2581">
          <cell r="B2581">
            <v>104692</v>
          </cell>
          <cell r="C2581" t="str">
            <v>PERFURATRIZ DE COROA DIAMANTADA PARA CONCRETO, DIÂMETRO ATÉ 250 MM, MOTOR ELÉTRICO 220 V, POTÊNCIA 2.500 W - JUROS. AF_05/2023</v>
          </cell>
          <cell r="D2581" t="str">
            <v>H</v>
          </cell>
          <cell r="E2581">
            <v>0.22</v>
          </cell>
          <cell r="F2581">
            <v>0</v>
          </cell>
        </row>
        <row r="2582">
          <cell r="B2582">
            <v>104693</v>
          </cell>
          <cell r="C2582" t="str">
            <v>PERFURATRIZ DE COROA DIAMANTADA PARA CONCRETO, DIÂMETRO ATÉ 250 MM, MOTOR ELÉTRICO 220 V, POTÊNCIA 2.500 W - MANUTENÇÃO. AF_05/2023</v>
          </cell>
          <cell r="D2582" t="str">
            <v>H</v>
          </cell>
          <cell r="E2582">
            <v>1.21</v>
          </cell>
          <cell r="F2582">
            <v>0</v>
          </cell>
        </row>
        <row r="2583">
          <cell r="B2583">
            <v>104694</v>
          </cell>
          <cell r="C2583" t="str">
            <v>PERFURATRIZ DE COROA DIAMANTADA PARA CONCRETO, DIÂMETRO ATÉ 250 MM, MOTOR ELÉTRICO 220 V, POTÊNCIA 2.500 W - MATERIAIS NA OPERAÇÃO. AF_05/2023</v>
          </cell>
          <cell r="D2583" t="str">
            <v>H</v>
          </cell>
          <cell r="E2583">
            <v>1.85</v>
          </cell>
          <cell r="F2583">
            <v>0</v>
          </cell>
        </row>
        <row r="2584">
          <cell r="B2584">
            <v>90676</v>
          </cell>
          <cell r="C2584" t="str">
            <v>PERFURATRIZ HIDRÁULICA SOBRE CAMINHÃO COM TRADO CURTO ACOPLADO, PROFUNDIDADE MÁXIMA DE 20 M, DIÂMETRO MÁXIMO DE 1500 MM, POTÊNCIA INSTALADA DE 137 HP, MESA ROTATIVA COM TORQUE MÁXIMO DE 30 KNM - DEPRECIAÇÃO. AF_06/2015</v>
          </cell>
          <cell r="D2584" t="str">
            <v>H</v>
          </cell>
          <cell r="E2584">
            <v>100.4</v>
          </cell>
          <cell r="F2584">
            <v>0</v>
          </cell>
        </row>
        <row r="2585">
          <cell r="B2585">
            <v>91021</v>
          </cell>
          <cell r="C2585" t="str">
            <v>PERFURATRIZ HIDRÁULICA SOBRE CAMINHÃO COM TRADO CURTO ACOPLADO, PROFUNDIDADE MÁXIMA DE 20 M, DIÂMETRO MÁXIMO DE 1500 MM, POTÊNCIA INSTALADA DE 137 HP, MESA ROTATIVA COM TORQUE MÁXIMO DE 30 KNM - IMPOSTOS E SEGUROS. AF_06/2015</v>
          </cell>
          <cell r="D2585" t="str">
            <v>H</v>
          </cell>
          <cell r="E2585">
            <v>12.32</v>
          </cell>
          <cell r="F2585">
            <v>0</v>
          </cell>
        </row>
        <row r="2586">
          <cell r="B2586">
            <v>90677</v>
          </cell>
          <cell r="C2586" t="str">
            <v>PERFURATRIZ HIDRÁULICA SOBRE CAMINHÃO COM TRADO CURTO ACOPLADO, PROFUNDIDADE MÁXIMA DE 20 M, DIÂMETRO MÁXIMO DE 1500 MM, POTÊNCIA INSTALADA DE 137 HP, MESA ROTATIVA COM TORQUE MÁXIMO DE 30 KNM - JUROS. AF_06/2015</v>
          </cell>
          <cell r="D2586" t="str">
            <v>H</v>
          </cell>
          <cell r="E2586">
            <v>30.41</v>
          </cell>
          <cell r="F2586">
            <v>0</v>
          </cell>
        </row>
        <row r="2587">
          <cell r="B2587">
            <v>90678</v>
          </cell>
          <cell r="C2587" t="str">
            <v>PERFURATRIZ HIDRÁULICA SOBRE CAMINHÃO COM TRADO CURTO ACOPLADO, PROFUNDIDADE MÁXIMA DE 20 M, DIÂMETRO MÁXIMO DE 1500 MM, POTÊNCIA INSTALADA DE 137 HP, MESA ROTATIVA COM TORQUE MÁXIMO DE 30 KNM - MANUTENÇÃO. AF_06/2015</v>
          </cell>
          <cell r="D2587" t="str">
            <v>H</v>
          </cell>
          <cell r="E2587">
            <v>140.77000000000001</v>
          </cell>
          <cell r="F2587">
            <v>0</v>
          </cell>
        </row>
        <row r="2588">
          <cell r="B2588">
            <v>90679</v>
          </cell>
          <cell r="C2588" t="str">
            <v>PERFURATRIZ HIDRÁULICA SOBRE CAMINHÃO COM TRADO CURTO ACOPLADO, PROFUNDIDADE MÁXIMA DE 20 M, DIÂMETRO MÁXIMO DE 1500 MM, POTÊNCIA INSTALADA DE 137 HP, MESA ROTATIVA COM TORQUE MÁXIMO DE 30 KNM - MATERIAIS NA OPERAÇÃO. AF_06/2015</v>
          </cell>
          <cell r="D2588" t="str">
            <v>H</v>
          </cell>
          <cell r="E2588">
            <v>92.89</v>
          </cell>
          <cell r="F2588">
            <v>0</v>
          </cell>
        </row>
        <row r="2589">
          <cell r="B2589">
            <v>102870</v>
          </cell>
          <cell r="C2589" t="str">
            <v>PERFURATRIZ HIDRÁULICA SOBRE ESTEIRA, TORQUE MÁXIMO 161 KNM, PROFUNDIDADE MÁXIMA 54 M, DIÂMETRO MÁXIMO 1500 MM, POTÊNCIA MOTOR 268 HP - DEPRECIAÇÃO. AF_04/2019</v>
          </cell>
          <cell r="D2589" t="str">
            <v>H</v>
          </cell>
          <cell r="E2589">
            <v>356.04</v>
          </cell>
          <cell r="F2589">
            <v>0</v>
          </cell>
        </row>
        <row r="2590">
          <cell r="B2590">
            <v>102871</v>
          </cell>
          <cell r="C2590" t="str">
            <v>PERFURATRIZ HIDRÁULICA SOBRE ESTEIRA, TORQUE MÁXIMO 161 KNM, PROFUNDIDADE MÁXIMA 54 M, DIÂMETRO MÁXIMO 1500 MM, POTÊNCIA MOTOR 268 HP - JUROS. AF_04/2019</v>
          </cell>
          <cell r="D2590" t="str">
            <v>H</v>
          </cell>
          <cell r="E2590">
            <v>96.19</v>
          </cell>
          <cell r="F2590">
            <v>0</v>
          </cell>
        </row>
        <row r="2591">
          <cell r="B2591">
            <v>102872</v>
          </cell>
          <cell r="C2591" t="str">
            <v>PERFURATRIZ HIDRÁULICA SOBRE ESTEIRA, TORQUE MÁXIMO 161 KNM, PROFUNDIDADE MÁXIMA 54 M, DIÂMETRO MÁXIMO 1500 MM, POTÊNCIA MOTOR 268 HP - MANUTENÇÃO. AF_04/2019</v>
          </cell>
          <cell r="D2591" t="str">
            <v>H</v>
          </cell>
          <cell r="E2591">
            <v>445.55</v>
          </cell>
          <cell r="F2591">
            <v>0</v>
          </cell>
        </row>
        <row r="2592">
          <cell r="B2592">
            <v>102873</v>
          </cell>
          <cell r="C2592" t="str">
            <v>PERFURATRIZ HIDRÁULICA SOBRE ESTEIRA, TORQUE MÁXIMO 161 KNM, PROFUNDIDADE MÁXIMA 54 M, DIÂMETRO MÁXIMO 1500 MM, POTÊNCIA MOTOR 268 HP - MATERIAIS NA OPERAÇÃO. AF_04/2019</v>
          </cell>
          <cell r="D2592" t="str">
            <v>H</v>
          </cell>
          <cell r="E2592">
            <v>121.13</v>
          </cell>
          <cell r="F2592">
            <v>0</v>
          </cell>
        </row>
        <row r="2593">
          <cell r="B2593">
            <v>102960</v>
          </cell>
          <cell r="C2593" t="str">
            <v>PERFURATRIZ HIDRÁULICA SOBRE ESTEIRA, TORQUE MÁXIMO 98 KNM, PROFUNDIDADE MÁXIMA 25 M, DIÂMETRO MÁXIMO 115 MM, POTÊNCIA MOTOR 190 HP - DEPRECIAÇÃO. AF_02/2021</v>
          </cell>
          <cell r="D2593" t="str">
            <v>H</v>
          </cell>
          <cell r="E2593">
            <v>172.79</v>
          </cell>
          <cell r="F2593">
            <v>0</v>
          </cell>
        </row>
        <row r="2594">
          <cell r="B2594">
            <v>102961</v>
          </cell>
          <cell r="C2594" t="str">
            <v>PERFURATRIZ HIDRÁULICA SOBRE ESTEIRA, TORQUE MÁXIMO 98 KNM, PROFUNDIDADE MÁXIMA 25 M, DIÂMETRO MÁXIMO 115 MM, POTÊNCIA MOTOR 190 HP - JUROS. AF_02/2021</v>
          </cell>
          <cell r="D2594" t="str">
            <v>H</v>
          </cell>
          <cell r="E2594">
            <v>46.68</v>
          </cell>
          <cell r="F2594">
            <v>0</v>
          </cell>
        </row>
        <row r="2595">
          <cell r="B2595">
            <v>102962</v>
          </cell>
          <cell r="C2595" t="str">
            <v>PERFURATRIZ HIDRÁULICA SOBRE ESTEIRA, TORQUE MÁXIMO 98 KNM, PROFUNDIDADE MÁXIMA 25 M, DIÂMETRO MÁXIMO 115 MM, POTÊNCIA MOTOR 190 HP - MANUTENÇÃO. AF_02/2021</v>
          </cell>
          <cell r="D2595" t="str">
            <v>H</v>
          </cell>
          <cell r="E2595">
            <v>162.09</v>
          </cell>
          <cell r="F2595">
            <v>0</v>
          </cell>
        </row>
        <row r="2596">
          <cell r="B2596">
            <v>102963</v>
          </cell>
          <cell r="C2596" t="str">
            <v>PERFURATRIZ HIDRÁULICA SOBRE ESTEIRA, TORQUE MÁXIMO 98 KNM, PROFUNDIDADE MÁXIMA 25 M, DIÂMETRO MÁXIMO 115 MM, POTÊNCIA MOTOR 190 HP - MATERIAIS NA OPERAÇÃO. AF_02/2021</v>
          </cell>
          <cell r="D2596" t="str">
            <v>H</v>
          </cell>
          <cell r="E2596">
            <v>85.87</v>
          </cell>
          <cell r="F2596">
            <v>0</v>
          </cell>
        </row>
        <row r="2597">
          <cell r="B2597">
            <v>90621</v>
          </cell>
          <cell r="C2597" t="str">
            <v>PERFURATRIZ MANUAL, TORQUE MÁXIMO 83 N.M, POTÊNCIA 5 CV, COM DIÂMETRO MÁXIMO 4" - DEPRECIAÇÃO. AF_06/2015</v>
          </cell>
          <cell r="D2597" t="str">
            <v>H</v>
          </cell>
          <cell r="E2597">
            <v>2.48</v>
          </cell>
          <cell r="F2597">
            <v>0</v>
          </cell>
        </row>
        <row r="2598">
          <cell r="B2598">
            <v>90622</v>
          </cell>
          <cell r="C2598" t="str">
            <v>PERFURATRIZ MANUAL, TORQUE MÁXIMO 83 N.M, POTÊNCIA 5 CV, COM DIÂMETRO MÁXIMO 4" - JUROS. AF_06/2015</v>
          </cell>
          <cell r="D2598" t="str">
            <v>H</v>
          </cell>
          <cell r="E2598">
            <v>0.56999999999999995</v>
          </cell>
          <cell r="F2598">
            <v>0</v>
          </cell>
        </row>
        <row r="2599">
          <cell r="B2599">
            <v>90623</v>
          </cell>
          <cell r="C2599" t="str">
            <v>PERFURATRIZ MANUAL, TORQUE MÁXIMO 83 N.M, POTÊNCIA 5 CV, COM DIÂMETRO MÁXIMO 4" - MANUTENÇÃO. AF_06/2015</v>
          </cell>
          <cell r="D2599" t="str">
            <v>H</v>
          </cell>
          <cell r="E2599">
            <v>3.11</v>
          </cell>
          <cell r="F2599">
            <v>0</v>
          </cell>
        </row>
        <row r="2600">
          <cell r="B2600">
            <v>90624</v>
          </cell>
          <cell r="C2600" t="str">
            <v>PERFURATRIZ MANUAL, TORQUE MÁXIMO 83 N.M, POTÊNCIA 5 CV, COM DIÂMETRO MÁXIMO 4" - MATERIAIS NA OPERAÇÃO. AF_06/2015</v>
          </cell>
          <cell r="D2600" t="str">
            <v>H</v>
          </cell>
          <cell r="E2600">
            <v>2.72</v>
          </cell>
          <cell r="F2600">
            <v>0</v>
          </cell>
        </row>
        <row r="2601">
          <cell r="B2601">
            <v>102876</v>
          </cell>
          <cell r="C2601" t="str">
            <v>PERFURATRIZ PARA EXECUÇÃO DE ESTACAS SECANTES, TIPO HÉLICE CONTÍNUA COM CABEÇOTE DUPLO E TUBO METÁLICO - DEPRECIAÇÃO. AF_04/2019</v>
          </cell>
          <cell r="D2601" t="str">
            <v>H</v>
          </cell>
          <cell r="E2601">
            <v>494.78</v>
          </cell>
          <cell r="F2601">
            <v>0</v>
          </cell>
        </row>
        <row r="2602">
          <cell r="B2602">
            <v>102877</v>
          </cell>
          <cell r="C2602" t="str">
            <v>PERFURATRIZ PARA EXECUÇÃO DE ESTACAS SECANTES, TIPO HÉLICE CONTÍNUA COM CABEÇOTE DUPLO E TUBO METÁLICO - JUROS. AF_04/2019</v>
          </cell>
          <cell r="D2602" t="str">
            <v>H</v>
          </cell>
          <cell r="E2602">
            <v>133.66999999999999</v>
          </cell>
          <cell r="F2602">
            <v>0</v>
          </cell>
        </row>
        <row r="2603">
          <cell r="B2603">
            <v>102878</v>
          </cell>
          <cell r="C2603" t="str">
            <v>PERFURATRIZ PARA EXECUÇÃO DE ESTACAS SECANTES, TIPO HÉLICE CONTÍNUA COM CABEÇOTE DUPLO E TUBO METÁLICO - MANUTENÇÃO. AF_04/2019</v>
          </cell>
          <cell r="D2603" t="str">
            <v>H</v>
          </cell>
          <cell r="E2603">
            <v>619.17999999999995</v>
          </cell>
          <cell r="F2603">
            <v>0</v>
          </cell>
        </row>
        <row r="2604">
          <cell r="B2604">
            <v>102879</v>
          </cell>
          <cell r="C2604" t="str">
            <v>PERFURATRIZ PARA EXECUÇÃO DE ESTACAS SECANTES, TIPO HÉLICE CONTÍNUA COM CABEÇOTE DUPLO E TUBO METÁLICO - MATERIAIS NA OPERAÇÃO. AF_04/2019</v>
          </cell>
          <cell r="D2604" t="str">
            <v>H</v>
          </cell>
          <cell r="E2604">
            <v>181.8</v>
          </cell>
          <cell r="F2604">
            <v>0</v>
          </cell>
        </row>
        <row r="2605">
          <cell r="B2605">
            <v>103220</v>
          </cell>
          <cell r="C2605" t="str">
            <v>PERFURATRIZ PARA FURO DIRECIONAL HORIZONTAL (HDD) COM CAPACIDADE ATÉ 89 KN, POTÊNCIA 24,8 HP A 80 HP (INCLUSO FERRAMENTAS E LOCALIZADOR) - DEPRECIAÇÃO. AF_05/2023</v>
          </cell>
          <cell r="D2605" t="str">
            <v>H</v>
          </cell>
          <cell r="E2605">
            <v>151.31</v>
          </cell>
          <cell r="F2605">
            <v>0</v>
          </cell>
        </row>
        <row r="2606">
          <cell r="B2606">
            <v>103221</v>
          </cell>
          <cell r="C2606" t="str">
            <v>PERFURATRIZ PARA FURO DIRECIONAL HORIZONTAL (HDD) COM CAPACIDADE ATÉ 89 KN, POTÊNCIA 24,8 HP A 80 HP (INCLUSO FERRAMENTAS E LOCALIZADOR) - JUROS. AF_05/2023</v>
          </cell>
          <cell r="D2606" t="str">
            <v>H</v>
          </cell>
          <cell r="E2606">
            <v>40.880000000000003</v>
          </cell>
          <cell r="F2606">
            <v>0</v>
          </cell>
        </row>
        <row r="2607">
          <cell r="B2607">
            <v>103222</v>
          </cell>
          <cell r="C2607" t="str">
            <v>PERFURATRIZ PARA FURO DIRECIONAL HORIZONTAL (HDD) COM CAPACIDADE ATÉ 89 KN, POTÊNCIA 24,8 HP A 80 HP (INCLUSO FERRAMENTAS E LOCALIZADOR) - MANUTENÇÃO. AF_05/2023</v>
          </cell>
          <cell r="D2607" t="str">
            <v>H</v>
          </cell>
          <cell r="E2607">
            <v>189.36</v>
          </cell>
          <cell r="F2607">
            <v>0</v>
          </cell>
        </row>
        <row r="2608">
          <cell r="B2608">
            <v>103223</v>
          </cell>
          <cell r="C2608" t="str">
            <v>PERFURATRIZ PARA FURO DIRECIONAL HORIZONTAL (HDD) COM CAPACIDADE ATÉ 89 KN, POTÊNCIA 24,8 HP A 80 HP (INCLUSO FERRAMENTAS E LOCALIZADOR) - MATERIAIS NA OPERAÇÃO. AF_05/2023</v>
          </cell>
          <cell r="D2608" t="str">
            <v>H</v>
          </cell>
          <cell r="E2608">
            <v>35.51</v>
          </cell>
          <cell r="F2608">
            <v>0</v>
          </cell>
        </row>
        <row r="2609">
          <cell r="B2609">
            <v>103232</v>
          </cell>
          <cell r="C2609" t="str">
            <v>PERFURATRIZ PARA FURO DIRECIONAL HORIZONTAL (HDD) COM CAPACIDADE DE 201 KN A 560 KN, POTÊNCIA 200 HP A 260 HP (INCLUSO FERRAMENTAS E LOCALIZADOR) - DEPRECIAÇÃO. AF_05/2023</v>
          </cell>
          <cell r="D2609" t="str">
            <v>H</v>
          </cell>
          <cell r="E2609">
            <v>474.73</v>
          </cell>
          <cell r="F2609">
            <v>0</v>
          </cell>
        </row>
        <row r="2610">
          <cell r="B2610">
            <v>103233</v>
          </cell>
          <cell r="C2610" t="str">
            <v>PERFURATRIZ PARA FURO DIRECIONAL HORIZONTAL (HDD) COM CAPACIDADE DE 201 KN A 560 KN, POTÊNCIA 200 HP A 260 HP (INCLUSO FERRAMENTAS E LOCALIZADOR) - JUROS. AF_05/2023</v>
          </cell>
          <cell r="D2610" t="str">
            <v>H</v>
          </cell>
          <cell r="E2610">
            <v>128.25</v>
          </cell>
          <cell r="F2610">
            <v>0</v>
          </cell>
        </row>
        <row r="2611">
          <cell r="B2611">
            <v>103234</v>
          </cell>
          <cell r="C2611" t="str">
            <v>PERFURATRIZ PARA FURO DIRECIONAL HORIZONTAL (HDD) COM CAPACIDADE DE 201 KN A 560 KN, POTÊNCIA 200 HP A 260 HP (INCLUSO FERRAMENTAS E LOCALIZADOR) - MANUTENÇÃO. AF_05/2023</v>
          </cell>
          <cell r="D2611" t="str">
            <v>H</v>
          </cell>
          <cell r="E2611">
            <v>623.48</v>
          </cell>
          <cell r="F2611">
            <v>0</v>
          </cell>
        </row>
        <row r="2612">
          <cell r="B2612">
            <v>103235</v>
          </cell>
          <cell r="C2612" t="str">
            <v>PERFURATRIZ PARA FURO DIRECIONAL HORIZONTAL (HDD) COM CAPACIDADE DE 201 KN A 560 KN, POTÊNCIA 200 HP A 260 HP (INCLUSO FERRAMENTAS E LOCALIZADOR) - MATERIAIS NA OPERAÇÃO. AF_05/2023</v>
          </cell>
          <cell r="D2612" t="str">
            <v>H</v>
          </cell>
          <cell r="E2612">
            <v>103.98</v>
          </cell>
          <cell r="F2612">
            <v>0</v>
          </cell>
        </row>
        <row r="2613">
          <cell r="B2613">
            <v>103228</v>
          </cell>
          <cell r="C2613" t="str">
            <v>PERFURATRIZ PARA FURO DIRECIONAL HORIZONTAL (HDD) COM CAPACIDADE DE 90 KN A 200 KN, POTÊNCIA 100 HP A 160 HP (INCLUSO FERRAMENTAS E LOCALIZADOR - MANUTENÇÃO. AF_05/2023</v>
          </cell>
          <cell r="D2613" t="str">
            <v>H</v>
          </cell>
          <cell r="E2613">
            <v>434.42</v>
          </cell>
          <cell r="F2613">
            <v>0</v>
          </cell>
        </row>
        <row r="2614">
          <cell r="B2614">
            <v>103226</v>
          </cell>
          <cell r="C2614" t="str">
            <v>PERFURATRIZ PARA FURO DIRECIONAL HORIZONTAL (HDD) COM CAPACIDADE DE 90 KN A 200 KN, POTÊNCIA 100 HP A 160 HP (INCLUSO FERRAMENTAS E LOCALIZADOR) - DEPRECIAÇÃO. AF_05/2023</v>
          </cell>
          <cell r="D2614" t="str">
            <v>H</v>
          </cell>
          <cell r="E2614">
            <v>347.15</v>
          </cell>
          <cell r="F2614">
            <v>0</v>
          </cell>
        </row>
        <row r="2615">
          <cell r="B2615">
            <v>103227</v>
          </cell>
          <cell r="C2615" t="str">
            <v>PERFURATRIZ PARA FURO DIRECIONAL HORIZONTAL (HDD) COM CAPACIDADE DE 90 KN A 200 KN, POTÊNCIA 100 HP A 160 HP (INCLUSO FERRAMENTAS E LOCALIZADOR) - JUROS. AF_05/2023</v>
          </cell>
          <cell r="D2615" t="str">
            <v>H</v>
          </cell>
          <cell r="E2615">
            <v>93.78</v>
          </cell>
          <cell r="F2615">
            <v>0</v>
          </cell>
        </row>
        <row r="2616">
          <cell r="B2616">
            <v>103229</v>
          </cell>
          <cell r="C2616" t="str">
            <v>PERFURATRIZ PARA FURO DIRECIONAL HORIZONTAL (HDD) COM CAPACIDADE DE 90 KN A 200 KN, POTÊNCIA 100 HP A 160 HP (INCLUSO FERRAMENTAS E LOCALIZADOR) - MATERIAIS NA OPERAÇÃO. AF_05/2023</v>
          </cell>
          <cell r="D2616" t="str">
            <v>H</v>
          </cell>
          <cell r="E2616">
            <v>88.17</v>
          </cell>
          <cell r="F2616">
            <v>0</v>
          </cell>
        </row>
        <row r="2617">
          <cell r="B2617">
            <v>102972</v>
          </cell>
          <cell r="C2617" t="str">
            <v>PERFURATRIZ ROTATIVA SOBRE ESTEIRA, TORQUE MAXIMO 2500 KGM, POTENCIA 110 HP, MOTOR DIESEL - DEPRECIAÇÃO. AF_05/2017</v>
          </cell>
          <cell r="D2617" t="str">
            <v>H</v>
          </cell>
          <cell r="E2617">
            <v>92.23</v>
          </cell>
          <cell r="F2617">
            <v>0</v>
          </cell>
        </row>
        <row r="2618">
          <cell r="B2618">
            <v>102973</v>
          </cell>
          <cell r="C2618" t="str">
            <v>PERFURATRIZ ROTATIVA SOBRE ESTEIRA, TORQUE MAXIMO 2500 KGM, POTENCIA 110 HP, MOTOR DIESEL - JUROS. AF_05/2017</v>
          </cell>
          <cell r="D2618" t="str">
            <v>H</v>
          </cell>
          <cell r="E2618">
            <v>25.6</v>
          </cell>
          <cell r="F2618">
            <v>0</v>
          </cell>
        </row>
        <row r="2619">
          <cell r="B2619">
            <v>102974</v>
          </cell>
          <cell r="C2619" t="str">
            <v>PERFURATRIZ ROTATIVA SOBRE ESTEIRA, TORQUE MAXIMO 2500 KGM, POTENCIA 110 HP, MOTOR DIESEL - MANUTENÇÃO. AF_05/2017</v>
          </cell>
          <cell r="D2619" t="str">
            <v>H</v>
          </cell>
          <cell r="E2619">
            <v>86.51</v>
          </cell>
          <cell r="F2619">
            <v>0</v>
          </cell>
        </row>
        <row r="2620">
          <cell r="B2620">
            <v>96301</v>
          </cell>
          <cell r="C2620" t="str">
            <v>PERFURATRIZ ROTATIVA SOBRE ESTEIRA, TORQUE MAXIMO 2500 KGM, POTENCIA 110 HP, MOTOR DIESEL - MATERIAIS NA OPERAÇÃO. AF_05/2017</v>
          </cell>
          <cell r="D2620" t="str">
            <v>H</v>
          </cell>
          <cell r="E2620">
            <v>49.75</v>
          </cell>
          <cell r="F2620">
            <v>0</v>
          </cell>
        </row>
        <row r="2621">
          <cell r="B2621">
            <v>90627</v>
          </cell>
          <cell r="C2621" t="str">
            <v>PERFURATRIZ SOBRE ESTEIRA, TORQUE MÁXIMO 600 KGF, PESO MÉDIO 1000 KG, POTÊNCIA 20 HP, DIÂMETRO MÁXIMO 10" - DEPRECIAÇÃO. AF_06/2015</v>
          </cell>
          <cell r="D2621" t="str">
            <v>H</v>
          </cell>
          <cell r="E2621">
            <v>54.11</v>
          </cell>
          <cell r="F2621">
            <v>0</v>
          </cell>
        </row>
        <row r="2622">
          <cell r="B2622">
            <v>90628</v>
          </cell>
          <cell r="C2622" t="str">
            <v>PERFURATRIZ SOBRE ESTEIRA, TORQUE MÁXIMO 600 KGF, PESO MÉDIO 1000 KG, POTÊNCIA 20 HP, DIÂMETRO MÁXIMO 10" - JUROS. AF_06/2015</v>
          </cell>
          <cell r="D2622" t="str">
            <v>H</v>
          </cell>
          <cell r="E2622">
            <v>14.51</v>
          </cell>
          <cell r="F2622">
            <v>0</v>
          </cell>
        </row>
        <row r="2623">
          <cell r="B2623">
            <v>90629</v>
          </cell>
          <cell r="C2623" t="str">
            <v>PERFURATRIZ SOBRE ESTEIRA, TORQUE MÁXIMO 600 KGF, PESO MÉDIO 1000 KG, POTÊNCIA 20 HP, DIÂMETRO MÁXIMO 10" - MANUTENÇÃO. AF_06/2015</v>
          </cell>
          <cell r="D2623" t="str">
            <v>H</v>
          </cell>
          <cell r="E2623">
            <v>67.72</v>
          </cell>
          <cell r="F2623">
            <v>0</v>
          </cell>
        </row>
        <row r="2624">
          <cell r="B2624">
            <v>90630</v>
          </cell>
          <cell r="C2624" t="str">
            <v>PERFURATRIZ SOBRE ESTEIRA, TORQUE MÁXIMO 600 KGF, PESO MÉDIO 1000 KG, POTÊNCIA 20 HP, DIÂMETRO MÁXIMO 10" - MATERIAIS NA OPERAÇÃO. AF_06/2015</v>
          </cell>
          <cell r="D2624" t="str">
            <v>H</v>
          </cell>
          <cell r="E2624">
            <v>1.29</v>
          </cell>
          <cell r="F2624">
            <v>0</v>
          </cell>
        </row>
        <row r="2625">
          <cell r="B2625">
            <v>95704</v>
          </cell>
          <cell r="C2625" t="str">
            <v>PERFURATRIZ SOBRE ESTEIRA, TORQUE MÁXIMO 600 KGF, POTÊNCIA ENTRE 50 E 60 HP, DIÂMETRO MÁXIMO 10" - DEPRECIAÇÃO. AF_11/2016</v>
          </cell>
          <cell r="D2625" t="str">
            <v>H</v>
          </cell>
          <cell r="E2625">
            <v>54.64</v>
          </cell>
          <cell r="F2625">
            <v>0</v>
          </cell>
        </row>
        <row r="2626">
          <cell r="B2626">
            <v>95705</v>
          </cell>
          <cell r="C2626" t="str">
            <v>PERFURATRIZ SOBRE ESTEIRA, TORQUE MÁXIMO 600 KGF, POTÊNCIA ENTRE 50 E 60 HP, DIÂMETRO MÁXIMO 10" - JUROS. AF_11/2016</v>
          </cell>
          <cell r="D2626" t="str">
            <v>H</v>
          </cell>
          <cell r="E2626">
            <v>14.66</v>
          </cell>
          <cell r="F2626">
            <v>0</v>
          </cell>
        </row>
        <row r="2627">
          <cell r="B2627">
            <v>95706</v>
          </cell>
          <cell r="C2627" t="str">
            <v>PERFURATRIZ SOBRE ESTEIRA, TORQUE MÁXIMO 600 KGF, POTÊNCIA ENTRE 50 E 60 HP, DIÂMETRO MÁXIMO 10" - MANUTENÇÃO. AF_11/2016</v>
          </cell>
          <cell r="D2627" t="str">
            <v>H</v>
          </cell>
          <cell r="E2627">
            <v>68.38</v>
          </cell>
          <cell r="F2627">
            <v>0</v>
          </cell>
        </row>
        <row r="2628">
          <cell r="B2628">
            <v>95707</v>
          </cell>
          <cell r="C2628" t="str">
            <v>PERFURATRIZ SOBRE ESTEIRA, TORQUE MÁXIMO 600 KGF, POTÊNCIA ENTRE 50 E 60 HP, DIÂMETRO MÁXIMO 10" - MATERIAIS NA OPERAÇÃO. AF_11/2016</v>
          </cell>
          <cell r="D2628" t="str">
            <v>H</v>
          </cell>
          <cell r="E2628">
            <v>3.56</v>
          </cell>
          <cell r="F2628">
            <v>0</v>
          </cell>
        </row>
        <row r="2629">
          <cell r="B2629">
            <v>91273</v>
          </cell>
          <cell r="C2629" t="str">
            <v>PLACA VIBRATÓRIA REVERSÍVEL COM MOTOR 4 TEMPOS A GASOLINA, FORÇA CENTRÍFUGA DE 25 KN (2500 KGF), POTÊNCIA 5,5 CV - DEPRECIAÇÃO. AF_08/2015</v>
          </cell>
          <cell r="D2629" t="str">
            <v>H</v>
          </cell>
          <cell r="E2629">
            <v>0.61</v>
          </cell>
          <cell r="F2629">
            <v>0</v>
          </cell>
        </row>
        <row r="2630">
          <cell r="B2630">
            <v>91274</v>
          </cell>
          <cell r="C2630" t="str">
            <v>PLACA VIBRATÓRIA REVERSÍVEL COM MOTOR 4 TEMPOS A GASOLINA, FORÇA CENTRÍFUGA DE 25 KN (2500 KGF), POTÊNCIA 5,5 CV - JUROS. AF_08/2015</v>
          </cell>
          <cell r="D2630" t="str">
            <v>H</v>
          </cell>
          <cell r="E2630">
            <v>0.16</v>
          </cell>
          <cell r="F2630">
            <v>0</v>
          </cell>
        </row>
        <row r="2631">
          <cell r="B2631">
            <v>91275</v>
          </cell>
          <cell r="C2631" t="str">
            <v>PLACA VIBRATÓRIA REVERSÍVEL COM MOTOR 4 TEMPOS A GASOLINA, FORÇA CENTRÍFUGA DE 25 KN (2500 KGF), POTÊNCIA 5,5 CV - MANUTENÇÃO. AF_08/2015</v>
          </cell>
          <cell r="D2631" t="str">
            <v>H</v>
          </cell>
          <cell r="E2631">
            <v>0.76</v>
          </cell>
          <cell r="F2631">
            <v>0</v>
          </cell>
        </row>
        <row r="2632">
          <cell r="B2632">
            <v>91276</v>
          </cell>
          <cell r="C2632" t="str">
            <v>PLACA VIBRATÓRIA REVERSÍVEL COM MOTOR 4 TEMPOS A GASOLINA, FORÇA CENTRÍFUGA DE 25 KN (2500 KGF), POTÊNCIA 5,5 CV - MATERIAIS NA OPERAÇÃO. AF_08/2015</v>
          </cell>
          <cell r="D2632" t="str">
            <v>H</v>
          </cell>
          <cell r="E2632">
            <v>8.8699999999999992</v>
          </cell>
          <cell r="F2632">
            <v>0</v>
          </cell>
        </row>
        <row r="2633">
          <cell r="B2633">
            <v>102882</v>
          </cell>
          <cell r="C2633" t="str">
            <v>PLATAFORMA ELEVATÓRIA - DEPRECIAÇÃO. AF_04/2019</v>
          </cell>
          <cell r="D2633" t="str">
            <v>H</v>
          </cell>
          <cell r="E2633">
            <v>0</v>
          </cell>
        </row>
        <row r="2634">
          <cell r="B2634">
            <v>102883</v>
          </cell>
          <cell r="C2634" t="str">
            <v>PLATAFORMA ELEVATÓRIA - JUROS. AF_04/2019</v>
          </cell>
          <cell r="D2634" t="str">
            <v>H</v>
          </cell>
          <cell r="E2634">
            <v>0</v>
          </cell>
        </row>
        <row r="2635">
          <cell r="B2635">
            <v>102884</v>
          </cell>
          <cell r="C2635" t="str">
            <v>PLATAFORMA ELEVATÓRIA - MANUTENÇÃO. AF_04/2019</v>
          </cell>
          <cell r="D2635" t="str">
            <v>H</v>
          </cell>
          <cell r="E2635">
            <v>0</v>
          </cell>
        </row>
        <row r="2636">
          <cell r="B2636">
            <v>102885</v>
          </cell>
          <cell r="C2636" t="str">
            <v>PLATAFORMA ELEVATÓRIA - MATERIAIS NA OPERAÇÃO. AF_04/2019</v>
          </cell>
          <cell r="D2636" t="str">
            <v>H</v>
          </cell>
          <cell r="E2636">
            <v>1.1100000000000001</v>
          </cell>
          <cell r="F2636">
            <v>0</v>
          </cell>
        </row>
        <row r="2637">
          <cell r="B2637">
            <v>95272</v>
          </cell>
          <cell r="C2637" t="str">
            <v>POLIDORA DE PISO (POLITRIZ), PESO DE 100KG, DIÂMETRO 450 MM, MOTOR ELÉTRICO, POTÊNCIA 4 HP - DEPRECIAÇÃO. AF_05/2023</v>
          </cell>
          <cell r="D2637" t="str">
            <v>H</v>
          </cell>
          <cell r="E2637">
            <v>0.6</v>
          </cell>
          <cell r="F2637">
            <v>0</v>
          </cell>
        </row>
        <row r="2638">
          <cell r="B2638">
            <v>95273</v>
          </cell>
          <cell r="C2638" t="str">
            <v>POLIDORA DE PISO (POLITRIZ), PESO DE 100KG, DIÂMETRO 450 MM, MOTOR ELÉTRICO, POTÊNCIA 4 HP - JUROS. AF_05/2023</v>
          </cell>
          <cell r="D2638" t="str">
            <v>H</v>
          </cell>
          <cell r="E2638">
            <v>0.13</v>
          </cell>
          <cell r="F2638">
            <v>0</v>
          </cell>
        </row>
        <row r="2639">
          <cell r="B2639">
            <v>95274</v>
          </cell>
          <cell r="C2639" t="str">
            <v>POLIDORA DE PISO (POLITRIZ), PESO DE 100KG, DIÂMETRO 450 MM, MOTOR ELÉTRICO, POTÊNCIA 4 HP - MANUTENÇÃO. AF_05/2023</v>
          </cell>
          <cell r="D2639" t="str">
            <v>H</v>
          </cell>
          <cell r="E2639">
            <v>0.46</v>
          </cell>
          <cell r="F2639">
            <v>0</v>
          </cell>
        </row>
        <row r="2640">
          <cell r="B2640">
            <v>95275</v>
          </cell>
          <cell r="C2640" t="str">
            <v>POLIDORA DE PISO (POLITRIZ), PESO DE 100KG, DIÂMETRO 450 MM, MOTOR ELÉTRICO, POTÊNCIA 4 HP - MATERIAIS NA OPERAÇÃO. AF_05/2023</v>
          </cell>
          <cell r="D2640" t="str">
            <v>H</v>
          </cell>
          <cell r="E2640">
            <v>2.2000000000000002</v>
          </cell>
          <cell r="F2640">
            <v>0</v>
          </cell>
        </row>
        <row r="2641">
          <cell r="B2641">
            <v>106232</v>
          </cell>
          <cell r="C2641" t="str">
            <v>POLIGUINDASTE, CAPACIDADE MÁXIMA DE CARGA 8000 KG, PARA TRANSPORTE DE CAÇAMBAS ESTACIONÁRIAS, INCLUSIVE CAMINHÃO TOCO PBT 14.300 KG, POTÊNCIA DE 185 CV - DEPRECIAÇÃO. AF_10/2025</v>
          </cell>
          <cell r="D2641" t="str">
            <v>H</v>
          </cell>
          <cell r="E2641">
            <v>0</v>
          </cell>
        </row>
        <row r="2642">
          <cell r="B2642">
            <v>106235</v>
          </cell>
          <cell r="C2642" t="str">
            <v>POLIGUINDASTE, CAPACIDADE MÁXIMA DE CARGA 8000 KG, PARA TRANSPORTE DE CAÇAMBAS ESTACIONÁRIAS, INCLUSIVE CAMINHÃO TOCO PBT 14.300 KG, POTÊNCIA DE 185 CV - IMPOSTOS E SEGUROS. AF_10/2025</v>
          </cell>
          <cell r="D2642" t="str">
            <v>H</v>
          </cell>
          <cell r="E2642">
            <v>0</v>
          </cell>
        </row>
        <row r="2643">
          <cell r="B2643">
            <v>106233</v>
          </cell>
          <cell r="C2643" t="str">
            <v>POLIGUINDASTE, CAPACIDADE MÁXIMA DE CARGA 8000 KG, PARA TRANSPORTE DE CAÇAMBAS ESTACIONÁRIAS, INCLUSIVE CAMINHÃO TOCO PBT 14.300 KG, POTÊNCIA DE 185 CV - JUROS. AF_10/2025</v>
          </cell>
          <cell r="D2643" t="str">
            <v>H</v>
          </cell>
          <cell r="E2643">
            <v>0</v>
          </cell>
        </row>
        <row r="2644">
          <cell r="B2644">
            <v>106234</v>
          </cell>
          <cell r="C2644" t="str">
            <v>POLIGUINDASTE, CAPACIDADE MÁXIMA DE CARGA 8000 KG, PARA TRANSPORTE DE CAÇAMBAS ESTACIONÁRIAS, INCLUSIVE CAMINHÃO TOCO PBT 14.300 KG, POTÊNCIA DE 185 CV - MANUTENÇÃO. AF_10/2025</v>
          </cell>
          <cell r="D2644" t="str">
            <v>H</v>
          </cell>
          <cell r="E2644">
            <v>0</v>
          </cell>
        </row>
        <row r="2645">
          <cell r="B2645">
            <v>106236</v>
          </cell>
          <cell r="C2645" t="str">
            <v>POLIGUINDASTE, CAPACIDADE MÁXIMA DE CARGA 8000 KG, PARA TRANSPORTE DE CAÇAMBAS ESTACIONÁRIAS, INCLUSIVE CAMINHÃO TOCO PBT 14.300 KG, POTÊNCIA DE 185 CV - MATERIAIS NA OPERAÇÃO. AF_10/2025</v>
          </cell>
          <cell r="D2645" t="str">
            <v>H</v>
          </cell>
          <cell r="E2645">
            <v>156.77000000000001</v>
          </cell>
          <cell r="F2645">
            <v>0</v>
          </cell>
        </row>
        <row r="2646">
          <cell r="B2646">
            <v>88419</v>
          </cell>
          <cell r="C2646" t="str">
            <v>PROJETOR DE ARGAMASSA, CAPACIDADE DE PROJEÇÃO 1,5 M3/H, ALCANCE DE 30 ATÉ 60 M, MOTOR ELÉTRICO POTÊNCIA 7,5 HP - DEPRECIAÇÃO. AF_06/2014</v>
          </cell>
          <cell r="D2646" t="str">
            <v>H</v>
          </cell>
          <cell r="E2646">
            <v>5.63</v>
          </cell>
          <cell r="F2646">
            <v>0</v>
          </cell>
        </row>
        <row r="2647">
          <cell r="B2647">
            <v>88422</v>
          </cell>
          <cell r="C2647" t="str">
            <v>PROJETOR DE ARGAMASSA, CAPACIDADE DE PROJEÇÃO 1,5 M3/H, ALCANCE DE 30 ATÉ 60 M, MOTOR ELÉTRICO POTÊNCIA 7,5 HP - JUROS. AF_06/2014</v>
          </cell>
          <cell r="D2647" t="str">
            <v>H</v>
          </cell>
          <cell r="E2647">
            <v>1.3</v>
          </cell>
          <cell r="F2647">
            <v>0</v>
          </cell>
        </row>
        <row r="2648">
          <cell r="B2648">
            <v>88425</v>
          </cell>
          <cell r="C2648" t="str">
            <v>PROJETOR DE ARGAMASSA, CAPACIDADE DE PROJEÇÃO 1,5 M3/H, ALCANCE DE 30 ATÉ 60 M, MOTOR ELÉTRICO POTÊNCIA 7,5 HP - MANUTENÇÃO. AF_06/2014</v>
          </cell>
          <cell r="D2648" t="str">
            <v>H</v>
          </cell>
          <cell r="E2648">
            <v>7.04</v>
          </cell>
          <cell r="F2648">
            <v>0</v>
          </cell>
        </row>
        <row r="2649">
          <cell r="B2649">
            <v>88427</v>
          </cell>
          <cell r="C2649" t="str">
            <v>PROJETOR DE ARGAMASSA, CAPACIDADE DE PROJEÇÃO 1,5 M3/H, ALCANCE DE 30 ATÉ 60 M, MOTOR ELÉTRICO POTÊNCIA 7,5 HP - MATERIAIS NA OPERAÇÃO. AF_06/2014</v>
          </cell>
          <cell r="D2649" t="str">
            <v>H</v>
          </cell>
          <cell r="E2649">
            <v>0.92</v>
          </cell>
          <cell r="F2649">
            <v>0</v>
          </cell>
        </row>
        <row r="2650">
          <cell r="B2650">
            <v>88434</v>
          </cell>
          <cell r="C2650" t="str">
            <v>PROJETOR DE ARGAMASSA, CAPACIDADE DE PROJEÇÃO 2 M3/H, ALCANCE ATÉ 50 M, MOTOR ELÉTRICO POTÊNCIA 7,5 HP - DEPRECIAÇÃO. AF_06/2014</v>
          </cell>
          <cell r="D2650" t="str">
            <v>H</v>
          </cell>
          <cell r="E2650">
            <v>7.46</v>
          </cell>
          <cell r="F2650">
            <v>0</v>
          </cell>
        </row>
        <row r="2651">
          <cell r="B2651">
            <v>88435</v>
          </cell>
          <cell r="C2651" t="str">
            <v>PROJETOR DE ARGAMASSA, CAPACIDADE DE PROJEÇÃO 2 M3/H, ALCANCE ATÉ 50 M, MOTOR ELÉTRICO POTÊNCIA 7,5 HP - JUROS. AF_06/2014</v>
          </cell>
          <cell r="D2651" t="str">
            <v>H</v>
          </cell>
          <cell r="E2651">
            <v>1.72</v>
          </cell>
          <cell r="F2651">
            <v>0</v>
          </cell>
        </row>
        <row r="2652">
          <cell r="B2652">
            <v>88436</v>
          </cell>
          <cell r="C2652" t="str">
            <v>PROJETOR DE ARGAMASSA, CAPACIDADE DE PROJEÇÃO 2 M3/H, ALCANCE ATÉ 50 M, MOTOR ELÉTRICO POTÊNCIA 7,5 HP - MANUTENÇÃO. AF_06/2014</v>
          </cell>
          <cell r="D2652" t="str">
            <v>H</v>
          </cell>
          <cell r="E2652">
            <v>9.33</v>
          </cell>
          <cell r="F2652">
            <v>0</v>
          </cell>
        </row>
        <row r="2653">
          <cell r="B2653">
            <v>88437</v>
          </cell>
          <cell r="C2653" t="str">
            <v>PROJETOR DE ARGAMASSA, CAPACIDADE DE PROJEÇÃO 2 M3/H, ALCANCE ATÉ 50 M, MOTOR ELÉTRICO POTÊNCIA 7,5 HP - MATERIAIS NA OPERAÇÃO. AF_06/2014</v>
          </cell>
          <cell r="D2653" t="str">
            <v>H</v>
          </cell>
          <cell r="E2653">
            <v>0.92</v>
          </cell>
          <cell r="F2653">
            <v>0</v>
          </cell>
        </row>
        <row r="2654">
          <cell r="B2654">
            <v>90664</v>
          </cell>
          <cell r="C2654" t="str">
            <v>PROJETOR PNEUMÁTICO DE ARGAMASSA PARA CHAPISCO E REBOCO COM RECIPIENTE ACOPLADO, TIPO CANEQUINHA, COM COMPRESSOR DE AR REBOCÁVEL VAZÃO 89 PCM E MOTOR DIESEL DE 20 CV - DEPRECIAÇÃO. AF_05/2023</v>
          </cell>
          <cell r="D2654" t="str">
            <v>H</v>
          </cell>
          <cell r="E2654">
            <v>7.06</v>
          </cell>
          <cell r="F2654">
            <v>0</v>
          </cell>
        </row>
        <row r="2655">
          <cell r="B2655">
            <v>90665</v>
          </cell>
          <cell r="C2655" t="str">
            <v>PROJETOR PNEUMÁTICO DE ARGAMASSA PARA CHAPISCO E REBOCO COM RECIPIENTE ACOPLADO, TIPO CANEQUINHA, COM COMPRESSOR DE AR REBOCÁVEL VAZÃO 89 PCM E MOTOR DIESEL DE 20 CV - JUROS. AF_05/2023</v>
          </cell>
          <cell r="D2655" t="str">
            <v>H</v>
          </cell>
          <cell r="E2655">
            <v>1.88</v>
          </cell>
          <cell r="F2655">
            <v>0</v>
          </cell>
        </row>
        <row r="2656">
          <cell r="B2656">
            <v>90666</v>
          </cell>
          <cell r="C2656" t="str">
            <v>PROJETOR PNEUMÁTICO DE ARGAMASSA PARA CHAPISCO E REBOCO COM RECIPIENTE ACOPLADO, TIPO CANEQUINHA, COM COMPRESSOR DE AR REBOCÁVEL VAZÃO 89 PCM E MOTOR DIESEL DE 20 CV - MANUTENÇÃO. AF_05/2023</v>
          </cell>
          <cell r="D2656" t="str">
            <v>H</v>
          </cell>
          <cell r="E2656">
            <v>8.84</v>
          </cell>
          <cell r="F2656">
            <v>0</v>
          </cell>
        </row>
        <row r="2657">
          <cell r="B2657">
            <v>90667</v>
          </cell>
          <cell r="C2657" t="str">
            <v>PROJETOR PNEUMÁTICO DE ARGAMASSA PARA CHAPISCO E REBOCO COM RECIPIENTE ACOPLADO, TIPO CANEQUINHA, COM COMPRESSOR DE AR REBOCÁVEL VAZÃO 89 PCM E MOTOR DIESEL DE 20 CV - MATERIAIS NA OPERAÇÃO. AF_05/2023</v>
          </cell>
          <cell r="D2657" t="str">
            <v>H</v>
          </cell>
          <cell r="E2657">
            <v>15.15</v>
          </cell>
          <cell r="F2657">
            <v>0</v>
          </cell>
        </row>
        <row r="2658">
          <cell r="B2658">
            <v>102977</v>
          </cell>
          <cell r="C2658" t="str">
            <v>PULVERIZADOR DE TINTA ELÉTRICO/MÁQUINA DE PINTURA AIRLESS, VAZÃO 2 L/MIN - DEPRECIAÇÃO. AF_05/2023</v>
          </cell>
          <cell r="D2658" t="str">
            <v>H</v>
          </cell>
          <cell r="E2658">
            <v>0</v>
          </cell>
        </row>
        <row r="2659">
          <cell r="B2659">
            <v>102978</v>
          </cell>
          <cell r="C2659" t="str">
            <v>PULVERIZADOR DE TINTA ELÉTRICO/MÁQUINA DE PINTURA AIRLESS, VAZÃO 2 L/MIN - JUROS. AF_05/2023</v>
          </cell>
          <cell r="D2659" t="str">
            <v>H</v>
          </cell>
          <cell r="E2659">
            <v>0</v>
          </cell>
        </row>
        <row r="2660">
          <cell r="B2660">
            <v>102979</v>
          </cell>
          <cell r="C2660" t="str">
            <v>PULVERIZADOR DE TINTA ELÉTRICO/MÁQUINA DE PINTURA AIRLESS, VAZÃO 2 L/MIN - MANUTENÇÃO. AF_05/2023</v>
          </cell>
          <cell r="D2660" t="str">
            <v>H</v>
          </cell>
          <cell r="E2660">
            <v>0</v>
          </cell>
        </row>
        <row r="2661">
          <cell r="B2661">
            <v>95217</v>
          </cell>
          <cell r="C2661" t="str">
            <v>PULVERIZADOR DE TINTA ELÉTRICO/MÁQUINA DE PINTURA AIRLESS, VAZÃO 2 L/MIN - MATERIAIS NA OPERAÇÃO. AF_05/2023</v>
          </cell>
          <cell r="D2661" t="str">
            <v>H</v>
          </cell>
          <cell r="E2661">
            <v>0.54</v>
          </cell>
          <cell r="F2661">
            <v>0</v>
          </cell>
        </row>
        <row r="2662">
          <cell r="B2662">
            <v>89130</v>
          </cell>
          <cell r="C2662" t="str">
            <v>PÁ CARREGADEIRA SOBRE RODAS, POTÊNCIA 197 HP, CAPACIDADE DA CAÇAMBA 2,5 A 3,5 M3, PESO OPERACIONAL 18338 KG - DEPRECIAÇÃO. AF_06/2014</v>
          </cell>
          <cell r="D2662" t="str">
            <v>H</v>
          </cell>
          <cell r="E2662">
            <v>51.63</v>
          </cell>
          <cell r="F2662">
            <v>0</v>
          </cell>
        </row>
        <row r="2663">
          <cell r="B2663">
            <v>89131</v>
          </cell>
          <cell r="C2663" t="str">
            <v>PÁ CARREGADEIRA SOBRE RODAS, POTÊNCIA 197 HP, CAPACIDADE DA CAÇAMBA 2,5 A 3,5 M3, PESO OPERACIONAL 18338 KG - JUROS. AF_06/2014</v>
          </cell>
          <cell r="D2663" t="str">
            <v>H</v>
          </cell>
          <cell r="E2663">
            <v>13.64</v>
          </cell>
          <cell r="F2663">
            <v>0</v>
          </cell>
        </row>
        <row r="2664">
          <cell r="B2664">
            <v>53861</v>
          </cell>
          <cell r="C2664" t="str">
            <v>PÁ CARREGADEIRA SOBRE RODAS, POTÊNCIA 197 HP, CAPACIDADE DA CAÇAMBA 2,5 A 3,5 M3, PESO OPERACIONAL 18338 KG - MANUTENÇÃO. AF_06/2014</v>
          </cell>
          <cell r="D2664" t="str">
            <v>H</v>
          </cell>
          <cell r="E2664">
            <v>64.540000000000006</v>
          </cell>
          <cell r="F2664">
            <v>0</v>
          </cell>
        </row>
        <row r="2665">
          <cell r="B2665">
            <v>5787</v>
          </cell>
          <cell r="C2665" t="str">
            <v>PÁ CARREGADEIRA SOBRE RODAS, POTÊNCIA 197 HP, CAPACIDADE DA CAÇAMBA 2,5 A 3,5 M3, PESO OPERACIONAL 18338 KG - MATERIAIS NA OPERAÇÃO. AF_06/2014</v>
          </cell>
          <cell r="D2665" t="str">
            <v>H</v>
          </cell>
          <cell r="E2665">
            <v>71.260000000000005</v>
          </cell>
          <cell r="F2665">
            <v>0</v>
          </cell>
        </row>
        <row r="2666">
          <cell r="B2666">
            <v>89128</v>
          </cell>
          <cell r="C2666" t="str">
            <v>PÁ CARREGADEIRA SOBRE RODAS, POTÊNCIA LÍQUIDA 128 HP, CAPACIDADE DA CAÇAMBA 1,7 A 2,8 M3, PESO OPERACIONAL 11632 KG - DEPRECIAÇÃO. AF_06/2014</v>
          </cell>
          <cell r="D2666" t="str">
            <v>H</v>
          </cell>
          <cell r="E2666">
            <v>37.24</v>
          </cell>
          <cell r="F2666">
            <v>0</v>
          </cell>
        </row>
        <row r="2667">
          <cell r="B2667">
            <v>89129</v>
          </cell>
          <cell r="C2667" t="str">
            <v>PÁ CARREGADEIRA SOBRE RODAS, POTÊNCIA LÍQUIDA 128 HP, CAPACIDADE DA CAÇAMBA 1,7 A 2,8 M3, PESO OPERACIONAL 11632 KG - JUROS. AF_06/2014</v>
          </cell>
          <cell r="D2667" t="str">
            <v>H</v>
          </cell>
          <cell r="E2667">
            <v>9.84</v>
          </cell>
          <cell r="F2667">
            <v>0</v>
          </cell>
        </row>
        <row r="2668">
          <cell r="B2668">
            <v>53857</v>
          </cell>
          <cell r="C2668" t="str">
            <v>PÁ CARREGADEIRA SOBRE RODAS, POTÊNCIA LÍQUIDA 128 HP, CAPACIDADE DA CAÇAMBA 1,7 A 2,8 M3, PESO OPERACIONAL 11632 KG - MANUTENÇÃO. AF_06/2014</v>
          </cell>
          <cell r="D2668" t="str">
            <v>H</v>
          </cell>
          <cell r="E2668">
            <v>46.55</v>
          </cell>
          <cell r="F2668">
            <v>0</v>
          </cell>
        </row>
        <row r="2669">
          <cell r="B2669">
            <v>53858</v>
          </cell>
          <cell r="C2669" t="str">
            <v>PÁ CARREGADEIRA SOBRE RODAS, POTÊNCIA LÍQUIDA 128 HP, CAPACIDADE DA CAÇAMBA 1,7 A 2,8 M3, PESO OPERACIONAL 11632 KG - MATERIAIS NA OPERAÇÃO. AF_06/2014</v>
          </cell>
          <cell r="D2669" t="str">
            <v>H</v>
          </cell>
          <cell r="E2669">
            <v>46.29</v>
          </cell>
          <cell r="F2669">
            <v>0</v>
          </cell>
        </row>
        <row r="2670">
          <cell r="B2670">
            <v>102888</v>
          </cell>
          <cell r="C2670" t="str">
            <v>PÓRTICO ROLANTE MONOVIGA, PERFIL I, 4 PERNAS, CAPACIDADE 5 T - DEPRECIAÇÃO. AF_04/2019</v>
          </cell>
          <cell r="D2670" t="str">
            <v>H</v>
          </cell>
          <cell r="E2670">
            <v>0</v>
          </cell>
        </row>
        <row r="2671">
          <cell r="B2671">
            <v>102889</v>
          </cell>
          <cell r="C2671" t="str">
            <v>PÓRTICO ROLANTE MONOVIGA, PERFIL I, 4 PERNAS, CAPACIDADE 5 T - JUROS. AF_04/2019</v>
          </cell>
          <cell r="D2671" t="str">
            <v>H</v>
          </cell>
          <cell r="E2671">
            <v>0</v>
          </cell>
        </row>
        <row r="2672">
          <cell r="B2672">
            <v>102890</v>
          </cell>
          <cell r="C2672" t="str">
            <v>PÓRTICO ROLANTE MONOVIGA, PERFIL I, 4 PERNAS, CAPACIDADE 5 T - MANUTENÇÃO. AF_04/2019</v>
          </cell>
          <cell r="D2672" t="str">
            <v>H</v>
          </cell>
          <cell r="E2672">
            <v>0</v>
          </cell>
        </row>
        <row r="2673">
          <cell r="B2673">
            <v>102891</v>
          </cell>
          <cell r="C2673" t="str">
            <v>PÓRTICO ROLANTE MONOVIGA, PERFIL I, 4 PERNAS, CAPACIDADE 5 T - MATERIAIS NA OPERAÇÃO. AF_04/2019</v>
          </cell>
          <cell r="D2673" t="str">
            <v>H</v>
          </cell>
          <cell r="E2673">
            <v>1.1100000000000001</v>
          </cell>
          <cell r="F2673">
            <v>0</v>
          </cell>
        </row>
        <row r="2674">
          <cell r="B2674">
            <v>89246</v>
          </cell>
          <cell r="C2674" t="str">
            <v>RECICLADORA DE ASFALTO A FRIO SOBRE RODAS, LARGURA FRESAGEM DE 2,0 M, POTÊNCIA 422 HP - DEPRECIAÇÃO. AF_11/2014</v>
          </cell>
          <cell r="D2674" t="str">
            <v>H</v>
          </cell>
          <cell r="E2674">
            <v>253.75</v>
          </cell>
          <cell r="F2674">
            <v>0</v>
          </cell>
        </row>
        <row r="2675">
          <cell r="B2675">
            <v>89247</v>
          </cell>
          <cell r="C2675" t="str">
            <v>RECICLADORA DE ASFALTO A FRIO SOBRE RODAS, LARGURA FRESAGEM DE 2,0 M, POTÊNCIA 422 HP - JUROS. AF_11/2014</v>
          </cell>
          <cell r="D2675" t="str">
            <v>H</v>
          </cell>
          <cell r="E2675">
            <v>77.7</v>
          </cell>
          <cell r="F2675">
            <v>0</v>
          </cell>
        </row>
        <row r="2676">
          <cell r="B2676">
            <v>89248</v>
          </cell>
          <cell r="C2676" t="str">
            <v>RECICLADORA DE ASFALTO A FRIO SOBRE RODAS, LARGURA FRESAGEM DE 2,0 M, POTÊNCIA 422 HP - MANUTENÇÃO. AF_11/2014</v>
          </cell>
          <cell r="D2676" t="str">
            <v>H</v>
          </cell>
          <cell r="E2676">
            <v>452.62</v>
          </cell>
          <cell r="F2676">
            <v>0</v>
          </cell>
        </row>
        <row r="2677">
          <cell r="B2677">
            <v>89249</v>
          </cell>
          <cell r="C2677" t="str">
            <v>RECICLADORA DE ASFALTO A FRIO SOBRE RODAS, LARGURA FRESAGEM DE 2,0 M, POTÊNCIA 422 HP - MATERIAIS NA OPERAÇÃO. AF_11/2014</v>
          </cell>
          <cell r="D2677" t="str">
            <v>H</v>
          </cell>
          <cell r="E2677">
            <v>381.53</v>
          </cell>
          <cell r="F2677">
            <v>0</v>
          </cell>
        </row>
        <row r="2678">
          <cell r="B2678">
            <v>102954</v>
          </cell>
          <cell r="C2678" t="str">
            <v>RETROESCAVADEIRA SOBRE RODAS COM CARREGADEIRA, PESO OPERACIONAL MÍN. 6,674, POTÊNCIA LÍQ 88 HP, COM MARTELO ROMPEDOR HIDRÁULICO ENTRE 275 A 362 KG - DEPRECIAÇÃO. AF_02/2021</v>
          </cell>
          <cell r="D2678" t="str">
            <v>H</v>
          </cell>
          <cell r="E2678">
            <v>0</v>
          </cell>
        </row>
        <row r="2679">
          <cell r="B2679">
            <v>104727</v>
          </cell>
          <cell r="C2679" t="str">
            <v>RETROESCAVADEIRA SOBRE RODAS COM CARREGADEIRA, PESO OPERACIONAL MÍN. 6,674, POTÊNCIA LÍQ 88 HP, COM MARTELO ROMPEDOR HIDRÁULICO ENTRE 275 A 362 KG - JUROS. AF_02/2021</v>
          </cell>
          <cell r="D2679" t="str">
            <v>H</v>
          </cell>
          <cell r="E2679">
            <v>0</v>
          </cell>
        </row>
        <row r="2680">
          <cell r="B2680">
            <v>102956</v>
          </cell>
          <cell r="C2680" t="str">
            <v>RETROESCAVADEIRA SOBRE RODAS COM CARREGADEIRA, PESO OPERACIONAL MÍN. 6,674, POTÊNCIA LÍQ 88 HP, COM MARTELO ROMPEDOR HIDRÁULICO ENTRE 275 A 362 KG - MANUTENÇÃO. AF_02/2021</v>
          </cell>
          <cell r="D2680" t="str">
            <v>H</v>
          </cell>
          <cell r="E2680">
            <v>0</v>
          </cell>
        </row>
        <row r="2681">
          <cell r="B2681">
            <v>102957</v>
          </cell>
          <cell r="C2681" t="str">
            <v>RETROESCAVADEIRA SOBRE RODAS COM CARREGADEIRA, PESO OPERACIONAL MÍN. 6,674, POTÊNCIA LÍQ 88 HP, COM MARTELO ROMPEDOR HIDRÁULICO ENTRE 275 A 362 KG - MATERIAIS NA OPERAÇÃO. AF_02/2021</v>
          </cell>
          <cell r="D2681" t="str">
            <v>H</v>
          </cell>
          <cell r="E2681">
            <v>39.81</v>
          </cell>
          <cell r="F2681">
            <v>0</v>
          </cell>
        </row>
        <row r="2682">
          <cell r="B2682">
            <v>88859</v>
          </cell>
          <cell r="C2682" t="str">
            <v>RETROESCAVADEIRA SOBRE RODAS COM CARREGADEIRA, TRAÇÃO 4X2, POTÊNCIA LÍQ. 79 HP, CAÇAMBA CARREG. CAP. MÍN. 1 M3, CAÇAMBA RETRO CAP. 0,20 M3, PESO OPERACIONAL MÍN. 6.570 KG, PROFUNDIDADE ESCAVAÇÃO MÁX. 4,37 M - DEPRECIAÇÃO. AF_06/2014</v>
          </cell>
          <cell r="D2682" t="str">
            <v>H</v>
          </cell>
          <cell r="E2682">
            <v>23.23</v>
          </cell>
          <cell r="F2682">
            <v>0</v>
          </cell>
        </row>
        <row r="2683">
          <cell r="B2683">
            <v>88860</v>
          </cell>
          <cell r="C2683" t="str">
            <v>RETROESCAVADEIRA SOBRE RODAS COM CARREGADEIRA, TRAÇÃO 4X2, POTÊNCIA LÍQ. 79 HP, CAÇAMBA CARREG. CAP. MÍN. 1 M3, CAÇAMBA RETRO CAP. 0,20 M3, PESO OPERACIONAL MÍN. 6.570 KG, PROFUNDIDADE ESCAVAÇÃO MÁX. 4,37 M - JUROS. AF_06/2014</v>
          </cell>
          <cell r="D2683" t="str">
            <v>H</v>
          </cell>
          <cell r="E2683">
            <v>6.14</v>
          </cell>
          <cell r="F2683">
            <v>0</v>
          </cell>
        </row>
        <row r="2684">
          <cell r="B2684">
            <v>5667</v>
          </cell>
          <cell r="C2684" t="str">
            <v>RETROESCAVADEIRA SOBRE RODAS COM CARREGADEIRA, TRAÇÃO 4X2, POTÊNCIA LÍQ. 79 HP, CAÇAMBA CARREG. CAP. MÍN. 1 M3, CAÇAMBA RETRO CAP. 0,20 M3, PESO OPERACIONAL MÍN. 6.570 KG, PROFUNDIDADE ESCAVAÇÃO MÁX. 4,37 M - MANUTENÇÃO. AF_06/2014</v>
          </cell>
          <cell r="D2684" t="str">
            <v>H</v>
          </cell>
          <cell r="E2684">
            <v>29.04</v>
          </cell>
          <cell r="F2684">
            <v>0</v>
          </cell>
        </row>
        <row r="2685">
          <cell r="B2685">
            <v>5668</v>
          </cell>
          <cell r="C2685" t="str">
            <v>RETROESCAVADEIRA SOBRE RODAS COM CARREGADEIRA, TRAÇÃO 4X2, POTÊNCIA LÍQ. 79 HP, CAÇAMBA CARREG. CAP. MÍN. 1 M3, CAÇAMBA RETRO CAP. 0,20 M3, PESO OPERACIONAL MÍN. 6.570 KG, PROFUNDIDADE ESCAVAÇÃO MÁX. 4,37 M - MATERIAIS NA OPERAÇÃO. AF_06/2014</v>
          </cell>
          <cell r="D2685" t="str">
            <v>H</v>
          </cell>
          <cell r="E2685">
            <v>46.41</v>
          </cell>
          <cell r="F2685">
            <v>0</v>
          </cell>
        </row>
        <row r="2686">
          <cell r="B2686">
            <v>89011</v>
          </cell>
          <cell r="C2686" t="str">
            <v>RETROESCAVADEIRA SOBRE RODAS COM CARREGADEIRA, TRAÇÃO 4X4, POTÊNCIA LÍQ. 72 HP, CAÇAMBA CARREG. CAP. MÍN. 0,79 M3, CAÇAMBA RETRO CAP. 0,18 M3, PESO OPERACIONAL MÍN. 7.140 KG, PROFUNDIDADE ESCAVAÇÃO MÁX. 4,50 M - DEPRECIAÇÃO. AF_06/2014</v>
          </cell>
          <cell r="D2686" t="str">
            <v>H</v>
          </cell>
          <cell r="E2686">
            <v>25.2</v>
          </cell>
          <cell r="F2686">
            <v>0</v>
          </cell>
        </row>
        <row r="2687">
          <cell r="B2687">
            <v>89012</v>
          </cell>
          <cell r="C2687" t="str">
            <v>RETROESCAVADEIRA SOBRE RODAS COM CARREGADEIRA, TRAÇÃO 4X4, POTÊNCIA LÍQ. 72 HP, CAÇAMBA CARREG. CAP. MÍN. 0,79 M3, CAÇAMBA RETRO CAP. 0,18 M3, PESO OPERACIONAL MÍN. 7.140 KG, PROFUNDIDADE ESCAVAÇÃO MÁX. 4,50 M - JUROS. AF_06/2014</v>
          </cell>
          <cell r="D2687" t="str">
            <v>H</v>
          </cell>
          <cell r="E2687">
            <v>6.66</v>
          </cell>
          <cell r="F2687">
            <v>0</v>
          </cell>
        </row>
        <row r="2688">
          <cell r="B2688">
            <v>5735</v>
          </cell>
          <cell r="C2688" t="str">
            <v>RETROESCAVADEIRA SOBRE RODAS COM CARREGADEIRA, TRAÇÃO 4X4, POTÊNCIA LÍQ. 72 HP, CAÇAMBA CARREG. CAP. MÍN. 0,79 M3, CAÇAMBA RETRO CAP. 0,18 M3, PESO OPERACIONAL MÍN. 7.140 KG, PROFUNDIDADE ESCAVAÇÃO MÁX. 4,50 M - MANUTENÇÃO. AF_06/2014</v>
          </cell>
          <cell r="D2688" t="str">
            <v>H</v>
          </cell>
          <cell r="E2688">
            <v>31.5</v>
          </cell>
          <cell r="F2688">
            <v>0</v>
          </cell>
        </row>
        <row r="2689">
          <cell r="B2689">
            <v>5736</v>
          </cell>
          <cell r="C2689" t="str">
            <v>RETROESCAVADEIRA SOBRE RODAS COM CARREGADEIRA, TRAÇÃO 4X4, POTÊNCIA LÍQ. 72 HP, CAÇAMBA CARREG. CAP. MÍN. 0,79 M3, CAÇAMBA RETRO CAP. 0,18 M3, PESO OPERACIONAL MÍN. 7.140 KG, PROFUNDIDADE ESCAVAÇÃO MÁX. 4,50 M - MATERIAIS NA OPERAÇÃO. AF_06/2014</v>
          </cell>
          <cell r="D2689" t="str">
            <v>H</v>
          </cell>
          <cell r="E2689">
            <v>42.29</v>
          </cell>
          <cell r="F2689">
            <v>0</v>
          </cell>
        </row>
        <row r="2690">
          <cell r="B2690">
            <v>88857</v>
          </cell>
          <cell r="C2690" t="str">
            <v>RETROESCAVADEIRA SOBRE RODAS COM CARREGADEIRA, TRAÇÃO 4X4, POTÊNCIA LÍQ. 88 HP, CAÇAMBA CARREG. CAP. MÍN. 1 M3, CAÇAMBA RETRO CAP. 0,26 M3, PESO OPERACIONAL MÍN. 6.674 KG, PROFUNDIDADE ESCAVAÇÃO MÁX. 4,37 M - DEPRECIAÇÃO. AF_06/2014</v>
          </cell>
          <cell r="D2690" t="str">
            <v>H</v>
          </cell>
          <cell r="E2690">
            <v>26.12</v>
          </cell>
          <cell r="F2690">
            <v>0</v>
          </cell>
        </row>
        <row r="2691">
          <cell r="B2691">
            <v>88858</v>
          </cell>
          <cell r="C2691" t="str">
            <v>RETROESCAVADEIRA SOBRE RODAS COM CARREGADEIRA, TRAÇÃO 4X4, POTÊNCIA LÍQ. 88 HP, CAÇAMBA CARREG. CAP. MÍN. 1 M3, CAÇAMBA RETRO CAP. 0,26 M3, PESO OPERACIONAL MÍN. 6.674 KG, PROFUNDIDADE ESCAVAÇÃO MÁX. 4,37 M - JUROS. AF_06/2014</v>
          </cell>
          <cell r="D2691" t="str">
            <v>H</v>
          </cell>
          <cell r="E2691">
            <v>6.9</v>
          </cell>
          <cell r="F2691">
            <v>0</v>
          </cell>
        </row>
        <row r="2692">
          <cell r="B2692">
            <v>5664</v>
          </cell>
          <cell r="C2692" t="str">
            <v>RETROESCAVADEIRA SOBRE RODAS COM CARREGADEIRA, TRAÇÃO 4X4, POTÊNCIA LÍQ. 88 HP, CAÇAMBA CARREG. CAP. MÍN. 1 M3, CAÇAMBA RETRO CAP. 0,26 M3, PESO OPERACIONAL MÍN. 6.674 KG, PROFUNDIDADE ESCAVAÇÃO MÁX. 4,37 M - MANUTENÇÃO. AF_06/2014</v>
          </cell>
          <cell r="D2692" t="str">
            <v>H</v>
          </cell>
          <cell r="E2692">
            <v>32.65</v>
          </cell>
          <cell r="F2692">
            <v>0</v>
          </cell>
        </row>
        <row r="2693">
          <cell r="B2693">
            <v>53786</v>
          </cell>
          <cell r="C2693" t="str">
            <v>RETROESCAVADEIRA SOBRE RODAS COM CARREGADEIRA, TRAÇÃO 4X4, POTÊNCIA LÍQ. 88 HP, CAÇAMBA CARREG. CAP. MÍN. 1 M3, CAÇAMBA RETRO CAP. 0,26 M3, PESO OPERACIONAL MÍN. 6.674 KG, PROFUNDIDADE ESCAVAÇÃO MÁX. 4,37 M - MATERIAIS NA OPERAÇÃO. AF_06/2014</v>
          </cell>
          <cell r="D2693" t="str">
            <v>H</v>
          </cell>
          <cell r="E2693">
            <v>51.69</v>
          </cell>
          <cell r="F2693">
            <v>0</v>
          </cell>
        </row>
        <row r="2694">
          <cell r="B2694">
            <v>7038</v>
          </cell>
          <cell r="C2694" t="str">
            <v>ROLO COMPACTADOR DE PNEUS ESTÁTICO, PRESSÃO VARIÁVEL, POTÊNCIA 111 HP, PESO SEM/COM LASTRO 9,5 / 26 T, LARGURA DE TRABALHO 1,90 M - DEPRECIAÇÃO. AF_07/2014</v>
          </cell>
          <cell r="D2694" t="str">
            <v>H</v>
          </cell>
          <cell r="E2694">
            <v>47.43</v>
          </cell>
          <cell r="F2694">
            <v>0</v>
          </cell>
        </row>
        <row r="2695">
          <cell r="B2695">
            <v>7039</v>
          </cell>
          <cell r="C2695" t="str">
            <v>ROLO COMPACTADOR DE PNEUS ESTÁTICO, PRESSÃO VARIÁVEL, POTÊNCIA 111 HP, PESO SEM/COM LASTRO 9,5 / 26 T, LARGURA DE TRABALHO 1,90 M - JUROS. AF_07/2014</v>
          </cell>
          <cell r="D2695" t="str">
            <v>H</v>
          </cell>
          <cell r="E2695">
            <v>12.72</v>
          </cell>
          <cell r="F2695">
            <v>0</v>
          </cell>
        </row>
        <row r="2696">
          <cell r="B2696">
            <v>7040</v>
          </cell>
          <cell r="C2696" t="str">
            <v>ROLO COMPACTADOR DE PNEUS ESTÁTICO, PRESSÃO VARIÁVEL, POTÊNCIA 111 HP, PESO SEM/COM LASTRO 9,5 / 26 T, LARGURA DE TRABALHO 1,90 M - MANUTENÇÃO. AF_07/2014</v>
          </cell>
          <cell r="D2696" t="str">
            <v>H</v>
          </cell>
          <cell r="E2696">
            <v>59.36</v>
          </cell>
          <cell r="F2696">
            <v>0</v>
          </cell>
        </row>
        <row r="2697">
          <cell r="B2697">
            <v>55263</v>
          </cell>
          <cell r="C2697" t="str">
            <v>ROLO COMPACTADOR DE PNEUS ESTÁTICO, PRESSÃO VARIÁVEL, POTÊNCIA 111 HP, PESO SEM/COM LASTRO 9,5 / 26 T, LARGURA DE TRABALHO 1,90 M - MATERIAIS NA OPERAÇÃO. AF_07/2014</v>
          </cell>
          <cell r="D2697" t="str">
            <v>H</v>
          </cell>
          <cell r="E2697">
            <v>65.260000000000005</v>
          </cell>
          <cell r="F2697">
            <v>0</v>
          </cell>
        </row>
        <row r="2698">
          <cell r="B2698">
            <v>96460</v>
          </cell>
          <cell r="C2698" t="str">
            <v>ROLO COMPACTADOR DE PNEUS, ESTÁTICO, PRESSÃO VARIÁVEL, POTÊNCIA 110 HP, PESO SEM/COM LASTRO 10,8/27 T, LARGURA DE ROLAGEM 2,30 M - DEPRECIAÇÃO. AF_06/2017</v>
          </cell>
          <cell r="D2698" t="str">
            <v>H</v>
          </cell>
          <cell r="E2698">
            <v>50.35</v>
          </cell>
          <cell r="F2698">
            <v>0</v>
          </cell>
        </row>
        <row r="2699">
          <cell r="B2699">
            <v>96459</v>
          </cell>
          <cell r="C2699" t="str">
            <v>ROLO COMPACTADOR DE PNEUS, ESTÁTICO, PRESSÃO VARIÁVEL, POTÊNCIA 110 HP, PESO SEM/COM LASTRO 10,8/27 T, LARGURA DE ROLAGEM 2,30 M - JUROS. AF_06/2017</v>
          </cell>
          <cell r="D2699" t="str">
            <v>H</v>
          </cell>
          <cell r="E2699">
            <v>13.5</v>
          </cell>
          <cell r="F2699">
            <v>0</v>
          </cell>
        </row>
        <row r="2700">
          <cell r="B2700">
            <v>96458</v>
          </cell>
          <cell r="C2700" t="str">
            <v>ROLO COMPACTADOR DE PNEUS, ESTÁTICO, PRESSÃO VARIÁVEL, POTÊNCIA 110 HP, PESO SEM/COM LASTRO 10,8/27 T, LARGURA DE ROLAGEM 2,30 M - MANUTENÇÃO. AF_06/2017</v>
          </cell>
          <cell r="D2700" t="str">
            <v>H</v>
          </cell>
          <cell r="E2700">
            <v>63.01</v>
          </cell>
          <cell r="F2700">
            <v>0</v>
          </cell>
        </row>
        <row r="2701">
          <cell r="B2701">
            <v>96457</v>
          </cell>
          <cell r="C2701" t="str">
            <v>ROLO COMPACTADOR DE PNEUS, ESTÁTICO, PRESSÃO VARIÁVEL, POTÊNCIA 110 HP, PESO SEM/COM LASTRO 10,8/27 T, LARGURA DE ROLAGEM 2,30 M - MATERIAIS NA OPERAÇÃO. AF_06/2017</v>
          </cell>
          <cell r="D2701" t="str">
            <v>H</v>
          </cell>
          <cell r="E2701">
            <v>64.66</v>
          </cell>
          <cell r="F2701">
            <v>0</v>
          </cell>
        </row>
        <row r="2702">
          <cell r="B2702">
            <v>7051</v>
          </cell>
          <cell r="C2702" t="str">
            <v>ROLO COMPACTADOR PE DE CARNEIRO VIBRATORIO, POTENCIA 125 HP, PESO OPERACIONAL SEM/COM LASTRO 11,95 / 13,30 T, IMPACTO DINAMICO 38,5 / 22,5 T, LARGURA DE TRABALHO 2,15 M - DEPRECIAÇÃO. AF_06/2014</v>
          </cell>
          <cell r="D2702" t="str">
            <v>H</v>
          </cell>
          <cell r="E2702">
            <v>42.07</v>
          </cell>
          <cell r="F2702">
            <v>0</v>
          </cell>
        </row>
        <row r="2703">
          <cell r="B2703">
            <v>7052</v>
          </cell>
          <cell r="C2703" t="str">
            <v>ROLO COMPACTADOR PE DE CARNEIRO VIBRATORIO, POTENCIA 125 HP, PESO OPERACIONAL SEM/COM LASTRO 11,95 / 13,30 T, IMPACTO DINAMICO 38,5 / 22,5 T, LARGURA DE TRABALHO 2,15 M - JUROS. AF_06/2014</v>
          </cell>
          <cell r="D2703" t="str">
            <v>H</v>
          </cell>
          <cell r="E2703">
            <v>11.36</v>
          </cell>
          <cell r="F2703">
            <v>0</v>
          </cell>
        </row>
        <row r="2704">
          <cell r="B2704">
            <v>7053</v>
          </cell>
          <cell r="C2704" t="str">
            <v>ROLO COMPACTADOR PE DE CARNEIRO VIBRATORIO, POTENCIA 125 HP, PESO OPERACIONAL SEM/COM LASTRO 11,95 / 13,30 T, IMPACTO DINAMICO 38,5 / 22,5 T, LARGURA DE TRABALHO 2,15 M - MANUTENÇÃO. AF_06/2014</v>
          </cell>
          <cell r="D2704" t="str">
            <v>H</v>
          </cell>
          <cell r="E2704">
            <v>52.65</v>
          </cell>
          <cell r="F2704">
            <v>0</v>
          </cell>
        </row>
        <row r="2705">
          <cell r="B2705">
            <v>7054</v>
          </cell>
          <cell r="C2705" t="str">
            <v>ROLO COMPACTADOR PE DE CARNEIRO VIBRATORIO, POTENCIA 125 HP, PESO OPERACIONAL SEM/COM LASTRO 11,95 / 13,30 T, IMPACTO DINAMICO 38,5 / 22,5 T, LARGURA DE TRABALHO 2,15 M - MATERIAIS NA OPERAÇÃO. AF_06/2014</v>
          </cell>
          <cell r="D2705" t="str">
            <v>H</v>
          </cell>
          <cell r="E2705">
            <v>90.41</v>
          </cell>
          <cell r="F2705">
            <v>0</v>
          </cell>
        </row>
        <row r="2706">
          <cell r="B2706">
            <v>95627</v>
          </cell>
          <cell r="C2706" t="str">
            <v>ROLO COMPACTADOR VIBRATORIO TANDEM, ACO LISO, POTENCIA 125 HP, PESO SEM/COM LASTRO 10,20/11,65 T, LARGURA DE TRABALHO 1,73 M - DEPRECIAÇÃO. AF_11/2016</v>
          </cell>
          <cell r="D2706" t="str">
            <v>H</v>
          </cell>
          <cell r="E2706">
            <v>45.4</v>
          </cell>
          <cell r="F2706">
            <v>0</v>
          </cell>
        </row>
        <row r="2707">
          <cell r="B2707">
            <v>95628</v>
          </cell>
          <cell r="C2707" t="str">
            <v>ROLO COMPACTADOR VIBRATORIO TANDEM, ACO LISO, POTENCIA 125 HP, PESO SEM/COM LASTRO 10,20/11,65 T, LARGURA DE TRABALHO 1,73 M - JUROS. AF_11/2016</v>
          </cell>
          <cell r="D2707" t="str">
            <v>H</v>
          </cell>
          <cell r="E2707">
            <v>12.18</v>
          </cell>
          <cell r="F2707">
            <v>0</v>
          </cell>
        </row>
        <row r="2708">
          <cell r="B2708">
            <v>95629</v>
          </cell>
          <cell r="C2708" t="str">
            <v>ROLO COMPACTADOR VIBRATORIO TANDEM, ACO LISO, POTENCIA 125 HP, PESO SEM/COM LASTRO 10,20/11,65 T, LARGURA DE TRABALHO 1,73 M - MANUTENÇÃO. AF_11/2016</v>
          </cell>
          <cell r="D2708" t="str">
            <v>H</v>
          </cell>
          <cell r="E2708">
            <v>56.81</v>
          </cell>
          <cell r="F2708">
            <v>0</v>
          </cell>
        </row>
        <row r="2709">
          <cell r="B2709">
            <v>95630</v>
          </cell>
          <cell r="C2709" t="str">
            <v>ROLO COMPACTADOR VIBRATORIO TANDEM, ACO LISO, POTENCIA 125 HP, PESO SEM/COM LASTRO 10,20/11,65 T, LARGURA DE TRABALHO 1,73 M - MATERIAIS NA OPERAÇÃO. AF_11/2016</v>
          </cell>
          <cell r="D2709" t="str">
            <v>H</v>
          </cell>
          <cell r="E2709">
            <v>90.41</v>
          </cell>
          <cell r="F2709">
            <v>0</v>
          </cell>
        </row>
        <row r="2710">
          <cell r="B2710">
            <v>89210</v>
          </cell>
          <cell r="C2710" t="str">
            <v>ROLO COMPACTADOR VIBRATÓRIO DE UM CILINDRO AÇO LISO, POTÊNCIA 80 HP, PESO OPERACIONAL MÁXIMO 8,1 T, IMPACTO DINÂMICO 16,15 / 9,5 T, LARGURA DE TRABALHO 1,68 M - DEPRECIAÇÃO. AF_06/2014</v>
          </cell>
          <cell r="D2710" t="str">
            <v>H</v>
          </cell>
          <cell r="E2710">
            <v>30.35</v>
          </cell>
          <cell r="F2710">
            <v>0</v>
          </cell>
        </row>
        <row r="2711">
          <cell r="B2711">
            <v>89211</v>
          </cell>
          <cell r="C2711" t="str">
            <v>ROLO COMPACTADOR VIBRATÓRIO DE UM CILINDRO AÇO LISO, POTÊNCIA 80 HP, PESO OPERACIONAL MÁXIMO 8,1 T, IMPACTO DINÂMICO 16,15 / 9,5 T, LARGURA DE TRABALHO 1,68 M - JUROS. AF_06/2014</v>
          </cell>
          <cell r="D2711" t="str">
            <v>H</v>
          </cell>
          <cell r="E2711">
            <v>8.14</v>
          </cell>
          <cell r="F2711">
            <v>0</v>
          </cell>
        </row>
        <row r="2712">
          <cell r="B2712">
            <v>5674</v>
          </cell>
          <cell r="C2712" t="str">
            <v>ROLO COMPACTADOR VIBRATÓRIO DE UM CILINDRO AÇO LISO, POTÊNCIA 80 HP, PESO OPERACIONAL MÁXIMO 8,1 T, IMPACTO DINÂMICO 16,15 / 9,5 T, LARGURA DE TRABALHO 1,68 M - MANUTENÇÃO. AF_06/2014</v>
          </cell>
          <cell r="D2712" t="str">
            <v>H</v>
          </cell>
          <cell r="E2712">
            <v>37.979999999999997</v>
          </cell>
          <cell r="F2712">
            <v>0</v>
          </cell>
        </row>
        <row r="2713">
          <cell r="B2713">
            <v>53788</v>
          </cell>
          <cell r="C2713" t="str">
            <v>ROLO COMPACTADOR VIBRATÓRIO DE UM CILINDRO AÇO LISO, POTÊNCIA 80 HP, PESO OPERACIONAL MÁXIMO 8,1 T, IMPACTO DINÂMICO 16,15 / 9,5 T, LARGURA DE TRABALHO 1,68 M - MATERIAIS NA OPERAÇÃO. AF_06/2014</v>
          </cell>
          <cell r="D2713" t="str">
            <v>H</v>
          </cell>
          <cell r="E2713">
            <v>57.87</v>
          </cell>
          <cell r="F2713">
            <v>0</v>
          </cell>
        </row>
        <row r="2714">
          <cell r="B2714">
            <v>73309</v>
          </cell>
          <cell r="C2714" t="str">
            <v>ROLO COMPACTADOR VIBRATÓRIO PÉ DE CARNEIRO PARA SOLOS, POTÊNCIA 80 HP, PESO OPERACIONAL SEM/COM LASTRO 7,4 / 8,8 T, LARGURA DE TRABALHO 1,68 M - DEPRECIAÇÃO. AF_02/2016</v>
          </cell>
          <cell r="D2714" t="str">
            <v>H</v>
          </cell>
          <cell r="E2714">
            <v>31.55</v>
          </cell>
          <cell r="F2714">
            <v>0</v>
          </cell>
        </row>
        <row r="2715">
          <cell r="B2715">
            <v>73313</v>
          </cell>
          <cell r="C2715" t="str">
            <v>ROLO COMPACTADOR VIBRATÓRIO PÉ DE CARNEIRO PARA SOLOS, POTÊNCIA 80 HP, PESO OPERACIONAL SEM/COM LASTRO 7,4 / 8,8 T, LARGURA DE TRABALHO 1,68 M - JUROS. AF_02/2016</v>
          </cell>
          <cell r="D2715" t="str">
            <v>H</v>
          </cell>
          <cell r="E2715">
            <v>8.52</v>
          </cell>
          <cell r="F2715">
            <v>0</v>
          </cell>
        </row>
        <row r="2716">
          <cell r="B2716">
            <v>5089</v>
          </cell>
          <cell r="C2716" t="str">
            <v>ROLO COMPACTADOR VIBRATÓRIO PÉ DE CARNEIRO PARA SOLOS, POTÊNCIA 80 HP, PESO OPERACIONAL SEM/COM LASTRO 7,4 / 8,8 T, LARGURA DE TRABALHO 1,68 M - MANUTENÇÃO. AF_02/2016</v>
          </cell>
          <cell r="D2716" t="str">
            <v>H</v>
          </cell>
          <cell r="E2716">
            <v>39.49</v>
          </cell>
          <cell r="F2716">
            <v>0</v>
          </cell>
        </row>
        <row r="2717">
          <cell r="B2717">
            <v>73315</v>
          </cell>
          <cell r="C2717" t="str">
            <v>ROLO COMPACTADOR VIBRATÓRIO PÉ DE CARNEIRO PARA SOLOS, POTÊNCIA 80 HP, PESO OPERACIONAL SEM/COM LASTRO 7,4 / 8,8 T, LARGURA DE TRABALHO 1,68 M - MATERIAIS NA OPERAÇÃO. AF_02/2016</v>
          </cell>
          <cell r="D2717" t="str">
            <v>H</v>
          </cell>
          <cell r="E2717">
            <v>57.87</v>
          </cell>
          <cell r="F2717">
            <v>0</v>
          </cell>
        </row>
        <row r="2718">
          <cell r="B2718">
            <v>5738</v>
          </cell>
          <cell r="C2718" t="str">
            <v>ROLO COMPACTADOR VIBRATÓRIO PÉ DE CARNEIRO, OPERADO POR CONTROLE REMOTO, POTÊNCIA 12,5 KW, PESO OPERACIONAL 1,675 T, LARGURA DE TRABALHO 0,85 M - DEPRECIAÇÃO. AF_02/2016</v>
          </cell>
          <cell r="D2718" t="str">
            <v>H</v>
          </cell>
          <cell r="E2718">
            <v>41.47</v>
          </cell>
          <cell r="F2718">
            <v>0</v>
          </cell>
        </row>
        <row r="2719">
          <cell r="B2719">
            <v>93239</v>
          </cell>
          <cell r="C2719" t="str">
            <v>ROLO COMPACTADOR VIBRATÓRIO PÉ DE CARNEIRO, OPERADO POR CONTROLE REMOTO, POTÊNCIA 12,5 KW, PESO OPERACIONAL 1,675 T, LARGURA DE TRABALHO 0,85 M - JUROS. AF_02/2016</v>
          </cell>
          <cell r="D2719" t="str">
            <v>H</v>
          </cell>
          <cell r="E2719">
            <v>11.12</v>
          </cell>
          <cell r="F2719">
            <v>0</v>
          </cell>
        </row>
        <row r="2720">
          <cell r="B2720">
            <v>5739</v>
          </cell>
          <cell r="C2720" t="str">
            <v>ROLO COMPACTADOR VIBRATÓRIO PÉ DE CARNEIRO, OPERADO POR CONTROLE REMOTO, POTÊNCIA 12,5 KW, PESO OPERACIONAL 1,675 T, LARGURA DE TRABALHO 0,85 M - MANUTENÇÃO. AF_02/2016</v>
          </cell>
          <cell r="D2720" t="str">
            <v>H</v>
          </cell>
          <cell r="E2720">
            <v>51.9</v>
          </cell>
          <cell r="F2720">
            <v>0</v>
          </cell>
        </row>
        <row r="2721">
          <cell r="B2721">
            <v>93240</v>
          </cell>
          <cell r="C2721" t="str">
            <v>ROLO COMPACTADOR VIBRATÓRIO PÉ DE CARNEIRO, OPERADO POR CONTROLE REMOTO, POTÊNCIA 12,5 KW, PESO OPERACIONAL 1,675 T, LARGURA DE TRABALHO 0,85 M - MATERIAIS NA OPERAÇÃO. AF_02/2016</v>
          </cell>
          <cell r="D2721" t="str">
            <v>H</v>
          </cell>
          <cell r="E2721">
            <v>12.12</v>
          </cell>
          <cell r="F2721">
            <v>0</v>
          </cell>
        </row>
        <row r="2722">
          <cell r="B2722">
            <v>53818</v>
          </cell>
          <cell r="C2722" t="str">
            <v>ROLO COMPACTADOR VIBRATÓRIO REBOCÁVEL, CILINDRO DE AÇO LISO, POTÊNCIA DE TRAÇÃO DE 65 CV, PESO 4,7 T, IMPACTO DINÂMICO 18,3 T, LARGURA DE TRABALHO 1,67 M - DEPRECIAÇÃO. AF_02/2016</v>
          </cell>
          <cell r="D2722" t="str">
            <v>H</v>
          </cell>
          <cell r="E2722">
            <v>9.16</v>
          </cell>
          <cell r="F2722">
            <v>0</v>
          </cell>
        </row>
        <row r="2723">
          <cell r="B2723">
            <v>93238</v>
          </cell>
          <cell r="C2723" t="str">
            <v>ROLO COMPACTADOR VIBRATÓRIO REBOCÁVEL, CILINDRO DE AÇO LISO, POTÊNCIA DE TRAÇÃO DE 65 CV, PESO 4,7 T, IMPACTO DINÂMICO 18,3 T, LARGURA DE TRABALHO 1,67 M - JUROS. AF_02/2016</v>
          </cell>
          <cell r="D2723" t="str">
            <v>H</v>
          </cell>
          <cell r="E2723">
            <v>2.4500000000000002</v>
          </cell>
          <cell r="F2723">
            <v>0</v>
          </cell>
        </row>
        <row r="2724">
          <cell r="B2724">
            <v>5727</v>
          </cell>
          <cell r="C2724" t="str">
            <v>ROLO COMPACTADOR VIBRATÓRIO REBOCÁVEL, CILINDRO DE AÇO LISO, POTÊNCIA DE TRAÇÃO DE 65 CV, PESO 4,7 T, IMPACTO DINÂMICO 18,3 T, LARGURA DE TRABALHO 1,67 M - MANUTENÇÃO. AF_02/2016</v>
          </cell>
          <cell r="D2724" t="str">
            <v>H</v>
          </cell>
          <cell r="E2724">
            <v>11.46</v>
          </cell>
          <cell r="F2724">
            <v>0</v>
          </cell>
        </row>
        <row r="2725">
          <cell r="B2725">
            <v>89280</v>
          </cell>
          <cell r="C2725" t="str">
            <v>ROLO COMPACTADOR VIBRATÓRIO TANDEM AÇO LISO, POTÊNCIA 58 HP, PESO SEM/COM LASTRO 6,5 / 9,4 T, LARGURA DE TRABALHO 1,2 M - DEPRECIAÇÃO. AF_06/2014</v>
          </cell>
          <cell r="D2725" t="str">
            <v>H</v>
          </cell>
          <cell r="E2725">
            <v>37.270000000000003</v>
          </cell>
          <cell r="F2725">
            <v>0</v>
          </cell>
        </row>
        <row r="2726">
          <cell r="B2726">
            <v>89281</v>
          </cell>
          <cell r="C2726" t="str">
            <v>ROLO COMPACTADOR VIBRATÓRIO TANDEM AÇO LISO, POTÊNCIA 58 HP, PESO SEM/COM LASTRO 6,5 / 9,4 T, LARGURA DE TRABALHO 1,2 M - JUROS. AF_06/2014</v>
          </cell>
          <cell r="D2726" t="str">
            <v>H</v>
          </cell>
          <cell r="E2726">
            <v>9.99</v>
          </cell>
          <cell r="F2726">
            <v>0</v>
          </cell>
        </row>
        <row r="2727">
          <cell r="B2727">
            <v>5729</v>
          </cell>
          <cell r="C2727" t="str">
            <v>ROLO COMPACTADOR VIBRATÓRIO TANDEM AÇO LISO, POTÊNCIA 58 HP, PESO SEM/COM LASTRO 6,5 / 9,4 T, LARGURA DE TRABALHO 1,2 M - MANUTENÇÃO. AF_06/2014</v>
          </cell>
          <cell r="D2727" t="str">
            <v>H</v>
          </cell>
          <cell r="E2727">
            <v>46.64</v>
          </cell>
          <cell r="F2727">
            <v>0</v>
          </cell>
        </row>
        <row r="2728">
          <cell r="B2728">
            <v>5730</v>
          </cell>
          <cell r="C2728" t="str">
            <v>ROLO COMPACTADOR VIBRATÓRIO TANDEM AÇO LISO, POTÊNCIA 58 HP, PESO SEM/COM LASTRO 6,5 / 9,4 T, LARGURA DE TRABALHO 1,2 M - MATERIAIS NA OPERAÇÃO. AF_06/2014</v>
          </cell>
          <cell r="D2728" t="str">
            <v>H</v>
          </cell>
          <cell r="E2728">
            <v>41.38</v>
          </cell>
          <cell r="F2728">
            <v>0</v>
          </cell>
        </row>
        <row r="2729">
          <cell r="B2729">
            <v>95266</v>
          </cell>
          <cell r="C2729" t="str">
            <v>RÉGUA VIBRATÓRIA DUPLA PARA CONCRETO, PESO DE 60KG, COMPRIMENTO 4 M, COM MOTOR A GASOLINA, POTÊNCIA 5,5 HP - DEPRECIAÇÃO. AF_09/2016</v>
          </cell>
          <cell r="D2729" t="str">
            <v>H</v>
          </cell>
          <cell r="E2729">
            <v>0.61</v>
          </cell>
          <cell r="F2729">
            <v>0</v>
          </cell>
        </row>
        <row r="2730">
          <cell r="B2730">
            <v>95267</v>
          </cell>
          <cell r="C2730" t="str">
            <v>RÉGUA VIBRATÓRIA DUPLA PARA CONCRETO, PESO DE 60KG, COMPRIMENTO 4 M, COM MOTOR A GASOLINA, POTÊNCIA 5,5 HP - JUROS. AF_09/2016</v>
          </cell>
          <cell r="D2730" t="str">
            <v>H</v>
          </cell>
          <cell r="E2730">
            <v>0.12</v>
          </cell>
          <cell r="F2730">
            <v>0</v>
          </cell>
        </row>
        <row r="2731">
          <cell r="B2731">
            <v>95268</v>
          </cell>
          <cell r="C2731" t="str">
            <v>RÉGUA VIBRATÓRIA DUPLA PARA CONCRETO, PESO DE 60KG, COMPRIMENTO 4 M, COM MOTOR A GASOLINA, POTÊNCIA 5,5 HP - MANUTENÇÃO. AF_09/2016</v>
          </cell>
          <cell r="D2731" t="str">
            <v>H</v>
          </cell>
          <cell r="E2731">
            <v>0.59</v>
          </cell>
          <cell r="F2731">
            <v>0</v>
          </cell>
        </row>
        <row r="2732">
          <cell r="B2732">
            <v>95269</v>
          </cell>
          <cell r="C2732" t="str">
            <v>RÉGUA VIBRATÓRIA DUPLA PARA CONCRETO, PESO DE 60KG, COMPRIMENTO 4 M, COM MOTOR A GASOLINA, POTÊNCIA 5,5 HP - MATERIAIS NA OPERAÇÃO. AF_09/2016</v>
          </cell>
          <cell r="D2732" t="str">
            <v>H</v>
          </cell>
          <cell r="E2732">
            <v>8.8699999999999992</v>
          </cell>
          <cell r="F2732">
            <v>0</v>
          </cell>
        </row>
        <row r="2733">
          <cell r="B2733">
            <v>91688</v>
          </cell>
          <cell r="C2733" t="str">
            <v>SERRA CIRCULAR DE BANCADA COM MOTOR ELÉTRICO POTÊNCIA DE 5HP, COM COIFA PARA DISCO 10" - DEPRECIAÇÃO. AF_08/2015</v>
          </cell>
          <cell r="D2733" t="str">
            <v>H</v>
          </cell>
          <cell r="E2733">
            <v>0.09</v>
          </cell>
          <cell r="F2733">
            <v>0</v>
          </cell>
        </row>
        <row r="2734">
          <cell r="B2734">
            <v>91689</v>
          </cell>
          <cell r="C2734" t="str">
            <v>SERRA CIRCULAR DE BANCADA COM MOTOR ELÉTRICO POTÊNCIA DE 5HP, COM COIFA PARA DISCO 10" - JUROS. AF_08/2015</v>
          </cell>
          <cell r="D2734" t="str">
            <v>H</v>
          </cell>
          <cell r="E2734">
            <v>0.01</v>
          </cell>
          <cell r="F2734">
            <v>0</v>
          </cell>
        </row>
        <row r="2735">
          <cell r="B2735">
            <v>91690</v>
          </cell>
          <cell r="C2735" t="str">
            <v>SERRA CIRCULAR DE BANCADA COM MOTOR ELÉTRICO POTÊNCIA DE 5HP, COM COIFA PARA DISCO 10" - MANUTENÇÃO. AF_08/2015</v>
          </cell>
          <cell r="D2735" t="str">
            <v>H</v>
          </cell>
          <cell r="E2735">
            <v>0.06</v>
          </cell>
          <cell r="F2735">
            <v>0</v>
          </cell>
        </row>
        <row r="2736">
          <cell r="B2736">
            <v>91691</v>
          </cell>
          <cell r="C2736" t="str">
            <v>SERRA CIRCULAR DE BANCADA COM MOTOR ELÉTRICO POTÊNCIA DE 5HP, COM COIFA PARA DISCO 10" - MATERIAIS NA OPERAÇÃO. AF_08/2015</v>
          </cell>
          <cell r="D2736" t="str">
            <v>H</v>
          </cell>
          <cell r="E2736">
            <v>1.18</v>
          </cell>
          <cell r="F2736">
            <v>0</v>
          </cell>
        </row>
        <row r="2737">
          <cell r="B2737">
            <v>102924</v>
          </cell>
          <cell r="C2737" t="str">
            <v>SERRA FITA HORIZONTAL, ELÉTRICA, COM CONTROLE HIDRÁULICO, PAINEL DE COMANDO EM 24 V, MOTOR ELÉTRICO 1,5 CV, DIMENSÕES DA FITA 3880 X 27 X 0,9 MM, TRIFÁSICA - DEPRECIAÇÃO. AF_05/2023</v>
          </cell>
          <cell r="D2737" t="str">
            <v>H</v>
          </cell>
          <cell r="E2737">
            <v>0</v>
          </cell>
        </row>
        <row r="2738">
          <cell r="B2738">
            <v>102925</v>
          </cell>
          <cell r="C2738" t="str">
            <v>SERRA FITA HORIZONTAL, ELÉTRICA, COM CONTROLE HIDRÁULICO, PAINEL DE COMANDO EM 24 V, MOTOR ELÉTRICO 1,5 CV, DIMENSÕES DA FITA 3880 X 27 X 0,9 MM, TRIFÁSICA - JUROS. AF_05/2023</v>
          </cell>
          <cell r="D2738" t="str">
            <v>H</v>
          </cell>
          <cell r="E2738">
            <v>0</v>
          </cell>
        </row>
        <row r="2739">
          <cell r="B2739">
            <v>102926</v>
          </cell>
          <cell r="C2739" t="str">
            <v>SERRA FITA HORIZONTAL, ELÉTRICA, COM CONTROLE HIDRÁULICO, PAINEL DE COMANDO EM 24 V, MOTOR ELÉTRICO 1,5 CV, DIMENSÕES DA FITA 3880 X 27 X 0,9 MM, TRIFÁSICA - MANUTENÇÃO. AF_05/2023</v>
          </cell>
          <cell r="D2739" t="str">
            <v>H</v>
          </cell>
          <cell r="E2739">
            <v>0</v>
          </cell>
        </row>
        <row r="2740">
          <cell r="B2740">
            <v>102927</v>
          </cell>
          <cell r="C2740" t="str">
            <v>SERRA FITA HORIZONTAL, ELÉTRICA, COM CONTROLE HIDRÁULICO, PAINEL DE COMANDO EM 24 V, MOTOR ELÉTRICO 1,5 CV, DIMENSÕES DA FITA 3880 X 27 X 0,9 MM, TRIFÁSICA - MATERIAIS NA OPERAÇÃO. AF_05/2023</v>
          </cell>
          <cell r="D2740" t="str">
            <v>H</v>
          </cell>
          <cell r="E2740">
            <v>0.81</v>
          </cell>
          <cell r="F2740">
            <v>0</v>
          </cell>
        </row>
        <row r="2741">
          <cell r="B2741">
            <v>95136</v>
          </cell>
          <cell r="C2741" t="str">
            <v>TALHA MANUAL DE CORRENTE, CAPACIDADE DE 2 TON. COM ELEVAÇÃO DE 3 M - DEPRECIAÇÃO. AF_07/2016</v>
          </cell>
          <cell r="D2741" t="str">
            <v>H</v>
          </cell>
          <cell r="E2741">
            <v>0.02</v>
          </cell>
          <cell r="F2741">
            <v>0</v>
          </cell>
        </row>
        <row r="2742">
          <cell r="B2742">
            <v>95137</v>
          </cell>
          <cell r="C2742" t="str">
            <v>TALHA MANUAL DE CORRENTE, CAPACIDADE DE 2 TON. COM ELEVAÇÃO DE 3 M - JUROS. AF_07/2016</v>
          </cell>
          <cell r="D2742" t="str">
            <v>H</v>
          </cell>
          <cell r="E2742">
            <v>0.01</v>
          </cell>
          <cell r="F2742">
            <v>0</v>
          </cell>
        </row>
        <row r="2743">
          <cell r="B2743">
            <v>95138</v>
          </cell>
          <cell r="C2743" t="str">
            <v>TALHA MANUAL DE CORRENTE, CAPACIDADE DE 2 TON. COM ELEVAÇÃO DE 3 M - MANUTENÇÃO. AF_07/2016</v>
          </cell>
          <cell r="D2743" t="str">
            <v>H</v>
          </cell>
          <cell r="E2743">
            <v>0.02</v>
          </cell>
          <cell r="F2743">
            <v>0</v>
          </cell>
        </row>
        <row r="2744">
          <cell r="B2744">
            <v>89023</v>
          </cell>
          <cell r="C2744" t="str">
            <v>TANQUE DE ASFALTO ESTACIONÁRIO COM MAÇARICO, CAPACIDADE 20.000 L - DEPRECIAÇÃO. AF_05/2023</v>
          </cell>
          <cell r="D2744" t="str">
            <v>H</v>
          </cell>
          <cell r="E2744">
            <v>4.08</v>
          </cell>
          <cell r="F2744">
            <v>0</v>
          </cell>
        </row>
        <row r="2745">
          <cell r="B2745">
            <v>89024</v>
          </cell>
          <cell r="C2745" t="str">
            <v>TANQUE DE ASFALTO ESTACIONÁRIO COM MAÇARICO, CAPACIDADE 20.000 L - JUROS. AF_05/2023</v>
          </cell>
          <cell r="D2745" t="str">
            <v>H</v>
          </cell>
          <cell r="E2745">
            <v>1.41</v>
          </cell>
          <cell r="F2745">
            <v>0</v>
          </cell>
        </row>
        <row r="2746">
          <cell r="B2746">
            <v>89025</v>
          </cell>
          <cell r="C2746" t="str">
            <v>TANQUE DE ASFALTO ESTACIONÁRIO COM MAÇARICO, CAPACIDADE 20.000 L - MANUTENÇÃO. AF_05/2023</v>
          </cell>
          <cell r="D2746" t="str">
            <v>H</v>
          </cell>
          <cell r="E2746">
            <v>5.0999999999999996</v>
          </cell>
          <cell r="F2746">
            <v>0</v>
          </cell>
        </row>
        <row r="2747">
          <cell r="B2747">
            <v>89026</v>
          </cell>
          <cell r="C2747" t="str">
            <v>TANQUE DE ASFALTO ESTACIONÁRIO COM MAÇARICO, CAPACIDADE 20.000 L - MATERIAIS NA OPERAÇÃO. AF_05/2023</v>
          </cell>
          <cell r="D2747" t="str">
            <v>H</v>
          </cell>
          <cell r="E2747">
            <v>173.16</v>
          </cell>
          <cell r="F2747">
            <v>0</v>
          </cell>
        </row>
        <row r="2748">
          <cell r="B2748">
            <v>7032</v>
          </cell>
          <cell r="C2748" t="str">
            <v>TANQUE DE ASFALTO ESTACIONÁRIO COM SERPENTINA, CAPACIDADE 30.000 L - DEPRECIAÇÃO. AF_05/2023</v>
          </cell>
          <cell r="D2748" t="str">
            <v>H</v>
          </cell>
          <cell r="E2748">
            <v>5.0199999999999996</v>
          </cell>
          <cell r="F2748">
            <v>0</v>
          </cell>
        </row>
        <row r="2749">
          <cell r="B2749">
            <v>7033</v>
          </cell>
          <cell r="C2749" t="str">
            <v>TANQUE DE ASFALTO ESTACIONÁRIO COM SERPENTINA, CAPACIDADE 30.000 L - JUROS. AF_05/2023</v>
          </cell>
          <cell r="D2749" t="str">
            <v>H</v>
          </cell>
          <cell r="E2749">
            <v>1.74</v>
          </cell>
          <cell r="F2749">
            <v>0</v>
          </cell>
        </row>
        <row r="2750">
          <cell r="B2750">
            <v>7034</v>
          </cell>
          <cell r="C2750" t="str">
            <v>TANQUE DE ASFALTO ESTACIONÁRIO COM SERPENTINA, CAPACIDADE 30.000 L - MANUTENÇÃO. AF_05/2023</v>
          </cell>
          <cell r="D2750" t="str">
            <v>H</v>
          </cell>
          <cell r="E2750">
            <v>6.27</v>
          </cell>
          <cell r="F2750">
            <v>0</v>
          </cell>
        </row>
        <row r="2751">
          <cell r="B2751">
            <v>7035</v>
          </cell>
          <cell r="C2751" t="str">
            <v>TANQUE DE ASFALTO ESTACIONÁRIO COM SERPENTINA, CAPACIDADE 30.000 L - MATERIAIS NA OPERAÇÃO. AF_05/2023</v>
          </cell>
          <cell r="D2751" t="str">
            <v>H</v>
          </cell>
          <cell r="E2751">
            <v>259.74</v>
          </cell>
          <cell r="F2751">
            <v>0</v>
          </cell>
        </row>
        <row r="2752">
          <cell r="B2752">
            <v>102942</v>
          </cell>
          <cell r="C2752" t="str">
            <v>TARTARUGA DE OXICORTE CG1, MONOFÁSICA, 220 V, FREQUÊNCIA 50 HZ, VELOCIDADE DE CORTE (MM/MIN) 50 A 750, DIÂMETRO MÍNIMO DO COMPASSO MM 200 - DEPRECIAÇÃO. AF_05/2023</v>
          </cell>
          <cell r="D2752" t="str">
            <v>H</v>
          </cell>
          <cell r="E2752">
            <v>0</v>
          </cell>
        </row>
        <row r="2753">
          <cell r="B2753">
            <v>102943</v>
          </cell>
          <cell r="C2753" t="str">
            <v>TARTARUGA DE OXICORTE CG1, MONOFÁSICA, 220 V, FREQUÊNCIA 50 HZ, VELOCIDADE DE CORTE (MM/MIN) 50 A 750, DIÂMETRO MÍNIMO DO COMPASSO MM 200 - JUROS. AF_05/2023</v>
          </cell>
          <cell r="D2753" t="str">
            <v>H</v>
          </cell>
          <cell r="E2753">
            <v>0</v>
          </cell>
        </row>
        <row r="2754">
          <cell r="B2754">
            <v>102944</v>
          </cell>
          <cell r="C2754" t="str">
            <v>TARTARUGA DE OXICORTE CG1, MONOFÁSICA, 220 V, FREQUÊNCIA 50 HZ, VELOCIDADE DE CORTE (MM/MIN) 50 A 750, DIÂMETRO MÍNIMO DO COMPASSO MM 200 - MANUTENÇÃO. AF_05/2023</v>
          </cell>
          <cell r="D2754" t="str">
            <v>H</v>
          </cell>
          <cell r="E2754">
            <v>0</v>
          </cell>
        </row>
        <row r="2755">
          <cell r="B2755">
            <v>102945</v>
          </cell>
          <cell r="C2755" t="str">
            <v>TARTARUGA DE OXICORTE CG1, MONOFÁSICA, 220 V, FREQUÊNCIA 50 HZ, VELOCIDADE DE CORTE (MM/MIN) 50 A 750, DIÂMETRO MÍNIMO DO COMPASSO MM 200 - MATERIAIS NA OPERAÇÃO. AF_05/2023</v>
          </cell>
          <cell r="D2755" t="str">
            <v>H</v>
          </cell>
          <cell r="E2755">
            <v>0.01</v>
          </cell>
          <cell r="F2755">
            <v>0</v>
          </cell>
        </row>
        <row r="2756">
          <cell r="B2756">
            <v>104087</v>
          </cell>
          <cell r="C2756" t="str">
            <v>TERMOFUSORA PARA TUBOS E CONEXÕES EM PPR COM DIÂMETROS DE 20 A 63 MM, POTÊNCIA DE 800 W, TENSAO 220 V - DEPRECIAÇÃO. AF_05/2022</v>
          </cell>
          <cell r="D2756" t="str">
            <v>H</v>
          </cell>
          <cell r="E2756">
            <v>0.03</v>
          </cell>
          <cell r="F2756">
            <v>0</v>
          </cell>
        </row>
        <row r="2757">
          <cell r="B2757">
            <v>104088</v>
          </cell>
          <cell r="C2757" t="str">
            <v>TERMOFUSORA PARA TUBOS E CONEXÕES EM PPR COM DIÂMETROS DE 20 A 63 MM, POTÊNCIA DE 800 W, TENSAO 220 V - JUROS. AF_05/2022</v>
          </cell>
          <cell r="D2757" t="str">
            <v>H</v>
          </cell>
          <cell r="E2757">
            <v>0</v>
          </cell>
        </row>
        <row r="2758">
          <cell r="B2758">
            <v>104089</v>
          </cell>
          <cell r="C2758" t="str">
            <v>TERMOFUSORA PARA TUBOS E CONEXÕES EM PPR COM DIÂMETROS DE 20 A 63 MM, POTÊNCIA DE 800 W, TENSAO 220 V - MANUTENÇÃO. AF_05/2022</v>
          </cell>
          <cell r="D2758" t="str">
            <v>H</v>
          </cell>
          <cell r="E2758">
            <v>0.04</v>
          </cell>
          <cell r="F2758">
            <v>0</v>
          </cell>
        </row>
        <row r="2759">
          <cell r="B2759">
            <v>104090</v>
          </cell>
          <cell r="C2759" t="str">
            <v>TERMOFUSORA PARA TUBOS E CONEXÕES EM PPR COM DIÂMETROS DE 20 A 63 MM, POTÊNCIA DE 800 W, TENSAO 220 V - MATERIAIS NA OPERAÇÃO. AF_05/2022</v>
          </cell>
          <cell r="D2759" t="str">
            <v>H</v>
          </cell>
          <cell r="E2759">
            <v>0.59</v>
          </cell>
          <cell r="F2759">
            <v>0</v>
          </cell>
        </row>
        <row r="2760">
          <cell r="B2760">
            <v>104093</v>
          </cell>
          <cell r="C2760" t="str">
            <v>TERMOFUSORA PARA TUBOS E CONEXÕES EM PPR COM DIÂMETROS DE 75 A 110 MM, POTÊNCIA DE *1100* W, TENSÃO 220 V - DEPRECIAÇÃO. AF_05/2022</v>
          </cell>
          <cell r="D2760" t="str">
            <v>H</v>
          </cell>
          <cell r="E2760">
            <v>0.04</v>
          </cell>
          <cell r="F2760">
            <v>0</v>
          </cell>
        </row>
        <row r="2761">
          <cell r="B2761">
            <v>104094</v>
          </cell>
          <cell r="C2761" t="str">
            <v>TERMOFUSORA PARA TUBOS E CONEXÕES EM PPR COM DIÂMETROS DE 75 A 110 MM, POTÊNCIA DE *1100* W, TENSÃO 220 V - JUROS. AF_05/2022</v>
          </cell>
          <cell r="D2761" t="str">
            <v>H</v>
          </cell>
          <cell r="E2761">
            <v>0.01</v>
          </cell>
          <cell r="F2761">
            <v>0</v>
          </cell>
        </row>
        <row r="2762">
          <cell r="B2762">
            <v>104095</v>
          </cell>
          <cell r="C2762" t="str">
            <v>TERMOFUSORA PARA TUBOS E CONEXÕES EM PPR COM DIÂMETROS DE 75 A 110 MM, POTÊNCIA DE *1100* W, TENSÃO 220 V - MANUTENÇÃO. AF_05/2022</v>
          </cell>
          <cell r="D2762" t="str">
            <v>H</v>
          </cell>
          <cell r="E2762">
            <v>0.05</v>
          </cell>
          <cell r="F2762">
            <v>0</v>
          </cell>
        </row>
        <row r="2763">
          <cell r="B2763">
            <v>104096</v>
          </cell>
          <cell r="C2763" t="str">
            <v>TERMOFUSORA PARA TUBOS E CONEXÕES EM PPR COM DIÂMETROS DE 75 A 110 MM, POTÊNCIA DE *1100* W, TENSÃO 220 V - MATERIAIS NA OPERAÇÃO. AF_05/2022</v>
          </cell>
          <cell r="D2763" t="str">
            <v>H</v>
          </cell>
          <cell r="E2763">
            <v>0.81</v>
          </cell>
          <cell r="F2763">
            <v>0</v>
          </cell>
        </row>
        <row r="2764">
          <cell r="B2764">
            <v>102900</v>
          </cell>
          <cell r="C2764" t="str">
            <v>TORRE, COMPOSTA POR GUINCHO MECÂNICO, GUINCHO MANUAL, CABOS DE AÇO, PITEIRA E SOQUETE - DEPRECIAÇÃO. AF_05/2023</v>
          </cell>
          <cell r="D2764" t="str">
            <v>H</v>
          </cell>
          <cell r="E2764">
            <v>0</v>
          </cell>
        </row>
        <row r="2765">
          <cell r="B2765">
            <v>102901</v>
          </cell>
          <cell r="C2765" t="str">
            <v>TORRE, COMPOSTA POR GUINCHO MECÂNICO, GUINCHO MANUAL, CABOS DE AÇO, PITEIRA E SOQUETE - JUROS. AF_05/2023</v>
          </cell>
          <cell r="D2765" t="str">
            <v>H</v>
          </cell>
          <cell r="E2765">
            <v>0</v>
          </cell>
        </row>
        <row r="2766">
          <cell r="B2766">
            <v>102902</v>
          </cell>
          <cell r="C2766" t="str">
            <v>TORRE, COMPOSTA POR GUINCHO MECÂNICO, GUINCHO MANUAL, CABOS DE AÇO, PITEIRA E SOQUETE - MANUTENÇÃO. AF_05/2023</v>
          </cell>
          <cell r="D2766" t="str">
            <v>H</v>
          </cell>
          <cell r="E2766">
            <v>0</v>
          </cell>
        </row>
        <row r="2767">
          <cell r="B2767">
            <v>102903</v>
          </cell>
          <cell r="C2767" t="str">
            <v>TORRE, COMPOSTA POR GUINCHO MECÂNICO, GUINCHO MANUAL, CABOS DE AÇO, PITEIRA E SOQUETE - MATERIAIS NA OPERAÇÃO. AF_05/2023</v>
          </cell>
          <cell r="D2767" t="str">
            <v>H</v>
          </cell>
          <cell r="E2767">
            <v>11.81</v>
          </cell>
          <cell r="F2767">
            <v>0</v>
          </cell>
        </row>
        <row r="2768">
          <cell r="B2768">
            <v>89029</v>
          </cell>
          <cell r="C2768" t="str">
            <v>TRATOR DE ESTEIRAS, POTÊNCIA 100 HP, PESO OPERACIONAL 9,4 T, COM LÂMINA 2,19 M3 - DEPRECIAÇÃO. AF_06/2014</v>
          </cell>
          <cell r="D2768" t="str">
            <v>H</v>
          </cell>
          <cell r="E2768">
            <v>33.58</v>
          </cell>
          <cell r="F2768">
            <v>0</v>
          </cell>
        </row>
        <row r="2769">
          <cell r="B2769">
            <v>89030</v>
          </cell>
          <cell r="C2769" t="str">
            <v>TRATOR DE ESTEIRAS, POTÊNCIA 100 HP, PESO OPERACIONAL 9,4 T, COM LÂMINA 2,19 M3 - JUROS. AF_06/2014</v>
          </cell>
          <cell r="D2769" t="str">
            <v>H</v>
          </cell>
          <cell r="E2769">
            <v>14.79</v>
          </cell>
          <cell r="F2769">
            <v>0</v>
          </cell>
        </row>
        <row r="2770">
          <cell r="B2770">
            <v>5724</v>
          </cell>
          <cell r="C2770" t="str">
            <v>TRATOR DE ESTEIRAS, POTÊNCIA 100 HP, PESO OPERACIONAL 9,4 T, COM LÂMINA 2,19 M3 - MANUTENÇÃO. AF_06/2014</v>
          </cell>
          <cell r="D2770" t="str">
            <v>H</v>
          </cell>
          <cell r="E2770">
            <v>60.04</v>
          </cell>
          <cell r="F2770">
            <v>0</v>
          </cell>
        </row>
        <row r="2771">
          <cell r="B2771">
            <v>53817</v>
          </cell>
          <cell r="C2771" t="str">
            <v>TRATOR DE ESTEIRAS, POTÊNCIA 100 HP, PESO OPERACIONAL 9,4 T, COM LÂMINA 2,19 M3 - MATERIAIS NA OPERAÇÃO. AF_06/2014</v>
          </cell>
          <cell r="D2771" t="str">
            <v>H</v>
          </cell>
          <cell r="E2771">
            <v>63.26</v>
          </cell>
          <cell r="F2771">
            <v>0</v>
          </cell>
        </row>
        <row r="2772">
          <cell r="B2772">
            <v>88839</v>
          </cell>
          <cell r="C2772" t="str">
            <v>TRATOR DE ESTEIRAS, POTÊNCIA 125 HP, PESO OPERACIONAL 12,9 T, COM LÂMINA 2,7 M3 - DEPRECIAÇÃO. AF_10/2014</v>
          </cell>
          <cell r="D2772" t="str">
            <v>H</v>
          </cell>
          <cell r="E2772">
            <v>35.15</v>
          </cell>
          <cell r="F2772">
            <v>0</v>
          </cell>
        </row>
        <row r="2773">
          <cell r="B2773">
            <v>88840</v>
          </cell>
          <cell r="C2773" t="str">
            <v>TRATOR DE ESTEIRAS, POTÊNCIA 125 HP, PESO OPERACIONAL 12,9 T, COM LÂMINA 2,7 M3 - JUROS. AF_10/2014</v>
          </cell>
          <cell r="D2773" t="str">
            <v>H</v>
          </cell>
          <cell r="E2773">
            <v>15.48</v>
          </cell>
          <cell r="F2773">
            <v>0</v>
          </cell>
        </row>
        <row r="2774">
          <cell r="B2774">
            <v>88841</v>
          </cell>
          <cell r="C2774" t="str">
            <v>TRATOR DE ESTEIRAS, POTÊNCIA 125 HP, PESO OPERACIONAL 12,9 T, COM LÂMINA 2,7 M3 - MANUTENÇÃO. AF_10/2014</v>
          </cell>
          <cell r="D2774" t="str">
            <v>H</v>
          </cell>
          <cell r="E2774">
            <v>62.84</v>
          </cell>
          <cell r="F2774">
            <v>0</v>
          </cell>
        </row>
        <row r="2775">
          <cell r="B2775">
            <v>88842</v>
          </cell>
          <cell r="C2775" t="str">
            <v>TRATOR DE ESTEIRAS, POTÊNCIA 125 HP, PESO OPERACIONAL 12,9 T, COM LÂMINA 2,7 M3 - MATERIAIS NA OPERAÇÃO. AF_10/2014</v>
          </cell>
          <cell r="D2775" t="str">
            <v>H</v>
          </cell>
          <cell r="E2775">
            <v>79.14</v>
          </cell>
          <cell r="F2775">
            <v>0</v>
          </cell>
        </row>
        <row r="2776">
          <cell r="B2776">
            <v>89009</v>
          </cell>
          <cell r="C2776" t="str">
            <v>TRATOR DE ESTEIRAS, POTÊNCIA 150 HP, PESO OPERACIONAL 16,7 T, COM RODA MOTRIZ ELEVADA E LÂMINA 3,18 M3 - DEPRECIAÇÃO. AF_06/2014</v>
          </cell>
          <cell r="D2776" t="str">
            <v>H</v>
          </cell>
          <cell r="E2776">
            <v>43.54</v>
          </cell>
          <cell r="F2776">
            <v>0</v>
          </cell>
        </row>
        <row r="2777">
          <cell r="B2777">
            <v>89010</v>
          </cell>
          <cell r="C2777" t="str">
            <v>TRATOR DE ESTEIRAS, POTÊNCIA 150 HP, PESO OPERACIONAL 16,7 T, COM RODA MOTRIZ ELEVADA E LÂMINA 3,18 M3 - JUROS. AF_06/2014</v>
          </cell>
          <cell r="D2777" t="str">
            <v>H</v>
          </cell>
          <cell r="E2777">
            <v>19.18</v>
          </cell>
          <cell r="F2777">
            <v>0</v>
          </cell>
        </row>
        <row r="2778">
          <cell r="B2778">
            <v>53810</v>
          </cell>
          <cell r="C2778" t="str">
            <v>TRATOR DE ESTEIRAS, POTÊNCIA 150 HP, PESO OPERACIONAL 16,7 T, COM RODA MOTRIZ ELEVADA E LÂMINA 3,18 M3 - MANUTENÇÃO. AF_06/2014</v>
          </cell>
          <cell r="D2778" t="str">
            <v>H</v>
          </cell>
          <cell r="E2778">
            <v>77.84</v>
          </cell>
          <cell r="F2778">
            <v>0</v>
          </cell>
        </row>
        <row r="2779">
          <cell r="B2779">
            <v>5721</v>
          </cell>
          <cell r="C2779" t="str">
            <v>TRATOR DE ESTEIRAS, POTÊNCIA 150 HP, PESO OPERACIONAL 16,7 T, COM RODA MOTRIZ ELEVADA E LÂMINA 3,18 M3 - MATERIAIS NA OPERAÇÃO. AF_06/2014</v>
          </cell>
          <cell r="D2779" t="str">
            <v>H</v>
          </cell>
          <cell r="E2779">
            <v>94.96</v>
          </cell>
          <cell r="F2779">
            <v>0</v>
          </cell>
        </row>
        <row r="2780">
          <cell r="B2780">
            <v>89017</v>
          </cell>
          <cell r="C2780" t="str">
            <v>TRATOR DE ESTEIRAS, POTÊNCIA 170 HP, PESO OPERACIONAL 19 T, CAÇAMBA 5,2 M3 - DEPRECIAÇÃO. AF_06/2014</v>
          </cell>
          <cell r="D2780" t="str">
            <v>H</v>
          </cell>
          <cell r="E2780">
            <v>43.27</v>
          </cell>
          <cell r="F2780">
            <v>0</v>
          </cell>
        </row>
        <row r="2781">
          <cell r="B2781">
            <v>89018</v>
          </cell>
          <cell r="C2781" t="str">
            <v>TRATOR DE ESTEIRAS, POTÊNCIA 170 HP, PESO OPERACIONAL 19 T, CAÇAMBA 5,2 M3 - JUROS. AF_06/2014</v>
          </cell>
          <cell r="D2781" t="str">
            <v>H</v>
          </cell>
          <cell r="E2781">
            <v>19.059999999999999</v>
          </cell>
          <cell r="F2781">
            <v>0</v>
          </cell>
        </row>
        <row r="2782">
          <cell r="B2782">
            <v>53806</v>
          </cell>
          <cell r="C2782" t="str">
            <v>TRATOR DE ESTEIRAS, POTÊNCIA 170 HP, PESO OPERACIONAL 19 T, CAÇAMBA 5,2 M3 - MANUTENÇÃO. AF_06/2014</v>
          </cell>
          <cell r="D2782" t="str">
            <v>H</v>
          </cell>
          <cell r="E2782">
            <v>77.36</v>
          </cell>
          <cell r="F2782">
            <v>0</v>
          </cell>
        </row>
        <row r="2783">
          <cell r="B2783">
            <v>5718</v>
          </cell>
          <cell r="C2783" t="str">
            <v>TRATOR DE ESTEIRAS, POTÊNCIA 170 HP, PESO OPERACIONAL 19 T, CAÇAMBA 5,2 M3 - MATERIAIS NA OPERAÇÃO. AF_06/2014</v>
          </cell>
          <cell r="D2783" t="str">
            <v>H</v>
          </cell>
          <cell r="E2783">
            <v>107.62</v>
          </cell>
          <cell r="F2783">
            <v>0</v>
          </cell>
        </row>
        <row r="2784">
          <cell r="B2784">
            <v>89013</v>
          </cell>
          <cell r="C2784" t="str">
            <v>TRATOR DE ESTEIRAS, POTÊNCIA 347 HP, PESO OPERACIONAL 38,5 T, COM LÂMINA 8,70 M3 - DEPRECIAÇÃO. AF_06/2014</v>
          </cell>
          <cell r="D2784" t="str">
            <v>H</v>
          </cell>
          <cell r="E2784">
            <v>142.61000000000001</v>
          </cell>
          <cell r="F2784">
            <v>0</v>
          </cell>
        </row>
        <row r="2785">
          <cell r="B2785">
            <v>89014</v>
          </cell>
          <cell r="C2785" t="str">
            <v>TRATOR DE ESTEIRAS, POTÊNCIA 347 HP, PESO OPERACIONAL 38,5 T, COM LÂMINA 8,70 M3 - JUROS. AF_06/2014</v>
          </cell>
          <cell r="D2785" t="str">
            <v>H</v>
          </cell>
          <cell r="E2785">
            <v>62.82</v>
          </cell>
          <cell r="F2785">
            <v>0</v>
          </cell>
        </row>
        <row r="2786">
          <cell r="B2786">
            <v>53814</v>
          </cell>
          <cell r="C2786" t="str">
            <v>TRATOR DE ESTEIRAS, POTÊNCIA 347 HP, PESO OPERACIONAL 38,5 T, COM LÂMINA 8,70 M3 - MANUTENÇÃO. AF_06/2014</v>
          </cell>
          <cell r="D2786" t="str">
            <v>H</v>
          </cell>
          <cell r="E2786">
            <v>254.96</v>
          </cell>
          <cell r="F2786">
            <v>0</v>
          </cell>
        </row>
        <row r="2787">
          <cell r="B2787">
            <v>5722</v>
          </cell>
          <cell r="C2787" t="str">
            <v>TRATOR DE ESTEIRAS, POTÊNCIA 347 HP, PESO OPERACIONAL 38,5 T, COM LÂMINA 8,70 M3 - MATERIAIS NA OPERAÇÃO. AF_06/2014</v>
          </cell>
          <cell r="D2787" t="str">
            <v>H</v>
          </cell>
          <cell r="E2787">
            <v>219.61</v>
          </cell>
          <cell r="F2787">
            <v>0</v>
          </cell>
        </row>
        <row r="2788">
          <cell r="B2788">
            <v>96015</v>
          </cell>
          <cell r="C2788" t="str">
            <v>TRATOR DE PNEUS COM POTÊNCIA DE 122 CV, TRAÇÃO 4X4, COM GRADE DE DISCOS ACOPLADA - DEPRECIAÇÃO. AF_02/2017</v>
          </cell>
          <cell r="D2788" t="str">
            <v>H</v>
          </cell>
          <cell r="E2788">
            <v>21.24</v>
          </cell>
          <cell r="F2788">
            <v>0</v>
          </cell>
        </row>
        <row r="2789">
          <cell r="B2789">
            <v>96016</v>
          </cell>
          <cell r="C2789" t="str">
            <v>TRATOR DE PNEUS COM POTÊNCIA DE 122 CV, TRAÇÃO 4X4, COM GRADE DE DISCOS ACOPLADA - JUROS. AF_02/2017</v>
          </cell>
          <cell r="D2789" t="str">
            <v>H</v>
          </cell>
          <cell r="E2789">
            <v>5.69</v>
          </cell>
          <cell r="F2789">
            <v>0</v>
          </cell>
        </row>
        <row r="2790">
          <cell r="B2790">
            <v>96018</v>
          </cell>
          <cell r="C2790" t="str">
            <v>TRATOR DE PNEUS COM POTÊNCIA DE 122 CV, TRAÇÃO 4X4, COM GRADE DE DISCOS ACOPLADA - MANUTENÇÃO. AF_02/2017</v>
          </cell>
          <cell r="D2790" t="str">
            <v>H</v>
          </cell>
          <cell r="E2790">
            <v>23.24</v>
          </cell>
          <cell r="F2790">
            <v>0</v>
          </cell>
        </row>
        <row r="2791">
          <cell r="B2791">
            <v>96019</v>
          </cell>
          <cell r="C2791" t="str">
            <v>TRATOR DE PNEUS COM POTÊNCIA DE 122 CV, TRAÇÃO 4X4, COM GRADE DE DISCOS ACOPLADA - MATERIAIS NA OPERAÇÃO. AF_02/2017</v>
          </cell>
          <cell r="D2791" t="str">
            <v>H</v>
          </cell>
          <cell r="E2791">
            <v>97.92</v>
          </cell>
          <cell r="F2791">
            <v>0</v>
          </cell>
        </row>
        <row r="2792">
          <cell r="B2792">
            <v>96008</v>
          </cell>
          <cell r="C2792" t="str">
            <v>TRATOR DE PNEUS COM POTÊNCIA DE 122 CV, TRAÇÃO 4X4, COM VASSOURA MECÂNICA ACOPLADA - DEPRECIAÇÃO. AF_02/2017</v>
          </cell>
          <cell r="D2792" t="str">
            <v>H</v>
          </cell>
          <cell r="E2792">
            <v>21.44</v>
          </cell>
          <cell r="F2792">
            <v>0</v>
          </cell>
        </row>
        <row r="2793">
          <cell r="B2793">
            <v>96009</v>
          </cell>
          <cell r="C2793" t="str">
            <v>TRATOR DE PNEUS COM POTÊNCIA DE 122 CV, TRAÇÃO 4X4, COM VASSOURA MECÂNICA ACOPLADA - JUROS. AF_02/2017</v>
          </cell>
          <cell r="D2793" t="str">
            <v>H</v>
          </cell>
          <cell r="E2793">
            <v>5.74</v>
          </cell>
          <cell r="F2793">
            <v>0</v>
          </cell>
        </row>
        <row r="2794">
          <cell r="B2794">
            <v>96011</v>
          </cell>
          <cell r="C2794" t="str">
            <v>TRATOR DE PNEUS COM POTÊNCIA DE 122 CV, TRAÇÃO 4X4, COM VASSOURA MECÂNICA ACOPLADA - MANUTENÇÃO. AF_02/2017</v>
          </cell>
          <cell r="D2794" t="str">
            <v>H</v>
          </cell>
          <cell r="E2794">
            <v>23.46</v>
          </cell>
          <cell r="F2794">
            <v>0</v>
          </cell>
        </row>
        <row r="2795">
          <cell r="B2795">
            <v>96012</v>
          </cell>
          <cell r="C2795" t="str">
            <v>TRATOR DE PNEUS COM POTÊNCIA DE 122 CV, TRAÇÃO 4X4, COM VASSOURA MECÂNICA ACOPLADA - MATERIAIS NA OPERAÇÃO. AF_02/2017</v>
          </cell>
          <cell r="D2795" t="str">
            <v>H</v>
          </cell>
          <cell r="E2795">
            <v>97.92</v>
          </cell>
          <cell r="F2795">
            <v>0</v>
          </cell>
        </row>
        <row r="2796">
          <cell r="B2796">
            <v>96023</v>
          </cell>
          <cell r="C2796" t="str">
            <v>TRATOR DE PNEUS COM POTÊNCIA DE 85 CV, TRAÇÃO 4X4, COM GRADE DE DISCOS ACOPLADA - DEPRECIAÇÃO. AF_02/2017</v>
          </cell>
          <cell r="D2796" t="str">
            <v>H</v>
          </cell>
          <cell r="E2796">
            <v>16.46</v>
          </cell>
          <cell r="F2796">
            <v>0</v>
          </cell>
        </row>
        <row r="2797">
          <cell r="B2797">
            <v>96024</v>
          </cell>
          <cell r="C2797" t="str">
            <v>TRATOR DE PNEUS COM POTÊNCIA DE 85 CV, TRAÇÃO 4X4, COM GRADE DE DISCOS ACOPLADA - JUROS. AF_02/2017</v>
          </cell>
          <cell r="D2797" t="str">
            <v>H</v>
          </cell>
          <cell r="E2797">
            <v>4.41</v>
          </cell>
          <cell r="F2797">
            <v>0</v>
          </cell>
        </row>
        <row r="2798">
          <cell r="B2798">
            <v>96026</v>
          </cell>
          <cell r="C2798" t="str">
            <v>TRATOR DE PNEUS COM POTÊNCIA DE 85 CV, TRAÇÃO 4X4, COM GRADE DE DISCOS ACOPLADA - MANUTENÇÃO. AF_02/2017</v>
          </cell>
          <cell r="D2798" t="str">
            <v>H</v>
          </cell>
          <cell r="E2798">
            <v>18</v>
          </cell>
          <cell r="F2798">
            <v>0</v>
          </cell>
        </row>
        <row r="2799">
          <cell r="B2799">
            <v>96027</v>
          </cell>
          <cell r="C2799" t="str">
            <v>TRATOR DE PNEUS COM POTÊNCIA DE 85 CV, TRAÇÃO 4X4, COM GRADE DE DISCOS ACOPLADA - MATERIAIS NA OPERAÇÃO. AF_02/2017</v>
          </cell>
          <cell r="D2799" t="str">
            <v>H</v>
          </cell>
          <cell r="E2799">
            <v>68.23</v>
          </cell>
          <cell r="F2799">
            <v>0</v>
          </cell>
        </row>
        <row r="2800">
          <cell r="B2800">
            <v>96053</v>
          </cell>
          <cell r="C2800" t="str">
            <v>TRATOR DE PNEUS COM POTÊNCIA DE 85 CV, TRAÇÃO 4X4, COM VASSOURA MECÂNICA ACOPLADA - DEPRECIAÇÃO. AF_03/2017</v>
          </cell>
          <cell r="D2800" t="str">
            <v>H</v>
          </cell>
          <cell r="E2800">
            <v>16.66</v>
          </cell>
          <cell r="F2800">
            <v>0</v>
          </cell>
        </row>
        <row r="2801">
          <cell r="B2801">
            <v>96055</v>
          </cell>
          <cell r="C2801" t="str">
            <v>TRATOR DE PNEUS COM POTÊNCIA DE 85 CV, TRAÇÃO 4X4, COM VASSOURA MECÂNICA ACOPLADA - JUROS. AF_03/2017</v>
          </cell>
          <cell r="D2801" t="str">
            <v>H</v>
          </cell>
          <cell r="E2801">
            <v>4.46</v>
          </cell>
          <cell r="F2801">
            <v>0</v>
          </cell>
        </row>
        <row r="2802">
          <cell r="B2802">
            <v>96056</v>
          </cell>
          <cell r="C2802" t="str">
            <v>TRATOR DE PNEUS COM POTÊNCIA DE 85 CV, TRAÇÃO 4X4, COM VASSOURA MECÂNICA ACOPLADA - MANUTENÇÃO. AF_03/2017</v>
          </cell>
          <cell r="D2802" t="str">
            <v>H</v>
          </cell>
          <cell r="E2802">
            <v>18.22</v>
          </cell>
          <cell r="F2802">
            <v>0</v>
          </cell>
        </row>
        <row r="2803">
          <cell r="B2803">
            <v>96057</v>
          </cell>
          <cell r="C2803" t="str">
            <v>TRATOR DE PNEUS COM POTÊNCIA DE 85 CV, TRAÇÃO 4X4, COM VASSOURA MECÂNICA ACOPLADA - MATERIAIS NA OPERAÇÃO. AF_03/2017</v>
          </cell>
          <cell r="D2803" t="str">
            <v>H</v>
          </cell>
          <cell r="E2803">
            <v>68.23</v>
          </cell>
          <cell r="F2803">
            <v>0</v>
          </cell>
        </row>
        <row r="2804">
          <cell r="B2804">
            <v>7063</v>
          </cell>
          <cell r="C2804" t="str">
            <v>TRATOR DE PNEUS, POTÊNCIA 122 CV, TRAÇÃO 4X4, PESO COM LASTRO DE 4.510 KG - DEPRECIAÇÃO. AF_06/2014</v>
          </cell>
          <cell r="D2804" t="str">
            <v>H</v>
          </cell>
          <cell r="E2804">
            <v>17.91</v>
          </cell>
          <cell r="F2804">
            <v>0</v>
          </cell>
        </row>
        <row r="2805">
          <cell r="B2805">
            <v>7064</v>
          </cell>
          <cell r="C2805" t="str">
            <v>TRATOR DE PNEUS, POTÊNCIA 122 CV, TRAÇÃO 4X4, PESO COM LASTRO DE 4.510 KG - JUROS. AF_06/2014</v>
          </cell>
          <cell r="D2805" t="str">
            <v>H</v>
          </cell>
          <cell r="E2805">
            <v>4.84</v>
          </cell>
          <cell r="F2805">
            <v>0</v>
          </cell>
        </row>
        <row r="2806">
          <cell r="B2806">
            <v>7065</v>
          </cell>
          <cell r="C2806" t="str">
            <v>TRATOR DE PNEUS, POTÊNCIA 122 CV, TRAÇÃO 4X4, PESO COM LASTRO DE 4.510 KG - MANUTENÇÃO. AF_06/2014</v>
          </cell>
          <cell r="D2806" t="str">
            <v>H</v>
          </cell>
          <cell r="E2806">
            <v>19.600000000000001</v>
          </cell>
          <cell r="F2806">
            <v>0</v>
          </cell>
        </row>
        <row r="2807">
          <cell r="B2807">
            <v>7066</v>
          </cell>
          <cell r="C2807" t="str">
            <v>TRATOR DE PNEUS, POTÊNCIA 122 CV, TRAÇÃO 4X4, PESO COM LASTRO DE 4.510 KG - MATERIAIS NA OPERAÇÃO. AF_06/2014</v>
          </cell>
          <cell r="D2807" t="str">
            <v>H</v>
          </cell>
          <cell r="E2807">
            <v>97.92</v>
          </cell>
          <cell r="F2807">
            <v>0</v>
          </cell>
        </row>
        <row r="2808">
          <cell r="B2808">
            <v>89033</v>
          </cell>
          <cell r="C2808" t="str">
            <v>TRATOR DE PNEUS, POTÊNCIA 85 CV, TRAÇÃO 4X4, PESO COM LASTRO DE 4.675 KG - DEPRECIAÇÃO. AF_06/2014</v>
          </cell>
          <cell r="D2808" t="str">
            <v>H</v>
          </cell>
          <cell r="E2808">
            <v>13.13</v>
          </cell>
          <cell r="F2808">
            <v>0</v>
          </cell>
        </row>
        <row r="2809">
          <cell r="B2809">
            <v>89034</v>
          </cell>
          <cell r="C2809" t="str">
            <v>TRATOR DE PNEUS, POTÊNCIA 85 CV, TRAÇÃO 4X4, PESO COM LASTRO DE 4.675 KG - JUROS. AF_06/2014</v>
          </cell>
          <cell r="D2809" t="str">
            <v>H</v>
          </cell>
          <cell r="E2809">
            <v>3.52</v>
          </cell>
          <cell r="F2809">
            <v>0</v>
          </cell>
        </row>
        <row r="2810">
          <cell r="B2810">
            <v>5714</v>
          </cell>
          <cell r="C2810" t="str">
            <v>TRATOR DE PNEUS, POTÊNCIA 85 CV, TRAÇÃO 4X4, PESO COM LASTRO DE 4.675 KG - MANUTENÇÃO. AF_06/2014</v>
          </cell>
          <cell r="D2810" t="str">
            <v>H</v>
          </cell>
          <cell r="E2810">
            <v>14.36</v>
          </cell>
          <cell r="F2810">
            <v>0</v>
          </cell>
        </row>
        <row r="2811">
          <cell r="B2811">
            <v>5715</v>
          </cell>
          <cell r="C2811" t="str">
            <v>TRATOR DE PNEUS, POTÊNCIA 85 CV, TRAÇÃO 4X4, PESO COM LASTRO DE 4.675 KG - MATERIAIS NA OPERAÇÃO. AF_06/2014</v>
          </cell>
          <cell r="D2811" t="str">
            <v>H</v>
          </cell>
          <cell r="E2811">
            <v>68.23</v>
          </cell>
          <cell r="F2811">
            <v>0</v>
          </cell>
        </row>
        <row r="2812">
          <cell r="B2812">
            <v>102906</v>
          </cell>
          <cell r="C2812" t="str">
            <v>UNIDADE DOSADORA AIRLESS TIPO HOT SPRAY - DEPRECIAÇÃO. AF_05/2023</v>
          </cell>
          <cell r="D2812" t="str">
            <v>H</v>
          </cell>
          <cell r="E2812">
            <v>0</v>
          </cell>
        </row>
        <row r="2813">
          <cell r="B2813">
            <v>102907</v>
          </cell>
          <cell r="C2813" t="str">
            <v>UNIDADE DOSADORA AIRLESS TIPO HOT SPRAY - JUROS. AF_05/2023</v>
          </cell>
          <cell r="D2813" t="str">
            <v>H</v>
          </cell>
          <cell r="E2813">
            <v>0</v>
          </cell>
        </row>
        <row r="2814">
          <cell r="B2814">
            <v>102908</v>
          </cell>
          <cell r="C2814" t="str">
            <v>UNIDADE DOSADORA AIRLESS TIPO HOT SPRAY - MANUTENÇÃO. AF_05/2023</v>
          </cell>
          <cell r="D2814" t="str">
            <v>H</v>
          </cell>
          <cell r="E2814">
            <v>0</v>
          </cell>
        </row>
        <row r="2815">
          <cell r="B2815">
            <v>102909</v>
          </cell>
          <cell r="C2815" t="str">
            <v>UNIDADE DOSADORA AIRLESS TIPO HOT SPRAY - MATERIAIS NA OPERAÇÃO. AF_05/2023</v>
          </cell>
          <cell r="D2815" t="str">
            <v>H</v>
          </cell>
          <cell r="E2815">
            <v>3.54</v>
          </cell>
          <cell r="F2815">
            <v>0</v>
          </cell>
        </row>
        <row r="2816">
          <cell r="B2816">
            <v>93435</v>
          </cell>
          <cell r="C2816" t="str">
            <v>USINA DE ASFALTO À FRIO, CAPACIDADE DE 40 A 60 TON/HORA, ELÉTRICA POTÊNCIA 30 CV - DEPRECIAÇÃO. AF_05/2023</v>
          </cell>
          <cell r="D2816" t="str">
            <v>H</v>
          </cell>
          <cell r="E2816">
            <v>9.1999999999999993</v>
          </cell>
          <cell r="F2816">
            <v>0</v>
          </cell>
        </row>
        <row r="2817">
          <cell r="B2817">
            <v>93436</v>
          </cell>
          <cell r="C2817" t="str">
            <v>USINA DE ASFALTO À FRIO, CAPACIDADE DE 40 A 60 TON/HORA, ELÉTRICA POTÊNCIA 30 CV - JUROS. AF_05/2023</v>
          </cell>
          <cell r="D2817" t="str">
            <v>H</v>
          </cell>
          <cell r="E2817">
            <v>2.83</v>
          </cell>
          <cell r="F2817">
            <v>0</v>
          </cell>
        </row>
        <row r="2818">
          <cell r="B2818">
            <v>93437</v>
          </cell>
          <cell r="C2818" t="str">
            <v>USINA DE ASFALTO À FRIO, CAPACIDADE DE 40 A 60 TON/HORA, ELÉTRICA POTÊNCIA 30 CV - MANUTENÇÃO. AF_05/2023</v>
          </cell>
          <cell r="D2818" t="str">
            <v>H</v>
          </cell>
          <cell r="E2818">
            <v>10.06</v>
          </cell>
          <cell r="F2818">
            <v>0</v>
          </cell>
        </row>
        <row r="2819">
          <cell r="B2819">
            <v>93438</v>
          </cell>
          <cell r="C2819" t="str">
            <v>USINA DE ASFALTO À FRIO, CAPACIDADE DE 40 A 60 TON/HORA, ELÉTRICA POTÊNCIA 30 CV - MATERIAIS NA OPERAÇÃO. AF_05/2023</v>
          </cell>
          <cell r="D2819" t="str">
            <v>H</v>
          </cell>
          <cell r="E2819">
            <v>113.74</v>
          </cell>
          <cell r="F2819">
            <v>0</v>
          </cell>
        </row>
        <row r="2820">
          <cell r="B2820">
            <v>100643</v>
          </cell>
          <cell r="C2820" t="str">
            <v>USINA DE ASFALTO, TIPO GRAVIMÉTRICA, PROD 150 TON/HORA - DEPRECIAÇÃO. AF_12/2019</v>
          </cell>
          <cell r="D2820" t="str">
            <v>H</v>
          </cell>
          <cell r="E2820">
            <v>412.54</v>
          </cell>
          <cell r="F2820">
            <v>0</v>
          </cell>
        </row>
        <row r="2821">
          <cell r="B2821">
            <v>100644</v>
          </cell>
          <cell r="C2821" t="str">
            <v>USINA DE ASFALTO, TIPO GRAVIMÉTRICA, PROD 150 TON/HORA - JUROS. AF_12/2019</v>
          </cell>
          <cell r="D2821" t="str">
            <v>H</v>
          </cell>
          <cell r="E2821">
            <v>145.41999999999999</v>
          </cell>
          <cell r="F2821">
            <v>0</v>
          </cell>
        </row>
        <row r="2822">
          <cell r="B2822">
            <v>100645</v>
          </cell>
          <cell r="C2822" t="str">
            <v>USINA DE ASFALTO, TIPO GRAVIMÉTRICA, PROD 150 TON/HORA - MANUTENÇÃO. AF_12/2019</v>
          </cell>
          <cell r="D2822" t="str">
            <v>H</v>
          </cell>
          <cell r="E2822">
            <v>663.17</v>
          </cell>
          <cell r="F2822">
            <v>0</v>
          </cell>
        </row>
        <row r="2823">
          <cell r="B2823">
            <v>100646</v>
          </cell>
          <cell r="C2823" t="str">
            <v>USINA DE ASFALTO, TIPO GRAVIMÉTRICA, PROD 150 TON/HORA - MATERIAIS NA OPERAÇÃO. AF_12/2019</v>
          </cell>
          <cell r="D2823" t="str">
            <v>H</v>
          </cell>
          <cell r="E2823">
            <v>5454</v>
          </cell>
          <cell r="F2823">
            <v>0</v>
          </cell>
        </row>
        <row r="2824">
          <cell r="B2824">
            <v>95116</v>
          </cell>
          <cell r="C2824" t="str">
            <v>USINA DE CONCRETO FIXA, CAPACIDADE NOMINAL DE 90 A 120 M3/H, SEM SILO - DEPRECIAÇÃO. AF_07/2016</v>
          </cell>
          <cell r="D2824" t="str">
            <v>H</v>
          </cell>
          <cell r="E2824">
            <v>32.549999999999997</v>
          </cell>
          <cell r="F2824">
            <v>0</v>
          </cell>
        </row>
        <row r="2825">
          <cell r="B2825">
            <v>95117</v>
          </cell>
          <cell r="C2825" t="str">
            <v>USINA DE CONCRETO FIXA, CAPACIDADE NOMINAL DE 90 A 120 M3/H, SEM SILO - JUROS. AF_07/2016</v>
          </cell>
          <cell r="D2825" t="str">
            <v>H</v>
          </cell>
          <cell r="E2825">
            <v>10.039999999999999</v>
          </cell>
          <cell r="F2825">
            <v>0</v>
          </cell>
        </row>
        <row r="2826">
          <cell r="B2826">
            <v>53794</v>
          </cell>
          <cell r="C2826" t="str">
            <v>USINA DE CONCRETO FIXA, CAPACIDADE NOMINAL DE 90 A 120 M3/H, SEM SILO - MANUTENÇÃO. AF_07/2016</v>
          </cell>
          <cell r="D2826" t="str">
            <v>H</v>
          </cell>
          <cell r="E2826">
            <v>35.619999999999997</v>
          </cell>
          <cell r="F2826">
            <v>0</v>
          </cell>
        </row>
        <row r="2827">
          <cell r="B2827">
            <v>5703</v>
          </cell>
          <cell r="C2827" t="str">
            <v>USINA DE CONCRETO FIXA, CAPACIDADE NOMINAL DE 90 A 120 M3/H, SEM SILO - MATERIAIS NA OPERAÇÃO. AF_07/2016</v>
          </cell>
          <cell r="D2827" t="str">
            <v>H</v>
          </cell>
          <cell r="E2827">
            <v>20.7</v>
          </cell>
          <cell r="F2827">
            <v>0</v>
          </cell>
        </row>
        <row r="2828">
          <cell r="B2828">
            <v>106089</v>
          </cell>
          <cell r="C282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2828" t="str">
            <v>H</v>
          </cell>
          <cell r="E2828">
            <v>51.48</v>
          </cell>
          <cell r="F2828">
            <v>0</v>
          </cell>
        </row>
        <row r="2829">
          <cell r="B2829">
            <v>106092</v>
          </cell>
          <cell r="C282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2829" t="str">
            <v>H</v>
          </cell>
          <cell r="E2829">
            <v>8.5399999999999991</v>
          </cell>
          <cell r="F2829">
            <v>0</v>
          </cell>
        </row>
        <row r="2830">
          <cell r="B2830">
            <v>106090</v>
          </cell>
          <cell r="C283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2830" t="str">
            <v>H</v>
          </cell>
          <cell r="E2830">
            <v>21.15</v>
          </cell>
          <cell r="F2830">
            <v>0</v>
          </cell>
        </row>
        <row r="2831">
          <cell r="B2831">
            <v>106091</v>
          </cell>
          <cell r="C283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2831" t="str">
            <v>H</v>
          </cell>
          <cell r="E2831">
            <v>96.52</v>
          </cell>
          <cell r="F2831">
            <v>0</v>
          </cell>
        </row>
        <row r="2832">
          <cell r="B2832">
            <v>106093</v>
          </cell>
          <cell r="C283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2832" t="str">
            <v>H</v>
          </cell>
          <cell r="E2832">
            <v>127.56</v>
          </cell>
          <cell r="F2832">
            <v>0</v>
          </cell>
        </row>
        <row r="2833">
          <cell r="B2833">
            <v>100637</v>
          </cell>
          <cell r="C2833" t="str">
            <v>USINA DE MISTURA ASFÁLTICA À QUENTE, TIPO CONTRA FLUXO, PROD 100 A 140 TON/HORA - DEPRECIAÇÃO. AF_12/2019</v>
          </cell>
          <cell r="D2833" t="str">
            <v>H</v>
          </cell>
          <cell r="E2833">
            <v>201.34</v>
          </cell>
          <cell r="F2833">
            <v>0</v>
          </cell>
        </row>
        <row r="2834">
          <cell r="B2834">
            <v>100638</v>
          </cell>
          <cell r="C2834" t="str">
            <v>USINA DE MISTURA ASFÁLTICA À QUENTE, TIPO CONTRA FLUXO, PROD 100 A 140 TON/HORA - JUROS. AF_12/2019</v>
          </cell>
          <cell r="D2834" t="str">
            <v>H</v>
          </cell>
          <cell r="E2834">
            <v>61.89</v>
          </cell>
          <cell r="F2834">
            <v>0</v>
          </cell>
        </row>
        <row r="2835">
          <cell r="B2835">
            <v>100639</v>
          </cell>
          <cell r="C2835" t="str">
            <v>USINA DE MISTURA ASFÁLTICA À QUENTE, TIPO CONTRA FLUXO, PROD 100 A 140 TON/HORA - MANUTENÇÃO. AF_12/2019</v>
          </cell>
          <cell r="D2835" t="str">
            <v>H</v>
          </cell>
          <cell r="E2835">
            <v>251.87</v>
          </cell>
          <cell r="F2835">
            <v>0</v>
          </cell>
        </row>
        <row r="2836">
          <cell r="B2836">
            <v>100640</v>
          </cell>
          <cell r="C2836" t="str">
            <v>USINA DE MISTURA ASFÁLTICA À QUENTE, TIPO CONTRA FLUXO, PROD 100 A 140 TON/HORA - MATERIAIS NA OPERAÇÃO. AF_12/2019</v>
          </cell>
          <cell r="D2836" t="str">
            <v>H</v>
          </cell>
          <cell r="E2836">
            <v>4363.2</v>
          </cell>
          <cell r="F2836">
            <v>0</v>
          </cell>
        </row>
        <row r="2837">
          <cell r="B2837">
            <v>93429</v>
          </cell>
          <cell r="C2837" t="str">
            <v>USINA DE MISTURA ASFÁLTICA À QUENTE, TIPO CONTRA FLUXO, PROD 40 A 80 TON/HORA - DEPRECIAÇÃO. AF_05/2023</v>
          </cell>
          <cell r="D2837" t="str">
            <v>H</v>
          </cell>
          <cell r="E2837">
            <v>163.91</v>
          </cell>
          <cell r="F2837">
            <v>0</v>
          </cell>
        </row>
        <row r="2838">
          <cell r="B2838">
            <v>93430</v>
          </cell>
          <cell r="C2838" t="str">
            <v>USINA DE MISTURA ASFÁLTICA À QUENTE, TIPO CONTRA FLUXO, PROD 40 A 80 TON/HORA - JUROS. AF_05/2023</v>
          </cell>
          <cell r="D2838" t="str">
            <v>H</v>
          </cell>
          <cell r="E2838">
            <v>50.38</v>
          </cell>
          <cell r="F2838">
            <v>0</v>
          </cell>
        </row>
        <row r="2839">
          <cell r="B2839">
            <v>93431</v>
          </cell>
          <cell r="C2839" t="str">
            <v>USINA DE MISTURA ASFÁLTICA À QUENTE, TIPO CONTRA FLUXO, PROD 40 A 80 TON/HORA - MANUTENÇÃO. AF_05/2023</v>
          </cell>
          <cell r="D2839" t="str">
            <v>H</v>
          </cell>
          <cell r="E2839">
            <v>205.05</v>
          </cell>
          <cell r="F2839">
            <v>0</v>
          </cell>
        </row>
        <row r="2840">
          <cell r="B2840">
            <v>93432</v>
          </cell>
          <cell r="C2840" t="str">
            <v>USINA DE MISTURA ASFÁLTICA À QUENTE, TIPO CONTRA FLUXO, PROD 40 A 80 TON/HORA - MATERIAIS NA OPERAÇÃO. AF_05/2023</v>
          </cell>
          <cell r="D2840" t="str">
            <v>H</v>
          </cell>
          <cell r="E2840">
            <v>2181.6</v>
          </cell>
          <cell r="F2840">
            <v>0</v>
          </cell>
        </row>
        <row r="2841">
          <cell r="B2841">
            <v>95118</v>
          </cell>
          <cell r="C2841" t="str">
            <v>USINA MISTURADORA DE SOLOS, CAPACIDADE DE 200 A 500 TON/H, POTENCIA 75KW - DEPRECIAÇÃO. AF_07/2016</v>
          </cell>
          <cell r="D2841" t="str">
            <v>H</v>
          </cell>
          <cell r="E2841">
            <v>75.17</v>
          </cell>
          <cell r="F2841">
            <v>0</v>
          </cell>
        </row>
        <row r="2842">
          <cell r="B2842">
            <v>95119</v>
          </cell>
          <cell r="C2842" t="str">
            <v>USINA MISTURADORA DE SOLOS, CAPACIDADE DE 200 A 500 TON/H, POTENCIA 75KW - JUROS. AF_07/2016</v>
          </cell>
          <cell r="D2842" t="str">
            <v>H</v>
          </cell>
          <cell r="E2842">
            <v>23.19</v>
          </cell>
          <cell r="F2842">
            <v>0</v>
          </cell>
        </row>
        <row r="2843">
          <cell r="B2843">
            <v>5707</v>
          </cell>
          <cell r="C2843" t="str">
            <v>USINA MISTURADORA DE SOLOS, CAPACIDADE DE 200 A 500 TON/H, POTENCIA 75KW - MANUTENÇÃO. AF_07/2016</v>
          </cell>
          <cell r="D2843" t="str">
            <v>H</v>
          </cell>
          <cell r="E2843">
            <v>82.25</v>
          </cell>
          <cell r="F2843">
            <v>0</v>
          </cell>
        </row>
        <row r="2844">
          <cell r="B2844">
            <v>95120</v>
          </cell>
          <cell r="C2844" t="str">
            <v>USINA MISTURADORA DE SOLOS, CAPACIDADE DE 200 A 500 TON/H, POTENCIA 75KW - MATERIAIS NA OPERAÇÃO. AF_07/2016</v>
          </cell>
          <cell r="D2844" t="str">
            <v>H</v>
          </cell>
          <cell r="E2844">
            <v>55.46</v>
          </cell>
          <cell r="F2844">
            <v>0</v>
          </cell>
        </row>
        <row r="2845">
          <cell r="B2845">
            <v>103657</v>
          </cell>
          <cell r="C2845" t="str">
            <v>VARREDEIRA DE GRAMA SINTÉTICA A GASOLINA, 2,4 CV, 4 TEMPOS - DEPRECIAÇÃO. AF_05/2023</v>
          </cell>
          <cell r="D2845" t="str">
            <v>H</v>
          </cell>
          <cell r="E2845">
            <v>0</v>
          </cell>
        </row>
        <row r="2846">
          <cell r="B2846">
            <v>103658</v>
          </cell>
          <cell r="C2846" t="str">
            <v>VARREDEIRA DE GRAMA SINTÉTICA A GASOLINA, 2,4 CV, 4 TEMPOS - JUROS. AF_05/2023</v>
          </cell>
          <cell r="D2846" t="str">
            <v>H</v>
          </cell>
          <cell r="E2846">
            <v>0</v>
          </cell>
        </row>
        <row r="2847">
          <cell r="B2847">
            <v>103659</v>
          </cell>
          <cell r="C2847" t="str">
            <v>VARREDEIRA DE GRAMA SINTÉTICA A GASOLINA, 2,4 CV, 4 TEMPOS - MANUTENÇÃO. AF_05/2023</v>
          </cell>
          <cell r="D2847" t="str">
            <v>H</v>
          </cell>
          <cell r="E2847">
            <v>0</v>
          </cell>
        </row>
        <row r="2848">
          <cell r="B2848">
            <v>103660</v>
          </cell>
          <cell r="C2848" t="str">
            <v>VARREDEIRA DE GRAMA SINTÉTICA A GASOLINA, 2,4 CV, 4 TEMPOS - MATERIAIS NA OPERAÇÃO. AF_05/2023</v>
          </cell>
          <cell r="D2848" t="str">
            <v>H</v>
          </cell>
          <cell r="E2848">
            <v>11.95</v>
          </cell>
          <cell r="F2848">
            <v>0</v>
          </cell>
        </row>
        <row r="2849">
          <cell r="B2849">
            <v>89015</v>
          </cell>
          <cell r="C2849" t="str">
            <v>VASSOURA MECÂNICA REBOCÁVEL COM ESCOVA CILÍNDRICA, LARGURA ÚTIL DE VARRIMENTO DE 2,44 M - DEPRECIAÇÃO. AF_06/2014</v>
          </cell>
          <cell r="D2849" t="str">
            <v>H</v>
          </cell>
          <cell r="E2849">
            <v>3.7</v>
          </cell>
          <cell r="F2849">
            <v>0</v>
          </cell>
        </row>
        <row r="2850">
          <cell r="B2850">
            <v>89016</v>
          </cell>
          <cell r="C2850" t="str">
            <v>VASSOURA MECÂNICA REBOCÁVEL COM ESCOVA CILÍNDRICA, LARGURA ÚTIL DE VARRIMENTO DE 2,44 M - JUROS. AF_06/2014</v>
          </cell>
          <cell r="D2850" t="str">
            <v>H</v>
          </cell>
          <cell r="E2850">
            <v>0.98</v>
          </cell>
          <cell r="F2850">
            <v>0</v>
          </cell>
        </row>
        <row r="2851">
          <cell r="B2851">
            <v>53804</v>
          </cell>
          <cell r="C2851" t="str">
            <v>VASSOURA MECÂNICA REBOCÁVEL COM ESCOVA CILÍNDRICA, LARGURA ÚTIL DE VARRIMENTO DE 2,44 M - MANUTENÇÃO. AF_06/2014</v>
          </cell>
          <cell r="D2851" t="str">
            <v>H</v>
          </cell>
          <cell r="E2851">
            <v>4.63</v>
          </cell>
          <cell r="F2851">
            <v>0</v>
          </cell>
        </row>
        <row r="2852">
          <cell r="B2852">
            <v>90582</v>
          </cell>
          <cell r="C2852" t="str">
            <v>VIBRADOR DE IMERSÃO, DIÂMETRO DE PONTEIRA 45MM, MOTOR ELÉTRICO TRIFÁSICO POTÊNCIA DE 2 CV - DEPRECIAÇÃO. AF_06/2015</v>
          </cell>
          <cell r="D2852" t="str">
            <v>H</v>
          </cell>
          <cell r="E2852">
            <v>0.46</v>
          </cell>
          <cell r="F2852">
            <v>0</v>
          </cell>
        </row>
        <row r="2853">
          <cell r="B2853">
            <v>90583</v>
          </cell>
          <cell r="C2853" t="str">
            <v>VIBRADOR DE IMERSÃO, DIÂMETRO DE PONTEIRA 45MM, MOTOR ELÉTRICO TRIFÁSICO POTÊNCIA DE 2 CV - JUROS. AF_06/2015</v>
          </cell>
          <cell r="D2853" t="str">
            <v>H</v>
          </cell>
          <cell r="E2853">
            <v>0.1</v>
          </cell>
          <cell r="F2853">
            <v>0</v>
          </cell>
        </row>
        <row r="2854">
          <cell r="B2854">
            <v>90584</v>
          </cell>
          <cell r="C2854" t="str">
            <v>VIBRADOR DE IMERSÃO, DIÂMETRO DE PONTEIRA 45MM, MOTOR ELÉTRICO TRIFÁSICO POTÊNCIA DE 2 CV - MANUTENÇÃO. AF_06/2015</v>
          </cell>
          <cell r="D2854" t="str">
            <v>H</v>
          </cell>
          <cell r="E2854">
            <v>0.36</v>
          </cell>
          <cell r="F2854">
            <v>0</v>
          </cell>
        </row>
        <row r="2855">
          <cell r="B2855">
            <v>90585</v>
          </cell>
          <cell r="C2855" t="str">
            <v>VIBRADOR DE IMERSÃO, DIÂMETRO DE PONTEIRA 45MM, MOTOR ELÉTRICO TRIFÁSICO POTÊNCIA DE 2 CV - MATERIAIS NA OPERAÇÃO. AF_06/2015</v>
          </cell>
          <cell r="D2855" t="str">
            <v>H</v>
          </cell>
          <cell r="E2855">
            <v>0.45</v>
          </cell>
          <cell r="F2855">
            <v>0</v>
          </cell>
        </row>
        <row r="2856">
          <cell r="B2856">
            <v>106380</v>
          </cell>
          <cell r="C2856" t="str">
            <v>VIBROACABADORA DE ASFALTO SOBRE ESTEIRAS, LARG. PAVIM. 2,60 M A 5,75 M, POT. 110 HP, CAP. 450 T/ H - DEPRECIAÇÃO. AF_11/2025</v>
          </cell>
          <cell r="D2856" t="str">
            <v>H</v>
          </cell>
          <cell r="E2856">
            <v>73.97</v>
          </cell>
          <cell r="F2856">
            <v>0</v>
          </cell>
        </row>
        <row r="2857">
          <cell r="B2857">
            <v>106381</v>
          </cell>
          <cell r="C2857" t="str">
            <v>VIBROACABADORA DE ASFALTO SOBRE ESTEIRAS, LARG. PAVIM. 2,60 M A 5,75 M, POT. 110 HP, CAP. 450 T/ H - JUROS. AF_11/2025</v>
          </cell>
          <cell r="D2857" t="str">
            <v>H</v>
          </cell>
          <cell r="E2857">
            <v>26.07</v>
          </cell>
          <cell r="F2857">
            <v>0</v>
          </cell>
        </row>
        <row r="2858">
          <cell r="B2858">
            <v>106382</v>
          </cell>
          <cell r="C2858" t="str">
            <v>VIBROACABADORA DE ASFALTO SOBRE ESTEIRAS, LARG. PAVIM. 2,60 M A 5,75 M, POT. 110 HP, CAP. 450 T/ H - MANUTENÇÃO. AF_11/2025</v>
          </cell>
          <cell r="D2858" t="str">
            <v>H</v>
          </cell>
          <cell r="E2858">
            <v>118.91</v>
          </cell>
          <cell r="F2858">
            <v>0</v>
          </cell>
        </row>
        <row r="2859">
          <cell r="B2859">
            <v>106383</v>
          </cell>
          <cell r="C2859" t="str">
            <v>VIBROACABADORA DE ASFALTO SOBRE ESTEIRAS, LARG. PAVIM. 2,60 M A 5,75 M, POT. 110 HP, CAP. 450 T/ H - MATERIAIS NA OPERAÇÃO. AF_11/2025</v>
          </cell>
          <cell r="D2859" t="str">
            <v>H</v>
          </cell>
          <cell r="E2859">
            <v>94.47</v>
          </cell>
          <cell r="F2859">
            <v>0</v>
          </cell>
        </row>
        <row r="2860">
          <cell r="B2860">
            <v>106376</v>
          </cell>
          <cell r="C2860" t="str">
            <v>VIBROACABADORA DE ASFALTO SOBRE ESTEIRAS, LARG. PAVIM. MÁX. 8,00 M, POT. 100 KW/ 134 HP, CAP. 600 T/ H - DEPRECIAÇÃO. AF_11/2025</v>
          </cell>
          <cell r="D2860" t="str">
            <v>H</v>
          </cell>
          <cell r="E2860">
            <v>174.45</v>
          </cell>
          <cell r="F2860">
            <v>0</v>
          </cell>
        </row>
        <row r="2861">
          <cell r="B2861">
            <v>106377</v>
          </cell>
          <cell r="C2861" t="str">
            <v>VIBROACABADORA DE ASFALTO SOBRE ESTEIRAS, LARG. PAVIM. MÁX. 8,00 M, POT. 100 KW/ 134 HP, CAP. 600 T/ H - JUROS. AF_11/2025</v>
          </cell>
          <cell r="D2861" t="str">
            <v>H</v>
          </cell>
          <cell r="E2861">
            <v>61.49</v>
          </cell>
          <cell r="F2861">
            <v>0</v>
          </cell>
        </row>
        <row r="2862">
          <cell r="B2862">
            <v>106378</v>
          </cell>
          <cell r="C2862" t="str">
            <v>VIBROACABADORA DE ASFALTO SOBRE ESTEIRAS, LARG. PAVIM. MÁX. 8,00 M, POT. 100 KW/ 134 HP, CAP. 600 T/ H - MANUTENÇÃO. AF_11/2025</v>
          </cell>
          <cell r="D2862" t="str">
            <v>H</v>
          </cell>
          <cell r="E2862">
            <v>280.43</v>
          </cell>
          <cell r="F2862">
            <v>0</v>
          </cell>
        </row>
        <row r="2863">
          <cell r="B2863">
            <v>106379</v>
          </cell>
          <cell r="C2863" t="str">
            <v>VIBROACABADORA DE ASFALTO SOBRE ESTEIRAS, LARG. PAVIM. MÁX. 8,00 M, POT. 100 KW/ 134 HP, CAP. 600 T/ H - MATERIAIS NA OPERAÇÃO. AF_11/2025</v>
          </cell>
          <cell r="D2863" t="str">
            <v>H</v>
          </cell>
          <cell r="E2863">
            <v>115.07</v>
          </cell>
          <cell r="F2863">
            <v>0</v>
          </cell>
        </row>
        <row r="2864">
          <cell r="B2864">
            <v>89240</v>
          </cell>
          <cell r="C2864" t="str">
            <v>VIBROACABADORA DE ASFALTO SOBRE ESTEIRAS, LARGURA DE PAVIMENTAÇÃO 1,90 M A 5,30 M, POTÊNCIA 105 HP CAPACIDADE 450 T/H - DEPRECIAÇÃO. AF_11/2014</v>
          </cell>
          <cell r="D2864" t="str">
            <v>H</v>
          </cell>
          <cell r="E2864">
            <v>89.62</v>
          </cell>
          <cell r="F2864">
            <v>0</v>
          </cell>
        </row>
        <row r="2865">
          <cell r="B2865">
            <v>89241</v>
          </cell>
          <cell r="C2865" t="str">
            <v>VIBROACABADORA DE ASFALTO SOBRE ESTEIRAS, LARGURA DE PAVIMENTAÇÃO 1,90 M A 5,30 M, POTÊNCIA 105 HP CAPACIDADE 450 T/H - JUROS. AF_11/2014</v>
          </cell>
          <cell r="D2865" t="str">
            <v>H</v>
          </cell>
          <cell r="E2865">
            <v>31.59</v>
          </cell>
          <cell r="F2865">
            <v>0</v>
          </cell>
        </row>
        <row r="2866">
          <cell r="B2866">
            <v>5710</v>
          </cell>
          <cell r="C2866" t="str">
            <v>VIBROACABADORA DE ASFALTO SOBRE ESTEIRAS, LARGURA DE PAVIMENTAÇÃO 1,90 M A 5,30 M, POTÊNCIA 105 HP CAPACIDADE 450 T/H - MANUTENÇÃO. AF_11/2014</v>
          </cell>
          <cell r="D2866" t="str">
            <v>H</v>
          </cell>
          <cell r="E2866">
            <v>144.06</v>
          </cell>
          <cell r="F2866">
            <v>0</v>
          </cell>
        </row>
        <row r="2867">
          <cell r="B2867">
            <v>5711</v>
          </cell>
          <cell r="C2867" t="str">
            <v>VIBROACABADORA DE ASFALTO SOBRE ESTEIRAS, LARGURA DE PAVIMENTAÇÃO 1,90 M A 5,30 M, POTÊNCIA 105 HP CAPACIDADE 450 T/H - MATERIAIS NA OPERAÇÃO. AF_11/2014</v>
          </cell>
          <cell r="D2867" t="str">
            <v>H</v>
          </cell>
          <cell r="E2867">
            <v>90.17</v>
          </cell>
          <cell r="F2867">
            <v>0</v>
          </cell>
        </row>
        <row r="2868">
          <cell r="B2868">
            <v>89253</v>
          </cell>
          <cell r="C2868" t="str">
            <v>VIBROACABADORA DE ASFALTO SOBRE ESTEIRAS, LARGURA DE PAVIMENTAÇÃO 2,13 M A 4,55 M, POTÊNCIA 100 HP, CAPACIDADE 400 T/H - DEPRECIAÇÃO. AF_11/2014</v>
          </cell>
          <cell r="D2868" t="str">
            <v>H</v>
          </cell>
          <cell r="E2868">
            <v>73.44</v>
          </cell>
          <cell r="F2868">
            <v>0</v>
          </cell>
        </row>
        <row r="2869">
          <cell r="B2869">
            <v>89254</v>
          </cell>
          <cell r="C2869" t="str">
            <v>VIBROACABADORA DE ASFALTO SOBRE ESTEIRAS, LARGURA DE PAVIMENTAÇÃO 2,13 M A 4,55 M, POTÊNCIA 100 HP, CAPACIDADE 400 T/H - JUROS. AF_11/2014</v>
          </cell>
          <cell r="D2869" t="str">
            <v>H</v>
          </cell>
          <cell r="E2869">
            <v>25.88</v>
          </cell>
          <cell r="F2869">
            <v>0</v>
          </cell>
        </row>
        <row r="2870">
          <cell r="B2870">
            <v>89255</v>
          </cell>
          <cell r="C2870" t="str">
            <v>VIBROACABADORA DE ASFALTO SOBRE ESTEIRAS, LARGURA DE PAVIMENTAÇÃO 2,13 M A 4,55 M, POTÊNCIA 100 HP, CAPACIDADE 400 T/H - MANUTENÇÃO. AF_11/2014</v>
          </cell>
          <cell r="D2870" t="str">
            <v>H</v>
          </cell>
          <cell r="E2870">
            <v>118.05</v>
          </cell>
          <cell r="F2870">
            <v>0</v>
          </cell>
        </row>
        <row r="2871">
          <cell r="B2871">
            <v>89256</v>
          </cell>
          <cell r="C2871" t="str">
            <v>VIBROACABADORA DE ASFALTO SOBRE ESTEIRAS, LARGURA DE PAVIMENTAÇÃO 2,13 M A 4,55 M, POTÊNCIA 100 HP, CAPACIDADE 400 T/H - MATERIAIS NA OPERAÇÃO. AF_11/2014</v>
          </cell>
          <cell r="D2871" t="str">
            <v>H</v>
          </cell>
          <cell r="E2871">
            <v>85.87</v>
          </cell>
          <cell r="F2871">
            <v>0</v>
          </cell>
        </row>
        <row r="2872">
          <cell r="B2872">
            <v>106384</v>
          </cell>
          <cell r="C2872" t="str">
            <v>VIBROACABADORA DE ASFALTO SOBRE RODAS, LARGURA DE PAVIMENTAÇÃO DE 1,70 A 4,20 M, POTÊNCIA 78 KW/105 HP, CAPACIDADE 300 T/H - DEPRECIAÇÃO. AF_11/2025</v>
          </cell>
          <cell r="D2872" t="str">
            <v>H</v>
          </cell>
          <cell r="E2872">
            <v>90.71</v>
          </cell>
          <cell r="F2872">
            <v>0</v>
          </cell>
        </row>
        <row r="2873">
          <cell r="B2873">
            <v>106385</v>
          </cell>
          <cell r="C2873" t="str">
            <v>VIBROACABADORA DE ASFALTO SOBRE RODAS, LARGURA DE PAVIMENTAÇÃO DE 1,70 A 4,20 M, POTÊNCIA 78 KW/105 HP, CAPACIDADE 300 T/H - JUROS. AF_11/2025</v>
          </cell>
          <cell r="D2873" t="str">
            <v>H</v>
          </cell>
          <cell r="E2873">
            <v>27.98</v>
          </cell>
          <cell r="F2873">
            <v>0</v>
          </cell>
        </row>
        <row r="2874">
          <cell r="B2874">
            <v>106386</v>
          </cell>
          <cell r="C2874" t="str">
            <v>VIBROACABADORA DE ASFALTO SOBRE RODAS, LARGURA DE PAVIMENTAÇÃO DE 1,70 A 4,20 M, POTÊNCIA 78 KW/105 HP, CAPACIDADE 300 T/H - MANUTENÇÃO. AF_11/2025</v>
          </cell>
          <cell r="D2874" t="str">
            <v>H</v>
          </cell>
          <cell r="E2874">
            <v>127.64</v>
          </cell>
          <cell r="F2874">
            <v>0</v>
          </cell>
        </row>
        <row r="2875">
          <cell r="B2875">
            <v>106387</v>
          </cell>
          <cell r="C2875" t="str">
            <v>VIBROACABADORA DE ASFALTO SOBRE RODAS, LARGURA DE PAVIMENTAÇÃO DE 1,70 A 4,20 M, POTÊNCIA 78 KW/105 HP, CAPACIDADE 300 T/H - MATERIAIS NA OPERAÇÃO. AF_11/2025</v>
          </cell>
          <cell r="D2875" t="str">
            <v>H</v>
          </cell>
          <cell r="E2875">
            <v>90.17</v>
          </cell>
          <cell r="F2875">
            <v>0</v>
          </cell>
        </row>
        <row r="2876">
          <cell r="B2876">
            <v>106489</v>
          </cell>
          <cell r="C2876" t="str">
            <v>ACIONADOR MANUAL, TIPO COM SIRENE, SISTEMA CONVENCIONAL, FORNECIMENTO E INSTALAÇÃO. AF_12/2025</v>
          </cell>
          <cell r="D2876" t="str">
            <v>UN</v>
          </cell>
          <cell r="E2876">
            <v>0</v>
          </cell>
        </row>
        <row r="2877">
          <cell r="B2877">
            <v>106491</v>
          </cell>
          <cell r="C2877" t="str">
            <v>ACIONADOR MANUAL, TIPO QUEBRA VIDRO COM MARTELINHO, SISTEMA CONVENCIONAL, FORNECIMENTO E INSTALAÇÃO. AF_12/2025</v>
          </cell>
          <cell r="D2877" t="str">
            <v>UN</v>
          </cell>
          <cell r="E2877">
            <v>0</v>
          </cell>
        </row>
        <row r="2878">
          <cell r="B2878">
            <v>106493</v>
          </cell>
          <cell r="C2878" t="str">
            <v>ACIONADOR MANUAL, TIPO QUEBRA VIDRO COM MARTELINHO, SISTEMA ENDEREÇÁVEL, FORNECIMENTO E INSTALAÇÃO. AF_12/2025</v>
          </cell>
          <cell r="D2878" t="str">
            <v>UN</v>
          </cell>
          <cell r="E2878">
            <v>0</v>
          </cell>
        </row>
        <row r="2879">
          <cell r="B2879">
            <v>106490</v>
          </cell>
          <cell r="C2879" t="str">
            <v>ACIONADOR MANUAL, TIPO REARMÁVEL, SISTEMA CONVENCIONAL, FORNECIMENTO E INSTALAÇÃO. AF_12/2025</v>
          </cell>
          <cell r="D2879" t="str">
            <v>UN</v>
          </cell>
          <cell r="E2879">
            <v>0</v>
          </cell>
        </row>
        <row r="2880">
          <cell r="B2880">
            <v>106492</v>
          </cell>
          <cell r="C2880" t="str">
            <v>ACIONADOR MANUAL, TIPO REARMÁVEL, SISTEMA ENDEREÇÁVEL, FORNECIMENTO E INSTALAÇÃO. AF_12/2025</v>
          </cell>
          <cell r="D2880" t="str">
            <v>UN</v>
          </cell>
          <cell r="E2880">
            <v>0</v>
          </cell>
        </row>
        <row r="2881">
          <cell r="B2881">
            <v>106496</v>
          </cell>
          <cell r="C2881" t="str">
            <v>CENTRAL DE ALARME DE 12 LAÇOS, SISTEMA CONVENCIONAL, COM ATÉ 20 DISPOSITIVOS POR LAÇO, FORNECIMENTO E INSTALAÇÃO. AF_12/2025</v>
          </cell>
          <cell r="D2881" t="str">
            <v>UN</v>
          </cell>
          <cell r="E2881">
            <v>0</v>
          </cell>
        </row>
        <row r="2882">
          <cell r="B2882">
            <v>106497</v>
          </cell>
          <cell r="C2882" t="str">
            <v>CENTRAL DE ALARME DE 24 LAÇOS, SISTEMA CONVENCIONAL, COM ATÉ 20 DISPOSITIVOS POR LAÇO, FORNECIMENTO E INSTALAÇÃO. AF_12/2025</v>
          </cell>
          <cell r="D2882" t="str">
            <v>UN</v>
          </cell>
          <cell r="E2882">
            <v>0</v>
          </cell>
        </row>
        <row r="2883">
          <cell r="B2883">
            <v>106495</v>
          </cell>
          <cell r="C2883" t="str">
            <v>CENTRAL DE ALARME DE 6 LAÇOS, SISTEMA CONVENCIONAL, COM ATÉ 20 DISPOSITIVOS POR LAÇO, FORNECIMENTO E INSTALAÇÃO. AF_12/2025</v>
          </cell>
          <cell r="D2883" t="str">
            <v>UN</v>
          </cell>
          <cell r="E2883">
            <v>0</v>
          </cell>
        </row>
        <row r="2884">
          <cell r="B2884">
            <v>106498</v>
          </cell>
          <cell r="C2884" t="str">
            <v>CENTRAL DE ALARME DE INCÊNDIO ENDEREÇÁVEL PARA ATÉ 500 PONTOS, FORNECIMENTO E INSTALAÇÃO. AF_12/2025</v>
          </cell>
          <cell r="D2884" t="str">
            <v>UN</v>
          </cell>
          <cell r="E2884">
            <v>0</v>
          </cell>
        </row>
        <row r="2885">
          <cell r="B2885">
            <v>106494</v>
          </cell>
          <cell r="C2885" t="str">
            <v>DETECTOR DE GÁS NATURAL E GLP BIVOLT COM LED INDICADOR E SIRENE EMBUTIDA, FORNECIMENTO E INSTALAÇÃO. AF_12/2025</v>
          </cell>
          <cell r="D2885" t="str">
            <v>UN</v>
          </cell>
          <cell r="E2885">
            <v>0</v>
          </cell>
        </row>
        <row r="2886">
          <cell r="B2886">
            <v>106485</v>
          </cell>
          <cell r="C2886" t="str">
            <v>DETECTOR ÓPTICO DE FUMAÇA CONVENCIONAL, FORNECIMENTO E INSTALAÇÃO. AF_12/2025</v>
          </cell>
          <cell r="D2886" t="str">
            <v>UN</v>
          </cell>
          <cell r="E2886">
            <v>0</v>
          </cell>
        </row>
        <row r="2887">
          <cell r="B2887">
            <v>106486</v>
          </cell>
          <cell r="C2887" t="str">
            <v>DETECTOR ÓPTICO DE FUMAÇA ENDEREÇÁVEL, FORNECIMENTO E INSTALAÇÃO. AF_12/2025</v>
          </cell>
          <cell r="D2887" t="str">
            <v>UN</v>
          </cell>
          <cell r="E2887">
            <v>0</v>
          </cell>
        </row>
        <row r="2888">
          <cell r="B2888">
            <v>106487</v>
          </cell>
          <cell r="C2888" t="str">
            <v>SIRENE AUDIOVISUAL, SISTEMA CONVENCIONAL, FORNECIMENTO E INSTALAÇÃO. AF_12/2025</v>
          </cell>
          <cell r="D2888" t="str">
            <v>UN</v>
          </cell>
          <cell r="E2888">
            <v>0</v>
          </cell>
        </row>
        <row r="2889">
          <cell r="B2889">
            <v>106488</v>
          </cell>
          <cell r="C2889" t="str">
            <v>SIRENE AUDIOVISUAL, SISTEMA ENDEREÇÁVEL, FORNECIMENTO E INSTALAÇÃO. AF_12/2025</v>
          </cell>
          <cell r="D2889" t="str">
            <v>UN</v>
          </cell>
          <cell r="E2889">
            <v>0</v>
          </cell>
        </row>
        <row r="2890">
          <cell r="B2890">
            <v>103797</v>
          </cell>
          <cell r="C2890" t="str">
            <v>ARMAÇÃO DE DESCIDA D'ÁGUA UTILIZANDO AÇO CA-60 DE 5 MM - MONTAGEM. AF_08/2022</v>
          </cell>
          <cell r="D2890" t="str">
            <v>KG</v>
          </cell>
          <cell r="E2890">
            <v>16.86</v>
          </cell>
          <cell r="F2890">
            <v>0</v>
          </cell>
        </row>
        <row r="2891">
          <cell r="B2891">
            <v>103930</v>
          </cell>
          <cell r="C2891" t="str">
            <v>BACIA DE DISSIPAÇÃO, LARGURA ATÉ 1 M, TIPO BACIA EM PEDRA DE MÃO FIXADA COM CONCRETO (DEB 01, 02), COM PREPARO MANUAL, FCK = 20 MPA, LANÇADO MANUALMENTE, INCLUINDO MATERIAIS E FÔRMAS (2 UTILIZAÇÕES). AF_08/2022</v>
          </cell>
          <cell r="D2891" t="str">
            <v>M3</v>
          </cell>
          <cell r="E2891">
            <v>800.69</v>
          </cell>
          <cell r="F2891">
            <v>0</v>
          </cell>
        </row>
        <row r="2892">
          <cell r="B2892">
            <v>103931</v>
          </cell>
          <cell r="C2892" t="str">
            <v>BACIA DE DISSIPAÇÃO, LARGURA DE 1 A 4 M, TIPO BACIA EM PEDRA DE MÃO FIXADA COM CONCRETO (DEB 03, 04, 05, 06), COM PREPARO MANUAL, FCK = 20 MPA, LANÇADO MANUALMENTE, INCLUINDO MATERIAIS E FÔRMAS (2 UTILIZAÇÕES). AF_08/2022</v>
          </cell>
          <cell r="D2892" t="str">
            <v>M3</v>
          </cell>
          <cell r="E2892">
            <v>588.6</v>
          </cell>
          <cell r="F2892">
            <v>0</v>
          </cell>
        </row>
        <row r="2893">
          <cell r="B2893">
            <v>103932</v>
          </cell>
          <cell r="C2893" t="str">
            <v>BACIA DE DISSIPAÇÃO, LARGURA DE 4 A 9,2 M, TIPO BACIA EM PEDRA DE MÃO FIXADA COM CONCRETO (DEB 07, 08, 09, 10, 11, 12, 13), COM PREPARO MANUAL, FCK = 20 MPA, LANÇADO MANUALMENTE, INCLUINDO MATERIAIS E FÔRMAS (2 UTILIZAÇÕES). AF_08/2022</v>
          </cell>
          <cell r="D2893" t="str">
            <v>M3</v>
          </cell>
          <cell r="E2893">
            <v>557.53</v>
          </cell>
          <cell r="F2893">
            <v>0</v>
          </cell>
        </row>
        <row r="2894">
          <cell r="B2894">
            <v>103929</v>
          </cell>
          <cell r="C2894" t="str">
            <v>BACIA DE DISSIPAÇÃO, TIPO BACIA COM DENTES DE CONCRETO (01), COM PREPARO MANUAL, FCK = 20 MPA, LANÇADO MANUALMENTE, INCLUINDO MATERIAIS E FÔRMAS (2 UTILIZAÇÕES). AF_08/2022</v>
          </cell>
          <cell r="D2894" t="str">
            <v>M3</v>
          </cell>
          <cell r="E2894">
            <v>1292.3</v>
          </cell>
          <cell r="F2894">
            <v>0</v>
          </cell>
        </row>
        <row r="2895">
          <cell r="B2895">
            <v>103928</v>
          </cell>
          <cell r="C2895" t="str">
            <v>BACIA DE DISSIPAÇÃO, TIPO BACIA EM PEDRA DE MÃO ARGAMASSADA (DES 01, 02, 03, 04), LANÇADO MANUALMENTE, INCLUINDO MATERIAIS E FÔRMAS (2 UTILIZAÇÕES). AF_08/2022</v>
          </cell>
          <cell r="D2895" t="str">
            <v>M3</v>
          </cell>
          <cell r="E2895">
            <v>543.19000000000005</v>
          </cell>
          <cell r="F2895">
            <v>0</v>
          </cell>
        </row>
        <row r="2896">
          <cell r="B2896">
            <v>103798</v>
          </cell>
          <cell r="C2896" t="str">
            <v>CONCRETAGEM DE DISSIPADOR DE ENERGIA, CONCRETO USINADO, FCK = 20 MPA, COM USO DE BOMBA - LANÇAMENTO, ADENSAMENTO E ACABAMENTO. AF_08/2022</v>
          </cell>
          <cell r="D2896" t="str">
            <v>M3</v>
          </cell>
          <cell r="E2896">
            <v>601.22</v>
          </cell>
          <cell r="F2896">
            <v>0</v>
          </cell>
        </row>
        <row r="2897">
          <cell r="B2897">
            <v>103801</v>
          </cell>
          <cell r="C2897" t="str">
            <v>CONCRETAGEM DE DISSIPADOR DE ENERGIA, FCK = 20 MPA, COM USO DE JERICAS E PREPARO EM BETONEIRA DE 600 L - AREIA E BRITA COMERCIAIS - LANÇAMENTO, ADENSAMENTO E ACABAMENTO. AF_08/2022</v>
          </cell>
          <cell r="D2897" t="str">
            <v>M3</v>
          </cell>
          <cell r="E2897">
            <v>667.04</v>
          </cell>
          <cell r="F2897">
            <v>0</v>
          </cell>
        </row>
        <row r="2898">
          <cell r="B2898">
            <v>103933</v>
          </cell>
          <cell r="C2898" t="str">
            <v>DESCIDA D'ÁGUA RÁPIDA (DAR 03), EM CONCRETO USINADO, FCK = 20 MPA, LANÇADO COM BOMBA, INCLUINDO ARMAÇÃO, MATERIAIS E FÔRMAS (2 UTILIZAÇÕES). AF_08/2022</v>
          </cell>
          <cell r="D2898" t="str">
            <v>M3</v>
          </cell>
          <cell r="E2898">
            <v>1527.91</v>
          </cell>
          <cell r="F2898">
            <v>0</v>
          </cell>
        </row>
        <row r="2899">
          <cell r="B2899">
            <v>103925</v>
          </cell>
          <cell r="C2899" t="str">
            <v>ESCADA HIDRÁULICA, LARGURA ATÉ 1M, TIPO DESCIDA D'ÁGUA DE CORTE OU ATERRO EM DEGRAUS (DCD 02, 04 E DAD 02), EM CONCRETO USINADO, FCK = 20 MPA, LANÇADO COM BOMBA, INCLUINDO ARMAÇÃO, MATERIAIS E FÔRMAS (3 UTILIZAÇÕES). AF_08/2022</v>
          </cell>
          <cell r="D2899" t="str">
            <v>M3</v>
          </cell>
          <cell r="E2899">
            <v>1734.12</v>
          </cell>
          <cell r="F2899">
            <v>0</v>
          </cell>
        </row>
        <row r="2900">
          <cell r="B2900">
            <v>103926</v>
          </cell>
          <cell r="C2900" t="str">
            <v>ESCADA HIDRÁULICA, LARGURA DE 1 A 4,1 M, TIPO DESCIDA D'ÁGUA DE ATERRO EM DEGRAUS (DAD 04, 06, 08, 10, 12, 14, 16, 18), EM CONCRETO USINADO, FCK = 20 MPA, LANÇADO COM BOMBA, INCLUINDO ARMAÇÃO, MATERIAIS E FÔRMAS (3 UTILIZAÇÕES). AF_08/2022</v>
          </cell>
          <cell r="D2900" t="str">
            <v>M3</v>
          </cell>
          <cell r="E2900">
            <v>1381.69</v>
          </cell>
          <cell r="F2900">
            <v>0</v>
          </cell>
        </row>
        <row r="2901">
          <cell r="B2901">
            <v>103796</v>
          </cell>
          <cell r="C2901" t="str">
            <v>FABRICAÇÃO, MONTAGEM E DESMONTAGEM DE FÔRMA PARA BACIA DE DISSIPAÇÃO, EM MADEIRA SERRADA, E = 25 MM, 2 UTILIZAÇÕES. AF_08/2022</v>
          </cell>
          <cell r="D2901" t="str">
            <v>M2</v>
          </cell>
          <cell r="E2901">
            <v>62.52</v>
          </cell>
          <cell r="F2901">
            <v>0</v>
          </cell>
        </row>
        <row r="2902">
          <cell r="B2902">
            <v>103795</v>
          </cell>
          <cell r="C2902" t="str">
            <v>FABRICAÇÃO, MONTAGEM E DESMONTAGEM DE FÔRMA PARA ESCADA HIDRÁULICA, EM CHAPA DE MADEIRA COMPENSADA RESINADA, E = 17 MM, 3 UTILIZAÇÕES. AF_08/2022</v>
          </cell>
          <cell r="D2902" t="str">
            <v>M2</v>
          </cell>
          <cell r="E2902">
            <v>95.11</v>
          </cell>
          <cell r="F2902">
            <v>0</v>
          </cell>
        </row>
        <row r="2903">
          <cell r="B2903">
            <v>103800</v>
          </cell>
          <cell r="C2903" t="str">
            <v>PEDRA ARGAMASSADA COM CIMENTO E AREIA 1:3, 40% DE ARGAMASSA EM VOLUME - AREIA E PEDRA DE MÃO COMERCIAIS - FORNECIMENTO E ASSENTAMENTO. AF_08/2022</v>
          </cell>
          <cell r="D2903" t="str">
            <v>M3</v>
          </cell>
          <cell r="E2903">
            <v>543.19000000000005</v>
          </cell>
          <cell r="F2903">
            <v>0</v>
          </cell>
        </row>
        <row r="2904">
          <cell r="B2904">
            <v>103799</v>
          </cell>
          <cell r="C2904" t="str">
            <v>PEDRA DE MÃO FIXADA COM CONCRETO PARA BACIA DE DISSIPAÇÃO, 40% DE CONCRETO EM VOLUME, FCK = 20 MPA, COM USO DE JERICA E PREPARO EM BETONEIRA DE 600 L - AREIA, BRITA E PEDRA DE MÃO COMERCIAIS - LANÇAMENTO, ADENSAMENTO E ACABAMENTO. AF_08/2022</v>
          </cell>
          <cell r="D2904" t="str">
            <v>M3</v>
          </cell>
          <cell r="E2904">
            <v>436.6</v>
          </cell>
          <cell r="F2904">
            <v>0</v>
          </cell>
        </row>
        <row r="2905">
          <cell r="B2905">
            <v>104950</v>
          </cell>
          <cell r="C2905" t="str">
            <v>DRAGAGEM DE MATERIAIS DE 1A CATEGORIA E COMPOSTOS ORGÂNICOS E INORGÂNICOS COM DRAGLINE (CAÇAMBA: 0,76 M3/ 43 T). AF_03/2024</v>
          </cell>
          <cell r="D2905" t="str">
            <v>M3</v>
          </cell>
          <cell r="E2905">
            <v>0</v>
          </cell>
        </row>
        <row r="2906">
          <cell r="B2906">
            <v>104948</v>
          </cell>
          <cell r="C2906" t="str">
            <v>DRAGAGEM DE MATERIAIS DE 1A CATEGORIA E COMPOSTOS ORGÂNICOS E INORGÂNICOS COM ESCAVADEIRA HIDRÁULICA (CAÇAMBA: 0,80 M3/111 HP). AF_03/2024</v>
          </cell>
          <cell r="D2906" t="str">
            <v>M3</v>
          </cell>
          <cell r="E2906">
            <v>6.03</v>
          </cell>
          <cell r="F2906">
            <v>0</v>
          </cell>
        </row>
        <row r="2907">
          <cell r="B2907">
            <v>104949</v>
          </cell>
          <cell r="C2907" t="str">
            <v>DRAGAGEM DE MATERIAIS DE 1A CATEGORIA E COMPOSTOS ORGÂNICOS E INORGÂNICOS COM ESCAVADEIRA HIDRÁULICA DE LONGO ALCANCE (CAÇAMBA: 0,52 M3/155 HP). AF_03/2024</v>
          </cell>
          <cell r="D2907" t="str">
            <v>M3</v>
          </cell>
          <cell r="E2907">
            <v>11.06</v>
          </cell>
          <cell r="F2907">
            <v>0</v>
          </cell>
        </row>
        <row r="2908">
          <cell r="B2908">
            <v>104947</v>
          </cell>
          <cell r="C2908" t="str">
            <v>DRAGAGEM DE MATERIAIS DE 1A CATEGORIA E COMPOSTOS ORGÂNICOS E INORGÂNICOS COM RETROESCAVADEIRA (CAÇAMBA: 0,26 M3/88 HP). AF_03/2024</v>
          </cell>
          <cell r="D2908" t="str">
            <v>M3</v>
          </cell>
          <cell r="E2908">
            <v>14.35</v>
          </cell>
          <cell r="F2908">
            <v>0</v>
          </cell>
        </row>
        <row r="2909">
          <cell r="B2909">
            <v>106545</v>
          </cell>
          <cell r="C2909" t="str">
            <v>ASSENTAMENTO DE TUBO DRENO DE PEAD CORRUGADO EM GEOCOMPOSTO, DN 100 MM - FORNECIMENTO E INSTALAÇÃO. AF_01/2026</v>
          </cell>
          <cell r="D2909" t="str">
            <v>M</v>
          </cell>
          <cell r="E2909">
            <v>11.12</v>
          </cell>
          <cell r="F2909">
            <v>0</v>
          </cell>
        </row>
        <row r="2910">
          <cell r="B2910">
            <v>106543</v>
          </cell>
          <cell r="C2910" t="str">
            <v>ASSENTAMENTO DE TUBO DRENO DE PEAD CORRUGADO EM GEOCOMPOSTO, DN 160 MM - FORNECIMENTO E INSTALAÇÃO. AF_01/2026</v>
          </cell>
          <cell r="D2910" t="str">
            <v>M</v>
          </cell>
          <cell r="E2910">
            <v>22.86</v>
          </cell>
          <cell r="F2910">
            <v>0</v>
          </cell>
        </row>
        <row r="2911">
          <cell r="B2911">
            <v>106544</v>
          </cell>
          <cell r="C2911" t="str">
            <v>ASSENTAMENTO DE TUBO DRENO DE PEAD CORRUGADO EM GEOCOMPOSTO, DN 200 MM - FORNECIMENTO E INSTALAÇÃO. AF_01/2026</v>
          </cell>
          <cell r="D2911" t="str">
            <v>M</v>
          </cell>
          <cell r="E2911">
            <v>39.22</v>
          </cell>
          <cell r="F2911">
            <v>0</v>
          </cell>
        </row>
        <row r="2912">
          <cell r="B2912">
            <v>106546</v>
          </cell>
          <cell r="C2912" t="str">
            <v>ASSENTAMENTO DE TUBO DRENO DE PEAD CORRUGADO EM GEOCOMPOSTO, DN 65 MM - FORNECIMENTO E INSTALAÇÃO. AF_01/2026</v>
          </cell>
          <cell r="D2912" t="str">
            <v>M</v>
          </cell>
          <cell r="E2912">
            <v>6.97</v>
          </cell>
          <cell r="F2912">
            <v>0</v>
          </cell>
        </row>
        <row r="2913">
          <cell r="B2913">
            <v>106547</v>
          </cell>
          <cell r="C2913" t="str">
            <v>CONEXÃO TUBO CORRUGADO PEAD EM TUBO PVC PARA DRENAGEM DE GEOCOMPOSTO APENAS INSTALAÇÃO. AF_01/2026</v>
          </cell>
          <cell r="D2913" t="str">
            <v>UN</v>
          </cell>
          <cell r="E2913">
            <v>8.4700000000000006</v>
          </cell>
          <cell r="F2913">
            <v>0</v>
          </cell>
        </row>
        <row r="2914">
          <cell r="B2914">
            <v>106542</v>
          </cell>
          <cell r="C2914" t="str">
            <v>GEOCOMPOSTO COM DUAS FACES DE GEOTÊXTIL E NÚCLEO EM PEAD COM BOLSA PARA TUBO CORRUGADO PEAD PARA TRINCHEIRA DRENANTE - FORNECIMENTO E INSTALAÇÃO. AF_01/2026</v>
          </cell>
          <cell r="D2914" t="str">
            <v>M2</v>
          </cell>
          <cell r="E2914">
            <v>0</v>
          </cell>
        </row>
        <row r="2915">
          <cell r="B2915">
            <v>106534</v>
          </cell>
          <cell r="C2915" t="str">
            <v>GEOCOMPOSTO COM DUAS FACES DE GEOTÊXTIL E NÚCLEO EM PEAD HORIZONTAL - FORNECIMENTO E INSTALAÇÃO. AF_01/2026</v>
          </cell>
          <cell r="D2915" t="str">
            <v>M2</v>
          </cell>
          <cell r="E2915">
            <v>0</v>
          </cell>
        </row>
        <row r="2916">
          <cell r="B2916">
            <v>106535</v>
          </cell>
          <cell r="C2916" t="str">
            <v>GEOCOMPOSTO COM DUAS FACES DE GEOTÊXTIL E NÚCLEO EM PEAD VERTICAL FIXADO POR ADESIVO CONTATO - FORNECIMENTO E INSTALAÇÃO. AF_01/2026</v>
          </cell>
          <cell r="D2916" t="str">
            <v>M2</v>
          </cell>
          <cell r="E2916">
            <v>0</v>
          </cell>
        </row>
        <row r="2917">
          <cell r="B2917">
            <v>106537</v>
          </cell>
          <cell r="C2917" t="str">
            <v>GEOCOMPOSTO COM DUAS FACES DE GEOTÊXTIL E NÚCLEO EM PEAD VERTICAL FIXADO POR FINCAPINO - FORNECIMENTO E INSTALAÇÃO. AF_01/2026</v>
          </cell>
          <cell r="D2917" t="str">
            <v>M2</v>
          </cell>
          <cell r="E2917">
            <v>0</v>
          </cell>
        </row>
        <row r="2918">
          <cell r="B2918">
            <v>106536</v>
          </cell>
          <cell r="C2918" t="str">
            <v>GEOCOMPOSTO COM DUAS FACES DE GEOTÊXTIL E NÚCLEO EM PEAD VERTICAL FIXADO POR MADEIRA - FORNECIMENTO E INSTALAÇÃO. AF_01/2026</v>
          </cell>
          <cell r="D2918" t="str">
            <v>M2</v>
          </cell>
          <cell r="E2918">
            <v>0</v>
          </cell>
        </row>
        <row r="2919">
          <cell r="B2919">
            <v>106530</v>
          </cell>
          <cell r="C2919" t="str">
            <v>GEOCOMPOSTO COM UMA FACE DE GEOTÊXTIL E NÚCLEO EM PEAD HORIZONTAL - FORNECIMENTO E INSTALAÇÃO. AF_01/2026</v>
          </cell>
          <cell r="D2919" t="str">
            <v>M2</v>
          </cell>
          <cell r="E2919">
            <v>0</v>
          </cell>
        </row>
        <row r="2920">
          <cell r="B2920">
            <v>106531</v>
          </cell>
          <cell r="C2920" t="str">
            <v>GEOCOMPOSTO COM UMA FACE DE GEOTÊXTIL E NÚCLEO EM PEAD VERTICAL FIXADO POR ADESIVO CONTATO - FORNECIMENTO E INSTALAÇÃO. AF_01/2026</v>
          </cell>
          <cell r="D2920" t="str">
            <v>M2</v>
          </cell>
          <cell r="E2920">
            <v>0</v>
          </cell>
        </row>
        <row r="2921">
          <cell r="B2921">
            <v>106533</v>
          </cell>
          <cell r="C2921" t="str">
            <v>GEOCOMPOSTO COM UMA FACE DE GEOTÊXTIL E NÚCLEO EM PEAD VERTICAL FIXADO POR FINCAPINO - FORNECIMENTO E INSTALAÇÃO. AF_01/2026</v>
          </cell>
          <cell r="D2921" t="str">
            <v>M2</v>
          </cell>
          <cell r="E2921">
            <v>0</v>
          </cell>
        </row>
        <row r="2922">
          <cell r="B2922">
            <v>106532</v>
          </cell>
          <cell r="C2922" t="str">
            <v>GEOCOMPOSTO COM UMA FACE DE GEOTÊXTIL E NÚCLEO EM PEAD VERTICAL FIXADO POR MADEIRA - FORNECIMENTO E INSTALAÇÃO. AF_01/2026</v>
          </cell>
          <cell r="D2922" t="str">
            <v>M2</v>
          </cell>
          <cell r="E2922">
            <v>0</v>
          </cell>
        </row>
        <row r="2923">
          <cell r="B2923">
            <v>106538</v>
          </cell>
          <cell r="C2923" t="str">
            <v>GEOCOMPOSTO COM UMA FACE DE GEOTÊXTIL, NÚCLEO EM PEAD E LONA PLÁSTICA IMPERMEÁVEL HORIZONTAL - FORNECIMENTO E INSTALAÇÃO. AF_01/2026</v>
          </cell>
          <cell r="D2923" t="str">
            <v>M2</v>
          </cell>
          <cell r="E2923">
            <v>0</v>
          </cell>
        </row>
        <row r="2924">
          <cell r="B2924">
            <v>106539</v>
          </cell>
          <cell r="C2924" t="str">
            <v>GEOCOMPOSTO COM UMA FACE DE GEOTÊXTIL, NÚCLEO EM PEAD E LONA PLÁSTICA IMPERMEÁVEL VERTICAL FIXADO POR ADESIVO CONTATO - FORNECIMENTO E INSTALAÇÃO. AF_01/2026</v>
          </cell>
          <cell r="D2924" t="str">
            <v>M2</v>
          </cell>
          <cell r="E2924">
            <v>0</v>
          </cell>
        </row>
        <row r="2925">
          <cell r="B2925">
            <v>106541</v>
          </cell>
          <cell r="C2925" t="str">
            <v>GEOCOMPOSTO COM UMA FACE DE GEOTÊXTIL, NÚCLEO EM PEAD E LONA PLÁSTICA IMPERMEÁVEL VERTICAL FIXADO POR FINCAPINO - FORNECIMENTO E INSTALAÇÃO. AF_01/2026</v>
          </cell>
          <cell r="D2925" t="str">
            <v>M2</v>
          </cell>
          <cell r="E2925">
            <v>0</v>
          </cell>
        </row>
        <row r="2926">
          <cell r="B2926">
            <v>106540</v>
          </cell>
          <cell r="C2926" t="str">
            <v>GEOCOMPOSTO COM UMA FACE DE GEOTÊXTIL, NÚCLEO EM PEAD E LONA PLÁSTICA IMPERMEÁVEL VERTICAL FIXADO POR MADEIRA - FORNECIMENTO E INSTALAÇÃO. AF_01/2026</v>
          </cell>
          <cell r="D2926" t="str">
            <v>M2</v>
          </cell>
          <cell r="E2926">
            <v>0</v>
          </cell>
        </row>
        <row r="2927">
          <cell r="B2927">
            <v>104325</v>
          </cell>
          <cell r="C2927" t="str">
            <v>CAIXA DE PASSAGEM PARA AR CONDICIONADO - FORNECIMENTO E INSTALAÇÃO. AF_08/2022</v>
          </cell>
          <cell r="D2927" t="str">
            <v>UN</v>
          </cell>
          <cell r="E2927">
            <v>0</v>
          </cell>
        </row>
        <row r="2928">
          <cell r="B2928">
            <v>104318</v>
          </cell>
          <cell r="C2928" t="str">
            <v>JOELHO 45 GRAUS, PVC, SOLDÁVEL, DN 20 MM, INSTALADO EM DRENO DE AR CONDICIONADO - FORNECIMENTO E INSTALAÇÃO. AF_08/2022</v>
          </cell>
          <cell r="D2928" t="str">
            <v>UN</v>
          </cell>
          <cell r="E2928">
            <v>9.83</v>
          </cell>
          <cell r="F2928">
            <v>0</v>
          </cell>
        </row>
        <row r="2929">
          <cell r="B2929">
            <v>89867</v>
          </cell>
          <cell r="C2929" t="str">
            <v>JOELHO 45 GRAUS, PVC, SOLDÁVEL, DN 25MM, INSTALADO EM DRENO DE AR-CONDICIONADO - FORNECIMENTO E INSTALAÇÃO. AF_08/2022</v>
          </cell>
          <cell r="D2929" t="str">
            <v>UN</v>
          </cell>
          <cell r="E2929">
            <v>10.9</v>
          </cell>
          <cell r="F2929">
            <v>0</v>
          </cell>
        </row>
        <row r="2930">
          <cell r="B2930">
            <v>104320</v>
          </cell>
          <cell r="C2930" t="str">
            <v>JOELHO 45 GRAUS, PVC, SOLDÁVEL, DN 32 MM, INSTALADO EM DRENO DE AR CONDICIONADO - FORNECIMENTO E INSTALAÇÃO. AF_08/2022</v>
          </cell>
          <cell r="D2930" t="str">
            <v>UN</v>
          </cell>
          <cell r="E2930">
            <v>14.91</v>
          </cell>
          <cell r="F2930">
            <v>0</v>
          </cell>
        </row>
        <row r="2931">
          <cell r="B2931">
            <v>104317</v>
          </cell>
          <cell r="C2931" t="str">
            <v>JOELHO 90 GRAUS, PVC, SOLDÁVEL, DN 20 MM, INSTALADO EM DRENO DE AR CONDICIONADO - FORNECIMENTO E INSTALAÇÃO. AF_08/2022</v>
          </cell>
          <cell r="D2931" t="str">
            <v>UN</v>
          </cell>
          <cell r="E2931">
            <v>9.1999999999999993</v>
          </cell>
          <cell r="F2931">
            <v>0</v>
          </cell>
        </row>
        <row r="2932">
          <cell r="B2932">
            <v>89866</v>
          </cell>
          <cell r="C2932" t="str">
            <v>JOELHO 90 GRAUS, PVC, SOLDÁVEL, DN 25MM, INSTALADO EM DRENO DE AR-CONDICIONADO - FORNECIMENTO E INSTALAÇÃO. AF_08/2022</v>
          </cell>
          <cell r="D2932" t="str">
            <v>UN</v>
          </cell>
          <cell r="E2932">
            <v>9.99</v>
          </cell>
          <cell r="F2932">
            <v>0</v>
          </cell>
        </row>
        <row r="2933">
          <cell r="B2933">
            <v>104319</v>
          </cell>
          <cell r="C2933" t="str">
            <v>JOELHO 90 GRAUS, PVC, SOLDÁVEL, DN 32 MM, INSTALADO EM DRENO DE AR CONDICIONADO - FORNECIMENTO E INSTALAÇÃO. AF_08/2022</v>
          </cell>
          <cell r="D2933" t="str">
            <v>UN</v>
          </cell>
          <cell r="E2933">
            <v>12.88</v>
          </cell>
          <cell r="F2933">
            <v>0</v>
          </cell>
        </row>
        <row r="2934">
          <cell r="B2934">
            <v>104321</v>
          </cell>
          <cell r="C2934" t="str">
            <v>LUVA, PVC, SOLDÁVEL, DN 20 MM, INSTALADO EM DRENO DE AR CONDICIONADO - FORNECIMENTO E INSTALAÇÃO. AF_08/2022</v>
          </cell>
          <cell r="D2934" t="str">
            <v>UN</v>
          </cell>
          <cell r="E2934">
            <v>6.84</v>
          </cell>
          <cell r="F2934">
            <v>0</v>
          </cell>
        </row>
        <row r="2935">
          <cell r="B2935">
            <v>89868</v>
          </cell>
          <cell r="C2935" t="str">
            <v>LUVA, PVC, SOLDÁVEL, DN 25MM, INSTALADO EM DRENO DE AR-CONDICIONADO - FORNECIMENTO E INSTALAÇÃO. AF_08/2022</v>
          </cell>
          <cell r="D2935" t="str">
            <v>UN</v>
          </cell>
          <cell r="E2935">
            <v>7.36</v>
          </cell>
          <cell r="F2935">
            <v>0</v>
          </cell>
        </row>
        <row r="2936">
          <cell r="B2936">
            <v>104322</v>
          </cell>
          <cell r="C2936" t="str">
            <v>LUVA, PVC, SOLDÁVEL, DN 32 MM, INSTALADO EM DRENO DE AR CONDICIONADO - FORNECIMENTO E INSTALAÇÃO. AF_08/2022</v>
          </cell>
          <cell r="D2936" t="str">
            <v>UN</v>
          </cell>
          <cell r="E2936">
            <v>9.4700000000000006</v>
          </cell>
          <cell r="F2936">
            <v>0</v>
          </cell>
        </row>
        <row r="2937">
          <cell r="B2937">
            <v>104323</v>
          </cell>
          <cell r="C2937" t="str">
            <v>TE, PVC, SOLDÁVEL, DN 20 MM, INSTALADO EM DRENO DE AR CONDICIONADO - FORNECIMENTO E INSTALAÇÃO. AF_08/2022</v>
          </cell>
          <cell r="D2937" t="str">
            <v>UN</v>
          </cell>
          <cell r="E2937">
            <v>12.71</v>
          </cell>
          <cell r="F2937">
            <v>0</v>
          </cell>
        </row>
        <row r="2938">
          <cell r="B2938">
            <v>89869</v>
          </cell>
          <cell r="C2938" t="str">
            <v>TE, PVC, SOLDÁVEL, DN 25MM, INSTALADO EM DRENO DE AR-CONDICIONADO - FORNECIMENTO E INSTALAÇÃO. AF_08/2022</v>
          </cell>
          <cell r="D2938" t="str">
            <v>UN</v>
          </cell>
          <cell r="E2938">
            <v>13.74</v>
          </cell>
          <cell r="F2938">
            <v>0</v>
          </cell>
        </row>
        <row r="2939">
          <cell r="B2939">
            <v>104324</v>
          </cell>
          <cell r="C2939" t="str">
            <v>TE, PVC, SOLDÁVEL, DN 32 MM, INSTALADO EM DRENO DE AR CONDICIONADO - FORNECIMENTO E INSTALAÇÃO. AF_08/2022</v>
          </cell>
          <cell r="D2939" t="str">
            <v>UN</v>
          </cell>
          <cell r="E2939">
            <v>18.03</v>
          </cell>
          <cell r="F2939">
            <v>0</v>
          </cell>
        </row>
        <row r="2940">
          <cell r="B2940">
            <v>104315</v>
          </cell>
          <cell r="C2940" t="str">
            <v>TUBO, PVC, SOLDÁVEL, DE 20MM, INSTALADO EM DRENO DE AR CONDICIONADO - FORNECIMENTO E INSTALAÇÃO. AF_08/2022</v>
          </cell>
          <cell r="D2940" t="str">
            <v>M</v>
          </cell>
          <cell r="E2940">
            <v>22.44</v>
          </cell>
          <cell r="F2940">
            <v>0</v>
          </cell>
        </row>
        <row r="2941">
          <cell r="B2941">
            <v>89865</v>
          </cell>
          <cell r="C2941" t="str">
            <v>TUBO, PVC, SOLDÁVEL, DE 25MM, INSTALADO EM DRENO DE AR-CONDICIONADO - FORNECIMENTO E INSTALAÇÃO. AF_08/2022</v>
          </cell>
          <cell r="D2941" t="str">
            <v>M</v>
          </cell>
          <cell r="E2941">
            <v>23.96</v>
          </cell>
          <cell r="F2941">
            <v>0</v>
          </cell>
        </row>
        <row r="2942">
          <cell r="B2942">
            <v>104316</v>
          </cell>
          <cell r="C2942" t="str">
            <v>TUBO, PVC, SOLDÁVEL, DE 32MM, INSTALADO EM DRENO DE AR CONDICIONADO - FORNECIMENTO E INSTALAÇÃO. AF_08/2022</v>
          </cell>
          <cell r="D2942" t="str">
            <v>M</v>
          </cell>
          <cell r="E2942">
            <v>31.22</v>
          </cell>
          <cell r="F2942">
            <v>0</v>
          </cell>
        </row>
        <row r="2943">
          <cell r="B2943">
            <v>102724</v>
          </cell>
          <cell r="C2943" t="str">
            <v>DRENO BARBACÃ, DN 100 MM, COM MATERIAL DRENANTE. AF_07/2021</v>
          </cell>
          <cell r="D2943" t="str">
            <v>UN</v>
          </cell>
          <cell r="E2943">
            <v>35.22</v>
          </cell>
          <cell r="F2943">
            <v>0</v>
          </cell>
        </row>
        <row r="2944">
          <cell r="B2944">
            <v>102726</v>
          </cell>
          <cell r="C2944" t="str">
            <v>DRENO BARBACÃ, DN 50 MM, COM MATERIAL DRENANTE. AF_07/2021</v>
          </cell>
          <cell r="D2944" t="str">
            <v>UN</v>
          </cell>
          <cell r="E2944">
            <v>32.22</v>
          </cell>
          <cell r="F2944">
            <v>0</v>
          </cell>
        </row>
        <row r="2945">
          <cell r="B2945">
            <v>102725</v>
          </cell>
          <cell r="C2945" t="str">
            <v>DRENO BARBACÃ, DN 75 MM, COM MATERIAL DRENANTE. AF_07/2021</v>
          </cell>
          <cell r="D2945" t="str">
            <v>UN</v>
          </cell>
          <cell r="E2945">
            <v>34.5</v>
          </cell>
          <cell r="F2945">
            <v>0</v>
          </cell>
        </row>
        <row r="2946">
          <cell r="B2946">
            <v>102722</v>
          </cell>
          <cell r="C2946" t="str">
            <v>DRENO EM MURO DE CONTENÇÃO, EXECUTADO NO PÉ DO MURO, COM TUBO DE PEAD CORRUGADO FLEXÍVEL PERFURADO, ENCHIMENTO COM BRITA, ENVOLVIDO COM MANTA GEOTÊXTIL. AF_07/2021</v>
          </cell>
          <cell r="D2946" t="str">
            <v>M</v>
          </cell>
          <cell r="E2946">
            <v>56.56</v>
          </cell>
          <cell r="F2946">
            <v>0</v>
          </cell>
        </row>
        <row r="2947">
          <cell r="B2947">
            <v>102721</v>
          </cell>
          <cell r="C2947" t="str">
            <v>DRENO EM MURO DE CONTENÇÃO, EXECUTADO NO PÉ DO MURO, COM TUBO DE PEAD CORRUGADO FLEXÍVEL PERFURADO, ENVOLVIDO COM GEOCOMPOSTO DRENANTE. AF_07/2021</v>
          </cell>
          <cell r="D2947" t="str">
            <v>M</v>
          </cell>
          <cell r="E2947">
            <v>0</v>
          </cell>
        </row>
        <row r="2948">
          <cell r="B2948">
            <v>102723</v>
          </cell>
          <cell r="C2948" t="str">
            <v>DRENO EM MURO DE CONTENÇÃO, EXECUTADO NO PÉ DO MURO, COM TUBO DE PVC CORRUGADO RÍGIDO PERFURADO, ENCHIMENTO COM BRITA, ENVOLVIDO COM MANTA GEOTÊXTIL. AF_07/2021</v>
          </cell>
          <cell r="D2948" t="str">
            <v>M</v>
          </cell>
          <cell r="E2948">
            <v>119.09</v>
          </cell>
          <cell r="F2948">
            <v>0</v>
          </cell>
        </row>
        <row r="2949">
          <cell r="B2949">
            <v>102690</v>
          </cell>
          <cell r="C2949" t="str">
            <v>DRENO ESPINHA DE PEIXE (SEÇÃO (0,40 X 0,40 M), COM TUBO DE PEAD CORRUGADO PERFURADO, DN 100 MM, ENCHIMENTO COM BRITA, ENVOLVIDO COM MANTA GEOTÊXTIL, INCLUSIVE CONEXÕES. AF_07/2021</v>
          </cell>
          <cell r="D2949" t="str">
            <v>M</v>
          </cell>
          <cell r="E2949">
            <v>65.44</v>
          </cell>
          <cell r="F2949">
            <v>0</v>
          </cell>
        </row>
        <row r="2950">
          <cell r="B2950">
            <v>102688</v>
          </cell>
          <cell r="C2950" t="str">
            <v>DRENO ESPINHA DE PEIXE (SEÇÃO 0,40 X 0,40 M), COM TUBO DE PEAD CORRUGADO PERFURADO, DN 100 MM, ENCHIMENTO COM AREIA, INCLUSIVE CONEXÕES. AF_07/2021</v>
          </cell>
          <cell r="D2950" t="str">
            <v>M</v>
          </cell>
          <cell r="E2950">
            <v>43.33</v>
          </cell>
          <cell r="F2950">
            <v>0</v>
          </cell>
        </row>
        <row r="2951">
          <cell r="B2951">
            <v>102689</v>
          </cell>
          <cell r="C2951" t="str">
            <v>DRENO ESPINHA DE PEIXE (SEÇÃO 0,40 X 0,40 M), COM TUBO DE PVC CORRUGADO RÍGIDO PERFURADO, DN 100 MM, ENCHIMENTO COM AREIA, INCLUSIVE CONEXÕES. AF_07/2021</v>
          </cell>
          <cell r="D2951" t="str">
            <v>M</v>
          </cell>
          <cell r="E2951">
            <v>107.4</v>
          </cell>
          <cell r="F2951">
            <v>0</v>
          </cell>
        </row>
        <row r="2952">
          <cell r="B2952">
            <v>102693</v>
          </cell>
          <cell r="C2952" t="str">
            <v>DRENO ESPINHA DE PEIXE (SEÇÃO 0,40 X 0,40 M), COM TUBO DE PVC CORRUGADO RÍGIDO PERFURADO, DN 100 MM, ENCHIMENTO COM BRITA, ENVOLVIDO COM MANTA GEOTÊXTIL, INCLUSIVE CONEXÕES. AF_07/2021</v>
          </cell>
          <cell r="D2952" t="str">
            <v>M</v>
          </cell>
          <cell r="E2952">
            <v>129.52000000000001</v>
          </cell>
          <cell r="F2952">
            <v>0</v>
          </cell>
        </row>
        <row r="2953">
          <cell r="B2953">
            <v>102694</v>
          </cell>
          <cell r="C2953" t="str">
            <v>DRENO ESPINHA DE PEIXE (SEÇÃO 0,50 X 0,80 M), COM TUBO DE PEAD CORRUGADO PERFURADO, DN 100 MM, ENCHIMENTO COM AREIA, INCLUSIVE CONEXÕES. AF_07/2021</v>
          </cell>
          <cell r="D2953" t="str">
            <v>M</v>
          </cell>
          <cell r="E2953">
            <v>77.650000000000006</v>
          </cell>
          <cell r="F2953">
            <v>0</v>
          </cell>
        </row>
        <row r="2954">
          <cell r="B2954">
            <v>102697</v>
          </cell>
          <cell r="C2954" t="str">
            <v>DRENO ESPINHA DE PEIXE (SEÇÃO 0,50 X 0,80 M), COM TUBO DE PEAD CORRUGADO PERFURADO, DN 100 MM, ENCHIMENTO COM BRITA, ENVOLVIDO COM MANTA GEOTÊXTIL, INCLUSIVE CONEXÕES. AF_07/2021</v>
          </cell>
          <cell r="D2954" t="str">
            <v>M</v>
          </cell>
          <cell r="E2954">
            <v>106.5</v>
          </cell>
          <cell r="F2954">
            <v>0</v>
          </cell>
        </row>
        <row r="2955">
          <cell r="B2955">
            <v>102696</v>
          </cell>
          <cell r="C2955" t="str">
            <v>DRENO ESPINHA DE PEIXE (SEÇÃO 0,50 X 0,80 M), COM TUBO DE PVC CORRUGADO RÍGIDO PERFURADO, DN 100 MM, ENCHIMENTO COM AREIA, INCLUSIVE CONEXÕES. AF_07/2021</v>
          </cell>
          <cell r="D2955" t="str">
            <v>M</v>
          </cell>
          <cell r="E2955">
            <v>141.77000000000001</v>
          </cell>
          <cell r="F2955">
            <v>0</v>
          </cell>
        </row>
        <row r="2956">
          <cell r="B2956">
            <v>102703</v>
          </cell>
          <cell r="C2956" t="str">
            <v>DRENO ESPINHA DE PEIXE (SEÇÃO 0,50 X 0,80 M), COM TUBO DE PVC CORRUGADO RÍGIDO PERFURADO, DN 100 MM, ENCHIMENTO COM BRITA, ENVOLVIDO COM MANTA GEOTÊXTIL, INCLUSIVE CONEXÕES. AF_07/2021</v>
          </cell>
          <cell r="D2956" t="str">
            <v>M</v>
          </cell>
          <cell r="E2956">
            <v>170.63</v>
          </cell>
          <cell r="F2956">
            <v>0</v>
          </cell>
        </row>
        <row r="2957">
          <cell r="B2957">
            <v>102678</v>
          </cell>
          <cell r="C2957" t="str">
            <v>DRENO PROFUNDO (SEÇÃO 0,50 X 1,50 M), CEGO, ENCHIMENTO DE BRITA, ENVOLVIDO COM MANTA GEOTÊXTIL, COM SELO DE ARGILA. AF_07/2021</v>
          </cell>
          <cell r="D2957" t="str">
            <v>M</v>
          </cell>
          <cell r="E2957">
            <v>127.28</v>
          </cell>
          <cell r="F2957">
            <v>0</v>
          </cell>
        </row>
        <row r="2958">
          <cell r="B2958">
            <v>102679</v>
          </cell>
          <cell r="C2958" t="str">
            <v>DRENO PROFUNDO (SEÇÃO 0,50 X 1,50 M), CEGO, ENCHIMENTO DE BRITA, ENVOLVIDO COM MANTA GEOTÊXTIL. AF_07/2021</v>
          </cell>
          <cell r="D2958" t="str">
            <v>M</v>
          </cell>
          <cell r="E2958">
            <v>136.51</v>
          </cell>
          <cell r="F2958">
            <v>0</v>
          </cell>
        </row>
        <row r="2959">
          <cell r="B2959">
            <v>102673</v>
          </cell>
          <cell r="C2959" t="str">
            <v>DRENO PROFUNDO (SEÇÃO 0,50 X 1,50 M), COM TUBO DE CONCRETO SIMPLES POROSO, DN 200 MM, ENCHIMENTO COM AREIA, COM SELO DE ARGILA. AF_07/2021</v>
          </cell>
          <cell r="D2959" t="str">
            <v>M</v>
          </cell>
          <cell r="E2959">
            <v>173.34</v>
          </cell>
          <cell r="F2959">
            <v>0</v>
          </cell>
        </row>
        <row r="2960">
          <cell r="B2960">
            <v>102677</v>
          </cell>
          <cell r="C2960" t="str">
            <v>DRENO PROFUNDO (SEÇÃO 0,50 X 1,50 M), COM TUBO DE CONCRETO SIMPLES POROSO, DN 200 MM, ENCHIMENTO COM AREIA. AF_07/2021</v>
          </cell>
          <cell r="D2960" t="str">
            <v>M</v>
          </cell>
          <cell r="E2960">
            <v>155.37</v>
          </cell>
          <cell r="F2960">
            <v>0</v>
          </cell>
        </row>
        <row r="2961">
          <cell r="B2961">
            <v>102683</v>
          </cell>
          <cell r="C2961" t="str">
            <v>DRENO PROFUNDO (SEÇÃO 0,50 X 1,50 M), COM TUBO DE CONCRETO SIMPLES POROSO, DN 200 MM, ENCHIMENTO COM BRITA, ENVOLVIDO COM MANTA GEOTÊXTIL, COM SELO DE ARGILA. AF_07/2021</v>
          </cell>
          <cell r="D2961" t="str">
            <v>M</v>
          </cell>
          <cell r="E2961">
            <v>191.86</v>
          </cell>
          <cell r="F2961">
            <v>0</v>
          </cell>
        </row>
        <row r="2962">
          <cell r="B2962">
            <v>102687</v>
          </cell>
          <cell r="C2962" t="str">
            <v>DRENO PROFUNDO (SEÇÃO 0,50 X 1,50 M), COM TUBO DE CONCRETO SIMPLES POROSO, DN 200 MM, ENCHIMENTO COM BRITA, ENVOLVIDO COM MANTA GEOTÊXTIL. AF_07/2021</v>
          </cell>
          <cell r="D2962" t="str">
            <v>M</v>
          </cell>
          <cell r="E2962">
            <v>196.17</v>
          </cell>
          <cell r="F2962">
            <v>0</v>
          </cell>
        </row>
        <row r="2963">
          <cell r="B2963">
            <v>102670</v>
          </cell>
          <cell r="C2963" t="str">
            <v>DRENO PROFUNDO (SEÇÃO 0,50 X 1,50 M), COM TUBO DE PEAD CORRUGADO PERFURADO, DN 100 MM, ENCHIMENTO COM AREIA, COM SELO DE ARGILA. AF_07/2021</v>
          </cell>
          <cell r="D2963" t="str">
            <v>M</v>
          </cell>
          <cell r="E2963">
            <v>100.39</v>
          </cell>
          <cell r="F2963">
            <v>0</v>
          </cell>
        </row>
        <row r="2964">
          <cell r="B2964">
            <v>102674</v>
          </cell>
          <cell r="C2964" t="str">
            <v>DRENO PROFUNDO (SEÇÃO 0,50 X 1,50 M), COM TUBO DE PEAD CORRUGADO PERFURADO, DN 100 MM, ENCHIMENTO COM AREIA. AF_07/2021</v>
          </cell>
          <cell r="D2964" t="str">
            <v>M</v>
          </cell>
          <cell r="E2964">
            <v>108.65</v>
          </cell>
          <cell r="F2964">
            <v>0</v>
          </cell>
        </row>
        <row r="2965">
          <cell r="B2965">
            <v>102680</v>
          </cell>
          <cell r="C2965" t="str">
            <v>DRENO PROFUNDO (SEÇÃO 0,50 X 1,50 M), COM TUBO DE PEAD CORRUGADO PERFURADO, DN 100 MM, ENCHIMENTO COM BRITA, ENVOLVIDO COM MANTA GEOTÊXTIL, COM SELO DE ARGILA. AF_07/2021</v>
          </cell>
          <cell r="D2965" t="str">
            <v>M</v>
          </cell>
          <cell r="E2965">
            <v>140</v>
          </cell>
          <cell r="F2965">
            <v>0</v>
          </cell>
        </row>
        <row r="2966">
          <cell r="B2966">
            <v>102684</v>
          </cell>
          <cell r="C2966" t="str">
            <v>DRENO PROFUNDO (SEÇÃO 0,50 X 1,50 M), COM TUBO DE PEAD CORRUGADO PERFURADO, DN 100 MM, ENCHIMENTO COM BRITA, ENVOLVIDO COM MANTA GEOTÊXTIL. AF_07/2021</v>
          </cell>
          <cell r="D2966" t="str">
            <v>M</v>
          </cell>
          <cell r="E2966">
            <v>149.22999999999999</v>
          </cell>
          <cell r="F2966">
            <v>0</v>
          </cell>
        </row>
        <row r="2967">
          <cell r="B2967">
            <v>102672</v>
          </cell>
          <cell r="C2967" t="str">
            <v>DRENO PROFUNDO (SEÇÃO 0,50 X 1,50 M), COM TUBO DE PVC CORRUGADO RÍGIDO PERFURADO, DN 100 MM, ENCHIMENTO COM AREIA, COM SELO DE ARGILA. AF_07/2021</v>
          </cell>
          <cell r="D2967" t="str">
            <v>M</v>
          </cell>
          <cell r="E2967">
            <v>184.9</v>
          </cell>
          <cell r="F2967">
            <v>0</v>
          </cell>
        </row>
        <row r="2968">
          <cell r="B2968">
            <v>102676</v>
          </cell>
          <cell r="C2968" t="str">
            <v>DRENO PROFUNDO (SEÇÃO 0,50 X 1,50 M), COM TUBO DE PVC CORRUGADO RÍGIDO PERFURADO, DN 100 MM, ENCHIMENTO COM AREIA. AF_07/2021</v>
          </cell>
          <cell r="D2968" t="str">
            <v>M</v>
          </cell>
          <cell r="E2968">
            <v>180.57</v>
          </cell>
          <cell r="F2968">
            <v>0</v>
          </cell>
        </row>
        <row r="2969">
          <cell r="B2969">
            <v>102681</v>
          </cell>
          <cell r="C2969" t="str">
            <v>DRENO PROFUNDO (SEÇÃO 0,50 X 1,50 M), COM TUBO DE PVC CORRUGADO RÍGIDO PERFURADO, DN 100 MM, ENCHIMENTO COM BRITA, ENVOLVIDO COM MANTA GEOTÊXTIL, COM SELO DE ARGILA. AF_07/2021</v>
          </cell>
          <cell r="D2969" t="str">
            <v>M</v>
          </cell>
          <cell r="E2969">
            <v>211.93</v>
          </cell>
          <cell r="F2969">
            <v>0</v>
          </cell>
        </row>
        <row r="2970">
          <cell r="B2970">
            <v>102685</v>
          </cell>
          <cell r="C2970" t="str">
            <v>DRENO PROFUNDO (SEÇÃO 0,50 X 1,50 M), COM TUBO DE PVC CORRUGADO RÍGIDO PERFURADO, DN 100 MM, ENCHIMENTO COM BRITA, ENVOLVIDO COM MANTA GEOTÊXTIL. AF_07/2021</v>
          </cell>
          <cell r="D2970" t="str">
            <v>M</v>
          </cell>
          <cell r="E2970">
            <v>221.16</v>
          </cell>
          <cell r="F2970">
            <v>0</v>
          </cell>
        </row>
        <row r="2971">
          <cell r="B2971">
            <v>102664</v>
          </cell>
          <cell r="C2971" t="str">
            <v>DRENO SUBSUPERFICIAL (SEÇÃO 0,40 X 0,40 M), CEGO, ENCHIMENTO DE BRITA, ENVOLVIDO COM MANTA GEOTÊXTIL. AF_07/2021</v>
          </cell>
          <cell r="D2971" t="str">
            <v>M</v>
          </cell>
          <cell r="E2971">
            <v>46.44</v>
          </cell>
          <cell r="F2971">
            <v>0</v>
          </cell>
        </row>
        <row r="2972">
          <cell r="B2972">
            <v>102665</v>
          </cell>
          <cell r="C2972" t="str">
            <v>DRENO SUBSUPERFICIAL (SEÇÃO 0,40 X 0,40 M), CEGO, ENCHIMENTO DE BRITA. AF_07/2021</v>
          </cell>
          <cell r="D2972" t="str">
            <v>M</v>
          </cell>
          <cell r="E2972">
            <v>22.99</v>
          </cell>
          <cell r="F2972">
            <v>0</v>
          </cell>
        </row>
        <row r="2973">
          <cell r="B2973">
            <v>102663</v>
          </cell>
          <cell r="C2973" t="str">
            <v>DRENO SUBSUPERFICIAL (SEÇÃO 0,40 X 0,40 M), COM TUBO DE CONCRETO SIMPLES POROSO, DN 200 MM, ENCHIMENTO COM AREIA. AF_07/2021</v>
          </cell>
          <cell r="D2973" t="str">
            <v>M</v>
          </cell>
          <cell r="E2973">
            <v>74.37</v>
          </cell>
          <cell r="F2973">
            <v>0</v>
          </cell>
        </row>
        <row r="2974">
          <cell r="B2974">
            <v>102669</v>
          </cell>
          <cell r="C2974" t="str">
            <v>DRENO SUBSUPERFICIAL (SEÇÃO 0,40 X 0,40 M), COM TUBO DE CONCRETO SIMPLES POROSO, DN 200 MM, ENCHIMENTO COM BRITA, ENVOLVIDO COM MANTA GEOTÊXTIL. AF_07/2021</v>
          </cell>
          <cell r="D2974" t="str">
            <v>M</v>
          </cell>
          <cell r="E2974">
            <v>96.71</v>
          </cell>
          <cell r="F2974">
            <v>0</v>
          </cell>
        </row>
        <row r="2975">
          <cell r="B2975">
            <v>102661</v>
          </cell>
          <cell r="C2975" t="str">
            <v>DRENO SUBSUPERFICIAL (SEÇÃO 0,40 X 0,40 M), COM TUBO DE PEAD CORRUGADO PERFURADO, DN 100 MM, ENCHIMENTO COM AREIA. AF_07/2021</v>
          </cell>
          <cell r="D2975" t="str">
            <v>M</v>
          </cell>
          <cell r="E2975">
            <v>35.44</v>
          </cell>
          <cell r="F2975">
            <v>0</v>
          </cell>
        </row>
        <row r="2976">
          <cell r="B2976">
            <v>102666</v>
          </cell>
          <cell r="C2976" t="str">
            <v>DRENO SUBSUPERFICIAL (SEÇÃO 0,40 X 0,40 M), COM TUBO DE PEAD CORRUGADO PERFURADO, DN 100 MM, ENCHIMENTO COM BRITA, ENVOLVIDO COM MANTA GEOTÊXTIL. AF_07/2021</v>
          </cell>
          <cell r="D2976" t="str">
            <v>M</v>
          </cell>
          <cell r="E2976">
            <v>57.56</v>
          </cell>
          <cell r="F2976">
            <v>0</v>
          </cell>
        </row>
        <row r="2977">
          <cell r="B2977">
            <v>102662</v>
          </cell>
          <cell r="C2977" t="str">
            <v>DRENO SUBSUPERFICIAL (SEÇÃO 0,40 X 0,40 M), COM TUBO DE PVC CORRUGADO RÍGIDO PERFURADO, DN 100 MM, ENCHIMENTO COM AREIA. AF_07/2021</v>
          </cell>
          <cell r="D2977" t="str">
            <v>M</v>
          </cell>
          <cell r="E2977">
            <v>102.91</v>
          </cell>
          <cell r="F2977">
            <v>0</v>
          </cell>
        </row>
        <row r="2978">
          <cell r="B2978">
            <v>102668</v>
          </cell>
          <cell r="C2978" t="str">
            <v>DRENO SUBSUPERFICIAL (SEÇÃO 0,40 X 0,40 M), COM TUBO DE PVC CORRUGADO RÍGIDO PERFURADO, DN 100 MM, ENCHIMENTO COM BRITA, ENVOLVIDO COM MANTA GEOTÊXTIL. AF_07/2021</v>
          </cell>
          <cell r="D2978" t="str">
            <v>M</v>
          </cell>
          <cell r="E2978">
            <v>125.03</v>
          </cell>
          <cell r="F2978">
            <v>0</v>
          </cell>
        </row>
        <row r="2979">
          <cell r="B2979">
            <v>102718</v>
          </cell>
          <cell r="C2979" t="str">
            <v>ENCHIMENTO DE AREIA PARA DRENO, LANÇAMENTO MANUAL. AF_07/2021</v>
          </cell>
          <cell r="D2979" t="str">
            <v>M3</v>
          </cell>
          <cell r="E2979">
            <v>142.71</v>
          </cell>
          <cell r="F2979">
            <v>0</v>
          </cell>
        </row>
        <row r="2980">
          <cell r="B2980">
            <v>102716</v>
          </cell>
          <cell r="C2980" t="str">
            <v>ENCHIMENTO DE AREIA PARA DRENO, LANÇAMENTO MECANIZADO. AF_07/2021</v>
          </cell>
          <cell r="D2980" t="str">
            <v>M3</v>
          </cell>
          <cell r="E2980">
            <v>125.9</v>
          </cell>
          <cell r="F2980">
            <v>0</v>
          </cell>
        </row>
        <row r="2981">
          <cell r="B2981">
            <v>102719</v>
          </cell>
          <cell r="C2981" t="str">
            <v>ENCHIMENTO DE BRITA PARA DRENO, LANÇAMENTO MANUAL. AF_07/2021</v>
          </cell>
          <cell r="D2981" t="str">
            <v>M3</v>
          </cell>
          <cell r="E2981">
            <v>133.99</v>
          </cell>
          <cell r="F2981">
            <v>0</v>
          </cell>
        </row>
        <row r="2982">
          <cell r="B2982">
            <v>102717</v>
          </cell>
          <cell r="C2982" t="str">
            <v>ENCHIMENTO DE BRITA PARA DRENO, LANÇAMENTO MECANIZADO. AF_07/2021</v>
          </cell>
          <cell r="D2982" t="str">
            <v>M3</v>
          </cell>
          <cell r="E2982">
            <v>117.18</v>
          </cell>
          <cell r="F2982">
            <v>0</v>
          </cell>
        </row>
        <row r="2983">
          <cell r="B2983">
            <v>102720</v>
          </cell>
          <cell r="C2983" t="str">
            <v>GEOCOMPOSTO DRENANTE, INSTALADO EM MURO DE CONTENÇÃO - EXCLUSIVE DRENO NO PÉ DO MURO. AF_07/2021</v>
          </cell>
          <cell r="D2983" t="str">
            <v>M2</v>
          </cell>
          <cell r="E2983">
            <v>0</v>
          </cell>
        </row>
        <row r="2984">
          <cell r="B2984">
            <v>102713</v>
          </cell>
          <cell r="C2984" t="str">
            <v>GEOTÊXTIL NÃO TECIDO 100% POLIÉSTER, RESISTÊNCIA A TRAÇÃO DE 14 KN/M (RT - 14), INSTALADO EM DRENO - FORNECIMENTO E INSTALAÇÃO. AF_07/2021</v>
          </cell>
          <cell r="D2984" t="str">
            <v>M2</v>
          </cell>
          <cell r="E2984">
            <v>12.63</v>
          </cell>
          <cell r="F2984">
            <v>0</v>
          </cell>
        </row>
        <row r="2985">
          <cell r="B2985">
            <v>102715</v>
          </cell>
          <cell r="C2985" t="str">
            <v>GEOTÊXTIL NÃO TECIDO 100% POLIÉSTER, RESISTÊNCIA A TRAÇÃO DE 26 KN/M (RT - 26), INSTALADO EM DRENO - FORNECIMENTO E INSTALAÇÃO. AF_07/2021</v>
          </cell>
          <cell r="D2985" t="str">
            <v>M2</v>
          </cell>
          <cell r="E2985">
            <v>24.82</v>
          </cell>
          <cell r="F2985">
            <v>0</v>
          </cell>
        </row>
        <row r="2986">
          <cell r="B2986">
            <v>103653</v>
          </cell>
          <cell r="C2986" t="str">
            <v>GEOTÊXTIL NÃO TECIDO 100% POLIÉSTER, RESISTÊNCIA A TRAÇÃO DE 31 KN/M (RT-31), INSTALADO EM DRENO - FORNECIMENTO E INSTALAÇÃO. AF_07/2021</v>
          </cell>
          <cell r="D2986" t="str">
            <v>M2</v>
          </cell>
          <cell r="E2986">
            <v>29.62</v>
          </cell>
          <cell r="F2986">
            <v>0</v>
          </cell>
        </row>
        <row r="2987">
          <cell r="B2987">
            <v>102712</v>
          </cell>
          <cell r="C2987" t="str">
            <v>GEOTÊXTIL NÃO TECIDO 100% POLIÉSTER, RESISTÊNCIA A TRAÇÃO DE 9 KN/M (RT - 9), INSTALADO EM DRENO - FORNECIMENTO E INSTALAÇÃO. AF_07/2021</v>
          </cell>
          <cell r="D2987" t="str">
            <v>M2</v>
          </cell>
          <cell r="E2987">
            <v>9.24</v>
          </cell>
          <cell r="F2987">
            <v>0</v>
          </cell>
        </row>
        <row r="2988">
          <cell r="B2988">
            <v>102711</v>
          </cell>
          <cell r="C2988" t="str">
            <v>JUNÇÃO DUPLA DE PVC, SÉRIE NORMAL, PARA ESGOTO PREDIAL, DN 100 X 100 X 100 MM, INSTALADA EM DRENO - FORNECIMENTO E INSTALAÇÃO. AF_07/2021</v>
          </cell>
          <cell r="D2988" t="str">
            <v>UN</v>
          </cell>
          <cell r="E2988">
            <v>99.71</v>
          </cell>
          <cell r="F2988">
            <v>0</v>
          </cell>
        </row>
        <row r="2989">
          <cell r="B2989">
            <v>102710</v>
          </cell>
          <cell r="C2989" t="str">
            <v>JUNÇÃO SIMPLES DE PVC, 45 GRAUS, SÉRIE NORMAL, PARA ESGOTO PREDIAL, DN 100 MM, INSTALADA EM DRENO - FORNECIMENTO E INSTALAÇÃO. AF_07/2021</v>
          </cell>
          <cell r="D2989" t="str">
            <v>UN</v>
          </cell>
          <cell r="E2989">
            <v>78.260000000000005</v>
          </cell>
          <cell r="F2989">
            <v>0</v>
          </cell>
        </row>
        <row r="2990">
          <cell r="B2990">
            <v>102709</v>
          </cell>
          <cell r="C2990" t="str">
            <v>LUVA DE PEAD, DN 100 MM, INSTALADA EM DRENO - FORNECIMENTO E INSTALAÇÃO. AF_07/2021</v>
          </cell>
          <cell r="D2990" t="str">
            <v>UN</v>
          </cell>
          <cell r="E2990">
            <v>0</v>
          </cell>
        </row>
        <row r="2991">
          <cell r="B2991">
            <v>102708</v>
          </cell>
          <cell r="C2991" t="str">
            <v>LUVA DE PVC, SÉRIE NORMAL, PARA ESGOTO PREDIAL, DN 100 MM, INSTALADA EM DRENO - FORNECIMENTO E INSTALAÇÃO. AF_07/2021</v>
          </cell>
          <cell r="D2991" t="str">
            <v>UN</v>
          </cell>
          <cell r="E2991">
            <v>32.57</v>
          </cell>
          <cell r="F2991">
            <v>0</v>
          </cell>
        </row>
        <row r="2992">
          <cell r="B2992">
            <v>102707</v>
          </cell>
          <cell r="C2992" t="str">
            <v>TUBO DE CONCRETO SIMPLES POROSO, DN 200 MM, PARA DRENO - FORNECIMENTO E ASSENTAMENTO. AF_07/2021</v>
          </cell>
          <cell r="D2992" t="str">
            <v>M</v>
          </cell>
          <cell r="E2992">
            <v>54.48</v>
          </cell>
          <cell r="F2992">
            <v>0</v>
          </cell>
        </row>
        <row r="2993">
          <cell r="B2993">
            <v>102704</v>
          </cell>
          <cell r="C2993" t="str">
            <v>TUBO DE PEAD CORRUGADO PERFURADO, DN 100 MM, PARA DRENO - FORNECIMENTO E ASSENTAMENTO. AF_07/2021</v>
          </cell>
          <cell r="D2993" t="str">
            <v>M</v>
          </cell>
          <cell r="E2993">
            <v>11.68</v>
          </cell>
          <cell r="F2993">
            <v>0</v>
          </cell>
        </row>
        <row r="2994">
          <cell r="B2994">
            <v>102705</v>
          </cell>
          <cell r="C2994" t="str">
            <v>TUBO DE PVC CORRUGADO RÍGIDO PERFURADO, DN 100 MM, PARA DRENO - FORNECIMENTO E ASSENTAMENTO. AF_07/2021</v>
          </cell>
          <cell r="D2994" t="str">
            <v>M</v>
          </cell>
          <cell r="E2994">
            <v>74.209999999999994</v>
          </cell>
          <cell r="F2994">
            <v>0</v>
          </cell>
        </row>
        <row r="2995">
          <cell r="B2995">
            <v>98333</v>
          </cell>
          <cell r="C2995" t="str">
            <v>FABRICAÇÃO DE CURVA, REDUÇÃO OU TÊ PARA DUTO PARA AR CONDICIONADO EM CHAPA GALVANIZADA BITOLA 22. AF_03/2024</v>
          </cell>
          <cell r="D2995" t="str">
            <v>M2</v>
          </cell>
          <cell r="E2995">
            <v>0</v>
          </cell>
        </row>
        <row r="2996">
          <cell r="B2996">
            <v>98332</v>
          </cell>
          <cell r="C2996" t="str">
            <v>FABRICAÇÃO DE CURVA, REDUÇÃO OU TÊ PARA DUTO PARA AR CONDICIONADO EM CHAPA GALVANIZADA BITOLA 24. AF_03/2024</v>
          </cell>
          <cell r="D2996" t="str">
            <v>M2</v>
          </cell>
          <cell r="E2996">
            <v>0</v>
          </cell>
        </row>
        <row r="2997">
          <cell r="B2997">
            <v>98331</v>
          </cell>
          <cell r="C2997" t="str">
            <v>FABRICAÇÃO DE CURVA, REDUÇÃO OU TÊ PARA DUTO PARA AR CONDICIONADO EM CHAPA GALVANIZADA BITOLA 26. AF_03/2024</v>
          </cell>
          <cell r="D2997" t="str">
            <v>M2</v>
          </cell>
          <cell r="E2997">
            <v>0</v>
          </cell>
        </row>
        <row r="2998">
          <cell r="B2998">
            <v>98327</v>
          </cell>
          <cell r="C2998" t="str">
            <v>FABRICAÇÃO DE DUTO RETANGULAR PARA AR CONDICIONADO (TRECHO RETO) EM CHAPA GALVANIZADA BITOLA 22. AF_03/2024</v>
          </cell>
          <cell r="D2998" t="str">
            <v>M2</v>
          </cell>
          <cell r="E2998">
            <v>0</v>
          </cell>
        </row>
        <row r="2999">
          <cell r="B2999">
            <v>98326</v>
          </cell>
          <cell r="C2999" t="str">
            <v>FABRICAÇÃO DE DUTO RETANGULAR PARA AR CONDICIONADO (TRECHO RETO) EM CHAPA GALVANIZADA BITOLA 24. AF_03/2024</v>
          </cell>
          <cell r="D2999" t="str">
            <v>M2</v>
          </cell>
          <cell r="E2999">
            <v>0</v>
          </cell>
        </row>
        <row r="3000">
          <cell r="B3000">
            <v>98325</v>
          </cell>
          <cell r="C3000" t="str">
            <v>FABRICAÇÃO DE DUTO RETANGULAR PARA AR CONDICIONADO (TRECHO RETO) EM CHAPA GALVANIZADA BITOLA 26. AF_03/2024</v>
          </cell>
          <cell r="D3000" t="str">
            <v>M2</v>
          </cell>
          <cell r="E3000">
            <v>0</v>
          </cell>
        </row>
        <row r="3001">
          <cell r="B3001">
            <v>98370</v>
          </cell>
          <cell r="C3001" t="str">
            <v>FABRICAÇÃO DE DUTO RETANGULAR PARA AR CONDICIONADO EM PAINEL PRÉ-ISOLADO. AF_03/2024</v>
          </cell>
          <cell r="D3001" t="str">
            <v>M2</v>
          </cell>
          <cell r="E3001">
            <v>0</v>
          </cell>
        </row>
        <row r="3002">
          <cell r="B3002">
            <v>98389</v>
          </cell>
          <cell r="C3002" t="str">
            <v>INSTALAÇÃO DE COLARINHO DE AÇO GALVANIZADO DN 109 MM (4") PARA DUTO FLEXÍVEL CIRCULAR PARA AR CONDICIONADO. AF_03/2024</v>
          </cell>
          <cell r="D3002" t="str">
            <v>UN</v>
          </cell>
          <cell r="E3002">
            <v>0</v>
          </cell>
        </row>
        <row r="3003">
          <cell r="B3003">
            <v>98390</v>
          </cell>
          <cell r="C3003" t="str">
            <v>INSTALAÇÃO DE COLARINHO DE AÇO GALVANIZADO DN 131 MM (5") PARA DUTO FLEXÍVEL CIRCULAR PARA AR CONDICIONADO. AF_03/2024</v>
          </cell>
          <cell r="D3003" t="str">
            <v>UN</v>
          </cell>
          <cell r="E3003">
            <v>0</v>
          </cell>
        </row>
        <row r="3004">
          <cell r="B3004">
            <v>98391</v>
          </cell>
          <cell r="C3004" t="str">
            <v>INSTALAÇÃO DE COLARINHO DE AÇO GALVANIZADO DN 161 MM (6") PARA DUTO FLEXÍVEL CIRCULAR PARA AR CONDICIONADO. AF_03/2024</v>
          </cell>
          <cell r="D3004" t="str">
            <v>UN</v>
          </cell>
          <cell r="E3004">
            <v>0</v>
          </cell>
        </row>
        <row r="3005">
          <cell r="B3005">
            <v>98392</v>
          </cell>
          <cell r="C3005" t="str">
            <v>INSTALAÇÃO DE COLARINHO DE AÇO GALVANIZADO DN 185 MM (7") PARA DUTO FLEXÍVEL CIRCULAR PARA AR CONDICIONADO. AF_03/2024</v>
          </cell>
          <cell r="D3005" t="str">
            <v>UN</v>
          </cell>
          <cell r="E3005">
            <v>0</v>
          </cell>
        </row>
        <row r="3006">
          <cell r="B3006">
            <v>98393</v>
          </cell>
          <cell r="C3006" t="str">
            <v>INSTALAÇÃO DE COLARINHO DE AÇO GALVANIZADO DN 209 MM (8") PARA DUTO FLEXÍVEL CIRCULAR PARA AR CONDICIONADO. AF_03/2024</v>
          </cell>
          <cell r="D3006" t="str">
            <v>UN</v>
          </cell>
          <cell r="E3006">
            <v>0</v>
          </cell>
        </row>
        <row r="3007">
          <cell r="B3007">
            <v>98394</v>
          </cell>
          <cell r="C3007" t="str">
            <v>INSTALAÇÃO DE COLARINHO DE AÇO GALVANIZADO DN 263 MM (10") PARA DUTO FLEXÍVEL CIRCULAR PARA AR CONDICIONADO. AF_03/2024</v>
          </cell>
          <cell r="D3007" t="str">
            <v>UN</v>
          </cell>
          <cell r="E3007">
            <v>0</v>
          </cell>
        </row>
        <row r="3008">
          <cell r="B3008">
            <v>98395</v>
          </cell>
          <cell r="C3008" t="str">
            <v>INSTALAÇÃO DE COLARINHO DE AÇO GALVANIZADO DN 314 MM (12") PARA DUTO FLEXÍVEL CIRCULAR PARA AR CONDICIONADO. AF_03/2024</v>
          </cell>
          <cell r="D3008" t="str">
            <v>UN</v>
          </cell>
          <cell r="E3008">
            <v>0</v>
          </cell>
        </row>
        <row r="3009">
          <cell r="B3009">
            <v>98396</v>
          </cell>
          <cell r="C3009" t="str">
            <v>INSTALAÇÃO DE COLARINHO DE AÇO GALVANIZADO DN 364 MM (14") PARA DUTO FLEXÍVEL CIRCULAR PARA AR CONDICIONADO. AF_03/2024</v>
          </cell>
          <cell r="D3009" t="str">
            <v>UN</v>
          </cell>
          <cell r="E3009">
            <v>0</v>
          </cell>
        </row>
        <row r="3010">
          <cell r="B3010">
            <v>98369</v>
          </cell>
          <cell r="C3010" t="str">
            <v>INSTALAÇÃO DE CURVA, REDUÇÃO OU TÊ DE DUTO PARA AR CONDICIONADO EM CHAPA GALVANIZADA BITOLA 22 - COM ISOLAMENTO DE MANTA FIXADA NA CHAPA COM CLAVO, INCLUSO FABRICAÇÃO. AF_03/2024</v>
          </cell>
          <cell r="D3010" t="str">
            <v>M2</v>
          </cell>
          <cell r="E3010">
            <v>0</v>
          </cell>
        </row>
        <row r="3011">
          <cell r="B3011">
            <v>98360</v>
          </cell>
          <cell r="C3011" t="str">
            <v>INSTALAÇÃO DE CURVA, REDUÇÃO OU TÊ DE DUTO PARA AR CONDICIONADO EM CHAPA GALVANIZADA BITOLA 22 - COM ISOLAMENTO DE MANTA FIXADA NA CHAPA COM FITA PLÁSTICA, INCLUSO FABRICAÇÃO. AF_03/2024</v>
          </cell>
          <cell r="D3011" t="str">
            <v>M2</v>
          </cell>
          <cell r="E3011">
            <v>0</v>
          </cell>
        </row>
        <row r="3012">
          <cell r="B3012">
            <v>98368</v>
          </cell>
          <cell r="C3012" t="str">
            <v>INSTALAÇÃO DE CURVA, REDUÇÃO OU TÊ DE DUTO PARA AR CONDICIONADO EM CHAPA GALVANIZADA BITOLA 24 - COM ISOLAMENTO DE MANTA FIXADA NA CHAPA COM CLAVO, INCLUSO FABRICAÇÃO. AF_03/2024</v>
          </cell>
          <cell r="D3012" t="str">
            <v>M2</v>
          </cell>
          <cell r="E3012">
            <v>0</v>
          </cell>
        </row>
        <row r="3013">
          <cell r="B3013">
            <v>98359</v>
          </cell>
          <cell r="C3013" t="str">
            <v>INSTALAÇÃO DE CURVA, REDUÇÃO OU TÊ DE DUTO PARA AR CONDICIONADO EM CHAPA GALVANIZADA BITOLA 24 - COM ISOLAMENTO DE MANTA FIXADA NA CHAPA COM FITA PLÁSTICA, INCLUSO FABRICAÇÃO. AF_03/2024</v>
          </cell>
          <cell r="D3013" t="str">
            <v>M2</v>
          </cell>
          <cell r="E3013">
            <v>0</v>
          </cell>
        </row>
        <row r="3014">
          <cell r="B3014">
            <v>98367</v>
          </cell>
          <cell r="C3014" t="str">
            <v>INSTALAÇÃO DE CURVA, REDUÇÃO OU TÊ DE DUTO PARA AR CONDICIONADO EM CHAPA GALVANIZADA BITOLA 26 - COM ISOLAMENTO DE MANTA FIXADA NA CHAPA COM CLAVO, INCLUSO FABRICAÇÃO. AF_03/2024</v>
          </cell>
          <cell r="D3014" t="str">
            <v>M2</v>
          </cell>
          <cell r="E3014">
            <v>0</v>
          </cell>
        </row>
        <row r="3015">
          <cell r="B3015">
            <v>98358</v>
          </cell>
          <cell r="C3015" t="str">
            <v>INSTALAÇÃO DE CURVA, REDUÇÃO OU TÊ DE DUTO PARA AR CONDICIONADO EM CHAPA GALVANIZADA BITOLA 26 - COM ISOLAMENTO DE MANTA FIXADA NA CHAPA COM FITA PLÁSTICA, INCLUSO FABRICAÇÃO. AF_03/2024</v>
          </cell>
          <cell r="D3015" t="str">
            <v>M2</v>
          </cell>
          <cell r="E3015">
            <v>0</v>
          </cell>
        </row>
        <row r="3016">
          <cell r="B3016">
            <v>98352</v>
          </cell>
          <cell r="C3016" t="str">
            <v>INSTALAÇÃO DE CURVA, REDUÇÃO OU TÊ PARA DUTO PARA AR CONDICIONADO EM CHAPA GALVANIZADA BITOLA 22 - COM ISOLAMENTO DE MANTA COLADA NA CHAPA, INCLUSO FABRICAÇÃO. AF_03/2024</v>
          </cell>
          <cell r="D3016" t="str">
            <v>M2</v>
          </cell>
          <cell r="E3016">
            <v>0</v>
          </cell>
        </row>
        <row r="3017">
          <cell r="B3017">
            <v>98343</v>
          </cell>
          <cell r="C3017" t="str">
            <v>INSTALAÇÃO DE CURVA, REDUÇÃO OU TÊ PARA DUTO PARA AR CONDICIONADO EM CHAPA GALVANIZADA BITOLA 22 - SEM ISOLAMENTO, INCLUSO FABRICAÇÃO. AF_03/2024</v>
          </cell>
          <cell r="D3017" t="str">
            <v>M2</v>
          </cell>
          <cell r="E3017">
            <v>0</v>
          </cell>
        </row>
        <row r="3018">
          <cell r="B3018">
            <v>98351</v>
          </cell>
          <cell r="C3018" t="str">
            <v>INSTALAÇÃO DE CURVA, REDUÇÃO OU TÊ PARA DUTO PARA AR CONDICIONADO EM CHAPA GALVANIZADA BITOLA 24 - COM ISOLAMENTO DE MANTA COLADA NA CHAPA, INCLUSO FABRICAÇÃO. AF_03/2024</v>
          </cell>
          <cell r="D3018" t="str">
            <v>M2</v>
          </cell>
          <cell r="E3018">
            <v>0</v>
          </cell>
        </row>
        <row r="3019">
          <cell r="B3019">
            <v>98342</v>
          </cell>
          <cell r="C3019" t="str">
            <v>INSTALAÇÃO DE CURVA, REDUÇÃO OU TÊ PARA DUTO PARA AR CONDICIONADO EM CHAPA GALVANIZADA BITOLA 24 - SEM ISOLAMENTO, INCLUSO FABRICAÇÃO. AF_03/2024</v>
          </cell>
          <cell r="D3019" t="str">
            <v>M2</v>
          </cell>
          <cell r="E3019">
            <v>0</v>
          </cell>
        </row>
        <row r="3020">
          <cell r="B3020">
            <v>98350</v>
          </cell>
          <cell r="C3020" t="str">
            <v>INSTALAÇÃO DE CURVA, REDUÇÃO OU TÊ PARA DUTO PARA AR CONDICIONADO EM CHAPA GALVANIZADA BITOLA 26 - COM ISOLAMENTO DE MANTA COLADA NA CHAPA, INCLUSO FABRICAÇÃO. AF_03/2024</v>
          </cell>
          <cell r="D3020" t="str">
            <v>M2</v>
          </cell>
          <cell r="E3020">
            <v>0</v>
          </cell>
        </row>
        <row r="3021">
          <cell r="B3021">
            <v>98341</v>
          </cell>
          <cell r="C3021" t="str">
            <v>INSTALAÇÃO DE CURVA, REDUÇÃO OU TÊ PARA DUTO PARA AR CONDICIONADO EM CHAPA GALVANIZADA BITOLA 26 - SEM ISOLAMENTO, INCLUSO FABRICAÇÃO. AF_03/2024</v>
          </cell>
          <cell r="D3021" t="str">
            <v>M2</v>
          </cell>
          <cell r="E3021">
            <v>0</v>
          </cell>
        </row>
        <row r="3022">
          <cell r="B3022">
            <v>98381</v>
          </cell>
          <cell r="C3022" t="str">
            <v>INSTALAÇÃO DE DUTO FLEXÍVEL CIRCULAR PARA AR CONDICIONADO EM ALUMÍNIO ISOLADO - DN 109 MM (4"). AF_03/2024</v>
          </cell>
          <cell r="D3022" t="str">
            <v>M</v>
          </cell>
          <cell r="E3022">
            <v>0</v>
          </cell>
        </row>
        <row r="3023">
          <cell r="B3023">
            <v>98382</v>
          </cell>
          <cell r="C3023" t="str">
            <v>INSTALAÇÃO DE DUTO FLEXÍVEL CIRCULAR PARA AR CONDICIONADO EM ALUMÍNIO ISOLADO - DN 131 MM (5"). AF_03/2024</v>
          </cell>
          <cell r="D3023" t="str">
            <v>M</v>
          </cell>
          <cell r="E3023">
            <v>0</v>
          </cell>
        </row>
        <row r="3024">
          <cell r="B3024">
            <v>98383</v>
          </cell>
          <cell r="C3024" t="str">
            <v>INSTALAÇÃO DE DUTO FLEXÍVEL CIRCULAR PARA AR CONDICIONADO EM ALUMÍNIO ISOLADO - DN 161 MM (6"). AF_03/2024</v>
          </cell>
          <cell r="D3024" t="str">
            <v>M</v>
          </cell>
          <cell r="E3024">
            <v>0</v>
          </cell>
        </row>
        <row r="3025">
          <cell r="B3025">
            <v>98384</v>
          </cell>
          <cell r="C3025" t="str">
            <v>INSTALAÇÃO DE DUTO FLEXÍVEL CIRCULAR PARA AR CONDICIONADO EM ALUMÍNIO ISOLADO - DN 185 MM (7"). AF_03/2024</v>
          </cell>
          <cell r="D3025" t="str">
            <v>M</v>
          </cell>
          <cell r="E3025">
            <v>0</v>
          </cell>
        </row>
        <row r="3026">
          <cell r="B3026">
            <v>98385</v>
          </cell>
          <cell r="C3026" t="str">
            <v>INSTALAÇÃO DE DUTO FLEXÍVEL CIRCULAR PARA AR CONDICIONADO EM ALUMÍNIO ISOLADO - DN 209 MM (8"). AF_03/2024</v>
          </cell>
          <cell r="D3026" t="str">
            <v>M</v>
          </cell>
          <cell r="E3026">
            <v>0</v>
          </cell>
        </row>
        <row r="3027">
          <cell r="B3027">
            <v>98386</v>
          </cell>
          <cell r="C3027" t="str">
            <v>INSTALAÇÃO DE DUTO FLEXÍVEL CIRCULAR PARA AR CONDICIONADO EM ALUMÍNIO ISOLADO - DN 263 MM (10"). AF_03/2024</v>
          </cell>
          <cell r="D3027" t="str">
            <v>M</v>
          </cell>
          <cell r="E3027">
            <v>0</v>
          </cell>
        </row>
        <row r="3028">
          <cell r="B3028">
            <v>98387</v>
          </cell>
          <cell r="C3028" t="str">
            <v>INSTALAÇÃO DE DUTO FLEXÍVEL CIRCULAR PARA AR CONDICIONADO EM ALUMÍNIO ISOLADO - DN 314 MM (12"). AF_03/2024</v>
          </cell>
          <cell r="D3028" t="str">
            <v>M</v>
          </cell>
          <cell r="E3028">
            <v>0</v>
          </cell>
        </row>
        <row r="3029">
          <cell r="B3029">
            <v>98388</v>
          </cell>
          <cell r="C3029" t="str">
            <v>INSTALAÇÃO DE DUTO FLEXÍVEL CIRCULAR PARA AR CONDICIONADO EM ALUMÍNIO ISOLADO - DN 364 MM (14"). AF_03/2024</v>
          </cell>
          <cell r="D3029" t="str">
            <v>M</v>
          </cell>
          <cell r="E3029">
            <v>0</v>
          </cell>
        </row>
        <row r="3030">
          <cell r="B3030">
            <v>98346</v>
          </cell>
          <cell r="C3030" t="str">
            <v>INSTALAÇÃO DE DUTO RETANGULAR PARA AR CONDICIONADO (TRECHO RETO) EM CHAPA GALVANIZADA BITOLA 22 - COM ISOLAMENTO DE MANTA COLADA NA CHAPA, INCLUSO FABRICAÇÃO. AF_03/2024</v>
          </cell>
          <cell r="D3030" t="str">
            <v>M2</v>
          </cell>
          <cell r="E3030">
            <v>0</v>
          </cell>
        </row>
        <row r="3031">
          <cell r="B3031">
            <v>98363</v>
          </cell>
          <cell r="C3031" t="str">
            <v>INSTALAÇÃO DE DUTO RETANGULAR PARA AR CONDICIONADO (TRECHO RETO) EM CHAPA GALVANIZADA BITOLA 22 - COM ISOLAMENTO DE MANTA FIXADA NA CHAPA COM CLAVO, INCLUSO FABRICAÇÃO. AF_03/2024</v>
          </cell>
          <cell r="D3031" t="str">
            <v>M2</v>
          </cell>
          <cell r="E3031">
            <v>0</v>
          </cell>
        </row>
        <row r="3032">
          <cell r="B3032">
            <v>98354</v>
          </cell>
          <cell r="C3032" t="str">
            <v>INSTALAÇÃO DE DUTO RETANGULAR PARA AR CONDICIONADO (TRECHO RETO) EM CHAPA GALVANIZADA BITOLA 22 - COM ISOLAMENTO DE MANTA FIXADA NA CHAPA COM FITA PLÁSTICA, INCLUSO FABRICAÇÃO. AF_03/2024</v>
          </cell>
          <cell r="D3032" t="str">
            <v>M2</v>
          </cell>
          <cell r="E3032">
            <v>0</v>
          </cell>
        </row>
        <row r="3033">
          <cell r="B3033">
            <v>98337</v>
          </cell>
          <cell r="C3033" t="str">
            <v>INSTALAÇÃO DE DUTO RETANGULAR PARA AR CONDICIONADO (TRECHO RETO) EM CHAPA GALVANIZADA BITOLA 22 - SEM ISOLAMENTO, INCLUSO FABRICAÇÃO. AF_03/2024</v>
          </cell>
          <cell r="D3033" t="str">
            <v>M2</v>
          </cell>
          <cell r="E3033">
            <v>0</v>
          </cell>
        </row>
        <row r="3034">
          <cell r="B3034">
            <v>98345</v>
          </cell>
          <cell r="C3034" t="str">
            <v>INSTALAÇÃO DE DUTO RETANGULAR PARA AR CONDICIONADO (TRECHO RETO) EM CHAPA GALVANIZADA BITOLA 24 - COM ISOLAMENTO DE MANTA COLADA NA CHAPA, INCLUSO FABRICAÇÃO. AF_03/2024</v>
          </cell>
          <cell r="D3034" t="str">
            <v>M2</v>
          </cell>
          <cell r="E3034">
            <v>0</v>
          </cell>
        </row>
        <row r="3035">
          <cell r="B3035">
            <v>98362</v>
          </cell>
          <cell r="C3035" t="str">
            <v>INSTALAÇÃO DE DUTO RETANGULAR PARA AR CONDICIONADO (TRECHO RETO) EM CHAPA GALVANIZADA BITOLA 24 - COM ISOLAMENTO DE MANTA FIXADA NA CHAPA COM CLAVO, INCLUSO FABRICAÇÃO. AF_03/2024</v>
          </cell>
          <cell r="D3035" t="str">
            <v>M2</v>
          </cell>
          <cell r="E3035">
            <v>0</v>
          </cell>
        </row>
        <row r="3036">
          <cell r="B3036">
            <v>98403</v>
          </cell>
          <cell r="C3036" t="str">
            <v>INSTALAÇÃO DE DUTO RETANGULAR PARA AR CONDICIONADO (TRECHO RETO) EM CHAPA GALVANIZADA BITOLA 24 - COM ISOLAMENTO DE MANTA FIXADA NA CHAPA COM FITA PLÁSTICA, INCLUSO FABRICAÇÃO. AF_03/2024</v>
          </cell>
          <cell r="D3036" t="str">
            <v>M2</v>
          </cell>
          <cell r="E3036">
            <v>0</v>
          </cell>
        </row>
        <row r="3037">
          <cell r="B3037">
            <v>98335</v>
          </cell>
          <cell r="C3037" t="str">
            <v>INSTALAÇÃO DE DUTO RETANGULAR PARA AR CONDICIONADO (TRECHO RETO) EM CHAPA GALVANIZADA BITOLA 24 - SEM ISOLAMENTO, INCLUSO FABRICAÇÃO. AF_03/2024</v>
          </cell>
          <cell r="D3037" t="str">
            <v>M2</v>
          </cell>
          <cell r="E3037">
            <v>0</v>
          </cell>
        </row>
        <row r="3038">
          <cell r="B3038">
            <v>98344</v>
          </cell>
          <cell r="C3038" t="str">
            <v>INSTALAÇÃO DE DUTO RETANGULAR PARA AR CONDICIONADO (TRECHO RETO) EM CHAPA GALVANIZADA BITOLA 26 - COM ISOLAMENTO DE MANTA COLADA NA CHAPA, INCLUSO FABRICAÇÃO. AF_03/2024</v>
          </cell>
          <cell r="D3038" t="str">
            <v>M2</v>
          </cell>
          <cell r="E3038">
            <v>0</v>
          </cell>
        </row>
        <row r="3039">
          <cell r="B3039">
            <v>98361</v>
          </cell>
          <cell r="C3039" t="str">
            <v>INSTALAÇÃO DE DUTO RETANGULAR PARA AR CONDICIONADO (TRECHO RETO) EM CHAPA GALVANIZADA BITOLA 26 - COM ISOLAMENTO DE MANTA FIXADA NA CHAPA COM CLAVO, INCLUSO FABRICAÇÃO. AF_03/2024</v>
          </cell>
          <cell r="D3039" t="str">
            <v>M2</v>
          </cell>
          <cell r="E3039">
            <v>0</v>
          </cell>
        </row>
        <row r="3040">
          <cell r="B3040">
            <v>98353</v>
          </cell>
          <cell r="C3040" t="str">
            <v>INSTALAÇÃO DE DUTO RETANGULAR PARA AR CONDICIONADO (TRECHO RETO) EM CHAPA GALVANIZADA BITOLA 26 - COM ISOLAMENTO DE MANTA FIXADA NA CHAPA COM FITA PLÁSTICA, INCLUSO FABRICAÇÃO. AF_03/2024</v>
          </cell>
          <cell r="D3040" t="str">
            <v>M2</v>
          </cell>
          <cell r="E3040">
            <v>0</v>
          </cell>
        </row>
        <row r="3041">
          <cell r="B3041">
            <v>98334</v>
          </cell>
          <cell r="C3041" t="str">
            <v>INSTALAÇÃO DE DUTO RETANGULAR PARA AR CONDICIONADO (TRECHO RETO) EM CHAPA GALVANIZADA BITOLA 26 - SEM ISOLAMENTO, INCLUSO FABRICAÇÃO. AF_03/2024</v>
          </cell>
          <cell r="D3041" t="str">
            <v>M2</v>
          </cell>
          <cell r="E3041">
            <v>0</v>
          </cell>
        </row>
        <row r="3042">
          <cell r="B3042">
            <v>98371</v>
          </cell>
          <cell r="C3042" t="str">
            <v>INSTALAÇÃO DE DUTO RETANGULAR PARA AR CONDICIONADO EM PAINEL PRÉ-ISOLADO, INCLUSO FABRICAÇÃO. AF_03/2024</v>
          </cell>
          <cell r="D3042" t="str">
            <v>M2</v>
          </cell>
          <cell r="E3042">
            <v>0</v>
          </cell>
        </row>
        <row r="3043">
          <cell r="B3043">
            <v>98397</v>
          </cell>
          <cell r="C3043" t="str">
            <v>PINTURA ANTICORROSIVA DE DUTO METÁLICO. AF_03/2024</v>
          </cell>
          <cell r="D3043" t="str">
            <v>M2</v>
          </cell>
          <cell r="E3043">
            <v>15.77</v>
          </cell>
          <cell r="F3043">
            <v>0</v>
          </cell>
        </row>
        <row r="3044">
          <cell r="B3044">
            <v>97280</v>
          </cell>
          <cell r="C3044" t="str">
            <v>COTOVELO HORIZONTAL 90º PARA ELETROCALHA, LISA OU PERFURADA EM AÇO GALVANIZADO, LARGURA DE 100MM E ALTURA DE 50MM - FORNECIMENTO E INSTALAÇÃO. AF_04/2023</v>
          </cell>
          <cell r="D3044" t="str">
            <v>UN</v>
          </cell>
          <cell r="E3044">
            <v>113.87</v>
          </cell>
          <cell r="F3044">
            <v>0</v>
          </cell>
        </row>
        <row r="3045">
          <cell r="B3045">
            <v>97275</v>
          </cell>
          <cell r="C3045" t="str">
            <v>COTOVELO HORIZONTAL 90º PARA ELETROCALHA, LISA OU PERFURADA EM AÇO GALVANIZADO, LARGURA DE 50MM E ALTURA DE 50MM - FORNECIMENTO E INSTALAÇÃO. AF_04/2023</v>
          </cell>
          <cell r="D3045" t="str">
            <v>UN</v>
          </cell>
          <cell r="E3045">
            <v>101.05</v>
          </cell>
          <cell r="F3045">
            <v>0</v>
          </cell>
        </row>
        <row r="3046">
          <cell r="B3046">
            <v>97279</v>
          </cell>
          <cell r="C3046" t="str">
            <v>COTOVELO HORIZONTAL 90º PARA ELETROCALHA, LISA OU PERFURADA EM AÇO GALVANIZADO, LARGURA DE 75MM E ALTURA DE 50MM - FORNECIMENTO E INSTALAÇÃO. AF_04/2023</v>
          </cell>
          <cell r="D3046" t="str">
            <v>UN</v>
          </cell>
          <cell r="E3046">
            <v>106.71</v>
          </cell>
          <cell r="F3046">
            <v>0</v>
          </cell>
        </row>
        <row r="3047">
          <cell r="B3047">
            <v>97285</v>
          </cell>
          <cell r="C3047" t="str">
            <v>COTOVELO HORIZONTAL 90º, PARA ELETROCALHA, LISA OU PERFURADA EM AÇO GALVANIZADO, LARGURA DE 125MM E ALTURA DE 50MM - FORNECIMENTO E INSTALAÇÃO. AF_04/2023</v>
          </cell>
          <cell r="D3047" t="str">
            <v>UN</v>
          </cell>
          <cell r="E3047">
            <v>118.74</v>
          </cell>
          <cell r="F3047">
            <v>0</v>
          </cell>
        </row>
        <row r="3048">
          <cell r="B3048">
            <v>97286</v>
          </cell>
          <cell r="C3048" t="str">
            <v>COTOVELO HORIZONTAL 90º, PARA ELETROCALHA, LISA OU PERFURADA EM AÇO GALVANIZADO, LARGURA DE 150MM E ALTURA DE 50MM - FORNECIMENTO E INSTALAÇÃO. AF_04/2023</v>
          </cell>
          <cell r="D3048" t="str">
            <v>UN</v>
          </cell>
          <cell r="E3048">
            <v>124.78</v>
          </cell>
          <cell r="F3048">
            <v>0</v>
          </cell>
        </row>
        <row r="3049">
          <cell r="B3049">
            <v>97291</v>
          </cell>
          <cell r="C3049" t="str">
            <v>COTOVELO HORIZONTAL 90º, PARA ELETROCALHA, LISA OU PERFURADA EM AÇO GALVANIZADO, LARGURA DE 200MM E ALTURA DE 50MM - FORNECIMENTO E INSTALAÇÃO. AF_04/2023</v>
          </cell>
          <cell r="D3049" t="str">
            <v>UN</v>
          </cell>
          <cell r="E3049">
            <v>139.61000000000001</v>
          </cell>
          <cell r="F3049">
            <v>0</v>
          </cell>
        </row>
        <row r="3050">
          <cell r="B3050">
            <v>97292</v>
          </cell>
          <cell r="C3050" t="str">
            <v>COTOVELO HORIZONTAL 90º, PARA ELETROCALHA, LISA OU PERFURADA EM AÇO GALVANIZADO, LARGURA DE 250MM E ALTURA DE 50MM - FORNECIMENTO E INSTALAÇÃO. AF_04/2023</v>
          </cell>
          <cell r="D3050" t="str">
            <v>UN</v>
          </cell>
          <cell r="E3050">
            <v>153.66</v>
          </cell>
          <cell r="F3050">
            <v>0</v>
          </cell>
        </row>
        <row r="3051">
          <cell r="B3051">
            <v>97297</v>
          </cell>
          <cell r="C3051" t="str">
            <v>COTOVELO HORIZONTAL 90º, PARA ELETROCALHA, LISA OU PERFURADA EM AÇO GALVANIZADO, LARGURA DE 300MM E ALTURA DE 50MM - FORNECIMENTO E INSTALAÇÃO. AF_04/2023</v>
          </cell>
          <cell r="D3051" t="str">
            <v>UN</v>
          </cell>
          <cell r="E3051">
            <v>178.42</v>
          </cell>
          <cell r="F3051">
            <v>0</v>
          </cell>
        </row>
        <row r="3052">
          <cell r="B3052">
            <v>97298</v>
          </cell>
          <cell r="C3052" t="str">
            <v>COTOVELO HORIZONTAL 90º, PARA ELETROCALHA, LISA OU PERFURADA EM AÇO GALVANIZADO, LARGURA DE 400MM E ALTURA DE 50MM - FORNECIMENTO E INSTALAÇÃO. AF_04/2023</v>
          </cell>
          <cell r="D3052" t="str">
            <v>UN</v>
          </cell>
          <cell r="E3052">
            <v>215.29</v>
          </cell>
          <cell r="F3052">
            <v>0</v>
          </cell>
        </row>
        <row r="3053">
          <cell r="B3053">
            <v>97303</v>
          </cell>
          <cell r="C3053" t="str">
            <v>COTOVELO HORIZONTAL 90º, PARA ELETROCALHA, LISA OU PERFURADA EM AÇO GALVANIZADO, LARGURA DE 500MM E ALTURA DE 50MM - FORNECIMENTO E INSTALAÇÃO. AF_04/2023</v>
          </cell>
          <cell r="D3053" t="str">
            <v>UN</v>
          </cell>
          <cell r="E3053">
            <v>263.89</v>
          </cell>
          <cell r="F3053">
            <v>0</v>
          </cell>
        </row>
        <row r="3054">
          <cell r="B3054">
            <v>97304</v>
          </cell>
          <cell r="C3054" t="str">
            <v>COTOVELO HORIZONTAL 90º, PARA ELETROCALHA, LISA OU PERFURADA EM AÇO GALVANIZADO, LARGURA DE 600MM E ALTURA DE 50MM - FORNECIMENTO E INSTALAÇÃO. AF_04/2023</v>
          </cell>
          <cell r="D3054" t="str">
            <v>UN</v>
          </cell>
          <cell r="E3054">
            <v>320.11</v>
          </cell>
          <cell r="F3054">
            <v>0</v>
          </cell>
        </row>
        <row r="3055">
          <cell r="B3055">
            <v>97309</v>
          </cell>
          <cell r="C3055" t="str">
            <v>COTOVELO HORIZONTAL 90º, PARA ELETROCALHA, LISA OU PERFURADA EM AÇO GALVANIZADO, LARGURA DE 700MM E ALTURA DE 50MM - FORNECIMENTO E INSTALAÇÃO. AF_04/2023</v>
          </cell>
          <cell r="D3055" t="str">
            <v>UN</v>
          </cell>
          <cell r="E3055">
            <v>445.88</v>
          </cell>
          <cell r="F3055">
            <v>0</v>
          </cell>
        </row>
        <row r="3056">
          <cell r="B3056">
            <v>97310</v>
          </cell>
          <cell r="C3056" t="str">
            <v>COTOVELO HORIZONTAL 90º, PARA ELETROCALHA, LISA OU PERFURADA EM AÇO GALVANIZADO, LARGURA DE 800MM E ALTURA DE 50MM - FORNECIMENTO E INSTALAÇÃO. AF_04/2023</v>
          </cell>
          <cell r="D3056" t="str">
            <v>UN</v>
          </cell>
          <cell r="E3056">
            <v>522.13</v>
          </cell>
          <cell r="F3056">
            <v>0</v>
          </cell>
        </row>
        <row r="3057">
          <cell r="B3057">
            <v>97282</v>
          </cell>
          <cell r="C3057" t="str">
            <v>COTOVELO RETO 90º PARA ELETROCALHA, LISA OU PERFURADA EM AÇO GALVANIZADO, LARGURA DE 100MM E ALTURA DE 50MM - FORNECIMENTO E INSTALAÇÃO. AF_04/2023</v>
          </cell>
          <cell r="D3057" t="str">
            <v>UN</v>
          </cell>
          <cell r="E3057">
            <v>113.87</v>
          </cell>
          <cell r="F3057">
            <v>0</v>
          </cell>
        </row>
        <row r="3058">
          <cell r="B3058">
            <v>97276</v>
          </cell>
          <cell r="C3058" t="str">
            <v>COTOVELO RETO 90º PARA ELETROCALHA, LISA OU PERFURADA EM AÇO GALVANIZADO, LARGURA DE 50MM E ALTURA DE 50MM - FORNECIMENTO E INSTALAÇÃO. AF_04/2023</v>
          </cell>
          <cell r="D3058" t="str">
            <v>UN</v>
          </cell>
          <cell r="E3058">
            <v>102.16</v>
          </cell>
          <cell r="F3058">
            <v>0</v>
          </cell>
        </row>
        <row r="3059">
          <cell r="B3059">
            <v>97281</v>
          </cell>
          <cell r="C3059" t="str">
            <v>COTOVELO RETO 90º PARA ELETROCALHA, LISA OU PERFURADA EM AÇO GALVANIZADO, LARGURA DE 75MM E ALTURA DE 50MM - FORNECIMENTO E INSTALAÇÃO. AF_04/2023</v>
          </cell>
          <cell r="D3059" t="str">
            <v>UN</v>
          </cell>
          <cell r="E3059">
            <v>107.17</v>
          </cell>
          <cell r="F3059">
            <v>0</v>
          </cell>
        </row>
        <row r="3060">
          <cell r="B3060">
            <v>97287</v>
          </cell>
          <cell r="C3060" t="str">
            <v>COTOVELO RETO 90º, PARA ELETROCALHA, LISA OU PERFURADA EM AÇO GALVANIZADO, LARGURA DE 125MM E ALTURA DE 50MM - FORNECIMENTO E INSTALAÇÃO. AF_04/2023</v>
          </cell>
          <cell r="D3060" t="str">
            <v>UN</v>
          </cell>
          <cell r="E3060">
            <v>119.24</v>
          </cell>
          <cell r="F3060">
            <v>0</v>
          </cell>
        </row>
        <row r="3061">
          <cell r="B3061">
            <v>97288</v>
          </cell>
          <cell r="C3061" t="str">
            <v>COTOVELO RETO 90º, PARA ELETROCALHA, LISA OU PERFURADA EM AÇO GALVANIZADO, LARGURA DE 150MM E ALTURA DE 50MM - FORNECIMENTO E INSTALAÇÃO. AF_04/2023</v>
          </cell>
          <cell r="D3061" t="str">
            <v>UN</v>
          </cell>
          <cell r="E3061">
            <v>128.19999999999999</v>
          </cell>
          <cell r="F3061">
            <v>0</v>
          </cell>
        </row>
        <row r="3062">
          <cell r="B3062">
            <v>97293</v>
          </cell>
          <cell r="C3062" t="str">
            <v>COTOVELO RETO 90º, PARA ELETROCALHA, LISA OU PERFURADA EM AÇO GALVANIZADO, LARGURA DE 200MM E ALTURA DE 50MM - FORNECIMENTO E INSTALAÇÃO. AF_04/2023</v>
          </cell>
          <cell r="D3062" t="str">
            <v>UN</v>
          </cell>
          <cell r="E3062">
            <v>139.61000000000001</v>
          </cell>
          <cell r="F3062">
            <v>0</v>
          </cell>
        </row>
        <row r="3063">
          <cell r="B3063">
            <v>97294</v>
          </cell>
          <cell r="C3063" t="str">
            <v>COTOVELO RETO 90º, PARA ELETROCALHA, LISA OU PERFURADA EM AÇO GALVANIZADO, LARGURA DE 250MM E ALTURA DE 50MM - FORNECIMENTO E INSTALAÇÃO. AF_04/2023</v>
          </cell>
          <cell r="D3063" t="str">
            <v>UN</v>
          </cell>
          <cell r="E3063">
            <v>153.66</v>
          </cell>
          <cell r="F3063">
            <v>0</v>
          </cell>
        </row>
        <row r="3064">
          <cell r="B3064">
            <v>97299</v>
          </cell>
          <cell r="C3064" t="str">
            <v>COTOVELO RETO 90º, PARA ELETROCALHA, LISA OU PERFURADA EM AÇO GALVANIZADO, LARGURA DE 300MM E ALTURA DE 50MM - FORNECIMENTO E INSTALAÇÃO. AF_04/2023</v>
          </cell>
          <cell r="D3064" t="str">
            <v>UN</v>
          </cell>
          <cell r="E3064">
            <v>178.42</v>
          </cell>
          <cell r="F3064">
            <v>0</v>
          </cell>
        </row>
        <row r="3065">
          <cell r="B3065">
            <v>97300</v>
          </cell>
          <cell r="C3065" t="str">
            <v>COTOVELO RETO 90º, PARA ELETROCALHA, LISA OU PERFURADA EM AÇO GALVANIZADO, LARGURA DE 400MM E ALTURA DE 50MM - FORNECIMENTO E INSTALAÇÃO. AF_04/2023</v>
          </cell>
          <cell r="D3065" t="str">
            <v>UN</v>
          </cell>
          <cell r="E3065">
            <v>215.29</v>
          </cell>
          <cell r="F3065">
            <v>0</v>
          </cell>
        </row>
        <row r="3066">
          <cell r="B3066">
            <v>97305</v>
          </cell>
          <cell r="C3066" t="str">
            <v>COTOVELO RETO 90º, PARA ELETROCALHA, LISA OU PERFURADA EM AÇO GALVANIZADO, LARGURA DE 500MM E ALTURA DE 50MM - FORNECIMENTO E INSTALAÇÃO. AF_04/2023</v>
          </cell>
          <cell r="D3066" t="str">
            <v>UN</v>
          </cell>
          <cell r="E3066">
            <v>257.39</v>
          </cell>
          <cell r="F3066">
            <v>0</v>
          </cell>
        </row>
        <row r="3067">
          <cell r="B3067">
            <v>97306</v>
          </cell>
          <cell r="C3067" t="str">
            <v>COTOVELO RETO 90º, PARA ELETROCALHA, LISA OU PERFURADA EM AÇO GALVANIZADO, LARGURA DE 600MM E ALTURA DE 50MM - FORNECIMENTO E INSTALAÇÃO. AF_04/2023</v>
          </cell>
          <cell r="D3067" t="str">
            <v>UN</v>
          </cell>
          <cell r="E3067">
            <v>334.18</v>
          </cell>
          <cell r="F3067">
            <v>0</v>
          </cell>
        </row>
        <row r="3068">
          <cell r="B3068">
            <v>97311</v>
          </cell>
          <cell r="C3068" t="str">
            <v>COTOVELO RETO 90º, PARA ELETROCALHA, LISA OU PERFURADA EM AÇO GALVANIZADO, LARGURA DE 700MM E ALTURA DE 50MM - FORNECIMENTO E INSTALAÇÃO. AF_04/2023</v>
          </cell>
          <cell r="D3068" t="str">
            <v>UN</v>
          </cell>
          <cell r="E3068">
            <v>403</v>
          </cell>
          <cell r="F3068">
            <v>0</v>
          </cell>
        </row>
        <row r="3069">
          <cell r="B3069">
            <v>97312</v>
          </cell>
          <cell r="C3069" t="str">
            <v>COTOVELO RETO 90º, PARA ELETROCALHA, LISA OU PERFURADA EM AÇO GALVANIZADO, LARGURA DE 800MM E ALTURA DE 50MM - FORNECIMENTO E INSTALAÇÃO. AF_04/2023</v>
          </cell>
          <cell r="D3069" t="str">
            <v>UN</v>
          </cell>
          <cell r="E3069">
            <v>522.13</v>
          </cell>
          <cell r="F3069">
            <v>0</v>
          </cell>
        </row>
        <row r="3070">
          <cell r="B3070">
            <v>97278</v>
          </cell>
          <cell r="C3070" t="str">
            <v>CURVA HORIZONTAL 90º PARA ELETROCALHA, LISA OU PERFURADA EM AÇO GALVANIZADO, LARGURA DE 100MM E ALTURA DE 50MM - FORNECIMENTO E INSTALAÇÃO. AF_04/2023</v>
          </cell>
          <cell r="D3070" t="str">
            <v>UN</v>
          </cell>
          <cell r="E3070">
            <v>118.06</v>
          </cell>
          <cell r="F3070">
            <v>0</v>
          </cell>
        </row>
        <row r="3071">
          <cell r="B3071">
            <v>97274</v>
          </cell>
          <cell r="C3071" t="str">
            <v>CURVA HORIZONTAL 90º PARA ELETROCALHA, LISA OU PERFURADA EM AÇO GALVANIZADO, LARGURA DE 50MM E ALTURA DE 50MM - FORNECIMENTO E INSTALAÇÃO. AF_04/2023</v>
          </cell>
          <cell r="D3071" t="str">
            <v>UN</v>
          </cell>
          <cell r="E3071">
            <v>104.64</v>
          </cell>
          <cell r="F3071">
            <v>0</v>
          </cell>
        </row>
        <row r="3072">
          <cell r="B3072">
            <v>97283</v>
          </cell>
          <cell r="C3072" t="str">
            <v>CURVA HORIZONTAL 90º, PARA ELETROCALHA, LISA OU PERFURADA EM AÇO GALVANIZADO, LARGURA DE 125MM E ALTURA DE 50MM - FORNECIMENTO E INSTALAÇÃO. AF_04/2023</v>
          </cell>
          <cell r="D3072" t="str">
            <v>UN</v>
          </cell>
          <cell r="E3072">
            <v>121.55</v>
          </cell>
          <cell r="F3072">
            <v>0</v>
          </cell>
        </row>
        <row r="3073">
          <cell r="B3073">
            <v>97284</v>
          </cell>
          <cell r="C3073" t="str">
            <v>CURVA HORIZONTAL 90º, PARA ELETROCALHA, LISA OU PERFURADA EM AÇO GALVANIZADO, LARGURA DE 150MM E ALTURA DE 50MM - FORNECIMENTO E INSTALAÇÃO. AF_04/2023</v>
          </cell>
          <cell r="D3073" t="str">
            <v>UN</v>
          </cell>
          <cell r="E3073">
            <v>136.16999999999999</v>
          </cell>
          <cell r="F3073">
            <v>0</v>
          </cell>
        </row>
        <row r="3074">
          <cell r="B3074">
            <v>97289</v>
          </cell>
          <cell r="C3074" t="str">
            <v>CURVA HORIZONTAL 90º, PARA ELETROCALHA, LISA OU PERFURADA EM AÇO GALVANIZADO, LARGURA DE 200MM E ALTURA DE 50MM - FORNECIMENTO E INSTALAÇÃO. AF_04/2023</v>
          </cell>
          <cell r="D3074" t="str">
            <v>UN</v>
          </cell>
          <cell r="E3074">
            <v>153.4</v>
          </cell>
          <cell r="F3074">
            <v>0</v>
          </cell>
        </row>
        <row r="3075">
          <cell r="B3075">
            <v>97290</v>
          </cell>
          <cell r="C3075" t="str">
            <v>CURVA HORIZONTAL 90º, PARA ELETROCALHA, LISA OU PERFURADA EM AÇO GALVANIZADO, LARGURA DE 250MM E ALTURA DE 50MM - FORNECIMENTO E INSTALAÇÃO. AF_04/2023</v>
          </cell>
          <cell r="D3075" t="str">
            <v>UN</v>
          </cell>
          <cell r="E3075">
            <v>158.79</v>
          </cell>
          <cell r="F3075">
            <v>0</v>
          </cell>
        </row>
        <row r="3076">
          <cell r="B3076">
            <v>97295</v>
          </cell>
          <cell r="C3076" t="str">
            <v>CURVA HORIZONTAL 90º, PARA ELETROCALHA, LISA OU PERFURADA EM AÇO GALVANIZADO, LARGURA DE 300MM E ALTURA DE 50MM - FORNECIMENTO E INSTALAÇÃO. AF_04/2023</v>
          </cell>
          <cell r="D3076" t="str">
            <v>UN</v>
          </cell>
          <cell r="E3076">
            <v>192.96</v>
          </cell>
          <cell r="F3076">
            <v>0</v>
          </cell>
        </row>
        <row r="3077">
          <cell r="B3077">
            <v>97296</v>
          </cell>
          <cell r="C3077" t="str">
            <v>CURVA HORIZONTAL 90º, PARA ELETROCALHA, LISA OU PERFURADA EM AÇO GALVANIZADO, LARGURA DE 400MM E ALTURA DE 50MM - FORNECIMENTO E INSTALAÇÃO. AF_04/2023</v>
          </cell>
          <cell r="D3077" t="str">
            <v>UN</v>
          </cell>
          <cell r="E3077">
            <v>233.52</v>
          </cell>
          <cell r="F3077">
            <v>0</v>
          </cell>
        </row>
        <row r="3078">
          <cell r="B3078">
            <v>97301</v>
          </cell>
          <cell r="C3078" t="str">
            <v>CURVA HORIZONTAL 90º, PARA ELETROCALHA, LISA OU PERFURADA EM AÇO GALVANIZADO, LARGURA DE 500MM E ALTURA DE 50MM - FORNECIMENTO E INSTALAÇÃO. AF_04/2023</v>
          </cell>
          <cell r="D3078" t="str">
            <v>UN</v>
          </cell>
          <cell r="E3078">
            <v>296.73</v>
          </cell>
          <cell r="F3078">
            <v>0</v>
          </cell>
        </row>
        <row r="3079">
          <cell r="B3079">
            <v>97302</v>
          </cell>
          <cell r="C3079" t="str">
            <v>CURVA HORIZONTAL 90º, PARA ELETROCALHA, LISA OU PERFURADA EM AÇO GALVANIZADO, LARGURA DE 600MM E ALTURA DE 50MM - FORNECIMENTO E INSTALAÇÃO. AF_04/2023</v>
          </cell>
          <cell r="D3079" t="str">
            <v>UN</v>
          </cell>
          <cell r="E3079">
            <v>348.16</v>
          </cell>
          <cell r="F3079">
            <v>0</v>
          </cell>
        </row>
        <row r="3080">
          <cell r="B3080">
            <v>97307</v>
          </cell>
          <cell r="C3080" t="str">
            <v>CURVA HORIZONTAL 90º, PARA ELETROCALHA, LISA OU PERFURADA EM AÇO GALVANIZADO, LARGURA DE 700MM E ALTURA DE 50MM - FORNECIMENTO E INSTALAÇÃO. AF_04/2023</v>
          </cell>
          <cell r="D3080" t="str">
            <v>UN</v>
          </cell>
          <cell r="E3080">
            <v>441.59</v>
          </cell>
          <cell r="F3080">
            <v>0</v>
          </cell>
        </row>
        <row r="3081">
          <cell r="B3081">
            <v>97277</v>
          </cell>
          <cell r="C3081" t="str">
            <v>CURVA HORIZONTAL 90º, PARA ELETROCALHA, LISA OU PERFURADA EM AÇO GALVANIZADO, LARGURA DE 75MM E ALTURA DE 50MM - FORNECIMENTO E INSTALAÇÃO. AF_04/2023</v>
          </cell>
          <cell r="D3081" t="str">
            <v>UN</v>
          </cell>
          <cell r="E3081">
            <v>111.13</v>
          </cell>
          <cell r="F3081">
            <v>0</v>
          </cell>
        </row>
        <row r="3082">
          <cell r="B3082">
            <v>97308</v>
          </cell>
          <cell r="C3082" t="str">
            <v>CURVA HORIZONTAL 90º, PARA ELETROCALHA, LISA OU PERFURADA EM AÇO GALVANIZADO, LARGURA DE 800MM E ALTURA DE 50MM - FORNECIMENTO E INSTALAÇÃO. AF_04/2023</v>
          </cell>
          <cell r="D3082" t="str">
            <v>UN</v>
          </cell>
          <cell r="E3082">
            <v>500.87</v>
          </cell>
          <cell r="F3082">
            <v>0</v>
          </cell>
        </row>
        <row r="3083">
          <cell r="B3083">
            <v>97238</v>
          </cell>
          <cell r="C3083" t="str">
            <v>ELETROCALHA LISA OU PERFURADA EM AÇO GALVANIZADO, LARGURA 100MM E ALTURA 50MM, INCLUSIVE EMENDA E FIXAÇÃO - FORNECIMENTO E INSTALAÇÃO. AF_04/2023</v>
          </cell>
          <cell r="D3083" t="str">
            <v>M</v>
          </cell>
          <cell r="E3083">
            <v>120.83</v>
          </cell>
          <cell r="F3083">
            <v>0</v>
          </cell>
        </row>
        <row r="3084">
          <cell r="B3084">
            <v>97239</v>
          </cell>
          <cell r="C3084" t="str">
            <v>ELETROCALHA LISA OU PERFURADA EM AÇO GALVANIZADO, LARGURA 125MM E ALTURA 50MM, INCLUSIVE EMENDA E FIXAÇÃO - FORNECIMENTO E INSTALAÇÃO. AF_04/2023</v>
          </cell>
          <cell r="D3084" t="str">
            <v>M</v>
          </cell>
          <cell r="E3084">
            <v>125.58</v>
          </cell>
          <cell r="F3084">
            <v>0</v>
          </cell>
        </row>
        <row r="3085">
          <cell r="B3085">
            <v>97240</v>
          </cell>
          <cell r="C3085" t="str">
            <v>ELETROCALHA LISA OU PERFURADA EM AÇO GALVANIZADO, LARGURA 150MM E ALTURA 50MM, INCLUSIVE EMENDA E FIXAÇÃO - FORNECIMENTO E INSTALAÇÃO. AF_04/2023</v>
          </cell>
          <cell r="D3085" t="str">
            <v>M</v>
          </cell>
          <cell r="E3085">
            <v>128.97999999999999</v>
          </cell>
          <cell r="F3085">
            <v>0</v>
          </cell>
        </row>
        <row r="3086">
          <cell r="B3086">
            <v>97241</v>
          </cell>
          <cell r="C3086" t="str">
            <v>ELETROCALHA LISA OU PERFURADA EM AÇO GALVANIZADO, LARGURA 200MM E ALTURA 50MM, INCLUSIVE EMENDA E FIXAÇÃO - FORNECIMENTO E INSTALAÇÃO. AF_04/2023</v>
          </cell>
          <cell r="D3086" t="str">
            <v>M</v>
          </cell>
          <cell r="E3086">
            <v>136.71</v>
          </cell>
          <cell r="F3086">
            <v>0</v>
          </cell>
        </row>
        <row r="3087">
          <cell r="B3087">
            <v>97242</v>
          </cell>
          <cell r="C3087" t="str">
            <v>ELETROCALHA LISA OU PERFURADA EM AÇO GALVANIZADO, LARGURA 250MM E ALTURA 50MM, INCLUSIVE EMENDA E FIXAÇÃO - FORNECIMENTO E INSTALAÇÃO. AF_04/2023</v>
          </cell>
          <cell r="D3087" t="str">
            <v>M</v>
          </cell>
          <cell r="E3087">
            <v>145.08000000000001</v>
          </cell>
          <cell r="F3087">
            <v>0</v>
          </cell>
        </row>
        <row r="3088">
          <cell r="B3088">
            <v>97243</v>
          </cell>
          <cell r="C3088" t="str">
            <v>ELETROCALHA LISA OU PERFURADA EM AÇO GALVANIZADO, LARGURA 300MM E ALTURA 50MM, INCLUSIVE EMENDA E FIXAÇÃO - FORNECIMENTO E INSTALAÇÃO. AF_04/2023</v>
          </cell>
          <cell r="D3088" t="str">
            <v>M</v>
          </cell>
          <cell r="E3088">
            <v>170.04</v>
          </cell>
          <cell r="F3088">
            <v>0</v>
          </cell>
        </row>
        <row r="3089">
          <cell r="B3089">
            <v>97244</v>
          </cell>
          <cell r="C3089" t="str">
            <v>ELETROCALHA LISA OU PERFURADA EM AÇO GALVANIZADO, LARGURA 400MM E ALTURA 50MM, INCLUSIVE EMENDA E FIXAÇÃO - FORNECIMENTO E INSTALAÇÃO. AF_04/2023</v>
          </cell>
          <cell r="D3089" t="str">
            <v>M</v>
          </cell>
          <cell r="E3089">
            <v>190.25</v>
          </cell>
          <cell r="F3089">
            <v>0</v>
          </cell>
        </row>
        <row r="3090">
          <cell r="B3090">
            <v>97245</v>
          </cell>
          <cell r="C3090" t="str">
            <v>ELETROCALHA LISA OU PERFURADA EM AÇO GALVANIZADO, LARGURA 500MM E ALTURA 50MM, INCLUSIVE EMENDA E FIXAÇÃO - FORNECIMENTO E INSTALAÇÃO. AF_04/2023</v>
          </cell>
          <cell r="D3090" t="str">
            <v>M</v>
          </cell>
          <cell r="E3090">
            <v>224.2</v>
          </cell>
          <cell r="F3090">
            <v>0</v>
          </cell>
        </row>
        <row r="3091">
          <cell r="B3091">
            <v>97236</v>
          </cell>
          <cell r="C3091" t="str">
            <v>ELETROCALHA LISA OU PERFURADA EM AÇO GALVANIZADO, LARGURA 50MM E ALTURA 50MM, INCLUSIVE EMENDA E FIXAÇÃO - FORNECIMENTO E INSTALAÇÃO. AF_04/2023</v>
          </cell>
          <cell r="D3091" t="str">
            <v>M</v>
          </cell>
          <cell r="E3091">
            <v>112.74</v>
          </cell>
          <cell r="F3091">
            <v>0</v>
          </cell>
        </row>
        <row r="3092">
          <cell r="B3092">
            <v>97246</v>
          </cell>
          <cell r="C3092" t="str">
            <v>ELETROCALHA LISA OU PERFURADA EM AÇO GALVANIZADO, LARGURA 600MM E ALTURA 50MM, INCLUSIVE EMENDA E FIXAÇÃO - FORNECIMENTO E INSTALAÇÃO. AF_04/2023</v>
          </cell>
          <cell r="D3092" t="str">
            <v>M</v>
          </cell>
          <cell r="E3092">
            <v>245.87</v>
          </cell>
          <cell r="F3092">
            <v>0</v>
          </cell>
        </row>
        <row r="3093">
          <cell r="B3093">
            <v>97247</v>
          </cell>
          <cell r="C3093" t="str">
            <v>ELETROCALHA LISA OU PERFURADA EM AÇO GALVANIZADO, LARGURA 700MM E ALTURA 50MM, INCLUSIVE EMENDA E FIXAÇÃO - FORNECIMENTO E INSTALAÇÃO. AF_04/2023</v>
          </cell>
          <cell r="D3093" t="str">
            <v>M</v>
          </cell>
          <cell r="E3093">
            <v>286.97000000000003</v>
          </cell>
          <cell r="F3093">
            <v>0</v>
          </cell>
        </row>
        <row r="3094">
          <cell r="B3094">
            <v>97237</v>
          </cell>
          <cell r="C3094" t="str">
            <v>ELETROCALHA LISA OU PERFURADA EM AÇO GALVANIZADO, LARGURA 75MM E ALTURA 50MM, INCLUSIVE EMENDA E FIXAÇÃO - FORNECIMENTO E INSTALAÇÃO. AF_04/2023</v>
          </cell>
          <cell r="D3094" t="str">
            <v>M</v>
          </cell>
          <cell r="E3094">
            <v>116.74</v>
          </cell>
          <cell r="F3094">
            <v>0</v>
          </cell>
        </row>
        <row r="3095">
          <cell r="B3095">
            <v>97248</v>
          </cell>
          <cell r="C3095" t="str">
            <v>ELETROCALHA LISA OU PERFURADA EM AÇO GALVANIZADO, LARGURA 800MM E ALTURA 50MM, INCLUSIVE EMENDA E FIXAÇÃO - FORNECIMENTO E INSTALAÇÃO. AF_04/2023</v>
          </cell>
          <cell r="D3095" t="str">
            <v>M</v>
          </cell>
          <cell r="E3095">
            <v>318.2</v>
          </cell>
          <cell r="F3095">
            <v>0</v>
          </cell>
        </row>
        <row r="3096">
          <cell r="B3096">
            <v>97251</v>
          </cell>
          <cell r="C3096" t="str">
            <v>EMENDA PARA ELETROCALHA, LISA OU PERFURADA EM AÇO GALVANIZADO, LARGURA 100MM E ALTURA 50MM - FORNECIMENTO E INSTALAÇÃO. AF_04/2023</v>
          </cell>
          <cell r="D3096" t="str">
            <v>UN</v>
          </cell>
          <cell r="E3096">
            <v>95.11</v>
          </cell>
          <cell r="F3096">
            <v>0</v>
          </cell>
        </row>
        <row r="3097">
          <cell r="B3097">
            <v>97254</v>
          </cell>
          <cell r="C3097" t="str">
            <v>EMENDA PARA ELETROCALHA, LISA OU PERFURADA EM AÇO GALVANIZADO, LARGURA 125MM E ALTURA 50MM - FORNECIMENTO E INSTALAÇÃO. AF_04/2023</v>
          </cell>
          <cell r="D3097" t="str">
            <v>UN</v>
          </cell>
          <cell r="E3097">
            <v>98.59</v>
          </cell>
          <cell r="F3097">
            <v>0</v>
          </cell>
        </row>
        <row r="3098">
          <cell r="B3098">
            <v>97255</v>
          </cell>
          <cell r="C3098" t="str">
            <v>EMENDA PARA ELETROCALHA, LISA OU PERFURADA EM AÇO GALVANIZADO, LARGURA 150MM E ALTURA 50MM - FORNECIMENTO E INSTALAÇÃO. AF_04/2023</v>
          </cell>
          <cell r="D3098" t="str">
            <v>UN</v>
          </cell>
          <cell r="E3098">
            <v>101.26</v>
          </cell>
          <cell r="F3098">
            <v>0</v>
          </cell>
        </row>
        <row r="3099">
          <cell r="B3099">
            <v>97249</v>
          </cell>
          <cell r="C3099" t="str">
            <v>EMENDA PARA ELETROCALHA, LISA OU PERFURADA EM AÇO GALVANIZADO, LARGURA 50MM E ALTURA 50MM - FORNECIMENTO E INSTALAÇÃO. AF_04/2023</v>
          </cell>
          <cell r="D3099" t="str">
            <v>UN</v>
          </cell>
          <cell r="E3099">
            <v>89.44</v>
          </cell>
          <cell r="F3099">
            <v>0</v>
          </cell>
        </row>
        <row r="3100">
          <cell r="B3100">
            <v>97250</v>
          </cell>
          <cell r="C3100" t="str">
            <v>EMENDA PARA ELETROCALHA, LISA OU PERFURADA EM AÇO GALVANIZADO, LARGURA 75MM E ALTURA 50MM - FORNECIMENTO E INSTALAÇÃO. AF_04/2023</v>
          </cell>
          <cell r="D3100" t="str">
            <v>UN</v>
          </cell>
          <cell r="E3100">
            <v>92.32</v>
          </cell>
          <cell r="F3100">
            <v>0</v>
          </cell>
        </row>
        <row r="3101">
          <cell r="B3101">
            <v>97258</v>
          </cell>
          <cell r="C3101" t="str">
            <v>EMENDA PARA ELETROCALHA, LISA OU PERFURADA EM AÇO GALVANIZADO, LARGURA DE 200MM E ALTURA DE 50MM - FORNECIMENTO E INSTALAÇÃO. AF_04/2023</v>
          </cell>
          <cell r="D3101" t="str">
            <v>UN</v>
          </cell>
          <cell r="E3101">
            <v>106.83</v>
          </cell>
          <cell r="F3101">
            <v>0</v>
          </cell>
        </row>
        <row r="3102">
          <cell r="B3102">
            <v>97259</v>
          </cell>
          <cell r="C3102" t="str">
            <v>EMENDA PARA ELETROCALHA, LISA OU PERFURADA EM AÇO GALVANIZADO, LARGURA DE 250MM E ALTURA DE 50MM - FORNECIMENTO E INSTALAÇÃO. AF_04/2023</v>
          </cell>
          <cell r="D3102" t="str">
            <v>UN</v>
          </cell>
          <cell r="E3102">
            <v>113.28</v>
          </cell>
          <cell r="F3102">
            <v>0</v>
          </cell>
        </row>
        <row r="3103">
          <cell r="B3103">
            <v>97262</v>
          </cell>
          <cell r="C3103" t="str">
            <v>EMENDA PARA ELETROCALHA, LISA OU PERFURADA EM AÇO GALVANIZADO, LARGURA DE 300MM E ALTURA DE 50MM - FORNECIMENTO E INSTALAÇÃO. AF_04/2023</v>
          </cell>
          <cell r="D3103" t="str">
            <v>UN</v>
          </cell>
          <cell r="E3103">
            <v>122.47</v>
          </cell>
          <cell r="F3103">
            <v>0</v>
          </cell>
        </row>
        <row r="3104">
          <cell r="B3104">
            <v>97263</v>
          </cell>
          <cell r="C3104" t="str">
            <v>EMENDA PARA ELETROCALHA, LISA OU PERFURADA EM AÇO GALVANIZADO, LARGURA DE 400MM E ALTURA DE 50MM - FORNECIMENTO E INSTALAÇÃO. AF_04/2023</v>
          </cell>
          <cell r="D3104" t="str">
            <v>UN</v>
          </cell>
          <cell r="E3104">
            <v>134.71</v>
          </cell>
          <cell r="F3104">
            <v>0</v>
          </cell>
        </row>
        <row r="3105">
          <cell r="B3105">
            <v>97266</v>
          </cell>
          <cell r="C3105" t="str">
            <v>EMENDA PARA ELETROCALHA, LISA OU PERFURADA EM AÇO GALVANIZADO, LARGURA DE 500MM E ALTURA DE 50MM - FORNECIMENTO E INSTALAÇÃO. AF_04/2023</v>
          </cell>
          <cell r="D3105" t="str">
            <v>UN</v>
          </cell>
          <cell r="E3105">
            <v>150.62</v>
          </cell>
          <cell r="F3105">
            <v>0</v>
          </cell>
        </row>
        <row r="3106">
          <cell r="B3106">
            <v>97267</v>
          </cell>
          <cell r="C3106" t="str">
            <v>EMENDA PARA ELETROCALHA, LISA OU PERFURADA EM AÇO GALVANIZADO, LARGURA DE 600MM E ALTURA DE 50MM - FORNECIMENTO E INSTALAÇÃO. AF_04/2023</v>
          </cell>
          <cell r="D3106" t="str">
            <v>UN</v>
          </cell>
          <cell r="E3106">
            <v>163.81</v>
          </cell>
          <cell r="F3106">
            <v>0</v>
          </cell>
        </row>
        <row r="3107">
          <cell r="B3107">
            <v>97270</v>
          </cell>
          <cell r="C3107" t="str">
            <v>EMENDA PARA ELETROCALHA, LISA OU PERFURADA EM AÇO GALVANIZADO, LARGURA DE 700MM E ALTURA DE 50MM - FORNECIMENTO E INSTALAÇÃO. AF_04/2023</v>
          </cell>
          <cell r="D3107" t="str">
            <v>UN</v>
          </cell>
          <cell r="E3107">
            <v>178.57</v>
          </cell>
          <cell r="F3107">
            <v>0</v>
          </cell>
        </row>
        <row r="3108">
          <cell r="B3108">
            <v>97271</v>
          </cell>
          <cell r="C3108" t="str">
            <v>EMENDA PARA ELETROCALHA, LISA OU PERFURADA EM AÇO GALVANIZADO, LARGURA DE 800MM E ALTURA DE 50MM - FORNECIMENTO E INSTALAÇÃO. AF_04/2023</v>
          </cell>
          <cell r="D3108" t="str">
            <v>UN</v>
          </cell>
          <cell r="E3108">
            <v>191.15</v>
          </cell>
          <cell r="F3108">
            <v>0</v>
          </cell>
        </row>
        <row r="3109">
          <cell r="B3109">
            <v>97252</v>
          </cell>
          <cell r="C3109" t="str">
            <v>REDUÇÃO PARA ELETROCALHA, LISA OU PERFURADA EM AÇO GALVANIZADO, 100X75MM E ALTURA 50MM - FORNECIMENTO E INSTALAÇÃO. AF_04/2023</v>
          </cell>
          <cell r="D3109" t="str">
            <v>UN</v>
          </cell>
          <cell r="E3109">
            <v>100.36</v>
          </cell>
          <cell r="F3109">
            <v>0</v>
          </cell>
        </row>
        <row r="3110">
          <cell r="B3110">
            <v>97257</v>
          </cell>
          <cell r="C3110" t="str">
            <v>REDUÇÃO PARA ELETROCALHA, LISA OU PERFURADA EM AÇO GALVANIZADO, 125X100MM E ALTURA DE 50MM - FORNECIMENTO E INSTALAÇÃO. AF_04/2023</v>
          </cell>
          <cell r="D3110" t="str">
            <v>UN</v>
          </cell>
          <cell r="E3110">
            <v>104.61</v>
          </cell>
          <cell r="F3110">
            <v>0</v>
          </cell>
        </row>
        <row r="3111">
          <cell r="B3111">
            <v>97256</v>
          </cell>
          <cell r="C3111" t="str">
            <v>REDUÇÃO PARA ELETROCALHA, LISA OU PERFURADA EM AÇO GALVANIZADO, 150X125MM E ALTURA DE 50MM - FORNECIMENTO E INSTALAÇÃO. AF_04/2023</v>
          </cell>
          <cell r="D3111" t="str">
            <v>UN</v>
          </cell>
          <cell r="E3111">
            <v>108.57</v>
          </cell>
          <cell r="F3111">
            <v>0</v>
          </cell>
        </row>
        <row r="3112">
          <cell r="B3112">
            <v>97253</v>
          </cell>
          <cell r="C3112" t="str">
            <v>REDUÇÃO PARA ELETROCALHA, LISA OU PERFURADA EM AÇO GALVANIZADO, 75X50MM E ALTURA 50MM - FORNECIMENTO E INSTALAÇÃO. AF_04/2023</v>
          </cell>
          <cell r="D3112" t="str">
            <v>UN</v>
          </cell>
          <cell r="E3112">
            <v>96.58</v>
          </cell>
          <cell r="F3112">
            <v>0</v>
          </cell>
        </row>
        <row r="3113">
          <cell r="B3113">
            <v>97261</v>
          </cell>
          <cell r="C3113" t="str">
            <v>REDUÇÃO PARA ELETROCALHA, LISA OU PERFURADA EM AÇO GALVANIZADO, LARGURA DE 200X150MM E ALTURA DE 50MM - FORNECIMENTO E INSTALAÇÃO. AF_04/2023</v>
          </cell>
          <cell r="D3113" t="str">
            <v>UN</v>
          </cell>
          <cell r="E3113">
            <v>114.81</v>
          </cell>
          <cell r="F3113">
            <v>0</v>
          </cell>
        </row>
        <row r="3114">
          <cell r="B3114">
            <v>97260</v>
          </cell>
          <cell r="C3114" t="str">
            <v>REDUÇÃO PARA ELETROCALHA, LISA OU PERFURADA EM AÇO GALVANIZADO, LARGURA DE 250X200MM E ALTURA DE 50MM - FORNECIMENTO E INSTALAÇÃO. AF_04/2023</v>
          </cell>
          <cell r="D3114" t="str">
            <v>UN</v>
          </cell>
          <cell r="E3114">
            <v>122.32</v>
          </cell>
          <cell r="F3114">
            <v>0</v>
          </cell>
        </row>
        <row r="3115">
          <cell r="B3115">
            <v>97265</v>
          </cell>
          <cell r="C3115" t="str">
            <v>REDUÇÃO PARA ELETROCALHA, LISA OU PERFURADA EM AÇO GALVANIZADO, LARGURA DE 300X250MM E ALTURA DE 50MM - FORNECIMENTO E INSTALAÇÃO. AF_04/2023</v>
          </cell>
          <cell r="D3115" t="str">
            <v>UN</v>
          </cell>
          <cell r="E3115">
            <v>139.36000000000001</v>
          </cell>
          <cell r="F3115">
            <v>0</v>
          </cell>
        </row>
        <row r="3116">
          <cell r="B3116">
            <v>97264</v>
          </cell>
          <cell r="C3116" t="str">
            <v>REDUÇÃO PARA ELETROCALHA, LISA OU PERFURADA EM AÇO GALVANIZADO, LARGURA DE 400X300MM E ALTURA DE 50MM - FORNECIMENTO E INSTALAÇÃO. AF_04/2023</v>
          </cell>
          <cell r="D3116" t="str">
            <v>UN</v>
          </cell>
          <cell r="E3116">
            <v>157.49</v>
          </cell>
          <cell r="F3116">
            <v>0</v>
          </cell>
        </row>
        <row r="3117">
          <cell r="B3117">
            <v>97269</v>
          </cell>
          <cell r="C3117" t="str">
            <v>REDUÇÃO PARA ELETROCALHA, LISA OU PERFURADA EM AÇO GALVANIZADO, LARGURA DE 500X400MM E ALTURA DE 50MM - FORNECIMENTO E INSTALAÇÃO. AF_04/2023</v>
          </cell>
          <cell r="D3117" t="str">
            <v>UN</v>
          </cell>
          <cell r="E3117">
            <v>177.52</v>
          </cell>
          <cell r="F3117">
            <v>0</v>
          </cell>
        </row>
        <row r="3118">
          <cell r="B3118">
            <v>97268</v>
          </cell>
          <cell r="C3118" t="str">
            <v>REDUÇÃO PARA ELETROCALHA, LISA OU PERFURADA EM AÇO GALVANIZADO, LARGURA DE 600X500MM E ALTURA DE 50MM - FORNECIMENTO E INSTALAÇÃO. AF_04/2023</v>
          </cell>
          <cell r="D3118" t="str">
            <v>UN</v>
          </cell>
          <cell r="E3118">
            <v>196.17</v>
          </cell>
          <cell r="F3118">
            <v>0</v>
          </cell>
        </row>
        <row r="3119">
          <cell r="B3119">
            <v>97273</v>
          </cell>
          <cell r="C3119" t="str">
            <v>REDUÇÃO PARA ELETROCALHA, LISA OU PERFURADA EM AÇO GALVANIZADO, LARGURA DE 700X600MM E ALTURA DE 50MM - FORNECIMENTO E INSTALAÇÃO. AF_04/2023</v>
          </cell>
          <cell r="D3119" t="str">
            <v>UN</v>
          </cell>
          <cell r="E3119">
            <v>231.21</v>
          </cell>
          <cell r="F3119">
            <v>0</v>
          </cell>
        </row>
        <row r="3120">
          <cell r="B3120">
            <v>97272</v>
          </cell>
          <cell r="C3120" t="str">
            <v>REDUÇÃO PARA ELETROCALHA, LISA OU PERFURADA EM AÇO GALVANIZADO, LARGURA DE 800X700MM E ALTURA DE 50MM - FORNECIMENTO E INSTALAÇÃO. AF_04/2023</v>
          </cell>
          <cell r="D3120" t="str">
            <v>UN</v>
          </cell>
          <cell r="E3120">
            <v>261.31</v>
          </cell>
          <cell r="F3120">
            <v>0</v>
          </cell>
        </row>
        <row r="3121">
          <cell r="B3121">
            <v>97315</v>
          </cell>
          <cell r="C3121" t="str">
            <v>TÊ HORIZONTAL 90º, PARA ELETROCALHA, LISA OU PERFURADA EM AÇO GALVANIZADO, LARGURA DE 100MM E ALTURA DE 50MM - FORNECIMENTO E INSTALAÇÃO. AF_04/2023</v>
          </cell>
          <cell r="D3121" t="str">
            <v>UN</v>
          </cell>
          <cell r="E3121">
            <v>170.19</v>
          </cell>
          <cell r="F3121">
            <v>0</v>
          </cell>
        </row>
        <row r="3122">
          <cell r="B3122">
            <v>97316</v>
          </cell>
          <cell r="C3122" t="str">
            <v>TÊ HORIZONTAL 90º, PARA ELETROCALHA, LISA OU PERFURADA EM AÇO GALVANIZADO, LARGURA DE 125MM E ALTURA DE 50MM - FORNECIMENTO E INSTALAÇÃO. AF_04/2023</v>
          </cell>
          <cell r="D3122" t="str">
            <v>UN</v>
          </cell>
          <cell r="E3122">
            <v>176.94</v>
          </cell>
          <cell r="F3122">
            <v>0</v>
          </cell>
        </row>
        <row r="3123">
          <cell r="B3123">
            <v>97317</v>
          </cell>
          <cell r="C3123" t="str">
            <v>TÊ HORIZONTAL 90º, PARA ELETROCALHA, LISA OU PERFURADA EM AÇO GALVANIZADO, LARGURA DE 150MM E ALTURA DE 50MM - FORNECIMENTO E INSTALAÇÃO. AF_04/2023</v>
          </cell>
          <cell r="D3123" t="str">
            <v>UN</v>
          </cell>
          <cell r="E3123">
            <v>187.01</v>
          </cell>
          <cell r="F3123">
            <v>0</v>
          </cell>
        </row>
        <row r="3124">
          <cell r="B3124">
            <v>97318</v>
          </cell>
          <cell r="C3124" t="str">
            <v>TÊ HORIZONTAL 90º, PARA ELETROCALHA, LISA OU PERFURADA EM AÇO GALVANIZADO, LARGURA DE 200MM E ALTURA DE 50MM - FORNECIMENTO E INSTALAÇÃO. AF_04/2023</v>
          </cell>
          <cell r="D3124" t="str">
            <v>UN</v>
          </cell>
          <cell r="E3124">
            <v>204.12</v>
          </cell>
          <cell r="F3124">
            <v>0</v>
          </cell>
        </row>
        <row r="3125">
          <cell r="B3125">
            <v>97319</v>
          </cell>
          <cell r="C3125" t="str">
            <v>TÊ HORIZONTAL 90º, PARA ELETROCALHA, LISA OU PERFURADA EM AÇO GALVANIZADO, LARGURA DE 250MM E ALTURA DE 50MM - FORNECIMENTO E INSTALAÇÃO. AF_04/2023</v>
          </cell>
          <cell r="D3125" t="str">
            <v>UN</v>
          </cell>
          <cell r="E3125">
            <v>219.5</v>
          </cell>
          <cell r="F3125">
            <v>0</v>
          </cell>
        </row>
        <row r="3126">
          <cell r="B3126">
            <v>97320</v>
          </cell>
          <cell r="C3126" t="str">
            <v>TÊ HORIZONTAL 90º, PARA ELETROCALHA, LISA OU PERFURADA EM AÇO GALVANIZADO, LARGURA DE 300MM E ALTURA DE 50MM - FORNECIMENTO E INSTALAÇÃO. AF_04/2023</v>
          </cell>
          <cell r="D3126" t="str">
            <v>UN</v>
          </cell>
          <cell r="E3126">
            <v>245.89</v>
          </cell>
          <cell r="F3126">
            <v>0</v>
          </cell>
        </row>
        <row r="3127">
          <cell r="B3127">
            <v>97321</v>
          </cell>
          <cell r="C3127" t="str">
            <v>TÊ HORIZONTAL 90º, PARA ELETROCALHA, LISA OU PERFURADA EM AÇO GALVANIZADO, LARGURA DE 400MM E ALTURA DE 50MM - FORNECIMENTO E INSTALAÇÃO. AF_04/2023</v>
          </cell>
          <cell r="D3127" t="str">
            <v>UN</v>
          </cell>
          <cell r="E3127">
            <v>287.86</v>
          </cell>
          <cell r="F3127">
            <v>0</v>
          </cell>
        </row>
        <row r="3128">
          <cell r="B3128">
            <v>97322</v>
          </cell>
          <cell r="C3128" t="str">
            <v>TÊ HORIZONTAL 90º, PARA ELETROCALHA, LISA OU PERFURADA EM AÇO GALVANIZADO, LARGURA DE 500MM E ALTURA DE 50MM - FORNECIMENTO E INSTALAÇÃO. AF_04/2023</v>
          </cell>
          <cell r="D3128" t="str">
            <v>UN</v>
          </cell>
          <cell r="E3128">
            <v>372.52</v>
          </cell>
          <cell r="F3128">
            <v>0</v>
          </cell>
        </row>
        <row r="3129">
          <cell r="B3129">
            <v>97313</v>
          </cell>
          <cell r="C3129" t="str">
            <v>TÊ HORIZONTAL 90º, PARA ELETROCALHA, LISA OU PERFURADA EM AÇO GALVANIZADO, LARGURA DE 50MM E ALTURA DE 50MM - FORNECIMENTO E INSTALAÇÃO. AF_04/2023</v>
          </cell>
          <cell r="D3129" t="str">
            <v>UN</v>
          </cell>
          <cell r="E3129">
            <v>153.63</v>
          </cell>
          <cell r="F3129">
            <v>0</v>
          </cell>
        </row>
        <row r="3130">
          <cell r="B3130">
            <v>97323</v>
          </cell>
          <cell r="C3130" t="str">
            <v>TÊ HORIZONTAL 90º, PARA ELETROCALHA, LISA OU PERFURADA EM AÇO GALVANIZADO, LARGURA DE 600MM E ALTURA DE 50MM - FORNECIMENTO E INSTALAÇÃO. AF_04/2023</v>
          </cell>
          <cell r="D3130" t="str">
            <v>UN</v>
          </cell>
          <cell r="E3130">
            <v>431.69</v>
          </cell>
          <cell r="F3130">
            <v>0</v>
          </cell>
        </row>
        <row r="3131">
          <cell r="B3131">
            <v>97324</v>
          </cell>
          <cell r="C3131" t="str">
            <v>TÊ HORIZONTAL 90º, PARA ELETROCALHA, LISA OU PERFURADA EM AÇO GALVANIZADO, LARGURA DE 700MM E ALTURA DE 50MM - FORNECIMENTO E INSTALAÇÃO. AF_04/2023</v>
          </cell>
          <cell r="D3131" t="str">
            <v>UN</v>
          </cell>
          <cell r="E3131">
            <v>509.7</v>
          </cell>
          <cell r="F3131">
            <v>0</v>
          </cell>
        </row>
        <row r="3132">
          <cell r="B3132">
            <v>97314</v>
          </cell>
          <cell r="C3132" t="str">
            <v>TÊ HORIZONTAL 90º, PARA ELETROCALHA, LISA OU PERFURADA EM AÇO GALVANIZADO, LARGURA DE 75MM E ALTURA DE 50MM - FORNECIMENTO E INSTALAÇÃO. AF_04/2023</v>
          </cell>
          <cell r="D3132" t="str">
            <v>UN</v>
          </cell>
          <cell r="E3132">
            <v>162.49</v>
          </cell>
          <cell r="F3132">
            <v>0</v>
          </cell>
        </row>
        <row r="3133">
          <cell r="B3133">
            <v>97325</v>
          </cell>
          <cell r="C3133" t="str">
            <v>TÊ HORIZONTAL 90º, PARA ELETROCALHA, LISA OU PERFURADA EM AÇO GALVANIZADO, LARGURA DE 800MM E ALTURA DE 50MM - FORNECIMENTO E INSTALAÇÃO. AF_04/2023</v>
          </cell>
          <cell r="D3133" t="str">
            <v>UN</v>
          </cell>
          <cell r="E3133">
            <v>595.37</v>
          </cell>
          <cell r="F3133">
            <v>0</v>
          </cell>
        </row>
        <row r="3134">
          <cell r="B3134">
            <v>103518</v>
          </cell>
          <cell r="C3134" t="str">
            <v>AQUECEDOR SOLAR COMPACTO, KIT PARA 1 COLETOR SOLAR A VÁCUO COM SUPORTE, RESERVATÓRIO, FIXAÇÕES E TUBOS - FORNECIMENTO E INSTALAÇÃO. AF_01/2026</v>
          </cell>
          <cell r="D3134" t="str">
            <v>UN</v>
          </cell>
          <cell r="E3134">
            <v>0</v>
          </cell>
        </row>
        <row r="3135">
          <cell r="B3135">
            <v>103517</v>
          </cell>
          <cell r="C3135" t="str">
            <v>AQUECEDOR SOLAR COMPACTO, KIT PARA 1 COLETOR SOLAR EM VIDRO TEMPERADO E SERPENTINA EM TUBO DE COBRE SEM SUPORTE, RESERVATÓRIO, FIXAÇÕES E TUBOS - FORNECIMENTO E INSTALAÇÃO. AF_01/2026</v>
          </cell>
          <cell r="D3135" t="str">
            <v>UN</v>
          </cell>
          <cell r="E3135">
            <v>3357.12</v>
          </cell>
          <cell r="F3135">
            <v>0</v>
          </cell>
        </row>
        <row r="3136">
          <cell r="B3136">
            <v>103519</v>
          </cell>
          <cell r="C3136" t="str">
            <v>BLOCO CONCRETADO NO LOCAL, 20X20X15CM, PARA BASE DE FIXAÇÃO DA ESTRUTURA SOLAR PARA LAJE DE CONCRETO - FORNECIMENTO E INSTALAÇÃO. AF_01/2026</v>
          </cell>
          <cell r="D3136" t="str">
            <v>UN</v>
          </cell>
          <cell r="E3136">
            <v>12.41</v>
          </cell>
          <cell r="F3136">
            <v>0</v>
          </cell>
        </row>
        <row r="3137">
          <cell r="B3137">
            <v>103515</v>
          </cell>
          <cell r="C3137" t="str">
            <v>BOMBA DE CIRCULACAO DE ÁGUA QUENTE, 93 ATÉ 150 W - FORNECIMENTO E INSTALAÇÃO. AF_01/2026</v>
          </cell>
          <cell r="D3137" t="str">
            <v>UN</v>
          </cell>
          <cell r="E3137">
            <v>0</v>
          </cell>
        </row>
        <row r="3138">
          <cell r="B3138">
            <v>103502</v>
          </cell>
          <cell r="C3138" t="str">
            <v>CABO FOTOVOLTAICO 4 MM² FORNECIMENTO E INSTALAÇÃO. AF_01/2026</v>
          </cell>
          <cell r="D3138" t="str">
            <v>M</v>
          </cell>
          <cell r="E3138">
            <v>0</v>
          </cell>
        </row>
        <row r="3139">
          <cell r="B3139">
            <v>103503</v>
          </cell>
          <cell r="C3139" t="str">
            <v>CABO FOTOVOLTAICO 6 MM² - FORNECIMENTO E INSTALAÇÃO. AF_01/2026</v>
          </cell>
          <cell r="D3139" t="str">
            <v>M</v>
          </cell>
          <cell r="E3139">
            <v>0</v>
          </cell>
        </row>
        <row r="3140">
          <cell r="B3140">
            <v>103499</v>
          </cell>
          <cell r="C3140" t="str">
            <v>COLETOR PARA AQUECIMENTO SOLAR A VÁCUO, COM SUPORTE PARA LAJE DE CONCRETO - FORNECIMENTO E INSTALAÇÃO. AF_01/2026</v>
          </cell>
          <cell r="D3140" t="str">
            <v>UN</v>
          </cell>
          <cell r="E3140">
            <v>0</v>
          </cell>
        </row>
        <row r="3141">
          <cell r="B3141">
            <v>103501</v>
          </cell>
          <cell r="C3141" t="str">
            <v>COLETOR PARA AQUECIMENTO SOLAR A VÁCUO, COM SUPORTE PARA TELHA CERÂMICA - FORNECIMENTO E INSTALAÇÃO. AF_01/2026</v>
          </cell>
          <cell r="D3141" t="str">
            <v>UN</v>
          </cell>
          <cell r="E3141">
            <v>0</v>
          </cell>
        </row>
        <row r="3142">
          <cell r="B3142">
            <v>103500</v>
          </cell>
          <cell r="C3142" t="str">
            <v>COLETOR PARA AQUECIMENTO SOLAR A VÁCUO, COM SUPORTE PARA TELHA METÁLICA - FORNECIMENTO E INSTALAÇÃO. AF_01/2026</v>
          </cell>
          <cell r="D3142" t="str">
            <v>UN</v>
          </cell>
          <cell r="E3142">
            <v>0</v>
          </cell>
        </row>
        <row r="3143">
          <cell r="B3143">
            <v>106678</v>
          </cell>
          <cell r="C3143" t="str">
            <v>COLETOR PARA AQUECIMENTO SOLAR DE POLIPROPILENO PARA PISCINA 1,5 M2, COM SUPORTE PARA LAJE DE CONCRETO - FORNECIMENTO E INSTALAÇÃO. AF_01/2026</v>
          </cell>
          <cell r="D3143" t="str">
            <v>UN</v>
          </cell>
          <cell r="E3143">
            <v>0</v>
          </cell>
        </row>
        <row r="3144">
          <cell r="B3144">
            <v>106680</v>
          </cell>
          <cell r="C3144" t="str">
            <v>COLETOR PARA AQUECIMENTO SOLAR DE POLIPROPILENO PARA PISCINA 1,5 M2, COM SUPORTE PARA TELHA CERÂMICA - FORNECIMENTO E INSTALAÇÃO. AF_01/2026</v>
          </cell>
          <cell r="D3144" t="str">
            <v>UN</v>
          </cell>
          <cell r="E3144">
            <v>0</v>
          </cell>
        </row>
        <row r="3145">
          <cell r="B3145">
            <v>106679</v>
          </cell>
          <cell r="C3145" t="str">
            <v>COLETOR PARA AQUECIMENTO SOLAR DE POLIPROPILENO PARA PISCINA 1,5 M2, COM SUPORTE PARA TELHA METÁLICA - FORNECIMENTO E INSTALAÇÃO. AF_01/2026</v>
          </cell>
          <cell r="D3145" t="str">
            <v>UN</v>
          </cell>
          <cell r="E3145">
            <v>0</v>
          </cell>
        </row>
        <row r="3146">
          <cell r="B3146">
            <v>103496</v>
          </cell>
          <cell r="C3146" t="str">
            <v>COLETOR PARA AQUECIMENTO SOLAR, EM VIDRO TEMPERADO E SERPENTINA EM TUBO DE COBRE, COM SUPORTE PARA LAJE DE CONCRETO - FORNECIMENTO E INSTALAÇÃO. AF_01/2026</v>
          </cell>
          <cell r="D3146" t="str">
            <v>UN</v>
          </cell>
          <cell r="E3146">
            <v>0</v>
          </cell>
        </row>
        <row r="3147">
          <cell r="B3147">
            <v>103498</v>
          </cell>
          <cell r="C3147" t="str">
            <v>COLETOR PARA AQUECIMENTO SOLAR, EM VIDRO TEMPERADO E SERPENTINA EM TUBO DE COBRE, COM SUPORTE PARA TELHA CERÂMICA - FORNECIMENTO E INSTALAÇÃO. AF_01/2026</v>
          </cell>
          <cell r="D3147" t="str">
            <v>UN</v>
          </cell>
          <cell r="E3147">
            <v>0</v>
          </cell>
        </row>
        <row r="3148">
          <cell r="B3148">
            <v>103497</v>
          </cell>
          <cell r="C3148" t="str">
            <v>COLETOR PARA AQUECIMENTO SOLAR, EM VIDRO TEMPERADO E SERPENTINA EM TUBO DE COBRE, COM SUPORTE PARA TELHA METÁLICA - FORNECIMENTO E INSTALAÇÃO. AF_01/2026</v>
          </cell>
          <cell r="D3148" t="str">
            <v>UN</v>
          </cell>
          <cell r="E3148">
            <v>0</v>
          </cell>
        </row>
        <row r="3149">
          <cell r="B3149">
            <v>103516</v>
          </cell>
          <cell r="C3149" t="str">
            <v>CONTROLADOR POR DIFERENCIAL DE TEMPERATURA COM 2 SENSORES - FORNECIMENTO E INSTALAÇÃO. AF_01/2026</v>
          </cell>
          <cell r="D3149" t="str">
            <v>UN</v>
          </cell>
          <cell r="E3149">
            <v>0</v>
          </cell>
        </row>
        <row r="3150">
          <cell r="B3150">
            <v>103506</v>
          </cell>
          <cell r="C3150" t="str">
            <v>INVERSOR SOLAR FOTOVOLTAICO 1 MPPT - FORNECIMENTO E INSTALAÇÃO. AF_01/2026</v>
          </cell>
          <cell r="D3150" t="str">
            <v>UN</v>
          </cell>
          <cell r="E3150">
            <v>0</v>
          </cell>
        </row>
        <row r="3151">
          <cell r="B3151">
            <v>106681</v>
          </cell>
          <cell r="C3151" t="str">
            <v>INVERSOR SOLAR FOTOVOLTAICO 2 MPPT - FORNECIMENTO E INSTALAÇÃO. AF_01/2026</v>
          </cell>
          <cell r="D3151" t="str">
            <v>UN</v>
          </cell>
          <cell r="E3151">
            <v>0</v>
          </cell>
        </row>
        <row r="3152">
          <cell r="B3152">
            <v>103507</v>
          </cell>
          <cell r="C3152" t="str">
            <v>MICRO INVERSOR SOLAR FOTOVOLTAICO - FORNECIMENTO E INSTALAÇÃO. AF_01/2026</v>
          </cell>
          <cell r="D3152" t="str">
            <v>UN</v>
          </cell>
          <cell r="E3152">
            <v>0</v>
          </cell>
        </row>
        <row r="3153">
          <cell r="B3153">
            <v>103493</v>
          </cell>
          <cell r="C3153" t="str">
            <v>PAINEL SOLAR FOTOVOLTAICO, 2 X 1 M, COM SUPORTE PARA LAJE DE CONCRETO - FORNECIMENTO E INSTALAÇÃO. AF_01/2026</v>
          </cell>
          <cell r="D3153" t="str">
            <v>UN</v>
          </cell>
          <cell r="E3153">
            <v>0</v>
          </cell>
        </row>
        <row r="3154">
          <cell r="B3154">
            <v>103495</v>
          </cell>
          <cell r="C3154" t="str">
            <v>PAINEL SOLAR FOTOVOLTAICO, 2 X 1 M, COM SUPORTE PARA TELHA CERÂMICA - FORNECIMENTO E INSTALAÇÃO. AF_01/2026</v>
          </cell>
          <cell r="D3154" t="str">
            <v>UN</v>
          </cell>
          <cell r="E3154">
            <v>0</v>
          </cell>
        </row>
        <row r="3155">
          <cell r="B3155">
            <v>103494</v>
          </cell>
          <cell r="C3155" t="str">
            <v>PAINEL SOLAR FOTOVOLTAICO, 2 X 1 M, COM SUPORTE PARA TELHA METÁLICA - FORNECIMENTO E INSTALAÇÃO. AF_01/2026</v>
          </cell>
          <cell r="D3155" t="str">
            <v>UN</v>
          </cell>
          <cell r="E3155">
            <v>0</v>
          </cell>
        </row>
        <row r="3156">
          <cell r="B3156">
            <v>103513</v>
          </cell>
          <cell r="C3156" t="str">
            <v>RESERVATÓRIO TÉRMICO/BOILER SOLAR EM AÇO INOX 1000 L - FORNECIMENTO E INSTALAÇÃO. AF_01/2026</v>
          </cell>
          <cell r="D3156" t="str">
            <v>UN</v>
          </cell>
          <cell r="E3156">
            <v>0</v>
          </cell>
        </row>
        <row r="3157">
          <cell r="B3157">
            <v>103523</v>
          </cell>
          <cell r="C3157" t="str">
            <v>RESERVATÓRIO TÉRMICO/BOILER SOLAR EM AÇO INOX 1000 L COM 5 PLACAS COLETORAS EM VIDRO TEMPERADO COM SERPENTINA EM TUBO DE COBRE 2 X 1 M - FORNECIMENTO E INSTALAÇÃO. AF_01/2026</v>
          </cell>
          <cell r="D3157" t="str">
            <v>UN</v>
          </cell>
          <cell r="E3157">
            <v>11200.27</v>
          </cell>
          <cell r="F3157">
            <v>0</v>
          </cell>
        </row>
        <row r="3158">
          <cell r="B3158">
            <v>103509</v>
          </cell>
          <cell r="C3158" t="str">
            <v>RESERVATÓRIO TÉRMICO/BOILER SOLAR EM AÇO INOX 200 L - FORNECIMENTO E INSTALAÇÃO. AF_01/2026</v>
          </cell>
          <cell r="D3158" t="str">
            <v>UN</v>
          </cell>
          <cell r="E3158">
            <v>0</v>
          </cell>
        </row>
        <row r="3159">
          <cell r="B3159">
            <v>103514</v>
          </cell>
          <cell r="C3159" t="str">
            <v>RESERVATÓRIO TÉRMICO/BOILER SOLAR EM AÇO INOX 3000 L - FORNECIMENTO E INSTALAÇÃO. AF_01/2026</v>
          </cell>
          <cell r="D3159" t="str">
            <v>UN</v>
          </cell>
          <cell r="E3159">
            <v>0</v>
          </cell>
        </row>
        <row r="3160">
          <cell r="B3160">
            <v>103510</v>
          </cell>
          <cell r="C3160" t="str">
            <v>RESERVATÓRIO TÉRMICO/BOILER SOLAR EM AÇO INOX 400 L - FORNECIMENTO E INSTALAÇÃO. AF_01/2026</v>
          </cell>
          <cell r="D3160" t="str">
            <v>UN</v>
          </cell>
          <cell r="E3160">
            <v>0</v>
          </cell>
        </row>
        <row r="3161">
          <cell r="B3161">
            <v>103520</v>
          </cell>
          <cell r="C3161" t="str">
            <v>RESERVATÓRIO TÉRMICO/BOILER SOLAR EM AÇO INOX 400 L COM 2 PLACAS COLETORAS EM VIDRO TEMPERADO COM SERPENTINA EM TUBO DE COBRE 2 X 1 M - FORNECIMENTO E INSTALAÇÃO. AF_01/2026</v>
          </cell>
          <cell r="D3161" t="str">
            <v>UN</v>
          </cell>
          <cell r="E3161">
            <v>5522.9</v>
          </cell>
          <cell r="F3161">
            <v>0</v>
          </cell>
        </row>
        <row r="3162">
          <cell r="B3162">
            <v>103511</v>
          </cell>
          <cell r="C3162" t="str">
            <v>RESERVATÓRIO TÉRMICO/BOILER SOLAR EM AÇO INOX 600 L - FORNECIMENTO E INSTALAÇÃO. AF_01/2026</v>
          </cell>
          <cell r="D3162" t="str">
            <v>UN</v>
          </cell>
          <cell r="E3162">
            <v>0</v>
          </cell>
        </row>
        <row r="3163">
          <cell r="B3163">
            <v>103521</v>
          </cell>
          <cell r="C3163" t="str">
            <v>RESERVATÓRIO TÉRMICO/BOILER SOLAR EM AÇO INOX 600 L COM 3 PLACAS COLETORAS EM VIDRO TEMPERADO COM SERPENTINA EM TUBO DE COBRE 2 X 1 M - FORNECIMENTO E INSTALAÇÃO. AF_01/2026</v>
          </cell>
          <cell r="D3163" t="str">
            <v>UN</v>
          </cell>
          <cell r="E3163">
            <v>7332.44</v>
          </cell>
          <cell r="F3163">
            <v>0</v>
          </cell>
        </row>
        <row r="3164">
          <cell r="B3164">
            <v>103512</v>
          </cell>
          <cell r="C3164" t="str">
            <v>RESERVATÓRIO TÉRMICO/BOILER SOLAR EM AÇO INOX 800 L - FORNECIMENTO E INSTALAÇÃO. AF_01/2026</v>
          </cell>
          <cell r="D3164" t="str">
            <v>UN</v>
          </cell>
          <cell r="E3164">
            <v>0</v>
          </cell>
        </row>
        <row r="3165">
          <cell r="B3165">
            <v>103522</v>
          </cell>
          <cell r="C3165" t="str">
            <v>RESERVATÓRIO TÉRMICO/BOILER SOLAR EM AÇO INOX 800 L COM 4 PLACAS COLETORAS EM VIDRO TEMPERADO COM SERPENTINA EM TUBO DE COBRE 2 X 1 M - FORNECIMENTO E INSTALAÇÃO. AF_01/2026</v>
          </cell>
          <cell r="D3165" t="str">
            <v>UN</v>
          </cell>
          <cell r="E3165">
            <v>7467.99</v>
          </cell>
          <cell r="F3165">
            <v>0</v>
          </cell>
        </row>
        <row r="3166">
          <cell r="B3166">
            <v>103508</v>
          </cell>
          <cell r="C3166" t="str">
            <v>STRING BOX PARA SISTEMA FOTOVOLTAICO - FORNECIMENTO E INSTALAÇÃO. AF_01/2026</v>
          </cell>
          <cell r="D3166" t="str">
            <v>UN</v>
          </cell>
          <cell r="E3166">
            <v>0</v>
          </cell>
        </row>
        <row r="3167">
          <cell r="B3167">
            <v>103524</v>
          </cell>
          <cell r="C3167" t="str">
            <v>SUPORTE DE 1 COLETOR SOLAR PARA LAJE DE CONCRETO - FORNECIMENTO E INSTALAÇÃO. AF_01/2026</v>
          </cell>
          <cell r="D3167" t="str">
            <v>UN</v>
          </cell>
          <cell r="E3167">
            <v>0</v>
          </cell>
        </row>
        <row r="3168">
          <cell r="B3168">
            <v>103526</v>
          </cell>
          <cell r="C3168" t="str">
            <v>SUPORTE DE 1 COLETOR SOLAR PARA TELHA CERÂMICA - FORNECIMENTO E INSTALAÇÃO. AF_01/2026</v>
          </cell>
          <cell r="D3168" t="str">
            <v>UN</v>
          </cell>
          <cell r="E3168">
            <v>0</v>
          </cell>
        </row>
        <row r="3169">
          <cell r="B3169">
            <v>103525</v>
          </cell>
          <cell r="C3169" t="str">
            <v>SUPORTE DE 1 COLETOR SOLAR PARA TELHA METÁLICA - FORNECIMENTO E INSTALAÇÃO. AF_01/2026</v>
          </cell>
          <cell r="D3169" t="str">
            <v>UN</v>
          </cell>
          <cell r="E3169">
            <v>0</v>
          </cell>
        </row>
        <row r="3170">
          <cell r="B3170">
            <v>97062</v>
          </cell>
          <cell r="C3170" t="str">
            <v>COLOCAÇÃO DE TELA EM ANDAIME FACHADEIRO. AF_03/2024</v>
          </cell>
          <cell r="D3170" t="str">
            <v>M2</v>
          </cell>
          <cell r="E3170">
            <v>7.16</v>
          </cell>
          <cell r="F3170">
            <v>0</v>
          </cell>
        </row>
        <row r="3171">
          <cell r="B3171">
            <v>97061</v>
          </cell>
          <cell r="C3171" t="str">
            <v>COLOCAÇÃO DE TELA FACHADEIRA PERIMETRAL. AF_03/2024</v>
          </cell>
          <cell r="D3171" t="str">
            <v>M2</v>
          </cell>
          <cell r="E3171">
            <v>0</v>
          </cell>
        </row>
        <row r="3172">
          <cell r="B3172">
            <v>104988</v>
          </cell>
          <cell r="C3172" t="str">
            <v>FECHAMENTO METÁLICO REMOVÍVEL DE ABERTURA DE CAIXILHO (PROTEÇÃO DE GESSEIRO) - 4 MONTAGENS EM OBRA. AF_03/2024</v>
          </cell>
          <cell r="D3172" t="str">
            <v>M2</v>
          </cell>
          <cell r="E3172">
            <v>0</v>
          </cell>
        </row>
        <row r="3173">
          <cell r="B3173">
            <v>104979</v>
          </cell>
          <cell r="C3173" t="str">
            <v>FECHAMENTO METÁLICO REMOVÍVEL DE VÃO DE PORTAS (VÃO DO ELEVADOR) - 1 MONTAGEM EM OBRA. AF_03/2024</v>
          </cell>
          <cell r="D3173" t="str">
            <v>M2</v>
          </cell>
          <cell r="E3173">
            <v>0</v>
          </cell>
        </row>
        <row r="3174">
          <cell r="B3174">
            <v>97040</v>
          </cell>
          <cell r="C3174" t="str">
            <v>FECHAMENTO REMOVÍVEL DE ABERTURA DE CAIXILHO EM MADEIRA - 4 MONTAGENS EM OBRA. AF_03/2024</v>
          </cell>
          <cell r="D3174" t="str">
            <v>M2</v>
          </cell>
          <cell r="E3174">
            <v>21.7</v>
          </cell>
          <cell r="F3174">
            <v>0</v>
          </cell>
        </row>
        <row r="3175">
          <cell r="B3175">
            <v>97041</v>
          </cell>
          <cell r="C3175" t="str">
            <v>FECHAMENTO REMOVÍVEL DE ABERTURA NO PISO EM MADEIRA - 1 MONTAGEM EM OBRA. AF_03/2024</v>
          </cell>
          <cell r="D3175" t="str">
            <v>M2</v>
          </cell>
          <cell r="E3175">
            <v>153.1</v>
          </cell>
          <cell r="F3175">
            <v>0</v>
          </cell>
        </row>
        <row r="3176">
          <cell r="B3176">
            <v>97039</v>
          </cell>
          <cell r="C3176" t="str">
            <v>FECHAMENTO REMOVÍVEL DE VÃO DE PORTAS EM MADEIRA (VÃO DO ELEVADOR) - 1 MONTAGEM EM OBRA. AF_03/2024</v>
          </cell>
          <cell r="D3176" t="str">
            <v>M2</v>
          </cell>
          <cell r="E3176">
            <v>79.83</v>
          </cell>
          <cell r="F3176">
            <v>0</v>
          </cell>
        </row>
        <row r="3177">
          <cell r="B3177">
            <v>102655</v>
          </cell>
          <cell r="C3177" t="str">
            <v>FITA DE SINALIZAÇÃO FIXADA NA ESTRUTURA. AF_03/2024</v>
          </cell>
          <cell r="D3177" t="str">
            <v>M</v>
          </cell>
          <cell r="E3177">
            <v>0</v>
          </cell>
        </row>
        <row r="3178">
          <cell r="B3178">
            <v>104987</v>
          </cell>
          <cell r="C3178" t="str">
            <v>GUARDA-CORPO DE CONCRETAGEM COM MONTANTES METÁLICOS FIXADOS EM BARROTES (VIGAMENTO) DE FORMA DE MADEIRA COM FECHAMENTO EM PAINEL DE TELA METÁLICA. AF_03/2024</v>
          </cell>
          <cell r="D3178" t="str">
            <v>M</v>
          </cell>
          <cell r="E3178">
            <v>0</v>
          </cell>
        </row>
        <row r="3179">
          <cell r="B3179">
            <v>104986</v>
          </cell>
          <cell r="C3179" t="str">
            <v>GUARDA-CORPO DE CONCRETAGEM COM MONTANTES METÁLICOS FIXADOS NOS GARFOS DE FORMA DE MADEIRA COM FECHAMENTO EM PAINEL DE TELA METÁLICA. AF_03/2024</v>
          </cell>
          <cell r="D3179" t="str">
            <v>M</v>
          </cell>
          <cell r="E3179">
            <v>0</v>
          </cell>
        </row>
        <row r="3180">
          <cell r="B3180">
            <v>104984</v>
          </cell>
          <cell r="C3180" t="str">
            <v>GUARDA-CORPO EM LAJE PÓS DESFÔRMA COM MONTANTE METÁLICO FIXADO EM LAJE COM PARABOLT E FECHAMENTO EM PAINEL DE TELA METÁLICA. AF_03/2024</v>
          </cell>
          <cell r="D3180" t="str">
            <v>M</v>
          </cell>
          <cell r="E3180">
            <v>0</v>
          </cell>
        </row>
        <row r="3181">
          <cell r="B3181">
            <v>104985</v>
          </cell>
          <cell r="C3181" t="str">
            <v>GUARDA-CORPO EM LAJE PÓS DESFÔRMA COM MONTANTE METÁLICO FIXADO EM LAJE COM SARGENTO E FECHAMENTO EM PAINEL DE TELA METÁLICA. AF_03/2024</v>
          </cell>
          <cell r="D3181" t="str">
            <v>M</v>
          </cell>
          <cell r="E3181">
            <v>0</v>
          </cell>
        </row>
        <row r="3182">
          <cell r="B3182">
            <v>97026</v>
          </cell>
          <cell r="C3182" t="str">
            <v>GUARDA-CORPO EM LAJE PÓS-DESFÔRMA COM CABOS DE AÇO E FECHAMENTO EM TELA DE POLIPROPILENO (SISTEMA DE BARREIRA COM REDE) PARA EDIFÍCIOS ACIMA DE 4 PAVIMENTOS (2 MONTAGENS). AF_03/2024</v>
          </cell>
          <cell r="D3182" t="str">
            <v>M</v>
          </cell>
          <cell r="E3182">
            <v>0</v>
          </cell>
        </row>
        <row r="3183">
          <cell r="B3183">
            <v>97025</v>
          </cell>
          <cell r="C3183" t="str">
            <v>GUARDA-CORPO EM LAJE PÓS-DESFÔRMA COM CABOS DE AÇO E FECHAMENTO EM TELA DE POLIPROPILENO (SISTEMA DE BARREIRA COM REDE) PARA EDIFÍCIOS COM ATÉ 4 PAVIMENTOS (1 MONTAGEM). AF_03/2024</v>
          </cell>
          <cell r="D3183" t="str">
            <v>M</v>
          </cell>
          <cell r="E3183">
            <v>0</v>
          </cell>
        </row>
        <row r="3184">
          <cell r="B3184">
            <v>97032</v>
          </cell>
          <cell r="C3184" t="str">
            <v>GUARDA-CORPO EM LAJE PÓS-DESFÔRMA COM ESCORAS DE MADEIRA ESTRONCADAS NA ESTRUTURA, TRAVESSÕES DE MADEIRA E FECHAMENTO EM TELA DE POLIPROPILENO PARA EDIFÍCIOS ACIMA DE 4 PAVIMENTOS (2 MONTAGENS). AF_03/2024</v>
          </cell>
          <cell r="D3184" t="str">
            <v>M</v>
          </cell>
          <cell r="E3184">
            <v>69.39</v>
          </cell>
          <cell r="F3184">
            <v>0</v>
          </cell>
        </row>
        <row r="3185">
          <cell r="B3185">
            <v>97031</v>
          </cell>
          <cell r="C3185" t="str">
            <v>GUARDA-CORPO EM LAJE PÓS-DESFÔRMA COM ESCORAS DE MADEIRA ESTRONCADAS NA ESTRUTURA, TRAVESSÕES DE MADEIRA E FECHAMENTO EM TELA DE POLIPROPILENO PARA EDIFÍCIOS COM ATÉ 4 PAVIMENTOS (1 MONTAGEM). AF_03/2024</v>
          </cell>
          <cell r="D3185" t="str">
            <v>M</v>
          </cell>
          <cell r="E3185">
            <v>111.87</v>
          </cell>
          <cell r="F3185">
            <v>0</v>
          </cell>
        </row>
        <row r="3186">
          <cell r="B3186">
            <v>97036</v>
          </cell>
          <cell r="C3186" t="str">
            <v>GUARDA-CORPO EM LAJE PÓS-DESFÔRMA COM ESCORAS METÁLICAS ESTRONCADAS NA ESTRUTURA E FECHAMENTO EM PAINEL DE TELA METÁLICA PARA EDIFÍCIOS ACIMA DE 4 PAVIMENTOS (2 MONTAGENS). AF_03/2024</v>
          </cell>
          <cell r="D3186" t="str">
            <v>M</v>
          </cell>
          <cell r="E3186">
            <v>0</v>
          </cell>
        </row>
        <row r="3187">
          <cell r="B3187">
            <v>97035</v>
          </cell>
          <cell r="C3187" t="str">
            <v>GUARDA-CORPO EM LAJE PÓS-DESFÔRMA COM ESCORAS METÁLICAS ESTRONCADAS NA ESTRUTURA E FECHAMENTO EM PAINEL DE TELA METÁLICA PARA EDIFÍCIOS COM ATÉ 4 PAVIMENTOS (1 MONTAGEM). AF_03/2024</v>
          </cell>
          <cell r="D3187" t="str">
            <v>M</v>
          </cell>
          <cell r="E3187">
            <v>0</v>
          </cell>
        </row>
        <row r="3188">
          <cell r="B3188">
            <v>97034</v>
          </cell>
          <cell r="C3188" t="str">
            <v>GUARDA-CORPO EM LAJE PÓS-DESFÔRMA COM ESCORAS METÁLICAS ESTRONCADAS NA ESTRUTURA, TRAVESSÕES DE MADEIRA E FECHAMENTO EM TELA DE POLIPROPILENO PARA EDIFÍCIOS ACIMA DE 4 PAVIMENTOS (2 MONTAGENS). AF_03/2024_PS</v>
          </cell>
          <cell r="D3188" t="str">
            <v>M</v>
          </cell>
          <cell r="E3188">
            <v>71.069999999999993</v>
          </cell>
          <cell r="F3188">
            <v>0</v>
          </cell>
        </row>
        <row r="3189">
          <cell r="B3189">
            <v>97033</v>
          </cell>
          <cell r="C3189" t="str">
            <v>GUARDA-CORPO EM LAJE PÓS-DESFÔRMA COM ESCORAS METÁLICAS ESTRONCADAS NA ESTRUTURA, TRAVESSÕES DE MADEIRA E FECHAMENTO EM TELA DE POLIPROPILENO PARA EDIFÍCIOS COM ATÉ 4 PAVIMENTOS (1 MONTAGEM). AF_03/2024_PS</v>
          </cell>
          <cell r="D3189" t="str">
            <v>M</v>
          </cell>
          <cell r="E3189">
            <v>108.02</v>
          </cell>
          <cell r="F3189">
            <v>0</v>
          </cell>
        </row>
        <row r="3190">
          <cell r="B3190">
            <v>97030</v>
          </cell>
          <cell r="C3190" t="str">
            <v>GUARDA-CORPO EM LAJE PÓS-DESFÔRMA COM MONTANTE METÁLICO FIXADO COM BARRAS DE AÇO ENGASTADAS NA LAJE, CABOS DE AÇO E FECHAMENTO EM TELA DE POLIPROPILENO PARA EDIFÍCIOS ACIMA DE 4 PAVIMENTOS (2 MONTAGENS). AF_03/2024</v>
          </cell>
          <cell r="D3190" t="str">
            <v>M</v>
          </cell>
          <cell r="E3190">
            <v>0</v>
          </cell>
        </row>
        <row r="3191">
          <cell r="B3191">
            <v>97029</v>
          </cell>
          <cell r="C3191" t="str">
            <v>GUARDA-CORPO EM LAJE PÓS-DESFÔRMA COM MONTANTE METÁLICO FIXADO COM BARRAS DE AÇO ENGASTADAS NA LAJE, CABOS DE AÇO E FECHAMENTO EM TELA DE POLIPROPILENO PARA EDIFÍCIOS COM ATÉ 4 PAVIMENTOS (1 MONTAGEM). AF_03/2024</v>
          </cell>
          <cell r="D3191" t="str">
            <v>M</v>
          </cell>
          <cell r="E3191">
            <v>0</v>
          </cell>
        </row>
        <row r="3192">
          <cell r="B3192">
            <v>97028</v>
          </cell>
          <cell r="C3192" t="str">
            <v>GUARDA-CORPO EM LAJE PÓS-DESFÔRMA COM MONTANTE METÁLICO FIXADO COM BARRAS DE AÇO ENGASTADAS NA LAJE, TRAVESSÃO EM MADEIRA E FECHAMENTO EM TELA DE POLIPROPILENO PARA EDIFÍCIOS ACIMA DE 4 PAVIMENTOS (2 MONTAGENS). AF_03/2024</v>
          </cell>
          <cell r="D3192" t="str">
            <v>M</v>
          </cell>
          <cell r="E3192">
            <v>0</v>
          </cell>
        </row>
        <row r="3193">
          <cell r="B3193">
            <v>97027</v>
          </cell>
          <cell r="C3193" t="str">
            <v>GUARDA-CORPO EM LAJE PÓS-DESFÔRMA COM MONTANTE METÁLICO FIXADO COM BARRAS DE AÇO ENGASTADAS NA LAJE, TRAVESSÃO EM MADEIRA E FECHAMENTO EM TELA DE POLIPROPILENO PARA EDIFÍCIOS COM ATÉ 4 PAVIMENTOS (1 MONTAGEM). AF_03/2024</v>
          </cell>
          <cell r="D3193" t="str">
            <v>M</v>
          </cell>
          <cell r="E3193">
            <v>0</v>
          </cell>
        </row>
        <row r="3194">
          <cell r="B3194">
            <v>97038</v>
          </cell>
          <cell r="C3194" t="str">
            <v>GUARDA-CORPO EM LAJE PÓS-DESFÔRMA COM MONTANTE METÁLICO FIXADO EM VIGA DE BORDA E FECHAMENTO EM PAINEL DE TELA METÁLICA PARA EDIFÍCIOS ACIMA DE 4 PAVIMENTOS (2 MONTAGENS). AF_03/2024</v>
          </cell>
          <cell r="D3194" t="str">
            <v>M</v>
          </cell>
          <cell r="E3194">
            <v>0</v>
          </cell>
        </row>
        <row r="3195">
          <cell r="B3195">
            <v>97037</v>
          </cell>
          <cell r="C3195" t="str">
            <v>GUARDA-CORPO EM LAJE PÓS-DESFÔRMA, PARA ESTRUTURAS EM CONCRETO, COM MONTANTE METÁLICO FIXADO EM VIGA DE BORDA E FECHAMENTO EM PAINEL DE TELA METÁLICA PARA EDIFÍCIOS COM ATÉ 4 PAVIMENTOS (1 MONTAGEM). AF_03/2024</v>
          </cell>
          <cell r="D3195" t="str">
            <v>M</v>
          </cell>
          <cell r="E3195">
            <v>0</v>
          </cell>
        </row>
        <row r="3196">
          <cell r="B3196">
            <v>97014</v>
          </cell>
          <cell r="C3196" t="str">
            <v>GUARDA-CORPO FIXADO EM FÔRMA DE MADEIRA COM MONTANTES E TRAVESSÕES EM MADEIRA E FECHAMENTO EM PLACA COMPENSADO PARA EDIFÍCIOS COM 3 PAVIMENTOS. AF_03/2024</v>
          </cell>
          <cell r="D3196" t="str">
            <v>M</v>
          </cell>
          <cell r="E3196">
            <v>71.430000000000007</v>
          </cell>
          <cell r="F3196">
            <v>0</v>
          </cell>
        </row>
        <row r="3197">
          <cell r="B3197">
            <v>97015</v>
          </cell>
          <cell r="C3197" t="str">
            <v>GUARDA-CORPO FIXADO EM FÔRMA DE MADEIRA COM MONTANTES E TRAVESSÕES EM MADEIRA E FECHAMENTO EM PLACA COMPENSADO PARA EDIFÍCIOS COM ALTURA IGUAL OU SUPERIOR A 4 PAVIMENTOS. AF_03/2024</v>
          </cell>
          <cell r="D3197" t="str">
            <v>M</v>
          </cell>
          <cell r="E3197">
            <v>59.85</v>
          </cell>
          <cell r="F3197">
            <v>0</v>
          </cell>
        </row>
        <row r="3198">
          <cell r="B3198">
            <v>97013</v>
          </cell>
          <cell r="C3198" t="str">
            <v>GUARDA-CORPO FIXADO EM FÔRMA DE MADEIRA COM MONTANTES E TRAVESSÕES EM MADEIRA E FECHAMENTO EM PLACA COMPENSADO PARA EDIFÍCIOS COM ATÉ 2 PAVIMENTOS. AF_03/2024</v>
          </cell>
          <cell r="D3198" t="str">
            <v>M</v>
          </cell>
          <cell r="E3198">
            <v>94.65</v>
          </cell>
          <cell r="F3198">
            <v>0</v>
          </cell>
        </row>
        <row r="3199">
          <cell r="B3199">
            <v>97017</v>
          </cell>
          <cell r="C3199" t="str">
            <v>GUARDA-CORPO FIXADO EM FÔRMA DE MADEIRA COM MONTANTES E TRAVESSÕES EM MADEIRA PRÉ-MONTADOS PARA EDIFÍCIOS COM 3 PAVIMENTOS. AF_03/2024</v>
          </cell>
          <cell r="D3199" t="str">
            <v>M</v>
          </cell>
          <cell r="E3199">
            <v>57.79</v>
          </cell>
          <cell r="F3199">
            <v>0</v>
          </cell>
        </row>
        <row r="3200">
          <cell r="B3200">
            <v>97018</v>
          </cell>
          <cell r="C3200" t="str">
            <v>GUARDA-CORPO FIXADO EM FÔRMA DE MADEIRA COM MONTANTES E TRAVESSÕES EM MADEIRA PRÉ-MONTADOS PARA EDIFÍCIOS COM ALTURA IGUAL OU SUPERIOR A 4 PAVIMENTOS. AF_03/2024</v>
          </cell>
          <cell r="D3200" t="str">
            <v>M</v>
          </cell>
          <cell r="E3200">
            <v>48.29</v>
          </cell>
          <cell r="F3200">
            <v>0</v>
          </cell>
        </row>
        <row r="3201">
          <cell r="B3201">
            <v>97016</v>
          </cell>
          <cell r="C3201" t="str">
            <v>GUARDA-CORPO FIXADO EM FÔRMA DE MADEIRA COM MONTANTES E TRAVESSÕES EM MADEIRA PRÉ-MONTADOS PARA EDIFÍCIOS COM ATÉ 2 PAVIMENTOS. AF_03/2024</v>
          </cell>
          <cell r="D3201" t="str">
            <v>M</v>
          </cell>
          <cell r="E3201">
            <v>76.959999999999994</v>
          </cell>
          <cell r="F3201">
            <v>0</v>
          </cell>
        </row>
        <row r="3202">
          <cell r="B3202">
            <v>97024</v>
          </cell>
          <cell r="C3202" t="str">
            <v>GUARDA-CORPO PARA ALVENARIA ESTRUTURAL, COM MONTANTE METÁLICO PARA DOIS NÍVEIS DE PROTEÇÃO E FECHAMENTO EM PAINEL DE TELA METÁLICA PARA EDIFÍCIOS ACIMA DE 8 PAVIMENTOS. AF_03/2024</v>
          </cell>
          <cell r="D3202" t="str">
            <v>M</v>
          </cell>
          <cell r="E3202">
            <v>0</v>
          </cell>
        </row>
        <row r="3203">
          <cell r="B3203">
            <v>97023</v>
          </cell>
          <cell r="C3203" t="str">
            <v>GUARDA-CORPO PARA ALVENARIA ESTRUTURAL, COM MONTANTE METÁLICO PARA DOIS NÍVEIS DE PROTEÇÃO E FECHAMENTO EM PAINEL DE TELA METÁLICA PARA EDIFÍCIOS COM ALTURA DE 5 A 8 PAVIMENTOS. AF_03/2024</v>
          </cell>
          <cell r="D3203" t="str">
            <v>M</v>
          </cell>
          <cell r="E3203">
            <v>0</v>
          </cell>
        </row>
        <row r="3204">
          <cell r="B3204">
            <v>105804</v>
          </cell>
          <cell r="C3204" t="str">
            <v>GUARDA-CORPO PARA ALVENARIA ESTRUTURAL, COM MONTANTE METÁLICO PARA DOIS NÍVEIS DE PROTEÇÃO E FECHAMENTO EM PAINEL DE TELA METÁLICA PARA EDIFÍCIOS COM ATÉ 4 PAVIMENTOS. AF_03/2024</v>
          </cell>
          <cell r="D3204" t="str">
            <v>M</v>
          </cell>
          <cell r="E3204">
            <v>0</v>
          </cell>
        </row>
        <row r="3205">
          <cell r="B3205">
            <v>104990</v>
          </cell>
          <cell r="C3205" t="str">
            <v>GUARDA-CORPO PARA POÇO DE CREMALHEIRA, COM MONTANTE METÁLICO FIXADO EM LAJE COM CHUMBADOR PARABOLT E FECHAMENTO EM PAINEL DE TELA METÁLICA (EXCLUSO PROTEÇÃO). AF_03/2024</v>
          </cell>
          <cell r="D3205" t="str">
            <v>M</v>
          </cell>
          <cell r="E3205">
            <v>12.37</v>
          </cell>
          <cell r="F3205">
            <v>0</v>
          </cell>
        </row>
        <row r="3206">
          <cell r="B3206">
            <v>97052</v>
          </cell>
          <cell r="C3206" t="str">
            <v>INSTALAÇÃO DE GAMBIARRA PARA SINALIZAÇÃO, INCLUINDO LÂMPADA, E SINALIZADOR. AF_03/2024</v>
          </cell>
          <cell r="D3206" t="str">
            <v>UN</v>
          </cell>
          <cell r="E3206">
            <v>0</v>
          </cell>
        </row>
        <row r="3207">
          <cell r="B3207">
            <v>97054</v>
          </cell>
          <cell r="C3207" t="str">
            <v>INSTALAÇÃO DE SINALIZADOR NOTURNO LED. AF_03/2024</v>
          </cell>
          <cell r="D3207" t="str">
            <v>UN</v>
          </cell>
          <cell r="E3207">
            <v>31.91</v>
          </cell>
          <cell r="F3207">
            <v>0</v>
          </cell>
        </row>
        <row r="3208">
          <cell r="B3208">
            <v>104981</v>
          </cell>
          <cell r="C3208" t="str">
            <v>LINHA DE VIDA INSTALADA JUNTO AO PISO PARA EDIFÍCIOS ACIMA DE 8 PAVIMENTOS. AF_03/2024</v>
          </cell>
          <cell r="D3208" t="str">
            <v>M</v>
          </cell>
          <cell r="E3208">
            <v>0</v>
          </cell>
        </row>
        <row r="3209">
          <cell r="B3209">
            <v>104980</v>
          </cell>
          <cell r="C3209" t="str">
            <v>LINHA DE VIDA INSTALADA JUNTO AO PISO PARA EDIFÍCIOS DE 5 A 8 PAVIMENTOS. AF_03/2024</v>
          </cell>
          <cell r="D3209" t="str">
            <v>M</v>
          </cell>
          <cell r="E3209">
            <v>0</v>
          </cell>
        </row>
        <row r="3210">
          <cell r="B3210">
            <v>97042</v>
          </cell>
          <cell r="C3210" t="str">
            <v>LINHA DE VIDA INSTALADA JUNTO AO PISO PARA EDIFÍCIOS DE ATÉ 4 PAVIMENTOS. AF_03/2024</v>
          </cell>
          <cell r="D3210" t="str">
            <v>M</v>
          </cell>
          <cell r="E3210">
            <v>0</v>
          </cell>
        </row>
        <row r="3211">
          <cell r="B3211">
            <v>97045</v>
          </cell>
          <cell r="C3211" t="str">
            <v>LINHA DE VIDA TIPO VARAL DE SEGURANÇA COM CABO DE AÇO PARA PROTEÇÃO DE PERIFERIA PARA EDIFÍCIOS ACIMA DE 8 PAVIMENTOS. AF_03/2024</v>
          </cell>
          <cell r="D3211" t="str">
            <v>M</v>
          </cell>
          <cell r="E3211">
            <v>0</v>
          </cell>
        </row>
        <row r="3212">
          <cell r="B3212">
            <v>97044</v>
          </cell>
          <cell r="C3212" t="str">
            <v>LINHA DE VIDA TIPO VARAL DE SEGURANÇA COM CABO DE AÇO PARA PROTEÇÃO DE PERIFERIA PARA EDIFÍCIOS DE 5 A 8 PAVIMENTOS. AF_03/2024</v>
          </cell>
          <cell r="D3212" t="str">
            <v>M</v>
          </cell>
          <cell r="E3212">
            <v>0</v>
          </cell>
        </row>
        <row r="3213">
          <cell r="B3213">
            <v>97043</v>
          </cell>
          <cell r="C3213" t="str">
            <v>LINHA DE VIDA TIPO VARAL DE SEGURANÇA COM CABO DE AÇO PARA PROTEÇÃO DE PERIFERIA PARA EDIFÍCIOS DE ATÉ 4 PAVIMENTOS. AF_03/2024</v>
          </cell>
          <cell r="D3213" t="str">
            <v>M</v>
          </cell>
          <cell r="E3213">
            <v>0</v>
          </cell>
        </row>
        <row r="3214">
          <cell r="B3214">
            <v>97063</v>
          </cell>
          <cell r="C3214" t="str">
            <v>MONTAGEM E DESMONTAGEM DE ANDAIME MODULAR FACHADEIRO, COM PISO METÁLICO, PARA EDIFÍCIOS COM MULTIPLOS PAVIMENTOS (EXCLUSIVE ANDAIME E LIMPEZA). AF_03/2024</v>
          </cell>
          <cell r="D3214" t="str">
            <v>M2</v>
          </cell>
          <cell r="E3214">
            <v>25.77</v>
          </cell>
          <cell r="F3214">
            <v>0</v>
          </cell>
        </row>
        <row r="3215">
          <cell r="B3215">
            <v>97065</v>
          </cell>
          <cell r="C3215" t="str">
            <v>MONTAGEM E DESMONTAGEM DE ANDAIME MULTIDIRECIONAL (EXCLUSIVE ANDAIME E LIMPEZA). AF_03/2024</v>
          </cell>
          <cell r="D3215" t="str">
            <v>M3</v>
          </cell>
          <cell r="E3215">
            <v>17.309999999999999</v>
          </cell>
          <cell r="F3215">
            <v>0</v>
          </cell>
        </row>
        <row r="3216">
          <cell r="B3216">
            <v>97064</v>
          </cell>
          <cell r="C3216" t="str">
            <v>MONTAGEM E DESMONTAGEM DE ANDAIME TUBULAR TIPO "TORRE" (EXCLUSIVE ANDAIME E LIMPEZA). AF_03/2024</v>
          </cell>
          <cell r="D3216" t="str">
            <v>M</v>
          </cell>
          <cell r="E3216">
            <v>36.07</v>
          </cell>
          <cell r="F3216">
            <v>0</v>
          </cell>
        </row>
        <row r="3217">
          <cell r="B3217">
            <v>97049</v>
          </cell>
          <cell r="C3217" t="str">
            <v>PLACA INDICATIVA FIXADA DIRETAMENTE NA ESTRUTURA ATRAVÉS DE PREGOS. AF_03/2024</v>
          </cell>
          <cell r="D3217" t="str">
            <v>M2</v>
          </cell>
          <cell r="E3217">
            <v>0</v>
          </cell>
        </row>
        <row r="3218">
          <cell r="B3218">
            <v>96997</v>
          </cell>
          <cell r="C3218" t="str">
            <v>PLATAFORMA DE PROTEÇÃO PRINCIPAL (PRIMÁRIA) PARA COLETA DE RESÍDUOS COM ESTRUTURA METÁLICA E FORRAÇÃO EM TÁBUA DE MADEIRA SERRADA - 1 MONTAGEM POR OBRA. AF_03/2024</v>
          </cell>
          <cell r="D3218" t="str">
            <v>M</v>
          </cell>
          <cell r="E3218">
            <v>0</v>
          </cell>
        </row>
        <row r="3219">
          <cell r="B3219">
            <v>96999</v>
          </cell>
          <cell r="C3219" t="str">
            <v>PLATAFORMA DE PROTEÇÃO PRINCIPAL (PRIMÁRIA) PARA COLETA DE RESÍDUOS COM ESTRUTURA METÁLICA E FORRAÇÃO EM TÁBUA DE MADEIRA SERRADA - 2 MONTAGENS POR OBRA. AF_03/2024</v>
          </cell>
          <cell r="D3219" t="str">
            <v>M</v>
          </cell>
          <cell r="E3219">
            <v>0</v>
          </cell>
        </row>
        <row r="3220">
          <cell r="B3220">
            <v>96996</v>
          </cell>
          <cell r="C3220" t="str">
            <v>PLATAFORMA DE PROTEÇÃO PRINCIPAL (PRIMÁRIA) PARA COLETA DE RESÍDUOS COM ESTRUTURA METÁLICA E TRAMA DE MADEIRA FORRADA EM PAINEL COMPENSADO - 1 MONTAGEM POR OBRA. AF_03/2024</v>
          </cell>
          <cell r="D3220" t="str">
            <v>M</v>
          </cell>
          <cell r="E3220">
            <v>0</v>
          </cell>
        </row>
        <row r="3221">
          <cell r="B3221">
            <v>96998</v>
          </cell>
          <cell r="C3221" t="str">
            <v>PLATAFORMA DE PROTEÇÃO PRINCIPAL (PRIMÁRIA) PARA COLETA DE RESÍDUOS COM ESTRUTURA METÁLICA E TRAMA DE MADEIRA FORRADA EM PAINEL COMPENSADO - 2 MONTAGENS POR OBRA. AF_03/2024</v>
          </cell>
          <cell r="D3221" t="str">
            <v>M</v>
          </cell>
          <cell r="E3221">
            <v>0</v>
          </cell>
        </row>
        <row r="3222">
          <cell r="B3222">
            <v>97067</v>
          </cell>
          <cell r="C3222" t="str">
            <v>PLATAFORMA DE PROTEÇÃO PRINCIPAL PARA ALVENARIA ESTRUTURAL PARA SER APOIADA EM ANDAIME, INCLUSIVE MONTAGEM E DESMONTAGEM. AF_03/2024</v>
          </cell>
          <cell r="D3222" t="str">
            <v>M</v>
          </cell>
          <cell r="E3222">
            <v>795.9</v>
          </cell>
          <cell r="F3222">
            <v>0</v>
          </cell>
        </row>
        <row r="3223">
          <cell r="B3223">
            <v>97001</v>
          </cell>
          <cell r="C3223" t="str">
            <v>PLATAFORMA DE PROTEÇÃO SECUNDÁRIA PARA COLETA DE RESÍDUOS COM ESTRUTURA METÁLICA E FORRAÇÃO EM TÁBUA DE MADEIRA SERRADA - 1 MONTAGEM POR OBRA. AF_03/2024</v>
          </cell>
          <cell r="D3223" t="str">
            <v>M</v>
          </cell>
          <cell r="E3223">
            <v>0</v>
          </cell>
        </row>
        <row r="3224">
          <cell r="B3224">
            <v>97003</v>
          </cell>
          <cell r="C3224" t="str">
            <v>PLATAFORMA DE PROTEÇÃO SECUNDÁRIA PARA COLETA DE RESÍDUOS COM ESTRUTURA METÁLICA E FORRAÇÃO EM TÁBUA DE MADEIRA SERRADA - 2 MONTAGENS POR OBRA. AF_03/2024</v>
          </cell>
          <cell r="D3224" t="str">
            <v>M</v>
          </cell>
          <cell r="E3224">
            <v>0</v>
          </cell>
        </row>
        <row r="3225">
          <cell r="B3225">
            <v>97005</v>
          </cell>
          <cell r="C3225" t="str">
            <v>PLATAFORMA DE PROTEÇÃO SECUNDÁRIA PARA COLETA DE RESÍDUOS COM ESTRUTURA METÁLICA E FORRAÇÃO EM TÁBUA DE MADEIRA SERRADA - 3 MONTAGENS POR OBRA. AF_03/2024</v>
          </cell>
          <cell r="D3225" t="str">
            <v>M</v>
          </cell>
          <cell r="E3225">
            <v>0</v>
          </cell>
        </row>
        <row r="3226">
          <cell r="B3226">
            <v>97000</v>
          </cell>
          <cell r="C3226" t="str">
            <v>PLATAFORMA DE PROTEÇÃO SECUNDÁRIA PARA COLETA DE RESÍDUOS COM ESTRUTURA METÁLICA E TRAMA DE MADEIRA FORRADA EM PAINEL COMPENSADO - 1 MONTAGEM POR OBRA. AF_03/2024</v>
          </cell>
          <cell r="D3226" t="str">
            <v>M</v>
          </cell>
          <cell r="E3226">
            <v>0</v>
          </cell>
        </row>
        <row r="3227">
          <cell r="B3227">
            <v>97002</v>
          </cell>
          <cell r="C3227" t="str">
            <v>PLATAFORMA DE PROTEÇÃO SECUNDÁRIA PARA COLETA DE RESÍDUOS COM ESTRUTURA METÁLICA E TRAMA DE MADEIRA FORRADA EM PAINEL COMPENSADO - 2 MONTAGENS POR OBRA. AF_03/2024</v>
          </cell>
          <cell r="D3227" t="str">
            <v>M</v>
          </cell>
          <cell r="E3227">
            <v>0</v>
          </cell>
        </row>
        <row r="3228">
          <cell r="B3228">
            <v>97004</v>
          </cell>
          <cell r="C3228" t="str">
            <v>PLATAFORMA DE PROTEÇÃO SECUNDÁRIA PARA COLETA DE RESÍDUOS COM ESTRUTURA METÁLICA E TRAMA DE MADEIRA FORRADA EM PAINEL COMPENSADO - 3 MONTAGENS POR OBRA. AF_03/2024</v>
          </cell>
          <cell r="D3228" t="str">
            <v>M</v>
          </cell>
          <cell r="E3228">
            <v>0</v>
          </cell>
        </row>
        <row r="3229">
          <cell r="B3229">
            <v>97007</v>
          </cell>
          <cell r="C3229" t="str">
            <v>PLATAFORMA DE PROTEÇÃO TERCIÁRIA PARA COLETA DE RESÍDUOS COM ESTRUTURA METÁLICA E FORRAÇÃO EM TÁBUA DE MADEIRA SERRADA - 1 MONTAGEM POR OBRA. AF_03/2024</v>
          </cell>
          <cell r="D3229" t="str">
            <v>M</v>
          </cell>
          <cell r="E3229">
            <v>0</v>
          </cell>
        </row>
        <row r="3230">
          <cell r="B3230">
            <v>97009</v>
          </cell>
          <cell r="C3230" t="str">
            <v>PLATAFORMA DE PROTEÇÃO TERCIÁRIA PARA COLETA DE RESÍDUOS COM ESTRUTURA METÁLICA E FORRAÇÃO EM TÁBUA DE MADEIRA SERRADA - 2 MONTAGENS POR OBRA. AF_03/2024</v>
          </cell>
          <cell r="D3230" t="str">
            <v>M</v>
          </cell>
          <cell r="E3230">
            <v>0</v>
          </cell>
        </row>
        <row r="3231">
          <cell r="B3231">
            <v>97006</v>
          </cell>
          <cell r="C3231" t="str">
            <v>PLATAFORMA DE PROTEÇÃO TERCIÁRIA PARA COLETA DE RESÍDUOS COM ESTRUTURA METÁLICA E TRAMA DE MADEIRA FORRADA EM PAINEL COMPENSADO - 1 MONTAGEM POR OBRA. AF_03/2024</v>
          </cell>
          <cell r="D3231" t="str">
            <v>M</v>
          </cell>
          <cell r="E3231">
            <v>0</v>
          </cell>
        </row>
        <row r="3232">
          <cell r="B3232">
            <v>97008</v>
          </cell>
          <cell r="C3232" t="str">
            <v>PLATAFORMA DE PROTEÇÃO TERCIÁRIA PARA COLETA DE RESÍDUOS COM ESTRUTURA METÁLICA E TRAMA DE MADEIRA FORRADA EM PAINEL COMPENSADO - 2 MONTAGENS POR OBRA. AF_03/2024</v>
          </cell>
          <cell r="D3232" t="str">
            <v>M</v>
          </cell>
          <cell r="E3232">
            <v>0</v>
          </cell>
        </row>
        <row r="3233">
          <cell r="B3233">
            <v>97048</v>
          </cell>
          <cell r="C3233" t="str">
            <v>PONTEIRAS DE PROTEÇÃO DE PONTAS E VERGALHÕES EXPOSTOS EM ALVENARIA ESTRUTURAL. AF_03/2024</v>
          </cell>
          <cell r="D3233" t="str">
            <v>M2</v>
          </cell>
          <cell r="E3233">
            <v>0.1</v>
          </cell>
          <cell r="F3233">
            <v>0</v>
          </cell>
        </row>
        <row r="3234">
          <cell r="B3234">
            <v>97047</v>
          </cell>
          <cell r="C3234" t="str">
            <v>PONTEIRAS DE PROTEÇÃO DE PONTAS E VERGALHÕES EXPOSTOS EM ESTRUTURAS DE CONCRETO ARMADO CONVENCIONAL. AF_03/2024</v>
          </cell>
          <cell r="D3234" t="str">
            <v>M2</v>
          </cell>
          <cell r="E3234">
            <v>0.14000000000000001</v>
          </cell>
          <cell r="F3234">
            <v>0</v>
          </cell>
        </row>
        <row r="3235">
          <cell r="B3235">
            <v>97046</v>
          </cell>
          <cell r="C3235" t="str">
            <v>PONTEIRAS DE PROTEÇÃO DE PONTAS E VERGALHÕES EXPOSTOS EM FUNDAÇÕES. AF_03/2024</v>
          </cell>
          <cell r="D3235" t="str">
            <v>M2</v>
          </cell>
          <cell r="E3235">
            <v>0.37</v>
          </cell>
          <cell r="F3235">
            <v>0</v>
          </cell>
        </row>
        <row r="3236">
          <cell r="B3236">
            <v>104989</v>
          </cell>
          <cell r="C3236" t="str">
            <v>PROTEÇÃO DE ACESSO A CREMALHEIRA, COM CANCELA FIXADA EM LAJE - 1 MONTAGEM (EXCLUSO CANCELA). AF_03/2024</v>
          </cell>
          <cell r="D3236" t="str">
            <v>UN</v>
          </cell>
          <cell r="E3236">
            <v>47.04</v>
          </cell>
          <cell r="F3236">
            <v>0</v>
          </cell>
        </row>
        <row r="3237">
          <cell r="B3237">
            <v>97066</v>
          </cell>
          <cell r="C3237" t="str">
            <v>PROTEÇÃO DE PEDESTRES, INCLUSIVE MONTAGEM E DESMONTAGEM. AF_03/2024_PS</v>
          </cell>
          <cell r="D3237" t="str">
            <v>M2</v>
          </cell>
          <cell r="E3237">
            <v>363.32</v>
          </cell>
          <cell r="F3237">
            <v>0</v>
          </cell>
        </row>
        <row r="3238">
          <cell r="B3238">
            <v>104982</v>
          </cell>
          <cell r="C3238" t="str">
            <v>REDE DE PROTEÇÃO PISO A PISO (SISTEMA U). AF_03/2024</v>
          </cell>
          <cell r="D3238" t="str">
            <v>M</v>
          </cell>
          <cell r="E3238">
            <v>0</v>
          </cell>
        </row>
        <row r="3239">
          <cell r="B3239">
            <v>97060</v>
          </cell>
          <cell r="C3239" t="str">
            <v>REDE DE PROTEÇÃO TIPO SLQA INTERMEDIÁRIO PARA EDIFÍCIOS ACIMA DE 8 PAVIMENTOS. AF_03/2024</v>
          </cell>
          <cell r="D3239" t="str">
            <v>M</v>
          </cell>
          <cell r="E3239">
            <v>0</v>
          </cell>
        </row>
        <row r="3240">
          <cell r="B3240">
            <v>97059</v>
          </cell>
          <cell r="C3240" t="str">
            <v>REDE DE PROTEÇÃO TIPO SLQA INTERMEDIÁRIO PARA EDIFÍCIOS DE 5 A 8 PAVIMENTOS. AF_03/2024</v>
          </cell>
          <cell r="D3240" t="str">
            <v>M</v>
          </cell>
          <cell r="E3240">
            <v>0</v>
          </cell>
        </row>
        <row r="3241">
          <cell r="B3241">
            <v>97058</v>
          </cell>
          <cell r="C3241" t="str">
            <v>REDE DE PROTEÇÃO TIPO SLQA INTERMEDIÁRIO PARA EDIFÍCIOS DE ATÉ 4 PAVIMENTOS. AF_03/2024</v>
          </cell>
          <cell r="D3241" t="str">
            <v>M</v>
          </cell>
          <cell r="E3241">
            <v>0</v>
          </cell>
        </row>
        <row r="3242">
          <cell r="B3242">
            <v>97056</v>
          </cell>
          <cell r="C3242" t="str">
            <v>REDE DE PROTEÇÃO TIPO SLQA PESADO COM SUPORTES METÁLICOS TIPO FORCA PARA EDIFÍCIOS DE 5 A 8 PAVIMENTOS. AF_03/2024</v>
          </cell>
          <cell r="D3242" t="str">
            <v>M</v>
          </cell>
          <cell r="E3242">
            <v>0</v>
          </cell>
        </row>
        <row r="3243">
          <cell r="B3243">
            <v>97057</v>
          </cell>
          <cell r="C3243" t="str">
            <v>REDE DE PROTEÇÃO TIPO SLQA PESADO COM SUPORTES METÁLICOS TIPO FORCA PARA EDIFÍCIOS DE ACIMA DE 8 PAVIMENTOS. AF_03/2024</v>
          </cell>
          <cell r="D3243" t="str">
            <v>M</v>
          </cell>
          <cell r="E3243">
            <v>0</v>
          </cell>
        </row>
        <row r="3244">
          <cell r="B3244">
            <v>97055</v>
          </cell>
          <cell r="C3244" t="str">
            <v>REDE DE PROTEÇÃO TIPO SLQA PESADO COM SUPORTES METÁLICOS TIPO FORCA PARA EDIFÍCIOS DE ATÉ 4 PAVIMENTOS. AF_03/2024</v>
          </cell>
          <cell r="D3244" t="str">
            <v>M</v>
          </cell>
          <cell r="E3244">
            <v>0</v>
          </cell>
        </row>
        <row r="3245">
          <cell r="B3245">
            <v>102656</v>
          </cell>
          <cell r="C3245" t="str">
            <v>SINALIZAÇÃO COM FITA FIXADA EM CONE PLÁSTICO, INCLUINDO CONE. AF_03/2024</v>
          </cell>
          <cell r="D3245" t="str">
            <v>M</v>
          </cell>
          <cell r="E3245">
            <v>0</v>
          </cell>
        </row>
        <row r="3246">
          <cell r="B3246">
            <v>104983</v>
          </cell>
          <cell r="C3246" t="str">
            <v>SISTEMA DE PROTEÇÃO PARA PILARES DE PERIFERIA. AF_03/2024</v>
          </cell>
          <cell r="D3246" t="str">
            <v>UN</v>
          </cell>
          <cell r="E3246">
            <v>0</v>
          </cell>
        </row>
        <row r="3247">
          <cell r="B3247">
            <v>97050</v>
          </cell>
          <cell r="C3247" t="str">
            <v>TOTEN EM MADEIRA COM PLACA INDICATIVA POSICIONADA NO TERRENO. AF_03/2024</v>
          </cell>
          <cell r="D3247" t="str">
            <v>M2</v>
          </cell>
          <cell r="E3247">
            <v>0</v>
          </cell>
        </row>
        <row r="3248">
          <cell r="B3248">
            <v>95946</v>
          </cell>
          <cell r="C3248" t="str">
            <v>ARMAÇÃO DE ESCADA, DE UMA ESTRUTURA CONVENCIONAL DE CONCRETO ARMADO UTILIZANDO AÇO CA-50 DE 10,0 MM - MONTAGEM. AF_11/2020</v>
          </cell>
          <cell r="D3248" t="str">
            <v>KG</v>
          </cell>
          <cell r="E3248">
            <v>11.73</v>
          </cell>
          <cell r="F3248">
            <v>0</v>
          </cell>
        </row>
        <row r="3249">
          <cell r="B3249">
            <v>95947</v>
          </cell>
          <cell r="C3249" t="str">
            <v>ARMAÇÃO DE ESCADA, DE UMA ESTRUTURA CONVENCIONAL DE CONCRETO ARMADO UTILIZANDO AÇO CA-50 DE 12,5 MM - MONTAGEM. AF_11/2020</v>
          </cell>
          <cell r="D3249" t="str">
            <v>KG</v>
          </cell>
          <cell r="E3249">
            <v>8.5</v>
          </cell>
          <cell r="F3249">
            <v>0</v>
          </cell>
        </row>
        <row r="3250">
          <cell r="B3250">
            <v>95948</v>
          </cell>
          <cell r="C3250" t="str">
            <v>ARMAÇÃO DE ESCADA, DE UMA ESTRUTURA CONVENCIONAL DE CONCRETO ARMADO UTILIZANDO AÇO CA-50 DE 16,0 MM - MONTAGEM. AF_11/2020</v>
          </cell>
          <cell r="D3250" t="str">
            <v>KG</v>
          </cell>
          <cell r="E3250">
            <v>6.91</v>
          </cell>
          <cell r="F3250">
            <v>0</v>
          </cell>
        </row>
        <row r="3251">
          <cell r="B3251">
            <v>95944</v>
          </cell>
          <cell r="C3251" t="str">
            <v>ARMAÇÃO DE ESCADA, DE UMA ESTRUTURA CONVENCIONAL DE CONCRETO ARMADO UTILIZANDO AÇO CA-50 DE 6,3 MM - MONTAGEM. AF_11/2020</v>
          </cell>
          <cell r="D3251" t="str">
            <v>KG</v>
          </cell>
          <cell r="E3251">
            <v>21.15</v>
          </cell>
          <cell r="F3251">
            <v>0</v>
          </cell>
        </row>
        <row r="3252">
          <cell r="B3252">
            <v>95945</v>
          </cell>
          <cell r="C3252" t="str">
            <v>ARMAÇÃO DE ESCADA, DE UMA ESTRUTURA CONVENCIONAL DE CONCRETO ARMADO UTILIZANDO AÇO CA-50 DE 8,0 MM - MONTAGEM. AF_11/2020</v>
          </cell>
          <cell r="D3252" t="str">
            <v>KG</v>
          </cell>
          <cell r="E3252">
            <v>15.81</v>
          </cell>
          <cell r="F3252">
            <v>0</v>
          </cell>
        </row>
        <row r="3253">
          <cell r="B3253">
            <v>95943</v>
          </cell>
          <cell r="C3253" t="str">
            <v>ARMAÇÃO DE ESCADA, DE UMA ESTRUTURA CONVENCIONAL DE CONCRETO ARMADO UTILIZANDO AÇO CA-60 DE 5,0 MM - MONTAGEM. AF_11/2020</v>
          </cell>
          <cell r="D3253" t="str">
            <v>KG</v>
          </cell>
          <cell r="E3253">
            <v>24.41</v>
          </cell>
          <cell r="F3253">
            <v>0</v>
          </cell>
        </row>
        <row r="3254">
          <cell r="B3254">
            <v>102077</v>
          </cell>
          <cell r="C3254" t="str">
            <v>ESCADA EM CONCRETO ARMADO MOLDADO IN LOCO, FCK 25 MPA, COM 1 LANCE E LAJE CASCATA, FÔRMA EM CHAPA DE MADEIRA COMPENSADA RESINADA. AF_11/2020</v>
          </cell>
          <cell r="D3254" t="str">
            <v>M3</v>
          </cell>
          <cell r="E3254">
            <v>5283.66</v>
          </cell>
          <cell r="F3254">
            <v>0</v>
          </cell>
        </row>
        <row r="3255">
          <cell r="B3255">
            <v>102073</v>
          </cell>
          <cell r="C3255" t="str">
            <v>ESCADA EM CONCRETO ARMADO MOLDADO IN LOCO, FCK 25 MPA, COM 1 LANCE E LAJE PLANA, FÔRMA EM CHAPA DE MADEIRA COMPENSADA RESINADA. AF_11/2020</v>
          </cell>
          <cell r="D3255" t="str">
            <v>M3</v>
          </cell>
          <cell r="E3255">
            <v>3870.9</v>
          </cell>
          <cell r="F3255">
            <v>0</v>
          </cell>
        </row>
        <row r="3256">
          <cell r="B3256">
            <v>102079</v>
          </cell>
          <cell r="C3256" t="str">
            <v>ESCADA EM CONCRETO ARMADO MOLDADO IN LOCO, FCK 25 MPA, COM 2 LANCES EM L E LAJE CASCATA, FÔRMA EM CHAPA DE MADEIRA COMPENSADA RESINADA. AF_11/2020</v>
          </cell>
          <cell r="D3256" t="str">
            <v>M3</v>
          </cell>
          <cell r="E3256">
            <v>5177.3999999999996</v>
          </cell>
          <cell r="F3256">
            <v>0</v>
          </cell>
        </row>
        <row r="3257">
          <cell r="B3257">
            <v>102075</v>
          </cell>
          <cell r="C3257" t="str">
            <v>ESCADA EM CONCRETO ARMADO MOLDADO IN LOCO, FCK 25 MPA, COM 2 LANCES EM L E LAJE PLANA, FÔRMA EM CHAPA DE MADEIRA COMPENSADA RESINADA. AF_11/2020</v>
          </cell>
          <cell r="D3257" t="str">
            <v>M3</v>
          </cell>
          <cell r="E3257">
            <v>4688.38</v>
          </cell>
          <cell r="F3257">
            <v>0</v>
          </cell>
        </row>
        <row r="3258">
          <cell r="B3258">
            <v>102078</v>
          </cell>
          <cell r="C3258" t="str">
            <v>ESCADA EM CONCRETO ARMADO MOLDADO IN LOCO, FCK 25 MPA, COM 2 LANCES EM U E LAJE CASCATA, FÔRMA EM CHAPA DE MADEIRA COMPENSADA RESINADA. AF_11/2020</v>
          </cell>
          <cell r="D3258" t="str">
            <v>M3</v>
          </cell>
          <cell r="E3258">
            <v>5434.49</v>
          </cell>
          <cell r="F3258">
            <v>0</v>
          </cell>
        </row>
        <row r="3259">
          <cell r="B3259">
            <v>102074</v>
          </cell>
          <cell r="C3259" t="str">
            <v>ESCADA EM CONCRETO ARMADO MOLDADO IN LOCO, FCK 25 MPA, COM 2 LANCES EM U E LAJE PLANA, FÔRMA EM CHAPA DE MADEIRA COMPENSADA RESINADA. AF_11/2020</v>
          </cell>
          <cell r="D3259" t="str">
            <v>M3</v>
          </cell>
          <cell r="E3259">
            <v>4549.45</v>
          </cell>
          <cell r="F3259">
            <v>0</v>
          </cell>
        </row>
        <row r="3260">
          <cell r="B3260">
            <v>102080</v>
          </cell>
          <cell r="C3260" t="str">
            <v>ESCADA EM CONCRETO ARMADO MOLDADO IN LOCO, FCK 25 MPA, COM 2 LANCES EM X E LAJE CASCATA, FÔRMA EM CHAPA DE MADEIRA COMPENSADA RESINADA. AF_11/2020</v>
          </cell>
          <cell r="D3260" t="str">
            <v>M3</v>
          </cell>
          <cell r="E3260">
            <v>4452.97</v>
          </cell>
          <cell r="F3260">
            <v>0</v>
          </cell>
        </row>
        <row r="3261">
          <cell r="B3261">
            <v>102076</v>
          </cell>
          <cell r="C3261" t="str">
            <v>ESCADA EM CONCRETO ARMADO MOLDADO IN LOCO, FCK 25 MPA, COM 2 LANCES EM X E LAJE PLANA, FÔRMA EM CHAPA DE MADEIRA COMPENSADA RESINADA. AF_11/2020</v>
          </cell>
          <cell r="D3261" t="str">
            <v>M3</v>
          </cell>
          <cell r="E3261">
            <v>4794.96</v>
          </cell>
          <cell r="F3261">
            <v>0</v>
          </cell>
        </row>
        <row r="3262">
          <cell r="B3262">
            <v>102084</v>
          </cell>
          <cell r="C3262" t="str">
            <v>ESCADA HELICOIDAL EM AÇO GALVANIZADO, DIAMETRO DE 1,2 M, DOTADA DE GUARDA-CORPO, FIXADA COM CHUMBADOR MECÂNICO. AF_11/2020</v>
          </cell>
          <cell r="D3262" t="str">
            <v>M</v>
          </cell>
          <cell r="E3262">
            <v>0</v>
          </cell>
        </row>
        <row r="3263">
          <cell r="B3263">
            <v>102082</v>
          </cell>
          <cell r="C3263" t="str">
            <v>ESCADA TIPO MARINHEIRO EM TUBO ACO GALVANIZADO 1 1/2", COM GUARDA-CORPO, PARA ALTURAS MAIORES QUE 3 M, FIXADA COM CHUMBADOR MECÂNICO. AF_11/2020</v>
          </cell>
          <cell r="D3263" t="str">
            <v>M</v>
          </cell>
          <cell r="E3263">
            <v>0</v>
          </cell>
        </row>
        <row r="3264">
          <cell r="B3264">
            <v>102081</v>
          </cell>
          <cell r="C3264" t="str">
            <v>ESCADA TIPO MARINHEIRO EM TUBO ACO GALVANIZADO 1 1/2", SEM GUARDA-CORPO, FIXADA COM CHUMBADOR MECÂNICO. AF_11/2020</v>
          </cell>
          <cell r="D3264" t="str">
            <v>M</v>
          </cell>
          <cell r="E3264">
            <v>0</v>
          </cell>
        </row>
        <row r="3265">
          <cell r="B3265">
            <v>102092</v>
          </cell>
          <cell r="C3265" t="str">
            <v>ESCADA TIPO MARINHEIRO EM TUBO AÇO GALVANIZADO 1 1/2", COM GUARDA-CORPO, PARA ALTURAS DE ATÉ 3 M, FIXADA COM CHUMBADOR MECÂNICO. AF_11/2020</v>
          </cell>
          <cell r="D3265" t="str">
            <v>M</v>
          </cell>
          <cell r="E3265">
            <v>0</v>
          </cell>
        </row>
        <row r="3266">
          <cell r="B3266">
            <v>102089</v>
          </cell>
          <cell r="C3266" t="str">
            <v>FABRICAÇÃO DE FÔRMA PARA ESCADA DUPLA COM 2 LANCES EM "X" E LAJE CASCATA, EM CHAPA DE MADEIRA COMPENSADA PLASTIFICADA, E=18 MM. AF_11/2020</v>
          </cell>
          <cell r="D3266" t="str">
            <v>M2</v>
          </cell>
          <cell r="E3266">
            <v>179.46</v>
          </cell>
          <cell r="F3266">
            <v>0</v>
          </cell>
        </row>
        <row r="3267">
          <cell r="B3267">
            <v>102090</v>
          </cell>
          <cell r="C3267" t="str">
            <v>FABRICAÇÃO DE FÔRMA PARA ESCADA DUPLA COM 2 LANCES EM "X" E LAJE CASCATA, EM CHAPA DE MADEIRA COMPENSADA RESINADA, E= 17 MM. AF_11/2020</v>
          </cell>
          <cell r="D3267" t="str">
            <v>M2</v>
          </cell>
          <cell r="E3267">
            <v>138.82</v>
          </cell>
          <cell r="F3267">
            <v>0</v>
          </cell>
        </row>
        <row r="3268">
          <cell r="B3268">
            <v>102086</v>
          </cell>
          <cell r="C3268" t="str">
            <v>FABRICAÇÃO DE FÔRMA PARA ESCADA DUPLA COM 2 LANCES EM "X" E LAJE PLANA, EM CHAPA DE MADEIRA COMPENSADA PLASTIFICADA, E=18 MM. AF_11/2020</v>
          </cell>
          <cell r="D3268" t="str">
            <v>M2</v>
          </cell>
          <cell r="E3268">
            <v>192.8</v>
          </cell>
          <cell r="F3268">
            <v>0</v>
          </cell>
        </row>
        <row r="3269">
          <cell r="B3269">
            <v>102087</v>
          </cell>
          <cell r="C3269" t="str">
            <v>FABRICAÇÃO DE FÔRMA PARA ESCADA DUPLA COM 2 LANCES EM "X" E LAJE PLANA, EM CHAPA DE MADEIRA COMPENSADA RESINADA, E= 17 MM. AF_11/2020</v>
          </cell>
          <cell r="D3269" t="str">
            <v>M2</v>
          </cell>
          <cell r="E3269">
            <v>156.97999999999999</v>
          </cell>
          <cell r="F3269">
            <v>0</v>
          </cell>
        </row>
        <row r="3270">
          <cell r="B3270">
            <v>102091</v>
          </cell>
          <cell r="C3270" t="str">
            <v>FABRICAÇÃO DE FÔRMA PARA ESCADA DUPLA COM 2 LANCES EM X E LAJE CASCATA, EM MADEIRA SERRADA, E=25 MM. AF_11/2020</v>
          </cell>
          <cell r="D3270" t="str">
            <v>M2</v>
          </cell>
          <cell r="E3270">
            <v>322.2</v>
          </cell>
          <cell r="F3270">
            <v>0</v>
          </cell>
        </row>
        <row r="3271">
          <cell r="B3271">
            <v>102088</v>
          </cell>
          <cell r="C3271" t="str">
            <v>FABRICAÇÃO DE FÔRMA PARA ESCADA DUPLA COM 2 LANCES EM X E LAJE PLANA, EM MADEIRA SERRADA, E=25 MM. AF_11/2020</v>
          </cell>
          <cell r="D3271" t="str">
            <v>M2</v>
          </cell>
          <cell r="E3271">
            <v>275.45999999999998</v>
          </cell>
          <cell r="F3271">
            <v>0</v>
          </cell>
        </row>
        <row r="3272">
          <cell r="B3272">
            <v>101997</v>
          </cell>
          <cell r="C3272" t="str">
            <v>FABRICAÇÃO DE FÔRMA PARA ESCADAS, COM 1 LANCE E LAJE CASCATA, EM CHAPA DE MADEIRA COMPENSADA PLASTIFICADA, E=18 MM. AF_11/2020</v>
          </cell>
          <cell r="D3272" t="str">
            <v>M2</v>
          </cell>
          <cell r="E3272">
            <v>189.53</v>
          </cell>
          <cell r="F3272">
            <v>0</v>
          </cell>
        </row>
        <row r="3273">
          <cell r="B3273">
            <v>101998</v>
          </cell>
          <cell r="C3273" t="str">
            <v>FABRICAÇÃO DE FÔRMA PARA ESCADAS, COM 1 LANCE E LAJE CASCATA, EM CHAPA DE MADEIRA COMPENSADA RESINADA, E= 17 MM. AF_11/2020</v>
          </cell>
          <cell r="D3273" t="str">
            <v>M2</v>
          </cell>
          <cell r="E3273">
            <v>146.59</v>
          </cell>
          <cell r="F3273">
            <v>0</v>
          </cell>
        </row>
        <row r="3274">
          <cell r="B3274">
            <v>101999</v>
          </cell>
          <cell r="C3274" t="str">
            <v>FABRICAÇÃO DE FÔRMA PARA ESCADAS, COM 1 LANCE E LAJE CASCATA, EM MADEIRA SERRADA, E=25 MM. AF_11/2020</v>
          </cell>
          <cell r="D3274" t="str">
            <v>M2</v>
          </cell>
          <cell r="E3274">
            <v>380.75</v>
          </cell>
          <cell r="F3274">
            <v>0</v>
          </cell>
        </row>
        <row r="3275">
          <cell r="B3275">
            <v>101994</v>
          </cell>
          <cell r="C3275" t="str">
            <v>FABRICAÇÃO DE FÔRMA PARA ESCADAS, COM 1 LANCE E LAJE PLANA, EM CHAPA DE MADEIRA COMPENSADA PLASTIFICADA, E=18 MM. AF_11/2020</v>
          </cell>
          <cell r="D3275" t="str">
            <v>M2</v>
          </cell>
          <cell r="E3275">
            <v>200.09</v>
          </cell>
          <cell r="F3275">
            <v>0</v>
          </cell>
        </row>
        <row r="3276">
          <cell r="B3276">
            <v>101995</v>
          </cell>
          <cell r="C3276" t="str">
            <v>FABRICAÇÃO DE FÔRMA PARA ESCADAS, COM 1 LANCE E LAJE PLANA, EM CHAPA DE MADEIRA COMPENSADA RESINADA, E= 17 MM. AF_11/2020</v>
          </cell>
          <cell r="D3276" t="str">
            <v>M2</v>
          </cell>
          <cell r="E3276">
            <v>161.79</v>
          </cell>
          <cell r="F3276">
            <v>0</v>
          </cell>
        </row>
        <row r="3277">
          <cell r="B3277">
            <v>101996</v>
          </cell>
          <cell r="C3277" t="str">
            <v>FABRICAÇÃO DE FÔRMA PARA ESCADAS, COM 1 LANCE E LAJE PLANA, EM MADEIRA SERRADA, E=25 MM. AF_11/2020</v>
          </cell>
          <cell r="D3277" t="str">
            <v>M2</v>
          </cell>
          <cell r="E3277">
            <v>295.85000000000002</v>
          </cell>
          <cell r="F3277">
            <v>0</v>
          </cell>
        </row>
        <row r="3278">
          <cell r="B3278">
            <v>101991</v>
          </cell>
          <cell r="C3278" t="str">
            <v>FABRICAÇÃO DE FÔRMA PARA ESCADAS, COM 2 LANCES EM "L" E LAJE CASCATA, EM CHAPA DE MADEIRA COMPENSADA PLASTIFICADA, E=18 MM. AF_11/2020</v>
          </cell>
          <cell r="D3278" t="str">
            <v>M2</v>
          </cell>
          <cell r="E3278">
            <v>190.41</v>
          </cell>
          <cell r="F3278">
            <v>0</v>
          </cell>
        </row>
        <row r="3279">
          <cell r="B3279">
            <v>101992</v>
          </cell>
          <cell r="C3279" t="str">
            <v>FABRICAÇÃO DE FÔRMA PARA ESCADAS, COM 2 LANCES EM "L" E LAJE CASCATA, EM CHAPA DE MADEIRA COMPENSADA RESINADA, E= 17 MM. AF_11/2020</v>
          </cell>
          <cell r="D3279" t="str">
            <v>M2</v>
          </cell>
          <cell r="E3279">
            <v>148.41999999999999</v>
          </cell>
          <cell r="F3279">
            <v>0</v>
          </cell>
        </row>
        <row r="3280">
          <cell r="B3280">
            <v>101993</v>
          </cell>
          <cell r="C3280" t="str">
            <v>FABRICAÇÃO DE FÔRMA PARA ESCADAS, COM 2 LANCES EM "L" E LAJE CASCATA, EM MADEIRA SERRADA, E=25 MM. AF_11/2020</v>
          </cell>
          <cell r="D3280" t="str">
            <v>M2</v>
          </cell>
          <cell r="E3280">
            <v>355.32</v>
          </cell>
          <cell r="F3280">
            <v>0</v>
          </cell>
        </row>
        <row r="3281">
          <cell r="B3281">
            <v>101988</v>
          </cell>
          <cell r="C3281" t="str">
            <v>FABRICAÇÃO DE FÔRMA PARA ESCADAS, COM 2 LANCES EM "L" E LAJE PLANA, EM CHAPA DE MADEIRA COMPENSADA PLASTIFICADA, E=18 MM. AF_11/2020</v>
          </cell>
          <cell r="D3281" t="str">
            <v>M2</v>
          </cell>
          <cell r="E3281">
            <v>191.04</v>
          </cell>
          <cell r="F3281">
            <v>0</v>
          </cell>
        </row>
        <row r="3282">
          <cell r="B3282">
            <v>101989</v>
          </cell>
          <cell r="C3282" t="str">
            <v>FABRICAÇÃO DE FÔRMA PARA ESCADAS, COM 2 LANCES EM "L" E LAJE PLANA, EM CHAPA DE MADEIRA COMPENSADA RESINADA, E= 17 MM. AF_11/2020</v>
          </cell>
          <cell r="D3282" t="str">
            <v>M2</v>
          </cell>
          <cell r="E3282">
            <v>156.91999999999999</v>
          </cell>
          <cell r="F3282">
            <v>0</v>
          </cell>
        </row>
        <row r="3283">
          <cell r="B3283">
            <v>101990</v>
          </cell>
          <cell r="C3283" t="str">
            <v>FABRICAÇÃO DE FÔRMA PARA ESCADAS, COM 2 LANCES EM "L" E LAJE PLANA, EM MADEIRA SERRADA, E=25 MM. AF_11/2020</v>
          </cell>
          <cell r="D3283" t="str">
            <v>M2</v>
          </cell>
          <cell r="E3283">
            <v>275.33999999999997</v>
          </cell>
          <cell r="F3283">
            <v>0</v>
          </cell>
        </row>
        <row r="3284">
          <cell r="B3284">
            <v>101985</v>
          </cell>
          <cell r="C3284" t="str">
            <v>FABRICAÇÃO DE FÔRMA PARA ESCADAS, COM 2 LANCES EM "U" E LAJE CASCATA, EM CHAPA DE MADEIRA COMPENSADA PLASTIFICADA, E=18 MM. AF_11/2020</v>
          </cell>
          <cell r="D3284" t="str">
            <v>M2</v>
          </cell>
          <cell r="E3284">
            <v>187.44</v>
          </cell>
          <cell r="F3284">
            <v>0</v>
          </cell>
        </row>
        <row r="3285">
          <cell r="B3285">
            <v>101986</v>
          </cell>
          <cell r="C3285" t="str">
            <v>FABRICAÇÃO DE FÔRMA PARA ESCADAS, COM 2 LANCES EM "U" E LAJE CASCATA, EM CHAPA DE MADEIRA COMPENSADA RESINADA, E= 17 MM. AF_11/2020</v>
          </cell>
          <cell r="D3285" t="str">
            <v>M2</v>
          </cell>
          <cell r="E3285">
            <v>143.52000000000001</v>
          </cell>
          <cell r="F3285">
            <v>0</v>
          </cell>
        </row>
        <row r="3286">
          <cell r="B3286">
            <v>101987</v>
          </cell>
          <cell r="C3286" t="str">
            <v>FABRICAÇÃO DE FÔRMA PARA ESCADAS, COM 2 LANCES EM "U" E LAJE CASCATA, EM MADEIRA SERRADA, E=25 MM. AF_11/2020</v>
          </cell>
          <cell r="D3286" t="str">
            <v>M2</v>
          </cell>
          <cell r="E3286">
            <v>302.56</v>
          </cell>
          <cell r="F3286">
            <v>0</v>
          </cell>
        </row>
        <row r="3287">
          <cell r="B3287">
            <v>101969</v>
          </cell>
          <cell r="C3287" t="str">
            <v>FABRICAÇÃO DE FÔRMA PARA ESCADAS, COM 2 LANCES EM "U" E LAJE PLANA, EM CHAPA DE MADEIRA COMPENSADA PLASTIFICADA, E=18 MM. AF_11/2020</v>
          </cell>
          <cell r="D3287" t="str">
            <v>M2</v>
          </cell>
          <cell r="E3287">
            <v>181.5</v>
          </cell>
          <cell r="F3287">
            <v>0</v>
          </cell>
        </row>
        <row r="3288">
          <cell r="B3288">
            <v>101971</v>
          </cell>
          <cell r="C3288" t="str">
            <v>FABRICAÇÃO DE FÔRMA PARA ESCADAS, COM 2 LANCES EM "U" E LAJE PLANA, EM CHAPA DE MADEIRA COMPENSADA RESINADA, E= 17 MM. AF_11/2020</v>
          </cell>
          <cell r="D3288" t="str">
            <v>M2</v>
          </cell>
          <cell r="E3288">
            <v>146.94999999999999</v>
          </cell>
          <cell r="F3288">
            <v>0</v>
          </cell>
        </row>
        <row r="3289">
          <cell r="B3289">
            <v>101973</v>
          </cell>
          <cell r="C3289" t="str">
            <v>FABRICAÇÃO DE FÔRMA PARA ESCADAS, COM 2 LANCES EM "U" E LAJE PLANA, EM MADEIRA SERRADA, E=25 MM. AF_11/2020</v>
          </cell>
          <cell r="D3289" t="str">
            <v>M2</v>
          </cell>
          <cell r="E3289">
            <v>255.72</v>
          </cell>
          <cell r="F3289">
            <v>0</v>
          </cell>
        </row>
        <row r="3290">
          <cell r="B3290">
            <v>102072</v>
          </cell>
          <cell r="C3290" t="str">
            <v>MONTAGEM E DESMONTAGEM DE FÔRMA PARA ESCADA DUPLA COM 2 LANCES EM "X" E LAJE CASCATA, EM CHAPA DE MADEIRA COMPENSADA PLASTIFICADA, 10 UTILIZAÇÕES. AF_11/2020</v>
          </cell>
          <cell r="D3290" t="str">
            <v>M2</v>
          </cell>
          <cell r="E3290">
            <v>203.29</v>
          </cell>
          <cell r="F3290">
            <v>0</v>
          </cell>
        </row>
        <row r="3291">
          <cell r="B3291">
            <v>102070</v>
          </cell>
          <cell r="C3291" t="str">
            <v>MONTAGEM E DESMONTAGEM DE FÔRMA PARA ESCADA DUPLA COM 2 LANCES EM "X" E LAJE CASCATA, EM CHAPA DE MADEIRA COMPENSADA PLASTIFICADA, 6 UTILIZAÇÕES. AF_11/2020</v>
          </cell>
          <cell r="D3291" t="str">
            <v>M2</v>
          </cell>
          <cell r="E3291">
            <v>238.55</v>
          </cell>
          <cell r="F3291">
            <v>0</v>
          </cell>
        </row>
        <row r="3292">
          <cell r="B3292">
            <v>102071</v>
          </cell>
          <cell r="C3292" t="str">
            <v>MONTAGEM E DESMONTAGEM DE FÔRMA PARA ESCADA DUPLA COM 2 LANCES EM "X" E LAJE CASCATA, EM CHAPA DE MADEIRA COMPENSADA PLASTIFICADA, 8 UTILIZAÇÕES. AF_11/2020</v>
          </cell>
          <cell r="D3292" t="str">
            <v>M2</v>
          </cell>
          <cell r="E3292">
            <v>212.81</v>
          </cell>
          <cell r="F3292">
            <v>0</v>
          </cell>
        </row>
        <row r="3293">
          <cell r="B3293">
            <v>102068</v>
          </cell>
          <cell r="C3293" t="str">
            <v>MONTAGEM E DESMONTAGEM DE FÔRMA PARA ESCADA DUPLA COM 2 LANCES EM "X" E LAJE CASCATA, EM CHAPA DE MADEIRA COMPENSADA RESINADA, 2 UTILIZAÇÕES. AF_11/2020</v>
          </cell>
          <cell r="D3293" t="str">
            <v>M2</v>
          </cell>
          <cell r="E3293">
            <v>303.32</v>
          </cell>
          <cell r="F3293">
            <v>0</v>
          </cell>
        </row>
        <row r="3294">
          <cell r="B3294">
            <v>102069</v>
          </cell>
          <cell r="C3294" t="str">
            <v>MONTAGEM E DESMONTAGEM DE FÔRMA PARA ESCADA DUPLA COM 2 LANCES EM "X" E LAJE CASCATA, EM CHAPA DE MADEIRA COMPENSADA RESINADA, 4 UTILIZAÇÕES. AF_11/2020</v>
          </cell>
          <cell r="D3294" t="str">
            <v>M2</v>
          </cell>
          <cell r="E3294">
            <v>276.38</v>
          </cell>
          <cell r="F3294">
            <v>0</v>
          </cell>
        </row>
        <row r="3295">
          <cell r="B3295">
            <v>102066</v>
          </cell>
          <cell r="C3295" t="str">
            <v>MONTAGEM E DESMONTAGEM DE FÔRMA PARA ESCADA DUPLA COM 2 LANCES EM "X" E LAJE CASCATA, EM MADEIRA SERRADA, 1 UTILIZAÇÃO. AF_11/2020</v>
          </cell>
          <cell r="D3295" t="str">
            <v>M2</v>
          </cell>
          <cell r="E3295">
            <v>605.29999999999995</v>
          </cell>
          <cell r="F3295">
            <v>0</v>
          </cell>
        </row>
        <row r="3296">
          <cell r="B3296">
            <v>102067</v>
          </cell>
          <cell r="C3296" t="str">
            <v>MONTAGEM E DESMONTAGEM DE FÔRMA PARA ESCADA DUPLA COM 2 LANCES EM "X" E LAJE CASCATA, EM MADEIRA SERRADA, 2 UTILIZAÇÕES. AF_11/2020</v>
          </cell>
          <cell r="D3296" t="str">
            <v>M2</v>
          </cell>
          <cell r="E3296">
            <v>516.35</v>
          </cell>
          <cell r="F3296">
            <v>0</v>
          </cell>
        </row>
        <row r="3297">
          <cell r="B3297">
            <v>102065</v>
          </cell>
          <cell r="C3297" t="str">
            <v>MONTAGEM E DESMONTAGEM DE FÔRMA PARA ESCADA DUPLA COM 2 LANCES EM "X" E LAJE PLANA, EM CHAPA DE MADEIRA COMPENSADA PLASTIFICADA, 10 UTILIZAÇÕES. AF_11/2020</v>
          </cell>
          <cell r="D3297" t="str">
            <v>M2</v>
          </cell>
          <cell r="E3297">
            <v>214.25</v>
          </cell>
          <cell r="F3297">
            <v>0</v>
          </cell>
        </row>
        <row r="3298">
          <cell r="B3298">
            <v>102063</v>
          </cell>
          <cell r="C3298" t="str">
            <v>MONTAGEM E DESMONTAGEM DE FÔRMA PARA ESCADA DUPLA COM 2 LANCES EM "X" E LAJE PLANA, EM CHAPA DE MADEIRA COMPENSADA PLASTIFICADA, 6 UTILIZAÇÕES. AF_11/2020</v>
          </cell>
          <cell r="D3298" t="str">
            <v>M2</v>
          </cell>
          <cell r="E3298">
            <v>256.62</v>
          </cell>
          <cell r="F3298">
            <v>0</v>
          </cell>
        </row>
        <row r="3299">
          <cell r="B3299">
            <v>102064</v>
          </cell>
          <cell r="C3299" t="str">
            <v>MONTAGEM E DESMONTAGEM DE FÔRMA PARA ESCADA DUPLA COM 2 LANCES EM "X" E LAJE PLANA, EM CHAPA DE MADEIRA COMPENSADA PLASTIFICADA, 8 UTILIZAÇÕES. AF_11/2020</v>
          </cell>
          <cell r="D3299" t="str">
            <v>M2</v>
          </cell>
          <cell r="E3299">
            <v>229.41</v>
          </cell>
          <cell r="F3299">
            <v>0</v>
          </cell>
        </row>
        <row r="3300">
          <cell r="B3300">
            <v>102061</v>
          </cell>
          <cell r="C3300" t="str">
            <v>MONTAGEM E DESMONTAGEM DE FÔRMA PARA ESCADA DUPLA COM 2 LANCES EM "X" E LAJE PLANA, EM CHAPA DE MADEIRA COMPENSADA RESINADA, 2 UTILIZAÇÕES. AF_11/2020</v>
          </cell>
          <cell r="D3300" t="str">
            <v>M2</v>
          </cell>
          <cell r="E3300">
            <v>326.8</v>
          </cell>
          <cell r="F3300">
            <v>0</v>
          </cell>
        </row>
        <row r="3301">
          <cell r="B3301">
            <v>102062</v>
          </cell>
          <cell r="C3301" t="str">
            <v>MONTAGEM E DESMONTAGEM DE FÔRMA PARA ESCADA DUPLA COM 2 LANCES EM "X" E LAJE PLANA, EM CHAPA DE MADEIRA COMPENSADA RESINADA, 4 UTILIZAÇÕES. AF_11/2020</v>
          </cell>
          <cell r="D3301" t="str">
            <v>M2</v>
          </cell>
          <cell r="E3301">
            <v>301.08</v>
          </cell>
          <cell r="F3301">
            <v>0</v>
          </cell>
        </row>
        <row r="3302">
          <cell r="B3302">
            <v>102059</v>
          </cell>
          <cell r="C3302" t="str">
            <v>MONTAGEM E DESMONTAGEM DE FÔRMA PARA ESCADA DUPLA COM 2 LANCES EM "X" E LAJE PLANA, EM MADEIRA SERRADA, 1 UTILIZAÇÃO. AF_11/2020</v>
          </cell>
          <cell r="D3302" t="str">
            <v>M2</v>
          </cell>
          <cell r="E3302">
            <v>574.17999999999995</v>
          </cell>
          <cell r="F3302">
            <v>0</v>
          </cell>
        </row>
        <row r="3303">
          <cell r="B3303">
            <v>102060</v>
          </cell>
          <cell r="C3303" t="str">
            <v>MONTAGEM E DESMONTAGEM DE FÔRMA PARA ESCADA DUPLA COM 2 LANCES EM "X" E LAJE PLANA, EM MADEIRA SERRADA, 2 UTILIZAÇÕES. AF_11/2020</v>
          </cell>
          <cell r="D3303" t="str">
            <v>M2</v>
          </cell>
          <cell r="E3303">
            <v>480.13</v>
          </cell>
          <cell r="F3303">
            <v>0</v>
          </cell>
        </row>
        <row r="3304">
          <cell r="B3304">
            <v>102052</v>
          </cell>
          <cell r="C3304" t="str">
            <v>MONTAGEM E DESMONTAGEM DE FÔRMA PARA ESCADAS, COM 1 LANCE E LAJE CASCATA, EM CHAPA DE MADEIRA COMPENSADA PLASTIFICADA, 10 UTILIZAÇÕES. AF_11/2020</v>
          </cell>
          <cell r="D3304" t="str">
            <v>M2</v>
          </cell>
          <cell r="E3304">
            <v>209.96</v>
          </cell>
          <cell r="F3304">
            <v>0</v>
          </cell>
        </row>
        <row r="3305">
          <cell r="B3305">
            <v>102050</v>
          </cell>
          <cell r="C3305" t="str">
            <v>MONTAGEM E DESMONTAGEM DE FÔRMA PARA ESCADAS, COM 1 LANCE E LAJE CASCATA, EM CHAPA DE MADEIRA COMPENSADA PLASTIFICADA, 6 UTILIZAÇÕES. AF_11/2020</v>
          </cell>
          <cell r="D3305" t="str">
            <v>M2</v>
          </cell>
          <cell r="E3305">
            <v>253.61</v>
          </cell>
          <cell r="F3305">
            <v>0</v>
          </cell>
        </row>
        <row r="3306">
          <cell r="B3306">
            <v>102051</v>
          </cell>
          <cell r="C3306" t="str">
            <v>MONTAGEM E DESMONTAGEM DE FÔRMA PARA ESCADAS, COM 1 LANCE E LAJE CASCATA, EM CHAPA DE MADEIRA COMPENSADA PLASTIFICADA, 8 UTILIZAÇÕES. AF_11/2020</v>
          </cell>
          <cell r="D3306" t="str">
            <v>M2</v>
          </cell>
          <cell r="E3306">
            <v>225.61</v>
          </cell>
          <cell r="F3306">
            <v>0</v>
          </cell>
        </row>
        <row r="3307">
          <cell r="B3307">
            <v>102048</v>
          </cell>
          <cell r="C3307" t="str">
            <v>MONTAGEM E DESMONTAGEM DE FÔRMA PARA ESCADAS, COM 1 LANCE E LAJE CASCATA, EM CHAPA DE MADEIRA COMPENSADA RESINADA, 2 UTILIZAÇÕES. AF_11/2020</v>
          </cell>
          <cell r="D3307" t="str">
            <v>M2</v>
          </cell>
          <cell r="E3307">
            <v>332.42</v>
          </cell>
          <cell r="F3307">
            <v>0</v>
          </cell>
        </row>
        <row r="3308">
          <cell r="B3308">
            <v>102049</v>
          </cell>
          <cell r="C3308" t="str">
            <v>MONTAGEM E DESMONTAGEM DE FÔRMA PARA ESCADAS, COM 1 LANCE E LAJE CASCATA, EM CHAPA DE MADEIRA COMPENSADA RESINADA, 4 UTILIZAÇÕES. AF_11/2020</v>
          </cell>
          <cell r="D3308" t="str">
            <v>M2</v>
          </cell>
          <cell r="E3308">
            <v>294.16000000000003</v>
          </cell>
          <cell r="F3308">
            <v>0</v>
          </cell>
        </row>
        <row r="3309">
          <cell r="B3309">
            <v>102046</v>
          </cell>
          <cell r="C3309" t="str">
            <v>MONTAGEM E DESMONTAGEM DE FÔRMA PARA ESCADAS, COM 1 LANCE E LAJE CASCATA, EM MADEIRA SERRADA, 1 UTILIZAÇÃO. AF_11/2020</v>
          </cell>
          <cell r="D3309" t="str">
            <v>M2</v>
          </cell>
          <cell r="E3309">
            <v>683.42</v>
          </cell>
          <cell r="F3309">
            <v>0</v>
          </cell>
        </row>
        <row r="3310">
          <cell r="B3310">
            <v>102047</v>
          </cell>
          <cell r="C3310" t="str">
            <v>MONTAGEM E DESMONTAGEM DE FÔRMA PARA ESCADAS, COM 1 LANCE E LAJE CASCATA, EM MADEIRA SERRADA, 2 UTILIZAÇÕES. AF_11/2020</v>
          </cell>
          <cell r="D3310" t="str">
            <v>M2</v>
          </cell>
          <cell r="E3310">
            <v>580.08000000000004</v>
          </cell>
          <cell r="F3310">
            <v>0</v>
          </cell>
        </row>
        <row r="3311">
          <cell r="B3311">
            <v>102045</v>
          </cell>
          <cell r="C3311" t="str">
            <v>MONTAGEM E DESMONTAGEM DE FÔRMA PARA ESCADAS, COM 1 LANCE E LAJE PLANA, EM CHAPA DE MADEIRA COMPENSADA PLASTIFICADA, 10 UTILIZAÇÕES. AF_11/2020</v>
          </cell>
          <cell r="D3311" t="str">
            <v>M2</v>
          </cell>
          <cell r="E3311">
            <v>228.97</v>
          </cell>
          <cell r="F3311">
            <v>0</v>
          </cell>
        </row>
        <row r="3312">
          <cell r="B3312">
            <v>102043</v>
          </cell>
          <cell r="C3312" t="str">
            <v>MONTAGEM E DESMONTAGEM DE FÔRMA PARA ESCADAS, COM 1 LANCE E LAJE PLANA, EM CHAPA DE MADEIRA COMPENSADA PLASTIFICADA, 6 UTILIZAÇÕES. AF_11/2020</v>
          </cell>
          <cell r="D3312" t="str">
            <v>M2</v>
          </cell>
          <cell r="E3312">
            <v>272.41000000000003</v>
          </cell>
          <cell r="F3312">
            <v>0</v>
          </cell>
        </row>
        <row r="3313">
          <cell r="B3313">
            <v>102044</v>
          </cell>
          <cell r="C3313" t="str">
            <v>MONTAGEM E DESMONTAGEM DE FÔRMA PARA ESCADAS, COM 1 LANCE E LAJE PLANA, EM CHAPA DE MADEIRA COMPENSADA PLASTIFICADA, 8 UTILIZAÇÕES. AF_11/2020</v>
          </cell>
          <cell r="D3313" t="str">
            <v>M2</v>
          </cell>
          <cell r="E3313">
            <v>245.25</v>
          </cell>
          <cell r="F3313">
            <v>0</v>
          </cell>
        </row>
        <row r="3314">
          <cell r="B3314">
            <v>102041</v>
          </cell>
          <cell r="C3314" t="str">
            <v>MONTAGEM E DESMONTAGEM DE FÔRMA PARA ESCADAS, COM 1 LANCE E LAJE PLANA, EM CHAPA DE MADEIRA COMPENSADA RESINADA, 2 UTILIZAÇÕES. AF_11/2020</v>
          </cell>
          <cell r="D3314" t="str">
            <v>M2</v>
          </cell>
          <cell r="E3314">
            <v>354.49</v>
          </cell>
          <cell r="F3314">
            <v>0</v>
          </cell>
        </row>
        <row r="3315">
          <cell r="B3315">
            <v>102042</v>
          </cell>
          <cell r="C3315" t="str">
            <v>MONTAGEM E DESMONTAGEM DE FÔRMA PARA ESCADAS, COM 1 LANCE E LAJE PLANA, EM CHAPA DE MADEIRA COMPENSADA RESINADA, 4 UTILIZAÇÕES. AF_11/2020</v>
          </cell>
          <cell r="D3315" t="str">
            <v>M2</v>
          </cell>
          <cell r="E3315">
            <v>318.60000000000002</v>
          </cell>
          <cell r="F3315">
            <v>0</v>
          </cell>
        </row>
        <row r="3316">
          <cell r="B3316">
            <v>102039</v>
          </cell>
          <cell r="C3316" t="str">
            <v>MONTAGEM E DESMONTAGEM DE FÔRMA PARA ESCADAS, COM 1 LANCE E LAJE PLANA, EM MADEIRA SERRADA, 1 UTILIZAÇÃO. AF_11/2020</v>
          </cell>
          <cell r="D3316" t="str">
            <v>M2</v>
          </cell>
          <cell r="E3316">
            <v>619.63</v>
          </cell>
          <cell r="F3316">
            <v>0</v>
          </cell>
        </row>
        <row r="3317">
          <cell r="B3317">
            <v>102040</v>
          </cell>
          <cell r="C3317" t="str">
            <v>MONTAGEM E DESMONTAGEM DE FÔRMA PARA ESCADAS, COM 1 LANCE E LAJE PLANA, EM MADEIRA SERRADA, 2 UTILIZAÇÕES. AF_11/2020</v>
          </cell>
          <cell r="D3317" t="str">
            <v>M2</v>
          </cell>
          <cell r="E3317">
            <v>513.65</v>
          </cell>
          <cell r="F3317">
            <v>0</v>
          </cell>
        </row>
        <row r="3318">
          <cell r="B3318">
            <v>102038</v>
          </cell>
          <cell r="C3318" t="str">
            <v>MONTAGEM E DESMONTAGEM DE FÔRMA PARA ESCADAS, COM 2 LANCES EM "L" E LAJE CASCATA, EM CHAPA DE MADEIRA COMPENSADA PLASTIFICADA, 10 UTILIZAÇÕES. AF_11/2020</v>
          </cell>
          <cell r="D3318" t="str">
            <v>M2</v>
          </cell>
          <cell r="E3318">
            <v>221.54</v>
          </cell>
          <cell r="F3318">
            <v>0</v>
          </cell>
        </row>
        <row r="3319">
          <cell r="B3319">
            <v>102036</v>
          </cell>
          <cell r="C3319" t="str">
            <v>MONTAGEM E DESMONTAGEM DE FÔRMA PARA ESCADAS, COM 2 LANCES EM "L" E LAJE CASCATA, EM CHAPA DE MADEIRA COMPENSADA PLASTIFICADA, 6 UTILIZAÇÕES. AF_11/2020</v>
          </cell>
          <cell r="D3319" t="str">
            <v>M2</v>
          </cell>
          <cell r="E3319">
            <v>265.33999999999997</v>
          </cell>
          <cell r="F3319">
            <v>0</v>
          </cell>
        </row>
        <row r="3320">
          <cell r="B3320">
            <v>102037</v>
          </cell>
          <cell r="C3320" t="str">
            <v>MONTAGEM E DESMONTAGEM DE FÔRMA PARA ESCADAS, COM 2 LANCES EM "L" E LAJE CASCATA, EM CHAPA DE MADEIRA COMPENSADA PLASTIFICADA, 8 UTILIZAÇÕES. AF_11/2020</v>
          </cell>
          <cell r="D3320" t="str">
            <v>M2</v>
          </cell>
          <cell r="E3320">
            <v>237.25</v>
          </cell>
          <cell r="F3320">
            <v>0</v>
          </cell>
        </row>
        <row r="3321">
          <cell r="B3321">
            <v>102016</v>
          </cell>
          <cell r="C3321" t="str">
            <v>MONTAGEM E DESMONTAGEM DE FÔRMA PARA ESCADAS, COM 2 LANCES EM "L" E LAJE CASCATA, EM CHAPA DE MADEIRA COMPENSADA RESINADA, 2 UTILIZAÇÕES. AF_11/2020</v>
          </cell>
          <cell r="D3321" t="str">
            <v>M2</v>
          </cell>
          <cell r="E3321">
            <v>342.03</v>
          </cell>
          <cell r="F3321">
            <v>0</v>
          </cell>
        </row>
        <row r="3322">
          <cell r="B3322">
            <v>102017</v>
          </cell>
          <cell r="C3322" t="str">
            <v>MONTAGEM E DESMONTAGEM DE FÔRMA PARA ESCADAS, COM 2 LANCES EM "L" E LAJE CASCATA, EM CHAPA DE MADEIRA COMPENSADA RESINADA, 4 UTILIZAÇÕES. AF_11/2020</v>
          </cell>
          <cell r="D3322" t="str">
            <v>M2</v>
          </cell>
          <cell r="E3322">
            <v>308.11</v>
          </cell>
          <cell r="F3322">
            <v>0</v>
          </cell>
        </row>
        <row r="3323">
          <cell r="B3323">
            <v>102014</v>
          </cell>
          <cell r="C3323" t="str">
            <v>MONTAGEM E DESMONTAGEM DE FÔRMA PARA ESCADAS, COM 2 LANCES EM "L" E LAJE CASCATA, EM MADEIRA SERRADA, 1 UTILIZAÇÃO. AF_11/2020</v>
          </cell>
          <cell r="D3323" t="str">
            <v>M2</v>
          </cell>
          <cell r="E3323">
            <v>669.15</v>
          </cell>
          <cell r="F3323">
            <v>0</v>
          </cell>
        </row>
        <row r="3324">
          <cell r="B3324">
            <v>102015</v>
          </cell>
          <cell r="C3324" t="str">
            <v>MONTAGEM E DESMONTAGEM DE FÔRMA PARA ESCADAS, COM 2 LANCES EM "L" E LAJE CASCATA, EM MADEIRA SERRADA, 2 UTILIZAÇÕES. AF_11/2020</v>
          </cell>
          <cell r="D3324" t="str">
            <v>M2</v>
          </cell>
          <cell r="E3324">
            <v>558.52</v>
          </cell>
          <cell r="F3324">
            <v>0</v>
          </cell>
        </row>
        <row r="3325">
          <cell r="B3325">
            <v>102013</v>
          </cell>
          <cell r="C3325" t="str">
            <v>MONTAGEM E DESMONTAGEM DE FÔRMA PARA ESCADAS, COM 2 LANCES EM "L" E LAJE PLANA, EM CHAPA DE MADEIRA COMPENSADA PLASTIFICADA, 10 UTILIZAÇÕES. AF_11/2020</v>
          </cell>
          <cell r="D3325" t="str">
            <v>M2</v>
          </cell>
          <cell r="E3325">
            <v>232.39</v>
          </cell>
          <cell r="F3325">
            <v>0</v>
          </cell>
        </row>
        <row r="3326">
          <cell r="B3326">
            <v>102011</v>
          </cell>
          <cell r="C3326" t="str">
            <v>MONTAGEM E DESMONTAGEM DE FÔRMA PARA ESCADAS, COM 2 LANCES EM "L" E LAJE PLANA, EM CHAPA DE MADEIRA COMPENSADA PLASTIFICADA, 6 UTILIZAÇÕES. AF_11/2020</v>
          </cell>
          <cell r="D3326" t="str">
            <v>M2</v>
          </cell>
          <cell r="E3326">
            <v>276.3</v>
          </cell>
          <cell r="F3326">
            <v>0</v>
          </cell>
        </row>
        <row r="3327">
          <cell r="B3327">
            <v>102012</v>
          </cell>
          <cell r="C3327" t="str">
            <v>MONTAGEM E DESMONTAGEM DE FÔRMA PARA ESCADAS, COM 2 LANCES EM "L" E LAJE PLANA, EM CHAPA DE MADEIRA COMPENSADA PLASTIFICADA, 8 UTILIZAÇÕES. AF_11/2020</v>
          </cell>
          <cell r="D3327" t="str">
            <v>M2</v>
          </cell>
          <cell r="E3327">
            <v>248.13</v>
          </cell>
          <cell r="F3327">
            <v>0</v>
          </cell>
        </row>
        <row r="3328">
          <cell r="B3328">
            <v>102009</v>
          </cell>
          <cell r="C3328" t="str">
            <v>MONTAGEM E DESMONTAGEM DE FÔRMA PARA ESCADAS, COM 2 LANCES EM "L" E LAJE PLANA, EM CHAPA DE MADEIRA COMPENSADA RESINADA, 2 UTILIZAÇÕES. AF_11/2020</v>
          </cell>
          <cell r="D3328" t="str">
            <v>M2</v>
          </cell>
          <cell r="E3328">
            <v>356.68</v>
          </cell>
          <cell r="F3328">
            <v>0</v>
          </cell>
        </row>
        <row r="3329">
          <cell r="B3329">
            <v>102010</v>
          </cell>
          <cell r="C3329" t="str">
            <v>MONTAGEM E DESMONTAGEM DE FÔRMA PARA ESCADAS, COM 2 LANCES EM "L" E LAJE PLANA, EM CHAPA DE MADEIRA COMPENSADA RESINADA, 4 UTILIZAÇÕES. AF_11/2020</v>
          </cell>
          <cell r="D3329" t="str">
            <v>M2</v>
          </cell>
          <cell r="E3329">
            <v>323.99</v>
          </cell>
          <cell r="F3329">
            <v>0</v>
          </cell>
        </row>
        <row r="3330">
          <cell r="B3330">
            <v>102007</v>
          </cell>
          <cell r="C3330" t="str">
            <v>MONTAGEM E DESMONTAGEM DE FÔRMA PARA ESCADAS, COM 2 LANCES EM "L" E LAJE PLANA, EM MADEIRA SERRADA, 1 UTILIZAÇÃO. AF_11/2020</v>
          </cell>
          <cell r="D3330" t="str">
            <v>M2</v>
          </cell>
          <cell r="E3330">
            <v>592.34</v>
          </cell>
          <cell r="F3330">
            <v>0</v>
          </cell>
        </row>
        <row r="3331">
          <cell r="B3331">
            <v>102008</v>
          </cell>
          <cell r="C3331" t="str">
            <v>MONTAGEM E DESMONTAGEM DE FÔRMA PARA ESCADAS, COM 2 LANCES EM "L" E LAJE PLANA, EM MADEIRA SERRADA, 2 UTILIZAÇÕES. AF_11/2020</v>
          </cell>
          <cell r="D3331" t="str">
            <v>M2</v>
          </cell>
          <cell r="E3331">
            <v>492.44</v>
          </cell>
          <cell r="F3331">
            <v>0</v>
          </cell>
        </row>
        <row r="3332">
          <cell r="B3332">
            <v>102006</v>
          </cell>
          <cell r="C3332" t="str">
            <v>MONTAGEM E DESMONTAGEM DE FÔRMA PARA ESCADAS, COM 2 LANCES EM "U" E LAJE CASCATA, EM CHAPA DE MADEIRA COMPENSADA PLASTIFICADA, 10 UTILIZAÇÕES. AF_11/2020</v>
          </cell>
          <cell r="D3332" t="str">
            <v>M2</v>
          </cell>
          <cell r="E3332">
            <v>225.03</v>
          </cell>
          <cell r="F3332">
            <v>0</v>
          </cell>
        </row>
        <row r="3333">
          <cell r="B3333">
            <v>102004</v>
          </cell>
          <cell r="C3333" t="str">
            <v>MONTAGEM E DESMONTAGEM DE FÔRMA PARA ESCADAS, COM 2 LANCES EM "U" E LAJE CASCATA, EM CHAPA DE MADEIRA COMPENSADA PLASTIFICADA, 6 UTILIZAÇÕES. AF_11/2020</v>
          </cell>
          <cell r="D3333" t="str">
            <v>M2</v>
          </cell>
          <cell r="E3333">
            <v>270.2</v>
          </cell>
          <cell r="F3333">
            <v>0</v>
          </cell>
        </row>
        <row r="3334">
          <cell r="B3334">
            <v>102005</v>
          </cell>
          <cell r="C3334" t="str">
            <v>MONTAGEM E DESMONTAGEM DE FÔRMA PARA ESCADAS, COM 2 LANCES EM "U" E LAJE CASCATA, EM CHAPA DE MADEIRA COMPENSADA PLASTIFICADA, 8 UTILIZAÇÕES. AF_11/2020</v>
          </cell>
          <cell r="D3334" t="str">
            <v>M2</v>
          </cell>
          <cell r="E3334">
            <v>242.43</v>
          </cell>
          <cell r="F3334">
            <v>0</v>
          </cell>
        </row>
        <row r="3335">
          <cell r="B3335">
            <v>102002</v>
          </cell>
          <cell r="C3335" t="str">
            <v>MONTAGEM E DESMONTAGEM DE FÔRMA PARA ESCADAS, COM 2 LANCES EM "U" E LAJE CASCATA, EM CHAPA DE MADEIRA COMPENSADA RESINADA, 2 UTILIZAÇÕES. AF_11/2020</v>
          </cell>
          <cell r="D3335" t="str">
            <v>M2</v>
          </cell>
          <cell r="E3335">
            <v>342.36</v>
          </cell>
          <cell r="F3335">
            <v>0</v>
          </cell>
        </row>
        <row r="3336">
          <cell r="B3336">
            <v>102003</v>
          </cell>
          <cell r="C3336" t="str">
            <v>MONTAGEM E DESMONTAGEM DE FÔRMA PARA ESCADAS, COM 2 LANCES EM "U" E LAJE CASCATA, EM CHAPA DE MADEIRA COMPENSADA RESINADA, 4 UTILIZAÇÕES. AF_11/2020</v>
          </cell>
          <cell r="D3336" t="str">
            <v>M2</v>
          </cell>
          <cell r="E3336">
            <v>310.72000000000003</v>
          </cell>
          <cell r="F3336">
            <v>0</v>
          </cell>
        </row>
        <row r="3337">
          <cell r="B3337">
            <v>102000</v>
          </cell>
          <cell r="C3337" t="str">
            <v>MONTAGEM E DESMONTAGEM DE FÔRMA PARA ESCADAS, COM 2 LANCES EM "U" E LAJE CASCATA, EM MADEIRA SERRADA, 1 UTILIZAÇÃO. AF_11/2020</v>
          </cell>
          <cell r="D3337" t="str">
            <v>M2</v>
          </cell>
          <cell r="E3337">
            <v>616.37</v>
          </cell>
          <cell r="F3337">
            <v>0</v>
          </cell>
        </row>
        <row r="3338">
          <cell r="B3338">
            <v>102001</v>
          </cell>
          <cell r="C3338" t="str">
            <v>MONTAGEM E DESMONTAGEM DE FÔRMA PARA ESCADAS, COM 2 LANCES EM "U" E LAJE CASCATA, EM MADEIRA SERRADA, 2 UTILIZAÇÕES. AF_11/2020</v>
          </cell>
          <cell r="D3338" t="str">
            <v>M2</v>
          </cell>
          <cell r="E3338">
            <v>528.38</v>
          </cell>
          <cell r="F3338">
            <v>0</v>
          </cell>
        </row>
        <row r="3339">
          <cell r="B3339">
            <v>101983</v>
          </cell>
          <cell r="C3339" t="str">
            <v>MONTAGEM E DESMONTAGEM DE FÔRMA PARA ESCADAS, COM 2 LANCES EM "U" E LAJE PLANA, EM CHAPA DE MADEIRA COMPENSADA PLASTIFICADA, 10 UTILIZAÇÕES. AF_11/2020</v>
          </cell>
          <cell r="D3339" t="str">
            <v>M2</v>
          </cell>
          <cell r="E3339">
            <v>235.71</v>
          </cell>
          <cell r="F3339">
            <v>0</v>
          </cell>
        </row>
        <row r="3340">
          <cell r="B3340">
            <v>101981</v>
          </cell>
          <cell r="C3340" t="str">
            <v>MONTAGEM E DESMONTAGEM DE FÔRMA PARA ESCADAS, COM 2 LANCES EM "U" E LAJE PLANA, EM CHAPA DE MADEIRA COMPENSADA PLASTIFICADA, 6 UTILIZAÇÕES. AF_11/2020</v>
          </cell>
          <cell r="D3340" t="str">
            <v>M2</v>
          </cell>
          <cell r="E3340">
            <v>279.81</v>
          </cell>
          <cell r="F3340">
            <v>0</v>
          </cell>
        </row>
        <row r="3341">
          <cell r="B3341">
            <v>101982</v>
          </cell>
          <cell r="C3341" t="str">
            <v>MONTAGEM E DESMONTAGEM DE FÔRMA PARA ESCADAS, COM 2 LANCES EM "U" E LAJE PLANA, EM CHAPA DE MADEIRA COMPENSADA PLASTIFICADA, 8 UTILIZAÇÕES. AF_11/2020</v>
          </cell>
          <cell r="D3341" t="str">
            <v>M2</v>
          </cell>
          <cell r="E3341">
            <v>252.69</v>
          </cell>
          <cell r="F3341">
            <v>0</v>
          </cell>
        </row>
        <row r="3342">
          <cell r="B3342">
            <v>101977</v>
          </cell>
          <cell r="C3342" t="str">
            <v>MONTAGEM E DESMONTAGEM DE FÔRMA PARA ESCADAS, COM 2 LANCES EM "U" E LAJE PLANA, EM CHAPA DE MADEIRA COMPENSADA RESINADA, 2 UTILIZAÇÕES. AF_11/2020</v>
          </cell>
          <cell r="D3342" t="str">
            <v>M2</v>
          </cell>
          <cell r="E3342">
            <v>354.23</v>
          </cell>
          <cell r="F3342">
            <v>0</v>
          </cell>
        </row>
        <row r="3343">
          <cell r="B3343">
            <v>101980</v>
          </cell>
          <cell r="C3343" t="str">
            <v>MONTAGEM E DESMONTAGEM DE FÔRMA PARA ESCADAS, COM 2 LANCES EM "U" E LAJE PLANA, EM CHAPA DE MADEIRA COMPENSADA RESINADA, 4 UTILIZAÇÕES. AF_11/2020</v>
          </cell>
          <cell r="D3343" t="str">
            <v>M2</v>
          </cell>
          <cell r="E3343">
            <v>324.75</v>
          </cell>
          <cell r="F3343">
            <v>0</v>
          </cell>
        </row>
        <row r="3344">
          <cell r="B3344">
            <v>101974</v>
          </cell>
          <cell r="C3344" t="str">
            <v>MONTAGEM E DESMONTAGEM DE FÔRMA PARA ESCADAS, COM 2 LANCES EM "U" E LAJE PLANA, EM MADEIRA SERRADA, 1 UTILIZAÇÃO. AF_11/2020</v>
          </cell>
          <cell r="D3344" t="str">
            <v>M2</v>
          </cell>
          <cell r="E3344">
            <v>597.1</v>
          </cell>
          <cell r="F3344">
            <v>0</v>
          </cell>
        </row>
        <row r="3345">
          <cell r="B3345">
            <v>101975</v>
          </cell>
          <cell r="C3345" t="str">
            <v>MONTAGEM E DESMONTAGEM DE FÔRMA PARA ESCADAS, COM 2 LANCES EM "U" E LAJE PLANA, EM MADEIRA SERRADA, 2 UTILIZAÇÕES. AF_11/2020</v>
          </cell>
          <cell r="D3345" t="str">
            <v>M2</v>
          </cell>
          <cell r="E3345">
            <v>505.16</v>
          </cell>
          <cell r="F3345">
            <v>0</v>
          </cell>
        </row>
        <row r="3346">
          <cell r="B3346">
            <v>101114</v>
          </cell>
          <cell r="C3346" t="str">
            <v>ESCAVAÇÃO HORIZONTAL EM SOLO DE 1A CATEGORIA COM TRATOR DE ESTEIRAS (100HP/LÂMINA: 2,19M3). AF_07/2020</v>
          </cell>
          <cell r="D3346" t="str">
            <v>M3</v>
          </cell>
          <cell r="E3346">
            <v>5.08</v>
          </cell>
          <cell r="F3346">
            <v>0</v>
          </cell>
        </row>
        <row r="3347">
          <cell r="B3347">
            <v>101118</v>
          </cell>
          <cell r="C3347" t="str">
            <v>ESCAVAÇÃO HORIZONTAL EM SOLO DE 1A CATEGORIA COM TRATOR DE ESTEIRAS (125HP/LÂMINA: 2,70M3). AF_07/2020</v>
          </cell>
          <cell r="D3347" t="str">
            <v>M3</v>
          </cell>
          <cell r="E3347">
            <v>4.34</v>
          </cell>
          <cell r="F3347">
            <v>0</v>
          </cell>
        </row>
        <row r="3348">
          <cell r="B3348">
            <v>101115</v>
          </cell>
          <cell r="C3348" t="str">
            <v>ESCAVAÇÃO HORIZONTAL EM SOLO DE 1A CATEGORIA COM TRATOR DE ESTEIRAS (150HP/LÂMINA: 3,18M3). AF_07/2020</v>
          </cell>
          <cell r="D3348" t="str">
            <v>M3</v>
          </cell>
          <cell r="E3348">
            <v>4.18</v>
          </cell>
          <cell r="F3348">
            <v>0</v>
          </cell>
        </row>
        <row r="3349">
          <cell r="B3349">
            <v>101116</v>
          </cell>
          <cell r="C3349" t="str">
            <v>ESCAVAÇÃO HORIZONTAL EM SOLO DE 1A CATEGORIA COM TRATOR DE ESTEIRAS (170HP/LÂMINA: 5,20M3). AF_07/2020</v>
          </cell>
          <cell r="D3349" t="str">
            <v>M3</v>
          </cell>
          <cell r="E3349">
            <v>2.6</v>
          </cell>
          <cell r="F3349">
            <v>0</v>
          </cell>
        </row>
        <row r="3350">
          <cell r="B3350">
            <v>101117</v>
          </cell>
          <cell r="C3350" t="str">
            <v>ESCAVAÇÃO HORIZONTAL EM SOLO DE 1A CATEGORIA COM TRATOR DE ESTEIRAS (347HP/LÂMINA: 8,70M3). AF_07/2020</v>
          </cell>
          <cell r="D3350" t="str">
            <v>M3</v>
          </cell>
          <cell r="E3350">
            <v>3.51</v>
          </cell>
          <cell r="F3350">
            <v>0</v>
          </cell>
        </row>
        <row r="3351">
          <cell r="B3351">
            <v>101124</v>
          </cell>
          <cell r="C3351" t="str">
            <v>ESCAVAÇÃO HORIZONTAL, INCLUINDO CARGA E DESCARGA EM SOLO DE 1A CATEGORIA COM TRATOR DE ESTEIRAS (100HP/LÂMINA: 2,19M3). AF_07/2020</v>
          </cell>
          <cell r="D3351" t="str">
            <v>M3</v>
          </cell>
          <cell r="E3351">
            <v>16.48</v>
          </cell>
          <cell r="F3351">
            <v>0</v>
          </cell>
        </row>
        <row r="3352">
          <cell r="B3352">
            <v>101128</v>
          </cell>
          <cell r="C3352" t="str">
            <v>ESCAVAÇÃO HORIZONTAL, INCLUINDO CARGA E DESCARGA EM SOLO DE 1A CATEGORIA COM TRATOR DE ESTEIRAS (125HP/LÂMINA: 2,70M3). AF_07/2020</v>
          </cell>
          <cell r="D3352" t="str">
            <v>M3</v>
          </cell>
          <cell r="E3352">
            <v>15.74</v>
          </cell>
          <cell r="F3352">
            <v>0</v>
          </cell>
        </row>
        <row r="3353">
          <cell r="B3353">
            <v>101125</v>
          </cell>
          <cell r="C3353" t="str">
            <v>ESCAVAÇÃO HORIZONTAL, INCLUINDO CARGA E DESCARGA EM SOLO DE 1A CATEGORIA COM TRATOR DE ESTEIRAS (150HP/LÂMINA: 3,18M3). AF_07/2020</v>
          </cell>
          <cell r="D3353" t="str">
            <v>M3</v>
          </cell>
          <cell r="E3353">
            <v>15.58</v>
          </cell>
          <cell r="F3353">
            <v>0</v>
          </cell>
        </row>
        <row r="3354">
          <cell r="B3354">
            <v>101126</v>
          </cell>
          <cell r="C3354" t="str">
            <v>ESCAVAÇÃO HORIZONTAL, INCLUINDO CARGA E DESCARGA EM SOLO DE 1A CATEGORIA COM TRATOR DE ESTEIRAS (170HP/LÂMINA: 5,20M3). AF_07/2020</v>
          </cell>
          <cell r="D3354" t="str">
            <v>M3</v>
          </cell>
          <cell r="E3354">
            <v>14</v>
          </cell>
          <cell r="F3354">
            <v>0</v>
          </cell>
        </row>
        <row r="3355">
          <cell r="B3355">
            <v>101127</v>
          </cell>
          <cell r="C3355" t="str">
            <v>ESCAVAÇÃO HORIZONTAL, INCLUINDO CARGA E DESCARGA EM SOLO DE 1A CATEGORIA COM TRATOR DE ESTEIRAS (347HP/LÂMINA: 8,70M3). AF_07/2020</v>
          </cell>
          <cell r="D3355" t="str">
            <v>M3</v>
          </cell>
          <cell r="E3355">
            <v>14.91</v>
          </cell>
          <cell r="F3355">
            <v>0</v>
          </cell>
        </row>
        <row r="3356">
          <cell r="B3356">
            <v>101134</v>
          </cell>
          <cell r="C3356" t="str">
            <v>ESCAVAÇÃO HORIZONTAL, INCLUINDO CARGA, DESCARGA E TRANSPORTE EM SOLO DE 1A CATEGORIA COM TRATOR DE ESTEIRAS (100HP/LÂMINA: 2,19M3) E CAMINHÃO BASCULANTE DE 10M3, DMT ATÉ 200M. AF_07/2020</v>
          </cell>
          <cell r="D3356" t="str">
            <v>M3</v>
          </cell>
          <cell r="E3356">
            <v>17.2</v>
          </cell>
          <cell r="F3356">
            <v>0</v>
          </cell>
        </row>
        <row r="3357">
          <cell r="B3357">
            <v>101144</v>
          </cell>
          <cell r="C3357" t="str">
            <v>ESCAVAÇÃO HORIZONTAL, INCLUINDO CARGA, DESCARGA E TRANSPORTE EM SOLO DE 1A CATEGORIA COM TRATOR DE ESTEIRAS (100HP/LÂMINA: 2,19M3) E CAMINHÃO BASCULANTE DE 14M3, DMT ATÉ 200M. AF_07/2020</v>
          </cell>
          <cell r="D3357" t="str">
            <v>M3</v>
          </cell>
          <cell r="E3357">
            <v>17.02</v>
          </cell>
          <cell r="F3357">
            <v>0</v>
          </cell>
        </row>
        <row r="3358">
          <cell r="B3358">
            <v>101138</v>
          </cell>
          <cell r="C3358" t="str">
            <v>ESCAVAÇÃO HORIZONTAL, INCLUINDO CARGA, DESCARGA E TRANSPORTE EM SOLO DE 1A CATEGORIA COM TRATOR DE ESTEIRAS (125HP/LÂMINA: 2,70M3) E CAMINHÃO BASCULANTE DE 10M3, DMT ATÉ 200M. AF_07/2020</v>
          </cell>
          <cell r="D3358" t="str">
            <v>M3</v>
          </cell>
          <cell r="E3358">
            <v>16.46</v>
          </cell>
          <cell r="F3358">
            <v>0</v>
          </cell>
        </row>
        <row r="3359">
          <cell r="B3359">
            <v>101148</v>
          </cell>
          <cell r="C3359" t="str">
            <v>ESCAVAÇÃO HORIZONTAL, INCLUINDO CARGA, DESCARGA E TRANSPORTE EM SOLO DE 1A CATEGORIA COM TRATOR DE ESTEIRAS (125HP/LÂMINA: 2,70M3) E CAMINHÃO BASCULANTE DE 14M3, DMT ATÉ 200M. AF_07/2020</v>
          </cell>
          <cell r="D3359" t="str">
            <v>M3</v>
          </cell>
          <cell r="E3359">
            <v>16.28</v>
          </cell>
          <cell r="F3359">
            <v>0</v>
          </cell>
        </row>
        <row r="3360">
          <cell r="B3360">
            <v>101135</v>
          </cell>
          <cell r="C3360" t="str">
            <v>ESCAVAÇÃO HORIZONTAL, INCLUINDO CARGA, DESCARGA E TRANSPORTE EM SOLO DE 1A CATEGORIA COM TRATOR DE ESTEIRAS (150HP/LÂMINA: 3,18M3) E CAMINHÃO BASCULANTE DE 10M3, DMT ATÉ 200M AF_07/2020</v>
          </cell>
          <cell r="D3360" t="str">
            <v>M3</v>
          </cell>
          <cell r="E3360">
            <v>16.3</v>
          </cell>
          <cell r="F3360">
            <v>0</v>
          </cell>
        </row>
        <row r="3361">
          <cell r="B3361">
            <v>101145</v>
          </cell>
          <cell r="C3361" t="str">
            <v>ESCAVAÇÃO HORIZONTAL, INCLUINDO CARGA, DESCARGA E TRANSPORTE EM SOLO DE 1A CATEGORIA COM TRATOR DE ESTEIRAS (150HP/LÂMINA: 3,18M3) E CAMINHÃO BASCULANTE DE 14M3, DMT ATÉ 200M. AF_07/2020</v>
          </cell>
          <cell r="D3361" t="str">
            <v>M3</v>
          </cell>
          <cell r="E3361">
            <v>16.12</v>
          </cell>
          <cell r="F3361">
            <v>0</v>
          </cell>
        </row>
        <row r="3362">
          <cell r="B3362">
            <v>101136</v>
          </cell>
          <cell r="C3362" t="str">
            <v>ESCAVAÇÃO HORIZONTAL, INCLUINDO CARGA, DESCARGA E TRANSPORTE EM SOLO DE 1A CATEGORIA COM TRATOR DE ESTEIRAS (170HP/LÂMINA: 5,20M3) E CAMINHÃO BASCULANTE DE 10M3, DMT ATÉ 200M. AF_07/2020</v>
          </cell>
          <cell r="D3362" t="str">
            <v>M3</v>
          </cell>
          <cell r="E3362">
            <v>14.72</v>
          </cell>
          <cell r="F3362">
            <v>0</v>
          </cell>
        </row>
        <row r="3363">
          <cell r="B3363">
            <v>101146</v>
          </cell>
          <cell r="C3363" t="str">
            <v>ESCAVAÇÃO HORIZONTAL, INCLUINDO CARGA, DESCARGA E TRANSPORTE EM SOLO DE 1A CATEGORIA COM TRATOR DE ESTEIRAS (170HP/LÂMINA: 5,20M3) E CAMINHÃO BASCULANTE DE 14M3, DMT ATÉ 200M. AF_07/2020</v>
          </cell>
          <cell r="D3363" t="str">
            <v>M3</v>
          </cell>
          <cell r="E3363">
            <v>14.54</v>
          </cell>
          <cell r="F3363">
            <v>0</v>
          </cell>
        </row>
        <row r="3364">
          <cell r="B3364">
            <v>101137</v>
          </cell>
          <cell r="C3364" t="str">
            <v>ESCAVAÇÃO HORIZONTAL, INCLUINDO CARGA, DESCARGA E TRANSPORTE EM SOLO DE 1A CATEGORIA COM TRATOR DE ESTEIRAS (347HP/LÂMINA: 8,70M3) E CAMINHÃO BASCULANTE DE 10M3, DMT ATÉ 200M. AF_07/2020</v>
          </cell>
          <cell r="D3364" t="str">
            <v>M3</v>
          </cell>
          <cell r="E3364">
            <v>15.63</v>
          </cell>
          <cell r="F3364">
            <v>0</v>
          </cell>
        </row>
        <row r="3365">
          <cell r="B3365">
            <v>101147</v>
          </cell>
          <cell r="C3365" t="str">
            <v>ESCAVAÇÃO HORIZONTAL, INCLUINDO CARGA, DESCARGA E TRANSPORTE EM SOLO DE 1A CATEGORIA COM TRATOR DE ESTEIRAS (347HP/LÂMINA: 8,70M3) E CAMINHÃO BASCULANTE DE 14M3, DMT ATÉ 200M. AF_07/2020</v>
          </cell>
          <cell r="D3365" t="str">
            <v>M3</v>
          </cell>
          <cell r="E3365">
            <v>15.45</v>
          </cell>
          <cell r="F3365">
            <v>0</v>
          </cell>
        </row>
        <row r="3366">
          <cell r="B3366">
            <v>101119</v>
          </cell>
          <cell r="C3366" t="str">
            <v>ESCAVAÇÃO HORIZONTAL, INCLUINDO ESCARIFICAÇÃO EM SOLO DE 2A CATEGORIA COM TRATOR DE ESTEIRAS (100HP/LÂMINA: 2,19M3). AF_07/2020</v>
          </cell>
          <cell r="D3366" t="str">
            <v>M3</v>
          </cell>
          <cell r="E3366">
            <v>9.6999999999999993</v>
          </cell>
          <cell r="F3366">
            <v>0</v>
          </cell>
        </row>
        <row r="3367">
          <cell r="B3367">
            <v>101123</v>
          </cell>
          <cell r="C3367" t="str">
            <v>ESCAVAÇÃO HORIZONTAL, INCLUINDO ESCARIFICAÇÃO EM SOLO DE 2A CATEGORIA COM TRATOR DE ESTEIRAS (125HP/LÂMINA: 2,70M3). AF_07/2020</v>
          </cell>
          <cell r="D3367" t="str">
            <v>M3</v>
          </cell>
          <cell r="E3367">
            <v>8.2899999999999991</v>
          </cell>
          <cell r="F3367">
            <v>0</v>
          </cell>
        </row>
        <row r="3368">
          <cell r="B3368">
            <v>101120</v>
          </cell>
          <cell r="C3368" t="str">
            <v>ESCAVAÇÃO HORIZONTAL, INCLUINDO ESCARIFICAÇÃO EM SOLO DE 2A CATEGORIA COM TRATOR DE ESTEIRAS (150HP/LÂMINA: 3,18M3). AF_07/2020</v>
          </cell>
          <cell r="D3368" t="str">
            <v>M3</v>
          </cell>
          <cell r="E3368">
            <v>8</v>
          </cell>
          <cell r="F3368">
            <v>0</v>
          </cell>
        </row>
        <row r="3369">
          <cell r="B3369">
            <v>101121</v>
          </cell>
          <cell r="C3369" t="str">
            <v>ESCAVAÇÃO HORIZONTAL, INCLUINDO ESCARIFICAÇÃO EM SOLO DE 2A CATEGORIA COM TRATOR DE ESTEIRAS (170HP/LÂMINA: 5,20M3). AF_07/2020</v>
          </cell>
          <cell r="D3369" t="str">
            <v>M3</v>
          </cell>
          <cell r="E3369">
            <v>4.99</v>
          </cell>
          <cell r="F3369">
            <v>0</v>
          </cell>
        </row>
        <row r="3370">
          <cell r="B3370">
            <v>101122</v>
          </cell>
          <cell r="C3370" t="str">
            <v>ESCAVAÇÃO HORIZONTAL, INCLUINDO ESCARIFICAÇÃO EM SOLO DE 2A CATEGORIA COM TRATOR DE ESTEIRAS (347HP/LÂMINA: 8,70M3). AF_07/2020</v>
          </cell>
          <cell r="D3370" t="str">
            <v>M3</v>
          </cell>
          <cell r="E3370">
            <v>6.7</v>
          </cell>
          <cell r="F3370">
            <v>0</v>
          </cell>
        </row>
        <row r="3371">
          <cell r="B3371">
            <v>101129</v>
          </cell>
          <cell r="C3371" t="str">
            <v>ESCAVAÇÃO HORIZONTAL, INCLUINDO ESCARIFICAÇÃO, CARGA E DESCARGA EM SOLO DE 2A CATEGORIA COM TRATOR DE ESTEIRAS (100HP/LÂMINA: 2,19M3). AF_07/2020</v>
          </cell>
          <cell r="D3371" t="str">
            <v>M3</v>
          </cell>
          <cell r="E3371">
            <v>21.55</v>
          </cell>
          <cell r="F3371">
            <v>0</v>
          </cell>
        </row>
        <row r="3372">
          <cell r="B3372">
            <v>101133</v>
          </cell>
          <cell r="C3372" t="str">
            <v>ESCAVAÇÃO HORIZONTAL, INCLUINDO ESCARIFICAÇÃO, CARGA E DESCARGA EM SOLO DE 2A CATEGORIA COM TRATOR DE ESTEIRAS (125HP/LÂMINA: 2,70M3). AF_07/2020</v>
          </cell>
          <cell r="D3372" t="str">
            <v>M3</v>
          </cell>
          <cell r="E3372">
            <v>20.14</v>
          </cell>
          <cell r="F3372">
            <v>0</v>
          </cell>
        </row>
        <row r="3373">
          <cell r="B3373">
            <v>101130</v>
          </cell>
          <cell r="C3373" t="str">
            <v>ESCAVAÇÃO HORIZONTAL, INCLUINDO ESCARIFICAÇÃO, CARGA E DESCARGA EM SOLO DE 2A CATEGORIA COM TRATOR DE ESTEIRAS (150HP/LÂMINA: 3,18M3). AF_07/2020</v>
          </cell>
          <cell r="D3373" t="str">
            <v>M3</v>
          </cell>
          <cell r="E3373">
            <v>19.850000000000001</v>
          </cell>
          <cell r="F3373">
            <v>0</v>
          </cell>
        </row>
        <row r="3374">
          <cell r="B3374">
            <v>101131</v>
          </cell>
          <cell r="C3374" t="str">
            <v>ESCAVAÇÃO HORIZONTAL, INCLUINDO ESCARIFICAÇÃO, CARGA E DESCARGA EM SOLO DE 2A CATEGORIA COM TRATOR DE ESTEIRAS (170HP/LÂMINA: 5,20M3). AF_07/2020</v>
          </cell>
          <cell r="D3374" t="str">
            <v>M3</v>
          </cell>
          <cell r="E3374">
            <v>16.84</v>
          </cell>
          <cell r="F3374">
            <v>0</v>
          </cell>
        </row>
        <row r="3375">
          <cell r="B3375">
            <v>101132</v>
          </cell>
          <cell r="C3375" t="str">
            <v>ESCAVAÇÃO HORIZONTAL, INCLUINDO ESCARIFICAÇÃO, CARGA E DESCARGA EM SOLO DE 2A CATEGORIA COM TRATOR DE ESTEIRAS (347HP/LÂMINA: 8,70M3). AF_07/2020</v>
          </cell>
          <cell r="D3375" t="str">
            <v>M3</v>
          </cell>
          <cell r="E3375">
            <v>18.55</v>
          </cell>
          <cell r="F3375">
            <v>0</v>
          </cell>
        </row>
        <row r="3376">
          <cell r="B3376">
            <v>101139</v>
          </cell>
          <cell r="C3376" t="str">
            <v>ESCAVAÇÃO HORIZONTAL, INCLUINDO ESCARIFICAÇÃO, CARGA, DESCARGA E TRANSPORTE EM SOLO DE 2A CATEGORIA COM TRATOR DE ESTEIRAS (100HP/LÂMINA: 2,19M3) E CAMINHÃO BASCULANTE DE 10M3, DMT ATÉ 200M. AF_07/2020</v>
          </cell>
          <cell r="D3376" t="str">
            <v>M3</v>
          </cell>
          <cell r="E3376">
            <v>22.29</v>
          </cell>
          <cell r="F3376">
            <v>0</v>
          </cell>
        </row>
        <row r="3377">
          <cell r="B3377">
            <v>101149</v>
          </cell>
          <cell r="C3377" t="str">
            <v>ESCAVAÇÃO HORIZONTAL, INCLUINDO ESCARIFICAÇÃO, CARGA, DESCARGA E TRANSPORTE EM SOLO DE 2A CATEGORIA COM TRATOR DE ESTEIRAS (100HP/LÂMINA: 2,19M3) E CAMINHÃO BASCULANTE DE 14M3, DMT ATÉ 200M. AF_07/2020</v>
          </cell>
          <cell r="D3377" t="str">
            <v>M3</v>
          </cell>
          <cell r="E3377">
            <v>22.12</v>
          </cell>
          <cell r="F3377">
            <v>0</v>
          </cell>
        </row>
        <row r="3378">
          <cell r="B3378">
            <v>101143</v>
          </cell>
          <cell r="C3378" t="str">
            <v>ESCAVAÇÃO HORIZONTAL, INCLUINDO ESCARIFICAÇÃO, CARGA, DESCARGA E TRANSPORTE EM SOLO DE 2A CATEGORIA COM TRATOR DE ESTEIRAS (125HP/LÂMINA: 2,70M3) E CAMINHÃO BASCULANTE DE 10M3, DMT ATÉ 200M. AF_07/2020</v>
          </cell>
          <cell r="D3378" t="str">
            <v>M3</v>
          </cell>
          <cell r="E3378">
            <v>20.88</v>
          </cell>
          <cell r="F3378">
            <v>0</v>
          </cell>
        </row>
        <row r="3379">
          <cell r="B3379">
            <v>101153</v>
          </cell>
          <cell r="C3379" t="str">
            <v>ESCAVAÇÃO HORIZONTAL, INCLUINDO ESCARIFICAÇÃO, CARGA, DESCARGA E TRANSPORTE EM SOLO DE 2A CATEGORIA COM TRATOR DE ESTEIRAS (125HP/LÂMINA: 2,70M3) E CAMINHÃO BASCULANTE DE 14M3, DMT ATÉ 200M. AF_07/2020</v>
          </cell>
          <cell r="D3379" t="str">
            <v>M3</v>
          </cell>
          <cell r="E3379">
            <v>20.71</v>
          </cell>
          <cell r="F3379">
            <v>0</v>
          </cell>
        </row>
        <row r="3380">
          <cell r="B3380">
            <v>101140</v>
          </cell>
          <cell r="C3380" t="str">
            <v>ESCAVAÇÃO HORIZONTAL, INCLUINDO ESCARIFICAÇÃO, CARGA, DESCARGA E TRANSPORTE EM SOLO DE 2A CATEGORIA COM TRATOR DE ESTEIRAS (150HP/LÂMINA: 3,18M3) E CAMINHÃO BASCULANTE DE 10M3, DMT ATÉ 200M. AF_07/2020</v>
          </cell>
          <cell r="D3380" t="str">
            <v>M3</v>
          </cell>
          <cell r="E3380">
            <v>20.59</v>
          </cell>
          <cell r="F3380">
            <v>0</v>
          </cell>
        </row>
        <row r="3381">
          <cell r="B3381">
            <v>101150</v>
          </cell>
          <cell r="C3381" t="str">
            <v>ESCAVAÇÃO HORIZONTAL, INCLUINDO ESCARIFICAÇÃO, CARGA, DESCARGA E TRANSPORTE EM SOLO DE 2A CATEGORIA COM TRATOR DE ESTEIRAS (150HP/LÂMINA: 3,18M3) E CAMINHÃO BASCULANTE DE 14M3, DMT ATÉ 200M. AF_07/2020</v>
          </cell>
          <cell r="D3381" t="str">
            <v>M3</v>
          </cell>
          <cell r="E3381">
            <v>20.420000000000002</v>
          </cell>
          <cell r="F3381">
            <v>0</v>
          </cell>
        </row>
        <row r="3382">
          <cell r="B3382">
            <v>101141</v>
          </cell>
          <cell r="C3382" t="str">
            <v>ESCAVAÇÃO HORIZONTAL, INCLUINDO ESCARIFICAÇÃO, CARGA, DESCARGA E TRANSPORTE EM SOLO DE 2A CATEGORIA COM TRATOR DE ESTEIRAS (170HP/LÂMINA: 5,20M3) E CAMINHÃO BASCULANTE DE 10M3, DMT ATÉ 200M. AF_07/2020</v>
          </cell>
          <cell r="D3382" t="str">
            <v>M3</v>
          </cell>
          <cell r="E3382">
            <v>17.579999999999998</v>
          </cell>
          <cell r="F3382">
            <v>0</v>
          </cell>
        </row>
        <row r="3383">
          <cell r="B3383">
            <v>101151</v>
          </cell>
          <cell r="C3383" t="str">
            <v>ESCAVAÇÃO HORIZONTAL, INCLUINDO ESCARIFICAÇÃO, CARGA, DESCARGA E TRANSPORTE EM SOLO DE 2A CATEGORIA COM TRATOR DE ESTEIRAS (170HP/LÂMINA: 5,20M3) E CAMINHÃO BASCULANTE DE 14M3, DMT ATÉ 200M. AF_07/2020</v>
          </cell>
          <cell r="D3383" t="str">
            <v>M3</v>
          </cell>
          <cell r="E3383">
            <v>17.41</v>
          </cell>
          <cell r="F3383">
            <v>0</v>
          </cell>
        </row>
        <row r="3384">
          <cell r="B3384">
            <v>101142</v>
          </cell>
          <cell r="C3384" t="str">
            <v>ESCAVAÇÃO HORIZONTAL, INCLUINDO ESCARIFICAÇÃO, CARGA, DESCARGA E TRANSPORTE EM SOLO DE 2A CATEGORIA COM TRATOR DE ESTEIRAS (347HP/LÂMINA: 8,70M3) E CAMINHÃO BASCULANTE DE 10M3, DMT ATÉ 200M. AF_07/2020</v>
          </cell>
          <cell r="D3384" t="str">
            <v>M3</v>
          </cell>
          <cell r="E3384">
            <v>19.29</v>
          </cell>
          <cell r="F3384">
            <v>0</v>
          </cell>
        </row>
        <row r="3385">
          <cell r="B3385">
            <v>101152</v>
          </cell>
          <cell r="C3385" t="str">
            <v>ESCAVAÇÃO HORIZONTAL, INCLUINDO ESCARIFICAÇÃO, CARGA, DESCARGA E TRANSPORTE EM SOLO DE 2A CATEGORIA COM TRATOR DE ESTEIRAS (347HP/LÂMINA: 8,70M3) E CAMINHÃO BASCULANTE DE 14M3, DMT ATÉ 200M. AF_07/2020</v>
          </cell>
          <cell r="D3385" t="str">
            <v>M3</v>
          </cell>
          <cell r="E3385">
            <v>19.12</v>
          </cell>
          <cell r="F3385">
            <v>0</v>
          </cell>
        </row>
        <row r="3386">
          <cell r="B3386">
            <v>101207</v>
          </cell>
          <cell r="C3386" t="str">
            <v>ESCAVAÇÃO VERTICAL PARA EDIFICAÇÃO, COM CARGA, DESCARGA E TRANSPORTE DE SOLO DE 1ª CATEGORIA, COM ESCAVADEIRA HIDRÁULICA (CAÇAMBA: 0,8 M³ / 111 HP), FROTA DE 2 CAMINHÕES BASCULANTES DE 18 M³, DMT ATÉ 1 KM E VELOCIDADE MÉDIA 14 KM/H. AF_05/2020</v>
          </cell>
          <cell r="D3386" t="str">
            <v>M3</v>
          </cell>
          <cell r="E3386">
            <v>11.69</v>
          </cell>
          <cell r="F3386">
            <v>0</v>
          </cell>
        </row>
        <row r="3387">
          <cell r="B3387">
            <v>101206</v>
          </cell>
          <cell r="C3387" t="str">
            <v>ESCAVAÇÃO VERTICAL PARA EDIFICAÇÃO, COM CARGA, DESCARGA E TRANSPORTE DE SOLO DE 1ª CATEGORIA, COM ESCAVADEIRA HIDRÁULICA (CAÇAMBA: 0,8 M³ / 111 HP), FROTA DE 3 CAMINHÕES BASCULANTES DE 14 M³, DMT ATÉ 1 KM E VELOCIDADE MÉDIA 14 KM/H. AF_05/2020</v>
          </cell>
          <cell r="D3387" t="str">
            <v>M3</v>
          </cell>
          <cell r="E3387">
            <v>13.62</v>
          </cell>
          <cell r="F3387">
            <v>0</v>
          </cell>
        </row>
        <row r="3388">
          <cell r="B3388">
            <v>101210</v>
          </cell>
          <cell r="C3388" t="str">
            <v>ESCAVAÇÃO VERTICAL PARA EDIFICAÇÃO, COM CARGA, DESCARGA E TRANSPORTE DE SOLO DE 1ª CATEGORIA, COM ESCAVADEIRA HIDRÁULICA (CAÇAMBA: 0,8 M³ / 111 HP), FROTA DE 4 CAMINHÕES BASCULANTES DE 14 M³, DMT DE 1,5 KM E VELOCIDADE MÉDIA 18 KM/H. AF_05/2020</v>
          </cell>
          <cell r="D3388" t="str">
            <v>M3</v>
          </cell>
          <cell r="E3388">
            <v>18.82</v>
          </cell>
          <cell r="F3388">
            <v>0</v>
          </cell>
        </row>
        <row r="3389">
          <cell r="B3389">
            <v>101211</v>
          </cell>
          <cell r="C3389" t="str">
            <v>ESCAVAÇÃO VERTICAL PARA EDIFICAÇÃO, COM CARGA, DESCARGA E TRANSPORTE DE SOLO DE 1ª CATEGORIA, COM ESCAVADEIRA HIDRÁULICA (CAÇAMBA: 0,8 M³ / 111 HP), FROTA DE 4 CAMINHÕES BASCULANTES DE 14 M³, DMT DE 2 KM E VELOCIDADE MÉDIA 19 KM/H. AF_05/2020</v>
          </cell>
          <cell r="D3389" t="str">
            <v>M3</v>
          </cell>
          <cell r="E3389">
            <v>20.170000000000002</v>
          </cell>
          <cell r="F3389">
            <v>0</v>
          </cell>
        </row>
        <row r="3390">
          <cell r="B3390">
            <v>101215</v>
          </cell>
          <cell r="C3390" t="str">
            <v>ESCAVAÇÃO VERTICAL PARA EDIFICAÇÃO, COM CARGA, DESCARGA E TRANSPORTE DE SOLO DE 1ª CATEGORIA, COM ESCAVADEIRA HIDRÁULICA (CAÇAMBA: 0,8 M³ / 111 HP), FROTA DE 4 CAMINHÕES BASCULANTES DE 18 M³, DMT DE 1,5 KM E VELOCIDADE MÉDIA 18 KM/H. AF_05/2020</v>
          </cell>
          <cell r="D3390" t="str">
            <v>M3</v>
          </cell>
          <cell r="E3390">
            <v>18.11</v>
          </cell>
          <cell r="F3390">
            <v>0</v>
          </cell>
        </row>
        <row r="3391">
          <cell r="B3391">
            <v>101216</v>
          </cell>
          <cell r="C3391" t="str">
            <v>ESCAVAÇÃO VERTICAL PARA EDIFICAÇÃO, COM CARGA, DESCARGA E TRANSPORTE DE SOLO DE 1ª CATEGORIA, COM ESCAVADEIRA HIDRÁULICA (CAÇAMBA: 0,8 M³ / 111 HP), FROTA DE 4 CAMINHÕES BASCULANTES DE 18 M³, DMT DE 2 KM E VELOCIDADE MÉDIA 19 KM/H. AF_05/2020</v>
          </cell>
          <cell r="D3391" t="str">
            <v>M3</v>
          </cell>
          <cell r="E3391">
            <v>18.940000000000001</v>
          </cell>
          <cell r="F3391">
            <v>0</v>
          </cell>
        </row>
        <row r="3392">
          <cell r="B3392">
            <v>101212</v>
          </cell>
          <cell r="C3392" t="str">
            <v>ESCAVAÇÃO VERTICAL PARA EDIFICAÇÃO, COM CARGA, DESCARGA E TRANSPORTE DE SOLO DE 1ª CATEGORIA, COM ESCAVADEIRA HIDRÁULICA (CAÇAMBA: 0,8 M³ / 111 HP), FROTA DE 5 CAMINHÕES BASCULANTES DE 14 M³, DMT DE 3 KM E VELOCIDADE MÉDIA 20 KM/H. AF_05/2020</v>
          </cell>
          <cell r="D3392" t="str">
            <v>M3</v>
          </cell>
          <cell r="E3392">
            <v>23.54</v>
          </cell>
          <cell r="F3392">
            <v>0</v>
          </cell>
        </row>
        <row r="3393">
          <cell r="B3393">
            <v>101217</v>
          </cell>
          <cell r="C3393" t="str">
            <v>ESCAVAÇÃO VERTICAL PARA EDIFICAÇÃO, COM CARGA, DESCARGA E TRANSPORTE DE SOLO DE 1ª CATEGORIA, COM ESCAVADEIRA HIDRÁULICA (CAÇAMBA: 0,8 M³ / 111 HP), FROTA DE 5 CAMINHÕES BASCULANTES DE 18 M³, DMT DE 3 KM E VELOCIDADE MÉDIA 20 KM/H. AF_05/2020</v>
          </cell>
          <cell r="D3393" t="str">
            <v>M3</v>
          </cell>
          <cell r="E3393">
            <v>22.06</v>
          </cell>
          <cell r="F3393">
            <v>0</v>
          </cell>
        </row>
        <row r="3394">
          <cell r="B3394">
            <v>101218</v>
          </cell>
          <cell r="C3394" t="str">
            <v>ESCAVAÇÃO VERTICAL PARA EDIFICAÇÃO, COM CARGA, DESCARGA E TRANSPORTE DE SOLO DE 1ª CATEGORIA, COM ESCAVADEIRA HIDRÁULICA (CAÇAMBA: 0,8 M³ / 111 HP), FROTA DE 5 CAMINHÕES BASCULANTES DE 18 M³, DMT DE 4 KM E VELOCIDADE MÉDIA 22 KM/H. AF_05/2020</v>
          </cell>
          <cell r="D3394" t="str">
            <v>M3</v>
          </cell>
          <cell r="E3394">
            <v>23.28</v>
          </cell>
          <cell r="F3394">
            <v>0</v>
          </cell>
        </row>
        <row r="3395">
          <cell r="B3395">
            <v>101213</v>
          </cell>
          <cell r="C3395" t="str">
            <v>ESCAVAÇÃO VERTICAL PARA EDIFICAÇÃO, COM CARGA, DESCARGA E TRANSPORTE DE SOLO DE 1ª CATEGORIA, COM ESCAVADEIRA HIDRÁULICA (CAÇAMBA: 0,8 M³ / 111 HP), FROTA DE 6 CAMINHÕES BASCULANTES DE 14 M³, DMT DE 4 KM E VELOCIDADE MÉDIA 22 KM/H. AF_05/2020</v>
          </cell>
          <cell r="D3395" t="str">
            <v>M3</v>
          </cell>
          <cell r="E3395">
            <v>26.34</v>
          </cell>
          <cell r="F3395">
            <v>0</v>
          </cell>
        </row>
        <row r="3396">
          <cell r="B3396">
            <v>101219</v>
          </cell>
          <cell r="C3396" t="str">
            <v>ESCAVAÇÃO VERTICAL PARA EDIFICAÇÃO, COM CARGA, DESCARGA E TRANSPORTE DE SOLO DE 1ª CATEGORIA, COM ESCAVADEIRA HIDRÁULICA (CAÇAMBA: 0,8 M³ / 111 HP), FROTA DE 6 CAMINHÕES BASCULANTES DE 18 M³, DMT DE 6 KM E VELOCIDADE MÉDIA 22 KM/H. AF_05/2020</v>
          </cell>
          <cell r="D3396" t="str">
            <v>M3</v>
          </cell>
          <cell r="E3396">
            <v>28.15</v>
          </cell>
          <cell r="F3396">
            <v>0</v>
          </cell>
        </row>
        <row r="3397">
          <cell r="B3397">
            <v>101214</v>
          </cell>
          <cell r="C3397" t="str">
            <v>ESCAVAÇÃO VERTICAL PARA EDIFICAÇÃO, COM CARGA, DESCARGA E TRANSPORTE DE SOLO DE 1ª CATEGORIA, COM ESCAVADEIRA HIDRÁULICA (CAÇAMBA: 0,8 M³ / 111 HP), FROTA DE 7 CAMINHÕES BASCULANTES DE 14 M³, DMT DE 6 KM E VELOCIDADE MÉDIA 22 KM/H. AF_05/2020</v>
          </cell>
          <cell r="D3397" t="str">
            <v>M3</v>
          </cell>
          <cell r="E3397">
            <v>31.73</v>
          </cell>
          <cell r="F3397">
            <v>0</v>
          </cell>
        </row>
        <row r="3398">
          <cell r="B3398">
            <v>101254</v>
          </cell>
          <cell r="C3398" t="str">
            <v>ESCAVAÇÃO VERTICAL PARA EDIFICAÇÃO, COM CARGA, DESCARGA E TRANSPORTE DE SOLO DE 1ª CATEGORIA, COM ESCAVADEIRA HIDRÁULICA (CAÇAMBA: 0,8 M³ / 111HP), FROTA DE 3 CAMINHÕES BASCULANTES DE 10 M³, DMT ATÉ 1 KM E VELOCIDADE MÉDIA 14 KM/H. AF_05/2020</v>
          </cell>
          <cell r="D3398" t="str">
            <v>M3</v>
          </cell>
          <cell r="E3398">
            <v>13.98</v>
          </cell>
          <cell r="F3398">
            <v>0</v>
          </cell>
        </row>
        <row r="3399">
          <cell r="B3399">
            <v>101256</v>
          </cell>
          <cell r="C3399" t="str">
            <v>ESCAVAÇÃO VERTICAL PARA EDIFICAÇÃO, COM CARGA, DESCARGA E TRANSPORTE DE SOLO DE 1ª CATEGORIA, COM ESCAVADEIRA HIDRÁULICA (CAÇAMBA: 0,8 M³ / 111HP), FROTA DE 5 CAMINHÕES BASCULANTES DE 10 M³, DMT DE 1,5 KM E VELOCIDADE MÉDIA 18 KM/H. AF_05/2020</v>
          </cell>
          <cell r="D3399" t="str">
            <v>M3</v>
          </cell>
          <cell r="E3399">
            <v>21.44</v>
          </cell>
          <cell r="F3399">
            <v>0</v>
          </cell>
        </row>
        <row r="3400">
          <cell r="B3400">
            <v>101257</v>
          </cell>
          <cell r="C3400" t="str">
            <v>ESCAVAÇÃO VERTICAL PARA EDIFICAÇÃO, COM CARGA, DESCARGA E TRANSPORTE DE SOLO DE 1ª CATEGORIA, COM ESCAVADEIRA HIDRÁULICA (CAÇAMBA: 0,8 M³ / 111HP), FROTA DE 5 CAMINHÕES BASCULANTES DE 10 M³, DMT DE 2 KM E VELOCIDADE MÉDIA 19 KM/H. AF_05/2020</v>
          </cell>
          <cell r="D3400" t="str">
            <v>M3</v>
          </cell>
          <cell r="E3400">
            <v>22.54</v>
          </cell>
          <cell r="F3400">
            <v>0</v>
          </cell>
        </row>
        <row r="3401">
          <cell r="B3401">
            <v>101258</v>
          </cell>
          <cell r="C3401" t="str">
            <v>ESCAVAÇÃO VERTICAL PARA EDIFICAÇÃO, COM CARGA, DESCARGA E TRANSPORTE DE SOLO DE 1ª CATEGORIA, COM ESCAVADEIRA HIDRÁULICA (CAÇAMBA: 0,8 M³ / 111HP), FROTA DE 6 CAMINHÕES BASCULANTES DE 10 M³, DMT DE 3 KM E VELOCIDADE MÉDIA 20 KM/H. AF_05/2020</v>
          </cell>
          <cell r="D3401" t="str">
            <v>M3</v>
          </cell>
          <cell r="E3401">
            <v>26.11</v>
          </cell>
          <cell r="F3401">
            <v>0</v>
          </cell>
        </row>
        <row r="3402">
          <cell r="B3402">
            <v>101259</v>
          </cell>
          <cell r="C3402" t="str">
            <v>ESCAVAÇÃO VERTICAL PARA EDIFICAÇÃO, COM CARGA, DESCARGA E TRANSPORTE DE SOLO DE 1ª CATEGORIA, COM ESCAVADEIRA HIDRÁULICA (CAÇAMBA: 0,8 M³ / 111HP), FROTA DE 7 CAMINHÕES BASCULANTES DE 10 M³, DMT DE 4 KM E VELOCIDADE MÉDIA 22 KM/H. AF_05/2020</v>
          </cell>
          <cell r="D3402" t="str">
            <v>M3</v>
          </cell>
          <cell r="E3402">
            <v>29.04</v>
          </cell>
          <cell r="F3402">
            <v>0</v>
          </cell>
        </row>
        <row r="3403">
          <cell r="B3403">
            <v>101260</v>
          </cell>
          <cell r="C3403" t="str">
            <v>ESCAVAÇÃO VERTICAL PARA EDIFICAÇÃO, COM CARGA, DESCARGA E TRANSPORTE DE SOLO DE 1ª CATEGORIA, COM ESCAVADEIRA HIDRÁULICA (CAÇAMBA: 0,8 M³ / 111HP), FROTA DE 9 CAMINHÕES BASCULANTES DE 10 M³, DMT DE 6 KM E VELOCIDADE MÉDIA 22 KM/H. AF_05/2020</v>
          </cell>
          <cell r="D3403" t="str">
            <v>M3</v>
          </cell>
          <cell r="E3403">
            <v>36.24</v>
          </cell>
          <cell r="F3403">
            <v>0</v>
          </cell>
        </row>
        <row r="3404">
          <cell r="B3404">
            <v>101208</v>
          </cell>
          <cell r="C3404" t="str">
            <v>ESCAVAÇÃO VERTICAL PARA EDIFICAÇÃO, COM CARGA, DESCARGA E TRANSPORTE DE SOLO DE 1ª CATEGORIA, COM ESCAVADEIRA HIDRÁULICA (CAÇAMBA: 1,2 M³ / 155 HP), FROTA DE 3 CAMINHÕES BASCULANTES DE 14 M³, DMT ATÉ 1 KM E VELOCIDADE MÉDIA 14 KM/H. AF_05/2020</v>
          </cell>
          <cell r="D3404" t="str">
            <v>M3</v>
          </cell>
          <cell r="E3404">
            <v>11.44</v>
          </cell>
          <cell r="F3404">
            <v>0</v>
          </cell>
        </row>
        <row r="3405">
          <cell r="B3405">
            <v>101209</v>
          </cell>
          <cell r="C3405" t="str">
            <v>ESCAVAÇÃO VERTICAL PARA EDIFICAÇÃO, COM CARGA, DESCARGA E TRANSPORTE DE SOLO DE 1ª CATEGORIA, COM ESCAVADEIRA HIDRÁULICA (CAÇAMBA: 1,2 M³ / 155 HP), FROTA DE 3 CAMINHÕES BASCULANTES DE 18 M³, DMT ATÉ 1 KM E VELOCIDADE MÉDIA 14 KM/H. AF_05/2020</v>
          </cell>
          <cell r="D3405" t="str">
            <v>M3</v>
          </cell>
          <cell r="E3405">
            <v>10.61</v>
          </cell>
          <cell r="F3405">
            <v>0</v>
          </cell>
        </row>
        <row r="3406">
          <cell r="B3406">
            <v>101220</v>
          </cell>
          <cell r="C3406" t="str">
            <v>ESCAVAÇÃO VERTICAL PARA EDIFICAÇÃO, COM CARGA, DESCARGA E TRANSPORTE DE SOLO DE 1ª CATEGORIA, COM ESCAVADEIRA HIDRÁULICA (CAÇAMBA: 1,2 M³ / 155 HP), FROTA DE 5 CAMINHÕES BASCULANTES DE 14 M³, DMT DE 1,5 KM E VELOCIDADE MÉDIA 18 KM/H. AF_05/2020</v>
          </cell>
          <cell r="D3406" t="str">
            <v>M3</v>
          </cell>
          <cell r="E3406">
            <v>17.739999999999998</v>
          </cell>
          <cell r="F3406">
            <v>0</v>
          </cell>
        </row>
        <row r="3407">
          <cell r="B3407">
            <v>101221</v>
          </cell>
          <cell r="C3407" t="str">
            <v>ESCAVAÇÃO VERTICAL PARA EDIFICAÇÃO, COM CARGA, DESCARGA E TRANSPORTE DE SOLO DE 1ª CATEGORIA, COM ESCAVADEIRA HIDRÁULICA (CAÇAMBA: 1,2 M³ / 155 HP), FROTA DE 5 CAMINHÕES BASCULANTES DE 14 M³, DMT DE 2 KM E VELOCIDADE MÉDIA 19 KM/H. AF_05/2020</v>
          </cell>
          <cell r="D3407" t="str">
            <v>M3</v>
          </cell>
          <cell r="E3407">
            <v>18.7</v>
          </cell>
          <cell r="F3407">
            <v>0</v>
          </cell>
        </row>
        <row r="3408">
          <cell r="B3408">
            <v>101225</v>
          </cell>
          <cell r="C3408" t="str">
            <v>ESCAVAÇÃO VERTICAL PARA EDIFICAÇÃO, COM CARGA, DESCARGA E TRANSPORTE DE SOLO DE 1ª CATEGORIA, COM ESCAVADEIRA HIDRÁULICA (CAÇAMBA: 1,2 M³ / 155 HP), FROTA DE 5 CAMINHÕES BASCULANTES DE 18 M³, DMT DE 1,5 KM E VELOCIDADE MÉDIA 18 KM/H. AF_05/2020</v>
          </cell>
          <cell r="D3408" t="str">
            <v>M3</v>
          </cell>
          <cell r="E3408">
            <v>16.29</v>
          </cell>
          <cell r="F3408">
            <v>0</v>
          </cell>
        </row>
        <row r="3409">
          <cell r="B3409">
            <v>101226</v>
          </cell>
          <cell r="C3409" t="str">
            <v>ESCAVAÇÃO VERTICAL PARA EDIFICAÇÃO, COM CARGA, DESCARGA E TRANSPORTE DE SOLO DE 1ª CATEGORIA, COM ESCAVADEIRA HIDRÁULICA (CAÇAMBA: 1,2 M³ / 155 HP), FROTA DE 5 CAMINHÕES BASCULANTES DE 18 M³, DMT DE 2 KM E VELOCIDADE MÉDIA 19 KM/H. AF_05/2020</v>
          </cell>
          <cell r="D3409" t="str">
            <v>M3</v>
          </cell>
          <cell r="E3409">
            <v>17.12</v>
          </cell>
          <cell r="F3409">
            <v>0</v>
          </cell>
        </row>
        <row r="3410">
          <cell r="B3410">
            <v>101222</v>
          </cell>
          <cell r="C3410" t="str">
            <v>ESCAVAÇÃO VERTICAL PARA EDIFICAÇÃO, COM CARGA, DESCARGA E TRANSPORTE DE SOLO DE 1ª CATEGORIA, COM ESCAVADEIRA HIDRÁULICA (CAÇAMBA: 1,2 M³ / 155 HP), FROTA DE 6 CAMINHÕES BASCULANTES DE 14 M³, DMT DE 3 KM E VELOCIDADE MÉDIA 20 KM/H. AF_05/2020</v>
          </cell>
          <cell r="D3410" t="str">
            <v>M3</v>
          </cell>
          <cell r="E3410">
            <v>21.73</v>
          </cell>
          <cell r="F3410">
            <v>0</v>
          </cell>
        </row>
        <row r="3411">
          <cell r="B3411">
            <v>101227</v>
          </cell>
          <cell r="C3411" t="str">
            <v>ESCAVAÇÃO VERTICAL PARA EDIFICAÇÃO, COM CARGA, DESCARGA E TRANSPORTE DE SOLO DE 1ª CATEGORIA, COM ESCAVADEIRA HIDRÁULICA (CAÇAMBA: 1,2 M³ / 155 HP), FROTA DE 6 CAMINHÕES BASCULANTES DE 18 M³, DMT DE 3 KM E VELOCIDADE MÉDIA 20 KM/H. AF_05/2020</v>
          </cell>
          <cell r="D3411" t="str">
            <v>M3</v>
          </cell>
          <cell r="E3411">
            <v>19.829999999999998</v>
          </cell>
          <cell r="F3411">
            <v>0</v>
          </cell>
        </row>
        <row r="3412">
          <cell r="B3412">
            <v>101228</v>
          </cell>
          <cell r="C3412" t="str">
            <v>ESCAVAÇÃO VERTICAL PARA EDIFICAÇÃO, COM CARGA, DESCARGA E TRANSPORTE DE SOLO DE 1ª CATEGORIA, COM ESCAVADEIRA HIDRÁULICA (CAÇAMBA: 1,2 M³ / 155 HP), FROTA DE 6 CAMINHÕES BASCULANTES DE 18 M³, DMT DE 4 KM E VELOCIDADE MÉDIA 22 KM/H. AF_05/2020</v>
          </cell>
          <cell r="D3412" t="str">
            <v>M3</v>
          </cell>
          <cell r="E3412">
            <v>21.09</v>
          </cell>
          <cell r="F3412">
            <v>0</v>
          </cell>
        </row>
        <row r="3413">
          <cell r="B3413">
            <v>101223</v>
          </cell>
          <cell r="C3413" t="str">
            <v>ESCAVAÇÃO VERTICAL PARA EDIFICAÇÃO, COM CARGA, DESCARGA E TRANSPORTE DE SOLO DE 1ª CATEGORIA, COM ESCAVADEIRA HIDRÁULICA (CAÇAMBA: 1,2 M³ / 155 HP), FROTA DE 7 CAMINHÕES BASCULANTES DE 14 M³, DMT DE 4 KM E VELOCIDADE MÉDIA 22 KM/H. AF_05/2020</v>
          </cell>
          <cell r="D3413" t="str">
            <v>M3</v>
          </cell>
          <cell r="E3413">
            <v>24.19</v>
          </cell>
          <cell r="F3413">
            <v>0</v>
          </cell>
        </row>
        <row r="3414">
          <cell r="B3414">
            <v>101229</v>
          </cell>
          <cell r="C3414" t="str">
            <v>ESCAVAÇÃO VERTICAL PARA EDIFICAÇÃO, COM CARGA, DESCARGA E TRANSPORTE DE SOLO DE 1ª CATEGORIA, COM ESCAVADEIRA HIDRÁULICA (CAÇAMBA: 1,2 M³ / 155 HP), FROTA DE 8 CAMINHÕES BASCULANTES DE 18 M³, DMT DE 6 KM E VELOCIDADE MÉDIA 22 KM/H. AF_05/2020</v>
          </cell>
          <cell r="D3414" t="str">
            <v>M3</v>
          </cell>
          <cell r="E3414">
            <v>26.58</v>
          </cell>
          <cell r="F3414">
            <v>0</v>
          </cell>
        </row>
        <row r="3415">
          <cell r="B3415">
            <v>101224</v>
          </cell>
          <cell r="C3415" t="str">
            <v>ESCAVAÇÃO VERTICAL PARA EDIFICAÇÃO, COM CARGA, DESCARGA E TRANSPORTE DE SOLO DE 1ª CATEGORIA, COM ESCAVADEIRA HIDRÁULICA (CAÇAMBA: 1,2 M³ / 155 HP), FROTA DE 9 CAMINHÕES BASCULANTES DE 14 M³, DMT DE 6 KM E VELOCIDADE MÉDIA 22 KM/H. AF_05/2020</v>
          </cell>
          <cell r="D3415" t="str">
            <v>M3</v>
          </cell>
          <cell r="E3415">
            <v>30.29</v>
          </cell>
          <cell r="F3415">
            <v>0</v>
          </cell>
        </row>
        <row r="3416">
          <cell r="B3416">
            <v>101265</v>
          </cell>
          <cell r="C3416" t="str">
            <v>ESCAVAÇÃO VERTICAL PARA EDIFICAÇÃO, COM CARGA, DESCARGA E TRANSPORTE DE SOLO DE 1ª CATEGORIA, COM ESCAVADEIRA HIDRÁULICA (CAÇAMBA: 1,2 M³ / 155HP), FROTA DE 10 CAMINHÕES BASCULANTES DE 10 M³, DMT DE 6 KM E VELOCIDADE MÉDIA 22 KM/H. AF_05/2020</v>
          </cell>
          <cell r="D3416" t="str">
            <v>M3</v>
          </cell>
          <cell r="E3416">
            <v>33.94</v>
          </cell>
          <cell r="F3416">
            <v>0</v>
          </cell>
        </row>
        <row r="3417">
          <cell r="B3417">
            <v>101255</v>
          </cell>
          <cell r="C3417" t="str">
            <v>ESCAVAÇÃO VERTICAL PARA EDIFICAÇÃO, COM CARGA, DESCARGA E TRANSPORTE DE SOLO DE 1ª CATEGORIA, COM ESCAVADEIRA HIDRÁULICA (CAÇAMBA: 1,2 M³ / 155HP), FROTA DE 3 CAMINHÕES BASCULANTES DE 10 M³, DMT ATÉ 1 KM E VELOCIDADE MÉDIA 14 KM/H. AF_05/2020</v>
          </cell>
          <cell r="D3417" t="str">
            <v>M3</v>
          </cell>
          <cell r="E3417">
            <v>12.29</v>
          </cell>
          <cell r="F3417">
            <v>0</v>
          </cell>
        </row>
        <row r="3418">
          <cell r="B3418">
            <v>101261</v>
          </cell>
          <cell r="C3418" t="str">
            <v>ESCAVAÇÃO VERTICAL PARA EDIFICAÇÃO, COM CARGA, DESCARGA E TRANSPORTE DE SOLO DE 1ª CATEGORIA, COM ESCAVADEIRA HIDRÁULICA (CAÇAMBA: 1,2 M³ / 155HP), FROTA DE 6 CAMINHÕES BASCULANTES DE 10 M³, DMT DE 1,5 KM E VELOCIDADE MÉDIA 18 KM/H. AF_05/2020</v>
          </cell>
          <cell r="D3418" t="str">
            <v>M3</v>
          </cell>
          <cell r="E3418">
            <v>20.27</v>
          </cell>
          <cell r="F3418">
            <v>0</v>
          </cell>
        </row>
        <row r="3419">
          <cell r="B3419">
            <v>101262</v>
          </cell>
          <cell r="C3419" t="str">
            <v>ESCAVAÇÃO VERTICAL PARA EDIFICAÇÃO, COM CARGA, DESCARGA E TRANSPORTE DE SOLO DE 1ª CATEGORIA, COM ESCAVADEIRA HIDRÁULICA (CAÇAMBA: 1,2 M³ / 155HP), FROTA DE 6 CAMINHÕES BASCULANTES DE 10 M³, DMT DE 2 KM E VELOCIDADE MÉDIA 19 KM/H. AF_05/2020</v>
          </cell>
          <cell r="D3419" t="str">
            <v>M3</v>
          </cell>
          <cell r="E3419">
            <v>21.33</v>
          </cell>
          <cell r="F3419">
            <v>0</v>
          </cell>
        </row>
        <row r="3420">
          <cell r="B3420">
            <v>101263</v>
          </cell>
          <cell r="C3420" t="str">
            <v>ESCAVAÇÃO VERTICAL PARA EDIFICAÇÃO, COM CARGA, DESCARGA E TRANSPORTE DE SOLO DE 1ª CATEGORIA, COM ESCAVADEIRA HIDRÁULICA (CAÇAMBA: 1,2 M³ / 155HP), FROTA DE 7 CAMINHÕES BASCULANTES DE 10 M³, DMT DE 3 KM E VELOCIDADE MÉDIA 20 KM/H. AF_05/2020</v>
          </cell>
          <cell r="D3420" t="str">
            <v>M3</v>
          </cell>
          <cell r="E3420">
            <v>24.63</v>
          </cell>
          <cell r="F3420">
            <v>0</v>
          </cell>
        </row>
        <row r="3421">
          <cell r="B3421">
            <v>101264</v>
          </cell>
          <cell r="C3421" t="str">
            <v>ESCAVAÇÃO VERTICAL PARA EDIFICAÇÃO, COM CARGA, DESCARGA E TRANSPORTE DE SOLO DE 1ª CATEGORIA, COM ESCAVADEIRA HIDRÁULICA (CAÇAMBA: 1,2 M³ / 155HP), FROTA DE 8 CAMINHÕES BASCULANTES DE 10 M³, DMT DE 4 KM E VELOCIDADE MÉDIA 22 KM/H. AF_05/2020</v>
          </cell>
          <cell r="D3421" t="str">
            <v>M3</v>
          </cell>
          <cell r="E3421">
            <v>27.3</v>
          </cell>
          <cell r="F3421">
            <v>0</v>
          </cell>
        </row>
        <row r="3422">
          <cell r="B3422">
            <v>101230</v>
          </cell>
          <cell r="C3422" t="str">
            <v>ESCAVAÇÃO VERTICAL PARA INFRAESTRUTURA, COM CARGA, DESCARGA E TRANSPORTE DE SOLO DE 1ª CATEGORIA, COM ESCAVADEIRA HIDRÁULICA (CAÇAMBA: 0,8 M³ / 111 HP), FROTA DE 3 CAMINHÕES BASCULANTES DE 14 M³, DMT ATÉ 1 KM E VELOCIDADE MÉDIA14 KM/H. AF_05/2020</v>
          </cell>
          <cell r="D3422" t="str">
            <v>M3</v>
          </cell>
          <cell r="E3422">
            <v>11.97</v>
          </cell>
          <cell r="F3422">
            <v>0</v>
          </cell>
        </row>
        <row r="3423">
          <cell r="B3423">
            <v>101231</v>
          </cell>
          <cell r="C3423" t="str">
            <v>ESCAVAÇÃO VERTICAL PARA INFRAESTRUTURA, COM CARGA, DESCARGA E TRANSPORTE DE SOLO DE 1ª CATEGORIA, COM ESCAVADEIRA HIDRÁULICA (CAÇAMBA: 0,8 M³ / 111 HP), FROTA DE 3 CAMINHÕES BASCULANTES DE 18 M³, DMT ATÉ 1 KM E VELOCIDADE MÉDIA14 KM/H. AF_05/2020</v>
          </cell>
          <cell r="D3423" t="str">
            <v>M3</v>
          </cell>
          <cell r="E3423">
            <v>11.37</v>
          </cell>
          <cell r="F3423">
            <v>0</v>
          </cell>
        </row>
        <row r="3424">
          <cell r="B3424">
            <v>101272</v>
          </cell>
          <cell r="C3424" t="str">
            <v>ESCAVAÇÃO VERTICAL PARA INFRAESTRUTURA, COM CARGA, DESCARGA E TRANSPORTE DE SOLO DE 1ª CATEGORIA, COM ESCAVADEIRA HIDRÁULICA (CAÇAMBA: 0,8 M³ / 111HP), FROTA DE 10 CAMINHÕES BASCULANTES DE 10 M³, DMT DE 6 KM E VELOCIDADE MÉDIA22 KM/H. AF_05/2020</v>
          </cell>
          <cell r="D3424" t="str">
            <v>M3</v>
          </cell>
          <cell r="E3424">
            <v>34.54</v>
          </cell>
          <cell r="F3424">
            <v>0</v>
          </cell>
        </row>
        <row r="3425">
          <cell r="B3425">
            <v>101266</v>
          </cell>
          <cell r="C3425" t="str">
            <v>ESCAVAÇÃO VERTICAL PARA INFRAESTRUTURA, COM CARGA, DESCARGA E TRANSPORTE DE SOLO DE 1ª CATEGORIA, COM ESCAVADEIRA HIDRÁULICA (CAÇAMBA: 0,8 M³ / 111HP), FROTA DE 3 CAMINHÕES BASCULANTES DE 10 M³, DMT ATÉ 1 KM E VELOCIDADE MÉDIA14 KM/H. AF_05/2020</v>
          </cell>
          <cell r="D3425" t="str">
            <v>M3</v>
          </cell>
          <cell r="E3425">
            <v>12.38</v>
          </cell>
          <cell r="F3425">
            <v>0</v>
          </cell>
        </row>
        <row r="3426">
          <cell r="B3426">
            <v>101239</v>
          </cell>
          <cell r="C3426" t="str">
            <v>ESCAVAÇÃO VERTICAL PARA INFRAESTRUTURA, COM CARGA, DESCARGA E TRANSPORTE DE SOLO DE 1ª CATEGORIA, COM ESCAVADEIRA HIDRÁULICA (CAÇAMBA: 0,8 M³ / 111HP), FROTA DE 4 CAMINHÕES BASCULANTES DE 18 M³, DMT DE 1,5 KM E VELOCIDADE MÉDIA18 KM/H. AF_05/2020</v>
          </cell>
          <cell r="D3426" t="str">
            <v>M3</v>
          </cell>
          <cell r="E3426">
            <v>16.170000000000002</v>
          </cell>
          <cell r="F3426">
            <v>0</v>
          </cell>
        </row>
        <row r="3427">
          <cell r="B3427">
            <v>101240</v>
          </cell>
          <cell r="C3427" t="str">
            <v>ESCAVAÇÃO VERTICAL PARA INFRAESTRUTURA, COM CARGA, DESCARGA E TRANSPORTE DE SOLO DE 1ª CATEGORIA, COM ESCAVADEIRA HIDRÁULICA (CAÇAMBA: 0,8 M³ / 111HP), FROTA DE 4 CAMINHÕES BASCULANTES DE 18 M³, DMT DE 2 KM E VELOCIDADE MÉDIA 19 KM/H. AF_05/2020</v>
          </cell>
          <cell r="D3427" t="str">
            <v>M3</v>
          </cell>
          <cell r="E3427">
            <v>17.02</v>
          </cell>
          <cell r="F3427">
            <v>0</v>
          </cell>
        </row>
        <row r="3428">
          <cell r="B3428">
            <v>101268</v>
          </cell>
          <cell r="C3428" t="str">
            <v>ESCAVAÇÃO VERTICAL PARA INFRAESTRUTURA, COM CARGA, DESCARGA E TRANSPORTE DE SOLO DE 1ª CATEGORIA, COM ESCAVADEIRA HIDRÁULICA (CAÇAMBA: 0,8 M³ / 111HP), FROTA DE 5 CAMINHÕES BASCULANTES DE 10 M³, DMT DE 1,5 KM E VELOCIDADE MÉDIA18 KM/H. AF_05/2020</v>
          </cell>
          <cell r="D3428" t="str">
            <v>M3</v>
          </cell>
          <cell r="E3428">
            <v>19.399999999999999</v>
          </cell>
          <cell r="F3428">
            <v>0</v>
          </cell>
        </row>
        <row r="3429">
          <cell r="B3429">
            <v>101234</v>
          </cell>
          <cell r="C3429" t="str">
            <v>ESCAVAÇÃO VERTICAL PARA INFRAESTRUTURA, COM CARGA, DESCARGA E TRANSPORTE DE SOLO DE 1ª CATEGORIA, COM ESCAVADEIRA HIDRÁULICA (CAÇAMBA: 0,8 M³ / 111HP), FROTA DE 5 CAMINHÕES BASCULANTES DE 14 M³, DMT DE 1,5 KM E VELOCIDADE MÉDIA18 KM/H. AF_05/2020</v>
          </cell>
          <cell r="D3429" t="str">
            <v>M3</v>
          </cell>
          <cell r="E3429">
            <v>18.5</v>
          </cell>
          <cell r="F3429">
            <v>0</v>
          </cell>
        </row>
        <row r="3430">
          <cell r="B3430">
            <v>101235</v>
          </cell>
          <cell r="C3430" t="str">
            <v>ESCAVAÇÃO VERTICAL PARA INFRAESTRUTURA, COM CARGA, DESCARGA E TRANSPORTE DE SOLO DE 1ª CATEGORIA, COM ESCAVADEIRA HIDRÁULICA (CAÇAMBA: 0,8 M³ / 111HP), FROTA DE 5 CAMINHÕES BASCULANTES DE 14 M³, DMT DE 2 KM E VELOCIDADE MÉDIA 19 KM/H. AF_05/2020</v>
          </cell>
          <cell r="D3430" t="str">
            <v>M3</v>
          </cell>
          <cell r="E3430">
            <v>19.43</v>
          </cell>
          <cell r="F3430">
            <v>0</v>
          </cell>
        </row>
        <row r="3431">
          <cell r="B3431">
            <v>101241</v>
          </cell>
          <cell r="C3431" t="str">
            <v>ESCAVAÇÃO VERTICAL PARA INFRAESTRUTURA, COM CARGA, DESCARGA E TRANSPORTE DE SOLO DE 1ª CATEGORIA, COM ESCAVADEIRA HIDRÁULICA (CAÇAMBA: 0,8 M³ / 111HP), FROTA DE 5 CAMINHÕES BASCULANTES DE 18 M³, DMT DE 3 KM E VELOCIDADE MÉDIA 20 KM/H. AF_05/2020</v>
          </cell>
          <cell r="D3431" t="str">
            <v>M3</v>
          </cell>
          <cell r="E3431">
            <v>19.899999999999999</v>
          </cell>
          <cell r="F3431">
            <v>0</v>
          </cell>
        </row>
        <row r="3432">
          <cell r="B3432">
            <v>101269</v>
          </cell>
          <cell r="C3432" t="str">
            <v>ESCAVAÇÃO VERTICAL PARA INFRAESTRUTURA, COM CARGA, DESCARGA E TRANSPORTE DE SOLO DE 1ª CATEGORIA, COM ESCAVADEIRA HIDRÁULICA (CAÇAMBA: 0,8 M³ / 111HP), FROTA DE 6 CAMINHÕES BASCULANTES DE 10 M³, DMT DE 2 KM E VELOCIDADE MÉDIA 19 KM/H. AF_05/2020</v>
          </cell>
          <cell r="D3432" t="str">
            <v>M3</v>
          </cell>
          <cell r="E3432">
            <v>21.63</v>
          </cell>
          <cell r="F3432">
            <v>0</v>
          </cell>
        </row>
        <row r="3433">
          <cell r="B3433">
            <v>101236</v>
          </cell>
          <cell r="C3433" t="str">
            <v>ESCAVAÇÃO VERTICAL PARA INFRAESTRUTURA, COM CARGA, DESCARGA E TRANSPORTE DE SOLO DE 1ª CATEGORIA, COM ESCAVADEIRA HIDRÁULICA (CAÇAMBA: 0,8 M³ / 111HP), FROTA DE 6 CAMINHÕES BASCULANTES DE 14 M³, DMT DE 3 KM E VELOCIDADE MÉDIA 20 KM/H. AF_05/2020</v>
          </cell>
          <cell r="D3433" t="str">
            <v>M3</v>
          </cell>
          <cell r="E3433">
            <v>22.61</v>
          </cell>
          <cell r="F3433">
            <v>0</v>
          </cell>
        </row>
        <row r="3434">
          <cell r="B3434">
            <v>101237</v>
          </cell>
          <cell r="C3434" t="str">
            <v>ESCAVAÇÃO VERTICAL PARA INFRAESTRUTURA, COM CARGA, DESCARGA E TRANSPORTE DE SOLO DE 1ª CATEGORIA, COM ESCAVADEIRA HIDRÁULICA (CAÇAMBA: 0,8 M³ / 111HP), FROTA DE 6 CAMINHÕES BASCULANTES DE 14 M³, DMT DE 4 KM E VELOCIDADE MÉDIA 22 KM/H. AF_05/2020</v>
          </cell>
          <cell r="D3434" t="str">
            <v>M3</v>
          </cell>
          <cell r="E3434">
            <v>24.02</v>
          </cell>
          <cell r="F3434">
            <v>0</v>
          </cell>
        </row>
        <row r="3435">
          <cell r="B3435">
            <v>101242</v>
          </cell>
          <cell r="C3435" t="str">
            <v>ESCAVAÇÃO VERTICAL PARA INFRAESTRUTURA, COM CARGA, DESCARGA E TRANSPORTE DE SOLO DE 1ª CATEGORIA, COM ESCAVADEIRA HIDRÁULICA (CAÇAMBA: 0,8 M³ / 111HP), FROTA DE 6 CAMINHÕES BASCULANTES DE 18 M³, DMT DE 4 KM E VELOCIDADE MÉDIA 22 KM/H. AF_05/2020</v>
          </cell>
          <cell r="D3435" t="str">
            <v>M3</v>
          </cell>
          <cell r="E3435">
            <v>22.26</v>
          </cell>
          <cell r="F3435">
            <v>0</v>
          </cell>
        </row>
        <row r="3436">
          <cell r="B3436">
            <v>101270</v>
          </cell>
          <cell r="C3436" t="str">
            <v>ESCAVAÇÃO VERTICAL PARA INFRAESTRUTURA, COM CARGA, DESCARGA E TRANSPORTE DE SOLO DE 1ª CATEGORIA, COM ESCAVADEIRA HIDRÁULICA (CAÇAMBA: 0,8 M³ / 111HP), FROTA DE 7 CAMINHÕES BASCULANTES DE 10 M³, DMT DE 3 KM E VELOCIDADE MÉDIA 20 KM/H. AF_05/2020</v>
          </cell>
          <cell r="D3436" t="str">
            <v>M3</v>
          </cell>
          <cell r="E3436">
            <v>25.01</v>
          </cell>
          <cell r="F3436">
            <v>0</v>
          </cell>
        </row>
        <row r="3437">
          <cell r="B3437">
            <v>101243</v>
          </cell>
          <cell r="C3437" t="str">
            <v>ESCAVAÇÃO VERTICAL PARA INFRAESTRUTURA, COM CARGA, DESCARGA E TRANSPORTE DE SOLO DE 1ª CATEGORIA, COM ESCAVADEIRA HIDRÁULICA (CAÇAMBA: 0,8 M³ / 111HP), FROTA DE 7 CAMINHÕES BASCULANTES DE 18 M³, DMT DE 6 KM E VELOCIDADE MÉDIA 22 KM/H. AF_05/2020</v>
          </cell>
          <cell r="D3437" t="str">
            <v>M3</v>
          </cell>
          <cell r="E3437">
            <v>26.9</v>
          </cell>
          <cell r="F3437">
            <v>0</v>
          </cell>
        </row>
        <row r="3438">
          <cell r="B3438">
            <v>101271</v>
          </cell>
          <cell r="C3438" t="str">
            <v>ESCAVAÇÃO VERTICAL PARA INFRAESTRUTURA, COM CARGA, DESCARGA E TRANSPORTE DE SOLO DE 1ª CATEGORIA, COM ESCAVADEIRA HIDRÁULICA (CAÇAMBA: 0,8 M³ / 111HP), FROTA DE 8 CAMINHÕES BASCULANTES DE 10 M³, DMT DE 4 KM E VELOCIDADE MÉDIA 22 KM/H. AF_05/2020</v>
          </cell>
          <cell r="D3438" t="str">
            <v>M3</v>
          </cell>
          <cell r="E3438">
            <v>27.74</v>
          </cell>
          <cell r="F3438">
            <v>0</v>
          </cell>
        </row>
        <row r="3439">
          <cell r="B3439">
            <v>101238</v>
          </cell>
          <cell r="C3439" t="str">
            <v>ESCAVAÇÃO VERTICAL PARA INFRAESTRUTURA, COM CARGA, DESCARGA E TRANSPORTE DE SOLO DE 1ª CATEGORIA, COM ESCAVADEIRA HIDRÁULICA (CAÇAMBA: 0,8 M³ / 111HP), FROTA DE 8 CAMINHÕES BASCULANTES DE 14 M³, DMT DE 6 KM E VELOCIDADE MÉDIA 22 KM/H. AF_05/2020</v>
          </cell>
          <cell r="D3439" t="str">
            <v>M3</v>
          </cell>
          <cell r="E3439">
            <v>30.36</v>
          </cell>
          <cell r="F3439">
            <v>0</v>
          </cell>
        </row>
        <row r="3440">
          <cell r="B3440">
            <v>101232</v>
          </cell>
          <cell r="C3440" t="str">
            <v>ESCAVAÇÃO VERTICAL PARA INFRAESTRUTURA, COM CARGA, DESCARGA E TRANSPORTE DE SOLO DE 1ª CATEGORIA, COM ESCAVADEIRA HIDRÁULICA (CAÇAMBA: 1,2 M³ / 155 HP), FROTA DE 3 CAMINHÕES BASCULANTES DE 14 M³, DMT ATÉ 1 KM E VELOCIDADE MÉDIA14 KM/H. AF_05/2020</v>
          </cell>
          <cell r="D3440" t="str">
            <v>M3</v>
          </cell>
          <cell r="E3440">
            <v>10.199999999999999</v>
          </cell>
          <cell r="F3440">
            <v>0</v>
          </cell>
        </row>
        <row r="3441">
          <cell r="B3441">
            <v>101233</v>
          </cell>
          <cell r="C3441" t="str">
            <v>ESCAVAÇÃO VERTICAL PARA INFRAESTRUTURA, COM CARGA, DESCARGA E TRANSPORTE DE SOLO DE 1ª CATEGORIA, COM ESCAVADEIRA HIDRÁULICA (CAÇAMBA: 1,2 M³ / 155 HP), FROTA DE 3 CAMINHÕES BASCULANTES DE 18 M³, DMT ATÉ 1 KM E VELOCIDADE MÉDIA14 KM/H. AF_05/2020</v>
          </cell>
          <cell r="D3441" t="str">
            <v>M3</v>
          </cell>
          <cell r="E3441">
            <v>9.39</v>
          </cell>
          <cell r="F3441">
            <v>0</v>
          </cell>
        </row>
        <row r="3442">
          <cell r="B3442">
            <v>101248</v>
          </cell>
          <cell r="C3442" t="str">
            <v>ESCAVAÇÃO VERTICAL PARA INFRAESTRUTURA, COM CARGA, DESCARGA E TRANSPORTE DE SOLO DE 1ª CATEGORIA, COM ESCAVADEIRA HIDRÁULICA (CAÇAMBA: 1,2 M³ / 155HP), FROTA DE 10 CAMINHÕES BASCULANTES DE 14 M³, DMT DE 6 KM E VELOCIDADE MÉDIA22 KM/H. AF_05/2020</v>
          </cell>
          <cell r="D3442" t="str">
            <v>M3</v>
          </cell>
          <cell r="E3442">
            <v>28.96</v>
          </cell>
          <cell r="F3442">
            <v>0</v>
          </cell>
        </row>
        <row r="3443">
          <cell r="B3443">
            <v>101277</v>
          </cell>
          <cell r="C3443" t="str">
            <v>ESCAVAÇÃO VERTICAL PARA INFRAESTRUTURA, COM CARGA, DESCARGA E TRANSPORTE DE SOLO DE 1ª CATEGORIA, COM ESCAVADEIRA HIDRÁULICA (CAÇAMBA: 1,2 M³ / 155HP), FROTA DE 12 CAMINHÕES BASCULANTES DE 10 M³, DMT DE 6 KM E VELOCIDADE MÉDIA22 KM/H. AF_05/2020</v>
          </cell>
          <cell r="D3443" t="str">
            <v>M3</v>
          </cell>
          <cell r="E3443">
            <v>33.409999999999997</v>
          </cell>
          <cell r="F3443">
            <v>0</v>
          </cell>
        </row>
        <row r="3444">
          <cell r="B3444">
            <v>101267</v>
          </cell>
          <cell r="C3444" t="str">
            <v>ESCAVAÇÃO VERTICAL PARA INFRAESTRUTURA, COM CARGA, DESCARGA E TRANSPORTE DE SOLO DE 1ª CATEGORIA, COM ESCAVADEIRA HIDRÁULICA (CAÇAMBA: 1,2 M³ / 155HP), FROTA DE 4 CAMINHÕES BASCULANTES DE 10 M³, DMT ATÉ 1 KM E VELOCIDADE MÉDIA14 KM/H. AF_05/2020</v>
          </cell>
          <cell r="D3444" t="str">
            <v>M3</v>
          </cell>
          <cell r="E3444">
            <v>11.93</v>
          </cell>
          <cell r="F3444">
            <v>0</v>
          </cell>
        </row>
        <row r="3445">
          <cell r="B3445">
            <v>101249</v>
          </cell>
          <cell r="C3445" t="str">
            <v>ESCAVAÇÃO VERTICAL PARA INFRAESTRUTURA, COM CARGA, DESCARGA E TRANSPORTE DE SOLO DE 1ª CATEGORIA, COM ESCAVADEIRA HIDRÁULICA (CAÇAMBA: 1,2 M³ / 155HP), FROTA DE 5 CAMINHÕES BASCULANTES DE 18 M³, DMT DE 1,5 KM E VELOCIDADE MÉDIA18 KM/H. AF_05/2020</v>
          </cell>
          <cell r="D3445" t="str">
            <v>M3</v>
          </cell>
          <cell r="E3445">
            <v>14.77</v>
          </cell>
          <cell r="F3445">
            <v>0</v>
          </cell>
        </row>
        <row r="3446">
          <cell r="B3446">
            <v>101273</v>
          </cell>
          <cell r="C3446" t="str">
            <v>ESCAVAÇÃO VERTICAL PARA INFRAESTRUTURA, COM CARGA, DESCARGA E TRANSPORTE DE SOLO DE 1ª CATEGORIA, COM ESCAVADEIRA HIDRÁULICA (CAÇAMBA: 1,2 M³ / 155HP), FROTA DE 6 CAMINHÕES BASCULANTES DE 10 M³, DMT DE 1,5 KM E VELOCIDADE MÉDIA18 KM/H. AF_05/2020</v>
          </cell>
          <cell r="D3446" t="str">
            <v>M3</v>
          </cell>
          <cell r="E3446">
            <v>18.52</v>
          </cell>
          <cell r="F3446">
            <v>0</v>
          </cell>
        </row>
        <row r="3447">
          <cell r="B3447">
            <v>101245</v>
          </cell>
          <cell r="C3447" t="str">
            <v>ESCAVAÇÃO VERTICAL PARA INFRAESTRUTURA, COM CARGA, DESCARGA E TRANSPORTE DE SOLO DE 1ª CATEGORIA, COM ESCAVADEIRA HIDRÁULICA (CAÇAMBA: 1,2 M³ / 155HP), FROTA DE 6 CAMINHÕES BASCULANTES DE 14 M³, DMT DE 2 KM E VELOCIDADE MÉDIA 19 KM/H. AF_05/2020</v>
          </cell>
          <cell r="D3447" t="str">
            <v>M3</v>
          </cell>
          <cell r="E3447">
            <v>18.010000000000002</v>
          </cell>
          <cell r="F3447">
            <v>0</v>
          </cell>
        </row>
        <row r="3448">
          <cell r="B3448">
            <v>101250</v>
          </cell>
          <cell r="C3448" t="str">
            <v>ESCAVAÇÃO VERTICAL PARA INFRAESTRUTURA, COM CARGA, DESCARGA E TRANSPORTE DE SOLO DE 1ª CATEGORIA, COM ESCAVADEIRA HIDRÁULICA (CAÇAMBA: 1,2 M³ / 155HP), FROTA DE 6 CAMINHÕES BASCULANTES DE 18 M³, DMT DE 2 KM E VELOCIDADE MÉDIA 19 KM/H. AF_05/2020</v>
          </cell>
          <cell r="D3448" t="str">
            <v>M3</v>
          </cell>
          <cell r="E3448">
            <v>16.41</v>
          </cell>
          <cell r="F3448">
            <v>0</v>
          </cell>
        </row>
        <row r="3449">
          <cell r="B3449">
            <v>101251</v>
          </cell>
          <cell r="C3449" t="str">
            <v>ESCAVAÇÃO VERTICAL PARA INFRAESTRUTURA, COM CARGA, DESCARGA E TRANSPORTE DE SOLO DE 1ª CATEGORIA, COM ESCAVADEIRA HIDRÁULICA (CAÇAMBA: 1,2 M³ / 155HP), FROTA DE 6 CAMINHÕES BASCULANTES DE 18 M³, DMT DE 3 KM E VELOCIDADE MÉDIA 20 KM/H. AF_05/2020</v>
          </cell>
          <cell r="D3449" t="str">
            <v>M3</v>
          </cell>
          <cell r="E3449">
            <v>18.649999999999999</v>
          </cell>
          <cell r="F3449">
            <v>0</v>
          </cell>
        </row>
        <row r="3450">
          <cell r="B3450">
            <v>101274</v>
          </cell>
          <cell r="C3450" t="str">
            <v>ESCAVAÇÃO VERTICAL PARA INFRAESTRUTURA, COM CARGA, DESCARGA E TRANSPORTE DE SOLO DE 1ª CATEGORIA, COM ESCAVADEIRA HIDRÁULICA (CAÇAMBA: 1,2 M³ / 155HP), FROTA DE 7 CAMINHÕES BASCULANTES DE 10 M³, DMT DE 2 KM E VELOCIDADE MÉDIA 19 KM/H. AF_05/2020</v>
          </cell>
          <cell r="D3450" t="str">
            <v>M3</v>
          </cell>
          <cell r="E3450">
            <v>20.48</v>
          </cell>
          <cell r="F3450">
            <v>0</v>
          </cell>
        </row>
        <row r="3451">
          <cell r="B3451">
            <v>101246</v>
          </cell>
          <cell r="C3451" t="str">
            <v>ESCAVAÇÃO VERTICAL PARA INFRAESTRUTURA, COM CARGA, DESCARGA E TRANSPORTE DE SOLO DE 1ª CATEGORIA, COM ESCAVADEIRA HIDRÁULICA (CAÇAMBA: 1,2 M³ / 155HP), FROTA DE 7 CAMINHÕES BASCULANTES DE 14 M³, DMT DE 3 KM E VELOCIDADE MÉDIA 20 KM/H. AF_05/2020</v>
          </cell>
          <cell r="D3451" t="str">
            <v>M3</v>
          </cell>
          <cell r="E3451">
            <v>20.89</v>
          </cell>
          <cell r="F3451">
            <v>0</v>
          </cell>
        </row>
        <row r="3452">
          <cell r="B3452">
            <v>101252</v>
          </cell>
          <cell r="C3452" t="str">
            <v>ESCAVAÇÃO VERTICAL PARA INFRAESTRUTURA, COM CARGA, DESCARGA E TRANSPORTE DE SOLO DE 1ª CATEGORIA, COM ESCAVADEIRA HIDRÁULICA (CAÇAMBA: 1,2 M³ / 155HP), FROTA DE 7 CAMINHÕES BASCULANTES DE 18 M³, DMT DE 4 KM E VELOCIDADE MÉDIA 22 KM/H. AF_05/2020</v>
          </cell>
          <cell r="D3452" t="str">
            <v>M3</v>
          </cell>
          <cell r="E3452">
            <v>20.21</v>
          </cell>
          <cell r="F3452">
            <v>0</v>
          </cell>
        </row>
        <row r="3453">
          <cell r="B3453">
            <v>101275</v>
          </cell>
          <cell r="C3453" t="str">
            <v>ESCAVAÇÃO VERTICAL PARA INFRAESTRUTURA, COM CARGA, DESCARGA E TRANSPORTE DE SOLO DE 1ª CATEGORIA, COM ESCAVADEIRA HIDRÁULICA (CAÇAMBA: 1,2 M³ / 155HP), FROTA DE 8 CAMINHÕES BASCULANTES DE 10 M³, DMT DE 3 KM E VELOCIDADE MÉDIA 20 KM/H. AF_05/2020</v>
          </cell>
          <cell r="D3453" t="str">
            <v>M3</v>
          </cell>
          <cell r="E3453">
            <v>23.67</v>
          </cell>
          <cell r="F3453">
            <v>0</v>
          </cell>
        </row>
        <row r="3454">
          <cell r="B3454">
            <v>101247</v>
          </cell>
          <cell r="C3454" t="str">
            <v>ESCAVAÇÃO VERTICAL PARA INFRAESTRUTURA, COM CARGA, DESCARGA E TRANSPORTE DE SOLO DE 1ª CATEGORIA, COM ESCAVADEIRA HIDRÁULICA (CAÇAMBA: 1,2 M³ / 155HP), FROTA DE 8 CAMINHÕES BASCULANTES DE 14 M³, DMT DE 4 KM E VELOCIDADE MÉDIA 22 KM/H. AF_05/2020</v>
          </cell>
          <cell r="D3454" t="str">
            <v>M3</v>
          </cell>
          <cell r="E3454">
            <v>23.19</v>
          </cell>
          <cell r="F3454">
            <v>0</v>
          </cell>
        </row>
        <row r="3455">
          <cell r="B3455">
            <v>101276</v>
          </cell>
          <cell r="C3455" t="str">
            <v>ESCAVAÇÃO VERTICAL PARA INFRAESTRUTURA, COM CARGA, DESCARGA E TRANSPORTE DE SOLO DE 1ª CATEGORIA, COM ESCAVADEIRA HIDRÁULICA (CAÇAMBA: 1,2 M³ / 155HP), FROTA DE 9 CAMINHÕES BASCULANTES DE 10 M³, DMT DE 4 KM E VELOCIDADE MÉDIA 22 KM/H. AF_05/2020</v>
          </cell>
          <cell r="D3455" t="str">
            <v>M3</v>
          </cell>
          <cell r="E3455">
            <v>26.15</v>
          </cell>
          <cell r="F3455">
            <v>0</v>
          </cell>
        </row>
        <row r="3456">
          <cell r="B3456">
            <v>101253</v>
          </cell>
          <cell r="C3456" t="str">
            <v>ESCAVAÇÃO VERTICAL PARA INFRAESTRUTURA, COM CARGA, DESCARGA E TRANSPORTE DE SOLO DE 1ª CATEGORIA, COM ESCAVADEIRA HIDRÁULICA (CAÇAMBA: 1,2 M³ / 155HP), FROTA DE 9 CAMINHÕES BASCULANTES DE 18 M³, DMT DE 6 KM E VELOCIDADE MÉDIA 22 KM/H. AF_05/2020</v>
          </cell>
          <cell r="D3456" t="str">
            <v>M3</v>
          </cell>
          <cell r="E3456">
            <v>25.42</v>
          </cell>
          <cell r="F3456">
            <v>0</v>
          </cell>
        </row>
        <row r="3457">
          <cell r="B3457">
            <v>101244</v>
          </cell>
          <cell r="C3457" t="str">
            <v>ESCAVAÇÃO VERTICAL PARA INFRAESTRUTURA, COM CARGA, DESCARGA E TRANSPORTE DE SOLO DE 1ª CATEGORIA, COM ESCAVADEIRA HIDRÁULICA (CAÇAMBA: 1,2M³ / 155HP), FROTA DE 6 CAMINHÕES BASCULANTES DE 14 M³, DMT DE 1,5 KM E VELOCIDADE MÉDIA18 KM/H. AF_05/2020</v>
          </cell>
          <cell r="D3457" t="str">
            <v>M3</v>
          </cell>
          <cell r="E3457">
            <v>17.059999999999999</v>
          </cell>
          <cell r="F3457">
            <v>0</v>
          </cell>
        </row>
        <row r="3458">
          <cell r="B3458">
            <v>93358</v>
          </cell>
          <cell r="C3458" t="str">
            <v>ESCAVAÇÃO MANUAL DE VALA. AF_09/2024</v>
          </cell>
          <cell r="D3458" t="str">
            <v>M3</v>
          </cell>
          <cell r="E3458">
            <v>123.22</v>
          </cell>
          <cell r="F3458">
            <v>0</v>
          </cell>
        </row>
        <row r="3459">
          <cell r="B3459">
            <v>90082</v>
          </cell>
          <cell r="C3459" t="str">
            <v>ESCAVAÇÃO MECANIZADA DE VALA COM PROF. ATÉ 1,5 M (MÉDIA MONTANTE E JUSANTE/UMA COMPOSIÇÃO POR TRECHO), ESCAVADEIRA (0,8 M3), LARG. DE 1,5 M A 2,5 M, EM SOLO DE 1A CATEGORIA, EM LOCAIS COM ALTO NÍVEL DE INTERFERÊNCIA. AF_09/2024</v>
          </cell>
          <cell r="D3459" t="str">
            <v>M3</v>
          </cell>
          <cell r="E3459">
            <v>10.93</v>
          </cell>
          <cell r="F3459">
            <v>0</v>
          </cell>
        </row>
        <row r="3460">
          <cell r="B3460">
            <v>90091</v>
          </cell>
          <cell r="C3460" t="str">
            <v>ESCAVAÇÃO MECANIZADA DE VALA COM PROF. ATÉ 1,5 M (MÉDIA MONTANTE E JUSANTE/UMA COMPOSIÇÃO POR TRECHO), ESCAVADEIRA (0,8 M3), LARG. DE 1,5 M A 2,5 M, EM SOLO DE 1A CATEGORIA, LOCAIS COM BAIXO NÍVEL DE INTERFERÊNCIA. AF_09/2024</v>
          </cell>
          <cell r="D3460" t="str">
            <v>M3</v>
          </cell>
          <cell r="E3460">
            <v>6.89</v>
          </cell>
          <cell r="F3460">
            <v>0</v>
          </cell>
        </row>
        <row r="3461">
          <cell r="B3461">
            <v>102307</v>
          </cell>
          <cell r="C3461" t="str">
            <v>ESCAVAÇÃO MECANIZADA DE VALA COM PROF. ATÉ 1,5 M (MÉDIA MONTANTE E JUSANTE/UMA COMPOSIÇÃO POR TRECHO), ESCAVADEIRA (0,8 M3), LARG. DE 1,5 M A 2,5 M, EM SOLO DE 2A CATEGORIA, EM LOCAIS COM ALTO NÍVEL DE INTERFERÊNCIA. AF_09/2024</v>
          </cell>
          <cell r="D3461" t="str">
            <v>M3</v>
          </cell>
          <cell r="E3461">
            <v>13.67</v>
          </cell>
          <cell r="F3461">
            <v>0</v>
          </cell>
        </row>
        <row r="3462">
          <cell r="B3462">
            <v>102315</v>
          </cell>
          <cell r="C3462" t="str">
            <v>ESCAVAÇÃO MECANIZADA DE VALA COM PROF. ATÉ 1,5 M (MÉDIA MONTANTE E JUSANTE/UMA COMPOSIÇÃO POR TRECHO), ESCAVADEIRA (0,8 M3), LARG. DE 1,5 M A 2,5 M, EM SOLO DE 2A CATEGORIA, LOCAIS COM BAIXO NÍVEL DE INTERFERÊNCIA. AF_09/2024</v>
          </cell>
          <cell r="D3462" t="str">
            <v>M3</v>
          </cell>
          <cell r="E3462">
            <v>8.61</v>
          </cell>
          <cell r="F3462">
            <v>0</v>
          </cell>
        </row>
        <row r="3463">
          <cell r="B3463">
            <v>102283</v>
          </cell>
          <cell r="C3463" t="str">
            <v>ESCAVAÇÃO MECANIZADA DE VALA COM PROF. ATÉ 1,5 M (MÉDIA MONTANTE E JUSANTE/UMA COMPOSIÇÃO POR TRECHO), ESCAVADEIRA (0,8 M3), LARG. DE 1,5 M A 2,5 M, EM SOLO MOLE, EM LOCAIS COM ALTO NÍVEL DE INTERFERÊNCIA. AF_09/2024</v>
          </cell>
          <cell r="D3463" t="str">
            <v>M3</v>
          </cell>
          <cell r="E3463">
            <v>14.32</v>
          </cell>
          <cell r="F3463">
            <v>0</v>
          </cell>
        </row>
        <row r="3464">
          <cell r="B3464">
            <v>102291</v>
          </cell>
          <cell r="C3464" t="str">
            <v>ESCAVAÇÃO MECANIZADA DE VALA COM PROF. ATÉ 1,5 M (MÉDIA MONTANTE E JUSANTE/UMA COMPOSIÇÃO POR TRECHO), ESCAVADEIRA (0,8 M3), LARG. DE 1,5 M A 2,5 M, EM SOLO MOLE, LOCAIS COM BAIXO NÍVEL DE INTERFERÊNCIA. AF_09/2024</v>
          </cell>
          <cell r="D3464" t="str">
            <v>M3</v>
          </cell>
          <cell r="E3464">
            <v>9.01</v>
          </cell>
          <cell r="F3464">
            <v>0</v>
          </cell>
        </row>
        <row r="3465">
          <cell r="B3465">
            <v>102276</v>
          </cell>
          <cell r="C3465" t="str">
            <v>ESCAVAÇÃO MECANIZADA DE VALA COM PROF. ATÉ 1,5 M (MÉDIA MONTANTE E JUSANTE/UMA COMPOSIÇÃO POR TRECHO), ESCAVADEIRA (0,8 M3), LARG. MENOR QUE 1,5 M, EM SOLO DE 1A CATEGORIA, EM LOCAIS COM ALTO NÍVEL DE INTERFERÊNCIA. AF_09/2024</v>
          </cell>
          <cell r="D3465" t="str">
            <v>M3</v>
          </cell>
          <cell r="E3465">
            <v>12.32</v>
          </cell>
          <cell r="F3465">
            <v>0</v>
          </cell>
        </row>
        <row r="3466">
          <cell r="B3466">
            <v>102306</v>
          </cell>
          <cell r="C3466" t="str">
            <v>ESCAVAÇÃO MECANIZADA DE VALA COM PROF. ATÉ 1,5 M (MÉDIA MONTANTE E JUSANTE/UMA COMPOSIÇÃO POR TRECHO), ESCAVADEIRA (0,8 M3),LARG. ATÉ 1,5 M, EM SOLO DE 2A CATEGORIA, EM LOCAIS COM ALTO NÍVEL DE INTERFERÊNCIA. AF_09/2024</v>
          </cell>
          <cell r="D3466" t="str">
            <v>M3</v>
          </cell>
          <cell r="E3466">
            <v>15.39</v>
          </cell>
          <cell r="F3466">
            <v>0</v>
          </cell>
        </row>
        <row r="3467">
          <cell r="B3467">
            <v>102279</v>
          </cell>
          <cell r="C3467" t="str">
            <v>ESCAVAÇÃO MECANIZADA DE VALA COM PROF. ATÉ 1,5 M (MÉDIA MONTANTE E JUSANTE/UMA COMPOSIÇÃO POR TRECHO), ESCAVADEIRA (0,8 M3),LARG. MENOR QUE 1,5 M, EM SOLO DE 1A CATEGORIA, LOCAIS COM BAIXO NÍVEL DE INTERFERÊNCIA. AF_09/2024</v>
          </cell>
          <cell r="D3467" t="str">
            <v>M3</v>
          </cell>
          <cell r="E3467">
            <v>7.75</v>
          </cell>
          <cell r="F3467">
            <v>0</v>
          </cell>
        </row>
        <row r="3468">
          <cell r="B3468">
            <v>102282</v>
          </cell>
          <cell r="C3468" t="str">
            <v>ESCAVAÇÃO MECANIZADA DE VALA COM PROF. ATÉ 1,5 M (MÉDIA MONTANTE E JUSANTE/UMA COMPOSIÇÃO POR TRECHO), ESCAVADEIRA (0,8 M3),LARG. MENOR QUE 1,5 M, EM SOLO DE MOLE, EM LOCAIS COM ALTO NÍVEL DE INTERFERÊNCIA. AF_09/2024</v>
          </cell>
          <cell r="D3468" t="str">
            <v>M3</v>
          </cell>
          <cell r="E3468">
            <v>16.12</v>
          </cell>
          <cell r="F3468">
            <v>0</v>
          </cell>
        </row>
        <row r="3469">
          <cell r="B3469">
            <v>102290</v>
          </cell>
          <cell r="C3469" t="str">
            <v>ESCAVAÇÃO MECANIZADA DE VALA COM PROF. ATÉ 1,5 M (MÉDIA MONTANTE E JUSANTE/UMA COMPOSIÇÃO POR TRECHO), ESCAVADEIRA (0,8 M3),LARG. MENOR QUE 1,5 M, EM SOLO MOLE, LOCAIS COM BAIXO NÍVEL DE INTERFERÊNCIA. AF_09/2024</v>
          </cell>
          <cell r="D3469" t="str">
            <v>M3</v>
          </cell>
          <cell r="E3469">
            <v>10.15</v>
          </cell>
          <cell r="F3469">
            <v>0</v>
          </cell>
        </row>
        <row r="3470">
          <cell r="B3470">
            <v>90100</v>
          </cell>
          <cell r="C3470" t="str">
            <v>ESCAVAÇÃO MECANIZADA DE VALA COM PROF. ATÉ 1,5 M (MÉDIA MONTANTE E JUSANTE/UMA COMPOSIÇÃO POR TRECHO), RETROESCAV. (0,26 M3), LARG. DE 0,8 M A 1,5 M, EM SOLO DE 1A CATEGORIA, EM LOCAIS COM ALTO NÍVEL DE INTERFERÊNCIA. AF_09/2024</v>
          </cell>
          <cell r="D3470" t="str">
            <v>M3</v>
          </cell>
          <cell r="E3470">
            <v>15.57</v>
          </cell>
          <cell r="F3470">
            <v>0</v>
          </cell>
        </row>
        <row r="3471">
          <cell r="B3471">
            <v>102323</v>
          </cell>
          <cell r="C3471" t="str">
            <v>ESCAVAÇÃO MECANIZADA DE VALA COM PROF. ATÉ 1,5 M (MÉDIA MONTANTE E JUSANTE/UMA COMPOSIÇÃO POR TRECHO), RETROESCAV. (0,26 M3), LARG. DE 0,8 M A 1,5 M, EM SOLO DE 2A CATEGORIA, EM LOCAIS COM ALTO NÍVEL DE INTERFERÊNCIA. AF_09/2024</v>
          </cell>
          <cell r="D3471" t="str">
            <v>M3</v>
          </cell>
          <cell r="E3471">
            <v>19.47</v>
          </cell>
          <cell r="F3471">
            <v>0</v>
          </cell>
        </row>
        <row r="3472">
          <cell r="B3472">
            <v>102327</v>
          </cell>
          <cell r="C3472" t="str">
            <v>ESCAVAÇÃO MECANIZADA DE VALA COM PROF. ATÉ 1,5 M (MÉDIA MONTANTE E JUSANTE/UMA COMPOSIÇÃO POR TRECHO), RETROESCAV. (0,26 M3), LARG. DE 0,8 M A 1,5 M, EM SOLO DE 2A CATEGORIA, EM LOCAIS COM BAIXO NÍVEL DE INTERFERÊNCIA. AF_09/2024</v>
          </cell>
          <cell r="D3472" t="str">
            <v>M3</v>
          </cell>
          <cell r="E3472">
            <v>12.27</v>
          </cell>
          <cell r="F3472">
            <v>0</v>
          </cell>
        </row>
        <row r="3473">
          <cell r="B3473">
            <v>102299</v>
          </cell>
          <cell r="C3473" t="str">
            <v>ESCAVAÇÃO MECANIZADA DE VALA COM PROF. ATÉ 1,5 M (MÉDIA MONTANTE E JUSANTE/UMA COMPOSIÇÃO POR TRECHO), RETROESCAV. (0,26 M3), LARG. DE 0,8 M A 1,5 M, EM SOLO MOLE, EM LOCAIS COM ALTO NÍVEL DE INTERFERÊNCIA. AF_09/2024</v>
          </cell>
          <cell r="D3473" t="str">
            <v>M3</v>
          </cell>
          <cell r="E3473">
            <v>20.38</v>
          </cell>
          <cell r="F3473">
            <v>0</v>
          </cell>
        </row>
        <row r="3474">
          <cell r="B3474">
            <v>102303</v>
          </cell>
          <cell r="C3474" t="str">
            <v>ESCAVAÇÃO MECANIZADA DE VALA COM PROF. ATÉ 1,5 M (MÉDIA MONTANTE E JUSANTE/UMA COMPOSIÇÃO POR TRECHO), RETROESCAV. (0,26 M3), LARG. DE 0,8 M A 1,5 M, EM SOLO MOLE, LOCAIS COM BAIXO NÍVEL DE INTERFERÊNCIA. AF_09/2024</v>
          </cell>
          <cell r="D3474" t="str">
            <v>M3</v>
          </cell>
          <cell r="E3474">
            <v>12.84</v>
          </cell>
          <cell r="F3474">
            <v>0</v>
          </cell>
        </row>
        <row r="3475">
          <cell r="B3475">
            <v>90099</v>
          </cell>
          <cell r="C3475" t="str">
            <v>ESCAVAÇÃO MECANIZADA DE VALA COM PROF. ATÉ 1,5 M (MÉDIA MONTANTE E JUSANTE/UMA COMPOSIÇÃO POR TRECHO), RETROESCAV. (0,26 M3), LARG. MENOR QUE 0,8 M, EM SOLO DE 1A CATEGORIA, EM LOCAIS COM ALTO NÍVEL DE INTERFERÊNCIA. AF_09/2024</v>
          </cell>
          <cell r="D3475" t="str">
            <v>M3</v>
          </cell>
          <cell r="E3475">
            <v>18.170000000000002</v>
          </cell>
          <cell r="F3475">
            <v>0</v>
          </cell>
        </row>
        <row r="3476">
          <cell r="B3476">
            <v>102322</v>
          </cell>
          <cell r="C3476" t="str">
            <v>ESCAVAÇÃO MECANIZADA DE VALA COM PROF. ATÉ 1,5 M (MÉDIA MONTANTE E JUSANTE/UMA COMPOSIÇÃO POR TRECHO), RETROESCAV. (0,26 M3), LARG. MENOR QUE 0,8 M, EM SOLO DE 2A CATEGORIA, EM LOCAIS COM ALTO NÍVEL DE INTERFERÊNCIA. AF_09/2024</v>
          </cell>
          <cell r="D3476" t="str">
            <v>M3</v>
          </cell>
          <cell r="E3476">
            <v>22.72</v>
          </cell>
          <cell r="F3476">
            <v>0</v>
          </cell>
        </row>
        <row r="3477">
          <cell r="B3477">
            <v>102298</v>
          </cell>
          <cell r="C3477" t="str">
            <v>ESCAVAÇÃO MECANIZADA DE VALA COM PROF. ATÉ 1,5 M (MÉDIA MONTANTE E JUSANTE/UMA COMPOSIÇÃO POR TRECHO), RETROESCAV. (0,26 M3), LARG. MENOR QUE 0,8 M, EM SOLO MOLE, EM LOCAIS COM ALTO NÍVEL DE INTERFERÊNCIA. AF_09/2024</v>
          </cell>
          <cell r="D3477" t="str">
            <v>M3</v>
          </cell>
          <cell r="E3477">
            <v>23.77</v>
          </cell>
          <cell r="F3477">
            <v>0</v>
          </cell>
        </row>
        <row r="3478">
          <cell r="B3478">
            <v>102302</v>
          </cell>
          <cell r="C3478" t="str">
            <v>ESCAVAÇÃO MECANIZADA DE VALA COM PROF. ATÉ 1,5 M (MÉDIA MONTANTE E JUSANTE/UMA COMPOSIÇÃO POR TRECHO), RETROESCAV. (0,26 M3), LARG. MENOR QUE 0,8 M, EM SOLO MOLE, LOCAIS COM BAIXO NÍVEL DE INTERFERÊNCIA. AF_09/2024</v>
          </cell>
          <cell r="D3478" t="str">
            <v>M3</v>
          </cell>
          <cell r="E3478">
            <v>14.98</v>
          </cell>
          <cell r="F3478">
            <v>0</v>
          </cell>
        </row>
        <row r="3479">
          <cell r="B3479">
            <v>102326</v>
          </cell>
          <cell r="C3479" t="str">
            <v>ESCAVAÇÃO MECANIZADA DE VALA COM PROF. ATÉ 1,5 M (MÉDIA MONTANTE E JUSANTE/UMA COMPOSIÇÃO POR TRECHO), RETROESCAV. (0,26 M3), LARGURA MENOR QUE 0,8 M, EM SOLO DE 2A CATEGORIA, EM LOCAIS COM BAIXO NÍVEL DE INTERFERÊNCIA. AF_09/2024</v>
          </cell>
          <cell r="D3479" t="str">
            <v>M3</v>
          </cell>
          <cell r="E3479">
            <v>14.32</v>
          </cell>
          <cell r="F3479">
            <v>0</v>
          </cell>
        </row>
        <row r="3480">
          <cell r="B3480">
            <v>102314</v>
          </cell>
          <cell r="C3480" t="str">
            <v>ESCAVAÇÃO MECANIZADA DE VALA COM PROF. ATÉ 1,5 M (MÉDIA MONTANTE E JUSANTE/UMA COMPOSIÇÃO POR TRECHO),COM ESCAVADEIRA (0,8 M3), LARG. MENOR QUE 1,5 M, EM SOLO DE 2A CATEGORIA, LOCAIS COM BAIXO NÍVEL DE INTERFERÊNCIA. AF_09/2024</v>
          </cell>
          <cell r="D3480" t="str">
            <v>M3</v>
          </cell>
          <cell r="E3480">
            <v>9.69</v>
          </cell>
          <cell r="F3480">
            <v>0</v>
          </cell>
        </row>
        <row r="3481">
          <cell r="B3481">
            <v>102312</v>
          </cell>
          <cell r="C3481" t="str">
            <v>ESCAVAÇÃO MECANIZADA DE VALA COM PROF. DE 3,0 M ATÉ 4,5 M (MÉDIA MONTANTE E JUSANTE/UMA COMPOSIÇÃO POR TRECHO), ESCAVADEIRA (1,2 M3), LARG. DE 1,5 M A 2,5 M, EM SOLO DE 2A CATEGORIA, EM LOCAIS COM ALTO NÍVEL DE INTERFERÊNCIA. AF_09/2024</v>
          </cell>
          <cell r="D3481" t="str">
            <v>M3</v>
          </cell>
          <cell r="E3481">
            <v>12.16</v>
          </cell>
          <cell r="F3481">
            <v>0</v>
          </cell>
        </row>
        <row r="3482">
          <cell r="B3482">
            <v>102288</v>
          </cell>
          <cell r="C3482" t="str">
            <v>ESCAVAÇÃO MECANIZADA DE VALA COM PROF. DE 3,0 M ATÉ 4,5 M (MÉDIA MONTANTE E JUSANTE/UMA COMPOSIÇÃO POR TRECHO), ESCAVADEIRA (1,2 M3), LARG. DE 1,5 M A 2,5 M, EM SOLO MOLE, EM LOCAIS COM ALTO NÍVEL DE INTERFERÊNCIA. AF_09/2024</v>
          </cell>
          <cell r="D3482" t="str">
            <v>M3</v>
          </cell>
          <cell r="E3482">
            <v>12.73</v>
          </cell>
          <cell r="F3482">
            <v>0</v>
          </cell>
        </row>
        <row r="3483">
          <cell r="B3483">
            <v>90087</v>
          </cell>
          <cell r="C3483" t="str">
            <v>ESCAVAÇÃO MECANIZADA DE VALA COM PROF. DE 3,0 M ATÉ 4,5 M(MÉDIA MONTANTE E JUSANTE/UMA COMPOSIÇÃO POR TRECHO), ESCAVADEIRA (1,2 M3), LARG. DE 1,5 M A 2,5 M, EM SOLO DE 1A CATEGORIA, EM LOCAIS COM ALTO NÍVEL DE INTERFERÊNCIA. AF_09/2024</v>
          </cell>
          <cell r="D3483" t="str">
            <v>M3</v>
          </cell>
          <cell r="E3483">
            <v>9.7200000000000006</v>
          </cell>
          <cell r="F3483">
            <v>0</v>
          </cell>
        </row>
        <row r="3484">
          <cell r="B3484">
            <v>102308</v>
          </cell>
          <cell r="C3484" t="str">
            <v>ESCAVAÇÃO MECANIZADA DE VALA COM PROF. MAIOR QUE 1,5 M ATÉ 3,0 M (MÉDIA MONTANTE E JUSANTE/UMA COMPOSIÇÃO POR TRECHO), ESCAVADEIRA (0,8 M3), LARG. ATÉ 1,5 M, EM SOLO DE 2A CATEGORIA, EM LOCAIS COM ALTO NÍVEL DE INTERFERÊNCIA. AF_09/2024</v>
          </cell>
          <cell r="D3484" t="str">
            <v>M3</v>
          </cell>
          <cell r="E3484">
            <v>13.25</v>
          </cell>
          <cell r="F3484">
            <v>0</v>
          </cell>
        </row>
        <row r="3485">
          <cell r="B3485">
            <v>90084</v>
          </cell>
          <cell r="C3485" t="str">
            <v>ESCAVAÇÃO MECANIZADA DE VALA COM PROF. MAIOR QUE 1,5 M ATÉ 3,0 M (MÉDIA MONTANTE E JUSANTE/UMA COMPOSIÇÃO POR TRECHO), ESCAVADEIRA (0,8 M3), LARGURA ATÉ 1,5 M, EM SOLO DE 1A CATEGORIA, EM LOCAIS COM ALTO NÍVEL DE INTERFERÊNCIA. AF_09/2024</v>
          </cell>
          <cell r="D3485" t="str">
            <v>M3</v>
          </cell>
          <cell r="E3485">
            <v>10.6</v>
          </cell>
          <cell r="F3485">
            <v>0</v>
          </cell>
        </row>
        <row r="3486">
          <cell r="B3486">
            <v>102284</v>
          </cell>
          <cell r="C3486" t="str">
            <v>ESCAVAÇÃO MECANIZADA DE VALA COM PROF. MAIOR QUE 1,5 M ATÉ 3,0 M (MÉDIA MONTANTE E JUSANTE/UMA COMPOSIÇÃO POR TRECHO), ESCAVADEIRA (0,8 M3), LARGURA ATÉ 1,5 M, EM SOLO MOLE, EM LOCAIS COM ALTO NÍVEL DE INTERFERÊNCIA. AF_09/2024</v>
          </cell>
          <cell r="D3486" t="str">
            <v>M3</v>
          </cell>
          <cell r="E3486">
            <v>13.86</v>
          </cell>
          <cell r="F3486">
            <v>0</v>
          </cell>
        </row>
        <row r="3487">
          <cell r="B3487">
            <v>102325</v>
          </cell>
          <cell r="C3487" t="str">
            <v>ESCAVAÇÃO MECANIZADA DE VALA COM PROF. MAIOR QUE 1,5 M ATÉ 3,0 M (MÉDIA MONTANTE E JUSANTE/UMA COMPOSIÇÃO POR TRECHO), RETROESCAV. (0,26 M3), LARG. DE 0,8 M A 1,5 M, EM SOLO DE 2A CATEGORIA, EM LOCAIS COM ALTO NÍVEL DE INTERFERÊNCIA. AF_09/2024</v>
          </cell>
          <cell r="D3487" t="str">
            <v>M3</v>
          </cell>
          <cell r="E3487">
            <v>17.62</v>
          </cell>
          <cell r="F3487">
            <v>0</v>
          </cell>
        </row>
        <row r="3488">
          <cell r="B3488">
            <v>102329</v>
          </cell>
          <cell r="C3488" t="str">
            <v>ESCAVAÇÃO MECANIZADA DE VALA COM PROF. MAIOR QUE 1,5 M ATÉ 3,0 M (MÉDIA MONTANTE E JUSANTE/UMA COMPOSIÇÃO POR TRECHO), RETROESCAV. (0,26 M3), LARG. DE 0,8 M A 1,5 M, EM SOLO DE 2A CATEGORIA, EM LOCAIS COM BAIXO NÍVEL DE INTERFERÊNCIA. AF_09/2024</v>
          </cell>
          <cell r="D3488" t="str">
            <v>M3</v>
          </cell>
          <cell r="E3488">
            <v>11.1</v>
          </cell>
          <cell r="F3488">
            <v>0</v>
          </cell>
        </row>
        <row r="3489">
          <cell r="B3489">
            <v>102301</v>
          </cell>
          <cell r="C3489" t="str">
            <v>ESCAVAÇÃO MECANIZADA DE VALA COM PROF. MAIOR QUE 1,5 M ATÉ 3,0 M (MÉDIA MONTANTE E JUSANTE/UMA COMPOSIÇÃO POR TRECHO), RETROESCAV. (0,26 M3), LARG. DE 0,8 M A 1,5 M, EM SOLO MOLE, EM LOCAIS COM ALTO NÍVEL DE INTERFERÊNCIA. AF_09/2024</v>
          </cell>
          <cell r="D3489" t="str">
            <v>M3</v>
          </cell>
          <cell r="E3489">
            <v>18.440000000000001</v>
          </cell>
          <cell r="F3489">
            <v>0</v>
          </cell>
        </row>
        <row r="3490">
          <cell r="B3490">
            <v>102305</v>
          </cell>
          <cell r="C3490" t="str">
            <v>ESCAVAÇÃO MECANIZADA DE VALA COM PROF. MAIOR QUE 1,5 M ATÉ 3,0 M (MÉDIA MONTANTE E JUSANTE/UMA COMPOSIÇÃO POR TRECHO), RETROESCAV. (0,26 M3), LARG. DE 0,8 M A 1,5 M, EM SOLO MOLE, LOCAIS COM BAIXO NÍVEL DE INTERFERÊNCIA. AF_09/2024</v>
          </cell>
          <cell r="D3490" t="str">
            <v>M3</v>
          </cell>
          <cell r="E3490">
            <v>11.61</v>
          </cell>
          <cell r="F3490">
            <v>0</v>
          </cell>
        </row>
        <row r="3491">
          <cell r="B3491">
            <v>90101</v>
          </cell>
          <cell r="C3491" t="str">
            <v>ESCAVAÇÃO MECANIZADA DE VALA COM PROF. MAIOR QUE 1,5 M ATÉ 3,0 M (MÉDIA MONTANTE E JUSANTE/UMA COMPOSIÇÃO POR TRECHO), RETROESCAV. (0,26 M3), LARG. MENOR QUE 0,8 M, EM SOLO DE 1A CATEGORIA, EM LOCAIS COM ALTO NÍVEL DE INTERFERÊNCIA. AF_09/2024</v>
          </cell>
          <cell r="D3491" t="str">
            <v>M3</v>
          </cell>
          <cell r="E3491">
            <v>15.39</v>
          </cell>
          <cell r="F3491">
            <v>0</v>
          </cell>
        </row>
        <row r="3492">
          <cell r="B3492">
            <v>102324</v>
          </cell>
          <cell r="C3492" t="str">
            <v>ESCAVAÇÃO MECANIZADA DE VALA COM PROF. MAIOR QUE 1,5 M ATÉ 3,0 M (MÉDIA MONTANTE E JUSANTE/UMA COMPOSIÇÃO POR TRECHO), RETROESCAV. (0,26 M3), LARG. MENOR QUE 0,8 M, EM SOLO DE 2A CATEGORIA, EM LOCAIS COM ALTO NÍVEL DE INTERFERÊNCIA. AF_09/2024</v>
          </cell>
          <cell r="D3492" t="str">
            <v>M3</v>
          </cell>
          <cell r="E3492">
            <v>19.239999999999998</v>
          </cell>
          <cell r="F3492">
            <v>0</v>
          </cell>
        </row>
        <row r="3493">
          <cell r="B3493">
            <v>102300</v>
          </cell>
          <cell r="C3493" t="str">
            <v>ESCAVAÇÃO MECANIZADA DE VALA COM PROF. MAIOR QUE 1,5 M ATÉ 3,0 M (MÉDIA MONTANTE E JUSANTE/UMA COMPOSIÇÃO POR TRECHO), RETROESCAV. (0,26 M3), LARG. MENOR QUE 0,8 M, EM SOLO MOLE, EM LOCAIS COM ALTO NÍVEL DE INTERFERÊNCIA. AF_09/2024</v>
          </cell>
          <cell r="D3493" t="str">
            <v>M3</v>
          </cell>
          <cell r="E3493">
            <v>20.14</v>
          </cell>
          <cell r="F3493">
            <v>0</v>
          </cell>
        </row>
        <row r="3494">
          <cell r="B3494">
            <v>90102</v>
          </cell>
          <cell r="C3494" t="str">
            <v>ESCAVAÇÃO MECANIZADA DE VALA COM PROF. MAIOR QUE 1,5 M ATÉ 3,0 M (MÉDIA MONTANTE E JUSANTE/UMA COMPOSIÇÃO POR TRECHO), RETROESCAV. (0,26 M3), LARGURA DE 0,8 M A 1,5 M, EM SOLO DE 1A CATEGORIA, EM LOCAIS COM ALTO NÍVEL DE INTERFERÊNCIA. AF_09/2024</v>
          </cell>
          <cell r="D3494" t="str">
            <v>M3</v>
          </cell>
          <cell r="E3494">
            <v>14.09</v>
          </cell>
          <cell r="F3494">
            <v>0</v>
          </cell>
        </row>
        <row r="3495">
          <cell r="B3495">
            <v>102328</v>
          </cell>
          <cell r="C3495" t="str">
            <v>ESCAVAÇÃO MECANIZADA DE VALA COM PROF. MAIOR QUE 1,5 M ATÉ 3,0 M (MÉDIA MONTANTE E JUSANTE/UMA COMPOSIÇÃO POR TRECHO), RETROESCAV. (0,26 M3),LARG. MENOR QUE 0,8 M, EM SOLO DE 2A CATEGORIA, EM LOCAIS COM BAIXO NÍVEL DE INTERFERÊNCIA. AF_09/2024</v>
          </cell>
          <cell r="D3495" t="str">
            <v>M3</v>
          </cell>
          <cell r="E3495">
            <v>12.12</v>
          </cell>
          <cell r="F3495">
            <v>0</v>
          </cell>
        </row>
        <row r="3496">
          <cell r="B3496">
            <v>102304</v>
          </cell>
          <cell r="C3496" t="str">
            <v>ESCAVAÇÃO MECANIZADA DE VALA COM PROF. MAIOR QUE 1,5 M ATÉ 3,0 M (MÉDIA MONTANTE E JUSANTE/UMA COMPOSIÇÃO POR TRECHO), RETROESCAV. (0,26 M3),LARG. MENOR QUE 0,8 M, EM SOLO MOLE, LOCAIS COM BAIXO NÍVEL DE INTERFERÊNCIA. AF_09/2024</v>
          </cell>
          <cell r="D3496" t="str">
            <v>M3</v>
          </cell>
          <cell r="E3496">
            <v>12.68</v>
          </cell>
          <cell r="F3496">
            <v>0</v>
          </cell>
        </row>
        <row r="3497">
          <cell r="B3497">
            <v>102295</v>
          </cell>
          <cell r="C3497" t="str">
            <v>ESCAVAÇÃO MECANIZADA DE VALA COM PROF. MAIOR QUE 1,5 M ATÉ 3,0 M (MÉDIA MONTANTE E JUSANTE/UMA COMPOSIÇÃO POR TRECHO),COM ESCAVADEIRA (1,2 M3), LARG. DE 1,5 M A 2,5 M, EM SOLO MOLE, LOCAIS COM BAIXO NÍVEL DE INTERFERÊNCIA. AF_09/2024</v>
          </cell>
          <cell r="D3497" t="str">
            <v>M3</v>
          </cell>
          <cell r="E3497">
            <v>8.34</v>
          </cell>
          <cell r="F3497">
            <v>0</v>
          </cell>
        </row>
        <row r="3498">
          <cell r="B3498">
            <v>102281</v>
          </cell>
          <cell r="C3498" t="str">
            <v>ESCAVAÇÃO MECANIZADA DE VALA COM PROF. MAIOR QUE 1,5 M ATÉ 3,0 M (MÉDIA MONTANTE E JUSANTE/UMA COMPOSIÇÃO POR TRECHO),COM ESCAVADEIRA (1,2 M3),LARG. DE 1,5 M A 2,5 M, EM SOLO DE 1A CATEGORIA, LOCAIS COM BAIXO NÍVEL DE INTERFERÊNCIA. AF_09/2024</v>
          </cell>
          <cell r="D3498" t="str">
            <v>M3</v>
          </cell>
          <cell r="E3498">
            <v>6.36</v>
          </cell>
          <cell r="F3498">
            <v>0</v>
          </cell>
        </row>
        <row r="3499">
          <cell r="B3499">
            <v>102311</v>
          </cell>
          <cell r="C3499" t="str">
            <v>ESCAVAÇÃO MECANIZADA DE VALA COM PROF. MAIOR QUE 1,5 M ATÉ 3,0 M (MÉDIA MONTANTE E JUSANTE/UMA COMPOSIÇÃO POR TRECHO),COM ESCAVADEIRA (1,2 M3),LARG. DE 1,5 M A 2,5 M, EM SOLO DE 2A CATEGORIA, EM LOCAIS COM ALTO NÍVEL DE INTERFERÊNCIA. AF_09/2024</v>
          </cell>
          <cell r="D3499" t="str">
            <v>M3</v>
          </cell>
          <cell r="E3499">
            <v>12.64</v>
          </cell>
          <cell r="F3499">
            <v>0</v>
          </cell>
        </row>
        <row r="3500">
          <cell r="B3500">
            <v>102319</v>
          </cell>
          <cell r="C3500" t="str">
            <v>ESCAVAÇÃO MECANIZADA DE VALA COM PROF. MAIOR QUE 1,5 M ATÉ 3,0 M (MÉDIA MONTANTE E JUSANTE/UMA COMPOSIÇÃO POR TRECHO),COM ESCAVADEIRA (1,2 M3),LARG. DE 1,5 M A 2,5 M, EM SOLO DE 2A CATEGORIA, LOCAIS COM BAIXO NÍVEL DE INTERFERÊNCIA. AF_09/2024</v>
          </cell>
          <cell r="D3500" t="str">
            <v>M3</v>
          </cell>
          <cell r="E3500">
            <v>7.96</v>
          </cell>
          <cell r="F3500">
            <v>0</v>
          </cell>
        </row>
        <row r="3501">
          <cell r="B3501">
            <v>102287</v>
          </cell>
          <cell r="C3501" t="str">
            <v>ESCAVAÇÃO MECANIZADA DE VALA COM PROF. MAIOR QUE 1,5 M ATÉ 3,0 M (MÉDIA MONTANTE E JUSANTE/UMA COMPOSIÇÃO POR TRECHO),COM ESCAVADEIRA (1,2 M3),LARG. DE 1,5 M A 2,5 M, EM SOLO MOLE, EM LOCAIS COM ALTO NÍVEL DE INTERFERÊNCIA. AF_09/2024</v>
          </cell>
          <cell r="D3501" t="str">
            <v>M3</v>
          </cell>
          <cell r="E3501">
            <v>13.24</v>
          </cell>
          <cell r="F3501">
            <v>0</v>
          </cell>
        </row>
        <row r="3502">
          <cell r="B3502">
            <v>102316</v>
          </cell>
          <cell r="C3502" t="str">
            <v>ESCAVAÇÃO MECANIZADA DE VALA COM PROF. MAIOR QUE 1,5 M E ATÉ 3,0 M (MÉDIA MONTANTE E JUSANTE/UMA COMPOSIÇÃO POR TRECHO), ESCAVADEIRA (0,8 M3), LARG. MENOR QUE 1,5 M, EM SOLO DE 2A CATEGORIA, LOCAIS COM BAIXO NÍVEL DE INTERFERÊNCIA. AF_09/2024</v>
          </cell>
          <cell r="D3502" t="str">
            <v>M3</v>
          </cell>
          <cell r="E3502">
            <v>8.34</v>
          </cell>
          <cell r="F3502">
            <v>0</v>
          </cell>
        </row>
        <row r="3503">
          <cell r="B3503">
            <v>102292</v>
          </cell>
          <cell r="C3503" t="str">
            <v>ESCAVAÇÃO MECANIZADA DE VALA COM PROF. MAIOR QUE 1,5 M E ATÉ 3,0 M (MÉDIA MONTANTE E JUSANTE/UMA COMPOSIÇÃO POR TRECHO), ESCAVADEIRA (0,8 M3), LARG. MENOR QUE 1,5 M, EM SOLO MOLE, LOCAIS COM BAIXO NÍVEL DE INTERFERÊNCIA. AF_09/2024</v>
          </cell>
          <cell r="D3503" t="str">
            <v>M3</v>
          </cell>
          <cell r="E3503">
            <v>8.74</v>
          </cell>
          <cell r="F3503">
            <v>0</v>
          </cell>
        </row>
        <row r="3504">
          <cell r="B3504">
            <v>90092</v>
          </cell>
          <cell r="C3504" t="str">
            <v>ESCAVAÇÃO MECANIZADA DE VALA COM PROF. MAIOR QUE 1,5 M E ATÉ 3,0 M(MÉDIA MONTANTE E JUSANTE/UMA COMPOSIÇÃO POR TRECHO), ESCAVADEIRA (0,8 M3), LARG. MENOR QUE 1,5 M, EM SOLO DE 1A CATEGORIA, LOCAIS COM BAIXO NÍVEL DE INTERFERÊNCIA. AF_09/2024</v>
          </cell>
          <cell r="D3504" t="str">
            <v>M3</v>
          </cell>
          <cell r="E3504">
            <v>6.67</v>
          </cell>
          <cell r="F3504">
            <v>0</v>
          </cell>
        </row>
        <row r="3505">
          <cell r="B3505">
            <v>102278</v>
          </cell>
          <cell r="C3505" t="str">
            <v>ESCAVAÇÃO MECANIZADA DE VALA COM PROF. MAIOR QUE 1,50 M ATÉ 3,0 M (MÉDIA MONTANTE E JUSANTE/UMA COMPOSIÇÃO POR TRECHO), ESCAVADEIRA (1,2 M3), LARG. DE 1,5 M A 2,5 M, EM SOLO DE 1A CATEGORIA, EM LOCAIS COM ALTO NÍVEL DE INTERFERÊNCIA. AF_09/2024</v>
          </cell>
          <cell r="D3505" t="str">
            <v>M3</v>
          </cell>
          <cell r="E3505">
            <v>10.11</v>
          </cell>
          <cell r="F3505">
            <v>0</v>
          </cell>
        </row>
        <row r="3506">
          <cell r="B3506">
            <v>90094</v>
          </cell>
          <cell r="C3506" t="str">
            <v>ESCAVAÇÃO MECANIZADA DE VALA COM PROF. MAIOR QUE 3,0 M ATÉ 4,5 M (MÉDIA MONTANTE E JUSANTE/UMA COMPOSIÇÃO POR TRECHO), ESCAVADEIRA (0,8 M3), LARG. MENOR QUE 1,5 M, EM SOLO DE 1A CATEGORIA, LOCAIS COM BAIXO NÍVEL DE INTERFERÊNCIA. AF_09/2024</v>
          </cell>
          <cell r="D3506" t="str">
            <v>M3</v>
          </cell>
          <cell r="E3506">
            <v>6.31</v>
          </cell>
          <cell r="F3506">
            <v>0</v>
          </cell>
        </row>
        <row r="3507">
          <cell r="B3507">
            <v>102309</v>
          </cell>
          <cell r="C3507" t="str">
            <v>ESCAVAÇÃO MECANIZADA DE VALA COM PROF. MAIOR QUE 3,0 M ATÉ 4,5 M (MÉDIA MONTANTE E JUSANTE/UMA COMPOSIÇÃO POR TRECHO), ESCAVADEIRA (0,8 M3), LARG. MENOR QUE 1,5 M, EM SOLO DE 2A CATEGORIA, EM LOCAIS COM ALTO NÍVEL DE INTERFERÊNCIA. AF_09/2024</v>
          </cell>
          <cell r="D3507" t="str">
            <v>M3</v>
          </cell>
          <cell r="E3507">
            <v>12.52</v>
          </cell>
          <cell r="F3507">
            <v>0</v>
          </cell>
        </row>
        <row r="3508">
          <cell r="B3508">
            <v>102285</v>
          </cell>
          <cell r="C3508" t="str">
            <v>ESCAVAÇÃO MECANIZADA DE VALA COM PROF. MAIOR QUE 3,0 M ATÉ 4,5 M (MÉDIA MONTANTE E JUSANTE/UMA COMPOSIÇÃO POR TRECHO), ESCAVADEIRA (0,8 M3), LARG. MENOR QUE 1,5 M, EM SOLO MOLE, EM LOCAIS COM ALTO NÍVEL DE INTERFERÊNCIA. AF_09/2024</v>
          </cell>
          <cell r="D3508" t="str">
            <v>M3</v>
          </cell>
          <cell r="E3508">
            <v>13.12</v>
          </cell>
          <cell r="F3508">
            <v>0</v>
          </cell>
        </row>
        <row r="3509">
          <cell r="B3509">
            <v>90095</v>
          </cell>
          <cell r="C3509" t="str">
            <v>ESCAVAÇÃO MECANIZADA DE VALA COM PROF. MAIOR QUE 3,0 M ATÉ 4,5 M (MÉDIA MONTANTE E JUSANTE/UMA COMPOSIÇÃO POR TRECHO), ESCAVADEIRA (1,2 M3), LARG. DE 1,5 M A 2,5 M, EM SOLO DE 1A CATEGORIA, LOCAIS COM BAIXO NÍVEL DE INTERFERÊNCIA. AF_09/2024</v>
          </cell>
          <cell r="D3509" t="str">
            <v>M3</v>
          </cell>
          <cell r="E3509">
            <v>6.12</v>
          </cell>
          <cell r="F3509">
            <v>0</v>
          </cell>
        </row>
        <row r="3510">
          <cell r="B3510">
            <v>102320</v>
          </cell>
          <cell r="C3510" t="str">
            <v>ESCAVAÇÃO MECANIZADA DE VALA COM PROF. MAIOR QUE 3,0 M ATÉ 4,5 M (MÉDIA MONTANTE E JUSANTE/UMA COMPOSIÇÃO POR TRECHO), ESCAVADEIRA (1,2 M3), LARG. DE 1,5 M A 2,5 M, EM SOLO DE 2A CATEGORIA, LOCAIS COM BAIXO NÍVEL DE INTERFERÊNCIA. AF_09/2024</v>
          </cell>
          <cell r="D3510" t="str">
            <v>M3</v>
          </cell>
          <cell r="E3510">
            <v>7.66</v>
          </cell>
          <cell r="F3510">
            <v>0</v>
          </cell>
        </row>
        <row r="3511">
          <cell r="B3511">
            <v>102296</v>
          </cell>
          <cell r="C3511" t="str">
            <v>ESCAVAÇÃO MECANIZADA DE VALA COM PROF. MAIOR QUE 3,0 M ATÉ 4,5 M (MÉDIA MONTANTE E JUSANTE/UMA COMPOSIÇÃO POR TRECHO), ESCAVADEIRA (1,2 M3), LARG. DE 1,5 M A 2,5 M, EM SOLO MOLE, LOCAIS COM BAIXO NÍVEL DE INTERFERÊNCIA. AF_09/2024</v>
          </cell>
          <cell r="D3511" t="str">
            <v>M3</v>
          </cell>
          <cell r="E3511">
            <v>8.02</v>
          </cell>
          <cell r="F3511">
            <v>0</v>
          </cell>
        </row>
        <row r="3512">
          <cell r="B3512">
            <v>90086</v>
          </cell>
          <cell r="C3512" t="str">
            <v>ESCAVAÇÃO MECANIZADA DE VALA COM PROF. MAIOR QUE 3,0 M ATÉ 4,5 M(MÉDIA MONTANTE E JUSANTE/UMA COMPOSIÇÃO POR TRECHO), ESCAVADEIRA (0,8 M3), LARG. MENOR QUE 1,5 M, EM SOLO DE 1A CATEGORIA, EM LOCAIS COM ALTO NÍVEL DE INTERFERÊNCIA. AF_09/2024</v>
          </cell>
          <cell r="D3512" t="str">
            <v>M3</v>
          </cell>
          <cell r="E3512">
            <v>10.02</v>
          </cell>
          <cell r="F3512">
            <v>0</v>
          </cell>
        </row>
        <row r="3513">
          <cell r="B3513">
            <v>102277</v>
          </cell>
          <cell r="C3513" t="str">
            <v>ESCAVAÇÃO MECANIZADA DE VALA COM PROF. MAIOR QUE 4,5 M ATÉ 6,0 M (MÉDIA MONTANTE E JUSANTE/UMA COMPOSIÇÃO POR TRECHO), ESCAVADEIRA (0,8 M3), LARG. MENOR QUE 1,5 M, EM SOLO DE 1A CATEGORIA, EM LOCAIS COM ALTO NÍVEL DE INTERFERÊNCIA. AF_09/2024</v>
          </cell>
          <cell r="D3513" t="str">
            <v>M3</v>
          </cell>
          <cell r="E3513">
            <v>9.73</v>
          </cell>
          <cell r="F3513">
            <v>0</v>
          </cell>
        </row>
        <row r="3514">
          <cell r="B3514">
            <v>102286</v>
          </cell>
          <cell r="C3514" t="str">
            <v>ESCAVAÇÃO MECANIZADA DE VALA COM PROF. MAIOR QUE 4,5 M ATÉ 6,0 M (MÉDIA MONTANTE E JUSANTE/UMA COMPOSIÇÃO POR TRECHO), ESCAVADEIRA (0,8 M3),LARG. MENOR QUE 1,5 M, EM SOLO DE MOLE, EM LOCAIS COM ALTO NÍVEL DE INTERFERÊNCIA. AF_09/2024</v>
          </cell>
          <cell r="D3514" t="str">
            <v>M3</v>
          </cell>
          <cell r="E3514">
            <v>12.73</v>
          </cell>
          <cell r="F3514">
            <v>0</v>
          </cell>
        </row>
        <row r="3515">
          <cell r="B3515">
            <v>90098</v>
          </cell>
          <cell r="C3515" t="str">
            <v>ESCAVAÇÃO MECANIZADA DE VALA COM PROF. MAIOR QUE 4,5 M ATÉ 6,0 M (MÉDIA MONTANTE E JUSANTE/UMA COMPOSIÇÃO POR TRECHO), ESCAVADEIRA (1,2 M3), LARG. DE 1,5 M A 2,5 M, EM SOLO DE 1A CATEGORIA, LOCAIS COM BAIXO NÍVEL DE INTERFERÊNCIA. AF_09/2024</v>
          </cell>
          <cell r="D3515" t="str">
            <v>M3</v>
          </cell>
          <cell r="E3515">
            <v>6</v>
          </cell>
          <cell r="F3515">
            <v>0</v>
          </cell>
        </row>
        <row r="3516">
          <cell r="B3516">
            <v>102313</v>
          </cell>
          <cell r="C3516" t="str">
            <v>ESCAVAÇÃO MECANIZADA DE VALA COM PROF. MAIOR QUE 4,5 M ATÉ 6,0 M (MÉDIA MONTANTE E JUSANTE/UMA COMPOSIÇÃO POR TRECHO), ESCAVADEIRA (1,2 M3), LARG. DE 1,5 M A 2,5 M, EM SOLO DE 2A CATEGORIA, EM LOCAIS COM ALTO NÍVEL DE INTERFERÊNCIA. AF_09/2024</v>
          </cell>
          <cell r="D3516" t="str">
            <v>M3</v>
          </cell>
          <cell r="E3516">
            <v>11.92</v>
          </cell>
          <cell r="F3516">
            <v>0</v>
          </cell>
        </row>
        <row r="3517">
          <cell r="B3517">
            <v>102321</v>
          </cell>
          <cell r="C3517" t="str">
            <v>ESCAVAÇÃO MECANIZADA DE VALA COM PROF. MAIOR QUE 4,5 M ATÉ 6,0 M (MÉDIA MONTANTE E JUSANTE/UMA COMPOSIÇÃO POR TRECHO), ESCAVADEIRA (1,2 M3), LARG. DE 1,5 M A 2,5 M, EM SOLO DE 2A CATEGORIA, LOCAIS COM BAIXO NÍVEL DE INTERFERÊNCIA. AF_09/2024</v>
          </cell>
          <cell r="D3517" t="str">
            <v>M3</v>
          </cell>
          <cell r="E3517">
            <v>7.51</v>
          </cell>
          <cell r="F3517">
            <v>0</v>
          </cell>
        </row>
        <row r="3518">
          <cell r="B3518">
            <v>102289</v>
          </cell>
          <cell r="C3518" t="str">
            <v>ESCAVAÇÃO MECANIZADA DE VALA COM PROF. MAIOR QUE 4,5 M ATÉ 6,0 M (MÉDIA MONTANTE E JUSANTE/UMA COMPOSIÇÃO POR TRECHO), ESCAVADEIRA (1,2 M3), LARG. DE 1,5 M A 2,5 M, EM SOLO MOLE, EM LOCAIS COM ALTO NÍVEL DE INTERFERÊNCIA. AF_09/2024</v>
          </cell>
          <cell r="D3518" t="str">
            <v>M3</v>
          </cell>
          <cell r="E3518">
            <v>12.48</v>
          </cell>
          <cell r="F3518">
            <v>0</v>
          </cell>
        </row>
        <row r="3519">
          <cell r="B3519">
            <v>102297</v>
          </cell>
          <cell r="C3519" t="str">
            <v>ESCAVAÇÃO MECANIZADA DE VALA COM PROF. MAIOR QUE 4,5 M ATÉ 6,0 M (MÉDIA MONTANTE E JUSANTE/UMA COMPOSIÇÃO POR TRECHO), ESCAVADEIRA (1,2 M3), LARG. DE 1,5 M A 2,5 M, EM SOLO MOLE, LOCAIS COM BAIXO NÍVEL DE INTERFERÊNCIA. AF_09/2024</v>
          </cell>
          <cell r="D3519" t="str">
            <v>M3</v>
          </cell>
          <cell r="E3519">
            <v>7.85</v>
          </cell>
          <cell r="F3519">
            <v>0</v>
          </cell>
        </row>
        <row r="3520">
          <cell r="B3520">
            <v>102280</v>
          </cell>
          <cell r="C3520" t="str">
            <v>ESCAVAÇÃO MECANIZADA DE VALA COM PROF. MAIOR QUE 4,5 M ATÉ 6,0 M (MÉDIA MONTANTE E JUSANTE/UMA COMPOSIÇÃO POR TRECHO),COM ESCAVADEIRA (0,8 M3), LARG. MENOR QUE 1,5 M, EM SOLO DE 1A CATEGORIA, LOCAIS COM BAIXO NÍVEL DE INTERFERÊNCIA. AF_09/2024</v>
          </cell>
          <cell r="D3520" t="str">
            <v>M3</v>
          </cell>
          <cell r="E3520">
            <v>6.13</v>
          </cell>
          <cell r="F3520">
            <v>0</v>
          </cell>
        </row>
        <row r="3521">
          <cell r="B3521">
            <v>102294</v>
          </cell>
          <cell r="C3521" t="str">
            <v>ESCAVAÇÃO MECANIZADA DE VALA COM PROF. MAIOR QUE 4,5 M ATÉ 6,0 M (MÉDIA MONTANTE E JUSANTE/UMA COMPOSIÇÃO POR TRECHO),COM ESCAVADEIRA (0,8 M3), LARG. MENOR QUE 1,5 M, EM SOLO MOLE, LOCAIS COM BAIXO NÍVEL DE INTERFERÊNCIA. AF_09/2024</v>
          </cell>
          <cell r="D3521" t="str">
            <v>M3</v>
          </cell>
          <cell r="E3521">
            <v>8.01</v>
          </cell>
          <cell r="F3521">
            <v>0</v>
          </cell>
        </row>
        <row r="3522">
          <cell r="B3522">
            <v>90090</v>
          </cell>
          <cell r="C3522" t="str">
            <v>ESCAVAÇÃO MECANIZADA DE VALA COM PROF. MAIOR QUE 4,5 M ATÉ 6,0 M(MÉDIA MONTANTE E JUSANTE/UMA COMPOSIÇÃO POR TRECHO), ESCAVADEIRA (1,2 M3), LARG. DE 1,5 M A 2,5 M, EM SOLO DE 1A CATEGORIA, EM LOCAIS COM ALTO NÍVEL DE INTERFERÊNCIA. AF_09/2024</v>
          </cell>
          <cell r="D3522" t="str">
            <v>M3</v>
          </cell>
          <cell r="E3522">
            <v>9.52</v>
          </cell>
          <cell r="F3522">
            <v>0</v>
          </cell>
        </row>
        <row r="3523">
          <cell r="B3523">
            <v>102317</v>
          </cell>
          <cell r="C3523" t="str">
            <v>ESCAVAÇÃO MECANIZADA DE VALA COM PROF.MAIOR QUE 3,0 M ATÉ 4,5 M (MÉDIA MONTANTE E JUSANTE/UMA COMPOSIÇÃO POR TRECHO), ESCAVADEIRA (0,8 M3), LARG. MENOR QUE 1,5 M, EM SOLO DE 2A CATEGORIA, LOCAIS COM BAIXO NÍVEL DE INTERFERÊNCIA. AF_09/2024</v>
          </cell>
          <cell r="D3523" t="str">
            <v>M3</v>
          </cell>
          <cell r="E3523">
            <v>7.88</v>
          </cell>
          <cell r="F3523">
            <v>0</v>
          </cell>
        </row>
        <row r="3524">
          <cell r="B3524">
            <v>102293</v>
          </cell>
          <cell r="C3524" t="str">
            <v>ESCAVAÇÃO MECANIZADA DE VALA COM PROF.MAIOR QUE 3,0 M ATÉ 4,5 M (MÉDIA MONTANTE E JUSANTE/UMA COMPOSIÇÃO POR TRECHO), ESCAVADEIRA (0,8 M3), LARG. MENOR QUE 1,5 M, EM SOLO MOLE, LOCAIS COM BAIXO NÍVEL DE INTERFERÊNCIA. AF_09/2024</v>
          </cell>
          <cell r="D3524" t="str">
            <v>M3</v>
          </cell>
          <cell r="E3524">
            <v>8.26</v>
          </cell>
          <cell r="F3524">
            <v>0</v>
          </cell>
        </row>
        <row r="3525">
          <cell r="B3525">
            <v>102310</v>
          </cell>
          <cell r="C3525" t="str">
            <v>ESCAVAÇÃO MECANIZADA DE VALA COM PROF.MAIOR QUE 4,5 M ATÉ 6,0 M (MÉDIA MONTANTE E JUSANTE/UMA COMPOSIÇÃO POR TRECHO),COM ESCAVADEIRA (0,8 M3), LARG. MENOR QUE 1,5 M, EM SOLO DE 2A CATEGORIA, EM LOCAIS COM ALTO NÍVEL DE INTERFERÊNCIA. AF_09/2024</v>
          </cell>
          <cell r="D3525" t="str">
            <v>M3</v>
          </cell>
          <cell r="E3525">
            <v>12.16</v>
          </cell>
          <cell r="F3525">
            <v>0</v>
          </cell>
        </row>
        <row r="3526">
          <cell r="B3526">
            <v>102318</v>
          </cell>
          <cell r="C3526" t="str">
            <v>ESCAVAÇÃO MECANIZADA DE VALA COM PROF.MAIOR QUE 4,5 M ATÉ 6,0 M (MÉDIA MONTANTE E JUSANTE/UMA COMPOSIÇÃO POR TRECHO),COM ESCAVADEIRA (0,8 M3), LARG. MENOR QUE 1,5 M, EM SOLO DE 2A CATEGORIA, EM LOCAIS COM BAIXO NÍVEL DE INTERFERÊNCIA. AF_09/2024</v>
          </cell>
          <cell r="D3526" t="str">
            <v>M3</v>
          </cell>
          <cell r="E3526">
            <v>7.66</v>
          </cell>
          <cell r="F3526">
            <v>0</v>
          </cell>
        </row>
        <row r="3527">
          <cell r="B3527">
            <v>90106</v>
          </cell>
          <cell r="C3527" t="str">
            <v>ESCAVAÇÃO MECANIZADA DE VALA COM PROFUNDIDADE ATÉ 1,5 M (MÉDIA MONTANTE E JUSANTE/UMA COMPOSIÇÃO POR TRECHO), RETROESCAV. (0,26 M3), LARGURA DE 0,8 M A 1,5 M, EM SOLO DE 1A CATEGORIA, LOCAIS COM BAIXO NÍVEL DE INTERFERÊNCIA. AF_09/2024</v>
          </cell>
          <cell r="D3527" t="str">
            <v>M3</v>
          </cell>
          <cell r="E3527">
            <v>9.81</v>
          </cell>
          <cell r="F3527">
            <v>0</v>
          </cell>
        </row>
        <row r="3528">
          <cell r="B3528">
            <v>90105</v>
          </cell>
          <cell r="C3528" t="str">
            <v>ESCAVAÇÃO MECANIZADA DE VALA COM PROFUNDIDADE ATÉ 1,5 M (MÉDIA MONTANTE E JUSANTE/UMA COMPOSIÇÃO POR TRECHO), RETROESCAV. (0,26 M3), LARGURA MENOR QUE 0,8 M, EM SOLO DE 1A CATEGORIA, LOCAIS COM BAIXO NÍVEL DE INTERFERÊNCIA. AF_09/2024</v>
          </cell>
          <cell r="D3528" t="str">
            <v>M3</v>
          </cell>
          <cell r="E3528">
            <v>10.8</v>
          </cell>
          <cell r="F3528">
            <v>0</v>
          </cell>
        </row>
        <row r="3529">
          <cell r="B3529">
            <v>90108</v>
          </cell>
          <cell r="C3529" t="str">
            <v>ESCAVAÇÃO MECANIZADA DE VALA COM PROFUNDIDADE MAIOR QUE 1,5 M ATÉ 3,0 M (MÉDIA MONTANTE E JUSANTE/UMA COMPOSIÇÃO POR TRECHO), RETROESCAV (0,26 M3), LARGURA DE 0,8 M A 1,5 M, EM SOLO DE 1A CATEGORIA, LOCAIS COM BAIXO NÍVEL DE INTERFERÊNCIA. AF_09/2024</v>
          </cell>
          <cell r="D3529" t="str">
            <v>M3</v>
          </cell>
          <cell r="E3529">
            <v>8.8800000000000008</v>
          </cell>
          <cell r="F3529">
            <v>0</v>
          </cell>
        </row>
        <row r="3530">
          <cell r="B3530">
            <v>90107</v>
          </cell>
          <cell r="C3530" t="str">
            <v>ESCAVAÇÃO MECANIZADA DE VALA COM PROFUNDIDADE MAIOR QUE 1,5 M ATÉ 3,0 M (MÉDIA MONTANTE E JUSANTE/UMA COMPOSIÇÃO POR TRECHO), RETROESCAV. (0,26 M3), LARGURA MENOR QUE 0,8 M, EM SOLO DE 1A CATEGORIA, LOCAIS COM BAIXO NÍVEL DE INTERFERÊNCIA. AF_09/2024</v>
          </cell>
          <cell r="D3530" t="str">
            <v>M3</v>
          </cell>
          <cell r="E3530">
            <v>9.6999999999999993</v>
          </cell>
          <cell r="F3530">
            <v>0</v>
          </cell>
        </row>
        <row r="3531">
          <cell r="B3531">
            <v>102354</v>
          </cell>
          <cell r="C3531" t="str">
            <v>DESMONTE DE MATERIAL DE 3ª CATEGORIA (BLOCOS DE ROCHAS OU MATACOS), COM MARTELETE PNEUMÁTICO MANUAL - EXCLUSIVE CARGA E TRANSPORTE. AF_03/2021</v>
          </cell>
          <cell r="D3531" t="str">
            <v>M3</v>
          </cell>
          <cell r="E3531">
            <v>178.76</v>
          </cell>
          <cell r="F3531">
            <v>0</v>
          </cell>
        </row>
        <row r="3532">
          <cell r="B3532">
            <v>102355</v>
          </cell>
          <cell r="C3532" t="str">
            <v>DESMONTE DE MATERIAL DE 3ª CATEGORIA (BLOCOS DE ROCHAS OU MATACOS), EM VALA, COM MARTELETE PNEUMÁTICO MANUAL - EXCLUSIVE RETIRADA, CARGA E TRANSPORTE. AF_03/2021</v>
          </cell>
          <cell r="D3532" t="str">
            <v>M3</v>
          </cell>
          <cell r="E3532">
            <v>213.99</v>
          </cell>
          <cell r="F3532">
            <v>0</v>
          </cell>
        </row>
        <row r="3533">
          <cell r="B3533">
            <v>102356</v>
          </cell>
          <cell r="C3533" t="str">
            <v>DESMONTE DE MATERIAL DE 3ª CATEGORIA, COM USO DE ARGAMASSA EXPANSIVA - EXCLUSIVE CARGA E TRANSPORTE. AF_03/2021</v>
          </cell>
          <cell r="D3533" t="str">
            <v>M3</v>
          </cell>
          <cell r="E3533">
            <v>0</v>
          </cell>
        </row>
        <row r="3534">
          <cell r="B3534">
            <v>102357</v>
          </cell>
          <cell r="C3534" t="str">
            <v>DESMONTE DE MATERIAL DE 3ª CATEGORIA, COM USO DE ARGAMASSA EXPANSIVA, EM VALA - EXCLUSIVE RETIRADA, CARGA E TRANSPORTE. AF_03/2021</v>
          </cell>
          <cell r="D3534" t="str">
            <v>M3</v>
          </cell>
          <cell r="E3534">
            <v>0</v>
          </cell>
        </row>
        <row r="3535">
          <cell r="B3535">
            <v>102358</v>
          </cell>
          <cell r="C3535" t="str">
            <v>DESMONTE DE MATERIAL DE 3ª CATEGORIA, COM USO DE EMULSÃO EXPLOSIVA ENCARTUCHADA - EXCLUSIVE CARGA E TRANSPORTE. AF_03/2021</v>
          </cell>
          <cell r="D3535" t="str">
            <v>M3</v>
          </cell>
          <cell r="E3535">
            <v>0</v>
          </cell>
        </row>
        <row r="3536">
          <cell r="B3536">
            <v>102359</v>
          </cell>
          <cell r="C3536" t="str">
            <v>DESMONTE DE MATERIAL DE 3ª CATEGORIA, EM VALA, COM USO DE EMULSÃO EXPLOSIVA ENCARTUCHADA - EXCLUSIVE RETIRADA, CARGA E TRANSPORTE. AF_03/2021</v>
          </cell>
          <cell r="D3536" t="str">
            <v>M3</v>
          </cell>
          <cell r="E3536">
            <v>0</v>
          </cell>
        </row>
        <row r="3537">
          <cell r="B3537">
            <v>102348</v>
          </cell>
          <cell r="C3537" t="str">
            <v>ESCAVAÇÃO DE VALA EM MATERIAL DE 3ª CATEGORIA, RESISTÊNCIA À COMPRESSÃO MAIOR OU IGUAL A 50 MPA, COM ROMPEDOR ACOPLADO EM ESCAVADEIRA HIDRÁULICA - EXCLUSIVE RETIRADA, CARGA E TRANSPORTE. AF_03/2021</v>
          </cell>
          <cell r="D3537" t="str">
            <v>M3</v>
          </cell>
          <cell r="E3537">
            <v>0</v>
          </cell>
        </row>
        <row r="3538">
          <cell r="B3538">
            <v>102346</v>
          </cell>
          <cell r="C3538" t="str">
            <v>ESCAVAÇÃO DE VALA EM MATERIAL DE 3ª CATEGORIA, RESISTÊNCIA À COMPRESSÃO MENOR QUE 50 MPA, COM ROMPEDOR ACOPLADO EM ESCAVADEIRA HIDRÁULICA - EXCLUSIVE RETIRADA, CARGA E TRANSPORTE. AF_03/2021</v>
          </cell>
          <cell r="D3538" t="str">
            <v>M3</v>
          </cell>
          <cell r="E3538">
            <v>0</v>
          </cell>
        </row>
        <row r="3539">
          <cell r="B3539">
            <v>102347</v>
          </cell>
          <cell r="C3539" t="str">
            <v>ESCAVAÇÃO DE VALA EM MATERIAL DE 3ª CATEGORIA, RESISTÊNCIA À COMPRESSÃO MENOR QUE 50 MPA, COM ROMPEDOR ACOPLADO EM RETROESCAVADEIRA - EXCLUSIVE RETIRADA CARGA E TRANSPORTE. AF_03/2021</v>
          </cell>
          <cell r="D3539" t="str">
            <v>M3</v>
          </cell>
          <cell r="E3539">
            <v>0</v>
          </cell>
        </row>
        <row r="3540">
          <cell r="B3540">
            <v>102350</v>
          </cell>
          <cell r="C3540" t="str">
            <v>ESCAVAÇÃO EM MATERIAL DE 3ª CATEGORIA, RESISTÊNCIA À COMPRESSÃO MAIOR OU IGUAL A 50 MPA E MENOR QUE 70 MPA, COM ROMPEDOR ACOPLADO EM ESCAVADEIRA HIDRÁULICA - EXCLUSIVE CARGA E TRANSPORTE. AF_03/2021</v>
          </cell>
          <cell r="D3540" t="str">
            <v>M3</v>
          </cell>
          <cell r="E3540">
            <v>0</v>
          </cell>
        </row>
        <row r="3541">
          <cell r="B3541">
            <v>102351</v>
          </cell>
          <cell r="C3541" t="str">
            <v>ESCAVAÇÃO EM MATERIAL DE 3ª CATEGORIA, RESISTÊNCIA À COMPRESSÃO MAIOR OU IGUAL A 70 MPA E MENOR QUE 90 MPA, COM ROMPEDOR ACOPLADO EM ESCAVADEIRA HIDRÁULICA - EXCLUSIVE CARGA E TRANSPORTE. AF_03/2021</v>
          </cell>
          <cell r="D3541" t="str">
            <v>M3</v>
          </cell>
          <cell r="E3541">
            <v>0</v>
          </cell>
        </row>
        <row r="3542">
          <cell r="B3542">
            <v>102352</v>
          </cell>
          <cell r="C3542" t="str">
            <v>ESCAVAÇÃO EM MATERIAL DE 3ª CATEGORIA, RESISTÊNCIA À COMPRESSÃO MAIOR OU IGUAL A 90 MPA E MENOR QUE 110 MPA, COM ROMPEDOR ACOPLADO EM ESCAVADEIRA HIDRÁULICA - EXCLUSIVE CARGA E TRANSPORTE. AF_03/2021</v>
          </cell>
          <cell r="D3542" t="str">
            <v>M3</v>
          </cell>
          <cell r="E3542">
            <v>0</v>
          </cell>
        </row>
        <row r="3543">
          <cell r="B3543">
            <v>102353</v>
          </cell>
          <cell r="C3543" t="str">
            <v>ESCAVAÇÃO EM MATERIAL DE 3ª CATEGORIA, RESISTÊNCIA À COMPRESSÃO MAIOR QUE 110 MPA, COM ROMPEDOR ACOPLADO EM ESCAVADEIRA HIDRÁULICA - EXCLUSIVE CARGA E TRANSPORTE. AF_03/2021</v>
          </cell>
          <cell r="D3543" t="str">
            <v>M3</v>
          </cell>
          <cell r="E3543">
            <v>0</v>
          </cell>
        </row>
        <row r="3544">
          <cell r="B3544">
            <v>102349</v>
          </cell>
          <cell r="C3544" t="str">
            <v>ESCAVAÇÃO EM MATERIAL DE 3ª CATEGORIA, RESISTÊNCIA À COMPRESSÃO MENOR QUE 50 MPA, COM ROMPEDOR ACOPLADO EM ESCAVADEIRA HIDRÁULICA - EXCLUSIVE CARGA E TRANSPORTE. AF_03/2021</v>
          </cell>
          <cell r="D3544" t="str">
            <v>M3</v>
          </cell>
          <cell r="E3544">
            <v>0</v>
          </cell>
        </row>
        <row r="3545">
          <cell r="B3545">
            <v>102360</v>
          </cell>
          <cell r="C3545" t="str">
            <v>RETIRADA DE MATERIAL DE 3ª CATEGORIA (APÓS ESCAVAÇÃO/DESMONTE) EM VALAS, COM ESCAVADEIRA HIDRÁULICA - EXCLUSIVE CARGA E TRANSPORTE. AF_03/2021</v>
          </cell>
          <cell r="D3545" t="str">
            <v>M3</v>
          </cell>
          <cell r="E3545">
            <v>28.66</v>
          </cell>
          <cell r="F3545">
            <v>0</v>
          </cell>
        </row>
        <row r="3546">
          <cell r="B3546">
            <v>102361</v>
          </cell>
          <cell r="C3546" t="str">
            <v>RETIRADA DE MATERIAL DE 3ª CATEGORIA (APÓS ESCAVAÇÃO/DESMONTE) EM VALAS, COM RETROESCAVADEIRA - EXCLUSIVE CARGA E TRANSPORTE. AF_03/2021</v>
          </cell>
          <cell r="D3546" t="str">
            <v>M3</v>
          </cell>
          <cell r="E3546">
            <v>45.16</v>
          </cell>
          <cell r="F3546">
            <v>0</v>
          </cell>
        </row>
        <row r="3547">
          <cell r="B3547">
            <v>101595</v>
          </cell>
          <cell r="C3547" t="str">
            <v>ESCORAMENTO DE VALA, TIPO BLINDADEM, COM PROFUNDIDADE DE 0 A 1,5 M, LARGURA MAIOR OU IGUAL A 1,5 M E MENOR QUE 2,5 M - EXECUÇÃO E FORNECIMENTO, INCLUI MATERIAL. AF_01/2026</v>
          </cell>
          <cell r="D3547" t="str">
            <v>M2</v>
          </cell>
          <cell r="E3547">
            <v>0</v>
          </cell>
        </row>
        <row r="3548">
          <cell r="B3548">
            <v>101601</v>
          </cell>
          <cell r="C3548" t="str">
            <v>ESCORAMENTO DE VALA, TIPO BLINDAGEM COM PROFUNDIDADE DE 0 A 1,5 M, LARGURA MAIOR OU IGUAL A 1,5 M E MENOR QUE 2,5 M - EXECUÇÃO, NÃO INCLUI MATERIAL. AF_01/2026</v>
          </cell>
          <cell r="D3548" t="str">
            <v>M2</v>
          </cell>
          <cell r="E3548">
            <v>27.61</v>
          </cell>
          <cell r="F3548">
            <v>0</v>
          </cell>
        </row>
        <row r="3549">
          <cell r="B3549">
            <v>101594</v>
          </cell>
          <cell r="C3549" t="str">
            <v>ESCORAMENTO DE VALA, TIPO BLINDAGEM, COM PROFUNDIDADE DE 0 A 1,5 M, LARGURA MENOR QUE 1,5 M - EXECUÇÃO E FORNECIMENTO, INCLUI MATERIAL. AF_01/2026</v>
          </cell>
          <cell r="D3549" t="str">
            <v>M2</v>
          </cell>
          <cell r="E3549">
            <v>0</v>
          </cell>
        </row>
        <row r="3550">
          <cell r="B3550">
            <v>101600</v>
          </cell>
          <cell r="C3550" t="str">
            <v>ESCORAMENTO DE VALA, TIPO BLINDAGEM, COM PROFUNDIDADE DE 0 A 1,5 M, LARGURA MENOR QUE 1,5 M - EXECUÇÃO, NÃO INCLUI MATERIAL. AF_01/2026</v>
          </cell>
          <cell r="D3550" t="str">
            <v>M2</v>
          </cell>
          <cell r="E3550">
            <v>19.47</v>
          </cell>
          <cell r="F3550">
            <v>0</v>
          </cell>
        </row>
        <row r="3551">
          <cell r="B3551">
            <v>101597</v>
          </cell>
          <cell r="C3551" t="str">
            <v>ESCORAMENTO DE VALA, TIPO BLINDAGEM, COM PROFUNDIDADE DE 1,5 A 3,0 M, LARGURA MAIOR OU IGUAL A 1,5 M E MENOR QUE 2,5 M - EXECUÇÃO E FORNECIMENTO, INCLUI MATERIAL. AF_01/2026</v>
          </cell>
          <cell r="D3551" t="str">
            <v>M2</v>
          </cell>
          <cell r="E3551">
            <v>0</v>
          </cell>
        </row>
        <row r="3552">
          <cell r="B3552">
            <v>101603</v>
          </cell>
          <cell r="C3552" t="str">
            <v>ESCORAMENTO DE VALA, TIPO BLINDAGEM, COM PROFUNDIDADE DE 1,5 A 3,0 M, LARGURA MAIOR OU IGUAL A 1,5 M E MENOR QUE 2,5 M - EXECUÇÃO, NÃO INCLUI MATERIAL. AF_01/2026</v>
          </cell>
          <cell r="D3552" t="str">
            <v>M2</v>
          </cell>
          <cell r="E3552">
            <v>23.05</v>
          </cell>
          <cell r="F3552">
            <v>0</v>
          </cell>
        </row>
        <row r="3553">
          <cell r="B3553">
            <v>101596</v>
          </cell>
          <cell r="C3553" t="str">
            <v>ESCORAMENTO DE VALA, TIPO BLINDAGEM, COM PROFUNDIDADE DE 1,5 A 3,0 M, LARGURA MENOR QUE 1,5 M - EXECUÇÃO E FORNECIMENTO, INCLUI MATERIAL. AF_01/2026</v>
          </cell>
          <cell r="D3553" t="str">
            <v>M2</v>
          </cell>
          <cell r="E3553">
            <v>0</v>
          </cell>
        </row>
        <row r="3554">
          <cell r="B3554">
            <v>101602</v>
          </cell>
          <cell r="C3554" t="str">
            <v>ESCORAMENTO DE VALA, TIPO BLINDAGEM, COM PROFUNDIDADE DE 1,5 A 3,0 M, LARGURA MENOR QUE 1,5 M - EXECUÇÃO, NÃO INCLUI MATERIAL. AF_01/2026</v>
          </cell>
          <cell r="D3554" t="str">
            <v>M2</v>
          </cell>
          <cell r="E3554">
            <v>14.91</v>
          </cell>
          <cell r="F3554">
            <v>0</v>
          </cell>
        </row>
        <row r="3555">
          <cell r="B3555">
            <v>101599</v>
          </cell>
          <cell r="C3555" t="str">
            <v>ESCORAMENTO DE VALA, TIPO BLINDAGEM, COM PROFUNDIDADE DE 3,0 A 4,5 M, LARGURA MAIOR OU IGUAL A 1,5 M E MENOR QUE 2,5 M - EXECUÇÃO E FORNECIMENTO, INCLUI MATERIAL. AF_01/2026</v>
          </cell>
          <cell r="D3555" t="str">
            <v>M2</v>
          </cell>
          <cell r="E3555">
            <v>0</v>
          </cell>
        </row>
        <row r="3556">
          <cell r="B3556">
            <v>101605</v>
          </cell>
          <cell r="C3556" t="str">
            <v>ESCORAMENTO DE VALA, TIPO BLINDAGEM, COM PROFUNDIDADE DE 3,0 A 4,5 M, LARGURA MAIOR OU IGUAL A 1,5 M E MENOR QUE 2,5 M - EXECUÇÃO, NÃO INCLUI MATERIAL. AF_01/2026</v>
          </cell>
          <cell r="D3556" t="str">
            <v>M2</v>
          </cell>
          <cell r="E3556">
            <v>18.5</v>
          </cell>
          <cell r="F3556">
            <v>0</v>
          </cell>
        </row>
        <row r="3557">
          <cell r="B3557">
            <v>101598</v>
          </cell>
          <cell r="C3557" t="str">
            <v>ESCORAMENTO DE VALA, TIPO BLINDAGEM, COM PROFUNDIDADE DE 3,0 A 4,5 M, LARGURA MENOR QUE 1,5 M - EXECUÇÃO E FORNECIMENTO, INCLUI MATERIAL. AF_01/2026</v>
          </cell>
          <cell r="D3557" t="str">
            <v>M2</v>
          </cell>
          <cell r="E3557">
            <v>0</v>
          </cell>
        </row>
        <row r="3558">
          <cell r="B3558">
            <v>101604</v>
          </cell>
          <cell r="C3558" t="str">
            <v>ESCORAMENTO DE VALA, TIPO BLINDAGEM, COM PROFUNDIDADE DE 3,0 A 4,5 M, LARGURA MENOR QUE 1,5 M - EXECUÇÃO, NÃO INCLUI MATERIAL. AF_01/2026</v>
          </cell>
          <cell r="D3558" t="str">
            <v>M2</v>
          </cell>
          <cell r="E3558">
            <v>10.37</v>
          </cell>
          <cell r="F3558">
            <v>0</v>
          </cell>
        </row>
        <row r="3559">
          <cell r="B3559">
            <v>101588</v>
          </cell>
          <cell r="C3559" t="str">
            <v>ESCORAMENTO DE VALA, TIPO CONTÍNUO COM PERFIL METÁLICO "U", COM PROFUNDIDADE DE 0 A 1,5 M, LARGURA MENOR QUE 1,5 M. AF_01/2026</v>
          </cell>
          <cell r="D3559" t="str">
            <v>M2</v>
          </cell>
          <cell r="E3559">
            <v>125.16</v>
          </cell>
          <cell r="F3559">
            <v>0</v>
          </cell>
        </row>
        <row r="3560">
          <cell r="B3560">
            <v>101591</v>
          </cell>
          <cell r="C3560" t="str">
            <v>ESCORAMENTO DE VALA, TIPO CONTÍNUO COM PERFIL METÁLICO "U", COM PROFUNDIDADE DE 1,5 A 3,0 M, LARGURA MAIOR OU IGUAL 1,5 M E MENOR QUE 2,5 M. AF_01/2026</v>
          </cell>
          <cell r="D3560" t="str">
            <v>M2</v>
          </cell>
          <cell r="E3560">
            <v>147.37</v>
          </cell>
          <cell r="F3560">
            <v>0</v>
          </cell>
        </row>
        <row r="3561">
          <cell r="B3561">
            <v>101590</v>
          </cell>
          <cell r="C3561" t="str">
            <v>ESCORAMENTO DE VALA, TIPO CONTÍNUO COM PERFIL METÁLICO "U", COM PROFUNDIDADE DE 1,5 A 3,0 M, LARGURA MENOR QUE 1,5 M. AF_01/2026</v>
          </cell>
          <cell r="D3561" t="str">
            <v>M2</v>
          </cell>
          <cell r="E3561">
            <v>97.57</v>
          </cell>
          <cell r="F3561">
            <v>0</v>
          </cell>
        </row>
        <row r="3562">
          <cell r="B3562">
            <v>101593</v>
          </cell>
          <cell r="C3562" t="str">
            <v>ESCORAMENTO DE VALA, TIPO CONTÍNUO COM PERFIL METÁLICO "U", COM PROFUNDIDADE DE 3,0 A 4,5 M, LARGURA MAIOR OU IGUAL A 1,5 M E MENOR QUE 2,5 M. AF_01/2026</v>
          </cell>
          <cell r="D3562" t="str">
            <v>M2</v>
          </cell>
          <cell r="E3562">
            <v>122.36</v>
          </cell>
          <cell r="F3562">
            <v>0</v>
          </cell>
        </row>
        <row r="3563">
          <cell r="B3563">
            <v>101592</v>
          </cell>
          <cell r="C3563" t="str">
            <v>ESCORAMENTO DE VALA, TIPO CONTÍNUO COM PERFIL METÁLICO "U", COM PROFUNDIDADE DE 3,0 A 4,5 M, LARGURA MENOR QUE 1,5 M. AF_01/2026</v>
          </cell>
          <cell r="D3563" t="str">
            <v>M2</v>
          </cell>
          <cell r="E3563">
            <v>72.349999999999994</v>
          </cell>
          <cell r="F3563">
            <v>0</v>
          </cell>
        </row>
        <row r="3564">
          <cell r="B3564">
            <v>101583</v>
          </cell>
          <cell r="C3564" t="str">
            <v>ESCORAMENTO DE VALA, TIPO CONTÍNUO, COM PROFUNDIDADE DE 0 A 1,5 M, LARGURA MAIOR OU IGUAL A 1,5 M E MENOR QUE 2,5 M. AF_01/2026</v>
          </cell>
          <cell r="D3564" t="str">
            <v>M2</v>
          </cell>
          <cell r="E3564">
            <v>106.35</v>
          </cell>
          <cell r="F3564">
            <v>0</v>
          </cell>
        </row>
        <row r="3565">
          <cell r="B3565">
            <v>101582</v>
          </cell>
          <cell r="C3565" t="str">
            <v>ESCORAMENTO DE VALA, TIPO CONTÍNUO, COM PROFUNDIDADE DE 0 A 1,5 M, LARGURA MENOR QUE 1,5 M. AF_01/2026</v>
          </cell>
          <cell r="D3565" t="str">
            <v>M2</v>
          </cell>
          <cell r="E3565">
            <v>86.71</v>
          </cell>
          <cell r="F3565">
            <v>0</v>
          </cell>
        </row>
        <row r="3566">
          <cell r="B3566">
            <v>101585</v>
          </cell>
          <cell r="C3566" t="str">
            <v>ESCORAMENTO DE VALA, TIPO CONTÍNUO, COM PROFUNDIDADE DE 1,5 A 3,0 M, LARGURA MAIOR OU IGUAL A 1,5 M E MENOR QUE 2,5 M. AF_01/2026</v>
          </cell>
          <cell r="D3566" t="str">
            <v>M2</v>
          </cell>
          <cell r="E3566">
            <v>91.48</v>
          </cell>
          <cell r="F3566">
            <v>0</v>
          </cell>
        </row>
        <row r="3567">
          <cell r="B3567">
            <v>101584</v>
          </cell>
          <cell r="C3567" t="str">
            <v>ESCORAMENTO DE VALA, TIPO CONTÍNUO, COM PROFUNDIDADE DE 1,5 M A 3,0 M, LARGURA MENOR QUE 1,5 M. AF_01/2026</v>
          </cell>
          <cell r="D3567" t="str">
            <v>M2</v>
          </cell>
          <cell r="E3567">
            <v>71.84</v>
          </cell>
          <cell r="F3567">
            <v>0</v>
          </cell>
        </row>
        <row r="3568">
          <cell r="B3568">
            <v>101587</v>
          </cell>
          <cell r="C3568" t="str">
            <v>ESCORAMENTO DE VALA, TIPO CONTÍNUO, COM PROFUNDIDADE DE 3,0 A 4,5 M, LARGURA MAIOR OU IGUAL A 1,5 E MENOR QUE 2,5 M. AF_01/2026</v>
          </cell>
          <cell r="D3568" t="str">
            <v>M2</v>
          </cell>
          <cell r="E3568">
            <v>82.08</v>
          </cell>
          <cell r="F3568">
            <v>0</v>
          </cell>
        </row>
        <row r="3569">
          <cell r="B3569">
            <v>101586</v>
          </cell>
          <cell r="C3569" t="str">
            <v>ESCORAMENTO DE VALA, TIPO CONTÍNUO, COM PROFUNDIDADE DE 3,0 A 4,5 M, LARGURA MENOR QUE 1,5 M. AF_01/2026</v>
          </cell>
          <cell r="D3569" t="str">
            <v>M2</v>
          </cell>
          <cell r="E3569">
            <v>62.25</v>
          </cell>
          <cell r="F3569">
            <v>0</v>
          </cell>
        </row>
        <row r="3570">
          <cell r="B3570">
            <v>101577</v>
          </cell>
          <cell r="C3570" t="str">
            <v>ESCORAMENTO DE VALA, TIPO DESCONTÍNUO, COM PROFUNDIDADE DE 0 A 1,5 M, LARGURA MAIOR OU IGUAL A 1,5 M E MENOR QUE 2,5 M. AF_01/2026</v>
          </cell>
          <cell r="D3570" t="str">
            <v>M2</v>
          </cell>
          <cell r="E3570">
            <v>65.540000000000006</v>
          </cell>
          <cell r="F3570">
            <v>0</v>
          </cell>
        </row>
        <row r="3571">
          <cell r="B3571">
            <v>101576</v>
          </cell>
          <cell r="C3571" t="str">
            <v>ESCORAMENTO DE VALA, TIPO DESCONTÍNUO, COM PROFUNDIDADE DE 0 A 1,5 M, LARGURA MENOR QUE 1,5 M. AF_01/2026</v>
          </cell>
          <cell r="D3571" t="str">
            <v>M2</v>
          </cell>
          <cell r="E3571">
            <v>52.92</v>
          </cell>
          <cell r="F3571">
            <v>0</v>
          </cell>
        </row>
        <row r="3572">
          <cell r="B3572">
            <v>101579</v>
          </cell>
          <cell r="C3572" t="str">
            <v>ESCORAMENTO DE VALA, TIPO DESCONTÍNUO, COM PROFUNDIDADE DE 1,5 A 3,0 M, LARGURA MAIOR OU IGUAL A 1,5 M E MENOR QUE 2,5 M. AF_01/2026</v>
          </cell>
          <cell r="D3572" t="str">
            <v>M2</v>
          </cell>
          <cell r="E3572">
            <v>56.69</v>
          </cell>
          <cell r="F3572">
            <v>0</v>
          </cell>
        </row>
        <row r="3573">
          <cell r="B3573">
            <v>101578</v>
          </cell>
          <cell r="C3573" t="str">
            <v>ESCORAMENTO DE VALA, TIPO DESCONTÍNUO, COM PROFUNDIDADE DE 1,5 M A 3,0 M, LARGURA MENOR QUE 1,5 M. AF_01/2026</v>
          </cell>
          <cell r="D3573" t="str">
            <v>M2</v>
          </cell>
          <cell r="E3573">
            <v>44.07</v>
          </cell>
          <cell r="F3573">
            <v>0</v>
          </cell>
        </row>
        <row r="3574">
          <cell r="B3574">
            <v>101581</v>
          </cell>
          <cell r="C3574" t="str">
            <v>ESCORAMENTO DE VALA, TIPO DESCONTÍNUO, COM PROFUNDIDADE DE 3,0 A 4,5 M, LARGURA MAIOR OU IGUAL A 1,5 E MENOR QUE 2,5 M. AF_01/2026</v>
          </cell>
          <cell r="D3574" t="str">
            <v>M2</v>
          </cell>
          <cell r="E3574">
            <v>51.87</v>
          </cell>
          <cell r="F3574">
            <v>0</v>
          </cell>
        </row>
        <row r="3575">
          <cell r="B3575">
            <v>101580</v>
          </cell>
          <cell r="C3575" t="str">
            <v>ESCORAMENTO DE VALA, TIPO DESCONTÍNUO, COM PROFUNDIDADE DE 3,0 A 4,5 M, LARGURA MENOR QUE 1,5 M. AF_01/2026</v>
          </cell>
          <cell r="D3575" t="str">
            <v>M2</v>
          </cell>
          <cell r="E3575">
            <v>39.06</v>
          </cell>
          <cell r="F3575">
            <v>0</v>
          </cell>
        </row>
        <row r="3576">
          <cell r="B3576">
            <v>101606</v>
          </cell>
          <cell r="C3576" t="str">
            <v>ESCORAMENTO DE VALA, TIPO ESTACA PRANCHA METÁLICA CRAVADA, COM PROFUNDIDADE DE 0 A 1,5 M. AF_01/2026</v>
          </cell>
          <cell r="D3576" t="str">
            <v>M2</v>
          </cell>
          <cell r="E3576">
            <v>0</v>
          </cell>
        </row>
        <row r="3577">
          <cell r="B3577">
            <v>101607</v>
          </cell>
          <cell r="C3577" t="str">
            <v>ESCORAMENTO DE VALA, TIPO ESTACA PRANCHA METÁLICA CRAVADA, COM PROFUNDIDADE DE 1,5 A 3 M. AF_01/2026</v>
          </cell>
          <cell r="D3577" t="str">
            <v>M2</v>
          </cell>
          <cell r="E3577">
            <v>0</v>
          </cell>
        </row>
        <row r="3578">
          <cell r="B3578">
            <v>101608</v>
          </cell>
          <cell r="C3578" t="str">
            <v>ESCORAMENTO DE VALA, TIPO ESTACA PRANCHA METÁLICA CRAVADA, COM PROFUNDIDADE DE 3 A 4,5 M. AF_01/2026</v>
          </cell>
          <cell r="D3578" t="str">
            <v>M2</v>
          </cell>
          <cell r="E3578">
            <v>0</v>
          </cell>
        </row>
        <row r="3579">
          <cell r="B3579">
            <v>101571</v>
          </cell>
          <cell r="C3579" t="str">
            <v>ESCORAMENTO DE VALA, TIPO PONTALETEAMENTO, COM PROFUNDIDADE DE 0 A 1,5 M, LARGURA MAIOR OU IGUAL A 1,5 M E MENOR QUE 2,5 M. AF_01/2026</v>
          </cell>
          <cell r="D3579" t="str">
            <v>M2</v>
          </cell>
          <cell r="E3579">
            <v>39.08</v>
          </cell>
          <cell r="F3579">
            <v>0</v>
          </cell>
        </row>
        <row r="3580">
          <cell r="B3580">
            <v>101570</v>
          </cell>
          <cell r="C3580" t="str">
            <v>ESCORAMENTO DE VALA, TIPO PONTALETEAMENTO, COM PROFUNDIDADE DE 0 A 1,5 M, LARGURA MENOR QUE 1,5 M. AF_01/2026</v>
          </cell>
          <cell r="D3580" t="str">
            <v>M2</v>
          </cell>
          <cell r="E3580">
            <v>29.56</v>
          </cell>
          <cell r="F3580">
            <v>0</v>
          </cell>
        </row>
        <row r="3581">
          <cell r="B3581">
            <v>101573</v>
          </cell>
          <cell r="C3581" t="str">
            <v>ESCORAMENTO DE VALA, TIPO PONTALETEAMENTO, COM PROFUNDIDADE DE 1,5 A 3,0 M, LARGURA MAIOR OU IGUAL A 1,5 M E MENOR QUE 2,5 M. AF_01/2026</v>
          </cell>
          <cell r="D3581" t="str">
            <v>M2</v>
          </cell>
          <cell r="E3581">
            <v>33.130000000000003</v>
          </cell>
          <cell r="F3581">
            <v>0</v>
          </cell>
        </row>
        <row r="3582">
          <cell r="B3582">
            <v>101572</v>
          </cell>
          <cell r="C3582" t="str">
            <v>ESCORAMENTO DE VALA, TIPO PONTALETEAMENTO, COM PROFUNDIDADE DE 1,5 A 3,0 M, LARGURA MENOR QUE 1,5 M. AF_01/2026</v>
          </cell>
          <cell r="D3582" t="str">
            <v>M2</v>
          </cell>
          <cell r="E3582">
            <v>23.61</v>
          </cell>
          <cell r="F3582">
            <v>0</v>
          </cell>
        </row>
        <row r="3583">
          <cell r="B3583">
            <v>101575</v>
          </cell>
          <cell r="C3583" t="str">
            <v>ESCORAMENTO DE VALA, TIPO PONTALETEAMENTO, COM PROFUNDIDADE DE 3,0 A 4,5 M, LARGURA MAIOR OU IGUAL A 1,5 M E MENOR QUE 2,5 M. AF_01/2026</v>
          </cell>
          <cell r="D3583" t="str">
            <v>M2</v>
          </cell>
          <cell r="E3583">
            <v>28.23</v>
          </cell>
          <cell r="F3583">
            <v>0</v>
          </cell>
        </row>
        <row r="3584">
          <cell r="B3584">
            <v>101574</v>
          </cell>
          <cell r="C3584" t="str">
            <v>ESCORAMENTO DE VALA, TIPO PONTALETEAMENTO, COM PROFUNDIDADE DE 3,0 A 4,5 M, LARGURA MENOR QUE 1,5 M. AF_01/2026</v>
          </cell>
          <cell r="D3584" t="str">
            <v>M2</v>
          </cell>
          <cell r="E3584">
            <v>18.52</v>
          </cell>
          <cell r="F3584">
            <v>0</v>
          </cell>
        </row>
        <row r="3585">
          <cell r="B3585">
            <v>101589</v>
          </cell>
          <cell r="C3585" t="str">
            <v>ESCORAMENTO DE VALA,TIPO CONTÍNUO COM PERFIL METÁLICO "U", COM PROFUNDIDADE DE 0 A 1,5 M, LARGURA MAIOR OU IGUAL A 1,5 E MENOR QUE 2,5 M. AF_01/2026</v>
          </cell>
          <cell r="D3585" t="str">
            <v>M2</v>
          </cell>
          <cell r="E3585">
            <v>174.98</v>
          </cell>
          <cell r="F3585">
            <v>0</v>
          </cell>
        </row>
        <row r="3586">
          <cell r="B3586">
            <v>106673</v>
          </cell>
          <cell r="C3586" t="str">
            <v>PREPARO DE FUNDO DE VALA COM LARGURA MAIOR OU IGUAL A 1,5 M E MENOR QUE 2,5 M (ACERTO DO SOLO NATURAL), EM LOCAL COM NÍVEL ALTO DE INTERFERÊNCIA. AF_01/2026</v>
          </cell>
          <cell r="D3586" t="str">
            <v>M2</v>
          </cell>
          <cell r="E3586">
            <v>8.0399999999999991</v>
          </cell>
          <cell r="F3586">
            <v>0</v>
          </cell>
        </row>
        <row r="3587">
          <cell r="B3587">
            <v>101617</v>
          </cell>
          <cell r="C3587" t="str">
            <v>PREPARO DE FUNDO DE VALA COM LARGURA MAIOR OU IGUAL A 1,5 M E MENOR QUE 2,5 M (ACERTO DO SOLO NATURAL), EM LOCAL COM NÍVEL BAIXO DE INTERFERÊNCIA. AF_01/2026</v>
          </cell>
          <cell r="D3587" t="str">
            <v>M2</v>
          </cell>
          <cell r="E3587">
            <v>4.6399999999999997</v>
          </cell>
          <cell r="F3587">
            <v>0</v>
          </cell>
        </row>
        <row r="3588">
          <cell r="B3588">
            <v>101620</v>
          </cell>
          <cell r="C3588" t="str">
            <v>PREPARO DE FUNDO DE VALA COM LARGURA MAIOR OU IGUAL A 1,5 M E MENOR QUE 2,5 M, COM CAMADA DE AREIA, LANÇAMENTO MANUAL. AF_01/2026</v>
          </cell>
          <cell r="D3588" t="str">
            <v>M3</v>
          </cell>
          <cell r="E3588">
            <v>226.03</v>
          </cell>
          <cell r="F3588">
            <v>0</v>
          </cell>
        </row>
        <row r="3589">
          <cell r="B3589">
            <v>101625</v>
          </cell>
          <cell r="C3589" t="str">
            <v>PREPARO DE FUNDO DE VALA COM LARGURA MAIOR OU IGUAL A 1,5 M E MENOR QUE 2,5 M, COM CAMADA DE AREIA, LANÇAMENTO MECANIZADO. AF_01/2026</v>
          </cell>
          <cell r="D3589" t="str">
            <v>M3</v>
          </cell>
          <cell r="E3589">
            <v>200.13</v>
          </cell>
          <cell r="F3589">
            <v>0</v>
          </cell>
        </row>
        <row r="3590">
          <cell r="B3590">
            <v>101621</v>
          </cell>
          <cell r="C3590" t="str">
            <v>PREPARO DE FUNDO DE VALA COM LARGURA MAIOR OU IGUAL A 1,5 M E MENOR QUE 2,5 M, COM CAMADA DE BRITA, LANÇAMENTO MANUAL. AF_01/2026</v>
          </cell>
          <cell r="D3590" t="str">
            <v>M3</v>
          </cell>
          <cell r="E3590">
            <v>253.22</v>
          </cell>
          <cell r="F3590">
            <v>0</v>
          </cell>
        </row>
        <row r="3591">
          <cell r="B3591">
            <v>101624</v>
          </cell>
          <cell r="C3591" t="str">
            <v>PREPARO DE FUNDO DE VALA COM LARGURA MAIOR OU IGUAL A 1,5 M E MENOR QUE 2,5 M, COM CAMADA DE BRITA, LANÇAMENTO MECANIZADO. AF_01/2026</v>
          </cell>
          <cell r="D3591" t="str">
            <v>M3</v>
          </cell>
          <cell r="E3591">
            <v>222.85</v>
          </cell>
          <cell r="F3591">
            <v>0</v>
          </cell>
        </row>
        <row r="3592">
          <cell r="B3592">
            <v>106672</v>
          </cell>
          <cell r="C3592" t="str">
            <v>PREPARO DE FUNDO DE VALA COM LARGURA MENOR QUE 1,5 M (ACERTO DO SOLO NATURAL), EM LOCAL COM NÍVEL ALTO DE INTERFERÊNCIA. AF_01/2026</v>
          </cell>
          <cell r="D3592" t="str">
            <v>M2</v>
          </cell>
          <cell r="E3592">
            <v>13.65</v>
          </cell>
          <cell r="F3592">
            <v>0</v>
          </cell>
        </row>
        <row r="3593">
          <cell r="B3593">
            <v>101616</v>
          </cell>
          <cell r="C3593" t="str">
            <v>PREPARO DE FUNDO DE VALA COM LARGURA MENOR QUE 1,5 M (ACERTO DO SOLO NATURAL), EM LOCAL COM NÍVEL BAIXO DE INTERFERÊNCIA. AF_01/2026</v>
          </cell>
          <cell r="D3593" t="str">
            <v>M2</v>
          </cell>
          <cell r="E3593">
            <v>10.25</v>
          </cell>
          <cell r="F3593">
            <v>0</v>
          </cell>
        </row>
        <row r="3594">
          <cell r="B3594">
            <v>101618</v>
          </cell>
          <cell r="C3594" t="str">
            <v>PREPARO DE FUNDO DE VALA COM LARGURA MENOR QUE 1,5 M, COM CAMADA DE AREIA, LANÇAMENTO MANUAL. AF_01/2026</v>
          </cell>
          <cell r="D3594" t="str">
            <v>M3</v>
          </cell>
          <cell r="E3594">
            <v>259.93</v>
          </cell>
          <cell r="F3594">
            <v>0</v>
          </cell>
        </row>
        <row r="3595">
          <cell r="B3595">
            <v>101622</v>
          </cell>
          <cell r="C3595" t="str">
            <v>PREPARO DE FUNDO DE VALA COM LARGURA MENOR QUE 1,5 M, COM CAMADA DE AREIA, LANÇAMENTO MECANIZADO. AF_01/2026</v>
          </cell>
          <cell r="D3595" t="str">
            <v>M3</v>
          </cell>
          <cell r="E3595">
            <v>265.87</v>
          </cell>
          <cell r="F3595">
            <v>0</v>
          </cell>
        </row>
        <row r="3596">
          <cell r="B3596">
            <v>101619</v>
          </cell>
          <cell r="C3596" t="str">
            <v>PREPARO DE FUNDO DE VALA COM LARGURA MENOR QUE 1,5 M, COM CAMADA DE BRITA, LANÇAMENTO MANUAL. AF_01/2026</v>
          </cell>
          <cell r="D3596" t="str">
            <v>M3</v>
          </cell>
          <cell r="E3596">
            <v>287.13</v>
          </cell>
          <cell r="F3596">
            <v>0</v>
          </cell>
        </row>
        <row r="3597">
          <cell r="B3597">
            <v>101623</v>
          </cell>
          <cell r="C3597" t="str">
            <v>PREPARO DE FUNDO DE VALA COM LARGURA MENOR QUE 1,5 M, COM CAMADA DE BRITA, LANÇAMENTO MECANIZADO. AF_01/2026</v>
          </cell>
          <cell r="D3597" t="str">
            <v>M3</v>
          </cell>
          <cell r="E3597">
            <v>293.87</v>
          </cell>
          <cell r="F3597">
            <v>0</v>
          </cell>
        </row>
        <row r="3598">
          <cell r="B3598">
            <v>104482</v>
          </cell>
          <cell r="C3598" t="str">
            <v>ESGOTAMENTO DE VALA COM BOMBA SUBMERSÍVEL. AF_12/2022</v>
          </cell>
          <cell r="D3598" t="str">
            <v>H</v>
          </cell>
          <cell r="E3598">
            <v>46.05</v>
          </cell>
          <cell r="F3598">
            <v>0</v>
          </cell>
        </row>
        <row r="3599">
          <cell r="B3599">
            <v>104189</v>
          </cell>
          <cell r="C3599" t="str">
            <v>INSTALAÇÃO DE MATERIAL GRANULAR FILTRANTE PARA SISTEMA DE REBAIXAMENTO DE LENÇOL FREÁTICO POR POÇOS PROFUNDOSA, DIÂMETRO DO POÇO DE 400 MM. AF_12/2022</v>
          </cell>
          <cell r="D3599" t="str">
            <v>M3</v>
          </cell>
          <cell r="E3599">
            <v>148.65</v>
          </cell>
          <cell r="F3599">
            <v>0</v>
          </cell>
        </row>
        <row r="3600">
          <cell r="B3600">
            <v>104465</v>
          </cell>
          <cell r="C3600" t="str">
            <v>INSTALAÇÃO DE SISTEMA DE REBAIXAMENTO DE LENÇOL FREÁTICO POR POÇOS PROFUNDOS, DIÂMETRO DO POÇO DE 400 MM (EXCLUI O FORNECIMENTO E FUNCIONAMENTO DE BOMBAS). AF_12/2022</v>
          </cell>
          <cell r="D3600" t="str">
            <v>M</v>
          </cell>
          <cell r="E3600">
            <v>0</v>
          </cell>
        </row>
        <row r="3601">
          <cell r="B3601">
            <v>104188</v>
          </cell>
          <cell r="C3601" t="str">
            <v>INSTALAÇÃO DE TUBULAÇÃO (GEOMECÂNICA E DE SUCÇÃO) PARA SISTEMA DE REBAIXAMENTO DE LENÇOL FREÁTICO POR POÇOS PROFUNDOS COM BOMBA SUBMERSA, DIÂMETRO DO POÇO DE 400 MM. AF_12/2022</v>
          </cell>
          <cell r="D3601" t="str">
            <v>M</v>
          </cell>
          <cell r="E3601">
            <v>0</v>
          </cell>
        </row>
        <row r="3602">
          <cell r="B3602">
            <v>104185</v>
          </cell>
          <cell r="C3602" t="str">
            <v>INSTALAÇÃO E DESINSTALAÇÃO DE CONJUNTO DE BOMBAS, À VÁCUO E CENTRÍFUGA, PARA SISTEMA DE REBAIXAMENTO DE LENÇOL FREÁTICO POR PONTEIRAS FILTRANTES (EXCLUI O FORNECIMENTO DE BOMBAS). AF_12/2022</v>
          </cell>
          <cell r="D3602" t="str">
            <v>UN</v>
          </cell>
          <cell r="E3602">
            <v>38.92</v>
          </cell>
          <cell r="F3602">
            <v>0</v>
          </cell>
        </row>
        <row r="3603">
          <cell r="B3603">
            <v>104182</v>
          </cell>
          <cell r="C3603" t="str">
            <v>INSTALAÇÃO E DESINSTALAÇÃO DE MANGOTES PARA SISTEMA DE REBAIXAMENTO DE LENÇOL FREÁTICO POR PONTEIRAS FILTRANTES. AF_12/2022</v>
          </cell>
          <cell r="D3603" t="str">
            <v>M</v>
          </cell>
          <cell r="E3603">
            <v>0</v>
          </cell>
        </row>
        <row r="3604">
          <cell r="B3604">
            <v>104184</v>
          </cell>
          <cell r="C3604" t="str">
            <v>INSTALAÇÃO E DESINSTALAÇÃO DE REGISTRO DE PVC PARA SISTEMA DE REBAIXAMENTO DE LENÇOL FREÁTICO POR PONTEIRAS FILTRANTES. AF_12/2022</v>
          </cell>
          <cell r="D3604" t="str">
            <v>UN</v>
          </cell>
          <cell r="E3604">
            <v>46.71</v>
          </cell>
          <cell r="F3604">
            <v>0</v>
          </cell>
        </row>
        <row r="3605">
          <cell r="B3605">
            <v>104190</v>
          </cell>
          <cell r="C3605" t="str">
            <v>INSTALAÇÃO E DESINSTALAÇÃO DE SISTEMA DE BOMBA PARA SISTEMA DE REBAIXAMENTO DE LENÇOL FREÁTICO POR POÇOS PROFUNDOS (EXCLUI O FORNECIMENTO DE BOMBA). AF_12/2022</v>
          </cell>
          <cell r="D3605" t="str">
            <v>UN</v>
          </cell>
          <cell r="E3605">
            <v>1011.84</v>
          </cell>
          <cell r="F3605">
            <v>0</v>
          </cell>
        </row>
        <row r="3606">
          <cell r="B3606">
            <v>104463</v>
          </cell>
          <cell r="C3606" t="str">
            <v>INSTALAÇÃO E DESINSTALAÇÃO DE SISTEMA DE REBAIXAMENTO DE LENÇOL FREÁTICO POR PONTEIRAS FILTRANTES PARA OBRAS ESTACIONÁRIAS (EXCLUI O FORNECIMENTO E FUNCIONAMENTO DE BOMBAS). AF_12/2022</v>
          </cell>
          <cell r="D3606" t="str">
            <v>UN</v>
          </cell>
          <cell r="E3606">
            <v>0</v>
          </cell>
        </row>
        <row r="3607">
          <cell r="B3607">
            <v>104464</v>
          </cell>
          <cell r="C3607" t="str">
            <v>INSTALAÇÃO E DESINSTALAÇÃO DE SISTEMA DE REBAIXAMENTO DE LENÇOL FREÁTICO POR PONTEIRAS FILTRANTES PARA OBRAS ITINERANTES (EXCLUI O FORNECIMENTO E FUNCIONAMENTO DE BOMBAS). AF_12/2022</v>
          </cell>
          <cell r="D3607" t="str">
            <v>UN</v>
          </cell>
          <cell r="E3607">
            <v>0</v>
          </cell>
        </row>
        <row r="3608">
          <cell r="B3608">
            <v>104183</v>
          </cell>
          <cell r="C3608" t="str">
            <v>INSTALAÇÃO E DESINSTALAÇÃO DE TUBO COLETOR DE PVC, DIÂMETRO DE 100 MM, PARA SISTEMA DE REBAIXAMENTO DE LENÇOL FREÁTICO POR PONTEIRAS FILTRANTES. AF_12/2022</v>
          </cell>
          <cell r="D3608" t="str">
            <v>M</v>
          </cell>
          <cell r="E3608">
            <v>265.44</v>
          </cell>
          <cell r="F3608">
            <v>0</v>
          </cell>
        </row>
        <row r="3609">
          <cell r="B3609">
            <v>104187</v>
          </cell>
          <cell r="C3609" t="str">
            <v>INSTALAÇÃO E RETIRADA DE REVESTIMENTO METÁLICO PARA PERFURAÇÃO DE SOLO PARA SISTEMA DE REBAIXAMENTO DE LENÇOL FREÁTICO POR PORÇOS PROFUNDOS, DIÂMETRO DO POÇO DE 400 MM. AF_12/2022</v>
          </cell>
          <cell r="D3609" t="str">
            <v>M</v>
          </cell>
          <cell r="E3609">
            <v>1606.01</v>
          </cell>
          <cell r="F3609">
            <v>0</v>
          </cell>
        </row>
        <row r="3610">
          <cell r="B3610">
            <v>104186</v>
          </cell>
          <cell r="C3610" t="str">
            <v>PERFURAÇÃO DE SOLO PARA SISTEMA DE REBAIXAMENTO DE LENÇOL FREÁTICO POR POÇOS PROFUNDOS, DIÂMETRO DO POÇO DE 400 MM. AF_12/2022</v>
          </cell>
          <cell r="D3610" t="str">
            <v>M</v>
          </cell>
          <cell r="E3610">
            <v>294.44</v>
          </cell>
          <cell r="F3610">
            <v>0</v>
          </cell>
        </row>
        <row r="3611">
          <cell r="B3611">
            <v>104180</v>
          </cell>
          <cell r="C3611" t="str">
            <v>PERFURAÇÃO DE SOLO, INSTALAÇÃO E DESINSTALAÇÃO DE PONTEIRAS PARA SISTEMA DE REBAIXAMENTO DE LENÇOL FREÁTICO POR PONTEIRAS FILTRANTES EM OBRAS ESTACIONÁRIAS. AF_12/2022</v>
          </cell>
          <cell r="D3611" t="str">
            <v>M</v>
          </cell>
          <cell r="E3611">
            <v>0</v>
          </cell>
        </row>
        <row r="3612">
          <cell r="B3612">
            <v>104181</v>
          </cell>
          <cell r="C3612" t="str">
            <v>PERFURAÇÃO DE SOLO, INSTALAÇÃO E DESINSTALAÇÃO DE PONTEIRAS PARA SISTEMA DE REBAIXAMENTO DE LENÇOL FREÁTICO POR PONTEIRAS FILTRANTES EM OBRAS ITINERANTES. AF_12/2022</v>
          </cell>
          <cell r="D3612" t="str">
            <v>M</v>
          </cell>
          <cell r="E3612">
            <v>0</v>
          </cell>
        </row>
        <row r="3613">
          <cell r="B3613">
            <v>100674</v>
          </cell>
          <cell r="C3613" t="str">
            <v>CAIXILHO FIXO DE ALUMÍNIO PARA VIDRO (VIDRO INCLUSO), BATENTE/ REQUADRO DE 4 A 14 CM, SEM GUARNIÇÃO/ ALIZAR, FIXAÇÃO COM PARAFUSOS, VEDAÇÃO COM SILICONE, EXCLUSIVE CONTRAMARCO - FORNECIMENTO E INSTALAÇÃO. AF_11/2024</v>
          </cell>
          <cell r="D3613" t="str">
            <v>M2</v>
          </cell>
          <cell r="E3613">
            <v>809.2</v>
          </cell>
          <cell r="F3613">
            <v>0</v>
          </cell>
        </row>
        <row r="3614">
          <cell r="B3614">
            <v>100664</v>
          </cell>
          <cell r="C3614" t="str">
            <v>CAIXILHO FIXO DE PVC BRANCO PARA VIDRO (VIDRO INCLUSO), BATENTE/ REQUADRO DE 4 A 14 CM, SEM GUARNIÇÃO/ ALIZAR, COM FERRAGENS, FIXAÇÃO COM PARAFUSOS, VEDAÇÃO COM SILICONE, EXCLUSIVE CONTRAMARCO - FORNECIMENTO E INSTALAÇÃO. AF_11/2024</v>
          </cell>
          <cell r="D3614" t="str">
            <v>M2</v>
          </cell>
          <cell r="E3614">
            <v>0</v>
          </cell>
        </row>
        <row r="3615">
          <cell r="B3615">
            <v>94589</v>
          </cell>
          <cell r="C3615" t="str">
            <v>CONTRAMARCO DE ALUMÍNIO, FIXAÇÃO COM ARGAMASSA - FORNECIMENTO E INSTALAÇÃO. AF_11/2024</v>
          </cell>
          <cell r="D3615" t="str">
            <v>M</v>
          </cell>
          <cell r="E3615">
            <v>24.58</v>
          </cell>
          <cell r="F3615">
            <v>0</v>
          </cell>
        </row>
        <row r="3616">
          <cell r="B3616">
            <v>94590</v>
          </cell>
          <cell r="C3616" t="str">
            <v>CONTRAMARCO DE ALUMÍNIO, FIXAÇÃO COM PARAFUSO - FORNECIMENTO E INSTALAÇÃO. AF_11/2024</v>
          </cell>
          <cell r="D3616" t="str">
            <v>M</v>
          </cell>
          <cell r="E3616">
            <v>32.08</v>
          </cell>
          <cell r="F3616">
            <v>0</v>
          </cell>
        </row>
        <row r="3617">
          <cell r="B3617">
            <v>94587</v>
          </cell>
          <cell r="C3617" t="str">
            <v>CONTRAMARCO DE AÇO, FIXAÇÃO COM ARGAMASSA - FORNECIMENTO E INSTALAÇÃO. AF_11/2024</v>
          </cell>
          <cell r="D3617" t="str">
            <v>M</v>
          </cell>
          <cell r="E3617">
            <v>73.459999999999994</v>
          </cell>
          <cell r="F3617">
            <v>0</v>
          </cell>
        </row>
        <row r="3618">
          <cell r="B3618">
            <v>94588</v>
          </cell>
          <cell r="C3618" t="str">
            <v>CONTRAMARCO DE AÇO, FIXAÇÃO COM PARAFUSO - FORNECIMENTO E INSTALAÇÃO. AF_11/2024</v>
          </cell>
          <cell r="D3618" t="str">
            <v>M</v>
          </cell>
          <cell r="E3618">
            <v>86.62</v>
          </cell>
          <cell r="F3618">
            <v>0</v>
          </cell>
        </row>
        <row r="3619">
          <cell r="B3619">
            <v>105812</v>
          </cell>
          <cell r="C3619" t="str">
            <v>GUARNIÇÃO DE ALUMÍNIO. AF_11/2024</v>
          </cell>
          <cell r="D3619" t="str">
            <v>M</v>
          </cell>
          <cell r="E3619">
            <v>33.18</v>
          </cell>
          <cell r="F3619">
            <v>0</v>
          </cell>
        </row>
        <row r="3620">
          <cell r="B3620">
            <v>94571</v>
          </cell>
          <cell r="C3620"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3620" t="str">
            <v>M2</v>
          </cell>
          <cell r="E3620">
            <v>0</v>
          </cell>
        </row>
        <row r="3621">
          <cell r="B3621">
            <v>94570</v>
          </cell>
          <cell r="C3621"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3621" t="str">
            <v>M2</v>
          </cell>
          <cell r="E3621">
            <v>371.43</v>
          </cell>
          <cell r="F3621">
            <v>0</v>
          </cell>
        </row>
        <row r="3622">
          <cell r="B3622">
            <v>105811</v>
          </cell>
          <cell r="C3622"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3622" t="str">
            <v>M2</v>
          </cell>
          <cell r="E3622">
            <v>0</v>
          </cell>
        </row>
        <row r="3623">
          <cell r="B3623">
            <v>94572</v>
          </cell>
          <cell r="C3623"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3623" t="str">
            <v>M2</v>
          </cell>
          <cell r="E3623">
            <v>532.45000000000005</v>
          </cell>
          <cell r="F3623">
            <v>0</v>
          </cell>
        </row>
        <row r="3624">
          <cell r="B3624">
            <v>94573</v>
          </cell>
          <cell r="C3624"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3624" t="str">
            <v>M2</v>
          </cell>
          <cell r="E3624">
            <v>413.87</v>
          </cell>
          <cell r="F3624">
            <v>0</v>
          </cell>
        </row>
        <row r="3625">
          <cell r="B3625">
            <v>105809</v>
          </cell>
          <cell r="C3625"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3625" t="str">
            <v>M2</v>
          </cell>
          <cell r="E3625">
            <v>0</v>
          </cell>
        </row>
        <row r="3626">
          <cell r="B3626">
            <v>94569</v>
          </cell>
          <cell r="C3626" t="str">
            <v>JANELA DE ALUMÍNIO TIPO MAXIM-AR, BATENTE/ REQUADRO 3 A 14 CM, VIDRO INCLUSO, FIXAÇÃO COM PARAFUSO, SEM GUARNIÇÃO/ ALIZAR, DIMENSÕES 60X80 (A X L) CM, SEM ACABAMENTO, VEDAÇÃO COM SILICONE, EXCLUSIVE CONTRAMARCO - FORNECIMENTO E INSTALAÇÃO. AF_11/2024</v>
          </cell>
          <cell r="D3626" t="str">
            <v>M2</v>
          </cell>
          <cell r="E3626">
            <v>706.25</v>
          </cell>
          <cell r="F3626">
            <v>0</v>
          </cell>
        </row>
        <row r="3627">
          <cell r="B3627">
            <v>105810</v>
          </cell>
          <cell r="C3627" t="str">
            <v>JANELA DE ALUMÍNIO TIPO MAXIM-AR, VIDRO INCLUSO, COM BANDEIRA, FIXAÇÃO COM PARAFUSO, SEM GUARNIÇÃO/ ALIZAR, DIMENSÕES 100X80 (A X L) CM, SEM ACABAMENTO, VEDAÇÃO COM SILICONE, EXCLUSIVE CONTRAMARCO - FORNECIMENTO E INSTALAÇÃO. AF_11/2024</v>
          </cell>
          <cell r="D3627" t="str">
            <v>M2</v>
          </cell>
          <cell r="E3627">
            <v>0</v>
          </cell>
        </row>
        <row r="3628">
          <cell r="B3628">
            <v>94561</v>
          </cell>
          <cell r="C3628"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3628" t="str">
            <v>M2</v>
          </cell>
          <cell r="E3628">
            <v>0</v>
          </cell>
        </row>
        <row r="3629">
          <cell r="B3629">
            <v>94562</v>
          </cell>
          <cell r="C3629" t="str">
            <v>JANELA DE AÇO DE CORRER COM 4 FOLHAS PARA VIDRO (VIDROS NÃO INCLUSOS), BATENTE/ REQUADRO INCLUSO (6 A 14 CM), FIXAÇÃO COM ARGAMASSA, COM PINTURA ANTICORROSIVA, COM FERRAGENS, FIXAÇÃO COM ARGAMASSA, EXCLUSIVE CONTRAMARCO - FORNECIMENTO E INSTALAÇÃO. AF_11/2024</v>
          </cell>
          <cell r="D3629" t="str">
            <v>M2</v>
          </cell>
          <cell r="E3629">
            <v>603.16</v>
          </cell>
          <cell r="F3629">
            <v>0</v>
          </cell>
        </row>
        <row r="3630">
          <cell r="B3630">
            <v>105813</v>
          </cell>
          <cell r="C3630" t="str">
            <v>JANELA DE AÇO GALVANIZADO TIPO MAXIMO-AR, PINT. ANTICORROSIVA, COM BATENTE/REQUADRO DE 6 A 14 CM, SEM VIDRO, COM GRADE, 1 FL, 60 X 80 CM (A X L), FIXAÇÃO COM ARGAMASSA, EXCLUSIVE CONTRAMARCO - FORNECIMENTO E INSTALAÇÃO. AF_11/2024</v>
          </cell>
          <cell r="D3630" t="str">
            <v>M2</v>
          </cell>
          <cell r="E3630">
            <v>1053.72</v>
          </cell>
          <cell r="F3630">
            <v>0</v>
          </cell>
        </row>
        <row r="3631">
          <cell r="B3631">
            <v>94559</v>
          </cell>
          <cell r="C3631"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3631" t="str">
            <v>M2</v>
          </cell>
          <cell r="E3631">
            <v>753.54</v>
          </cell>
          <cell r="F3631">
            <v>0</v>
          </cell>
        </row>
        <row r="3632">
          <cell r="B3632">
            <v>100668</v>
          </cell>
          <cell r="C3632"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3632" t="str">
            <v>M2</v>
          </cell>
          <cell r="E3632">
            <v>1277.3499999999999</v>
          </cell>
          <cell r="F3632">
            <v>0</v>
          </cell>
        </row>
        <row r="3633">
          <cell r="B3633">
            <v>100670</v>
          </cell>
          <cell r="C3633"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D3633" t="str">
            <v>M2</v>
          </cell>
          <cell r="E3633">
            <v>924.02</v>
          </cell>
          <cell r="F3633">
            <v>0</v>
          </cell>
        </row>
        <row r="3634">
          <cell r="B3634">
            <v>100665</v>
          </cell>
          <cell r="C3634"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34" t="str">
            <v>M2</v>
          </cell>
          <cell r="E3634">
            <v>784.55</v>
          </cell>
          <cell r="F3634">
            <v>0</v>
          </cell>
        </row>
        <row r="3635">
          <cell r="B3635">
            <v>100924</v>
          </cell>
          <cell r="C3635"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3635" t="str">
            <v>M2</v>
          </cell>
          <cell r="E3635">
            <v>0</v>
          </cell>
        </row>
        <row r="3636">
          <cell r="B3636">
            <v>100671</v>
          </cell>
          <cell r="C3636"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636" t="str">
            <v>M2</v>
          </cell>
          <cell r="E3636">
            <v>1129.6500000000001</v>
          </cell>
          <cell r="F3636">
            <v>0</v>
          </cell>
        </row>
        <row r="3637">
          <cell r="B3637">
            <v>100667</v>
          </cell>
          <cell r="C3637"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37" t="str">
            <v>M2</v>
          </cell>
          <cell r="E3637">
            <v>986.99</v>
          </cell>
          <cell r="F3637">
            <v>0</v>
          </cell>
        </row>
        <row r="3638">
          <cell r="B3638">
            <v>100669</v>
          </cell>
          <cell r="C3638"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3638" t="str">
            <v>M2</v>
          </cell>
          <cell r="E3638">
            <v>969.32</v>
          </cell>
          <cell r="F3638">
            <v>0</v>
          </cell>
        </row>
        <row r="3639">
          <cell r="B3639">
            <v>100672</v>
          </cell>
          <cell r="C3639"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639" t="str">
            <v>M2</v>
          </cell>
          <cell r="E3639">
            <v>754.22</v>
          </cell>
          <cell r="F3639">
            <v>0</v>
          </cell>
        </row>
        <row r="3640">
          <cell r="B3640">
            <v>100666</v>
          </cell>
          <cell r="C3640"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640" t="str">
            <v>M2</v>
          </cell>
          <cell r="E3640">
            <v>641.36</v>
          </cell>
          <cell r="F3640">
            <v>0</v>
          </cell>
        </row>
        <row r="3641">
          <cell r="B3641">
            <v>100663</v>
          </cell>
          <cell r="C3641"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3641" t="str">
            <v>M2</v>
          </cell>
          <cell r="E3641">
            <v>0</v>
          </cell>
        </row>
        <row r="3642">
          <cell r="B3642">
            <v>100662</v>
          </cell>
          <cell r="C3642"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3642" t="str">
            <v>M2</v>
          </cell>
          <cell r="E3642">
            <v>0</v>
          </cell>
        </row>
        <row r="3643">
          <cell r="B3643">
            <v>100661</v>
          </cell>
          <cell r="C3643" t="str">
            <v>JANELA DE PVC BRANCO TIPO MAXIM-AR (VIDRO INCLUSO), BATENTE/ REQUADRO DE 4 A 14 CM, DIMENSÕES 60X60 CM, COM GUARNIÇÃO/ ALIZAR, COM FERRAGENS, FIXAÇÃO COM PARAFUSOS, VEDAÇÃO COM SILICONE, EXCLUSIVE CONTRAMARCO - FORNECIMENTO E INSTALAÇÃO. AF_11/2024</v>
          </cell>
          <cell r="D3643" t="str">
            <v>M2</v>
          </cell>
          <cell r="E3643">
            <v>0</v>
          </cell>
        </row>
        <row r="3644">
          <cell r="B3644">
            <v>105925</v>
          </cell>
          <cell r="C3644" t="str">
            <v>ALIZAR DE 5X1,5CM PARA PORTA FIXADO COM PREGOS - SOMENTE INSTALAÇÃO. AF_10/2025</v>
          </cell>
          <cell r="D3644" t="str">
            <v>M</v>
          </cell>
          <cell r="E3644">
            <v>3.17</v>
          </cell>
          <cell r="F3644">
            <v>0</v>
          </cell>
        </row>
        <row r="3645">
          <cell r="B3645">
            <v>100659</v>
          </cell>
          <cell r="C3645" t="str">
            <v>ALIZAR DE 5X1,5CM PARA PORTA FIXADO COM PREGOS, PADRÃO MÉDIO - FORNECIMENTO E INSTALAÇÃO. AF_10/2025</v>
          </cell>
          <cell r="D3645" t="str">
            <v>M</v>
          </cell>
          <cell r="E3645">
            <v>15</v>
          </cell>
          <cell r="F3645">
            <v>0</v>
          </cell>
        </row>
        <row r="3646">
          <cell r="B3646">
            <v>100660</v>
          </cell>
          <cell r="C3646" t="str">
            <v>ALIZAR DE 5X1,5CM PARA PORTA FIXADO COM PREGOS, PADRÃO POPULAR - FORNECIMENTO E INSTALAÇÃO. AF_10/2025</v>
          </cell>
          <cell r="D3646" t="str">
            <v>M</v>
          </cell>
          <cell r="E3646">
            <v>10.220000000000001</v>
          </cell>
          <cell r="F3646">
            <v>0</v>
          </cell>
        </row>
        <row r="3647">
          <cell r="B3647">
            <v>100711</v>
          </cell>
          <cell r="C3647" t="str">
            <v>BATENTE DE AÇO GALVANIZADO, COM PERFIL PRÉ-FABRICADO, FIXADO COM ARGAMASSA, COM SOLDA, GRAPAS E FUROS PARA FERRAGENS INCLUSOS. AF_10/2025</v>
          </cell>
          <cell r="D3647" t="str">
            <v>M</v>
          </cell>
          <cell r="E3647">
            <v>0</v>
          </cell>
        </row>
        <row r="3648">
          <cell r="B3648">
            <v>100676</v>
          </cell>
          <cell r="C3648" t="str">
            <v>BATENTE PARA PORTA COM BANDEIRA, FIXAÇÃO COM PARAFUSO E BUCHA. AF_10/2025</v>
          </cell>
          <cell r="D3648" t="str">
            <v>UN</v>
          </cell>
          <cell r="E3648">
            <v>284.61</v>
          </cell>
          <cell r="F3648">
            <v>0</v>
          </cell>
        </row>
        <row r="3649">
          <cell r="B3649">
            <v>90806</v>
          </cell>
          <cell r="C3649" t="str">
            <v>BATENTE PARA PORTA DE MADEIRA, FIXAÇÃO COM ARGAMASSA, PADRÃO MÉDIO - FORNECIMENTO E INSTALAÇÃO. AF_10/2025</v>
          </cell>
          <cell r="D3649" t="str">
            <v>UN</v>
          </cell>
          <cell r="E3649">
            <v>583.80999999999995</v>
          </cell>
          <cell r="F3649">
            <v>0</v>
          </cell>
        </row>
        <row r="3650">
          <cell r="B3650">
            <v>91292</v>
          </cell>
          <cell r="C3650" t="str">
            <v>BATENTE PARA PORTA DE MADEIRA, FIXAÇÃO COM ARGAMASSA, PADRÃO POPULAR. FORNECIMENTO E INSTALAÇÃO. AF_10/2025</v>
          </cell>
          <cell r="D3650" t="str">
            <v>UN</v>
          </cell>
          <cell r="E3650">
            <v>477.22</v>
          </cell>
          <cell r="F3650">
            <v>0</v>
          </cell>
        </row>
        <row r="3651">
          <cell r="B3651">
            <v>90801</v>
          </cell>
          <cell r="C3651" t="str">
            <v>BATENTE PARA PORTA DE MADEIRA, PADRÃO MÉDIO - FORNECIMENTO E MONTAGEM. AF_10/2025</v>
          </cell>
          <cell r="D3651" t="str">
            <v>UN</v>
          </cell>
          <cell r="E3651">
            <v>453.81</v>
          </cell>
          <cell r="F3651">
            <v>0</v>
          </cell>
        </row>
        <row r="3652">
          <cell r="B3652">
            <v>91287</v>
          </cell>
          <cell r="C3652" t="str">
            <v>BATENTE PARA PORTA DE MADEIRA, PADRÃO POPULAR - FORNECIMENTO E MONTAGEM. AF_10/2025</v>
          </cell>
          <cell r="D3652" t="str">
            <v>UN</v>
          </cell>
          <cell r="E3652">
            <v>347.22</v>
          </cell>
          <cell r="F3652">
            <v>0</v>
          </cell>
        </row>
        <row r="3653">
          <cell r="B3653">
            <v>100706</v>
          </cell>
          <cell r="C3653" t="str">
            <v>CREMONA EM LATÃO CROMADO OU POLIDO, COMPLETA. AF_10/2025</v>
          </cell>
          <cell r="D3653" t="str">
            <v>UN</v>
          </cell>
          <cell r="E3653">
            <v>103.22</v>
          </cell>
          <cell r="F3653">
            <v>0</v>
          </cell>
        </row>
        <row r="3654">
          <cell r="B3654">
            <v>100709</v>
          </cell>
          <cell r="C3654" t="str">
            <v>DOBRADIÇA EM AÇO/FERRO, 3" X 21/2", E=1,9 A 2MM, SEN ANEL, CROMADO OU ZINCADO, TAMPA BOLA, COM PARAFUSOS. AF_10/2025</v>
          </cell>
          <cell r="D3654" t="str">
            <v>UN</v>
          </cell>
          <cell r="E3654">
            <v>75.84</v>
          </cell>
          <cell r="F3654">
            <v>0</v>
          </cell>
        </row>
        <row r="3655">
          <cell r="B3655">
            <v>100710</v>
          </cell>
          <cell r="C3655" t="str">
            <v>DOBRADIÇA TIPO VAI E VEM EM LATÃO POLIDO 3". AF_10/2025</v>
          </cell>
          <cell r="D3655" t="str">
            <v>UN</v>
          </cell>
          <cell r="E3655">
            <v>169.8</v>
          </cell>
          <cell r="F3655">
            <v>0</v>
          </cell>
        </row>
        <row r="3656">
          <cell r="B3656">
            <v>90830</v>
          </cell>
          <cell r="C3656" t="str">
            <v>FECHADURA DE EMBUTIR COM CILINDRO, EXTERNA, COMPLETA, ACABAMENTO PADRÃO MÉDIO, INCLUSO EXECUÇÃO DE FURO - FORNECIMENTO E INSTALAÇÃO. AF_10/2025</v>
          </cell>
          <cell r="D3656" t="str">
            <v>UN</v>
          </cell>
          <cell r="E3656">
            <v>223.24</v>
          </cell>
          <cell r="F3656">
            <v>0</v>
          </cell>
        </row>
        <row r="3657">
          <cell r="B3657">
            <v>91304</v>
          </cell>
          <cell r="C3657" t="str">
            <v>FECHADURA DE EMBUTIR COM CILINDRO, EXTERNA, COMPLETA, ACABAMENTO PADRÃO POPULAR, INCLUSO EXECUÇÃO DE FURO - FORNECIMENTO E INSTALAÇÃO. AF_10/2025</v>
          </cell>
          <cell r="D3657" t="str">
            <v>UN</v>
          </cell>
          <cell r="E3657">
            <v>144.47</v>
          </cell>
          <cell r="F3657">
            <v>0</v>
          </cell>
        </row>
        <row r="3658">
          <cell r="B3658">
            <v>90831</v>
          </cell>
          <cell r="C3658" t="str">
            <v>FECHADURA DE EMBUTIR SEM CILINDRO, PARA PORTA DE BANHEIRO, COMPLETA, ACABAMENTO PADRÃO MÉDIO, INCLUSO EXECUÇÃO DE FURO - FORNECIMENTO E INSTALAÇÃO. AF_10/2025</v>
          </cell>
          <cell r="D3658" t="str">
            <v>UN</v>
          </cell>
          <cell r="E3658">
            <v>193.31</v>
          </cell>
          <cell r="F3658">
            <v>0</v>
          </cell>
        </row>
        <row r="3659">
          <cell r="B3659">
            <v>91305</v>
          </cell>
          <cell r="C3659" t="str">
            <v>FECHADURA DE EMBUTIR SEM CILINDRO, PARA PORTA DE BANHEIRO, COMPLETA, ACABAMENTO PADRÃO POPULAR, INCLUSO EXECUÇÃO DE FURO - FORNECIMENTO E INSTALAÇÃO. AF_10/2025</v>
          </cell>
          <cell r="D3659" t="str">
            <v>UN</v>
          </cell>
          <cell r="E3659">
            <v>139.12</v>
          </cell>
          <cell r="F3659">
            <v>0</v>
          </cell>
        </row>
        <row r="3660">
          <cell r="B3660">
            <v>91306</v>
          </cell>
          <cell r="C3660" t="str">
            <v>FECHADURA DE EMBUTIR SEM CILINDRO, PARA PORTAS INTERNAS, COMPLETA, ACABAMENTO PADRÃO MÉDIO, COM EXECUÇÃO DE FURO - FORNECIMENTO E INSTALAÇÃO. AF_10/2025</v>
          </cell>
          <cell r="D3660" t="str">
            <v>UN</v>
          </cell>
          <cell r="E3660">
            <v>193.31</v>
          </cell>
          <cell r="F3660">
            <v>0</v>
          </cell>
        </row>
        <row r="3661">
          <cell r="B3661">
            <v>91307</v>
          </cell>
          <cell r="C3661" t="str">
            <v>FECHADURA DE EMBUTIR SEM CILINDRO, PARA PORTAS INTERNAS, COMPLETA, ACABAMENTO PADRÃO POPULAR, COM EXECUÇÃO DE FURO - FORNECIMENTO E INSTALAÇÃO. AF_10/2025</v>
          </cell>
          <cell r="D3661" t="str">
            <v>UN</v>
          </cell>
          <cell r="E3661">
            <v>120.84</v>
          </cell>
          <cell r="F3661">
            <v>0</v>
          </cell>
        </row>
        <row r="3662">
          <cell r="B3662">
            <v>100707</v>
          </cell>
          <cell r="C3662" t="str">
            <v>FECHO DE EMBUTIR TIPO UNHA 22CM. AF_10/2025</v>
          </cell>
          <cell r="D3662" t="str">
            <v>UN</v>
          </cell>
          <cell r="E3662">
            <v>175.96</v>
          </cell>
          <cell r="F3662">
            <v>0</v>
          </cell>
        </row>
        <row r="3663">
          <cell r="B3663">
            <v>100708</v>
          </cell>
          <cell r="C3663" t="str">
            <v>FECHO DE EMBUTIR TIPO UNHA 40CM. AF_10/2025</v>
          </cell>
          <cell r="D3663" t="str">
            <v>UN</v>
          </cell>
          <cell r="E3663">
            <v>215.81</v>
          </cell>
          <cell r="F3663">
            <v>0</v>
          </cell>
        </row>
        <row r="3664">
          <cell r="B3664">
            <v>91328</v>
          </cell>
          <cell r="C3664" t="str">
            <v>KIT DE PORTA DE MADEIRA FRISADA, SEMI-OCA (LEVE OU MÉDIA), PADRÃO MÉDIO 60X210CM, ESPESSURA DE 3CM, ITENS INCLUSOS: DOBRADIÇAS, MONTAGEM E INSTALAÇÃO DO BATENTE, SEM FECHADURA - FORNECIMENTO E INSTALAÇÃO. AF_10/2025</v>
          </cell>
          <cell r="D3664" t="str">
            <v>UN</v>
          </cell>
          <cell r="E3664">
            <v>1148.97</v>
          </cell>
          <cell r="F3664">
            <v>0</v>
          </cell>
        </row>
        <row r="3665">
          <cell r="B3665">
            <v>100687</v>
          </cell>
          <cell r="C3665" t="str">
            <v>KIT DE PORTA DE MADEIRA FRISADA, SEMI-OCA (LEVE OU MÉDIA), PADRÃO MÉDIO, 60X210CM, ESPESSURA DE 3,5CM, ITENS INCLUSOS: DOBRADIÇAS, MONTAGEM E INSTALAÇÃO DE BATENTE, FECHADURA COM EXECUÇÃO DO FURO - FORNECIMENTO E INSTALAÇÃO. AF_10/2025</v>
          </cell>
          <cell r="D3665" t="str">
            <v>UN</v>
          </cell>
          <cell r="E3665">
            <v>1342.28</v>
          </cell>
          <cell r="F3665">
            <v>0</v>
          </cell>
        </row>
        <row r="3666">
          <cell r="B3666">
            <v>100681</v>
          </cell>
          <cell r="C3666" t="str">
            <v>KIT DE PORTA DE MADEIRA FRISADA, SEMI-OCA (LEVE OU MÉDIA), PADRÃO MÉDIO, 70X210CM, ESPESSURA DE 3CM, ITENS INCLUSOS: DOBRADIÇAS, MONTAGEM E INSTALAÇÃO DE BATENTE, FECHADURA COM EXECUÇÃO DO FURO - FORNECIMENTO E INSTALAÇÃO. AF_10/2025</v>
          </cell>
          <cell r="D3666" t="str">
            <v>UN</v>
          </cell>
          <cell r="E3666">
            <v>1375.29</v>
          </cell>
          <cell r="F3666">
            <v>0</v>
          </cell>
        </row>
        <row r="3667">
          <cell r="B3667">
            <v>91330</v>
          </cell>
          <cell r="C3667" t="str">
            <v>KIT DE PORTA DE MADEIRA FRISADA, SEMI-OCA (LEVE OU MÉDIA), PADRÃO MÉDIO, 70X210CM, ESPESSURA DE 3CM, ITENS INCLUSOS: DOBRADIÇAS, MONTAGEM E INSTALAÇÃO DO BATENTE, SEM FECHADURA - FORNECIMENTO E INSTALAÇÃO. AF_10/2025</v>
          </cell>
          <cell r="D3667" t="str">
            <v>UN</v>
          </cell>
          <cell r="E3667">
            <v>1181.98</v>
          </cell>
          <cell r="F3667">
            <v>0</v>
          </cell>
        </row>
        <row r="3668">
          <cell r="B3668">
            <v>100689</v>
          </cell>
          <cell r="C3668" t="str">
            <v>KIT DE PORTA DE MADEIRA FRISADA, SEMI-OCA (LEVE OU MÉDIA), PADRÃO MÉDIO, 80X210CM, ESPESSURA DE 3,5CM, ITENS INCLUSOS: DOBRADIÇAS, MONTAGEM E INSTALAÇÃO DE BATENTE, FECHADURA COM EXECUÇÃO DO FURO - FORNECIMENTO E INSTALAÇÃO. AF_10/2025</v>
          </cell>
          <cell r="D3668" t="str">
            <v>UN</v>
          </cell>
          <cell r="E3668">
            <v>1451.53</v>
          </cell>
          <cell r="F3668">
            <v>0</v>
          </cell>
        </row>
        <row r="3669">
          <cell r="B3669">
            <v>91332</v>
          </cell>
          <cell r="C3669" t="str">
            <v>KIT DE PORTA DE MADEIRA FRISADA, SEMI-OCA (LEVE OU MÉDIA), PADRÃO MÉDIO, 80X210CM, ESPESSURA DE 3,5CM, ITENS INCLUSOS: DOBRADIÇAS, MONTAGEM E INSTALAÇÃO DO BATENTE, SEM FECHADURA - FORNECIMENTO E INSTALAÇÃO. AF_10/2025</v>
          </cell>
          <cell r="D3669" t="str">
            <v>UN</v>
          </cell>
          <cell r="E3669">
            <v>1228.29</v>
          </cell>
          <cell r="F3669">
            <v>0</v>
          </cell>
        </row>
        <row r="3670">
          <cell r="B3670">
            <v>100688</v>
          </cell>
          <cell r="C3670" t="str">
            <v>KIT DE PORTA DE MADEIRA FRISADA, SEMI-OCA (LEVE OU MÉDIA), PADRÃO POPULAR, 60X210CM, ESPESSURA DE 3CM, ITENS INCLUSOS: DOBRADIÇAS, MONTAGEM E INSTALAÇÃO DE BATENTE, FECHADURA COM EXECUÇÃO DO FURO - FORNECIMENTO E INSTALAÇÃO. AF_10/2025</v>
          </cell>
          <cell r="D3670" t="str">
            <v>UN</v>
          </cell>
          <cell r="E3670">
            <v>1135.6099999999999</v>
          </cell>
          <cell r="F3670">
            <v>0</v>
          </cell>
        </row>
        <row r="3671">
          <cell r="B3671">
            <v>91329</v>
          </cell>
          <cell r="C3671" t="str">
            <v>KIT DE PORTA DE MADEIRA FRISADA, SEMI-OCA (LEVE OU MÉDIA), PADRÃO POPULAR, 60X210CM, ESPESSURA DE 3CM, ITENS INCLUSOS: DOBRADIÇAS, MONTAGEM E INSTALAÇÃO DO BATENTE, SEM FECHADURA - FORNECIMENTO E INSTALAÇÃO. AF_10/2025</v>
          </cell>
          <cell r="D3671" t="str">
            <v>UN</v>
          </cell>
          <cell r="E3671">
            <v>996.49</v>
          </cell>
          <cell r="F3671">
            <v>0</v>
          </cell>
        </row>
        <row r="3672">
          <cell r="B3672">
            <v>100682</v>
          </cell>
          <cell r="C3672" t="str">
            <v>KIT DE PORTA DE MADEIRA FRISADA, SEMI-OCA (LEVE OU MÉDIA), PADRÃO POPULAR, 70X210CM, ESPESSURA DE 3CM, ITENS INCLUSOS: DOBRADIÇAS, MONTAGEM E INSTALAÇÃO DE BATENTE, FECHADURA COM EXECUÇÃO DO FURO - FORNECIMENTO E INSTALAÇÃO. AF_10/2025</v>
          </cell>
          <cell r="D3672" t="str">
            <v>UN</v>
          </cell>
          <cell r="E3672">
            <v>1149.3800000000001</v>
          </cell>
          <cell r="F3672">
            <v>0</v>
          </cell>
        </row>
        <row r="3673">
          <cell r="B3673">
            <v>91331</v>
          </cell>
          <cell r="C3673" t="str">
            <v>KIT DE PORTA DE MADEIRA FRISADA, SEMI-OCA (LEVE OU MÉDIA), PADRÃO POPULAR, 70X210CM, ESPESSURA DE 3CM, ITENS INCLUSOS: DOBRADIÇAS, MONTAGEM E INSTALAÇÃO DO BATENTE, SEM FECHADURA - FORNECIMENTO E INSTALAÇÃO. AF_10/2025</v>
          </cell>
          <cell r="D3673" t="str">
            <v>UN</v>
          </cell>
          <cell r="E3673">
            <v>1028.54</v>
          </cell>
          <cell r="F3673">
            <v>0</v>
          </cell>
        </row>
        <row r="3674">
          <cell r="B3674">
            <v>100690</v>
          </cell>
          <cell r="C3674" t="str">
            <v>KIT DE PORTA DE MADEIRA FRISADA, SEMI-OCA (LEVE OU MÉDIA), PADRÃO POPULAR, 80X210CM, ESPESSURA DE 3,5CM, ITENS INCLUSOS: DOBRADIÇAS, MONTAGEM E INSTALAÇÃO DE BATENTE, FECHADURA COM EXECUÇÃO DO FURO - FORNECIMENTO E INSTALAÇÃO. AF_10/2025</v>
          </cell>
          <cell r="D3674" t="str">
            <v>UN</v>
          </cell>
          <cell r="E3674">
            <v>1218.3699999999999</v>
          </cell>
          <cell r="F3674">
            <v>0</v>
          </cell>
        </row>
        <row r="3675">
          <cell r="B3675">
            <v>91333</v>
          </cell>
          <cell r="C3675" t="str">
            <v>KIT DE PORTA DE MADEIRA FRISADA, SEMI-OCA (LEVE OU MÉDIA), PADRÃO POPULAR, 80X210CM, ESPESSURA DE 3,5CM, ITENS INCLUSOS: DOBRADIÇAS, MONTAGEM E INSTALAÇÃO DO BATENTE, SEM FECHADURA - FORNECIMENTO E INSTALAÇÃO. AF_10/2025</v>
          </cell>
          <cell r="D3675" t="str">
            <v>UN</v>
          </cell>
          <cell r="E3675">
            <v>1073.9000000000001</v>
          </cell>
          <cell r="F3675">
            <v>0</v>
          </cell>
        </row>
        <row r="3676">
          <cell r="B3676">
            <v>90841</v>
          </cell>
          <cell r="C3676" t="str">
            <v>KIT DE PORTA DE MADEIRA PARA PINTURA, SEMI-OCA (LEVE OU MÉDIA), PADRÃO MÉDIO, 60X210CM, ESPESSURA DE 3,5CM, ITENS INCLUSOS: DOBRADIÇAS, MONTAGEM E INSTALAÇÃO DO BATENTE, FECHADURA COM EXECUÇÃO DO FURO - FORNECIMENTO E INSTALAÇÃO. AF_10/2025</v>
          </cell>
          <cell r="D3676" t="str">
            <v>UN</v>
          </cell>
          <cell r="E3676">
            <v>1319.46</v>
          </cell>
          <cell r="F3676">
            <v>0</v>
          </cell>
        </row>
        <row r="3677">
          <cell r="B3677">
            <v>90847</v>
          </cell>
          <cell r="C3677" t="str">
            <v>KIT DE PORTA DE MADEIRA PARA PINTURA, SEMI-OCA (LEVE OU MÉDIA), PADRÃO MÉDIO, 60X210CM, ESPESSURA DE 3,5CM, ITENS INCLUSOS: DOBRADIÇAS, MONTAGEM E INSTALAÇÃO DO BATENTE, SEM FECHADURA - FORNECIMENTO E INSTALAÇÃO. AF_10/2025</v>
          </cell>
          <cell r="D3677" t="str">
            <v>UN</v>
          </cell>
          <cell r="E3677">
            <v>1126.1500000000001</v>
          </cell>
          <cell r="F3677">
            <v>0</v>
          </cell>
        </row>
        <row r="3678">
          <cell r="B3678">
            <v>90842</v>
          </cell>
          <cell r="C3678" t="str">
            <v>KIT DE PORTA DE MADEIRA PARA PINTURA, SEMI-OCA (LEVE OU MÉDIA), PADRÃO MÉDIO, 70X210CM, ESPESSURA DE 3,5CM, ITENS INCLUSOS: DOBRADIÇAS, MONTAGEM E INSTALAÇÃO DO BATENTE, FECHADURA COM EXECUÇÃO DO FURO - FORNECIMENTO E INSTALAÇÃO. AF_10/2025</v>
          </cell>
          <cell r="D3678" t="str">
            <v>UN</v>
          </cell>
          <cell r="E3678">
            <v>1332.89</v>
          </cell>
          <cell r="F3678">
            <v>0</v>
          </cell>
        </row>
        <row r="3679">
          <cell r="B3679">
            <v>90848</v>
          </cell>
          <cell r="C3679" t="str">
            <v>KIT DE PORTA DE MADEIRA PARA PINTURA, SEMI-OCA (LEVE OU MÉDIA), PADRÃO MÉDIO, 70X210CM, ESPESSURA DE 3,5CM, ITENS INCLUSOS: DOBRADIÇAS, MONTAGEM E INSTALAÇÃO DO BATENTE, SEM FECHADURA - FORNECIMENTO E INSTALAÇÃO. AF_10/2025</v>
          </cell>
          <cell r="D3679" t="str">
            <v>UN</v>
          </cell>
          <cell r="E3679">
            <v>1139.58</v>
          </cell>
          <cell r="F3679">
            <v>0</v>
          </cell>
        </row>
        <row r="3680">
          <cell r="B3680">
            <v>90843</v>
          </cell>
          <cell r="C3680" t="str">
            <v>KIT DE PORTA DE MADEIRA PARA PINTURA, SEMI-OCA (LEVE OU MÉDIA), PADRÃO MÉDIO, 80X210CM, ESPESSURA DE 3,5CM, ITENS INCLUSOS: DOBRADIÇAS, MONTAGEM E INSTALAÇÃO DO BATENTE, FECHADURA COM EXECUÇÃO DO FURO - FORNECIMENTO E INSTALAÇÃO. AF_10/2025</v>
          </cell>
          <cell r="D3680" t="str">
            <v>UN</v>
          </cell>
          <cell r="E3680">
            <v>1394.82</v>
          </cell>
          <cell r="F3680">
            <v>0</v>
          </cell>
        </row>
        <row r="3681">
          <cell r="B3681">
            <v>90849</v>
          </cell>
          <cell r="C3681" t="str">
            <v>KIT DE PORTA DE MADEIRA PARA PINTURA, SEMI-OCA (LEVE OU MÉDIA), PADRÃO MÉDIO, 80X210CM, ESPESSURA DE 3,5CM, ITENS INCLUSOS: DOBRADIÇAS, MONTAGEM E INSTALAÇÃO DO BATENTE, SEM FECHADURA - FORNECIMENTO E INSTALAÇÃO. AF_10/2025</v>
          </cell>
          <cell r="D3681" t="str">
            <v>UN</v>
          </cell>
          <cell r="E3681">
            <v>1171.58</v>
          </cell>
          <cell r="F3681">
            <v>0</v>
          </cell>
        </row>
        <row r="3682">
          <cell r="B3682">
            <v>90844</v>
          </cell>
          <cell r="C3682" t="str">
            <v>KIT DE PORTA DE MADEIRA PARA PINTURA, SEMI-OCA (LEVE OU MÉDIA), PADRÃO MÉDIO, 90X210CM, ESPESSURA DE 3,5CM, ITENS INCLUSOS: DOBRADIÇAS, MONTAGEM E INSTALAÇÃO DO BATENTE, FECHADURA COM EXECUÇÃO DO FURO - FORNECIMENTO E INSTALAÇÃO. AF_10/2025</v>
          </cell>
          <cell r="D3682" t="str">
            <v>UN</v>
          </cell>
          <cell r="E3682">
            <v>1487.92</v>
          </cell>
          <cell r="F3682">
            <v>0</v>
          </cell>
        </row>
        <row r="3683">
          <cell r="B3683">
            <v>90850</v>
          </cell>
          <cell r="C3683" t="str">
            <v>KIT DE PORTA DE MADEIRA PARA PINTURA, SEMI-OCA (LEVE OU MÉDIA), PADRÃO MÉDIO, 90X210CM, ESPESSURA DE 3,5CM, ITENS INCLUSOS: DOBRADIÇAS, MONTAGEM E INSTALAÇÃO DO BATENTE, SEM FECHADURA - FORNECIMENTO E INSTALAÇÃO. AF_10/2025</v>
          </cell>
          <cell r="D3683" t="str">
            <v>UN</v>
          </cell>
          <cell r="E3683">
            <v>1264.68</v>
          </cell>
          <cell r="F3683">
            <v>0</v>
          </cell>
        </row>
        <row r="3684">
          <cell r="B3684">
            <v>91312</v>
          </cell>
          <cell r="C3684" t="str">
            <v>KIT DE PORTA DE MADEIRA PARA PINTURA, SEMI-OCA (LEVE OU MÉDIA), PADRÃO POPULAR, 60X210CM, ESPESSURA DE 3,5CM, ITENS INCLUSOS: DOBRADIÇAS, MONTAGEM E INSTALAÇÃO DO BATENTE, FECHADURA COM EXECUÇÃO DO FURO - FORNECIMENTO E INSTALAÇÃO. AF_10/2025</v>
          </cell>
          <cell r="D3684" t="str">
            <v>UN</v>
          </cell>
          <cell r="E3684">
            <v>1112.79</v>
          </cell>
          <cell r="F3684">
            <v>0</v>
          </cell>
        </row>
        <row r="3685">
          <cell r="B3685">
            <v>91318</v>
          </cell>
          <cell r="C3685" t="str">
            <v>KIT DE PORTA DE MADEIRA PARA PINTURA, SEMI-OCA (LEVE OU MÉDIA), PADRÃO POPULAR, 60X210CM, ESPESSURA DE 3,5CM, ITENS INCLUSOS: DOBRADIÇAS, MONTAGEM E INSTALAÇÃO DO BATENTE, SEM FECHADURA - FORNECIMENTO E INSTALAÇÃO. AF_10/2025</v>
          </cell>
          <cell r="D3685" t="str">
            <v>UN</v>
          </cell>
          <cell r="E3685">
            <v>973.67</v>
          </cell>
          <cell r="F3685">
            <v>0</v>
          </cell>
        </row>
        <row r="3686">
          <cell r="B3686">
            <v>91313</v>
          </cell>
          <cell r="C3686" t="str">
            <v>KIT DE PORTA DE MADEIRA PARA PINTURA, SEMI-OCA (LEVE OU MÉDIA), PADRÃO POPULAR, 70X210CM, ESPESSURA DE 3,5CM, ITENS INCLUSOS: DOBRADIÇAS, MONTAGEM E INSTALAÇÃO DO BATENTE, FECHADURA COM EXECUÇÃO DO FURO - FORNECIMENTO E INSTALAÇÃO. AF_10/2025</v>
          </cell>
          <cell r="D3686" t="str">
            <v>UN</v>
          </cell>
          <cell r="E3686">
            <v>1106.98</v>
          </cell>
          <cell r="F3686">
            <v>0</v>
          </cell>
        </row>
        <row r="3687">
          <cell r="B3687">
            <v>91319</v>
          </cell>
          <cell r="C3687" t="str">
            <v>KIT DE PORTA DE MADEIRA PARA PINTURA, SEMI-OCA (LEVE OU MÉDIA), PADRÃO POPULAR, 70X210CM, ESPESSURA DE 3,5CM, ITENS INCLUSOS: DOBRADIÇAS, MONTAGEM E INSTALAÇÃO DO BATENTE, SEM FECHADURA - FORNECIMENTO E INSTALAÇÃO. AF_10/2025</v>
          </cell>
          <cell r="D3687" t="str">
            <v>UN</v>
          </cell>
          <cell r="E3687">
            <v>986.14</v>
          </cell>
          <cell r="F3687">
            <v>0</v>
          </cell>
        </row>
        <row r="3688">
          <cell r="B3688">
            <v>91314</v>
          </cell>
          <cell r="C3688" t="str">
            <v>KIT DE PORTA DE MADEIRA PARA PINTURA, SEMI-OCA (LEVE OU MÉDIA), PADRÃO POPULAR, 80X210CM, ESPESSURA DE 3,5CM, ITENS INCLUSOS: DOBRADIÇAS, MONTAGEM E INSTALAÇÃO DO BATENTE, FECHADURA COM EXECUÇÃO DO FURO - FORNECIMENTO E INSTALAÇÃO. AF_10/2025</v>
          </cell>
          <cell r="D3688" t="str">
            <v>UN</v>
          </cell>
          <cell r="E3688">
            <v>1161.6600000000001</v>
          </cell>
          <cell r="F3688">
            <v>0</v>
          </cell>
        </row>
        <row r="3689">
          <cell r="B3689">
            <v>91320</v>
          </cell>
          <cell r="C3689" t="str">
            <v>KIT DE PORTA DE MADEIRA PARA PINTURA, SEMI-OCA (LEVE OU MÉDIA), PADRÃO POPULAR, 80X210CM, ESPESSURA DE 3,5CM, ITENS INCLUSOS: DOBRADIÇAS, MONTAGEM E INSTALAÇÃO DO BATENTE, SEM FECHADURA - FORNECIMENTO E INSTALAÇÃO. AF_10/2025</v>
          </cell>
          <cell r="D3689" t="str">
            <v>UN</v>
          </cell>
          <cell r="E3689">
            <v>1017.19</v>
          </cell>
          <cell r="F3689">
            <v>0</v>
          </cell>
        </row>
        <row r="3690">
          <cell r="B3690">
            <v>91315</v>
          </cell>
          <cell r="C3690" t="str">
            <v>KIT DE PORTA DE MADEIRA PARA PINTURA, SEMI-OCA (LEVE OU MÉDIA), PADRÃO POPULAR, 90X210CM, ESPESSURA DE 3,5CM, ITENS INCLUSOS: DOBRADIÇAS, MONTAGEM E INSTALAÇÃO DO BATENTE, FECHADURA COM EXECUÇÃO DO FURO - FORNECIMENTO E INSTALAÇÃO. AF_10/2025</v>
          </cell>
          <cell r="D3690" t="str">
            <v>UN</v>
          </cell>
          <cell r="E3690">
            <v>1253.8</v>
          </cell>
          <cell r="F3690">
            <v>0</v>
          </cell>
        </row>
        <row r="3691">
          <cell r="B3691">
            <v>91321</v>
          </cell>
          <cell r="C3691" t="str">
            <v>KIT DE PORTA DE MADEIRA PARA PINTURA, SEMI-OCA (LEVE OU MÉDIA), PADRÃO POPULAR, 90X210CM, ESPESSURA DE 3,5CM, ITENS INCLUSOS: DOBRADIÇAS, MONTAGEM E INSTALAÇÃO DO BATENTE, SEM FECHADURA - FORNECIMENTO E INSTALAÇÃO. AF_10/2025</v>
          </cell>
          <cell r="D3691" t="str">
            <v>UN</v>
          </cell>
          <cell r="E3691">
            <v>1109.33</v>
          </cell>
          <cell r="F3691">
            <v>0</v>
          </cell>
        </row>
        <row r="3692">
          <cell r="B3692">
            <v>90845</v>
          </cell>
          <cell r="C3692" t="str">
            <v>KIT DE PORTA DE MADEIRA PARA PINTURA, SEMI-OCA (PESADA OU SUPERPESADA), PADRÃO MÉDIO, 80X210CM, ESPESSURA DE 3,5CM, ITENS INCLUSOS: DOBRADIÇAS, MONTAGEM E INSTALAÇÃO DO BATENTE, FECHADURA COM EXECUÇÃO DO FURO - FORNECIMENTO E INSTALAÇÃO. AF_10/2025</v>
          </cell>
          <cell r="D3692" t="str">
            <v>UN</v>
          </cell>
          <cell r="E3692">
            <v>1696.89</v>
          </cell>
          <cell r="F3692">
            <v>0</v>
          </cell>
        </row>
        <row r="3693">
          <cell r="B3693">
            <v>90851</v>
          </cell>
          <cell r="C3693" t="str">
            <v>KIT DE PORTA DE MADEIRA PARA PINTURA, SEMI-OCA (PESADA OU SUPERPESADA), PADRÃO MÉDIO, 80X210CM, ESPESSURA DE 3,5CM, ITENS INCLUSOS: DOBRADIÇAS, MONTAGEM E INSTALAÇÃO DO BATENTE, SEM FECHADURA - FORNECIMENTO E INSTALAÇÃO. AF_10/2025</v>
          </cell>
          <cell r="D3693" t="str">
            <v>UN</v>
          </cell>
          <cell r="E3693">
            <v>1473.65</v>
          </cell>
          <cell r="F3693">
            <v>0</v>
          </cell>
        </row>
        <row r="3694">
          <cell r="B3694">
            <v>90846</v>
          </cell>
          <cell r="C3694" t="str">
            <v>KIT DE PORTA DE MADEIRA PARA PINTURA, SEMI-OCA (PESADA OU SUPERPESADA), PADRÃO MÉDIO, 90X210CM, ESPESSURA DE 3,5CM, ITENS INCLUSOS: DOBRADIÇAS, MONTAGEM E INSTALAÇÃO DO BATENTE, FECHADURA COM EXECUÇÃO DO FURO - FORNECIMENTO E INSTALAÇÃO. AF_10/2025</v>
          </cell>
          <cell r="D3694" t="str">
            <v>UN</v>
          </cell>
          <cell r="E3694">
            <v>1780.23</v>
          </cell>
          <cell r="F3694">
            <v>0</v>
          </cell>
        </row>
        <row r="3695">
          <cell r="B3695">
            <v>90852</v>
          </cell>
          <cell r="C3695" t="str">
            <v>KIT DE PORTA DE MADEIRA PARA PINTURA, SEMI-OCA (PESADA OU SUPERPESADA), PADRÃO MÉDIO, 90X210CM, ESPESSURA DE 3,5CM, ITENS INCLUSOS: DOBRADIÇAS, MONTAGEM E INSTALAÇÃO DO BATENTE, SEM FECHADURA - FORNECIMENTO E INSTALAÇÃO. AF_10/2025</v>
          </cell>
          <cell r="D3695" t="str">
            <v>UN</v>
          </cell>
          <cell r="E3695">
            <v>1556.99</v>
          </cell>
          <cell r="F3695">
            <v>0</v>
          </cell>
        </row>
        <row r="3696">
          <cell r="B3696">
            <v>91316</v>
          </cell>
          <cell r="C3696" t="str">
            <v>KIT DE PORTA DE MADEIRA PARA PINTURA, SEMI-OCA (PESADA OU SUPERPESADA), PADRÃO POPULAR, 80X210CM, ESPESSURA DE 3,5CM, ITENS INCLUSOS: DOBRADIÇAS, MONTAGEM E INSTALAÇÃO DO BATENTE, FECHADURA COM EXECUÇÃO DO FURO - FORNECIMENTO E INSTALAÇÃO. AF_10/2025</v>
          </cell>
          <cell r="D3696" t="str">
            <v>UN</v>
          </cell>
          <cell r="E3696">
            <v>1463.73</v>
          </cell>
          <cell r="F3696">
            <v>0</v>
          </cell>
        </row>
        <row r="3697">
          <cell r="B3697">
            <v>91322</v>
          </cell>
          <cell r="C3697" t="str">
            <v>KIT DE PORTA DE MADEIRA PARA PINTURA, SEMI-OCA (PESADA OU SUPERPESADA), PADRÃO POPULAR, 80X210CM, ESPESSURA DE 3,5CM, ITENS INCLUSOS: DOBRADIÇAS, MONTAGEM E INSTALAÇÃO DO BATENTE, SEM FECHADURA - FORNECIMENTO E INSTALAÇÃO. AF_10/2025</v>
          </cell>
          <cell r="D3697" t="str">
            <v>UN</v>
          </cell>
          <cell r="E3697">
            <v>1319.26</v>
          </cell>
          <cell r="F3697">
            <v>0</v>
          </cell>
        </row>
        <row r="3698">
          <cell r="B3698">
            <v>91317</v>
          </cell>
          <cell r="C3698" t="str">
            <v>KIT DE PORTA DE MADEIRA PARA PINTURA, SEMI-OCA (PESADA OU SUPERPESADA), PADRÃO POPULAR, 90X210CM, ESPESSURA DE 3,5CM, ITENS INCLUSOS: DOBRADIÇAS, MONTAGEM E INSTALAÇÃO DO BATENTE, FECHADURA COM EXECUÇÃO DO FURO - FORNECIMENTO E INSTALAÇÃO. AF_10/2025</v>
          </cell>
          <cell r="D3698" t="str">
            <v>UN</v>
          </cell>
          <cell r="E3698">
            <v>1546.11</v>
          </cell>
          <cell r="F3698">
            <v>0</v>
          </cell>
        </row>
        <row r="3699">
          <cell r="B3699">
            <v>91323</v>
          </cell>
          <cell r="C3699" t="str">
            <v>KIT DE PORTA DE MADEIRA PARA PINTURA, SEMI-OCA (PESADA OU SUPERPESADA), PADRÃO POPULAR, 90X210CM, ESPESSURA DE 3,5CM, ITENS INCLUSOS: DOBRADIÇAS, MONTAGEM E INSTALAÇÃO DO BATENTE, SEM FECHADURA - FORNECIMENTO E INSTALAÇÃO. AF_10/2025</v>
          </cell>
          <cell r="D3699" t="str">
            <v>UN</v>
          </cell>
          <cell r="E3699">
            <v>1401.64</v>
          </cell>
          <cell r="F3699">
            <v>0</v>
          </cell>
        </row>
        <row r="3700">
          <cell r="B3700">
            <v>100678</v>
          </cell>
          <cell r="C3700" t="str">
            <v>KIT DE PORTA DE MADEIRA PARA VERNIZ, SEMI-OCA (LEVE OU MÉDIA), PADRÃO MÉDIO, 60X210CM, ESPESSURA DE 3,5CM, ITENS INCLUSOS: DOBRADIÇAS, MONTAGEM E INSTALAÇÃO DE BATENTE, FECHADURA COM EXECUÇÃO DO FURO - FORNECIMENTO E INSTALAÇÃO. AF_10/2025</v>
          </cell>
          <cell r="D3700" t="str">
            <v>UN</v>
          </cell>
          <cell r="E3700">
            <v>1331.69</v>
          </cell>
          <cell r="F3700">
            <v>0</v>
          </cell>
        </row>
        <row r="3701">
          <cell r="B3701">
            <v>91013</v>
          </cell>
          <cell r="C3701" t="str">
            <v>KIT DE PORTA DE MADEIRA PARA VERNIZ, SEMI-OCA (LEVE OU MÉDIA), PADRÃO MÉDIO, 60X210CM, ESPESSURA DE 3,5CM, ITENS INCLUSOS: DOBRADIÇAS, MONTAGEM E INSTALAÇÃO DO BATENTE, SEM FECHADURA - FORNECIMENTO E INSTALAÇÃO. AF_10/2025</v>
          </cell>
          <cell r="D3701" t="str">
            <v>UN</v>
          </cell>
          <cell r="E3701">
            <v>1138.3800000000001</v>
          </cell>
          <cell r="F3701">
            <v>0</v>
          </cell>
        </row>
        <row r="3702">
          <cell r="B3702">
            <v>100680</v>
          </cell>
          <cell r="C3702" t="str">
            <v>KIT DE PORTA DE MADEIRA PARA VERNIZ, SEMI-OCA (LEVE OU MÉDIA), PADRÃO MÉDIO, 70X210CM, ESPESSURA DE 3,5CM, ITENS INCLUSOS: DOBRADIÇAS, MONTAGEM E INSTALAÇÃO DE BATENTE, FECHADURA COM EXECUÇÃO DO FURO - FORNECIMENTO E INSTALAÇÃO. AF_10/2025</v>
          </cell>
          <cell r="D3702" t="str">
            <v>UN</v>
          </cell>
          <cell r="E3702">
            <v>1345.7</v>
          </cell>
          <cell r="F3702">
            <v>0</v>
          </cell>
        </row>
        <row r="3703">
          <cell r="B3703">
            <v>91014</v>
          </cell>
          <cell r="C3703" t="str">
            <v>KIT DE PORTA DE MADEIRA PARA VERNIZ, SEMI-OCA (LEVE OU MÉDIA), PADRÃO MÉDIO, 70X210CM, ESPESSURA DE 3,5CM, ITENS INCLUSOS: DOBRADIÇAS, MONTAGEM E INSTALAÇÃO DO BATENTE, SEM FECHADURA - FORNECIMENTO E INSTALAÇÃO. AF_10/2025</v>
          </cell>
          <cell r="D3703" t="str">
            <v>UN</v>
          </cell>
          <cell r="E3703">
            <v>1152.3900000000001</v>
          </cell>
          <cell r="F3703">
            <v>0</v>
          </cell>
        </row>
        <row r="3704">
          <cell r="B3704">
            <v>100683</v>
          </cell>
          <cell r="C3704" t="str">
            <v>KIT DE PORTA DE MADEIRA PARA VERNIZ, SEMI-OCA (LEVE OU MÉDIA), PADRÃO MÉDIO, 80X210CM, ESPESSURA DE 3,5CM, ITENS INCLUSOS: DOBRADIÇAS, MONTAGEM E INSTALAÇÃO DE BATENTE, FECHADURA COM EXECUÇÃO DO FURO - FORNECIMENTO E INSTALAÇÃO. AF_10/2025</v>
          </cell>
          <cell r="D3704" t="str">
            <v>UN</v>
          </cell>
          <cell r="E3704">
            <v>1444.47</v>
          </cell>
          <cell r="F3704">
            <v>0</v>
          </cell>
        </row>
        <row r="3705">
          <cell r="B3705">
            <v>91015</v>
          </cell>
          <cell r="C3705" t="str">
            <v>KIT DE PORTA DE MADEIRA PARA VERNIZ, SEMI-OCA (LEVE OU MÉDIA), PADRÃO MÉDIO, 80X210CM, ESPESSURA DE 3,5CM, ITENS INCLUSOS: DOBRADIÇAS, MONTAGEM E INSTALAÇÃO DO BATENTE, SEM FECHADURA - FORNECIMENTO E INSTALAÇÃO. AF_10/2025</v>
          </cell>
          <cell r="D3705" t="str">
            <v>UN</v>
          </cell>
          <cell r="E3705">
            <v>1221.23</v>
          </cell>
          <cell r="F3705">
            <v>0</v>
          </cell>
        </row>
        <row r="3706">
          <cell r="B3706">
            <v>100685</v>
          </cell>
          <cell r="C3706" t="str">
            <v>KIT DE PORTA DE MADEIRA PARA VERNIZ, SEMI-OCA (LEVE OU MÉDIA), PADRÃO MÉDIO, 90X210CM, ESPESSURA DE 3,5CM, ITENS INCLUSOS: DOBRADIÇAS, MONTAGEM E INSTALAÇÃO DE BATENTE, FECHADURA COM EXECUÇÃO DO FURO - FORNECIMENTO E INSTALAÇÃO. AF_10/2025</v>
          </cell>
          <cell r="D3706" t="str">
            <v>UN</v>
          </cell>
          <cell r="E3706">
            <v>1498.76</v>
          </cell>
          <cell r="F3706">
            <v>0</v>
          </cell>
        </row>
        <row r="3707">
          <cell r="B3707">
            <v>91016</v>
          </cell>
          <cell r="C3707" t="str">
            <v>KIT DE PORTA DE MADEIRA PARA VERNIZ, SEMI-OCA (LEVE OU MÉDIA), PADRÃO MÉDIO, 90X210CM, ESPESSURA DE 3,5CM, ITENS INCLUSOS: DOBRADIÇAS, MONTAGEM E INSTALAÇÃO DO BATENTE, SEM FECHADURA - FORNECIMENTO E INSTALAÇÃO. AF_10/2025</v>
          </cell>
          <cell r="D3707" t="str">
            <v>UN</v>
          </cell>
          <cell r="E3707">
            <v>1275.52</v>
          </cell>
          <cell r="F3707">
            <v>0</v>
          </cell>
        </row>
        <row r="3708">
          <cell r="B3708">
            <v>100679</v>
          </cell>
          <cell r="C3708" t="str">
            <v>KIT DE PORTA DE MADEIRA PARA VERNIZ, SEMI-OCA (LEVE OU MÉDIA), PADRÃO POPULAR, 60X210CM, ESPESSURA DE 3,5CM, ITENS INCLUSOS: DOBRADIÇAS, MONTAGEM E INSTALAÇÃO DE BATENTE, FECHADURA COM EXECUÇÃO DO FURO - FORNECIMENTO E INSTALAÇÃO. AF_10/2025</v>
          </cell>
          <cell r="D3708" t="str">
            <v>UN</v>
          </cell>
          <cell r="E3708">
            <v>1125.02</v>
          </cell>
          <cell r="F3708">
            <v>0</v>
          </cell>
        </row>
        <row r="3709">
          <cell r="B3709">
            <v>91324</v>
          </cell>
          <cell r="C3709" t="str">
            <v>KIT DE PORTA DE MADEIRA PARA VERNIZ, SEMI-OCA (LEVE OU MÉDIA), PADRÃO POPULAR, 60X210CM, ESPESSURA DE 3,5CM, ITENS INCLUSOS: DOBRADIÇAS, MONTAGEM E INSTALAÇÃO DO BATENTE, SEM FECHADURA - FORNECIMENTO E INSTALAÇÃO. AF_10/2025</v>
          </cell>
          <cell r="D3709" t="str">
            <v>UN</v>
          </cell>
          <cell r="E3709">
            <v>985.9</v>
          </cell>
          <cell r="F3709">
            <v>0</v>
          </cell>
        </row>
        <row r="3710">
          <cell r="B3710">
            <v>100712</v>
          </cell>
          <cell r="C3710" t="str">
            <v>KIT DE PORTA DE MADEIRA PARA VERNIZ, SEMI-OCA (LEVE OU MÉDIA), PADRÃO POPULAR, 70X210CM, ESPESSURA DE 3,5CM, ITENS INCLUSOS: DOBRADIÇAS, MONTAGEM E INSTALAÇÃO DE BATENTE, FECHADURA COM EXECUÇÃO DO FURO - FORNECIMENTO E INSTALAÇÃO. AF_10/2025</v>
          </cell>
          <cell r="D3710" t="str">
            <v>UN</v>
          </cell>
          <cell r="E3710">
            <v>1119.79</v>
          </cell>
          <cell r="F3710">
            <v>0</v>
          </cell>
        </row>
        <row r="3711">
          <cell r="B3711">
            <v>91325</v>
          </cell>
          <cell r="C3711" t="str">
            <v>KIT DE PORTA DE MADEIRA PARA VERNIZ, SEMI-OCA (LEVE OU MÉDIA), PADRÃO POPULAR, 70X210CM, ESPESSURA DE 3,5CM, ITENS INCLUSOS: DOBRADIÇAS, MONTAGEM E INSTALAÇÃO DO BATENTE, SEM FECHADURA - FORNECIMENTO E INSTALAÇÃO. AF_10/2025</v>
          </cell>
          <cell r="D3711" t="str">
            <v>UN</v>
          </cell>
          <cell r="E3711">
            <v>998.95</v>
          </cell>
          <cell r="F3711">
            <v>0</v>
          </cell>
        </row>
        <row r="3712">
          <cell r="B3712">
            <v>100684</v>
          </cell>
          <cell r="C3712" t="str">
            <v>KIT DE PORTA DE MADEIRA PARA VERNIZ, SEMI-OCA (LEVE OU MÉDIA), PADRÃO POPULAR, 80X210CM, ESPESSURA DE 3,5CM, ITENS INCLUSOS: DOBRADIÇAS, MONTAGEM E INSTALAÇÃO DE BATENTE, FECHADURA COM EXECUÇÃO DO FURO - FORNECIMENTO E INSTALAÇÃO. AF_10/2025</v>
          </cell>
          <cell r="D3712" t="str">
            <v>UN</v>
          </cell>
          <cell r="E3712">
            <v>1211.31</v>
          </cell>
          <cell r="F3712">
            <v>0</v>
          </cell>
        </row>
        <row r="3713">
          <cell r="B3713">
            <v>91326</v>
          </cell>
          <cell r="C3713" t="str">
            <v>KIT DE PORTA DE MADEIRA PARA VERNIZ, SEMI-OCA (LEVE OU MÉDIA), PADRÃO POPULAR, 80X210CM, ESPESSURA DE 3,5CM, ITENS INCLUSOS: DOBRADIÇAS, MONTAGEM E INSTALAÇÃO DO BATENTE, SEM FECHADURA - FORNECIMENTO E INSTALAÇÃO. AF_10/2025</v>
          </cell>
          <cell r="D3713" t="str">
            <v>UN</v>
          </cell>
          <cell r="E3713">
            <v>1066.8399999999999</v>
          </cell>
          <cell r="F3713">
            <v>0</v>
          </cell>
        </row>
        <row r="3714">
          <cell r="B3714">
            <v>91327</v>
          </cell>
          <cell r="C3714" t="str">
            <v>KIT DE PORTA DE MADEIRA PARA VERNIZ, SEMI-OCA (LEVE OU MÉDIA), PADRÃO POPULAR, 90X210CM, ESPESSURA DE 3,5CM, ITENS INCLUSOS: DOBRADIÇAS, MONTAGEM E INSTALAÇÃO DO BATENTE, SEM FECHADURA - FORNECIMENTO E INSTALAÇÃO. AF_10/2025</v>
          </cell>
          <cell r="D3714" t="str">
            <v>UN</v>
          </cell>
          <cell r="E3714">
            <v>1120.17</v>
          </cell>
          <cell r="F3714">
            <v>0</v>
          </cell>
        </row>
        <row r="3715">
          <cell r="B3715">
            <v>100686</v>
          </cell>
          <cell r="C3715" t="str">
            <v>KIT DE PORTA DE MADEIRA PARA VERNIZ, SEMI-OCA (LEVE OU MÉDIA), PADRÃO POPULAR, 90X210CM, ESPESSURA DE 3CM, ITENS INCLUSOS: DOBRADIÇAS, MONTAGEM E INSTALAÇÃO DE BATENTE, FECHADURA COM EXECUÇÃO DO FURO - FORNECIMENTO E INSTALAÇÃO. AF_10/2025</v>
          </cell>
          <cell r="D3715" t="str">
            <v>UN</v>
          </cell>
          <cell r="E3715">
            <v>1264.6400000000001</v>
          </cell>
          <cell r="F3715">
            <v>0</v>
          </cell>
        </row>
        <row r="3716">
          <cell r="B3716">
            <v>100693</v>
          </cell>
          <cell r="C3716" t="str">
            <v>KIT DE PORTA DE MADEIRA TIPO MEXICANA, MACIÇA (PESADA OU SUPERPESADA), PADRÃO MÉDIO, 80X210CM, ESPESSURA DE 3,5CM, ITENS INCLUSOS: DOBRADIÇAS, MONTAGEM E INSTALAÇÃO DE BATENTE, FECHADURA COM EXECUÇÃO DO FURO - FORNECIMENTO E INSTALAÇÃO. AF_10/2025</v>
          </cell>
          <cell r="D3716" t="str">
            <v>UN</v>
          </cell>
          <cell r="E3716">
            <v>2285.62</v>
          </cell>
          <cell r="F3716">
            <v>0</v>
          </cell>
        </row>
        <row r="3717">
          <cell r="B3717">
            <v>91336</v>
          </cell>
          <cell r="C3717" t="str">
            <v>KIT DE PORTA DE MADEIRA TIPO MEXICANA, MACIÇA (PESADA OU SUPERPESADA), PADRÃO MÉDIO, 80X210CM, ESPESSURA DE 3CM, ITENS INCLUSOS: DOBRADIÇAS, MONTAGEM E INSTALAÇÃO DO BATENTE, SEM FECHADURA - FORNECIMENTO E INSTALAÇÃO. AF_10/2025</v>
          </cell>
          <cell r="D3717" t="str">
            <v>UN</v>
          </cell>
          <cell r="E3717">
            <v>2062.38</v>
          </cell>
          <cell r="F3717">
            <v>0</v>
          </cell>
        </row>
        <row r="3718">
          <cell r="B3718">
            <v>100694</v>
          </cell>
          <cell r="C3718" t="str">
            <v>KIT DE PORTA DE MADEIRA TIPO MEXICANA, MACIÇA (PESADA OU SUPERPESADA), PADRÃO POPULAR, 80X210CM, ESPESSURA DE 3,5CM, ITENS INCLUSOS: DOBRADIÇAS, MONTAGEM E INSTALAÇÃO DE BATENTE, FECHADURA COM EXECUÇÃO DO FURO - FORNECIMENTO E INSTALAÇÃO. AF_10/2025</v>
          </cell>
          <cell r="D3718" t="str">
            <v>UN</v>
          </cell>
          <cell r="E3718">
            <v>2052.46</v>
          </cell>
          <cell r="F3718">
            <v>0</v>
          </cell>
        </row>
        <row r="3719">
          <cell r="B3719">
            <v>91337</v>
          </cell>
          <cell r="C3719" t="str">
            <v>KIT DE PORTA DE MADEIRA TIPO MEXICANA, MACIÇA (PESADA OU SUPERPESADA), PADRÃO POPULAR, 80X210CM, ESPESSURA DE 3CM, ITENS INCLUSOS: DOBRADIÇAS, MONTAGEM E INSTALAÇÃO DO BATENTE, SEM FECHADURA - FORNECIMENTO E INSTALAÇÃO. AF_10/2025</v>
          </cell>
          <cell r="D3719" t="str">
            <v>UN</v>
          </cell>
          <cell r="E3719">
            <v>1907.99</v>
          </cell>
          <cell r="F3719">
            <v>0</v>
          </cell>
        </row>
        <row r="3720">
          <cell r="B3720">
            <v>100691</v>
          </cell>
          <cell r="C3720" t="str">
            <v>KIT DE PORTA DE MADEIRA TIPO VENEZIANA, 80X210CM (ESPESSURA DE 3CM), PADRÃO MÉDIO, ITENS INCLUSOS: DOBRADIÇAS, MONTAGEM E INSTALAÇÃO DE BATENTE, FECHADURA COM EXECUÇÃO DO FURO - FORNECIMENTO E INSTALAÇÃO. AF_10/2025</v>
          </cell>
          <cell r="D3720" t="str">
            <v>UN</v>
          </cell>
          <cell r="E3720">
            <v>1912.8</v>
          </cell>
          <cell r="F3720">
            <v>0</v>
          </cell>
        </row>
        <row r="3721">
          <cell r="B3721">
            <v>100692</v>
          </cell>
          <cell r="C3721" t="str">
            <v>KIT DE PORTA DE MADEIRA TIPO VENEZIANA, 80X210CM (ESPESSURA DE 3CM), PADRÃO POPULAR, ITENS INCLUSOS: DOBRADIÇAS, MONTAGEM E INSTALAÇÃO DE BATENTE, FECHADURA COM EXECUÇÃO DO FURO - FORNECIMENTO E INSTALAÇÃO. AF_10/2025</v>
          </cell>
          <cell r="D3721" t="str">
            <v>UN</v>
          </cell>
          <cell r="E3721">
            <v>1679.64</v>
          </cell>
          <cell r="F3721">
            <v>0</v>
          </cell>
        </row>
        <row r="3722">
          <cell r="B3722">
            <v>91334</v>
          </cell>
          <cell r="C3722" t="str">
            <v>KIT DE PORTA DE MADEIRA TIPO VENEZIANA, PADRÃO MÉDIO, 80X210CM, ESPESSURA DE 3CM, ITENS INCLUSOS: DOBRADIÇAS, MONTAGEM E INSTALAÇÃO DO BATENTE, SEM FECHADURA - FORNECIMENTO E INSTALAÇÃO. AF_10/2025</v>
          </cell>
          <cell r="D3722" t="str">
            <v>UN</v>
          </cell>
          <cell r="E3722">
            <v>1689.56</v>
          </cell>
          <cell r="F3722">
            <v>0</v>
          </cell>
        </row>
        <row r="3723">
          <cell r="B3723">
            <v>91335</v>
          </cell>
          <cell r="C3723" t="str">
            <v>KIT DE PORTA DE MADEIRA TIPO VENEZIANA, PADRÃO POPULAR, 80X210CM, ESPESSURA DE 3CM, ITENS INCLUSOS: DOBRADIÇAS, MONTAGEM E INSTALAÇÃO DO BATENTE, SEM FECHADURA - FORNECIMENTO E INSTALAÇÃO. AF_10/2025</v>
          </cell>
          <cell r="D3723" t="str">
            <v>UN</v>
          </cell>
          <cell r="E3723">
            <v>1535.17</v>
          </cell>
          <cell r="F3723">
            <v>0</v>
          </cell>
        </row>
        <row r="3724">
          <cell r="B3724">
            <v>90788</v>
          </cell>
          <cell r="C3724" t="str">
            <v>KIT DE PORTA-PRONTA DE MADEIRA EM ACABAMENTO MELAMÍNICO BRANCO, FOLHA LEVE OU MÉDIA, 60X210CM, EXCLUSIVE FECHADURA, FIXAÇÃO COM PREENCHIMENTO PARCIAL DE ESPUMA EXPANSIVA - FORNECIMENTO E INSTALAÇÃO. AF_10/2025</v>
          </cell>
          <cell r="D3724" t="str">
            <v>UN</v>
          </cell>
          <cell r="E3724">
            <v>909.21</v>
          </cell>
          <cell r="F3724">
            <v>0</v>
          </cell>
        </row>
        <row r="3725">
          <cell r="B3725">
            <v>90789</v>
          </cell>
          <cell r="C3725" t="str">
            <v>KIT DE PORTA-PRONTA DE MADEIRA EM ACABAMENTO MELAMÍNICO BRANCO, FOLHA LEVE OU MÉDIA, 70X210CM, EXCLUSIVE FECHADURA, FIXAÇÃO COM PREENCHIMENTO PARCIAL DE ESPUMA EXPANSIVA - FORNECIMENTO E INSTALAÇÃO. AF_10/2025</v>
          </cell>
          <cell r="D3725" t="str">
            <v>UN</v>
          </cell>
          <cell r="E3725">
            <v>910.84</v>
          </cell>
          <cell r="F3725">
            <v>0</v>
          </cell>
        </row>
        <row r="3726">
          <cell r="B3726">
            <v>90790</v>
          </cell>
          <cell r="C3726" t="str">
            <v>KIT DE PORTA-PRONTA DE MADEIRA EM ACABAMENTO MELAMÍNICO BRANCO, FOLHA LEVE OU MÉDIA, 80X210CM, EXCLUSIVE FECHADURA, FIXAÇÃO COM PREENCHIMENTO PARCIAL DE ESPUMA EXPANSIVA - FORNECIMENTO E INSTALAÇÃO. AF_10/2025</v>
          </cell>
          <cell r="D3726" t="str">
            <v>UN</v>
          </cell>
          <cell r="E3726">
            <v>938.92</v>
          </cell>
          <cell r="F3726">
            <v>0</v>
          </cell>
        </row>
        <row r="3727">
          <cell r="B3727">
            <v>100675</v>
          </cell>
          <cell r="C3727" t="str">
            <v>KIT DE PORTA-PRONTA DE MADEIRA EM ACABAMENTO MELAMÍNICO BRANCO, FOLHA LEVE OU MÉDIA, 90X210, EXCLUSIVE FECHADURA, FIXAÇÃO COM PREENCHIMENTO TOTAL DE ESPUMA EXPANSIVA - FORNECIMENTO E INSTALAÇÃO. AF_10/2025</v>
          </cell>
          <cell r="D3727" t="str">
            <v>UN</v>
          </cell>
          <cell r="E3727">
            <v>1015.67</v>
          </cell>
          <cell r="F3727">
            <v>0</v>
          </cell>
        </row>
        <row r="3728">
          <cell r="B3728">
            <v>90794</v>
          </cell>
          <cell r="C3728" t="str">
            <v>KIT DE PORTA-PRONTA DE MADEIRA EM ACABAMENTO MELAMÍNICO BRANCO, FOLHA LEVE OU MÉDIA, E BATENTE METÁLICO, 60X210CM, FIXAÇÃO COM ARGAMASSA - FORNECIMENTO E INSTALAÇÃO. AF_10/2025</v>
          </cell>
          <cell r="D3728" t="str">
            <v>UN</v>
          </cell>
          <cell r="E3728">
            <v>810.51</v>
          </cell>
          <cell r="F3728">
            <v>0</v>
          </cell>
        </row>
        <row r="3729">
          <cell r="B3729">
            <v>90796</v>
          </cell>
          <cell r="C3729" t="str">
            <v>KIT DE PORTA-PRONTA DE MADEIRA EM ACABAMENTO MELAMÍNICO BRANCO, FOLHA LEVE OU MÉDIA, E BATENTE METÁLICO, 80X210CM, FIXAÇÃO COM ARGAMASSA - FORNECIMENTO E INSTALAÇÃO. AF_10/2025</v>
          </cell>
          <cell r="D3729" t="str">
            <v>UN</v>
          </cell>
          <cell r="E3729">
            <v>822.4</v>
          </cell>
          <cell r="F3729">
            <v>0</v>
          </cell>
        </row>
        <row r="3730">
          <cell r="B3730">
            <v>90797</v>
          </cell>
          <cell r="C3730" t="str">
            <v>KIT DE PORTA-PRONTA DE MADEIRA EM ACABAMENTO MELAMÍNICO BRANCO, FOLHA LEVE OU MÉDIA, E BATENTE METÁLICO, 90X210CM, FIXAÇÃO COM ARGAMASSA - FORNECIMENTO E INSTALAÇÃO. AF_10/2025</v>
          </cell>
          <cell r="D3730" t="str">
            <v>UN</v>
          </cell>
          <cell r="E3730">
            <v>828.35</v>
          </cell>
          <cell r="F3730">
            <v>0</v>
          </cell>
        </row>
        <row r="3731">
          <cell r="B3731">
            <v>90791</v>
          </cell>
          <cell r="C3731" t="str">
            <v>KIT DE PORTA-PRONTA DE MADEIRA EM ACABAMENTO MELAMÍNICO BRANCO, FOLHA PESADA OU SUPERPESADA, 80X210CM, FIXAÇÃO COM PREENCHIMENTO PARCIAL DE ESPUMA EXPANSIVA - FORNECIMENTO E INSTALAÇÃO. AF_10/2025</v>
          </cell>
          <cell r="D3731" t="str">
            <v>UN</v>
          </cell>
          <cell r="E3731">
            <v>1104.1400000000001</v>
          </cell>
          <cell r="F3731">
            <v>0</v>
          </cell>
        </row>
        <row r="3732">
          <cell r="B3732">
            <v>90793</v>
          </cell>
          <cell r="C3732" t="str">
            <v>KIT DE PORTA-PRONTA DE MADEIRA EM ACABAMENTO MELAMÍNICO BRANCO, FOLHA PESADA OU SUPERPESADA, 90X210CM, FIXAÇÃO COM PREENCHIMENTO TOTAL DE ESPUMA EXPANSIVA - FORNECIMENTO E INSTALAÇÃO. AF_10/2025</v>
          </cell>
          <cell r="D3732" t="str">
            <v>UN</v>
          </cell>
          <cell r="E3732">
            <v>1155.31</v>
          </cell>
          <cell r="F3732">
            <v>0</v>
          </cell>
        </row>
        <row r="3733">
          <cell r="B3733">
            <v>90798</v>
          </cell>
          <cell r="C3733" t="str">
            <v>KIT DE PORTA-PRONTA DE MADEIRA EM ACABAMENTO MELAMÍNICO BRANCO, FOLHA PESADA OU SUPERPESADA, E BATENTE METÁLICO, 80X210CM, FIXAÇÃO COM ARGAMASSA - FORNECIMENTO E INSTALAÇÃO. AF_10/2025</v>
          </cell>
          <cell r="D3733" t="str">
            <v>UN</v>
          </cell>
          <cell r="E3733">
            <v>1194.99</v>
          </cell>
          <cell r="F3733">
            <v>0</v>
          </cell>
        </row>
        <row r="3734">
          <cell r="B3734">
            <v>90799</v>
          </cell>
          <cell r="C3734" t="str">
            <v>KIT DE PORTA-PRONTA DE MADEIRA EM ACABAMENTO MELAMÍNICO BRANCO, FOLHA PESADA OU SUPERPESADA, E BATENTE METÁLICO, 90X210CM, FIXAÇÃO COM ARGAMASSA - FORNECIMENTO E INSTALAÇÃO. AF_10/2025</v>
          </cell>
          <cell r="D3734" t="str">
            <v>UN</v>
          </cell>
          <cell r="E3734">
            <v>1230.03</v>
          </cell>
          <cell r="F3734">
            <v>0</v>
          </cell>
        </row>
        <row r="3735">
          <cell r="B3735">
            <v>100704</v>
          </cell>
          <cell r="C3735" t="str">
            <v>PORTA CADEADO ZINCADO OXIDADO PRETO COM CADEADO DE AÇO INOX, LARGURA DE *50* MM. AF_10/2025</v>
          </cell>
          <cell r="D3735" t="str">
            <v>UN</v>
          </cell>
          <cell r="E3735">
            <v>83.13</v>
          </cell>
          <cell r="F3735">
            <v>0</v>
          </cell>
        </row>
        <row r="3736">
          <cell r="B3736">
            <v>106141</v>
          </cell>
          <cell r="C3736" t="str">
            <v>PORTA CORTA-FOGO 160X210X4CM COM BARRA ANTI PÂNICO - FORNECIMENTO E INSTALAÇÃO. AF_10/2025</v>
          </cell>
          <cell r="D3736" t="str">
            <v>UN</v>
          </cell>
          <cell r="E3736">
            <v>0</v>
          </cell>
        </row>
        <row r="3737">
          <cell r="B3737">
            <v>106139</v>
          </cell>
          <cell r="C3737" t="str">
            <v>PORTA CORTA-FOGO 80X210X4CM - FORNECIMENTO E INSTALAÇÃO. AF_10/2025</v>
          </cell>
          <cell r="D3737" t="str">
            <v>UN</v>
          </cell>
          <cell r="E3737">
            <v>0</v>
          </cell>
        </row>
        <row r="3738">
          <cell r="B3738">
            <v>106140</v>
          </cell>
          <cell r="C3738" t="str">
            <v>PORTA CORTA-FOGO 80X210X4CM COM BARRA ANTI PÂNICO - FORNECIMENTO E INSTALAÇÃO. AF_10/2025</v>
          </cell>
          <cell r="D3738" t="str">
            <v>UN</v>
          </cell>
          <cell r="E3738">
            <v>0</v>
          </cell>
        </row>
        <row r="3739">
          <cell r="B3739">
            <v>90838</v>
          </cell>
          <cell r="C3739" t="str">
            <v>PORTA CORTA-FOGO 90X210X4CM - FORNECIMENTO E INSTALAÇÃO. AF_10/2025</v>
          </cell>
          <cell r="D3739" t="str">
            <v>UN</v>
          </cell>
          <cell r="E3739">
            <v>1904.16</v>
          </cell>
          <cell r="F3739">
            <v>0</v>
          </cell>
        </row>
        <row r="3740">
          <cell r="B3740">
            <v>94805</v>
          </cell>
          <cell r="C3740" t="str">
            <v>PORTA DE ALUMÍNIO DE ABRIR PARA VIDRO SEM GUARNIÇÃO, 87X210CM, FIXAÇÃO COM PARAFUSOS, INCLUSIVE VIDROS - FORNECIMENTO E INSTALAÇÃO. AF_10/2025</v>
          </cell>
          <cell r="D3740" t="str">
            <v>UN</v>
          </cell>
          <cell r="E3740">
            <v>907.22</v>
          </cell>
          <cell r="F3740">
            <v>0</v>
          </cell>
        </row>
        <row r="3741">
          <cell r="B3741">
            <v>106145</v>
          </cell>
          <cell r="C3741" t="str">
            <v>PORTA DE ALUMÍNIO DE ABRIR, P/ VIDRO, C/ GUARNIÇÃO, 87X210CM, FIXAÇÃO COM ARGAMASSA. AF_10/2025</v>
          </cell>
          <cell r="D3741" t="str">
            <v>UN</v>
          </cell>
          <cell r="E3741">
            <v>919.13</v>
          </cell>
          <cell r="F3741">
            <v>0</v>
          </cell>
        </row>
        <row r="3742">
          <cell r="B3742">
            <v>106146</v>
          </cell>
          <cell r="C3742" t="str">
            <v>PORTA DE AÇO DE ABRIR, P/ VIDRO, C/ GUARNIÇÃO, 87X210CM, FIXAÇÃO COM ARGAMASSA. AF_10/2025</v>
          </cell>
          <cell r="D3742" t="str">
            <v>UN</v>
          </cell>
          <cell r="E3742">
            <v>878.05</v>
          </cell>
          <cell r="F3742">
            <v>0</v>
          </cell>
        </row>
        <row r="3743">
          <cell r="B3743">
            <v>106148</v>
          </cell>
          <cell r="C3743" t="str">
            <v>PORTA DE CORRER BRANCA PRIME 80 X 210 CM, COM KIT COMPLETA BRANCO PRIME, FORNECIMENTO E INSTALAÇÃO. AF_10/2025</v>
          </cell>
          <cell r="D3743" t="str">
            <v>UN</v>
          </cell>
          <cell r="E3743">
            <v>0</v>
          </cell>
        </row>
        <row r="3744">
          <cell r="B3744">
            <v>100702</v>
          </cell>
          <cell r="C3744" t="str">
            <v>PORTA DE CORRER DE ALUMÍNIO, COM DUAS FOLHAS PARA VIDRO, INCLUSO VIDRO LISO INCOLOR, FECHADURA E PUXADOR, SEM ALIZAR. AF_10/2025</v>
          </cell>
          <cell r="D3744" t="str">
            <v>M2</v>
          </cell>
          <cell r="E3744">
            <v>508.45</v>
          </cell>
          <cell r="F3744">
            <v>0</v>
          </cell>
        </row>
        <row r="3745">
          <cell r="B3745">
            <v>100701</v>
          </cell>
          <cell r="C3745" t="str">
            <v>PORTA DE FERRO, DE ABRIR, TIPO GRADE COM CHAPA, COM GUARNIÇÕES. AF_10/2025</v>
          </cell>
          <cell r="D3745" t="str">
            <v>M2</v>
          </cell>
          <cell r="E3745">
            <v>778.78</v>
          </cell>
          <cell r="F3745">
            <v>0</v>
          </cell>
        </row>
        <row r="3746">
          <cell r="B3746">
            <v>100700</v>
          </cell>
          <cell r="C3746" t="str">
            <v>PORTA DE MADEIRA COMPENSADA LISA PARA PINTURA, 120X210X3,5CM, 2 FOLHAS, INCLUSO ADUELA 2A, ALIZAR 2A E DOBRADIÇAS. AF_10/2025</v>
          </cell>
          <cell r="D3746" t="str">
            <v>UN</v>
          </cell>
          <cell r="E3746">
            <v>1058.69</v>
          </cell>
          <cell r="F3746">
            <v>0</v>
          </cell>
        </row>
        <row r="3747">
          <cell r="B3747">
            <v>91295</v>
          </cell>
          <cell r="C3747" t="str">
            <v>PORTA DE MADEIRA FRISADA, SEMI-OCA (LEVE OU MÉDIA), 60X210CM, ESPESSURA DE 3CM, INCLUSO DOBRADIÇAS - FORNECIMENTO E INSTALAÇÃO. AF_10/2025</v>
          </cell>
          <cell r="D3747" t="str">
            <v>UN</v>
          </cell>
          <cell r="E3747">
            <v>421.16</v>
          </cell>
          <cell r="F3747">
            <v>0</v>
          </cell>
        </row>
        <row r="3748">
          <cell r="B3748">
            <v>91296</v>
          </cell>
          <cell r="C3748" t="str">
            <v>PORTA DE MADEIRA FRISADA, SEMI-OCA (LEVE OU MÉDIA), 70X210CM, ESPESSURA DE 3CM, INCLUSO DOBRADIÇAS - FORNECIMENTO E INSTALAÇÃO. AF_10/2025</v>
          </cell>
          <cell r="D3748" t="str">
            <v>UN</v>
          </cell>
          <cell r="E3748">
            <v>451.17</v>
          </cell>
          <cell r="F3748">
            <v>0</v>
          </cell>
        </row>
        <row r="3749">
          <cell r="B3749">
            <v>91297</v>
          </cell>
          <cell r="C3749" t="str">
            <v>PORTA DE MADEIRA FRISADA, SEMI-OCA (LEVE OU MÉDIA), 80X210CM, ESPESSURA DE 3,5CM, INCLUSO DOBRADIÇAS - FORNECIMENTO E INSTALAÇÃO. AF_10/2025</v>
          </cell>
          <cell r="D3749" t="str">
            <v>UN</v>
          </cell>
          <cell r="E3749">
            <v>494.48</v>
          </cell>
          <cell r="F3749">
            <v>0</v>
          </cell>
        </row>
        <row r="3750">
          <cell r="B3750">
            <v>90820</v>
          </cell>
          <cell r="C3750" t="str">
            <v>PORTA DE MADEIRA PARA PINTURA, SEMI-OCA (LEVE OU MÉDIA), 60X210CM, ESPESSURA DE 3,5CM, INCLUSO DOBRADIÇAS - FORNECIMENTO E INSTALAÇÃO. AF_10/2025</v>
          </cell>
          <cell r="D3750" t="str">
            <v>UN</v>
          </cell>
          <cell r="E3750">
            <v>398.34</v>
          </cell>
          <cell r="F3750">
            <v>0</v>
          </cell>
        </row>
        <row r="3751">
          <cell r="B3751">
            <v>90821</v>
          </cell>
          <cell r="C3751" t="str">
            <v>PORTA DE MADEIRA PARA PINTURA, SEMI-OCA (LEVE OU MÉDIA), 70X210CM, ESPESSURA DE 3,5CM, INCLUSO DOBRADIÇAS - FORNECIMENTO E INSTALAÇÃO. AF_10/2025</v>
          </cell>
          <cell r="D3751" t="str">
            <v>UN</v>
          </cell>
          <cell r="E3751">
            <v>408.77</v>
          </cell>
          <cell r="F3751">
            <v>0</v>
          </cell>
        </row>
        <row r="3752">
          <cell r="B3752">
            <v>90822</v>
          </cell>
          <cell r="C3752" t="str">
            <v>PORTA DE MADEIRA PARA PINTURA, SEMI-OCA (LEVE OU MÉDIA), 80X210CM, ESPESSURA DE 3,5CM, INCLUSO DOBRADIÇAS - FORNECIMENTO E INSTALAÇÃO. AF_10/2025</v>
          </cell>
          <cell r="D3752" t="str">
            <v>UN</v>
          </cell>
          <cell r="E3752">
            <v>437.77</v>
          </cell>
          <cell r="F3752">
            <v>0</v>
          </cell>
        </row>
        <row r="3753">
          <cell r="B3753">
            <v>90823</v>
          </cell>
          <cell r="C3753" t="str">
            <v>PORTA DE MADEIRA PARA PINTURA, SEMI-OCA (LEVE OU MÉDIA), 90X210CM, ESPESSURA DE 3,5CM, INCLUSO DOBRADIÇAS - FORNECIMENTO E INSTALAÇÃO. AF_10/2025</v>
          </cell>
          <cell r="D3753" t="str">
            <v>UN</v>
          </cell>
          <cell r="E3753">
            <v>527.87</v>
          </cell>
          <cell r="F3753">
            <v>0</v>
          </cell>
        </row>
        <row r="3754">
          <cell r="B3754">
            <v>90824</v>
          </cell>
          <cell r="C3754" t="str">
            <v>PORTA DE MADEIRA PARA PINTURA, SEMI-OCA (PESADA OU SUPERPESADA), 80X210CM, ESPESSURA DE 3,5CM, INCLUSO DOBRADIÇAS - FORNECIMENTO E INSTALAÇÃO. AF_10/2025</v>
          </cell>
          <cell r="D3754" t="str">
            <v>UN</v>
          </cell>
          <cell r="E3754">
            <v>739.84</v>
          </cell>
          <cell r="F3754">
            <v>0</v>
          </cell>
        </row>
        <row r="3755">
          <cell r="B3755">
            <v>91009</v>
          </cell>
          <cell r="C3755" t="str">
            <v>PORTA DE MADEIRA PARA VERNIZ, SEMI-OCA (LEVE OU MÉDIA), 60X210CM, ESPESSURA DE 3,5CM, INCLUSO DOBRADIÇAS - FORNECIMENTO E INSTALAÇÃO. AF_10/2025</v>
          </cell>
          <cell r="D3755" t="str">
            <v>UN</v>
          </cell>
          <cell r="E3755">
            <v>410.57</v>
          </cell>
          <cell r="F3755">
            <v>0</v>
          </cell>
        </row>
        <row r="3756">
          <cell r="B3756">
            <v>91010</v>
          </cell>
          <cell r="C3756" t="str">
            <v>PORTA DE MADEIRA PARA VERNIZ, SEMI-OCA (LEVE OU MÉDIA), 70X210CM, ESPESSURA DE 3,5CM, INCLUSO DOBRADIÇAS - FORNECIMENTO E INSTALAÇÃO. AF_10/2025</v>
          </cell>
          <cell r="D3756" t="str">
            <v>UN</v>
          </cell>
          <cell r="E3756">
            <v>421.58</v>
          </cell>
          <cell r="F3756">
            <v>0</v>
          </cell>
        </row>
        <row r="3757">
          <cell r="B3757">
            <v>91011</v>
          </cell>
          <cell r="C3757" t="str">
            <v>PORTA DE MADEIRA PARA VERNIZ, SEMI-OCA (LEVE OU MÉDIA), 80X210CM, ESPESSURA DE 3,5CM, INCLUSO DOBRADIÇAS - FORNECIMENTO E INSTALAÇÃO. AF_10/2025</v>
          </cell>
          <cell r="D3757" t="str">
            <v>UN</v>
          </cell>
          <cell r="E3757">
            <v>487.42</v>
          </cell>
          <cell r="F3757">
            <v>0</v>
          </cell>
        </row>
        <row r="3758">
          <cell r="B3758">
            <v>91012</v>
          </cell>
          <cell r="C3758" t="str">
            <v>PORTA DE MADEIRA PARA VERNIZ, SEMI-OCA (LEVE OU MÉDIA), 90X210CM, ESPESSURA DE 3,5CM, INCLUSO DOBRADIÇAS - FORNECIMENTO E INSTALAÇÃO. AF_10/2025</v>
          </cell>
          <cell r="D3758" t="str">
            <v>UN</v>
          </cell>
          <cell r="E3758">
            <v>538.71</v>
          </cell>
          <cell r="F3758">
            <v>0</v>
          </cell>
        </row>
        <row r="3759">
          <cell r="B3759">
            <v>91298</v>
          </cell>
          <cell r="C3759" t="str">
            <v>PORTA DE MADEIRA TIPO VENEZIANA, 80X210CM, ESPESSURA DE 3CM, INCLUSO DOBRADIÇAS - FORNECIMENTO E INSTALAÇÃO. AF_10/2025</v>
          </cell>
          <cell r="D3759" t="str">
            <v>UN</v>
          </cell>
          <cell r="E3759">
            <v>955.75</v>
          </cell>
          <cell r="F3759">
            <v>0</v>
          </cell>
        </row>
        <row r="3760">
          <cell r="B3760">
            <v>90825</v>
          </cell>
          <cell r="C3760" t="str">
            <v>PORTA DE MADEIRA, MACIÇA (PESADA OU SUPERPESADA), 90X210CM, ESPESSURA DE 3,5CM, INCLUSO DOBRADIÇAS - FORNECIMENTO E INSTALAÇÃO. AF_10/2025</v>
          </cell>
          <cell r="D3760" t="str">
            <v>UN</v>
          </cell>
          <cell r="E3760">
            <v>820.18</v>
          </cell>
          <cell r="F3760">
            <v>0</v>
          </cell>
        </row>
        <row r="3761">
          <cell r="B3761">
            <v>91299</v>
          </cell>
          <cell r="C3761" t="str">
            <v>PORTA DE MADEIRA, TIPO MEXICANA, MACIÇA (PESADA OU SUPERPESADA), 80X210CM, ESPESSURA DE 3,5CM, INCLUSO DOBRADIÇAS - FORNECIMENTO E INSTALAÇÃO. AF_10/2025</v>
          </cell>
          <cell r="D3761" t="str">
            <v>UN</v>
          </cell>
          <cell r="E3761">
            <v>1328.57</v>
          </cell>
          <cell r="F3761">
            <v>0</v>
          </cell>
        </row>
        <row r="3762">
          <cell r="B3762">
            <v>91341</v>
          </cell>
          <cell r="C3762" t="str">
            <v>PORTA EM ALUMÍNIO DE ABRIR TIPO VENEZIANA COM GUARNIÇÃO, FIXAÇÃO COM PARAFUSOS - FORNECIMENTO E INSTALAÇÃO. AF_10/2025</v>
          </cell>
          <cell r="D3762" t="str">
            <v>M2</v>
          </cell>
          <cell r="E3762">
            <v>714.12</v>
          </cell>
          <cell r="F3762">
            <v>0</v>
          </cell>
        </row>
        <row r="3763">
          <cell r="B3763">
            <v>94806</v>
          </cell>
          <cell r="C3763" t="str">
            <v>PORTA EM AÇO DE ABRIR PARA VIDRO SEM GUARNIÇÃO, 87X210CM, FIXAÇÃO COM PARAFUSOS, EXCLUSIVE VIDROS - FORNECIMENTO E INSTALAÇÃO. AF_10/2025</v>
          </cell>
          <cell r="D3763" t="str">
            <v>UN</v>
          </cell>
          <cell r="E3763">
            <v>873.23</v>
          </cell>
          <cell r="F3763">
            <v>0</v>
          </cell>
        </row>
        <row r="3764">
          <cell r="B3764">
            <v>94807</v>
          </cell>
          <cell r="C3764" t="str">
            <v>PORTA EM AÇO DE ABRIR TIPO VENEZIANA SEM GUARNIÇÃO, 87X210CM, FIXAÇÃO COM PARAFUSOS - FORNECIMENTO E INSTALAÇÃO. AF_10/2025</v>
          </cell>
          <cell r="D3764" t="str">
            <v>UN</v>
          </cell>
          <cell r="E3764">
            <v>797.21</v>
          </cell>
          <cell r="F3764">
            <v>0</v>
          </cell>
        </row>
        <row r="3765">
          <cell r="B3765">
            <v>106142</v>
          </cell>
          <cell r="C3765" t="str">
            <v>PORTA-PRONTA DE MADEIRA, FOLHA LEVE OU MÉDIA, 70X210CM, FIXAÇÃO COM PREENCHIMENTO TOTAL DE ESPUMA EXPANSIVA - FORNECIMENTO E INSTALAÇÃO. AF_10/2025</v>
          </cell>
          <cell r="D3765" t="str">
            <v>UN</v>
          </cell>
          <cell r="E3765">
            <v>927.96</v>
          </cell>
          <cell r="F3765">
            <v>0</v>
          </cell>
        </row>
        <row r="3766">
          <cell r="B3766">
            <v>106143</v>
          </cell>
          <cell r="C3766" t="str">
            <v>PORTA-PRONTA DE MADEIRA, FOLHA LEVE OU MÉDIA, 80X210CM, FIXAÇÃO COM PREENCHIMENTO TOTAL DE ESPUMA EXPANSIVA - FORNECIMENTO E INSTALAÇÃO. AF_10/2025</v>
          </cell>
          <cell r="D3766" t="str">
            <v>UN</v>
          </cell>
          <cell r="E3766">
            <v>956.37</v>
          </cell>
          <cell r="F3766">
            <v>0</v>
          </cell>
        </row>
        <row r="3767">
          <cell r="B3767">
            <v>106144</v>
          </cell>
          <cell r="C3767" t="str">
            <v>PORTA-PRONTA DE MADEIRA, FOLHA PESADA OU SUPERPESADA, 80X210CM, FIXAÇÃO COM PREENCHIMENTO TOTAL DE ESPUMA EXPANSIVA - FORNECIMENTO E INSTALAÇÃO. AF_10/2025</v>
          </cell>
          <cell r="D3767" t="str">
            <v>UN</v>
          </cell>
          <cell r="E3767">
            <v>1124.29</v>
          </cell>
          <cell r="F3767">
            <v>0</v>
          </cell>
        </row>
        <row r="3768">
          <cell r="B3768">
            <v>100703</v>
          </cell>
          <cell r="C3768" t="str">
            <v>PUXADOR CENTRAL PARA ESQUADRIA DE MADEIRA. AF_10/2025</v>
          </cell>
          <cell r="D3768" t="str">
            <v>UN</v>
          </cell>
          <cell r="E3768">
            <v>35.5</v>
          </cell>
          <cell r="F3768">
            <v>0</v>
          </cell>
        </row>
        <row r="3769">
          <cell r="B3769">
            <v>106147</v>
          </cell>
          <cell r="C3769" t="str">
            <v>RECOLOCACAO DE FOLHAS DE PORTA DE MADEIRA PESADA OU SUPER PESADA DE 90 CM DE LARGURA, CONSIDERANDO REAPROVEITAMENTO DO MATERIAL. AF_10/2025</v>
          </cell>
          <cell r="D3769" t="str">
            <v>UN</v>
          </cell>
          <cell r="E3769">
            <v>144.38999999999999</v>
          </cell>
          <cell r="F3769">
            <v>0</v>
          </cell>
        </row>
        <row r="3770">
          <cell r="B3770">
            <v>100695</v>
          </cell>
          <cell r="C3770" t="str">
            <v>RECOLOCAÇÃO DE FOLHAS DE PORTA DE MADEIRA LEVE OU MÉDIA DE 60CM DE LARGURA, CONSIDERANDO REAPROVEITAMENTO DO MATERIAL. AF_10/2025</v>
          </cell>
          <cell r="D3770" t="str">
            <v>UN</v>
          </cell>
          <cell r="E3770">
            <v>100.82</v>
          </cell>
          <cell r="F3770">
            <v>0</v>
          </cell>
        </row>
        <row r="3771">
          <cell r="B3771">
            <v>100696</v>
          </cell>
          <cell r="C3771" t="str">
            <v>RECOLOCAÇÃO DE FOLHAS DE PORTA DE MADEIRA LEVE OU MÉDIA DE 70CM DE LARGURA, CONSIDERANDO REAPROVEITAMENTO DO MATERIAL. AF_10/2025</v>
          </cell>
          <cell r="D3771" t="str">
            <v>UN</v>
          </cell>
          <cell r="E3771">
            <v>112.08</v>
          </cell>
          <cell r="F3771">
            <v>0</v>
          </cell>
        </row>
        <row r="3772">
          <cell r="B3772">
            <v>100697</v>
          </cell>
          <cell r="C3772" t="str">
            <v>RECOLOCAÇÃO DE FOLHAS DE PORTA DE MADEIRA LEVE OU MÉDIA DE 80CM DE LARGURA, CONSIDERANDO REAPROVEITAMENTO DO MATERIAL. AF_10/2025</v>
          </cell>
          <cell r="D3772" t="str">
            <v>UN</v>
          </cell>
          <cell r="E3772">
            <v>123.34</v>
          </cell>
          <cell r="F3772">
            <v>0</v>
          </cell>
        </row>
        <row r="3773">
          <cell r="B3773">
            <v>100698</v>
          </cell>
          <cell r="C3773" t="str">
            <v>RECOLOCAÇÃO DE FOLHAS DE PORTA DE MADEIRA LEVE OU MÉDIA DE 90CM DE LARGURA, CONSIDERANDO REAPROVEITAMENTO DO MATERIAL. AF_10/2025</v>
          </cell>
          <cell r="D3773" t="str">
            <v>UN</v>
          </cell>
          <cell r="E3773">
            <v>134.6</v>
          </cell>
          <cell r="F3773">
            <v>0</v>
          </cell>
        </row>
        <row r="3774">
          <cell r="B3774">
            <v>100699</v>
          </cell>
          <cell r="C3774" t="str">
            <v>RECOLOCAÇÃO DE FOLHAS DE PORTA DE MADEIRA PESADA OU SUPERPESADA DE 80CM DE LARGURA, CONSIDERANDO REAPROVEITAMENTO DO MATERIAL. AF_10/2025</v>
          </cell>
          <cell r="D3774" t="str">
            <v>UN</v>
          </cell>
          <cell r="E3774">
            <v>161.63999999999999</v>
          </cell>
          <cell r="F3774">
            <v>0</v>
          </cell>
        </row>
        <row r="3775">
          <cell r="B3775">
            <v>100705</v>
          </cell>
          <cell r="C3775" t="str">
            <v>TARJETA TIPO LIVRE/OCUPADO PARA PORTA DE BANHEIRO. AF_10/2025</v>
          </cell>
          <cell r="D3775" t="str">
            <v>UN</v>
          </cell>
          <cell r="E3775">
            <v>79.69</v>
          </cell>
          <cell r="F3775">
            <v>0</v>
          </cell>
        </row>
        <row r="3776">
          <cell r="B3776">
            <v>101173</v>
          </cell>
          <cell r="C3776" t="str">
            <v>ESTACA BROCA DE CONCRETO, DIÂMETRO DE 20CM, ESCAVAÇÃO MANUAL COM TRADO CONCHA, COM ARMADURA DE ARRANQUE. AF_05/2020</v>
          </cell>
          <cell r="D3776" t="str">
            <v>M</v>
          </cell>
          <cell r="E3776">
            <v>66.92</v>
          </cell>
          <cell r="F3776">
            <v>0</v>
          </cell>
        </row>
        <row r="3777">
          <cell r="B3777">
            <v>101174</v>
          </cell>
          <cell r="C3777" t="str">
            <v>ESTACA BROCA DE CONCRETO, DIÂMETRO DE 25CM, ESCAVAÇÃO MANUAL COM TRADO CONCHA, COM ARMADURA DE ARRANQUE. AF_05/2020</v>
          </cell>
          <cell r="D3777" t="str">
            <v>M</v>
          </cell>
          <cell r="E3777">
            <v>96.73</v>
          </cell>
          <cell r="F3777">
            <v>0</v>
          </cell>
        </row>
        <row r="3778">
          <cell r="B3778">
            <v>101175</v>
          </cell>
          <cell r="C3778" t="str">
            <v>ESTACA BROCA DE CONCRETO, DIÂMETRO DE 30CM, ESCAVAÇÃO MANUAL COM TRADO CONCHA, COM ARMADURA DE ARRANQUE. AF_05/2020</v>
          </cell>
          <cell r="D3778" t="str">
            <v>M</v>
          </cell>
          <cell r="E3778">
            <v>131.91999999999999</v>
          </cell>
          <cell r="F3778">
            <v>0</v>
          </cell>
        </row>
        <row r="3779">
          <cell r="B3779">
            <v>101176</v>
          </cell>
          <cell r="C3779" t="str">
            <v>ESTACA BROCA DE CONCRETO, DIÂMETRO DE 30CM, ESCAVAÇÃO MANUAL COM TRADO CONCHA, INTEIRAMENTE ARMADA. AF_05/2020</v>
          </cell>
          <cell r="D3779" t="str">
            <v>M</v>
          </cell>
          <cell r="E3779">
            <v>157.6</v>
          </cell>
          <cell r="F3779">
            <v>0</v>
          </cell>
        </row>
        <row r="3780">
          <cell r="B3780">
            <v>101183</v>
          </cell>
          <cell r="C3780" t="str">
            <v>ESTACA CIRCULAR ESCAVADA COM FLUIDO ESTABILIZANTE (ESTACÃO), DIÂMETRO DE 110CM (EXCLUSIVE MOBILIZAÇÃO E DESMOBILIZAÇÃO). AF_05/2020</v>
          </cell>
          <cell r="D3780" t="str">
            <v>M</v>
          </cell>
          <cell r="E3780">
            <v>0</v>
          </cell>
        </row>
        <row r="3781">
          <cell r="B3781">
            <v>101184</v>
          </cell>
          <cell r="C3781" t="str">
            <v>ESTACA CIRCULAR ESCAVADA COM FLUIDO ESTABILIZANTE (ESTACÃO), DIÂMETRO DE 140CM (EXCLUSIVE MOBILIZAÇÃO E DESMOBILIZAÇÃO). AF_05/2020</v>
          </cell>
          <cell r="D3781" t="str">
            <v>M</v>
          </cell>
          <cell r="E3781">
            <v>0</v>
          </cell>
        </row>
        <row r="3782">
          <cell r="B3782">
            <v>101182</v>
          </cell>
          <cell r="C3782" t="str">
            <v>ESTACA CIRCULAR ESCAVADA COM FLUIDO ESTABILIZANTE (ESTACÃO), DIÂMETRO DE 80CM (EXCLUSIVE MOBILIZAÇÃO E DESMOBILIZAÇÃO). AF_05/2020</v>
          </cell>
          <cell r="D3782" t="str">
            <v>M</v>
          </cell>
          <cell r="E3782">
            <v>0</v>
          </cell>
        </row>
        <row r="3783">
          <cell r="B3783">
            <v>101185</v>
          </cell>
          <cell r="C3783" t="str">
            <v>ESTACA RETANGULAR ESCAVADA COM FLUIDO ESTABILIZANTE (BARRETE), 40 X 250CM (EXCLUSIVE MOBILIZAÇÃO E DESMOBILIZAÇÃO). AF_05/2020</v>
          </cell>
          <cell r="D3783" t="str">
            <v>M</v>
          </cell>
          <cell r="E3783">
            <v>0</v>
          </cell>
        </row>
        <row r="3784">
          <cell r="B3784">
            <v>101186</v>
          </cell>
          <cell r="C3784" t="str">
            <v>ESTACA RETANGULAR ESCAVADA COM FLUIDO ESTABILIZANTE (BARRETE), 60 X 250CM (EXCLUSIVE MOBILIZAÇÃO E DESMOBILIZAÇÃO). AF_05/2020</v>
          </cell>
          <cell r="D3784" t="str">
            <v>M</v>
          </cell>
          <cell r="E3784">
            <v>0</v>
          </cell>
        </row>
        <row r="3785">
          <cell r="B3785">
            <v>101187</v>
          </cell>
          <cell r="C3785" t="str">
            <v>ESTACA RETANGULAR ESCAVADA COM FLUIDO ESTABILIZANTE (BARRETE), 80 X 250CM (EXCLUSIVE MOBILIZAÇÃO E DESMOBILIZAÇÃO). AF_05/2020</v>
          </cell>
          <cell r="D3785" t="str">
            <v>M</v>
          </cell>
          <cell r="E3785">
            <v>0</v>
          </cell>
        </row>
        <row r="3786">
          <cell r="B3786">
            <v>101177</v>
          </cell>
          <cell r="C3786" t="str">
            <v>ESTACA STRAUSS, DIÂMETRO DE 25CM, COM ARMADURA DE ARRANQUE (EXCLUSIVE MOBILIZAÇÃO E DESMOBILIZAÇÃO). AF_05/2020</v>
          </cell>
          <cell r="D3786" t="str">
            <v>M</v>
          </cell>
          <cell r="E3786">
            <v>0</v>
          </cell>
        </row>
        <row r="3787">
          <cell r="B3787">
            <v>101178</v>
          </cell>
          <cell r="C3787" t="str">
            <v>ESTACA STRAUSS, DIÂMETRO DE 32CM, COM ARMADURA DE ARRANQUE (EXCLUSIVE MOBILIZAÇÃO E DESMOBILIZAÇÃO). AF_05/2020</v>
          </cell>
          <cell r="D3787" t="str">
            <v>M</v>
          </cell>
          <cell r="E3787">
            <v>0</v>
          </cell>
        </row>
        <row r="3788">
          <cell r="B3788">
            <v>101180</v>
          </cell>
          <cell r="C3788" t="str">
            <v>ESTACA STRAUSS, DIÂMETRO DE 32CM, INTEIRAMENTE ARMADA (EXCLUSIVE MOBILIZAÇÃO E DESMOBILIZAÇÃO). AF_05/2020</v>
          </cell>
          <cell r="D3788" t="str">
            <v>M</v>
          </cell>
          <cell r="E3788">
            <v>0</v>
          </cell>
        </row>
        <row r="3789">
          <cell r="B3789">
            <v>101179</v>
          </cell>
          <cell r="C3789" t="str">
            <v>ESTACA STRAUSS, DIÂMETRO DE 38CM, COM ARMADURA DE ARRANQUE (EXCLUSIVE MOBILIZAÇÃO E DESMOBILIZAÇÃO). AF_05/2020</v>
          </cell>
          <cell r="D3789" t="str">
            <v>M</v>
          </cell>
          <cell r="E3789">
            <v>0</v>
          </cell>
        </row>
        <row r="3790">
          <cell r="B3790">
            <v>101181</v>
          </cell>
          <cell r="C3790" t="str">
            <v>ESTACA STRAUSS, DIÂMETRO DE 38CM, INTEIRAMENTE ARMADA (EXCLUSIVE MOBILIZAÇÃO E DESMOBILIZAÇÃO). AF_05/2020</v>
          </cell>
          <cell r="D3790" t="str">
            <v>M</v>
          </cell>
          <cell r="E3790">
            <v>0</v>
          </cell>
        </row>
        <row r="3791">
          <cell r="B3791">
            <v>100899</v>
          </cell>
          <cell r="C3791" t="str">
            <v>ESTACA ESCAVADA MECANICAMENTE, SEM FLUIDO ESTABILIZANTE, COM 25CM DE DIÂMETRO, CONCRETO LANÇADO MANUALMENTE (EXCLUSIVE MOBILIZAÇÃO E DESMOBILIZAÇÃO). AF_01/2020</v>
          </cell>
          <cell r="D3791" t="str">
            <v>M</v>
          </cell>
          <cell r="E3791">
            <v>95.31</v>
          </cell>
          <cell r="F3791">
            <v>0</v>
          </cell>
        </row>
        <row r="3792">
          <cell r="B3792">
            <v>100896</v>
          </cell>
          <cell r="C3792" t="str">
            <v>ESTACA ESCAVADA MECANICAMENTE, SEM FLUIDO ESTABILIZANTE, COM 25CM DE DIÂMETRO, CONCRETO LANÇADO POR CAMINHÃO BETONEIRA (EXCLUSIVE MOBILIZAÇÃO E DESMOBILIZAÇÃO). AF_01/2020</v>
          </cell>
          <cell r="D3792" t="str">
            <v>M</v>
          </cell>
          <cell r="E3792">
            <v>59.53</v>
          </cell>
          <cell r="F3792">
            <v>0</v>
          </cell>
        </row>
        <row r="3793">
          <cell r="B3793">
            <v>100897</v>
          </cell>
          <cell r="C3793" t="str">
            <v>ESTACA ESCAVADA MECANICAMENTE, SEM FLUIDO ESTABILIZANTE, COM 40CM DE DIÂMETRO, CONCRETO LANÇADO POR CAMINHÃO BETONEIRA (EXCLUSIVE MOBILIZAÇÃO E DESMOBILIZAÇÃO). AF_01/2020</v>
          </cell>
          <cell r="D3793" t="str">
            <v>M</v>
          </cell>
          <cell r="E3793">
            <v>112.04</v>
          </cell>
          <cell r="F3793">
            <v>0</v>
          </cell>
        </row>
        <row r="3794">
          <cell r="B3794">
            <v>100900</v>
          </cell>
          <cell r="C3794" t="str">
            <v>ESTACA ESCAVADA MECANICAMENTE, SEM FLUIDO ESTABILIZANTE, COM 60CM DE DIÂMETRO, CONCRETO LANÇADO POR BOMBA LANÇA (EXCLUSIVE BOMBEAMENTO, MOBILIZAÇÃO E DESMOBILIZAÇÃO). AF_01/2020</v>
          </cell>
          <cell r="D3794" t="str">
            <v>M</v>
          </cell>
          <cell r="E3794">
            <v>243.21</v>
          </cell>
          <cell r="F3794">
            <v>0</v>
          </cell>
        </row>
        <row r="3795">
          <cell r="B3795">
            <v>100898</v>
          </cell>
          <cell r="C3795" t="str">
            <v>ESTACA ESCAVADA MECANICAMENTE, SEM FLUIDO ESTABILIZANTE, COM 60CM DE DIÂMETRO, CONCRETO LANÇADO POR CAMINHÃO BETONEIRA (EXCLUSIVE MOBILIZAÇÃO E DESMOBILIZAÇÃO). AF_01/2020</v>
          </cell>
          <cell r="D3795" t="str">
            <v>M</v>
          </cell>
          <cell r="E3795">
            <v>210.36</v>
          </cell>
          <cell r="F3795">
            <v>0</v>
          </cell>
        </row>
        <row r="3796">
          <cell r="B3796">
            <v>100892</v>
          </cell>
          <cell r="C3796" t="str">
            <v>ESTACA METÁLICA PARA CONTENÇÃO, UTILIZANDO PERFIL LAMINADO W250X32,7 (EXCLUSIVE MOBILIZAÇÃO E DESMOBILIZAÇÃO). AF_01/2020</v>
          </cell>
          <cell r="D3796" t="str">
            <v>KG</v>
          </cell>
          <cell r="E3796">
            <v>12.84</v>
          </cell>
          <cell r="F3796">
            <v>0</v>
          </cell>
        </row>
        <row r="3797">
          <cell r="B3797">
            <v>100893</v>
          </cell>
          <cell r="C3797" t="str">
            <v>ESTACA METÁLICA PARA CONTENÇÃO, UTILIZANDO PERFIL LAMINADO W250X38,5 (EXCLUSIVE MOBILIZAÇÃO E DESMOBILIZAÇÃO). AF_01/2020</v>
          </cell>
          <cell r="D3797" t="str">
            <v>KG</v>
          </cell>
          <cell r="E3797">
            <v>12.58</v>
          </cell>
          <cell r="F3797">
            <v>0</v>
          </cell>
        </row>
        <row r="3798">
          <cell r="B3798">
            <v>100894</v>
          </cell>
          <cell r="C3798" t="str">
            <v>ESTACA METÁLICA PARA CONTENÇÃO, UTILIZANDO PERFIL LAMINADO W250X44,8 (EXCLUSIVE MOBILIZAÇÃO E DESMOBILIZAÇÃO). AF_01/2020</v>
          </cell>
          <cell r="D3798" t="str">
            <v>KG</v>
          </cell>
          <cell r="E3798">
            <v>12.45</v>
          </cell>
          <cell r="F3798">
            <v>0</v>
          </cell>
        </row>
        <row r="3799">
          <cell r="B3799">
            <v>100889</v>
          </cell>
          <cell r="C3799" t="str">
            <v>ESTACA METÁLICA PARA FUNDAÇÃO, UTILIZANDO PERFIL LAMINADO HP250X62 (EXCLUSIVE MOBILIZAÇÃO E DESMOBILIZAÇÃO). AF_01/2020</v>
          </cell>
          <cell r="D3799" t="str">
            <v>KG</v>
          </cell>
          <cell r="E3799">
            <v>12.23</v>
          </cell>
          <cell r="F3799">
            <v>0</v>
          </cell>
        </row>
        <row r="3800">
          <cell r="B3800">
            <v>100891</v>
          </cell>
          <cell r="C3800" t="str">
            <v>ESTACA METÁLICA PARA FUNDAÇÃO, UTILIZANDO PERFIL LAMINADO HP310X125 (EXCLUSIVE MOBILIZAÇÃO E DESMOBILIZAÇÃO). AF_01/2020</v>
          </cell>
          <cell r="D3800" t="str">
            <v>KG</v>
          </cell>
          <cell r="E3800">
            <v>0</v>
          </cell>
        </row>
        <row r="3801">
          <cell r="B3801">
            <v>100890</v>
          </cell>
          <cell r="C3801" t="str">
            <v>ESTACA METÁLICA PARA FUNDAÇÃO, UTILIZANDO PERFIL LAMINADO HP310X79 (EXCLUSIVE MOBILIZAÇÃO E DESMOBILIZAÇÃO). AF_01/2020</v>
          </cell>
          <cell r="D3801" t="str">
            <v>KG</v>
          </cell>
          <cell r="E3801">
            <v>12.01</v>
          </cell>
          <cell r="F3801">
            <v>0</v>
          </cell>
        </row>
        <row r="3802">
          <cell r="B3802">
            <v>100658</v>
          </cell>
          <cell r="C3802" t="str">
            <v>ESTACA PRÉ-MOLDADA DE CONCRETO CENTRIFUGADO, SEÇÃO CIRCULAR, CAPACIDADE DE 100 TONELADAS, INCLUSO EMENDA (EXCLUSIVE MOBILIZAÇÃO E DESMOBILIZAÇÃO). AF_12/2019</v>
          </cell>
          <cell r="D3802" t="str">
            <v>M</v>
          </cell>
          <cell r="E3802">
            <v>378.71</v>
          </cell>
          <cell r="F3802">
            <v>0</v>
          </cell>
        </row>
        <row r="3803">
          <cell r="B3803">
            <v>100657</v>
          </cell>
          <cell r="C3803" t="str">
            <v>ESTACA PRÉ-MOLDADA DE CONCRETO SEÇÃO QUADRADA, CAPACIDADE DE 50 TONELADAS, INCLUSO EMENDA (EXCLUSIVE MOBILIZAÇÃO E DESMOBILIZAÇÃO). AF_12/2019</v>
          </cell>
          <cell r="D3803" t="str">
            <v>M</v>
          </cell>
          <cell r="E3803">
            <v>166.16</v>
          </cell>
          <cell r="F3803">
            <v>0</v>
          </cell>
        </row>
        <row r="3804">
          <cell r="B3804">
            <v>100656</v>
          </cell>
          <cell r="C3804" t="str">
            <v>ESTACA PRÉ-MOLDADA DE CONCRETO, SEÇÃO QUADRADA, CAPACIDADE DE 25 TONELADAS, INCLUSO EMENDA (EXCLUSIVE MOBILIZAÇÃO E DESMOBILIZAÇÃO). AF_12/2019</v>
          </cell>
          <cell r="D3804" t="str">
            <v>M</v>
          </cell>
          <cell r="E3804">
            <v>129.47999999999999</v>
          </cell>
          <cell r="F3804">
            <v>0</v>
          </cell>
        </row>
        <row r="3805">
          <cell r="B3805">
            <v>102649</v>
          </cell>
          <cell r="C3805" t="str">
            <v>ESTACA RAIZ, DIÂMETRO DE 20 CM, PERFURADA EM ROCHA (EXCLUSIVE MOBILIZAÇÃO E DESMOBILIZAÇÃO). AF_03/2020</v>
          </cell>
          <cell r="D3805" t="str">
            <v>M</v>
          </cell>
          <cell r="E3805">
            <v>372.57</v>
          </cell>
          <cell r="F3805">
            <v>0</v>
          </cell>
        </row>
        <row r="3806">
          <cell r="B3806">
            <v>102645</v>
          </cell>
          <cell r="C3806" t="str">
            <v>ESTACA RAIZ, DIÂMETRO DE 20 CM, SEM PRESENÇA DE ROCHA (EXCLUSIVE MOBILIZAÇÃO E DESMOBILIZAÇÃO). AF_03/2020</v>
          </cell>
          <cell r="D3806" t="str">
            <v>M</v>
          </cell>
          <cell r="E3806">
            <v>246.2</v>
          </cell>
          <cell r="F3806">
            <v>0</v>
          </cell>
        </row>
        <row r="3807">
          <cell r="B3807">
            <v>102650</v>
          </cell>
          <cell r="C3807" t="str">
            <v>ESTACA RAIZ, DIÂMETRO DE 31 CM, PERFURADA EM ROCHA (EXCLUSIVE MOBILIZAÇÃO E DESMOBILIZAÇÃO). AF_03/2020</v>
          </cell>
          <cell r="D3807" t="str">
            <v>M</v>
          </cell>
          <cell r="E3807">
            <v>526.51</v>
          </cell>
          <cell r="F3807">
            <v>0</v>
          </cell>
        </row>
        <row r="3808">
          <cell r="B3808">
            <v>102646</v>
          </cell>
          <cell r="C3808" t="str">
            <v>ESTACA RAIZ, DIÂMETRO DE 31 CM, SEM PRESENÇA DE ROCHA (EXCLUSIVE MOBILIZAÇÃO E DESMOBILIZAÇÃO). AF_03/2020</v>
          </cell>
          <cell r="D3808" t="str">
            <v>M</v>
          </cell>
          <cell r="E3808">
            <v>368.47</v>
          </cell>
          <cell r="F3808">
            <v>0</v>
          </cell>
        </row>
        <row r="3809">
          <cell r="B3809">
            <v>102651</v>
          </cell>
          <cell r="C3809" t="str">
            <v>ESTACA RAIZ, DIÂMETRO DE 40 CM, PERFURADA EM ROCHA (EXCLUSIVE MOBILIZAÇÃO E DESMOBILIZAÇÃO). AF_03/2020</v>
          </cell>
          <cell r="D3809" t="str">
            <v>M</v>
          </cell>
          <cell r="E3809">
            <v>681.97</v>
          </cell>
          <cell r="F3809">
            <v>0</v>
          </cell>
        </row>
        <row r="3810">
          <cell r="B3810">
            <v>102647</v>
          </cell>
          <cell r="C3810" t="str">
            <v>ESTACA RAIZ, DIÂMETRO DE 40 CM, SEM PRESENÇA DE ROCHA (EXCLUSIVE MOBILIZAÇÃO E DESMOBILIZAÇÃO). AF_03/2020</v>
          </cell>
          <cell r="D3810" t="str">
            <v>M</v>
          </cell>
          <cell r="E3810">
            <v>483.27</v>
          </cell>
          <cell r="F3810">
            <v>0</v>
          </cell>
        </row>
        <row r="3811">
          <cell r="B3811">
            <v>102652</v>
          </cell>
          <cell r="C3811" t="str">
            <v>ESTACA RAIZ, DIÂMETRO DE 45 CM, PERFURADA EM ROCHA (EXCLUSIVE MOBILIZAÇÃO E DESMOBILIZAÇÃO). AF_03/2020</v>
          </cell>
          <cell r="D3811" t="str">
            <v>M</v>
          </cell>
          <cell r="E3811">
            <v>865.6</v>
          </cell>
          <cell r="F3811">
            <v>0</v>
          </cell>
        </row>
        <row r="3812">
          <cell r="B3812">
            <v>102648</v>
          </cell>
          <cell r="C3812" t="str">
            <v>ESTACA RAIZ, DIÂMETRO DE 45 CM, SEM PRESENÇA DE ROCHA (EXCLUSIVE MOBILIZAÇÃO E DESMOBILIZAÇÃO). AF_03/2020</v>
          </cell>
          <cell r="D3812" t="str">
            <v>M</v>
          </cell>
          <cell r="E3812">
            <v>632.70000000000005</v>
          </cell>
          <cell r="F3812">
            <v>0</v>
          </cell>
        </row>
        <row r="3813">
          <cell r="B3813">
            <v>100651</v>
          </cell>
          <cell r="C3813" t="str">
            <v>ESTACA HÉLICE CONTÍNUA, DIÂMETRO DE 30 CM, INCLUSO CONCRETO FCK=30MPA E ARMADURA MÍNIMA (EXCLUSIVE BOMBEAMENTO, MOBILIZAÇÃO E DESMOBILIZAÇÃO). AF_12/2019</v>
          </cell>
          <cell r="D3813" t="str">
            <v>M</v>
          </cell>
          <cell r="E3813">
            <v>134.38</v>
          </cell>
          <cell r="F3813">
            <v>0</v>
          </cell>
        </row>
        <row r="3814">
          <cell r="B3814">
            <v>100652</v>
          </cell>
          <cell r="C3814" t="str">
            <v>ESTACA HÉLICE CONTÍNUA, DIÂMETRO DE 50 CM, INCLUSO CONCRETO FCK=30MPA E ARMADURA MÍNIMA (EXCLUSIVE BOMBEAMENTO, MOBILIZAÇÃO E DESMOBILIZAÇÃO). AF_12/2019</v>
          </cell>
          <cell r="D3814" t="str">
            <v>M</v>
          </cell>
          <cell r="E3814">
            <v>247.56</v>
          </cell>
          <cell r="F3814">
            <v>0</v>
          </cell>
        </row>
        <row r="3815">
          <cell r="B3815">
            <v>100653</v>
          </cell>
          <cell r="C3815" t="str">
            <v>ESTACA HÉLICE CONTÍNUA, DIÂMETRO DE 70 CM, INCLUSO CONCRETO FCK=30MPA E ARMADURA MÍNIMA (EXCLUSIVE BOMBEAMENTO, MOBILIZAÇÃO E DESMOBILIZAÇÃO). AF_12/2019</v>
          </cell>
          <cell r="D3815" t="str">
            <v>M</v>
          </cell>
          <cell r="E3815">
            <v>402.63</v>
          </cell>
          <cell r="F3815">
            <v>0</v>
          </cell>
        </row>
        <row r="3816">
          <cell r="B3816">
            <v>100654</v>
          </cell>
          <cell r="C3816" t="str">
            <v>ESTACA HÉLICE CONTÍNUA, DIÂMETRO DE 80 CM, INCLUSO CONCRETO FCK=30MPA E ARMADURA MÍNIMA (EXCLUSIVE BOMBEAMENTO, MOBILIZAÇÃO E DESMOBILIZAÇÃO). AF_12/2019</v>
          </cell>
          <cell r="D3816" t="str">
            <v>M</v>
          </cell>
          <cell r="E3816">
            <v>530.08000000000004</v>
          </cell>
          <cell r="F3816">
            <v>0</v>
          </cell>
        </row>
        <row r="3817">
          <cell r="B3817">
            <v>100655</v>
          </cell>
          <cell r="C3817" t="str">
            <v>ESTACA HÉLICE CONTÍNUA, DIÂMETRO DE 90 CM, INCLUSO CONCRETO FCK=30MPA E ARMADURA MÍNIMA (EXCLUSIVE BOMBEAMENTO, MOBILIZAÇÃO E DESMOBILIZAÇÃO). AF_12/2019</v>
          </cell>
          <cell r="D3817" t="str">
            <v>M</v>
          </cell>
          <cell r="E3817">
            <v>612.54</v>
          </cell>
          <cell r="F3817">
            <v>0</v>
          </cell>
        </row>
        <row r="3818">
          <cell r="B3818">
            <v>100364</v>
          </cell>
          <cell r="C3818" t="str">
            <v>FABRICAÇÃO E INSTALAÇÃO DE MEIA TESOURA DE MADEIRA NÃO APARELHADA, COM VÃO DE 10 M, PARA TELHA CERÂMICA OU DE CONCRETO, INCLUSO IÇAMENTO. AF_10/2025</v>
          </cell>
          <cell r="D3818" t="str">
            <v>UN</v>
          </cell>
          <cell r="E3818">
            <v>3909.43</v>
          </cell>
          <cell r="F3818">
            <v>0</v>
          </cell>
        </row>
        <row r="3819">
          <cell r="B3819">
            <v>100374</v>
          </cell>
          <cell r="C3819" t="str">
            <v>FABRICAÇÃO E INSTALAÇÃO DE MEIA TESOURA DE MADEIRA NÃO APARELHADA, COM VÃO DE 10 M, PARA TELHA ONDULADA DE FIBROCIMENTO, ALUMÍNIO, PLÁSTICA OU TERMOACÚSTICA, INCLUSO IÇAMENTO. AF_10/2025</v>
          </cell>
          <cell r="D3819" t="str">
            <v>UN</v>
          </cell>
          <cell r="E3819">
            <v>3647.29</v>
          </cell>
          <cell r="F3819">
            <v>0</v>
          </cell>
        </row>
        <row r="3820">
          <cell r="B3820">
            <v>100365</v>
          </cell>
          <cell r="C3820" t="str">
            <v>FABRICAÇÃO E INSTALAÇÃO DE MEIA TESOURA DE MADEIRA NÃO APARELHADA, COM VÃO DE 11 M, PARA TELHA CERÂMICA OU DE CONCRETO, INCLUSO IÇAMENTO. AF_10/2025</v>
          </cell>
          <cell r="D3820" t="str">
            <v>UN</v>
          </cell>
          <cell r="E3820">
            <v>4547.6400000000003</v>
          </cell>
          <cell r="F3820">
            <v>0</v>
          </cell>
        </row>
        <row r="3821">
          <cell r="B3821">
            <v>100375</v>
          </cell>
          <cell r="C3821" t="str">
            <v>FABRICAÇÃO E INSTALAÇÃO DE MEIA TESOURA DE MADEIRA NÃO APARELHADA, COM VÃO DE 11 M, PARA TELHA ONDULADA DE FIBROCIMENTO, ALUMÍNIO, PLÁSTICA OU TERMOACÚSTICA, INCLUSO IÇAMENTO. AF_10/2025</v>
          </cell>
          <cell r="D3821" t="str">
            <v>UN</v>
          </cell>
          <cell r="E3821">
            <v>4161.41</v>
          </cell>
          <cell r="F3821">
            <v>0</v>
          </cell>
        </row>
        <row r="3822">
          <cell r="B3822">
            <v>100366</v>
          </cell>
          <cell r="C3822" t="str">
            <v>FABRICAÇÃO E INSTALAÇÃO DE MEIA TESOURA DE MADEIRA NÃO APARELHADA, COM VÃO DE 12 M, PARA TELHA CERÂMICA OU DE CONCRETO, INCLUSO IÇAMENTO. AF_10/2025</v>
          </cell>
          <cell r="D3822" t="str">
            <v>UN</v>
          </cell>
          <cell r="E3822">
            <v>4840.91</v>
          </cell>
          <cell r="F3822">
            <v>0</v>
          </cell>
        </row>
        <row r="3823">
          <cell r="B3823">
            <v>100376</v>
          </cell>
          <cell r="C3823" t="str">
            <v>FABRICAÇÃO E INSTALAÇÃO DE MEIA TESOURA DE MADEIRA NÃO APARELHADA, COM VÃO DE 12 M, PARA TELHA ONDULADA DE FIBROCIMENTO, ALUMÍNIO, PLÁSTICA OU TERMOACÚSTICA, INCLUSO IÇAMENTO. AF_10/2025</v>
          </cell>
          <cell r="D3823" t="str">
            <v>UN</v>
          </cell>
          <cell r="E3823">
            <v>4277.16</v>
          </cell>
          <cell r="F3823">
            <v>0</v>
          </cell>
        </row>
        <row r="3824">
          <cell r="B3824">
            <v>100357</v>
          </cell>
          <cell r="C3824" t="str">
            <v>FABRICAÇÃO E INSTALAÇÃO DE MEIA TESOURA DE MADEIRA NÃO APARELHADA, COM VÃO DE 3 M, PARA TELHA CERÂMICA OU DE CONCRETO, INCLUSO IÇAMENTO. AF_10/2025</v>
          </cell>
          <cell r="D3824" t="str">
            <v>UN</v>
          </cell>
          <cell r="E3824">
            <v>1342.43</v>
          </cell>
          <cell r="F3824">
            <v>0</v>
          </cell>
        </row>
        <row r="3825">
          <cell r="B3825">
            <v>100367</v>
          </cell>
          <cell r="C3825" t="str">
            <v>FABRICAÇÃO E INSTALAÇÃO DE MEIA TESOURA DE MADEIRA NÃO APARELHADA, COM VÃO DE 3 M, PARA TELHA ONDULADA DE FIBROCIMENTO, ALUMÍNIO, PLÁSTICA OU TERMOACÚSTICA, INCLUSO IÇAMENTO. AF_10/2025</v>
          </cell>
          <cell r="D3825" t="str">
            <v>UN</v>
          </cell>
          <cell r="E3825">
            <v>1305.5</v>
          </cell>
          <cell r="F3825">
            <v>0</v>
          </cell>
        </row>
        <row r="3826">
          <cell r="B3826">
            <v>100358</v>
          </cell>
          <cell r="C3826" t="str">
            <v>FABRICAÇÃO E INSTALAÇÃO DE MEIA TESOURA DE MADEIRA NÃO APARELHADA, COM VÃO DE 4 M, PARA TELHA CERÂMICA OU DE CONCRETO, INCLUSO IÇAMENTO. AF_10/2025</v>
          </cell>
          <cell r="D3826" t="str">
            <v>UN</v>
          </cell>
          <cell r="E3826">
            <v>1875.9</v>
          </cell>
          <cell r="F3826">
            <v>0</v>
          </cell>
        </row>
        <row r="3827">
          <cell r="B3827">
            <v>100368</v>
          </cell>
          <cell r="C3827" t="str">
            <v>FABRICAÇÃO E INSTALAÇÃO DE MEIA TESOURA DE MADEIRA NÃO APARELHADA, COM VÃO DE 4 M, PARA TELHA ONDULADA DE FIBROCIMENTO, ALUMÍNIO, PLÁSTICA OU TERMOACÚSTICA, INCLUSO IÇAMENTO. AF_10/2025</v>
          </cell>
          <cell r="D3827" t="str">
            <v>UN</v>
          </cell>
          <cell r="E3827">
            <v>1830.15</v>
          </cell>
          <cell r="F3827">
            <v>0</v>
          </cell>
        </row>
        <row r="3828">
          <cell r="B3828">
            <v>100359</v>
          </cell>
          <cell r="C3828" t="str">
            <v>FABRICAÇÃO E INSTALAÇÃO DE MEIA TESOURA DE MADEIRA NÃO APARELHADA, COM VÃO DE 5 M, PARA TELHA CERÂMICA OU DE CONCRETO, INCLUSO IÇAMENTO. AF_10/2025</v>
          </cell>
          <cell r="D3828" t="str">
            <v>UN</v>
          </cell>
          <cell r="E3828">
            <v>1965.89</v>
          </cell>
          <cell r="F3828">
            <v>0</v>
          </cell>
        </row>
        <row r="3829">
          <cell r="B3829">
            <v>100369</v>
          </cell>
          <cell r="C3829" t="str">
            <v>FABRICAÇÃO E INSTALAÇÃO DE MEIA TESOURA DE MADEIRA NÃO APARELHADA, COM VÃO DE 5 M, PARA TELHA ONDULADA DE FIBROCIMENTO, ALUMÍNIO, PLÁSTICA OU TERMOACÚSTICA, INCLUSO IÇAMENTO. AF_10/2025</v>
          </cell>
          <cell r="D3829" t="str">
            <v>UN</v>
          </cell>
          <cell r="E3829">
            <v>1919.59</v>
          </cell>
          <cell r="F3829">
            <v>0</v>
          </cell>
        </row>
        <row r="3830">
          <cell r="B3830">
            <v>100360</v>
          </cell>
          <cell r="C3830" t="str">
            <v>FABRICAÇÃO E INSTALAÇÃO DE MEIA TESOURA DE MADEIRA NÃO APARELHADA, COM VÃO DE 6 M, PARA TELHA CERÂMICA OU DE CONCRETO, INCLUSO IÇAMENTO. AF_10/2025</v>
          </cell>
          <cell r="D3830" t="str">
            <v>UN</v>
          </cell>
          <cell r="E3830">
            <v>2191.4499999999998</v>
          </cell>
          <cell r="F3830">
            <v>0</v>
          </cell>
        </row>
        <row r="3831">
          <cell r="B3831">
            <v>100370</v>
          </cell>
          <cell r="C3831" t="str">
            <v>FABRICAÇÃO E INSTALAÇÃO DE MEIA TESOURA DE MADEIRA NÃO APARELHADA, COM VÃO DE 6 M, PARA TELHA ONDULADA DE FIBROCIMENTO, ALUMÍNIO, PLÁSTICA OU TERMOACÚSTICA, INCLUSO IÇAMENTO. AF_10/2025</v>
          </cell>
          <cell r="D3831" t="str">
            <v>UN</v>
          </cell>
          <cell r="E3831">
            <v>2279.25</v>
          </cell>
          <cell r="F3831">
            <v>0</v>
          </cell>
        </row>
        <row r="3832">
          <cell r="B3832">
            <v>100361</v>
          </cell>
          <cell r="C3832" t="str">
            <v>FABRICAÇÃO E INSTALAÇÃO DE MEIA TESOURA DE MADEIRA NÃO APARELHADA, COM VÃO DE 7 M, PARA TELHA CERÂMICA OU DE CONCRETO, INCLUSO IÇAMENTO. AF_10/2025</v>
          </cell>
          <cell r="D3832" t="str">
            <v>UN</v>
          </cell>
          <cell r="E3832">
            <v>2764.03</v>
          </cell>
          <cell r="F3832">
            <v>0</v>
          </cell>
        </row>
        <row r="3833">
          <cell r="B3833">
            <v>100371</v>
          </cell>
          <cell r="C3833" t="str">
            <v>FABRICAÇÃO E INSTALAÇÃO DE MEIA TESOURA DE MADEIRA NÃO APARELHADA, COM VÃO DE 7 M, PARA TELHA ONDULADA DE FIBROCIMENTO, ALUMÍNIO, PLÁSTICA OU TERMOACÚSTICA, INCLUSO IÇAMENTO. AF_10/2025</v>
          </cell>
          <cell r="D3833" t="str">
            <v>UN</v>
          </cell>
          <cell r="E3833">
            <v>2644.11</v>
          </cell>
          <cell r="F3833">
            <v>0</v>
          </cell>
        </row>
        <row r="3834">
          <cell r="B3834">
            <v>100362</v>
          </cell>
          <cell r="C3834" t="str">
            <v>FABRICAÇÃO E INSTALAÇÃO DE MEIA TESOURA DE MADEIRA NÃO APARELHADA, COM VÃO DE 8 M, PARA TELHA CERÂMICA OU DE CONCRETO, INCLUSO IÇAMENTO. AF_10/2025</v>
          </cell>
          <cell r="D3834" t="str">
            <v>UN</v>
          </cell>
          <cell r="E3834">
            <v>3468.47</v>
          </cell>
          <cell r="F3834">
            <v>0</v>
          </cell>
        </row>
        <row r="3835">
          <cell r="B3835">
            <v>100372</v>
          </cell>
          <cell r="C3835" t="str">
            <v>FABRICAÇÃO E INSTALAÇÃO DE MEIA TESOURA DE MADEIRA NÃO APARELHADA, COM VÃO DE 8 M, PARA TELHA ONDULADA DE FIBROCIMENTO, ALUMÍNIO, PLÁSTICA OU TERMOACÚSTICA, INCLUSO IÇAMENTO. AF_10/2025</v>
          </cell>
          <cell r="D3835" t="str">
            <v>UN</v>
          </cell>
          <cell r="E3835">
            <v>3265.31</v>
          </cell>
          <cell r="F3835">
            <v>0</v>
          </cell>
        </row>
        <row r="3836">
          <cell r="B3836">
            <v>100363</v>
          </cell>
          <cell r="C3836" t="str">
            <v>FABRICAÇÃO E INSTALAÇÃO DE MEIA TESOURA DE MADEIRA NÃO APARELHADA, COM VÃO DE 9 M, PARA TELHA CERÂMICA OU DE CONCRETO, INCLUSO IÇAMENTO. AF_10/2025</v>
          </cell>
          <cell r="D3836" t="str">
            <v>UN</v>
          </cell>
          <cell r="E3836">
            <v>3577.62</v>
          </cell>
          <cell r="F3836">
            <v>0</v>
          </cell>
        </row>
        <row r="3837">
          <cell r="B3837">
            <v>100373</v>
          </cell>
          <cell r="C3837" t="str">
            <v>FABRICAÇÃO E INSTALAÇÃO DE MEIA TESOURA DE MADEIRA NÃO APARELHADA, COM VÃO DE 9 M, PARA TELHA ONDULADA DE FIBROCIMENTO, ALUMÍNIO, PLÁSTICA OU TERMOACÚSTICA, INCLUSO IÇAMENTO. AF_10/2025</v>
          </cell>
          <cell r="D3837" t="str">
            <v>UN</v>
          </cell>
          <cell r="E3837">
            <v>3373.91</v>
          </cell>
          <cell r="F3837">
            <v>0</v>
          </cell>
        </row>
        <row r="3838">
          <cell r="B3838">
            <v>106154</v>
          </cell>
          <cell r="C3838" t="str">
            <v>FABRICAÇÃO E INSTALAÇÃO DE PONTALETES DE AÇO PARA TELHADOS COM ATÉ 2 ÁGUAS E COM TELHA CERÂMICA (ENCAIXE/CAPA CANAL) OU DE CONCRETO EM EDIFÍCIO INSTITUCIONAL TÉRREO, INCLUSO TRANSPORTE VERTICAL, EXCLUSIVE PINTURA. AF_10/2025</v>
          </cell>
          <cell r="D3838" t="str">
            <v>M2</v>
          </cell>
          <cell r="E3838">
            <v>0</v>
          </cell>
        </row>
        <row r="3839">
          <cell r="B3839">
            <v>106153</v>
          </cell>
          <cell r="C3839" t="str">
            <v>FABRICAÇÃO E INSTALAÇÃO DE PONTALETES DE AÇO PARA TELHADOS COM ATÉ 2 ÁGUAS E COM TELHA CERÂMICA (ENCAIXE/CAPA CANAL) OU DE CONCRETO EM EDIFÍCIO RESIDENCIAL MÚLTIPLOS PAVIMENTOS, INCLUSO TRANSPORTE VERTICAL, EXCLUSIVE PINTURA. AF_10/2025</v>
          </cell>
          <cell r="D3839" t="str">
            <v>M2</v>
          </cell>
          <cell r="E3839">
            <v>0</v>
          </cell>
        </row>
        <row r="3840">
          <cell r="B3840">
            <v>106152</v>
          </cell>
          <cell r="C3840" t="str">
            <v>FABRICAÇÃO E INSTALAÇÃO DE PONTALETES DE AÇO PARA TELHADOS COM ATÉ 2 ÁGUAS E COM TELHA CERÂMICA (ENCAIXE/CAPA CANAL) OU DE CONCRETO EM EDIFÍCIO RESIDENCIAL TÉRREO/SOBRADO, INCLUSO TRANSPORTE VERTICAL, EXCLUSIVE PINTURA. AF_10/2025</v>
          </cell>
          <cell r="D3840" t="str">
            <v>M2</v>
          </cell>
          <cell r="E3840">
            <v>0</v>
          </cell>
        </row>
        <row r="3841">
          <cell r="B3841">
            <v>106157</v>
          </cell>
          <cell r="C3841" t="str">
            <v>FABRICAÇÃO E INSTALAÇÃO DE PONTALETES DE AÇO PARA TELHADOS COM ATÉ 2 ÁGUAS E COM TELHA ONDULADA DE FIBROCIMENTO, ALUMÍNIO OU PLÁSTICA EM EDIFÍCIO INSTITUCIONAL TÉRREO, INCLUSO TRANSPORTE VERTICAL, EXCLUSIVE PINTURA. AF_10/2025</v>
          </cell>
          <cell r="D3841" t="str">
            <v>M2</v>
          </cell>
          <cell r="E3841">
            <v>0</v>
          </cell>
        </row>
        <row r="3842">
          <cell r="B3842">
            <v>106156</v>
          </cell>
          <cell r="C3842" t="str">
            <v>FABRICAÇÃO E INSTALAÇÃO DE PONTALETES DE AÇO PARA TELHADOS COM ATÉ 2 ÁGUAS E COM TELHA ONDULADA DE FIBROCIMENTO, ALUMÍNIO OU PLÁSTICA EM EDIFÍCIO RESIDENCIAL MÚLTIPLOS PAVIMENTOS, INCLUSO TRANSPORTE VERTICAL, EXCLUSIVE PINTURA. AF_10/2025</v>
          </cell>
          <cell r="D3842" t="str">
            <v>M2</v>
          </cell>
          <cell r="E3842">
            <v>0</v>
          </cell>
        </row>
        <row r="3843">
          <cell r="B3843">
            <v>106155</v>
          </cell>
          <cell r="C3843" t="str">
            <v>FABRICAÇÃO E INSTALAÇÃO DE PONTALETES DE AÇO PARA TELHADOS COM ATÉ 2 ÁGUAS E COM TELHA ONDULADA DE FIBROCIMENTO, ALUMÍNIO OU PLÁSTICA EM EDIFÍCIO RESIDENCIAL TÉRREO/SOBRADO, INCLUSO TRANSPORTE VERTICAL, EXCLUSIVE PINTURA. AF_10/2025</v>
          </cell>
          <cell r="D3843" t="str">
            <v>M2</v>
          </cell>
          <cell r="E3843">
            <v>0</v>
          </cell>
        </row>
        <row r="3844">
          <cell r="B3844">
            <v>106160</v>
          </cell>
          <cell r="C3844" t="str">
            <v>FABRICAÇÃO E INSTALAÇÃO DE PONTALETES DE AÇO PARA TELHADOS COM MAIS QUE 2 ÁGUAS E COM TELHA CERÂMICA (ENCAIXE/CAPA CANAL) OU DE CONCRETO EM EDIFÍCIO INSTITUCIONAL TÉRREO, INCLUSO TRANSPORTE VERTICAL, EXCLUSIVE PINTURA. AF_10/2025</v>
          </cell>
          <cell r="D3844" t="str">
            <v>M2</v>
          </cell>
          <cell r="E3844">
            <v>0</v>
          </cell>
        </row>
        <row r="3845">
          <cell r="B3845">
            <v>106159</v>
          </cell>
          <cell r="C3845" t="str">
            <v>FABRICAÇÃO E INSTALAÇÃO DE PONTALETES DE AÇO PARA TELHADOS COM MAIS QUE 2 ÁGUAS E COM TELHA CERÂMICA (ENCAIXE/CAPA CANAL) OU DE CONCRETO EM EDIFÍCIO RESIDENCIAL MÚLTIPLOS PAVIMENTOS, INCLUSO TRANSPORTE VERTICAL, EXCLUSIVE PINTURA. AF_10/2025</v>
          </cell>
          <cell r="D3845" t="str">
            <v>M2</v>
          </cell>
          <cell r="E3845">
            <v>0</v>
          </cell>
        </row>
        <row r="3846">
          <cell r="B3846">
            <v>106158</v>
          </cell>
          <cell r="C3846" t="str">
            <v>FABRICAÇÃO E INSTALAÇÃO DE PONTALETES DE AÇO PARA TELHADOS COM MAIS QUE 2 ÁGUAS E COM TELHA CERÂMICA (ENCAIXE/CAPA CANAL) OU DE CONCRETO EM EDIFÍCIO RESIDENCIAL TÉRREO/SOBRADO, INCLUSO TRANSPORTE VERTICAL, EXCLUSIVE PINTURA. AF_10/2025</v>
          </cell>
          <cell r="D3846" t="str">
            <v>M2</v>
          </cell>
          <cell r="E3846">
            <v>0</v>
          </cell>
        </row>
        <row r="3847">
          <cell r="B3847">
            <v>106163</v>
          </cell>
          <cell r="C3847" t="str">
            <v>FABRICAÇÃO E INSTALAÇÃO DE PONTALETES DE AÇO PARA TELHADOS COM MAIS QUE 2 ÁGUAS E COM TELHA ONDULADA DE FIBROCIMENTO, ALUMÍNIO OU PLÁSTICA EM EDIFÍCIO INSTITUCIONAL TÉRREO, INCLUSO TRANSPORTE VERTICAL, EXCLUSIVE PINTURA. AF_10/2025</v>
          </cell>
          <cell r="D3847" t="str">
            <v>M2</v>
          </cell>
          <cell r="E3847">
            <v>0</v>
          </cell>
        </row>
        <row r="3848">
          <cell r="B3848">
            <v>106162</v>
          </cell>
          <cell r="C3848" t="str">
            <v>FABRICAÇÃO E INSTALAÇÃO DE PONTALETES DE AÇO PARA TELHADOS COM MAIS QUE 2 ÁGUAS E COM TELHA ONDULADA DE FIBROCIMENTO, ALUMÍNIO OU PLÁSTICA EM EDIFÍCIO RESIDENCIAL MÚLTIPLOS PAVIMENTOS, INCLUSO TRANSPORTE VERTICAL, EXCLUSIVE PINTURA. AF_10/2025</v>
          </cell>
          <cell r="D3848" t="str">
            <v>M2</v>
          </cell>
          <cell r="E3848">
            <v>0</v>
          </cell>
        </row>
        <row r="3849">
          <cell r="B3849">
            <v>106161</v>
          </cell>
          <cell r="C3849" t="str">
            <v>FABRICAÇÃO E INSTALAÇÃO DE PONTALETES DE AÇO PARA TELHADOS COM MAIS QUE 2 ÁGUAS E COM TELHA ONDULADA DE FIBROCIMENTO, ALUMÍNIO OU PLÁSTICA EM EDIFÍCIO RESIDENCIAL TÉRREO/SOBRADO, INCLUSO TRANSPORTE VERTICAL, EXCLUSIVE PINTURA. AF_10/2025</v>
          </cell>
          <cell r="D3849" t="str">
            <v>M2</v>
          </cell>
          <cell r="E3849">
            <v>0</v>
          </cell>
        </row>
        <row r="3850">
          <cell r="B3850">
            <v>100381</v>
          </cell>
          <cell r="C3850" t="str">
            <v>FABRICAÇÃO E INSTALAÇÃO DE PONTALETES DE MADEIRA NÃO APARELHADA PARA TELHADOS COM ATÉ 2 ÁGUAS E COM TELHA CERÂMICA (ENCAIXE/CAPA CANAL) OU DE CONCRETO EM EDIFÍCIO INSTITUCIONAL TÉRREO, INCLUSO TRANSPORTE VERTICAL. AF_10/2025</v>
          </cell>
          <cell r="D3850" t="str">
            <v>M2</v>
          </cell>
          <cell r="E3850">
            <v>76.430000000000007</v>
          </cell>
          <cell r="F3850">
            <v>0</v>
          </cell>
        </row>
        <row r="3851">
          <cell r="B3851">
            <v>100380</v>
          </cell>
          <cell r="C3851" t="str">
            <v>FABRICAÇÃO E INSTALAÇÃO DE PONTALETES DE MADEIRA NÃO APARELHADA PARA TELHADOS COM ATÉ 2 ÁGUAS E COM TELHA CERÂMICA (ENCAIXE/CAPA CANAL) OU DE CONCRETO EM EDIFÍCIO RESIDENCIAL DE MÚLTIPLOS PAVIMENTOS, INCLUSO TRANSPORTE VERTICAL. AF_10/2025</v>
          </cell>
          <cell r="D3851" t="str">
            <v>M2</v>
          </cell>
          <cell r="E3851">
            <v>66.2</v>
          </cell>
          <cell r="F3851">
            <v>0</v>
          </cell>
        </row>
        <row r="3852">
          <cell r="B3852">
            <v>100379</v>
          </cell>
          <cell r="C3852" t="str">
            <v>FABRICAÇÃO E INSTALAÇÃO DE PONTALETES DE MADEIRA NÃO APARELHADA PARA TELHADOS COM ATÉ 2 ÁGUAS E COM TELHA CERÂMICA (ENCAIXE/CAPA CANAL) OU DE CONCRETO EM EDIFÍCIO RESIDENCIAL TÉRREO/SOBRADO, INCLUSO TRANSPORTE VERTICAL. AF_10/2025</v>
          </cell>
          <cell r="D3852" t="str">
            <v>M2</v>
          </cell>
          <cell r="E3852">
            <v>49.21</v>
          </cell>
          <cell r="F3852">
            <v>0</v>
          </cell>
        </row>
        <row r="3853">
          <cell r="B3853">
            <v>100384</v>
          </cell>
          <cell r="C3853" t="str">
            <v>FABRICAÇÃO E INSTALAÇÃO DE PONTALETES DE MADEIRA NÃO APARELHADA PARA TELHADOS COM ATÉ 2 ÁGUAS E COM TELHA ONDULADA DE FIBROCIMENTO, ALUMÍNIO OU PLÁSTICA EM EDIFÍCIO INSTITUCIONAL TÉRREO, INCLUSO TRANSPORTE VERTICAL. AF_10/2025</v>
          </cell>
          <cell r="D3853" t="str">
            <v>M2</v>
          </cell>
          <cell r="E3853">
            <v>35.29</v>
          </cell>
          <cell r="F3853">
            <v>0</v>
          </cell>
        </row>
        <row r="3854">
          <cell r="B3854">
            <v>100383</v>
          </cell>
          <cell r="C3854" t="str">
            <v>FABRICAÇÃO E INSTALAÇÃO DE PONTALETES DE MADEIRA NÃO APARELHADA PARA TELHADOS COM ATÉ 2 ÁGUAS E COM TELHA ONDULADA DE FIBROCIMENTO, ALUMÍNIO OU PLÁSTICA EM EDIFÍCIO RESIDENCIAL DE MÚLTIPLOS PAVIMENTOS, INCLUSO TRANSPORTE VERTICAL. AF_10/2025</v>
          </cell>
          <cell r="D3854" t="str">
            <v>M2</v>
          </cell>
          <cell r="E3854">
            <v>32.43</v>
          </cell>
          <cell r="F3854">
            <v>0</v>
          </cell>
        </row>
        <row r="3855">
          <cell r="B3855">
            <v>100382</v>
          </cell>
          <cell r="C3855" t="str">
            <v>FABRICAÇÃO E INSTALAÇÃO DE PONTALETES DE MADEIRA NÃO APARELHADA PARA TELHADOS COM ATÉ 2 ÁGUAS E COM TELHA ONDULADA DE FIBROCIMENTO, ALUMÍNIO OU PLÁSTICA EM EDIFÍCIO RESIDENCIAL TÉRREO/SOBRADO, INCLUSO TRANSPORTE VERTICAL. AF_10/2025</v>
          </cell>
          <cell r="D3855" t="str">
            <v>M2</v>
          </cell>
          <cell r="E3855">
            <v>30.19</v>
          </cell>
          <cell r="F3855">
            <v>0</v>
          </cell>
        </row>
        <row r="3856">
          <cell r="B3856">
            <v>100387</v>
          </cell>
          <cell r="C3856" t="str">
            <v>FABRICAÇÃO E INSTALAÇÃO DE PONTALETES DE MADEIRA NÃO APARELHADA PARA TELHADOS COM MAIS QUE 2 ÁGUAS E COM TELHA CERÂMICA (ENCAIXE/CAPA CANAL) OU DE CONCRETO EM EDIFÍCIO INSTITUCIONAL TÉRREO, INCLUSO TRANSPORTE VERTICAL. AF_10/2025</v>
          </cell>
          <cell r="D3856" t="str">
            <v>M2</v>
          </cell>
          <cell r="E3856">
            <v>71.48</v>
          </cell>
          <cell r="F3856">
            <v>0</v>
          </cell>
        </row>
        <row r="3857">
          <cell r="B3857">
            <v>100386</v>
          </cell>
          <cell r="C3857" t="str">
            <v>FABRICAÇÃO E INSTALAÇÃO DE PONTALETES DE MADEIRA NÃO APARELHADA PARA TELHADOS COM MAIS QUE 2 ÁGUAS E COM TELHA CERÂMICA (ENCAIXE/CAPA CANAL) OU DE CONCRETO EM EDIFÍCIO RESIDENCIAL DE MÚLTIPLOS PAVIMENTOS. AF_10/2025</v>
          </cell>
          <cell r="D3857" t="str">
            <v>M2</v>
          </cell>
          <cell r="E3857">
            <v>56.62</v>
          </cell>
          <cell r="F3857">
            <v>0</v>
          </cell>
        </row>
        <row r="3858">
          <cell r="B3858">
            <v>100385</v>
          </cell>
          <cell r="C3858" t="str">
            <v>FABRICAÇÃO E INSTALAÇÃO DE PONTALETES DE MADEIRA NÃO APARELHADA PARA TELHADOS COM MAIS QUE 2 ÁGUAS E COM TELHA CERÂMICA (ENCAIXE/CAPA CANAL) OU DE CONCRETO EM EDIFÍCIO RESIDENCIAL TÉRREO/SOBRADO, INCLUSO TRANSPORTE VERTICAL. AF_10/2025</v>
          </cell>
          <cell r="D3858" t="str">
            <v>M2</v>
          </cell>
          <cell r="E3858">
            <v>43.51</v>
          </cell>
          <cell r="F3858">
            <v>0</v>
          </cell>
        </row>
        <row r="3859">
          <cell r="B3859">
            <v>100377</v>
          </cell>
          <cell r="C3859" t="str">
            <v>FABRICAÇÃO E INSTALAÇÃO DE TESOURA (INTEIRA OU MEIA) EM AÇO, VÃOS MAIORES OU IGUAIS A 3,0 M E MENORES QUE 6,0 M, INCLUSO IÇAMENTO, EXCLUSIVE PINTURA. AF_10/2025</v>
          </cell>
          <cell r="D3859" t="str">
            <v>KG</v>
          </cell>
          <cell r="E3859">
            <v>14.44</v>
          </cell>
          <cell r="F3859">
            <v>0</v>
          </cell>
        </row>
        <row r="3860">
          <cell r="B3860">
            <v>100378</v>
          </cell>
          <cell r="C3860" t="str">
            <v>FABRICAÇÃO E INSTALAÇÃO DE TESOURA (INTEIRA OU MEIA) EM AÇO, VÃOS MAIORES OU IGUAIS A 6,0 M E MENORES OU IGUAIS A 12,0 M, INCLUSO IÇAMENTO, EXCLUSIVE PINTURA. AF_10/2025</v>
          </cell>
          <cell r="D3860" t="str">
            <v>KG</v>
          </cell>
          <cell r="E3860">
            <v>12.98</v>
          </cell>
          <cell r="F3860">
            <v>0</v>
          </cell>
        </row>
        <row r="3861">
          <cell r="B3861">
            <v>92596</v>
          </cell>
          <cell r="C3861" t="str">
            <v>FABRICAÇÃO E INSTALAÇÃO DE TESOURA INTEIRA EM AÇO, VÃO DE 10 M, PARA TELHA CERÂMICA OU DE CONCRETO, INCLUSO IÇAMENTO, EXCLUSIVE PINTURA. AF_10/2025</v>
          </cell>
          <cell r="D3861" t="str">
            <v>UN</v>
          </cell>
          <cell r="E3861">
            <v>2238.04</v>
          </cell>
          <cell r="F3861">
            <v>0</v>
          </cell>
        </row>
        <row r="3862">
          <cell r="B3862">
            <v>92616</v>
          </cell>
          <cell r="C3862" t="str">
            <v>FABRICAÇÃO E INSTALAÇÃO DE TESOURA INTEIRA EM AÇO, VÃO DE 10 M, PARA TELHA ONDULADA DE FIBROCIMENTO, METÁLICA, PLÁSTICA OU TERMOACÚSTICA, INCLUSO IÇAMENTO, EXCLUSIVE PINTURA. AF_10/2025</v>
          </cell>
          <cell r="D3862" t="str">
            <v>UN</v>
          </cell>
          <cell r="E3862">
            <v>2073.77</v>
          </cell>
          <cell r="F3862">
            <v>0</v>
          </cell>
        </row>
        <row r="3863">
          <cell r="B3863">
            <v>92598</v>
          </cell>
          <cell r="C3863" t="str">
            <v>FABRICAÇÃO E INSTALAÇÃO DE TESOURA INTEIRA EM AÇO, VÃO DE 11 M, PARA TELHA CERÂMICA OU DE CONCRETO, INCLUSO IÇAMENTO, EXCLUSIVE PINTURA. AF_10/2025</v>
          </cell>
          <cell r="D3863" t="str">
            <v>UN</v>
          </cell>
          <cell r="E3863">
            <v>2380.11</v>
          </cell>
          <cell r="F3863">
            <v>0</v>
          </cell>
        </row>
        <row r="3864">
          <cell r="B3864">
            <v>92618</v>
          </cell>
          <cell r="C3864" t="str">
            <v>FABRICAÇÃO E INSTALAÇÃO DE TESOURA INTEIRA EM AÇO, VÃO DE 11 M, PARA TELHA ONDULADA DE FIBROCIMENTO, METÁLICA, PLÁSTICA OU TERMOACÚSTICA, INCLUSO IÇAMENTO, EXCLUSIVE PINTURA. AF_10/2025</v>
          </cell>
          <cell r="D3864" t="str">
            <v>UN</v>
          </cell>
          <cell r="E3864">
            <v>2253.21</v>
          </cell>
          <cell r="F3864">
            <v>0</v>
          </cell>
        </row>
        <row r="3865">
          <cell r="B3865">
            <v>92600</v>
          </cell>
          <cell r="C3865" t="str">
            <v>FABRICAÇÃO E INSTALAÇÃO DE TESOURA INTEIRA EM AÇO, VÃO DE 12 M, PARA TELHA CERÂMICA OU DE CONCRETO, INCLUSO IÇAMENTO, EXCLUSIVE PINTURA. AF_10/2025</v>
          </cell>
          <cell r="D3865" t="str">
            <v>UN</v>
          </cell>
          <cell r="E3865">
            <v>2524.7399999999998</v>
          </cell>
          <cell r="F3865">
            <v>0</v>
          </cell>
        </row>
        <row r="3866">
          <cell r="B3866">
            <v>92620</v>
          </cell>
          <cell r="C3866" t="str">
            <v>FABRICAÇÃO E INSTALAÇÃO DE TESOURA INTEIRA EM AÇO, VÃO DE 12 M, PARA TELHA ONDULADA DE FIBROCIMENTO, METÁLICA, PLÁSTICA OU TERMOACÚSTICA, INCLUSO IÇAMENTO, EXCLUSIVE PINTURA. AF_10/2025</v>
          </cell>
          <cell r="D3866" t="str">
            <v>UN</v>
          </cell>
          <cell r="E3866">
            <v>2333.37</v>
          </cell>
          <cell r="F3866">
            <v>0</v>
          </cell>
        </row>
        <row r="3867">
          <cell r="B3867">
            <v>92582</v>
          </cell>
          <cell r="C3867" t="str">
            <v>FABRICAÇÃO E INSTALAÇÃO DE TESOURA INTEIRA EM AÇO, VÃO DE 3 M, PARA TELHA CERÂMICA OU DE CONCRETO, INCLUSO IÇAMENTO, EXCLUSIVE PINTURA. AF_10/2025</v>
          </cell>
          <cell r="D3867" t="str">
            <v>UN</v>
          </cell>
          <cell r="E3867">
            <v>708.09</v>
          </cell>
          <cell r="F3867">
            <v>0</v>
          </cell>
        </row>
        <row r="3868">
          <cell r="B3868">
            <v>92602</v>
          </cell>
          <cell r="C3868" t="str">
            <v>FABRICAÇÃO E INSTALAÇÃO DE TESOURA INTEIRA EM AÇO, VÃO DE 3 M, PARA TELHA ONDULADA DE FIBROCIMENTO, METÁLICA, PLÁSTICA OU TERMOACÚSTICA, INCLUSO IÇAMENTO, EXCLUSIVE PINTURA. AF_10/2025</v>
          </cell>
          <cell r="D3868" t="str">
            <v>UN</v>
          </cell>
          <cell r="E3868">
            <v>686.5</v>
          </cell>
          <cell r="F3868">
            <v>0</v>
          </cell>
        </row>
        <row r="3869">
          <cell r="B3869">
            <v>92584</v>
          </cell>
          <cell r="C3869" t="str">
            <v>FABRICAÇÃO E INSTALAÇÃO DE TESOURA INTEIRA EM AÇO, VÃO DE 4 M, PARA TELHA CERÂMICA OU DE CONCRETO, INCLUSO IÇAMENTO, EXCLUSIVE PINTURA. AF_10/2025</v>
          </cell>
          <cell r="D3869" t="str">
            <v>UN</v>
          </cell>
          <cell r="E3869">
            <v>831.32</v>
          </cell>
          <cell r="F3869">
            <v>0</v>
          </cell>
        </row>
        <row r="3870">
          <cell r="B3870">
            <v>92604</v>
          </cell>
          <cell r="C3870" t="str">
            <v>FABRICAÇÃO E INSTALAÇÃO DE TESOURA INTEIRA EM AÇO, VÃO DE 4 M, PARA TELHA ONDULADA DE FIBROCIMENTO, METÁLICA, PLÁSTICA OU TERMOACÚSTICA, INCLUSO IÇAMENTO, EXCLUSIVE PINTURA. AF_10/2025</v>
          </cell>
          <cell r="D3870" t="str">
            <v>UN</v>
          </cell>
          <cell r="E3870">
            <v>801.11</v>
          </cell>
          <cell r="F3870">
            <v>0</v>
          </cell>
        </row>
        <row r="3871">
          <cell r="B3871">
            <v>92586</v>
          </cell>
          <cell r="C3871" t="str">
            <v>FABRICAÇÃO E INSTALAÇÃO DE TESOURA INTEIRA EM AÇO, VÃO DE 5 M, PARA TELHA CERÂMICA OU DE CONCRETO, INCLUSO IÇAMENTO, EXCLUSIVE PINTURA. AF_10/2025</v>
          </cell>
          <cell r="D3871" t="str">
            <v>UN</v>
          </cell>
          <cell r="E3871">
            <v>951.04</v>
          </cell>
          <cell r="F3871">
            <v>0</v>
          </cell>
        </row>
        <row r="3872">
          <cell r="B3872">
            <v>92606</v>
          </cell>
          <cell r="C3872" t="str">
            <v>FABRICAÇÃO E INSTALAÇÃO DE TESOURA INTEIRA EM AÇO, VÃO DE 5 M, PARA TELHA ONDULADA DE FIBROCIMENTO, METÁLICA, PLÁSTICA OU TERMOACÚSTICA, INCLUSO IÇAMENTO, EXCLUSIVE PINTURA. AF_10/2025</v>
          </cell>
          <cell r="D3872" t="str">
            <v>UN</v>
          </cell>
          <cell r="E3872">
            <v>916.34</v>
          </cell>
          <cell r="F3872">
            <v>0</v>
          </cell>
        </row>
        <row r="3873">
          <cell r="B3873">
            <v>92588</v>
          </cell>
          <cell r="C3873" t="str">
            <v>FABRICAÇÃO E INSTALAÇÃO DE TESOURA INTEIRA EM AÇO, VÃO DE 6 M, PARA TELHA CERÂMICA OU DE CONCRETO, INCLUSO IÇAMENTO, EXCLUSIVE PINTURA. AF_10/2025</v>
          </cell>
          <cell r="D3873" t="str">
            <v>UN</v>
          </cell>
          <cell r="E3873">
            <v>1286.8</v>
          </cell>
          <cell r="F3873">
            <v>0</v>
          </cell>
        </row>
        <row r="3874">
          <cell r="B3874">
            <v>92608</v>
          </cell>
          <cell r="C3874" t="str">
            <v>FABRICAÇÃO E INSTALAÇÃO DE TESOURA INTEIRA EM AÇO, VÃO DE 6 M, PARA TELHA ONDULADA DE FIBROCIMENTO, METÁLICA, PLÁSTICA OU TERMOACÚSTICA, INCLUSO IÇAMENTO, EXCLUSIVE PINTURA. AF_10/2025</v>
          </cell>
          <cell r="D3874" t="str">
            <v>UN</v>
          </cell>
          <cell r="E3874">
            <v>1222.69</v>
          </cell>
          <cell r="F3874">
            <v>0</v>
          </cell>
        </row>
        <row r="3875">
          <cell r="B3875">
            <v>92590</v>
          </cell>
          <cell r="C3875" t="str">
            <v>FABRICAÇÃO E INSTALAÇÃO DE TESOURA INTEIRA EM AÇO, VÃO DE 7 M, PARA TELHA CERÂMICA OU DE CONCRETO, INCLUSO IÇAMENTO, EXCLUSIVE PINTURA. AF_10/2025</v>
          </cell>
          <cell r="D3875" t="str">
            <v>UN</v>
          </cell>
          <cell r="E3875">
            <v>1418.34</v>
          </cell>
          <cell r="F3875">
            <v>0</v>
          </cell>
        </row>
        <row r="3876">
          <cell r="B3876">
            <v>92610</v>
          </cell>
          <cell r="C3876" t="str">
            <v>FABRICAÇÃO E INSTALAÇÃO DE TESOURA INTEIRA EM AÇO, VÃO DE 7 M, PARA TELHA ONDULADA DE FIBROCIMENTO, METÁLICA, PLÁSTICA OU TERMOACÚSTICA, INCLUSO IÇAMENTO, EXCLUSIVE PINTURA. AF_10/2025</v>
          </cell>
          <cell r="D3876" t="str">
            <v>UN</v>
          </cell>
          <cell r="E3876">
            <v>1345.61</v>
          </cell>
          <cell r="F3876">
            <v>0</v>
          </cell>
        </row>
        <row r="3877">
          <cell r="B3877">
            <v>92592</v>
          </cell>
          <cell r="C3877" t="str">
            <v>FABRICAÇÃO E INSTALAÇÃO DE TESOURA INTEIRA EM AÇO, VÃO DE 8 M, PARA TELHA CERÂMICA OU DE CONCRETO, INCLUSO IÇAMENTO, EXCLUSIVE PINTURA. AF_10/2025</v>
          </cell>
          <cell r="D3877" t="str">
            <v>UN</v>
          </cell>
          <cell r="E3877">
            <v>1647.94</v>
          </cell>
          <cell r="F3877">
            <v>0</v>
          </cell>
        </row>
        <row r="3878">
          <cell r="B3878">
            <v>92612</v>
          </cell>
          <cell r="C3878" t="str">
            <v>FABRICAÇÃO E INSTALAÇÃO DE TESOURA INTEIRA EM AÇO, VÃO DE 8 M, PARA TELHA ONDULADA DE FIBROCIMENTO, METÁLICA, PLÁSTICA OU TERMOACÚSTICA, INCLUSO IÇAMENTO, EXCLUSIVE PINTURA. AF_10/2025</v>
          </cell>
          <cell r="D3878" t="str">
            <v>UN</v>
          </cell>
          <cell r="E3878">
            <v>1598.58</v>
          </cell>
          <cell r="F3878">
            <v>0</v>
          </cell>
        </row>
        <row r="3879">
          <cell r="B3879">
            <v>92594</v>
          </cell>
          <cell r="C3879" t="str">
            <v>FABRICAÇÃO E INSTALAÇÃO DE TESOURA INTEIRA EM AÇO, VÃO DE 9 M, PARA TELHA CERÂMICA OU DE CONCRETO, INCLUSO IÇAMENTO, EXCLUSIVE PINTURA. AF_10/2025</v>
          </cell>
          <cell r="D3879" t="str">
            <v>UN</v>
          </cell>
          <cell r="E3879">
            <v>1916.87</v>
          </cell>
          <cell r="F3879">
            <v>0</v>
          </cell>
        </row>
        <row r="3880">
          <cell r="B3880">
            <v>92614</v>
          </cell>
          <cell r="C3880" t="str">
            <v>FABRICAÇÃO E INSTALAÇÃO DE TESOURA INTEIRA EM AÇO, VÃO DE 9 M, PARA TELHA ONDULADA DE FIBROCIMENTO, METÁLICA, PLÁSTICA OU TERMOACÚSTICA, INCLUSO IÇAMENTO, EXCLUSIVE PINTURA. AF_10/2025</v>
          </cell>
          <cell r="D3880" t="str">
            <v>UN</v>
          </cell>
          <cell r="E3880">
            <v>1782.12</v>
          </cell>
          <cell r="F3880">
            <v>0</v>
          </cell>
        </row>
        <row r="3881">
          <cell r="B3881">
            <v>92552</v>
          </cell>
          <cell r="C3881" t="str">
            <v>FABRICAÇÃO E INSTALAÇÃO DE TESOURA INTEIRA EM MADEIRA NÃO APARELHADA, VÃO DE 10 M, PARA TELHA CERÂMICA OU DE CONCRETO, INCLUSO IÇAMENTO. AF_10/2025</v>
          </cell>
          <cell r="D3881" t="str">
            <v>UN</v>
          </cell>
          <cell r="E3881">
            <v>3290.39</v>
          </cell>
          <cell r="F3881">
            <v>0</v>
          </cell>
        </row>
        <row r="3882">
          <cell r="B3882">
            <v>92562</v>
          </cell>
          <cell r="C3882" t="str">
            <v>FABRICAÇÃO E INSTALAÇÃO DE TESOURA INTEIRA EM MADEIRA NÃO APARELHADA, VÃO DE 10 M, PARA TELHA ONDULADA DE FIBROCIMENTO, METÁLICA, PLÁSTICA OU TERMOACÚSTICA, INCLUSO IÇAMENTO. AF_10/2025</v>
          </cell>
          <cell r="D3882" t="str">
            <v>UN</v>
          </cell>
          <cell r="E3882">
            <v>3210.38</v>
          </cell>
          <cell r="F3882">
            <v>0</v>
          </cell>
        </row>
        <row r="3883">
          <cell r="B3883">
            <v>92553</v>
          </cell>
          <cell r="C3883" t="str">
            <v>FABRICAÇÃO E INSTALAÇÃO DE TESOURA INTEIRA EM MADEIRA NÃO APARELHADA, VÃO DE 11 M, PARA TELHA CERÂMICA OU DE CONCRETO, INCLUSO IÇAMENTO. AF_10/2025</v>
          </cell>
          <cell r="D3883" t="str">
            <v>UN</v>
          </cell>
          <cell r="E3883">
            <v>3824.71</v>
          </cell>
          <cell r="F3883">
            <v>0</v>
          </cell>
        </row>
        <row r="3884">
          <cell r="B3884">
            <v>92563</v>
          </cell>
          <cell r="C3884" t="str">
            <v>FABRICAÇÃO E INSTALAÇÃO DE TESOURA INTEIRA EM MADEIRA NÃO APARELHADA, VÃO DE 11 M, PARA TELHA ONDULADA DE FIBROCIMENTO, METÁLICA, PLÁSTICA OU TERMOACÚSTICA, INCLUSO IÇAMENTO. AF_10/2025</v>
          </cell>
          <cell r="D3884" t="str">
            <v>UN</v>
          </cell>
          <cell r="E3884">
            <v>3737.76</v>
          </cell>
          <cell r="F3884">
            <v>0</v>
          </cell>
        </row>
        <row r="3885">
          <cell r="B3885">
            <v>92554</v>
          </cell>
          <cell r="C3885" t="str">
            <v>FABRICAÇÃO E INSTALAÇÃO DE TESOURA INTEIRA EM MADEIRA NÃO APARELHADA, VÃO DE 12 M, PARA TELHA CERÂMICA OU DE CONCRETO, INCLUSO IÇAMENTO. AF_10/2025</v>
          </cell>
          <cell r="D3885" t="str">
            <v>UN</v>
          </cell>
          <cell r="E3885">
            <v>3953.71</v>
          </cell>
          <cell r="F3885">
            <v>0</v>
          </cell>
        </row>
        <row r="3886">
          <cell r="B3886">
            <v>92564</v>
          </cell>
          <cell r="C3886" t="str">
            <v>FABRICAÇÃO E INSTALAÇÃO DE TESOURA INTEIRA EM MADEIRA NÃO APARELHADA, VÃO DE 12 M, PARA TELHA ONDULADA DE FIBROCIMENTO, METÁLICA, PLÁSTICA OU TERMOACÚSTICA, INCLUSO IÇAMENTO. AF_10/2025</v>
          </cell>
          <cell r="D3886" t="str">
            <v>UN</v>
          </cell>
          <cell r="E3886">
            <v>3847.21</v>
          </cell>
          <cell r="F3886">
            <v>0</v>
          </cell>
        </row>
        <row r="3887">
          <cell r="B3887">
            <v>92545</v>
          </cell>
          <cell r="C3887" t="str">
            <v>FABRICAÇÃO E INSTALAÇÃO DE TESOURA INTEIRA EM MADEIRA NÃO APARELHADA, VÃO DE 3 M, PARA TELHA CERÂMICA OU DE CONCRETO, INCLUSO IÇAMENTO. AF_10/2025</v>
          </cell>
          <cell r="D3887" t="str">
            <v>UN</v>
          </cell>
          <cell r="E3887">
            <v>1271.79</v>
          </cell>
          <cell r="F3887">
            <v>0</v>
          </cell>
        </row>
        <row r="3888">
          <cell r="B3888">
            <v>92555</v>
          </cell>
          <cell r="C3888" t="str">
            <v>FABRICAÇÃO E INSTALAÇÃO DE TESOURA INTEIRA EM MADEIRA NÃO APARELHADA, VÃO DE 3 M, PARA TELHA ONDULADA DE FIBROCIMENTO, METÁLICA, PLÁSTICA OU TERMOACÚSTICA, INCLUSO IÇAMENTO. AF_10/2025</v>
          </cell>
          <cell r="D3888" t="str">
            <v>UN</v>
          </cell>
          <cell r="E3888">
            <v>1270.0999999999999</v>
          </cell>
          <cell r="F3888">
            <v>0</v>
          </cell>
        </row>
        <row r="3889">
          <cell r="B3889">
            <v>92546</v>
          </cell>
          <cell r="C3889" t="str">
            <v>FABRICAÇÃO E INSTALAÇÃO DE TESOURA INTEIRA EM MADEIRA NÃO APARELHADA, VÃO DE 4 M, PARA TELHA CERÂMICA OU DE CONCRETO, INCLUSO IÇAMENTO. AF_10/2025</v>
          </cell>
          <cell r="D3889" t="str">
            <v>UN</v>
          </cell>
          <cell r="E3889">
            <v>1611.29</v>
          </cell>
          <cell r="F3889">
            <v>0</v>
          </cell>
        </row>
        <row r="3890">
          <cell r="B3890">
            <v>92556</v>
          </cell>
          <cell r="C3890" t="str">
            <v>FABRICAÇÃO E INSTALAÇÃO DE TESOURA INTEIRA EM MADEIRA NÃO APARELHADA, VÃO DE 4 M, PARA TELHA ONDULADA DE FIBROCIMENTO, METÁLICA, PLÁSTICA OU TERMOACÚSTICA, INCLUSO IÇAMENTO. AF_10/2025</v>
          </cell>
          <cell r="D3890" t="str">
            <v>UN</v>
          </cell>
          <cell r="E3890">
            <v>1578.15</v>
          </cell>
          <cell r="F3890">
            <v>0</v>
          </cell>
        </row>
        <row r="3891">
          <cell r="B3891">
            <v>92547</v>
          </cell>
          <cell r="C3891" t="str">
            <v>FABRICAÇÃO E INSTALAÇÃO DE TESOURA INTEIRA EM MADEIRA NÃO APARELHADA, VÃO DE 5 M, PARA TELHA CERÂMICA OU DE CONCRETO, INCLUSO IÇAMENTO. AF_10/2025</v>
          </cell>
          <cell r="D3891" t="str">
            <v>UN</v>
          </cell>
          <cell r="E3891">
            <v>1698.14</v>
          </cell>
          <cell r="F3891">
            <v>0</v>
          </cell>
        </row>
        <row r="3892">
          <cell r="B3892">
            <v>92557</v>
          </cell>
          <cell r="C3892" t="str">
            <v>FABRICAÇÃO E INSTALAÇÃO DE TESOURA INTEIRA EM MADEIRA NÃO APARELHADA, VÃO DE 5 M, PARA TELHA ONDULADA DE FIBROCIMENTO, METÁLICA, PLÁSTICA OU TERMOACÚSTICA, INCLUSO IÇAMENTO. AF_10/2025</v>
          </cell>
          <cell r="D3892" t="str">
            <v>UN</v>
          </cell>
          <cell r="E3892">
            <v>1664.43</v>
          </cell>
          <cell r="F3892">
            <v>0</v>
          </cell>
        </row>
        <row r="3893">
          <cell r="B3893">
            <v>92548</v>
          </cell>
          <cell r="C3893" t="str">
            <v>FABRICAÇÃO E INSTALAÇÃO DE TESOURA INTEIRA EM MADEIRA NÃO APARELHADA, VÃO DE 6 M, PARA TELHA CERÂMICA OU DE CONCRETO, INCLUSO IÇAMENTO. AF_10/2025</v>
          </cell>
          <cell r="D3893" t="str">
            <v>UN</v>
          </cell>
          <cell r="E3893">
            <v>1904.14</v>
          </cell>
          <cell r="F3893">
            <v>0</v>
          </cell>
        </row>
        <row r="3894">
          <cell r="B3894">
            <v>92558</v>
          </cell>
          <cell r="C3894" t="str">
            <v>FABRICAÇÃO E INSTALAÇÃO DE TESOURA INTEIRA EM MADEIRA NÃO APARELHADA, VÃO DE 6 M, PARA TELHA ONDULADA DE FIBROCIMENTO, METÁLICA, PLÁSTICA OU TERMOACÚSTICA, INCLUSO IÇAMENTO. AF_10/2025</v>
          </cell>
          <cell r="D3894" t="str">
            <v>UN</v>
          </cell>
          <cell r="E3894">
            <v>1883.13</v>
          </cell>
          <cell r="F3894">
            <v>0</v>
          </cell>
        </row>
        <row r="3895">
          <cell r="B3895">
            <v>92549</v>
          </cell>
          <cell r="C3895" t="str">
            <v>FABRICAÇÃO E INSTALAÇÃO DE TESOURA INTEIRA EM MADEIRA NÃO APARELHADA, VÃO DE 7 M, PARA TELHA CERÂMICA OU DE CONCRETO, INCLUSO IÇAMENTO. AF_10/2025</v>
          </cell>
          <cell r="D3895" t="str">
            <v>UN</v>
          </cell>
          <cell r="E3895">
            <v>2430.1</v>
          </cell>
          <cell r="F3895">
            <v>0</v>
          </cell>
        </row>
        <row r="3896">
          <cell r="B3896">
            <v>92559</v>
          </cell>
          <cell r="C3896" t="str">
            <v>FABRICAÇÃO E INSTALAÇÃO DE TESOURA INTEIRA EM MADEIRA NÃO APARELHADA, VÃO DE 7 M, PARA TELHA ONDULADA DE FIBROCIMENTO, METÁLICA, PLÁSTICA OU TERMOACÚSTICA, INCLUSO IÇAMENTO. AF_10/2025</v>
          </cell>
          <cell r="D3896" t="str">
            <v>UN</v>
          </cell>
          <cell r="E3896">
            <v>2393.3200000000002</v>
          </cell>
          <cell r="F3896">
            <v>0</v>
          </cell>
        </row>
        <row r="3897">
          <cell r="B3897">
            <v>92550</v>
          </cell>
          <cell r="C3897" t="str">
            <v>FABRICAÇÃO E INSTALAÇÃO DE TESOURA INTEIRA EM MADEIRA NÃO APARELHADA, VÃO DE 8 M, PARA TELHA CERÂMICA OU DE CONCRETO, INCLUSO IÇAMENTO. AF_10/2025</v>
          </cell>
          <cell r="D3897" t="str">
            <v>UN</v>
          </cell>
          <cell r="E3897">
            <v>2889.65</v>
          </cell>
          <cell r="F3897">
            <v>0</v>
          </cell>
        </row>
        <row r="3898">
          <cell r="B3898">
            <v>92560</v>
          </cell>
          <cell r="C3898" t="str">
            <v>FABRICAÇÃO E INSTALAÇÃO DE TESOURA INTEIRA EM MADEIRA NÃO APARELHADA, VÃO DE 8 M, PARA TELHA ONDULADA DE FIBROCIMENTO, METÁLICA, PLÁSTICA OU TERMOACÚSTICA, INCLUSO IÇAMENTO. AF_10/2025</v>
          </cell>
          <cell r="D3898" t="str">
            <v>UN</v>
          </cell>
          <cell r="E3898">
            <v>2840.44</v>
          </cell>
          <cell r="F3898">
            <v>0</v>
          </cell>
        </row>
        <row r="3899">
          <cell r="B3899">
            <v>92551</v>
          </cell>
          <cell r="C3899" t="str">
            <v>FABRICAÇÃO E INSTALAÇÃO DE TESOURA INTEIRA EM MADEIRA NÃO APARELHADA, VÃO DE 9 M, PARA TELHA CERÂMICA OU DE CONCRETO, INCLUSO IÇAMENTO. AF_10/2025</v>
          </cell>
          <cell r="D3899" t="str">
            <v>UN</v>
          </cell>
          <cell r="E3899">
            <v>3001.97</v>
          </cell>
          <cell r="F3899">
            <v>0</v>
          </cell>
        </row>
        <row r="3900">
          <cell r="B3900">
            <v>92561</v>
          </cell>
          <cell r="C3900" t="str">
            <v>FABRICAÇÃO E INSTALAÇÃO DE TESOURA INTEIRA EM MADEIRA NÃO APARELHADA, VÃO DE 9 M, PARA TELHA ONDULADA DE FIBROCIMENTO, METÁLICA, PLÁSTICA OU TERMOACÚSTICA, INCLUSO IÇAMENTO. AF_10/2025</v>
          </cell>
          <cell r="D3900" t="str">
            <v>UN</v>
          </cell>
          <cell r="E3900">
            <v>2953.4</v>
          </cell>
          <cell r="F3900">
            <v>0</v>
          </cell>
        </row>
        <row r="3901">
          <cell r="B3901">
            <v>92262</v>
          </cell>
          <cell r="C3901" t="str">
            <v>INSTALAÇÃO DE TESOURA (INTEIRA OU MEIA), BIAPOIADA, EM MADEIRA NÃO APARELHADA, PARA VÃOS MAIORES OU IGUAIS A 10,0 M E MENORES QUE 12,0 M, INCLUSO IÇAMENTO. AF_10/2025</v>
          </cell>
          <cell r="D3901" t="str">
            <v>UN</v>
          </cell>
          <cell r="E3901">
            <v>907.35</v>
          </cell>
          <cell r="F3901">
            <v>0</v>
          </cell>
        </row>
        <row r="3902">
          <cell r="B3902">
            <v>106149</v>
          </cell>
          <cell r="C3902" t="str">
            <v>INSTALAÇÃO DE TESOURA (INTEIRA OU MEIA), BIAPOIADA, EM MADEIRA NÃO APARELHADA, PARA VÃOS MAIORES OU IGUAIS A 12,0 M E MENORES QUE 14,0 M, INCLUSO IÇAMENTO. AF_10/2025</v>
          </cell>
          <cell r="D3902" t="str">
            <v>UN</v>
          </cell>
          <cell r="E3902">
            <v>1061.23</v>
          </cell>
          <cell r="F3902">
            <v>0</v>
          </cell>
        </row>
        <row r="3903">
          <cell r="B3903">
            <v>106150</v>
          </cell>
          <cell r="C3903" t="str">
            <v>INSTALAÇÃO DE TESOURA (INTEIRA OU MEIA), BIAPOIADA, EM MADEIRA NÃO APARELHADA, PARA VÃOS MAIORES OU IGUAIS A 14,0 M E MENORES QUE 16,0 M, INCLUSO IÇAMENTO. AF_10/2025</v>
          </cell>
          <cell r="D3903" t="str">
            <v>UN</v>
          </cell>
          <cell r="E3903">
            <v>1239.72</v>
          </cell>
          <cell r="F3903">
            <v>0</v>
          </cell>
        </row>
        <row r="3904">
          <cell r="B3904">
            <v>106151</v>
          </cell>
          <cell r="C3904" t="str">
            <v>INSTALAÇÃO DE TESOURA (INTEIRA OU MEIA), BIAPOIADA, EM MADEIRA NÃO APARELHADA, PARA VÃOS MAIORES OU IGUAIS A 16,0 M E MENORES QUE 18,0 M, INCLUSO IÇAMENTO. AF_10/2025</v>
          </cell>
          <cell r="D3904" t="str">
            <v>UN</v>
          </cell>
          <cell r="E3904">
            <v>1442.82</v>
          </cell>
          <cell r="F3904">
            <v>0</v>
          </cell>
        </row>
        <row r="3905">
          <cell r="B3905">
            <v>92259</v>
          </cell>
          <cell r="C3905" t="str">
            <v>INSTALAÇÃO DE TESOURA (INTEIRA OU MEIA), BIAPOIADA, EM MADEIRA NÃO APARELHADA, PARA VÃOS MAIORES OU IGUAIS A 3,0 M E MENORES QUE 6,0 M, INCLUSO IÇAMENTO. AF_10/2025</v>
          </cell>
          <cell r="D3905" t="str">
            <v>UN</v>
          </cell>
          <cell r="E3905">
            <v>548.85</v>
          </cell>
          <cell r="F3905">
            <v>0</v>
          </cell>
        </row>
        <row r="3906">
          <cell r="B3906">
            <v>92260</v>
          </cell>
          <cell r="C3906" t="str">
            <v>INSTALAÇÃO DE TESOURA (INTEIRA OU MEIA), BIAPOIADA, EM MADEIRA NÃO APARELHADA, PARA VÃOS MAIORES OU IGUAIS A 6,0 M E MENORES QUE 8,0 M, INCLUSO IÇAMENTO. AF_10/2025</v>
          </cell>
          <cell r="D3906" t="str">
            <v>UN</v>
          </cell>
          <cell r="E3906">
            <v>650.39</v>
          </cell>
          <cell r="F3906">
            <v>0</v>
          </cell>
        </row>
        <row r="3907">
          <cell r="B3907">
            <v>92261</v>
          </cell>
          <cell r="C3907" t="str">
            <v>INSTALAÇÃO DE TESOURA (INTEIRA OU MEIA), BIAPOIADA, EM MADEIRA NÃO APARELHADA, PARA VÃOS MAIORES OU IGUAIS A 8,0 M E MENORES QUE 10,0 M, INCLUSO IÇAMENTO. AF_10/2025</v>
          </cell>
          <cell r="D3907" t="str">
            <v>UN</v>
          </cell>
          <cell r="E3907">
            <v>748.87</v>
          </cell>
          <cell r="F3907">
            <v>0</v>
          </cell>
        </row>
        <row r="3908">
          <cell r="B3908">
            <v>92258</v>
          </cell>
          <cell r="C3908" t="str">
            <v>INSTALAÇÃO DE TESOURA (INTEIRA OU MEIA), EM AÇO, PARA VÃOS MAIORES OU IGUAIS A 10,0 M E MENORES OU IGUAIS A 12,0 M, INCLUSO IÇAMENTO, EXCLUSIVE PINTURA. AF_10/2025_PE</v>
          </cell>
          <cell r="D3908" t="str">
            <v>UN</v>
          </cell>
          <cell r="E3908">
            <v>591.55999999999995</v>
          </cell>
          <cell r="F3908">
            <v>0</v>
          </cell>
        </row>
        <row r="3909">
          <cell r="B3909">
            <v>92255</v>
          </cell>
          <cell r="C3909" t="str">
            <v>INSTALAÇÃO DE TESOURA (INTEIRA OU MEIA), EM AÇO, PARA VÃOS MAIORES OU IGUAIS A 3,0 M E MENORES QUE 6,0 M, INCLUSO IÇAMENTO, EXCLUSIVE PINTURA. AF_10/2025_PE</v>
          </cell>
          <cell r="D3909" t="str">
            <v>UN</v>
          </cell>
          <cell r="E3909">
            <v>240.27</v>
          </cell>
          <cell r="F3909">
            <v>0</v>
          </cell>
        </row>
        <row r="3910">
          <cell r="B3910">
            <v>92256</v>
          </cell>
          <cell r="C3910" t="str">
            <v>INSTALAÇÃO DE TESOURA (INTEIRA OU MEIA), EM AÇO, PARA VÃOS MAIORES OU IGUAIS A 6,0 M E MENORES QUE 8,0 M, INCLUSO IÇAMENTO, EXCLUSIVE PINTURA. AF_10/2025_PE</v>
          </cell>
          <cell r="D3910" t="str">
            <v>UN</v>
          </cell>
          <cell r="E3910">
            <v>339.78</v>
          </cell>
          <cell r="F3910">
            <v>0</v>
          </cell>
        </row>
        <row r="3911">
          <cell r="B3911">
            <v>92257</v>
          </cell>
          <cell r="C3911" t="str">
            <v>INSTALAÇÃO DE TESOURA (INTEIRA OU MEIA), EM AÇO, PARA VÃOS MAIORES OU IGUAIS A 8,0 M E MENORES QUE 10,0 M, INCLUSO IÇAMENTO, EXCLUSIVE PINTURA. AF_10/2025_PE</v>
          </cell>
          <cell r="D3911" t="str">
            <v>UN</v>
          </cell>
          <cell r="E3911">
            <v>436.27</v>
          </cell>
          <cell r="F3911">
            <v>0</v>
          </cell>
        </row>
        <row r="3912">
          <cell r="B3912">
            <v>100393</v>
          </cell>
          <cell r="C3912" t="str">
            <v>RETIRADA E RECOLOCAÇÃO DE CAIBRO DE MADEIRA EM TELHADOS DE ATÉ 2 ÁGUAS COM TELHA CERÂMICA CAPA-CANAL, INCLUSO TRANSPORTE VERTICAL. AF_10/2025</v>
          </cell>
          <cell r="D3912" t="str">
            <v>M2</v>
          </cell>
          <cell r="E3912">
            <v>25.53</v>
          </cell>
          <cell r="F3912">
            <v>0</v>
          </cell>
        </row>
        <row r="3913">
          <cell r="B3913">
            <v>100389</v>
          </cell>
          <cell r="C3913" t="str">
            <v>RETIRADA E RECOLOCAÇÃO DE CAIBRO DE MADEIRA EM TELHADOS DE ATÉ 2 ÁGUAS COM TELHA CERÂMICA OU DE CONCRETO DE ENCAIXE, INCLUSO TRANSPORTE VERTICAL. AF_10/2025</v>
          </cell>
          <cell r="D3913" t="str">
            <v>M2</v>
          </cell>
          <cell r="E3913">
            <v>21.2</v>
          </cell>
          <cell r="F3913">
            <v>0</v>
          </cell>
        </row>
        <row r="3914">
          <cell r="B3914">
            <v>100395</v>
          </cell>
          <cell r="C3914" t="str">
            <v>RETIRADA E RECOLOCAÇÃO DE CAIBRO DE MADEIRA EM TELHADOS DE MAIS DE 2 ÁGUAS COM TELHA CERÂMICA CAPA-CANAL, INCLUSO TRANSPORTE VERTICAL. AF_10/2025</v>
          </cell>
          <cell r="D3914" t="str">
            <v>M2</v>
          </cell>
          <cell r="E3914">
            <v>28.18</v>
          </cell>
          <cell r="F3914">
            <v>0</v>
          </cell>
        </row>
        <row r="3915">
          <cell r="B3915">
            <v>100391</v>
          </cell>
          <cell r="C3915" t="str">
            <v>RETIRADA E RECOLOCAÇÃO DE CAIBRO DE MADEIRA EM TELHADOS DE MAIS DE 2 ÁGUAS COM TELHA CERÂMICA OU DE CONCRETO DE ENCAIXE, INCLUSO TRANSPORTE VERTICAL. AF_10/2025</v>
          </cell>
          <cell r="D3915" t="str">
            <v>M2</v>
          </cell>
          <cell r="E3915">
            <v>23.47</v>
          </cell>
          <cell r="F3915">
            <v>0</v>
          </cell>
        </row>
        <row r="3916">
          <cell r="B3916">
            <v>100392</v>
          </cell>
          <cell r="C3916" t="str">
            <v>RETIRADA E RECOLOCAÇÃO DE RIPA DE MADEIRA EM TELHADOS DE ATÉ 2 ÁGUAS COM TELHA CERÂMICA CAPA-CANAL, INCLUSO TRANSPORTE VERTICAL. AF_10/2025</v>
          </cell>
          <cell r="D3916" t="str">
            <v>M2</v>
          </cell>
          <cell r="E3916">
            <v>21.4</v>
          </cell>
          <cell r="F3916">
            <v>0</v>
          </cell>
        </row>
        <row r="3917">
          <cell r="B3917">
            <v>100388</v>
          </cell>
          <cell r="C3917" t="str">
            <v>RETIRADA E RECOLOCAÇÃO DE RIPA DE MADEIRA EM TELHADOS DE ATÉ 2 ÁGUAS COM TELHA CERÂMICA OU DE CONCRETO DE ENCAIXE, INCLUSO TRANSPORTE VERTICAL. AF_10/2025</v>
          </cell>
          <cell r="D3917" t="str">
            <v>M2</v>
          </cell>
          <cell r="E3917">
            <v>27.28</v>
          </cell>
          <cell r="F3917">
            <v>0</v>
          </cell>
        </row>
        <row r="3918">
          <cell r="B3918">
            <v>100394</v>
          </cell>
          <cell r="C3918" t="str">
            <v>RETIRADA E RECOLOCAÇÃO DE RIPA DE MADEIRA EM TELHADOS DE MAIS DE 2 ÁGUAS COM TELHA CERÂMICA CAPA-CANAL, INCLUSO TRANSPORTE VERTICAL. AF_10/2025</v>
          </cell>
          <cell r="D3918" t="str">
            <v>M2</v>
          </cell>
          <cell r="E3918">
            <v>25.17</v>
          </cell>
          <cell r="F3918">
            <v>0</v>
          </cell>
        </row>
        <row r="3919">
          <cell r="B3919">
            <v>100390</v>
          </cell>
          <cell r="C3919" t="str">
            <v>RETIRADA E RECOLOCAÇÃO DE RIPA DE MADEIRA EM TELHADOS DE MAIS DE 2 ÁGUAS COM TELHA CERÂMICA OU DE CONCRETO DE ENCAIXE, INCLUSO TRANSPORTE VERTICAL. AF_10/2025</v>
          </cell>
          <cell r="D3919" t="str">
            <v>M2</v>
          </cell>
          <cell r="E3919">
            <v>32.11</v>
          </cell>
          <cell r="F3919">
            <v>0</v>
          </cell>
        </row>
        <row r="3920">
          <cell r="B3920">
            <v>92575</v>
          </cell>
          <cell r="C3920" t="str">
            <v>TRAMA DE AÇO COMPOSTA POR RIPAS E CAIBROS PARA TELHADOS DE ATÉ 2 ÁGUAS PARA TELHA CERÂMICA CAPA-CANAL, INCLUSO TRANSPORTE VERTICAL, EXCLUSIVE PINTURA. AF_10/2025</v>
          </cell>
          <cell r="D3920" t="str">
            <v>M2</v>
          </cell>
          <cell r="E3920">
            <v>66.56</v>
          </cell>
          <cell r="F3920">
            <v>0</v>
          </cell>
        </row>
        <row r="3921">
          <cell r="B3921">
            <v>92569</v>
          </cell>
          <cell r="C3921" t="str">
            <v>TRAMA DE AÇO COMPOSTA POR RIPAS E CAIBROS PARA TELHADOS DE ATÉ 2 ÁGUAS PARA TELHA DE ENCAIXE DE CERÂMICA OU DE CONCRETO, INCLUSO TRANSPORTE VERTICAL, EXCLUSIVE PINTURA. AF_10/2025</v>
          </cell>
          <cell r="D3921" t="str">
            <v>M2</v>
          </cell>
          <cell r="E3921">
            <v>72.430000000000007</v>
          </cell>
          <cell r="F3921">
            <v>0</v>
          </cell>
        </row>
        <row r="3922">
          <cell r="B3922">
            <v>92578</v>
          </cell>
          <cell r="C3922" t="str">
            <v>TRAMA DE AÇO COMPOSTA POR RIPAS E CAIBROS PARA TELHADOS DE MAIS DE 2 ÁGUAS PARA TELHA CERÂMICA CAPA-CANAL, INCLUSO TRANSPORTE VERTICAL, EXCLUSIVE PINTURA. AF_10/2025</v>
          </cell>
          <cell r="D3922" t="str">
            <v>M2</v>
          </cell>
          <cell r="E3922">
            <v>70.13</v>
          </cell>
          <cell r="F3922">
            <v>0</v>
          </cell>
        </row>
        <row r="3923">
          <cell r="B3923">
            <v>92572</v>
          </cell>
          <cell r="C3923" t="str">
            <v>TRAMA DE AÇO COMPOSTA POR RIPAS E CAIBROS PARA TELHADOS DE MAIS DE 2 ÁGUAS PARA TELHA DE ENCAIXE DE CERÂMICA OU DE CONCRETO, INCLUSO TRANSPORTE VERTICAL, EXCLUSIVE PINTURA. AF_10/2025</v>
          </cell>
          <cell r="D3923" t="str">
            <v>M2</v>
          </cell>
          <cell r="E3923">
            <v>76.06</v>
          </cell>
          <cell r="F3923">
            <v>0</v>
          </cell>
        </row>
        <row r="3924">
          <cell r="B3924">
            <v>92576</v>
          </cell>
          <cell r="C3924" t="str">
            <v>TRAMA DE AÇO COMPOSTA POR RIPAS PARA TELHADOS DE ATÉ 2 ÁGUAS PARA TELHA CERÂMICA CAPA-CANAL, INCLUSO TRANSPORTE VERTICAL, EXCLUSIVE PINTURA. AF_10/2025</v>
          </cell>
          <cell r="D3924" t="str">
            <v>M2</v>
          </cell>
          <cell r="E3924">
            <v>35.85</v>
          </cell>
          <cell r="F3924">
            <v>0</v>
          </cell>
        </row>
        <row r="3925">
          <cell r="B3925">
            <v>92570</v>
          </cell>
          <cell r="C3925" t="str">
            <v>TRAMA DE AÇO COMPOSTA POR RIPAS PARA TELHADOS DE ATÉ 2 ÁGUAS PARA TELHA DE ENCAIXE DE CERÂMICA OU DE CONCRETO, INCLUSO TRANSPORTE VERTICAL, EXCLUSIVE PINTURA. AF_10/2025</v>
          </cell>
          <cell r="D3925" t="str">
            <v>M2</v>
          </cell>
          <cell r="E3925">
            <v>45.35</v>
          </cell>
          <cell r="F3925">
            <v>0</v>
          </cell>
        </row>
        <row r="3926">
          <cell r="B3926">
            <v>92579</v>
          </cell>
          <cell r="C3926" t="str">
            <v>TRAMA DE AÇO COMPOSTA POR RIPAS PARA TELHADOS DE MAIS DE 2 ÁGUAS PARA TELHA CERÂMICA CAPA-CANAL, INCLUSO TRANSPORTE VERTICAL, EXCLUSIVE PINTURA. AF_10/2025</v>
          </cell>
          <cell r="D3926" t="str">
            <v>M2</v>
          </cell>
          <cell r="E3926">
            <v>37.979999999999997</v>
          </cell>
          <cell r="F3926">
            <v>0</v>
          </cell>
        </row>
        <row r="3927">
          <cell r="B3927">
            <v>92573</v>
          </cell>
          <cell r="C3927" t="str">
            <v>TRAMA DE AÇO COMPOSTA POR RIPAS PARA TELHADOS DE MAIS DE 2 ÁGUAS PARA TELHA DE ENCAIXE DE CERÂMICA OU DE CONCRETO, INCLUSO TRANSPORTE VERTICAL, EXCLUSIVE PINTURA. AF_10/2025</v>
          </cell>
          <cell r="D3927" t="str">
            <v>M2</v>
          </cell>
          <cell r="E3927">
            <v>48.03</v>
          </cell>
          <cell r="F3927">
            <v>0</v>
          </cell>
        </row>
        <row r="3928">
          <cell r="B3928">
            <v>92574</v>
          </cell>
          <cell r="C3928" t="str">
            <v>TRAMA DE AÇO COMPOSTA POR RIPAS, CAIBROS E TERÇAS PARA TELHADOS DE ATÉ 2 ÁGUAS PARA TELHA CERÂMICA CAPA-CANAL, INCLUSO TRANSPORTE VERTICAL, EXCLUSIVE PINTURA. AF_10/2025</v>
          </cell>
          <cell r="D3928" t="str">
            <v>M2</v>
          </cell>
          <cell r="E3928">
            <v>135.25</v>
          </cell>
          <cell r="F3928">
            <v>0</v>
          </cell>
        </row>
        <row r="3929">
          <cell r="B3929">
            <v>92568</v>
          </cell>
          <cell r="C3929" t="str">
            <v>TRAMA DE AÇO COMPOSTA POR RIPAS, CAIBROS E TERÇAS PARA TELHADOS DE ATÉ 2 ÁGUAS PARA TELHA DE ENCAIXE DE CERÂMICA OU DE CONCRETO, INCLUSO TRANSPORTE VERTICAL, EXCLUSIVE PINTURA. AF_10/2025</v>
          </cell>
          <cell r="D3929" t="str">
            <v>M2</v>
          </cell>
          <cell r="E3929">
            <v>143.54</v>
          </cell>
          <cell r="F3929">
            <v>0</v>
          </cell>
        </row>
        <row r="3930">
          <cell r="B3930">
            <v>92577</v>
          </cell>
          <cell r="C3930" t="str">
            <v>TRAMA DE AÇO COMPOSTA POR RIPAS, CAIBROS E TERÇAS PARA TELHADOS DE MAIS DE 2 ÁGUAS PARA TELHA CERÂMICA CAPA-CANAL, INCLUSO TRANSPORTE VERTICAL, EXCLUSIVE PINTURA. AF_10/2025</v>
          </cell>
          <cell r="D3930" t="str">
            <v>M2</v>
          </cell>
          <cell r="E3930">
            <v>152.21</v>
          </cell>
          <cell r="F3930">
            <v>0</v>
          </cell>
        </row>
        <row r="3931">
          <cell r="B3931">
            <v>92571</v>
          </cell>
          <cell r="C3931" t="str">
            <v>TRAMA DE AÇO COMPOSTA POR RIPAS, CAIBROS E TERÇAS PARA TELHADOS DE MAIS DE 2 ÁGUAS PARA TELHA DE ENCAIXE DE CERÂMICA OU DE CONCRETO, INCLUSO TRANSPORTE VERTICAL, EXCLUSIVE PINTURA. AF_10/2025</v>
          </cell>
          <cell r="D3931" t="str">
            <v>M2</v>
          </cell>
          <cell r="E3931">
            <v>149.01</v>
          </cell>
          <cell r="F3931">
            <v>0</v>
          </cell>
        </row>
        <row r="3932">
          <cell r="B3932">
            <v>92581</v>
          </cell>
          <cell r="C3932" t="str">
            <v>TRAMA DE AÇO COMPOSTA POR TERÇAS PARA TELHADOS DE ATÉ 2 ÁGUAS PARA TELHA ESTRUTURAL DE FIBROCIMENTO, INCLUSO TRANSPORTE VERTICAL, EXCLUSIVE PINTURA. AF_10/2025</v>
          </cell>
          <cell r="D3932" t="str">
            <v>M2</v>
          </cell>
          <cell r="E3932">
            <v>53.96</v>
          </cell>
          <cell r="F3932">
            <v>0</v>
          </cell>
        </row>
        <row r="3933">
          <cell r="B3933">
            <v>104314</v>
          </cell>
          <cell r="C3933" t="str">
            <v>TRAMA DE AÇO COMPOSTA POR TERÇAS PARA TELHADOS DE ATÉ 2 ÁGUAS PARA TELHA ONDULADA DE FIBROCIMENTO, METÁLICA, PLÁSTICA OU TERMOACÚSTICA, INCLUSO TRANSPORTE VERTICAL (EM KG). EXCLUSIVE PINTURA. AF_10/2025_PS</v>
          </cell>
          <cell r="D3933" t="str">
            <v>KG</v>
          </cell>
          <cell r="E3933">
            <v>12.1</v>
          </cell>
          <cell r="F3933">
            <v>0</v>
          </cell>
        </row>
        <row r="3934">
          <cell r="B3934">
            <v>92580</v>
          </cell>
          <cell r="C3934" t="str">
            <v>TRAMA DE AÇO COMPOSTA POR TERÇAS PARA TELHADOS DE ATÉ 2 ÁGUAS PARA TELHA ONDULADA DE FIBROCIMENTO, METÁLICA, PLÁSTICA OU TERMOACÚSTICA, INCLUSO TRANSPORTE VERTICAL, EXCLUSIVE PINTURA. AF_10/2025_PS</v>
          </cell>
          <cell r="D3934" t="str">
            <v>M2</v>
          </cell>
          <cell r="E3934">
            <v>52.49</v>
          </cell>
          <cell r="F3934">
            <v>0</v>
          </cell>
        </row>
        <row r="3935">
          <cell r="B3935">
            <v>92539</v>
          </cell>
          <cell r="C3935" t="str">
            <v>TRAMA DE MADEIRA COMPOSTA POR RIPAS, CAIBROS E TERÇAS PARA TELHADOS DE ATÉ 2 ÁGUAS PARA TELHA CERÂMICA OU DE CONCRETO, INCLUSO TRANSPORTE VERTICAL. AF_10/2025</v>
          </cell>
          <cell r="D3935" t="str">
            <v>M2</v>
          </cell>
          <cell r="E3935">
            <v>109.19</v>
          </cell>
          <cell r="F3935">
            <v>0</v>
          </cell>
        </row>
        <row r="3936">
          <cell r="B3936">
            <v>92540</v>
          </cell>
          <cell r="C3936" t="str">
            <v>TRAMA DE MADEIRA COMPOSTA POR RIPAS, CAIBROS E TERÇAS PARA TELHADOS DE MAIS QUE 2 ÁGUAS PARA TELHA CERÂMICA OU DE CONCRETO, INCLUSO TRANSPORTE VERTICAL. AF_10/2025</v>
          </cell>
          <cell r="D3936" t="str">
            <v>M2</v>
          </cell>
          <cell r="E3936">
            <v>122.5</v>
          </cell>
          <cell r="F3936">
            <v>0</v>
          </cell>
        </row>
        <row r="3937">
          <cell r="B3937">
            <v>92544</v>
          </cell>
          <cell r="C3937" t="str">
            <v>TRAMA DE MADEIRA COMPOSTA POR TERÇAS PARA TELHADOS DE ATÉ 2 ÁGUAS PARA TELHA ESTRUTURAL DE FIBROCIMENTO, INCLUSO TRANSPORTE VERTICAL. AF_10/2025</v>
          </cell>
          <cell r="D3937" t="str">
            <v>M2</v>
          </cell>
          <cell r="E3937">
            <v>26.64</v>
          </cell>
          <cell r="F3937">
            <v>0</v>
          </cell>
        </row>
        <row r="3938">
          <cell r="B3938">
            <v>92543</v>
          </cell>
          <cell r="C3938" t="str">
            <v>TRAMA DE MADEIRA COMPOSTA POR TERÇAS PARA TELHADOS DE ATÉ 2 ÁGUAS PARA TELHA ONDULADA DE FIBROCIMENTO, METÁLICA, PLÁSTICA OU TERMOACÚSTICA, INCLUSO TRANSPORTE VERTICAL. AF_10/2025</v>
          </cell>
          <cell r="D3938" t="str">
            <v>M2</v>
          </cell>
          <cell r="E3938">
            <v>33.29</v>
          </cell>
          <cell r="F3938">
            <v>0</v>
          </cell>
        </row>
        <row r="3939">
          <cell r="B3939">
            <v>97725</v>
          </cell>
          <cell r="C3939" t="str">
            <v>FORNECIMENTO E MONTAGEM DE ESCADAS PRÉ-FABRICADAS, INCLUSO IÇAMENTO COM GUINDASTE. AF_03/2024</v>
          </cell>
          <cell r="D3939" t="str">
            <v>M3</v>
          </cell>
          <cell r="E3939">
            <v>0</v>
          </cell>
        </row>
        <row r="3940">
          <cell r="B3940">
            <v>97721</v>
          </cell>
          <cell r="C3940" t="str">
            <v>FORNECIMENTO E MONTAGEM DE LAJES ALVEOLARES PRÉ-FABRICADAS, INCLUSO IÇAMENTO COM GUINDASTE. AF_03/2024</v>
          </cell>
          <cell r="D3940" t="str">
            <v>M3</v>
          </cell>
          <cell r="E3940">
            <v>0</v>
          </cell>
        </row>
        <row r="3941">
          <cell r="B3941">
            <v>97722</v>
          </cell>
          <cell r="C3941" t="str">
            <v>FORNECIMENTO E MONTAGEM DE LAJES DUPLO T (PI) PRÉ-FABRICADAS, INCLUSO IÇAMENTO COM GUINDASTE. AF_03/2024</v>
          </cell>
          <cell r="D3941" t="str">
            <v>M3</v>
          </cell>
          <cell r="E3941">
            <v>0</v>
          </cell>
        </row>
        <row r="3942">
          <cell r="B3942">
            <v>97724</v>
          </cell>
          <cell r="C3942" t="str">
            <v>FORNECIMENTO E MONTAGEM DE PAINÉIS ESTRUTURAIS PRÉ-FABRICADOS, INCLUSO IÇAMENTO COM GUINDASTE. AF_03/2024</v>
          </cell>
          <cell r="D3942" t="str">
            <v>M3</v>
          </cell>
          <cell r="E3942">
            <v>0</v>
          </cell>
        </row>
        <row r="3943">
          <cell r="B3943">
            <v>97719</v>
          </cell>
          <cell r="C3943" t="str">
            <v>FORNECIMENTO E MONTAGEM DE PILARES PRÉ-FABRICADOS, INCLUSO IÇAMENTO COM GUINDASTE. AF_03/2024</v>
          </cell>
          <cell r="D3943" t="str">
            <v>M3</v>
          </cell>
          <cell r="E3943">
            <v>0</v>
          </cell>
        </row>
        <row r="3944">
          <cell r="B3944">
            <v>97723</v>
          </cell>
          <cell r="C3944" t="str">
            <v>FORNECIMENTO E MONTAGEM DE PRÉ-LAJE TRELIÇADA PRÉ-FABRICADAS, INCLUSO IÇAMENTO COM GUINDASTE. AF_03/2024</v>
          </cell>
          <cell r="D3944" t="str">
            <v>M3</v>
          </cell>
          <cell r="E3944">
            <v>0</v>
          </cell>
        </row>
        <row r="3945">
          <cell r="B3945">
            <v>104946</v>
          </cell>
          <cell r="C3945" t="str">
            <v>FORNECIMENTO E MONTAGEM DE TERÇAS PRÉ-FABRICADAS, INCLUSO IÇAMENTO COM GUINDASTE. AF_03/2024</v>
          </cell>
          <cell r="D3945" t="str">
            <v>M3</v>
          </cell>
          <cell r="E3945">
            <v>0</v>
          </cell>
        </row>
        <row r="3946">
          <cell r="B3946">
            <v>104944</v>
          </cell>
          <cell r="C3946" t="str">
            <v>FORNECIMENTO E MONTAGEM DE TESOURAS PRÉ-FABRICADAS, INCLUSO IÇAMENTO COM GUINDASTE. AF_03/2024</v>
          </cell>
          <cell r="D3946" t="str">
            <v>M3</v>
          </cell>
          <cell r="E3946">
            <v>0</v>
          </cell>
        </row>
        <row r="3947">
          <cell r="B3947">
            <v>104945</v>
          </cell>
          <cell r="C3947" t="str">
            <v>FORNECIMENTO E MONTAGEM DE VIGAS CALHA PRÉ-FABRICADAS, INCLUSO IÇAMENTO COM GUINDASTE. AF_03/2024</v>
          </cell>
          <cell r="D3947" t="str">
            <v>M3</v>
          </cell>
          <cell r="E3947">
            <v>0</v>
          </cell>
        </row>
        <row r="3948">
          <cell r="B3948">
            <v>97720</v>
          </cell>
          <cell r="C3948" t="str">
            <v>FORNECIMENTO E MONTAGEM DE VIGAS PRÉ-FABRICADAS, INCLUSO IÇAMENTO COM GUINDASTE. AF_03/2024</v>
          </cell>
          <cell r="D3948" t="str">
            <v>M3</v>
          </cell>
          <cell r="E3948">
            <v>0</v>
          </cell>
        </row>
        <row r="3949">
          <cell r="B3949">
            <v>97740</v>
          </cell>
          <cell r="C3949" t="str">
            <v>PEÇA CIRCULAR PRÉ-MOLDADA, VOLUME DE CONCRETO ACIMA DE 100 LITROS, TAXA DE AÇO APROXIMADA DE 30KG/M³. AF_03/2024</v>
          </cell>
          <cell r="D3949" t="str">
            <v>M3</v>
          </cell>
          <cell r="E3949">
            <v>2096.1999999999998</v>
          </cell>
          <cell r="F3949">
            <v>0</v>
          </cell>
        </row>
        <row r="3950">
          <cell r="B3950">
            <v>97738</v>
          </cell>
          <cell r="C3950" t="str">
            <v>PEÇA CIRCULAR PRÉ-MOLDADA, VOLUME DE CONCRETO DE 10 A 30 LITROS, TAXA DE FIBRA DE POLIPROPILENO APROXIMADA DE 6 KG/M³. AF_03/2024_PS</v>
          </cell>
          <cell r="D3950" t="str">
            <v>M3</v>
          </cell>
          <cell r="E3950">
            <v>4540.63</v>
          </cell>
          <cell r="F3950">
            <v>0</v>
          </cell>
        </row>
        <row r="3951">
          <cell r="B3951">
            <v>97739</v>
          </cell>
          <cell r="C3951" t="str">
            <v>PEÇA CIRCULAR PRÉ-MOLDADA, VOLUME DE CONCRETO DE 30 A 100 LITROS, TAXA DE AÇO APROXIMADA DE 30KG/M³. AF_03/2024</v>
          </cell>
          <cell r="D3951" t="str">
            <v>M3</v>
          </cell>
          <cell r="E3951">
            <v>3207.6</v>
          </cell>
          <cell r="F3951">
            <v>0</v>
          </cell>
        </row>
        <row r="3952">
          <cell r="B3952">
            <v>97736</v>
          </cell>
          <cell r="C3952" t="str">
            <v>PEÇA RETANGULAR PRÉ-MOLDADA, VOLUME DE CONCRETO ACIMA DE 100 LITROS, TAXA DE AÇO APROXIMADA DE 30KG/M³. AF_03/2024</v>
          </cell>
          <cell r="D3952" t="str">
            <v>M3</v>
          </cell>
          <cell r="E3952">
            <v>1535.56</v>
          </cell>
          <cell r="F3952">
            <v>0</v>
          </cell>
        </row>
        <row r="3953">
          <cell r="B3953">
            <v>97734</v>
          </cell>
          <cell r="C3953" t="str">
            <v>PEÇA RETANGULAR PRÉ-MOLDADA, VOLUME DE CONCRETO DE 10 A 30 LITROS, TAXA DE AÇO APROXIMADA DE 30KG/M³. AF_03/2024</v>
          </cell>
          <cell r="D3953" t="str">
            <v>M3</v>
          </cell>
          <cell r="E3953">
            <v>3508.97</v>
          </cell>
          <cell r="F3953">
            <v>0</v>
          </cell>
        </row>
        <row r="3954">
          <cell r="B3954">
            <v>97735</v>
          </cell>
          <cell r="C3954" t="str">
            <v>PEÇA RETANGULAR PRÉ-MOLDADA, VOLUME DE CONCRETO DE 30 A 100 LITROS, TAXA DE AÇO APROXIMADA DE 30KG/M³. AF_03/2024</v>
          </cell>
          <cell r="D3954" t="str">
            <v>M3</v>
          </cell>
          <cell r="E3954">
            <v>2798.81</v>
          </cell>
          <cell r="F3954">
            <v>0</v>
          </cell>
        </row>
        <row r="3955">
          <cell r="B3955">
            <v>97737</v>
          </cell>
          <cell r="C3955" t="str">
            <v>PEÇA RETANGULAR PRÉ-MOLDADA, VOLUME DE CONCRETO DE 30 A 70 LITROS, TAXA DE AÇO APROXIMADA DE 70KG/M³. AF_03/2024</v>
          </cell>
          <cell r="D3955" t="str">
            <v>M3</v>
          </cell>
          <cell r="E3955">
            <v>3559.63</v>
          </cell>
          <cell r="F3955">
            <v>0</v>
          </cell>
        </row>
        <row r="3956">
          <cell r="B3956">
            <v>97733</v>
          </cell>
          <cell r="C3956" t="str">
            <v>PEÇA RETANGULAR PRÉ-MOLDADA, VOLUME DE CONCRETO DE ATÉ 10 LITROS, TAXA DE AÇO APROXIMADA DE 30KG/M³. AF_03/2024</v>
          </cell>
          <cell r="D3956" t="str">
            <v>M3</v>
          </cell>
          <cell r="E3956">
            <v>3966.95</v>
          </cell>
          <cell r="F3956">
            <v>0</v>
          </cell>
        </row>
        <row r="3957">
          <cell r="B3957">
            <v>98616</v>
          </cell>
          <cell r="C3957" t="str">
            <v>CONTENÇÃO EM CORTINA COM ESTACAS ESPAÇADAS COM 30 CM DE DIÂMETRO E PROFUNDIDADE ATÉ 20 METROS. AF_02/2025</v>
          </cell>
          <cell r="D3957" t="str">
            <v>M2</v>
          </cell>
          <cell r="E3957">
            <v>238.53</v>
          </cell>
          <cell r="F3957">
            <v>0</v>
          </cell>
        </row>
        <row r="3958">
          <cell r="B3958">
            <v>98619</v>
          </cell>
          <cell r="C3958" t="str">
            <v>CONTENÇÃO EM CORTINA COM ESTACAS ESPAÇADAS COM 40 CM DE DIÂMETRO E PROFUNDIDADE ATÉ 20 METROS. AF_02/2025</v>
          </cell>
          <cell r="D3958" t="str">
            <v>M2</v>
          </cell>
          <cell r="E3958">
            <v>255.91</v>
          </cell>
          <cell r="F3958">
            <v>0</v>
          </cell>
        </row>
        <row r="3959">
          <cell r="B3959">
            <v>98622</v>
          </cell>
          <cell r="C3959" t="str">
            <v>CONTENÇÃO EM CORTINA COM ESTACAS ESPAÇADAS COM 50 CM DE DIÂMETRO E PROFUNDIDADE ATÉ 20 METROS. AF_02/2025</v>
          </cell>
          <cell r="D3959" t="str">
            <v>M2</v>
          </cell>
          <cell r="E3959">
            <v>392.1</v>
          </cell>
          <cell r="F3959">
            <v>0</v>
          </cell>
        </row>
        <row r="3960">
          <cell r="B3960">
            <v>98625</v>
          </cell>
          <cell r="C3960" t="str">
            <v>CONTENÇÃO EM CORTINA COM ESTACAS ESPAÇADAS COM 60 CM DE DIÂMETRO E PROFUNDIDADE ATÉ 20 METROS. AF_02/2025</v>
          </cell>
          <cell r="D3960" t="str">
            <v>M2</v>
          </cell>
          <cell r="E3960">
            <v>406.34</v>
          </cell>
          <cell r="F3960">
            <v>0</v>
          </cell>
        </row>
        <row r="3961">
          <cell r="B3961">
            <v>105918</v>
          </cell>
          <cell r="C3961" t="str">
            <v>CONTENÇÃO EM CORTINA COM ESTACAS SECANTES COM 40 CM DE DIÂMETRO E PROFUNDIDADE ATÉ 20 METROS. AF_02/2025</v>
          </cell>
          <cell r="D3961" t="str">
            <v>M2</v>
          </cell>
          <cell r="E3961">
            <v>0</v>
          </cell>
        </row>
        <row r="3962">
          <cell r="B3962">
            <v>98631</v>
          </cell>
          <cell r="C3962" t="str">
            <v>CONTENÇÃO EM CORTINA COM ESTACAS SECANTES COM 50 CM DE DIÂMETRO E PROFUNDIDADE ATÉ 20 METROS. AF_02/2025</v>
          </cell>
          <cell r="D3962" t="str">
            <v>M2</v>
          </cell>
          <cell r="E3962">
            <v>0</v>
          </cell>
        </row>
        <row r="3963">
          <cell r="B3963">
            <v>98637</v>
          </cell>
          <cell r="C3963" t="str">
            <v>CONTENÇÃO EM PAREDE DIAFRAGMA COM 30 CM DE ESPESSURA E PROFUNDIDADE ATÉ 25 METROS. AF_02/2025</v>
          </cell>
          <cell r="D3963" t="str">
            <v>M3</v>
          </cell>
          <cell r="E3963">
            <v>0</v>
          </cell>
        </row>
        <row r="3964">
          <cell r="B3964">
            <v>98641</v>
          </cell>
          <cell r="C3964" t="str">
            <v>CONTENÇÃO EM PAREDE DIAFRAGMA COM 40 CM DE ESPESSURA E PROFUNDIDADE ATÉ 25 METROS. AF_02/2025</v>
          </cell>
          <cell r="D3964" t="str">
            <v>M3</v>
          </cell>
          <cell r="E3964">
            <v>0</v>
          </cell>
        </row>
        <row r="3965">
          <cell r="B3965">
            <v>98645</v>
          </cell>
          <cell r="C3965" t="str">
            <v>CONTENÇÃO EM PAREDE DIAFRAGMA COM 50 CM DE ESPESSURA E PROFUNDIDADE ATÉ 25 METROS. AF_02/2025</v>
          </cell>
          <cell r="D3965" t="str">
            <v>M3</v>
          </cell>
          <cell r="E3965">
            <v>0</v>
          </cell>
        </row>
        <row r="3966">
          <cell r="B3966">
            <v>98649</v>
          </cell>
          <cell r="C3966" t="str">
            <v>CONTENÇÃO EM PAREDE DIAFRAGMA COM 60 CM DE ESPESSURA E PROFUNDIDADE ATÉ 25 METROS. AF_02/2025</v>
          </cell>
          <cell r="D3966" t="str">
            <v>M3</v>
          </cell>
          <cell r="E3966">
            <v>0</v>
          </cell>
        </row>
        <row r="3967">
          <cell r="B3967">
            <v>98653</v>
          </cell>
          <cell r="C3967" t="str">
            <v>CONTENÇÃO EM PAREDE DIAFRAGMA COM 80 CM DE ESPESSURA E PROFUNDIDADE ATÉ 25 METROS. AF_02/2025</v>
          </cell>
          <cell r="D3967" t="str">
            <v>M3</v>
          </cell>
          <cell r="E3967">
            <v>0</v>
          </cell>
        </row>
        <row r="3968">
          <cell r="B3968">
            <v>98657</v>
          </cell>
          <cell r="C3968" t="str">
            <v>EXECUÇÃO DE MURETA GUIA PARA CONTENÇÃO/FUNDAÇÃO, PARA LAMELAS ATÉ 0,80 M DE LARGURA. AF_02/2025</v>
          </cell>
          <cell r="D3968" t="str">
            <v>M</v>
          </cell>
          <cell r="E3968">
            <v>712.2</v>
          </cell>
          <cell r="F3968">
            <v>0</v>
          </cell>
        </row>
        <row r="3969">
          <cell r="B3969">
            <v>100344</v>
          </cell>
          <cell r="C3969" t="str">
            <v>ARMAÇÃO DE CORTINA DE CONTENÇÃO EM CONCRETO ARMADO, COM AÇO CA-50 DE 10 MM - MONTAGEM. AF_11/2024</v>
          </cell>
          <cell r="D3969" t="str">
            <v>KG</v>
          </cell>
          <cell r="E3969">
            <v>11.22</v>
          </cell>
          <cell r="F3969">
            <v>0</v>
          </cell>
        </row>
        <row r="3970">
          <cell r="B3970">
            <v>100345</v>
          </cell>
          <cell r="C3970" t="str">
            <v>ARMAÇÃO DE CORTINA DE CONTENÇÃO EM CONCRETO ARMADO, COM AÇO CA-50 DE 12,5 MM - MONTAGEM. AF_11/2024</v>
          </cell>
          <cell r="D3970" t="str">
            <v>KG</v>
          </cell>
          <cell r="E3970">
            <v>8.3800000000000008</v>
          </cell>
          <cell r="F3970">
            <v>0</v>
          </cell>
        </row>
        <row r="3971">
          <cell r="B3971">
            <v>100346</v>
          </cell>
          <cell r="C3971" t="str">
            <v>ARMAÇÃO DE CORTINA DE CONTENÇÃO EM CONCRETO ARMADO, COM AÇO CA-50 DE 16 MM - MONTAGEM. AF_11/2024</v>
          </cell>
          <cell r="D3971" t="str">
            <v>KG</v>
          </cell>
          <cell r="E3971">
            <v>7.84</v>
          </cell>
          <cell r="F3971">
            <v>0</v>
          </cell>
        </row>
        <row r="3972">
          <cell r="B3972">
            <v>100347</v>
          </cell>
          <cell r="C3972" t="str">
            <v>ARMAÇÃO DE CORTINA DE CONTENÇÃO EM CONCRETO ARMADO, COM AÇO CA-50 DE 20 MM - MONTAGEM. AF_11/2024</v>
          </cell>
          <cell r="D3972" t="str">
            <v>KG</v>
          </cell>
          <cell r="E3972">
            <v>8.6199999999999992</v>
          </cell>
          <cell r="F3972">
            <v>0</v>
          </cell>
        </row>
        <row r="3973">
          <cell r="B3973">
            <v>100348</v>
          </cell>
          <cell r="C3973" t="str">
            <v>ARMAÇÃO DE CORTINA DE CONTENÇÃO EM CONCRETO ARMADO, COM AÇO CA-50 DE 25 MM - MONTAGEM. AF_11/2024</v>
          </cell>
          <cell r="D3973" t="str">
            <v>KG</v>
          </cell>
          <cell r="E3973">
            <v>8.41</v>
          </cell>
          <cell r="F3973">
            <v>0</v>
          </cell>
        </row>
        <row r="3974">
          <cell r="B3974">
            <v>100342</v>
          </cell>
          <cell r="C3974" t="str">
            <v>ARMAÇÃO DE CORTINA DE CONTENÇÃO EM CONCRETO ARMADO, COM AÇO CA-50 DE 6,3 MM - MONTAGEM. AF_11/2024</v>
          </cell>
          <cell r="D3974" t="str">
            <v>KG</v>
          </cell>
          <cell r="E3974">
            <v>16.95</v>
          </cell>
          <cell r="F3974">
            <v>0</v>
          </cell>
        </row>
        <row r="3975">
          <cell r="B3975">
            <v>100343</v>
          </cell>
          <cell r="C3975" t="str">
            <v>ARMAÇÃO DE CORTINA DE CONTENÇÃO EM CONCRETO ARMADO, COM AÇO CA-50 DE 8 MM - MONTAGEM. AF_11/2024</v>
          </cell>
          <cell r="D3975" t="str">
            <v>KG</v>
          </cell>
          <cell r="E3975">
            <v>14.3</v>
          </cell>
          <cell r="F3975">
            <v>0</v>
          </cell>
        </row>
        <row r="3976">
          <cell r="B3976">
            <v>100349</v>
          </cell>
          <cell r="C3976" t="str">
            <v>CONCRETAGEM DE CORTINA DE CONTENÇÃO, ATRAVÉS DE BOMBA - LANÇAMENTO, ADENSAMENTO E ACABAMENTO. AF_11/2024</v>
          </cell>
          <cell r="D3976" t="str">
            <v>M3</v>
          </cell>
          <cell r="E3976">
            <v>584.29</v>
          </cell>
          <cell r="F3976">
            <v>0</v>
          </cell>
        </row>
        <row r="3977">
          <cell r="B3977">
            <v>100336</v>
          </cell>
          <cell r="C3977" t="str">
            <v>CONTENÇÃO EM PERFIL PRANCHADO COM PAINEL TRELIÇADO DUPLA FACE DE CONCRETO PRÉ-FABRICADO, PERFIS ESPAÇADOS A 1,5 M PARA 1 SUBSOLO. AF_11/2024</v>
          </cell>
          <cell r="D3977" t="str">
            <v>M2</v>
          </cell>
          <cell r="E3977">
            <v>0</v>
          </cell>
        </row>
        <row r="3978">
          <cell r="B3978">
            <v>100337</v>
          </cell>
          <cell r="C3978" t="str">
            <v>CONTENÇÃO EM PERFIL PRANCHADO COM PAINEL TRELIÇADO DUPLA FACE DE CONCRETO PRÉ-FABRICADO, PERFIS ESPAÇADOS A 1,5 M PARA 2 OU MAIS SUBSOLOS. AF_11/2024</v>
          </cell>
          <cell r="D3978" t="str">
            <v>M2</v>
          </cell>
          <cell r="E3978">
            <v>0</v>
          </cell>
        </row>
        <row r="3979">
          <cell r="B3979">
            <v>100339</v>
          </cell>
          <cell r="C3979" t="str">
            <v>CONTENÇÃO EM PERFIL PRANCHADO COM PAINEL TRELIÇADO DUPLA FACE DE CONCRETO PRÉ-FABRICADO, PERFIS ESPAÇADOS A 2 M PARA 1 SUBSOLO. AF_11/2024</v>
          </cell>
          <cell r="D3979" t="str">
            <v>M2</v>
          </cell>
          <cell r="E3979">
            <v>0</v>
          </cell>
        </row>
        <row r="3980">
          <cell r="B3980">
            <v>100340</v>
          </cell>
          <cell r="C3980" t="str">
            <v>CONTENÇÃO EM PERFIL PRANCHADO COM PAINEL TRELIÇADO DUPLA FACE DE CONCRETO PRÉ-FABRICADO, PERFIS ESPAÇADOS A 2 M PARA 2 OU MAIS SUBSOLOS. AF_11/2024</v>
          </cell>
          <cell r="D3980" t="str">
            <v>M2</v>
          </cell>
          <cell r="E3980">
            <v>0</v>
          </cell>
        </row>
        <row r="3981">
          <cell r="B3981">
            <v>105805</v>
          </cell>
          <cell r="C3981" t="str">
            <v>CONTENÇÃO EM PERFIL PRANCHADO COM PRANCHÃO DE MADEIRA, PERFIS ESPAÇADOS A 1,5 M PARA 1 SUBSOLO. AF_11/2024</v>
          </cell>
          <cell r="D3981" t="str">
            <v>M2</v>
          </cell>
          <cell r="E3981">
            <v>881.49</v>
          </cell>
          <cell r="F3981">
            <v>0</v>
          </cell>
        </row>
        <row r="3982">
          <cell r="B3982">
            <v>105806</v>
          </cell>
          <cell r="C3982" t="str">
            <v>CONTENÇÃO EM PERFIL PRANCHADO COM PRANCHÃO DE MADEIRA, PERFIS ESPAÇADOS A 1,5 M PARA 2 OU MAIS SUBSOLOS. AF_11/2024</v>
          </cell>
          <cell r="D3982" t="str">
            <v>M2</v>
          </cell>
          <cell r="E3982">
            <v>554.91999999999996</v>
          </cell>
          <cell r="F3982">
            <v>0</v>
          </cell>
        </row>
        <row r="3983">
          <cell r="B3983">
            <v>105807</v>
          </cell>
          <cell r="C3983" t="str">
            <v>CONTENÇÃO EM PERFIL PRANCHADO COM PRANCHÃO DE MADEIRA, PERFIS ESPAÇADOS A 2 M PARA 1 SUBSOLO. AF_11/2024</v>
          </cell>
          <cell r="D3983" t="str">
            <v>M2</v>
          </cell>
          <cell r="E3983">
            <v>702.03</v>
          </cell>
          <cell r="F3983">
            <v>0</v>
          </cell>
        </row>
        <row r="3984">
          <cell r="B3984">
            <v>105808</v>
          </cell>
          <cell r="C3984" t="str">
            <v>CONTENÇÃO EM PERFIL PRANCHADO COM PRANCHÃO DE MADEIRA, PERFIS ESPAÇADOS A 2 M PARA 2 OU MAIS SUBSOLOS. AF_11/2024</v>
          </cell>
          <cell r="D3984" t="str">
            <v>M2</v>
          </cell>
          <cell r="E3984">
            <v>457.11</v>
          </cell>
          <cell r="F3984">
            <v>0</v>
          </cell>
        </row>
        <row r="3985">
          <cell r="B3985">
            <v>100341</v>
          </cell>
          <cell r="C3985" t="str">
            <v>FABRICAÇÃO, MONTAGEM E DESMONTAGEM DE FÔRMA PARA CORTINA DE CONTENÇÃO, EM CHAPA DE MADEIRA COMPENSADA PLASTIFICADA, E = 18 MM, 10 UTILIZAÇÕES. AF_11/2024</v>
          </cell>
          <cell r="D3985" t="str">
            <v>M2</v>
          </cell>
          <cell r="E3985">
            <v>45.38</v>
          </cell>
          <cell r="F3985">
            <v>0</v>
          </cell>
        </row>
        <row r="3986">
          <cell r="B3986">
            <v>100351</v>
          </cell>
          <cell r="C3986" t="str">
            <v>MURO DE ARRIMO COM BLOCOS DE CONCRETO ESTRUTURAL E PILARES INTERMEDIÁRIOS, COM ALTURA MAIOR QUE 1,6 M E MENOR OU IGUAL A 2,8 M (EXCETO FUNDAÇÃO). AF_11/2024</v>
          </cell>
          <cell r="D3986" t="str">
            <v>M2</v>
          </cell>
          <cell r="E3986">
            <v>0</v>
          </cell>
        </row>
        <row r="3987">
          <cell r="B3987">
            <v>100353</v>
          </cell>
          <cell r="C3987" t="str">
            <v>MURO DE ARRIMO COM BLOCOS DE CONCRETO ESTRUTURAL E PILARES INTERMEDIÁRIOS, COM ALTURA MAIOR QUE 2,8 M E MENOR OU IGUAL A 4,0 M (EXCETO FUNDAÇÃO). AF_11/2024</v>
          </cell>
          <cell r="D3987" t="str">
            <v>M2</v>
          </cell>
          <cell r="E3987">
            <v>0</v>
          </cell>
        </row>
        <row r="3988">
          <cell r="B3988">
            <v>100350</v>
          </cell>
          <cell r="C3988" t="str">
            <v>MURO DE ARRIMO COM BLOCOS DE CONCRETO ESTRUTURAL, ATÉ 1,6 M DE ALTURA (EXCETO FUNDAÇÃO). AF_11/2024</v>
          </cell>
          <cell r="D3988" t="str">
            <v>M2</v>
          </cell>
          <cell r="E3988">
            <v>0</v>
          </cell>
        </row>
        <row r="3989">
          <cell r="B3989">
            <v>105043</v>
          </cell>
          <cell r="C3989" t="str">
            <v>PILAR DE MADEIRA ROLIÇA, EUCALIPTO OU EQUIVALENTE DA REGIÃO, FIXADO COM PORTA PILAR METÁLICO, DIÂMETRO DE 12 A 15 CM, APOIO ARTICULADO, COMPRIMENTO DE 3 M. AF_03/2024</v>
          </cell>
          <cell r="D3989" t="str">
            <v>M</v>
          </cell>
          <cell r="E3989">
            <v>0</v>
          </cell>
        </row>
        <row r="3990">
          <cell r="B3990">
            <v>105047</v>
          </cell>
          <cell r="C3990" t="str">
            <v>PILAR DE MADEIRA ROLIÇA, EUCALIPTO OU EQUIVALENTE DA REGIÃO, FIXADO COM PORTA PILAR METÁLICO, DIÂMETRO DE 12 A 15 CM, APOIO ARTICULADO, COMPRIMENTO DE 6 M. AF_03/2024</v>
          </cell>
          <cell r="D3990" t="str">
            <v>M</v>
          </cell>
          <cell r="E3990">
            <v>0</v>
          </cell>
        </row>
        <row r="3991">
          <cell r="B3991">
            <v>105044</v>
          </cell>
          <cell r="C3991" t="str">
            <v>PILAR DE MADEIRA ROLIÇA, EUCALIPTO OU EQUIVALENTE DA REGIÃO, FIXADO COM PORTA PILAR METÁLICO, DIÂMETRO DE 12 A 15 CM, APOIO ENGASTADO, COMPRIMENTO DE 3 M. AF_03/2024</v>
          </cell>
          <cell r="D3991" t="str">
            <v>M</v>
          </cell>
          <cell r="E3991">
            <v>0</v>
          </cell>
        </row>
        <row r="3992">
          <cell r="B3992">
            <v>105094</v>
          </cell>
          <cell r="C3992" t="str">
            <v>PILAR DE MADEIRA ROLIÇA, EUCALIPTO OU EQUIVALENTE DA REGIÃO, FIXADO COM PORTA PILAR METÁLICO, DIÂMETRO DE 12 A 15 CM, APOIO ENGASTADO, COMPRIMENTO DE 6 M. AF_03/2024</v>
          </cell>
          <cell r="D3992" t="str">
            <v>M</v>
          </cell>
          <cell r="E3992">
            <v>0</v>
          </cell>
        </row>
        <row r="3993">
          <cell r="B3993">
            <v>105096</v>
          </cell>
          <cell r="C3993" t="str">
            <v>PILAR DE MADEIRA ROLIÇA, EUCALIPTO OU EQUIVALENTE DA REGIÃO, FIXADO COM PORTA PILAR METÁLICO, DIÂMETRO DE 16 A 20 CM, APOIO ARTICULADO, COMPRIMENTO DE 3 M. AF_03/2024</v>
          </cell>
          <cell r="D3993" t="str">
            <v>M</v>
          </cell>
          <cell r="E3993">
            <v>0</v>
          </cell>
        </row>
        <row r="3994">
          <cell r="B3994">
            <v>105048</v>
          </cell>
          <cell r="C3994" t="str">
            <v>PILAR DE MADEIRA ROLIÇA, EUCALIPTO OU EQUIVALENTE DA REGIÃO, FIXADO COM PORTA PILAR METÁLICO, DIÂMETRO DE 16 A 20 CM, APOIO ARTICULADO, COMPRIMENTO DE 6 M. AF_03/2024</v>
          </cell>
          <cell r="D3994" t="str">
            <v>M</v>
          </cell>
          <cell r="E3994">
            <v>0</v>
          </cell>
        </row>
        <row r="3995">
          <cell r="B3995">
            <v>105097</v>
          </cell>
          <cell r="C3995" t="str">
            <v>PILAR DE MADEIRA ROLIÇA, EUCALIPTO OU EQUIVALENTE DA REGIÃO, FIXADO COM PORTA PILAR METÁLICO, DIÂMETRO DE 16 A 20 CM, APOIO ENGASTADO, COMPRIMENTO DE 3 M. AF_03/2024</v>
          </cell>
          <cell r="D3995" t="str">
            <v>M</v>
          </cell>
          <cell r="E3995">
            <v>0</v>
          </cell>
        </row>
        <row r="3996">
          <cell r="B3996">
            <v>105049</v>
          </cell>
          <cell r="C3996" t="str">
            <v>PILAR DE MADEIRA ROLIÇA, EUCALIPTO OU EQUIVALENTE DA REGIÃO, FIXADO COM PORTA PILAR METÁLICO, DIÂMETRO DE 16 A 20 CM, APOIO ENGASTADO, COMPRIMENTO DE 6 M. AF_03/2024</v>
          </cell>
          <cell r="D3996" t="str">
            <v>M</v>
          </cell>
          <cell r="E3996">
            <v>0</v>
          </cell>
        </row>
        <row r="3997">
          <cell r="B3997">
            <v>105051</v>
          </cell>
          <cell r="C3997" t="str">
            <v>PILAR DE MADEIRA ROLIÇA, EUCALIPTO OU EQUIVALENTE DA REGIÃO, FIXADO COM PORTA PILAR METÁLICO, DIÂMETRO DE 21 A 29 CM, APOIO ARTICULADO, COMPRIMENTO DE 3 M. AF_03/2024</v>
          </cell>
          <cell r="D3997" t="str">
            <v>M</v>
          </cell>
          <cell r="E3997">
            <v>0</v>
          </cell>
        </row>
        <row r="3998">
          <cell r="B3998">
            <v>105054</v>
          </cell>
          <cell r="C3998" t="str">
            <v>PILAR DE MADEIRA ROLIÇA, EUCALIPTO OU EQUIVALENTE DA REGIÃO, FIXADO COM PORTA PILAR METÁLICO, DIÂMETRO DE 21 A 29 CM, APOIO ARTICULADO, COMPRIMENTO DE 6 M. AF_03/2024</v>
          </cell>
          <cell r="D3998" t="str">
            <v>M</v>
          </cell>
          <cell r="E3998">
            <v>0</v>
          </cell>
        </row>
        <row r="3999">
          <cell r="B3999">
            <v>105052</v>
          </cell>
          <cell r="C3999" t="str">
            <v>PILAR DE MADEIRA ROLIÇA, EUCALIPTO OU EQUIVALENTE DA REGIÃO, FIXADO COM PORTA PILAR METÁLICO, DIÂMETRO DE 21 A 29 CM, APOIO ENGASTADO, COMPRIMENTO DE 3 M. AF_03/2024</v>
          </cell>
          <cell r="D3999" t="str">
            <v>M</v>
          </cell>
          <cell r="E3999">
            <v>0</v>
          </cell>
        </row>
        <row r="4000">
          <cell r="B4000">
            <v>105055</v>
          </cell>
          <cell r="C4000" t="str">
            <v>PILAR DE MADEIRA ROLIÇA, EUCALIPTO OU EQUIVALENTE DA REGIÃO, FIXADO COM PORTA PILAR METÁLICO, DIÂMETRO DE 21 A 29 CM, APOIO ENGASTADO, COMPRIMENTO DE 6 M. AF_03/2024</v>
          </cell>
          <cell r="D4000" t="str">
            <v>M</v>
          </cell>
          <cell r="E4000">
            <v>0</v>
          </cell>
        </row>
        <row r="4001">
          <cell r="B4001">
            <v>105065</v>
          </cell>
          <cell r="C4001" t="str">
            <v>PILAR DE MADEIRA ROLIÇA, EUCALIPTO OU EQUIVALENTE DA REGIÃO, FIXADO COM PORTA PILAR METÁLICO, DIÂMETRO DE 30 A 34 CM, APOIO ARTICULADO, COMPRIMENTO DE 3 M. AF_03/2024</v>
          </cell>
          <cell r="D4001" t="str">
            <v>M</v>
          </cell>
          <cell r="E4001">
            <v>0</v>
          </cell>
        </row>
        <row r="4002">
          <cell r="B4002">
            <v>105059</v>
          </cell>
          <cell r="C4002" t="str">
            <v>PILAR DE MADEIRA ROLIÇA, EUCALIPTO OU EQUIVALENTE DA REGIÃO, FIXADO COM PORTA PILAR METÁLICO, DIÂMETRO DE 30 A 34 CM, APOIO ARTICULADO, COMPRIMENTO DE 6 M. AF_03/2024</v>
          </cell>
          <cell r="D4002" t="str">
            <v>M</v>
          </cell>
          <cell r="E4002">
            <v>0</v>
          </cell>
        </row>
        <row r="4003">
          <cell r="B4003">
            <v>105057</v>
          </cell>
          <cell r="C4003" t="str">
            <v>PILAR DE MADEIRA ROLIÇA, EUCALIPTO OU EQUIVALENTE DA REGIÃO, FIXADO COM PORTA PILAR METÁLICO, DIÂMETRO DE 30 A 34 CM, APOIO ENGASTADO, COMPRIMENTO DE 3 M. AF_03/2024</v>
          </cell>
          <cell r="D4003" t="str">
            <v>M</v>
          </cell>
          <cell r="E4003">
            <v>0</v>
          </cell>
        </row>
        <row r="4004">
          <cell r="B4004">
            <v>105060</v>
          </cell>
          <cell r="C4004" t="str">
            <v>PILAR DE MADEIRA ROLIÇA, EUCALIPTO OU EQUIVALENTE DA REGIÃO, FIXADO COM PORTA PILAR METÁLICO, DIÂMETRO DE 30 A 34 CM, APOIO ENGASTADO, COMPRIMENTO DE 6 M. AF_03/2024</v>
          </cell>
          <cell r="D4004" t="str">
            <v>M</v>
          </cell>
          <cell r="E4004">
            <v>0</v>
          </cell>
        </row>
        <row r="4005">
          <cell r="B4005">
            <v>105042</v>
          </cell>
          <cell r="C4005" t="str">
            <v>PILAR DE MADEIRA ROLIÇA, EUCALIPTO OU EQUIVALENTE DA REGIÃO, FIXADO COM VERGALHÃO, DIÂMETRO DE 12 A 15 CM, APOIO ARTICULADO, COMPRIMENTO DE 3 M. AF_03/2024</v>
          </cell>
          <cell r="D4005" t="str">
            <v>M</v>
          </cell>
          <cell r="E4005">
            <v>72.28</v>
          </cell>
          <cell r="F4005">
            <v>0</v>
          </cell>
        </row>
        <row r="4006">
          <cell r="B4006">
            <v>105046</v>
          </cell>
          <cell r="C4006" t="str">
            <v>PILAR DE MADEIRA ROLIÇA, EUCALIPTO OU EQUIVALENTE DA REGIÃO, FIXADO COM VERGALHÃO, DIÂMETRO DE 12 A 15 CM, APOIO ARTICULADO, COMPRIMENTO DE 6 M. AF_03/2024</v>
          </cell>
          <cell r="D4006" t="str">
            <v>M</v>
          </cell>
          <cell r="E4006">
            <v>59.48</v>
          </cell>
          <cell r="F4006">
            <v>0</v>
          </cell>
        </row>
        <row r="4007">
          <cell r="B4007">
            <v>105095</v>
          </cell>
          <cell r="C4007" t="str">
            <v>PILAR DE MADEIRA ROLIÇA, EUCALIPTO OU EQUIVALENTE DA REGIÃO, FIXADO COM VERGALHÃO, DIÂMETRO DE 16 A 20 CM, APOIO ARTICULADO, COMPRIMENTO DE 3 M. AF_03/2024</v>
          </cell>
          <cell r="D4007" t="str">
            <v>M</v>
          </cell>
          <cell r="E4007">
            <v>105.03</v>
          </cell>
          <cell r="F4007">
            <v>0</v>
          </cell>
        </row>
        <row r="4008">
          <cell r="B4008">
            <v>105098</v>
          </cell>
          <cell r="C4008" t="str">
            <v>PILAR DE MADEIRA ROLIÇA, EUCALIPTO OU EQUIVALENTE DA REGIÃO, FIXADO COM VERGALHÃO, DIÂMETRO DE 16 A 20 CM, APOIO ARTICULADO, COMPRIMENTO DE 6 M. AF_03/2024</v>
          </cell>
          <cell r="D4008" t="str">
            <v>M</v>
          </cell>
          <cell r="E4008">
            <v>92.25</v>
          </cell>
          <cell r="F4008">
            <v>0</v>
          </cell>
        </row>
        <row r="4009">
          <cell r="B4009">
            <v>105050</v>
          </cell>
          <cell r="C4009" t="str">
            <v>PILAR DE MADEIRA ROLIÇA, EUCALIPTO OU EQUIVALENTE DA REGIÃO, FIXADO COM VERGALHÃO, DIÂMETRO DE 21 A 29 CM, APOIO ARTICULADO, COMPRIMENTO DE 3 M. AF_03/2024</v>
          </cell>
          <cell r="D4009" t="str">
            <v>M</v>
          </cell>
          <cell r="E4009">
            <v>212.14</v>
          </cell>
          <cell r="F4009">
            <v>0</v>
          </cell>
        </row>
        <row r="4010">
          <cell r="B4010">
            <v>105053</v>
          </cell>
          <cell r="C4010" t="str">
            <v>PILAR DE MADEIRA ROLIÇA, EUCALIPTO OU EQUIVALENTE DA REGIÃO, FIXADO COM VERGALHÃO, DIÂMETRO DE 21 A 29 CM, APOIO ARTICULADO, COMPRIMENTO DE 6 M. AF_03/2024</v>
          </cell>
          <cell r="D4010" t="str">
            <v>M</v>
          </cell>
          <cell r="E4010">
            <v>199.52</v>
          </cell>
          <cell r="F4010">
            <v>0</v>
          </cell>
        </row>
        <row r="4011">
          <cell r="B4011">
            <v>105056</v>
          </cell>
          <cell r="C4011" t="str">
            <v>PILAR DE MADEIRA ROLIÇA, EUCALIPTO OU EQUIVALENTE DA REGIÃO, FIXADO COM VERGALHÃO, DIÂMETRO DE 30 A 34 CM, APOIO ARTICULADO, COMPRIMENTO DE 3 M. AF_03/2024</v>
          </cell>
          <cell r="D4011" t="str">
            <v>M</v>
          </cell>
          <cell r="E4011">
            <v>291.01</v>
          </cell>
          <cell r="F4011">
            <v>0</v>
          </cell>
        </row>
        <row r="4012">
          <cell r="B4012">
            <v>105058</v>
          </cell>
          <cell r="C4012" t="str">
            <v>PILAR DE MADEIRA ROLIÇA, EUCALIPTO OU EQUIVALENTE DA REGIÃO, FIXADO COM VERGALHÃO, DIÂMETRO DE 30 A 34 CM, APOIO ARTICULADO, COMPRIMENTO DE 6 M. AF_03/2024</v>
          </cell>
          <cell r="D4012" t="str">
            <v>M</v>
          </cell>
          <cell r="E4012">
            <v>279.31</v>
          </cell>
          <cell r="F4012">
            <v>0</v>
          </cell>
        </row>
        <row r="4013">
          <cell r="B4013">
            <v>105062</v>
          </cell>
          <cell r="C4013" t="str">
            <v>PILAR DE MADEIRA SERRADA, MAÇARANDUBA OU EQUIVALENTE DA REGIÃO, NÃO APARELHADO, FIXADO COM PORTA PILAR METÁLICO, SEÇÃO QUADRADA 10 X 10 CM, APOIO ARTICULADO, COMPRIMENTO DE 3 M. AF_03/2024</v>
          </cell>
          <cell r="D4013" t="str">
            <v>M</v>
          </cell>
          <cell r="E4013">
            <v>0</v>
          </cell>
        </row>
        <row r="4014">
          <cell r="B4014">
            <v>105066</v>
          </cell>
          <cell r="C4014" t="str">
            <v>PILAR DE MADEIRA SERRADA, MAÇARANDUBA OU EQUIVALENTE DA REGIÃO, NÃO APARELHADO, FIXADO COM PORTA PILAR METÁLICO, SEÇÃO QUADRADA 10 X 10 CM, APOIO ARTICULADO, COMPRIMENTO DE 6 M. AF_03/2024</v>
          </cell>
          <cell r="D4014" t="str">
            <v>M</v>
          </cell>
          <cell r="E4014">
            <v>0</v>
          </cell>
        </row>
        <row r="4015">
          <cell r="B4015">
            <v>105063</v>
          </cell>
          <cell r="C4015" t="str">
            <v>PILAR DE MADEIRA SERRADA, MAÇARANDUBA OU EQUIVALENTE DA REGIÃO, NÃO APARELHADO, FIXADO COM PORTA PILAR METÁLICO, SEÇÃO QUADRADA 10 X 10 CM, APOIO ENGASTADO, COMPRIMENTO DE 3 M. AF_03/2024</v>
          </cell>
          <cell r="D4015" t="str">
            <v>M</v>
          </cell>
          <cell r="E4015">
            <v>0</v>
          </cell>
        </row>
        <row r="4016">
          <cell r="B4016">
            <v>105067</v>
          </cell>
          <cell r="C4016" t="str">
            <v>PILAR DE MADEIRA SERRADA, MAÇARANDUBA OU EQUIVALENTE DA REGIÃO, NÃO APARELHADO, FIXADO COM PORTA PILAR METÁLICO, SEÇÃO QUADRADA 10 X 10 CM, APOIO ENGASTADO, COMPRIMENTO DE 6 M. AF_03/2024</v>
          </cell>
          <cell r="D4016" t="str">
            <v>M</v>
          </cell>
          <cell r="E4016">
            <v>0</v>
          </cell>
        </row>
        <row r="4017">
          <cell r="B4017">
            <v>105069</v>
          </cell>
          <cell r="C4017" t="str">
            <v>PILAR DE MADEIRA SERRADA, MAÇARANDUBA OU EQUIVALENTE DA REGIÃO, NÃO APARELHADO, FIXADO COM PORTA PILAR METÁLICO, SEÇÃO QUADRADA 15 X 15 CM, APOIO ARTICULADO, COMPRIMENTO DE 3 M. AF_03/2024</v>
          </cell>
          <cell r="D4017" t="str">
            <v>M</v>
          </cell>
          <cell r="E4017">
            <v>0</v>
          </cell>
        </row>
        <row r="4018">
          <cell r="B4018">
            <v>105072</v>
          </cell>
          <cell r="C4018" t="str">
            <v>PILAR DE MADEIRA SERRADA, MAÇARANDUBA OU EQUIVALENTE DA REGIÃO, NÃO APARELHADO, FIXADO COM PORTA PILAR METÁLICO, SEÇÃO QUADRADA 15 X 15 CM, APOIO ARTICULADO, COMPRIMENTO DE 6 M. AF_03/2024</v>
          </cell>
          <cell r="D4018" t="str">
            <v>M</v>
          </cell>
          <cell r="E4018">
            <v>0</v>
          </cell>
        </row>
        <row r="4019">
          <cell r="B4019">
            <v>105070</v>
          </cell>
          <cell r="C4019" t="str">
            <v>PILAR DE MADEIRA SERRADA, MAÇARANDUBA OU EQUIVALENTE DA REGIÃO, NÃO APARELHADO, FIXADO COM PORTA PILAR METÁLICO, SEÇÃO QUADRADA 15 X 15 CM, APOIO ENGASTADO, COMPRIMENTO DE 3 M. AF_03/2024</v>
          </cell>
          <cell r="D4019" t="str">
            <v>M</v>
          </cell>
          <cell r="E4019">
            <v>0</v>
          </cell>
        </row>
        <row r="4020">
          <cell r="B4020">
            <v>105073</v>
          </cell>
          <cell r="C4020" t="str">
            <v>PILAR DE MADEIRA SERRADA, MAÇARANDUBA OU EQUIVALENTE DA REGIÃO, NÃO APARELHADO, FIXADO COM PORTA PILAR METÁLICO, SEÇÃO QUADRADA 15 X 15 CM, APOIO ENGASTADO, COMPRIMENTO DE 6 M. AF_03/2024</v>
          </cell>
          <cell r="D4020" t="str">
            <v>M</v>
          </cell>
          <cell r="E4020">
            <v>0</v>
          </cell>
        </row>
        <row r="4021">
          <cell r="B4021">
            <v>105075</v>
          </cell>
          <cell r="C4021" t="str">
            <v>PILAR DE MADEIRA SERRADA, MAÇARANDUBA OU EQUIVALENTE DA REGIÃO, NÃO APARELHADO, FIXADO COM PORTA PILAR METÁLICO, SEÇÃO QUADRADA 20 X 20 CM, APOIO ARTICULADO, COMPRIMENTO DE 3 M. AF_03/2024</v>
          </cell>
          <cell r="D4021" t="str">
            <v>M</v>
          </cell>
          <cell r="E4021">
            <v>0</v>
          </cell>
        </row>
        <row r="4022">
          <cell r="B4022">
            <v>105078</v>
          </cell>
          <cell r="C4022" t="str">
            <v>PILAR DE MADEIRA SERRADA, MAÇARANDUBA OU EQUIVALENTE DA REGIÃO, NÃO APARELHADO, FIXADO COM PORTA PILAR METÁLICO, SEÇÃO QUADRADA 20 X 20 CM, APOIO ARTICULADO, COMPRIMENTO DE 6 M. AF_03/2024</v>
          </cell>
          <cell r="D4022" t="str">
            <v>M</v>
          </cell>
          <cell r="E4022">
            <v>0</v>
          </cell>
        </row>
        <row r="4023">
          <cell r="B4023">
            <v>105076</v>
          </cell>
          <cell r="C4023" t="str">
            <v>PILAR DE MADEIRA SERRADA, MAÇARANDUBA OU EQUIVALENTE DA REGIÃO, NÃO APARELHADO, FIXADO COM PORTA PILAR METÁLICO, SEÇÃO QUADRADA 20 X 20 CM, APOIO ENGASTADO, COMPRIMENTO DE 3 M. AF_03/2024</v>
          </cell>
          <cell r="D4023" t="str">
            <v>M</v>
          </cell>
          <cell r="E4023">
            <v>0</v>
          </cell>
        </row>
        <row r="4024">
          <cell r="B4024">
            <v>105079</v>
          </cell>
          <cell r="C4024" t="str">
            <v>PILAR DE MADEIRA SERRADA, MAÇARANDUBA OU EQUIVALENTE DA REGIÃO, NÃO APARELHADO, FIXADO COM PORTA PILAR METÁLICO, SEÇÃO QUADRADA 20 X 20 CM, APOIO ENGASTADO, COMPRIMENTO DE 6 M. AF_03/2024</v>
          </cell>
          <cell r="D4024" t="str">
            <v>M</v>
          </cell>
          <cell r="E4024">
            <v>0</v>
          </cell>
        </row>
        <row r="4025">
          <cell r="B4025">
            <v>105061</v>
          </cell>
          <cell r="C4025" t="str">
            <v>PILAR DE MADEIRA SERRADA, MAÇARANDUBA OU EQUIVALENTE DA REGIÃO, NÃO APARELHADO, FIXADO COM VERGALHÃO, SEÇÃO QUADRADA 10 X 10 CM, APOIO ARTICULADO, COMPRIMENTO DE 3 M. AF_03/2024</v>
          </cell>
          <cell r="D4025" t="str">
            <v>M</v>
          </cell>
          <cell r="E4025">
            <v>116.96</v>
          </cell>
          <cell r="F4025">
            <v>0</v>
          </cell>
        </row>
        <row r="4026">
          <cell r="B4026">
            <v>105064</v>
          </cell>
          <cell r="C4026" t="str">
            <v>PILAR DE MADEIRA SERRADA, MAÇARANDUBA OU EQUIVALENTE DA REGIÃO, NÃO APARELHADO, FIXADO COM VERGALHÃO, SEÇÃO QUADRADA 10 X 10 CM, APOIO ARTICULADO, COMPRIMENTO DE 6 M. AF_03/2024</v>
          </cell>
          <cell r="D4026" t="str">
            <v>M</v>
          </cell>
          <cell r="E4026">
            <v>100.39</v>
          </cell>
          <cell r="F4026">
            <v>0</v>
          </cell>
        </row>
        <row r="4027">
          <cell r="B4027">
            <v>105068</v>
          </cell>
          <cell r="C4027" t="str">
            <v>PILAR DE MADEIRA SERRADA, MAÇARANDUBA OU EQUIVALENTE DA REGIÃO, NÃO APARELHADO, FIXADO COM VERGALHÃO, SEÇÃO QUADRADA 15 X 15 CM, APOIO ARTICULADO, COMPRIMENTO DE 3 M. AF_03/2024</v>
          </cell>
          <cell r="D4027" t="str">
            <v>M</v>
          </cell>
          <cell r="E4027">
            <v>194.81</v>
          </cell>
          <cell r="F4027">
            <v>0</v>
          </cell>
        </row>
        <row r="4028">
          <cell r="B4028">
            <v>105071</v>
          </cell>
          <cell r="C4028" t="str">
            <v>PILAR DE MADEIRA SERRADA, MAÇARANDUBA OU EQUIVALENTE DA REGIÃO, NÃO APARELHADO, FIXADO COM VERGALHÃO, SEÇÃO QUADRADA 15 X 15 CM, APOIO ARTICULADO, COMPRIMENTO DE 6 M. AF_03/2024</v>
          </cell>
          <cell r="D4028" t="str">
            <v>M</v>
          </cell>
          <cell r="E4028">
            <v>178.26</v>
          </cell>
          <cell r="F4028">
            <v>0</v>
          </cell>
        </row>
        <row r="4029">
          <cell r="B4029">
            <v>105074</v>
          </cell>
          <cell r="C4029" t="str">
            <v>PILAR DE MADEIRA SERRADA, MAÇARANDUBA OU EQUIVALENTE DA REGIÃO, NÃO APARELHADO, FIXADO COM VERGALHÃO, SEÇÃO QUADRADA 20 X 20 CM, APOIO ARTICULADO, COMPRIMENTO DE 3 M. AF_03/2024</v>
          </cell>
          <cell r="D4029" t="str">
            <v>M</v>
          </cell>
          <cell r="E4029">
            <v>303.74</v>
          </cell>
          <cell r="F4029">
            <v>0</v>
          </cell>
        </row>
        <row r="4030">
          <cell r="B4030">
            <v>105077</v>
          </cell>
          <cell r="C4030" t="str">
            <v>PILAR DE MADEIRA SERRADA, MAÇARANDUBA OU EQUIVALENTE DA REGIÃO, NÃO APARELHADO, FIXADO COM VERGALHÃO, SEÇÃO QUADRADA 20 X 20 CM, APOIO ARTICULADO, COMPRIMENTO DE 6 M. AF_03/2024</v>
          </cell>
          <cell r="D4030" t="str">
            <v>M</v>
          </cell>
          <cell r="E4030">
            <v>287.27</v>
          </cell>
          <cell r="F4030">
            <v>0</v>
          </cell>
        </row>
        <row r="4031">
          <cell r="B4031">
            <v>105090</v>
          </cell>
          <cell r="C4031" t="str">
            <v>PISO DE MADEIRA, SOBRE VIGOTAS DE MADEIRA SEÇÃO 7,5 X 15 CM. AF_03/2024</v>
          </cell>
          <cell r="D4031" t="str">
            <v>M2</v>
          </cell>
          <cell r="E4031">
            <v>579</v>
          </cell>
          <cell r="F4031">
            <v>0</v>
          </cell>
        </row>
        <row r="4032">
          <cell r="B4032">
            <v>105099</v>
          </cell>
          <cell r="C4032" t="str">
            <v>VIGA DE MADEIRA ROLIÇA, EUCALIPTO OU EQUIVALENTE DA REGIÃO, DIÂMETRO DE 12 A 15 CM. AF_03/2024</v>
          </cell>
          <cell r="D4032" t="str">
            <v>M</v>
          </cell>
          <cell r="E4032">
            <v>89.2</v>
          </cell>
          <cell r="F4032">
            <v>0</v>
          </cell>
        </row>
        <row r="4033">
          <cell r="B4033">
            <v>105100</v>
          </cell>
          <cell r="C4033" t="str">
            <v>VIGA DE MADEIRA ROLIÇA, EUCALIPTO OU EQUIVALENTE DA REGIÃO, DIÂMETRO DE 16 A 20 CM. AF_03/2024</v>
          </cell>
          <cell r="D4033" t="str">
            <v>M</v>
          </cell>
          <cell r="E4033">
            <v>125.59</v>
          </cell>
          <cell r="F4033">
            <v>0</v>
          </cell>
        </row>
        <row r="4034">
          <cell r="B4034">
            <v>105101</v>
          </cell>
          <cell r="C4034" t="str">
            <v>VIGA DE MADEIRA ROLIÇA, EUCALIPTO OU EQUIVALENTE DA REGIÃO, DIÂMETRO DE 21 A 29 CM. AF_03/2024</v>
          </cell>
          <cell r="D4034" t="str">
            <v>M</v>
          </cell>
          <cell r="E4034">
            <v>240.3</v>
          </cell>
          <cell r="F4034">
            <v>0</v>
          </cell>
        </row>
        <row r="4035">
          <cell r="B4035">
            <v>105102</v>
          </cell>
          <cell r="C4035" t="str">
            <v>VIGA DE MADEIRA ROLIÇA, EUCALIPTO OU EQUIVALENTE DA REGIÃO, DIÂMETRO DE 30 A 34 CM. AF_03/2024</v>
          </cell>
          <cell r="D4035" t="str">
            <v>M</v>
          </cell>
          <cell r="E4035">
            <v>329.04</v>
          </cell>
          <cell r="F4035">
            <v>0</v>
          </cell>
        </row>
        <row r="4036">
          <cell r="B4036">
            <v>105080</v>
          </cell>
          <cell r="C4036" t="str">
            <v>VIGA DE MADEIRA SERRADA, MAÇARANDUBA OU EQUIVALENTE DA REGIÃO, APARELHADA, SEÇÃO RETANGULAR 6 X 12 CM. AF_03/2024</v>
          </cell>
          <cell r="D4036" t="str">
            <v>M</v>
          </cell>
          <cell r="E4036">
            <v>74.849999999999994</v>
          </cell>
          <cell r="F4036">
            <v>0</v>
          </cell>
        </row>
        <row r="4037">
          <cell r="B4037">
            <v>105081</v>
          </cell>
          <cell r="C4037" t="str">
            <v>VIGA DE MADEIRA SERRADA, MAÇARANDUBA OU EQUIVALENTE DA REGIÃO, APARELHADA, SEÇÃO RETANGULAR 6 X 16 CM. AF_03/2024</v>
          </cell>
          <cell r="D4037" t="str">
            <v>M</v>
          </cell>
          <cell r="E4037">
            <v>87.22</v>
          </cell>
          <cell r="F4037">
            <v>0</v>
          </cell>
        </row>
        <row r="4038">
          <cell r="B4038">
            <v>105091</v>
          </cell>
          <cell r="C4038" t="str">
            <v>VIGA DE MADEIRA SERRADA, MAÇARANDUBA OU EQUIVALENTE DA REGIÃO, APARELHADA, SEÇÃO RETANGULAR 7,5 X 23 CM. AF_03/2024</v>
          </cell>
          <cell r="D4038" t="str">
            <v>M</v>
          </cell>
          <cell r="E4038">
            <v>154.84</v>
          </cell>
          <cell r="F4038">
            <v>0</v>
          </cell>
        </row>
        <row r="4039">
          <cell r="B4039">
            <v>105089</v>
          </cell>
          <cell r="C4039" t="str">
            <v>VIGA DE MADEIRA SERRADA, MAÇARANDUBA OU EQUIVALENTE DA REGIÃO, APARELHADA, SEÇÃO RETANGULAR 8 X 30 CM. AF_03/2024</v>
          </cell>
          <cell r="D4039" t="str">
            <v>M</v>
          </cell>
          <cell r="E4039">
            <v>196.39</v>
          </cell>
          <cell r="F4039">
            <v>0</v>
          </cell>
        </row>
        <row r="4040">
          <cell r="B4040">
            <v>105082</v>
          </cell>
          <cell r="C4040" t="str">
            <v>VIGA DE MADEIRA SERRADA, MAÇARANDUBA OU EQUIVALENTE DA REGIÃO, NÃO APARELHADA, SEÇÃO RETANGULAR 6 X 12 CM. AF_03/2024</v>
          </cell>
          <cell r="D4040" t="str">
            <v>M</v>
          </cell>
          <cell r="E4040">
            <v>78.180000000000007</v>
          </cell>
          <cell r="F4040">
            <v>0</v>
          </cell>
        </row>
        <row r="4041">
          <cell r="B4041">
            <v>105083</v>
          </cell>
          <cell r="C4041" t="str">
            <v>VIGA DE MADEIRA SERRADA, MAÇARANDUBA OU EQUIVALENTE DA REGIÃO, NÃO APARELHADA, SEÇÃO RETANGULAR 6 X 16 CM. AF_03/2024</v>
          </cell>
          <cell r="D4041" t="str">
            <v>M</v>
          </cell>
          <cell r="E4041">
            <v>88.74</v>
          </cell>
          <cell r="F4041">
            <v>0</v>
          </cell>
        </row>
        <row r="4042">
          <cell r="B4042">
            <v>105084</v>
          </cell>
          <cell r="C4042" t="str">
            <v>VIGA DE MADEIRA SERRADA, MAÇARANDUBA OU EQUIVALENTE DA REGIÃO, NÃO APARELHADA, SEÇÃO RETANGULAR 6 X 20 CM. AF_03/2024</v>
          </cell>
          <cell r="D4042" t="str">
            <v>M</v>
          </cell>
          <cell r="E4042">
            <v>111.1</v>
          </cell>
          <cell r="F4042">
            <v>0</v>
          </cell>
        </row>
        <row r="4043">
          <cell r="B4043">
            <v>105086</v>
          </cell>
          <cell r="C4043" t="str">
            <v>VIGA DE MADEIRA SERRADA, MAÇARANDUBA OU EQUIVALENTE DA REGIÃO, NÃO APARELHADA, SEÇÃO RETANGULAR 6 X 25 CM. AF_03/2024</v>
          </cell>
          <cell r="D4043" t="str">
            <v>M</v>
          </cell>
          <cell r="E4043">
            <v>103.07</v>
          </cell>
          <cell r="F4043">
            <v>0</v>
          </cell>
        </row>
        <row r="4044">
          <cell r="B4044">
            <v>105087</v>
          </cell>
          <cell r="C4044" t="str">
            <v>VIGA DE MADEIRA SERRADA, MAÇARANDUBA OU EQUIVALENTE DA REGIÃO, NÃO APARELHADA, SEÇÃO RETANGULAR 6 X 30 CM. AF_03/2024</v>
          </cell>
          <cell r="D4044" t="str">
            <v>M</v>
          </cell>
          <cell r="E4044">
            <v>116.25</v>
          </cell>
          <cell r="F4044">
            <v>0</v>
          </cell>
        </row>
        <row r="4045">
          <cell r="B4045">
            <v>105088</v>
          </cell>
          <cell r="C4045" t="str">
            <v>VIGA DE MADEIRA SERRADA, MAÇARANDUBA OU EQUIVALENTE DA REGIÃO, NÃO APARELHADA, SEÇÃO RETANGULAR 6 X 40 CM. AF_03/2024</v>
          </cell>
          <cell r="D4045" t="str">
            <v>M</v>
          </cell>
          <cell r="E4045">
            <v>213.06</v>
          </cell>
          <cell r="F4045">
            <v>0</v>
          </cell>
        </row>
        <row r="4046">
          <cell r="B4046">
            <v>105092</v>
          </cell>
          <cell r="C4046" t="str">
            <v>VIGA DE MADEIRA SERRADA, MAÇARANDUBA OU EQUIVALENTE DA REGIÃO, NÃO APARELHADA, SEÇÃO RETANGULAR 7,5 X 23 CM. AF_03/2024</v>
          </cell>
          <cell r="D4046" t="str">
            <v>M</v>
          </cell>
          <cell r="E4046">
            <v>168.74</v>
          </cell>
          <cell r="F4046">
            <v>0</v>
          </cell>
        </row>
        <row r="4047">
          <cell r="B4047">
            <v>105085</v>
          </cell>
          <cell r="C4047" t="str">
            <v>VIGA DE MADEIRA SERRADA, MAÇARANDUBA OU EQUIVALENTE DA REGIÃO, NÃO APARELHADA, SEÇÃO RETANGULAR 8 X 16 CM. AF_03/2024</v>
          </cell>
          <cell r="D4047" t="str">
            <v>M</v>
          </cell>
          <cell r="E4047">
            <v>116.31</v>
          </cell>
          <cell r="F4047">
            <v>0</v>
          </cell>
        </row>
        <row r="4048">
          <cell r="B4048">
            <v>105093</v>
          </cell>
          <cell r="C4048" t="str">
            <v>VIGA DE MADEIRA SERRADA, MAÇARANDUBA OU EQUIVALENTE DA REGIÃO, NÃO APARELHADA, SEÇÃO RETANGULAR 8 X 30 CM. AF_03/2024</v>
          </cell>
          <cell r="D4048" t="str">
            <v>M</v>
          </cell>
          <cell r="E4048">
            <v>171.39</v>
          </cell>
          <cell r="F4048">
            <v>0</v>
          </cell>
        </row>
        <row r="4049">
          <cell r="B4049">
            <v>105041</v>
          </cell>
          <cell r="C4049" t="str">
            <v>VIGA DE MADEIRA SERRADA, PINUS OU EQUIVALENTE DA REGIÃO, SEÇÃO RETANGULAR 7,5 X 10 CM. AF_03/2024</v>
          </cell>
          <cell r="D4049" t="str">
            <v>M</v>
          </cell>
          <cell r="E4049">
            <v>56.96</v>
          </cell>
          <cell r="F4049">
            <v>0</v>
          </cell>
        </row>
        <row r="4050">
          <cell r="B4050">
            <v>105045</v>
          </cell>
          <cell r="C4050" t="str">
            <v>VIGA DE MADEIRA SERRADA, PINUS OU EQUIVALENTE DA REGIÃO, SEÇÃO RETANGULAR 7,5 X 15 CM. AF_03/2024</v>
          </cell>
          <cell r="D4050" t="str">
            <v>M</v>
          </cell>
          <cell r="E4050">
            <v>64.88</v>
          </cell>
          <cell r="F4050">
            <v>0</v>
          </cell>
        </row>
        <row r="4051">
          <cell r="B4051">
            <v>93961</v>
          </cell>
          <cell r="C4051" t="str">
            <v>EXECUÇÃO DE GRAMPO PARA SOLO GRAMPEADO COM COMPRIMENTO MAIOR QUE 10 M, DIÂMETRO DE 10 CM, PERFURAÇÃO COM EQUIPAMENTO MANUAL E ARMADURA COM DIÂMETRO DE 20 MM. AF_07/2024</v>
          </cell>
          <cell r="D4051" t="str">
            <v>M</v>
          </cell>
          <cell r="E4051">
            <v>243.29</v>
          </cell>
          <cell r="F4051">
            <v>0</v>
          </cell>
        </row>
        <row r="4052">
          <cell r="B4052">
            <v>93971</v>
          </cell>
          <cell r="C4052" t="str">
            <v>EXECUÇÃO DE GRAMPO PARA SOLO GRAMPEADO COM COMPRIMENTO MAIOR QUE 10 M, DIÂMETRO DE 7 CM, PERFURAÇÃO COM EQUIPAMENTO MANUAL E ARMADURA COM DIÂMETRO DE 20 MM. AF_07/2024</v>
          </cell>
          <cell r="D4052" t="str">
            <v>M</v>
          </cell>
          <cell r="E4052">
            <v>202.78</v>
          </cell>
          <cell r="F4052">
            <v>0</v>
          </cell>
        </row>
        <row r="4053">
          <cell r="B4053">
            <v>93959</v>
          </cell>
          <cell r="C4053" t="str">
            <v>EXECUÇÃO DE GRAMPO PARA SOLO GRAMPEADO COM COMPRIMENTO MAIOR QUE 6 M E MENOR OU IGUAL A 10 M, DIÂMETRO DE 10 CM, PERFURAÇÃO COM EQUIPAMENTO MANUAL E ARMADURA COM DIÂMETRO DE 20 MM. AF_07/2024</v>
          </cell>
          <cell r="D4053" t="str">
            <v>M</v>
          </cell>
          <cell r="E4053">
            <v>272.69</v>
          </cell>
          <cell r="F4053">
            <v>0</v>
          </cell>
        </row>
        <row r="4054">
          <cell r="B4054">
            <v>93969</v>
          </cell>
          <cell r="C4054" t="str">
            <v>EXECUÇÃO DE GRAMPO PARA SOLO GRAMPEADO COM COMPRIMENTO MAIOR QUE 6 M E MENOR OU IGUAL A 10 M, DIÂMETRO DE 7 CM, PERFURAÇÃO COM EQUIPAMENTO MANUAL E ARMADURA COM DIÂMETRO DE 20 MM. AF_07/2024</v>
          </cell>
          <cell r="D4054" t="str">
            <v>M</v>
          </cell>
          <cell r="E4054">
            <v>226.55</v>
          </cell>
          <cell r="F4054">
            <v>0</v>
          </cell>
        </row>
        <row r="4055">
          <cell r="B4055">
            <v>93957</v>
          </cell>
          <cell r="C4055" t="str">
            <v>EXECUÇÃO DE GRAMPO PARA SOLO GRAMPEADO COM COMPRIMENTO MENOR OU IGUAL A 6 M, DIÂMETRO DE 10 CM, PERFURAÇÃO COM EQUIPAMENTO MANUAL E ARMADURA COM DIÂMETRO DE 20 MM. AF_07/2024</v>
          </cell>
          <cell r="D4055" t="str">
            <v>M</v>
          </cell>
          <cell r="E4055">
            <v>342.8</v>
          </cell>
          <cell r="F4055">
            <v>0</v>
          </cell>
        </row>
        <row r="4056">
          <cell r="B4056">
            <v>93967</v>
          </cell>
          <cell r="C4056" t="str">
            <v>EXECUÇÃO DE GRAMPO PARA SOLO GRAMPEADO COM COMPRIMENTO MENOR OU IGUAL A 6 M, DIÂMETRO DE 7 CM, PERFURAÇÃO COM EQUIPAMENTO MANUAL E ARMADURA COM DIÂMETRO DE 20 MM. AF_07/2024</v>
          </cell>
          <cell r="D4056" t="str">
            <v>M</v>
          </cell>
          <cell r="E4056">
            <v>285.24</v>
          </cell>
          <cell r="F4056">
            <v>0</v>
          </cell>
        </row>
        <row r="4057">
          <cell r="B4057">
            <v>104878</v>
          </cell>
          <cell r="C4057" t="str">
            <v>EXECUÇÃO DE LONGARINA, PARA TIRANTES PERMANENTES, COM PERFIL METÁLICO, INCLUINDO CUNHA E SOLIDARIZAÇÃO. AF_11/2023</v>
          </cell>
          <cell r="D4057" t="str">
            <v>UN</v>
          </cell>
          <cell r="E4057">
            <v>2378.66</v>
          </cell>
          <cell r="F4057">
            <v>0</v>
          </cell>
        </row>
        <row r="4058">
          <cell r="B4058">
            <v>104877</v>
          </cell>
          <cell r="C4058" t="str">
            <v>EXECUÇÃO DE LONGARINA, PARA TIRANTES PROVISÓRIOS, COM PERFIL METÁLICO, INCLUINDO CUNHA E SOLIDARIZAÇÃO. AF_11/2023</v>
          </cell>
          <cell r="D4058" t="str">
            <v>UN</v>
          </cell>
          <cell r="E4058">
            <v>676.26</v>
          </cell>
          <cell r="F4058">
            <v>0</v>
          </cell>
        </row>
        <row r="4059">
          <cell r="B4059">
            <v>104841</v>
          </cell>
          <cell r="C4059" t="str">
            <v>EXECUÇÃO DE PERFURAÇÃO PARA TIRANTE, COMPRIMENTO MAIOR OU IGUAL A 14 M E MENOR QUE 22 M, COM DIÂMETRO DE FURO DE 100 MM EXECUTADO COM HASTE E TUBOS DE REVESTIMENTO UTILIZANDO PERFURATRIZ SOBRE ESTEIRA. AF_11/2023</v>
          </cell>
          <cell r="D4059" t="str">
            <v>M</v>
          </cell>
          <cell r="E4059">
            <v>93.56</v>
          </cell>
          <cell r="F4059">
            <v>0</v>
          </cell>
        </row>
        <row r="4060">
          <cell r="B4060">
            <v>104849</v>
          </cell>
          <cell r="C4060" t="str">
            <v>EXECUÇÃO DE PERFURAÇÃO PARA TIRANTE, COMPRIMENTO MAIOR OU IGUAL A 14 M E MENOR QUE 22 M, COM DIÂMETRO DE FURO DE 100 MM EXECUTADO COM HASTE UTILIZANDO PERFURATRIZ MANUAL SOBRE BASE DE MONTAGEM. AF_11/2023</v>
          </cell>
          <cell r="D4060" t="str">
            <v>M</v>
          </cell>
          <cell r="E4060">
            <v>63.57</v>
          </cell>
          <cell r="F4060">
            <v>0</v>
          </cell>
        </row>
        <row r="4061">
          <cell r="B4061">
            <v>104887</v>
          </cell>
          <cell r="C4061" t="str">
            <v>EXECUÇÃO DE PERFURAÇÃO PARA TIRANTE, COMPRIMENTO MAIOR OU IGUAL A 14 M E MENOR QUE 22 M, COM DIÂMETRO DE FURO DE 100 MM EXECUTADO COM HASTE UTILIZANDO PERFURATRIZ SOBRE ESTEIRA. AF_11/2023</v>
          </cell>
          <cell r="D4061" t="str">
            <v>M</v>
          </cell>
          <cell r="E4061">
            <v>47.61</v>
          </cell>
          <cell r="F4061">
            <v>0</v>
          </cell>
        </row>
        <row r="4062">
          <cell r="B4062">
            <v>104844</v>
          </cell>
          <cell r="C4062" t="str">
            <v>EXECUÇÃO DE PERFURAÇÃO PARA TIRANTE, COMPRIMENTO MAIOR OU IGUAL A 14 M E MENOR QUE 22 M, COM DIÂMETRO DE FURO DE 150 MM EXECUTADO COM HASTE E TUBOS DE REVESTIMENTO UTILIZANDO PERFURATRIZ SOBRE ESTEIRA. AF_11/2023</v>
          </cell>
          <cell r="D4062" t="str">
            <v>M</v>
          </cell>
          <cell r="E4062">
            <v>103.73</v>
          </cell>
          <cell r="F4062">
            <v>0</v>
          </cell>
        </row>
        <row r="4063">
          <cell r="B4063">
            <v>104852</v>
          </cell>
          <cell r="C4063" t="str">
            <v>EXECUÇÃO DE PERFURAÇÃO PARA TIRANTE, COMPRIMENTO MAIOR OU IGUAL A 14 M E MENOR QUE 22 M, COM DIÂMETRO DE FURO DE 150 MM EXECUTADO COM HASTE UTILIZANDO PERFURATRIZ MANUAL SOBRE BASE DE MONTAGEM. AF_11/2023</v>
          </cell>
          <cell r="D4063" t="str">
            <v>M</v>
          </cell>
          <cell r="E4063">
            <v>70.489999999999995</v>
          </cell>
          <cell r="F4063">
            <v>0</v>
          </cell>
        </row>
        <row r="4064">
          <cell r="B4064">
            <v>104846</v>
          </cell>
          <cell r="C4064" t="str">
            <v>EXECUÇÃO DE PERFURAÇÃO PARA TIRANTE, COMPRIMENTO MAIOR OU IGUAL A 14 M E MENOR QUE 22 M, COM DIÂMETRO DE FURO DE 200 MM EXECUTADO COM HASTE E TUBOS DE REVESTIMENTO UTILIZANDO PERFURATRIZ SOBRE ESTEIRA. AF_11/2023</v>
          </cell>
          <cell r="D4064" t="str">
            <v>M</v>
          </cell>
          <cell r="E4064">
            <v>118.85</v>
          </cell>
          <cell r="F4064">
            <v>0</v>
          </cell>
        </row>
        <row r="4065">
          <cell r="B4065">
            <v>104854</v>
          </cell>
          <cell r="C4065" t="str">
            <v>EXECUÇÃO DE PERFURAÇÃO PARA TIRANTE, COMPRIMENTO MAIOR OU IGUAL A 14 M E MENOR QUE 22 M, COM DIÂMETRO DE FURO DE 200 MM EXECUTADO COM HASTE UTILIZANDO PERFURATRIZ MANUAL SOBRE BASE DE MONTAGEM. AF_11/2023</v>
          </cell>
          <cell r="D4065" t="str">
            <v>M</v>
          </cell>
          <cell r="E4065">
            <v>80.77</v>
          </cell>
          <cell r="F4065">
            <v>0</v>
          </cell>
        </row>
        <row r="4066">
          <cell r="B4066">
            <v>104890</v>
          </cell>
          <cell r="C4066" t="str">
            <v>EXECUÇÃO DE PERFURAÇÃO PARA TIRANTE, COMPRIMENTO MAIOR OU IGUAL A 14 M E MENOR QUE 22 M, COM DIÂMETRO DE FURO DE 200 MM EXECUTADO COM HASTE UTILIZANDO PERFURATRIZ SOBRE ESTEIRA. AF_11/2023</v>
          </cell>
          <cell r="D4066" t="str">
            <v>M</v>
          </cell>
          <cell r="E4066">
            <v>55.27</v>
          </cell>
          <cell r="F4066">
            <v>0</v>
          </cell>
        </row>
        <row r="4067">
          <cell r="B4067">
            <v>104842</v>
          </cell>
          <cell r="C4067" t="str">
            <v>EXECUÇÃO DE PERFURAÇÃO PARA TIRANTE, COMPRIMENTO MAIOR OU IGUAL A 22 M E MENOR QUE 30 M, COM DIÂMETRO DE FURO DE 100 MM EXECUTADO COM HASTE E TUBOS DE REVESTIMENTO UTILIZANDO PERFURATRIZ SOBRE ESTEIRA. AF_11/2023</v>
          </cell>
          <cell r="D4067" t="str">
            <v>M</v>
          </cell>
          <cell r="E4067">
            <v>79.27</v>
          </cell>
          <cell r="F4067">
            <v>0</v>
          </cell>
        </row>
        <row r="4068">
          <cell r="B4068">
            <v>104850</v>
          </cell>
          <cell r="C4068" t="str">
            <v>EXECUÇÃO DE PERFURAÇÃO PARA TIRANTE, COMPRIMENTO MAIOR OU IGUAL A 22 M E MENOR QUE 30 M, COM DIÂMETRO DE FURO DE 100 MM EXECUTADO COM HASTE UTILIZANDO PERFURATRIZ MANUAL SOBRE BASE DE MONTAGEM. AF_11/2023</v>
          </cell>
          <cell r="D4068" t="str">
            <v>M</v>
          </cell>
          <cell r="E4068">
            <v>56.1</v>
          </cell>
          <cell r="F4068">
            <v>0</v>
          </cell>
        </row>
        <row r="4069">
          <cell r="B4069">
            <v>104888</v>
          </cell>
          <cell r="C4069" t="str">
            <v>EXECUÇÃO DE PERFURAÇÃO PARA TIRANTE, COMPRIMENTO MAIOR OU IGUAL A 22 M E MENOR QUE 30 M, COM DIÂMETRO DE FURO DE 100 MM EXECUTADO COM HASTE UTILIZANDO PERFURATRIZ SOBRE ESTEIRA. AF_11/2023</v>
          </cell>
          <cell r="D4069" t="str">
            <v>M</v>
          </cell>
          <cell r="E4069">
            <v>42.82</v>
          </cell>
          <cell r="F4069">
            <v>0</v>
          </cell>
        </row>
        <row r="4070">
          <cell r="B4070">
            <v>104879</v>
          </cell>
          <cell r="C4070" t="str">
            <v>EXECUÇÃO DE PERFURAÇÃO PARA TIRANTE, COMPRIMENTO MAIOR OU IGUAL A 22 M E MENOR QUE 30 M, COM DIÂMETRO DE FURO DE 150 MM EXECUTADO COM HASTE E TUBOS DE REVESTIMENTO UTILIZANDO PERFURATRIZ SOBRE ESTEIRA. AF_11/2023</v>
          </cell>
          <cell r="D4070" t="str">
            <v>M</v>
          </cell>
          <cell r="E4070">
            <v>87.78</v>
          </cell>
          <cell r="F4070">
            <v>0</v>
          </cell>
        </row>
        <row r="4071">
          <cell r="B4071">
            <v>104853</v>
          </cell>
          <cell r="C4071" t="str">
            <v>EXECUÇÃO DE PERFURAÇÃO PARA TIRANTE, COMPRIMENTO MAIOR OU IGUAL A 22 M E MENOR QUE 30 M, COM DIÂMETRO DE FURO DE 150 MM EXECUTADO COM HASTE UTILIZANDO PERFURATRIZ MANUAL SOBRE BASE DE MONTAGEM. AF_11/2023</v>
          </cell>
          <cell r="D4071" t="str">
            <v>M</v>
          </cell>
          <cell r="E4071">
            <v>61.89</v>
          </cell>
          <cell r="F4071">
            <v>0</v>
          </cell>
        </row>
        <row r="4072">
          <cell r="B4072">
            <v>104847</v>
          </cell>
          <cell r="C4072" t="str">
            <v>EXECUÇÃO DE PERFURAÇÃO PARA TIRANTE, COMPRIMENTO MAIOR OU IGUAL A 22 M E MENOR QUE 30 M, COM DIÂMETRO DE FURO DE 200 MM EXECUTADO COM HASTE E TUBOS DE REVESTIMENTO UTILIZANDO PERFURATRIZ SOBRE ESTEIRA. AF_11/2023</v>
          </cell>
          <cell r="D4072" t="str">
            <v>M</v>
          </cell>
          <cell r="E4072">
            <v>100.36</v>
          </cell>
          <cell r="F4072">
            <v>0</v>
          </cell>
        </row>
        <row r="4073">
          <cell r="B4073">
            <v>104855</v>
          </cell>
          <cell r="C4073" t="str">
            <v>EXECUÇÃO DE PERFURAÇÃO PARA TIRANTE, COMPRIMENTO MAIOR OU IGUAL A 22 M E MENOR QUE 30 M, COM DIÂMETRO DE FURO DE 200 MM EXECUTADO COM HASTE UTILIZANDO PERFURATRIZ MANUAL SOBRE BASE DE MONTAGEM. AF_11/2023</v>
          </cell>
          <cell r="D4073" t="str">
            <v>M</v>
          </cell>
          <cell r="E4073">
            <v>70.430000000000007</v>
          </cell>
          <cell r="F4073">
            <v>0</v>
          </cell>
        </row>
        <row r="4074">
          <cell r="B4074">
            <v>104891</v>
          </cell>
          <cell r="C4074" t="str">
            <v>EXECUÇÃO DE PERFURAÇÃO PARA TIRANTE, COMPRIMENTO MAIOR OU IGUAL A 22 M E MENOR QUE 30 M, COM DIÂMETRO DE FURO DE 200 MM EXECUTADO COM HASTE UTILIZANDO PERFURATRIZ SOBRE ESTEIRA. AF_11/2023</v>
          </cell>
          <cell r="D4074" t="str">
            <v>M</v>
          </cell>
          <cell r="E4074">
            <v>49.23</v>
          </cell>
          <cell r="F4074">
            <v>0</v>
          </cell>
        </row>
        <row r="4075">
          <cell r="B4075">
            <v>104892</v>
          </cell>
          <cell r="C4075" t="str">
            <v>EXECUÇÃO DE PERFURAÇÃO PARA TIRANTE, COMPRIMENTO MAIOR OU IGUAL A 6 M E MENOR QUE 14 M, COM DIÂMETRO DE FURO DE 100 MM EXECUTADO COM HASTE E TUBOS DE REVESTIMENTO UTILIZANDO PERFURATRIZ SOBRE ESTEIRA. AF_11/2023</v>
          </cell>
          <cell r="D4075" t="str">
            <v>M</v>
          </cell>
          <cell r="E4075">
            <v>117.38</v>
          </cell>
          <cell r="F4075">
            <v>0</v>
          </cell>
        </row>
        <row r="4076">
          <cell r="B4076">
            <v>104848</v>
          </cell>
          <cell r="C4076" t="str">
            <v>EXECUÇÃO DE PERFURAÇÃO PARA TIRANTE, COMPRIMENTO MAIOR OU IGUAL A 6 M E MENOR QUE 14 M, COM DIÂMETRO DE FURO DE 100 MM EXECUTADO COM HASTE UTILIZANDO PERFURATRIZ MANUAL SOBRE BASE DE MONTAGEM. AF_11/2023</v>
          </cell>
          <cell r="D4076" t="str">
            <v>M</v>
          </cell>
          <cell r="E4076">
            <v>74.760000000000005</v>
          </cell>
          <cell r="F4076">
            <v>0</v>
          </cell>
        </row>
        <row r="4077">
          <cell r="B4077">
            <v>104886</v>
          </cell>
          <cell r="C4077" t="str">
            <v>EXECUÇÃO DE PERFURAÇÃO PARA TIRANTE, COMPRIMENTO MAIOR OU IGUAL A 6 M E MENOR QUE 14 M, COM DIÂMETRO DE FURO DE 100 MM EXECUTADO COM HASTE UTILIZANDO PERFURATRIZ SOBRE ESTEIRA. AF_11/2023</v>
          </cell>
          <cell r="D4077" t="str">
            <v>M</v>
          </cell>
          <cell r="E4077">
            <v>54.74</v>
          </cell>
          <cell r="F4077">
            <v>0</v>
          </cell>
        </row>
        <row r="4078">
          <cell r="B4078">
            <v>104843</v>
          </cell>
          <cell r="C4078" t="str">
            <v>EXECUÇÃO DE PERFURAÇÃO PARA TIRANTE, COMPRIMENTO MAIOR OU IGUAL A 6 M E MENOR QUE 14 M, COM DIÂMETRO DE FURO DE 150 MM EXECUTADO COM HASTE E TUBOS DE REVESTIMENTO UTILIZANDO PERFURATRIZ SOBRE ESTEIRA. AF_11/2023</v>
          </cell>
          <cell r="D4078" t="str">
            <v>M</v>
          </cell>
          <cell r="E4078">
            <v>130.07</v>
          </cell>
          <cell r="F4078">
            <v>0</v>
          </cell>
        </row>
        <row r="4079">
          <cell r="B4079">
            <v>104851</v>
          </cell>
          <cell r="C4079" t="str">
            <v>EXECUÇÃO DE PERFURAÇÃO PARA TIRANTE, COMPRIMENTO MAIOR OU IGUAL A 6 M E MENOR QUE 14 M, COM DIÂMETRO DE FURO DE 150 MM EXECUTADO COM HASTE UTILIZANDO PERFURATRIZ MANUAL SOBRE BASE DE MONTAGEM. AF_11/2023</v>
          </cell>
          <cell r="D4079" t="str">
            <v>M</v>
          </cell>
          <cell r="E4079">
            <v>83.39</v>
          </cell>
          <cell r="F4079">
            <v>0</v>
          </cell>
        </row>
        <row r="4080">
          <cell r="B4080">
            <v>104845</v>
          </cell>
          <cell r="C4080" t="str">
            <v>EXECUÇÃO DE PERFURAÇÃO PARA TIRANTE, COMPRIMENTO MAIOR OU IGUAL A 6 M E MENOR QUE 14 M, COM DIÂMETRO DE FURO DE 200 MM EXECUTADO COM HASTE E TUBOS DE REVESTIMENTO UTILIZANDO PERFURATRIZ SOBRE ESTEIRA. AF_11/2023</v>
          </cell>
          <cell r="D4080" t="str">
            <v>M</v>
          </cell>
          <cell r="E4080">
            <v>148.9</v>
          </cell>
          <cell r="F4080">
            <v>0</v>
          </cell>
        </row>
        <row r="4081">
          <cell r="B4081">
            <v>104880</v>
          </cell>
          <cell r="C4081" t="str">
            <v>EXECUÇÃO DE PERFURAÇÃO PARA TIRANTE, COMPRIMENTO MAIOR OU IGUAL A 6 M E MENOR QUE 14 M, COM DIÂMETRO DE FURO DE 200 MM EXECUTADO COM HASTE UTILIZANDO PERFURATRIZ MANUAL SOBRE BASE DE MONTAGEM. AF_11/2023</v>
          </cell>
          <cell r="D4081" t="str">
            <v>M</v>
          </cell>
          <cell r="E4081">
            <v>96.19</v>
          </cell>
          <cell r="F4081">
            <v>0</v>
          </cell>
        </row>
        <row r="4082">
          <cell r="B4082">
            <v>104889</v>
          </cell>
          <cell r="C4082" t="str">
            <v>EXECUÇÃO DE PERFURAÇÃO PARA TIRANTE, COMPRIMENTO MAIOR OU IGUAL A 6 M E MENOR QUE 14 M, COM DIÂMETRO DE FURO DE 200 MM EXECUTADO COM HASTE UTILIZANDO PERFURATRIZ SOBRE ESTEIRA. AF_11/2023</v>
          </cell>
          <cell r="D4082" t="str">
            <v>M</v>
          </cell>
          <cell r="E4082">
            <v>64.239999999999995</v>
          </cell>
          <cell r="F4082">
            <v>0</v>
          </cell>
        </row>
        <row r="4083">
          <cell r="B4083">
            <v>95108</v>
          </cell>
          <cell r="C4083" t="str">
            <v>EXECUÇÃO DE PROTEÇÃO DA CABEÇA DO TIRANTE COM USO DE FÔRMAS METÁLICAS, 50 UTILIZAÇÕES, E CONCRETO FCK =15 MPA. AF_11/2023</v>
          </cell>
          <cell r="D4083" t="str">
            <v>UN</v>
          </cell>
          <cell r="E4083">
            <v>46.54</v>
          </cell>
          <cell r="F4083">
            <v>0</v>
          </cell>
        </row>
        <row r="4084">
          <cell r="B4084">
            <v>104857</v>
          </cell>
          <cell r="C4084" t="str">
            <v>INJEÇÃO DE CALDA DE CIMENTO PARA CHUMBAMENTO DE TIRANTE COM 8 CORDOALHAS DE 12,7 MM, COMPRIMENTO MAIOR OU IGUAL A 22 M E MENOR QUE 30 M, DIÂMETRO DE 100 MM, INCLUSIVE PRODUÇÃO. AF_11/2023</v>
          </cell>
          <cell r="D4084" t="str">
            <v>M</v>
          </cell>
          <cell r="E4084">
            <v>0</v>
          </cell>
        </row>
        <row r="4085">
          <cell r="B4085">
            <v>104859</v>
          </cell>
          <cell r="C4085" t="str">
            <v>INJEÇÃO DE CALDA DE CIMENTO PARA CHUMBAMENTO DE TIRANTE COM 8 CORDOALHAS DE 12,7 MM, COMPRIMENTO MAIOR OU IGUAL A 22 M E MENOR QUE 30 M, DIÂMETRO DE 150 MM, INCLUSIVE PRODUÇÃO. AF_11/2023</v>
          </cell>
          <cell r="D4085" t="str">
            <v>M</v>
          </cell>
          <cell r="E4085">
            <v>0</v>
          </cell>
        </row>
        <row r="4086">
          <cell r="B4086">
            <v>104861</v>
          </cell>
          <cell r="C4086" t="str">
            <v>INJEÇÃO DE CALDA DE CIMENTO PARA CHUMBAMENTO DE TIRANTE COM 8 CORDOALHAS DE 12,7 MM, COMPRIMENTO MAIOR OU IGUAL A 22 M E MENOR QUE 30 M, DIÂMETRO DE 200 MM, INCLUSIVE PRODUÇÃO. AF_11/2023</v>
          </cell>
          <cell r="D4086" t="str">
            <v>M</v>
          </cell>
          <cell r="E4086">
            <v>0</v>
          </cell>
        </row>
        <row r="4087">
          <cell r="B4087">
            <v>104856</v>
          </cell>
          <cell r="C4087" t="str">
            <v>INJEÇÃO DE CALDA DE CIMENTO PARA CHUMBAMENTO DE TIRANTE MONOBARRA COM ARMADURA DE 36 MM, COMPRIMENTO MAIOR OU IGUAL A 22 M E MENOR QUE 30 M, DIÂMETRO DE 100 MM, INCLUSIVE PRODUÇÃO. AF_11/2023</v>
          </cell>
          <cell r="D4087" t="str">
            <v>M</v>
          </cell>
          <cell r="E4087">
            <v>0</v>
          </cell>
        </row>
        <row r="4088">
          <cell r="B4088">
            <v>104858</v>
          </cell>
          <cell r="C4088" t="str">
            <v>INJEÇÃO DE CALDA DE CIMENTO PARA CHUMBAMENTO DE TIRANTE MONOBARRA COM ARMADURA DE 36 MM, COMPRIMENTO MAIOR OU IGUAL A 22 M E MENOR QUE 30 M, DIÂMETRO DE 150 MM, INCLUSIVE PRODUÇÃO. AF_11/2023</v>
          </cell>
          <cell r="D4088" t="str">
            <v>M</v>
          </cell>
          <cell r="E4088">
            <v>0</v>
          </cell>
        </row>
        <row r="4089">
          <cell r="B4089">
            <v>104860</v>
          </cell>
          <cell r="C4089" t="str">
            <v>INJEÇÃO DE CALDA DE CIMENTO PARA CHUMBAMENTO DE TIRANTE MONOBARRA COM ARMADURA DE 36 MM, COMPRIMENTO MAIOR OU IGUAL A 22 M E MENOR QUE 30 M, DIÂMETRO DE 200 MM, INCLUSIVE PRODUÇÃO. AF_11/2023</v>
          </cell>
          <cell r="D4089" t="str">
            <v>M</v>
          </cell>
          <cell r="E4089">
            <v>0</v>
          </cell>
        </row>
        <row r="4090">
          <cell r="B4090">
            <v>104871</v>
          </cell>
          <cell r="C4090" t="str">
            <v>INSTALAÇÃO DE TIRANTE COM 4 CORDOALHAS DE 12,7 MM, COMPRIMENTO MAIOR OU IGUAL A 14 M E MENOR QUE 22 M, INCLUSIVE MONTAGEM, INSTALAÇÃO E PROTENSÃO. AF_11/2023</v>
          </cell>
          <cell r="D4090" t="str">
            <v>M</v>
          </cell>
          <cell r="E4090">
            <v>0</v>
          </cell>
        </row>
        <row r="4091">
          <cell r="B4091">
            <v>104883</v>
          </cell>
          <cell r="C4091" t="str">
            <v>INSTALAÇÃO DE TIRANTE COM 4 CORDOALHAS DE 12,7 MM, COMPRIMENTO MAIOR OU IGUAL A 22 M E MENOR QUE 30 M, INCLUSIVE MONTAGEM, INSTALAÇÃO E PROTENSÃO. AF_11/2023</v>
          </cell>
          <cell r="D4091" t="str">
            <v>M</v>
          </cell>
          <cell r="E4091">
            <v>0</v>
          </cell>
        </row>
        <row r="4092">
          <cell r="B4092">
            <v>104865</v>
          </cell>
          <cell r="C4092" t="str">
            <v>INSTALAÇÃO DE TIRANTE COM 4 CORDOALHAS DE 12,7 MM, COMPRIMENTO MAIOR OU IGUAL A 6 M E MENOR QUE 14 M, INCLUSIVE MONTAGEM, INSTALAÇÃO E PROTENSÃO. AF_11/2023</v>
          </cell>
          <cell r="D4092" t="str">
            <v>M</v>
          </cell>
          <cell r="E4092">
            <v>0</v>
          </cell>
        </row>
        <row r="4093">
          <cell r="B4093">
            <v>104872</v>
          </cell>
          <cell r="C4093" t="str">
            <v>INSTALAÇÃO DE TIRANTE COM 6 CORDOALHAS DE 12,7 MM, COMPRIMENTO MAIOR OU IGUAL A 14 M E MENOR QUE 22 M, INCLUSIVE MONTAGEM, INSTALAÇÃO E PROTENSÃO. AF_11/2023</v>
          </cell>
          <cell r="D4093" t="str">
            <v>M</v>
          </cell>
          <cell r="E4093">
            <v>0</v>
          </cell>
        </row>
        <row r="4094">
          <cell r="B4094">
            <v>104884</v>
          </cell>
          <cell r="C4094" t="str">
            <v>INSTALAÇÃO DE TIRANTE COM 6 CORDOALHAS DE 12,7 MM, COMPRIMENTO MAIOR OU IGUAL A 22 M E MENOR QUE 30 M, INCLUSIVE MONTAGEM, INSTALAÇÃO E PROTENSÃO. AF_11/2023</v>
          </cell>
          <cell r="D4094" t="str">
            <v>M</v>
          </cell>
          <cell r="E4094">
            <v>0</v>
          </cell>
        </row>
        <row r="4095">
          <cell r="B4095">
            <v>104866</v>
          </cell>
          <cell r="C4095" t="str">
            <v>INSTALAÇÃO DE TIRANTE COM 6 CORDOALHAS DE 12,7 MM, COMPRIMENTO MAIOR OU IGUAL A 6 M E MENOR QUE 14 M, INCLUSIVE MONTAGEM, INSTALAÇÃO E PROTENSÃO. AF_11/2023</v>
          </cell>
          <cell r="D4095" t="str">
            <v>M</v>
          </cell>
          <cell r="E4095">
            <v>0</v>
          </cell>
        </row>
        <row r="4096">
          <cell r="B4096">
            <v>104873</v>
          </cell>
          <cell r="C4096" t="str">
            <v>INSTALAÇÃO DE TIRANTE COM 8 CORDOALHAS DE 12,7 MM, COMPRIMENTO MAIOR OU IGUAL A 14 M E MENOR QUE 22 M, INCLUSIVE MONTAGEM, INSTALAÇÃO E PROTENSÃO. AF_11/2023</v>
          </cell>
          <cell r="D4096" t="str">
            <v>M</v>
          </cell>
          <cell r="E4096">
            <v>0</v>
          </cell>
        </row>
        <row r="4097">
          <cell r="B4097">
            <v>104885</v>
          </cell>
          <cell r="C4097" t="str">
            <v>INSTALAÇÃO DE TIRANTE COM 8 CORDOALHAS DE 12,7 MM, COMPRIMENTO MAIOR OU IGUAL A 22 M E MENOR QUE 30 M, INCLUSIVE MONTAGEM, INSTALAÇÃO E PROTENSÃO. AF_11/2023</v>
          </cell>
          <cell r="D4097" t="str">
            <v>M</v>
          </cell>
          <cell r="E4097">
            <v>0</v>
          </cell>
        </row>
        <row r="4098">
          <cell r="B4098">
            <v>104867</v>
          </cell>
          <cell r="C4098" t="str">
            <v>INSTALAÇÃO DE TIRANTE COM 8 CORDOALHAS DE 12,7 MM, COMPRIMENTO MAIOR OU IGUAL A 6 M E MENOR QUE 14 M, INCLUSIVE MONTAGEM, INSTALAÇÃO E PROTENSÃO. AF_11/2023</v>
          </cell>
          <cell r="D4098" t="str">
            <v>M</v>
          </cell>
          <cell r="E4098">
            <v>0</v>
          </cell>
        </row>
        <row r="4099">
          <cell r="B4099">
            <v>104868</v>
          </cell>
          <cell r="C4099" t="str">
            <v>INSTALAÇÃO DE TIRANTE MONOBARRA COM ARMADURA DE 25 MM, COMPRIMENTO MAIOR OU IGUAL A 14 M E MENOR QUE 22 M, INCLUSIVE MONTAGEM, INSTALAÇÃO E PROTENSÃO. AF_11/2023</v>
          </cell>
          <cell r="D4099" t="str">
            <v>M</v>
          </cell>
          <cell r="E4099">
            <v>0</v>
          </cell>
        </row>
        <row r="4100">
          <cell r="B4100">
            <v>104874</v>
          </cell>
          <cell r="C4100" t="str">
            <v>INSTALAÇÃO DE TIRANTE MONOBARRA COM ARMADURA DE 25 MM, COMPRIMENTO MAIOR OU IGUAL A 22 M E MENOR QUE 30 M, INCLUSIVE MONTAGEM, INSTALAÇÃO E PROTENSÃO. AF_11/2023</v>
          </cell>
          <cell r="D4100" t="str">
            <v>M</v>
          </cell>
          <cell r="E4100">
            <v>0</v>
          </cell>
        </row>
        <row r="4101">
          <cell r="B4101">
            <v>104862</v>
          </cell>
          <cell r="C4101" t="str">
            <v>INSTALAÇÃO DE TIRANTE MONOBARRA COM ARMADURA DE 25 MM, COMPRIMENTO MAIOR OU IGUAL A 6 M E MENOR QUE 14 M, INCLUSIVE MONTAGEM, INSTALAÇÃO E PROTENSÃO. AF_11/2023</v>
          </cell>
          <cell r="D4101" t="str">
            <v>M</v>
          </cell>
          <cell r="E4101">
            <v>0</v>
          </cell>
        </row>
        <row r="4102">
          <cell r="B4102">
            <v>104869</v>
          </cell>
          <cell r="C4102" t="str">
            <v>INSTALAÇÃO DE TIRANTE MONOBARRA COM ARMADURA DE 32 MM, COMPRIMENTO MAIOR OU IGUAL A 14 M E MENOR QUE 22 M, INCLUSIVE MONTAGEM, INSTALAÇÃO E PROTENSÃO. AF_11/2023</v>
          </cell>
          <cell r="D4102" t="str">
            <v>M</v>
          </cell>
          <cell r="E4102">
            <v>0</v>
          </cell>
        </row>
        <row r="4103">
          <cell r="B4103">
            <v>104881</v>
          </cell>
          <cell r="C4103" t="str">
            <v>INSTALAÇÃO DE TIRANTE MONOBARRA COM ARMADURA DE 32 MM, COMPRIMENTO MAIOR OU IGUAL A 22 M E MENOR QUE 30 M, INCLUSIVE MONTAGEM, INSTALAÇÃO E PROTENSÃO. AF_11/2023</v>
          </cell>
          <cell r="D4103" t="str">
            <v>M</v>
          </cell>
          <cell r="E4103">
            <v>0</v>
          </cell>
        </row>
        <row r="4104">
          <cell r="B4104">
            <v>104863</v>
          </cell>
          <cell r="C4104" t="str">
            <v>INSTALAÇÃO DE TIRANTE MONOBARRA COM ARMADURA DE 32 MM, COMPRIMENTO MAIOR OU IGUAL A 6 M E MENOR QUE 14 M, INCLUSIVE MONTAGEM, INSTALAÇÃO E PROTENSÃO. AF_11/2023</v>
          </cell>
          <cell r="D4104" t="str">
            <v>M</v>
          </cell>
          <cell r="E4104">
            <v>0</v>
          </cell>
        </row>
        <row r="4105">
          <cell r="B4105">
            <v>104870</v>
          </cell>
          <cell r="C4105" t="str">
            <v>INSTALAÇÃO DE TIRANTE MONOBARRA COM ARMADURA DE 36 MM, COMPRIMENTO MAIOR OU IGUAL A 14 M E MENOR QUE 22 M, INCLUSIVE MONTAGEM, INSTALAÇÃO E PROTENSÃO. AF_11/2023</v>
          </cell>
          <cell r="D4105" t="str">
            <v>M</v>
          </cell>
          <cell r="E4105">
            <v>0</v>
          </cell>
        </row>
        <row r="4106">
          <cell r="B4106">
            <v>104882</v>
          </cell>
          <cell r="C4106" t="str">
            <v>INSTALAÇÃO DE TIRANTE MONOBARRA COM ARMADURA DE 36 MM, COMPRIMENTO MAIOR OU IGUAL A 22 M E MENOR QUE 30 M, INCLUSIVE MONTAGEM, INSTALAÇÃO E PROTENSÃO. AF_11/2023</v>
          </cell>
          <cell r="D4106" t="str">
            <v>M</v>
          </cell>
          <cell r="E4106">
            <v>0</v>
          </cell>
        </row>
        <row r="4107">
          <cell r="B4107">
            <v>104864</v>
          </cell>
          <cell r="C4107" t="str">
            <v>INSTALAÇÃO DE TIRANTE MONOBARRA COM ARMADURA DE 36 MM, COMPRIMENTO MAIOR OU IGUAL A 6 M E MENOR QUE 14 M, INCLUSIVE MONTAGEM, INSTALAÇÃO E PROTENSÃO. AF_11/2023</v>
          </cell>
          <cell r="D4107" t="str">
            <v>M</v>
          </cell>
          <cell r="E4107">
            <v>0</v>
          </cell>
        </row>
        <row r="4108">
          <cell r="B4108">
            <v>104876</v>
          </cell>
          <cell r="C4108" t="str">
            <v>PERFURAÇÃO DE CORTINA PRÉ-MOLDADA COM MARTELETE ROMPEDOR. AF_11/2023</v>
          </cell>
          <cell r="D4108" t="str">
            <v>UN</v>
          </cell>
          <cell r="E4108">
            <v>31.17</v>
          </cell>
          <cell r="F4108">
            <v>0</v>
          </cell>
        </row>
        <row r="4109">
          <cell r="B4109">
            <v>104875</v>
          </cell>
          <cell r="C4109" t="str">
            <v>PERFURAÇÃO DE PAREDE DIAFRAGMA COM COROA DIAMANTADA DE DIÂMETRO DE 102 MM. AF_11/2023</v>
          </cell>
          <cell r="D4109" t="str">
            <v>M</v>
          </cell>
          <cell r="E4109">
            <v>161.09</v>
          </cell>
          <cell r="F4109">
            <v>0</v>
          </cell>
        </row>
        <row r="4110">
          <cell r="B4110">
            <v>105942</v>
          </cell>
          <cell r="C4110" t="str">
            <v>REQUADRO DE VÃOS COM PLACAS DE PORCELANATO ASSENTADAS COM ARGAMASSA COLANTE. AF_03/2025</v>
          </cell>
          <cell r="D4110" t="str">
            <v>M</v>
          </cell>
          <cell r="E4110">
            <v>0</v>
          </cell>
        </row>
        <row r="4111">
          <cell r="B4111">
            <v>105943</v>
          </cell>
          <cell r="C4111" t="str">
            <v>REQUADRO DE VÃOS PLACAS DE GRANITO FIXADAS COM INSERTE METÁLICO. AF_03/2025</v>
          </cell>
          <cell r="D4111" t="str">
            <v>M</v>
          </cell>
          <cell r="E4111">
            <v>0</v>
          </cell>
        </row>
        <row r="4112">
          <cell r="B4112">
            <v>105941</v>
          </cell>
          <cell r="C4112" t="str">
            <v>REVESTIMENTO NÃO ADERIDO DE PAREDES EXTERNAS COM PLACAS DE GRANITO DE ÁREA MAIOR QUE 10000 CM2, FIXADAS COM INSERTE METÁLICO. AF_03/2025</v>
          </cell>
          <cell r="D4112" t="str">
            <v>M2</v>
          </cell>
          <cell r="E4112">
            <v>0</v>
          </cell>
        </row>
        <row r="4113">
          <cell r="B4113">
            <v>105940</v>
          </cell>
          <cell r="C4113" t="str">
            <v>REVESTIMENTO NÃO ADERIDO DE PAREDES EXTERNAS COM PLACAS DE GRANITO DE ÁREA MAIOR QUE 3025 CM2 E MENOR OU IGUAL A 10000 CM2, FIXADAS COM INSERTE METÁLICO. AF_03/2025</v>
          </cell>
          <cell r="D4113" t="str">
            <v>M2</v>
          </cell>
          <cell r="E4113">
            <v>0</v>
          </cell>
        </row>
        <row r="4114">
          <cell r="B4114">
            <v>105938</v>
          </cell>
          <cell r="C4114" t="str">
            <v>REVESTIMENTO NÃO ADERIDO DE PAREDES EXTERNAS COM PLACAS DE PORCELANATO DE ÁREA MAIOR DO QUE 2500 CM2 E MENOR OU IGUAL A 6400 CM2, FIXADAS COM INSERTE METÁLICO. AF_03/2025</v>
          </cell>
          <cell r="D4114" t="str">
            <v>M2</v>
          </cell>
          <cell r="E4114">
            <v>0</v>
          </cell>
        </row>
        <row r="4115">
          <cell r="B4115">
            <v>105939</v>
          </cell>
          <cell r="C4115" t="str">
            <v>REVESTIMENTO NÃO ADERIDO DE PAREDES EXTERNAS COM PLACAS DE PORCELANATO DE ÁREA MAIOR QUE 6400 CM2 E MENOR QUE 10000 CM2, FIXADAS COM INSERTE METÁLICO. AF_03/2025</v>
          </cell>
          <cell r="D4115" t="str">
            <v>M2</v>
          </cell>
          <cell r="E4115">
            <v>0</v>
          </cell>
        </row>
        <row r="4116">
          <cell r="B4116">
            <v>96120</v>
          </cell>
          <cell r="C4116" t="str">
            <v>ACABAMENTOS PARA FORRO (MOLDURA DE GESSO). AF_08/2023</v>
          </cell>
          <cell r="D4116" t="str">
            <v>M</v>
          </cell>
          <cell r="E4116">
            <v>3.61</v>
          </cell>
          <cell r="F4116">
            <v>0</v>
          </cell>
        </row>
        <row r="4117">
          <cell r="B4117">
            <v>96123</v>
          </cell>
          <cell r="C4117" t="str">
            <v>ACABAMENTOS PARA FORRO (MOLDURA EM DRYWALL, COM LARGURA DE 15 CM). AF_08/2023_PS</v>
          </cell>
          <cell r="D4117" t="str">
            <v>M</v>
          </cell>
          <cell r="E4117">
            <v>30.67</v>
          </cell>
          <cell r="F4117">
            <v>0</v>
          </cell>
        </row>
        <row r="4118">
          <cell r="B4118">
            <v>96122</v>
          </cell>
          <cell r="C4118" t="str">
            <v>ACABAMENTOS PARA FORRO (RODA-FORRO EM MADEIRA PINUS). AF_08/2023</v>
          </cell>
          <cell r="D4118" t="str">
            <v>M</v>
          </cell>
          <cell r="E4118">
            <v>54.97</v>
          </cell>
          <cell r="F4118">
            <v>0</v>
          </cell>
        </row>
        <row r="4119">
          <cell r="B4119">
            <v>96121</v>
          </cell>
          <cell r="C4119" t="str">
            <v>ACABAMENTOS PARA FORRO (RODA-FORRO EM PERFIL METÁLICO E PLÁSTICO). AF_08/2023</v>
          </cell>
          <cell r="D4119" t="str">
            <v>M</v>
          </cell>
          <cell r="E4119">
            <v>13.64</v>
          </cell>
          <cell r="F4119">
            <v>0</v>
          </cell>
        </row>
        <row r="4120">
          <cell r="B4120">
            <v>99054</v>
          </cell>
          <cell r="C4120" t="str">
            <v>ACABAMENTOS PARA FORRO (SANCA DE GESSO, MONTADA NA OBRA). AF_08/2023_PS</v>
          </cell>
          <cell r="D4120" t="str">
            <v>M2</v>
          </cell>
          <cell r="E4120">
            <v>73.48</v>
          </cell>
          <cell r="F4120">
            <v>0</v>
          </cell>
        </row>
        <row r="4121">
          <cell r="B4121">
            <v>96110</v>
          </cell>
          <cell r="C4121" t="str">
            <v>FORRO EM DRYWALL PARA AMBIENTES RESIDENCIAIS, INCLUSIVE ESTRUTURA UNIDIRECIONAL DE FIXAÇÃO. AF_08/2023_PS</v>
          </cell>
          <cell r="D4121" t="str">
            <v>M2</v>
          </cell>
          <cell r="E4121">
            <v>80.88</v>
          </cell>
          <cell r="F4121">
            <v>0</v>
          </cell>
        </row>
        <row r="4122">
          <cell r="B4122">
            <v>96114</v>
          </cell>
          <cell r="C4122" t="str">
            <v>FORRO EM DRYWALL, PARA AMBIENTES COMERCIAIS, INCLUSIVE ESTRUTURA BIRECIONAL DE FIXAÇÃO. AF_08/2023_PS</v>
          </cell>
          <cell r="D4122" t="str">
            <v>M2</v>
          </cell>
          <cell r="E4122">
            <v>79.86</v>
          </cell>
          <cell r="F4122">
            <v>0</v>
          </cell>
        </row>
        <row r="4123">
          <cell r="B4123">
            <v>104757</v>
          </cell>
          <cell r="C4123" t="str">
            <v>FORRO EM FIBRA MINERAL, PARA AMBIENTES COMERCIAIS, INCLUSIVE ESTRUTURA DE FIXAÇÃO. AF_08/2023_PS</v>
          </cell>
          <cell r="D4123" t="str">
            <v>M2</v>
          </cell>
          <cell r="E4123">
            <v>124.31</v>
          </cell>
          <cell r="F4123">
            <v>0</v>
          </cell>
        </row>
        <row r="4124">
          <cell r="B4124">
            <v>104756</v>
          </cell>
          <cell r="C4124" t="str">
            <v>FORRO EM MADEIRA PINUS, PARA AMBIENTES RESIDENCIAIS E COMERCIAIS, INCLUSIVE ESTRUTURA BIDIRECIONAL DE FIXAÇÃO. AF_08/2023</v>
          </cell>
          <cell r="D4124" t="str">
            <v>M2</v>
          </cell>
          <cell r="E4124">
            <v>227.74</v>
          </cell>
          <cell r="F4124">
            <v>0</v>
          </cell>
        </row>
        <row r="4125">
          <cell r="B4125">
            <v>96112</v>
          </cell>
          <cell r="C4125" t="str">
            <v>FORRO EM MADEIRA PINUS, PARA AMBIENTES RESIDENCIAIS, INCLUSIVE ESTRUTURA UNIDIRECIONAL DE FIXAÇÃO. AF_08/2023</v>
          </cell>
          <cell r="D4125" t="str">
            <v>M2</v>
          </cell>
          <cell r="E4125">
            <v>168.76</v>
          </cell>
          <cell r="F4125">
            <v>0</v>
          </cell>
        </row>
        <row r="4126">
          <cell r="B4126">
            <v>96113</v>
          </cell>
          <cell r="C4126" t="str">
            <v>FORRO EM PLACAS DE GESSO, PARA AMBIENTES COMERCIAIS. AF_08/2023_PS</v>
          </cell>
          <cell r="D4126" t="str">
            <v>M2</v>
          </cell>
          <cell r="E4126">
            <v>56.91</v>
          </cell>
          <cell r="F4126">
            <v>0</v>
          </cell>
        </row>
        <row r="4127">
          <cell r="B4127">
            <v>96109</v>
          </cell>
          <cell r="C4127" t="str">
            <v>FORRO EM PLACAS DE GESSO, PARA AMBIENTES RESIDENCIAIS. AF_08/2023_PS</v>
          </cell>
          <cell r="D4127" t="str">
            <v>M2</v>
          </cell>
          <cell r="E4127">
            <v>63.63</v>
          </cell>
          <cell r="F4127">
            <v>0</v>
          </cell>
        </row>
        <row r="4128">
          <cell r="B4128">
            <v>96116</v>
          </cell>
          <cell r="C4128" t="str">
            <v>FORRO EM RÉGUAS DE PVC, FRISADO, PARA AMBIENTES COMERCIAIS, INCLUSIVE ESTRUTURA BIDIRECIONAL DE FIXAÇÃO. AF_08/2023_PS</v>
          </cell>
          <cell r="D4128" t="str">
            <v>M2</v>
          </cell>
          <cell r="E4128">
            <v>66.89</v>
          </cell>
          <cell r="F4128">
            <v>0</v>
          </cell>
        </row>
        <row r="4129">
          <cell r="B4129">
            <v>96111</v>
          </cell>
          <cell r="C4129" t="str">
            <v>FORRO EM RÉGUAS DE PVC, FRISADO, PARA AMBIENTES RESIDENCIAIS, INCLUSIVE ESTRUTURA UNIDIRECIONAL DE FIXAÇÃO. AF_08/2023_PS</v>
          </cell>
          <cell r="D4129" t="str">
            <v>M2</v>
          </cell>
          <cell r="E4129">
            <v>66.17</v>
          </cell>
          <cell r="F4129">
            <v>0</v>
          </cell>
        </row>
        <row r="4130">
          <cell r="B4130">
            <v>96486</v>
          </cell>
          <cell r="C4130" t="str">
            <v>FORRO EM RÉGUAS DE PVC, LISO, PARA AMBIENTES COMERCIAIS, INCLUSIVE ESTRUTURA BIDIRECIONAL DE FIXAÇÃO. AF_08/2023_PS</v>
          </cell>
          <cell r="D4130" t="str">
            <v>M2</v>
          </cell>
          <cell r="E4130">
            <v>76.84</v>
          </cell>
          <cell r="F4130">
            <v>0</v>
          </cell>
        </row>
        <row r="4131">
          <cell r="B4131">
            <v>96485</v>
          </cell>
          <cell r="C4131" t="str">
            <v>FORRO EM RÉGUAS DE PVC, LISO, PARA AMBIENTES RESIDENCIAIS, INCLUSIVE ESTRUTURA UNIDIRECIONAL DE FIXAÇÃO. AF_08/2023_PS</v>
          </cell>
          <cell r="D4131" t="str">
            <v>M2</v>
          </cell>
          <cell r="E4131">
            <v>76.12</v>
          </cell>
          <cell r="F4131">
            <v>0</v>
          </cell>
        </row>
        <row r="4132">
          <cell r="B4132">
            <v>97557</v>
          </cell>
          <cell r="C4132" t="str">
            <v>FORRO METÁLICO, PARA AMBIENTES COMERCIAIS, INCLUSIVE ESTRUTURA DE FIXAÇÃO. AF_08/2023</v>
          </cell>
          <cell r="D4132" t="str">
            <v>M2</v>
          </cell>
          <cell r="E4132">
            <v>0</v>
          </cell>
        </row>
        <row r="4133">
          <cell r="B4133">
            <v>101807</v>
          </cell>
          <cell r="C4133" t="str">
            <v>CAIXA ENTERRADA DISTRIBUIDORA DE VAZÃO (SUMIDOUROS MÚLTIPLOS), RETANGULAR, EM ALVENARIA COM BLOCOS DE CONCRETO, DIMENSÕES INTERNAS: 0,60 X 0,60 X H=0,50 M. AF_12/2020</v>
          </cell>
          <cell r="D4133" t="str">
            <v>UN</v>
          </cell>
          <cell r="E4133">
            <v>585.16</v>
          </cell>
          <cell r="F4133">
            <v>0</v>
          </cell>
        </row>
        <row r="4134">
          <cell r="B4134">
            <v>101806</v>
          </cell>
          <cell r="C4134" t="str">
            <v>CAIXA ENTERRADA DISTRIBUIDORA DE VAZÃO (SUMIDOUROS MÚLTIPLOS), RETANGULAR, EM ALVENARIA COM TIJOLOS MACIÇOS, DIMENSÕES INTERNAS: 0,60 X 0,60 X H=0,50 M. AF_12/2020</v>
          </cell>
          <cell r="D4134" t="str">
            <v>UN</v>
          </cell>
          <cell r="E4134">
            <v>632.37</v>
          </cell>
          <cell r="F4134">
            <v>0</v>
          </cell>
        </row>
        <row r="4135">
          <cell r="B4135">
            <v>101808</v>
          </cell>
          <cell r="C4135" t="str">
            <v>CAIXA ENTERRADA DISTRIBUIDORA DE VAZÃO (SUMIDOUROS MÚLTIPLOS), RETANGULAR, EM CONCRETO PRÉ-MOLDADO, DIMENSÕES INTERNAS: 0,60 X 0,60 X H=0,50 M. AF_12/2020</v>
          </cell>
          <cell r="D4135" t="str">
            <v>UN</v>
          </cell>
          <cell r="E4135">
            <v>627.77</v>
          </cell>
          <cell r="F4135">
            <v>0</v>
          </cell>
        </row>
        <row r="4136">
          <cell r="B4136">
            <v>98058</v>
          </cell>
          <cell r="C4136" t="str">
            <v>FILTRO ANAERÓBIO CIRCULAR, EM CONCRETO PRÉ-MOLDADO, DIÂMETRO INTERNO = 1,10 M, ALTURA INTERNA = 1,50 M, VOLUME ÚTIL: 1140,4 L (PARA 5 CONTRIBUINTES). AF_12/2020</v>
          </cell>
          <cell r="D4136" t="str">
            <v>UN</v>
          </cell>
          <cell r="E4136">
            <v>1972.67</v>
          </cell>
          <cell r="F4136">
            <v>0</v>
          </cell>
        </row>
        <row r="4137">
          <cell r="B4137">
            <v>98059</v>
          </cell>
          <cell r="C4137" t="str">
            <v>FILTRO ANAERÓBIO CIRCULAR, EM CONCRETO PRÉ-MOLDADO, DIÂMETRO INTERNO = 1,88 M, ALTURA INTERNA = 1,50 M, VOLUME ÚTIL: 3331,1 L (PARA 19 CONTRIBUINTES). AF_12/2020</v>
          </cell>
          <cell r="D4137" t="str">
            <v>UN</v>
          </cell>
          <cell r="E4137">
            <v>4150.26</v>
          </cell>
          <cell r="F4137">
            <v>0</v>
          </cell>
        </row>
        <row r="4138">
          <cell r="B4138">
            <v>98060</v>
          </cell>
          <cell r="C4138" t="str">
            <v>FILTRO ANAERÓBIO CIRCULAR, EM CONCRETO PRÉ-MOLDADO, DIÂMETRO INTERNO = 2,38 M, ALTURA INTERNA = 1,50 M, VOLUME ÚTIL: 5338,6 L (PARA 34 CONTRIBUINTES). AF_12/2020</v>
          </cell>
          <cell r="D4138" t="str">
            <v>UN</v>
          </cell>
          <cell r="E4138">
            <v>5755.12</v>
          </cell>
          <cell r="F4138">
            <v>0</v>
          </cell>
        </row>
        <row r="4139">
          <cell r="B4139">
            <v>98061</v>
          </cell>
          <cell r="C4139" t="str">
            <v>FILTRO ANAERÓBIO CIRCULAR, EM CONCRETO PRÉ-MOLDADO, DIÂMETRO INTERNO = 2,88 M, ALTURA INTERNA = 1,50 M, VOLUME ÚTIL: 7817,3 L (PARA 75 CONTRIBUINTES). AF_12/2020</v>
          </cell>
          <cell r="D4139" t="str">
            <v>UN</v>
          </cell>
          <cell r="E4139">
            <v>8007.77</v>
          </cell>
          <cell r="F4139">
            <v>0</v>
          </cell>
        </row>
        <row r="4140">
          <cell r="B4140">
            <v>98088</v>
          </cell>
          <cell r="C4140" t="str">
            <v>FILTRO ANAERÓBIO RETANGULAR, EM ALVENARIA COM BLOCOS DE CONCRETO, DIMENSÕES INTERNAS: 0,8 X 1,2 X H=1,67 M, VOLUME ÚTIL: 1152 L (PARA 5 CONTRIBUINTES). AF_12/2020</v>
          </cell>
          <cell r="D4140" t="str">
            <v>UN</v>
          </cell>
          <cell r="E4140">
            <v>3488.99</v>
          </cell>
          <cell r="F4140">
            <v>0</v>
          </cell>
        </row>
        <row r="4141">
          <cell r="B4141">
            <v>98089</v>
          </cell>
          <cell r="C4141" t="str">
            <v>FILTRO ANAERÓBIO RETANGULAR, EM ALVENARIA COM BLOCOS DE CONCRETO, DIMENSÕES INTERNAS: 1,2 X 1,8 X H=1,67 M, VOLUME ÚTIL: 2592 L (PARA 13 CONTRIBUINTES). AF_12/2020</v>
          </cell>
          <cell r="D4141" t="str">
            <v>UN</v>
          </cell>
          <cell r="E4141">
            <v>5515.89</v>
          </cell>
          <cell r="F4141">
            <v>0</v>
          </cell>
        </row>
        <row r="4142">
          <cell r="B4142">
            <v>98090</v>
          </cell>
          <cell r="C4142" t="str">
            <v>FILTRO ANAERÓBIO RETANGULAR, EM ALVENARIA COM BLOCOS DE CONCRETO, DIMENSÕES INTERNAS: 1,4 X 3,0 X H=1,67 M, VOLUME ÚTIL: 5040 L (PARA 32 CONTRIBUINTES). AF_12/2020</v>
          </cell>
          <cell r="D4142" t="str">
            <v>UN</v>
          </cell>
          <cell r="E4142">
            <v>8657.98</v>
          </cell>
          <cell r="F4142">
            <v>0</v>
          </cell>
        </row>
        <row r="4143">
          <cell r="B4143">
            <v>98091</v>
          </cell>
          <cell r="C4143" t="str">
            <v>FILTRO ANAERÓBIO RETANGULAR, EM ALVENARIA COM BLOCOS DE CONCRETO, DIMENSÕES INTERNAS: 1,4 X 4,2 X H=1,67 M, VOLUME ÚTIL: 7056 L (PARA 67 CONTRIBUINTES). AF_12/2020</v>
          </cell>
          <cell r="D4143" t="str">
            <v>UN</v>
          </cell>
          <cell r="E4143">
            <v>11305.16</v>
          </cell>
          <cell r="F4143">
            <v>0</v>
          </cell>
        </row>
        <row r="4144">
          <cell r="B4144">
            <v>98092</v>
          </cell>
          <cell r="C4144" t="str">
            <v>FILTRO ANAERÓBIO RETANGULAR, EM ALVENARIA COM BLOCOS DE CONCRETO, DIMENSÕES INTERNAS: 1,6 X 4,6 X H=1,67 M, VOLUME ÚTIL: 8832 L (PARA 84 CONTRIBUINTES). AF_12/2020</v>
          </cell>
          <cell r="D4144" t="str">
            <v>UN</v>
          </cell>
          <cell r="E4144">
            <v>13124.04</v>
          </cell>
          <cell r="F4144">
            <v>0</v>
          </cell>
        </row>
        <row r="4145">
          <cell r="B4145">
            <v>98093</v>
          </cell>
          <cell r="C4145" t="str">
            <v>FILTRO ANAERÓBIO RETANGULAR, EM ALVENARIA COM BLOCOS DE CONCRETO, DIMENSÕES INTERNAS: 1,6 X 5,6 X H=1,67 M, VOLUME ÚTIL: 10752 L (PARA 103 CONTRIBUINTES). AF_12/2020</v>
          </cell>
          <cell r="D4145" t="str">
            <v>UN</v>
          </cell>
          <cell r="E4145">
            <v>15488.15</v>
          </cell>
          <cell r="F4145">
            <v>0</v>
          </cell>
        </row>
        <row r="4146">
          <cell r="B4146">
            <v>98072</v>
          </cell>
          <cell r="C4146" t="str">
            <v>FILTRO ANAERÓBIO RETANGULAR, EM ALVENARIA COM TIJOLOS CERÂMICOS MACIÇOS, DIMENSÕES INTERNAS: 0,8 X 1,2 X H=1,67 M, VOLUME ÚTIL: 1152 L (PARA 5 CONTRIBUINTES). AF_12/2020</v>
          </cell>
          <cell r="D4146" t="str">
            <v>UN</v>
          </cell>
          <cell r="E4146">
            <v>4221.83</v>
          </cell>
          <cell r="F4146">
            <v>0</v>
          </cell>
        </row>
        <row r="4147">
          <cell r="B4147">
            <v>98073</v>
          </cell>
          <cell r="C4147" t="str">
            <v>FILTRO ANAERÓBIO RETANGULAR, EM ALVENARIA COM TIJOLOS CERÂMICOS MACIÇOS, DIMENSÕES INTERNAS: 1,2 X 1,8 X H=1,67 M, VOLUME ÚTIL: 2592 L (PARA 13 CONTRIBUINTES). AF_12/2020</v>
          </cell>
          <cell r="D4147" t="str">
            <v>UN</v>
          </cell>
          <cell r="E4147">
            <v>6630.43</v>
          </cell>
          <cell r="F4147">
            <v>0</v>
          </cell>
        </row>
        <row r="4148">
          <cell r="B4148">
            <v>98074</v>
          </cell>
          <cell r="C4148" t="str">
            <v>FILTRO ANAERÓBIO RETANGULAR, EM ALVENARIA COM TIJOLOS CERÂMICOS MACIÇOS, DIMENSÕES INTERNAS: 1,4 X 3,0 X H=1,67 M, VOLUME ÚTIL: 5040 L (PARA 32 CONTRIBUINTES). AF_12/2020</v>
          </cell>
          <cell r="D4148" t="str">
            <v>UN</v>
          </cell>
          <cell r="E4148">
            <v>10326.98</v>
          </cell>
          <cell r="F4148">
            <v>0</v>
          </cell>
        </row>
        <row r="4149">
          <cell r="B4149">
            <v>98075</v>
          </cell>
          <cell r="C4149" t="str">
            <v>FILTRO ANAERÓBIO RETANGULAR, EM ALVENARIA COM TIJOLOS CERÂMICOS MACIÇOS, DIMENSÕES INTERNAS: 1,4 X 4,2 X H=1,67 M, VOLUME ÚTIL: 7056 L (PARA 67 CONTRIBUINTES). AF_12/2020</v>
          </cell>
          <cell r="D4149" t="str">
            <v>UN</v>
          </cell>
          <cell r="E4149">
            <v>13442.54</v>
          </cell>
          <cell r="F4149">
            <v>0</v>
          </cell>
        </row>
        <row r="4150">
          <cell r="B4150">
            <v>98076</v>
          </cell>
          <cell r="C4150" t="str">
            <v>FILTRO ANAERÓBIO RETANGULAR, EM ALVENARIA COM TIJOLOS CERÂMICOS MACIÇOS, DIMENSÕES INTERNAS: 1,6 X 4,6 X H=1,67 M, VOLUME ÚTIL: 8832 L (PARA 84 CONTRIBUINTES). AF_12/2020</v>
          </cell>
          <cell r="D4150" t="str">
            <v>UN</v>
          </cell>
          <cell r="E4150">
            <v>15511.44</v>
          </cell>
          <cell r="F4150">
            <v>0</v>
          </cell>
        </row>
        <row r="4151">
          <cell r="B4151">
            <v>98077</v>
          </cell>
          <cell r="C4151" t="str">
            <v>FILTRO ANAERÓBIO RETANGULAR, EM ALVENARIA COM TIJOLOS CERÂMICOS MACIÇOS, DIMENSÕES INTERNAS: 1,6 X 5,6 X H=1,67 M, VOLUME ÚTIL: 10752 L (PARA 103 CONTRIBUINTES). AF_12/2020</v>
          </cell>
          <cell r="D4151" t="str">
            <v>UN</v>
          </cell>
          <cell r="E4151">
            <v>18271.14</v>
          </cell>
          <cell r="F4151">
            <v>0</v>
          </cell>
        </row>
        <row r="4152">
          <cell r="B4152">
            <v>98062</v>
          </cell>
          <cell r="C4152" t="str">
            <v>SUMIDOURO CIRCULAR, EM CONCRETO PRÉ-MOLDADO, DIÂMETRO INTERNO = 1,88 M, ALTURA INTERNA = 2,00 M, ÁREA DE INFILTRAÇÃO: 13,1 M² (PARA 5 CONTRIBUINTES). AF_12/2020</v>
          </cell>
          <cell r="D4152" t="str">
            <v>UN</v>
          </cell>
          <cell r="E4152">
            <v>3421.01</v>
          </cell>
          <cell r="F4152">
            <v>0</v>
          </cell>
        </row>
        <row r="4153">
          <cell r="B4153">
            <v>98063</v>
          </cell>
          <cell r="C4153" t="str">
            <v>SUMIDOURO CIRCULAR, EM CONCRETO PRÉ-MOLDADO, DIÂMETRO INTERNO = 2,38 M, ALTURA INTERNA = 2,50 M, ÁREA DE INFILTRAÇÃO: 21,3 M² (PARA 8 CONTRIBUINTES). AF_12/2020</v>
          </cell>
          <cell r="D4153" t="str">
            <v>UN</v>
          </cell>
          <cell r="E4153">
            <v>5224.58</v>
          </cell>
          <cell r="F4153">
            <v>0</v>
          </cell>
        </row>
        <row r="4154">
          <cell r="B4154">
            <v>98064</v>
          </cell>
          <cell r="C4154" t="str">
            <v>SUMIDOURO CIRCULAR, EM CONCRETO PRÉ-MOLDADO, DIÂMETRO INTERNO = 2,38 M, ALTURA INTERNA = 3,0 M, ÁREA DE INFILTRAÇÃO: 25 M² (PARA 10 CONTRIBUINTES). AF_12/2020</v>
          </cell>
          <cell r="D4154" t="str">
            <v>UN</v>
          </cell>
          <cell r="E4154">
            <v>6068.43</v>
          </cell>
          <cell r="F4154">
            <v>0</v>
          </cell>
        </row>
        <row r="4155">
          <cell r="B4155">
            <v>98065</v>
          </cell>
          <cell r="C4155" t="str">
            <v>SUMIDOURO CIRCULAR, EM CONCRETO PRÉ-MOLDADO, DIÂMETRO INTERNO = 2,88 M, ALTURA INTERNA = 3,0 M, ÁREA DE INFILTRAÇÃO: 31,4 M² (PARA 12 CONTRIBUINTES). AF_12/2020</v>
          </cell>
          <cell r="D4155" t="str">
            <v>UN</v>
          </cell>
          <cell r="E4155">
            <v>8425.2800000000007</v>
          </cell>
          <cell r="F4155">
            <v>0</v>
          </cell>
        </row>
        <row r="4156">
          <cell r="B4156">
            <v>98094</v>
          </cell>
          <cell r="C4156" t="str">
            <v>SUMIDOURO RETANGULAR, EM ALVENARIA COM BLOCOS DE CONCRETO, DIMENSÕES INTERNAS: 0,8 X 1,4 X H=3,0 M, ÁREA DE INFILTRAÇÃO: 13,2 M² (PARA 5 CONTRIBUINTES). AF_12/2020</v>
          </cell>
          <cell r="D4156" t="str">
            <v>UN</v>
          </cell>
          <cell r="E4156">
            <v>2934.1</v>
          </cell>
          <cell r="F4156">
            <v>0</v>
          </cell>
        </row>
        <row r="4157">
          <cell r="B4157">
            <v>98099</v>
          </cell>
          <cell r="C4157" t="str">
            <v>SUMIDOURO RETANGULAR, EM ALVENARIA COM BLOCOS DE CONCRETO, DIMENSÕES INTERNAS: 1,0 X 3,0 X H=3,0 M, ÁREA DE INFILTRAÇÃO: 25 M² (PARA 10 CONTRIBUINTES). AF_12/2020</v>
          </cell>
          <cell r="D4157" t="str">
            <v>UN</v>
          </cell>
          <cell r="E4157">
            <v>5017.42</v>
          </cell>
          <cell r="F4157">
            <v>0</v>
          </cell>
        </row>
        <row r="4158">
          <cell r="B4158">
            <v>98100</v>
          </cell>
          <cell r="C4158" t="str">
            <v>SUMIDOURO RETANGULAR, EM ALVENARIA COM BLOCOS DE CONCRETO, DIMENSÕES INTERNAS: 1,6 X 3,4 X H=3,0 M, ÁREA DE INFILTRAÇÃO: 32,9 M² (PARA 13 CONTRIBUINTES). . AF_12/2020</v>
          </cell>
          <cell r="D4158" t="str">
            <v>UN</v>
          </cell>
          <cell r="E4158">
            <v>6568.92</v>
          </cell>
          <cell r="F4158">
            <v>0</v>
          </cell>
        </row>
        <row r="4159">
          <cell r="B4159">
            <v>98101</v>
          </cell>
          <cell r="C4159" t="str">
            <v>SUMIDOURO RETANGULAR, EM ALVENARIA COM BLOCOS DE CONCRETO, DIMENSÕES INTERNAS: 1,6 X 5,8 X H=3,0 M, ÁREA DE INFILTRAÇÃO: 50 M² (PARA 20 CONTRIBUINTES). . AF_12/2020</v>
          </cell>
          <cell r="D4159" t="str">
            <v>UN</v>
          </cell>
          <cell r="E4159">
            <v>9714.7800000000007</v>
          </cell>
          <cell r="F4159">
            <v>0</v>
          </cell>
        </row>
        <row r="4160">
          <cell r="B4160">
            <v>98078</v>
          </cell>
          <cell r="C4160" t="str">
            <v>SUMIDOURO RETANGULAR, EM ALVENARIA COM TIJOLOS CERÂMICOS MACIÇOS, DIMENSÕES INTERNAS: 0,8 X 1,4 X H=3,0 M, ÁREA DE INFILTRAÇÃO: 13,2 M² (PARA 5 CONTRIBUINTES). AF_12/2020</v>
          </cell>
          <cell r="D4160" t="str">
            <v>UN</v>
          </cell>
          <cell r="E4160">
            <v>4576.8599999999997</v>
          </cell>
          <cell r="F4160">
            <v>0</v>
          </cell>
        </row>
        <row r="4161">
          <cell r="B4161">
            <v>98079</v>
          </cell>
          <cell r="C4161" t="str">
            <v>SUMIDOURO RETANGULAR, EM ALVENARIA COM TIJOLOS CERÂMICOS MACIÇOS, DIMENSÕES INTERNAS: 1,0 X 3,0 X H=3,0 M, ÁREA DE INFILTRAÇÃO: 25 M² (PARA 10 CONTRIBUINTES). AF_12/2020</v>
          </cell>
          <cell r="D4161" t="str">
            <v>UN</v>
          </cell>
          <cell r="E4161">
            <v>8021.97</v>
          </cell>
          <cell r="F4161">
            <v>0</v>
          </cell>
        </row>
        <row r="4162">
          <cell r="B4162">
            <v>98080</v>
          </cell>
          <cell r="C4162" t="str">
            <v>SUMIDOURO RETANGULAR, EM ALVENARIA COM TIJOLOS CERÂMICOS MACIÇOS, DIMENSÕES INTERNAS: 1,6 X 3,4 X H=3,0 M, ÁREA DE INFILTRAÇÃO: 32,9 M² (PARA 13 CONTRIBUINTES). AF_12/2020</v>
          </cell>
          <cell r="D4162" t="str">
            <v>UN</v>
          </cell>
          <cell r="E4162">
            <v>10330.08</v>
          </cell>
          <cell r="F4162">
            <v>0</v>
          </cell>
        </row>
        <row r="4163">
          <cell r="B4163">
            <v>98081</v>
          </cell>
          <cell r="C4163" t="str">
            <v>SUMIDOURO RETANGULAR, EM ALVENARIA COM TIJOLOS CERÂMICOS MACIÇOS, DIMENSÕES INTERNAS: 1,6 X 5,8 X H=3,0 M, ÁREA DE INFILTRAÇÃO: 50 M² (PARA 20 CONTRIBUINTES). AF_12/2020</v>
          </cell>
          <cell r="D4163" t="str">
            <v>UN</v>
          </cell>
          <cell r="E4163">
            <v>15315.3</v>
          </cell>
          <cell r="F4163">
            <v>0</v>
          </cell>
        </row>
        <row r="4164">
          <cell r="B4164">
            <v>98052</v>
          </cell>
          <cell r="C4164" t="str">
            <v>TANQUE SÉPTICO CIRCULAR, EM CONCRETO PRÉ-MOLDADO, DIÂMETRO INTERNO = 1,10 M, ALTURA INTERNA = 2,50 M, VOLUME ÚTIL: 2138,2 L (PARA 5 CONTRIBUINTES). AF_12/2020</v>
          </cell>
          <cell r="D4164" t="str">
            <v>UN</v>
          </cell>
          <cell r="E4164">
            <v>2351.04</v>
          </cell>
          <cell r="F4164">
            <v>0</v>
          </cell>
        </row>
        <row r="4165">
          <cell r="B4165">
            <v>98053</v>
          </cell>
          <cell r="C4165" t="str">
            <v>TANQUE SÉPTICO CIRCULAR, EM CONCRETO PRÉ-MOLDADO, DIÂMETRO INTERNO = 1,40 M, ALTURA INTERNA = 2,50 M, VOLUME ÚTIL: 3463,6 L (PARA 13 CONTRIBUINTES). AF_12/2020</v>
          </cell>
          <cell r="D4165" t="str">
            <v>UN</v>
          </cell>
          <cell r="E4165">
            <v>3228.3</v>
          </cell>
          <cell r="F4165">
            <v>0</v>
          </cell>
        </row>
        <row r="4166">
          <cell r="B4166">
            <v>98054</v>
          </cell>
          <cell r="C4166" t="str">
            <v>TANQUE SÉPTICO CIRCULAR, EM CONCRETO PRÉ-MOLDADO, DIÂMETRO INTERNO = 1,88 M, ALTURA INTERNA = 2,50 M, VOLUME ÚTIL: 6245,8 L (PARA 32 CONTRIBUINTES). AF_12/2020</v>
          </cell>
          <cell r="D4166" t="str">
            <v>UN</v>
          </cell>
          <cell r="E4166">
            <v>5206.1099999999997</v>
          </cell>
          <cell r="F4166">
            <v>0</v>
          </cell>
        </row>
        <row r="4167">
          <cell r="B4167">
            <v>98055</v>
          </cell>
          <cell r="C4167" t="str">
            <v>TANQUE SÉPTICO CIRCULAR, EM CONCRETO PRÉ-MOLDADO, DIÂMETRO INTERNO = 2,38 M, ALTURA INTERNA = 2,50 M, VOLUME ÚTIL: 10009,8 L (PARA 69 CONTRIBUINTES). AF_12/2020</v>
          </cell>
          <cell r="D4167" t="str">
            <v>UN</v>
          </cell>
          <cell r="E4167">
            <v>7059.57</v>
          </cell>
          <cell r="F4167">
            <v>0</v>
          </cell>
        </row>
        <row r="4168">
          <cell r="B4168">
            <v>98056</v>
          </cell>
          <cell r="C4168" t="str">
            <v>TANQUE SÉPTICO CIRCULAR, EM CONCRETO PRÉ-MOLDADO, DIÂMETRO INTERNO = 2,38 M, ALTURA INTERNA = 3,0 M, VOLUME ÚTIL: 12234,2 L (PARA 86 CONTRIBUINTES). AF_12/2020</v>
          </cell>
          <cell r="D4168" t="str">
            <v>UN</v>
          </cell>
          <cell r="E4168">
            <v>8269.42</v>
          </cell>
          <cell r="F4168">
            <v>0</v>
          </cell>
        </row>
        <row r="4169">
          <cell r="B4169">
            <v>98057</v>
          </cell>
          <cell r="C4169" t="str">
            <v>TANQUE SÉPTICO CIRCULAR, EM CONCRETO PRÉ-MOLDADO, DIÂMETRO INTERNO = 2,88 M, ALTURA INTERNA = 2,50 M, VOLUME ÚTIL: 14657,4 L (PARA 105 CONTRIBUINTES). AF_12/2020</v>
          </cell>
          <cell r="D4169" t="str">
            <v>UN</v>
          </cell>
          <cell r="E4169">
            <v>9804.34</v>
          </cell>
          <cell r="F4169">
            <v>0</v>
          </cell>
        </row>
        <row r="4170">
          <cell r="B4170">
            <v>98082</v>
          </cell>
          <cell r="C4170" t="str">
            <v>TANQUE SÉPTICO RETANGULAR, EM ALVENARIA COM BLOCOS DE CONCRETO, DIMENSÕES INTERNAS: 1,0 X 2,0 X H=1,4 M, VOLUME ÚTIL: 2000 L (PARA 5 CONTRIBUINTES). AF_12/2020</v>
          </cell>
          <cell r="D4170" t="str">
            <v>UN</v>
          </cell>
          <cell r="E4170">
            <v>4051.67</v>
          </cell>
          <cell r="F4170">
            <v>0</v>
          </cell>
        </row>
        <row r="4171">
          <cell r="B4171">
            <v>98083</v>
          </cell>
          <cell r="C4171" t="str">
            <v>TANQUE SÉPTICO RETANGULAR, EM ALVENARIA COM BLOCOS DE CONCRETO, DIMENSÕES INTERNAS: 1,2 X 2,4 X H=1,6 M, VOLUME ÚTIL: 3456 L (PARA 13 CONTRIBUINTES). AF_12/2020</v>
          </cell>
          <cell r="D4171" t="str">
            <v>UN</v>
          </cell>
          <cell r="E4171">
            <v>5352.22</v>
          </cell>
          <cell r="F4171">
            <v>0</v>
          </cell>
        </row>
        <row r="4172">
          <cell r="B4172">
            <v>98084</v>
          </cell>
          <cell r="C4172" t="str">
            <v>TANQUE SÉPTICO RETANGULAR, EM ALVENARIA COM BLOCOS DE CONCRETO, DIMENSÕES INTERNAS: 1,4 X 3,2 X H=1,8 M, VOLUME ÚTIL: 6272 L (PARA 32 CONTRIBUINTES). AF_12/2020</v>
          </cell>
          <cell r="D4172" t="str">
            <v>UN</v>
          </cell>
          <cell r="E4172">
            <v>7515.5</v>
          </cell>
          <cell r="F4172">
            <v>0</v>
          </cell>
        </row>
        <row r="4173">
          <cell r="B4173">
            <v>98085</v>
          </cell>
          <cell r="C4173" t="str">
            <v>TANQUE SÉPTICO RETANGULAR, EM ALVENARIA COM BLOCOS DE CONCRETO, DIMENSÕES INTERNAS: 1,6 X 4,4 X H=1,8 M, VOLUME ÚTIL: 9856 L (PARA 68 CONTRIBUINTES). AF_12/2020</v>
          </cell>
          <cell r="D4173" t="str">
            <v>UN</v>
          </cell>
          <cell r="E4173">
            <v>10193.92</v>
          </cell>
          <cell r="F4173">
            <v>0</v>
          </cell>
        </row>
        <row r="4174">
          <cell r="B4174">
            <v>98087</v>
          </cell>
          <cell r="C4174" t="str">
            <v>TANQUE SÉPTICO RETANGULAR, EM ALVENARIA COM BLOCOS DE CONCRETO, DIMENSÕES INTERNAS: 1,6 X 4,6 X H=2,4 M, VOLUME ÚTIL: 14720 L (PARA 105 CONTRIBUINTES). AF_12/2020</v>
          </cell>
          <cell r="D4174" t="str">
            <v>UN</v>
          </cell>
          <cell r="E4174">
            <v>12309.25</v>
          </cell>
          <cell r="F4174">
            <v>0</v>
          </cell>
        </row>
        <row r="4175">
          <cell r="B4175">
            <v>98086</v>
          </cell>
          <cell r="C4175" t="str">
            <v>TANQUE SÉPTICO RETANGULAR, EM ALVENARIA COM BLOCOS DE CONCRETO, DIMENSÕES INTERNAS: 1,6 X 4,8 X H=2,0 M, VOLUME ÚTIL: 12288 L (PARA 86 CONTRIBUINTES). AF_12/2020</v>
          </cell>
          <cell r="D4175" t="str">
            <v>UN</v>
          </cell>
          <cell r="E4175">
            <v>11517.22</v>
          </cell>
          <cell r="F4175">
            <v>0</v>
          </cell>
        </row>
        <row r="4176">
          <cell r="B4176">
            <v>98066</v>
          </cell>
          <cell r="C4176" t="str">
            <v>TANQUE SÉPTICO RETANGULAR, EM ALVENARIA COM TIJOLOS CERÂMICOS MACIÇOS, DIMENSÕES INTERNAS: 1,0 X 2,0 X H=1,4 M, VOLUME ÚTIL: 2000 L (PARA 5 CONTRIBUINTES). AF_12/2020</v>
          </cell>
          <cell r="D4176" t="str">
            <v>UN</v>
          </cell>
          <cell r="E4176">
            <v>5012.53</v>
          </cell>
          <cell r="F4176">
            <v>0</v>
          </cell>
        </row>
        <row r="4177">
          <cell r="B4177">
            <v>98067</v>
          </cell>
          <cell r="C4177" t="str">
            <v>TANQUE SÉPTICO RETANGULAR, EM ALVENARIA COM TIJOLOS CERÂMICOS MACIÇOS, DIMENSÕES INTERNAS: 1,2 X 2,4 X H=1,6 M, VOLUME ÚTIL: 3456 L (PARA 13 CONTRIBUINTES). AF_12/2020</v>
          </cell>
          <cell r="D4177" t="str">
            <v>UN</v>
          </cell>
          <cell r="E4177">
            <v>6685.76</v>
          </cell>
          <cell r="F4177">
            <v>0</v>
          </cell>
        </row>
        <row r="4178">
          <cell r="B4178">
            <v>98068</v>
          </cell>
          <cell r="C4178" t="str">
            <v>TANQUE SÉPTICO RETANGULAR, EM ALVENARIA COM TIJOLOS CERÂMICOS MACIÇOS, DIMENSÕES INTERNAS: 1,4 X 3,2 X H=1,8 M, VOLUME ÚTIL: 6272 L (PARA 32 CONTRIBUINTES). AF_12/2020</v>
          </cell>
          <cell r="D4178" t="str">
            <v>UN</v>
          </cell>
          <cell r="E4178">
            <v>9451.99</v>
          </cell>
          <cell r="F4178">
            <v>0</v>
          </cell>
        </row>
        <row r="4179">
          <cell r="B4179">
            <v>98069</v>
          </cell>
          <cell r="C4179" t="str">
            <v>TANQUE SÉPTICO RETANGULAR, EM ALVENARIA COM TIJOLOS CERÂMICOS MACIÇOS, DIMENSÕES INTERNAS: 1,6 X 4,4 X H=1,8 M, VOLUME ÚTIL: 9856 L (PARA 68 CONTRIBUINTES). AF_12/2020</v>
          </cell>
          <cell r="D4179" t="str">
            <v>UN</v>
          </cell>
          <cell r="E4179">
            <v>12727.5</v>
          </cell>
          <cell r="F4179">
            <v>0</v>
          </cell>
        </row>
        <row r="4180">
          <cell r="B4180">
            <v>98071</v>
          </cell>
          <cell r="C4180" t="str">
            <v>TANQUE SÉPTICO RETANGULAR, EM ALVENARIA COM TIJOLOS CERÂMICOS MACIÇOS, DIMENSÕES INTERNAS: 1,6 X 4,6 X H=2,4 M, VOLUME ÚTIL: 14720 L (PARA 105 CONTRIBUINTES). AF_12/2020</v>
          </cell>
          <cell r="D4180" t="str">
            <v>UN</v>
          </cell>
          <cell r="E4180">
            <v>15842.68</v>
          </cell>
          <cell r="F4180">
            <v>0</v>
          </cell>
        </row>
        <row r="4181">
          <cell r="B4181">
            <v>98070</v>
          </cell>
          <cell r="C4181" t="str">
            <v>TANQUE SÉPTICO RETANGULAR, EM ALVENARIA COM TIJOLOS CERÂMICOS MACIÇOS, DIMENSÕES INTERNAS: 1,6 X 4,8 X H=2,0 M, VOLUME ÚTIL: 12288 L (PARA 86 CONTRIBUINTES). AF_12/2020</v>
          </cell>
          <cell r="D4181" t="str">
            <v>UN</v>
          </cell>
          <cell r="E4181">
            <v>14536.09</v>
          </cell>
          <cell r="F4181">
            <v>0</v>
          </cell>
        </row>
        <row r="4182">
          <cell r="B4182">
            <v>104915</v>
          </cell>
          <cell r="C4182" t="str">
            <v>ARMAÇÃO DE BLOCO E SAPATA UTILIZANDO AÇO CA-50 DE 25 MM - MONTAGEM. AF_01/2024</v>
          </cell>
          <cell r="D4182" t="str">
            <v>KG</v>
          </cell>
          <cell r="E4182">
            <v>8.25</v>
          </cell>
          <cell r="F4182">
            <v>0</v>
          </cell>
        </row>
        <row r="4183">
          <cell r="B4183">
            <v>96546</v>
          </cell>
          <cell r="C4183" t="str">
            <v>ARMAÇÃO DE BLOCO UTILIZANDO AÇO CA-50 DE 10 MM - MONTAGEM. AF_01/2024</v>
          </cell>
          <cell r="D4183" t="str">
            <v>KG</v>
          </cell>
          <cell r="E4183">
            <v>13.5</v>
          </cell>
          <cell r="F4183">
            <v>0</v>
          </cell>
        </row>
        <row r="4184">
          <cell r="B4184">
            <v>96544</v>
          </cell>
          <cell r="C4184" t="str">
            <v>ARMAÇÃO DE BLOCO UTILIZANDO AÇO CA-50 DE 6,3 MM - MONTAGEM. AF_01/2024</v>
          </cell>
          <cell r="D4184" t="str">
            <v>KG</v>
          </cell>
          <cell r="E4184">
            <v>18.5</v>
          </cell>
          <cell r="F4184">
            <v>0</v>
          </cell>
        </row>
        <row r="4185">
          <cell r="B4185">
            <v>96545</v>
          </cell>
          <cell r="C4185" t="str">
            <v>ARMAÇÃO DE BLOCO UTILIZANDO AÇO CA-50 DE 8 MM - MONTAGEM. AF_01/2024</v>
          </cell>
          <cell r="D4185" t="str">
            <v>KG</v>
          </cell>
          <cell r="E4185">
            <v>15.89</v>
          </cell>
          <cell r="F4185">
            <v>0</v>
          </cell>
        </row>
        <row r="4186">
          <cell r="B4186">
            <v>96543</v>
          </cell>
          <cell r="C4186" t="str">
            <v>ARMAÇÃO DE BLOCO UTILIZANDO AÇO CA-60 DE 5 MM - MONTAGEM. AF_01/2024</v>
          </cell>
          <cell r="D4186" t="str">
            <v>KG</v>
          </cell>
          <cell r="E4186">
            <v>21.68</v>
          </cell>
          <cell r="F4186">
            <v>0</v>
          </cell>
        </row>
        <row r="4187">
          <cell r="B4187">
            <v>104922</v>
          </cell>
          <cell r="C4187" t="str">
            <v>ARMAÇÃO DE BLOCO, SAPATA ISOLADA E SAPATA CORRIDA UTILIZANDO AÇO CA-50 DE 20 MM - MONTAGEM. AF_01/2024</v>
          </cell>
          <cell r="D4187" t="str">
            <v>KG</v>
          </cell>
          <cell r="E4187">
            <v>9.59</v>
          </cell>
          <cell r="F4187">
            <v>0</v>
          </cell>
        </row>
        <row r="4188">
          <cell r="B4188">
            <v>104920</v>
          </cell>
          <cell r="C4188" t="str">
            <v>ARMAÇÃO DE BLOCO, SAPATA ISOLADA, VIGA BALDRAME E SAPATA CORRIDA UTILIZANDO AÇO CA-50 DE 12,5 MM - MONTAGEM. AF_01/2024</v>
          </cell>
          <cell r="D4188" t="str">
            <v>KG</v>
          </cell>
          <cell r="E4188">
            <v>9.8800000000000008</v>
          </cell>
          <cell r="F4188">
            <v>0</v>
          </cell>
        </row>
        <row r="4189">
          <cell r="B4189">
            <v>104921</v>
          </cell>
          <cell r="C4189" t="str">
            <v>ARMAÇÃO DE BLOCO, SAPATA ISOLADA, VIGA BALDRAME E SAPATA CORRIDA UTILIZANDO AÇO CA-50 DE 16 MM - MONTAGEM. AF_01/2024</v>
          </cell>
          <cell r="D4189" t="str">
            <v>KG</v>
          </cell>
          <cell r="E4189">
            <v>9.0299999999999994</v>
          </cell>
          <cell r="F4189">
            <v>0</v>
          </cell>
        </row>
        <row r="4190">
          <cell r="B4190">
            <v>104919</v>
          </cell>
          <cell r="C4190" t="str">
            <v>ARMAÇÃO DE SAPATA ISOLADA, VIGA BALDRAME E SAPATA CORRIDA UTILIZANDO AÇO CA-50 DE 10 MM - MONTAGEM. AF_01/2024</v>
          </cell>
          <cell r="D4190" t="str">
            <v>KG</v>
          </cell>
          <cell r="E4190">
            <v>11.79</v>
          </cell>
          <cell r="F4190">
            <v>0</v>
          </cell>
        </row>
        <row r="4191">
          <cell r="B4191">
            <v>104917</v>
          </cell>
          <cell r="C4191" t="str">
            <v>ARMAÇÃO DE SAPATA ISOLADA, VIGA BALDRAME E SAPATA CORRIDA UTILIZANDO AÇO CA-50 DE 6,3 MM - MONTAGEM. AF_01/2024</v>
          </cell>
          <cell r="D4191" t="str">
            <v>KG</v>
          </cell>
          <cell r="E4191">
            <v>15.3</v>
          </cell>
          <cell r="F4191">
            <v>0</v>
          </cell>
        </row>
        <row r="4192">
          <cell r="B4192">
            <v>104918</v>
          </cell>
          <cell r="C4192" t="str">
            <v>ARMAÇÃO DE SAPATA ISOLADA, VIGA BALDRAME E SAPATA CORRIDA UTILIZANDO AÇO CA-50 DE 8 MM - MONTAGEM. AF_01/2024</v>
          </cell>
          <cell r="D4192" t="str">
            <v>KG</v>
          </cell>
          <cell r="E4192">
            <v>13.56</v>
          </cell>
          <cell r="F4192">
            <v>0</v>
          </cell>
        </row>
        <row r="4193">
          <cell r="B4193">
            <v>104916</v>
          </cell>
          <cell r="C4193" t="str">
            <v>ARMAÇÃO DE SAPATA ISOLADA, VIGA BALDRAME E SAPATA CORRIDA UTILIZANDO AÇO CA-60 DE 5 MM - MONTAGEM. AF_01/2024</v>
          </cell>
          <cell r="D4193" t="str">
            <v>KG</v>
          </cell>
          <cell r="E4193">
            <v>17.45</v>
          </cell>
          <cell r="F4193">
            <v>0</v>
          </cell>
        </row>
        <row r="4194">
          <cell r="B4194">
            <v>96557</v>
          </cell>
          <cell r="C4194" t="str">
            <v>CONCRETAGEM DE BLOCO DE COROAMENTO OU VIGA BALDRAME, FCK 30 MPA, COM USO DE BOMBA - LANÇAMENTO, ADENSAMENTO E ACABAMENTO. AF_01/2024</v>
          </cell>
          <cell r="D4194" t="str">
            <v>M3</v>
          </cell>
          <cell r="E4194">
            <v>636.54999999999995</v>
          </cell>
          <cell r="F4194">
            <v>0</v>
          </cell>
        </row>
        <row r="4195">
          <cell r="B4195">
            <v>96555</v>
          </cell>
          <cell r="C4195" t="str">
            <v>CONCRETAGEM DE BLOCO DE COROAMENTO OU VIGA BALDRAME, FCK 30 MPA, COM USO DE JERICA - LANÇAMENTO, ADENSAMENTO E ACABAMENTO. AF_01/2024</v>
          </cell>
          <cell r="D4195" t="str">
            <v>M3</v>
          </cell>
          <cell r="E4195">
            <v>730.78</v>
          </cell>
          <cell r="F4195">
            <v>0</v>
          </cell>
        </row>
        <row r="4196">
          <cell r="B4196">
            <v>104924</v>
          </cell>
          <cell r="C4196" t="str">
            <v>CONCRETAGEM DE SAPATA CORRIDA, FCK 30 MPA, COM USO DE BOMBA - LANÇAMENTO, ADENSAMENTO E ACABAMENTO. AF_01/2024</v>
          </cell>
          <cell r="D4196" t="str">
            <v>M3</v>
          </cell>
          <cell r="E4196">
            <v>660.2</v>
          </cell>
          <cell r="F4196">
            <v>0</v>
          </cell>
        </row>
        <row r="4197">
          <cell r="B4197">
            <v>104923</v>
          </cell>
          <cell r="C4197" t="str">
            <v>CONCRETAGEM DE SAPATA CORRIDA, FCK 30 MPA, COM USO DE JERICA - LANÇAMENTO, ADENSAMENTO E ACABAMENTO. AF_01/2024</v>
          </cell>
          <cell r="D4197" t="str">
            <v>M3</v>
          </cell>
          <cell r="E4197">
            <v>799.18</v>
          </cell>
          <cell r="F4197">
            <v>0</v>
          </cell>
        </row>
        <row r="4198">
          <cell r="B4198">
            <v>96558</v>
          </cell>
          <cell r="C4198" t="str">
            <v>CONCRETAGEM DE SAPATA, FCK 30 MPA, COM USO DE BOMBA - LANÇAMENTO, ADENSAMENTO E ACABAMENTO. AF_01/2024</v>
          </cell>
          <cell r="D4198" t="str">
            <v>M3</v>
          </cell>
          <cell r="E4198">
            <v>672.44</v>
          </cell>
          <cell r="F4198">
            <v>0</v>
          </cell>
        </row>
        <row r="4199">
          <cell r="B4199">
            <v>96556</v>
          </cell>
          <cell r="C4199" t="str">
            <v>CONCRETAGEM DE SAPATA, FCK 30 MPA, COM USO DE JERICA - LANÇAMENTO, ADENSAMENTO E ACABAMENTO. AF_01/2024</v>
          </cell>
          <cell r="D4199" t="str">
            <v>M3</v>
          </cell>
          <cell r="E4199">
            <v>927.91</v>
          </cell>
          <cell r="F4199">
            <v>0</v>
          </cell>
        </row>
        <row r="4200">
          <cell r="B4200">
            <v>96523</v>
          </cell>
          <cell r="C4200" t="str">
            <v>ESCAVAÇÃO MANUAL PARA BLOCO DE COROAMENTO OU SAPATA (INCLUINDO ESCAVAÇÃO PARA COLOCAÇÃO DE FÔRMAS). AF_01/2024</v>
          </cell>
          <cell r="D4200" t="str">
            <v>M3</v>
          </cell>
          <cell r="E4200">
            <v>132.02000000000001</v>
          </cell>
          <cell r="F4200">
            <v>0</v>
          </cell>
        </row>
        <row r="4201">
          <cell r="B4201">
            <v>96522</v>
          </cell>
          <cell r="C4201" t="str">
            <v>ESCAVAÇÃO MANUAL PARA BLOCO DE COROAMENTO OU SAPATA (SEM ESCAVAÇÃO PARA COLOCAÇÃO DE FÔRMAS). AF_01/2024</v>
          </cell>
          <cell r="D4201" t="str">
            <v>M3</v>
          </cell>
          <cell r="E4201">
            <v>198.69</v>
          </cell>
          <cell r="F4201">
            <v>0</v>
          </cell>
        </row>
        <row r="4202">
          <cell r="B4202">
            <v>96527</v>
          </cell>
          <cell r="C4202" t="str">
            <v>ESCAVAÇÃO MANUAL PARA VIGA BALDRAME OU SAPATA CORRIDA (INCLUINDO ESCAVAÇÃO PARA COLOCAÇÃO DE FÔRMAS). AF_01/2024</v>
          </cell>
          <cell r="D4202" t="str">
            <v>M3</v>
          </cell>
          <cell r="E4202">
            <v>145.5</v>
          </cell>
          <cell r="F4202">
            <v>0</v>
          </cell>
        </row>
        <row r="4203">
          <cell r="B4203">
            <v>96526</v>
          </cell>
          <cell r="C4203" t="str">
            <v>ESCAVAÇÃO MANUAL PARA VIGA BALDRAME OU SAPATA CORRIDA (SEM ESCAVAÇÃO PARA COLOCAÇÃO DE FÔRMAS). AF_01/2024</v>
          </cell>
          <cell r="D4203" t="str">
            <v>M3</v>
          </cell>
          <cell r="E4203">
            <v>283.07</v>
          </cell>
          <cell r="F4203">
            <v>0</v>
          </cell>
        </row>
        <row r="4204">
          <cell r="B4204">
            <v>96521</v>
          </cell>
          <cell r="C4204" t="str">
            <v>ESCAVAÇÃO MECANIZADA PARA BLOCO DE COROAMENTO OU SAPATA COM RETROESCAVADEIRA (INCLUINDO ESCAVAÇÃO PARA COLOCAÇÃO DE FÔRMAS). AF_01/2024</v>
          </cell>
          <cell r="D4204" t="str">
            <v>M3</v>
          </cell>
          <cell r="E4204">
            <v>48.05</v>
          </cell>
          <cell r="F4204">
            <v>0</v>
          </cell>
        </row>
        <row r="4205">
          <cell r="B4205">
            <v>96520</v>
          </cell>
          <cell r="C4205" t="str">
            <v>ESCAVAÇÃO MECANIZADA PARA BLOCO DE COROAMENTO OU SAPATA COM RETROESCAVADEIRA (SEM ESCAVAÇÃO PARA COLOCAÇÃO DE FÔRMAS). AF_01/2024</v>
          </cell>
          <cell r="D4205" t="str">
            <v>M3</v>
          </cell>
          <cell r="E4205">
            <v>113.85</v>
          </cell>
          <cell r="F4205">
            <v>0</v>
          </cell>
        </row>
        <row r="4206">
          <cell r="B4206">
            <v>96525</v>
          </cell>
          <cell r="C4206" t="str">
            <v>ESCAVAÇÃO MECANIZADA PARA VIGA BALDRAME OU SAPATA CORRIDA COM MINI-ESCAVADEIRA (INCLUINDO ESCAVAÇÃO PARA COLOCAÇÃO DE FÔRMAS). AF_01/2024</v>
          </cell>
          <cell r="D4206" t="str">
            <v>M3</v>
          </cell>
          <cell r="E4206">
            <v>67.61</v>
          </cell>
          <cell r="F4206">
            <v>0</v>
          </cell>
        </row>
        <row r="4207">
          <cell r="B4207">
            <v>96524</v>
          </cell>
          <cell r="C4207" t="str">
            <v>ESCAVAÇÃO MECANIZADA PARA VIGA BALDRAME OU SAPATA CORRIDA COM MINI-ESCAVADEIRA (SEM ESCAVAÇÃO PARA COLOCAÇÃO DE FÔRMAS). AF_01/2024</v>
          </cell>
          <cell r="D4207" t="str">
            <v>M3</v>
          </cell>
          <cell r="E4207">
            <v>198.06</v>
          </cell>
          <cell r="F4207">
            <v>0</v>
          </cell>
        </row>
        <row r="4208">
          <cell r="B4208">
            <v>96537</v>
          </cell>
          <cell r="C4208" t="str">
            <v>FABRICAÇÃO, MONTAGEM E DESMONTAGEM DE FÔRMA PARA BLOCO DE COROAMENTO, EM CHAPA DE MADEIRA COMPENSADA RESINADA, E=17 MM, 2 UTILIZAÇÕES. AF_01/2024</v>
          </cell>
          <cell r="D4208" t="str">
            <v>M2</v>
          </cell>
          <cell r="E4208">
            <v>204.61</v>
          </cell>
          <cell r="F4208">
            <v>0</v>
          </cell>
        </row>
        <row r="4209">
          <cell r="B4209">
            <v>96540</v>
          </cell>
          <cell r="C4209" t="str">
            <v>FABRICAÇÃO, MONTAGEM E DESMONTAGEM DE FÔRMA PARA BLOCO DE COROAMENTO, EM CHAPA DE MADEIRA COMPENSADA RESINADA, E=17 MM, 4 UTILIZAÇÕES. AF_01/2024</v>
          </cell>
          <cell r="D4209" t="str">
            <v>M2</v>
          </cell>
          <cell r="E4209">
            <v>150.09</v>
          </cell>
          <cell r="F4209">
            <v>0</v>
          </cell>
        </row>
        <row r="4210">
          <cell r="B4210">
            <v>96528</v>
          </cell>
          <cell r="C4210" t="str">
            <v>FABRICAÇÃO, MONTAGEM E DESMONTAGEM DE FÔRMA PARA BLOCO DE COROAMENTO, EM MADEIRA SERRADA, E=25 MM, 1 UTILIZAÇÃO. AF_01/2024</v>
          </cell>
          <cell r="D4210" t="str">
            <v>M2</v>
          </cell>
          <cell r="E4210">
            <v>174.86</v>
          </cell>
          <cell r="F4210">
            <v>0</v>
          </cell>
        </row>
        <row r="4211">
          <cell r="B4211">
            <v>96531</v>
          </cell>
          <cell r="C4211" t="str">
            <v>FABRICAÇÃO, MONTAGEM E DESMONTAGEM DE FÔRMA PARA BLOCO DE COROAMENTO, EM MADEIRA SERRADA, E=25 MM, 2 UTILIZAÇÕES. AF_01/2024</v>
          </cell>
          <cell r="D4211" t="str">
            <v>M2</v>
          </cell>
          <cell r="E4211">
            <v>120.93</v>
          </cell>
          <cell r="F4211">
            <v>0</v>
          </cell>
        </row>
        <row r="4212">
          <cell r="B4212">
            <v>96534</v>
          </cell>
          <cell r="C4212" t="str">
            <v>FABRICAÇÃO, MONTAGEM E DESMONTAGEM DE FÔRMA PARA BLOCO DE COROAMENTO, EM MADEIRA SERRADA, E=25 MM, 4 UTILIZAÇÕES. AF_01/2024</v>
          </cell>
          <cell r="D4212" t="str">
            <v>M2</v>
          </cell>
          <cell r="E4212">
            <v>92.86</v>
          </cell>
          <cell r="F4212">
            <v>0</v>
          </cell>
        </row>
        <row r="4213">
          <cell r="B4213">
            <v>104928</v>
          </cell>
          <cell r="C4213" t="str">
            <v>FABRICAÇÃO, MONTAGEM E DESMONTAGEM DE FÔRMA PARA SAPATA CORRIDA, EM CHAPA DE MADEIRA COMPENSADA RESINADA, E=17 MM, 2 UTILIZAÇÕES. AF_01/2024</v>
          </cell>
          <cell r="D4213" t="str">
            <v>M2</v>
          </cell>
          <cell r="E4213">
            <v>167.14</v>
          </cell>
          <cell r="F4213">
            <v>0</v>
          </cell>
        </row>
        <row r="4214">
          <cell r="B4214">
            <v>104929</v>
          </cell>
          <cell r="C4214" t="str">
            <v>FABRICAÇÃO, MONTAGEM E DESMONTAGEM DE FÔRMA PARA SAPATA CORRIDA, EM CHAPA DE MADEIRA COMPENSADA RESINADA, E=17 MM, 4 UTILIZAÇÕES. AF_01/2024</v>
          </cell>
          <cell r="D4214" t="str">
            <v>M2</v>
          </cell>
          <cell r="E4214">
            <v>101.83</v>
          </cell>
          <cell r="F4214">
            <v>0</v>
          </cell>
        </row>
        <row r="4215">
          <cell r="B4215">
            <v>104925</v>
          </cell>
          <cell r="C4215" t="str">
            <v>FABRICAÇÃO, MONTAGEM E DESMONTAGEM DE FÔRMA PARA SAPATA CORRIDA, EM MADEIRA SERRADA, E=25 MM, 1 UTILIZAÇÃO. AF_01/2024</v>
          </cell>
          <cell r="D4215" t="str">
            <v>M2</v>
          </cell>
          <cell r="E4215">
            <v>177.12</v>
          </cell>
          <cell r="F4215">
            <v>0</v>
          </cell>
        </row>
        <row r="4216">
          <cell r="B4216">
            <v>104926</v>
          </cell>
          <cell r="C4216" t="str">
            <v>FABRICAÇÃO, MONTAGEM E DESMONTAGEM DE FÔRMA PARA SAPATA CORRIDA, EM MADEIRA SERRADA, E=25 MM, 2 UTILIZAÇÕES. AF_01/2024</v>
          </cell>
          <cell r="D4216" t="str">
            <v>M2</v>
          </cell>
          <cell r="E4216">
            <v>116.46</v>
          </cell>
          <cell r="F4216">
            <v>0</v>
          </cell>
        </row>
        <row r="4217">
          <cell r="B4217">
            <v>104927</v>
          </cell>
          <cell r="C4217" t="str">
            <v>FABRICAÇÃO, MONTAGEM E DESMONTAGEM DE FÔRMA PARA SAPATA CORRIDA, EM MADEIRA SERRADA, E=25 MM, 4 UTILIZAÇÕES. AF_01/2024</v>
          </cell>
          <cell r="D4217" t="str">
            <v>M2</v>
          </cell>
          <cell r="E4217">
            <v>84.91</v>
          </cell>
          <cell r="F4217">
            <v>0</v>
          </cell>
        </row>
        <row r="4218">
          <cell r="B4218">
            <v>96538</v>
          </cell>
          <cell r="C4218" t="str">
            <v>FABRICAÇÃO, MONTAGEM E DESMONTAGEM DE FÔRMA PARA SAPATA, EM CHAPA DE MADEIRA COMPENSADA RESINADA, E=17 MM, 2 UTILIZAÇÕES. AF_01/2024</v>
          </cell>
          <cell r="D4218" t="str">
            <v>M2</v>
          </cell>
          <cell r="E4218">
            <v>284.63</v>
          </cell>
          <cell r="F4218">
            <v>0</v>
          </cell>
        </row>
        <row r="4219">
          <cell r="B4219">
            <v>96541</v>
          </cell>
          <cell r="C4219" t="str">
            <v>FABRICAÇÃO, MONTAGEM E DESMONTAGEM DE FÔRMA PARA SAPATA, EM CHAPA DE MADEIRA COMPENSADA RESINADA, E=17 MM, 4 UTILIZAÇÕES. AF_01/2024</v>
          </cell>
          <cell r="D4219" t="str">
            <v>M2</v>
          </cell>
          <cell r="E4219">
            <v>215.05</v>
          </cell>
          <cell r="F4219">
            <v>0</v>
          </cell>
        </row>
        <row r="4220">
          <cell r="B4220">
            <v>96529</v>
          </cell>
          <cell r="C4220" t="str">
            <v>FABRICAÇÃO, MONTAGEM E DESMONTAGEM DE FÔRMA PARA SAPATA, EM MADEIRA SERRADA, E=25 MM, 1 UTILIZAÇÃO. AF_01/2024</v>
          </cell>
          <cell r="D4220" t="str">
            <v>M2</v>
          </cell>
          <cell r="E4220">
            <v>303.39999999999998</v>
          </cell>
          <cell r="F4220">
            <v>0</v>
          </cell>
        </row>
        <row r="4221">
          <cell r="B4221">
            <v>96532</v>
          </cell>
          <cell r="C4221" t="str">
            <v>FABRICAÇÃO, MONTAGEM E DESMONTAGEM DE FÔRMA PARA SAPATA, EM MADEIRA SERRADA, E=25 MM, 2 UTILIZAÇÕES. AF_01/2024</v>
          </cell>
          <cell r="D4221" t="str">
            <v>M2</v>
          </cell>
          <cell r="E4221">
            <v>210.28</v>
          </cell>
          <cell r="F4221">
            <v>0</v>
          </cell>
        </row>
        <row r="4222">
          <cell r="B4222">
            <v>96535</v>
          </cell>
          <cell r="C4222" t="str">
            <v>FABRICAÇÃO, MONTAGEM E DESMONTAGEM DE FÔRMA PARA SAPATA, EM MADEIRA SERRADA, E=25 MM, 4 UTILIZAÇÕES. AF_01/2024</v>
          </cell>
          <cell r="D4222" t="str">
            <v>M2</v>
          </cell>
          <cell r="E4222">
            <v>161.83000000000001</v>
          </cell>
          <cell r="F4222">
            <v>0</v>
          </cell>
        </row>
        <row r="4223">
          <cell r="B4223">
            <v>96539</v>
          </cell>
          <cell r="C4223" t="str">
            <v>FABRICAÇÃO, MONTAGEM E DESMONTAGEM DE FÔRMA PARA VIGA BALDRAME, EM CHAPA DE MADEIRA COMPENSADA RESINADA, E=17 MM, 2 UTILIZAÇÕES. AF_01/2024</v>
          </cell>
          <cell r="D4223" t="str">
            <v>M2</v>
          </cell>
          <cell r="E4223">
            <v>145.74</v>
          </cell>
          <cell r="F4223">
            <v>0</v>
          </cell>
        </row>
        <row r="4224">
          <cell r="B4224">
            <v>96542</v>
          </cell>
          <cell r="C4224" t="str">
            <v>FABRICAÇÃO, MONTAGEM E DESMONTAGEM DE FÔRMA PARA VIGA BALDRAME, EM CHAPA DE MADEIRA COMPENSADA RESINADA, E=17 MM, 4 UTILIZAÇÕES. AF_01/2024</v>
          </cell>
          <cell r="D4224" t="str">
            <v>M2</v>
          </cell>
          <cell r="E4224">
            <v>112.86</v>
          </cell>
          <cell r="F4224">
            <v>0</v>
          </cell>
        </row>
        <row r="4225">
          <cell r="B4225">
            <v>96530</v>
          </cell>
          <cell r="C4225" t="str">
            <v>FABRICAÇÃO, MONTAGEM E DESMONTAGEM DE FÔRMA PARA VIGA BALDRAME, EM MADEIRA SERRADA, E=25 MM, 1 UTILIZAÇÃO. AF_01/2024</v>
          </cell>
          <cell r="D4225" t="str">
            <v>M2</v>
          </cell>
          <cell r="E4225">
            <v>158.38999999999999</v>
          </cell>
          <cell r="F4225">
            <v>0</v>
          </cell>
        </row>
        <row r="4226">
          <cell r="B4226">
            <v>96533</v>
          </cell>
          <cell r="C4226" t="str">
            <v>FABRICAÇÃO, MONTAGEM E DESMONTAGEM DE FÔRMA PARA VIGA BALDRAME, EM MADEIRA SERRADA, E=25 MM, 2 UTILIZAÇÕES. AF_01/2024</v>
          </cell>
          <cell r="D4226" t="str">
            <v>M2</v>
          </cell>
          <cell r="E4226">
            <v>106.58</v>
          </cell>
          <cell r="F4226">
            <v>0</v>
          </cell>
        </row>
        <row r="4227">
          <cell r="B4227">
            <v>96536</v>
          </cell>
          <cell r="C4227" t="str">
            <v>FABRICAÇÃO, MONTAGEM E DESMONTAGEM DE FÔRMA PARA VIGA BALDRAME, EM MADEIRA SERRADA, E=25 MM, 4 UTILIZAÇÕES. AF_01/2024</v>
          </cell>
          <cell r="D4227" t="str">
            <v>M2</v>
          </cell>
          <cell r="E4227">
            <v>79.540000000000006</v>
          </cell>
          <cell r="F4227">
            <v>0</v>
          </cell>
        </row>
        <row r="4228">
          <cell r="B4228">
            <v>105518</v>
          </cell>
          <cell r="C4228" t="str">
            <v>MONTAGEM E DESMONTAGEM DE FÔRMA PARA ESTRUTURA CIRCULAR, COM INSTALAÇÃO EXCLUSIVAMENTE NA FACE INTERNA DA ESTRUTURA, COM AUXÍLIO DE GUINDASTE. AF_07/2024</v>
          </cell>
          <cell r="D4228" t="str">
            <v>M2</v>
          </cell>
          <cell r="E4228">
            <v>0</v>
          </cell>
        </row>
        <row r="4229">
          <cell r="B4229">
            <v>105517</v>
          </cell>
          <cell r="C4229" t="str">
            <v>MONTAGEM E DESMONTAGEM DE FÔRMA PARA ESTRUTURA CIRCULAR, COM INSTALAÇÃO EXCLUSIVAMENTE NA FACE INTERNA DA ESTRUTURA, SEM AUXÍLIO DE GUINDASTE. AF_07/2024</v>
          </cell>
          <cell r="D4229" t="str">
            <v>M2</v>
          </cell>
          <cell r="E4229">
            <v>0</v>
          </cell>
        </row>
        <row r="4230">
          <cell r="B4230">
            <v>105520</v>
          </cell>
          <cell r="C4230" t="str">
            <v>MONTAGEM E DESMONTAGEM DE FÔRMA PARA ESTRUTURA CIRCULAR, COM INSTALAÇÃO NA FACE INTERNA E EXTERNA DA EXTRUTURA, COM AUXÍLIO DE GUINDASTE. AF_07/2024</v>
          </cell>
          <cell r="D4230" t="str">
            <v>M2</v>
          </cell>
          <cell r="E4230">
            <v>0</v>
          </cell>
        </row>
        <row r="4231">
          <cell r="B4231">
            <v>105519</v>
          </cell>
          <cell r="C4231" t="str">
            <v>MONTAGEM E DESMONTAGEM DE FÔRMA PARA ESTRUTURA CIRCULAR, COM INSTALAÇÃO NA FACE INTERNA E EXTERNA DA EXTRUTURA, SEM AUXÍLIO DE GUINDASTE. AF_07/2024</v>
          </cell>
          <cell r="D4231" t="str">
            <v>M2</v>
          </cell>
          <cell r="E4231">
            <v>0</v>
          </cell>
        </row>
        <row r="4232">
          <cell r="B4232">
            <v>101793</v>
          </cell>
          <cell r="C4232" t="str">
            <v>ESCORAMENTO DE FÔRMAS DE LAJE EM MADEIRA NÃO APARELHADA, PÉ-DIREITO DUPLO, INCLUSO TRAVAMENTO, 4 UTILIZAÇÕES. AF_09/2020</v>
          </cell>
          <cell r="D4232" t="str">
            <v>M3</v>
          </cell>
          <cell r="E4232">
            <v>29.47</v>
          </cell>
          <cell r="F4232">
            <v>0</v>
          </cell>
        </row>
        <row r="4233">
          <cell r="B4233">
            <v>101792</v>
          </cell>
          <cell r="C4233" t="str">
            <v>ESCORAMENTO DE FÔRMAS DE LAJE EM MADEIRA NÃO APARELHADA, PÉ-DIREITO SIMPLES, INCLUSO TRAVAMENTO, 4 UTILIZAÇÕES. AF_09/2020</v>
          </cell>
          <cell r="D4233" t="str">
            <v>M3</v>
          </cell>
          <cell r="E4233">
            <v>19.79</v>
          </cell>
          <cell r="F4233">
            <v>0</v>
          </cell>
        </row>
        <row r="4234">
          <cell r="B4234">
            <v>92272</v>
          </cell>
          <cell r="C4234" t="str">
            <v>FABRICAÇÃO DE ESCORAS DE VIGA DO TIPO GARFO, EM MADEIRA. AF_09/2020</v>
          </cell>
          <cell r="D4234" t="str">
            <v>M</v>
          </cell>
          <cell r="E4234">
            <v>37.04</v>
          </cell>
          <cell r="F4234">
            <v>0</v>
          </cell>
        </row>
        <row r="4235">
          <cell r="B4235">
            <v>101791</v>
          </cell>
          <cell r="C4235" t="str">
            <v>FABRICAÇÃO DE ESCORAS DO TIPO PONTALETE, EM MADEIRA, PARA PÉ-DIREITO DUPLO. AF_09/2020</v>
          </cell>
          <cell r="D4235" t="str">
            <v>M</v>
          </cell>
          <cell r="E4235">
            <v>26.41</v>
          </cell>
          <cell r="F4235">
            <v>0</v>
          </cell>
        </row>
        <row r="4236">
          <cell r="B4236">
            <v>92273</v>
          </cell>
          <cell r="C4236" t="str">
            <v>FABRICAÇÃO DE ESCORAS DO TIPO PONTALETE, EM MADEIRA, PARA PÉ-DIREITO SIMPLES. AF_09/2020</v>
          </cell>
          <cell r="D4236" t="str">
            <v>M</v>
          </cell>
          <cell r="E4236">
            <v>16.25</v>
          </cell>
          <cell r="F4236">
            <v>0</v>
          </cell>
        </row>
        <row r="4237">
          <cell r="B4237">
            <v>92268</v>
          </cell>
          <cell r="C4237" t="str">
            <v>FABRICAÇÃO DE FÔRMA PARA LAJES, EM CHAPA DE MADEIRA COMPENSADA PLASTIFICADA, E = 18 MM. AF_09/2020</v>
          </cell>
          <cell r="D4237" t="str">
            <v>M2</v>
          </cell>
          <cell r="E4237">
            <v>75.33</v>
          </cell>
          <cell r="F4237">
            <v>0</v>
          </cell>
        </row>
        <row r="4238">
          <cell r="B4238">
            <v>92267</v>
          </cell>
          <cell r="C4238" t="str">
            <v>FABRICAÇÃO DE FÔRMA PARA LAJES, EM CHAPA DE MADEIRA COMPENSADA RESINADA, E = 17 MM. AF_09/2020</v>
          </cell>
          <cell r="D4238" t="str">
            <v>M2</v>
          </cell>
          <cell r="E4238">
            <v>45.04</v>
          </cell>
          <cell r="F4238">
            <v>0</v>
          </cell>
        </row>
        <row r="4239">
          <cell r="B4239">
            <v>92271</v>
          </cell>
          <cell r="C4239" t="str">
            <v>FABRICAÇÃO DE FÔRMA PARA LAJES, EM MADEIRA SERRADA, E=25 MM. AF_09/2020</v>
          </cell>
          <cell r="D4239" t="str">
            <v>M2</v>
          </cell>
          <cell r="E4239">
            <v>133.16</v>
          </cell>
          <cell r="F4239">
            <v>0</v>
          </cell>
        </row>
        <row r="4240">
          <cell r="B4240">
            <v>92264</v>
          </cell>
          <cell r="C4240" t="str">
            <v>FABRICAÇÃO DE FÔRMA PARA PILARES E ESTRUTURAS SIMILARES, EM CHAPA DE MADEIRA COMPENSADA PLASTIFICADA, E = 18 MM. AF_09/2020</v>
          </cell>
          <cell r="D4240" t="str">
            <v>M2</v>
          </cell>
          <cell r="E4240">
            <v>203.8</v>
          </cell>
          <cell r="F4240">
            <v>0</v>
          </cell>
        </row>
        <row r="4241">
          <cell r="B4241">
            <v>92263</v>
          </cell>
          <cell r="C4241" t="str">
            <v>FABRICAÇÃO DE FÔRMA PARA PILARES E ESTRUTURAS SIMILARES, EM CHAPA DE MADEIRA COMPENSADA RESINADA, E = 17 MM. AF_09/2020</v>
          </cell>
          <cell r="D4241" t="str">
            <v>M2</v>
          </cell>
          <cell r="E4241">
            <v>165.27</v>
          </cell>
          <cell r="F4241">
            <v>0</v>
          </cell>
        </row>
        <row r="4242">
          <cell r="B4242">
            <v>92269</v>
          </cell>
          <cell r="C4242" t="str">
            <v>FABRICAÇÃO DE FÔRMA PARA PILARES E ESTRUTURAS SIMILARES, EM MADEIRA SERRADA, E=25 MM. AF_09/2020</v>
          </cell>
          <cell r="D4242" t="str">
            <v>M2</v>
          </cell>
          <cell r="E4242">
            <v>137.71</v>
          </cell>
          <cell r="F4242">
            <v>0</v>
          </cell>
        </row>
        <row r="4243">
          <cell r="B4243">
            <v>92270</v>
          </cell>
          <cell r="C4243" t="str">
            <v>FABRICAÇÃO DE FÔRMA PARA VIGAS, COM MADEIRA SERRADA, E = 25 MM. AF_09/2020</v>
          </cell>
          <cell r="D4243" t="str">
            <v>M2</v>
          </cell>
          <cell r="E4243">
            <v>211.1</v>
          </cell>
          <cell r="F4243">
            <v>0</v>
          </cell>
        </row>
        <row r="4244">
          <cell r="B4244">
            <v>92266</v>
          </cell>
          <cell r="C4244" t="str">
            <v>FABRICAÇÃO DE FÔRMA PARA VIGAS, EM CHAPA DE MADEIRA COMPENSADA PLASTIFICADA, E = 18 MM. AF_09/2020</v>
          </cell>
          <cell r="D4244" t="str">
            <v>M2</v>
          </cell>
          <cell r="E4244">
            <v>153.66</v>
          </cell>
          <cell r="F4244">
            <v>0</v>
          </cell>
        </row>
        <row r="4245">
          <cell r="B4245">
            <v>92265</v>
          </cell>
          <cell r="C4245" t="str">
            <v>FABRICAÇÃO DE FÔRMA PARA VIGAS, EM CHAPA DE MADEIRA COMPENSADA RESINADA, E = 17 MM. AF_09/2020</v>
          </cell>
          <cell r="D4245" t="str">
            <v>M2</v>
          </cell>
          <cell r="E4245">
            <v>120.61</v>
          </cell>
          <cell r="F4245">
            <v>0</v>
          </cell>
        </row>
        <row r="4246">
          <cell r="B4246">
            <v>92524</v>
          </cell>
          <cell r="C4246" t="str">
            <v>MONTAGEM E DESMONTAGEM DE FÔRMA DE LAJE MACIÇA, PÉ-DIREITO DUPLO, EM CHAPA DE MADEIRA COMPENSADA PLASTIFICADA, 10 UTILIZAÇÕES. AF_09/2020</v>
          </cell>
          <cell r="D4246" t="str">
            <v>M2</v>
          </cell>
          <cell r="E4246">
            <v>88.58</v>
          </cell>
          <cell r="F4246">
            <v>0</v>
          </cell>
        </row>
        <row r="4247">
          <cell r="B4247">
            <v>92528</v>
          </cell>
          <cell r="C4247" t="str">
            <v>MONTAGEM E DESMONTAGEM DE FÔRMA DE LAJE MACIÇA, PÉ-DIREITO DUPLO, EM CHAPA DE MADEIRA COMPENSADA PLASTIFICADA, 12 UTILIZAÇÕES. AF_09/2020</v>
          </cell>
          <cell r="D4247" t="str">
            <v>M2</v>
          </cell>
          <cell r="E4247">
            <v>84.81</v>
          </cell>
          <cell r="F4247">
            <v>0</v>
          </cell>
        </row>
        <row r="4248">
          <cell r="B4248">
            <v>92532</v>
          </cell>
          <cell r="C4248" t="str">
            <v>MONTAGEM E DESMONTAGEM DE FÔRMA DE LAJE MACIÇA, PÉ-DIREITO DUPLO, EM CHAPA DE MADEIRA COMPENSADA PLASTIFICADA, 14 UTILIZAÇÕES. AF_09/2020</v>
          </cell>
          <cell r="D4248" t="str">
            <v>M2</v>
          </cell>
          <cell r="E4248">
            <v>81.510000000000005</v>
          </cell>
          <cell r="F4248">
            <v>0</v>
          </cell>
        </row>
        <row r="4249">
          <cell r="B4249">
            <v>92536</v>
          </cell>
          <cell r="C4249" t="str">
            <v>MONTAGEM E DESMONTAGEM DE FÔRMA DE LAJE MACIÇA, PÉ-DIREITO DUPLO, EM CHAPA DE MADEIRA COMPENSADA PLASTIFICADA, 18 UTILIZAÇÕES. AF_09/2020</v>
          </cell>
          <cell r="D4249" t="str">
            <v>M2</v>
          </cell>
          <cell r="E4249">
            <v>75.25</v>
          </cell>
          <cell r="F4249">
            <v>0</v>
          </cell>
        </row>
        <row r="4250">
          <cell r="B4250">
            <v>92508</v>
          </cell>
          <cell r="C4250" t="str">
            <v>MONTAGEM E DESMONTAGEM DE FÔRMA DE LAJE MACIÇA, PÉ-DIREITO DUPLO, EM CHAPA DE MADEIRA COMPENSADA RESINADA, 2 UTILIZAÇÕES. AF_09/2020</v>
          </cell>
          <cell r="D4250" t="str">
            <v>M2</v>
          </cell>
          <cell r="E4250">
            <v>117.57</v>
          </cell>
          <cell r="F4250">
            <v>0</v>
          </cell>
        </row>
        <row r="4251">
          <cell r="B4251">
            <v>92512</v>
          </cell>
          <cell r="C4251" t="str">
            <v>MONTAGEM E DESMONTAGEM DE FÔRMA DE LAJE MACIÇA, PÉ-DIREITO DUPLO, EM CHAPA DE MADEIRA COMPENSADA RESINADA, 4 UTILIZAÇÕES. AF_09/2020</v>
          </cell>
          <cell r="D4251" t="str">
            <v>M2</v>
          </cell>
          <cell r="E4251">
            <v>103.25</v>
          </cell>
          <cell r="F4251">
            <v>0</v>
          </cell>
        </row>
        <row r="4252">
          <cell r="B4252">
            <v>92515</v>
          </cell>
          <cell r="C4252" t="str">
            <v>MONTAGEM E DESMONTAGEM DE FÔRMA DE LAJE MACIÇA, PÉ-DIREITO DUPLO, EM CHAPA DE MADEIRA COMPENSADA RESINADA, 6 UTILIZAÇÕES. AF_09/2020</v>
          </cell>
          <cell r="D4252" t="str">
            <v>M2</v>
          </cell>
          <cell r="E4252">
            <v>95.51</v>
          </cell>
          <cell r="F4252">
            <v>0</v>
          </cell>
        </row>
        <row r="4253">
          <cell r="B4253">
            <v>92520</v>
          </cell>
          <cell r="C4253" t="str">
            <v>MONTAGEM E DESMONTAGEM DE FÔRMA DE LAJE MACIÇA, PÉ-DIREITO DUPLO, EM CHAPA DE MADEIRA COMPENSADA RESINADA, 8 UTILIZAÇÕES. AF_09/2020</v>
          </cell>
          <cell r="D4253" t="str">
            <v>M2</v>
          </cell>
          <cell r="E4253">
            <v>90.09</v>
          </cell>
          <cell r="F4253">
            <v>0</v>
          </cell>
        </row>
        <row r="4254">
          <cell r="B4254">
            <v>92526</v>
          </cell>
          <cell r="C4254" t="str">
            <v>MONTAGEM E DESMONTAGEM DE FÔRMA DE LAJE MACIÇA, PÉ-DIREITO SIMPLES, EM CHAPA DE MADEIRA COMPENSADA PLASTIFICADA, 10 UTILIZAÇÕES. AF_09/2020</v>
          </cell>
          <cell r="D4254" t="str">
            <v>M2</v>
          </cell>
          <cell r="E4254">
            <v>46.56</v>
          </cell>
          <cell r="F4254">
            <v>0</v>
          </cell>
        </row>
        <row r="4255">
          <cell r="B4255">
            <v>92530</v>
          </cell>
          <cell r="C4255" t="str">
            <v>MONTAGEM E DESMONTAGEM DE FÔRMA DE LAJE MACIÇA, PÉ-DIREITO SIMPLES, EM CHAPA DE MADEIRA COMPENSADA PLASTIFICADA, 12 UTILIZAÇÕES. AF_09/2020</v>
          </cell>
          <cell r="D4255" t="str">
            <v>M2</v>
          </cell>
          <cell r="E4255">
            <v>43.94</v>
          </cell>
          <cell r="F4255">
            <v>0</v>
          </cell>
        </row>
        <row r="4256">
          <cell r="B4256">
            <v>92534</v>
          </cell>
          <cell r="C4256" t="str">
            <v>MONTAGEM E DESMONTAGEM DE FÔRMA DE LAJE MACIÇA, PÉ-DIREITO SIMPLES, EM CHAPA DE MADEIRA COMPENSADA PLASTIFICADA, 14 UTILIZAÇÕES. AF_09/2020</v>
          </cell>
          <cell r="D4256" t="str">
            <v>M2</v>
          </cell>
          <cell r="E4256">
            <v>41.68</v>
          </cell>
          <cell r="F4256">
            <v>0</v>
          </cell>
        </row>
        <row r="4257">
          <cell r="B4257">
            <v>92538</v>
          </cell>
          <cell r="C4257" t="str">
            <v>MONTAGEM E DESMONTAGEM DE FÔRMA DE LAJE MACIÇA, PÉ-DIREITO SIMPLES, EM CHAPA DE MADEIRA COMPENSADA PLASTIFICADA, 18 UTILIZAÇÕES. AF_09/2020</v>
          </cell>
          <cell r="D4257" t="str">
            <v>M2</v>
          </cell>
          <cell r="E4257">
            <v>37.25</v>
          </cell>
          <cell r="F4257">
            <v>0</v>
          </cell>
        </row>
        <row r="4258">
          <cell r="B4258">
            <v>103760</v>
          </cell>
          <cell r="C4258" t="str">
            <v>MONTAGEM E DESMONTAGEM DE FÔRMA DE LAJE MACIÇA, PÉ-DIREITO SIMPLES, EM CHAPA DE MADEIRA COMPENSADA RESINADA E CIMBRAMENTO DE MADEIRA, 2 UTILIZAÇÕES. AF_03/2022</v>
          </cell>
          <cell r="D4258" t="str">
            <v>M2</v>
          </cell>
          <cell r="E4258">
            <v>130.94</v>
          </cell>
          <cell r="F4258">
            <v>0</v>
          </cell>
        </row>
        <row r="4259">
          <cell r="B4259">
            <v>103761</v>
          </cell>
          <cell r="C4259" t="str">
            <v>MONTAGEM E DESMONTAGEM DE FÔRMA DE LAJE MACIÇA, PÉ-DIREITO SIMPLES, EM CHAPA DE MADEIRA COMPENSADA RESINADA E CIMBRAMENTO DE MADEIRA, 4 UTILIZAÇÕES. AF_03/2022</v>
          </cell>
          <cell r="D4259" t="str">
            <v>M2</v>
          </cell>
          <cell r="E4259">
            <v>89.63</v>
          </cell>
          <cell r="F4259">
            <v>0</v>
          </cell>
        </row>
        <row r="4260">
          <cell r="B4260">
            <v>103762</v>
          </cell>
          <cell r="C4260" t="str">
            <v>MONTAGEM E DESMONTAGEM DE FÔRMA DE LAJE MACIÇA, PÉ-DIREITO SIMPLES, EM CHAPA DE MADEIRA COMPENSADA RESINADA E CIMBRAMENTO DE MADEIRA, 6 UTILIZAÇÕES. AF_03/2022</v>
          </cell>
          <cell r="D4260" t="str">
            <v>M2</v>
          </cell>
          <cell r="E4260">
            <v>77.39</v>
          </cell>
          <cell r="F4260">
            <v>0</v>
          </cell>
        </row>
        <row r="4261">
          <cell r="B4261">
            <v>103763</v>
          </cell>
          <cell r="C4261" t="str">
            <v>MONTAGEM E DESMONTAGEM DE FÔRMA DE LAJE MACIÇA, PÉ-DIREITO SIMPLES, EM CHAPA DE MADEIRA COMPENSADA RESINADA E CIMBRAMENTO DE MADEIRA, 8 UTILIZAÇÕES. AF_03/2022</v>
          </cell>
          <cell r="D4261" t="str">
            <v>M2</v>
          </cell>
          <cell r="E4261">
            <v>68.459999999999994</v>
          </cell>
          <cell r="F4261">
            <v>0</v>
          </cell>
        </row>
        <row r="4262">
          <cell r="B4262">
            <v>92510</v>
          </cell>
          <cell r="C4262" t="str">
            <v>MONTAGEM E DESMONTAGEM DE FÔRMA DE LAJE MACIÇA, PÉ-DIREITO SIMPLES, EM CHAPA DE MADEIRA COMPENSADA RESINADA, 2 UTILIZAÇÕES. AF_09/2020</v>
          </cell>
          <cell r="D4262" t="str">
            <v>M2</v>
          </cell>
          <cell r="E4262">
            <v>69.97</v>
          </cell>
          <cell r="F4262">
            <v>0</v>
          </cell>
        </row>
        <row r="4263">
          <cell r="B4263">
            <v>92514</v>
          </cell>
          <cell r="C4263" t="str">
            <v>MONTAGEM E DESMONTAGEM DE FÔRMA DE LAJE MACIÇA, PÉ-DIREITO SIMPLES, EM CHAPA DE MADEIRA COMPENSADA RESINADA, 4 UTILIZAÇÕES. AF_09/2020</v>
          </cell>
          <cell r="D4263" t="str">
            <v>M2</v>
          </cell>
          <cell r="E4263">
            <v>57.18</v>
          </cell>
          <cell r="F4263">
            <v>0</v>
          </cell>
        </row>
        <row r="4264">
          <cell r="B4264">
            <v>92518</v>
          </cell>
          <cell r="C4264" t="str">
            <v>MONTAGEM E DESMONTAGEM DE FÔRMA DE LAJE MACIÇA, PÉ-DIREITO SIMPLES, EM CHAPA DE MADEIRA COMPENSADA RESINADA, 6 UTILIZAÇÕES. AF_09/2020</v>
          </cell>
          <cell r="D4264" t="str">
            <v>M2</v>
          </cell>
          <cell r="E4264">
            <v>50.9</v>
          </cell>
          <cell r="F4264">
            <v>0</v>
          </cell>
        </row>
        <row r="4265">
          <cell r="B4265">
            <v>92522</v>
          </cell>
          <cell r="C4265" t="str">
            <v>MONTAGEM E DESMONTAGEM DE FÔRMA DE LAJE MACIÇA, PÉ-DIREITO SIMPLES, EM CHAPA DE MADEIRA COMPENSADA RESINADA, 8 UTILIZAÇÕES. AF_09/2020</v>
          </cell>
          <cell r="D4265" t="str">
            <v>M2</v>
          </cell>
          <cell r="E4265">
            <v>46.81</v>
          </cell>
          <cell r="F4265">
            <v>0</v>
          </cell>
        </row>
        <row r="4266">
          <cell r="B4266">
            <v>92482</v>
          </cell>
          <cell r="C4266" t="str">
            <v>MONTAGEM E DESMONTAGEM DE FÔRMA DE LAJE MACIÇA, PÉ-DIREITO SIMPLES, EM MADEIRA SERRADA, 1 UTILIZAÇÃO. AF_09/2020</v>
          </cell>
          <cell r="D4266" t="str">
            <v>M2</v>
          </cell>
          <cell r="E4266">
            <v>413.08</v>
          </cell>
          <cell r="F4266">
            <v>0</v>
          </cell>
        </row>
        <row r="4267">
          <cell r="B4267">
            <v>92484</v>
          </cell>
          <cell r="C4267" t="str">
            <v>MONTAGEM E DESMONTAGEM DE FÔRMA DE LAJE MACIÇA, PÉ-DIREITO SIMPLES, EM MADEIRA SERRADA, 2 UTILIZAÇÕES. AF_09/2020</v>
          </cell>
          <cell r="D4267" t="str">
            <v>M2</v>
          </cell>
          <cell r="E4267">
            <v>285.39999999999998</v>
          </cell>
          <cell r="F4267">
            <v>0</v>
          </cell>
        </row>
        <row r="4268">
          <cell r="B4268">
            <v>92486</v>
          </cell>
          <cell r="C4268" t="str">
            <v>MONTAGEM E DESMONTAGEM DE FÔRMA DE LAJE MACIÇA, PÉ-DIREITO SIMPLES, EM MADEIRA SERRADA, 4 UTILIZAÇÕES. AF_09/2020</v>
          </cell>
          <cell r="D4268" t="str">
            <v>M2</v>
          </cell>
          <cell r="E4268">
            <v>203.78</v>
          </cell>
          <cell r="F4268">
            <v>0</v>
          </cell>
        </row>
        <row r="4269">
          <cell r="B4269">
            <v>92492</v>
          </cell>
          <cell r="C4269" t="str">
            <v>MONTAGEM E DESMONTAGEM DE FÔRMA DE LAJE NERVURADA COM CUBETA E ASSOALHO, PÉ-DIREITO DUPLO, EM CHAPA DE MADEIRA COMPENSADA RESINADA, 10 UTILIZAÇÕES. AF_09/2020</v>
          </cell>
          <cell r="D4269" t="str">
            <v>M2</v>
          </cell>
          <cell r="E4269">
            <v>122.79</v>
          </cell>
          <cell r="F4269">
            <v>0</v>
          </cell>
        </row>
        <row r="4270">
          <cell r="B4270">
            <v>92496</v>
          </cell>
          <cell r="C4270" t="str">
            <v>MONTAGEM E DESMONTAGEM DE FÔRMA DE LAJE NERVURADA COM CUBETA E ASSOALHO, PÉ-DIREITO DUPLO, EM CHAPA DE MADEIRA COMPENSADA RESINADA, 12 UTILIZAÇÕES. AF_09/2020</v>
          </cell>
          <cell r="D4270" t="str">
            <v>M2</v>
          </cell>
          <cell r="E4270">
            <v>117.27</v>
          </cell>
          <cell r="F4270">
            <v>0</v>
          </cell>
        </row>
        <row r="4271">
          <cell r="B4271">
            <v>92500</v>
          </cell>
          <cell r="C4271" t="str">
            <v>MONTAGEM E DESMONTAGEM DE FÔRMA DE LAJE NERVURADA COM CUBETA E ASSOALHO, PÉ-DIREITO DUPLO, EM CHAPA DE MADEIRA COMPENSADA RESINADA, 14 UTILIZAÇÕES. AF_09/2020</v>
          </cell>
          <cell r="D4271" t="str">
            <v>M2</v>
          </cell>
          <cell r="E4271">
            <v>112.62</v>
          </cell>
          <cell r="F4271">
            <v>0</v>
          </cell>
        </row>
        <row r="4272">
          <cell r="B4272">
            <v>92504</v>
          </cell>
          <cell r="C4272" t="str">
            <v>MONTAGEM E DESMONTAGEM DE FÔRMA DE LAJE NERVURADA COM CUBETA E ASSOALHO, PÉ-DIREITO DUPLO, EM CHAPA DE MADEIRA COMPENSADA RESINADA, 18 UTILIZAÇÕES. AF_09/2020</v>
          </cell>
          <cell r="D4272" t="str">
            <v>M2</v>
          </cell>
          <cell r="E4272">
            <v>104.26</v>
          </cell>
          <cell r="F4272">
            <v>0</v>
          </cell>
        </row>
        <row r="4273">
          <cell r="B4273">
            <v>92488</v>
          </cell>
          <cell r="C4273" t="str">
            <v>MONTAGEM E DESMONTAGEM DE FÔRMA DE LAJE NERVURADA COM CUBETA E ASSOALHO, PÉ-DIREITO DUPLO, EM CHAPA DE MADEIRA COMPENSADA RESINADA, 8 UTILIZAÇÕES. AF_09/2020</v>
          </cell>
          <cell r="D4273" t="str">
            <v>M2</v>
          </cell>
          <cell r="E4273">
            <v>129.25</v>
          </cell>
          <cell r="F4273">
            <v>0</v>
          </cell>
        </row>
        <row r="4274">
          <cell r="B4274">
            <v>92494</v>
          </cell>
          <cell r="C4274" t="str">
            <v>MONTAGEM E DESMONTAGEM DE FÔRMA DE LAJE NERVURADA COM CUBETA E ASSOALHO, PÉ-DIREITO SIMPLES, EM CHAPA DE MADEIRA COMPENSADA RESINADA, 10 UTILIZAÇÕES. AF_09/2020</v>
          </cell>
          <cell r="D4274" t="str">
            <v>M2</v>
          </cell>
          <cell r="E4274">
            <v>79.09</v>
          </cell>
          <cell r="F4274">
            <v>0</v>
          </cell>
        </row>
        <row r="4275">
          <cell r="B4275">
            <v>92498</v>
          </cell>
          <cell r="C4275" t="str">
            <v>MONTAGEM E DESMONTAGEM DE FÔRMA DE LAJE NERVURADA COM CUBETA E ASSOALHO, PÉ-DIREITO SIMPLES, EM CHAPA DE MADEIRA COMPENSADA RESINADA, 12 UTILIZAÇÕES. AF_09/2020</v>
          </cell>
          <cell r="D4275" t="str">
            <v>M2</v>
          </cell>
          <cell r="E4275">
            <v>74.78</v>
          </cell>
          <cell r="F4275">
            <v>0</v>
          </cell>
        </row>
        <row r="4276">
          <cell r="B4276">
            <v>92502</v>
          </cell>
          <cell r="C4276" t="str">
            <v>MONTAGEM E DESMONTAGEM DE FÔRMA DE LAJE NERVURADA COM CUBETA E ASSOALHO, PÉ-DIREITO SIMPLES, EM CHAPA DE MADEIRA COMPENSADA RESINADA, 14 UTILIZAÇÕES. AF_09/2020</v>
          </cell>
          <cell r="D4276" t="str">
            <v>M2</v>
          </cell>
          <cell r="E4276">
            <v>71.319999999999993</v>
          </cell>
          <cell r="F4276">
            <v>0</v>
          </cell>
        </row>
        <row r="4277">
          <cell r="B4277">
            <v>92506</v>
          </cell>
          <cell r="C4277" t="str">
            <v>MONTAGEM E DESMONTAGEM DE FÔRMA DE LAJE NERVURADA COM CUBETA E ASSOALHO, PÉ-DIREITO SIMPLES, EM CHAPA DE MADEIRA COMPENSADA RESINADA, 18 UTILIZAÇÕES. AF_09/2020</v>
          </cell>
          <cell r="D4277" t="str">
            <v>M2</v>
          </cell>
          <cell r="E4277">
            <v>65.02</v>
          </cell>
          <cell r="F4277">
            <v>0</v>
          </cell>
        </row>
        <row r="4278">
          <cell r="B4278">
            <v>92490</v>
          </cell>
          <cell r="C4278" t="str">
            <v>MONTAGEM E DESMONTAGEM DE FÔRMA DE LAJE NERVURADA COM CUBETA E ASSOALHO, PÉ-DIREITO SIMPLES, EM CHAPA DE MADEIRA COMPENSADA RESINADA, 8 UTILIZAÇÕES. AF_09/2020</v>
          </cell>
          <cell r="D4278" t="str">
            <v>M2</v>
          </cell>
          <cell r="E4278">
            <v>84.12</v>
          </cell>
          <cell r="F4278">
            <v>0</v>
          </cell>
        </row>
        <row r="4279">
          <cell r="B4279">
            <v>92433</v>
          </cell>
          <cell r="C4279" t="str">
            <v>MONTAGEM E DESMONTAGEM DE FÔRMA DE PILARES RETANGULARES E ESTRUTURAS SIMILARES, PÉ-DIREITO DUPLO, EM CHAPA DE MADEIRA COMPENSADA PLASTIFICADA, 10 UTILIZAÇÕES. AF_09/2020</v>
          </cell>
          <cell r="D4279" t="str">
            <v>M2</v>
          </cell>
          <cell r="E4279">
            <v>87.36</v>
          </cell>
          <cell r="F4279">
            <v>0</v>
          </cell>
        </row>
        <row r="4280">
          <cell r="B4280">
            <v>92437</v>
          </cell>
          <cell r="C4280" t="str">
            <v>MONTAGEM E DESMONTAGEM DE FÔRMA DE PILARES RETANGULARES E ESTRUTURAS SIMILARES, PÉ-DIREITO DUPLO, EM CHAPA DE MADEIRA COMPENSADA PLASTIFICADA, 12 UTILIZAÇÕES. AF_09/2020</v>
          </cell>
          <cell r="D4280" t="str">
            <v>M2</v>
          </cell>
          <cell r="E4280">
            <v>83.59</v>
          </cell>
          <cell r="F4280">
            <v>0</v>
          </cell>
        </row>
        <row r="4281">
          <cell r="B4281">
            <v>92441</v>
          </cell>
          <cell r="C4281" t="str">
            <v>MONTAGEM E DESMONTAGEM DE FÔRMA DE PILARES RETANGULARES E ESTRUTURAS SIMILARES, PÉ-DIREITO DUPLO, EM CHAPA DE MADEIRA COMPENSADA PLASTIFICADA, 14 UTILIZAÇÕES. AF_09/2020</v>
          </cell>
          <cell r="D4281" t="str">
            <v>M2</v>
          </cell>
          <cell r="E4281">
            <v>80.88</v>
          </cell>
          <cell r="F4281">
            <v>0</v>
          </cell>
        </row>
        <row r="4282">
          <cell r="B4282">
            <v>92445</v>
          </cell>
          <cell r="C4282" t="str">
            <v>MONTAGEM E DESMONTAGEM DE FÔRMA DE PILARES RETANGULARES E ESTRUTURAS SIMILARES, PÉ-DIREITO DUPLO, EM CHAPA DE MADEIRA COMPENSADA PLASTIFICADA, 18 UTILIZAÇÕES. AF_09/2020</v>
          </cell>
          <cell r="D4282" t="str">
            <v>M2</v>
          </cell>
          <cell r="E4282">
            <v>75.510000000000005</v>
          </cell>
          <cell r="F4282">
            <v>0</v>
          </cell>
        </row>
        <row r="4283">
          <cell r="B4283">
            <v>92417</v>
          </cell>
          <cell r="C4283" t="str">
            <v>MONTAGEM E DESMONTAGEM DE FÔRMA DE PILARES RETANGULARES E ESTRUTURAS SIMILARES, PÉ-DIREITO DUPLO, EM CHAPA DE MADEIRA COMPENSADA RESINADA, 2 UTILIZAÇÕES. AF_09/2020</v>
          </cell>
          <cell r="D4283" t="str">
            <v>M2</v>
          </cell>
          <cell r="E4283">
            <v>184.3</v>
          </cell>
          <cell r="F4283">
            <v>0</v>
          </cell>
        </row>
        <row r="4284">
          <cell r="B4284">
            <v>92421</v>
          </cell>
          <cell r="C4284" t="str">
            <v>MONTAGEM E DESMONTAGEM DE FÔRMA DE PILARES RETANGULARES E ESTRUTURAS SIMILARES, PÉ-DIREITO DUPLO, EM CHAPA DE MADEIRA COMPENSADA RESINADA, 4 UTILIZAÇÕES. AF_09/2020</v>
          </cell>
          <cell r="D4284" t="str">
            <v>M2</v>
          </cell>
          <cell r="E4284">
            <v>123.34</v>
          </cell>
          <cell r="F4284">
            <v>0</v>
          </cell>
        </row>
        <row r="4285">
          <cell r="B4285">
            <v>92425</v>
          </cell>
          <cell r="C4285" t="str">
            <v>MONTAGEM E DESMONTAGEM DE FÔRMA DE PILARES RETANGULARES E ESTRUTURAS SIMILARES, PÉ-DIREITO DUPLO, EM CHAPA DE MADEIRA COMPENSADA RESINADA, 6 UTILIZAÇÕES. AF_09/2020</v>
          </cell>
          <cell r="D4285" t="str">
            <v>M2</v>
          </cell>
          <cell r="E4285">
            <v>103.25</v>
          </cell>
          <cell r="F4285">
            <v>0</v>
          </cell>
        </row>
        <row r="4286">
          <cell r="B4286">
            <v>92429</v>
          </cell>
          <cell r="C4286" t="str">
            <v>MONTAGEM E DESMONTAGEM DE FÔRMA DE PILARES RETANGULARES E ESTRUTURAS SIMILARES, PÉ-DIREITO DUPLO, EM CHAPA DE MADEIRA COMPENSADA RESINADA, 8 UTILIZAÇÕES. AF_09/2020</v>
          </cell>
          <cell r="D4286" t="str">
            <v>M2</v>
          </cell>
          <cell r="E4286">
            <v>93.14</v>
          </cell>
          <cell r="F4286">
            <v>0</v>
          </cell>
        </row>
        <row r="4287">
          <cell r="B4287">
            <v>92431</v>
          </cell>
          <cell r="C4287" t="str">
            <v>MONTAGEM E DESMONTAGEM DE FÔRMA DE PILARES RETANGULARES E ESTRUTURAS SIMILARES, PÉ-DIREITO SIMPLES, EM CHAPA DE MADEIRA COMPENSADA PLASTIFICADA, 10 UTILIZAÇÕES. AF_09/2020</v>
          </cell>
          <cell r="D4287" t="str">
            <v>M2</v>
          </cell>
          <cell r="E4287">
            <v>69.77</v>
          </cell>
          <cell r="F4287">
            <v>0</v>
          </cell>
        </row>
        <row r="4288">
          <cell r="B4288">
            <v>92435</v>
          </cell>
          <cell r="C4288" t="str">
            <v>MONTAGEM E DESMONTAGEM DE FÔRMA DE PILARES RETANGULARES E ESTRUTURAS SIMILARES, PÉ-DIREITO SIMPLES, EM CHAPA DE MADEIRA COMPENSADA PLASTIFICADA, 12 UTILIZAÇÕES. AF_09/2020</v>
          </cell>
          <cell r="D4288" t="str">
            <v>M2</v>
          </cell>
          <cell r="E4288">
            <v>66.59</v>
          </cell>
          <cell r="F4288">
            <v>0</v>
          </cell>
        </row>
        <row r="4289">
          <cell r="B4289">
            <v>92439</v>
          </cell>
          <cell r="C4289" t="str">
            <v>MONTAGEM E DESMONTAGEM DE FÔRMA DE PILARES RETANGULARES E ESTRUTURAS SIMILARES, PÉ-DIREITO SIMPLES, EM CHAPA DE MADEIRA COMPENSADA PLASTIFICADA, 14 UTILIZAÇÕES. AF_09/2020</v>
          </cell>
          <cell r="D4289" t="str">
            <v>M2</v>
          </cell>
          <cell r="E4289">
            <v>64.290000000000006</v>
          </cell>
          <cell r="F4289">
            <v>0</v>
          </cell>
        </row>
        <row r="4290">
          <cell r="B4290">
            <v>92443</v>
          </cell>
          <cell r="C4290" t="str">
            <v>MONTAGEM E DESMONTAGEM DE FÔRMA DE PILARES RETANGULARES E ESTRUTURAS SIMILARES, PÉ-DIREITO SIMPLES, EM CHAPA DE MADEIRA COMPENSADA PLASTIFICADA, 18 UTILIZAÇÕES. AF_09/2020</v>
          </cell>
          <cell r="D4290" t="str">
            <v>M2</v>
          </cell>
          <cell r="E4290">
            <v>59.52</v>
          </cell>
          <cell r="F4290">
            <v>0</v>
          </cell>
        </row>
        <row r="4291">
          <cell r="B4291">
            <v>92415</v>
          </cell>
          <cell r="C4291" t="str">
            <v>MONTAGEM E DESMONTAGEM DE FÔRMA DE PILARES RETANGULARES E ESTRUTURAS SIMILARES, PÉ-DIREITO SIMPLES, EM CHAPA DE MADEIRA COMPENSADA RESINADA, 2 UTILIZAÇÕES. AF_09/2020</v>
          </cell>
          <cell r="D4291" t="str">
            <v>M2</v>
          </cell>
          <cell r="E4291">
            <v>154.31</v>
          </cell>
          <cell r="F4291">
            <v>0</v>
          </cell>
        </row>
        <row r="4292">
          <cell r="B4292">
            <v>92419</v>
          </cell>
          <cell r="C4292" t="str">
            <v>MONTAGEM E DESMONTAGEM DE FÔRMA DE PILARES RETANGULARES E ESTRUTURAS SIMILARES, PÉ-DIREITO SIMPLES, EM CHAPA DE MADEIRA COMPENSADA RESINADA, 4 UTILIZAÇÕES. AF_09/2020</v>
          </cell>
          <cell r="D4292" t="str">
            <v>M2</v>
          </cell>
          <cell r="E4292">
            <v>100.34</v>
          </cell>
          <cell r="F4292">
            <v>0</v>
          </cell>
        </row>
        <row r="4293">
          <cell r="B4293">
            <v>92423</v>
          </cell>
          <cell r="C4293" t="str">
            <v>MONTAGEM E DESMONTAGEM DE FÔRMA DE PILARES RETANGULARES E ESTRUTURAS SIMILARES, PÉ-DIREITO SIMPLES, EM CHAPA DE MADEIRA COMPENSADA RESINADA, 6 UTILIZAÇÕES. AF_09/2020</v>
          </cell>
          <cell r="D4293" t="str">
            <v>M2</v>
          </cell>
          <cell r="E4293">
            <v>83.25</v>
          </cell>
          <cell r="F4293">
            <v>0</v>
          </cell>
        </row>
        <row r="4294">
          <cell r="B4294">
            <v>92427</v>
          </cell>
          <cell r="C4294" t="str">
            <v>MONTAGEM E DESMONTAGEM DE FÔRMA DE PILARES RETANGULARES E ESTRUTURAS SIMILARES, PÉ-DIREITO SIMPLES, EM CHAPA DE MADEIRA COMPENSADA RESINADA, 8 UTILIZAÇÕES. AF_09/2020</v>
          </cell>
          <cell r="D4294" t="str">
            <v>M2</v>
          </cell>
          <cell r="E4294">
            <v>74.599999999999994</v>
          </cell>
          <cell r="F4294">
            <v>0</v>
          </cell>
        </row>
        <row r="4295">
          <cell r="B4295">
            <v>92409</v>
          </cell>
          <cell r="C4295" t="str">
            <v>MONTAGEM E DESMONTAGEM DE FÔRMA DE PILARES RETANGULARES E ESTRUTURAS SIMILARES, PÉ-DIREITO SIMPLES, EM MADEIRA SERRADA, 1 UTILIZAÇÃO. AF_09/2020</v>
          </cell>
          <cell r="D4295" t="str">
            <v>M2</v>
          </cell>
          <cell r="E4295">
            <v>265.55</v>
          </cell>
          <cell r="F4295">
            <v>0</v>
          </cell>
        </row>
        <row r="4296">
          <cell r="B4296">
            <v>92411</v>
          </cell>
          <cell r="C4296" t="str">
            <v>MONTAGEM E DESMONTAGEM DE FÔRMA DE PILARES RETANGULARES E ESTRUTURAS SIMILARES, PÉ-DIREITO SIMPLES, EM MADEIRA SERRADA, 2 UTILIZAÇÕES. AF_09/2020</v>
          </cell>
          <cell r="D4296" t="str">
            <v>M2</v>
          </cell>
          <cell r="E4296">
            <v>183.44</v>
          </cell>
          <cell r="F4296">
            <v>0</v>
          </cell>
        </row>
        <row r="4297">
          <cell r="B4297">
            <v>92413</v>
          </cell>
          <cell r="C4297" t="str">
            <v>MONTAGEM E DESMONTAGEM DE FÔRMA DE PILARES RETANGULARES E ESTRUTURAS SIMILARES, PÉ-DIREITO SIMPLES, EM MADEIRA SERRADA, 4 UTILIZAÇÕES. AF_09/2020</v>
          </cell>
          <cell r="D4297" t="str">
            <v>M2</v>
          </cell>
          <cell r="E4297">
            <v>122.92</v>
          </cell>
          <cell r="F4297">
            <v>0</v>
          </cell>
        </row>
        <row r="4298">
          <cell r="B4298">
            <v>92465</v>
          </cell>
          <cell r="C4298" t="str">
            <v>MONTAGEM E DESMONTAGEM DE FÔRMA DE VIGA, ESCORAMENTO COM GARFO DE MADEIRA, PÉ-DIREITO DUPLO, EM CHAPA DE MADEIRA PLASTIFICADA, 10 UTILIZAÇÕES. AF_09/2020</v>
          </cell>
          <cell r="D4298" t="str">
            <v>M2</v>
          </cell>
          <cell r="E4298">
            <v>164.16</v>
          </cell>
          <cell r="F4298">
            <v>0</v>
          </cell>
        </row>
        <row r="4299">
          <cell r="B4299">
            <v>92469</v>
          </cell>
          <cell r="C4299" t="str">
            <v>MONTAGEM E DESMONTAGEM DE FÔRMA DE VIGA, ESCORAMENTO COM GARFO DE MADEIRA, PÉ-DIREITO DUPLO, EM CHAPA DE MADEIRA PLASTIFICADA, 12 UTILIZAÇÕES. AF_09/2020</v>
          </cell>
          <cell r="D4299" t="str">
            <v>M2</v>
          </cell>
          <cell r="E4299">
            <v>149.83000000000001</v>
          </cell>
          <cell r="F4299">
            <v>0</v>
          </cell>
        </row>
        <row r="4300">
          <cell r="B4300">
            <v>92473</v>
          </cell>
          <cell r="C4300" t="str">
            <v>MONTAGEM E DESMONTAGEM DE FÔRMA DE VIGA, ESCORAMENTO COM GARFO DE MADEIRA, PÉ-DIREITO DUPLO, EM CHAPA DE MADEIRA PLASTIFICADA, 14 UTILIZAÇÕES. AF_09/2020</v>
          </cell>
          <cell r="D4300" t="str">
            <v>M2</v>
          </cell>
          <cell r="E4300">
            <v>138.12</v>
          </cell>
          <cell r="F4300">
            <v>0</v>
          </cell>
        </row>
        <row r="4301">
          <cell r="B4301">
            <v>92477</v>
          </cell>
          <cell r="C4301" t="str">
            <v>MONTAGEM E DESMONTAGEM DE FÔRMA DE VIGA, ESCORAMENTO COM GARFO DE MADEIRA, PÉ-DIREITO DUPLO, EM CHAPA DE MADEIRA PLASTIFICADA, 18 UTILIZAÇÕES. AF_09/2020</v>
          </cell>
          <cell r="D4301" t="str">
            <v>M2</v>
          </cell>
          <cell r="E4301">
            <v>113.42</v>
          </cell>
          <cell r="F4301">
            <v>0</v>
          </cell>
        </row>
        <row r="4302">
          <cell r="B4302">
            <v>92449</v>
          </cell>
          <cell r="C4302" t="str">
            <v>MONTAGEM E DESMONTAGEM DE FÔRMA DE VIGA, ESCORAMENTO COM GARFO DE MADEIRA, PÉ-DIREITO DUPLO, EM CHAPA DE MADEIRA RESINADA, 2 UTILIZAÇÕES. AF_09/2020</v>
          </cell>
          <cell r="D4302" t="str">
            <v>M2</v>
          </cell>
          <cell r="E4302">
            <v>295.51</v>
          </cell>
          <cell r="F4302">
            <v>0</v>
          </cell>
        </row>
        <row r="4303">
          <cell r="B4303">
            <v>92453</v>
          </cell>
          <cell r="C4303" t="str">
            <v>MONTAGEM E DESMONTAGEM DE FÔRMA DE VIGA, ESCORAMENTO COM GARFO DE MADEIRA, PÉ-DIREITO DUPLO, EM CHAPA DE MADEIRA RESINADA, 4 UTILIZAÇÕES. AF_09/2020</v>
          </cell>
          <cell r="D4303" t="str">
            <v>M2</v>
          </cell>
          <cell r="E4303">
            <v>253.28</v>
          </cell>
          <cell r="F4303">
            <v>0</v>
          </cell>
        </row>
        <row r="4304">
          <cell r="B4304">
            <v>92457</v>
          </cell>
          <cell r="C4304" t="str">
            <v>MONTAGEM E DESMONTAGEM DE FÔRMA DE VIGA, ESCORAMENTO COM GARFO DE MADEIRA, PÉ-DIREITO DUPLO, EM CHAPA DE MADEIRA RESINADA, 6 UTILIZAÇÕES. AF_09/2020</v>
          </cell>
          <cell r="D4304" t="str">
            <v>M2</v>
          </cell>
          <cell r="E4304">
            <v>221.18</v>
          </cell>
          <cell r="F4304">
            <v>0</v>
          </cell>
        </row>
        <row r="4305">
          <cell r="B4305">
            <v>92461</v>
          </cell>
          <cell r="C4305" t="str">
            <v>MONTAGEM E DESMONTAGEM DE FÔRMA DE VIGA, ESCORAMENTO COM GARFO DE MADEIRA, PÉ-DIREITO DUPLO, EM CHAPA DE MADEIRA RESINADA, 8 UTILIZAÇÕES. AF_09/2020</v>
          </cell>
          <cell r="D4305" t="str">
            <v>M2</v>
          </cell>
          <cell r="E4305">
            <v>204.31</v>
          </cell>
          <cell r="F4305">
            <v>0</v>
          </cell>
        </row>
        <row r="4306">
          <cell r="B4306">
            <v>92467</v>
          </cell>
          <cell r="C4306" t="str">
            <v>MONTAGEM E DESMONTAGEM DE FÔRMA DE VIGA, ESCORAMENTO COM GARFO DE MADEIRA, PÉ-DIREITO SIMPLES, EM CHAPA DE MADEIRA PLASTIFICADA, 10 UTILIZAÇÕES. AF_09/2020</v>
          </cell>
          <cell r="D4306" t="str">
            <v>M2</v>
          </cell>
          <cell r="E4306">
            <v>105.89</v>
          </cell>
          <cell r="F4306">
            <v>0</v>
          </cell>
        </row>
        <row r="4307">
          <cell r="B4307">
            <v>92471</v>
          </cell>
          <cell r="C4307" t="str">
            <v>MONTAGEM E DESMONTAGEM DE FÔRMA DE VIGA, ESCORAMENTO COM GARFO DE MADEIRA, PÉ-DIREITO SIMPLES, EM CHAPA DE MADEIRA PLASTIFICADA, 12 UTILIZAÇÕES. AF_09/2020</v>
          </cell>
          <cell r="D4307" t="str">
            <v>M2</v>
          </cell>
          <cell r="E4307">
            <v>96.78</v>
          </cell>
          <cell r="F4307">
            <v>0</v>
          </cell>
        </row>
        <row r="4308">
          <cell r="B4308">
            <v>92475</v>
          </cell>
          <cell r="C4308" t="str">
            <v>MONTAGEM E DESMONTAGEM DE FÔRMA DE VIGA, ESCORAMENTO COM GARFO DE MADEIRA, PÉ-DIREITO SIMPLES, EM CHAPA DE MADEIRA PLASTIFICADA, 14 UTILIZAÇÕES. AF_09/2020</v>
          </cell>
          <cell r="D4308" t="str">
            <v>M2</v>
          </cell>
          <cell r="E4308">
            <v>89.3</v>
          </cell>
          <cell r="F4308">
            <v>0</v>
          </cell>
        </row>
        <row r="4309">
          <cell r="B4309">
            <v>92479</v>
          </cell>
          <cell r="C4309" t="str">
            <v>MONTAGEM E DESMONTAGEM DE FÔRMA DE VIGA, ESCORAMENTO COM GARFO DE MADEIRA, PÉ-DIREITO SIMPLES, EM CHAPA DE MADEIRA PLASTIFICADA, 18 UTILIZAÇÕES. AF_09/2020</v>
          </cell>
          <cell r="D4309" t="str">
            <v>M2</v>
          </cell>
          <cell r="E4309">
            <v>73.5</v>
          </cell>
          <cell r="F4309">
            <v>0</v>
          </cell>
        </row>
        <row r="4310">
          <cell r="B4310">
            <v>92451</v>
          </cell>
          <cell r="C4310" t="str">
            <v>MONTAGEM E DESMONTAGEM DE FÔRMA DE VIGA, ESCORAMENTO COM GARFO DE MADEIRA, PÉ-DIREITO SIMPLES, EM CHAPA DE MADEIRA RESINADA, 2 UTILIZAÇÕES. AF_09/2020</v>
          </cell>
          <cell r="D4310" t="str">
            <v>M2</v>
          </cell>
          <cell r="E4310">
            <v>200.8</v>
          </cell>
          <cell r="F4310">
            <v>0</v>
          </cell>
        </row>
        <row r="4311">
          <cell r="B4311">
            <v>92455</v>
          </cell>
          <cell r="C4311" t="str">
            <v>MONTAGEM E DESMONTAGEM DE FÔRMA DE VIGA, ESCORAMENTO COM GARFO DE MADEIRA, PÉ-DIREITO SIMPLES, EM CHAPA DE MADEIRA RESINADA, 4 UTILIZAÇÕES. AF_09/2020</v>
          </cell>
          <cell r="D4311" t="str">
            <v>M2</v>
          </cell>
          <cell r="E4311">
            <v>165.11</v>
          </cell>
          <cell r="F4311">
            <v>0</v>
          </cell>
        </row>
        <row r="4312">
          <cell r="B4312">
            <v>92459</v>
          </cell>
          <cell r="C4312" t="str">
            <v>MONTAGEM E DESMONTAGEM DE FÔRMA DE VIGA, ESCORAMENTO COM GARFO DE MADEIRA, PÉ-DIREITO SIMPLES, EM CHAPA DE MADEIRA RESINADA, 6 UTILIZAÇÕES. AF_09/2020</v>
          </cell>
          <cell r="D4312" t="str">
            <v>M2</v>
          </cell>
          <cell r="E4312">
            <v>141.15</v>
          </cell>
          <cell r="F4312">
            <v>0</v>
          </cell>
        </row>
        <row r="4313">
          <cell r="B4313">
            <v>92463</v>
          </cell>
          <cell r="C4313" t="str">
            <v>MONTAGEM E DESMONTAGEM DE FÔRMA DE VIGA, ESCORAMENTO COM GARFO DE MADEIRA, PÉ-DIREITO SIMPLES, EM CHAPA DE MADEIRA RESINADA, 8 UTILIZAÇÕES. AF_09/2020</v>
          </cell>
          <cell r="D4313" t="str">
            <v>M2</v>
          </cell>
          <cell r="E4313">
            <v>128.25</v>
          </cell>
          <cell r="F4313">
            <v>0</v>
          </cell>
        </row>
        <row r="4314">
          <cell r="B4314">
            <v>92446</v>
          </cell>
          <cell r="C4314" t="str">
            <v>MONTAGEM E DESMONTAGEM DE FÔRMA DE VIGA, ESCORAMENTO COM PONTALETE DE MADEIRA, PÉ-DIREITO SIMPLES, EM MADEIRA SERRADA, 1 UTILIZAÇÃO. AF_09/2020</v>
          </cell>
          <cell r="D4314" t="str">
            <v>M2</v>
          </cell>
          <cell r="E4314">
            <v>367.45</v>
          </cell>
          <cell r="F4314">
            <v>0</v>
          </cell>
        </row>
        <row r="4315">
          <cell r="B4315">
            <v>92447</v>
          </cell>
          <cell r="C4315" t="str">
            <v>MONTAGEM E DESMONTAGEM DE FÔRMA DE VIGA, ESCORAMENTO COM PONTALETE DE MADEIRA, PÉ-DIREITO SIMPLES, EM MADEIRA SERRADA, 2 UTILIZAÇÕES. AF_09/2020</v>
          </cell>
          <cell r="D4315" t="str">
            <v>M2</v>
          </cell>
          <cell r="E4315">
            <v>254.75</v>
          </cell>
          <cell r="F4315">
            <v>0</v>
          </cell>
        </row>
        <row r="4316">
          <cell r="B4316">
            <v>92448</v>
          </cell>
          <cell r="C4316" t="str">
            <v>MONTAGEM E DESMONTAGEM DE FÔRMA DE VIGA, ESCORAMENTO COM PONTALETE DE MADEIRA, PÉ-DIREITO SIMPLES, EM MADEIRA SERRADA, 4 UTILIZAÇÕES. AF_09/2020</v>
          </cell>
          <cell r="D4316" t="str">
            <v>M2</v>
          </cell>
          <cell r="E4316">
            <v>197.22</v>
          </cell>
          <cell r="F4316">
            <v>0</v>
          </cell>
        </row>
        <row r="4317">
          <cell r="B4317">
            <v>92466</v>
          </cell>
          <cell r="C4317" t="str">
            <v>MONTAGEM E DESMONTAGEM DE FÔRMA DE VIGA, ESCORAMENTO METÁLICO, PÉ-DIREITO DUPLO, EM CHAPA DE MADEIRA PLASTIFICADA, 10 UTILIZAÇÕES. AF_09/2020</v>
          </cell>
          <cell r="D4317" t="str">
            <v>M2</v>
          </cell>
          <cell r="E4317">
            <v>291.18</v>
          </cell>
          <cell r="F4317">
            <v>0</v>
          </cell>
        </row>
        <row r="4318">
          <cell r="B4318">
            <v>92470</v>
          </cell>
          <cell r="C4318" t="str">
            <v>MONTAGEM E DESMONTAGEM DE FÔRMA DE VIGA, ESCORAMENTO METÁLICO, PÉ-DIREITO DUPLO, EM CHAPA DE MADEIRA PLASTIFICADA, 12 UTILIZAÇÕES. AF_09/2020</v>
          </cell>
          <cell r="D4318" t="str">
            <v>M2</v>
          </cell>
          <cell r="E4318">
            <v>283.2</v>
          </cell>
          <cell r="F4318">
            <v>0</v>
          </cell>
        </row>
        <row r="4319">
          <cell r="B4319">
            <v>92474</v>
          </cell>
          <cell r="C4319" t="str">
            <v>MONTAGEM E DESMONTAGEM DE FÔRMA DE VIGA, ESCORAMENTO METÁLICO, PÉ-DIREITO DUPLO, EM CHAPA DE MADEIRA PLASTIFICADA, 14 UTILIZAÇÕES. AF_09/2020</v>
          </cell>
          <cell r="D4319" t="str">
            <v>M2</v>
          </cell>
          <cell r="E4319">
            <v>276.25</v>
          </cell>
          <cell r="F4319">
            <v>0</v>
          </cell>
        </row>
        <row r="4320">
          <cell r="B4320">
            <v>92478</v>
          </cell>
          <cell r="C4320" t="str">
            <v>MONTAGEM E DESMONTAGEM DE FÔRMA DE VIGA, ESCORAMENTO METÁLICO, PÉ-DIREITO DUPLO, EM CHAPA DE MADEIRA PLASTIFICADA, 18 UTILIZAÇÕES. AF_09/2020</v>
          </cell>
          <cell r="D4320" t="str">
            <v>M2</v>
          </cell>
          <cell r="E4320">
            <v>262.76</v>
          </cell>
          <cell r="F4320">
            <v>0</v>
          </cell>
        </row>
        <row r="4321">
          <cell r="B4321">
            <v>92450</v>
          </cell>
          <cell r="C4321" t="str">
            <v>MONTAGEM E DESMONTAGEM DE FÔRMA DE VIGA, ESCORAMENTO METÁLICO, PÉ-DIREITO DUPLO, EM CHAPA DE MADEIRA RESINADA, 2 UTILIZAÇÕES. AF_09/2020</v>
          </cell>
          <cell r="D4321" t="str">
            <v>M2</v>
          </cell>
          <cell r="E4321">
            <v>367.61</v>
          </cell>
          <cell r="F4321">
            <v>0</v>
          </cell>
        </row>
        <row r="4322">
          <cell r="B4322">
            <v>92454</v>
          </cell>
          <cell r="C4322" t="str">
            <v>MONTAGEM E DESMONTAGEM DE FÔRMA DE VIGA, ESCORAMENTO METÁLICO, PÉ-DIREITO DUPLO, EM CHAPA DE MADEIRA RESINADA, 4 UTILIZAÇÕES. AF_09/2020</v>
          </cell>
          <cell r="D4322" t="str">
            <v>M2</v>
          </cell>
          <cell r="E4322">
            <v>334.72</v>
          </cell>
          <cell r="F4322">
            <v>0</v>
          </cell>
        </row>
        <row r="4323">
          <cell r="B4323">
            <v>92458</v>
          </cell>
          <cell r="C4323" t="str">
            <v>MONTAGEM E DESMONTAGEM DE FÔRMA DE VIGA, ESCORAMENTO METÁLICO, PÉ-DIREITO DUPLO, EM CHAPA DE MADEIRA RESINADA, 6 UTILIZAÇÕES. AF_09/2020</v>
          </cell>
          <cell r="D4323" t="str">
            <v>M2</v>
          </cell>
          <cell r="E4323">
            <v>313.77999999999997</v>
          </cell>
          <cell r="F4323">
            <v>0</v>
          </cell>
        </row>
        <row r="4324">
          <cell r="B4324">
            <v>92462</v>
          </cell>
          <cell r="C4324" t="str">
            <v>MONTAGEM E DESMONTAGEM DE FÔRMA DE VIGA, ESCORAMENTO METÁLICO, PÉ-DIREITO DUPLO, EM CHAPA DE MADEIRA RESINADA, 8 UTILIZAÇÕES. AF_09/2020</v>
          </cell>
          <cell r="D4324" t="str">
            <v>M2</v>
          </cell>
          <cell r="E4324">
            <v>300.12</v>
          </cell>
          <cell r="F4324">
            <v>0</v>
          </cell>
        </row>
        <row r="4325">
          <cell r="B4325">
            <v>92468</v>
          </cell>
          <cell r="C4325" t="str">
            <v>MONTAGEM E DESMONTAGEM DE FÔRMA DE VIGA, ESCORAMENTO METÁLICO, PÉ-DIREITO SIMPLES, EM CHAPA DE MADEIRA PLASTIFICADA, 10 UTILIZAÇÕES. AF_09/2020</v>
          </cell>
          <cell r="D4325" t="str">
            <v>M2</v>
          </cell>
          <cell r="E4325">
            <v>134.59</v>
          </cell>
          <cell r="F4325">
            <v>0</v>
          </cell>
        </row>
        <row r="4326">
          <cell r="B4326">
            <v>92472</v>
          </cell>
          <cell r="C4326" t="str">
            <v>MONTAGEM E DESMONTAGEM DE FÔRMA DE VIGA, ESCORAMENTO METÁLICO, PÉ-DIREITO SIMPLES, EM CHAPA DE MADEIRA PLASTIFICADA, 12 UTILIZAÇÕES. AF_09/2020</v>
          </cell>
          <cell r="D4326" t="str">
            <v>M2</v>
          </cell>
          <cell r="E4326">
            <v>127.76</v>
          </cell>
          <cell r="F4326">
            <v>0</v>
          </cell>
        </row>
        <row r="4327">
          <cell r="B4327">
            <v>92476</v>
          </cell>
          <cell r="C4327" t="str">
            <v>MONTAGEM E DESMONTAGEM DE FÔRMA DE VIGA, ESCORAMENTO METÁLICO, PÉ-DIREITO SIMPLES, EM CHAPA DE MADEIRA PLASTIFICADA, 14 UTILIZAÇÕES. AF_09/2020</v>
          </cell>
          <cell r="D4327" t="str">
            <v>M2</v>
          </cell>
          <cell r="E4327">
            <v>121.89</v>
          </cell>
          <cell r="F4327">
            <v>0</v>
          </cell>
        </row>
        <row r="4328">
          <cell r="B4328">
            <v>92480</v>
          </cell>
          <cell r="C4328" t="str">
            <v>MONTAGEM E DESMONTAGEM DE FÔRMA DE VIGA, ESCORAMENTO METÁLICO, PÉ-DIREITO SIMPLES, EM CHAPA DE MADEIRA PLASTIFICADA, 18 UTILIZAÇÕES. AF_09/2020</v>
          </cell>
          <cell r="D4328" t="str">
            <v>M2</v>
          </cell>
          <cell r="E4328">
            <v>110.36</v>
          </cell>
          <cell r="F4328">
            <v>0</v>
          </cell>
        </row>
        <row r="4329">
          <cell r="B4329">
            <v>92452</v>
          </cell>
          <cell r="C4329" t="str">
            <v>MONTAGEM E DESMONTAGEM DE FÔRMA DE VIGA, ESCORAMENTO METÁLICO, PÉ-DIREITO SIMPLES, EM CHAPA DE MADEIRA RESINADA, 2 UTILIZAÇÕES. AF_09/2020</v>
          </cell>
          <cell r="D4329" t="str">
            <v>M2</v>
          </cell>
          <cell r="E4329">
            <v>208.67</v>
          </cell>
          <cell r="F4329">
            <v>0</v>
          </cell>
        </row>
        <row r="4330">
          <cell r="B4330">
            <v>92456</v>
          </cell>
          <cell r="C4330" t="str">
            <v>MONTAGEM E DESMONTAGEM DE FÔRMA DE VIGA, ESCORAMENTO METÁLICO, PÉ-DIREITO SIMPLES, EM CHAPA DE MADEIRA RESINADA, 4 UTILIZAÇÕES. AF_09/2020</v>
          </cell>
          <cell r="D4330" t="str">
            <v>M2</v>
          </cell>
          <cell r="E4330">
            <v>175.92</v>
          </cell>
          <cell r="F4330">
            <v>0</v>
          </cell>
        </row>
        <row r="4331">
          <cell r="B4331">
            <v>92460</v>
          </cell>
          <cell r="C4331" t="str">
            <v>MONTAGEM E DESMONTAGEM DE FÔRMA DE VIGA, ESCORAMENTO METÁLICO, PÉ-DIREITO SIMPLES, EM CHAPA DE MADEIRA RESINADA, 6 UTILIZAÇÕES. AF_09/2020</v>
          </cell>
          <cell r="D4331" t="str">
            <v>M2</v>
          </cell>
          <cell r="E4331">
            <v>149.12</v>
          </cell>
          <cell r="F4331">
            <v>0</v>
          </cell>
        </row>
        <row r="4332">
          <cell r="B4332">
            <v>92464</v>
          </cell>
          <cell r="C4332" t="str">
            <v>MONTAGEM E DESMONTAGEM DE FÔRMA DE VIGA, ESCORAMENTO METÁLICO, PÉ-DIREITO SIMPLES, EM CHAPA DE MADEIRA RESINADA, 8 UTILIZAÇÕES. AF_09/2020</v>
          </cell>
          <cell r="D4332" t="str">
            <v>M2</v>
          </cell>
          <cell r="E4332">
            <v>142.80000000000001</v>
          </cell>
          <cell r="F4332">
            <v>0</v>
          </cell>
        </row>
        <row r="4333">
          <cell r="B4333">
            <v>105403</v>
          </cell>
          <cell r="C4333" t="str">
            <v>FABRICAÇÃO DE FÔRMA PARA PILARES CIRCULARES, EM CHAPA DE MADEIRA COMPENSADA RESINADA, PÉ-DIREITO DUPLO. AF_05/2024</v>
          </cell>
          <cell r="D4333" t="str">
            <v>M2</v>
          </cell>
          <cell r="E4333">
            <v>176.45</v>
          </cell>
          <cell r="F4333">
            <v>0</v>
          </cell>
        </row>
        <row r="4334">
          <cell r="B4334">
            <v>96252</v>
          </cell>
          <cell r="C4334" t="str">
            <v>FABRICAÇÃO DE FÔRMA PARA PILARES CIRCULARES, EM CHAPA DE MADEIRA COMPENSADA RESINADA, PÉ-DIREITO SIMPLES. AF_05/2024</v>
          </cell>
          <cell r="D4334" t="str">
            <v>M2</v>
          </cell>
          <cell r="E4334">
            <v>147.59</v>
          </cell>
          <cell r="F4334">
            <v>0</v>
          </cell>
        </row>
        <row r="4335">
          <cell r="B4335">
            <v>96254</v>
          </cell>
          <cell r="C4335" t="str">
            <v>MONTAGEM E DESMONTAGEM DE FÔRMA DE PILARES CIRCULARES, COM ÁREA MÉDIA DAS SEÇÕES MAIOR QUE 0,28 M², EM PAPELÃO. AF_05/2024</v>
          </cell>
          <cell r="D4335" t="str">
            <v>M</v>
          </cell>
          <cell r="E4335">
            <v>0</v>
          </cell>
        </row>
        <row r="4336">
          <cell r="B4336">
            <v>96253</v>
          </cell>
          <cell r="C4336" t="str">
            <v>MONTAGEM E DESMONTAGEM DE FÔRMA DE PILARES CIRCULARES, COM ÁREA MÉDIA DAS SEÇÕES MENOR OU IGUAL A 0,28 M², EM PAPELÃO. AF_05/2024</v>
          </cell>
          <cell r="D4336" t="str">
            <v>M</v>
          </cell>
          <cell r="E4336">
            <v>0</v>
          </cell>
        </row>
        <row r="4337">
          <cell r="B4337">
            <v>105406</v>
          </cell>
          <cell r="C4337" t="str">
            <v>MONTAGEM E DESMONTAGEM DE FÔRMA DE PILARES CIRCULARES, PÉ-DIREITO DUPLO, EM MADEIRA, 2 UTILIZAÇÕES. AF_05/2024</v>
          </cell>
          <cell r="D4337" t="str">
            <v>M2</v>
          </cell>
          <cell r="E4337">
            <v>215.22</v>
          </cell>
          <cell r="F4337">
            <v>0</v>
          </cell>
        </row>
        <row r="4338">
          <cell r="B4338">
            <v>96264</v>
          </cell>
          <cell r="C4338" t="str">
            <v>MONTAGEM E DESMONTAGEM DE FÔRMA DE PILARES CIRCULARES, PÉ-DIREITO DUPLO, METÁLICA. AF_05/2024</v>
          </cell>
          <cell r="D4338" t="str">
            <v>M2</v>
          </cell>
          <cell r="E4338">
            <v>0</v>
          </cell>
        </row>
        <row r="4339">
          <cell r="B4339">
            <v>105405</v>
          </cell>
          <cell r="C4339" t="str">
            <v>MONTAGEM E DESMONTAGEM DE FÔRMA DE PILARES CIRCULARES, PÉ-DIREITO DUPLO, PLÁSTICA. AF_05/2024</v>
          </cell>
          <cell r="D4339" t="str">
            <v>M2</v>
          </cell>
          <cell r="E4339">
            <v>0</v>
          </cell>
        </row>
        <row r="4340">
          <cell r="B4340">
            <v>96258</v>
          </cell>
          <cell r="C4340" t="str">
            <v>MONTAGEM E DESMONTAGEM DE FÔRMA DE PILARES CIRCULARES, PÉ-DIREITO SIMPLES, EM MADEIRA, 2 UTILIZAÇÕES. AF_05/2024</v>
          </cell>
          <cell r="D4340" t="str">
            <v>M2</v>
          </cell>
          <cell r="E4340">
            <v>155.03</v>
          </cell>
          <cell r="F4340">
            <v>0</v>
          </cell>
        </row>
        <row r="4341">
          <cell r="B4341">
            <v>96262</v>
          </cell>
          <cell r="C4341" t="str">
            <v>MONTAGEM E DESMONTAGEM DE FÔRMA DE PILARES CIRCULARES, PÉ-DIREITO SIMPLES, METÁLICA. AF_05/2024</v>
          </cell>
          <cell r="D4341" t="str">
            <v>M2</v>
          </cell>
          <cell r="E4341">
            <v>0</v>
          </cell>
        </row>
        <row r="4342">
          <cell r="B4342">
            <v>105404</v>
          </cell>
          <cell r="C4342" t="str">
            <v>MONTAGEM E DESMONTAGEM DE FÔRMA DE PILARES CIRCULARES, PÉ-DIREITO SIMPLES, PLÁSTICA. AF_05/2024</v>
          </cell>
          <cell r="D4342" t="str">
            <v>M2</v>
          </cell>
          <cell r="E4342">
            <v>0</v>
          </cell>
        </row>
        <row r="4343">
          <cell r="B4343">
            <v>92751</v>
          </cell>
          <cell r="C4343" t="str">
            <v>MURO DE GABIÃO, ENCHIMENTO COM PEDRA DE MÃO TIPO RACHÃO, COM SOLO REFORÇADO, PARA MUROS COM ALTURA MAIOR QUE 12 M E MENOR OU IGUAL A 20 M - FORNECIMENTO E EXECUÇÃO. AF_03/2024</v>
          </cell>
          <cell r="D4343" t="str">
            <v>M3</v>
          </cell>
          <cell r="E4343">
            <v>2009.9</v>
          </cell>
          <cell r="F4343">
            <v>0</v>
          </cell>
        </row>
        <row r="4344">
          <cell r="B4344">
            <v>92752</v>
          </cell>
          <cell r="C4344" t="str">
            <v>MURO DE GABIÃO, ENCHIMENTO COM PEDRA DE MÃO TIPO RACHÃO, COM SOLO REFORÇADO, PARA MUROS COM ALTURA MAIOR QUE 20 M E MENOR OU IGUAL A 28 M - FORNECIMENTO E EXECUÇÃO. AF_03/2024</v>
          </cell>
          <cell r="D4344" t="str">
            <v>M3</v>
          </cell>
          <cell r="E4344">
            <v>2386</v>
          </cell>
          <cell r="F4344">
            <v>0</v>
          </cell>
        </row>
        <row r="4345">
          <cell r="B4345">
            <v>92750</v>
          </cell>
          <cell r="C4345" t="str">
            <v>MURO DE GABIÃO, ENCHIMENTO COM PEDRA DE MÃO TIPO RACHÃO, COM SOLO REFORÇADO, PARA MUROS COM ALTURA MAIOR QUE 4 M E MENOR OU IGUAL A 12 M - FORNECIMENTO E EXECUÇÃO. AF_03/2024</v>
          </cell>
          <cell r="D4345" t="str">
            <v>M3</v>
          </cell>
          <cell r="E4345">
            <v>1630.71</v>
          </cell>
          <cell r="F4345">
            <v>0</v>
          </cell>
        </row>
        <row r="4346">
          <cell r="B4346">
            <v>92749</v>
          </cell>
          <cell r="C4346" t="str">
            <v>MURO DE GABIÃO, ENCHIMENTO COM PEDRA DE MÃO TIPO RACHÃO, COM SOLO REFORÇADO, PARA MUROS COM ALTURA MENOR OU IGUAL A 4 M - FORNECIMENTO E EXECUÇÃO. AF_03/2024</v>
          </cell>
          <cell r="D4346" t="str">
            <v>M3</v>
          </cell>
          <cell r="E4346">
            <v>982.16</v>
          </cell>
          <cell r="F4346">
            <v>0</v>
          </cell>
        </row>
        <row r="4347">
          <cell r="B4347">
            <v>92745</v>
          </cell>
          <cell r="C4347" t="str">
            <v>MURO DE GABIÃO, ENCHIMENTO COM PEDRA DE MÃO TIPO RACHÃO, DE GRAVIDADE, COM GAIOLAS DE COMPRIMENTO IGUAL A 2 M, PARA MUROS COM ALTURA MAIOR QUE 4 M E MENOR OU IGUAL A 6 M - FORNECIMENTO E EXECUÇÃO. AF_03/2024</v>
          </cell>
          <cell r="D4347" t="str">
            <v>M3</v>
          </cell>
          <cell r="E4347">
            <v>843.12</v>
          </cell>
          <cell r="F4347">
            <v>0</v>
          </cell>
        </row>
        <row r="4348">
          <cell r="B4348">
            <v>92747</v>
          </cell>
          <cell r="C4348" t="str">
            <v>MURO DE GABIÃO, ENCHIMENTO COM PEDRA DE MÃO TIPO RACHÃO, DE GRAVIDADE, COM GAIOLAS DE COMPRIMENTO IGUAL A 2 M, PARA MUROS COM ALTURA MAIOR QUE 6 M E MENOR OU IGUAL A 10 M - FORNECIMENTO E EXECUÇÃO. AF_03/2024</v>
          </cell>
          <cell r="D4348" t="str">
            <v>M3</v>
          </cell>
          <cell r="E4348">
            <v>937.66</v>
          </cell>
          <cell r="F4348">
            <v>0</v>
          </cell>
        </row>
        <row r="4349">
          <cell r="B4349">
            <v>92743</v>
          </cell>
          <cell r="C4349" t="str">
            <v>MURO DE GABIÃO, ENCHIMENTO COM PEDRA DE MÃO TIPO RACHÃO, DE GRAVIDADE, COM GAIOLAS DE COMPRIMENTO IGUAL A 2 M, PARA MUROS COM ALTURA MENOR OU IGUAL A 4 M - FORNECIMENTO E EXECUÇÃO. AF_03/2024</v>
          </cell>
          <cell r="D4349" t="str">
            <v>M3</v>
          </cell>
          <cell r="E4349">
            <v>693.41</v>
          </cell>
          <cell r="F4349">
            <v>0</v>
          </cell>
        </row>
        <row r="4350">
          <cell r="B4350">
            <v>92746</v>
          </cell>
          <cell r="C4350" t="str">
            <v>MURO DE GABIÃO, ENCHIMENTO COM PEDRA DE MÃO TIPO RACHÃO, DE GRAVIDADE, COM GAIOLAS DE COMPRIMENTO IGUAL A 5 M, PARA MUROS COM ALTURA MAIOR QUE 4 M E MENOR OU IGUAL A 6 M - FORNECIMENTO E EXECUÇÃO. AF_03/2024</v>
          </cell>
          <cell r="D4350" t="str">
            <v>M3</v>
          </cell>
          <cell r="E4350">
            <v>744.66</v>
          </cell>
          <cell r="F4350">
            <v>0</v>
          </cell>
        </row>
        <row r="4351">
          <cell r="B4351">
            <v>92748</v>
          </cell>
          <cell r="C4351" t="str">
            <v>MURO DE GABIÃO, ENCHIMENTO COM PEDRA DE MÃO TIPO RACHÃO, DE GRAVIDADE, COM GAIOLAS DE COMPRIMENTO IGUAL A 5 M, PARA MUROS COM ALTURA MAIOR QUE 6 M E MENOR OU IGUAL A 10 M- FORNECIMENTO E EXECUÇÃO. AF_03/2024</v>
          </cell>
          <cell r="D4351" t="str">
            <v>M3</v>
          </cell>
          <cell r="E4351">
            <v>820.58</v>
          </cell>
          <cell r="F4351">
            <v>0</v>
          </cell>
        </row>
        <row r="4352">
          <cell r="B4352">
            <v>92744</v>
          </cell>
          <cell r="C4352" t="str">
            <v>MURO DE GABIÃO, ENCHIMENTO COM PEDRA DE MÃO TIPO RACHÃO, DE GRAVIDADE, COM GAIOLAS DE COMPRIMENTO IGUAL A 5 M, PARA MUROS COM ALTURA MENOR OU IGUAL A 4 M - FORNECIMENTO E EXECUÇÃO. AF_03/2024</v>
          </cell>
          <cell r="D4352" t="str">
            <v>M3</v>
          </cell>
          <cell r="E4352">
            <v>619.70000000000005</v>
          </cell>
          <cell r="F4352">
            <v>0</v>
          </cell>
        </row>
        <row r="4353">
          <cell r="B4353">
            <v>92754</v>
          </cell>
          <cell r="C4353" t="str">
            <v>MURO DE GABIÃO, ENCHIMENTO COM RESÍDUO DE CONSTRUÇÃO E DEMOLIÇÃO, DE GRAVIDADE, COM GAIOLA TRAPEZOIDAL DE COMPRIMENTO IGUAL A 2 M, PARA MUROS COM ALTURA MAIOR QUE 2 M E MENOR OU IGUAL A 4 M - FORNECIMENTO E EXECUÇÃO. AF_03/2024</v>
          </cell>
          <cell r="D4353" t="str">
            <v>M3</v>
          </cell>
          <cell r="E4353">
            <v>674.78</v>
          </cell>
          <cell r="F4353">
            <v>0</v>
          </cell>
        </row>
        <row r="4354">
          <cell r="B4354">
            <v>92753</v>
          </cell>
          <cell r="C4354" t="str">
            <v>MURO DE GABIÃO, ENCHIMENTO COM RESÍDUO DE CONSTRUÇÃO E DEMOLIÇÃO, DE GRAVIDADE, COM GAIOLA TRAPEZOIDAL DE COMPRIMENTO IGUAL A 2 M, PARA MUROS COM ALTURA MENOR OU IGUAL A 2 M - FORNECIMENTO E EXECUÇÃO. AF_03/2024</v>
          </cell>
          <cell r="D4354" t="str">
            <v>M3</v>
          </cell>
          <cell r="E4354">
            <v>684.46</v>
          </cell>
          <cell r="F4354">
            <v>0</v>
          </cell>
        </row>
        <row r="4355">
          <cell r="B4355">
            <v>92755</v>
          </cell>
          <cell r="C4355" t="str">
            <v>PROTEÇÃO SUPERFICIAL DE CANAL EM GABIÃO TIPO COLCHÃO, ALTURA DE 17 CENTÍMETROS, ENCHIMENTO COM PEDRA DE MÃO TIPO RACHÃO - FORNECIMENTO E EXECUÇÃO. AF_03/2024</v>
          </cell>
          <cell r="D4355" t="str">
            <v>M2</v>
          </cell>
          <cell r="E4355">
            <v>258.14</v>
          </cell>
          <cell r="F4355">
            <v>0</v>
          </cell>
        </row>
        <row r="4356">
          <cell r="B4356">
            <v>92756</v>
          </cell>
          <cell r="C4356" t="str">
            <v>PROTEÇÃO SUPERFICIAL DE CANAL EM GABIÃO TIPO COLCHÃO, ALTURA DE 23 CENTÍMETROS, ENCHIMENTO COM PEDRA DE MÃO TIPO RACHÃO - FORNECIMENTO E EXECUÇÃO. AF_03/2024</v>
          </cell>
          <cell r="D4356" t="str">
            <v>M2</v>
          </cell>
          <cell r="E4356">
            <v>296.38</v>
          </cell>
          <cell r="F4356">
            <v>0</v>
          </cell>
        </row>
        <row r="4357">
          <cell r="B4357">
            <v>92757</v>
          </cell>
          <cell r="C4357" t="str">
            <v>PROTEÇÃO SUPERFICIAL DE CANAL EM GABIÃO TIPO COLCHÃO, ALTURA DE 30 CENTÍMETROS, ENCHIMENTO COM PEDRA DE MÃO TIPO RACHÃO - FORNECIMENTO E EXECUÇÃO. AF_03/2024</v>
          </cell>
          <cell r="D4357" t="str">
            <v>M2</v>
          </cell>
          <cell r="E4357">
            <v>342.15</v>
          </cell>
          <cell r="F4357">
            <v>0</v>
          </cell>
        </row>
        <row r="4358">
          <cell r="B4358">
            <v>92758</v>
          </cell>
          <cell r="C4358" t="str">
            <v>PROTEÇÃO SUPERFICIAL DE CANAL EM GABIÃO TIPO SACO, DIÂMETRO DE 65 CENTÍMETROS, ENCHIMENTO MANUAL COM PEDRA DE MÃO TIPO RACHÃO - FORNECIMENTO E EXECUÇÃO. AF_03/2024</v>
          </cell>
          <cell r="D4358" t="str">
            <v>M3</v>
          </cell>
          <cell r="E4358">
            <v>675.33</v>
          </cell>
          <cell r="F4358">
            <v>0</v>
          </cell>
        </row>
        <row r="4359">
          <cell r="B4359">
            <v>104500</v>
          </cell>
          <cell r="C4359" t="str">
            <v>ADUELA/ GALERIA ABERTA PRE-MOLDADA DE CONCRETO ARMADO, SECAO QUADRANGULAR INTERNA DE 1,50 X 1,50 M (L X A), MISULA DE 20 X 20 CM, C = 1,00 M, ESPESSURA MIN = 15 CM, TB-45 E FCK DO CONCRETO = 30 MPA FORNECIMENTO E ASSENTAMENTO. AF_01/2023</v>
          </cell>
          <cell r="D4359" t="str">
            <v>M</v>
          </cell>
          <cell r="E4359">
            <v>0</v>
          </cell>
        </row>
        <row r="4360">
          <cell r="B4360">
            <v>104503</v>
          </cell>
          <cell r="C4360" t="str">
            <v>ADUELA/ GALERIA ABERTA PRE-MOLDADA DE CONCRETO ARMADO, SECAO QUADRANGULAR INTERNA DE 2,00 X 2,00 M (L X A), MISULA DE 20 X 20 CM, C = 1,00 M, ESPESSURA MIN = 15 CM, TB-45 E FCK DO CONCRETO = 30 MPA FORNECIMENTO E ASSENTAMENTO. AF_01/2023</v>
          </cell>
          <cell r="D4360" t="str">
            <v>M</v>
          </cell>
          <cell r="E4360">
            <v>0</v>
          </cell>
        </row>
        <row r="4361">
          <cell r="B4361">
            <v>104504</v>
          </cell>
          <cell r="C4361" t="str">
            <v>ADUELA/ GALERIA ABERTA PRE-MOLDADA DE CONCRETO ARMADO, SECAO QUADRANGULAR INTERNA DE 2,00 X 2,00 M (L X A), MISULA DE 20 X 20 CM, C = 1,00 M, ESPESSURA MIN = 20 CM, TB-45 E FCK DO CONCRETO = 30 MPA FORNECIMENTO E ASSENTAMENTO. AF_01/2023</v>
          </cell>
          <cell r="D4361" t="str">
            <v>M</v>
          </cell>
          <cell r="E4361">
            <v>0</v>
          </cell>
        </row>
        <row r="4362">
          <cell r="B4362">
            <v>104507</v>
          </cell>
          <cell r="C4362" t="str">
            <v>ADUELA/ GALERIA ABERTA PRE-MOLDADA DE CONCRETO ARMADO, SECAO QUADRANGULAR INTERNA DE 2,50 X 2,50 M (L X A), MISULA DE 20 X 20 CM, C = 1,00 M, ESPESSURA MIN = 15 CM, TB-45 E FCK DO CONCRETO = 30 MPA FORNECIMENTO E ASSENTAMENTO. AF_01/2023</v>
          </cell>
          <cell r="D4362" t="str">
            <v>M</v>
          </cell>
          <cell r="E4362">
            <v>0</v>
          </cell>
        </row>
        <row r="4363">
          <cell r="B4363">
            <v>104508</v>
          </cell>
          <cell r="C4363" t="str">
            <v>ADUELA/ GALERIA ABERTA PRE-MOLDADA DE CONCRETO ARMADO, SECAO QUADRANGULAR INTERNA DE 2,50 X 2,50 M (L X A), MISULA DE 20 X 20 CM, C = 1,00 M, ESPESSURA MIN = 20 CM, TB-45 E FCK DO CONCRETO = 30 MPA FORNECIMENTO E ASSENTAMENTO. AF_01/2023</v>
          </cell>
          <cell r="D4363" t="str">
            <v>M</v>
          </cell>
          <cell r="E4363">
            <v>0</v>
          </cell>
        </row>
        <row r="4364">
          <cell r="B4364">
            <v>104509</v>
          </cell>
          <cell r="C4364" t="str">
            <v>ADUELA/ GALERIA ABERTA PRE-MOLDADA DE CONCRETO ARMADO, SECAO QUADRANGULAR INTERNA DE 2,50 X 2,50 M (L X A), MISULA DE 20 X 20 CM, C = 1,00 M, ESPESSURA MIN = 25 CM, TB-45 E FCK DO CONCRETO = 30 MPA FORNECIMENTO E ASSENTAMENTO. AF_01/2023</v>
          </cell>
          <cell r="D4364" t="str">
            <v>M</v>
          </cell>
          <cell r="E4364">
            <v>0</v>
          </cell>
        </row>
        <row r="4365">
          <cell r="B4365">
            <v>104512</v>
          </cell>
          <cell r="C4365" t="str">
            <v>ADUELA/ GALERIA ABERTA PRE-MOLDADA DE CONCRETO ARMADO, SECAO QUADRANGULAR INTERNA DE 3,00 X 3,00 M (L X A), MISULA DE 20 X 20 CM, C = 1,00 M, ESPESSURA MIN = 20 CM, TB-45 E FCK DO CONCRETO = 30 MPA FORNECIMENTO E ASSENTAMENTO. AF_01/2023</v>
          </cell>
          <cell r="D4365" t="str">
            <v>M</v>
          </cell>
          <cell r="E4365">
            <v>0</v>
          </cell>
        </row>
        <row r="4366">
          <cell r="B4366">
            <v>104513</v>
          </cell>
          <cell r="C4366" t="str">
            <v>ADUELA/ GALERIA ABERTA PRE-MOLDADA DE CONCRETO ARMADO, SECAO QUADRANGULAR INTERNA DE 3,00 X 3,00 M (L X A), MISULA DE 20 X 20 CM, C = 1,00 M, ESPESSURA MIN = 25 CM, TB-45 E FCK DO CONCRETO = 30 MPA FORNECIMENTO E ASSENTAMENTO. AF_01/2023</v>
          </cell>
          <cell r="D4366" t="str">
            <v>M</v>
          </cell>
          <cell r="E4366">
            <v>0</v>
          </cell>
        </row>
        <row r="4367">
          <cell r="B4367">
            <v>104514</v>
          </cell>
          <cell r="C4367" t="str">
            <v>ADUELA/ GALERIA ABERTA PRE-MOLDADA DE CONCRETO ARMADO, SECAO QUADRANGULAR INTERNA DE 3,00 X 3,00 M (L X A), MISULA DE 20 X 20 CM, C = 1,00 M, ESPESSURA MIN = 35 CM, TB-45 E FCK DO CONCRETO = 30 MPA FORNECIMENTO E ASSENTAMENTO. AF_01/2023</v>
          </cell>
          <cell r="D4367" t="str">
            <v>M</v>
          </cell>
          <cell r="E4367">
            <v>0</v>
          </cell>
        </row>
        <row r="4368">
          <cell r="B4368">
            <v>104501</v>
          </cell>
          <cell r="C4368" t="str">
            <v>ADUELA/ GALERIA ABERTA PRE-MOLDADA DE CONCRETO ARMADO, SECAO RETANGULAR INTERNA DE 2,00 X 1,50 M (L X A), MISULA DE 20 X 20 CM, C = 1,00 M, ESPESSURA MIN = 20 CM, TB-45 E FCK DO CONCRETO = 30 MPA FORNECIMENTO E ASSENTAMENTO. AF_01/2023</v>
          </cell>
          <cell r="D4368" t="str">
            <v>M</v>
          </cell>
          <cell r="E4368">
            <v>0</v>
          </cell>
        </row>
        <row r="4369">
          <cell r="B4369">
            <v>104502</v>
          </cell>
          <cell r="C4369" t="str">
            <v>ADUELA/ GALERIA ABERTA PRE-MOLDADA DE CONCRETO ARMADO, SECAO RETANGULAR INTERNA DE 2,50 X 1,50 M (L X A), MISULA DE 20 X 20 CM, C = 1,00 M, ESPESSURA MIN = 15 CM, TB-45 E FCK DO CONCRETO = 30 MPA FORNECIMENTO E ASSENTAMENTO. AF_01/2023</v>
          </cell>
          <cell r="D4369" t="str">
            <v>M</v>
          </cell>
          <cell r="E4369">
            <v>0</v>
          </cell>
        </row>
        <row r="4370">
          <cell r="B4370">
            <v>104505</v>
          </cell>
          <cell r="C4370" t="str">
            <v>ADUELA/ GALERIA ABERTA PRE-MOLDADA DE CONCRETO ARMADO, SECAO RETANGULAR INTERNA DE 2,50 X 2,00 M (L X A), MISULA DE 20 X 20 CM, C = 1,00 M, ESPESSURA MIN = 15 CM, TB-45 E FCK DO CONCRETO = 30 MPA FORNECIMENTO E ASSENTAMENTO. AF_01/2023</v>
          </cell>
          <cell r="D4370" t="str">
            <v>M</v>
          </cell>
          <cell r="E4370">
            <v>0</v>
          </cell>
        </row>
        <row r="4371">
          <cell r="B4371">
            <v>104506</v>
          </cell>
          <cell r="C4371" t="str">
            <v>ADUELA/ GALERIA ABERTA PRE-MOLDADA DE CONCRETO ARMADO, SECAO RETANGULAR INTERNA DE 2,50 X 2,00 M (L X A), MISULA DE 20 X 20 CM, C = 1,00 M, ESPESSURA MIN = 20 CM, TB-45 E FCK DO CONCRETO = 30 MPA FORNECIMENTO E ASSENTAMENTO. AF_01/2023</v>
          </cell>
          <cell r="D4371" t="str">
            <v>M</v>
          </cell>
          <cell r="E4371">
            <v>0</v>
          </cell>
        </row>
        <row r="4372">
          <cell r="B4372">
            <v>104510</v>
          </cell>
          <cell r="C4372" t="str">
            <v>ADUELA/ GALERIA ABERTA PRE-MOLDADA DE CONCRETO ARMADO, SECAO RETANGULAR INTERNA DE 3,00 X 2,00 M (L X A), MISULA DE 20 X 20 CM, C = 1,00 M, ESPESSURA MIN = 15 CM, TB-45 E FCK DO CONCRETO = 30 MPA FORNECIMENTO E ASSENTAMENTO. AF_01/2023</v>
          </cell>
          <cell r="D4372" t="str">
            <v>M</v>
          </cell>
          <cell r="E4372">
            <v>0</v>
          </cell>
        </row>
        <row r="4373">
          <cell r="B4373">
            <v>104511</v>
          </cell>
          <cell r="C4373" t="str">
            <v>ADUELA/ GALERIA ABERTA PRE-MOLDADA DE CONCRETO ARMADO, SECAO RETANGULAR INTERNA DE 3,00 X 2,00 M (L X A), MISULA DE 20 X 20 CM, C = 1,00 M, ESPESSURA MIN = 20 CM, TB-45 E FCK DO CONCRETO = 30 MPA FORNECIMENTO E ASSENTAMENTO. AF_01/2023</v>
          </cell>
          <cell r="D4373" t="str">
            <v>M</v>
          </cell>
          <cell r="E4373">
            <v>0</v>
          </cell>
        </row>
        <row r="4374">
          <cell r="B4374">
            <v>104491</v>
          </cell>
          <cell r="C4374" t="str">
            <v>ADUELA/ GALERIA FECHADA PRE-MOLDADA DE CONCRETO ARMADO, SECAO QUADRANGULAR INTERNA DE 1,50 X 1,50 M (L X A), MISULA DE 20 X 20 CM, C = 1,00 M, ESPESSURA MIN = 15 CM, TB-45 E FCK DO CONCRETO = 30 MPA FORNECIMENTO E ASSENTAMENTO. AF_01/2023</v>
          </cell>
          <cell r="D4374" t="str">
            <v>M</v>
          </cell>
          <cell r="E4374">
            <v>4603.1499999999996</v>
          </cell>
          <cell r="F4374">
            <v>0</v>
          </cell>
        </row>
        <row r="4375">
          <cell r="B4375">
            <v>104492</v>
          </cell>
          <cell r="C4375" t="str">
            <v>ADUELA/ GALERIA FECHADA PRE-MOLDADA DE CONCRETO ARMADO, SECAO QUADRANGULAR INTERNA DE 2,00 X 2,00 M (L X A), MISULA DE 20 X 20 CM, C = 1,00 M, ESPESSURA MIN = 15 CM, TB-45 E FCK DO CONCRETO = 30 MPA FORNECIMENTO E ASSENTAMENTO. AF_01/2023</v>
          </cell>
          <cell r="D4375" t="str">
            <v>M</v>
          </cell>
          <cell r="E4375">
            <v>5756.2</v>
          </cell>
          <cell r="F4375">
            <v>0</v>
          </cell>
        </row>
        <row r="4376">
          <cell r="B4376">
            <v>104493</v>
          </cell>
          <cell r="C4376" t="str">
            <v>ADUELA/ GALERIA FECHADA PRE-MOLDADA DE CONCRETO ARMADO, SECAO QUADRANGULAR INTERNA DE 2,00 X 2,00 M (L X A), MISULA DE 20 X 20 CM, C = 1,00 M, ESPESSURA MIN = 20 CM, TB-45 E FCK DO CONCRETO = 30 MPA FORNECIMENTO E ASSENTAMENTO. AF_01/2023</v>
          </cell>
          <cell r="D4376" t="str">
            <v>M</v>
          </cell>
          <cell r="E4376">
            <v>0</v>
          </cell>
        </row>
        <row r="4377">
          <cell r="B4377">
            <v>104494</v>
          </cell>
          <cell r="C4377" t="str">
            <v>ADUELA/ GALERIA FECHADA PRE-MOLDADA DE CONCRETO ARMADO, SECAO QUADRANGULAR INTERNA DE 2,50 X 2,50 M (L X A), MISULA DE 20 X 20 CM, C = 1,00 M, ESPESSURA MIN = 15 CM, TB-45 E FCK DO CONCRETO = 30 MPA FORNECIMENTO E ASSENTAMENTO. AF_01/2023</v>
          </cell>
          <cell r="D4377" t="str">
            <v>M</v>
          </cell>
          <cell r="E4377">
            <v>7773.69</v>
          </cell>
          <cell r="F4377">
            <v>0</v>
          </cell>
        </row>
        <row r="4378">
          <cell r="B4378">
            <v>104495</v>
          </cell>
          <cell r="C4378" t="str">
            <v>ADUELA/ GALERIA FECHADA PRE-MOLDADA DE CONCRETO ARMADO, SECAO QUADRANGULAR INTERNA DE 2,50 X 2,50 M (L X A), MISULA DE 20 X 20 CM, C = 1,00 M, ESPESSURA MIN = 20 CM, TB-45 E FCK DO CONCRETO = 30 MPA FORNECIMENTO E ASSENTAMENTO. AF_01/2023</v>
          </cell>
          <cell r="D4378" t="str">
            <v>M</v>
          </cell>
          <cell r="E4378">
            <v>0</v>
          </cell>
        </row>
        <row r="4379">
          <cell r="B4379">
            <v>104496</v>
          </cell>
          <cell r="C4379" t="str">
            <v>ADUELA/ GALERIA FECHADA PRE-MOLDADA DE CONCRETO ARMADO, SECAO QUADRANGULAR INTERNA DE 2,50 X 2,50 M (L X A), MISULA DE 20 X 20 CM, C = 1,00 M, ESPESSURA MIN = 25 CM, TB-45 E FCK DO CONCRETO = 30 MPA FORNECIMENTO E ASSENTAMENTO. AF_01/2023</v>
          </cell>
          <cell r="D4379" t="str">
            <v>M</v>
          </cell>
          <cell r="E4379">
            <v>0</v>
          </cell>
        </row>
        <row r="4380">
          <cell r="B4380">
            <v>104497</v>
          </cell>
          <cell r="C4380" t="str">
            <v>ADUELA/ GALERIA FECHADA PRE-MOLDADA DE CONCRETO ARMADO, SECAO QUADRANGULAR INTERNA DE 3,00 X 3,00 M (L X A), MISULA DE 20 X 20 CM, C = 1,00 M, ESPESSURA MIN = 20 CM, TB-45 E FCK DO CONCRETO = 30 MPA FORNECIMENTO E ASSENTAMENTO. AF_01/2023</v>
          </cell>
          <cell r="D4380" t="str">
            <v>M</v>
          </cell>
          <cell r="E4380">
            <v>9306.14</v>
          </cell>
          <cell r="F4380">
            <v>0</v>
          </cell>
        </row>
        <row r="4381">
          <cell r="B4381">
            <v>104498</v>
          </cell>
          <cell r="C4381" t="str">
            <v>ADUELA/ GALERIA FECHADA PRE-MOLDADA DE CONCRETO ARMADO, SECAO QUADRANGULAR INTERNA DE 3,00 X 3,00 M (L X A), MISULA DE 20 X 20 CM, C = 1,00 M, ESPESSURA MIN = 25 CM, TB-45 E FCK DO CONCRETO = 30 MPA FORNECIMENTO E ASSENTAMENTO. AF_01/2023</v>
          </cell>
          <cell r="D4381" t="str">
            <v>M</v>
          </cell>
          <cell r="E4381">
            <v>0</v>
          </cell>
        </row>
        <row r="4382">
          <cell r="B4382">
            <v>104499</v>
          </cell>
          <cell r="C4382" t="str">
            <v>ADUELA/ GALERIA FECHADA PRE-MOLDADA DE CONCRETO ARMADO, SECAO QUADRANGULAR INTERNA DE 3,00 X 3,00 M (L X A), MISULA DE 20 X 20 CM, C = 1,00 M, ESPESSURA MIN = 35 CM, TB-45 E FCK DO CONCRETO = 30 MPA FORNECIMENTO E ASSENTAMENTO. AF_01/2023</v>
          </cell>
          <cell r="D4382" t="str">
            <v>M</v>
          </cell>
          <cell r="E4382">
            <v>0</v>
          </cell>
        </row>
        <row r="4383">
          <cell r="B4383">
            <v>104515</v>
          </cell>
          <cell r="C4383" t="str">
            <v>APLICAÇÃO DE MANTA GEOTÊXTIL NAS JUNTAS RÍGIDAS DE ADUELAS PRÉ-MOLDADAS DE CONCRETO ARMADO. AF_01/2023</v>
          </cell>
          <cell r="D4383" t="str">
            <v>M2</v>
          </cell>
          <cell r="E4383">
            <v>25.57</v>
          </cell>
          <cell r="F4383">
            <v>0</v>
          </cell>
        </row>
        <row r="4384">
          <cell r="B4384">
            <v>106549</v>
          </cell>
          <cell r="C4384" t="str">
            <v>EXECUÇÃO DE GEODRENO VERTICAL, PROFUNDIDADE MAIOR QUE 10 M E MENOR OU IGUAL A 30 M. AF_01/2026</v>
          </cell>
          <cell r="D4384" t="str">
            <v>M</v>
          </cell>
          <cell r="E4384">
            <v>0</v>
          </cell>
        </row>
        <row r="4385">
          <cell r="B4385">
            <v>106548</v>
          </cell>
          <cell r="C4385" t="str">
            <v>EXECUÇÃO DE GEODRENO VERTICAL, PROFUNDIDADE MENOR OU IGUAL A 10 M. AF_01/2026</v>
          </cell>
          <cell r="D4385" t="str">
            <v>M</v>
          </cell>
          <cell r="E4385">
            <v>0</v>
          </cell>
        </row>
        <row r="4386">
          <cell r="B4386">
            <v>106550</v>
          </cell>
          <cell r="C4386" t="str">
            <v>EXECUÇÃO DE PRÉ-FURO PARA GEODRENO VERTICAL. AF_01/2026</v>
          </cell>
          <cell r="D4386" t="str">
            <v>M</v>
          </cell>
          <cell r="E4386">
            <v>4.99</v>
          </cell>
          <cell r="F4386">
            <v>0</v>
          </cell>
        </row>
        <row r="4387">
          <cell r="B4387">
            <v>87430</v>
          </cell>
          <cell r="C4387" t="str">
            <v>APLICAÇÃO DE GESSO PROJETADO COM EQUIPAMENTO DE PROJEÇÃO EM PAREDES, DESEMPENADO (SEM TALISCAS), ESPESSURA DE 0,5CM. AF_03/2023</v>
          </cell>
          <cell r="D4387" t="str">
            <v>M2</v>
          </cell>
          <cell r="E4387">
            <v>23.04</v>
          </cell>
          <cell r="F4387">
            <v>0</v>
          </cell>
        </row>
        <row r="4388">
          <cell r="B4388">
            <v>87433</v>
          </cell>
          <cell r="C4388" t="str">
            <v>APLICAÇÃO DE GESSO PROJETADO COM EQUIPAMENTO DE PROJEÇÃO EM PAREDES, DESEMPENADO (SEM TALISCAS), ESPESSURA DE 1,0CM. AF_03/2023</v>
          </cell>
          <cell r="D4388" t="str">
            <v>M2</v>
          </cell>
          <cell r="E4388">
            <v>32.700000000000003</v>
          </cell>
          <cell r="F4388">
            <v>0</v>
          </cell>
        </row>
        <row r="4389">
          <cell r="B4389">
            <v>87436</v>
          </cell>
          <cell r="C4389" t="str">
            <v>APLICAÇÃO DE GESSO PROJETADO COM EQUIPAMENTO DE PROJEÇÃO EM PAREDES, SARRAFEADO (COM TALISCAS), ESPESSURA DE 1,0CM. AF_03/2023</v>
          </cell>
          <cell r="D4389" t="str">
            <v>M2</v>
          </cell>
          <cell r="E4389">
            <v>37.64</v>
          </cell>
          <cell r="F4389">
            <v>0</v>
          </cell>
        </row>
        <row r="4390">
          <cell r="B4390">
            <v>87439</v>
          </cell>
          <cell r="C4390" t="str">
            <v>APLICAÇÃO DE GESSO PROJETADO COM EQUIPAMENTO DE PROJEÇÃO EM PAREDES, SARRAFEADO (COM TALISCAS), ESPESSURA DE 1,5CM. AF_03/2023</v>
          </cell>
          <cell r="D4390" t="str">
            <v>M2</v>
          </cell>
          <cell r="E4390">
            <v>45.85</v>
          </cell>
          <cell r="F4390">
            <v>0</v>
          </cell>
        </row>
        <row r="4391">
          <cell r="B4391">
            <v>104633</v>
          </cell>
          <cell r="C4391" t="str">
            <v>APLICAÇÃO MANUAL DE GESSO DESEMPENADO (SEM TALISCAS) EM PAREDES COM PÉ DIREITO DUPLO, ESPESSURA DE 0,5CM. AF_03/2023</v>
          </cell>
          <cell r="D4391" t="str">
            <v>M2</v>
          </cell>
          <cell r="E4391">
            <v>32.200000000000003</v>
          </cell>
          <cell r="F4391">
            <v>0</v>
          </cell>
        </row>
        <row r="4392">
          <cell r="B4392">
            <v>104634</v>
          </cell>
          <cell r="C4392" t="str">
            <v>APLICAÇÃO MANUAL DE GESSO DESEMPENADO (SEM TALISCAS) EM PAREDES COM PÉ DIREITO DUPLO, ESPESSURA DE 1,0CM. AF_03/2023</v>
          </cell>
          <cell r="D4392" t="str">
            <v>M2</v>
          </cell>
          <cell r="E4392">
            <v>46.77</v>
          </cell>
          <cell r="F4392">
            <v>0</v>
          </cell>
        </row>
        <row r="4393">
          <cell r="B4393">
            <v>87418</v>
          </cell>
          <cell r="C4393" t="str">
            <v>APLICAÇÃO MANUAL DE GESSO DESEMPENADO (SEM TALISCAS) EM PAREDES, ESPESSURA DE 0,5CM. AF_03/2023</v>
          </cell>
          <cell r="D4393" t="str">
            <v>M2</v>
          </cell>
          <cell r="E4393">
            <v>22.72</v>
          </cell>
          <cell r="F4393">
            <v>0</v>
          </cell>
        </row>
        <row r="4394">
          <cell r="B4394">
            <v>87421</v>
          </cell>
          <cell r="C4394" t="str">
            <v>APLICAÇÃO MANUAL DE GESSO DESEMPENADO (SEM TALISCAS) EM PAREDES, ESPESSURA DE 1,0CM. AF_03/2023</v>
          </cell>
          <cell r="D4394" t="str">
            <v>M2</v>
          </cell>
          <cell r="E4394">
            <v>34.15</v>
          </cell>
          <cell r="F4394">
            <v>0</v>
          </cell>
        </row>
        <row r="4395">
          <cell r="B4395">
            <v>104628</v>
          </cell>
          <cell r="C4395" t="str">
            <v>APLICAÇÃO MANUAL DE GESSO DESEMPENADO (SEM TALISCAS) EM TETO DE AMBIENTES COM PAREDES EM PÉ DIREITO DUPLO E ÁREA ENTRE 5M² E 10M², ESPESSURA DE 0,5CM. AF_03/2023</v>
          </cell>
          <cell r="D4395" t="str">
            <v>M2</v>
          </cell>
          <cell r="E4395">
            <v>36.840000000000003</v>
          </cell>
          <cell r="F4395">
            <v>0</v>
          </cell>
        </row>
        <row r="4396">
          <cell r="B4396">
            <v>104631</v>
          </cell>
          <cell r="C4396" t="str">
            <v>APLICAÇÃO MANUAL DE GESSO DESEMPENADO (SEM TALISCAS) EM TETO DE AMBIENTES COM PAREDES EM PÉ DIREITO DUPLO E ÁREA ENTRE 5M² E 10M², ESPESSURA DE 1,0CM. AF_03/2023</v>
          </cell>
          <cell r="D4396" t="str">
            <v>M2</v>
          </cell>
          <cell r="E4396">
            <v>49.27</v>
          </cell>
          <cell r="F4396">
            <v>0</v>
          </cell>
        </row>
        <row r="4397">
          <cell r="B4397">
            <v>104627</v>
          </cell>
          <cell r="C4397" t="str">
            <v>APLICAÇÃO MANUAL DE GESSO DESEMPENADO (SEM TALISCAS) EM TETO DE AMBIENTES COM PAREDES EM PÉ DIREITO DUPLO E ÁREA MAIOR QUE 10M², ESPESSURA DE 0,5CM. AF_03/2023</v>
          </cell>
          <cell r="D4397" t="str">
            <v>M2</v>
          </cell>
          <cell r="E4397">
            <v>22.7</v>
          </cell>
          <cell r="F4397">
            <v>0</v>
          </cell>
        </row>
        <row r="4398">
          <cell r="B4398">
            <v>104630</v>
          </cell>
          <cell r="C4398" t="str">
            <v>APLICAÇÃO MANUAL DE GESSO DESEMPENADO (SEM TALISCAS) EM TETO DE AMBIENTES COM PAREDES EM PÉ DIREITO DUPLO E ÁREA MAIOR QUE 10M², ESPESSURA DE 1,0CM. AF_03/2023</v>
          </cell>
          <cell r="D4398" t="str">
            <v>M2</v>
          </cell>
          <cell r="E4398">
            <v>35.130000000000003</v>
          </cell>
          <cell r="F4398">
            <v>0</v>
          </cell>
        </row>
        <row r="4399">
          <cell r="B4399">
            <v>104629</v>
          </cell>
          <cell r="C4399" t="str">
            <v>APLICAÇÃO MANUAL DE GESSO DESEMPENADO (SEM TALISCAS) EM TETO DE AMBIENTES COM PAREDES EM PÉ DIREITO DUPLO E ÁREA MENOR QUE 5M², ESPESSURA DE 0,5CM. AF_03/2023</v>
          </cell>
          <cell r="D4399" t="str">
            <v>M2</v>
          </cell>
          <cell r="E4399">
            <v>44.97</v>
          </cell>
          <cell r="F4399">
            <v>0</v>
          </cell>
        </row>
        <row r="4400">
          <cell r="B4400">
            <v>104632</v>
          </cell>
          <cell r="C4400" t="str">
            <v>APLICAÇÃO MANUAL DE GESSO DESEMPENADO (SEM TALISCAS) EM TETO DE AMBIENTES COM PAREDES EM PÉ DIREITO DUPLO E ÁREA MENOR QUE 5M², ESPESSURA DE 1,0CM. AF_03/2023</v>
          </cell>
          <cell r="D4400" t="str">
            <v>M2</v>
          </cell>
          <cell r="E4400">
            <v>57.39</v>
          </cell>
          <cell r="F4400">
            <v>0</v>
          </cell>
        </row>
        <row r="4401">
          <cell r="B4401">
            <v>87412</v>
          </cell>
          <cell r="C4401" t="str">
            <v>APLICAÇÃO MANUAL DE GESSO DESEMPENADO (SEM TALISCAS) EM TETO DE AMBIENTES DE ÁREA ENTRE 5M² E 10M², ESPESSURA DE 0,5CM. AF_03/2023</v>
          </cell>
          <cell r="D4401" t="str">
            <v>M2</v>
          </cell>
          <cell r="E4401">
            <v>30.16</v>
          </cell>
          <cell r="F4401">
            <v>0</v>
          </cell>
        </row>
        <row r="4402">
          <cell r="B4402">
            <v>87415</v>
          </cell>
          <cell r="C4402" t="str">
            <v>APLICAÇÃO MANUAL DE GESSO DESEMPENADO (SEM TALISCAS) EM TETO DE AMBIENTES DE ÁREA ENTRE 5M² E 10M², ESPESSURA DE 1,0CM. AF_03/2023</v>
          </cell>
          <cell r="D4402" t="str">
            <v>M2</v>
          </cell>
          <cell r="E4402">
            <v>41.1</v>
          </cell>
          <cell r="F4402">
            <v>0</v>
          </cell>
        </row>
        <row r="4403">
          <cell r="B4403">
            <v>87411</v>
          </cell>
          <cell r="C4403" t="str">
            <v>APLICAÇÃO MANUAL DE GESSO DESEMPENADO (SEM TALISCAS) EM TETO DE AMBIENTES DE ÁREA MAIOR QUE 10M², ESPESSURA DE 0,5CM. AF_03/2023</v>
          </cell>
          <cell r="D4403" t="str">
            <v>M2</v>
          </cell>
          <cell r="E4403">
            <v>19.27</v>
          </cell>
          <cell r="F4403">
            <v>0</v>
          </cell>
        </row>
        <row r="4404">
          <cell r="B4404">
            <v>87414</v>
          </cell>
          <cell r="C4404" t="str">
            <v>APLICAÇÃO MANUAL DE GESSO DESEMPENADO (SEM TALISCAS) EM TETO DE AMBIENTES DE ÁREA MAIOR QUE 10M², ESPESSURA DE 1,0CM. AF_03/2023</v>
          </cell>
          <cell r="D4404" t="str">
            <v>M2</v>
          </cell>
          <cell r="E4404">
            <v>30.2</v>
          </cell>
          <cell r="F4404">
            <v>0</v>
          </cell>
        </row>
        <row r="4405">
          <cell r="B4405">
            <v>87413</v>
          </cell>
          <cell r="C4405" t="str">
            <v>APLICAÇÃO MANUAL DE GESSO DESEMPENADO (SEM TALISCAS) EM TETO DE AMBIENTES DE ÁREA MENOR QUE 5M², ESPESSURA DE 0,5CM. AF_03/2023</v>
          </cell>
          <cell r="D4405" t="str">
            <v>M2</v>
          </cell>
          <cell r="E4405">
            <v>36.43</v>
          </cell>
          <cell r="F4405">
            <v>0</v>
          </cell>
        </row>
        <row r="4406">
          <cell r="B4406">
            <v>87416</v>
          </cell>
          <cell r="C4406" t="str">
            <v>APLICAÇÃO MANUAL DE GESSO DESEMPENADO (SEM TALISCAS) EM TETO DE AMBIENTES DE ÁREA MENOR QUE 5M², ESPESSURA DE 1,0CM. AF_03/2023</v>
          </cell>
          <cell r="D4406" t="str">
            <v>M2</v>
          </cell>
          <cell r="E4406">
            <v>47.36</v>
          </cell>
          <cell r="F4406">
            <v>0</v>
          </cell>
        </row>
        <row r="4407">
          <cell r="B4407">
            <v>104635</v>
          </cell>
          <cell r="C4407" t="str">
            <v>APLICAÇÃO MANUAL DE GESSO SARRAFEADO (COM TALISCAS) EM PAREDES COM PÉ DIREITO DUPLO, ESPESSURA DE 1,0CM. AF_03/2023</v>
          </cell>
          <cell r="D4407" t="str">
            <v>M2</v>
          </cell>
          <cell r="E4407">
            <v>66.47</v>
          </cell>
          <cell r="F4407">
            <v>0</v>
          </cell>
        </row>
        <row r="4408">
          <cell r="B4408">
            <v>104636</v>
          </cell>
          <cell r="C4408" t="str">
            <v>APLICAÇÃO MANUAL DE GESSO SARRAFEADO (COM TALISCAS) EM PAREDES COM PÉ DIREITO DUPLO, ESPESSURA DE 1,5CM. AF_03/2023</v>
          </cell>
          <cell r="D4408" t="str">
            <v>M2</v>
          </cell>
          <cell r="E4408">
            <v>76.62</v>
          </cell>
          <cell r="F4408">
            <v>0</v>
          </cell>
        </row>
        <row r="4409">
          <cell r="B4409">
            <v>87424</v>
          </cell>
          <cell r="C4409" t="str">
            <v>APLICAÇÃO MANUAL DE GESSO SARRAFEADO (COM TALISCAS) EM PAREDES, ESPESSURA DE 1,0CM. AF_03/2023</v>
          </cell>
          <cell r="D4409" t="str">
            <v>M2</v>
          </cell>
          <cell r="E4409">
            <v>46.32</v>
          </cell>
          <cell r="F4409">
            <v>0</v>
          </cell>
        </row>
        <row r="4410">
          <cell r="B4410">
            <v>87427</v>
          </cell>
          <cell r="C4410" t="str">
            <v>APLICAÇÃO MANUAL DE GESSO SARRAFEADO (COM TALISCAS) EM PAREDES, ESPESSURA DE 1,5CM. AF_03/2023</v>
          </cell>
          <cell r="D4410" t="str">
            <v>M2</v>
          </cell>
          <cell r="E4410">
            <v>54.3</v>
          </cell>
          <cell r="F4410">
            <v>0</v>
          </cell>
        </row>
        <row r="4411">
          <cell r="B4411">
            <v>89998</v>
          </cell>
          <cell r="C4411" t="str">
            <v>ARMAÇÃO DE CINTA DE ALVENARIA ESTRUTURAL; DIÂMETRO DE 10,0 MM. AF_09/2021</v>
          </cell>
          <cell r="D4411" t="str">
            <v>KG</v>
          </cell>
          <cell r="E4411">
            <v>9.0399999999999991</v>
          </cell>
          <cell r="F4411">
            <v>0</v>
          </cell>
        </row>
        <row r="4412">
          <cell r="B4412">
            <v>102920</v>
          </cell>
          <cell r="C4412" t="str">
            <v>ARMAÇÃO DE CINTA DE ALVENARIA ESTRUTURAL; DIÂMETRO DE 12,5 MM. AF_09/2021</v>
          </cell>
          <cell r="D4412" t="str">
            <v>KG</v>
          </cell>
          <cell r="E4412">
            <v>7.2</v>
          </cell>
          <cell r="F4412">
            <v>0</v>
          </cell>
        </row>
        <row r="4413">
          <cell r="B4413">
            <v>102923</v>
          </cell>
          <cell r="C4413" t="str">
            <v>ARMAÇÃO DE CINTA DE ALVENARIA ESTRUTURAL; DIÂMETRO DE 16,0 MM. AF_09/2021</v>
          </cell>
          <cell r="D4413" t="str">
            <v>KG</v>
          </cell>
          <cell r="E4413">
            <v>6.5</v>
          </cell>
          <cell r="F4413">
            <v>0</v>
          </cell>
        </row>
        <row r="4414">
          <cell r="B4414">
            <v>90000</v>
          </cell>
          <cell r="C4414" t="str">
            <v>ARMAÇÃO DE VERGA E CONTRAVERGA DE ALVENARIA ESTRUTURAL; DIÂMETRO DE 10,0 MM. AF_09/2021</v>
          </cell>
          <cell r="D4414" t="str">
            <v>KG</v>
          </cell>
          <cell r="E4414">
            <v>12.87</v>
          </cell>
          <cell r="F4414">
            <v>0</v>
          </cell>
        </row>
        <row r="4415">
          <cell r="B4415">
            <v>103088</v>
          </cell>
          <cell r="C4415" t="str">
            <v>ARMAÇÃO DE VERGA E CONTRAVERGA DE ALVENARIA ESTRUTURAL; DIÂMETRO DE 12,5 MM. AF_09/2021</v>
          </cell>
          <cell r="D4415" t="str">
            <v>KG</v>
          </cell>
          <cell r="E4415">
            <v>9.65</v>
          </cell>
          <cell r="F4415">
            <v>0</v>
          </cell>
        </row>
        <row r="4416">
          <cell r="B4416">
            <v>102922</v>
          </cell>
          <cell r="C4416" t="str">
            <v>ARMAÇÃO DE VERGA E CONTRAVERGA DE ALVENARIA ESTRUTURAL; DIÂMETRO DE 16,0 MM. AF_09/2021</v>
          </cell>
          <cell r="D4416" t="str">
            <v>KG</v>
          </cell>
          <cell r="E4416">
            <v>7.99</v>
          </cell>
          <cell r="F4416">
            <v>0</v>
          </cell>
        </row>
        <row r="4417">
          <cell r="B4417">
            <v>89999</v>
          </cell>
          <cell r="C4417" t="str">
            <v>ARMAÇÃO DE VERGA E CONTRAVERGA DE ALVENARIA ESTRUTURAL; DIÂMETRO DE 8,0 MM. AF_09/2021</v>
          </cell>
          <cell r="D4417" t="str">
            <v>KG</v>
          </cell>
          <cell r="E4417">
            <v>16.989999999999998</v>
          </cell>
          <cell r="F4417">
            <v>0</v>
          </cell>
        </row>
        <row r="4418">
          <cell r="B4418">
            <v>89996</v>
          </cell>
          <cell r="C4418" t="str">
            <v>ARMAÇÃO VERTICAL DE ALVENARIA ESTRUTURAL; DIÂMETRO DE 10,0 MM. AF_09/2021</v>
          </cell>
          <cell r="D4418" t="str">
            <v>KG</v>
          </cell>
          <cell r="E4418">
            <v>9.7899999999999991</v>
          </cell>
          <cell r="F4418">
            <v>0</v>
          </cell>
        </row>
        <row r="4419">
          <cell r="B4419">
            <v>89997</v>
          </cell>
          <cell r="C4419" t="str">
            <v>ARMAÇÃO VERTICAL DE ALVENARIA ESTRUTURAL; DIÂMETRO DE 12,5 MM. AF_09/2021</v>
          </cell>
          <cell r="D4419" t="str">
            <v>KG</v>
          </cell>
          <cell r="E4419">
            <v>7.68</v>
          </cell>
          <cell r="F4419">
            <v>0</v>
          </cell>
        </row>
        <row r="4420">
          <cell r="B4420">
            <v>102921</v>
          </cell>
          <cell r="C4420" t="str">
            <v>ARMAÇÃO VERTICAL DE ALVENARIA ESTRUTURAL; DIÂMETRO DE 16,0 MM. AF_09/2021</v>
          </cell>
          <cell r="D4420" t="str">
            <v>KG</v>
          </cell>
          <cell r="E4420">
            <v>6.78</v>
          </cell>
          <cell r="F4420">
            <v>0</v>
          </cell>
        </row>
        <row r="4421">
          <cell r="B4421">
            <v>90278</v>
          </cell>
          <cell r="C4421" t="str">
            <v>GRAUTE FGK=15 MPA; TRAÇO 1:0,04:2,2:2,5 (EM MASSA SECA DE CIMENTO/CAL/AREIA GROSSA/BRITA 0) - PREPARO MECÂNICO COM BETONEIRA 400 L. AF_09/2021</v>
          </cell>
          <cell r="D4421" t="str">
            <v>M3</v>
          </cell>
          <cell r="E4421">
            <v>489.51</v>
          </cell>
          <cell r="F4421">
            <v>0</v>
          </cell>
        </row>
        <row r="4422">
          <cell r="B4422">
            <v>90282</v>
          </cell>
          <cell r="C4422" t="str">
            <v>GRAUTE FGK=15 MPA; TRAÇO 1:2,2:2,5:0,3 (EM MASSA SECA DE CIMENTO/ AREIA GROSSA/ BRITA 0/ ADITIVO) - PREPARO MECÂNICO COM BETONEIRA 400 L. AF_09/2021</v>
          </cell>
          <cell r="D4422" t="str">
            <v>M3</v>
          </cell>
          <cell r="E4422">
            <v>475.97</v>
          </cell>
          <cell r="F4422">
            <v>0</v>
          </cell>
        </row>
        <row r="4423">
          <cell r="B4423">
            <v>90279</v>
          </cell>
          <cell r="C4423" t="str">
            <v>GRAUTE FGK=20 MPA; TRAÇO 1:0,04:1,8:2,1 (EM MASSA SECA DE CIMENTO/ CAL/ AREIA GROSSA/ BRITA 0) - PREPARO MECÂNICO COM BETONEIRA 400 L. AF_09/2021</v>
          </cell>
          <cell r="D4423" t="str">
            <v>M3</v>
          </cell>
          <cell r="E4423">
            <v>542.39</v>
          </cell>
          <cell r="F4423">
            <v>0</v>
          </cell>
        </row>
        <row r="4424">
          <cell r="B4424">
            <v>90283</v>
          </cell>
          <cell r="C4424" t="str">
            <v>GRAUTE FGK=20 MPA; TRAÇO 1:1,8:2,1:0,4 (EM MASSA SECA DE CIMENTO/ AREIA GROSSA/ BRITA 0/ ADITIVO) - PREPARO MECÂNICO COM BETONEIRA 400 L. AF_09/2021</v>
          </cell>
          <cell r="D4424" t="str">
            <v>M3</v>
          </cell>
          <cell r="E4424">
            <v>528.33000000000004</v>
          </cell>
          <cell r="F4424">
            <v>0</v>
          </cell>
        </row>
        <row r="4425">
          <cell r="B4425">
            <v>90280</v>
          </cell>
          <cell r="C4425" t="str">
            <v>GRAUTE FGK=25 MPA; TRAÇO 1:0,02:1,3:1,6 (EM MASSA SECA DE CIMENTO/ CAL/ AREIA GROSSA/ BRITA 0) - PREPARO MECÂNICO COM BETONEIRA 400 L. AF_09/2021</v>
          </cell>
          <cell r="D4425" t="str">
            <v>M3</v>
          </cell>
          <cell r="E4425">
            <v>596.85</v>
          </cell>
          <cell r="F4425">
            <v>0</v>
          </cell>
        </row>
        <row r="4426">
          <cell r="B4426">
            <v>90284</v>
          </cell>
          <cell r="C4426" t="str">
            <v>GRAUTE FGK=25 MPA; TRAÇO 1:1,3:1,6:0,4 (EM MASSA SECA DE CIMENTO/ AREIA GROSSA/ BRITA 0/ ADITIVO) - PREPARO MECÂNICO COM BETONEIRA 400 L. AF_09/2021</v>
          </cell>
          <cell r="D4426" t="str">
            <v>M3</v>
          </cell>
          <cell r="E4426">
            <v>587.09</v>
          </cell>
          <cell r="F4426">
            <v>0</v>
          </cell>
        </row>
        <row r="4427">
          <cell r="B4427">
            <v>90281</v>
          </cell>
          <cell r="C4427" t="str">
            <v>GRAUTE FGK=30 MPA; TRAÇO 1:0,02:0,9:1,2 (EM MASSA SECA DE CIMENTO/ CAL/ AREIA GROSSA/ BRITA 0) - PREPARO MECÂNICO COM BETONEIRA 400 L. AF_09/2021</v>
          </cell>
          <cell r="D4427" t="str">
            <v>M3</v>
          </cell>
          <cell r="E4427">
            <v>687.52</v>
          </cell>
          <cell r="F4427">
            <v>0</v>
          </cell>
        </row>
        <row r="4428">
          <cell r="B4428">
            <v>90285</v>
          </cell>
          <cell r="C4428" t="str">
            <v>GRAUTE FGK=30 MPA; TRAÇO 1:0,9:1,2:0,6 (EM MASSA SECA DE CIMENTO/ AREIA GROSSA/ BRITA 0/ ADITIVO) - PREPARO MECÂNICO COM BETONEIRA 400 L. AF_09/2021</v>
          </cell>
          <cell r="D4428" t="str">
            <v>M3</v>
          </cell>
          <cell r="E4428">
            <v>683.24</v>
          </cell>
          <cell r="F4428">
            <v>0</v>
          </cell>
        </row>
        <row r="4429">
          <cell r="B4429">
            <v>89994</v>
          </cell>
          <cell r="C4429" t="str">
            <v>GRAUTEAMENTO DE CINTA INTERMEDIÁRIA OU DE CONTRAVERGA EM ALVENARIA ESTRUTURAL. AF_09/2021</v>
          </cell>
          <cell r="D4429" t="str">
            <v>M3</v>
          </cell>
          <cell r="E4429">
            <v>926.99</v>
          </cell>
          <cell r="F4429">
            <v>0</v>
          </cell>
        </row>
        <row r="4430">
          <cell r="B4430">
            <v>89995</v>
          </cell>
          <cell r="C4430" t="str">
            <v>GRAUTEAMENTO DE CINTA SUPERIOR OU DE VERGA EM ALVENARIA ESTRUTURAL. AF_09/2021</v>
          </cell>
          <cell r="D4430" t="str">
            <v>M3</v>
          </cell>
          <cell r="E4430">
            <v>1072.43</v>
          </cell>
          <cell r="F4430">
            <v>0</v>
          </cell>
        </row>
        <row r="4431">
          <cell r="B4431">
            <v>89993</v>
          </cell>
          <cell r="C4431" t="str">
            <v>GRAUTEAMENTO VERTICAL EM ALVENARIA ESTRUTURAL. AF_09/2021</v>
          </cell>
          <cell r="D4431" t="str">
            <v>M3</v>
          </cell>
          <cell r="E4431">
            <v>1122.4100000000001</v>
          </cell>
          <cell r="F4431">
            <v>0</v>
          </cell>
        </row>
        <row r="4432">
          <cell r="B4432">
            <v>106212</v>
          </cell>
          <cell r="C4432" t="str">
            <v>CORRIMÃO DUPLO CENTRAL FIXADO NO PISO EM AÇO GALVANIZADO DE 1.1/2", MONTANTES TUBULARES 1.1/2" ESPAÇADOS DE 1,00M, FIXADO COM CHUMBADOR MECÂNICO. AF_10/2025</v>
          </cell>
          <cell r="D4432" t="str">
            <v>M</v>
          </cell>
          <cell r="E4432">
            <v>0</v>
          </cell>
        </row>
        <row r="4433">
          <cell r="B4433">
            <v>106216</v>
          </cell>
          <cell r="C4433" t="str">
            <v>CORRIMÃO DUPLO CENTRAL FIXADO NO PISO EM AÇO INOX DE 1.1/2", MONTANTES TUBULARES 1.1/2" ESPAÇADOS DE 1,00M, FIXADO COM CHUMBADOR MECÂNICO. AF_10/2025</v>
          </cell>
          <cell r="D4433" t="str">
            <v>M</v>
          </cell>
          <cell r="E4433">
            <v>0</v>
          </cell>
        </row>
        <row r="4434">
          <cell r="B4434">
            <v>99860</v>
          </cell>
          <cell r="C4434" t="str">
            <v>CORRIMÃO DUPLO FIXADO EM PAREDE, DIÂMETRO EXTERNO = 1 1/2", EM ALUMÍNIO. AF_10/2025</v>
          </cell>
          <cell r="D4434" t="str">
            <v>M</v>
          </cell>
          <cell r="E4434">
            <v>0</v>
          </cell>
        </row>
        <row r="4435">
          <cell r="B4435">
            <v>99858</v>
          </cell>
          <cell r="C4435" t="str">
            <v>CORRIMÃO DUPLO FIXADO EM PAREDE, DIÂMETRO EXTERNO = 1 1/2", EM AÇO GALVANIZADO. AF_10/2025</v>
          </cell>
          <cell r="D4435" t="str">
            <v>M</v>
          </cell>
          <cell r="E4435">
            <v>0</v>
          </cell>
        </row>
        <row r="4436">
          <cell r="B4436">
            <v>99859</v>
          </cell>
          <cell r="C4436" t="str">
            <v>CORRIMÃO DUPLO FIXADO EM PAREDE, DIÂMETRO EXTERNO = 1 1/2", EM AÇO INOX. AF_10/2025</v>
          </cell>
          <cell r="D4436" t="str">
            <v>M</v>
          </cell>
          <cell r="E4436">
            <v>0</v>
          </cell>
        </row>
        <row r="4437">
          <cell r="B4437">
            <v>106211</v>
          </cell>
          <cell r="C4437" t="str">
            <v>CORRIMÃO DUPLO FIXADO NO PISO EM AÇO GALVANIZADO DE 1.1/2", MONTANTES TUBULARES 1.1/2" ESPAÇADOS DE 1,00M, FIXADO COM CHUMBADOR MECÂNICO. AF_10/2025</v>
          </cell>
          <cell r="D4437" t="str">
            <v>M</v>
          </cell>
          <cell r="E4437">
            <v>0</v>
          </cell>
        </row>
        <row r="4438">
          <cell r="B4438">
            <v>106215</v>
          </cell>
          <cell r="C4438" t="str">
            <v>CORRIMÃO DUPLO FIXADO NO PISO EM AÇO INOX DE 1.1/2", MONTANTES TUBULARES 1.1/2" ESPAÇADOS DE 1,00M, FIXADO COM CHUMBADOR MECÂNICO. AF_10/2025</v>
          </cell>
          <cell r="D4438" t="str">
            <v>M</v>
          </cell>
          <cell r="E4438">
            <v>0</v>
          </cell>
        </row>
        <row r="4439">
          <cell r="B4439">
            <v>99857</v>
          </cell>
          <cell r="C4439" t="str">
            <v>CORRIMÃO SIMPLES FIXADO EM PAREDE, DIÂMETRO EXTERNO = 1 1/2", EM ALUMÍNIO. AF_10/2025_PS</v>
          </cell>
          <cell r="D4439" t="str">
            <v>M</v>
          </cell>
          <cell r="E4439">
            <v>68.69</v>
          </cell>
          <cell r="F4439">
            <v>0</v>
          </cell>
        </row>
        <row r="4440">
          <cell r="B4440">
            <v>99855</v>
          </cell>
          <cell r="C4440" t="str">
            <v>CORRIMÃO SIMPLES FIXADO EM PAREDE, DIÂMETRO EXTERNO = 1 1/2", EM AÇO GALVANIZADO. AF_10/2025_PS</v>
          </cell>
          <cell r="D4440" t="str">
            <v>M</v>
          </cell>
          <cell r="E4440">
            <v>95.35</v>
          </cell>
          <cell r="F4440">
            <v>0</v>
          </cell>
        </row>
        <row r="4441">
          <cell r="B4441">
            <v>99856</v>
          </cell>
          <cell r="C4441" t="str">
            <v>CORRIMÃO SIMPLES FIXADO EM PAREDE, DIÂMETRO EXTERNO = 1 1/2", EM AÇO INOX. AF_10/2025</v>
          </cell>
          <cell r="D4441" t="str">
            <v>M</v>
          </cell>
          <cell r="E4441">
            <v>0</v>
          </cell>
        </row>
        <row r="4442">
          <cell r="B4442">
            <v>106210</v>
          </cell>
          <cell r="C4442" t="str">
            <v>CORRIMÃO SIMPLES FIXADO NO PISO EM AÇO GALVANIZADO DE 1.1/2", MONTANTES TUBULARES 1.1/2" ESPAÇADOS DE 1,00M, FIXADO COM CHUMBADOR MECÂNICO. AF_10/2025</v>
          </cell>
          <cell r="D4442" t="str">
            <v>M</v>
          </cell>
          <cell r="E4442">
            <v>0</v>
          </cell>
        </row>
        <row r="4443">
          <cell r="B4443">
            <v>106214</v>
          </cell>
          <cell r="C4443" t="str">
            <v>CORRIMÃO SIMPLES FIXADO NO PISO EM AÇO INOX DE 1.1/2", MONTANTES TUBULARES 1.1/2" ESPAÇADOS DE 1,00M, FIXADO COM CHUMBADOR MECÂNICO. AF_10/2025</v>
          </cell>
          <cell r="D4443" t="str">
            <v>M</v>
          </cell>
          <cell r="E4443">
            <v>0</v>
          </cell>
        </row>
        <row r="4444">
          <cell r="B4444">
            <v>99862</v>
          </cell>
          <cell r="C4444" t="str">
            <v>GRADIL EM ALUMÍNIO FIXADO EM VÃOS DE JANELAS, FORMADO POR TUBOS DE 3/4". AF_10/2025</v>
          </cell>
          <cell r="D4444" t="str">
            <v>M2</v>
          </cell>
          <cell r="E4444">
            <v>518.38</v>
          </cell>
          <cell r="F4444">
            <v>0</v>
          </cell>
        </row>
        <row r="4445">
          <cell r="B4445">
            <v>99861</v>
          </cell>
          <cell r="C4445" t="str">
            <v>GRADIL EM AÇO FIXADO EM VÃOS DE JANELAS, FORMADO POR BARRAS CHATAS DE 25X4,8 MM. AF_10/2025</v>
          </cell>
          <cell r="D4445" t="str">
            <v>M2</v>
          </cell>
          <cell r="E4445">
            <v>607.92999999999995</v>
          </cell>
          <cell r="F4445">
            <v>0</v>
          </cell>
        </row>
        <row r="4446">
          <cell r="B4446">
            <v>106213</v>
          </cell>
          <cell r="C4446" t="str">
            <v>GUARDA-CORPO DE AÇO GALVANIZADO 0,92 M, DUPLO CORRIMÃO, MONTANTES TUBULARES DE 1.1/4" ESPAÇADOS DE 1,20M, TRAVESSA SUPERIOR E CORRIMÃO DE 1.1/2", GRADIL FORMADO POR TUBOS HORIZONTAIS DE 3/4", FIXADO COM CHUMBADORES MECÂNICOS. AF_10/2025</v>
          </cell>
          <cell r="D4446" t="str">
            <v>M</v>
          </cell>
          <cell r="E4446">
            <v>0</v>
          </cell>
        </row>
        <row r="4447">
          <cell r="B4447">
            <v>106220</v>
          </cell>
          <cell r="C4447" t="str">
            <v>GUARDA-CORPO DE AÇO GALVANIZADO COMPLEMENTAR À ALVENARIA, 0,65 M DE ALTURA, MONTANTES TUBULARES DE 1 1/4" ESPAÇADOS DE 1,80 M, TRAVESSA SUPERIOR DE 1 1/2", GRADIL FORMADO POR TUBOS HORIZONTAIS DE 1" E VERTICAIS DE 3/4", FIXADO COM ADESIVO ESTRUTURAL EPÓXI. AF_10/2025</v>
          </cell>
          <cell r="D4447" t="str">
            <v>M</v>
          </cell>
          <cell r="E4447">
            <v>0</v>
          </cell>
        </row>
        <row r="4448">
          <cell r="B4448">
            <v>106221</v>
          </cell>
          <cell r="C4448" t="str">
            <v>GUARDA-CORPO DE AÇO GALVANIZADO COMPLEMENTAR À ALVENARIA, 0,65 M DE ALTURA, MONTANTES TUBULARES DE 1 1/4" ESPAÇADOS DE 1,80 M, TRAVESSA SUPERIOR DE 1 1/2", GRADIL FORMADO POR TUBOS HORIZONTAIS DE 3/4", FIXADO COM ADESIVO ESTRUTURAL EPÓXI. AF_10/2025</v>
          </cell>
          <cell r="D4448" t="str">
            <v>M</v>
          </cell>
          <cell r="E4448">
            <v>0</v>
          </cell>
        </row>
        <row r="4449">
          <cell r="B4449">
            <v>99853</v>
          </cell>
          <cell r="C4449" t="str">
            <v>GUARDA-CORPO DE AÇO GALVANIZADO DE 1,10M, DUPLO CORRIMÃO, MONTANTES TUBULARES DE 1.1/2" ESPAÇADOS DE 1,20M, TRAVESSA SUPERIOR DE 2", GRADIL DE BARRAS CHATAS DE 32X4,8MM, FIXADO COM ADESIVO ESTRUTURAL EPOXI. AF_10/2025</v>
          </cell>
          <cell r="D4449" t="str">
            <v>M</v>
          </cell>
          <cell r="E4449">
            <v>0</v>
          </cell>
        </row>
        <row r="4450">
          <cell r="B4450">
            <v>99851</v>
          </cell>
          <cell r="C4450" t="str">
            <v>GUARDA-CORPO DE AÇO GALVANIZADO DE 1,10M, DUPLO CORRIMÃO, MONTANTES TUBULARES DE 1.1/4" ESPAÇADOS DE 1,20M, TRAVESSA SUPERIOR DE 1.1/2", GRADIL EM TUBOS HORIZONTAIS DE 1" E VERTICAIS DE 3/4", FIXADO COM ADESIVO ESTRUTURAL EPOXI. AF_10/2025</v>
          </cell>
          <cell r="D4450" t="str">
            <v>M</v>
          </cell>
          <cell r="E4450">
            <v>0</v>
          </cell>
        </row>
        <row r="4451">
          <cell r="B4451">
            <v>99854</v>
          </cell>
          <cell r="C4451" t="str">
            <v>GUARDA-CORPO DE AÇO GALVANIZADO DE 1,10M, DUPLO CORRIMÃO, MONTANTES TUBULARES DE 100X50MM ESPAÇADOS DE 1,20M, TRAVESSA SUPERIOR DE 3", GRADIL EM CANTONEIRA 51X51X4,8 MM E BARRAS CHATAS NA VERTICAL DE 32X4,8 MM, FIXADO COM ADESIVO EPOXI. AF_10/2025</v>
          </cell>
          <cell r="D4451" t="str">
            <v>M</v>
          </cell>
          <cell r="E4451">
            <v>0</v>
          </cell>
        </row>
        <row r="4452">
          <cell r="B4452">
            <v>99852</v>
          </cell>
          <cell r="C4452" t="str">
            <v>GUARDA-CORPO DE AÇO GALVANIZADO DE 1,10M, DUPLO CORRIMÃO, MONTANTES TUBULARES DE 30X30 MM ESPAÇADOS DE 1,20M, TRAVESSA SUPERIOR DE 1.1/2", GRADIL EM TUBOS HORIZONTAIS DE 25X25MM E VERTICAIS DE 20X20MM, FIXADO COM ADESIVO ESTRUTURAL EPOXI. AF_10/2025</v>
          </cell>
          <cell r="D4452" t="str">
            <v>M</v>
          </cell>
          <cell r="E4452">
            <v>0</v>
          </cell>
        </row>
        <row r="4453">
          <cell r="B4453">
            <v>99844</v>
          </cell>
          <cell r="C4453" t="str">
            <v>GUARDA-CORPO DE AÇO GALVANIZADO DE 1,10M, MONTANTES TUBULARES DE 1.1/2" ESPAÇADOS 1,20M, TRAVESSA SUPERIOR DE 2", GRADIL FORMADO POR BARRAS CHATAS DE 32X4,8MM, FIXADO COM ADESIVO ESTRUTURAL EPOXI. AF_10/2025</v>
          </cell>
          <cell r="D4453" t="str">
            <v>M</v>
          </cell>
          <cell r="E4453">
            <v>0</v>
          </cell>
        </row>
        <row r="4454">
          <cell r="B4454">
            <v>99842</v>
          </cell>
          <cell r="C4454" t="str">
            <v>GUARDA-CORPO DE AÇO GALVANIZADO DE 1,10M, MONTANTES TUBULARES DE 1.1/4" ESPAÇADOS 1,20M, TRAVESSA SUPERIOR DE 1.1/2", GRADIL FORMADO POR TUBOS HORIZONTAIS DE 1" E VERTICAIS DE 3/4", FIXADO COM ADESIVO ESTRUTURAL EPOXI. AF_10/2025_PS</v>
          </cell>
          <cell r="D4454" t="str">
            <v>M</v>
          </cell>
          <cell r="E4454">
            <v>558.87</v>
          </cell>
          <cell r="F4454">
            <v>0</v>
          </cell>
        </row>
        <row r="4455">
          <cell r="B4455">
            <v>99845</v>
          </cell>
          <cell r="C4455" t="str">
            <v>GUARDA-CORPO DE AÇO GALVANIZADO DE 1,10M, MONTANTES TUBULARES DE 100X50MM ESPAÇADOS DE 1,20M, TRAVESSA SUPERIOR DE 3", GRADIL EM CANTONEIRA 51X51X4,8 MM E BARRAS CHATAS NA VERTICAL DE 32X4,8 MM, FIXADO COM ADESIVO ESTRUTURAL EPOXI. AF_10/2025</v>
          </cell>
          <cell r="D4455" t="str">
            <v>M</v>
          </cell>
          <cell r="E4455">
            <v>0</v>
          </cell>
        </row>
        <row r="4456">
          <cell r="B4456">
            <v>99843</v>
          </cell>
          <cell r="C4456" t="str">
            <v>GUARDA-CORPO DE AÇO GALVANIZADO DE 1,10M, MONTANTES TUBULARES DE 30X30 MM ESPAÇADOS 1,20M, TRAVESSA SUPERIOR DE 1.1/2", GRADIL DE TUBOS HORIZONTAIS DE 25X25MM E VERTICAIS DE 20X20MM, FIXADO COM ADESIVO ESTRUTURAL EPOXI. AF_10/2025</v>
          </cell>
          <cell r="D4456" t="str">
            <v>M</v>
          </cell>
          <cell r="E4456">
            <v>0</v>
          </cell>
        </row>
        <row r="4457">
          <cell r="B4457">
            <v>106217</v>
          </cell>
          <cell r="C4457" t="str">
            <v>GUARDA-CORPO DE AÇO INOX DE 0,92 M, DUPLO CORRIMÃO, MONTANTES TUBULARES DE 1.1/4" ESPAÇADOS DE 1,20M, TRAVESSA SUPERIOR E CORRIMÃO DE 1.1/2", GRADIL FORMADO POR TUBOS HORIZONTAIS DE 3/4", FIXADO COM CHUMBADORES MECÂNICOS. AF_10/2025</v>
          </cell>
          <cell r="D4457" t="str">
            <v>M</v>
          </cell>
          <cell r="E4457">
            <v>0</v>
          </cell>
        </row>
        <row r="4458">
          <cell r="B4458">
            <v>106218</v>
          </cell>
          <cell r="C4458" t="str">
            <v>GUARDA-CORPO DE VIDRO LAMINADO 8 MM PARA ESCADAS, FIXADO NA LATERAL DOS DEGRAUS COM CHUMBADOR MECÂNICO. AF_10/2025</v>
          </cell>
          <cell r="D4458" t="str">
            <v>M</v>
          </cell>
          <cell r="E4458">
            <v>0</v>
          </cell>
        </row>
        <row r="4459">
          <cell r="B4459">
            <v>106219</v>
          </cell>
          <cell r="C4459" t="str">
            <v>GUARDA-CORPO EM AÇO INOX DE 1,10 M, COM MONTANTES TUBULARES DE 1 1/4" ESPAÇADOS DE 1,20 M, TRAVESSA SUPERIOR DE 1 1/2", PREENCHIMENTO EM VIDRO LAMINADO DE 8 MM (4+4), FIXADO COM CHUMBADOR MECÂNICO. AF_10/2025</v>
          </cell>
          <cell r="D4459" t="str">
            <v>M</v>
          </cell>
          <cell r="E4459">
            <v>0</v>
          </cell>
        </row>
        <row r="4460">
          <cell r="B4460">
            <v>99846</v>
          </cell>
          <cell r="C4460" t="str">
            <v>GUARDA-CORPO PANORÂMICO DE 1,10M, MONTANTES EM ALUMÍNIO DE 90X45 MM ESPAÇADOS DE 1,20M, TRAVESSA SUPERIOR EM ALUMÍNIO DE 120X60 MM E VIDRO LAMINADO 8 MM, FIXADO COM ADESIVO ESTRUTURAL EPOXI. AF_10/2025</v>
          </cell>
          <cell r="D4460" t="str">
            <v>M</v>
          </cell>
          <cell r="E4460">
            <v>0</v>
          </cell>
        </row>
        <row r="4461">
          <cell r="B4461">
            <v>94276</v>
          </cell>
          <cell r="C4461" t="str">
            <v>ASSENTAMENTO DE GUIA (MEIO-FIO) EM TRECHO CURVO, CONFECCIONADA EM CONCRETO PRÉ-FABRICADO, DIMENSÕES 100X15X13X20 CM (COMPRIMENTO X BASE INFERIOR X BASE SUPERIOR X ALTURA). AF_01/2024</v>
          </cell>
          <cell r="D4461" t="str">
            <v>M</v>
          </cell>
          <cell r="E4461">
            <v>46.37</v>
          </cell>
          <cell r="F4461">
            <v>0</v>
          </cell>
        </row>
        <row r="4462">
          <cell r="B4462">
            <v>94274</v>
          </cell>
          <cell r="C4462" t="str">
            <v>ASSENTAMENTO DE GUIA (MEIO-FIO) EM TRECHO CURVO, CONFECCIONADA EM CONCRETO PRÉ-FABRICADO, DIMENSÕES 100X15X13X30 CM (COMPRIMENTO X BASE INFERIOR X BASE SUPERIOR X ALTURA). AF_01/2024</v>
          </cell>
          <cell r="D4462" t="str">
            <v>M</v>
          </cell>
          <cell r="E4462">
            <v>50.54</v>
          </cell>
          <cell r="F4462">
            <v>0</v>
          </cell>
        </row>
        <row r="4463">
          <cell r="B4463">
            <v>94280</v>
          </cell>
          <cell r="C4463" t="str">
            <v>ASSENTAMENTO DE GUIA (MEIO-FIO) EM TRECHO CURVO, CONFECCIONADA EM CONCRETO PRÉ-FABRICADO, DIMENSÕES 39X6,5X6,5X19 CM (COMPRIMENTO X BASE INFERIOR X BASE SUPERIOR X ALTURA), PARA DELIMITAÇÃO DE JARDINS, PRAÇAS OU PASSEIOS. AF_01/2024</v>
          </cell>
          <cell r="D4463" t="str">
            <v>M</v>
          </cell>
          <cell r="E4463">
            <v>48.17</v>
          </cell>
          <cell r="F4463">
            <v>0</v>
          </cell>
        </row>
        <row r="4464">
          <cell r="B4464">
            <v>94278</v>
          </cell>
          <cell r="C4464" t="str">
            <v>ASSENTAMENTO DE GUIA (MEIO-FIO) EM TRECHO CURVO, CONFECCIONADA EM CONCRETO PRÉ-FABRICADO, DIMENSÕES 80X08X08X25 CM (COMPRIMENTO X BASE INFERIOR X BASE SUPERIOR X ALTURA). AF_01/2024</v>
          </cell>
          <cell r="D4464" t="str">
            <v>M</v>
          </cell>
          <cell r="E4464">
            <v>41.59</v>
          </cell>
          <cell r="F4464">
            <v>0</v>
          </cell>
        </row>
        <row r="4465">
          <cell r="B4465">
            <v>94275</v>
          </cell>
          <cell r="C4465" t="str">
            <v>ASSENTAMENTO DE GUIA (MEIO-FIO) EM TRECHO RETO, CONFECCIONADA EM CONCRETO PRÉ-FABRICADO, DIMENSÕES 100X15X13X20 CM (COMPRIMENTO X BASE INFERIOR X BASE SUPERIOR X ALTURA). AF_01/2024</v>
          </cell>
          <cell r="D4465" t="str">
            <v>M</v>
          </cell>
          <cell r="E4465">
            <v>42.6</v>
          </cell>
          <cell r="F4465">
            <v>0</v>
          </cell>
        </row>
        <row r="4466">
          <cell r="B4466">
            <v>94273</v>
          </cell>
          <cell r="C4466" t="str">
            <v>ASSENTAMENTO DE GUIA (MEIO-FIO) EM TRECHO RETO, CONFECCIONADA EM CONCRETO PRÉ-FABRICADO, DIMENSÕES 100X15X13X30 CM (COMPRIMENTO X BASE INFERIOR X BASE SUPERIOR X ALTURA). AF_01/2024</v>
          </cell>
          <cell r="D4466" t="str">
            <v>M</v>
          </cell>
          <cell r="E4466">
            <v>46.77</v>
          </cell>
          <cell r="F4466">
            <v>0</v>
          </cell>
        </row>
        <row r="4467">
          <cell r="B4467">
            <v>94279</v>
          </cell>
          <cell r="C4467" t="str">
            <v>ASSENTAMENTO DE GUIA (MEIO-FIO) EM TRECHO RETO, CONFECCIONADA EM CONCRETO PRÉ-FABRICADO, DIMENSÕES 39X6,5X6,5X19 CM (COMPRIMENTO X BASE INFERIOR X BASE SUPERIOR X ALTURA), PARA DELIMITAÇÃO DE JARDINS, PRAÇAS OU PASSEIOS. AF_01/2024</v>
          </cell>
          <cell r="D4467" t="str">
            <v>M</v>
          </cell>
          <cell r="E4467">
            <v>44.4</v>
          </cell>
          <cell r="F4467">
            <v>0</v>
          </cell>
        </row>
        <row r="4468">
          <cell r="B4468">
            <v>94277</v>
          </cell>
          <cell r="C4468" t="str">
            <v>ASSENTAMENTO DE GUIA (MEIO-FIO) EM TRECHO RETO, CONFECCIONADA EM CONCRETO PRÉ-FABRICADO, DIMENSÕES 80X08X08X25 CM (COMPRIMENTO X BASE INFERIOR X BASE SUPERIOR X ALTURA). AF_01/2024</v>
          </cell>
          <cell r="D4468" t="str">
            <v>M</v>
          </cell>
          <cell r="E4468">
            <v>37.82</v>
          </cell>
          <cell r="F4468">
            <v>0</v>
          </cell>
        </row>
        <row r="4469">
          <cell r="B4469">
            <v>104930</v>
          </cell>
          <cell r="C4469" t="str">
            <v>ASSENTAMENTO DE GUIA (MEIO-FIO), TIPO PAVER (FINCADINHA) EM TRECHO RETO, EM CONCRETO PRÉ-FABRICADO, DIMENSÕES 45X08X608X19 CM (COMPRIMENTO X BASE INFERIOR X BASE SUPERIOR X ALTURA), PARA DELIMITAÇÃO DE JARDINS, PRAÇAS OU PASSEIOS. AF_01/2024</v>
          </cell>
          <cell r="D4469" t="str">
            <v>M</v>
          </cell>
          <cell r="E4469">
            <v>0</v>
          </cell>
        </row>
        <row r="4470">
          <cell r="B4470">
            <v>104931</v>
          </cell>
          <cell r="C4470" t="str">
            <v>ASSENTAMENTO DE GUIA (MEIO-FIO), TIPO PAVER, FINCADINHA, EM TRECHO CURVO, EM CONCRETO PRÉ-FABRICADO, DIMENSÕES 45X08X08X19 CM (COMPRIMENTO X BASE INFERIOR X BASE SUPERIOR X ALTURA), PARA DELIMITAÇÃO DE JARDINS, PRAÇAS OU PASSEIOS. AF_01/2024</v>
          </cell>
          <cell r="D4470" t="str">
            <v>M</v>
          </cell>
          <cell r="E4470">
            <v>0</v>
          </cell>
        </row>
        <row r="4471">
          <cell r="B4471">
            <v>94294</v>
          </cell>
          <cell r="C4471" t="str">
            <v>EXECUÇÃO DE ESCORAS DE CONCRETO PARA CONTENÇÃO DE GUIAS PRÉ-FABRICADAS. AF_01/2024</v>
          </cell>
          <cell r="D4471" t="str">
            <v>M</v>
          </cell>
          <cell r="E4471">
            <v>8.08</v>
          </cell>
          <cell r="F4471">
            <v>0</v>
          </cell>
        </row>
        <row r="4472">
          <cell r="B4472">
            <v>94288</v>
          </cell>
          <cell r="C4472" t="str">
            <v>EXECUÇÃO DE SARJETA DE CONCRETO USINADO, MOLDADA IN LOCO EM TRECHO CURVO, 30 CM BASE X 10 CM ALTURA. AF_01/2024</v>
          </cell>
          <cell r="D4472" t="str">
            <v>M</v>
          </cell>
          <cell r="E4472">
            <v>43.18</v>
          </cell>
          <cell r="F4472">
            <v>0</v>
          </cell>
        </row>
        <row r="4473">
          <cell r="B4473">
            <v>94282</v>
          </cell>
          <cell r="C4473" t="str">
            <v>EXECUÇÃO DE SARJETA DE CONCRETO USINADO, MOLDADA IN LOCO EM TRECHO CURVO, 30 CM BASE X 15 CM ALTURA. AF_01/2024</v>
          </cell>
          <cell r="D4473" t="str">
            <v>M</v>
          </cell>
          <cell r="E4473">
            <v>54.1</v>
          </cell>
          <cell r="F4473">
            <v>0</v>
          </cell>
        </row>
        <row r="4474">
          <cell r="B4474">
            <v>94290</v>
          </cell>
          <cell r="C4474" t="str">
            <v>EXECUÇÃO DE SARJETA DE CONCRETO USINADO, MOLDADA IN LOCO EM TRECHO CURVO, 45 CM BASE X 10 CM ALTURA. AF_01/2024</v>
          </cell>
          <cell r="D4474" t="str">
            <v>M</v>
          </cell>
          <cell r="E4474">
            <v>52.04</v>
          </cell>
          <cell r="F4474">
            <v>0</v>
          </cell>
        </row>
        <row r="4475">
          <cell r="B4475">
            <v>94284</v>
          </cell>
          <cell r="C4475" t="str">
            <v>EXECUÇÃO DE SARJETA DE CONCRETO USINADO, MOLDADA IN LOCO EM TRECHO CURVO, 45 CM BASE X 15 CM ALTURA. AF_01/2024</v>
          </cell>
          <cell r="D4475" t="str">
            <v>M</v>
          </cell>
          <cell r="E4475">
            <v>68.510000000000005</v>
          </cell>
          <cell r="F4475">
            <v>0</v>
          </cell>
        </row>
        <row r="4476">
          <cell r="B4476">
            <v>94292</v>
          </cell>
          <cell r="C4476" t="str">
            <v>EXECUÇÃO DE SARJETA DE CONCRETO USINADO, MOLDADA IN LOCO EM TRECHO CURVO, 60 CM BASE X 10 CM ALTURA. AF_01/2024</v>
          </cell>
          <cell r="D4476" t="str">
            <v>M</v>
          </cell>
          <cell r="E4476">
            <v>61.54</v>
          </cell>
          <cell r="F4476">
            <v>0</v>
          </cell>
        </row>
        <row r="4477">
          <cell r="B4477">
            <v>94286</v>
          </cell>
          <cell r="C4477" t="str">
            <v>EXECUÇÃO DE SARJETA DE CONCRETO USINADO, MOLDADA IN LOCO EM TRECHO CURVO, 60 CM BASE X 15 CM ALTURA. AF_01/2024</v>
          </cell>
          <cell r="D4477" t="str">
            <v>M</v>
          </cell>
          <cell r="E4477">
            <v>86.05</v>
          </cell>
          <cell r="F4477">
            <v>0</v>
          </cell>
        </row>
        <row r="4478">
          <cell r="B4478">
            <v>94287</v>
          </cell>
          <cell r="C4478" t="str">
            <v>EXECUÇÃO DE SARJETA DE CONCRETO USINADO, MOLDADA IN LOCO EM TRECHO RETO, 30 CM BASE X 10 CM ALTURA. AF_01/2024</v>
          </cell>
          <cell r="D4478" t="str">
            <v>M</v>
          </cell>
          <cell r="E4478">
            <v>34.31</v>
          </cell>
          <cell r="F4478">
            <v>0</v>
          </cell>
        </row>
        <row r="4479">
          <cell r="B4479">
            <v>94281</v>
          </cell>
          <cell r="C4479" t="str">
            <v>EXECUÇÃO DE SARJETA DE CONCRETO USINADO, MOLDADA IN LOCO EM TRECHO RETO, 30 CM BASE X 15 CM ALTURA. AF_01/2024</v>
          </cell>
          <cell r="D4479" t="str">
            <v>M</v>
          </cell>
          <cell r="E4479">
            <v>44.12</v>
          </cell>
          <cell r="F4479">
            <v>0</v>
          </cell>
        </row>
        <row r="4480">
          <cell r="B4480">
            <v>94289</v>
          </cell>
          <cell r="C4480" t="str">
            <v>EXECUÇÃO DE SARJETA DE CONCRETO USINADO, MOLDADA IN LOCO EM TRECHO RETO, 45 CM BASE X 10 CM ALTURA. AF_01/2024</v>
          </cell>
          <cell r="D4480" t="str">
            <v>M</v>
          </cell>
          <cell r="E4480">
            <v>43.16</v>
          </cell>
          <cell r="F4480">
            <v>0</v>
          </cell>
        </row>
        <row r="4481">
          <cell r="B4481">
            <v>94283</v>
          </cell>
          <cell r="C4481" t="str">
            <v>EXECUÇÃO DE SARJETA DE CONCRETO USINADO, MOLDADA IN LOCO EM TRECHO RETO, 45 CM BASE X 15 CM ALTURA. AF_01/2024</v>
          </cell>
          <cell r="D4481" t="str">
            <v>M</v>
          </cell>
          <cell r="E4481">
            <v>58.52</v>
          </cell>
          <cell r="F4481">
            <v>0</v>
          </cell>
        </row>
        <row r="4482">
          <cell r="B4482">
            <v>94291</v>
          </cell>
          <cell r="C4482" t="str">
            <v>EXECUÇÃO DE SARJETA DE CONCRETO USINADO, MOLDADA IN LOCO EM TRECHO RETO, 60 CM BASE X 10 CM ALTURA. AF_01/2024</v>
          </cell>
          <cell r="D4482" t="str">
            <v>M</v>
          </cell>
          <cell r="E4482">
            <v>52.66</v>
          </cell>
          <cell r="F4482">
            <v>0</v>
          </cell>
        </row>
        <row r="4483">
          <cell r="B4483">
            <v>94285</v>
          </cell>
          <cell r="C4483" t="str">
            <v>EXECUÇÃO DE SARJETA DE CONCRETO USINADO, MOLDADA IN LOCO EM TRECHO RETO, 60 CM BASE X 15 CM ALTURA. AF_01/2024</v>
          </cell>
          <cell r="D4483" t="str">
            <v>M</v>
          </cell>
          <cell r="E4483">
            <v>76.05</v>
          </cell>
          <cell r="F4483">
            <v>0</v>
          </cell>
        </row>
        <row r="4484">
          <cell r="B4484">
            <v>94293</v>
          </cell>
          <cell r="C4484" t="str">
            <v>EXECUÇÃO DE SARJETÃO DE CONCRETO USINADO, MOLDADA IN LOCO EM TRECHO RETO, 100 CM BASE X 20 CM ALTURA. AF_01/2024</v>
          </cell>
          <cell r="D4484" t="str">
            <v>M</v>
          </cell>
          <cell r="E4484">
            <v>170.48</v>
          </cell>
          <cell r="F4484">
            <v>0</v>
          </cell>
        </row>
        <row r="4485">
          <cell r="B4485">
            <v>94264</v>
          </cell>
          <cell r="C4485" t="str">
            <v>GUIA (MEIO-FIO) CONCRETO, MOLDADA IN LOCO EM TRECHO CURVO COM EXTRUSORA, 13 CM BASE X 22 CM ALTURA. AF_01/2024</v>
          </cell>
          <cell r="D4485" t="str">
            <v>M</v>
          </cell>
          <cell r="E4485">
            <v>44.75</v>
          </cell>
          <cell r="F4485">
            <v>0</v>
          </cell>
        </row>
        <row r="4486">
          <cell r="B4486">
            <v>94266</v>
          </cell>
          <cell r="C4486" t="str">
            <v>GUIA (MEIO-FIO) CONCRETO, MOLDADA IN LOCO EM TRECHO CURVO COM EXTRUSORA, 15 CM BASE X 30 CM ALTURA. AF_01/2024</v>
          </cell>
          <cell r="D4486" t="str">
            <v>M</v>
          </cell>
          <cell r="E4486">
            <v>57.19</v>
          </cell>
          <cell r="F4486">
            <v>0</v>
          </cell>
        </row>
        <row r="4487">
          <cell r="B4487">
            <v>94263</v>
          </cell>
          <cell r="C4487" t="str">
            <v>GUIA (MEIO-FIO) CONCRETO, MOLDADA IN LOCO EM TRECHO RETO COM EXTRUSORA, 13 CM BASE X 22 CM ALTURA. AF_01/2024</v>
          </cell>
          <cell r="D4487" t="str">
            <v>M</v>
          </cell>
          <cell r="E4487">
            <v>38.53</v>
          </cell>
          <cell r="F4487">
            <v>0</v>
          </cell>
        </row>
        <row r="4488">
          <cell r="B4488">
            <v>94265</v>
          </cell>
          <cell r="C4488" t="str">
            <v>GUIA (MEIO-FIO) CONCRETO, MOLDADA IN LOCO EM TRECHO RETO COM EXTRUSORA, 15 CM BASE X 30 CM ALTURA. AF_01/2024</v>
          </cell>
          <cell r="D4488" t="str">
            <v>M</v>
          </cell>
          <cell r="E4488">
            <v>50.08</v>
          </cell>
          <cell r="F4488">
            <v>0</v>
          </cell>
        </row>
        <row r="4489">
          <cell r="B4489">
            <v>94268</v>
          </cell>
          <cell r="C4489" t="str">
            <v>GUIA (MEIO-FIO) E SARJETA CONJUGADOS DE CONCRETO, MOLDADA IN LOCO EM TRECHO CURVO COM EXTRUSORA, 45 CM BASE (15 CM BASE DA GUIA + 30 CM BASE DA SARJETA) X 22 CM ALTURA. AF_01/2024</v>
          </cell>
          <cell r="D4489" t="str">
            <v>M</v>
          </cell>
          <cell r="E4489">
            <v>66.72</v>
          </cell>
          <cell r="F4489">
            <v>0</v>
          </cell>
        </row>
        <row r="4490">
          <cell r="B4490">
            <v>94270</v>
          </cell>
          <cell r="C4490" t="str">
            <v>GUIA (MEIO-FIO) E SARJETA CONJUGADOS DE CONCRETO, MOLDADA IN LOCO EM TRECHO CURVO COM EXTRUSORA, 60 CM BASE (15 CM BASE DA GUIA + 45 CM BASE DA SARJETA) X 26 CM ALTURA. AF_01/2024</v>
          </cell>
          <cell r="D4490" t="str">
            <v>M</v>
          </cell>
          <cell r="E4490">
            <v>93.44</v>
          </cell>
          <cell r="F4490">
            <v>0</v>
          </cell>
        </row>
        <row r="4491">
          <cell r="B4491">
            <v>94272</v>
          </cell>
          <cell r="C4491" t="str">
            <v>GUIA (MEIO-FIO) E SARJETA CONJUGADOS DE CONCRETO, MOLDADA IN LOCO EM TRECHO CURVO COM EXTRUSORA, 65 CM BASE (15 CM BASE DA GUIA + 50 CM BASE DA SARJETA) X 26 CM ALTURA. AF_01/2024</v>
          </cell>
          <cell r="D4491" t="str">
            <v>M</v>
          </cell>
          <cell r="E4491">
            <v>115.27</v>
          </cell>
          <cell r="F4491">
            <v>0</v>
          </cell>
        </row>
        <row r="4492">
          <cell r="B4492">
            <v>94267</v>
          </cell>
          <cell r="C4492" t="str">
            <v>GUIA (MEIO-FIO) E SARJETA CONJUGADOS DE CONCRETO, MOLDADA IN LOCO EM TRECHO RETO COM EXTRUSORA, 45 CM BASE (15 CM BASE DA GUIA + 30 CM BASE DA SARJETA) X 22 CM ALTURA. AF_01/2024</v>
          </cell>
          <cell r="D4492" t="str">
            <v>M</v>
          </cell>
          <cell r="E4492">
            <v>58.89</v>
          </cell>
          <cell r="F4492">
            <v>0</v>
          </cell>
        </row>
        <row r="4493">
          <cell r="B4493">
            <v>94269</v>
          </cell>
          <cell r="C4493" t="str">
            <v>GUIA (MEIO-FIO) E SARJETA CONJUGADOS DE CONCRETO, MOLDADA IN LOCO EM TRECHO RETO COM EXTRUSORA, 60 CM BASE (15 CM BASE DA GUIA + 45 CM BASE DA SARJETA) X 26 CM ALTURA. AF_01/2024</v>
          </cell>
          <cell r="D4493" t="str">
            <v>M</v>
          </cell>
          <cell r="E4493">
            <v>82.53</v>
          </cell>
          <cell r="F4493">
            <v>0</v>
          </cell>
        </row>
        <row r="4494">
          <cell r="B4494">
            <v>94271</v>
          </cell>
          <cell r="C4494" t="str">
            <v>GUIA (MEIO-FIO) E SARJETA CONJUGADOS DE CONCRETO, MOLDADA IN LOCO EM TRECHO RETO COM EXTRUSORA, 65 CM BASE (15 CM BASE DA GUIA + 50 CM BASE DA SARJETA) X 26 CM ALTURA. AF_01/2024</v>
          </cell>
          <cell r="D4494" t="str">
            <v>M</v>
          </cell>
          <cell r="E4494">
            <v>100.71</v>
          </cell>
          <cell r="F4494">
            <v>0</v>
          </cell>
        </row>
        <row r="4495">
          <cell r="B4495">
            <v>105555</v>
          </cell>
          <cell r="C4495" t="str">
            <v>BLOCO AUTÔNOMO DE ILUMINAÇÃO DE EMERGÊNCIA COM DOIS REFLETORES - FORNECIMENTO E INSTALAÇÃO. AF_09/2024</v>
          </cell>
          <cell r="D4495" t="str">
            <v>UN</v>
          </cell>
          <cell r="E4495">
            <v>0</v>
          </cell>
        </row>
        <row r="4496">
          <cell r="B4496">
            <v>97603</v>
          </cell>
          <cell r="C4496" t="str">
            <v>CÂMERA DE MONITORAMENTO COM ATÉ 25 METROS DE ALCANCE TIPO BULLET - FORNECIMENTO E INSTALAÇÃO. AF_09/2024</v>
          </cell>
          <cell r="D4496" t="str">
            <v>UN</v>
          </cell>
          <cell r="E4496">
            <v>0</v>
          </cell>
        </row>
        <row r="4497">
          <cell r="B4497">
            <v>97602</v>
          </cell>
          <cell r="C4497" t="str">
            <v>CÂMERA DE MONITORAMENTO COM ATÉ 25 METROS DE ALCANCE TIPO DOME - FORNECIMENTO E INSTALAÇÃO. AF_09/2024</v>
          </cell>
          <cell r="D4497" t="str">
            <v>UN</v>
          </cell>
          <cell r="E4497">
            <v>0</v>
          </cell>
        </row>
        <row r="4498">
          <cell r="B4498">
            <v>97604</v>
          </cell>
          <cell r="C4498" t="str">
            <v>CÂMERA DE MONITORAMENTO COM MAIS DE 25 METROS DE ALCANCE TIPO BULLET - FORNECIMENTO E INSTALAÇÃO. AF_09/2024</v>
          </cell>
          <cell r="D4498" t="str">
            <v>UN</v>
          </cell>
          <cell r="E4498">
            <v>0</v>
          </cell>
        </row>
        <row r="4499">
          <cell r="B4499">
            <v>105553</v>
          </cell>
          <cell r="C4499" t="str">
            <v>CÂMERA IP BULLET - FORNECIMENTO E INSTALAÇÃO. AF_09/2024</v>
          </cell>
          <cell r="D4499" t="str">
            <v>UN</v>
          </cell>
          <cell r="E4499">
            <v>0</v>
          </cell>
        </row>
        <row r="4500">
          <cell r="B4500">
            <v>105552</v>
          </cell>
          <cell r="C4500" t="str">
            <v>CÂMERA IP DOME RESOLUCAO 1MP - FORNECIMENTO E INSTALAÇÃO. AF_09/2024</v>
          </cell>
          <cell r="D4500" t="str">
            <v>UN</v>
          </cell>
          <cell r="E4500">
            <v>0</v>
          </cell>
        </row>
        <row r="4501">
          <cell r="B4501">
            <v>105550</v>
          </cell>
          <cell r="C4501" t="str">
            <v>CÂMERA IP SPEED DOME - FORNECIMENTO E INSTALAÇÃO. AF_09/2024</v>
          </cell>
          <cell r="D4501" t="str">
            <v>UN</v>
          </cell>
          <cell r="E4501">
            <v>0</v>
          </cell>
        </row>
        <row r="4502">
          <cell r="B4502">
            <v>105551</v>
          </cell>
          <cell r="C4502" t="str">
            <v>CÂMERA IP WIFI - FORNECIMENTO E INSTALAÇÃO. AF_09/2024</v>
          </cell>
          <cell r="D4502" t="str">
            <v>UN</v>
          </cell>
          <cell r="E4502">
            <v>0</v>
          </cell>
        </row>
        <row r="4503">
          <cell r="B4503">
            <v>105549</v>
          </cell>
          <cell r="C4503" t="str">
            <v>DRIVER SLIM PARA FITA LED - FORNECIMENTO E INSTALAÇÃO. AF_09/2024</v>
          </cell>
          <cell r="D4503" t="str">
            <v>UN</v>
          </cell>
          <cell r="E4503">
            <v>0</v>
          </cell>
        </row>
        <row r="4504">
          <cell r="B4504">
            <v>105547</v>
          </cell>
          <cell r="C4504" t="str">
            <v>FITA LED - FORNECIMENTO E INSTALAÇÃO. AF_09/2024</v>
          </cell>
          <cell r="D4504" t="str">
            <v>M</v>
          </cell>
          <cell r="E4504">
            <v>0</v>
          </cell>
        </row>
        <row r="4505">
          <cell r="B4505">
            <v>97605</v>
          </cell>
          <cell r="C4505" t="str">
            <v>LUMINÁRIA ARANDELA TIPO MEIA LUA, DE SOBREPOR, COM 1 LÂMPADA LED DE 6 W, SEM REATOR - FORNECIMENTO E INSTALAÇÃO. AF_09/2024</v>
          </cell>
          <cell r="D4505" t="str">
            <v>UN</v>
          </cell>
          <cell r="E4505">
            <v>83.86</v>
          </cell>
          <cell r="F4505">
            <v>0</v>
          </cell>
        </row>
        <row r="4506">
          <cell r="B4506">
            <v>97607</v>
          </cell>
          <cell r="C4506" t="str">
            <v>LUMINÁRIA ARANDELA TIPO TARTARUGA, DE SOBREPOR, COM 1 LÂMPADA LED DE 6 W, SEM REATOR - FORNECIMENTO E INSTALAÇÃO. AF_09/2024</v>
          </cell>
          <cell r="D4506" t="str">
            <v>UN</v>
          </cell>
          <cell r="E4506">
            <v>108.65</v>
          </cell>
          <cell r="F4506">
            <v>0</v>
          </cell>
        </row>
        <row r="4507">
          <cell r="B4507">
            <v>97599</v>
          </cell>
          <cell r="C4507" t="str">
            <v>LUMINÁRIA DE EMERGÊNCIA, COM 30 LÂMPADAS LED DE 2 W, SEM REATOR - FORNECIMENTO E INSTALAÇÃO. AF_09/2024</v>
          </cell>
          <cell r="D4507" t="str">
            <v>UN</v>
          </cell>
          <cell r="E4507">
            <v>20.14</v>
          </cell>
          <cell r="F4507">
            <v>0</v>
          </cell>
        </row>
        <row r="4508">
          <cell r="B4508">
            <v>105542</v>
          </cell>
          <cell r="C4508" t="str">
            <v>LUMINÁRIA LED DE EMBUTIR - QUADRADA 60X60CM, INCLUSO DRIVER - FORNECIMENTO E INSTALAÇÃO. AF_09/2024</v>
          </cell>
          <cell r="D4508" t="str">
            <v>UN</v>
          </cell>
          <cell r="E4508">
            <v>0</v>
          </cell>
        </row>
        <row r="4509">
          <cell r="B4509">
            <v>105543</v>
          </cell>
          <cell r="C4509" t="str">
            <v>LUMINÁRIA LED DE SOBREPOR - QUADRADA *60X60*CM, INCLUSO DRIVER - FORNECIMENTO E INSTALAÇÃO. AF_09/2024</v>
          </cell>
          <cell r="D4509" t="str">
            <v>UN</v>
          </cell>
          <cell r="E4509">
            <v>0</v>
          </cell>
        </row>
        <row r="4510">
          <cell r="B4510">
            <v>105544</v>
          </cell>
          <cell r="C4510" t="str">
            <v>LUMINÁRIA LED DE SOBREPOR HERMÉTICA - *60X15CM*, INCLUSO DRIVER - FORNECIMENTO E INSTALAÇÃO. AF_09/2024</v>
          </cell>
          <cell r="D4510" t="str">
            <v>UN</v>
          </cell>
          <cell r="E4510">
            <v>0</v>
          </cell>
        </row>
        <row r="4511">
          <cell r="B4511">
            <v>100913</v>
          </cell>
          <cell r="C4511" t="str">
            <v>LUMINÁRIA TIPO CALHA, DE EMBUTIR, COM 1 LÂMPADA TUBULAR LED DE 18 W, SEM REATOR - FORNECIMENTO E INSTALAÇÃO. AF_09/2024</v>
          </cell>
          <cell r="D4511" t="str">
            <v>UN</v>
          </cell>
          <cell r="E4511">
            <v>0</v>
          </cell>
        </row>
        <row r="4512">
          <cell r="B4512">
            <v>100916</v>
          </cell>
          <cell r="C4512" t="str">
            <v>LUMINÁRIA TIPO CALHA, DE EMBUTIR, COM 2 LÂMPADAS TUBULARES LED DE 18 W, SEM REATOR - FORNECIMENTO E INSTALAÇÃO. AF_09/2024</v>
          </cell>
          <cell r="D4512" t="str">
            <v>UN</v>
          </cell>
          <cell r="E4512">
            <v>0</v>
          </cell>
        </row>
        <row r="4513">
          <cell r="B4513">
            <v>100918</v>
          </cell>
          <cell r="C4513" t="str">
            <v>LUMINÁRIA TIPO CALHA, DE EMBUTIR, COM 2 LÂMPADAS TUBULARES LED DE 9 W, SEM REATOR - FORNECIMENTO E INSTALAÇÃO. AF_09/2024</v>
          </cell>
          <cell r="D4513" t="str">
            <v>UN</v>
          </cell>
          <cell r="E4513">
            <v>0</v>
          </cell>
        </row>
        <row r="4514">
          <cell r="B4514">
            <v>100914</v>
          </cell>
          <cell r="C4514" t="str">
            <v>LUMINÁRIA TIPO CALHA, DE EMBUTIR, PARA 1 LÂMPADA TUBULAR LED DE 36 W, SEM LÂMPADA E SEM REATOR - FORNECIMENTO E INSTALAÇÃO. AF_09/2024</v>
          </cell>
          <cell r="D4514" t="str">
            <v>UN</v>
          </cell>
          <cell r="E4514">
            <v>0</v>
          </cell>
        </row>
        <row r="4515">
          <cell r="B4515">
            <v>100917</v>
          </cell>
          <cell r="C4515" t="str">
            <v>LUMINÁRIA TIPO CALHA, DE EMBUTIR, PARA 2 LÂMPADAS TUBULARES LED DE 36 W, SEM LÂMPADA E SEM REATOR - FORNECIMENTO E INSTALAÇÃO. AF_09/2024</v>
          </cell>
          <cell r="D4515" t="str">
            <v>UN</v>
          </cell>
          <cell r="E4515">
            <v>0</v>
          </cell>
        </row>
        <row r="4516">
          <cell r="B4516">
            <v>100907</v>
          </cell>
          <cell r="C4516" t="str">
            <v>LUMINÁRIA TIPO CALHA, DE SOBREPOR, COM 1 LÂMPADA TUBULAR LED DE 18 W, SEM REATOR - FORNECIMENTO E INSTALAÇÃO. AF_09/2024</v>
          </cell>
          <cell r="D4516" t="str">
            <v>UN</v>
          </cell>
          <cell r="E4516">
            <v>0</v>
          </cell>
        </row>
        <row r="4517">
          <cell r="B4517">
            <v>102467</v>
          </cell>
          <cell r="C4517" t="str">
            <v>LUMINÁRIA TIPO CALHA, DE SOBREPOR, COM 1 LÂMPADA TUBULAR LED DE 9 W SEM REATOR - FORNECIMENTO E INSTALAÇÃO. AF_09/2024</v>
          </cell>
          <cell r="D4517" t="str">
            <v>UN</v>
          </cell>
          <cell r="E4517">
            <v>0</v>
          </cell>
        </row>
        <row r="4518">
          <cell r="B4518">
            <v>100910</v>
          </cell>
          <cell r="C4518" t="str">
            <v>LUMINÁRIA TIPO CALHA, DE SOBREPOR, COM 2 LÂMPADAS TUBULARES LED DE 18 W, SEM REATOR - FORNECIMENTO E INSTALAÇÃO. AF_09/2024</v>
          </cell>
          <cell r="D4518" t="str">
            <v>UN</v>
          </cell>
          <cell r="E4518">
            <v>0</v>
          </cell>
        </row>
        <row r="4519">
          <cell r="B4519">
            <v>105541</v>
          </cell>
          <cell r="C4519" t="str">
            <v>LUMINÁRIA TIPO CALHA, DE SOBREPOR, COM 2 LÂMPADAS TUBULARES LED DE 9 W SEM REATOR - FORNECIMENTO E INSTALAÇÃO. AF_09/2024</v>
          </cell>
          <cell r="D4519" t="str">
            <v>UN</v>
          </cell>
          <cell r="E4519">
            <v>0</v>
          </cell>
        </row>
        <row r="4520">
          <cell r="B4520">
            <v>100908</v>
          </cell>
          <cell r="C4520" t="str">
            <v>LUMINÁRIA TIPO CALHA, DE SOBREPOR, PARA 1 LÂMPADA TUBULAR LED DE 36 W, SEM LÂMPADA E SEM REATOR - FORNECIMENTO E INSTALAÇÃO. AF_09/2024</v>
          </cell>
          <cell r="D4520" t="str">
            <v>UN</v>
          </cell>
          <cell r="E4520">
            <v>0</v>
          </cell>
        </row>
        <row r="4521">
          <cell r="B4521">
            <v>100911</v>
          </cell>
          <cell r="C4521" t="str">
            <v>LUMINÁRIA TIPO CALHA, DE SOBREPOR, PARA 2 LÂMPADAS TUBULARES LED DE 36 W, SEM LÂMPADA E SEM REATOR - FORNECIMENTO E INSTALAÇÃO. AF_09/2024</v>
          </cell>
          <cell r="D4521" t="str">
            <v>UN</v>
          </cell>
          <cell r="E4521">
            <v>0</v>
          </cell>
        </row>
        <row r="4522">
          <cell r="B4522">
            <v>103782</v>
          </cell>
          <cell r="C4522" t="str">
            <v>LUMINÁRIA TIPO PLAFON CIRCULAR, DE SOBREPOR, COM LED DE 12/13 W - FORNECIMENTO E INSTALAÇÃO. AF_09/2024</v>
          </cell>
          <cell r="D4522" t="str">
            <v>UN</v>
          </cell>
          <cell r="E4522">
            <v>36.33</v>
          </cell>
          <cell r="F4522">
            <v>0</v>
          </cell>
        </row>
        <row r="4523">
          <cell r="B4523">
            <v>103786</v>
          </cell>
          <cell r="C4523" t="str">
            <v>LUMINÁRIA TIPO PLAFON QUADRADA, DE EMBUTIR, COM LED DE 12 W - FORNECIMENTO E INSTALAÇÃO. AF_09/2024</v>
          </cell>
          <cell r="D4523" t="str">
            <v>UN</v>
          </cell>
          <cell r="E4523">
            <v>0</v>
          </cell>
        </row>
        <row r="4524">
          <cell r="B4524">
            <v>103787</v>
          </cell>
          <cell r="C4524" t="str">
            <v>LUMINÁRIA TIPO PLAFON QUADRADA, DE EMBUTIR, COM LED DE 18 W - FORNECIMENTO E INSTALAÇÃO. AF_09/2024</v>
          </cell>
          <cell r="D4524" t="str">
            <v>UN</v>
          </cell>
          <cell r="E4524">
            <v>0</v>
          </cell>
        </row>
        <row r="4525">
          <cell r="B4525">
            <v>103788</v>
          </cell>
          <cell r="C4525" t="str">
            <v>LUMINÁRIA TIPO PLAFON QUADRADA, DE EMBUTIR, COM LED DE 24 W - FORNECIMENTO E INSTALAÇÃO. AF_09/2024</v>
          </cell>
          <cell r="D4525" t="str">
            <v>UN</v>
          </cell>
          <cell r="E4525">
            <v>0</v>
          </cell>
        </row>
        <row r="4526">
          <cell r="B4526">
            <v>103783</v>
          </cell>
          <cell r="C4526" t="str">
            <v>LUMINÁRIA TIPO PLAFON QUADRADA, DE SOBREPOR, COM LED DE 12 W - FORNECIMENTO E INSTALAÇÃO. AF_09/2024</v>
          </cell>
          <cell r="D4526" t="str">
            <v>UN</v>
          </cell>
          <cell r="E4526">
            <v>0</v>
          </cell>
        </row>
        <row r="4527">
          <cell r="B4527">
            <v>103784</v>
          </cell>
          <cell r="C4527" t="str">
            <v>LUMINÁRIA TIPO PLAFON QUADRADA, DE SOBREPOR, COM LED DE 18 W - FORNECIMENTO E INSTALAÇÃO. AF_09/2024</v>
          </cell>
          <cell r="D4527" t="str">
            <v>UN</v>
          </cell>
          <cell r="E4527">
            <v>0</v>
          </cell>
        </row>
        <row r="4528">
          <cell r="B4528">
            <v>103785</v>
          </cell>
          <cell r="C4528" t="str">
            <v>LUMINÁRIA TIPO PLAFON QUADRADA, DE SOBREPOR, COM LED DE 24 W - FORNECIMENTO E INSTALAÇÃO. AF_09/2024</v>
          </cell>
          <cell r="D4528" t="str">
            <v>UN</v>
          </cell>
          <cell r="E4528">
            <v>0</v>
          </cell>
        </row>
        <row r="4529">
          <cell r="B4529">
            <v>105546</v>
          </cell>
          <cell r="C4529" t="str">
            <v>LUMINÁRIA TIPO SPOT, DE EMBUTIR, COM 1 LÂMPADA LED PAR20 - FORNECIMENTO E INSTALAÇÃO. AF_09/2024</v>
          </cell>
          <cell r="D4529" t="str">
            <v>UN</v>
          </cell>
          <cell r="E4529">
            <v>0</v>
          </cell>
        </row>
        <row r="4530">
          <cell r="B4530">
            <v>105545</v>
          </cell>
          <cell r="C4530" t="str">
            <v>LUMINÁRIA TIPO SPOT, DE SOBREPOR, COM 1 LÂMPADA LED PAR20 - FORNECIMENTO E INSTALAÇÃO. AF_09/2024</v>
          </cell>
          <cell r="D4530" t="str">
            <v>UN</v>
          </cell>
          <cell r="E4530">
            <v>0</v>
          </cell>
        </row>
        <row r="4531">
          <cell r="B4531">
            <v>97610</v>
          </cell>
          <cell r="C4531" t="str">
            <v>LÂMPADA COMPACTA DE LED 10 W, BASE E27 - FORNECIMENTO E INSTALAÇÃO. AF_09/2024</v>
          </cell>
          <cell r="D4531" t="str">
            <v>UN</v>
          </cell>
          <cell r="E4531">
            <v>16.3</v>
          </cell>
          <cell r="F4531">
            <v>0</v>
          </cell>
        </row>
        <row r="4532">
          <cell r="B4532">
            <v>97609</v>
          </cell>
          <cell r="C4532" t="str">
            <v>LÂMPADA COMPACTA DE LED 6 W, BASE E27 - FORNECIMENTO E INSTALAÇÃO. AF_09/2024</v>
          </cell>
          <cell r="D4532" t="str">
            <v>UN</v>
          </cell>
          <cell r="E4532">
            <v>15.76</v>
          </cell>
          <cell r="F4532">
            <v>0</v>
          </cell>
        </row>
        <row r="4533">
          <cell r="B4533">
            <v>105554</v>
          </cell>
          <cell r="C4533" t="str">
            <v>LÂMPADA TUBULAR LED 9/10W SEM SOQUETE - FORNECIMENTO E INSTALAÇÃO. AF_09/2024</v>
          </cell>
          <cell r="D4533" t="str">
            <v>UN</v>
          </cell>
          <cell r="E4533">
            <v>18.809999999999999</v>
          </cell>
          <cell r="F4533">
            <v>0</v>
          </cell>
        </row>
        <row r="4534">
          <cell r="B4534">
            <v>100903</v>
          </cell>
          <cell r="C4534" t="str">
            <v>LÂMPADA TUBULAR LED DE 18/20 W, COM SOQUETE, BASE G13 - FORNECIMENTO E INSTALAÇÃO. AF_09/2024_PS</v>
          </cell>
          <cell r="D4534" t="str">
            <v>UN</v>
          </cell>
          <cell r="E4534">
            <v>36.42</v>
          </cell>
          <cell r="F4534">
            <v>0</v>
          </cell>
        </row>
        <row r="4535">
          <cell r="B4535">
            <v>100902</v>
          </cell>
          <cell r="C4535" t="str">
            <v>LÂMPADA TUBULAR LED DE 9/10 W, COM SOQUETE, BASE G13 - FORNECIMENTO E INSTALAÇÃO. AF_09/2024_PS</v>
          </cell>
          <cell r="D4535" t="str">
            <v>UN</v>
          </cell>
          <cell r="E4535">
            <v>34.03</v>
          </cell>
          <cell r="F4535">
            <v>0</v>
          </cell>
        </row>
        <row r="4536">
          <cell r="B4536">
            <v>105548</v>
          </cell>
          <cell r="C4536" t="str">
            <v>PERFIL COM FITA LED - FORNECIMENTO E INSTALAÇÃO. AF_09/2024</v>
          </cell>
          <cell r="D4536" t="str">
            <v>M</v>
          </cell>
          <cell r="E4536">
            <v>0</v>
          </cell>
        </row>
        <row r="4537">
          <cell r="B4537">
            <v>97595</v>
          </cell>
          <cell r="C4537" t="str">
            <v>SENSOR DE PRESENÇA COM FOTOCÉLULA, FIXAÇÃO EM PAREDE - FORNECIMENTO E INSTALAÇÃO. AF_09/2024</v>
          </cell>
          <cell r="D4537" t="str">
            <v>UN</v>
          </cell>
          <cell r="E4537">
            <v>105.72</v>
          </cell>
          <cell r="F4537">
            <v>0</v>
          </cell>
        </row>
        <row r="4538">
          <cell r="B4538">
            <v>97597</v>
          </cell>
          <cell r="C4538" t="str">
            <v>SENSOR DE PRESENÇA COM FOTOCÉLULA, FIXAÇÃO EM TETO - FORNECIMENTO E INSTALAÇÃO. AF_09/2024</v>
          </cell>
          <cell r="D4538" t="str">
            <v>UN</v>
          </cell>
          <cell r="E4538">
            <v>74.92</v>
          </cell>
          <cell r="F4538">
            <v>0</v>
          </cell>
        </row>
        <row r="4539">
          <cell r="B4539">
            <v>97596</v>
          </cell>
          <cell r="C4539" t="str">
            <v>SENSOR DE PRESENÇA SEM FOTOCÉLULA, FIXAÇÃO EM PAREDE - FORNECIMENTO E INSTALAÇÃO. AF_09/2024</v>
          </cell>
          <cell r="D4539" t="str">
            <v>UN</v>
          </cell>
          <cell r="E4539">
            <v>78.72</v>
          </cell>
          <cell r="F4539">
            <v>0</v>
          </cell>
        </row>
        <row r="4540">
          <cell r="B4540">
            <v>97598</v>
          </cell>
          <cell r="C4540" t="str">
            <v>SENSOR DE PRESENÇA SEM FOTOCÉLULA, FIXAÇÃO EM TETO - FORNECIMENTO E INSTALAÇÃO. AF_09/2024</v>
          </cell>
          <cell r="D4540" t="str">
            <v>UN</v>
          </cell>
          <cell r="E4540">
            <v>71.459999999999994</v>
          </cell>
          <cell r="F4540">
            <v>0</v>
          </cell>
        </row>
        <row r="4541">
          <cell r="B4541">
            <v>98549</v>
          </cell>
          <cell r="C4541" t="str">
            <v>IMPERMEABILIZAÇÃO COM MANTA ASFÁLTICA COLADA COM ASFALTO DERRETIDO, DUAS CAMADAS, E = 3MM E E=4MM. AF_09/2023</v>
          </cell>
          <cell r="D4541" t="str">
            <v>M2</v>
          </cell>
          <cell r="E4541">
            <v>0</v>
          </cell>
        </row>
        <row r="4542">
          <cell r="B4542">
            <v>98562</v>
          </cell>
          <cell r="C4542" t="str">
            <v>IMPERMEABILIZAÇÃO DE SUPERFÍCIE COM ARGAMASSA DE CIMENTO E AREIA, COM ADITIVO IMPERMEABILIZANTE, E = 1,5CM. AF_09/2023</v>
          </cell>
          <cell r="D4542" t="str">
            <v>M2</v>
          </cell>
          <cell r="E4542">
            <v>58.34</v>
          </cell>
          <cell r="F4542">
            <v>0</v>
          </cell>
        </row>
        <row r="4543">
          <cell r="B4543">
            <v>98555</v>
          </cell>
          <cell r="C4543" t="str">
            <v>IMPERMEABILIZAÇÃO DE SUPERFÍCIE COM ARGAMASSA POLIMÉRICA / MEMBRANA ACRÍLICA, 3 DEMÃOS. AF_09/2023</v>
          </cell>
          <cell r="D4543" t="str">
            <v>M2</v>
          </cell>
          <cell r="E4543">
            <v>36.74</v>
          </cell>
          <cell r="F4543">
            <v>0</v>
          </cell>
        </row>
        <row r="4544">
          <cell r="B4544">
            <v>98556</v>
          </cell>
          <cell r="C4544" t="str">
            <v>IMPERMEABILIZAÇÃO DE SUPERFÍCIE COM ARGAMASSA POLIMÉRICA / MEMBRANA ACRÍLICA, 4 DEMÃOS, REFORÇADA COM VÉU DE POLIÉSTER (MAV). AF_09/2023</v>
          </cell>
          <cell r="D4544" t="str">
            <v>M2</v>
          </cell>
          <cell r="E4544">
            <v>66.849999999999994</v>
          </cell>
          <cell r="F4544">
            <v>0</v>
          </cell>
        </row>
        <row r="4545">
          <cell r="B4545">
            <v>98557</v>
          </cell>
          <cell r="C4545" t="str">
            <v>IMPERMEABILIZAÇÃO DE SUPERFÍCIE COM EMULSÃO ASFÁLTICA, 2 DEMÃOS. AF_09/2023</v>
          </cell>
          <cell r="D4545" t="str">
            <v>M2</v>
          </cell>
          <cell r="E4545">
            <v>45.21</v>
          </cell>
          <cell r="F4545">
            <v>0</v>
          </cell>
        </row>
        <row r="4546">
          <cell r="B4546">
            <v>98548</v>
          </cell>
          <cell r="C4546" t="str">
            <v>IMPERMEABILIZAÇÃO DE SUPERFÍCIE COM MANTA ASFÁLTICA COLADA COM ASFALTO DERRETIDO, UMA CAMADA, E=4MM. AF_09/2023</v>
          </cell>
          <cell r="D4546" t="str">
            <v>M2</v>
          </cell>
          <cell r="E4546">
            <v>0</v>
          </cell>
        </row>
        <row r="4547">
          <cell r="B4547">
            <v>98547</v>
          </cell>
          <cell r="C4547" t="str">
            <v>IMPERMEABILIZAÇÃO DE SUPERFÍCIE COM MANTA ASFÁLTICA, DUAS CAMADAS, INCLUSIVE APLICAÇÃO DE PRIMER ASFÁLTICO, E=3MM E E=4MM. AF_09/2023</v>
          </cell>
          <cell r="D4547" t="str">
            <v>M2</v>
          </cell>
          <cell r="E4547">
            <v>221.52</v>
          </cell>
          <cell r="F4547">
            <v>0</v>
          </cell>
        </row>
        <row r="4548">
          <cell r="B4548">
            <v>98546</v>
          </cell>
          <cell r="C4548" t="str">
            <v>IMPERMEABILIZAÇÃO DE SUPERFÍCIE COM MANTA ASFÁLTICA, UMA CAMADA, INCLUSIVE APLICAÇÃO DE PRIMER ASFÁLTICO, E=4MM. AF_09/2023</v>
          </cell>
          <cell r="D4548" t="str">
            <v>M2</v>
          </cell>
          <cell r="E4548">
            <v>131.66</v>
          </cell>
          <cell r="F4548">
            <v>0</v>
          </cell>
        </row>
        <row r="4549">
          <cell r="B4549">
            <v>98552</v>
          </cell>
          <cell r="C4549" t="str">
            <v>IMPERMEABILIZAÇÃO DE SUPERFÍCIE COM MEMBRANA A BASE DE POLIURÉIA, 2 DEMÃOS. AF_09/2023</v>
          </cell>
          <cell r="D4549" t="str">
            <v>M2</v>
          </cell>
          <cell r="E4549">
            <v>0</v>
          </cell>
        </row>
        <row r="4550">
          <cell r="B4550">
            <v>98553</v>
          </cell>
          <cell r="C4550" t="str">
            <v>IMPERMEABILIZAÇÃO DE SUPERFÍCIE COM MEMBRANA À BASE DE POLIURETANO, 2 DEMÃOS. AF_09/2023</v>
          </cell>
          <cell r="D4550" t="str">
            <v>M2</v>
          </cell>
          <cell r="E4550">
            <v>176.25</v>
          </cell>
          <cell r="F4550">
            <v>0</v>
          </cell>
        </row>
        <row r="4551">
          <cell r="B4551">
            <v>98554</v>
          </cell>
          <cell r="C4551" t="str">
            <v>IMPERMEABILIZAÇÃO DE SUPERFÍCIE COM MEMBRANA À BASE DE RESINA ACRÍLICA, 3 DEMÃOS. AF_09/2023</v>
          </cell>
          <cell r="D4551" t="str">
            <v>M2</v>
          </cell>
          <cell r="E4551">
            <v>50.6</v>
          </cell>
          <cell r="F4551">
            <v>0</v>
          </cell>
        </row>
        <row r="4552">
          <cell r="B4552">
            <v>98565</v>
          </cell>
          <cell r="C4552" t="str">
            <v>PROTEÇÃO MECÂNICA DE SUPERFICIE HORIZONTAL COM ARGAMASSA DE CIMENTO E AREIA, TRAÇO 1:3, E=3CM. AF_09/2023</v>
          </cell>
          <cell r="D4552" t="str">
            <v>M2</v>
          </cell>
          <cell r="E4552">
            <v>61.53</v>
          </cell>
          <cell r="F4552">
            <v>0</v>
          </cell>
        </row>
        <row r="4553">
          <cell r="B4553">
            <v>98567</v>
          </cell>
          <cell r="C4553" t="str">
            <v>PROTEÇÃO MECÂNICA DE SUPERFICIE HORIZONTAL COM ARGAMASSA DE CIMENTO E AREIA, TRAÇO 1:3, E=4CM. AF_09/2023</v>
          </cell>
          <cell r="D4553" t="str">
            <v>M2</v>
          </cell>
          <cell r="E4553">
            <v>79.31</v>
          </cell>
          <cell r="F4553">
            <v>0</v>
          </cell>
        </row>
        <row r="4554">
          <cell r="B4554">
            <v>98569</v>
          </cell>
          <cell r="C4554" t="str">
            <v>PROTEÇÃO MECÂNICA DE SUPERFICIE HORIZONTAL COM ARGAMASSA DE CIMENTO E AREIA, TRAÇO 1:3, E=5CM. AF_09/2023</v>
          </cell>
          <cell r="D4554" t="str">
            <v>M2</v>
          </cell>
          <cell r="E4554">
            <v>97.95</v>
          </cell>
          <cell r="F4554">
            <v>0</v>
          </cell>
        </row>
        <row r="4555">
          <cell r="B4555">
            <v>98571</v>
          </cell>
          <cell r="C4555" t="str">
            <v>PROTEÇÃO MECÂNICA DE SUPERFICIE HORIZONTAL COM CONCRETO 15 MPA, E=4CM. AF_09/2023</v>
          </cell>
          <cell r="D4555" t="str">
            <v>M2</v>
          </cell>
          <cell r="E4555">
            <v>49.01</v>
          </cell>
          <cell r="F4555">
            <v>0</v>
          </cell>
        </row>
        <row r="4556">
          <cell r="B4556">
            <v>98572</v>
          </cell>
          <cell r="C4556" t="str">
            <v>PROTEÇÃO MECÂNICA DE SUPERFICIE HORIZONTAL COM CONCRETO 15 MPA, E=5CM. AF_09/2023</v>
          </cell>
          <cell r="D4556" t="str">
            <v>M2</v>
          </cell>
          <cell r="E4556">
            <v>60.29</v>
          </cell>
          <cell r="F4556">
            <v>0</v>
          </cell>
        </row>
        <row r="4557">
          <cell r="B4557">
            <v>98563</v>
          </cell>
          <cell r="C4557" t="str">
            <v>PROTEÇÃO MECÂNICA DE SUPERFÍCIE HORIZONTAL COM ARGAMASSA DE CIMENTO E AREIA, TRAÇO 1:3, E=2CM. AF_09/2023</v>
          </cell>
          <cell r="D4557" t="str">
            <v>M2</v>
          </cell>
          <cell r="E4557">
            <v>42.88</v>
          </cell>
          <cell r="F4557">
            <v>0</v>
          </cell>
        </row>
        <row r="4558">
          <cell r="B4558">
            <v>98564</v>
          </cell>
          <cell r="C4558" t="str">
            <v>PROTEÇÃO MECÂNICA DE SUPERFÍCIE VERTICAL COM ARGAMASSA DE CIMENTO E AREIA, TRAÇO 1:3, E=2CM. AF_09/2023</v>
          </cell>
          <cell r="D4558" t="str">
            <v>M2</v>
          </cell>
          <cell r="E4558">
            <v>57.23</v>
          </cell>
          <cell r="F4558">
            <v>0</v>
          </cell>
        </row>
        <row r="4559">
          <cell r="B4559">
            <v>98566</v>
          </cell>
          <cell r="C4559" t="str">
            <v>PROTEÇÃO MECÂNICA DE SUPERFÍCIE VERTICAL COM ARGAMASSA DE CIMENTO E AREIA, TRAÇO 1:3, E=3CM. AF_09/2023</v>
          </cell>
          <cell r="D4559" t="str">
            <v>M2</v>
          </cell>
          <cell r="E4559">
            <v>75.88</v>
          </cell>
          <cell r="F4559">
            <v>0</v>
          </cell>
        </row>
        <row r="4560">
          <cell r="B4560">
            <v>98568</v>
          </cell>
          <cell r="C4560" t="str">
            <v>PROTEÇÃO MECÂNICA DE SUPERFÍCIE VERTICAL COM ARGAMASSA DE CIMENTO E AREIA, TRAÇO 1:3, E=4CM. AF_09/2023</v>
          </cell>
          <cell r="D4560" t="str">
            <v>M2</v>
          </cell>
          <cell r="E4560">
            <v>93.66</v>
          </cell>
          <cell r="F4560">
            <v>0</v>
          </cell>
        </row>
        <row r="4561">
          <cell r="B4561">
            <v>98570</v>
          </cell>
          <cell r="C4561" t="str">
            <v>PROTEÇÃO MECÂNICA DE SUPERFÍCIE VERTICAL COM ARGAMASSA DE CIMENTO E AREIA, TRAÇO 1:3, E=5CM. AF_09/2023</v>
          </cell>
          <cell r="D4561" t="str">
            <v>M2</v>
          </cell>
          <cell r="E4561">
            <v>112.31</v>
          </cell>
          <cell r="F4561">
            <v>0</v>
          </cell>
        </row>
        <row r="4562">
          <cell r="B4562">
            <v>98573</v>
          </cell>
          <cell r="C4562" t="str">
            <v>PROTEÇÃO MECÂNICA DE SUPERFÍCIE VERTICAL COM CONCRETO 15 MPA, E=5CM. AF_09/2023</v>
          </cell>
          <cell r="D4562" t="str">
            <v>M2</v>
          </cell>
          <cell r="E4562">
            <v>73.89</v>
          </cell>
          <cell r="F4562">
            <v>0</v>
          </cell>
        </row>
        <row r="4563">
          <cell r="B4563">
            <v>98576</v>
          </cell>
          <cell r="C4563" t="str">
            <v>TRATAMENTO DE JUNTA DE DILATAÇÃO COM MANTA ASFÁLTICA ADERIDA COM MAÇARICO. AF_09/2023</v>
          </cell>
          <cell r="D4563" t="str">
            <v>M</v>
          </cell>
          <cell r="E4563">
            <v>23.63</v>
          </cell>
          <cell r="F4563">
            <v>0</v>
          </cell>
        </row>
        <row r="4564">
          <cell r="B4564">
            <v>98575</v>
          </cell>
          <cell r="C4564" t="str">
            <v>TRATAMENTO DE JUNTA DE DILATAÇÃO, COM TARUGO DE POLIETILENO E SELANTE PU, INCLUSO PREENCHIMENTO COM ESPUMA EXPANSIVA PU. AF_09/2023</v>
          </cell>
          <cell r="D4564" t="str">
            <v>M</v>
          </cell>
          <cell r="E4564">
            <v>80.790000000000006</v>
          </cell>
          <cell r="F4564">
            <v>0</v>
          </cell>
        </row>
        <row r="4565">
          <cell r="B4565">
            <v>98577</v>
          </cell>
          <cell r="C4565" t="str">
            <v>TRATAMENTO DE JUNTA SERRADA, COM TARUGO DE POLIETILENO E SELANTE À BASE DE SILICONE. AF_09/2023</v>
          </cell>
          <cell r="D4565" t="str">
            <v>M</v>
          </cell>
          <cell r="E4565">
            <v>57.92</v>
          </cell>
          <cell r="F4565">
            <v>0</v>
          </cell>
        </row>
        <row r="4566">
          <cell r="B4566">
            <v>98558</v>
          </cell>
          <cell r="C4566" t="str">
            <v>TRATAMENTO DE RALO OU PONTO EMERGENTE COM ARGAMASSA POLIMÉRICA / MEMBRANA ACRÍLICA REFORÇADO COM TELA DE POLIÉSTER (MAV). AF_09/2023</v>
          </cell>
          <cell r="D4566" t="str">
            <v>UN</v>
          </cell>
          <cell r="E4566">
            <v>10.77</v>
          </cell>
          <cell r="F4566">
            <v>0</v>
          </cell>
        </row>
        <row r="4567">
          <cell r="B4567">
            <v>106110</v>
          </cell>
          <cell r="C4567" t="str">
            <v>TRATAMENTO DE RALO OU PONTO EMERGENTE COM MANTA ASFÁLTICA COLADA COM ASFÁLTO DERRETIDO, E=4MM. AF_09/2023</v>
          </cell>
          <cell r="D4567" t="str">
            <v>UN</v>
          </cell>
          <cell r="E4567">
            <v>0</v>
          </cell>
        </row>
        <row r="4568">
          <cell r="B4568">
            <v>98551</v>
          </cell>
          <cell r="C4568" t="str">
            <v>TRATAMENTO DE RODAPÉ COM MANTA ASFÁLTICA COLADA COM ASFALTO DERRETIDO, E=4MM. AF_09/2023</v>
          </cell>
          <cell r="D4568" t="str">
            <v>M</v>
          </cell>
          <cell r="E4568">
            <v>0</v>
          </cell>
        </row>
        <row r="4569">
          <cell r="B4569">
            <v>98559</v>
          </cell>
          <cell r="C4569" t="str">
            <v>TRATAMENTO DE RODAPÉ COM TELA DE POLIÉSTER. AF_09/2023</v>
          </cell>
          <cell r="D4569" t="str">
            <v>M</v>
          </cell>
          <cell r="E4569">
            <v>5.59</v>
          </cell>
          <cell r="F4569">
            <v>0</v>
          </cell>
        </row>
        <row r="4570">
          <cell r="B4570">
            <v>91925</v>
          </cell>
          <cell r="C4570" t="str">
            <v>CABO DE COBRE FLEXÍVEL ISOLADO, 1,5 MM², ANTI-CHAMA 0,6/1,0 KV, PARA CIRCUITOS TERMINAIS - FORNECIMENTO E INSTALAÇÃO. AF_03/2023</v>
          </cell>
          <cell r="D4570" t="str">
            <v>M</v>
          </cell>
          <cell r="E4570">
            <v>4.42</v>
          </cell>
          <cell r="F4570">
            <v>0</v>
          </cell>
        </row>
        <row r="4571">
          <cell r="B4571">
            <v>91924</v>
          </cell>
          <cell r="C4571" t="str">
            <v>CABO DE COBRE FLEXÍVEL ISOLADO, 1,5 MM², ANTI-CHAMA 450/750 V, PARA CIRCUITOS TERMINAIS - FORNECIMENTO E INSTALAÇÃO. AF_03/2023</v>
          </cell>
          <cell r="D4571" t="str">
            <v>M</v>
          </cell>
          <cell r="E4571">
            <v>3.76</v>
          </cell>
          <cell r="F4571">
            <v>0</v>
          </cell>
        </row>
        <row r="4572">
          <cell r="B4572">
            <v>91933</v>
          </cell>
          <cell r="C4572" t="str">
            <v>CABO DE COBRE FLEXÍVEL ISOLADO, 10 MM², ANTI-CHAMA 0,6/1,0 KV, PARA CIRCUITOS TERMINAIS - FORNECIMENTO E INSTALAÇÃO. AF_03/2023</v>
          </cell>
          <cell r="D4572" t="str">
            <v>M</v>
          </cell>
          <cell r="E4572">
            <v>19.07</v>
          </cell>
          <cell r="F4572">
            <v>0</v>
          </cell>
        </row>
        <row r="4573">
          <cell r="B4573">
            <v>91932</v>
          </cell>
          <cell r="C4573" t="str">
            <v>CABO DE COBRE FLEXÍVEL ISOLADO, 10 MM², ANTI-CHAMA 450/750 V, PARA CIRCUITOS TERMINAIS - FORNECIMENTO E INSTALAÇÃO. AF_03/2023</v>
          </cell>
          <cell r="D4573" t="str">
            <v>M</v>
          </cell>
          <cell r="E4573">
            <v>19.7</v>
          </cell>
          <cell r="F4573">
            <v>0</v>
          </cell>
        </row>
        <row r="4574">
          <cell r="B4574">
            <v>91935</v>
          </cell>
          <cell r="C4574" t="str">
            <v>CABO DE COBRE FLEXÍVEL ISOLADO, 16 MM², ANTI-CHAMA 0,6/1,0 KV, PARA CIRCUITOS TERMINAIS - FORNECIMENTO E INSTALAÇÃO. AF_03/2023</v>
          </cell>
          <cell r="D4574" t="str">
            <v>M</v>
          </cell>
          <cell r="E4574">
            <v>29.77</v>
          </cell>
          <cell r="F4574">
            <v>0</v>
          </cell>
        </row>
        <row r="4575">
          <cell r="B4575">
            <v>91934</v>
          </cell>
          <cell r="C4575" t="str">
            <v>CABO DE COBRE FLEXÍVEL ISOLADO, 16 MM², ANTI-CHAMA 450/750 V, PARA CIRCUITOS TERMINAIS - FORNECIMENTO E INSTALAÇÃO. AF_03/2023</v>
          </cell>
          <cell r="D4575" t="str">
            <v>M</v>
          </cell>
          <cell r="E4575">
            <v>28.55</v>
          </cell>
          <cell r="F4575">
            <v>0</v>
          </cell>
        </row>
        <row r="4576">
          <cell r="B4576">
            <v>91927</v>
          </cell>
          <cell r="C4576" t="str">
            <v>CABO DE COBRE FLEXÍVEL ISOLADO, 2,5 MM², ANTI-CHAMA 0,6/1,0 KV, PARA CIRCUITOS TERMINAIS - FORNECIMENTO E INSTALAÇÃO. AF_03/2023</v>
          </cell>
          <cell r="D4576" t="str">
            <v>M</v>
          </cell>
          <cell r="E4576">
            <v>5.9</v>
          </cell>
          <cell r="F4576">
            <v>0</v>
          </cell>
        </row>
        <row r="4577">
          <cell r="B4577">
            <v>91926</v>
          </cell>
          <cell r="C4577" t="str">
            <v>CABO DE COBRE FLEXÍVEL ISOLADO, 2,5 MM², ANTI-CHAMA 450/750 V, PARA CIRCUITOS TERMINAIS - FORNECIMENTO E INSTALAÇÃO. AF_03/2023</v>
          </cell>
          <cell r="D4577" t="str">
            <v>M</v>
          </cell>
          <cell r="E4577">
            <v>5.34</v>
          </cell>
          <cell r="F4577">
            <v>0</v>
          </cell>
        </row>
        <row r="4578">
          <cell r="B4578">
            <v>91929</v>
          </cell>
          <cell r="C4578" t="str">
            <v>CABO DE COBRE FLEXÍVEL ISOLADO, 4 MM², ANTI-CHAMA 0,6/1,0 KV, PARA CIRCUITOS TERMINAIS - FORNECIMENTO E INSTALAÇÃO. AF_03/2023</v>
          </cell>
          <cell r="D4578" t="str">
            <v>M</v>
          </cell>
          <cell r="E4578">
            <v>8.59</v>
          </cell>
          <cell r="F4578">
            <v>0</v>
          </cell>
        </row>
        <row r="4579">
          <cell r="B4579">
            <v>91928</v>
          </cell>
          <cell r="C4579" t="str">
            <v>CABO DE COBRE FLEXÍVEL ISOLADO, 4 MM², ANTI-CHAMA 450/750 V, PARA CIRCUITOS TERMINAIS - FORNECIMENTO E INSTALAÇÃO. AF_03/2023</v>
          </cell>
          <cell r="D4579" t="str">
            <v>M</v>
          </cell>
          <cell r="E4579">
            <v>8.11</v>
          </cell>
          <cell r="F4579">
            <v>0</v>
          </cell>
        </row>
        <row r="4580">
          <cell r="B4580">
            <v>91931</v>
          </cell>
          <cell r="C4580" t="str">
            <v>CABO DE COBRE FLEXÍVEL ISOLADO, 6 MM², ANTI-CHAMA 0,6/1,0 KV, PARA CIRCUITOS TERMINAIS - FORNECIMENTO E INSTALAÇÃO. AF_03/2023</v>
          </cell>
          <cell r="D4580" t="str">
            <v>M</v>
          </cell>
          <cell r="E4580">
            <v>12.03</v>
          </cell>
          <cell r="F4580">
            <v>0</v>
          </cell>
        </row>
        <row r="4581">
          <cell r="B4581">
            <v>91930</v>
          </cell>
          <cell r="C4581" t="str">
            <v>CABO DE COBRE FLEXÍVEL ISOLADO, 6 MM², ANTI-CHAMA 450/750 V, PARA CIRCUITOS TERMINAIS - FORNECIMENTO E INSTALAÇÃO. AF_03/2023</v>
          </cell>
          <cell r="D4581" t="str">
            <v>M</v>
          </cell>
          <cell r="E4581">
            <v>11.22</v>
          </cell>
          <cell r="F4581">
            <v>0</v>
          </cell>
        </row>
        <row r="4582">
          <cell r="B4582">
            <v>104620</v>
          </cell>
          <cell r="C4582" t="str">
            <v>CAIXA ELÉTRICA 4"X2" AUTOTRAVANTE PARA FURO CIRCULAR ALTA (2,00 M DO PISO), PVC, INSTALADA EM PAREDE - FORNECIMENTO E INSTALAÇÃO. AF_03/2023</v>
          </cell>
          <cell r="D4582" t="str">
            <v>UN</v>
          </cell>
          <cell r="E4582">
            <v>0</v>
          </cell>
        </row>
        <row r="4583">
          <cell r="B4583">
            <v>104624</v>
          </cell>
          <cell r="C4583" t="str">
            <v>CAIXA ELÉTRICA 4"X2" AUTOTRAVANTE PARA FURO CIRCULAR BAIXA (0,30 M DO PISO), PVC, INSTALADA EM PAREDE - FORNECIMENTO E INSTALAÇÃO. AF_03/2023</v>
          </cell>
          <cell r="D4583" t="str">
            <v>UN</v>
          </cell>
          <cell r="E4583">
            <v>0</v>
          </cell>
        </row>
        <row r="4584">
          <cell r="B4584">
            <v>104622</v>
          </cell>
          <cell r="C4584" t="str">
            <v>CAIXA ELÉTRICA 4"X2" AUTOTRAVANTE PARA FURO CIRCULAR MÉDIA (1,30 M DO PISO), PVC, INSTALADA EM PAREDE - FORNECIMENTO E INSTALAÇÃO. AF_03/2023</v>
          </cell>
          <cell r="D4584" t="str">
            <v>UN</v>
          </cell>
          <cell r="E4584">
            <v>0</v>
          </cell>
        </row>
        <row r="4585">
          <cell r="B4585">
            <v>104621</v>
          </cell>
          <cell r="C4585" t="str">
            <v>CAIXA ELÉTRICA 4"X4" AUTOTRAVANTE PARA FURO CIRCULAR ALTA (2,00 M DO PISO), PVC, INSTALADA EM PAREDE - FORNECIMENTO E INSTALAÇÃO. AF_03/2023</v>
          </cell>
          <cell r="D4585" t="str">
            <v>UN</v>
          </cell>
          <cell r="E4585">
            <v>0</v>
          </cell>
        </row>
        <row r="4586">
          <cell r="B4586">
            <v>104625</v>
          </cell>
          <cell r="C4586" t="str">
            <v>CAIXA ELÉTRICA 4"X4" AUTOTRAVANTE PARA FURO CIRCULAR BAIXA (0,30 M DO PISO), PVC, INSTALADA EM PAREDE - FORNECIMENTO E INSTALAÇÃO. AF_03/2023</v>
          </cell>
          <cell r="D4586" t="str">
            <v>UN</v>
          </cell>
          <cell r="E4586">
            <v>0</v>
          </cell>
        </row>
        <row r="4587">
          <cell r="B4587">
            <v>104623</v>
          </cell>
          <cell r="C4587" t="str">
            <v>CAIXA ELÉTRICA 4"X4" AUTOTRAVANTE PARA FURO CIRCULAR MÉDIA (1,30 M DO PISO), PVC, INSTALADA EM PAREDE - FORNECIMENTO E INSTALAÇÃO. AF_03/2023</v>
          </cell>
          <cell r="D4587" t="str">
            <v>UN</v>
          </cell>
          <cell r="E4587">
            <v>0</v>
          </cell>
        </row>
        <row r="4588">
          <cell r="B4588">
            <v>91937</v>
          </cell>
          <cell r="C4588" t="str">
            <v>CAIXA OCTOGONAL 3" X 3", PVC, INSTALADA EM LAJE - FORNECIMENTO E INSTALAÇÃO. AF_03/2023</v>
          </cell>
          <cell r="D4588" t="str">
            <v>UN</v>
          </cell>
          <cell r="E4588">
            <v>21.01</v>
          </cell>
          <cell r="F4588">
            <v>0</v>
          </cell>
        </row>
        <row r="4589">
          <cell r="B4589">
            <v>92865</v>
          </cell>
          <cell r="C4589" t="str">
            <v>CAIXA OCTOGONAL 4" X 4", METÁLICA, INSTALADA EM LAJE - FORNECIMENTO E INSTALAÇÃO. AF_03/2023</v>
          </cell>
          <cell r="D4589" t="str">
            <v>UN</v>
          </cell>
          <cell r="E4589">
            <v>20.38</v>
          </cell>
          <cell r="F4589">
            <v>0</v>
          </cell>
        </row>
        <row r="4590">
          <cell r="B4590">
            <v>91936</v>
          </cell>
          <cell r="C4590" t="str">
            <v>CAIXA OCTOGONAL 4" X 4", PVC, INSTALADA EM LAJE - FORNECIMENTO E INSTALAÇÃO. AF_03/2023</v>
          </cell>
          <cell r="D4590" t="str">
            <v>UN</v>
          </cell>
          <cell r="E4590">
            <v>22.55</v>
          </cell>
          <cell r="F4590">
            <v>0</v>
          </cell>
        </row>
        <row r="4591">
          <cell r="B4591">
            <v>92867</v>
          </cell>
          <cell r="C4591" t="str">
            <v>CAIXA RETANGULAR 4" X 2" ALTA (2,00 M DO PISO), METÁLICA, INSTALADA EM PAREDE - FORNECIMENTO E INSTALAÇÃO. AF_03/2023</v>
          </cell>
          <cell r="D4591" t="str">
            <v>UN</v>
          </cell>
          <cell r="E4591">
            <v>45.47</v>
          </cell>
          <cell r="F4591">
            <v>0</v>
          </cell>
        </row>
        <row r="4592">
          <cell r="B4592">
            <v>91939</v>
          </cell>
          <cell r="C4592" t="str">
            <v>CAIXA RETANGULAR 4" X 2" ALTA (2,00 M DO PISO), PVC, INSTALADA EM PAREDE - FORNECIMENTO E INSTALAÇÃO. AF_03/2023</v>
          </cell>
          <cell r="D4592" t="str">
            <v>UN</v>
          </cell>
          <cell r="E4592">
            <v>46.07</v>
          </cell>
          <cell r="F4592">
            <v>0</v>
          </cell>
        </row>
        <row r="4593">
          <cell r="B4593">
            <v>92869</v>
          </cell>
          <cell r="C4593" t="str">
            <v>CAIXA RETANGULAR 4" X 2" BAIXA (0,30 M DO PISO), METÁLICA, INSTALADA EM PAREDE - FORNECIMENTO E INSTALAÇÃO. AF_03/2023</v>
          </cell>
          <cell r="D4593" t="str">
            <v>UN</v>
          </cell>
          <cell r="E4593">
            <v>14.91</v>
          </cell>
          <cell r="F4593">
            <v>0</v>
          </cell>
        </row>
        <row r="4594">
          <cell r="B4594">
            <v>91941</v>
          </cell>
          <cell r="C4594" t="str">
            <v>CAIXA RETANGULAR 4" X 2" BAIXA (0,30 M DO PISO), PVC, INSTALADA EM PAREDE - FORNECIMENTO E INSTALAÇÃO. AF_03/2023</v>
          </cell>
          <cell r="D4594" t="str">
            <v>UN</v>
          </cell>
          <cell r="E4594">
            <v>15.51</v>
          </cell>
          <cell r="F4594">
            <v>0</v>
          </cell>
        </row>
        <row r="4595">
          <cell r="B4595">
            <v>92868</v>
          </cell>
          <cell r="C4595" t="str">
            <v>CAIXA RETANGULAR 4" X 2" MÉDIA (1,30 M DO PISO), METÁLICA, INSTALADA EM PAREDE - FORNECIMENTO E INSTALAÇÃO. AF_03/2023</v>
          </cell>
          <cell r="D4595" t="str">
            <v>UN</v>
          </cell>
          <cell r="E4595">
            <v>24.96</v>
          </cell>
          <cell r="F4595">
            <v>0</v>
          </cell>
        </row>
        <row r="4596">
          <cell r="B4596">
            <v>91940</v>
          </cell>
          <cell r="C4596" t="str">
            <v>CAIXA RETANGULAR 4" X 2" MÉDIA (1,30 M DO PISO), PVC, INSTALADA EM PAREDE - FORNECIMENTO E INSTALAÇÃO. AF_03/2023</v>
          </cell>
          <cell r="D4596" t="str">
            <v>UN</v>
          </cell>
          <cell r="E4596">
            <v>25.56</v>
          </cell>
          <cell r="F4596">
            <v>0</v>
          </cell>
        </row>
        <row r="4597">
          <cell r="B4597">
            <v>92870</v>
          </cell>
          <cell r="C4597" t="str">
            <v>CAIXA RETANGULAR 4" X 4" ALTA (2,00 M DO PISO), METÁLICA, INSTALADA EM PAREDE - FORNECIMENTO E INSTALAÇÃO. AF_03/2023</v>
          </cell>
          <cell r="D4597" t="str">
            <v>UN</v>
          </cell>
          <cell r="E4597">
            <v>48.66</v>
          </cell>
          <cell r="F4597">
            <v>0</v>
          </cell>
        </row>
        <row r="4598">
          <cell r="B4598">
            <v>91942</v>
          </cell>
          <cell r="C4598" t="str">
            <v>CAIXA RETANGULAR 4" X 4" ALTA (2,00 M DO PISO), PVC, INSTALADA EM PAREDE - FORNECIMENTO E INSTALAÇÃO. AF_03/2023</v>
          </cell>
          <cell r="D4598" t="str">
            <v>UN</v>
          </cell>
          <cell r="E4598">
            <v>49.68</v>
          </cell>
          <cell r="F4598">
            <v>0</v>
          </cell>
        </row>
        <row r="4599">
          <cell r="B4599">
            <v>92872</v>
          </cell>
          <cell r="C4599" t="str">
            <v>CAIXA RETANGULAR 4" X 4" BAIXA (0,30 M DO PISO), METÁLICA, INSTALADA EM PAREDE - FORNECIMENTO E INSTALAÇÃO. AF_03/2023</v>
          </cell>
          <cell r="D4599" t="str">
            <v>UN</v>
          </cell>
          <cell r="E4599">
            <v>17</v>
          </cell>
          <cell r="F4599">
            <v>0</v>
          </cell>
        </row>
        <row r="4600">
          <cell r="B4600">
            <v>91944</v>
          </cell>
          <cell r="C4600" t="str">
            <v>CAIXA RETANGULAR 4" X 4" BAIXA (0,30 M DO PISO), PVC, INSTALADA EM PAREDE - FORNECIMENTO E INSTALAÇÃO. AF_03/2023</v>
          </cell>
          <cell r="D4600" t="str">
            <v>UN</v>
          </cell>
          <cell r="E4600">
            <v>18.02</v>
          </cell>
          <cell r="F4600">
            <v>0</v>
          </cell>
        </row>
        <row r="4601">
          <cell r="B4601">
            <v>92871</v>
          </cell>
          <cell r="C4601" t="str">
            <v>CAIXA RETANGULAR 4" X 4" MÉDIA (1,30 M DO PISO), METÁLICA, INSTALADA EM PAREDE - FORNECIMENTO E INSTALAÇÃO. AF_03/2023</v>
          </cell>
          <cell r="D4601" t="str">
            <v>UN</v>
          </cell>
          <cell r="E4601">
            <v>27.45</v>
          </cell>
          <cell r="F4601">
            <v>0</v>
          </cell>
        </row>
        <row r="4602">
          <cell r="B4602">
            <v>91943</v>
          </cell>
          <cell r="C4602" t="str">
            <v>CAIXA RETANGULAR 4" X 4" MÉDIA (1,30 M DO PISO), PVC, INSTALADA EM PAREDE - FORNECIMENTO E INSTALAÇÃO. AF_03/2023</v>
          </cell>
          <cell r="D4602" t="str">
            <v>UN</v>
          </cell>
          <cell r="E4602">
            <v>28.47</v>
          </cell>
          <cell r="F4602">
            <v>0</v>
          </cell>
        </row>
        <row r="4603">
          <cell r="B4603">
            <v>92866</v>
          </cell>
          <cell r="C4603" t="str">
            <v>CAIXA SEXTAVADA 3" X 3", METÁLICA, INSTALADA EM LAJE - FORNECIMENTO E INSTALAÇÃO. AF_03/2023</v>
          </cell>
          <cell r="D4603" t="str">
            <v>UN</v>
          </cell>
          <cell r="E4603">
            <v>18.850000000000001</v>
          </cell>
          <cell r="F4603">
            <v>0</v>
          </cell>
        </row>
        <row r="4604">
          <cell r="B4604">
            <v>91987</v>
          </cell>
          <cell r="C4604" t="str">
            <v>CAMPAINHA CIGARRA (1 MÓDULO), 10A/250V, INCLUINDO SUPORTE E PLACA - FORNECIMENTO E INSTALAÇÃO. AF_03/2023</v>
          </cell>
          <cell r="D4604" t="str">
            <v>UN</v>
          </cell>
          <cell r="E4604">
            <v>63.5</v>
          </cell>
          <cell r="F4604">
            <v>0</v>
          </cell>
        </row>
        <row r="4605">
          <cell r="B4605">
            <v>91986</v>
          </cell>
          <cell r="C4605" t="str">
            <v>CAMPAINHA CIGARRA (1 MÓDULO), 10A/250V, SEM SUPORTE E SEM PLACA - FORNECIMENTO E INSTALAÇÃO. AF_03/2023</v>
          </cell>
          <cell r="D4605" t="str">
            <v>UN</v>
          </cell>
          <cell r="E4605">
            <v>48.58</v>
          </cell>
          <cell r="F4605">
            <v>0</v>
          </cell>
        </row>
        <row r="4606">
          <cell r="B4606">
            <v>97559</v>
          </cell>
          <cell r="C4606" t="str">
            <v>CURVA 135 GRAUS PARA ELETRODUTO, PVC, ROSCÁVEL, DN 25 MM (3/4"), PARA CIRCUITOS TERMINAIS, INSTALADA EM FORRO - FORNECIMENTO E INSTALAÇÃO. AF_03/2023</v>
          </cell>
          <cell r="D4606" t="str">
            <v>UN</v>
          </cell>
          <cell r="E4606">
            <v>18.350000000000001</v>
          </cell>
          <cell r="F4606">
            <v>0</v>
          </cell>
        </row>
        <row r="4607">
          <cell r="B4607">
            <v>97562</v>
          </cell>
          <cell r="C4607" t="str">
            <v>CURVA 135 GRAUS PARA ELETRODUTO, PVC, ROSCÁVEL, DN 25 MM (3/4"), PARA CIRCUITOS TERMINAIS, INSTALADA EM LAJE - FORNECIMENTO E INSTALAÇÃO. AF_03/2023</v>
          </cell>
          <cell r="D4607" t="str">
            <v>UN</v>
          </cell>
          <cell r="E4607">
            <v>14.87</v>
          </cell>
          <cell r="F4607">
            <v>0</v>
          </cell>
        </row>
        <row r="4608">
          <cell r="B4608">
            <v>97564</v>
          </cell>
          <cell r="C4608" t="str">
            <v>CURVA 135 GRAUS PARA ELETRODUTO, PVC, ROSCÁVEL, DN 25 MM (3/4"), PARA CIRCUITOS TERMINAIS, INSTALADA EM PAREDE - FORNECIMENTO E INSTALAÇÃO. AF_03/2023</v>
          </cell>
          <cell r="D4608" t="str">
            <v>UN</v>
          </cell>
          <cell r="E4608">
            <v>25.4</v>
          </cell>
          <cell r="F4608">
            <v>0</v>
          </cell>
        </row>
        <row r="4609">
          <cell r="B4609">
            <v>91889</v>
          </cell>
          <cell r="C4609" t="str">
            <v>CURVA 180 GRAUS PARA ELETRODUTO, PVC, ROSCÁVEL, DN 20 MM (1/2"), PARA CIRCUITOS TERMINAIS, INSTALADA EM FORRO - FORNECIMENTO E INSTALAÇÃO. AF_03/2023</v>
          </cell>
          <cell r="D4609" t="str">
            <v>UN</v>
          </cell>
          <cell r="E4609">
            <v>16.36</v>
          </cell>
          <cell r="F4609">
            <v>0</v>
          </cell>
        </row>
        <row r="4610">
          <cell r="B4610">
            <v>91901</v>
          </cell>
          <cell r="C4610" t="str">
            <v>CURVA 180 GRAUS PARA ELETRODUTO, PVC, ROSCÁVEL, DN 20 MM (1/2"), PARA CIRCUITOS TERMINAIS, INSTALADA EM LAJE - FORNECIMENTO E INSTALAÇÃO. AF_03/2023</v>
          </cell>
          <cell r="D4610" t="str">
            <v>UN</v>
          </cell>
          <cell r="E4610">
            <v>12.88</v>
          </cell>
          <cell r="F4610">
            <v>0</v>
          </cell>
        </row>
        <row r="4611">
          <cell r="B4611">
            <v>91913</v>
          </cell>
          <cell r="C4611" t="str">
            <v>CURVA 180 GRAUS PARA ELETRODUTO, PVC, ROSCÁVEL, DN 20 MM (1/2"), PARA CIRCUITOS TERMINAIS, INSTALADA EM PAREDE - FORNECIMENTO E INSTALAÇÃO. AF_03/2023</v>
          </cell>
          <cell r="D4611" t="str">
            <v>UN</v>
          </cell>
          <cell r="E4611">
            <v>23.5</v>
          </cell>
          <cell r="F4611">
            <v>0</v>
          </cell>
        </row>
        <row r="4612">
          <cell r="B4612">
            <v>91892</v>
          </cell>
          <cell r="C4612" t="str">
            <v>CURVA 180 GRAUS PARA ELETRODUTO, PVC, ROSCÁVEL, DN 25 MM (3/4"), PARA CIRCUITOS TERMINAIS, INSTALADA EM FORRO - FORNECIMENTO E INSTALAÇÃO. AF_03/2023</v>
          </cell>
          <cell r="D4612" t="str">
            <v>UN</v>
          </cell>
          <cell r="E4612">
            <v>20.13</v>
          </cell>
          <cell r="F4612">
            <v>0</v>
          </cell>
        </row>
        <row r="4613">
          <cell r="B4613">
            <v>91904</v>
          </cell>
          <cell r="C4613" t="str">
            <v>CURVA 180 GRAUS PARA ELETRODUTO, PVC, ROSCÁVEL, DN 25 MM (3/4"), PARA CIRCUITOS TERMINAIS, INSTALADA EM LAJE - FORNECIMENTO E INSTALAÇÃO. AF_03/2023</v>
          </cell>
          <cell r="D4613" t="str">
            <v>UN</v>
          </cell>
          <cell r="E4613">
            <v>16.649999999999999</v>
          </cell>
          <cell r="F4613">
            <v>0</v>
          </cell>
        </row>
        <row r="4614">
          <cell r="B4614">
            <v>91916</v>
          </cell>
          <cell r="C4614" t="str">
            <v>CURVA 180 GRAUS PARA ELETRODUTO, PVC, ROSCÁVEL, DN 25 MM (3/4"), PARA CIRCUITOS TERMINAIS, INSTALADA EM PAREDE - FORNECIMENTO E INSTALAÇÃO. AF_03/2023</v>
          </cell>
          <cell r="D4614" t="str">
            <v>UN</v>
          </cell>
          <cell r="E4614">
            <v>27.18</v>
          </cell>
          <cell r="F4614">
            <v>0</v>
          </cell>
        </row>
        <row r="4615">
          <cell r="B4615">
            <v>91895</v>
          </cell>
          <cell r="C4615" t="str">
            <v>CURVA 180 GRAUS PARA ELETRODUTO, PVC, ROSCÁVEL, DN 32 MM (1"), PARA CIRCUITOS TERMINAIS, INSTALADA EM FORRO - FORNECIMENTO E INSTALAÇÃO. AF_03/2023</v>
          </cell>
          <cell r="D4615" t="str">
            <v>UN</v>
          </cell>
          <cell r="E4615">
            <v>24</v>
          </cell>
          <cell r="F4615">
            <v>0</v>
          </cell>
        </row>
        <row r="4616">
          <cell r="B4616">
            <v>91907</v>
          </cell>
          <cell r="C4616" t="str">
            <v>CURVA 180 GRAUS PARA ELETRODUTO, PVC, ROSCÁVEL, DN 32 MM (1"), PARA CIRCUITOS TERMINAIS, INSTALADA EM LAJE - FORNECIMENTO E INSTALAÇÃO. AF_03/2023</v>
          </cell>
          <cell r="D4616" t="str">
            <v>UN</v>
          </cell>
          <cell r="E4616">
            <v>20.52</v>
          </cell>
          <cell r="F4616">
            <v>0</v>
          </cell>
        </row>
        <row r="4617">
          <cell r="B4617">
            <v>91919</v>
          </cell>
          <cell r="C4617" t="str">
            <v>CURVA 180 GRAUS PARA ELETRODUTO, PVC, ROSCÁVEL, DN 32 MM (1"), PARA CIRCUITOS TERMINAIS, INSTALADA EM PAREDE - FORNECIMENTO E INSTALAÇÃO. AF_03/2023</v>
          </cell>
          <cell r="D4617" t="str">
            <v>UN</v>
          </cell>
          <cell r="E4617">
            <v>30.98</v>
          </cell>
          <cell r="F4617">
            <v>0</v>
          </cell>
        </row>
        <row r="4618">
          <cell r="B4618">
            <v>91898</v>
          </cell>
          <cell r="C4618" t="str">
            <v>CURVA 180 GRAUS PARA ELETRODUTO, PVC, ROSCÁVEL, DN 40 MM (1 1/4"), PARA CIRCUITOS TERMINAIS, INSTALADA EM FORRO - FORNECIMENTO E INSTALAÇÃO. AF_03/2023</v>
          </cell>
          <cell r="D4618" t="str">
            <v>UN</v>
          </cell>
          <cell r="E4618">
            <v>27.57</v>
          </cell>
          <cell r="F4618">
            <v>0</v>
          </cell>
        </row>
        <row r="4619">
          <cell r="B4619">
            <v>91910</v>
          </cell>
          <cell r="C4619" t="str">
            <v>CURVA 180 GRAUS PARA ELETRODUTO, PVC, ROSCÁVEL, DN 40 MM (1 1/4"), PARA CIRCUITOS TERMINAIS, INSTALADA EM LAJE - FORNECIMENTO E INSTALAÇÃO. AF_03/2023</v>
          </cell>
          <cell r="D4619" t="str">
            <v>UN</v>
          </cell>
          <cell r="E4619">
            <v>24.16</v>
          </cell>
          <cell r="F4619">
            <v>0</v>
          </cell>
        </row>
        <row r="4620">
          <cell r="B4620">
            <v>91922</v>
          </cell>
          <cell r="C4620" t="str">
            <v>CURVA 180 GRAUS PARA ELETRODUTO, PVC, ROSCÁVEL, DN 40 MM (1 1/4"), PARA CIRCUITOS TERMINAIS, INSTALADA EM PAREDE - FORNECIMENTO E INSTALAÇÃO. AF_03/2023</v>
          </cell>
          <cell r="D4620" t="str">
            <v>UN</v>
          </cell>
          <cell r="E4620">
            <v>34.450000000000003</v>
          </cell>
          <cell r="F4620">
            <v>0</v>
          </cell>
        </row>
        <row r="4621">
          <cell r="B4621">
            <v>91887</v>
          </cell>
          <cell r="C4621" t="str">
            <v>CURVA 90 GRAUS PARA ELETRODUTO, PVC, ROSCÁVEL, DN 20 MM (1/2"), PARA CIRCUITOS TERMINAIS, INSTALADA EM FORRO - FORNECIMENTO E INSTALAÇÃO. AF_03/2023</v>
          </cell>
          <cell r="D4621" t="str">
            <v>UN</v>
          </cell>
          <cell r="E4621">
            <v>16.600000000000001</v>
          </cell>
          <cell r="F4621">
            <v>0</v>
          </cell>
        </row>
        <row r="4622">
          <cell r="B4622">
            <v>91899</v>
          </cell>
          <cell r="C4622" t="str">
            <v>CURVA 90 GRAUS PARA ELETRODUTO, PVC, ROSCÁVEL, DN 20 MM (1/2"), PARA CIRCUITOS TERMINAIS, INSTALADA EM LAJE - FORNECIMENTO E INSTALAÇÃO. AF_03/2023</v>
          </cell>
          <cell r="D4622" t="str">
            <v>UN</v>
          </cell>
          <cell r="E4622">
            <v>13.12</v>
          </cell>
          <cell r="F4622">
            <v>0</v>
          </cell>
        </row>
        <row r="4623">
          <cell r="B4623">
            <v>91911</v>
          </cell>
          <cell r="C4623" t="str">
            <v>CURVA 90 GRAUS PARA ELETRODUTO, PVC, ROSCÁVEL, DN 20 MM (1/2"), PARA CIRCUITOS TERMINAIS, INSTALADA EM PAREDE - FORNECIMENTO E INSTALAÇÃO. AF_03/2023</v>
          </cell>
          <cell r="D4623" t="str">
            <v>UN</v>
          </cell>
          <cell r="E4623">
            <v>23.74</v>
          </cell>
          <cell r="F4623">
            <v>0</v>
          </cell>
        </row>
        <row r="4624">
          <cell r="B4624">
            <v>91890</v>
          </cell>
          <cell r="C4624" t="str">
            <v>CURVA 90 GRAUS PARA ELETRODUTO, PVC, ROSCÁVEL, DN 25 MM (3/4"), PARA CIRCUITOS TERMINAIS, INSTALADA EM FORRO - FORNECIMENTO E INSTALAÇÃO. AF_03/2023</v>
          </cell>
          <cell r="D4624" t="str">
            <v>UN</v>
          </cell>
          <cell r="E4624">
            <v>18.53</v>
          </cell>
          <cell r="F4624">
            <v>0</v>
          </cell>
        </row>
        <row r="4625">
          <cell r="B4625">
            <v>91902</v>
          </cell>
          <cell r="C4625" t="str">
            <v>CURVA 90 GRAUS PARA ELETRODUTO, PVC, ROSCÁVEL, DN 25 MM (3/4"), PARA CIRCUITOS TERMINAIS, INSTALADA EM LAJE - FORNECIMENTO E INSTALAÇÃO. AF_03/2023</v>
          </cell>
          <cell r="D4625" t="str">
            <v>UN</v>
          </cell>
          <cell r="E4625">
            <v>15.05</v>
          </cell>
          <cell r="F4625">
            <v>0</v>
          </cell>
        </row>
        <row r="4626">
          <cell r="B4626">
            <v>91914</v>
          </cell>
          <cell r="C4626" t="str">
            <v>CURVA 90 GRAUS PARA ELETRODUTO, PVC, ROSCÁVEL, DN 25 MM (3/4"), PARA CIRCUITOS TERMINAIS, INSTALADA EM PAREDE - FORNECIMENTO E INSTALAÇÃO. AF_03/2023</v>
          </cell>
          <cell r="D4626" t="str">
            <v>UN</v>
          </cell>
          <cell r="E4626">
            <v>25.58</v>
          </cell>
          <cell r="F4626">
            <v>0</v>
          </cell>
        </row>
        <row r="4627">
          <cell r="B4627">
            <v>91893</v>
          </cell>
          <cell r="C4627" t="str">
            <v>CURVA 90 GRAUS PARA ELETRODUTO, PVC, ROSCÁVEL, DN 32 MM (1"), PARA CIRCUITOS TERMINAIS, INSTALADA EM FORRO - FORNECIMENTO E INSTALAÇÃO. AF_03/2023</v>
          </cell>
          <cell r="D4627" t="str">
            <v>UN</v>
          </cell>
          <cell r="E4627">
            <v>22.37</v>
          </cell>
          <cell r="F4627">
            <v>0</v>
          </cell>
        </row>
        <row r="4628">
          <cell r="B4628">
            <v>91905</v>
          </cell>
          <cell r="C4628" t="str">
            <v>CURVA 90 GRAUS PARA ELETRODUTO, PVC, ROSCÁVEL, DN 32 MM (1"), PARA CIRCUITOS TERMINAIS, INSTALADA EM LAJE - FORNECIMENTO E INSTALAÇÃO. AF_03/2023</v>
          </cell>
          <cell r="D4628" t="str">
            <v>UN</v>
          </cell>
          <cell r="E4628">
            <v>18.89</v>
          </cell>
          <cell r="F4628">
            <v>0</v>
          </cell>
        </row>
        <row r="4629">
          <cell r="B4629">
            <v>91917</v>
          </cell>
          <cell r="C4629" t="str">
            <v>CURVA 90 GRAUS PARA ELETRODUTO, PVC, ROSCÁVEL, DN 32 MM (1"), PARA CIRCUITOS TERMINAIS, INSTALADA EM PAREDE - FORNECIMENTO E INSTALAÇÃO. AF_03/2023</v>
          </cell>
          <cell r="D4629" t="str">
            <v>UN</v>
          </cell>
          <cell r="E4629">
            <v>29.35</v>
          </cell>
          <cell r="F4629">
            <v>0</v>
          </cell>
        </row>
        <row r="4630">
          <cell r="B4630">
            <v>91896</v>
          </cell>
          <cell r="C4630" t="str">
            <v>CURVA 90 GRAUS PARA ELETRODUTO, PVC, ROSCÁVEL, DN 40 MM (1 1/4"), PARA CIRCUITOS TERMINAIS, INSTALADA EM FORRO - FORNECIMENTO E INSTALAÇÃO. AF_03/2023</v>
          </cell>
          <cell r="D4630" t="str">
            <v>UN</v>
          </cell>
          <cell r="E4630">
            <v>25.83</v>
          </cell>
          <cell r="F4630">
            <v>0</v>
          </cell>
        </row>
        <row r="4631">
          <cell r="B4631">
            <v>91908</v>
          </cell>
          <cell r="C4631" t="str">
            <v>CURVA 90 GRAUS PARA ELETRODUTO, PVC, ROSCÁVEL, DN 40 MM (1 1/4"), PARA CIRCUITOS TERMINAIS, INSTALADA EM LAJE - FORNECIMENTO E INSTALAÇÃO. AF_03/2023</v>
          </cell>
          <cell r="D4631" t="str">
            <v>UN</v>
          </cell>
          <cell r="E4631">
            <v>22.42</v>
          </cell>
          <cell r="F4631">
            <v>0</v>
          </cell>
        </row>
        <row r="4632">
          <cell r="B4632">
            <v>91920</v>
          </cell>
          <cell r="C4632" t="str">
            <v>CURVA 90 GRAUS PARA ELETRODUTO, PVC, ROSCÁVEL, DN 40 MM (1 1/4"), PARA CIRCUITOS TERMINAIS, INSTALADA EM PAREDE - FORNECIMENTO E INSTALAÇÃO. AF_03/2023</v>
          </cell>
          <cell r="D4632" t="str">
            <v>UN</v>
          </cell>
          <cell r="E4632">
            <v>32.71</v>
          </cell>
          <cell r="F4632">
            <v>0</v>
          </cell>
        </row>
        <row r="4633">
          <cell r="B4633">
            <v>91983</v>
          </cell>
          <cell r="C4633" t="str">
            <v>DIMMER ROTATIVO (1 MÓDULO), 220V/600W, INCLUINDO SUPORTE E PLACA - FORNECIMENTO E INSTALAÇÃO. AF_03/2023</v>
          </cell>
          <cell r="D4633" t="str">
            <v>UN</v>
          </cell>
          <cell r="E4633">
            <v>116.42</v>
          </cell>
          <cell r="F4633">
            <v>0</v>
          </cell>
        </row>
        <row r="4634">
          <cell r="B4634">
            <v>91982</v>
          </cell>
          <cell r="C4634" t="str">
            <v>DIMMER ROTATIVO (1 MÓDULO), 220V/600W, SEM SUPORTE E SEM PLACA - FORNECIMENTO E INSTALAÇÃO. AF_03/2023</v>
          </cell>
          <cell r="D4634" t="str">
            <v>UN</v>
          </cell>
          <cell r="E4634">
            <v>101.5</v>
          </cell>
          <cell r="F4634">
            <v>0</v>
          </cell>
        </row>
        <row r="4635">
          <cell r="B4635">
            <v>91833</v>
          </cell>
          <cell r="C4635" t="str">
            <v>ELETRODUTO FLEXÍVEL CORRUGADO REFORÇADO, PVC, DN 20 MM (1/2"), PARA CIRCUITOS TERMINAIS, INSTALADO EM FORRO - FORNECIMENTO E INSTALAÇÃO. AF_03/2023</v>
          </cell>
          <cell r="D4635" t="str">
            <v>M</v>
          </cell>
          <cell r="E4635">
            <v>22.2</v>
          </cell>
          <cell r="F4635">
            <v>0</v>
          </cell>
        </row>
        <row r="4636">
          <cell r="B4636">
            <v>91843</v>
          </cell>
          <cell r="C4636" t="str">
            <v>ELETRODUTO FLEXÍVEL CORRUGADO REFORÇADO, PVC, DN 20 MM (1/2"), PARA CIRCUITOS TERMINAIS, INSTALADO EM LAJE - FORNECIMENTO E INSTALAÇÃO. AF_03/2023</v>
          </cell>
          <cell r="D4636" t="str">
            <v>M</v>
          </cell>
          <cell r="E4636">
            <v>7.64</v>
          </cell>
          <cell r="F4636">
            <v>0</v>
          </cell>
        </row>
        <row r="4637">
          <cell r="B4637">
            <v>91853</v>
          </cell>
          <cell r="C4637" t="str">
            <v>ELETRODUTO FLEXÍVEL CORRUGADO REFORÇADO, PVC, DN 20 MM (1/2"), PARA CIRCUITOS TERMINAIS, INSTALADO EM PAREDE - FORNECIMENTO E INSTALAÇÃO. AF_03/2023</v>
          </cell>
          <cell r="D4637" t="str">
            <v>M</v>
          </cell>
          <cell r="E4637">
            <v>12.39</v>
          </cell>
          <cell r="F4637">
            <v>0</v>
          </cell>
        </row>
        <row r="4638">
          <cell r="B4638">
            <v>91835</v>
          </cell>
          <cell r="C4638" t="str">
            <v>ELETRODUTO FLEXÍVEL CORRUGADO REFORÇADO, PVC, DN 25 MM (3/4"), PARA CIRCUITOS TERMINAIS, INSTALADO EM FORRO - FORNECIMENTO E INSTALAÇÃO. AF_03/2023</v>
          </cell>
          <cell r="D4638" t="str">
            <v>M</v>
          </cell>
          <cell r="E4638">
            <v>24.06</v>
          </cell>
          <cell r="F4638">
            <v>0</v>
          </cell>
        </row>
        <row r="4639">
          <cell r="B4639">
            <v>91845</v>
          </cell>
          <cell r="C4639" t="str">
            <v>ELETRODUTO FLEXÍVEL CORRUGADO REFORÇADO, PVC, DN 25 MM (3/4"), PARA CIRCUITOS TERMINAIS, INSTALADO EM LAJE - FORNECIMENTO E INSTALAÇÃO. AF_03/2023</v>
          </cell>
          <cell r="D4639" t="str">
            <v>M</v>
          </cell>
          <cell r="E4639">
            <v>9.42</v>
          </cell>
          <cell r="F4639">
            <v>0</v>
          </cell>
        </row>
        <row r="4640">
          <cell r="B4640">
            <v>91855</v>
          </cell>
          <cell r="C4640" t="str">
            <v>ELETRODUTO FLEXÍVEL CORRUGADO REFORÇADO, PVC, DN 25 MM (3/4"), PARA CIRCUITOS TERMINAIS, INSTALADO EM PAREDE - FORNECIMENTO E INSTALAÇÃO. AF_03/2023</v>
          </cell>
          <cell r="D4640" t="str">
            <v>M</v>
          </cell>
          <cell r="E4640">
            <v>14.09</v>
          </cell>
          <cell r="F4640">
            <v>0</v>
          </cell>
        </row>
        <row r="4641">
          <cell r="B4641">
            <v>91837</v>
          </cell>
          <cell r="C4641" t="str">
            <v>ELETRODUTO FLEXÍVEL CORRUGADO REFORÇADO, PVC, DN 32 MM (1"), PARA CIRCUITOS TERMINAIS, INSTALADO EM FORRO - FORNECIMENTO E INSTALAÇÃO. AF_03/2023</v>
          </cell>
          <cell r="D4641" t="str">
            <v>M</v>
          </cell>
          <cell r="E4641">
            <v>28.67</v>
          </cell>
          <cell r="F4641">
            <v>0</v>
          </cell>
        </row>
        <row r="4642">
          <cell r="B4642">
            <v>91847</v>
          </cell>
          <cell r="C4642" t="str">
            <v>ELETRODUTO FLEXÍVEL CORRUGADO REFORÇADO, PVC, DN 32 MM (1"), PARA CIRCUITOS TERMINAIS, INSTALADO EM LAJE - FORNECIMENTO E INSTALAÇÃO. AF_03/2023</v>
          </cell>
          <cell r="D4642" t="str">
            <v>M</v>
          </cell>
          <cell r="E4642">
            <v>14.12</v>
          </cell>
          <cell r="F4642">
            <v>0</v>
          </cell>
        </row>
        <row r="4643">
          <cell r="B4643">
            <v>91857</v>
          </cell>
          <cell r="C4643" t="str">
            <v>ELETRODUTO FLEXÍVEL CORRUGADO REFORÇADO, PVC, DN 32 MM (1"), PARA CIRCUITOS TERMINAIS, INSTALADO EM PAREDE - FORNECIMENTO E INSTALAÇÃO. AF_03/2023</v>
          </cell>
          <cell r="D4643" t="str">
            <v>M</v>
          </cell>
          <cell r="E4643">
            <v>18.52</v>
          </cell>
          <cell r="F4643">
            <v>0</v>
          </cell>
        </row>
        <row r="4644">
          <cell r="B4644">
            <v>91838</v>
          </cell>
          <cell r="C4644" t="str">
            <v>ELETRODUTO FLEXÍVEL CORRUGADO, PEAD, DN 32 MM (1"), PARA CIRCUITOS TERMINAIS, INSTALADO EM FORRO - FORNECIMENTO E INSTALAÇÃO. AF_03/2023</v>
          </cell>
          <cell r="D4644" t="str">
            <v>M</v>
          </cell>
          <cell r="E4644">
            <v>0</v>
          </cell>
        </row>
        <row r="4645">
          <cell r="B4645">
            <v>91848</v>
          </cell>
          <cell r="C4645" t="str">
            <v>ELETRODUTO FLEXÍVEL CORRUGADO, PEAD, DN 32 MM (1"), PARA CIRCUITOS TERMINAIS, INSTALADO EM LAJE - FORNECIMENTO E INSTALAÇÃO. AF_03/2023</v>
          </cell>
          <cell r="D4645" t="str">
            <v>M</v>
          </cell>
          <cell r="E4645">
            <v>0</v>
          </cell>
        </row>
        <row r="4646">
          <cell r="B4646">
            <v>91858</v>
          </cell>
          <cell r="C4646" t="str">
            <v>ELETRODUTO FLEXÍVEL CORRUGADO, PEAD, DN 32 MM (1"), PARA CIRCUITOS TERMINAIS, INSTALADO EM PAREDE - FORNECIMENTO E INSTALAÇÃO. AF_03/2023</v>
          </cell>
          <cell r="D4646" t="str">
            <v>M</v>
          </cell>
          <cell r="E4646">
            <v>0</v>
          </cell>
        </row>
        <row r="4647">
          <cell r="B4647">
            <v>91840</v>
          </cell>
          <cell r="C4647" t="str">
            <v>ELETRODUTO FLEXÍVEL CORRUGADO, PEAD, DN 40 MM (1 1/4"), PARA CIRCUITOS TERMINAIS, INSTALADO EM FORRO - FORNECIMENTO E INSTALAÇÃO. AF_03/2023</v>
          </cell>
          <cell r="D4647" t="str">
            <v>M</v>
          </cell>
          <cell r="E4647">
            <v>27.5</v>
          </cell>
          <cell r="F4647">
            <v>0</v>
          </cell>
        </row>
        <row r="4648">
          <cell r="B4648">
            <v>91850</v>
          </cell>
          <cell r="C4648" t="str">
            <v>ELETRODUTO FLEXÍVEL CORRUGADO, PEAD, DN 40 MM (1 1/4"), PARA CIRCUITOS TERMINAIS, INSTALADO EM LAJE - FORNECIMENTO E INSTALAÇÃO. AF_03/2023</v>
          </cell>
          <cell r="D4648" t="str">
            <v>M</v>
          </cell>
          <cell r="E4648">
            <v>12.87</v>
          </cell>
          <cell r="F4648">
            <v>0</v>
          </cell>
        </row>
        <row r="4649">
          <cell r="B4649">
            <v>91860</v>
          </cell>
          <cell r="C4649" t="str">
            <v>ELETRODUTO FLEXÍVEL CORRUGADO, PEAD, DN 40 MM (1 1/4"), PARA CIRCUITOS TERMINAIS, INSTALADO EM PAREDE - FORNECIMENTO E INSTALAÇÃO. AF_03/2023</v>
          </cell>
          <cell r="D4649" t="str">
            <v>M</v>
          </cell>
          <cell r="E4649">
            <v>17.47</v>
          </cell>
          <cell r="F4649">
            <v>0</v>
          </cell>
        </row>
        <row r="4650">
          <cell r="B4650">
            <v>91831</v>
          </cell>
          <cell r="C4650" t="str">
            <v>ELETRODUTO FLEXÍVEL CORRUGADO, PVC, DN 20 MM (1/2"), PARA CIRCUITOS TERMINAIS, INSTALADO EM FORRO - FORNECIMENTO E INSTALAÇÃO. AF_03/2023</v>
          </cell>
          <cell r="D4650" t="str">
            <v>M</v>
          </cell>
          <cell r="E4650">
            <v>21.69</v>
          </cell>
          <cell r="F4650">
            <v>0</v>
          </cell>
        </row>
        <row r="4651">
          <cell r="B4651">
            <v>91852</v>
          </cell>
          <cell r="C4651" t="str">
            <v>ELETRODUTO FLEXÍVEL CORRUGADO, PVC, DN 20 MM (1/2"), PARA CIRCUITOS TERMINAIS, INSTALADO EM PAREDE - FORNECIMENTO E INSTALAÇÃO. AF_03/2023</v>
          </cell>
          <cell r="D4651" t="str">
            <v>M</v>
          </cell>
          <cell r="E4651">
            <v>11.92</v>
          </cell>
          <cell r="F4651">
            <v>0</v>
          </cell>
        </row>
        <row r="4652">
          <cell r="B4652">
            <v>91834</v>
          </cell>
          <cell r="C4652" t="str">
            <v>ELETRODUTO FLEXÍVEL CORRUGADO, PVC, DN 25 MM (3/4"), PARA CIRCUITOS TERMINAIS, INSTALADO EM FORRO - FORNECIMENTO E INSTALAÇÃO. AF_03/2023</v>
          </cell>
          <cell r="D4652" t="str">
            <v>M</v>
          </cell>
          <cell r="E4652">
            <v>22.76</v>
          </cell>
          <cell r="F4652">
            <v>0</v>
          </cell>
        </row>
        <row r="4653">
          <cell r="B4653">
            <v>91854</v>
          </cell>
          <cell r="C4653" t="str">
            <v>ELETRODUTO FLEXÍVEL CORRUGADO, PVC, DN 25 MM (3/4"), PARA CIRCUITOS TERMINAIS, INSTALADO EM PAREDE - FORNECIMENTO E INSTALAÇÃO. AF_03/2023</v>
          </cell>
          <cell r="D4653" t="str">
            <v>M</v>
          </cell>
          <cell r="E4653">
            <v>12.89</v>
          </cell>
          <cell r="F4653">
            <v>0</v>
          </cell>
        </row>
        <row r="4654">
          <cell r="B4654">
            <v>91836</v>
          </cell>
          <cell r="C4654" t="str">
            <v>ELETRODUTO FLEXÍVEL CORRUGADO, PVC, DN 32 MM (1"), PARA CIRCUITOS TERMINAIS, INSTALADO EM FORRO - FORNECIMENTO E INSTALAÇÃO. AF_03/2023</v>
          </cell>
          <cell r="D4654" t="str">
            <v>M</v>
          </cell>
          <cell r="E4654">
            <v>25.63</v>
          </cell>
          <cell r="F4654">
            <v>0</v>
          </cell>
        </row>
        <row r="4655">
          <cell r="B4655">
            <v>91856</v>
          </cell>
          <cell r="C4655" t="str">
            <v>ELETRODUTO FLEXÍVEL CORRUGADO, PVC, DN 32 MM (1"), PARA CIRCUITOS TERMINAIS, INSTALADO EM PAREDE - FORNECIMENTO E INSTALAÇÃO. AF_03/2023</v>
          </cell>
          <cell r="D4655" t="str">
            <v>M</v>
          </cell>
          <cell r="E4655">
            <v>15.71</v>
          </cell>
          <cell r="F4655">
            <v>0</v>
          </cell>
        </row>
        <row r="4656">
          <cell r="B4656">
            <v>91839</v>
          </cell>
          <cell r="C4656" t="str">
            <v>ELETRODUTO FLEXÍVEL LISO, PEAD, DN 32 MM (1"), PARA CIRCUITOS TERMINAIS, INSTALADO EM FORRO - FORNECIMENTO E INSTALAÇÃO. AF_03/2023</v>
          </cell>
          <cell r="D4656" t="str">
            <v>M</v>
          </cell>
          <cell r="E4656">
            <v>24.49</v>
          </cell>
          <cell r="F4656">
            <v>0</v>
          </cell>
        </row>
        <row r="4657">
          <cell r="B4657">
            <v>91849</v>
          </cell>
          <cell r="C4657" t="str">
            <v>ELETRODUTO FLEXÍVEL LISO, PEAD, DN 32 MM (1"), PARA CIRCUITOS TERMINAIS, INSTALADO EM LAJE - FORNECIMENTO E INSTALAÇÃO. AF_03/2023</v>
          </cell>
          <cell r="D4657" t="str">
            <v>M</v>
          </cell>
          <cell r="E4657">
            <v>9.94</v>
          </cell>
          <cell r="F4657">
            <v>0</v>
          </cell>
        </row>
        <row r="4658">
          <cell r="B4658">
            <v>91859</v>
          </cell>
          <cell r="C4658" t="str">
            <v>ELETRODUTO FLEXÍVEL LISO, PEAD, DN 32 MM (1"), PARA CIRCUITOS TERMINAIS, INSTALADO EM PAREDE - FORNECIMENTO E INSTALAÇÃO. AF_03/2023</v>
          </cell>
          <cell r="D4658" t="str">
            <v>M</v>
          </cell>
          <cell r="E4658">
            <v>14.65</v>
          </cell>
          <cell r="F4658">
            <v>0</v>
          </cell>
        </row>
        <row r="4659">
          <cell r="B4659">
            <v>91841</v>
          </cell>
          <cell r="C4659" t="str">
            <v>ELETRODUTO FLEXÍVEL LISO, PEAD, DN 40 MM (1 1/4"), PARA CIRCUITOS TERMINAIS, INSTALADO EM FORRO - FORNECIMENTO E INSTALAÇÃO. AF_03/2023</v>
          </cell>
          <cell r="D4659" t="str">
            <v>M</v>
          </cell>
          <cell r="E4659">
            <v>26.79</v>
          </cell>
          <cell r="F4659">
            <v>0</v>
          </cell>
        </row>
        <row r="4660">
          <cell r="B4660">
            <v>91851</v>
          </cell>
          <cell r="C4660" t="str">
            <v>ELETRODUTO FLEXÍVEL LISO, PEAD, DN 40 MM (1 1/4"), PARA CIRCUITOS TERMINAIS, INSTALADO EM LAJE - FORNECIMENTO E INSTALAÇÃO. AF_03/2023</v>
          </cell>
          <cell r="D4660" t="str">
            <v>M</v>
          </cell>
          <cell r="E4660">
            <v>12.16</v>
          </cell>
          <cell r="F4660">
            <v>0</v>
          </cell>
        </row>
        <row r="4661">
          <cell r="B4661">
            <v>91861</v>
          </cell>
          <cell r="C4661" t="str">
            <v>ELETRODUTO FLEXÍVEL LISO, PEAD, DN 40 MM (1 1/4"), PARA CIRCUITOS TERMINAIS, INSTALADO EM PAREDE - FORNECIMENTO E INSTALAÇÃO. AF_03/2023</v>
          </cell>
          <cell r="D4661" t="str">
            <v>M</v>
          </cell>
          <cell r="E4661">
            <v>16.809999999999999</v>
          </cell>
          <cell r="F4661">
            <v>0</v>
          </cell>
        </row>
        <row r="4662">
          <cell r="B4662">
            <v>91862</v>
          </cell>
          <cell r="C4662" t="str">
            <v>ELETRODUTO RÍGIDO ROSCÁVEL, PVC, DN 20 MM (1/2"), PARA CIRCUITOS TERMINAIS, INSTALADO EM FORRO - FORNECIMENTO E INSTALAÇÃO. AF_03/2023</v>
          </cell>
          <cell r="D4662" t="str">
            <v>M</v>
          </cell>
          <cell r="E4662">
            <v>11.8</v>
          </cell>
          <cell r="F4662">
            <v>0</v>
          </cell>
        </row>
        <row r="4663">
          <cell r="B4663">
            <v>91866</v>
          </cell>
          <cell r="C4663" t="str">
            <v>ELETRODUTO RÍGIDO ROSCÁVEL, PVC, DN 20 MM (1/2"), PARA CIRCUITOS TERMINAIS, INSTALADO EM LAJE - FORNECIMENTO E INSTALAÇÃO. AF_03/2023</v>
          </cell>
          <cell r="D4663" t="str">
            <v>M</v>
          </cell>
          <cell r="E4663">
            <v>9.85</v>
          </cell>
          <cell r="F4663">
            <v>0</v>
          </cell>
        </row>
        <row r="4664">
          <cell r="B4664">
            <v>91870</v>
          </cell>
          <cell r="C4664" t="str">
            <v>ELETRODUTO RÍGIDO ROSCÁVEL, PVC, DN 20 MM (1/2"), PARA CIRCUITOS TERMINAIS, INSTALADO EM PAREDE - FORNECIMENTO E INSTALAÇÃO. AF_03/2023</v>
          </cell>
          <cell r="D4664" t="str">
            <v>M</v>
          </cell>
          <cell r="E4664">
            <v>16.399999999999999</v>
          </cell>
          <cell r="F4664">
            <v>0</v>
          </cell>
        </row>
        <row r="4665">
          <cell r="B4665">
            <v>91863</v>
          </cell>
          <cell r="C4665" t="str">
            <v>ELETRODUTO RÍGIDO ROSCÁVEL, PVC, DN 25 MM (3/4"), PARA CIRCUITOS TERMINAIS, INSTALADO EM FORRO - FORNECIMENTO E INSTALAÇÃO. AF_03/2023</v>
          </cell>
          <cell r="D4665" t="str">
            <v>M</v>
          </cell>
          <cell r="E4665">
            <v>13.77</v>
          </cell>
          <cell r="F4665">
            <v>0</v>
          </cell>
        </row>
        <row r="4666">
          <cell r="B4666">
            <v>91867</v>
          </cell>
          <cell r="C4666" t="str">
            <v>ELETRODUTO RÍGIDO ROSCÁVEL, PVC, DN 25 MM (3/4"), PARA CIRCUITOS TERMINAIS, INSTALADO EM LAJE - FORNECIMENTO E INSTALAÇÃO. AF_03/2023</v>
          </cell>
          <cell r="D4666" t="str">
            <v>M</v>
          </cell>
          <cell r="E4666">
            <v>11.82</v>
          </cell>
          <cell r="F4666">
            <v>0</v>
          </cell>
        </row>
        <row r="4667">
          <cell r="B4667">
            <v>91871</v>
          </cell>
          <cell r="C4667" t="str">
            <v>ELETRODUTO RÍGIDO ROSCÁVEL, PVC, DN 25 MM (3/4"), PARA CIRCUITOS TERMINAIS, INSTALADO EM PAREDE - FORNECIMENTO E INSTALAÇÃO. AF_03/2023</v>
          </cell>
          <cell r="D4667" t="str">
            <v>M</v>
          </cell>
          <cell r="E4667">
            <v>18.36</v>
          </cell>
          <cell r="F4667">
            <v>0</v>
          </cell>
        </row>
        <row r="4668">
          <cell r="B4668">
            <v>91864</v>
          </cell>
          <cell r="C4668" t="str">
            <v>ELETRODUTO RÍGIDO ROSCÁVEL, PVC, DN 32 MM (1"), PARA CIRCUITOS TERMINAIS, INSTALADO EM FORRO - FORNECIMENTO E INSTALAÇÃO. AF_03/2023</v>
          </cell>
          <cell r="D4668" t="str">
            <v>M</v>
          </cell>
          <cell r="E4668">
            <v>17.82</v>
          </cell>
          <cell r="F4668">
            <v>0</v>
          </cell>
        </row>
        <row r="4669">
          <cell r="B4669">
            <v>91868</v>
          </cell>
          <cell r="C4669" t="str">
            <v>ELETRODUTO RÍGIDO ROSCÁVEL, PVC, DN 32 MM (1"), PARA CIRCUITOS TERMINAIS, INSTALADO EM LAJE - FORNECIMENTO E INSTALAÇÃO. AF_03/2023</v>
          </cell>
          <cell r="D4669" t="str">
            <v>M</v>
          </cell>
          <cell r="E4669">
            <v>15.87</v>
          </cell>
          <cell r="F4669">
            <v>0</v>
          </cell>
        </row>
        <row r="4670">
          <cell r="B4670">
            <v>91872</v>
          </cell>
          <cell r="C4670" t="str">
            <v>ELETRODUTO RÍGIDO ROSCÁVEL, PVC, DN 32 MM (1"), PARA CIRCUITOS TERMINAIS, INSTALADO EM PAREDE - FORNECIMENTO E INSTALAÇÃO. AF_03/2023</v>
          </cell>
          <cell r="D4670" t="str">
            <v>M</v>
          </cell>
          <cell r="E4670">
            <v>22.41</v>
          </cell>
          <cell r="F4670">
            <v>0</v>
          </cell>
        </row>
        <row r="4671">
          <cell r="B4671">
            <v>91865</v>
          </cell>
          <cell r="C4671" t="str">
            <v>ELETRODUTO RÍGIDO ROSCÁVEL, PVC, DN 40 MM (1 1/4"), PARA CIRCUITOS TERMINAIS, INSTALADO EM FORRO - FORNECIMENTO E INSTALAÇÃO. AF_03/2023</v>
          </cell>
          <cell r="D4671" t="str">
            <v>M</v>
          </cell>
          <cell r="E4671">
            <v>21.9</v>
          </cell>
          <cell r="F4671">
            <v>0</v>
          </cell>
        </row>
        <row r="4672">
          <cell r="B4672">
            <v>91869</v>
          </cell>
          <cell r="C4672" t="str">
            <v>ELETRODUTO RÍGIDO ROSCÁVEL, PVC, DN 40 MM (1 1/4"), PARA CIRCUITOS TERMINAIS, INSTALADO EM LAJE - FORNECIMENTO E INSTALAÇÃO. AF_03/2023</v>
          </cell>
          <cell r="D4672" t="str">
            <v>M</v>
          </cell>
          <cell r="E4672">
            <v>19.89</v>
          </cell>
          <cell r="F4672">
            <v>0</v>
          </cell>
        </row>
        <row r="4673">
          <cell r="B4673">
            <v>91873</v>
          </cell>
          <cell r="C4673" t="str">
            <v>ELETRODUTO RÍGIDO ROSCÁVEL, PVC, DN 40 MM (1 1/4"), PARA CIRCUITOS TERMINAIS, INSTALADO EM PAREDE - FORNECIMENTO E INSTALAÇÃO. AF_03/2023</v>
          </cell>
          <cell r="D4673" t="str">
            <v>M</v>
          </cell>
          <cell r="E4673">
            <v>26.42</v>
          </cell>
          <cell r="F4673">
            <v>0</v>
          </cell>
        </row>
        <row r="4674">
          <cell r="B4674">
            <v>91981</v>
          </cell>
          <cell r="C4674" t="str">
            <v>INTERRUPTOR BIPOLAR (1 MÓDULO), 10A/250V, INCLUINDO SUPORTE E PLACA - FORNECIMENTO E INSTALAÇÃO. AF_03/2023</v>
          </cell>
          <cell r="D4674" t="str">
            <v>UN</v>
          </cell>
          <cell r="E4674">
            <v>66.09</v>
          </cell>
          <cell r="F4674">
            <v>0</v>
          </cell>
        </row>
        <row r="4675">
          <cell r="B4675">
            <v>91980</v>
          </cell>
          <cell r="C4675" t="str">
            <v>INTERRUPTOR BIPOLAR (1 MÓDULO), 10A/250V, SEM SUPORTE E SEM PLACA - FORNECIMENTO E INSTALAÇÃO. AF_03/2023</v>
          </cell>
          <cell r="D4675" t="str">
            <v>UN</v>
          </cell>
          <cell r="E4675">
            <v>51.17</v>
          </cell>
          <cell r="F4675">
            <v>0</v>
          </cell>
        </row>
        <row r="4676">
          <cell r="B4676">
            <v>91979</v>
          </cell>
          <cell r="C4676" t="str">
            <v>INTERRUPTOR INTERMEDIÁRIO (1 MÓDULO), 10A/250V, INCLUINDO SUPORTE E PLACA - FORNECIMENTO E INSTALAÇÃO. AF_03/2023</v>
          </cell>
          <cell r="D4676" t="str">
            <v>UN</v>
          </cell>
          <cell r="E4676">
            <v>67.400000000000006</v>
          </cell>
          <cell r="F4676">
            <v>0</v>
          </cell>
        </row>
        <row r="4677">
          <cell r="B4677">
            <v>91978</v>
          </cell>
          <cell r="C4677" t="str">
            <v>INTERRUPTOR INTERMEDIÁRIO (1 MÓDULO), 10A/250V, SEM SUPORTE E SEM PLACA - FORNECIMENTO E INSTALAÇÃO. AF_03/2023</v>
          </cell>
          <cell r="D4677" t="str">
            <v>UN</v>
          </cell>
          <cell r="E4677">
            <v>52.48</v>
          </cell>
          <cell r="F4677">
            <v>0</v>
          </cell>
        </row>
        <row r="4678">
          <cell r="B4678">
            <v>92029</v>
          </cell>
          <cell r="C4678" t="str">
            <v>INTERRUPTOR PARALELO (1 MÓDULO) COM 1 TOMADA DE EMBUTIR 2P+T 10 A, INCLUINDO SUPORTE E PLACA - FORNECIMENTO E INSTALAÇÃO. AF_03/2023</v>
          </cell>
          <cell r="D4678" t="str">
            <v>UN</v>
          </cell>
          <cell r="E4678">
            <v>78.42</v>
          </cell>
          <cell r="F4678">
            <v>0</v>
          </cell>
        </row>
        <row r="4679">
          <cell r="B4679">
            <v>92028</v>
          </cell>
          <cell r="C4679" t="str">
            <v>INTERRUPTOR PARALELO (1 MÓDULO) COM 1 TOMADA DE EMBUTIR 2P+T 10 A, SEM SUPORTE E SEM PLACA - FORNECIMENTO E INSTALAÇÃO. AF_03/2023</v>
          </cell>
          <cell r="D4679" t="str">
            <v>UN</v>
          </cell>
          <cell r="E4679">
            <v>63.5</v>
          </cell>
          <cell r="F4679">
            <v>0</v>
          </cell>
        </row>
        <row r="4680">
          <cell r="B4680">
            <v>92031</v>
          </cell>
          <cell r="C4680" t="str">
            <v>INTERRUPTOR PARALELO (1 MÓDULO) COM 2 TOMADAS DE EMBUTIR 2P+T 10 A, INCLUINDO SUPORTE E PLACA - FORNECIMENTO E INSTALAÇÃO. AF_03/2023</v>
          </cell>
          <cell r="D4680" t="str">
            <v>UN</v>
          </cell>
          <cell r="E4680">
            <v>107.03</v>
          </cell>
          <cell r="F4680">
            <v>0</v>
          </cell>
        </row>
        <row r="4681">
          <cell r="B4681">
            <v>92030</v>
          </cell>
          <cell r="C4681" t="str">
            <v>INTERRUPTOR PARALELO (1 MÓDULO) COM 2 TOMADAS DE EMBUTIR 2P+T 10 A, SEM SUPORTE E SEM PLACA - FORNECIMENTO E INSTALAÇÃO. AF_03/2023</v>
          </cell>
          <cell r="D4681" t="str">
            <v>UN</v>
          </cell>
          <cell r="E4681">
            <v>92.11</v>
          </cell>
          <cell r="F4681">
            <v>0</v>
          </cell>
        </row>
        <row r="4682">
          <cell r="B4682">
            <v>91955</v>
          </cell>
          <cell r="C4682" t="str">
            <v>INTERRUPTOR PARALELO (1 MÓDULO), 10A/250V, INCLUINDO SUPORTE E PLACA - FORNECIMENTO E INSTALAÇÃO. AF_03/2023</v>
          </cell>
          <cell r="D4682" t="str">
            <v>UN</v>
          </cell>
          <cell r="E4682">
            <v>49.73</v>
          </cell>
          <cell r="F4682">
            <v>0</v>
          </cell>
        </row>
        <row r="4683">
          <cell r="B4683">
            <v>91954</v>
          </cell>
          <cell r="C4683" t="str">
            <v>INTERRUPTOR PARALELO (1 MÓDULO), 10A/250V, SEM SUPORTE E SEM PLACA - FORNECIMENTO E INSTALAÇÃO. AF_03/2023</v>
          </cell>
          <cell r="D4683" t="str">
            <v>UN</v>
          </cell>
          <cell r="E4683">
            <v>34.81</v>
          </cell>
          <cell r="F4683">
            <v>0</v>
          </cell>
        </row>
        <row r="4684">
          <cell r="B4684">
            <v>92033</v>
          </cell>
          <cell r="C4684" t="str">
            <v>INTERRUPTOR PARALELO (2 MÓDULOS) COM 1 TOMADA DE EMBUTIR 2P+T 10 A, INCLUINDO SUPORTE E PLACA - FORNECIMENTO E INSTALAÇÃO. AF_03/2023</v>
          </cell>
          <cell r="D4684" t="str">
            <v>UN</v>
          </cell>
          <cell r="E4684">
            <v>108.26</v>
          </cell>
          <cell r="F4684">
            <v>0</v>
          </cell>
        </row>
        <row r="4685">
          <cell r="B4685">
            <v>92032</v>
          </cell>
          <cell r="C4685" t="str">
            <v>INTERRUPTOR PARALELO (2 MÓDULOS) COM 1 TOMADA DE EMBUTIR 2P+T 10 A, SEM SUPORTE E SEM PLACA - FORNECIMENTO E INSTALAÇÃO. AF_03/2023</v>
          </cell>
          <cell r="D4685" t="str">
            <v>UN</v>
          </cell>
          <cell r="E4685">
            <v>93.34</v>
          </cell>
          <cell r="F4685">
            <v>0</v>
          </cell>
        </row>
        <row r="4686">
          <cell r="B4686">
            <v>91961</v>
          </cell>
          <cell r="C4686" t="str">
            <v>INTERRUPTOR PARALELO (2 MÓDULOS), 10A/250V, INCLUINDO SUPORTE E PLACA - FORNECIMENTO E INSTALAÇÃO. AF_03/2023</v>
          </cell>
          <cell r="D4686" t="str">
            <v>UN</v>
          </cell>
          <cell r="E4686">
            <v>79.650000000000006</v>
          </cell>
          <cell r="F4686">
            <v>0</v>
          </cell>
        </row>
        <row r="4687">
          <cell r="B4687">
            <v>91960</v>
          </cell>
          <cell r="C4687" t="str">
            <v>INTERRUPTOR PARALELO (2 MÓDULOS), 10A/250V, SEM SUPORTE E SEM PLACA - FORNECIMENTO E INSTALAÇÃO. AF_03/2023</v>
          </cell>
          <cell r="D4687" t="str">
            <v>UN</v>
          </cell>
          <cell r="E4687">
            <v>64.73</v>
          </cell>
          <cell r="F4687">
            <v>0</v>
          </cell>
        </row>
        <row r="4688">
          <cell r="B4688">
            <v>91969</v>
          </cell>
          <cell r="C4688" t="str">
            <v>INTERRUPTOR PARALELO (3 MÓDULOS), 10A/250V, INCLUINDO SUPORTE E PLACA - FORNECIMENTO E INSTALAÇÃO. AF_03/2023</v>
          </cell>
          <cell r="D4688" t="str">
            <v>UN</v>
          </cell>
          <cell r="E4688">
            <v>109.49</v>
          </cell>
          <cell r="F4688">
            <v>0</v>
          </cell>
        </row>
        <row r="4689">
          <cell r="B4689">
            <v>91968</v>
          </cell>
          <cell r="C4689" t="str">
            <v>INTERRUPTOR PARALELO (3 MÓDULOS), 10A/250V, SEM SUPORTE E SEM PLACA - FORNECIMENTO E INSTALAÇÃO. AF_03/2023</v>
          </cell>
          <cell r="D4689" t="str">
            <v>UN</v>
          </cell>
          <cell r="E4689">
            <v>94.57</v>
          </cell>
          <cell r="F4689">
            <v>0</v>
          </cell>
        </row>
        <row r="4690">
          <cell r="B4690">
            <v>91985</v>
          </cell>
          <cell r="C4690" t="str">
            <v>INTERRUPTOR PULSADOR CAMPAINHA (1 MÓDULO), 10A/250V, INCLUINDO SUPORTE E PLACA - FORNECIMENTO E INSTALAÇÃO. AF_03/2023</v>
          </cell>
          <cell r="D4690" t="str">
            <v>UN</v>
          </cell>
          <cell r="E4690">
            <v>39.53</v>
          </cell>
          <cell r="F4690">
            <v>0</v>
          </cell>
        </row>
        <row r="4691">
          <cell r="B4691">
            <v>91984</v>
          </cell>
          <cell r="C4691" t="str">
            <v>INTERRUPTOR PULSADOR CAMPAINHA (1 MÓDULO), 10A/250V, SEM SUPORTE E SEM PLACA - FORNECIMENTO E INSTALAÇÃO. AF_03/2023</v>
          </cell>
          <cell r="D4691" t="str">
            <v>UN</v>
          </cell>
          <cell r="E4691">
            <v>24.61</v>
          </cell>
          <cell r="F4691">
            <v>0</v>
          </cell>
        </row>
        <row r="4692">
          <cell r="B4692">
            <v>91989</v>
          </cell>
          <cell r="C4692" t="str">
            <v>INTERRUPTOR PULSADOR MINUTERIA (1 MÓDULO), 10A/250V, INCLUINDO SUPORTE E PLACA - FORNECIMENTO E INSTALAÇÃO. AF_03/2023</v>
          </cell>
          <cell r="D4692" t="str">
            <v>UN</v>
          </cell>
          <cell r="E4692">
            <v>43.93</v>
          </cell>
          <cell r="F4692">
            <v>0</v>
          </cell>
        </row>
        <row r="4693">
          <cell r="B4693">
            <v>91988</v>
          </cell>
          <cell r="C4693" t="str">
            <v>INTERRUPTOR PULSADOR MINUTERIA (1 MÓDULO), 10A/250V, SEM SUPORTE E SEM PLACA - FORNECIMENTO E INSTALAÇÃO. AF_03/2023</v>
          </cell>
          <cell r="D4693" t="str">
            <v>UN</v>
          </cell>
          <cell r="E4693">
            <v>29.01</v>
          </cell>
          <cell r="F4693">
            <v>0</v>
          </cell>
        </row>
        <row r="4694">
          <cell r="B4694">
            <v>92023</v>
          </cell>
          <cell r="C4694" t="str">
            <v>INTERRUPTOR SIMPLES (1 MÓDULO) COM 1 TOMADA DE EMBUTIR 2P+T 10 A, INCLUINDO SUPORTE E PLACA - FORNECIMENTO E INSTALAÇÃO. AF_03/2023</v>
          </cell>
          <cell r="D4694" t="str">
            <v>UN</v>
          </cell>
          <cell r="E4694">
            <v>69.349999999999994</v>
          </cell>
          <cell r="F4694">
            <v>0</v>
          </cell>
        </row>
        <row r="4695">
          <cell r="B4695">
            <v>92022</v>
          </cell>
          <cell r="C4695" t="str">
            <v>INTERRUPTOR SIMPLES (1 MÓDULO) COM 1 TOMADA DE EMBUTIR 2P+T 10 A, SEM SUPORTE E SEM PLACA - FORNECIMENTO E INSTALAÇÃO. AF_03/2023</v>
          </cell>
          <cell r="D4695" t="str">
            <v>UN</v>
          </cell>
          <cell r="E4695">
            <v>54.43</v>
          </cell>
          <cell r="F4695">
            <v>0</v>
          </cell>
        </row>
        <row r="4696">
          <cell r="B4696">
            <v>92025</v>
          </cell>
          <cell r="C4696" t="str">
            <v>INTERRUPTOR SIMPLES (1 MÓDULO) COM 2 TOMADAS DE EMBUTIR 2P+T 10 A, INCLUINDO SUPORTE E PLACA - FORNECIMENTO E INSTALAÇÃO. AF_03/2023</v>
          </cell>
          <cell r="D4696" t="str">
            <v>UN</v>
          </cell>
          <cell r="E4696">
            <v>98.04</v>
          </cell>
          <cell r="F4696">
            <v>0</v>
          </cell>
        </row>
        <row r="4697">
          <cell r="B4697">
            <v>92024</v>
          </cell>
          <cell r="C4697" t="str">
            <v>INTERRUPTOR SIMPLES (1 MÓDULO) COM 2 TOMADAS DE EMBUTIR 2P+T 10 A, SEM SUPORTE E SEM PLACA - FORNECIMENTO E INSTALAÇÃO. AF_03/2023</v>
          </cell>
          <cell r="D4697" t="str">
            <v>UN</v>
          </cell>
          <cell r="E4697">
            <v>83.12</v>
          </cell>
          <cell r="F4697">
            <v>0</v>
          </cell>
        </row>
        <row r="4698">
          <cell r="B4698">
            <v>91957</v>
          </cell>
          <cell r="C4698" t="str">
            <v>INTERRUPTOR SIMPLES (1 MÓDULO) COM INTERRUPTOR PARALELO (1 MÓDULO), 10A/250V, INCLUINDO SUPORTE E PLACA - FORNECIMENTO E INSTALAÇÃO. AF_03/2023</v>
          </cell>
          <cell r="D4698" t="str">
            <v>UN</v>
          </cell>
          <cell r="E4698">
            <v>70.58</v>
          </cell>
          <cell r="F4698">
            <v>0</v>
          </cell>
        </row>
        <row r="4699">
          <cell r="B4699">
            <v>91956</v>
          </cell>
          <cell r="C4699" t="str">
            <v>INTERRUPTOR SIMPLES (1 MÓDULO) COM INTERRUPTOR PARALELO (1 MÓDULO), 10A/250V, SEM SUPORTE E SEM PLACA - FORNECIMENTO E INSTALAÇÃO. AF_03/2023</v>
          </cell>
          <cell r="D4699" t="str">
            <v>UN</v>
          </cell>
          <cell r="E4699">
            <v>55.66</v>
          </cell>
          <cell r="F4699">
            <v>0</v>
          </cell>
        </row>
        <row r="4700">
          <cell r="B4700">
            <v>91963</v>
          </cell>
          <cell r="C4700" t="str">
            <v>INTERRUPTOR SIMPLES (1 MÓDULO) COM INTERRUPTOR PARALELO (2 MÓDULOS), 10A/250V, INCLUINDO SUPORTE E PLACA - FORNECIMENTO E INSTALAÇÃO. AF_03/2023</v>
          </cell>
          <cell r="D4700" t="str">
            <v>UN</v>
          </cell>
          <cell r="E4700">
            <v>100.5</v>
          </cell>
          <cell r="F4700">
            <v>0</v>
          </cell>
        </row>
        <row r="4701">
          <cell r="B4701">
            <v>91962</v>
          </cell>
          <cell r="C4701" t="str">
            <v>INTERRUPTOR SIMPLES (1 MÓDULO) COM INTERRUPTOR PARALELO (2 MÓDULOS), 10A/250V, SEM SUPORTE E SEM PLACA - FORNECIMENTO E INSTALAÇÃO. AF_03/2023</v>
          </cell>
          <cell r="D4701" t="str">
            <v>UN</v>
          </cell>
          <cell r="E4701">
            <v>85.58</v>
          </cell>
          <cell r="F4701">
            <v>0</v>
          </cell>
        </row>
        <row r="4702">
          <cell r="B4702">
            <v>91953</v>
          </cell>
          <cell r="C4702" t="str">
            <v>INTERRUPTOR SIMPLES (1 MÓDULO), 10A/250V, INCLUINDO SUPORTE E PLACA - FORNECIMENTO E INSTALAÇÃO. AF_03/2023</v>
          </cell>
          <cell r="D4702" t="str">
            <v>UN</v>
          </cell>
          <cell r="E4702">
            <v>40.74</v>
          </cell>
          <cell r="F4702">
            <v>0</v>
          </cell>
        </row>
        <row r="4703">
          <cell r="B4703">
            <v>91952</v>
          </cell>
          <cell r="C4703" t="str">
            <v>INTERRUPTOR SIMPLES (1 MÓDULO), 10A/250V, SEM SUPORTE E SEM PLACA - FORNECIMENTO E INSTALAÇÃO. AF_03/2023</v>
          </cell>
          <cell r="D4703" t="str">
            <v>UN</v>
          </cell>
          <cell r="E4703">
            <v>25.82</v>
          </cell>
          <cell r="F4703">
            <v>0</v>
          </cell>
        </row>
        <row r="4704">
          <cell r="B4704">
            <v>92035</v>
          </cell>
          <cell r="C4704" t="str">
            <v>INTERRUPTOR SIMPLES (1 MÓDULO), INTERRUPTOR PARALELO (1 MÓDULO) E 1 TOMADA DE EMBUTIR 2P+T 10 A, INCLUINDO SUPORTE E PLACA - FORNECIMENTO E INSTALAÇÃO. AF_03/2023</v>
          </cell>
          <cell r="D4704" t="str">
            <v>UN</v>
          </cell>
          <cell r="E4704">
            <v>99.27</v>
          </cell>
          <cell r="F4704">
            <v>0</v>
          </cell>
        </row>
        <row r="4705">
          <cell r="B4705">
            <v>92034</v>
          </cell>
          <cell r="C4705" t="str">
            <v>INTERRUPTOR SIMPLES (1 MÓDULO), INTERRUPTOR PARALELO (1 MÓDULO) E 1 TOMADA DE EMBUTIR 2P+T 10 A, SEM SUPORTE E SEM PLACA - FORNECIMENTO E INSTALAÇÃO. AF_03/2023</v>
          </cell>
          <cell r="D4705" t="str">
            <v>UN</v>
          </cell>
          <cell r="E4705">
            <v>84.35</v>
          </cell>
          <cell r="F4705">
            <v>0</v>
          </cell>
        </row>
        <row r="4706">
          <cell r="B4706">
            <v>92027</v>
          </cell>
          <cell r="C4706" t="str">
            <v>INTERRUPTOR SIMPLES (2 MÓDULOS) COM 1 TOMADA DE EMBUTIR 2P+T 10 A, INCLUINDO SUPORTE E PLACA - FORNECIMENTO E INSTALAÇÃO. AF_03/2023</v>
          </cell>
          <cell r="D4706" t="str">
            <v>UN</v>
          </cell>
          <cell r="E4706">
            <v>90.28</v>
          </cell>
          <cell r="F4706">
            <v>0</v>
          </cell>
        </row>
        <row r="4707">
          <cell r="B4707">
            <v>92026</v>
          </cell>
          <cell r="C4707" t="str">
            <v>INTERRUPTOR SIMPLES (2 MÓDULOS) COM 1 TOMADA DE EMBUTIR 2P+T 10 A, SEM SUPORTE E SEM PLACA - FORNECIMENTO E INSTALAÇÃO. AF_03/2023</v>
          </cell>
          <cell r="D4707" t="str">
            <v>UN</v>
          </cell>
          <cell r="E4707">
            <v>75.36</v>
          </cell>
          <cell r="F4707">
            <v>0</v>
          </cell>
        </row>
        <row r="4708">
          <cell r="B4708">
            <v>91965</v>
          </cell>
          <cell r="C4708" t="str">
            <v>INTERRUPTOR SIMPLES (2 MÓDULOS) COM INTERRUPTOR PARALELO (1 MÓDULO), 10A/250V, INCLUINDO SUPORTE E PLACA - FORNECIMENTO E INSTALAÇÃO. AF_03/2023</v>
          </cell>
          <cell r="D4708" t="str">
            <v>UN</v>
          </cell>
          <cell r="E4708">
            <v>91.51</v>
          </cell>
          <cell r="F4708">
            <v>0</v>
          </cell>
        </row>
        <row r="4709">
          <cell r="B4709">
            <v>91964</v>
          </cell>
          <cell r="C4709" t="str">
            <v>INTERRUPTOR SIMPLES (2 MÓDULOS) COM INTERRUPTOR PARALELO (1 MÓDULO), 10A/250V, SEM SUPORTE E SEM PLACA - FORNECIMENTO E INSTALAÇÃO. AF_03/2023</v>
          </cell>
          <cell r="D4709" t="str">
            <v>UN</v>
          </cell>
          <cell r="E4709">
            <v>76.59</v>
          </cell>
          <cell r="F4709">
            <v>0</v>
          </cell>
        </row>
        <row r="4710">
          <cell r="B4710">
            <v>91973</v>
          </cell>
          <cell r="C4710" t="str">
            <v>INTERRUPTOR SIMPLES (2 MÓDULOS) COM INTERRUPTOR PARALELO (2 MÓDULOS), 10A/250V, INCLUINDO SUPORTE E PLACA - FORNECIMENTO E INSTALAÇÃO. AF_03/2023</v>
          </cell>
          <cell r="D4710" t="str">
            <v>UN</v>
          </cell>
          <cell r="E4710">
            <v>128.12</v>
          </cell>
          <cell r="F4710">
            <v>0</v>
          </cell>
        </row>
        <row r="4711">
          <cell r="B4711">
            <v>91972</v>
          </cell>
          <cell r="C4711" t="str">
            <v>INTERRUPTOR SIMPLES (2 MÓDULOS) COM INTERRUPTOR PARALELO (2 MÓDULOS), 10A/250V, SEM SUPORTE E SEM PLACA - FORNECIMENTO E INSTALAÇÃO. AF_03/2023</v>
          </cell>
          <cell r="D4711" t="str">
            <v>UN</v>
          </cell>
          <cell r="E4711">
            <v>107.14</v>
          </cell>
          <cell r="F4711">
            <v>0</v>
          </cell>
        </row>
        <row r="4712">
          <cell r="B4712">
            <v>91959</v>
          </cell>
          <cell r="C4712" t="str">
            <v>INTERRUPTOR SIMPLES (2 MÓDULOS), 10A/250V, INCLUINDO SUPORTE E PLACA - FORNECIMENTO E INSTALAÇÃO. AF_03/2023</v>
          </cell>
          <cell r="D4712" t="str">
            <v>UN</v>
          </cell>
          <cell r="E4712">
            <v>61.67</v>
          </cell>
          <cell r="F4712">
            <v>0</v>
          </cell>
        </row>
        <row r="4713">
          <cell r="B4713">
            <v>91958</v>
          </cell>
          <cell r="C4713" t="str">
            <v>INTERRUPTOR SIMPLES (2 MÓDULOS), 10A/250V, SEM SUPORTE E SEM PLACA - FORNECIMENTO E INSTALAÇÃO. AF_03/2023</v>
          </cell>
          <cell r="D4713" t="str">
            <v>UN</v>
          </cell>
          <cell r="E4713">
            <v>46.75</v>
          </cell>
          <cell r="F4713">
            <v>0</v>
          </cell>
        </row>
        <row r="4714">
          <cell r="B4714">
            <v>91971</v>
          </cell>
          <cell r="C4714" t="str">
            <v>INTERRUPTOR SIMPLES (3 MÓDULOS) COM INTERRUPTOR PARALELO (1 MÓDULO), 10A/250V, INCLUINDO SUPORTE E PLACA - FORNECIMENTO E INSTALAÇÃO. AF_03/2023</v>
          </cell>
          <cell r="D4714" t="str">
            <v>UN</v>
          </cell>
          <cell r="E4714">
            <v>119.05</v>
          </cell>
          <cell r="F4714">
            <v>0</v>
          </cell>
        </row>
        <row r="4715">
          <cell r="B4715">
            <v>91970</v>
          </cell>
          <cell r="C4715" t="str">
            <v>INTERRUPTOR SIMPLES (3 MÓDULOS) COM INTERRUPTOR PARALELO (1 MÓDULO), 10A/250V, SEM SUPORTE E SEM PLACA - FORNECIMENTO E INSTALAÇÃO. AF_03/2023</v>
          </cell>
          <cell r="D4715" t="str">
            <v>UN</v>
          </cell>
          <cell r="E4715">
            <v>98.07</v>
          </cell>
          <cell r="F4715">
            <v>0</v>
          </cell>
        </row>
        <row r="4716">
          <cell r="B4716">
            <v>91967</v>
          </cell>
          <cell r="C4716" t="str">
            <v>INTERRUPTOR SIMPLES (3 MÓDULOS), 10A/250V, INCLUINDO SUPORTE E PLACA - FORNECIMENTO E INSTALAÇÃO. AF_03/2023</v>
          </cell>
          <cell r="D4716" t="str">
            <v>UN</v>
          </cell>
          <cell r="E4716">
            <v>82.6</v>
          </cell>
          <cell r="F4716">
            <v>0</v>
          </cell>
        </row>
        <row r="4717">
          <cell r="B4717">
            <v>91966</v>
          </cell>
          <cell r="C4717" t="str">
            <v>INTERRUPTOR SIMPLES (3 MÓDULOS), 10A/250V, SEM SUPORTE E SEM PLACA - FORNECIMENTO E INSTALAÇÃO. AF_03/2023</v>
          </cell>
          <cell r="D4717" t="str">
            <v>UN</v>
          </cell>
          <cell r="E4717">
            <v>67.680000000000007</v>
          </cell>
          <cell r="F4717">
            <v>0</v>
          </cell>
        </row>
        <row r="4718">
          <cell r="B4718">
            <v>91975</v>
          </cell>
          <cell r="C4718" t="str">
            <v>INTERRUPTOR SIMPLES (4 MÓDULOS), 10A/250V, INCLUINDO SUPORTE E PLACA - FORNECIMENTO E INSTALAÇÃO. AF_03/2023</v>
          </cell>
          <cell r="D4718" t="str">
            <v>UN</v>
          </cell>
          <cell r="E4718">
            <v>110.06</v>
          </cell>
          <cell r="F4718">
            <v>0</v>
          </cell>
        </row>
        <row r="4719">
          <cell r="B4719">
            <v>91974</v>
          </cell>
          <cell r="C4719" t="str">
            <v>INTERRUPTOR SIMPLES (4 MÓDULOS), 10A/250V, SEM SUPORTE E SEM PLACA - FORNECIMENTO E INSTALAÇÃO. AF_03/2023</v>
          </cell>
          <cell r="D4719" t="str">
            <v>UN</v>
          </cell>
          <cell r="E4719">
            <v>89.08</v>
          </cell>
          <cell r="F4719">
            <v>0</v>
          </cell>
        </row>
        <row r="4720">
          <cell r="B4720">
            <v>91977</v>
          </cell>
          <cell r="C4720" t="str">
            <v>INTERRUPTOR SIMPLES (6 MÓDULOS), 10A/250V, INCLUINDO SUPORTE E PLACA - FORNECIMENTO E INSTALAÇÃO. AF_03/2023</v>
          </cell>
          <cell r="D4720" t="str">
            <v>UN</v>
          </cell>
          <cell r="E4720">
            <v>151.99</v>
          </cell>
          <cell r="F4720">
            <v>0</v>
          </cell>
        </row>
        <row r="4721">
          <cell r="B4721">
            <v>91976</v>
          </cell>
          <cell r="C4721" t="str">
            <v>INTERRUPTOR SIMPLES (6 MÓDULOS), 10A/250V, SEM SUPORTE E SEM PLACA - FORNECIMENTO E INSTALAÇÃO. AF_03/2023</v>
          </cell>
          <cell r="D4721" t="str">
            <v>UN</v>
          </cell>
          <cell r="E4721">
            <v>131.01</v>
          </cell>
          <cell r="F4721">
            <v>0</v>
          </cell>
        </row>
        <row r="4722">
          <cell r="B4722">
            <v>91874</v>
          </cell>
          <cell r="C4722" t="str">
            <v>LUVA PARA ELETRODUTO, PVC, ROSCÁVEL, DN 20 MM (1/2"), PARA CIRCUITOS TERMINAIS, INSTALADA EM FORRO - FORNECIMENTO E INSTALAÇÃO. AF_03/2023</v>
          </cell>
          <cell r="D4722" t="str">
            <v>UN</v>
          </cell>
          <cell r="E4722">
            <v>10.210000000000001</v>
          </cell>
          <cell r="F4722">
            <v>0</v>
          </cell>
        </row>
        <row r="4723">
          <cell r="B4723">
            <v>91878</v>
          </cell>
          <cell r="C4723" t="str">
            <v>LUVA PARA ELETRODUTO, PVC, ROSCÁVEL, DN 20 MM (1/2"), PARA CIRCUITOS TERMINAIS, INSTALADA EM LAJE - FORNECIMENTO E INSTALAÇÃO. AF_03/2023</v>
          </cell>
          <cell r="D4723" t="str">
            <v>UN</v>
          </cell>
          <cell r="E4723">
            <v>7.92</v>
          </cell>
          <cell r="F4723">
            <v>0</v>
          </cell>
        </row>
        <row r="4724">
          <cell r="B4724">
            <v>91882</v>
          </cell>
          <cell r="C4724" t="str">
            <v>LUVA PARA ELETRODUTO, PVC, ROSCÁVEL, DN 20 MM (1/2"), PARA CIRCUITOS TERMINAIS, INSTALADA EM PAREDE - FORNECIMENTO E INSTALAÇÃO. AF_03/2023</v>
          </cell>
          <cell r="D4724" t="str">
            <v>UN</v>
          </cell>
          <cell r="E4724">
            <v>14.97</v>
          </cell>
          <cell r="F4724">
            <v>0</v>
          </cell>
        </row>
        <row r="4725">
          <cell r="B4725">
            <v>91875</v>
          </cell>
          <cell r="C4725" t="str">
            <v>LUVA PARA ELETRODUTO, PVC, ROSCÁVEL, DN 25 MM (3/4"), PARA CIRCUITOS TERMINAIS, INSTALADA EM FORRO - FORNECIMENTO E INSTALAÇÃO. AF_03/2023</v>
          </cell>
          <cell r="D4725" t="str">
            <v>UN</v>
          </cell>
          <cell r="E4725">
            <v>11.81</v>
          </cell>
          <cell r="F4725">
            <v>0</v>
          </cell>
        </row>
        <row r="4726">
          <cell r="B4726">
            <v>91879</v>
          </cell>
          <cell r="C4726" t="str">
            <v>LUVA PARA ELETRODUTO, PVC, ROSCÁVEL, DN 25 MM (3/4"), PARA CIRCUITOS TERMINAIS, INSTALADA EM LAJE - FORNECIMENTO E INSTALAÇÃO. AF_03/2023</v>
          </cell>
          <cell r="D4726" t="str">
            <v>UN</v>
          </cell>
          <cell r="E4726">
            <v>9.51</v>
          </cell>
          <cell r="F4726">
            <v>0</v>
          </cell>
        </row>
        <row r="4727">
          <cell r="B4727">
            <v>91884</v>
          </cell>
          <cell r="C4727" t="str">
            <v>LUVA PARA ELETRODUTO, PVC, ROSCÁVEL, DN 25 MM (3/4"), PARA CIRCUITOS TERMINAIS, INSTALADA EM PAREDE - FORNECIMENTO E INSTALAÇÃO. AF_03/2023</v>
          </cell>
          <cell r="D4727" t="str">
            <v>UN</v>
          </cell>
          <cell r="E4727">
            <v>16.559999999999999</v>
          </cell>
          <cell r="F4727">
            <v>0</v>
          </cell>
        </row>
        <row r="4728">
          <cell r="B4728">
            <v>91876</v>
          </cell>
          <cell r="C4728" t="str">
            <v>LUVA PARA ELETRODUTO, PVC, ROSCÁVEL, DN 32 MM (1"), PARA CIRCUITOS TERMINAIS, INSTALADA EM FORRO - FORNECIMENTO E INSTALAÇÃO. AF_03/2023</v>
          </cell>
          <cell r="D4728" t="str">
            <v>UN</v>
          </cell>
          <cell r="E4728">
            <v>14</v>
          </cell>
          <cell r="F4728">
            <v>0</v>
          </cell>
        </row>
        <row r="4729">
          <cell r="B4729">
            <v>91880</v>
          </cell>
          <cell r="C4729" t="str">
            <v>LUVA PARA ELETRODUTO, PVC, ROSCÁVEL, DN 32 MM (1"), PARA CIRCUITOS TERMINAIS, INSTALADA EM LAJE - FORNECIMENTO E INSTALAÇÃO. AF_03/2023</v>
          </cell>
          <cell r="D4729" t="str">
            <v>UN</v>
          </cell>
          <cell r="E4729">
            <v>11.71</v>
          </cell>
          <cell r="F4729">
            <v>0</v>
          </cell>
        </row>
        <row r="4730">
          <cell r="B4730">
            <v>91885</v>
          </cell>
          <cell r="C4730" t="str">
            <v>LUVA PARA ELETRODUTO, PVC, ROSCÁVEL, DN 32 MM (1"), PARA CIRCUITOS TERMINAIS, INSTALADA EM PAREDE - FORNECIMENTO E INSTALAÇÃO. AF_03/2023</v>
          </cell>
          <cell r="D4730" t="str">
            <v>UN</v>
          </cell>
          <cell r="E4730">
            <v>18.68</v>
          </cell>
          <cell r="F4730">
            <v>0</v>
          </cell>
        </row>
        <row r="4731">
          <cell r="B4731">
            <v>91877</v>
          </cell>
          <cell r="C4731" t="str">
            <v>LUVA PARA ELETRODUTO, PVC, ROSCÁVEL, DN 40 MM (1 1/4"), PARA CIRCUITOS TERMINAIS, INSTALADA EM FORRO - FORNECIMENTO E INSTALAÇÃO. AF_03/2023</v>
          </cell>
          <cell r="D4731" t="str">
            <v>UN</v>
          </cell>
          <cell r="E4731">
            <v>16.809999999999999</v>
          </cell>
          <cell r="F4731">
            <v>0</v>
          </cell>
        </row>
        <row r="4732">
          <cell r="B4732">
            <v>91881</v>
          </cell>
          <cell r="C4732" t="str">
            <v>LUVA PARA ELETRODUTO, PVC, ROSCÁVEL, DN 40 MM (1 1/4"), PARA CIRCUITOS TERMINAIS, INSTALADA EM LAJE - FORNECIMENTO E INSTALAÇÃO. AF_03/2023</v>
          </cell>
          <cell r="D4732" t="str">
            <v>UN</v>
          </cell>
          <cell r="E4732">
            <v>14.52</v>
          </cell>
          <cell r="F4732">
            <v>0</v>
          </cell>
        </row>
        <row r="4733">
          <cell r="B4733">
            <v>91886</v>
          </cell>
          <cell r="C4733" t="str">
            <v>LUVA PARA ELETRODUTO, PVC, ROSCÁVEL, DN 40 MM (1 1/4"), PARA CIRCUITOS TERMINAIS, INSTALADA EM PAREDE - FORNECIMENTO E INSTALAÇÃO. AF_03/2023</v>
          </cell>
          <cell r="D4733" t="str">
            <v>UN</v>
          </cell>
          <cell r="E4733">
            <v>21.4</v>
          </cell>
          <cell r="F4733">
            <v>0</v>
          </cell>
        </row>
        <row r="4734">
          <cell r="B4734">
            <v>91945</v>
          </cell>
          <cell r="C4734" t="str">
            <v>SUPORTE PARAFUSADO COM PLACA DE ENCAIXE 4" X 2" ALTO (2,00 M DO PISO) PARA PONTO ELÉTRICO - FORNECIMENTO E INSTALAÇÃO. AF_03/2023</v>
          </cell>
          <cell r="D4734" t="str">
            <v>UN</v>
          </cell>
          <cell r="E4734">
            <v>19.600000000000001</v>
          </cell>
          <cell r="F4734">
            <v>0</v>
          </cell>
        </row>
        <row r="4735">
          <cell r="B4735">
            <v>91947</v>
          </cell>
          <cell r="C4735" t="str">
            <v>SUPORTE PARAFUSADO COM PLACA DE ENCAIXE 4" X 2" BAIXO (0,30 M DO PISO) PARA PONTO ELÉTRICO - FORNECIMENTO E INSTALAÇÃO. AF_03/2023</v>
          </cell>
          <cell r="D4735" t="str">
            <v>UN</v>
          </cell>
          <cell r="E4735">
            <v>11.99</v>
          </cell>
          <cell r="F4735">
            <v>0</v>
          </cell>
        </row>
        <row r="4736">
          <cell r="B4736">
            <v>91946</v>
          </cell>
          <cell r="C4736" t="str">
            <v>SUPORTE PARAFUSADO COM PLACA DE ENCAIXE 4" X 2" MÉDIO (1,30 M DO PISO) PARA PONTO ELÉTRICO - FORNECIMENTO E INSTALAÇÃO. AF_03/2023</v>
          </cell>
          <cell r="D4736" t="str">
            <v>UN</v>
          </cell>
          <cell r="E4736">
            <v>14.92</v>
          </cell>
          <cell r="F4736">
            <v>0</v>
          </cell>
        </row>
        <row r="4737">
          <cell r="B4737">
            <v>91949</v>
          </cell>
          <cell r="C4737" t="str">
            <v>SUPORTE PARAFUSADO COM PLACA DE ENCAIXE 4" X 4" ALTO (2,00 M DO PISO) PARA PONTO ELÉTRICO - FORNECIMENTO E INSTALAÇÃO. AF_03/2023</v>
          </cell>
          <cell r="D4737" t="str">
            <v>UN</v>
          </cell>
          <cell r="E4737">
            <v>26.68</v>
          </cell>
          <cell r="F4737">
            <v>0</v>
          </cell>
        </row>
        <row r="4738">
          <cell r="B4738">
            <v>91951</v>
          </cell>
          <cell r="C4738" t="str">
            <v>SUPORTE PARAFUSADO COM PLACA DE ENCAIXE 4" X 4" BAIXO (0,30 M DO PISO) PARA PONTO ELÉTRICO - FORNECIMENTO E INSTALAÇÃO. AF_03/2023</v>
          </cell>
          <cell r="D4738" t="str">
            <v>UN</v>
          </cell>
          <cell r="E4738">
            <v>17.579999999999998</v>
          </cell>
          <cell r="F4738">
            <v>0</v>
          </cell>
        </row>
        <row r="4739">
          <cell r="B4739">
            <v>91950</v>
          </cell>
          <cell r="C4739" t="str">
            <v>SUPORTE PARAFUSADO COM PLACA DE ENCAIXE 4" X 4" MÉDIO (1,30 M DO PISO) PARA PONTO ELÉTRICO - FORNECIMENTO E INSTALAÇÃO. AF_03/2023</v>
          </cell>
          <cell r="D4739" t="str">
            <v>UN</v>
          </cell>
          <cell r="E4739">
            <v>20.98</v>
          </cell>
          <cell r="F4739">
            <v>0</v>
          </cell>
        </row>
        <row r="4740">
          <cell r="B4740">
            <v>91992</v>
          </cell>
          <cell r="C4740" t="str">
            <v>TOMADA ALTA DE EMBUTIR (1 MÓDULO), 2P+T 10 A, INCLUINDO SUPORTE E PLACA - FORNECIMENTO E INSTALAÇÃO. AF_03/2023</v>
          </cell>
          <cell r="D4740" t="str">
            <v>UN</v>
          </cell>
          <cell r="E4740">
            <v>63.86</v>
          </cell>
          <cell r="F4740">
            <v>0</v>
          </cell>
        </row>
        <row r="4741">
          <cell r="B4741">
            <v>91990</v>
          </cell>
          <cell r="C4741" t="str">
            <v>TOMADA ALTA DE EMBUTIR (1 MÓDULO), 2P+T 10 A, SEM SUPORTE E SEM PLACA - FORNECIMENTO E INSTALAÇÃO. AF_03/2023</v>
          </cell>
          <cell r="D4741" t="str">
            <v>UN</v>
          </cell>
          <cell r="E4741">
            <v>48.94</v>
          </cell>
          <cell r="F4741">
            <v>0</v>
          </cell>
        </row>
        <row r="4742">
          <cell r="B4742">
            <v>91993</v>
          </cell>
          <cell r="C4742" t="str">
            <v>TOMADA ALTA DE EMBUTIR (1 MÓDULO), 2P+T 20 A, INCLUINDO SUPORTE E PLACA - FORNECIMENTO E INSTALAÇÃO. AF_03/2023</v>
          </cell>
          <cell r="D4742" t="str">
            <v>UN</v>
          </cell>
          <cell r="E4742">
            <v>66.23</v>
          </cell>
          <cell r="F4742">
            <v>0</v>
          </cell>
        </row>
        <row r="4743">
          <cell r="B4743">
            <v>91991</v>
          </cell>
          <cell r="C4743" t="str">
            <v>TOMADA ALTA DE EMBUTIR (1 MÓDULO), 2P+T 20 A, SEM SUPORTE E SEM PLACA - FORNECIMENTO E INSTALAÇÃO. AF_03/2023</v>
          </cell>
          <cell r="D4743" t="str">
            <v>UN</v>
          </cell>
          <cell r="E4743">
            <v>51.31</v>
          </cell>
          <cell r="F4743">
            <v>0</v>
          </cell>
        </row>
        <row r="4744">
          <cell r="B4744">
            <v>92000</v>
          </cell>
          <cell r="C4744" t="str">
            <v>TOMADA BAIXA DE EMBUTIR (1 MÓDULO), 2P+T 10 A, INCLUINDO SUPORTE E PLACA - FORNECIMENTO E INSTALAÇÃO. AF_03/2023</v>
          </cell>
          <cell r="D4744" t="str">
            <v>UN</v>
          </cell>
          <cell r="E4744">
            <v>42.56</v>
          </cell>
          <cell r="F4744">
            <v>0</v>
          </cell>
        </row>
        <row r="4745">
          <cell r="B4745">
            <v>91998</v>
          </cell>
          <cell r="C4745" t="str">
            <v>TOMADA BAIXA DE EMBUTIR (1 MÓDULO), 2P+T 10 A, SEM SUPORTE E SEM PLACA - FORNECIMENTO E INSTALAÇÃO. AF_03/2023</v>
          </cell>
          <cell r="D4745" t="str">
            <v>UN</v>
          </cell>
          <cell r="E4745">
            <v>27.64</v>
          </cell>
          <cell r="F4745">
            <v>0</v>
          </cell>
        </row>
        <row r="4746">
          <cell r="B4746">
            <v>92001</v>
          </cell>
          <cell r="C4746" t="str">
            <v>TOMADA BAIXA DE EMBUTIR (1 MÓDULO), 2P+T 20 A, INCLUINDO SUPORTE E PLACA - FORNECIMENTO E INSTALAÇÃO. AF_03/2023</v>
          </cell>
          <cell r="D4746" t="str">
            <v>UN</v>
          </cell>
          <cell r="E4746">
            <v>44.93</v>
          </cell>
          <cell r="F4746">
            <v>0</v>
          </cell>
        </row>
        <row r="4747">
          <cell r="B4747">
            <v>91999</v>
          </cell>
          <cell r="C4747" t="str">
            <v>TOMADA BAIXA DE EMBUTIR (1 MÓDULO), 2P+T 20 A, SEM SUPORTE E SEM PLACA - FORNECIMENTO E INSTALAÇÃO. AF_03/2023</v>
          </cell>
          <cell r="D4747" t="str">
            <v>UN</v>
          </cell>
          <cell r="E4747">
            <v>30.01</v>
          </cell>
          <cell r="F4747">
            <v>0</v>
          </cell>
        </row>
        <row r="4748">
          <cell r="B4748">
            <v>92008</v>
          </cell>
          <cell r="C4748" t="str">
            <v>TOMADA BAIXA DE EMBUTIR (2 MÓDULOS), 2P+T 10 A, INCLUINDO SUPORTE E PLACA - FORNECIMENTO E INSTALAÇÃO. AF_03/2023</v>
          </cell>
          <cell r="D4748" t="str">
            <v>UN</v>
          </cell>
          <cell r="E4748">
            <v>65.239999999999995</v>
          </cell>
          <cell r="F4748">
            <v>0</v>
          </cell>
        </row>
        <row r="4749">
          <cell r="B4749">
            <v>92006</v>
          </cell>
          <cell r="C4749" t="str">
            <v>TOMADA BAIXA DE EMBUTIR (2 MÓDULOS), 2P+T 10 A, SEM SUPORTE E SEM PLACA - FORNECIMENTO E INSTALAÇÃO. AF_03/2023</v>
          </cell>
          <cell r="D4749" t="str">
            <v>UN</v>
          </cell>
          <cell r="E4749">
            <v>50.32</v>
          </cell>
          <cell r="F4749">
            <v>0</v>
          </cell>
        </row>
        <row r="4750">
          <cell r="B4750">
            <v>92009</v>
          </cell>
          <cell r="C4750" t="str">
            <v>TOMADA BAIXA DE EMBUTIR (2 MÓDULOS), 2P+T 20 A, INCLUINDO SUPORTE E PLACA - FORNECIMENTO E INSTALAÇÃO. AF_03/2023</v>
          </cell>
          <cell r="D4750" t="str">
            <v>UN</v>
          </cell>
          <cell r="E4750">
            <v>69.98</v>
          </cell>
          <cell r="F4750">
            <v>0</v>
          </cell>
        </row>
        <row r="4751">
          <cell r="B4751">
            <v>92007</v>
          </cell>
          <cell r="C4751" t="str">
            <v>TOMADA BAIXA DE EMBUTIR (2 MÓDULOS), 2P+T 20 A, SEM SUPORTE E SEM PLACA - FORNECIMENTO E INSTALAÇÃO. AF_03/2023</v>
          </cell>
          <cell r="D4751" t="str">
            <v>UN</v>
          </cell>
          <cell r="E4751">
            <v>55.06</v>
          </cell>
          <cell r="F4751">
            <v>0</v>
          </cell>
        </row>
        <row r="4752">
          <cell r="B4752">
            <v>92016</v>
          </cell>
          <cell r="C4752" t="str">
            <v>TOMADA BAIXA DE EMBUTIR (3 MÓDULOS), 2P+T 10 A, INCLUINDO SUPORTE E PLACA - FORNECIMENTO E INSTALAÇÃO. AF_03/2023</v>
          </cell>
          <cell r="D4752" t="str">
            <v>UN</v>
          </cell>
          <cell r="E4752">
            <v>87.91</v>
          </cell>
          <cell r="F4752">
            <v>0</v>
          </cell>
        </row>
        <row r="4753">
          <cell r="B4753">
            <v>92014</v>
          </cell>
          <cell r="C4753" t="str">
            <v>TOMADA BAIXA DE EMBUTIR (3 MÓDULOS), 2P+T 10 A, SEM SUPORTE E SEM PLACA - FORNECIMENTO E INSTALAÇÃO. AF_03/2023</v>
          </cell>
          <cell r="D4753" t="str">
            <v>UN</v>
          </cell>
          <cell r="E4753">
            <v>72.989999999999995</v>
          </cell>
          <cell r="F4753">
            <v>0</v>
          </cell>
        </row>
        <row r="4754">
          <cell r="B4754">
            <v>92017</v>
          </cell>
          <cell r="C4754" t="str">
            <v>TOMADA BAIXA DE EMBUTIR (3 MÓDULOS), 2P+T 20 A, INCLUINDO SUPORTE E PLACA - FORNECIMENTO E INSTALAÇÃO. AF_03/2023</v>
          </cell>
          <cell r="D4754" t="str">
            <v>UN</v>
          </cell>
          <cell r="E4754">
            <v>95.02</v>
          </cell>
          <cell r="F4754">
            <v>0</v>
          </cell>
        </row>
        <row r="4755">
          <cell r="B4755">
            <v>92015</v>
          </cell>
          <cell r="C4755" t="str">
            <v>TOMADA BAIXA DE EMBUTIR (3 MÓDULOS), 2P+T 20 A, SEM SUPORTE E SEM PLACA - FORNECIMENTO E INSTALAÇÃO. AF_03/2023</v>
          </cell>
          <cell r="D4755" t="str">
            <v>UN</v>
          </cell>
          <cell r="E4755">
            <v>80.099999999999994</v>
          </cell>
          <cell r="F4755">
            <v>0</v>
          </cell>
        </row>
        <row r="4756">
          <cell r="B4756">
            <v>92019</v>
          </cell>
          <cell r="C4756" t="str">
            <v>TOMADA BAIXA DE EMBUTIR (4 MÓDULOS), 2P+T 10 A, INCLUINDO SUPORTE E PLACA - FORNECIMENTO E INSTALAÇÃO. AF_03/2023</v>
          </cell>
          <cell r="D4756" t="str">
            <v>UN</v>
          </cell>
          <cell r="E4756">
            <v>117.51</v>
          </cell>
          <cell r="F4756">
            <v>0</v>
          </cell>
        </row>
        <row r="4757">
          <cell r="B4757">
            <v>92018</v>
          </cell>
          <cell r="C4757" t="str">
            <v>TOMADA BAIXA DE EMBUTIR (4 MÓDULOS), 2P+T 10 A, SEM SUPORTE E SEM PLACA - FORNECIMENTO E INSTALAÇÃO. AF_03/2023</v>
          </cell>
          <cell r="D4757" t="str">
            <v>UN</v>
          </cell>
          <cell r="E4757">
            <v>96.53</v>
          </cell>
          <cell r="F4757">
            <v>0</v>
          </cell>
        </row>
        <row r="4758">
          <cell r="B4758">
            <v>92021</v>
          </cell>
          <cell r="C4758" t="str">
            <v>TOMADA BAIXA DE EMBUTIR (6 MÓDULOS), 2P+T 10 A, INCLUINDO SUPORTE E PLACA - FORNECIMENTO E INSTALAÇÃO. AF_03/2023</v>
          </cell>
          <cell r="D4758" t="str">
            <v>UN</v>
          </cell>
          <cell r="E4758">
            <v>163.25</v>
          </cell>
          <cell r="F4758">
            <v>0</v>
          </cell>
        </row>
        <row r="4759">
          <cell r="B4759">
            <v>92020</v>
          </cell>
          <cell r="C4759" t="str">
            <v>TOMADA BAIXA DE EMBUTIR (6 MÓDULOS), 2P+T 10 A, SEM SUPORTE E SEM PLACA - FORNECIMENTO E INSTALAÇÃO. AF_03/2023</v>
          </cell>
          <cell r="D4759" t="str">
            <v>UN</v>
          </cell>
          <cell r="E4759">
            <v>142.27000000000001</v>
          </cell>
          <cell r="F4759">
            <v>0</v>
          </cell>
        </row>
        <row r="4760">
          <cell r="B4760">
            <v>91996</v>
          </cell>
          <cell r="C4760" t="str">
            <v>TOMADA MÉDIA DE EMBUTIR (1 MÓDULO), 2P+T 10 A, INCLUINDO SUPORTE E PLACA - FORNECIMENTO E INSTALAÇÃO. AF_03/2023</v>
          </cell>
          <cell r="D4760" t="str">
            <v>UN</v>
          </cell>
          <cell r="E4760">
            <v>48.5</v>
          </cell>
          <cell r="F4760">
            <v>0</v>
          </cell>
        </row>
        <row r="4761">
          <cell r="B4761">
            <v>91994</v>
          </cell>
          <cell r="C4761" t="str">
            <v>TOMADA MÉDIA DE EMBUTIR (1 MÓDULO), 2P+T 10 A, SEM SUPORTE E SEM PLACA - FORNECIMENTO E INSTALAÇÃO. AF_03/2023</v>
          </cell>
          <cell r="D4761" t="str">
            <v>UN</v>
          </cell>
          <cell r="E4761">
            <v>33.58</v>
          </cell>
          <cell r="F4761">
            <v>0</v>
          </cell>
        </row>
        <row r="4762">
          <cell r="B4762">
            <v>91997</v>
          </cell>
          <cell r="C4762" t="str">
            <v>TOMADA MÉDIA DE EMBUTIR (1 MÓDULO), 2P+T 20 A, INCLUINDO SUPORTE E PLACA - FORNECIMENTO E INSTALAÇÃO. AF_03/2023</v>
          </cell>
          <cell r="D4762" t="str">
            <v>UN</v>
          </cell>
          <cell r="E4762">
            <v>50.87</v>
          </cell>
          <cell r="F4762">
            <v>0</v>
          </cell>
        </row>
        <row r="4763">
          <cell r="B4763">
            <v>91995</v>
          </cell>
          <cell r="C4763" t="str">
            <v>TOMADA MÉDIA DE EMBUTIR (1 MÓDULO), 2P+T 20 A, SEM SUPORTE E SEM PLACA - FORNECIMENTO E INSTALAÇÃO. AF_03/2023</v>
          </cell>
          <cell r="D4763" t="str">
            <v>UN</v>
          </cell>
          <cell r="E4763">
            <v>35.950000000000003</v>
          </cell>
          <cell r="F4763">
            <v>0</v>
          </cell>
        </row>
        <row r="4764">
          <cell r="B4764">
            <v>92004</v>
          </cell>
          <cell r="C4764" t="str">
            <v>TOMADA MÉDIA DE EMBUTIR (2 MÓDULOS), 2P+T 10 A, INCLUINDO SUPORTE E PLACA - FORNECIMENTO E INSTALAÇÃO. AF_03/2023</v>
          </cell>
          <cell r="D4764" t="str">
            <v>UN</v>
          </cell>
          <cell r="E4764">
            <v>77.19</v>
          </cell>
          <cell r="F4764">
            <v>0</v>
          </cell>
        </row>
        <row r="4765">
          <cell r="B4765">
            <v>92002</v>
          </cell>
          <cell r="C4765" t="str">
            <v>TOMADA MÉDIA DE EMBUTIR (2 MÓDULOS), 2P+T 10 A, SEM SUPORTE E SEM PLACA - FORNECIMENTO E INSTALAÇÃO. AF_03/2023</v>
          </cell>
          <cell r="D4765" t="str">
            <v>UN</v>
          </cell>
          <cell r="E4765">
            <v>62.27</v>
          </cell>
          <cell r="F4765">
            <v>0</v>
          </cell>
        </row>
        <row r="4766">
          <cell r="B4766">
            <v>92005</v>
          </cell>
          <cell r="C4766" t="str">
            <v>TOMADA MÉDIA DE EMBUTIR (2 MÓDULOS), 2P+T 20 A, INCLUINDO SUPORTE E PLACA - FORNECIMENTO E INSTALAÇÃO. AF_03/2023</v>
          </cell>
          <cell r="D4766" t="str">
            <v>UN</v>
          </cell>
          <cell r="E4766">
            <v>81.93</v>
          </cell>
          <cell r="F4766">
            <v>0</v>
          </cell>
        </row>
        <row r="4767">
          <cell r="B4767">
            <v>92003</v>
          </cell>
          <cell r="C4767" t="str">
            <v>TOMADA MÉDIA DE EMBUTIR (2 MÓDULOS), 2P+T 20 A, SEM SUPORTE E SEM PLACA - FORNECIMENTO E INSTALAÇÃO. AF_03/2023</v>
          </cell>
          <cell r="D4767" t="str">
            <v>UN</v>
          </cell>
          <cell r="E4767">
            <v>67.010000000000005</v>
          </cell>
          <cell r="F4767">
            <v>0</v>
          </cell>
        </row>
        <row r="4768">
          <cell r="B4768">
            <v>92012</v>
          </cell>
          <cell r="C4768" t="str">
            <v>TOMADA MÉDIA DE EMBUTIR (3 MÓDULOS), 2P+T 10 A, INCLUINDO SUPORTE E PLACA - FORNECIMENTO E INSTALAÇÃO. AF_03/2023</v>
          </cell>
          <cell r="D4768" t="str">
            <v>UN</v>
          </cell>
          <cell r="E4768">
            <v>105.8</v>
          </cell>
          <cell r="F4768">
            <v>0</v>
          </cell>
        </row>
        <row r="4769">
          <cell r="B4769">
            <v>92010</v>
          </cell>
          <cell r="C4769" t="str">
            <v>TOMADA MÉDIA DE EMBUTIR (3 MÓDULOS), 2P+T 10 A, SEM SUPORTE E SEM PLACA - FORNECIMENTO E INSTALAÇÃO. AF_03/2023</v>
          </cell>
          <cell r="D4769" t="str">
            <v>UN</v>
          </cell>
          <cell r="E4769">
            <v>90.88</v>
          </cell>
          <cell r="F4769">
            <v>0</v>
          </cell>
        </row>
        <row r="4770">
          <cell r="B4770">
            <v>92013</v>
          </cell>
          <cell r="C4770" t="str">
            <v>TOMADA MÉDIA DE EMBUTIR (3 MÓDULOS), 2P+T 20 A, INCLUINDO SUPORTE E PLACA - FORNECIMENTO E INSTALAÇÃO. AF_03/2023</v>
          </cell>
          <cell r="D4770" t="str">
            <v>UN</v>
          </cell>
          <cell r="E4770">
            <v>112.91</v>
          </cell>
          <cell r="F4770">
            <v>0</v>
          </cell>
        </row>
        <row r="4771">
          <cell r="B4771">
            <v>92011</v>
          </cell>
          <cell r="C4771" t="str">
            <v>TOMADA MÉDIA DE EMBUTIR (3 MÓDULOS), 2P+T 20 A, SEM SUPORTE E SEM PLACA - FORNECIMENTO E INSTALAÇÃO. AF_03/2023</v>
          </cell>
          <cell r="D4771" t="str">
            <v>UN</v>
          </cell>
          <cell r="E4771">
            <v>97.99</v>
          </cell>
          <cell r="F4771">
            <v>0</v>
          </cell>
        </row>
        <row r="4772">
          <cell r="B4772">
            <v>95777</v>
          </cell>
          <cell r="C4772" t="str">
            <v>CONDULETE DE ALUMÍNIO, TIPO B, PARA ELETRODUTO DE AÇO GALVANIZADO DN 20 MM (3/4''), APARENTE - FORNECIMENTO E INSTALAÇÃO. AF_01/2026</v>
          </cell>
          <cell r="D4772" t="str">
            <v>UN</v>
          </cell>
          <cell r="E4772">
            <v>31.4</v>
          </cell>
          <cell r="F4772">
            <v>0</v>
          </cell>
        </row>
        <row r="4773">
          <cell r="B4773">
            <v>95780</v>
          </cell>
          <cell r="C4773" t="str">
            <v>CONDULETE DE ALUMÍNIO, TIPO B, PARA ELETRODUTO DE AÇO GALVANIZADO DN 25 MM (1''), APARENTE - FORNECIMENTO E INSTALAÇÃO. AF_01/2026</v>
          </cell>
          <cell r="D4773" t="str">
            <v>UN</v>
          </cell>
          <cell r="E4773">
            <v>35.869999999999997</v>
          </cell>
          <cell r="F4773">
            <v>0</v>
          </cell>
        </row>
        <row r="4774">
          <cell r="B4774">
            <v>95783</v>
          </cell>
          <cell r="C4774" t="str">
            <v>CONDULETE DE ALUMÍNIO, TIPO B, PARA ELETRODUTO DE AÇO GALVANIZADO DN 32 MM (1 1/4''), APARENTE - FORNECIMENTO E INSTALAÇÃO. AF_01/2026</v>
          </cell>
          <cell r="D4774" t="str">
            <v>UN</v>
          </cell>
          <cell r="E4774">
            <v>0</v>
          </cell>
        </row>
        <row r="4775">
          <cell r="B4775">
            <v>95778</v>
          </cell>
          <cell r="C4775" t="str">
            <v>CONDULETE DE ALUMÍNIO, TIPO C, PARA ELETRODUTO DE AÇO GALVANIZADO DN 20 MM (3/4''), APARENTE - FORNECIMENTO E INSTALAÇÃO. AF_01/2026</v>
          </cell>
          <cell r="D4775" t="str">
            <v>UN</v>
          </cell>
          <cell r="E4775">
            <v>36.83</v>
          </cell>
          <cell r="F4775">
            <v>0</v>
          </cell>
        </row>
        <row r="4776">
          <cell r="B4776">
            <v>95781</v>
          </cell>
          <cell r="C4776" t="str">
            <v>CONDULETE DE ALUMÍNIO, TIPO C, PARA ELETRODUTO DE AÇO GALVANIZADO DN 25 MM (1''), APARENTE - FORNECIMENTO E INSTALAÇÃO. AF_01/2026</v>
          </cell>
          <cell r="D4776" t="str">
            <v>UN</v>
          </cell>
          <cell r="E4776">
            <v>41.29</v>
          </cell>
          <cell r="F4776">
            <v>0</v>
          </cell>
        </row>
        <row r="4777">
          <cell r="B4777">
            <v>95784</v>
          </cell>
          <cell r="C4777" t="str">
            <v>CONDULETE DE ALUMÍNIO, TIPO C, PARA ELETRODUTO DE AÇO GALVANIZADO DN 32 MM (1 1/4''), APARENTE - FORNECIMENTO E INSTALAÇÃO. AF_01/2026</v>
          </cell>
          <cell r="D4777" t="str">
            <v>UN</v>
          </cell>
          <cell r="E4777">
            <v>0</v>
          </cell>
        </row>
        <row r="4778">
          <cell r="B4778">
            <v>95782</v>
          </cell>
          <cell r="C4778" t="str">
            <v>CONDULETE DE ALUMÍNIO, TIPO E, ELETRODUTO DE AÇO GALVANIZADO DN 25 MM (1''), APARENTE - FORNECIMENTO E INSTALAÇÃO. AF_01/2026</v>
          </cell>
          <cell r="D4778" t="str">
            <v>UN</v>
          </cell>
          <cell r="E4778">
            <v>38.31</v>
          </cell>
          <cell r="F4778">
            <v>0</v>
          </cell>
        </row>
        <row r="4779">
          <cell r="B4779">
            <v>95779</v>
          </cell>
          <cell r="C4779" t="str">
            <v>CONDULETE DE ALUMÍNIO, TIPO E, PARA ELETRODUTO DE AÇO GALVANIZADO DN 20 MM (3/4''), APARENTE - FORNECIMENTO E INSTALAÇÃO. AF_01/2026</v>
          </cell>
          <cell r="D4779" t="str">
            <v>UN</v>
          </cell>
          <cell r="E4779">
            <v>29.26</v>
          </cell>
          <cell r="F4779">
            <v>0</v>
          </cell>
        </row>
        <row r="4780">
          <cell r="B4780">
            <v>95785</v>
          </cell>
          <cell r="C4780" t="str">
            <v>CONDULETE DE ALUMÍNIO, TIPO E, PARA ELETRODUTO DE AÇO GALVANIZADO DN 32 MM (1 1/4''), APARENTE - FORNECIMENTO E INSTALAÇÃO. AF_01/2026</v>
          </cell>
          <cell r="D4780" t="str">
            <v>UN</v>
          </cell>
          <cell r="E4780">
            <v>43.54</v>
          </cell>
          <cell r="F4780">
            <v>0</v>
          </cell>
        </row>
        <row r="4781">
          <cell r="B4781">
            <v>95792</v>
          </cell>
          <cell r="C4781" t="str">
            <v>CONDULETE DE ALUMÍNIO, TIPO LB, PARA ELETRODUTO DE AÇO GALVANIZADO DN 20 MM (3/4''), APARENTE - FORNECIMENTO E INSTALAÇÃO. AF_01/2026</v>
          </cell>
          <cell r="D4781" t="str">
            <v>UN</v>
          </cell>
          <cell r="E4781">
            <v>0</v>
          </cell>
        </row>
        <row r="4782">
          <cell r="B4782">
            <v>95793</v>
          </cell>
          <cell r="C4782" t="str">
            <v>CONDULETE DE ALUMÍNIO, TIPO LB, PARA ELETRODUTO DE AÇO GALVANIZADO DN 25 MM (1''), APARENTE - FORNECIMENTO E INSTALAÇÃO. AF_01/2026</v>
          </cell>
          <cell r="D4782" t="str">
            <v>UN</v>
          </cell>
          <cell r="E4782">
            <v>0</v>
          </cell>
        </row>
        <row r="4783">
          <cell r="B4783">
            <v>95794</v>
          </cell>
          <cell r="C4783" t="str">
            <v>CONDULETE DE ALUMÍNIO, TIPO LB, PARA ELETRODUTO DE AÇO GALVANIZADO DN 32 MM (1 1/4''), APARENTE - FORNECIMENTO E INSTALAÇÃO. AF_01/2026</v>
          </cell>
          <cell r="D4783" t="str">
            <v>UN</v>
          </cell>
          <cell r="E4783">
            <v>0</v>
          </cell>
        </row>
        <row r="4784">
          <cell r="B4784">
            <v>95786</v>
          </cell>
          <cell r="C4784" t="str">
            <v>CONDULETE DE ALUMÍNIO, TIPO LL, PARA ELETRODUTO DE AÇO GALVANIZADO DN 20 MM (3/4''), APARENTE - FORNECIMENTO E INSTALAÇÃO. AF_01/2026</v>
          </cell>
          <cell r="D4784" t="str">
            <v>UN</v>
          </cell>
          <cell r="E4784">
            <v>0</v>
          </cell>
        </row>
        <row r="4785">
          <cell r="B4785">
            <v>95788</v>
          </cell>
          <cell r="C4785" t="str">
            <v>CONDULETE DE ALUMÍNIO, TIPO LL, PARA ELETRODUTO DE AÇO GALVANIZADO DN 25 MM (1''), APARENTE - FORNECIMENTO E INSTALAÇÃO. AF_01/2026</v>
          </cell>
          <cell r="D4785" t="str">
            <v>UN</v>
          </cell>
          <cell r="E4785">
            <v>0</v>
          </cell>
        </row>
        <row r="4786">
          <cell r="B4786">
            <v>95790</v>
          </cell>
          <cell r="C4786" t="str">
            <v>CONDULETE DE ALUMÍNIO, TIPO LL, PARA ELETRODUTO DE AÇO GALVANIZADO DN 32 MM (1 1/4''), APARENTE - FORNECIMENTO E INSTALAÇÃO. AF_01/2026</v>
          </cell>
          <cell r="D4786" t="str">
            <v>UN</v>
          </cell>
          <cell r="E4786">
            <v>0</v>
          </cell>
        </row>
        <row r="4787">
          <cell r="B4787">
            <v>95787</v>
          </cell>
          <cell r="C4787" t="str">
            <v>CONDULETE DE ALUMÍNIO, TIPO LR, PARA ELETRODUTO DE AÇO GALVANIZADO DN 20 MM (3/4''), APARENTE - FORNECIMENTO E INSTALAÇÃO. AF_01/2026</v>
          </cell>
          <cell r="D4787" t="str">
            <v>UN</v>
          </cell>
          <cell r="E4787">
            <v>38.75</v>
          </cell>
          <cell r="F4787">
            <v>0</v>
          </cell>
        </row>
        <row r="4788">
          <cell r="B4788">
            <v>95789</v>
          </cell>
          <cell r="C4788" t="str">
            <v>CONDULETE DE ALUMÍNIO, TIPO LR, PARA ELETRODUTO DE AÇO GALVANIZADO DN 25 MM (1''), APARENTE - FORNECIMENTO E INSTALAÇÃO. AF_01/2026</v>
          </cell>
          <cell r="D4788" t="str">
            <v>UN</v>
          </cell>
          <cell r="E4788">
            <v>47.1</v>
          </cell>
          <cell r="F4788">
            <v>0</v>
          </cell>
        </row>
        <row r="4789">
          <cell r="B4789">
            <v>95791</v>
          </cell>
          <cell r="C4789" t="str">
            <v>CONDULETE DE ALUMÍNIO, TIPO LR, PARA ELETRODUTO DE AÇO GALVANIZADO DN 32 MM (1 1/4''), APARENTE - FORNECIMENTO E INSTALAÇÃO. AF_01/2026</v>
          </cell>
          <cell r="D4789" t="str">
            <v>UN</v>
          </cell>
          <cell r="E4789">
            <v>59.6</v>
          </cell>
          <cell r="F4789">
            <v>0</v>
          </cell>
        </row>
        <row r="4790">
          <cell r="B4790">
            <v>95795</v>
          </cell>
          <cell r="C4790" t="str">
            <v>CONDULETE DE ALUMÍNIO, TIPO T, PARA ELETRODUTO DE AÇO GALVANIZADO DN 20 MM (3/4''), APARENTE - FORNECIMENTO E INSTALAÇÃO. AF_01/2026</v>
          </cell>
          <cell r="D4790" t="str">
            <v>UN</v>
          </cell>
          <cell r="E4790">
            <v>45.33</v>
          </cell>
          <cell r="F4790">
            <v>0</v>
          </cell>
        </row>
        <row r="4791">
          <cell r="B4791">
            <v>95796</v>
          </cell>
          <cell r="C4791" t="str">
            <v>CONDULETE DE ALUMÍNIO, TIPO T, PARA ELETRODUTO DE AÇO GALVANIZADO DN 25 MM (1''), APARENTE - FORNECIMENTO E INSTALAÇÃO. AF_01/2026</v>
          </cell>
          <cell r="D4791" t="str">
            <v>UN</v>
          </cell>
          <cell r="E4791">
            <v>55.68</v>
          </cell>
          <cell r="F4791">
            <v>0</v>
          </cell>
        </row>
        <row r="4792">
          <cell r="B4792">
            <v>95797</v>
          </cell>
          <cell r="C4792" t="str">
            <v>CONDULETE DE ALUMÍNIO, TIPO T, PARA ELETRODUTO DE AÇO GALVANIZADO DN 32 MM (1 1/4''), APARENTE - FORNECIMENTO E INSTALAÇÃO. AF_01/2026</v>
          </cell>
          <cell r="D4792" t="str">
            <v>UN</v>
          </cell>
          <cell r="E4792">
            <v>69.03</v>
          </cell>
          <cell r="F4792">
            <v>0</v>
          </cell>
        </row>
        <row r="4793">
          <cell r="B4793">
            <v>95798</v>
          </cell>
          <cell r="C4793" t="str">
            <v>CONDULETE DE ALUMÍNIO, TIPO TB, PARA ELETRODUTO DE AÇO GALVANIZADO DN 20 MM (3/4''), APARENTE - FORNECIMENTO E INSTALAÇÃO. AF_01/2026</v>
          </cell>
          <cell r="D4793" t="str">
            <v>UN</v>
          </cell>
          <cell r="E4793">
            <v>0</v>
          </cell>
        </row>
        <row r="4794">
          <cell r="B4794">
            <v>95799</v>
          </cell>
          <cell r="C4794" t="str">
            <v>CONDULETE DE ALUMÍNIO, TIPO TB, PARA ELETRODUTO DE AÇO GALVANIZADO DN 25 MM (1''), APARENTE - FORNECIMENTO E INSTALAÇÃO. AF_01/2026</v>
          </cell>
          <cell r="D4794" t="str">
            <v>UN</v>
          </cell>
          <cell r="E4794">
            <v>0</v>
          </cell>
        </row>
        <row r="4795">
          <cell r="B4795">
            <v>95800</v>
          </cell>
          <cell r="C4795" t="str">
            <v>CONDULETE DE ALUMÍNIO, TIPO TB, PARA ELETRODUTO DE AÇO GALVANIZADO DN 32 MM (1 1/4''), APARENTE - FORNECIMENTO E INSTALAÇÃO. AF_01/2026</v>
          </cell>
          <cell r="D4795" t="str">
            <v>UN</v>
          </cell>
          <cell r="E4795">
            <v>0</v>
          </cell>
        </row>
        <row r="4796">
          <cell r="B4796">
            <v>95801</v>
          </cell>
          <cell r="C4796" t="str">
            <v>CONDULETE DE ALUMÍNIO, TIPO X, PARA ELETRODUTO DE AÇO GALVANIZADO DN 20 MM (3/4''), APARENTE - FORNECIMENTO E INSTALAÇÃO. AF_01/2026</v>
          </cell>
          <cell r="D4796" t="str">
            <v>UN</v>
          </cell>
          <cell r="E4796">
            <v>54.81</v>
          </cell>
          <cell r="F4796">
            <v>0</v>
          </cell>
        </row>
        <row r="4797">
          <cell r="B4797">
            <v>95802</v>
          </cell>
          <cell r="C4797" t="str">
            <v>CONDULETE DE ALUMÍNIO, TIPO X, PARA ELETRODUTO DE AÇO GALVANIZADO DN 25 MM (1''), APARENTE - FORNECIMENTO E INSTALAÇÃO. AF_01/2026</v>
          </cell>
          <cell r="D4797" t="str">
            <v>UN</v>
          </cell>
          <cell r="E4797">
            <v>59.37</v>
          </cell>
          <cell r="F4797">
            <v>0</v>
          </cell>
        </row>
        <row r="4798">
          <cell r="B4798">
            <v>95803</v>
          </cell>
          <cell r="C4798" t="str">
            <v>CONDULETE DE ALUMÍNIO, TIPO X, PARA ELETRODUTO DE AÇO GALVANIZADO DN 32 MM (1 1/4''), APARENTE - FORNECIMENTO E INSTALAÇÃO. AF_01/2026</v>
          </cell>
          <cell r="D4798" t="str">
            <v>UN</v>
          </cell>
          <cell r="E4798">
            <v>76.23</v>
          </cell>
          <cell r="F4798">
            <v>0</v>
          </cell>
        </row>
        <row r="4799">
          <cell r="B4799">
            <v>95804</v>
          </cell>
          <cell r="C4799" t="str">
            <v>CONDULETE DE PVC, TIPO B, PARA ELETRODUTO DE PVC SOLDÁVEL DN 20 MM (1/2''), APARENTE - FORNECIMENTO E INSTALAÇÃO. AF_01/2026</v>
          </cell>
          <cell r="D4799" t="str">
            <v>UN</v>
          </cell>
          <cell r="E4799">
            <v>22.02</v>
          </cell>
          <cell r="F4799">
            <v>0</v>
          </cell>
        </row>
        <row r="4800">
          <cell r="B4800">
            <v>95805</v>
          </cell>
          <cell r="C4800" t="str">
            <v>CONDULETE DE PVC, TIPO B, PARA ELETRODUTO DE PVC SOLDÁVEL DN 25 MM (3/4''), APARENTE - FORNECIMENTO E INSTALAÇÃO. AF_01/2026</v>
          </cell>
          <cell r="D4800" t="str">
            <v>UN</v>
          </cell>
          <cell r="E4800">
            <v>22.24</v>
          </cell>
          <cell r="F4800">
            <v>0</v>
          </cell>
        </row>
        <row r="4801">
          <cell r="B4801">
            <v>95806</v>
          </cell>
          <cell r="C4801" t="str">
            <v>CONDULETE DE PVC, TIPO B, PARA ELETRODUTO DE PVC SOLDÁVEL DN 32 MM (1''), APARENTE - FORNECIMENTO E INSTALAÇÃO. AF_01/2026</v>
          </cell>
          <cell r="D4801" t="str">
            <v>UN</v>
          </cell>
          <cell r="E4801">
            <v>22.93</v>
          </cell>
          <cell r="F4801">
            <v>0</v>
          </cell>
        </row>
        <row r="4802">
          <cell r="B4802">
            <v>104401</v>
          </cell>
          <cell r="C4802" t="str">
            <v>CONDULETE DE PVC, TIPO C, PARA ELETRODUTO DE PVC SOLDÁVEL DN 20 MM (1/2''), APARENTE - FORNECIMENTO E INSTALAÇÃO. AF_01/2026</v>
          </cell>
          <cell r="D4802" t="str">
            <v>UN</v>
          </cell>
          <cell r="E4802">
            <v>24.93</v>
          </cell>
          <cell r="F4802">
            <v>0</v>
          </cell>
        </row>
        <row r="4803">
          <cell r="B4803">
            <v>104402</v>
          </cell>
          <cell r="C4803" t="str">
            <v>CONDULETE DE PVC, TIPO C, PARA ELETRODUTO DE PVC SOLDÁVEL DN 25 MM (3/4''), APARENTE - FORNECIMENTO E INSTALAÇÃO. AF_01/2026</v>
          </cell>
          <cell r="D4803" t="str">
            <v>UN</v>
          </cell>
          <cell r="E4803">
            <v>24.41</v>
          </cell>
          <cell r="F4803">
            <v>0</v>
          </cell>
        </row>
        <row r="4804">
          <cell r="B4804">
            <v>104403</v>
          </cell>
          <cell r="C4804" t="str">
            <v>CONDULETE DE PVC, TIPO C, PARA ELETRODUTO DE PVC SOLDÁVEL DN 32 MM (1''), APARENTE - FORNECIMENTO E INSTALAÇÃO. AF_01/2026</v>
          </cell>
          <cell r="D4804" t="str">
            <v>UN</v>
          </cell>
          <cell r="E4804">
            <v>27.08</v>
          </cell>
          <cell r="F4804">
            <v>0</v>
          </cell>
        </row>
        <row r="4805">
          <cell r="B4805">
            <v>104395</v>
          </cell>
          <cell r="C4805" t="str">
            <v>CONDULETE DE PVC, TIPO E, PARA ELETRODUTO DE PVC SOLDÁVEL DN 20 MM (1/2''), APARENTE - FORNECIMENTO E INSTALAÇÃO. AF_01/2026</v>
          </cell>
          <cell r="D4805" t="str">
            <v>UN</v>
          </cell>
          <cell r="E4805">
            <v>21.65</v>
          </cell>
          <cell r="F4805">
            <v>0</v>
          </cell>
        </row>
        <row r="4806">
          <cell r="B4806">
            <v>104396</v>
          </cell>
          <cell r="C4806" t="str">
            <v>CONDULETE DE PVC, TIPO E, PARA ELETRODUTO DE PVC SOLDÁVEL DN 25 MM (3/4''), APARENTE - FORNECIMENTO E INSTALAÇÃO. AF_01/2026</v>
          </cell>
          <cell r="D4806" t="str">
            <v>UN</v>
          </cell>
          <cell r="E4806">
            <v>21.24</v>
          </cell>
          <cell r="F4806">
            <v>0</v>
          </cell>
        </row>
        <row r="4807">
          <cell r="B4807">
            <v>104397</v>
          </cell>
          <cell r="C4807" t="str">
            <v>CONDULETE DE PVC, TIPO E, PARA ELETRODUTO DE PVC SOLDÁVEL DN 32 MM (1''), APARENTE - FORNECIMENTO E INSTALAÇÃO. AF_01/2026</v>
          </cell>
          <cell r="D4807" t="str">
            <v>UN</v>
          </cell>
          <cell r="E4807">
            <v>23.4</v>
          </cell>
          <cell r="F4807">
            <v>0</v>
          </cell>
        </row>
        <row r="4808">
          <cell r="B4808">
            <v>95810</v>
          </cell>
          <cell r="C4808" t="str">
            <v>CONDULETE DE PVC, TIPO LB, PARA ELETRODUTO DE PVC SOLDÁVEL DN 20 MM (1/2''), APARENTE - FORNECIMENTO E INSTALAÇÃO. AF_01/2026</v>
          </cell>
          <cell r="D4808" t="str">
            <v>UN</v>
          </cell>
          <cell r="E4808">
            <v>15.25</v>
          </cell>
          <cell r="F4808">
            <v>0</v>
          </cell>
        </row>
        <row r="4809">
          <cell r="B4809">
            <v>95811</v>
          </cell>
          <cell r="C4809" t="str">
            <v>CONDULETE DE PVC, TIPO LB, PARA ELETRODUTO DE PVC SOLDÁVEL DN 25 MM (3/4''), APARENTE - FORNECIMENTO E INSTALAÇÃO. AF_01/2026</v>
          </cell>
          <cell r="D4809" t="str">
            <v>UN</v>
          </cell>
          <cell r="E4809">
            <v>15.94</v>
          </cell>
          <cell r="F4809">
            <v>0</v>
          </cell>
        </row>
        <row r="4810">
          <cell r="B4810">
            <v>95812</v>
          </cell>
          <cell r="C4810" t="str">
            <v>CONDULETE DE PVC, TIPO LB, PARA ELETRODUTO DE PVC SOLDÁVEL DN 32 MM (1''), APARENTE - FORNECIMENTO E INSTALAÇÃO. AF_01/2026</v>
          </cell>
          <cell r="D4810" t="str">
            <v>UN</v>
          </cell>
          <cell r="E4810">
            <v>18.38</v>
          </cell>
          <cell r="F4810">
            <v>0</v>
          </cell>
        </row>
        <row r="4811">
          <cell r="B4811">
            <v>95807</v>
          </cell>
          <cell r="C4811" t="str">
            <v>CONDULETE DE PVC, TIPO LL, PARA ELETRODUTO DE PVC SOLDÁVEL DN 20 MM (1/2''), APARENTE - FORNECIMENTO E INSTALAÇÃO. AF_01/2026</v>
          </cell>
          <cell r="D4811" t="str">
            <v>UN</v>
          </cell>
          <cell r="E4811">
            <v>27.05</v>
          </cell>
          <cell r="F4811">
            <v>0</v>
          </cell>
        </row>
        <row r="4812">
          <cell r="B4812">
            <v>95808</v>
          </cell>
          <cell r="C4812" t="str">
            <v>CONDULETE DE PVC, TIPO LL, PARA ELETRODUTO DE PVC SOLDÁVEL DN 25 MM (3/4''), APARENTE - FORNECIMENTO E INSTALAÇÃO. AF_01/2026</v>
          </cell>
          <cell r="D4812" t="str">
            <v>UN</v>
          </cell>
          <cell r="E4812">
            <v>27.74</v>
          </cell>
          <cell r="F4812">
            <v>0</v>
          </cell>
        </row>
        <row r="4813">
          <cell r="B4813">
            <v>95809</v>
          </cell>
          <cell r="C4813" t="str">
            <v>CONDULETE DE PVC, TIPO LL, PARA ELETRODUTO DE PVC SOLDÁVEL DN 32 MM (1''), APARENTE - FORNECIMENTO E INSTALAÇÃO. AF_01/2026</v>
          </cell>
          <cell r="D4813" t="str">
            <v>UN</v>
          </cell>
          <cell r="E4813">
            <v>30.17</v>
          </cell>
          <cell r="F4813">
            <v>0</v>
          </cell>
        </row>
        <row r="4814">
          <cell r="B4814">
            <v>104398</v>
          </cell>
          <cell r="C4814" t="str">
            <v>CONDULETE DE PVC, TIPO LR, PARA ELETRODUTO DE PVC SOLDÁVEL DN 20 MM (1/2''), APARENTE - FORNECIMENTO E INSTALAÇÃO. AF_01/2026</v>
          </cell>
          <cell r="D4814" t="str">
            <v>UN</v>
          </cell>
          <cell r="E4814">
            <v>27.04</v>
          </cell>
          <cell r="F4814">
            <v>0</v>
          </cell>
        </row>
        <row r="4815">
          <cell r="B4815">
            <v>104399</v>
          </cell>
          <cell r="C4815" t="str">
            <v>CONDULETE DE PVC, TIPO LR, PARA ELETRODUTO DE PVC SOLDÁVEL DN 25 MM (3/4''), APARENTE - FORNECIMENTO E INSTALAÇÃO. AF_01/2026</v>
          </cell>
          <cell r="D4815" t="str">
            <v>UN</v>
          </cell>
          <cell r="E4815">
            <v>26.74</v>
          </cell>
          <cell r="F4815">
            <v>0</v>
          </cell>
        </row>
        <row r="4816">
          <cell r="B4816">
            <v>104400</v>
          </cell>
          <cell r="C4816" t="str">
            <v>CONDULETE DE PVC, TIPO LR, PARA ELETRODUTO DE PVC SOLDÁVEL DN 32 MM (1''), APARENTE - FORNECIMENTO E INSTALAÇÃO. AF_01/2026</v>
          </cell>
          <cell r="D4816" t="str">
            <v>UN</v>
          </cell>
          <cell r="E4816">
            <v>29.74</v>
          </cell>
          <cell r="F4816">
            <v>0</v>
          </cell>
        </row>
        <row r="4817">
          <cell r="B4817">
            <v>104404</v>
          </cell>
          <cell r="C4817" t="str">
            <v>CONDULETE DE PVC, TIPO T, PARA ELETRODUTO DE PVC SOLDÁVEL DN 25 MM (3/4''), APARENTE - FORNECIMENTO E INSTALAÇÃO. AF_01/2026</v>
          </cell>
          <cell r="D4817" t="str">
            <v>UN</v>
          </cell>
          <cell r="E4817">
            <v>30.69</v>
          </cell>
          <cell r="F4817">
            <v>0</v>
          </cell>
        </row>
        <row r="4818">
          <cell r="B4818">
            <v>104405</v>
          </cell>
          <cell r="C4818" t="str">
            <v>CONDULETE DE PVC, TIPO T, PARA ELETRODUTO DE PVC SOLDÁVEL DN 32 MM (1''), APARENTE - FORNECIMENTO E INSTALAÇÃO. AF_01/2026</v>
          </cell>
          <cell r="D4818" t="str">
            <v>UN</v>
          </cell>
          <cell r="E4818">
            <v>35.43</v>
          </cell>
          <cell r="F4818">
            <v>0</v>
          </cell>
        </row>
        <row r="4819">
          <cell r="B4819">
            <v>95813</v>
          </cell>
          <cell r="C4819" t="str">
            <v>CONDULETE DE PVC, TIPO TB, PARA ELETRODUTO DE PVC SOLDÁVEL DN 20 MM (1/2''), APARENTE - FORNECIMENTO E INSTALAÇÃO. AF_01/2026</v>
          </cell>
          <cell r="D4819" t="str">
            <v>UN</v>
          </cell>
          <cell r="E4819">
            <v>18.29</v>
          </cell>
          <cell r="F4819">
            <v>0</v>
          </cell>
        </row>
        <row r="4820">
          <cell r="B4820">
            <v>95814</v>
          </cell>
          <cell r="C4820" t="str">
            <v>CONDULETE DE PVC, TIPO TB, PARA ELETRODUTO DE PVC SOLDÁVEL DN 25 MM (3/4''), APARENTE - FORNECIMENTO E INSTALAÇÃO. AF_01/2026</v>
          </cell>
          <cell r="D4820" t="str">
            <v>UN</v>
          </cell>
          <cell r="E4820">
            <v>19.21</v>
          </cell>
          <cell r="F4820">
            <v>0</v>
          </cell>
        </row>
        <row r="4821">
          <cell r="B4821">
            <v>95815</v>
          </cell>
          <cell r="C4821" t="str">
            <v>CONDULETE DE PVC, TIPO TB, PARA ELETRODUTO DE PVC SOLDÁVEL DN 32 MM (1''), APARENTE - FORNECIMENTO E INSTALAÇÃO. AF_01/2026</v>
          </cell>
          <cell r="D4821" t="str">
            <v>UN</v>
          </cell>
          <cell r="E4821">
            <v>23.64</v>
          </cell>
          <cell r="F4821">
            <v>0</v>
          </cell>
        </row>
        <row r="4822">
          <cell r="B4822">
            <v>95816</v>
          </cell>
          <cell r="C4822" t="str">
            <v>CONDULETE DE PVC, TIPO X, PARA ELETRODUTO DE PVC SOLDÁVEL DN 20 MM (1/2''), APARENTE - FORNECIMENTO E INSTALAÇÃO. AF_01/2026</v>
          </cell>
          <cell r="D4822" t="str">
            <v>UN</v>
          </cell>
          <cell r="E4822">
            <v>33.32</v>
          </cell>
          <cell r="F4822">
            <v>0</v>
          </cell>
        </row>
        <row r="4823">
          <cell r="B4823">
            <v>95817</v>
          </cell>
          <cell r="C4823" t="str">
            <v>CONDULETE DE PVC, TIPO X, PARA ELETRODUTO DE PVC SOLDÁVEL DN 25 MM (3/4"), APARENTE - FORNECIMENTO E INSTALAÇÃO. AF_01/2026</v>
          </cell>
          <cell r="D4823" t="str">
            <v>UN</v>
          </cell>
          <cell r="E4823">
            <v>34.090000000000003</v>
          </cell>
          <cell r="F4823">
            <v>0</v>
          </cell>
        </row>
        <row r="4824">
          <cell r="B4824">
            <v>95818</v>
          </cell>
          <cell r="C4824" t="str">
            <v>CONDULETE DE PVC, TIPO X, PARA ELETRODUTO DE PVC SOLDÁVEL DN 32 MM (1''), APARENTE - FORNECIMENTO E INSTALAÇÃO. AF_01/2026</v>
          </cell>
          <cell r="D4824" t="str">
            <v>UN</v>
          </cell>
          <cell r="E4824">
            <v>39.950000000000003</v>
          </cell>
          <cell r="F4824">
            <v>0</v>
          </cell>
        </row>
        <row r="4825">
          <cell r="B4825">
            <v>106668</v>
          </cell>
          <cell r="C4825" t="str">
            <v>CONEXÕES ROSQUEÁVEIS PARA ELETRODUTO METÁLICO FLEXÍVEL COM CAPA (SEALTUBO) TERMINAL MACHO GIRATÓRIO, DIÂMETRO 1 1/4" - FORNECIMENTO E INSTALAÇÃO. AF_01/2026</v>
          </cell>
          <cell r="D4825" t="str">
            <v>UN</v>
          </cell>
          <cell r="E4825">
            <v>0</v>
          </cell>
        </row>
        <row r="4826">
          <cell r="B4826">
            <v>106667</v>
          </cell>
          <cell r="C4826" t="str">
            <v>CONEXÕES ROSQUEÁVEIS PARA ELETRODUTO METÁLICO FLEXÍVEL COM CAPA (SEALTUBO) TERMINAL MACHO GIRATÓRIO, DIÂMETRO 1" - FORNECIMENTO E INSTALAÇÃO. AF_01/2026</v>
          </cell>
          <cell r="D4826" t="str">
            <v>UN</v>
          </cell>
          <cell r="E4826">
            <v>0</v>
          </cell>
        </row>
        <row r="4827">
          <cell r="B4827">
            <v>106666</v>
          </cell>
          <cell r="C4827" t="str">
            <v>CONEXÕES ROSQUEÁVEIS PARA ELETRODUTO METÁLICO FLEXÍVEL COM CAPA (SEALTUBO) TERMINAL MACHO GIRATÓRIO, DIÂMETRO 3/4"- FORNECIMENTO E INSTALAÇÃO. AF_01/2026</v>
          </cell>
          <cell r="D4827" t="str">
            <v>UN</v>
          </cell>
          <cell r="E4827">
            <v>0</v>
          </cell>
        </row>
        <row r="4828">
          <cell r="B4828">
            <v>104391</v>
          </cell>
          <cell r="C4828" t="str">
            <v>CURVA 135 GRAUS PARA ELETRODUTO, AÇO GALVANIZADO, DN 20 MM (3/4''), APARENTE - FORNECIMENTO E INSTALAÇÃO. AF_01/2026</v>
          </cell>
          <cell r="D4828" t="str">
            <v>UN</v>
          </cell>
          <cell r="E4828">
            <v>21.76</v>
          </cell>
          <cell r="F4828">
            <v>0</v>
          </cell>
        </row>
        <row r="4829">
          <cell r="B4829">
            <v>104392</v>
          </cell>
          <cell r="C4829" t="str">
            <v>CURVA 135 GRAUS PARA ELETRODUTO, AÇO GALVANIZADO, DN 25 MM (1''), APARENTE - FORNECIMENTO E INSTALAÇÃO. AF_01/2026</v>
          </cell>
          <cell r="D4829" t="str">
            <v>UN</v>
          </cell>
          <cell r="E4829">
            <v>25.96</v>
          </cell>
          <cell r="F4829">
            <v>0</v>
          </cell>
        </row>
        <row r="4830">
          <cell r="B4830">
            <v>104393</v>
          </cell>
          <cell r="C4830" t="str">
            <v>CURVA 135 GRAUS PARA ELETRODUTO, AÇO GALVANIZADO, DN 32 MM (1 1/4''), APARENTE - FORNECIMENTO E INSTALAÇÃO. AF_01/2026</v>
          </cell>
          <cell r="D4830" t="str">
            <v>UN</v>
          </cell>
          <cell r="E4830">
            <v>38.72</v>
          </cell>
          <cell r="F4830">
            <v>0</v>
          </cell>
        </row>
        <row r="4831">
          <cell r="B4831">
            <v>104394</v>
          </cell>
          <cell r="C4831" t="str">
            <v>CURVA 135 GRAUS PARA ELETRODUTO, AÇO GALVANIZADO, DN 40 MM (1 1/2''), APARENTE - FORNECIMENTO E INSTALAÇÃO. AF_01/2026</v>
          </cell>
          <cell r="D4831" t="str">
            <v>UN</v>
          </cell>
          <cell r="E4831">
            <v>50.65</v>
          </cell>
          <cell r="F4831">
            <v>0</v>
          </cell>
        </row>
        <row r="4832">
          <cell r="B4832">
            <v>95761</v>
          </cell>
          <cell r="C4832" t="str">
            <v>CURVA 45 GRAUS PARA ELETRODUTO, AÇO GALVANIZADO, DN 20 MM (3/4''), APARENTE - FORNECIMENTO E INSTALAÇÃO. AF_01/2026</v>
          </cell>
          <cell r="D4832" t="str">
            <v>UN</v>
          </cell>
          <cell r="E4832">
            <v>20.64</v>
          </cell>
          <cell r="F4832">
            <v>0</v>
          </cell>
        </row>
        <row r="4833">
          <cell r="B4833">
            <v>95763</v>
          </cell>
          <cell r="C4833" t="str">
            <v>CURVA 45 GRAUS PARA ELETRODUTO, AÇO GALVANIZADO, DN 25 MM (1''), APARENTE - FORNECIMENTO E INSTALAÇÃO. AF_01/2026</v>
          </cell>
          <cell r="D4833" t="str">
            <v>UN</v>
          </cell>
          <cell r="E4833">
            <v>23.06</v>
          </cell>
          <cell r="F4833">
            <v>0</v>
          </cell>
        </row>
        <row r="4834">
          <cell r="B4834">
            <v>95765</v>
          </cell>
          <cell r="C4834" t="str">
            <v>CURVA 45 GRAUS PARA ELETRODUTO, AÇO GALVANIZADO, DN 32 MM (1 1/4''), APARENTE - FORNECIMENTO E INSTALAÇÃO. AF_01/2026</v>
          </cell>
          <cell r="D4834" t="str">
            <v>UN</v>
          </cell>
          <cell r="E4834">
            <v>0</v>
          </cell>
        </row>
        <row r="4835">
          <cell r="B4835">
            <v>95767</v>
          </cell>
          <cell r="C4835" t="str">
            <v>CURVA 45 GRAUS PARA ELETRODUTO, AÇO GALVANIZADO, DN 40 MM (1 1/2''), APARENTE - FORNECIMENTO E INSTALAÇÃO. AF_01/2026</v>
          </cell>
          <cell r="D4835" t="str">
            <v>UN</v>
          </cell>
          <cell r="E4835">
            <v>40.25</v>
          </cell>
          <cell r="F4835">
            <v>0</v>
          </cell>
        </row>
        <row r="4836">
          <cell r="B4836">
            <v>95762</v>
          </cell>
          <cell r="C4836" t="str">
            <v>CURVA 90 GRAUS PARA ELETRODUTO, AÇO GALVANIZADO, DN 20 MM (3/4''), APARENTE - FORNECIMENTO E INSTALAÇÃO. AF_01/2026</v>
          </cell>
          <cell r="D4836" t="str">
            <v>UN</v>
          </cell>
          <cell r="E4836">
            <v>20.69</v>
          </cell>
          <cell r="F4836">
            <v>0</v>
          </cell>
        </row>
        <row r="4837">
          <cell r="B4837">
            <v>95764</v>
          </cell>
          <cell r="C4837" t="str">
            <v>CURVA 90 GRAUS PARA ELETRODUTO, AÇO GALVANIZADO, DN 25 MM (1"), APARENTE - FORNECIMENTO E INSTALAÇÃO. AF_01/2026</v>
          </cell>
          <cell r="D4837" t="str">
            <v>UN</v>
          </cell>
          <cell r="E4837">
            <v>23.32</v>
          </cell>
          <cell r="F4837">
            <v>0</v>
          </cell>
        </row>
        <row r="4838">
          <cell r="B4838">
            <v>95766</v>
          </cell>
          <cell r="C4838" t="str">
            <v>CURVA 90 GRAUS PARA ELETRODUTO, AÇO GALVANIZADO, DN 32 MM (1 1/4''), APARENTE - FORNECIMENTO E INSTALAÇÃO. AF_01/2026</v>
          </cell>
          <cell r="D4838" t="str">
            <v>UN</v>
          </cell>
          <cell r="E4838">
            <v>34.07</v>
          </cell>
          <cell r="F4838">
            <v>0</v>
          </cell>
        </row>
        <row r="4839">
          <cell r="B4839">
            <v>95768</v>
          </cell>
          <cell r="C4839" t="str">
            <v>CURVA 90 GRAUS PARA ELETRODUTO, AÇO GALVANIZADO, DN 40 MM (1 1/2''), APARENTE - FORNECIMENTO E INSTALAÇÃO. AF_01/2026</v>
          </cell>
          <cell r="D4839" t="str">
            <v>UN</v>
          </cell>
          <cell r="E4839">
            <v>40.74</v>
          </cell>
          <cell r="F4839">
            <v>0</v>
          </cell>
        </row>
        <row r="4840">
          <cell r="B4840">
            <v>95739</v>
          </cell>
          <cell r="C4840" t="str">
            <v>CURVA 90 GRAUS PARA ELETRODUTO, PVC, SOLDÁVEL, DN 20 MM (1/2''), APARENTE - FORNECIMENTO E INSTALAÇÃO. AF_01/2026</v>
          </cell>
          <cell r="D4840" t="str">
            <v>UN</v>
          </cell>
          <cell r="E4840">
            <v>0</v>
          </cell>
        </row>
        <row r="4841">
          <cell r="B4841">
            <v>95740</v>
          </cell>
          <cell r="C4841" t="str">
            <v>CURVA 90 GRAUS PARA ELETRODUTO, PVC, SOLDÁVEL, DN 25 MM (3/4''), APARENTE - FORNECIMENTO E INSTALAÇÃO. AF_01/2026</v>
          </cell>
          <cell r="D4841" t="str">
            <v>UN</v>
          </cell>
          <cell r="E4841">
            <v>0</v>
          </cell>
        </row>
        <row r="4842">
          <cell r="B4842">
            <v>95741</v>
          </cell>
          <cell r="C4842" t="str">
            <v>CURVA 90 GRAUS PARA ELETRODUTO, PVC, SOLDÁVEL, DN 32 MM (1''), APARENTE - FORNECIMENTO E INSTALAÇÃO. AF_01/2026</v>
          </cell>
          <cell r="D4842" t="str">
            <v>UN</v>
          </cell>
          <cell r="E4842">
            <v>0</v>
          </cell>
        </row>
        <row r="4843">
          <cell r="B4843">
            <v>106671</v>
          </cell>
          <cell r="C4843" t="str">
            <v>ELETRODUTO METÁLICO ZINCADO FLEXÍVEL COM CAPA (SEALTUBO), DIÂMETRO 1 1/4"- FORNECIMENTO E INSTALAÇÃO. AF_01/2026</v>
          </cell>
          <cell r="D4843" t="str">
            <v>M</v>
          </cell>
          <cell r="E4843">
            <v>21.31</v>
          </cell>
          <cell r="F4843">
            <v>0</v>
          </cell>
        </row>
        <row r="4844">
          <cell r="B4844">
            <v>106670</v>
          </cell>
          <cell r="C4844" t="str">
            <v>ELETRODUTO METÁLICO ZINCADO FLEXÍVEL COM CAPA (SEALTUBO), DIÂMETRO 1"- FORNECIMENTO E INSTALAÇÃO. AF_01/2026</v>
          </cell>
          <cell r="D4844" t="str">
            <v>M</v>
          </cell>
          <cell r="E4844">
            <v>14.73</v>
          </cell>
          <cell r="F4844">
            <v>0</v>
          </cell>
        </row>
        <row r="4845">
          <cell r="B4845">
            <v>106669</v>
          </cell>
          <cell r="C4845" t="str">
            <v>ELETRODUTO METÁLICO ZINCADO FLEXÍVEL COM CAPA (SEALTUBO),  DIÂMETRO 3/4"- FORNECIMENTO E INSTALAÇÃO. AF_01/2026</v>
          </cell>
          <cell r="D4845" t="str">
            <v>M</v>
          </cell>
          <cell r="E4845">
            <v>11.57</v>
          </cell>
          <cell r="F4845">
            <v>0</v>
          </cell>
        </row>
        <row r="4846">
          <cell r="B4846">
            <v>95726</v>
          </cell>
          <cell r="C4846" t="str">
            <v>ELETRODUTO RÍGIDO SOLDÁVEL, PVC, DN 20 MM (1/2"), APARENTE - FORNECIMENTO E INSTALAÇÃO. AF_01/2026</v>
          </cell>
          <cell r="D4846" t="str">
            <v>M</v>
          </cell>
          <cell r="E4846">
            <v>20.81</v>
          </cell>
          <cell r="F4846">
            <v>0</v>
          </cell>
        </row>
        <row r="4847">
          <cell r="B4847">
            <v>95727</v>
          </cell>
          <cell r="C4847" t="str">
            <v>ELETRODUTO RÍGIDO SOLDÁVEL, PVC, DN 25 MM (3/4"), APARENTE - FORNECIMENTO E INSTALAÇÃO. AF_01/2026</v>
          </cell>
          <cell r="D4847" t="str">
            <v>M</v>
          </cell>
          <cell r="E4847">
            <v>21.96</v>
          </cell>
          <cell r="F4847">
            <v>0</v>
          </cell>
        </row>
        <row r="4848">
          <cell r="B4848">
            <v>95728</v>
          </cell>
          <cell r="C4848" t="str">
            <v>ELETRODUTO RÍGIDO SOLDÁVEL, PVC, DN 32 MM (1"), APARENTE - FORNECIMENTO E INSTALAÇÃO. AF_01/2026</v>
          </cell>
          <cell r="D4848" t="str">
            <v>M</v>
          </cell>
          <cell r="E4848">
            <v>24.25</v>
          </cell>
          <cell r="F4848">
            <v>0</v>
          </cell>
        </row>
        <row r="4849">
          <cell r="B4849">
            <v>104409</v>
          </cell>
          <cell r="C4849" t="str">
            <v>ELETRODUTO RÍGIDO, EM AÇO ZINCADO OU GALVANIZADO, TIPO PESADO, DN=1 1/2", APARENTE - FORNECIMENTO E INSTALAÇÃO. AF_01/2026</v>
          </cell>
          <cell r="D4849" t="str">
            <v>M</v>
          </cell>
          <cell r="E4849">
            <v>0</v>
          </cell>
        </row>
        <row r="4850">
          <cell r="B4850">
            <v>104408</v>
          </cell>
          <cell r="C4850" t="str">
            <v>ELETRODUTO RÍGIDO, EM AÇO ZINCADO OU GALVANIZADO, TIPO PESADO, DN=1 1/4", APARENTE- FORNECIMENTO E INSTALAÇÃO. AF_01/2026</v>
          </cell>
          <cell r="D4850" t="str">
            <v>M</v>
          </cell>
          <cell r="E4850">
            <v>0</v>
          </cell>
        </row>
        <row r="4851">
          <cell r="B4851">
            <v>104407</v>
          </cell>
          <cell r="C4851" t="str">
            <v>ELETRODUTO RÍGIDO, EM AÇO ZINCADO OU GALVANIZADO, TIPO PESADO, DN=1", APARENTE - FORNECIMENTO E INSTALAÇÃO. AF_01/2026</v>
          </cell>
          <cell r="D4851" t="str">
            <v>M</v>
          </cell>
          <cell r="E4851">
            <v>0</v>
          </cell>
        </row>
        <row r="4852">
          <cell r="B4852">
            <v>104406</v>
          </cell>
          <cell r="C4852" t="str">
            <v>ELETRODUTO RÍGIDO, EM AÇO ZINCADO OU GALVANIZADO, TIPO PESADO, DN=3/4", APARENTE - FORNECIMENTO E INSTALAÇÃO. AF_01/2026</v>
          </cell>
          <cell r="D4852" t="str">
            <v>M</v>
          </cell>
          <cell r="E4852">
            <v>0</v>
          </cell>
        </row>
        <row r="4853">
          <cell r="B4853">
            <v>104452</v>
          </cell>
          <cell r="C4853" t="str">
            <v>LUVA DE EMENDA PARA ELETRODUTO, AÇO GALVANIZADO, DN 20 MM (3/4''), APARENTE - FORNECIMENTO E INSTALAÇÃO. AF_01/2026</v>
          </cell>
          <cell r="D4853" t="str">
            <v>UN</v>
          </cell>
          <cell r="E4853">
            <v>10.57</v>
          </cell>
          <cell r="F4853">
            <v>0</v>
          </cell>
        </row>
        <row r="4854">
          <cell r="B4854">
            <v>104448</v>
          </cell>
          <cell r="C4854" t="str">
            <v>LUVA DE EMENDA PARA ELETRODUTO, AÇO GALVANIZADO, DN 25 MM (1''), APARENTE - FORNECIMENTO E INSTALAÇÃO. AF_01/2026</v>
          </cell>
          <cell r="D4854" t="str">
            <v>UN</v>
          </cell>
          <cell r="E4854">
            <v>11.28</v>
          </cell>
          <cell r="F4854">
            <v>0</v>
          </cell>
        </row>
        <row r="4855">
          <cell r="B4855">
            <v>104449</v>
          </cell>
          <cell r="C4855" t="str">
            <v>LUVA DE EMENDA PARA ELETRODUTO, AÇO GALVANIZADO, DN 32 MM (1 1/4''), APARENTE - FORNECIMENTO E INSTALAÇÃO. AF_01/2026</v>
          </cell>
          <cell r="D4855" t="str">
            <v>UN</v>
          </cell>
          <cell r="E4855">
            <v>13.3</v>
          </cell>
          <cell r="F4855">
            <v>0</v>
          </cell>
        </row>
        <row r="4856">
          <cell r="B4856">
            <v>104450</v>
          </cell>
          <cell r="C4856" t="str">
            <v>LUVA DE EMENDA PARA ELETRODUTO, AÇO GALVANIZADO, DN 40 MM (1 1/2''), APARENTE - FORNECIMENTO E INSTALAÇÃO. AF_01/2026</v>
          </cell>
          <cell r="D4856" t="str">
            <v>UN</v>
          </cell>
          <cell r="E4856">
            <v>15.44</v>
          </cell>
          <cell r="F4856">
            <v>0</v>
          </cell>
        </row>
        <row r="4857">
          <cell r="B4857">
            <v>104445</v>
          </cell>
          <cell r="C4857" t="str">
            <v>LUVA PARA ELETRODUTO, PVC, SOLDÁVEL, DN 20 MM (1/2''), APARENTE - FORNECIMENTO E INSTALAÇÃO. AF_01/2026</v>
          </cell>
          <cell r="D4857" t="str">
            <v>UN</v>
          </cell>
          <cell r="E4857">
            <v>0</v>
          </cell>
        </row>
        <row r="4858">
          <cell r="B4858">
            <v>104446</v>
          </cell>
          <cell r="C4858" t="str">
            <v>LUVA PARA ELETRODUTO, PVC, SOLDÁVEL, DN 25 MM (3/4''), APARENTE - FORNECIMENTO E INSTALAÇÃO. AF_01/2026</v>
          </cell>
          <cell r="D4858" t="str">
            <v>UN</v>
          </cell>
          <cell r="E4858">
            <v>0</v>
          </cell>
        </row>
        <row r="4859">
          <cell r="B4859">
            <v>104447</v>
          </cell>
          <cell r="C4859" t="str">
            <v>LUVA PARA ELETRODUTO, PVC, SOLDÁVEL, DN 32 MM (1''), APARENTE - FORNECIMENTO E INSTALAÇÃO. AF_01/2026</v>
          </cell>
          <cell r="D4859" t="str">
            <v>UN</v>
          </cell>
          <cell r="E4859">
            <v>0</v>
          </cell>
        </row>
        <row r="4860">
          <cell r="B4860">
            <v>101884</v>
          </cell>
          <cell r="C4860" t="str">
            <v>CABO DE COBRE ISOLADO, 10 MM², ANTI-CHAMA 450/750 V, INSTALADO EM ELETROCALHA OU PERFILADO - FORNECIMENTO E INSTALAÇÃO. AF_07/2025</v>
          </cell>
          <cell r="D4860" t="str">
            <v>M</v>
          </cell>
          <cell r="E4860">
            <v>11.6</v>
          </cell>
          <cell r="F4860">
            <v>0</v>
          </cell>
        </row>
        <row r="4861">
          <cell r="B4861">
            <v>101886</v>
          </cell>
          <cell r="C4861" t="str">
            <v>CABO DE COBRE ISOLADO, 16 MM², ANTI-CHAMA 450/750 V, INSTALADO EM ELETROCALHA OU PERFILADO - FORNECIMENTO E INSTALAÇÃO. AF_07/2025</v>
          </cell>
          <cell r="D4861" t="str">
            <v>M</v>
          </cell>
          <cell r="E4861">
            <v>16.670000000000002</v>
          </cell>
          <cell r="F4861">
            <v>0</v>
          </cell>
        </row>
        <row r="4862">
          <cell r="B4862">
            <v>101888</v>
          </cell>
          <cell r="C4862" t="str">
            <v>CABO DE COBRE ISOLADO, 25 MM², ANTI-CHAMA 450/750 V, INSTALADO EM ELETROCALHA OU PERFILADO - FORNECIMENTO E INSTALAÇÃO. AF_07/2025</v>
          </cell>
          <cell r="D4862" t="str">
            <v>M</v>
          </cell>
          <cell r="E4862">
            <v>26.83</v>
          </cell>
          <cell r="F4862">
            <v>0</v>
          </cell>
        </row>
        <row r="4863">
          <cell r="B4863">
            <v>101938</v>
          </cell>
          <cell r="C4863" t="str">
            <v>CAIXA DE PROTEÇÃO PARA MEDIDOR MONOFÁSICO DE EMBUTIR - FORNECIMENTO E INSTALAÇÃO. AF_07/2025</v>
          </cell>
          <cell r="D4863" t="str">
            <v>UN</v>
          </cell>
          <cell r="E4863">
            <v>169.93</v>
          </cell>
          <cell r="F4863">
            <v>0</v>
          </cell>
        </row>
        <row r="4864">
          <cell r="B4864">
            <v>101904</v>
          </cell>
          <cell r="C4864" t="str">
            <v>CONTATOR TRIPOLAR I NOMIMAL 95A - FORNECIMENTO E INSTALAÇÃO. AF_07/2025</v>
          </cell>
          <cell r="D4864" t="str">
            <v>UN</v>
          </cell>
          <cell r="E4864">
            <v>1328.77</v>
          </cell>
          <cell r="F4864">
            <v>0</v>
          </cell>
        </row>
        <row r="4865">
          <cell r="B4865">
            <v>101901</v>
          </cell>
          <cell r="C4865" t="str">
            <v>CONTATOR TRIPOLAR I NOMINAL 12A - FORNECIMENTO E INSTALAÇÃO. AF_07/2025</v>
          </cell>
          <cell r="D4865" t="str">
            <v>UN</v>
          </cell>
          <cell r="E4865">
            <v>140.05000000000001</v>
          </cell>
          <cell r="F4865">
            <v>0</v>
          </cell>
        </row>
        <row r="4866">
          <cell r="B4866">
            <v>101902</v>
          </cell>
          <cell r="C4866" t="str">
            <v>CONTATOR TRIPOLAR I NOMINAL 22A - FORNECIMENTO E INSTALAÇÃO. AF_07/2025</v>
          </cell>
          <cell r="D4866" t="str">
            <v>UN</v>
          </cell>
          <cell r="E4866">
            <v>172.78</v>
          </cell>
          <cell r="F4866">
            <v>0</v>
          </cell>
        </row>
        <row r="4867">
          <cell r="B4867">
            <v>101903</v>
          </cell>
          <cell r="C4867" t="str">
            <v>CONTATOR TRIPOLAR I NOMINAL 38A - FORNECIMENTO E INSTALAÇÃO. AF_07/2025</v>
          </cell>
          <cell r="D4867" t="str">
            <v>UN</v>
          </cell>
          <cell r="E4867">
            <v>358.03</v>
          </cell>
          <cell r="F4867">
            <v>0</v>
          </cell>
        </row>
        <row r="4868">
          <cell r="B4868">
            <v>97414</v>
          </cell>
          <cell r="C4868" t="str">
            <v>COTOVELO PARA BARRAMENTO BLINDADO, 1000A - FORNECIMENTO E INSTALAÇÃO. AF_07/2025</v>
          </cell>
          <cell r="D4868" t="str">
            <v>UN</v>
          </cell>
          <cell r="E4868">
            <v>0</v>
          </cell>
        </row>
        <row r="4869">
          <cell r="B4869">
            <v>97415</v>
          </cell>
          <cell r="C4869" t="str">
            <v>COTOVELO PARA BARRAMENTO BLINDADO, 1250A - FORNECIMENTO E INSTALAÇÃO. AF_07/2025</v>
          </cell>
          <cell r="D4869" t="str">
            <v>UN</v>
          </cell>
          <cell r="E4869">
            <v>0</v>
          </cell>
        </row>
        <row r="4870">
          <cell r="B4870">
            <v>97416</v>
          </cell>
          <cell r="C4870" t="str">
            <v>COTOVELO PARA BARRAMENTO BLINDADO, 1600A - FORNECIMENTO E INSTALAÇÃO. AF_07/2025</v>
          </cell>
          <cell r="D4870" t="str">
            <v>UN</v>
          </cell>
          <cell r="E4870">
            <v>0</v>
          </cell>
        </row>
        <row r="4871">
          <cell r="B4871">
            <v>97417</v>
          </cell>
          <cell r="C4871" t="str">
            <v>COTOVELO PARA BARRAMENTO BLINDADO, 2000A - FORNECIMENTO E INSTALAÇÃO. AF_07/2025</v>
          </cell>
          <cell r="D4871" t="str">
            <v>UN</v>
          </cell>
          <cell r="E4871">
            <v>0</v>
          </cell>
        </row>
        <row r="4872">
          <cell r="B4872">
            <v>97418</v>
          </cell>
          <cell r="C4872" t="str">
            <v>COTOVELO PARA BARRAMENTO BLINDADO, 2500A - FORNECIMENTO E INSTALAÇÃO. AF_07/2025</v>
          </cell>
          <cell r="D4872" t="str">
            <v>UN</v>
          </cell>
          <cell r="E4872">
            <v>0</v>
          </cell>
        </row>
        <row r="4873">
          <cell r="B4873">
            <v>97409</v>
          </cell>
          <cell r="C4873" t="str">
            <v>COTOVELO PARA BARRAMENTO BLINDADO, 250A - FORNECIMENTO E INSTALAÇÃO. AF_07/2025</v>
          </cell>
          <cell r="D4873" t="str">
            <v>UN</v>
          </cell>
          <cell r="E4873">
            <v>0</v>
          </cell>
        </row>
        <row r="4874">
          <cell r="B4874">
            <v>97410</v>
          </cell>
          <cell r="C4874" t="str">
            <v>COTOVELO PARA BARRAMENTO BLINDADO, 350A - FORNECIMENTO E INSTALAÇÃO. AF_07/2025</v>
          </cell>
          <cell r="D4874" t="str">
            <v>UN</v>
          </cell>
          <cell r="E4874">
            <v>0</v>
          </cell>
        </row>
        <row r="4875">
          <cell r="B4875">
            <v>97411</v>
          </cell>
          <cell r="C4875" t="str">
            <v>COTOVELO PARA BARRAMENTO BLINDADO, 450A - FORNECIMENTO E INSTALAÇÃO. AF_07/2025</v>
          </cell>
          <cell r="D4875" t="str">
            <v>UN</v>
          </cell>
          <cell r="E4875">
            <v>0</v>
          </cell>
        </row>
        <row r="4876">
          <cell r="B4876">
            <v>97412</v>
          </cell>
          <cell r="C4876" t="str">
            <v>COTOVELO PARA BARRAMENTO BLINDADO, 550A - FORNECIMENTO E INSTALAÇÃO. AF_07/2025</v>
          </cell>
          <cell r="D4876" t="str">
            <v>UN</v>
          </cell>
          <cell r="E4876">
            <v>0</v>
          </cell>
        </row>
        <row r="4877">
          <cell r="B4877">
            <v>97413</v>
          </cell>
          <cell r="C4877" t="str">
            <v>COTOVELO PARA BARRAMENTO BLINDADO, 630A - FORNECIMENTO E INSTALAÇÃO. AF_07/2025</v>
          </cell>
          <cell r="D4877" t="str">
            <v>UN</v>
          </cell>
          <cell r="E4877">
            <v>0</v>
          </cell>
        </row>
        <row r="4878">
          <cell r="B4878">
            <v>101900</v>
          </cell>
          <cell r="C4878" t="str">
            <v>DISJUNTOR BAIXA TENSÃO TRIPOLAR A SECO 800A/600V - FORNECIMENTO E INSTALAÇÃO. AF_07/2025</v>
          </cell>
          <cell r="D4878" t="str">
            <v>UN</v>
          </cell>
          <cell r="E4878">
            <v>4149.72</v>
          </cell>
          <cell r="F4878">
            <v>0</v>
          </cell>
        </row>
        <row r="4879">
          <cell r="B4879">
            <v>106030</v>
          </cell>
          <cell r="C4879" t="str">
            <v>DISJUNTOR BIPOLAR DR 63A - FORNECIMENTO E INSTALAÇÃO. AF_07/2025</v>
          </cell>
          <cell r="D4879" t="str">
            <v>UN</v>
          </cell>
          <cell r="E4879">
            <v>168.37</v>
          </cell>
          <cell r="F4879">
            <v>0</v>
          </cell>
        </row>
        <row r="4880">
          <cell r="B4880">
            <v>93660</v>
          </cell>
          <cell r="C4880" t="str">
            <v>DISJUNTOR BIPOLAR TIPO DIN, CORRENTE NOMINAL DE 10A - FORNECIMENTO E INSTALAÇÃO. AF_07/2025</v>
          </cell>
          <cell r="D4880" t="str">
            <v>UN</v>
          </cell>
          <cell r="E4880">
            <v>54.3</v>
          </cell>
          <cell r="F4880">
            <v>0</v>
          </cell>
        </row>
        <row r="4881">
          <cell r="B4881">
            <v>93661</v>
          </cell>
          <cell r="C4881" t="str">
            <v>DISJUNTOR BIPOLAR TIPO DIN, CORRENTE NOMINAL DE 16A - FORNECIMENTO E INSTALAÇÃO. AF_07/2025</v>
          </cell>
          <cell r="D4881" t="str">
            <v>UN</v>
          </cell>
          <cell r="E4881">
            <v>54.3</v>
          </cell>
          <cell r="F4881">
            <v>0</v>
          </cell>
        </row>
        <row r="4882">
          <cell r="B4882">
            <v>93662</v>
          </cell>
          <cell r="C4882" t="str">
            <v>DISJUNTOR BIPOLAR TIPO DIN, CORRENTE NOMINAL DE 20A - FORNECIMENTO E INSTALAÇÃO. AF_07/2025</v>
          </cell>
          <cell r="D4882" t="str">
            <v>UN</v>
          </cell>
          <cell r="E4882">
            <v>56.74</v>
          </cell>
          <cell r="F4882">
            <v>0</v>
          </cell>
        </row>
        <row r="4883">
          <cell r="B4883">
            <v>93663</v>
          </cell>
          <cell r="C4883" t="str">
            <v>DISJUNTOR BIPOLAR TIPO DIN, CORRENTE NOMINAL DE 25A - FORNECIMENTO E INSTALAÇÃO. AF_07/2025</v>
          </cell>
          <cell r="D4883" t="str">
            <v>UN</v>
          </cell>
          <cell r="E4883">
            <v>59.46</v>
          </cell>
          <cell r="F4883">
            <v>0</v>
          </cell>
        </row>
        <row r="4884">
          <cell r="B4884">
            <v>93664</v>
          </cell>
          <cell r="C4884" t="str">
            <v>DISJUNTOR BIPOLAR TIPO DIN, CORRENTE NOMINAL DE 32A - FORNECIMENTO E INSTALAÇÃO. AF_07/2025</v>
          </cell>
          <cell r="D4884" t="str">
            <v>UN</v>
          </cell>
          <cell r="E4884">
            <v>63.59</v>
          </cell>
          <cell r="F4884">
            <v>0</v>
          </cell>
        </row>
        <row r="4885">
          <cell r="B4885">
            <v>93665</v>
          </cell>
          <cell r="C4885" t="str">
            <v>DISJUNTOR BIPOLAR TIPO DIN, CORRENTE NOMINAL DE 40A - FORNECIMENTO E INSTALAÇÃO. AF_07/2025</v>
          </cell>
          <cell r="D4885" t="str">
            <v>UN</v>
          </cell>
          <cell r="E4885">
            <v>69.53</v>
          </cell>
          <cell r="F4885">
            <v>0</v>
          </cell>
        </row>
        <row r="4886">
          <cell r="B4886">
            <v>93666</v>
          </cell>
          <cell r="C4886" t="str">
            <v>DISJUNTOR BIPOLAR TIPO DIN, CORRENTE NOMINAL DE 50A - FORNECIMENTO E INSTALAÇÃO. AF_07/2025</v>
          </cell>
          <cell r="D4886" t="str">
            <v>UN</v>
          </cell>
          <cell r="E4886">
            <v>78.010000000000005</v>
          </cell>
          <cell r="F4886">
            <v>0</v>
          </cell>
        </row>
        <row r="4887">
          <cell r="B4887">
            <v>93674</v>
          </cell>
          <cell r="C4887" t="str">
            <v>DISJUNTOR BIPOLAR TIPO DR, CORRENTE NOMINAL DE 25A - FORNECIMENTO E INSTALAÇÃO. AF_07/2025</v>
          </cell>
          <cell r="D4887" t="str">
            <v>UN</v>
          </cell>
          <cell r="E4887">
            <v>138.05000000000001</v>
          </cell>
          <cell r="F4887">
            <v>0</v>
          </cell>
        </row>
        <row r="4888">
          <cell r="B4888">
            <v>93675</v>
          </cell>
          <cell r="C4888" t="str">
            <v>DISJUNTOR BIPOLAR TIPO DR, CORRENTE NOMINAL DE 40A - FORNECIMENTO E INSTALAÇÃO. AF_07/2025</v>
          </cell>
          <cell r="D4888" t="str">
            <v>UN</v>
          </cell>
          <cell r="E4888">
            <v>151.05000000000001</v>
          </cell>
          <cell r="F4888">
            <v>0</v>
          </cell>
        </row>
        <row r="4889">
          <cell r="B4889">
            <v>101892</v>
          </cell>
          <cell r="C4889" t="str">
            <v>DISJUNTOR BIPOLAR TIPO NEMA, CORRENTE NOMINAL DE 10 ATÉ 50A - FORNECIMENTO E INSTALAÇÃO. AF_07/2025</v>
          </cell>
          <cell r="D4889" t="str">
            <v>UN</v>
          </cell>
          <cell r="E4889">
            <v>69.53</v>
          </cell>
          <cell r="F4889">
            <v>0</v>
          </cell>
        </row>
        <row r="4890">
          <cell r="B4890">
            <v>93653</v>
          </cell>
          <cell r="C4890" t="str">
            <v>DISJUNTOR MONOPOLAR TIPO DIN, CORRENTE NOMINAL DE 10A - FORNECIMENTO E INSTALAÇÃO. AF_07/2025</v>
          </cell>
          <cell r="D4890" t="str">
            <v>UN</v>
          </cell>
          <cell r="E4890">
            <v>11.97</v>
          </cell>
          <cell r="F4890">
            <v>0</v>
          </cell>
        </row>
        <row r="4891">
          <cell r="B4891">
            <v>93654</v>
          </cell>
          <cell r="C4891" t="str">
            <v>DISJUNTOR MONOPOLAR TIPO DIN, CORRENTE NOMINAL DE 16A - FORNECIMENTO E INSTALAÇÃO. AF_07/2025</v>
          </cell>
          <cell r="D4891" t="str">
            <v>UN</v>
          </cell>
          <cell r="E4891">
            <v>11.97</v>
          </cell>
          <cell r="F4891">
            <v>0</v>
          </cell>
        </row>
        <row r="4892">
          <cell r="B4892">
            <v>93655</v>
          </cell>
          <cell r="C4892" t="str">
            <v>DISJUNTOR MONOPOLAR TIPO DIN, CORRENTE NOMINAL DE 20A - FORNECIMENTO E INSTALAÇÃO. AF_07/2025</v>
          </cell>
          <cell r="D4892" t="str">
            <v>UN</v>
          </cell>
          <cell r="E4892">
            <v>13.19</v>
          </cell>
          <cell r="F4892">
            <v>0</v>
          </cell>
        </row>
        <row r="4893">
          <cell r="B4893">
            <v>93656</v>
          </cell>
          <cell r="C4893" t="str">
            <v>DISJUNTOR MONOPOLAR TIPO DIN, CORRENTE NOMINAL DE 25A - FORNECIMENTO E INSTALAÇÃO. AF_07/2025</v>
          </cell>
          <cell r="D4893" t="str">
            <v>UN</v>
          </cell>
          <cell r="E4893">
            <v>14.56</v>
          </cell>
          <cell r="F4893">
            <v>0</v>
          </cell>
        </row>
        <row r="4894">
          <cell r="B4894">
            <v>93657</v>
          </cell>
          <cell r="C4894" t="str">
            <v>DISJUNTOR MONOPOLAR TIPO DIN, CORRENTE NOMINAL DE 32A - FORNECIMENTO E INSTALAÇÃO. AF_07/2025</v>
          </cell>
          <cell r="D4894" t="str">
            <v>UN</v>
          </cell>
          <cell r="E4894">
            <v>16.7</v>
          </cell>
          <cell r="F4894">
            <v>0</v>
          </cell>
        </row>
        <row r="4895">
          <cell r="B4895">
            <v>93658</v>
          </cell>
          <cell r="C4895" t="str">
            <v>DISJUNTOR MONOPOLAR TIPO DIN, CORRENTE NOMINAL DE 40A - FORNECIMENTO E INSTALAÇÃO. AF_07/2025</v>
          </cell>
          <cell r="D4895" t="str">
            <v>UN</v>
          </cell>
          <cell r="E4895">
            <v>23.86</v>
          </cell>
          <cell r="F4895">
            <v>0</v>
          </cell>
        </row>
        <row r="4896">
          <cell r="B4896">
            <v>93659</v>
          </cell>
          <cell r="C4896" t="str">
            <v>DISJUNTOR MONOPOLAR TIPO DIN, CORRENTE NOMINAL DE 50A - FORNECIMENTO E INSTALAÇÃO. AF_07/2025</v>
          </cell>
          <cell r="D4896" t="str">
            <v>UN</v>
          </cell>
          <cell r="E4896">
            <v>28.11</v>
          </cell>
          <cell r="F4896">
            <v>0</v>
          </cell>
        </row>
        <row r="4897">
          <cell r="B4897">
            <v>101890</v>
          </cell>
          <cell r="C4897" t="str">
            <v>DISJUNTOR MONOPOLAR TIPO NEMA, CORRENTE NOMINAL DE 10 ATÉ 30A - FORNECIMENTO E INSTALAÇÃO. AF_07/2025</v>
          </cell>
          <cell r="D4897" t="str">
            <v>UN</v>
          </cell>
          <cell r="E4897">
            <v>15.59</v>
          </cell>
          <cell r="F4897">
            <v>0</v>
          </cell>
        </row>
        <row r="4898">
          <cell r="B4898">
            <v>101891</v>
          </cell>
          <cell r="C4898" t="str">
            <v>DISJUNTOR MONOPOLAR TIPO NEMA, CORRENTE NOMINAL DE 35 ATÉ 50A - FORNECIMENTO E INSTALAÇÃO. AF_07/2025</v>
          </cell>
          <cell r="D4898" t="str">
            <v>UN</v>
          </cell>
          <cell r="E4898">
            <v>29.47</v>
          </cell>
          <cell r="F4898">
            <v>0</v>
          </cell>
        </row>
        <row r="4899">
          <cell r="B4899">
            <v>101895</v>
          </cell>
          <cell r="C4899" t="str">
            <v>DISJUNTOR TERMOMAGNÉTICO TRIPOLAR, CORRENTE NOMINAL DE 125A - FORNECIMENTO E INSTALAÇÃO. AF_07/2025</v>
          </cell>
          <cell r="D4899" t="str">
            <v>UN</v>
          </cell>
          <cell r="E4899">
            <v>425.21</v>
          </cell>
          <cell r="F4899">
            <v>0</v>
          </cell>
        </row>
        <row r="4900">
          <cell r="B4900">
            <v>101896</v>
          </cell>
          <cell r="C4900" t="str">
            <v>DISJUNTOR TERMOMAGNÉTICO TRIPOLAR, CORRENTE NOMINAL DE 200A - FORNECIMENTO E INSTALAÇÃO. AF_07/2025</v>
          </cell>
          <cell r="D4900" t="str">
            <v>UN</v>
          </cell>
          <cell r="E4900">
            <v>618.75</v>
          </cell>
          <cell r="F4900">
            <v>0</v>
          </cell>
        </row>
        <row r="4901">
          <cell r="B4901">
            <v>101897</v>
          </cell>
          <cell r="C4901" t="str">
            <v>DISJUNTOR TERMOMAGNÉTICO TRIPOLAR, CORRENTE NOMINAL DE 250A - FORNECIMENTO E INSTALAÇÃO. AF_07/2025</v>
          </cell>
          <cell r="D4901" t="str">
            <v>UN</v>
          </cell>
          <cell r="E4901">
            <v>963.89</v>
          </cell>
          <cell r="F4901">
            <v>0</v>
          </cell>
        </row>
        <row r="4902">
          <cell r="B4902">
            <v>101898</v>
          </cell>
          <cell r="C4902" t="str">
            <v>DISJUNTOR TERMOMAGNÉTICO TRIPOLAR, CORRENTE NOMINAL DE 400A - FORNECIMENTO E INSTALAÇÃO. AF_07/2025</v>
          </cell>
          <cell r="D4902" t="str">
            <v>UN</v>
          </cell>
          <cell r="E4902">
            <v>1274.1600000000001</v>
          </cell>
          <cell r="F4902">
            <v>0</v>
          </cell>
        </row>
        <row r="4903">
          <cell r="B4903">
            <v>101899</v>
          </cell>
          <cell r="C4903" t="str">
            <v>DISJUNTOR TERMOMAGNÉTICO TRIPOLAR, CORRENTE NOMINAL DE 600A - FORNECIMENTO E INSTALAÇÃO. AF_07/2025</v>
          </cell>
          <cell r="D4903" t="str">
            <v>UN</v>
          </cell>
          <cell r="E4903">
            <v>2012.15</v>
          </cell>
          <cell r="F4903">
            <v>0</v>
          </cell>
        </row>
        <row r="4904">
          <cell r="B4904">
            <v>93676</v>
          </cell>
          <cell r="C4904" t="str">
            <v>DISJUNTOR TETRAPOLAR TIPO DR, CORRENTE NOMINAL DE 25A - FORNECIMENTO E INSTALAÇÃO. AF_07/2025</v>
          </cell>
          <cell r="D4904" t="str">
            <v>UN</v>
          </cell>
          <cell r="E4904">
            <v>168.35</v>
          </cell>
          <cell r="F4904">
            <v>0</v>
          </cell>
        </row>
        <row r="4905">
          <cell r="B4905">
            <v>97711</v>
          </cell>
          <cell r="C4905" t="str">
            <v>DISJUNTOR TETRAPOLAR TIPO DR, CORRENTE NOMINAL DE 40A - FORNECIMENTO E INSTALAÇÃO. AF_07/2025</v>
          </cell>
          <cell r="D4905" t="str">
            <v>UN</v>
          </cell>
          <cell r="E4905">
            <v>190.03</v>
          </cell>
          <cell r="F4905">
            <v>0</v>
          </cell>
        </row>
        <row r="4906">
          <cell r="B4906">
            <v>106020</v>
          </cell>
          <cell r="C4906" t="str">
            <v>DISJUNTOR TRIPOLAR DIN 63A - FORNECIMENTO E INSTALAÇÃO. AF_07/2025</v>
          </cell>
          <cell r="D4906" t="str">
            <v>UN</v>
          </cell>
          <cell r="E4906">
            <v>116.38</v>
          </cell>
          <cell r="F4906">
            <v>0</v>
          </cell>
        </row>
        <row r="4907">
          <cell r="B4907">
            <v>106031</v>
          </cell>
          <cell r="C4907" t="str">
            <v>DISJUNTOR TRIPOLAR DIN 80A - FORNECIMENTO E INSTALAÇÃO. AF_07/2025</v>
          </cell>
          <cell r="D4907" t="str">
            <v>UN</v>
          </cell>
          <cell r="E4907">
            <v>0</v>
          </cell>
        </row>
        <row r="4908">
          <cell r="B4908">
            <v>93667</v>
          </cell>
          <cell r="C4908" t="str">
            <v>DISJUNTOR TRIPOLAR TIPO DIN, CORRENTE NOMINAL DE 10A - FORNECIMENTO E INSTALAÇÃO. AF_07/2025</v>
          </cell>
          <cell r="D4908" t="str">
            <v>UN</v>
          </cell>
          <cell r="E4908">
            <v>68.650000000000006</v>
          </cell>
          <cell r="F4908">
            <v>0</v>
          </cell>
        </row>
        <row r="4909">
          <cell r="B4909">
            <v>93668</v>
          </cell>
          <cell r="C4909" t="str">
            <v>DISJUNTOR TRIPOLAR TIPO DIN, CORRENTE NOMINAL DE 16A - FORNECIMENTO E INSTALAÇÃO. AF_07/2025</v>
          </cell>
          <cell r="D4909" t="str">
            <v>UN</v>
          </cell>
          <cell r="E4909">
            <v>68.650000000000006</v>
          </cell>
          <cell r="F4909">
            <v>0</v>
          </cell>
        </row>
        <row r="4910">
          <cell r="B4910">
            <v>93669</v>
          </cell>
          <cell r="C4910" t="str">
            <v>DISJUNTOR TRIPOLAR TIPO DIN, CORRENTE NOMINAL DE 20A - FORNECIMENTO E INSTALAÇÃO. AF_07/2025</v>
          </cell>
          <cell r="D4910" t="str">
            <v>UN</v>
          </cell>
          <cell r="E4910">
            <v>72.319999999999993</v>
          </cell>
          <cell r="F4910">
            <v>0</v>
          </cell>
        </row>
        <row r="4911">
          <cell r="B4911">
            <v>93670</v>
          </cell>
          <cell r="C4911" t="str">
            <v>DISJUNTOR TRIPOLAR TIPO DIN, CORRENTE NOMINAL DE 25A - FORNECIMENTO E INSTALAÇÃO. AF_07/2025</v>
          </cell>
          <cell r="D4911" t="str">
            <v>UN</v>
          </cell>
          <cell r="E4911">
            <v>76.39</v>
          </cell>
          <cell r="F4911">
            <v>0</v>
          </cell>
        </row>
        <row r="4912">
          <cell r="B4912">
            <v>93671</v>
          </cell>
          <cell r="C4912" t="str">
            <v>DISJUNTOR TRIPOLAR TIPO DIN, CORRENTE NOMINAL DE 32A - FORNECIMENTO E INSTALAÇÃO. AF_07/2025</v>
          </cell>
          <cell r="D4912" t="str">
            <v>UN</v>
          </cell>
          <cell r="E4912">
            <v>82.59</v>
          </cell>
          <cell r="F4912">
            <v>0</v>
          </cell>
        </row>
        <row r="4913">
          <cell r="B4913">
            <v>93672</v>
          </cell>
          <cell r="C4913" t="str">
            <v>DISJUNTOR TRIPOLAR TIPO DIN, CORRENTE NOMINAL DE 40A - FORNECIMENTO E INSTALAÇÃO. AF_07/2025</v>
          </cell>
          <cell r="D4913" t="str">
            <v>UN</v>
          </cell>
          <cell r="E4913">
            <v>92.56</v>
          </cell>
          <cell r="F4913">
            <v>0</v>
          </cell>
        </row>
        <row r="4914">
          <cell r="B4914">
            <v>93673</v>
          </cell>
          <cell r="C4914" t="str">
            <v>DISJUNTOR TRIPOLAR TIPO DIN, CORRENTE NOMINAL DE 50A - FORNECIMENTO E INSTALAÇÃO. AF_07/2025</v>
          </cell>
          <cell r="D4914" t="str">
            <v>UN</v>
          </cell>
          <cell r="E4914">
            <v>105.29</v>
          </cell>
          <cell r="F4914">
            <v>0</v>
          </cell>
        </row>
        <row r="4915">
          <cell r="B4915">
            <v>101893</v>
          </cell>
          <cell r="C4915" t="str">
            <v>DISJUNTOR TRIPOLAR TIPO NEMA, CORRENTE NOMINAL DE 10 ATÉ 50A - FORNECIMENTO E INSTALAÇÃO. AF_07/2025</v>
          </cell>
          <cell r="D4915" t="str">
            <v>UN</v>
          </cell>
          <cell r="E4915">
            <v>89.97</v>
          </cell>
          <cell r="F4915">
            <v>0</v>
          </cell>
        </row>
        <row r="4916">
          <cell r="B4916">
            <v>101894</v>
          </cell>
          <cell r="C4916" t="str">
            <v>DISJUNTOR TRIPOLAR TIPO NEMA, CORRENTE NOMINAL DE 60 ATÉ 100A - FORNECIMENTO E INSTALAÇÃO. AF_07/2025</v>
          </cell>
          <cell r="D4916" t="str">
            <v>UN</v>
          </cell>
          <cell r="E4916">
            <v>165.84</v>
          </cell>
          <cell r="F4916">
            <v>0</v>
          </cell>
        </row>
        <row r="4917">
          <cell r="B4917">
            <v>106027</v>
          </cell>
          <cell r="C4917" t="str">
            <v>DISPOSITIVO DPS 20KA-175V OU 275V - FORNECIMENTO E INSTALAÇÃO. AF_07/2025</v>
          </cell>
          <cell r="D4917" t="str">
            <v>UN</v>
          </cell>
          <cell r="E4917">
            <v>72.94</v>
          </cell>
          <cell r="F4917">
            <v>0</v>
          </cell>
        </row>
        <row r="4918">
          <cell r="B4918">
            <v>106028</v>
          </cell>
          <cell r="C4918" t="str">
            <v>DISPOSITIVO DPS 40KA-175V OU 275V - FORNECIMENTO E INSTALAÇÃO. AF_07/2025</v>
          </cell>
          <cell r="D4918" t="str">
            <v>UN</v>
          </cell>
          <cell r="E4918">
            <v>0</v>
          </cell>
        </row>
        <row r="4919">
          <cell r="B4919">
            <v>106029</v>
          </cell>
          <cell r="C4919" t="str">
            <v>DISPOSITIVO DPS 60KA-275V - FORNECIMENTO E INSTALAÇÃO. AF_07/2025</v>
          </cell>
          <cell r="D4919" t="str">
            <v>UN</v>
          </cell>
          <cell r="E4919">
            <v>0</v>
          </cell>
        </row>
        <row r="4920">
          <cell r="B4920">
            <v>97421</v>
          </cell>
          <cell r="C4920" t="str">
            <v>GABARITO PARA BARRAMENTO BLINDADO - FORNECIMENTO E INSTALAÇÃO. AF_07/2025</v>
          </cell>
          <cell r="D4920" t="str">
            <v>UN</v>
          </cell>
          <cell r="E4920">
            <v>0</v>
          </cell>
        </row>
        <row r="4921">
          <cell r="B4921">
            <v>97373</v>
          </cell>
          <cell r="C4921" t="str">
            <v>PEÇA RETA DE BARRAMENTO BLINDADO, 1000A - FORNECIMENTO E INSTALAÇÃO. AF_07/2025</v>
          </cell>
          <cell r="D4921" t="str">
            <v>M</v>
          </cell>
          <cell r="E4921">
            <v>0</v>
          </cell>
        </row>
        <row r="4922">
          <cell r="B4922">
            <v>97374</v>
          </cell>
          <cell r="C4922" t="str">
            <v>PEÇA RETA DE BARRAMENTO BLINDADO, 1250A - FORNECIMENTO E INSTALAÇÃO. AF_07/2025</v>
          </cell>
          <cell r="D4922" t="str">
            <v>M</v>
          </cell>
          <cell r="E4922">
            <v>0</v>
          </cell>
        </row>
        <row r="4923">
          <cell r="B4923">
            <v>97375</v>
          </cell>
          <cell r="C4923" t="str">
            <v>PEÇA RETA DE BARRAMENTO BLINDADO, 1600A - FORNECIMENTO E INSTALAÇÃO. AF_07/2025</v>
          </cell>
          <cell r="D4923" t="str">
            <v>M</v>
          </cell>
          <cell r="E4923">
            <v>0</v>
          </cell>
        </row>
        <row r="4924">
          <cell r="B4924">
            <v>97376</v>
          </cell>
          <cell r="C4924" t="str">
            <v>PEÇA RETA DE BARRAMENTO BLINDADO, 2000A - FORNECIMENTO E INSTALAÇÃO. AF_07/2025</v>
          </cell>
          <cell r="D4924" t="str">
            <v>M</v>
          </cell>
          <cell r="E4924">
            <v>0</v>
          </cell>
        </row>
        <row r="4925">
          <cell r="B4925">
            <v>97377</v>
          </cell>
          <cell r="C4925" t="str">
            <v>PEÇA RETA DE BARRAMENTO BLINDADO, 2500A - FORNECIMENTO E INSTALAÇÃO. AF_07/2025</v>
          </cell>
          <cell r="D4925" t="str">
            <v>M</v>
          </cell>
          <cell r="E4925">
            <v>0</v>
          </cell>
        </row>
        <row r="4926">
          <cell r="B4926">
            <v>97368</v>
          </cell>
          <cell r="C4926" t="str">
            <v>PEÇA RETA DE BARRAMENTO BLINDADO, 250A - FORNECIMENTO E INSTALAÇÃO. AF_07/2025</v>
          </cell>
          <cell r="D4926" t="str">
            <v>M</v>
          </cell>
          <cell r="E4926">
            <v>0</v>
          </cell>
        </row>
        <row r="4927">
          <cell r="B4927">
            <v>97369</v>
          </cell>
          <cell r="C4927" t="str">
            <v>PEÇA RETA DE BARRAMENTO BLINDADO, 350A - FORNECIMENTO E INSTALAÇÃO. AF_07/2025</v>
          </cell>
          <cell r="D4927" t="str">
            <v>M</v>
          </cell>
          <cell r="E4927">
            <v>0</v>
          </cell>
        </row>
        <row r="4928">
          <cell r="B4928">
            <v>97370</v>
          </cell>
          <cell r="C4928" t="str">
            <v>PEÇA RETA DE BARRAMENTO BLINDADO, 450A - FORNECIMENTO E INSTALAÇÃO. AF_07/2025</v>
          </cell>
          <cell r="D4928" t="str">
            <v>M</v>
          </cell>
          <cell r="E4928">
            <v>0</v>
          </cell>
        </row>
        <row r="4929">
          <cell r="B4929">
            <v>97371</v>
          </cell>
          <cell r="C4929" t="str">
            <v>PEÇA RETA DE BARRAMENTO BLINDADO, 550A - FORNECIMENTO E INSTALAÇÃO. AF_07/2025</v>
          </cell>
          <cell r="D4929" t="str">
            <v>M</v>
          </cell>
          <cell r="E4929">
            <v>0</v>
          </cell>
        </row>
        <row r="4930">
          <cell r="B4930">
            <v>97372</v>
          </cell>
          <cell r="C4930" t="str">
            <v>PEÇA RETA DE BARRAMENTO BLINDADO, 630A - FORNECIMENTO E INSTALAÇÃO. AF_07/2025</v>
          </cell>
          <cell r="D4930" t="str">
            <v>M</v>
          </cell>
          <cell r="E4930">
            <v>0</v>
          </cell>
        </row>
        <row r="4931">
          <cell r="B4931">
            <v>101875</v>
          </cell>
          <cell r="C4931" t="str">
            <v>QUADRO DE DISTRIBUIÇÃO DE ENERGIA EM CHAPA DE AÇO GALVANIZADO, DE EMBUTIR, COM BARRAMENTO TRIFÁSICO, PARA 12 DISJUNTORES DIN 100A - FORNECIMENTO E INSTALAÇÃO. AF_07/2025</v>
          </cell>
          <cell r="D4931" t="str">
            <v>UN</v>
          </cell>
          <cell r="E4931">
            <v>425.88</v>
          </cell>
          <cell r="F4931">
            <v>0</v>
          </cell>
        </row>
        <row r="4932">
          <cell r="B4932">
            <v>101883</v>
          </cell>
          <cell r="C4932" t="str">
            <v>QUADRO DE DISTRIBUIÇÃO DE ENERGIA EM CHAPA DE AÇO GALVANIZADO, DE EMBUTIR, COM BARRAMENTO TRIFÁSICO, PARA 18 DISJUNTORES DIN 100A - FORNECIMENTO E INSTALAÇÃO. AF_07/2025</v>
          </cell>
          <cell r="D4932" t="str">
            <v>UN</v>
          </cell>
          <cell r="E4932">
            <v>564.4</v>
          </cell>
          <cell r="F4932">
            <v>0</v>
          </cell>
        </row>
        <row r="4933">
          <cell r="B4933">
            <v>101879</v>
          </cell>
          <cell r="C4933" t="str">
            <v>QUADRO DE DISTRIBUIÇÃO DE ENERGIA EM CHAPA DE AÇO GALVANIZADO, DE EMBUTIR, COM BARRAMENTO TRIFÁSICO, PARA 24 DISJUNTORES DIN 100A - FORNECIMENTO E INSTALAÇÃO. AF_07/2025</v>
          </cell>
          <cell r="D4933" t="str">
            <v>UN</v>
          </cell>
          <cell r="E4933">
            <v>587.02</v>
          </cell>
          <cell r="F4933">
            <v>0</v>
          </cell>
        </row>
        <row r="4934">
          <cell r="B4934">
            <v>106021</v>
          </cell>
          <cell r="C4934" t="str">
            <v>QUADRO DE DISTRIBUIÇÃO DE ENERGIA EM CHAPA DE AÇO GALVANIZADO, DE EMBUTIR, COM BARRAMENTO TRIFÁSICO, PARA 28 DISJUNTORES DIN 100A - FORNECIMENTO E INSTALAÇÃO. AF_07/2025</v>
          </cell>
          <cell r="D4934" t="str">
            <v>UN</v>
          </cell>
          <cell r="E4934">
            <v>0</v>
          </cell>
        </row>
        <row r="4935">
          <cell r="B4935">
            <v>101880</v>
          </cell>
          <cell r="C4935" t="str">
            <v>QUADRO DE DISTRIBUIÇÃO DE ENERGIA EM CHAPA DE AÇO GALVANIZADO, DE EMBUTIR, COM BARRAMENTO TRIFÁSICO, PARA 30 DISJUNTORES DIN 150A - FORNECIMENTO E INSTALAÇÃO. AF_07/2025</v>
          </cell>
          <cell r="D4935" t="str">
            <v>UN</v>
          </cell>
          <cell r="E4935">
            <v>686.11</v>
          </cell>
          <cell r="F4935">
            <v>0</v>
          </cell>
        </row>
        <row r="4936">
          <cell r="B4936">
            <v>101882</v>
          </cell>
          <cell r="C4936" t="str">
            <v>QUADRO DE DISTRIBUIÇÃO DE ENERGIA EM CHAPA DE AÇO GALVANIZADO, DE EMBUTIR, COM BARRAMENTO TRIFÁSICO, PARA 30 DISJUNTORES DIN 225A - FORNECIMENTO E INSTALAÇÃO. AF_07/2025</v>
          </cell>
          <cell r="D4936" t="str">
            <v>UN</v>
          </cell>
          <cell r="E4936">
            <v>1253.54</v>
          </cell>
          <cell r="F4936">
            <v>0</v>
          </cell>
        </row>
        <row r="4937">
          <cell r="B4937">
            <v>106022</v>
          </cell>
          <cell r="C4937" t="str">
            <v>QUADRO DE DISTRIBUIÇÃO DE ENERGIA EM CHAPA DE AÇO GALVANIZADO, DE EMBUTIR, COM BARRAMENTO TRIFÁSICO, PARA 36 DISJUNTORES DIN 100A - FORNECIMENTO E INSTALAÇÃO. AF_07/2025</v>
          </cell>
          <cell r="D4937" t="str">
            <v>UN</v>
          </cell>
          <cell r="E4937">
            <v>0</v>
          </cell>
        </row>
        <row r="4938">
          <cell r="B4938">
            <v>101881</v>
          </cell>
          <cell r="C4938" t="str">
            <v>QUADRO DE DISTRIBUIÇÃO DE ENERGIA EM CHAPA DE AÇO GALVANIZADO, DE EMBUTIR, COM BARRAMENTO TRIFÁSICO, PARA 40 DISJUNTORES DIN 100A - FORNECIMENTO E INSTALAÇÃO. AF_07/2025</v>
          </cell>
          <cell r="D4938" t="str">
            <v>UN</v>
          </cell>
          <cell r="E4938">
            <v>925.83</v>
          </cell>
          <cell r="F4938">
            <v>0</v>
          </cell>
        </row>
        <row r="4939">
          <cell r="B4939">
            <v>106023</v>
          </cell>
          <cell r="C4939" t="str">
            <v>QUADRO DE DISTRIBUIÇÃO DE ENERGIA EM CHAPA DE AÇO GALVANIZADO, DE EMBUTIR, COM BARRAMENTO TRIFÁSICO, PARA 48 DISJUNTORES DIN 100A - FORNECIMENTO E INSTALAÇÃO. AF_07/2025</v>
          </cell>
          <cell r="D4939" t="str">
            <v>UN</v>
          </cell>
          <cell r="E4939">
            <v>0</v>
          </cell>
        </row>
        <row r="4940">
          <cell r="B4940">
            <v>101878</v>
          </cell>
          <cell r="C4940" t="str">
            <v>QUADRO DE DISTRIBUIÇÃO DE ENERGIA EM CHAPA DE AÇO GALVANIZADO, DE SOBREPOR, COM BARRAMENTO TRIFÁSICO, PARA 18 DISJUNTORES DIN 100A - FORNECIMENTO E INSTALAÇÃO. AF_07/2025</v>
          </cell>
          <cell r="D4940" t="str">
            <v>UN</v>
          </cell>
          <cell r="E4940">
            <v>417</v>
          </cell>
          <cell r="F4940">
            <v>0</v>
          </cell>
        </row>
        <row r="4941">
          <cell r="B4941">
            <v>106024</v>
          </cell>
          <cell r="C4941" t="str">
            <v>QUADRO DE DISTRIBUIÇÃO DE ENERGIA EM CHAPA DE AÇO GALVANIZADO, DE SOBREPOR, COM BARRAMENTO TRIFÁSICO, PARA 28 DISJUNTORES DIN 100A - FORNECIMENTO E INSTALAÇÃO. AF_07/2025</v>
          </cell>
          <cell r="D4941" t="str">
            <v>UN</v>
          </cell>
          <cell r="E4941">
            <v>0</v>
          </cell>
        </row>
        <row r="4942">
          <cell r="B4942">
            <v>106025</v>
          </cell>
          <cell r="C4942" t="str">
            <v>QUADRO DE DISTRIBUIÇÃO DE ENERGIA EM CHAPA DE AÇO GALVANIZADO, DE SOBREPOR, COM BARRAMENTO TRIFÁSICO, PARA 36 DISJUNTORES DIN 100A - FORNECIMENTO E INSTALAÇÃO. AF_07/2025</v>
          </cell>
          <cell r="D4942" t="str">
            <v>UN</v>
          </cell>
          <cell r="E4942">
            <v>0</v>
          </cell>
        </row>
        <row r="4943">
          <cell r="B4943">
            <v>106026</v>
          </cell>
          <cell r="C4943" t="str">
            <v>QUADRO DE DISTRIBUIÇÃO DE ENERGIA EM CHAPA DE AÇO GALVANIZADO, DE SOBREPOR, COM BARRAMENTO TRIFÁSICO, PARA 48 DISJUNTORES DIN 100A - FORNECIMENTO E INSTALAÇÃO. AF_07/2025</v>
          </cell>
          <cell r="D4943" t="str">
            <v>UN</v>
          </cell>
          <cell r="E4943">
            <v>0</v>
          </cell>
        </row>
        <row r="4944">
          <cell r="B4944">
            <v>101877</v>
          </cell>
          <cell r="C4944" t="str">
            <v>QUADRO DE DISTRIBUIÇÃO DE ENERGIA EM PVC, DE EMBUTIR, SEM BARRAMENTO, PARA 3 DISJUNTORES - FORNECIMENTO E INSTALAÇÃO. AF_07/2025</v>
          </cell>
          <cell r="D4944" t="str">
            <v>UN</v>
          </cell>
          <cell r="E4944">
            <v>94.92</v>
          </cell>
          <cell r="F4944">
            <v>0</v>
          </cell>
        </row>
        <row r="4945">
          <cell r="B4945">
            <v>101876</v>
          </cell>
          <cell r="C4945" t="str">
            <v>QUADRO DE DISTRIBUIÇÃO DE ENERGIA EM PVC, DE EMBUTIR, SEM BARRAMENTO, PARA 6 DISJUNTORES - FORNECIMENTO E INSTALAÇÃO. AF_07/2025</v>
          </cell>
          <cell r="D4945" t="str">
            <v>UN</v>
          </cell>
          <cell r="E4945">
            <v>126.52</v>
          </cell>
          <cell r="F4945">
            <v>0</v>
          </cell>
        </row>
        <row r="4946">
          <cell r="B4946">
            <v>101873</v>
          </cell>
          <cell r="C4946" t="str">
            <v>QUADRO DE DISTRIBUIÇÃO DE LUZ EM PVC PARA 12 DISJUNTORES - FORNECIMENTO E INSTALAÇÃO. AF_07/2025</v>
          </cell>
          <cell r="D4946" t="str">
            <v>UN</v>
          </cell>
          <cell r="E4946">
            <v>0</v>
          </cell>
        </row>
        <row r="4947">
          <cell r="B4947">
            <v>101874</v>
          </cell>
          <cell r="C4947" t="str">
            <v>QUADRO DE DISTRIBUIÇÃO DE LUZ EM PVC PARA 24 DISJUNTORES - FORNECIMENTO E INSTALAÇÃO. AF_07/2025</v>
          </cell>
          <cell r="D4947" t="str">
            <v>UN</v>
          </cell>
          <cell r="E4947">
            <v>0</v>
          </cell>
        </row>
        <row r="4948">
          <cell r="B4948">
            <v>101871</v>
          </cell>
          <cell r="C4948" t="str">
            <v>QUADRO DE DISTRIBUIÇÃO DE LUZ EM PVC PARA 4 DISJUNTORES - FORNECIMENTO E INSTALAÇÃO. AF_07/2025</v>
          </cell>
          <cell r="D4948" t="str">
            <v>UN</v>
          </cell>
          <cell r="E4948">
            <v>0</v>
          </cell>
        </row>
        <row r="4949">
          <cell r="B4949">
            <v>101872</v>
          </cell>
          <cell r="C4949" t="str">
            <v>QUADRO DE DISTRIBUIÇÃO DE LUZ EM PVC PARA 8 DISJUNTORES - FORNECIMENTO E INSTALAÇÃO. AF_07/2025</v>
          </cell>
          <cell r="D4949" t="str">
            <v>UN</v>
          </cell>
          <cell r="E4949">
            <v>0</v>
          </cell>
        </row>
        <row r="4950">
          <cell r="B4950">
            <v>97360</v>
          </cell>
          <cell r="C4950" t="str">
            <v>QUADRO DE MEDIÇÃO GERAL DE ENERGIA COM 12 MEDIDORES - FORNECIMENTO E INSTALAÇÃO. AF_07/2025</v>
          </cell>
          <cell r="D4950" t="str">
            <v>UN</v>
          </cell>
          <cell r="E4950">
            <v>6398.82</v>
          </cell>
          <cell r="F4950">
            <v>0</v>
          </cell>
        </row>
        <row r="4951">
          <cell r="B4951">
            <v>97361</v>
          </cell>
          <cell r="C4951" t="str">
            <v>QUADRO DE MEDIÇÃO GERAL DE ENERGIA COM 16 MEDIDORES - FORNECIMENTO E INSTALAÇÃO. AF_07/2025</v>
          </cell>
          <cell r="D4951" t="str">
            <v>UN</v>
          </cell>
          <cell r="E4951">
            <v>8531.76</v>
          </cell>
          <cell r="F4951">
            <v>0</v>
          </cell>
        </row>
        <row r="4952">
          <cell r="B4952">
            <v>97359</v>
          </cell>
          <cell r="C4952" t="str">
            <v>QUADRO DE MEDIÇÃO GERAL DE ENERGIA COM 8 MEDIDORES - FORNECIMENTO E INSTALAÇÃO. AF_07/2025</v>
          </cell>
          <cell r="D4952" t="str">
            <v>UN</v>
          </cell>
          <cell r="E4952">
            <v>3345.05</v>
          </cell>
          <cell r="F4952">
            <v>0</v>
          </cell>
        </row>
        <row r="4953">
          <cell r="B4953">
            <v>101946</v>
          </cell>
          <cell r="C4953" t="str">
            <v>QUADRO DE MEDIÇÃO GERAL DE ENERGIA PARA 1 MEDIDOR DE SOBREPOR - FORNECIMENTO E INSTALAÇÃO. AF_07/2025</v>
          </cell>
          <cell r="D4953" t="str">
            <v>UN</v>
          </cell>
          <cell r="E4953">
            <v>116.5</v>
          </cell>
          <cell r="F4953">
            <v>0</v>
          </cell>
        </row>
        <row r="4954">
          <cell r="B4954">
            <v>97362</v>
          </cell>
          <cell r="C4954" t="str">
            <v>QUADRO DE MEDIÇÃO GERAL DE ENERGIA PARA BARRAMENTO BLINDADO COM 4 MEDIDORES - FORNECIMENTO E INSTALAÇÃO. AF_07/2025</v>
          </cell>
          <cell r="D4954" t="str">
            <v>UN</v>
          </cell>
          <cell r="E4954">
            <v>1555.2</v>
          </cell>
          <cell r="F4954">
            <v>0</v>
          </cell>
        </row>
        <row r="4955">
          <cell r="B4955">
            <v>101553</v>
          </cell>
          <cell r="C4955" t="str">
            <v>ALÇA PREFORMADA DE DISTRIBUIÇÃO, EM AÇO GALVANIZADO, AWG 1 - FORNECIMENTO E INSTALAÇÃO. AF_12/2025</v>
          </cell>
          <cell r="D4955" t="str">
            <v>UN</v>
          </cell>
          <cell r="E4955">
            <v>16.899999999999999</v>
          </cell>
          <cell r="F4955">
            <v>0</v>
          </cell>
        </row>
        <row r="4956">
          <cell r="B4956">
            <v>101554</v>
          </cell>
          <cell r="C4956" t="str">
            <v>ALÇA PREFORMADA DE DISTRIBUIÇÃO, EM AÇO GALVANIZADO, AWG 2 - FORNECIMENTO E INSTALAÇÃO. AF_12/2025</v>
          </cell>
          <cell r="D4956" t="str">
            <v>UN</v>
          </cell>
          <cell r="E4956">
            <v>13.1</v>
          </cell>
          <cell r="F4956">
            <v>0</v>
          </cell>
        </row>
        <row r="4957">
          <cell r="B4957">
            <v>101555</v>
          </cell>
          <cell r="C4957" t="str">
            <v>ALÇA PREFORMADA DE DISTRIBUIÇÃO, EM AÇO GALVANIZADO, AWG 4 - FORNECIMENTO E INSTALAÇÃO. AF_12/2025</v>
          </cell>
          <cell r="D4957" t="str">
            <v>UN</v>
          </cell>
          <cell r="E4957">
            <v>9.64</v>
          </cell>
          <cell r="F4957">
            <v>0</v>
          </cell>
        </row>
        <row r="4958">
          <cell r="B4958">
            <v>101556</v>
          </cell>
          <cell r="C4958" t="str">
            <v>ALÇA PREFORMADA DE DISTRIBUIÇÃO, EM AÇO GALVANIZADO, AWG 6 - FORNECIMENTO E INSTALAÇÃO. AF_12/2025</v>
          </cell>
          <cell r="D4958" t="str">
            <v>UN</v>
          </cell>
          <cell r="E4958">
            <v>9.09</v>
          </cell>
          <cell r="F4958">
            <v>0</v>
          </cell>
        </row>
        <row r="4959">
          <cell r="B4959">
            <v>101537</v>
          </cell>
          <cell r="C4959" t="str">
            <v>APARELHO SINALIZADOR DE SAÍDA DE GARAGEM, COM CÉLULA FOTOELÉTRICA - FORNECIMENTO E INSTALAÇÃO. AF_12/2025</v>
          </cell>
          <cell r="D4959" t="str">
            <v>UN</v>
          </cell>
          <cell r="E4959">
            <v>107.6</v>
          </cell>
          <cell r="F4959">
            <v>0</v>
          </cell>
        </row>
        <row r="4960">
          <cell r="B4960">
            <v>101538</v>
          </cell>
          <cell r="C4960" t="str">
            <v>ARMAÇÃO SECUNDÁRIA, COM 1 ESTRIBO E 1 ISOLADOR - FORNECIMENTO E INSTALAÇÃO. AF_12/2025</v>
          </cell>
          <cell r="D4960" t="str">
            <v>UN</v>
          </cell>
          <cell r="E4960">
            <v>47.5</v>
          </cell>
          <cell r="F4960">
            <v>0</v>
          </cell>
        </row>
        <row r="4961">
          <cell r="B4961">
            <v>101542</v>
          </cell>
          <cell r="C4961" t="str">
            <v>ARMAÇÃO SECUNDÁRIA, COM 1 ESTRIBO, SEM ISOLADOR - FORNECIMENTO E INSTALAÇÃO. AF_12/2025</v>
          </cell>
          <cell r="D4961" t="str">
            <v>UN</v>
          </cell>
          <cell r="E4961">
            <v>36.770000000000003</v>
          </cell>
          <cell r="F4961">
            <v>0</v>
          </cell>
        </row>
        <row r="4962">
          <cell r="B4962">
            <v>101539</v>
          </cell>
          <cell r="C4962" t="str">
            <v>ARMAÇÃO SECUNDÁRIA, COM 2 ESTRIBOS E 2 ISOLADORES - FORNECIMENTO E INSTALAÇÃO. AF_12/2025</v>
          </cell>
          <cell r="D4962" t="str">
            <v>UN</v>
          </cell>
          <cell r="E4962">
            <v>81.63</v>
          </cell>
          <cell r="F4962">
            <v>0</v>
          </cell>
        </row>
        <row r="4963">
          <cell r="B4963">
            <v>101543</v>
          </cell>
          <cell r="C4963" t="str">
            <v>ARMAÇÃO SECUNDÁRIA, COM 2 ESTRIBOS, SEM ISOLADOR - FORNECIMENTO E INSTALAÇÃO. AF_12/2025</v>
          </cell>
          <cell r="D4963" t="str">
            <v>UN</v>
          </cell>
          <cell r="E4963">
            <v>67.08</v>
          </cell>
          <cell r="F4963">
            <v>0</v>
          </cell>
        </row>
        <row r="4964">
          <cell r="B4964">
            <v>101540</v>
          </cell>
          <cell r="C4964" t="str">
            <v>ARMAÇÃO SECUNDÁRIA, COM 3 ESTRIBOS E 3 ISOLADORES - FORNECIMENTO E INSTALAÇÃO. AF_12/2025</v>
          </cell>
          <cell r="D4964" t="str">
            <v>UN</v>
          </cell>
          <cell r="E4964">
            <v>134.35</v>
          </cell>
          <cell r="F4964">
            <v>0</v>
          </cell>
        </row>
        <row r="4965">
          <cell r="B4965">
            <v>101544</v>
          </cell>
          <cell r="C4965" t="str">
            <v>ARMAÇÃO SECUNDÁRIA, COM 3 ESTRIBOS, SEM ISOLADOR - FORNECIMENTO E INSTALAÇÃO. AF_12/2025</v>
          </cell>
          <cell r="D4965" t="str">
            <v>UN</v>
          </cell>
          <cell r="E4965">
            <v>105.78</v>
          </cell>
          <cell r="F4965">
            <v>0</v>
          </cell>
        </row>
        <row r="4966">
          <cell r="B4966">
            <v>101541</v>
          </cell>
          <cell r="C4966" t="str">
            <v>ARMAÇÃO SECUNDÁRIA, COM 4 ESTRIBOS E 4 ISOLADORES - FORNECIMENTO E INSTALAÇÃO. AF_12/2025</v>
          </cell>
          <cell r="D4966" t="str">
            <v>UN</v>
          </cell>
          <cell r="E4966">
            <v>176.01</v>
          </cell>
          <cell r="F4966">
            <v>0</v>
          </cell>
        </row>
        <row r="4967">
          <cell r="B4967">
            <v>101545</v>
          </cell>
          <cell r="C4967" t="str">
            <v>ARMAÇÃO SECUNDÁRIA, COM 4 ESTRIBOS, SEM ISOLADOR - FORNECIMENTO E INSTALAÇÃO. AF_12/2025</v>
          </cell>
          <cell r="D4967" t="str">
            <v>UN</v>
          </cell>
          <cell r="E4967">
            <v>150.81</v>
          </cell>
          <cell r="F4967">
            <v>0</v>
          </cell>
        </row>
        <row r="4968">
          <cell r="B4968">
            <v>106502</v>
          </cell>
          <cell r="C4968" t="str">
            <v>CABO DE ALUMÍNIO NÚ COM ALMA DE AÇO, BITOLA 1/0 AWG PARA REDE AÉREA DE DISTRIBUIÇÃO DE ENERGIA ELÉTRICA DE MÉDIA TENSÃO - FORNECIMENTO E INSTALAÇÃO. AF_12/2025</v>
          </cell>
          <cell r="D4968" t="str">
            <v>M</v>
          </cell>
          <cell r="E4968">
            <v>12.14</v>
          </cell>
          <cell r="F4968">
            <v>0</v>
          </cell>
        </row>
        <row r="4969">
          <cell r="B4969">
            <v>106503</v>
          </cell>
          <cell r="C4969" t="str">
            <v>CABO DE ALUMÍNIO NÚ COM ALMA DE AÇO, BITOLA 2 AWG PARA REDE AÉREA DE DISTRIBUIÇÃO DE ENERGIA ELÉTRICA DE MÉDIA TENSÃO - FORNECIMENTO E INSTALAÇÃO. AF_12/2025</v>
          </cell>
          <cell r="D4969" t="str">
            <v>M</v>
          </cell>
          <cell r="E4969">
            <v>7.66</v>
          </cell>
          <cell r="F4969">
            <v>0</v>
          </cell>
        </row>
        <row r="4970">
          <cell r="B4970">
            <v>106504</v>
          </cell>
          <cell r="C4970" t="str">
            <v>CABO DE ALUMÍNIO NÚ COM ALMA DE AÇO, BITOLA 2/0 AWG PARA REDE AÉREA DE DISTRIBUIÇÃO DE ENERGIA ELÉTRICA DE MÉDIA TENSÃO - FORNECIMENTO E INSTALAÇÃO. AF_12/2025</v>
          </cell>
          <cell r="D4970" t="str">
            <v>M</v>
          </cell>
          <cell r="E4970">
            <v>15.32</v>
          </cell>
          <cell r="F4970">
            <v>0</v>
          </cell>
        </row>
        <row r="4971">
          <cell r="B4971">
            <v>106505</v>
          </cell>
          <cell r="C4971" t="str">
            <v>CABO DE ALUMÍNIO NÚ COM ALMA DE AÇO, BITOLA 4 AWG PARA REDE AÉREA DE DISTRIBUIÇÃO DE ENERGIA ELÉTRICA DE MÉDIA TENSÃO - FORNECIMENTO E INSTALAÇÃO. AF_12/2025</v>
          </cell>
          <cell r="D4971" t="str">
            <v>M</v>
          </cell>
          <cell r="E4971">
            <v>4.9800000000000004</v>
          </cell>
          <cell r="F4971">
            <v>0</v>
          </cell>
        </row>
        <row r="4972">
          <cell r="B4972">
            <v>106526</v>
          </cell>
          <cell r="C4972" t="str">
            <v>CABO DE ALUMÍNIO NÚ COM ALMA DE AÇO, BITOLA 4/0 AWG PARA REDE AÉREA DE DISTRIBUIÇÃO DE ENERGIA ELÉTRICA DE MÉDIA TENSÃO - FORNECIMENTO E INSTALAÇÃO. AF_12/2025</v>
          </cell>
          <cell r="D4972" t="str">
            <v>M</v>
          </cell>
          <cell r="E4972">
            <v>0</v>
          </cell>
        </row>
        <row r="4973">
          <cell r="B4973">
            <v>106506</v>
          </cell>
          <cell r="C4973" t="str">
            <v>CABO DE ALUMÍNIO NÚ SEM ALMA DE AÇO, BITOLA 1/0 AWG PARA REDE AÉREA DE DISTRIBUIÇÃO DE ENERGIA ELÉTRICA DE MÉDIA TENSÃO - FORNECIMENTO E INSTALAÇÃO. AF_12/2025</v>
          </cell>
          <cell r="D4973" t="str">
            <v>M</v>
          </cell>
          <cell r="E4973">
            <v>9.3800000000000008</v>
          </cell>
          <cell r="F4973">
            <v>0</v>
          </cell>
        </row>
        <row r="4974">
          <cell r="B4974">
            <v>106507</v>
          </cell>
          <cell r="C4974" t="str">
            <v>CABO DE ALUMÍNIO NÚ SEM ALMA DE AÇO, BITOLA 2 AWG PARA REDE AÉREA DE DISTRIBUIÇÃO DE ENERGIA ELÉTRICA DE MÉDIA TENSÃO - FORNECIMENTO E INSTALAÇÃO. AF_12/2025</v>
          </cell>
          <cell r="D4974" t="str">
            <v>M</v>
          </cell>
          <cell r="E4974">
            <v>6.03</v>
          </cell>
          <cell r="F4974">
            <v>0</v>
          </cell>
        </row>
        <row r="4975">
          <cell r="B4975">
            <v>106508</v>
          </cell>
          <cell r="C4975" t="str">
            <v>CABO DE ALUMÍNIO NÚ SEM ALMA DE AÇO, BITOLA 2/0 AWG PARA REDE AÉREA DE DISTRIBUIÇÃO DE ENERGIA ELÉTRICA DE MÉDIA TENSÃO - FORNECIMENTO E INSTALAÇÃO. AF_12/2025</v>
          </cell>
          <cell r="D4975" t="str">
            <v>M</v>
          </cell>
          <cell r="E4975">
            <v>11.87</v>
          </cell>
          <cell r="F4975">
            <v>0</v>
          </cell>
        </row>
        <row r="4976">
          <cell r="B4976">
            <v>106509</v>
          </cell>
          <cell r="C4976" t="str">
            <v>CABO DE ALUMÍNIO NÚ SEM ALMA DE AÇO, BITOLA 4 AWG PARA REDE AÉREA DE DISTRIBUIÇÃO DE ENERGIA ELÉTRICA DE MÉDIA TENSÃO - FORNECIMENTO E INSTALAÇÃO. AF_12/2025</v>
          </cell>
          <cell r="D4976" t="str">
            <v>M</v>
          </cell>
          <cell r="E4976">
            <v>3.94</v>
          </cell>
          <cell r="F4976">
            <v>0</v>
          </cell>
        </row>
        <row r="4977">
          <cell r="B4977">
            <v>106527</v>
          </cell>
          <cell r="C4977" t="str">
            <v>CABO DE ALUMÍNIO NÚ SEM ALMA DE AÇO, BITOLA 4/0 AWG PARA REDE AÉREA DE DISTRIBUIÇÃO DE ENERGIA ELÉTRICA DE MÉDIA TENSÃO - FORNECIMENTO E INSTALAÇÃO. AF_12/2025</v>
          </cell>
          <cell r="D4977" t="str">
            <v>M</v>
          </cell>
          <cell r="E4977">
            <v>0</v>
          </cell>
        </row>
        <row r="4978">
          <cell r="B4978">
            <v>106499</v>
          </cell>
          <cell r="C4978" t="str">
            <v>CABO DE ALUMÍNIO PROTEGIDO XLPE 90°C 35MM² TR 15KV AÉREO PARA REDE AÉREA COMPACTA DE DISTRIBUIÇÃO DE ENERGIA ELÉTRICA DE MÉDIA TENSÃO - FORNECIMENTO E INSTALAÇÃO. AF_12/2025</v>
          </cell>
          <cell r="D4978" t="str">
            <v>M</v>
          </cell>
          <cell r="E4978">
            <v>0</v>
          </cell>
        </row>
        <row r="4979">
          <cell r="B4979">
            <v>106500</v>
          </cell>
          <cell r="C4979" t="str">
            <v>CABO DE ALUMÍNIO PROTEGIDO XLPE 90°C 50MM² TR 15KV AÉREO PARA REDE AÉREA COMPACTA DE DISTRIBUIÇÃO DE ENERGIA ELÉTRICA DE MÉDIA TENSÃO - FORNECIMENTO E INSTALAÇÃO. AF_12/2025</v>
          </cell>
          <cell r="D4979" t="str">
            <v>M</v>
          </cell>
          <cell r="E4979">
            <v>0</v>
          </cell>
        </row>
        <row r="4980">
          <cell r="B4980">
            <v>106501</v>
          </cell>
          <cell r="C4980" t="str">
            <v>CABO DE ALUMÍNIO PROTEGIDO XLPE 90°C 70MM² TR 15KV AÉREO PARA REDE AÉREA COMPACTA DE DISTRIBUIÇÃO DE ENERGIA ELÉTRICA DE MÉDIA TENSÃO - FORNECIMENTO E INSTALAÇÃO. AF_12/2025</v>
          </cell>
          <cell r="D4980" t="str">
            <v>M</v>
          </cell>
          <cell r="E4980">
            <v>0</v>
          </cell>
        </row>
        <row r="4981">
          <cell r="B4981">
            <v>101560</v>
          </cell>
          <cell r="C4981" t="str">
            <v>CABO DE COBRE FLEXÍVEL ISOLADO, 10 MM², 0,6/1,0 KV, PARA REDE AÉREA DE DISTRIBUIÇÃO DE ENERGIA ELÉTRICA DE BAIXA TENSÃO - FORNECIMENTO E INSTALAÇÃO. AF_12/2025</v>
          </cell>
          <cell r="D4981" t="str">
            <v>M</v>
          </cell>
          <cell r="E4981">
            <v>10.98</v>
          </cell>
          <cell r="F4981">
            <v>0</v>
          </cell>
        </row>
        <row r="4982">
          <cell r="B4982">
            <v>101568</v>
          </cell>
          <cell r="C4982" t="str">
            <v>CABO DE COBRE FLEXÍVEL ISOLADO, 120 MM², 0,6/1,0 KV, PARA REDE AÉREA DE DISTRIBUIÇÃO DE ENERGIA ELÉTRICA DE BAIXA TENSÃO - FORNECIMENTO E INSTALAÇÃO. AF_12/2025</v>
          </cell>
          <cell r="D4982" t="str">
            <v>M</v>
          </cell>
          <cell r="E4982">
            <v>133.37</v>
          </cell>
          <cell r="F4982">
            <v>0</v>
          </cell>
        </row>
        <row r="4983">
          <cell r="B4983">
            <v>101561</v>
          </cell>
          <cell r="C4983" t="str">
            <v>CABO DE COBRE FLEXÍVEL ISOLADO, 16 MM², 0,6/1,0 KV, PARA REDE AÉREA DE DISTRIBUIÇÃO DE ENERGIA ELÉTRICA DE BAIXA TENSÃO - FORNECIMENTO E INSTALAÇÃO. AF_12/2025</v>
          </cell>
          <cell r="D4983" t="str">
            <v>M</v>
          </cell>
          <cell r="E4983">
            <v>17.420000000000002</v>
          </cell>
          <cell r="F4983">
            <v>0</v>
          </cell>
        </row>
        <row r="4984">
          <cell r="B4984">
            <v>101562</v>
          </cell>
          <cell r="C4984" t="str">
            <v>CABO DE COBRE FLEXÍVEL ISOLADO, 25 MM², 0,6/1,0 KV, PARA REDE AÉREA DE DISTRIBUIÇÃO DE ENERGIA ELÉTRICA DE BAIXA TENSÃO - FORNECIMENTO E INSTALAÇÃO. AF_12/2025</v>
          </cell>
          <cell r="D4984" t="str">
            <v>M</v>
          </cell>
          <cell r="E4984">
            <v>26.96</v>
          </cell>
          <cell r="F4984">
            <v>0</v>
          </cell>
        </row>
        <row r="4985">
          <cell r="B4985">
            <v>101563</v>
          </cell>
          <cell r="C4985" t="str">
            <v>CABO DE COBRE FLEXÍVEL ISOLADO, 35 MM², 0,6/1,0 KV, PARA REDE AÉREA DE DISTRIBUIÇÃO DE ENERGIA ELÉTRICA DE BAIXA TENSÃO - FORNECIMENTO E INSTALAÇÃO. AF_12/2025</v>
          </cell>
          <cell r="D4985" t="str">
            <v>M</v>
          </cell>
          <cell r="E4985">
            <v>38.06</v>
          </cell>
          <cell r="F4985">
            <v>0</v>
          </cell>
        </row>
        <row r="4986">
          <cell r="B4986">
            <v>101564</v>
          </cell>
          <cell r="C4986" t="str">
            <v>CABO DE COBRE FLEXÍVEL ISOLADO, 50 MM², 0,6/1,0 KV, PARA REDE AÉREA DE DISTRIBUIÇÃO DE ENERGIA ELÉTRICA DE BAIXA TENSÃO - FORNECIMENTO E INSTALAÇÃO. AF_12/2025</v>
          </cell>
          <cell r="D4986" t="str">
            <v>M</v>
          </cell>
          <cell r="E4986">
            <v>56.22</v>
          </cell>
          <cell r="F4986">
            <v>0</v>
          </cell>
        </row>
        <row r="4987">
          <cell r="B4987">
            <v>101565</v>
          </cell>
          <cell r="C4987" t="str">
            <v>CABO DE COBRE FLEXÍVEL ISOLADO, 70 MM², 0,6/1,0 KV, PARA REDE AÉREA DE DISTRIBUIÇÃO DE ENERGIA ELÉTRICA DE BAIXA TENSÃO - FORNECIMENTO E INSTALAÇÃO. AF_12/2025</v>
          </cell>
          <cell r="D4987" t="str">
            <v>M</v>
          </cell>
          <cell r="E4987">
            <v>78.59</v>
          </cell>
          <cell r="F4987">
            <v>0</v>
          </cell>
        </row>
        <row r="4988">
          <cell r="B4988">
            <v>101567</v>
          </cell>
          <cell r="C4988" t="str">
            <v>CABO DE COBRE FLEXÍVEL ISOLADO, 95 MM², 0,6/1,0 KV, PARA REDE AÉREA DE DISTRIBUIÇÃO DE ENERGIA ELÉTRICA DE BAIXA TENSÃO - FORNECIMENTO E INSTALAÇÃO. AF_12/2025</v>
          </cell>
          <cell r="D4988" t="str">
            <v>M</v>
          </cell>
          <cell r="E4988">
            <v>102.01</v>
          </cell>
          <cell r="F4988">
            <v>0</v>
          </cell>
        </row>
        <row r="4989">
          <cell r="B4989">
            <v>106524</v>
          </cell>
          <cell r="C4989" t="str">
            <v>CABO MENSAGEIRO PARA REDES AÉREAS COMPACTAS. AF_12/2025</v>
          </cell>
          <cell r="D4989" t="str">
            <v>M</v>
          </cell>
          <cell r="E4989">
            <v>0</v>
          </cell>
        </row>
        <row r="4990">
          <cell r="B4990">
            <v>106525</v>
          </cell>
          <cell r="C4990" t="str">
            <v>CHAVE FUSÍVEL 15KV CPF XS 100A, PARA REDES AÉREAS DE DISTRIBUIÇÃO DE ENERGIA ELÉTRICA DE MÉDIA TENSÃO - FORNECIMENTO E INSTALAÇÃO. AF_12/2025</v>
          </cell>
          <cell r="D4990" t="str">
            <v>UN</v>
          </cell>
          <cell r="E4990">
            <v>0</v>
          </cell>
        </row>
        <row r="4991">
          <cell r="B4991">
            <v>101551</v>
          </cell>
          <cell r="C4991" t="str">
            <v>CONECTOR CUNHA, PARA REDES AÉREAS DE DISTRIBUIÇÃO DE ENERGIA ELÉTRICA DE BAIXA TENSÃO - FORNECIMENTO E INSTALAÇÃO. AF_12/2025</v>
          </cell>
          <cell r="D4991" t="str">
            <v>UN</v>
          </cell>
          <cell r="E4991">
            <v>0</v>
          </cell>
        </row>
        <row r="4992">
          <cell r="B4992">
            <v>101552</v>
          </cell>
          <cell r="C4992" t="str">
            <v>CONECTOR H, PARA REDES AÉREAS DE DISTRIBUIÇÃO DE ENERGIA ELÉTRICA DE BAIXA TENSÃO - FORNECIMENTO E INSTALAÇÃO. AF_12/2025</v>
          </cell>
          <cell r="D4992" t="str">
            <v>UN</v>
          </cell>
          <cell r="E4992">
            <v>0</v>
          </cell>
        </row>
        <row r="4993">
          <cell r="B4993">
            <v>101550</v>
          </cell>
          <cell r="C4993" t="str">
            <v>CONECTOR PERFURANTE, PARA REDES AÉREAS DE DISTRIBUIÇÃO DE ENERGIA ELÉTRICA DE BAIXA TENSÃO - FORNECIMENTO E INSTALAÇÃO. AF_12/2025</v>
          </cell>
          <cell r="D4993" t="str">
            <v>UN</v>
          </cell>
          <cell r="E4993">
            <v>0</v>
          </cell>
        </row>
        <row r="4994">
          <cell r="B4994">
            <v>101501</v>
          </cell>
          <cell r="C4994" t="str">
            <v>ENTRADA DE ENERGIA ELÉTRICA, AÉREA, BIFÁSICA, COM CAIXA DE EMBUTIR, CABO DE 10 MM2 E DISJUNTOR DIN 50A (NÃO INCLUSO O POSTE DE CONCRETO). AF_12/2025</v>
          </cell>
          <cell r="D4994" t="str">
            <v>UN</v>
          </cell>
          <cell r="E4994">
            <v>2003.28</v>
          </cell>
          <cell r="F4994">
            <v>0</v>
          </cell>
        </row>
        <row r="4995">
          <cell r="B4995">
            <v>101502</v>
          </cell>
          <cell r="C4995" t="str">
            <v>ENTRADA DE ENERGIA ELÉTRICA, AÉREA, BIFÁSICA, COM CAIXA DE EMBUTIR, CABO DE 16 MM2 E DISJUNTOR DIN 50A (NÃO INCLUSO O POSTE DE CONCRETO). AF_12/2025</v>
          </cell>
          <cell r="D4995" t="str">
            <v>UN</v>
          </cell>
          <cell r="E4995">
            <v>2181.44</v>
          </cell>
          <cell r="F4995">
            <v>0</v>
          </cell>
        </row>
        <row r="4996">
          <cell r="B4996">
            <v>101503</v>
          </cell>
          <cell r="C4996" t="str">
            <v>ENTRADA DE ENERGIA ELÉTRICA, AÉREA, BIFÁSICA, COM CAIXA DE EMBUTIR, CABO DE 25 MM2 E DISJUNTOR DIN 50A (NÃO INCLUSO O POSTE DE CONCRETO). AF_12/2025</v>
          </cell>
          <cell r="D4996" t="str">
            <v>UN</v>
          </cell>
          <cell r="E4996">
            <v>2202.91</v>
          </cell>
          <cell r="F4996">
            <v>0</v>
          </cell>
        </row>
        <row r="4997">
          <cell r="B4997">
            <v>101504</v>
          </cell>
          <cell r="C4997" t="str">
            <v>ENTRADA DE ENERGIA ELÉTRICA, AÉREA, BIFÁSICA, COM CAIXA DE EMBUTIR, CABO DE 35 MM2 E DISJUNTOR DIN 50A (NÃO INCLUSO O POSTE DE CONCRETO). AF_12/2025</v>
          </cell>
          <cell r="D4997" t="str">
            <v>UN</v>
          </cell>
          <cell r="E4997">
            <v>2428.5300000000002</v>
          </cell>
          <cell r="F4997">
            <v>0</v>
          </cell>
        </row>
        <row r="4998">
          <cell r="B4998">
            <v>101497</v>
          </cell>
          <cell r="C4998" t="str">
            <v>ENTRADA DE ENERGIA ELÉTRICA, AÉREA, BIFÁSICA, COM CAIXA DE SOBREPOR, CABO DE 10 MM2 E DISJUNTOR DIN 50A (NÃO INCLUSO O POSTE DE CONCRETO). AF_12/2025</v>
          </cell>
          <cell r="D4998" t="str">
            <v>UN</v>
          </cell>
          <cell r="E4998">
            <v>2019.03</v>
          </cell>
          <cell r="F4998">
            <v>0</v>
          </cell>
        </row>
        <row r="4999">
          <cell r="B4999">
            <v>101498</v>
          </cell>
          <cell r="C4999" t="str">
            <v>ENTRADA DE ENERGIA ELÉTRICA, AÉREA, BIFÁSICA, COM CAIXA DE SOBREPOR, CABO DE 16 MM2 E DISJUNTOR DIN 50A (NÃO INCLUSO O POSTE DE CONCRETO). AF_12/2025</v>
          </cell>
          <cell r="D4999" t="str">
            <v>UN</v>
          </cell>
          <cell r="E4999">
            <v>2197.19</v>
          </cell>
          <cell r="F4999">
            <v>0</v>
          </cell>
        </row>
        <row r="5000">
          <cell r="B5000">
            <v>101499</v>
          </cell>
          <cell r="C5000" t="str">
            <v>ENTRADA DE ENERGIA ELÉTRICA, AÉREA, BIFÁSICA, COM CAIXA DE SOBREPOR, CABO DE 25 MM2 E DISJUNTOR DIN 50A (NÃO INCLUSO O POSTE DE CONCRETO). AF_12/2025</v>
          </cell>
          <cell r="D5000" t="str">
            <v>UN</v>
          </cell>
          <cell r="E5000">
            <v>2218.66</v>
          </cell>
          <cell r="F5000">
            <v>0</v>
          </cell>
        </row>
        <row r="5001">
          <cell r="B5001">
            <v>101500</v>
          </cell>
          <cell r="C5001" t="str">
            <v>ENTRADA DE ENERGIA ELÉTRICA, AÉREA, BIFÁSICA, COM CAIXA DE SOBREPOR, CABO DE 35 MM2 E DISJUNTOR DIN 50A (NÃO INCLUSO O POSTE DE CONCRETO). AF_12/2025</v>
          </cell>
          <cell r="D5001" t="str">
            <v>UN</v>
          </cell>
          <cell r="E5001">
            <v>2444.2800000000002</v>
          </cell>
          <cell r="F5001">
            <v>0</v>
          </cell>
        </row>
        <row r="5002">
          <cell r="B5002">
            <v>101493</v>
          </cell>
          <cell r="C5002" t="str">
            <v>ENTRADA DE ENERGIA ELÉTRICA, AÉREA, MONOFÁSICA, COM CAIXA DE EMBUTIR, CABO DE 10 MM2 E DISJUNTOR DIN 50A (NÃO INCLUSO O POSTE DE CONCRETO). AF_12/2025</v>
          </cell>
          <cell r="D5002" t="str">
            <v>UN</v>
          </cell>
          <cell r="E5002">
            <v>1733.51</v>
          </cell>
          <cell r="F5002">
            <v>0</v>
          </cell>
        </row>
        <row r="5003">
          <cell r="B5003">
            <v>101494</v>
          </cell>
          <cell r="C5003" t="str">
            <v>ENTRADA DE ENERGIA ELÉTRICA, AÉREA, MONOFÁSICA, COM CAIXA DE EMBUTIR, CABO DE 16 MM2 E DISJUNTOR DIN 50A (NÃO INCLUSO O POSTE DE CONCRETO). AF_12/2025</v>
          </cell>
          <cell r="D5003" t="str">
            <v>UN</v>
          </cell>
          <cell r="E5003">
            <v>1851.21</v>
          </cell>
          <cell r="F5003">
            <v>0</v>
          </cell>
        </row>
        <row r="5004">
          <cell r="B5004">
            <v>101495</v>
          </cell>
          <cell r="C5004" t="str">
            <v>ENTRADA DE ENERGIA ELÉTRICA, AÉREA, MONOFÁSICA, COM CAIXA DE EMBUTIR, CABO DE 25 MM2 E DISJUNTOR DIN 50A (NÃO INCLUSO O POSTE DE CONCRETO). AF_12/2025</v>
          </cell>
          <cell r="D5004" t="str">
            <v>UN</v>
          </cell>
          <cell r="E5004">
            <v>1865.4</v>
          </cell>
          <cell r="F5004">
            <v>0</v>
          </cell>
        </row>
        <row r="5005">
          <cell r="B5005">
            <v>101496</v>
          </cell>
          <cell r="C5005" t="str">
            <v>ENTRADA DE ENERGIA ELÉTRICA, AÉREA, MONOFÁSICA, COM CAIXA DE EMBUTIR, CABO DE 35 MM2 E DISJUNTOR DIN 50A (NÃO INCLUSO O POSTE DE CONCRETO). AF_12/2025</v>
          </cell>
          <cell r="D5005" t="str">
            <v>UN</v>
          </cell>
          <cell r="E5005">
            <v>2025.93</v>
          </cell>
          <cell r="F5005">
            <v>0</v>
          </cell>
        </row>
        <row r="5006">
          <cell r="B5006">
            <v>101489</v>
          </cell>
          <cell r="C5006" t="str">
            <v>ENTRADA DE ENERGIA ELÉTRICA, AÉREA, MONOFÁSICA, COM CAIXA DE SOBREPOR, CABO DE 10 MM2 E DISJUNTOR DIN 50A (NÃO INCLUSO O POSTE DE CONCRETO). AF_12/2025</v>
          </cell>
          <cell r="D5006" t="str">
            <v>UN</v>
          </cell>
          <cell r="E5006">
            <v>1758.75</v>
          </cell>
          <cell r="F5006">
            <v>0</v>
          </cell>
        </row>
        <row r="5007">
          <cell r="B5007">
            <v>101490</v>
          </cell>
          <cell r="C5007" t="str">
            <v>ENTRADA DE ENERGIA ELÉTRICA, AÉREA, MONOFÁSICA, COM CAIXA DE SOBREPOR, CABO DE 16 MM2 E DISJUNTOR DIN 50A (NÃO INCLUSO O POSTE DE CONCRETO). AF_12/2025</v>
          </cell>
          <cell r="D5007" t="str">
            <v>UN</v>
          </cell>
          <cell r="E5007">
            <v>1876.45</v>
          </cell>
          <cell r="F5007">
            <v>0</v>
          </cell>
        </row>
        <row r="5008">
          <cell r="B5008">
            <v>101491</v>
          </cell>
          <cell r="C5008" t="str">
            <v>ENTRADA DE ENERGIA ELÉTRICA, AÉREA, MONOFÁSICA, COM CAIXA DE SOBREPOR, CABO DE 25 MM2 E DISJUNTOR DIN 50A (NÃO INCLUSO O POSTE DE CONCRETO). AF_12/2025</v>
          </cell>
          <cell r="D5008" t="str">
            <v>UN</v>
          </cell>
          <cell r="E5008">
            <v>1890.64</v>
          </cell>
          <cell r="F5008">
            <v>0</v>
          </cell>
        </row>
        <row r="5009">
          <cell r="B5009">
            <v>101492</v>
          </cell>
          <cell r="C5009" t="str">
            <v>ENTRADA DE ENERGIA ELÉTRICA, AÉREA, MONOFÁSICA, COM CAIXA DE SOBREPOR, CABO DE 35 MM2 E DISJUNTOR DIN 50A (NÃO INCLUSO O POSTE DE CONCRETO). AF_12/2025</v>
          </cell>
          <cell r="D5009" t="str">
            <v>UN</v>
          </cell>
          <cell r="E5009">
            <v>2051.17</v>
          </cell>
          <cell r="F5009">
            <v>0</v>
          </cell>
        </row>
        <row r="5010">
          <cell r="B5010">
            <v>101509</v>
          </cell>
          <cell r="C5010" t="str">
            <v>ENTRADA DE ENERGIA ELÉTRICA, AÉREA, TRIFÁSICA, COM CAIXA DE EMBUTIR, CABO DE 10 MM2 E DISJUNTOR DIN 50A (NÃO INCLUSO O POSTE DE CONCRETO). AF_12/2025</v>
          </cell>
          <cell r="D5010" t="str">
            <v>UN</v>
          </cell>
          <cell r="E5010">
            <v>2187.16</v>
          </cell>
          <cell r="F5010">
            <v>0</v>
          </cell>
        </row>
        <row r="5011">
          <cell r="B5011">
            <v>101510</v>
          </cell>
          <cell r="C5011" t="str">
            <v>ENTRADA DE ENERGIA ELÉTRICA, AÉREA, TRIFÁSICA, COM CAIXA DE EMBUTIR, CABO DE 16 MM2 E DISJUNTOR DIN 50A (NÃO INCLUSO O POSTE DE CONCRETO). AF_12/2025</v>
          </cell>
          <cell r="D5011" t="str">
            <v>UN</v>
          </cell>
          <cell r="E5011">
            <v>2424.6999999999998</v>
          </cell>
          <cell r="F5011">
            <v>0</v>
          </cell>
        </row>
        <row r="5012">
          <cell r="B5012">
            <v>101511</v>
          </cell>
          <cell r="C5012" t="str">
            <v>ENTRADA DE ENERGIA ELÉTRICA, AÉREA, TRIFÁSICA, COM CAIXA DE EMBUTIR, CABO DE 25 MM2 E DISJUNTOR DIN 50A (NÃO INCLUSO O POSTE DE CONCRETO). AF_12/2025</v>
          </cell>
          <cell r="D5012" t="str">
            <v>UN</v>
          </cell>
          <cell r="E5012">
            <v>2453.34</v>
          </cell>
          <cell r="F5012">
            <v>0</v>
          </cell>
        </row>
        <row r="5013">
          <cell r="B5013">
            <v>101512</v>
          </cell>
          <cell r="C5013" t="str">
            <v>ENTRADA DE ENERGIA ELÉTRICA, AÉREA, TRIFÁSICA, COM CAIXA DE EMBUTIR, CABO DE 35 MM2 E DISJUNTOR DIN 50A (NÃO INCLUSO O POSTE DE CONCRETO). AF_12/2025</v>
          </cell>
          <cell r="D5013" t="str">
            <v>UN</v>
          </cell>
          <cell r="E5013">
            <v>2742.89</v>
          </cell>
          <cell r="F5013">
            <v>0</v>
          </cell>
        </row>
        <row r="5014">
          <cell r="B5014">
            <v>101505</v>
          </cell>
          <cell r="C5014" t="str">
            <v>ENTRADA DE ENERGIA ELÉTRICA, AÉREA, TRIFÁSICA, COM CAIXA DE SOBREPOR, CABO DE 10 MM2 E DISJUNTOR DIN 50A (NÃO INCLUSO O POSTE DE CONCRETO). AF_12/2025</v>
          </cell>
          <cell r="D5014" t="str">
            <v>UN</v>
          </cell>
          <cell r="E5014">
            <v>2152.15</v>
          </cell>
          <cell r="F5014">
            <v>0</v>
          </cell>
        </row>
        <row r="5015">
          <cell r="B5015">
            <v>101506</v>
          </cell>
          <cell r="C5015" t="str">
            <v>ENTRADA DE ENERGIA ELÉTRICA, AÉREA, TRIFÁSICA, COM CAIXA DE SOBREPOR, CABO DE 16 MM2 E DISJUNTOR DIN 50A (NÃO INCLUSO O POSTE DE CONCRETO). AF_12/2025</v>
          </cell>
          <cell r="D5015" t="str">
            <v>UN</v>
          </cell>
          <cell r="E5015">
            <v>2389.69</v>
          </cell>
          <cell r="F5015">
            <v>0</v>
          </cell>
        </row>
        <row r="5016">
          <cell r="B5016">
            <v>101507</v>
          </cell>
          <cell r="C5016" t="str">
            <v>ENTRADA DE ENERGIA ELÉTRICA, AÉREA, TRIFÁSICA, COM CAIXA DE SOBREPOR, CABO DE 25 MM2 E DISJUNTOR DIN 50A (NÃO INCLUSO O POSTE DE CONCRETO). AF_12/2025</v>
          </cell>
          <cell r="D5016" t="str">
            <v>UN</v>
          </cell>
          <cell r="E5016">
            <v>2418.33</v>
          </cell>
          <cell r="F5016">
            <v>0</v>
          </cell>
        </row>
        <row r="5017">
          <cell r="B5017">
            <v>101508</v>
          </cell>
          <cell r="C5017" t="str">
            <v>ENTRADA DE ENERGIA ELÉTRICA, AÉREA, TRIFÁSICA, COM CAIXA DE SOBREPOR, CABO DE 35 MM2 E DISJUNTOR DIN 50A (NÃO INCLUSO O POSTE DE CONCRETO). AF_12/2025</v>
          </cell>
          <cell r="D5017" t="str">
            <v>UN</v>
          </cell>
          <cell r="E5017">
            <v>2707.88</v>
          </cell>
          <cell r="F5017">
            <v>0</v>
          </cell>
        </row>
        <row r="5018">
          <cell r="B5018">
            <v>101525</v>
          </cell>
          <cell r="C5018" t="str">
            <v>ENTRADA DE ENERGIA ELÉTRICA, SUBTERRÂNEA, BIFÁSICA, COM CAIXA DE EMBUTIR, CABO DE 10 MM2 E DISJUNTOR DIN 50A (NÃO INCLUSA MURETA DE ALVENARIA). AF_12/2025</v>
          </cell>
          <cell r="D5018" t="str">
            <v>UN</v>
          </cell>
          <cell r="E5018">
            <v>1160.3599999999999</v>
          </cell>
          <cell r="F5018">
            <v>0</v>
          </cell>
        </row>
        <row r="5019">
          <cell r="B5019">
            <v>101526</v>
          </cell>
          <cell r="C5019" t="str">
            <v>ENTRADA DE ENERGIA ELÉTRICA, SUBTERRÂNEA, BIFÁSICA, COM CAIXA DE EMBUTIR, CABO DE 16 MM2 E DISJUNTOR DIN 50A (NÃO INCLUSA MURETA DE ALVENARIA). AF_12/2025</v>
          </cell>
          <cell r="D5019" t="str">
            <v>UN</v>
          </cell>
          <cell r="E5019">
            <v>1372.22</v>
          </cell>
          <cell r="F5019">
            <v>0</v>
          </cell>
        </row>
        <row r="5020">
          <cell r="B5020">
            <v>101527</v>
          </cell>
          <cell r="C5020" t="str">
            <v>ENTRADA DE ENERGIA ELÉTRICA, SUBTERRÂNEA, BIFÁSICA, COM CAIXA DE EMBUTIR, CABO DE 25 MM2 E DISJUNTOR DIN 50A (NÃO INCLUSA MURETA DE ALVENARIA). AF_12/2025</v>
          </cell>
          <cell r="D5020" t="str">
            <v>UN</v>
          </cell>
          <cell r="E5020">
            <v>1397.76</v>
          </cell>
          <cell r="F5020">
            <v>0</v>
          </cell>
        </row>
        <row r="5021">
          <cell r="B5021">
            <v>101528</v>
          </cell>
          <cell r="C5021" t="str">
            <v>ENTRADA DE ENERGIA ELÉTRICA, SUBTERRÂNEA, BIFÁSICA, COM CAIXA DE EMBUTIR, CABO DE 35 MM2 E DISJUNTOR DIN 50A (NÃO INCLUSA MURETA DE ALVENARIA). AF_12/2025</v>
          </cell>
          <cell r="D5021" t="str">
            <v>UN</v>
          </cell>
          <cell r="E5021">
            <v>1625.86</v>
          </cell>
          <cell r="F5021">
            <v>0</v>
          </cell>
        </row>
        <row r="5022">
          <cell r="B5022">
            <v>101521</v>
          </cell>
          <cell r="C5022" t="str">
            <v>ENTRADA DE ENERGIA ELÉTRICA, SUBTERRÂNEA, BIFÁSICA, COM CAIXA DE SOBREPOR, CABO DE 10 MM2 E DISJUNTOR DIN 50A (NÃO INCLUSA MURETA DE ALVENARIA). AF_12/2025</v>
          </cell>
          <cell r="D5022" t="str">
            <v>UN</v>
          </cell>
          <cell r="E5022">
            <v>1176.1099999999999</v>
          </cell>
          <cell r="F5022">
            <v>0</v>
          </cell>
        </row>
        <row r="5023">
          <cell r="B5023">
            <v>101522</v>
          </cell>
          <cell r="C5023" t="str">
            <v>ENTRADA DE ENERGIA ELÉTRICA, SUBTERRÂNEA, BIFÁSICA, COM CAIXA DE SOBREPOR, CABO DE 16 MM2 E DISJUNTOR DIN 50A (NÃO INCLUSA MURETA DE ALVENARIA). AF_12/2025</v>
          </cell>
          <cell r="D5023" t="str">
            <v>UN</v>
          </cell>
          <cell r="E5023">
            <v>1387.97</v>
          </cell>
          <cell r="F5023">
            <v>0</v>
          </cell>
        </row>
        <row r="5024">
          <cell r="B5024">
            <v>101523</v>
          </cell>
          <cell r="C5024" t="str">
            <v>ENTRADA DE ENERGIA ELÉTRICA, SUBTERRÂNEA, BIFÁSICA, COM CAIXA DE SOBREPOR, CABO DE 25 MM2 E DISJUNTOR DIN 50A (NÃO INCLUSA MURETA DE ALVENARIA). AF_12/2025</v>
          </cell>
          <cell r="D5024" t="str">
            <v>UN</v>
          </cell>
          <cell r="E5024">
            <v>1413.51</v>
          </cell>
          <cell r="F5024">
            <v>0</v>
          </cell>
        </row>
        <row r="5025">
          <cell r="B5025">
            <v>101524</v>
          </cell>
          <cell r="C5025" t="str">
            <v>ENTRADA DE ENERGIA ELÉTRICA, SUBTERRÂNEA, BIFÁSICA, COM CAIXA DE SOBREPOR, CABO DE 35 MM2 E DISJUNTOR DIN 50A (NÃO INCLUSA MURETA DE ALVENARIA). AF_12/2025</v>
          </cell>
          <cell r="D5025" t="str">
            <v>UN</v>
          </cell>
          <cell r="E5025">
            <v>1641.61</v>
          </cell>
          <cell r="F5025">
            <v>0</v>
          </cell>
        </row>
        <row r="5026">
          <cell r="B5026">
            <v>101517</v>
          </cell>
          <cell r="C5026" t="str">
            <v>ENTRADA DE ENERGIA ELÉTRICA, SUBTERRÂNEA, MONOFÁSICA, COM CAIXA DE EMBUTIR, CABO DE 10 MM2 E DISJUNTOR DIN 50A (NÃO INCLUSA MURETA DE ALVENARIA). AF_12/2025</v>
          </cell>
          <cell r="D5026" t="str">
            <v>UN</v>
          </cell>
          <cell r="E5026">
            <v>872.48</v>
          </cell>
          <cell r="F5026">
            <v>0</v>
          </cell>
        </row>
        <row r="5027">
          <cell r="B5027">
            <v>101518</v>
          </cell>
          <cell r="C5027" t="str">
            <v>ENTRADA DE ENERGIA ELÉTRICA, SUBTERRÂNEA, MONOFÁSICA, COM CAIXA DE EMBUTIR, CABO DE 16 MM2 E DISJUNTOR DIN 50A (NÃO INCLUSA MURETA DE ALVENARIA). AF_12/2025</v>
          </cell>
          <cell r="D5027" t="str">
            <v>UN</v>
          </cell>
          <cell r="E5027">
            <v>1013.72</v>
          </cell>
          <cell r="F5027">
            <v>0</v>
          </cell>
        </row>
        <row r="5028">
          <cell r="B5028">
            <v>101519</v>
          </cell>
          <cell r="C5028" t="str">
            <v>ENTRADA DE ENERGIA ELÉTRICA, SUBTERRÂNEA, MONOFÁSICA, COM CAIXA DE EMBUTIR, CABO DE 25 MM2 E DISJUNTOR DIN 50A (NÃO INCLUSA MURETA DE ALVENARIA). AF_12/2025</v>
          </cell>
          <cell r="D5028" t="str">
            <v>UN</v>
          </cell>
          <cell r="E5028">
            <v>1030.75</v>
          </cell>
          <cell r="F5028">
            <v>0</v>
          </cell>
        </row>
        <row r="5029">
          <cell r="B5029">
            <v>101520</v>
          </cell>
          <cell r="C5029" t="str">
            <v>ENTRADA DE ENERGIA ELÉTRICA, SUBTERRÂNEA, MONOFÁSICA, COM CAIXA DE EMBUTIR, CABO DE 35 MM2 E DISJUNTOR DIN 50A (NÃO INCLUSA MURETA DE ALVENARIA). AF_12/2025</v>
          </cell>
          <cell r="D5029" t="str">
            <v>UN</v>
          </cell>
          <cell r="E5029">
            <v>1182.81</v>
          </cell>
          <cell r="F5029">
            <v>0</v>
          </cell>
        </row>
        <row r="5030">
          <cell r="B5030">
            <v>101513</v>
          </cell>
          <cell r="C5030" t="str">
            <v>ENTRADA DE ENERGIA ELÉTRICA, SUBTERRÂNEA, MONOFÁSICA, COM CAIXA DE SOBREPOR, CABO DE 10 MM2 E DISJUNTOR DIN 50A (NÃO INCLUSA MURETA DE ALVENARIA). AF_12/2025</v>
          </cell>
          <cell r="D5030" t="str">
            <v>UN</v>
          </cell>
          <cell r="E5030">
            <v>897.71</v>
          </cell>
          <cell r="F5030">
            <v>0</v>
          </cell>
        </row>
        <row r="5031">
          <cell r="B5031">
            <v>101514</v>
          </cell>
          <cell r="C5031" t="str">
            <v>ENTRADA DE ENERGIA ELÉTRICA, SUBTERRÂNEA, MONOFÁSICA, COM CAIXA DE SOBREPOR, CABO DE 16 MM2 E DISJUNTOR DIN 50A (NÃO INCLUSA MURETA DE ALVENARIA). AF_12/2025</v>
          </cell>
          <cell r="D5031" t="str">
            <v>UN</v>
          </cell>
          <cell r="E5031">
            <v>1038.95</v>
          </cell>
          <cell r="F5031">
            <v>0</v>
          </cell>
        </row>
        <row r="5032">
          <cell r="B5032">
            <v>101515</v>
          </cell>
          <cell r="C5032" t="str">
            <v>ENTRADA DE ENERGIA ELÉTRICA, SUBTERRÂNEA, MONOFÁSICA, COM CAIXA DE SOBREPOR, CABO DE 25 MM2 E DISJUNTOR DIN 50A (NÃO INCLUSA MURETA DE ALVENARIA). AF_12/2025</v>
          </cell>
          <cell r="D5032" t="str">
            <v>UN</v>
          </cell>
          <cell r="E5032">
            <v>1055.98</v>
          </cell>
          <cell r="F5032">
            <v>0</v>
          </cell>
        </row>
        <row r="5033">
          <cell r="B5033">
            <v>101516</v>
          </cell>
          <cell r="C5033" t="str">
            <v>ENTRADA DE ENERGIA ELÉTRICA, SUBTERRÂNEA, MONOFÁSICA, COM CAIXA DE SOBREPOR, CABO DE 35 MM2 E DISJUNTOR DIN 50A (NÃO INCLUSA MURETA DE ALVENARIA). AF_12/2025</v>
          </cell>
          <cell r="D5033" t="str">
            <v>UN</v>
          </cell>
          <cell r="E5033">
            <v>1208.04</v>
          </cell>
          <cell r="F5033">
            <v>0</v>
          </cell>
        </row>
        <row r="5034">
          <cell r="B5034">
            <v>101533</v>
          </cell>
          <cell r="C5034" t="str">
            <v>ENTRADA DE ENERGIA ELÉTRICA, SUBTERRÂNEA, TRIFÁSICA, COM CAIXA DE EMBUTIR, CABO DE 10 MM2 E DISJUNTOR DIN 50A (NÃO INCLUSA MURETA DE ALVENARIA). AF_12/2025</v>
          </cell>
          <cell r="D5034" t="str">
            <v>UN</v>
          </cell>
          <cell r="E5034">
            <v>1364.26</v>
          </cell>
          <cell r="F5034">
            <v>0</v>
          </cell>
        </row>
        <row r="5035">
          <cell r="B5035">
            <v>101534</v>
          </cell>
          <cell r="C5035" t="str">
            <v>ENTRADA DE ENERGIA ELÉTRICA, SUBTERRÂNEA, TRIFÁSICA, COM CAIXA DE EMBUTIR, CABO DE 16 MM2 E DISJUNTOR DIN 50A (NÃO INCLUSA MURETA DE ALVENARIA). AF_12/2025</v>
          </cell>
          <cell r="D5035" t="str">
            <v>UN</v>
          </cell>
          <cell r="E5035">
            <v>1646.74</v>
          </cell>
          <cell r="F5035">
            <v>0</v>
          </cell>
        </row>
        <row r="5036">
          <cell r="B5036">
            <v>101535</v>
          </cell>
          <cell r="C5036" t="str">
            <v>ENTRADA DE ENERGIA ELÉTRICA, SUBTERRÂNEA, TRIFÁSICA, COM CAIXA DE EMBUTIR, CABO DE 25 MM2 E DISJUNTOR DIN 50A (NÃO INCLUSA MURETA DE ALVENARIA). AF_12/2025</v>
          </cell>
          <cell r="D5036" t="str">
            <v>UN</v>
          </cell>
          <cell r="E5036">
            <v>1680.8</v>
          </cell>
          <cell r="F5036">
            <v>0</v>
          </cell>
        </row>
        <row r="5037">
          <cell r="B5037">
            <v>101536</v>
          </cell>
          <cell r="C5037" t="str">
            <v>ENTRADA DE ENERGIA ELÉTRICA, SUBTERRÂNEA, TRIFÁSICA, COM CAIXA DE EMBUTIR, CABO DE 35 MM2 E DISJUNTOR DIN 50A (NÃO INCLUSA MURETA DE ALVENARIA). AF_12/2025</v>
          </cell>
          <cell r="D5037" t="str">
            <v>UN</v>
          </cell>
          <cell r="E5037">
            <v>1984.93</v>
          </cell>
          <cell r="F5037">
            <v>0</v>
          </cell>
        </row>
        <row r="5038">
          <cell r="B5038">
            <v>101529</v>
          </cell>
          <cell r="C5038" t="str">
            <v>ENTRADA DE ENERGIA ELÉTRICA, SUBTERRÂNEA, TRIFÁSICA, COM CAIXA DE SOBREPOR, CABO DE 10 MM2 E DISJUNTOR DIN 50A (NÃO INCLUSA MURETA DE ALVENARIA). AF_12/2025</v>
          </cell>
          <cell r="D5038" t="str">
            <v>UN</v>
          </cell>
          <cell r="E5038">
            <v>1329.25</v>
          </cell>
          <cell r="F5038">
            <v>0</v>
          </cell>
        </row>
        <row r="5039">
          <cell r="B5039">
            <v>101530</v>
          </cell>
          <cell r="C5039" t="str">
            <v>ENTRADA DE ENERGIA ELÉTRICA, SUBTERRÂNEA, TRIFÁSICA, COM CAIXA DE SOBREPOR, CABO DE 16 MM2 E DISJUNTOR DIN 50A (NÃO INCLUSA MURETA DE ALVENARIA). AF_12/2025</v>
          </cell>
          <cell r="D5039" t="str">
            <v>UN</v>
          </cell>
          <cell r="E5039">
            <v>1611.73</v>
          </cell>
          <cell r="F5039">
            <v>0</v>
          </cell>
        </row>
        <row r="5040">
          <cell r="B5040">
            <v>101531</v>
          </cell>
          <cell r="C5040" t="str">
            <v>ENTRADA DE ENERGIA ELÉTRICA, SUBTERRÂNEA, TRIFÁSICA, COM CAIXA DE SOBREPOR, CABO DE 25 MM2 E DISJUNTOR DIN 50A (NÃO INCLUSA MURETA DE ALVENARIA). AF_12/2025</v>
          </cell>
          <cell r="D5040" t="str">
            <v>UN</v>
          </cell>
          <cell r="E5040">
            <v>1645.79</v>
          </cell>
          <cell r="F5040">
            <v>0</v>
          </cell>
        </row>
        <row r="5041">
          <cell r="B5041">
            <v>101532</v>
          </cell>
          <cell r="C5041" t="str">
            <v>ENTRADA DE ENERGIA ELÉTRICA, SUBTERRÂNEA, TRIFÁSICA, COM CAIXA DE SOBREPOR, CABO DE 35 MM2 E DISJUNTOR DIN 50A (NÃO INCLUSA MURETA DE ALVENARIA). AF_12/2025</v>
          </cell>
          <cell r="D5041" t="str">
            <v>UN</v>
          </cell>
          <cell r="E5041">
            <v>1949.92</v>
          </cell>
          <cell r="F5041">
            <v>0</v>
          </cell>
        </row>
        <row r="5042">
          <cell r="B5042">
            <v>106510</v>
          </cell>
          <cell r="C5042" t="str">
            <v>ESTRUTURA B1 DE ACONCORAGEM EM POSTE CIRCULAR. AF_12/2025</v>
          </cell>
          <cell r="D5042" t="str">
            <v>UN</v>
          </cell>
          <cell r="E5042">
            <v>0</v>
          </cell>
        </row>
        <row r="5043">
          <cell r="B5043">
            <v>106514</v>
          </cell>
          <cell r="C5043" t="str">
            <v>ESTRUTURA B1 DE ACONCORAGEM EM POSTE DUPLO T. AF_12/2025</v>
          </cell>
          <cell r="D5043" t="str">
            <v>UN</v>
          </cell>
          <cell r="E5043">
            <v>0</v>
          </cell>
        </row>
        <row r="5044">
          <cell r="B5044">
            <v>106511</v>
          </cell>
          <cell r="C5044" t="str">
            <v>ESTRUTURA B2 DE ACONCORAGEM EM POSTE CIRCULAR. AF_12/2025</v>
          </cell>
          <cell r="D5044" t="str">
            <v>UN</v>
          </cell>
          <cell r="E5044">
            <v>0</v>
          </cell>
        </row>
        <row r="5045">
          <cell r="B5045">
            <v>106515</v>
          </cell>
          <cell r="C5045" t="str">
            <v>ESTRUTURA B2 DE ACONCORAGEM EM POSTE DUPLO T. AF_12/2025</v>
          </cell>
          <cell r="D5045" t="str">
            <v>UN</v>
          </cell>
          <cell r="E5045">
            <v>0</v>
          </cell>
        </row>
        <row r="5046">
          <cell r="B5046">
            <v>106512</v>
          </cell>
          <cell r="C5046" t="str">
            <v>ESTRUTURA B3 DE ACONCORAGEM EM POSTE CIRCULAR. AF_12/2025</v>
          </cell>
          <cell r="D5046" t="str">
            <v>UN</v>
          </cell>
          <cell r="E5046">
            <v>0</v>
          </cell>
        </row>
        <row r="5047">
          <cell r="B5047">
            <v>106516</v>
          </cell>
          <cell r="C5047" t="str">
            <v>ESTRUTURA B3 DE ACONCORAGEM EM POSTE DUPLO T. AF_12/2025</v>
          </cell>
          <cell r="D5047" t="str">
            <v>UN</v>
          </cell>
          <cell r="E5047">
            <v>0</v>
          </cell>
        </row>
        <row r="5048">
          <cell r="B5048">
            <v>106513</v>
          </cell>
          <cell r="C5048" t="str">
            <v>ESTRUTURA B4 DE ACONCORAGEM EM POSTE CIRCULAR. AF_12/2025</v>
          </cell>
          <cell r="D5048" t="str">
            <v>UN</v>
          </cell>
          <cell r="E5048">
            <v>0</v>
          </cell>
        </row>
        <row r="5049">
          <cell r="B5049">
            <v>106517</v>
          </cell>
          <cell r="C5049" t="str">
            <v>ESTRUTURA B4 DE ACONCORAGEM EM POSTE DUPLO T. AF_12/2025</v>
          </cell>
          <cell r="D5049" t="str">
            <v>UN</v>
          </cell>
          <cell r="E5049">
            <v>0</v>
          </cell>
        </row>
        <row r="5050">
          <cell r="B5050">
            <v>106518</v>
          </cell>
          <cell r="C5050" t="str">
            <v>ESTRUTURA CE1 REDE DE DISTRIBUIÇÃO COMPACTA EM POSTE CIRCULAR. AF_12/2025</v>
          </cell>
          <cell r="D5050" t="str">
            <v>UN</v>
          </cell>
          <cell r="E5050">
            <v>0</v>
          </cell>
        </row>
        <row r="5051">
          <cell r="B5051">
            <v>106519</v>
          </cell>
          <cell r="C5051" t="str">
            <v>ESTRUTURA CE1 REDE DE DISTRIBUIÇÃO COMPACTA EM POSTE DUPLO T. AF_12/2025</v>
          </cell>
          <cell r="D5051" t="str">
            <v>UN</v>
          </cell>
          <cell r="E5051">
            <v>0</v>
          </cell>
        </row>
        <row r="5052">
          <cell r="B5052">
            <v>106520</v>
          </cell>
          <cell r="C5052" t="str">
            <v>ESTRUTURA CE1A REDE DE DISTRIBUIÇÃO COMPACTA EM POSTE CIRCULAR. AF_12/2025</v>
          </cell>
          <cell r="D5052" t="str">
            <v>UN</v>
          </cell>
          <cell r="E5052">
            <v>0</v>
          </cell>
        </row>
        <row r="5053">
          <cell r="B5053">
            <v>106521</v>
          </cell>
          <cell r="C5053" t="str">
            <v>ESTRUTURA CE1A REDE DE DISTRIBUIÇÃO COMPACTA EM POSTE DUPLO T. AF_12/2025</v>
          </cell>
          <cell r="D5053" t="str">
            <v>UN</v>
          </cell>
          <cell r="E5053">
            <v>0</v>
          </cell>
        </row>
        <row r="5054">
          <cell r="B5054">
            <v>106522</v>
          </cell>
          <cell r="C5054" t="str">
            <v>ESTRUTURA CE2 REDE DE DISTRIBUIÇÃO COMPACTA EM POSTE CIRCULAR. AF_12/2025</v>
          </cell>
          <cell r="D5054" t="str">
            <v>UN</v>
          </cell>
          <cell r="E5054">
            <v>0</v>
          </cell>
        </row>
        <row r="5055">
          <cell r="B5055">
            <v>106523</v>
          </cell>
          <cell r="C5055" t="str">
            <v>ESTRUTURA CE2 REDE DE DISTRIBUIÇÃO COMPACTA EM POSTE DUPLO T. AF_12/2025</v>
          </cell>
          <cell r="D5055" t="str">
            <v>UN</v>
          </cell>
          <cell r="E5055">
            <v>0</v>
          </cell>
        </row>
        <row r="5056">
          <cell r="B5056">
            <v>101549</v>
          </cell>
          <cell r="C5056" t="str">
            <v>GRAMPO PARALELO METÁLICO, PARA REDES AÉREAS DE DISTRIBUIÇÃO DE ENERGIA ELÉTRICA DE BAIXA TENSÃO - FORNECIMENTO E INSTALAÇÃO. AF_12/2025</v>
          </cell>
          <cell r="D5056" t="str">
            <v>UN</v>
          </cell>
          <cell r="E5056">
            <v>23.06</v>
          </cell>
          <cell r="F5056">
            <v>0</v>
          </cell>
        </row>
        <row r="5057">
          <cell r="B5057">
            <v>101547</v>
          </cell>
          <cell r="C5057" t="str">
            <v>ISOLADOR, TIPO DISCO, PARA TENSÃO 15 KV - FORNECIMENTO E INSTALAÇÃO. AF_12/2025</v>
          </cell>
          <cell r="D5057" t="str">
            <v>UN</v>
          </cell>
          <cell r="E5057">
            <v>89.68</v>
          </cell>
          <cell r="F5057">
            <v>0</v>
          </cell>
        </row>
        <row r="5058">
          <cell r="B5058">
            <v>101546</v>
          </cell>
          <cell r="C5058" t="str">
            <v>ISOLADOR, TIPO PINO, PARA TENSÃO 15 KV - FORNECIMENTO E INSTALAÇÃO. AF_12/2025</v>
          </cell>
          <cell r="D5058" t="str">
            <v>UN</v>
          </cell>
          <cell r="E5058">
            <v>29.45</v>
          </cell>
          <cell r="F5058">
            <v>0</v>
          </cell>
        </row>
        <row r="5059">
          <cell r="B5059">
            <v>101548</v>
          </cell>
          <cell r="C5059" t="str">
            <v>ISOLADOR, TIPO ROLDANA, PARA BAIXA TENSÃO - FORNECIMENTO E INSTALAÇÃO. AF_12/2025</v>
          </cell>
          <cell r="D5059" t="str">
            <v>UN</v>
          </cell>
          <cell r="E5059">
            <v>8.1999999999999993</v>
          </cell>
          <cell r="F5059">
            <v>0</v>
          </cell>
        </row>
        <row r="5060">
          <cell r="B5060">
            <v>106528</v>
          </cell>
          <cell r="C5060" t="str">
            <v>TERMINAL MUFLA 15/25KV. AF_12/2025</v>
          </cell>
          <cell r="D5060" t="str">
            <v>UN</v>
          </cell>
          <cell r="E5060">
            <v>0</v>
          </cell>
        </row>
        <row r="5061">
          <cell r="B5061">
            <v>94764</v>
          </cell>
          <cell r="C5061" t="str">
            <v>ADAPTADOR COM FLANGE E ANEL DE VEDAÇÃO, CPVC, ROSCÁVEL, DN 15 MM, INSTALADO EM RESERVAÇÃO PREDIAL DE ÁGUA - FORNECIMENTO E INSTALAÇÃO. AF_04/2024</v>
          </cell>
          <cell r="D5061" t="str">
            <v>UN</v>
          </cell>
          <cell r="E5061">
            <v>38.869999999999997</v>
          </cell>
          <cell r="F5061">
            <v>0</v>
          </cell>
        </row>
        <row r="5062">
          <cell r="B5062">
            <v>94765</v>
          </cell>
          <cell r="C5062" t="str">
            <v>ADAPTADOR COM FLANGE E ANEL DE VEDAÇÃO, CPVC, ROSCÁVEL, DN 22 MM, INSTALADO EM RESERVAÇÃO PREDIAL DE ÁGUA - FORNECIMENTO E INSTALAÇÃO. AF_04/2024</v>
          </cell>
          <cell r="D5062" t="str">
            <v>UN</v>
          </cell>
          <cell r="E5062">
            <v>42.57</v>
          </cell>
          <cell r="F5062">
            <v>0</v>
          </cell>
        </row>
        <row r="5063">
          <cell r="B5063">
            <v>94766</v>
          </cell>
          <cell r="C5063" t="str">
            <v>ADAPTADOR COM FLANGE E ANEL DE VEDAÇÃO, CPVC, ROSCÁVEL, DN 28 MM, INSTALADO EM RESERVAÇÃO PREDIAL DE ÁGUA - FORNECIMENTO E INSTALAÇÃO. AF_04/2024</v>
          </cell>
          <cell r="D5063" t="str">
            <v>UN</v>
          </cell>
          <cell r="E5063">
            <v>47.29</v>
          </cell>
          <cell r="F5063">
            <v>0</v>
          </cell>
        </row>
        <row r="5064">
          <cell r="B5064">
            <v>94767</v>
          </cell>
          <cell r="C5064" t="str">
            <v>ADAPTADOR COM FLANGE E ANEL DE VEDAÇÃO, CPVC, ROSCÁVEL, DN 35 MM, INSTALADO EM RESERVAÇÃO PREDIAL DE ÁGUA - FORNECIMENTO E INSTALAÇÃO. AF_04/2024</v>
          </cell>
          <cell r="D5064" t="str">
            <v>UN</v>
          </cell>
          <cell r="E5064">
            <v>68.81</v>
          </cell>
          <cell r="F5064">
            <v>0</v>
          </cell>
        </row>
        <row r="5065">
          <cell r="B5065">
            <v>94768</v>
          </cell>
          <cell r="C5065" t="str">
            <v>ADAPTADOR COM FLANGE E ANEL DE VEDAÇÃO, CPVC, ROSCÁVEL, DN 42 MM, INSTALADO EM RESERVAÇÃO PREDIAL DE ÁGUA - FORNECIMENTO E INSTALAÇÃO. AF_04/2024</v>
          </cell>
          <cell r="D5065" t="str">
            <v>UN</v>
          </cell>
          <cell r="E5065">
            <v>77.63</v>
          </cell>
          <cell r="F5065">
            <v>0</v>
          </cell>
        </row>
        <row r="5066">
          <cell r="B5066">
            <v>94769</v>
          </cell>
          <cell r="C5066" t="str">
            <v>ADAPTADOR COM FLANGE E ANEL DE VEDAÇÃO, CPVC, ROSCÁVEL, DN 54 MM, INSTALADO EM RESERVAÇÃO PREDIAL DE ÁGUA - FORNECIMENTO E INSTALAÇÃO. AF_04/2024</v>
          </cell>
          <cell r="D5066" t="str">
            <v>UN</v>
          </cell>
          <cell r="E5066">
            <v>102.76</v>
          </cell>
          <cell r="F5066">
            <v>0</v>
          </cell>
        </row>
        <row r="5067">
          <cell r="B5067">
            <v>94783</v>
          </cell>
          <cell r="C5067" t="str">
            <v>ADAPTADOR COM FLANGE E ANEL DE VEDAÇÃO, PVC, SOLDÁVEL, DN 20 MM X 1/2", INSTALADO EM RESERVAÇÃO PREDIAL DE ÁGUA - FORNECIMENTO E INSTALAÇÃO. AF_04/2024</v>
          </cell>
          <cell r="D5067" t="str">
            <v>UN</v>
          </cell>
          <cell r="E5067">
            <v>23.32</v>
          </cell>
          <cell r="F5067">
            <v>0</v>
          </cell>
        </row>
        <row r="5068">
          <cell r="B5068">
            <v>94703</v>
          </cell>
          <cell r="C5068" t="str">
            <v>ADAPTADOR COM FLANGE E ANEL DE VEDAÇÃO, PVC, SOLDÁVEL, DN 25 MM X 3/4", INSTALADO EM RESERVAÇÃO PREDIAL DE ÁGUA - FORNECIMENTO E INSTALAÇÃO. AF_04/2024</v>
          </cell>
          <cell r="D5068" t="str">
            <v>UN</v>
          </cell>
          <cell r="E5068">
            <v>24.83</v>
          </cell>
          <cell r="F5068">
            <v>0</v>
          </cell>
        </row>
        <row r="5069">
          <cell r="B5069">
            <v>94704</v>
          </cell>
          <cell r="C5069" t="str">
            <v>ADAPTADOR COM FLANGE E ANEL DE VEDAÇÃO, PVC, SOLDÁVEL, DN 32 MM X 1", INSTALADO EM RESERVAÇÃO PREDIAL DE ÁGUA - FORNECIMENTO E INSTALAÇÃO. AF_04/2024</v>
          </cell>
          <cell r="D5069" t="str">
            <v>UN</v>
          </cell>
          <cell r="E5069">
            <v>32.590000000000003</v>
          </cell>
          <cell r="F5069">
            <v>0</v>
          </cell>
        </row>
        <row r="5070">
          <cell r="B5070">
            <v>94705</v>
          </cell>
          <cell r="C5070" t="str">
            <v>ADAPTADOR COM FLANGE E ANEL DE VEDAÇÃO, PVC, SOLDÁVEL, DN 40 MM X 1 1/4", INSTALADO EM RESERVAÇÃO PREDIAL DE ÁGUA - FORNECIMENTO E INSTALAÇÃO. AF_04/2024</v>
          </cell>
          <cell r="D5070" t="str">
            <v>UN</v>
          </cell>
          <cell r="E5070">
            <v>43.94</v>
          </cell>
          <cell r="F5070">
            <v>0</v>
          </cell>
        </row>
        <row r="5071">
          <cell r="B5071">
            <v>94706</v>
          </cell>
          <cell r="C5071" t="str">
            <v>ADAPTADOR COM FLANGE E ANEL DE VEDAÇÃO, PVC, SOLDÁVEL, DN 50 MM X 1 1/2", INSTALADO EM RESERVAÇÃO PREDIAL DE ÁGUA - FORNECIMENTO E INSTALAÇÃO. AF_04/2024</v>
          </cell>
          <cell r="D5071" t="str">
            <v>UN</v>
          </cell>
          <cell r="E5071">
            <v>42.96</v>
          </cell>
          <cell r="F5071">
            <v>0</v>
          </cell>
        </row>
        <row r="5072">
          <cell r="B5072">
            <v>94707</v>
          </cell>
          <cell r="C5072" t="str">
            <v>ADAPTADOR COM FLANGE E ANEL DE VEDAÇÃO, PVC, SOLDÁVEL, DN 60 MM X 2", INSTALADO EM RESERVAÇÃO PREDIAL DE ÁGUA - FORNECIMENTO E INSTALAÇÃO. AF_04/2024</v>
          </cell>
          <cell r="D5072" t="str">
            <v>UN</v>
          </cell>
          <cell r="E5072">
            <v>66.86</v>
          </cell>
          <cell r="F5072">
            <v>0</v>
          </cell>
        </row>
        <row r="5073">
          <cell r="B5073">
            <v>94715</v>
          </cell>
          <cell r="C5073" t="str">
            <v>ADAPTADOR COM FLANGES LIVRES, PVC, SOLDÁVEL, DN 110 MM X 4", INSTALADO EM RESERVAÇÃO PREDIAL DE ÁGUA - FORNECIMENTO E INSTALAÇÃO. AF_04/2024</v>
          </cell>
          <cell r="D5073" t="str">
            <v>UN</v>
          </cell>
          <cell r="E5073">
            <v>341.18</v>
          </cell>
          <cell r="F5073">
            <v>0</v>
          </cell>
        </row>
        <row r="5074">
          <cell r="B5074">
            <v>94713</v>
          </cell>
          <cell r="C5074" t="str">
            <v>ADAPTADOR COM FLANGES LIVRES, PVC, SOLDÁVEL, DN 75 MM X 2 1/2", INSTALADO EM RESERVAÇÃO PREDIAL DE ÁGUA - FORNECIMENTO E INSTALAÇÃO. AF_04/2024</v>
          </cell>
          <cell r="D5074" t="str">
            <v>UN</v>
          </cell>
          <cell r="E5074">
            <v>274.05</v>
          </cell>
          <cell r="F5074">
            <v>0</v>
          </cell>
        </row>
        <row r="5075">
          <cell r="B5075">
            <v>94714</v>
          </cell>
          <cell r="C5075" t="str">
            <v>ADAPTADOR COM FLANGES LIVRES, PVC, SOLDÁVEL, DN 85 MM X 3", INSTALADO EM RESERVAÇÃO PREDIAL DE ÁGUA - FORNECIMENTO E INSTALAÇÃO. AF_04/2024</v>
          </cell>
          <cell r="D5075" t="str">
            <v>UN</v>
          </cell>
          <cell r="E5075">
            <v>383.41</v>
          </cell>
          <cell r="F5075">
            <v>0</v>
          </cell>
        </row>
        <row r="5076">
          <cell r="B5076">
            <v>94670</v>
          </cell>
          <cell r="C5076" t="str">
            <v>ADAPTADOR CURTO COM BOLSA E ROSCA PARA REGISTRO, PVC, SOLDÁVEL, DN 110 MM X 4", INSTALADO EM RESERVAÇÃO PREDIAL DE ÁGUA - FORNECIMENTO E INSTALAÇÃO. AF_04/2024</v>
          </cell>
          <cell r="D5076" t="str">
            <v>UN</v>
          </cell>
          <cell r="E5076">
            <v>83.02</v>
          </cell>
          <cell r="F5076">
            <v>0</v>
          </cell>
        </row>
        <row r="5077">
          <cell r="B5077">
            <v>94656</v>
          </cell>
          <cell r="C5077" t="str">
            <v>ADAPTADOR CURTO COM BOLSA E ROSCA PARA REGISTRO, PVC, SOLDÁVEL, DN 25 MM X 3/4", INSTALADO EM RESERVAÇÃO PREDIAL DE ÁGUA - FORNECIMENTO E INSTALAÇÃO. AF_04/2024</v>
          </cell>
          <cell r="D5077" t="str">
            <v>UN</v>
          </cell>
          <cell r="E5077">
            <v>4.4000000000000004</v>
          </cell>
          <cell r="F5077">
            <v>0</v>
          </cell>
        </row>
        <row r="5078">
          <cell r="B5078">
            <v>94658</v>
          </cell>
          <cell r="C5078" t="str">
            <v>ADAPTADOR CURTO COM BOLSA E ROSCA PARA REGISTRO, PVC, SOLDÁVEL, DN 32 MM X 1", INSTALADO EM RESERVAÇÃO PREDIAL DE ÁGUA - FORNECIMENTO E INSTALAÇÃO. AF_04/2024</v>
          </cell>
          <cell r="D5078" t="str">
            <v>UN</v>
          </cell>
          <cell r="E5078">
            <v>6.51</v>
          </cell>
          <cell r="F5078">
            <v>0</v>
          </cell>
        </row>
        <row r="5079">
          <cell r="B5079">
            <v>94660</v>
          </cell>
          <cell r="C5079" t="str">
            <v>ADAPTADOR CURTO COM BOLSA E ROSCA PARA REGISTRO, PVC, SOLDÁVEL, DN 40 MM X 1 1/4", INSTALADO EM RESERVAÇÃO PREDIAL DE ÁGUA - FORNECIMENTO E INSTALAÇÃO. AF_04/2024</v>
          </cell>
          <cell r="D5079" t="str">
            <v>UN</v>
          </cell>
          <cell r="E5079">
            <v>10.210000000000001</v>
          </cell>
          <cell r="F5079">
            <v>0</v>
          </cell>
        </row>
        <row r="5080">
          <cell r="B5080">
            <v>94662</v>
          </cell>
          <cell r="C5080" t="str">
            <v>ADAPTADOR CURTO COM BOLSA E ROSCA PARA REGISTRO, PVC, SOLDÁVEL, DN 50 MM X 1 1/2", INSTALADO EM RESERVAÇÃO PREDIAL DE ÁGUA - FORNECIMENTO E INSTALAÇÃO. AF_04/2024</v>
          </cell>
          <cell r="D5080" t="str">
            <v>UN</v>
          </cell>
          <cell r="E5080">
            <v>13.47</v>
          </cell>
          <cell r="F5080">
            <v>0</v>
          </cell>
        </row>
        <row r="5081">
          <cell r="B5081">
            <v>94664</v>
          </cell>
          <cell r="C5081" t="str">
            <v>ADAPTADOR CURTO COM BOLSA E ROSCA PARA REGISTRO, PVC, SOLDÁVEL, DN 60 MM X 2", INSTALADO EM RESERVAÇÃO PREDIAL DE ÁGUA - FORNECIMENTO E INSTALAÇÃO. AF_04/2024</v>
          </cell>
          <cell r="D5081" t="str">
            <v>UN</v>
          </cell>
          <cell r="E5081">
            <v>24.21</v>
          </cell>
          <cell r="F5081">
            <v>0</v>
          </cell>
        </row>
        <row r="5082">
          <cell r="B5082">
            <v>94666</v>
          </cell>
          <cell r="C5082" t="str">
            <v>ADAPTADOR CURTO COM BOLSA E ROSCA PARA REGISTRO, PVC, SOLDÁVEL, DN 75 MM X 2 1/2", INSTALADO EM RESERVAÇÃO PREDIAL DE ÁGUA - FORNECIMENTO E INSTALAÇÃO. AF_04/2024</v>
          </cell>
          <cell r="D5082" t="str">
            <v>UN</v>
          </cell>
          <cell r="E5082">
            <v>39.19</v>
          </cell>
          <cell r="F5082">
            <v>0</v>
          </cell>
        </row>
        <row r="5083">
          <cell r="B5083">
            <v>94668</v>
          </cell>
          <cell r="C5083" t="str">
            <v>ADAPTADOR CURTO COM BOLSA E ROSCA PARA REGISTRO, PVC, SOLDÁVEL, DN 85 MM X 3", INSTALADO EM RESERVAÇÃO PREDIAL DE ÁGUA - FORNECIMENTO E INSTALAÇÃO. AF_04/2024</v>
          </cell>
          <cell r="D5083" t="str">
            <v>UN</v>
          </cell>
          <cell r="E5083">
            <v>51.98</v>
          </cell>
          <cell r="F5083">
            <v>0</v>
          </cell>
        </row>
        <row r="5084">
          <cell r="B5084">
            <v>105215</v>
          </cell>
          <cell r="C5084" t="str">
            <v>BUCHA DE REDUÇÃO CPVC, SOLDÁVEL, DN 28 X 22 MM, INSTALADO EM RESERVAÇÃO PREDIAL DE ÁGUA - FORNECIMENTO E INSTALAÇÃO. AF_04/2024</v>
          </cell>
          <cell r="D5084" t="str">
            <v>UN</v>
          </cell>
          <cell r="E5084">
            <v>9.81</v>
          </cell>
          <cell r="F5084">
            <v>0</v>
          </cell>
        </row>
        <row r="5085">
          <cell r="B5085">
            <v>105216</v>
          </cell>
          <cell r="C5085" t="str">
            <v>BUCHA DE REDUÇÃO CPVC, SOLDÁVEL, DN 35 X 28 MM, INSTALADO EM RESERVAÇÃO PREDIAL DE ÁGUA - FORNECIMENTO E INSTALAÇÃO. AF_04/2024</v>
          </cell>
          <cell r="D5085" t="str">
            <v>UN</v>
          </cell>
          <cell r="E5085">
            <v>35.21</v>
          </cell>
          <cell r="F5085">
            <v>0</v>
          </cell>
        </row>
        <row r="5086">
          <cell r="B5086">
            <v>105217</v>
          </cell>
          <cell r="C5086" t="str">
            <v>BUCHA DE REDUÇÃO CPVC, SOLDÁVEL, DN 42 X 22 MM, INSTALADO EM RESERVAÇÃO PREDIAL DE ÁGUA - FORNECIMENTO E INSTALAÇÃO. AF_04/2024</v>
          </cell>
          <cell r="D5086" t="str">
            <v>UN</v>
          </cell>
          <cell r="E5086">
            <v>39.64</v>
          </cell>
          <cell r="F5086">
            <v>0</v>
          </cell>
        </row>
        <row r="5087">
          <cell r="B5087">
            <v>105214</v>
          </cell>
          <cell r="C5087" t="str">
            <v>BUCHA DE REDUÇÃO CPVC, SOLDÁVEL, DN 54 X 28 MM, INSTALADO EM RESERVAÇÃO PREDIAL DE ÁGUA - FORNECIMENTO E INSTALAÇÃO. AF_04/2024</v>
          </cell>
          <cell r="D5087" t="str">
            <v>UN</v>
          </cell>
          <cell r="E5087">
            <v>41.81</v>
          </cell>
          <cell r="F5087">
            <v>0</v>
          </cell>
        </row>
        <row r="5088">
          <cell r="B5088">
            <v>105218</v>
          </cell>
          <cell r="C5088" t="str">
            <v>BUCHA DE REDUÇÃO CPVC, SOLDÁVEL, DN 54 X 35 MM, INSTALADO EM RESERVAÇÃO PREDIAL DE ÁGUA - FORNECIMENTO E INSTALAÇÃO. AF_04/2024</v>
          </cell>
          <cell r="D5088" t="str">
            <v>UN</v>
          </cell>
          <cell r="E5088">
            <v>68.599999999999994</v>
          </cell>
          <cell r="F5088">
            <v>0</v>
          </cell>
        </row>
        <row r="5089">
          <cell r="B5089">
            <v>105213</v>
          </cell>
          <cell r="C5089" t="str">
            <v>BUCHA DE REDUÇÃO EM COBRE, PONTA X BOLSA, 66 X 54 MM, INSTALADO EM RESERVAÇÃO PREDIAL DE ÁGUA - FORNECIMENTO E INSTALAÇÃO. AF_04/2024</v>
          </cell>
          <cell r="D5089" t="str">
            <v>UN</v>
          </cell>
          <cell r="E5089">
            <v>201.86</v>
          </cell>
          <cell r="F5089">
            <v>0</v>
          </cell>
        </row>
        <row r="5090">
          <cell r="B5090">
            <v>105233</v>
          </cell>
          <cell r="C5090" t="str">
            <v>BUCHA DE REDUÇÃO PVC, SOLDÁVEL, LONGA, DN 40 X 25 MM, INSTALADO EM RESERVAÇÃO PREDIAL DE ÁGUA - FORNECIMENTO E INSTALAÇÃO. AF_04/2024</v>
          </cell>
          <cell r="D5090" t="str">
            <v>UN</v>
          </cell>
          <cell r="E5090">
            <v>9.5</v>
          </cell>
          <cell r="F5090">
            <v>0</v>
          </cell>
        </row>
        <row r="5091">
          <cell r="B5091">
            <v>105234</v>
          </cell>
          <cell r="C5091" t="str">
            <v>BUCHA DE REDUÇÃO PVC, SOLDÁVEL, LONGA, DN 50 X 25 MM, INSTALADO EM RESERVAÇÃO PREDIAL DE ÁGUA - FORNECIMENTO E INSTALAÇÃO. AF_04/2024</v>
          </cell>
          <cell r="D5091" t="str">
            <v>UN</v>
          </cell>
          <cell r="E5091">
            <v>11.6</v>
          </cell>
          <cell r="F5091">
            <v>0</v>
          </cell>
        </row>
        <row r="5092">
          <cell r="B5092">
            <v>105228</v>
          </cell>
          <cell r="C5092" t="str">
            <v>BUCHA DE REDUÇÃO PVC, SOLDÁVEL, LONGA, DN 50 X 32 MM, INSTALADO EM RESERVAÇÃO PREDIAL DE ÁGUA - FORNECIMENTO E INSTALAÇÃO. AF_04/2024</v>
          </cell>
          <cell r="D5092" t="str">
            <v>UN</v>
          </cell>
          <cell r="E5092">
            <v>13.94</v>
          </cell>
          <cell r="F5092">
            <v>0</v>
          </cell>
        </row>
        <row r="5093">
          <cell r="B5093">
            <v>105138</v>
          </cell>
          <cell r="C5093" t="str">
            <v>BUCHA DE REDUÇÃO PVC, SOLDÁVEL, LONGA, DN 60 X 25 MM, INSTALADO EM RESERVAÇÃO PREDIAL DE ÁGUA - FORNECIMENTO E INSTALAÇÃO. AF_04/2024</v>
          </cell>
          <cell r="D5093" t="str">
            <v>UN</v>
          </cell>
          <cell r="E5093">
            <v>20.2</v>
          </cell>
          <cell r="F5093">
            <v>0</v>
          </cell>
        </row>
        <row r="5094">
          <cell r="B5094">
            <v>105139</v>
          </cell>
          <cell r="C5094" t="str">
            <v>BUCHA DE REDUÇÃO PVC, SOLDÁVEL, LONGA, DN 60 X 32 MM, INSTALADO EM RESERVAÇÃO PREDIAL DE ÁGUA - FORNECIMENTO E INSTALAÇÃO. AF_04/2024</v>
          </cell>
          <cell r="D5094" t="str">
            <v>UN</v>
          </cell>
          <cell r="E5094">
            <v>23.7</v>
          </cell>
          <cell r="F5094">
            <v>0</v>
          </cell>
        </row>
        <row r="5095">
          <cell r="B5095">
            <v>105140</v>
          </cell>
          <cell r="C5095" t="str">
            <v>BUCHA DE REDUÇÃO PVC, SOLDÁVEL, LONGA, DN 60 X 50 MM, INSTALADO EM RESERVAÇÃO PREDIAL DE ÁGUA - FORNECIMENTO E INSTALAÇÃO. AF_04/2024</v>
          </cell>
          <cell r="D5095" t="str">
            <v>UN</v>
          </cell>
          <cell r="E5095">
            <v>30.45</v>
          </cell>
          <cell r="F5095">
            <v>0</v>
          </cell>
        </row>
        <row r="5096">
          <cell r="B5096">
            <v>105141</v>
          </cell>
          <cell r="C5096" t="str">
            <v>BUCHA DE REDUÇÃO PVC, SOLDÁVEL, LONGA, DN 75 X 50 MM, INSTALADO EM RESERVAÇÃO PREDIAL DE ÁGUA - FORNECIMENTO E INSTALAÇÃO. AF_04/2024</v>
          </cell>
          <cell r="D5096" t="str">
            <v>UN</v>
          </cell>
          <cell r="E5096">
            <v>36.26</v>
          </cell>
          <cell r="F5096">
            <v>0</v>
          </cell>
        </row>
        <row r="5097">
          <cell r="B5097">
            <v>105172</v>
          </cell>
          <cell r="C5097" t="str">
            <v>BUCHA DE REDUÇÃO, EM FERRO GALVANIZADO, CONEXÃO ROSQUEADA, DN 80 MM X 50 MM (3" X 2"), INSTALADO EM RESERVAÇÃO PREDIAL DE ÁGUA - FORNECIMENTO E INSTALAÇÃO. AF_04/2024</v>
          </cell>
          <cell r="D5097" t="str">
            <v>UN</v>
          </cell>
          <cell r="E5097">
            <v>96.77</v>
          </cell>
          <cell r="F5097">
            <v>0</v>
          </cell>
        </row>
        <row r="5098">
          <cell r="B5098">
            <v>105169</v>
          </cell>
          <cell r="C5098" t="str">
            <v>BUCHA DE REDUÇÃO, EM FERRO GALVANIZADO, CONEXÃO ROSQUEADA, DN 80 MM X 65 MM (3" X 2 1/2"), INSTALADO EM RESERVAÇÃO PREDIAL DE ÁGUA - FORNECIMENTO E INSTALAÇÃO. AF_04/2024</v>
          </cell>
          <cell r="D5098" t="str">
            <v>UN</v>
          </cell>
          <cell r="E5098">
            <v>97.2</v>
          </cell>
          <cell r="F5098">
            <v>0</v>
          </cell>
        </row>
        <row r="5099">
          <cell r="B5099">
            <v>105230</v>
          </cell>
          <cell r="C5099" t="str">
            <v>BUCHA DE REDUÇÃO, PPR, DN 25 X 20 MM, INSTALADO EM RESERVAÇÃO PREDIAL DE ÁGUA - FORNECIMENTO E INSTALAÇÃO. AF_04/2024</v>
          </cell>
          <cell r="D5099" t="str">
            <v>UN</v>
          </cell>
          <cell r="E5099">
            <v>9.7799999999999994</v>
          </cell>
          <cell r="F5099">
            <v>0</v>
          </cell>
        </row>
        <row r="5100">
          <cell r="B5100">
            <v>105231</v>
          </cell>
          <cell r="C5100" t="str">
            <v>BUCHA DE REDUÇÃO, PPR, DN 32 X 25 MM, INSTALADO EM RESERVAÇÃO PREDIAL DE ÁGUA - FORNECIMENTO E INSTALAÇÃO. AF_04/2024</v>
          </cell>
          <cell r="D5100" t="str">
            <v>UN</v>
          </cell>
          <cell r="E5100">
            <v>11.45</v>
          </cell>
          <cell r="F5100">
            <v>0</v>
          </cell>
        </row>
        <row r="5101">
          <cell r="B5101">
            <v>105232</v>
          </cell>
          <cell r="C5101" t="str">
            <v>BUCHA DE REDUÇÃO, PPR, DN 40 X 25 MM, INSTALADO EM RESERVAÇÃO PREDIAL DE ÁGUA - FORNECIMENTO E INSTALAÇÃO. AF_04/2024</v>
          </cell>
          <cell r="D5101" t="str">
            <v>UN</v>
          </cell>
          <cell r="E5101">
            <v>20.96</v>
          </cell>
          <cell r="F5101">
            <v>0</v>
          </cell>
        </row>
        <row r="5102">
          <cell r="B5102">
            <v>105229</v>
          </cell>
          <cell r="C5102" t="str">
            <v>BUCHA DE REDUÇÃO, PPR, DN 50 X 25 MM, INSTALADO EM RESERVAÇÃO PREDIAL DE ÁGUA - FORNECIMENTO E INSTALAÇÃO. AF_04/2024</v>
          </cell>
          <cell r="D5102" t="str">
            <v>UN</v>
          </cell>
          <cell r="E5102">
            <v>32.700000000000003</v>
          </cell>
          <cell r="F5102">
            <v>0</v>
          </cell>
        </row>
        <row r="5103">
          <cell r="B5103">
            <v>105146</v>
          </cell>
          <cell r="C5103" t="str">
            <v>BUCHA DE REDUÇÃO, PPR, DN 50 X 32 MM, INSTALADO EM RESERVAÇÃO PREDIAL DE ÁGUA - FORNECIMENTO E INSTALAÇÃO. AF_04/2024</v>
          </cell>
          <cell r="D5103" t="str">
            <v>UN</v>
          </cell>
          <cell r="E5103">
            <v>26.76</v>
          </cell>
          <cell r="F5103">
            <v>0</v>
          </cell>
        </row>
        <row r="5104">
          <cell r="B5104">
            <v>94613</v>
          </cell>
          <cell r="C5104" t="str">
            <v>CONECTOR EM BRONZE/LATÃO, DN 104 MM X 4", SEM ANEL DE SOLDA, BOLSA X ROSCA, INSTALADO EM RESERVAÇÃO PREDIAL DE ÁGUA - FORNECIMENTO E INSTALAÇÃO. AF_04/2024</v>
          </cell>
          <cell r="D5104" t="str">
            <v>UN</v>
          </cell>
          <cell r="E5104">
            <v>0</v>
          </cell>
        </row>
        <row r="5105">
          <cell r="B5105">
            <v>94607</v>
          </cell>
          <cell r="C5105" t="str">
            <v>CONECTOR EM BRONZE/LATÃO, DN 54 MM X 2", SEM ANEL DE SOLDA, BOLSA X ROSCA, INSTALADO EM RESERVAÇÃO PREDIAL DE ÁGUA - FORNECIMENTO E INSTALAÇÃO. AF_04/2024</v>
          </cell>
          <cell r="D5105" t="str">
            <v>UN</v>
          </cell>
          <cell r="E5105">
            <v>0</v>
          </cell>
        </row>
        <row r="5106">
          <cell r="B5106">
            <v>94609</v>
          </cell>
          <cell r="C5106" t="str">
            <v>CONECTOR EM BRONZE/LATÃO, DN 66 MM X 2 1/2", SEM ANEL DE SOLDA, BOLSA X ROSCA, INSTALADO EM RESERVAÇÃO PREDIAL DE ÁGUA - FORNECIMENTO E INSTALAÇÃO. AF_04/2024</v>
          </cell>
          <cell r="D5106" t="str">
            <v>UN</v>
          </cell>
          <cell r="E5106">
            <v>0</v>
          </cell>
        </row>
        <row r="5107">
          <cell r="B5107">
            <v>94611</v>
          </cell>
          <cell r="C5107" t="str">
            <v>CONECTOR EM BRONZE/LATÃO, DN 79 MM X 3", SEM ANEL DE SOLDA, BOLSA X ROSCA, INSTALADO EM RESERVAÇÃO PREDIAL DE ÁGUA - FORNECIMENTO E INSTALAÇÃO. AF_04/2024</v>
          </cell>
          <cell r="D5107" t="str">
            <v>UN</v>
          </cell>
          <cell r="E5107">
            <v>0</v>
          </cell>
        </row>
        <row r="5108">
          <cell r="B5108">
            <v>96738</v>
          </cell>
          <cell r="C5108" t="str">
            <v>CONECTOR MACHO, PPR, 25 MM X 1/2'', INSTALADO EM RESERVAÇÃO PREDIAL DE ÁGUA - FORNECIMENTO E INSTALAÇÃO. AF_04/2024</v>
          </cell>
          <cell r="D5108" t="str">
            <v>UN</v>
          </cell>
          <cell r="E5108">
            <v>27.2</v>
          </cell>
          <cell r="F5108">
            <v>0</v>
          </cell>
        </row>
        <row r="5109">
          <cell r="B5109">
            <v>96740</v>
          </cell>
          <cell r="C5109" t="str">
            <v>CONECTOR MACHO, PPR, 32 MM X 3/4'', INSTALADO EM RESERVAÇÃO PREDIAL DE ÁGUA - FORNECIMENTO E INSTALAÇÃO. AF_04/2024</v>
          </cell>
          <cell r="D5109" t="str">
            <v>UN</v>
          </cell>
          <cell r="E5109">
            <v>37.42</v>
          </cell>
          <cell r="F5109">
            <v>0</v>
          </cell>
        </row>
        <row r="5110">
          <cell r="B5110">
            <v>94738</v>
          </cell>
          <cell r="C5110" t="str">
            <v>CONECTOR, CPVC, SOLDÁVEL, DN 114 MM X 4", INSTALADO EM RESERVAÇÃO PREDIAL DE ÁGUA - FORNECIMENTO E INSTALAÇÃO. AF_04/2024</v>
          </cell>
          <cell r="D5110" t="str">
            <v>UN</v>
          </cell>
          <cell r="E5110">
            <v>1610.31</v>
          </cell>
          <cell r="F5110">
            <v>0</v>
          </cell>
        </row>
        <row r="5111">
          <cell r="B5111">
            <v>94724</v>
          </cell>
          <cell r="C5111" t="str">
            <v>CONECTOR, CPVC, SOLDÁVEL, DN 22 MM X 3/4", INSTALADO EM RESERVAÇÃO PREDIAL DE ÁGUA - FORNECIMENTO E INSTALAÇÃO. AF_04/2024</v>
          </cell>
          <cell r="D5111" t="str">
            <v>UN</v>
          </cell>
          <cell r="E5111">
            <v>26.02</v>
          </cell>
          <cell r="F5111">
            <v>0</v>
          </cell>
        </row>
        <row r="5112">
          <cell r="B5112">
            <v>94726</v>
          </cell>
          <cell r="C5112" t="str">
            <v>CONECTOR, CPVC, SOLDÁVEL, DN 28 MM X 1", INSTALADO EM RESERVAÇÃO PREDIAL DE ÁGUA - FORNECIMENTO E INSTALAÇÃO. AF_04/2024</v>
          </cell>
          <cell r="D5112" t="str">
            <v>UN</v>
          </cell>
          <cell r="E5112">
            <v>33.51</v>
          </cell>
          <cell r="F5112">
            <v>0</v>
          </cell>
        </row>
        <row r="5113">
          <cell r="B5113">
            <v>94728</v>
          </cell>
          <cell r="C5113" t="str">
            <v>CONECTOR, CPVC, SOLDÁVEL, DN 35 MM X 1 1/4", INSTALADO EM RESERVAÇÃO PREDIAL DE ÁGUA - FORNECIMENTO E INSTALAÇÃO. AF_04/2024</v>
          </cell>
          <cell r="D5113" t="str">
            <v>UN</v>
          </cell>
          <cell r="E5113">
            <v>52.08</v>
          </cell>
          <cell r="F5113">
            <v>0</v>
          </cell>
        </row>
        <row r="5114">
          <cell r="B5114">
            <v>94730</v>
          </cell>
          <cell r="C5114" t="str">
            <v>CONECTOR, CPVC, SOLDÁVEL, DN 42 MM X 1 1/2", INSTALADO EM RESERVAÇÃO PREDIAL DE ÁGUA - FORNECIMENTO E INSTALAÇÃO. AF_04/2024</v>
          </cell>
          <cell r="D5114" t="str">
            <v>UN</v>
          </cell>
          <cell r="E5114">
            <v>63.94</v>
          </cell>
          <cell r="F5114">
            <v>0</v>
          </cell>
        </row>
        <row r="5115">
          <cell r="B5115">
            <v>94732</v>
          </cell>
          <cell r="C5115" t="str">
            <v>CONECTOR, CPVC, SOLDÁVEL, DN 54 MM X 2", INSTALADO EM RESERVAÇÃO PREDIAL DE ÁGUA - FORNECIMENTO E INSTALAÇÃO. AF_04/2024</v>
          </cell>
          <cell r="D5115" t="str">
            <v>UN</v>
          </cell>
          <cell r="E5115">
            <v>102.41</v>
          </cell>
          <cell r="F5115">
            <v>0</v>
          </cell>
        </row>
        <row r="5116">
          <cell r="B5116">
            <v>94734</v>
          </cell>
          <cell r="C5116" t="str">
            <v>CONECTOR, CPVC, SOLDÁVEL, DN 73 MM X 2 1/2", INSTALADO EM RESERVAÇÃO PREDIAL DE ÁGUA - FORNECIMENTO E INSTALAÇÃO. AF_04/2024</v>
          </cell>
          <cell r="D5116" t="str">
            <v>UN</v>
          </cell>
          <cell r="E5116">
            <v>369.51</v>
          </cell>
          <cell r="F5116">
            <v>0</v>
          </cell>
        </row>
        <row r="5117">
          <cell r="B5117">
            <v>94736</v>
          </cell>
          <cell r="C5117" t="str">
            <v>CONECTOR, CPVC, SOLDÁVEL, DN 89 MM X 3", INSTALADO EM RESERVAÇÃO PREDIAL DE ÁGUA - FORNECIMENTO E INSTALAÇÃO. AF_04/2024</v>
          </cell>
          <cell r="D5117" t="str">
            <v>UN</v>
          </cell>
          <cell r="E5117">
            <v>537.1</v>
          </cell>
          <cell r="F5117">
            <v>0</v>
          </cell>
        </row>
        <row r="5118">
          <cell r="B5118">
            <v>94483</v>
          </cell>
          <cell r="C5118" t="str">
            <v>CONJUNTO HIDRÁULICO EM AÇO ROSCÁVEL PARA INSTALAÇÃO DE BOMBA, DN SUCÇÃO 32 MM (1 1/4") E DN RECALQUE 25 MM (1"), PARA EDIFICAÇÃO COM 4 PAVIMENTOS - FORNECIMENTO E INSTALAÇÃO. AF_04/2024</v>
          </cell>
          <cell r="D5118" t="str">
            <v>UN</v>
          </cell>
          <cell r="E5118">
            <v>1527.12</v>
          </cell>
          <cell r="F5118">
            <v>0</v>
          </cell>
        </row>
        <row r="5119">
          <cell r="B5119">
            <v>94482</v>
          </cell>
          <cell r="C5119" t="str">
            <v>CONJUNTO HIDRÁULICO EM AÇO ROSCÁVEL PARA INSTALAÇÃO DE BOMBA, DN SUCÇÃO 40 MM (1 1/2") E DN RECALQUE 32 MM (1 1/4"), PARA EDIFICAÇÃO COM 8 PAVIMENTOS - FORNECIMENTO E INSTALAÇÃO. AF_04/2024</v>
          </cell>
          <cell r="D5119" t="str">
            <v>UN</v>
          </cell>
          <cell r="E5119">
            <v>1798.22</v>
          </cell>
          <cell r="F5119">
            <v>0</v>
          </cell>
        </row>
        <row r="5120">
          <cell r="B5120">
            <v>94481</v>
          </cell>
          <cell r="C5120" t="str">
            <v>CONJUNTO HIDRÁULICO EM AÇO ROSCÁVEL PARA INSTALAÇÃO DE BOMBA, DN SUCÇÃO 50 MM (2") E DN RECALQUE 40 MM (1 1/2"), PARA EDIFICAÇÃO COM 12 PAVIMENTOS - FORNECIMENTO E INSTALAÇÃO. AF_04/2024</v>
          </cell>
          <cell r="D5120" t="str">
            <v>UN</v>
          </cell>
          <cell r="E5120">
            <v>2258.08</v>
          </cell>
          <cell r="F5120">
            <v>0</v>
          </cell>
        </row>
        <row r="5121">
          <cell r="B5121">
            <v>94480</v>
          </cell>
          <cell r="C5121" t="str">
            <v>CONJUNTO HIDRÁULICO EM AÇO ROSCÁVEL PARA INSTALAÇÃO DE BOMBA, DN SUCÇÃO 65 MM (2½") E DN RECALQUE 50 MM (2"), PARA EDIFICAÇÃO COM 18 PAVIMENTOS - FORNECIMENTO E INSTALAÇÃO. AF_04/2024</v>
          </cell>
          <cell r="D5121" t="str">
            <v>UN</v>
          </cell>
          <cell r="E5121">
            <v>3127.65</v>
          </cell>
          <cell r="F5121">
            <v>0</v>
          </cell>
        </row>
        <row r="5122">
          <cell r="B5122">
            <v>94472</v>
          </cell>
          <cell r="C5122" t="str">
            <v>COTOVELO 45 GRAUS, EM FERRO GALVANIZADO, CONEXÃO ROSQUEADA, DN 50 MM (2"), INSTALADO EM RESERVAÇÃO PREDIAL DE ÁGUA - FORNECIMENTO E INSTALAÇÃO. AF_04/2024</v>
          </cell>
          <cell r="D5122" t="str">
            <v>UN</v>
          </cell>
          <cell r="E5122">
            <v>89.51</v>
          </cell>
          <cell r="F5122">
            <v>0</v>
          </cell>
        </row>
        <row r="5123">
          <cell r="B5123">
            <v>94474</v>
          </cell>
          <cell r="C5123" t="str">
            <v>COTOVELO 45 GRAUS, EM FERRO GALVANIZADO, CONEXÃO ROSQUEADA, DN 65 MM (2 1/2"), INSTALADO EM RESERVAÇÃO PREDIAL DE ÁGUA - FORNECIMENTO E INSTALAÇÃO. AF_04/2024</v>
          </cell>
          <cell r="D5123" t="str">
            <v>UN</v>
          </cell>
          <cell r="E5123">
            <v>146.22</v>
          </cell>
          <cell r="F5123">
            <v>0</v>
          </cell>
        </row>
        <row r="5124">
          <cell r="B5124">
            <v>94476</v>
          </cell>
          <cell r="C5124" t="str">
            <v>COTOVELO 45 GRAUS, EM FERRO GALVANIZADO, CONEXÃO ROSQUEADA, DN 80 MM (3"), INSTALADO EM RESERVAÇÃO PREDIAL DE ÁGUA - FORNECIMENTO E INSTALAÇÃO. AF_04/2024</v>
          </cell>
          <cell r="D5124" t="str">
            <v>UN</v>
          </cell>
          <cell r="E5124">
            <v>202.2</v>
          </cell>
          <cell r="F5124">
            <v>0</v>
          </cell>
        </row>
        <row r="5125">
          <cell r="B5125">
            <v>94471</v>
          </cell>
          <cell r="C5125" t="str">
            <v>COTOVELO 90 GRAUS, EM FERRO GALVANIZADO, CONEXÃO ROSQUEADA, DN 50 MM (2"), INSTALADO EM RESERVAÇÃO PREDIAL DE ÁGUA - FORNECIMENTO E INSTALAÇÃO. AF_04/2024</v>
          </cell>
          <cell r="D5125" t="str">
            <v>UN</v>
          </cell>
          <cell r="E5125">
            <v>87.13</v>
          </cell>
          <cell r="F5125">
            <v>0</v>
          </cell>
        </row>
        <row r="5126">
          <cell r="B5126">
            <v>94473</v>
          </cell>
          <cell r="C5126" t="str">
            <v>COTOVELO 90 GRAUS, EM FERRO GALVANIZADO, CONEXÃO ROSQUEADA, DN 65 MM (2 1/2"), INSTALADO EM RESERVAÇÃO PREDIAL DE ÁGUA - FORNECIMENTO E INSTALAÇÃO. AF_04/2024</v>
          </cell>
          <cell r="D5126" t="str">
            <v>UN</v>
          </cell>
          <cell r="E5126">
            <v>135.72999999999999</v>
          </cell>
          <cell r="F5126">
            <v>0</v>
          </cell>
        </row>
        <row r="5127">
          <cell r="B5127">
            <v>94475</v>
          </cell>
          <cell r="C5127" t="str">
            <v>COTOVELO 90 GRAUS, EM FERRO GALVANIZADO, CONEXÃO ROSQUEADA, DN 80 MM (3"), INSTALADO EM RESERVAÇÃO PREDIAL DE ÁGUA - FORNECIMENTO E INSTALAÇÃO. AF_04/2024</v>
          </cell>
          <cell r="D5127" t="str">
            <v>UN</v>
          </cell>
          <cell r="E5127">
            <v>182</v>
          </cell>
          <cell r="F5127">
            <v>0</v>
          </cell>
        </row>
        <row r="5128">
          <cell r="B5128">
            <v>105194</v>
          </cell>
          <cell r="C5128" t="str">
            <v>COTOVELO 90 GRAUS, EM FERRO GALVANIZADO, MACHO/FÊMEA, CONEXÃO ROSQUEADA, DN 50 MM (2"), INSTALADO EM RESERVAÇÃO PREDIAL DE ÁGUA - FORNECIMENTO E INSTALAÇÃO. AF_04/2024</v>
          </cell>
          <cell r="D5128" t="str">
            <v>UN</v>
          </cell>
          <cell r="E5128">
            <v>96.05</v>
          </cell>
          <cell r="F5128">
            <v>0</v>
          </cell>
        </row>
        <row r="5129">
          <cell r="B5129">
            <v>105195</v>
          </cell>
          <cell r="C5129" t="str">
            <v>COTOVELO 90 GRAUS, EM FERRO GALVANIZADO, MACHO/FÊMEA, CONEXÃO ROSQUEADA, DN 80 MM (3"), INSTALADO EM RESERVAÇÃO PREDIAL DE ÁGUA - FORNECIMENTO E INSTALAÇÃO. AF_04/2024</v>
          </cell>
          <cell r="D5129" t="str">
            <v>UN</v>
          </cell>
          <cell r="E5129">
            <v>236.24</v>
          </cell>
          <cell r="F5129">
            <v>0</v>
          </cell>
        </row>
        <row r="5130">
          <cell r="B5130">
            <v>105178</v>
          </cell>
          <cell r="C5130" t="str">
            <v>COTOVELO DE REDUÇÃO, 90 GRAUS, EM FERRO GALVANIZADO, CONEXÃO ROSQUEADA, DN 65 MM X 50 MM (2 1/2" X 2"), INSTALADO EM RESERVAÇÃO PREDIAL DE ÁGUA - FORNECIMENTO E INSTALAÇÃO. AF_04/2024</v>
          </cell>
          <cell r="D5130" t="str">
            <v>UN</v>
          </cell>
          <cell r="E5130">
            <v>150.44999999999999</v>
          </cell>
          <cell r="F5130">
            <v>0</v>
          </cell>
        </row>
        <row r="5131">
          <cell r="B5131">
            <v>94620</v>
          </cell>
          <cell r="C5131" t="str">
            <v>COTOVELO EM COBRE, DN 104 MM, 90 GRAUS, SEM ANEL DE SOLDA, INSTALADO EM RESERVAÇÃO PREDIAL DE ÁGUA - FORNECIMENTO E INSTALAÇÃO. AF_04/2024</v>
          </cell>
          <cell r="D5131" t="str">
            <v>UN</v>
          </cell>
          <cell r="E5131">
            <v>907.56</v>
          </cell>
          <cell r="F5131">
            <v>0</v>
          </cell>
        </row>
        <row r="5132">
          <cell r="B5132">
            <v>94614</v>
          </cell>
          <cell r="C5132" t="str">
            <v>COTOVELO EM COBRE, DN 54 MM, 90 GRAUS, SEM ANEL DE SOLDA, INSTALADO EM RESERVAÇÃO PREDIAL DE ÁGUA - FORNECIMENTO E INSTALAÇÃO. AF_04/2024</v>
          </cell>
          <cell r="D5132" t="str">
            <v>UN</v>
          </cell>
          <cell r="E5132">
            <v>154.75</v>
          </cell>
          <cell r="F5132">
            <v>0</v>
          </cell>
        </row>
        <row r="5133">
          <cell r="B5133">
            <v>94616</v>
          </cell>
          <cell r="C5133" t="str">
            <v>COTOVELO EM COBRE, DN 66 MM, 90 GRAUS, SEM ANEL DE SOLDA, INSTALADO EM RESERVAÇÃO PREDIAL DE ÁGUA - FORNECIMENTO E INSTALAÇÃO. AF_04/2024</v>
          </cell>
          <cell r="D5133" t="str">
            <v>UN</v>
          </cell>
          <cell r="E5133">
            <v>411.23</v>
          </cell>
          <cell r="F5133">
            <v>0</v>
          </cell>
        </row>
        <row r="5134">
          <cell r="B5134">
            <v>94618</v>
          </cell>
          <cell r="C5134" t="str">
            <v>COTOVELO EM COBRE, DN 79 MM, 90 GRAUS, SEM ANEL DE SOLDA, INSTALADO EM RESERVAÇÃO PREDIAL DE ÁGUA - FORNECIMENTO E INSTALAÇÃO. AF_04/2024</v>
          </cell>
          <cell r="D5134" t="str">
            <v>UN</v>
          </cell>
          <cell r="E5134">
            <v>400.68</v>
          </cell>
          <cell r="F5134">
            <v>0</v>
          </cell>
        </row>
        <row r="5135">
          <cell r="B5135">
            <v>105193</v>
          </cell>
          <cell r="C5135" t="str">
            <v>COTOVELO, 90 GRAUS, EM FERRO GALVANIZADO, MACHO/FÊMEA, CONEXÃO ROSQUEADA, DN 65 MM (2 1/2"), INSTALADO EM RESERVAÇÃO PREDIAL DE ÁGUA - FORNECIMENTO E INSTALAÇÃO. AF_04/2024</v>
          </cell>
          <cell r="D5135" t="str">
            <v>UN</v>
          </cell>
          <cell r="E5135">
            <v>164.52</v>
          </cell>
          <cell r="F5135">
            <v>0</v>
          </cell>
        </row>
        <row r="5136">
          <cell r="B5136">
            <v>105197</v>
          </cell>
          <cell r="C5136" t="str">
            <v>CURVA 45 GRAUS, EM FERRO GALVANIZADO, FÊMEA, CONEXÃO ROSQUEADA, DN 50 MM (2"), INSTALADO EM RESERVAÇÃO PREDIAL DE ÁGUA - FORNECIMENTO E INSTALAÇÃO. AF_04/2024</v>
          </cell>
          <cell r="D5136" t="str">
            <v>UN</v>
          </cell>
          <cell r="E5136">
            <v>173.61</v>
          </cell>
          <cell r="F5136">
            <v>0</v>
          </cell>
        </row>
        <row r="5137">
          <cell r="B5137">
            <v>105196</v>
          </cell>
          <cell r="C5137" t="str">
            <v>CURVA 45 GRAUS, EM FERRO GALVANIZADO, FÊMEA, CONEXÃO ROSQUEADA, DN 65 MM (2 1/2"), INSTALADO EM RESERVAÇÃO PREDIAL DE ÁGUA - FORNECIMENTO E INSTALAÇÃO. AF_04/2024</v>
          </cell>
          <cell r="D5137" t="str">
            <v>UN</v>
          </cell>
          <cell r="E5137">
            <v>249.72</v>
          </cell>
          <cell r="F5137">
            <v>0</v>
          </cell>
        </row>
        <row r="5138">
          <cell r="B5138">
            <v>105198</v>
          </cell>
          <cell r="C5138" t="str">
            <v>CURVA 45 GRAUS, EM FERRO GALVANIZADO, FÊMEA, CONEXÃO ROSQUEADA, DN 80 MM (3"), INSTALADO EM RESERVAÇÃO PREDIAL DE ÁGUA - FORNECIMENTO E INSTALAÇÃO. AF_04/2024</v>
          </cell>
          <cell r="D5138" t="str">
            <v>UN</v>
          </cell>
          <cell r="E5138">
            <v>351.92</v>
          </cell>
          <cell r="F5138">
            <v>0</v>
          </cell>
        </row>
        <row r="5139">
          <cell r="B5139">
            <v>105200</v>
          </cell>
          <cell r="C5139" t="str">
            <v>CURVA 45 GRAUS, EM FERRO GALVANIZADO, MACHO/FÊMEA, CONEXÃO ROSQUEADA, DN 50 MM (2"), INSTALADO EM RESERVAÇÃO PREDIAL DE ÁGUA - FORNECIMENTO E INSTALAÇÃO. AF_04/2024</v>
          </cell>
          <cell r="D5139" t="str">
            <v>UN</v>
          </cell>
          <cell r="E5139">
            <v>138.71</v>
          </cell>
          <cell r="F5139">
            <v>0</v>
          </cell>
        </row>
        <row r="5140">
          <cell r="B5140">
            <v>105199</v>
          </cell>
          <cell r="C5140" t="str">
            <v>CURVA 45 GRAUS, EM FERRO GALVANIZADO, MACHO/FÊMEA, CONEXÃO ROSQUEADA, DN 65 MM (2 1/2"), INSTALADO EM RESERVAÇÃO PREDIAL DE ÁGUA - FORNECIMENTO E INSTALAÇÃO. AF_04/2024</v>
          </cell>
          <cell r="D5140" t="str">
            <v>UN</v>
          </cell>
          <cell r="E5140">
            <v>227.84</v>
          </cell>
          <cell r="F5140">
            <v>0</v>
          </cell>
        </row>
        <row r="5141">
          <cell r="B5141">
            <v>105201</v>
          </cell>
          <cell r="C5141" t="str">
            <v>CURVA 45 GRAUS, EM FERRO GALVANIZADO, MACHO/FÊMEA, CONEXÃO ROSQUEADA, DN 80 MM (3"), INSTALADO EM RESERVAÇÃO PREDIAL DE ÁGUA - FORNECIMENTO E INSTALAÇÃO. AF_04/2024</v>
          </cell>
          <cell r="D5141" t="str">
            <v>UN</v>
          </cell>
          <cell r="E5141">
            <v>309.98</v>
          </cell>
          <cell r="F5141">
            <v>0</v>
          </cell>
        </row>
        <row r="5142">
          <cell r="B5142">
            <v>94755</v>
          </cell>
          <cell r="C5142" t="str">
            <v>CURVA 90 GRAUS, CPVC, SOLDÁVEL, DN 114 MM, INSTALADO EM RESERVAÇÃO PREDIAL DE ÁGUA - FORNECIMENTO E INSTALAÇÃO. AF_04/2024</v>
          </cell>
          <cell r="D5142" t="str">
            <v>UN</v>
          </cell>
          <cell r="E5142">
            <v>0</v>
          </cell>
        </row>
        <row r="5143">
          <cell r="B5143">
            <v>94741</v>
          </cell>
          <cell r="C5143" t="str">
            <v>CURVA 90 GRAUS, CPVC, SOLDÁVEL, DN 22 MM, INSTALADO EM RESERVAÇÃO PREDIAL DE ÁGUA - FORNECIMENTO E INSTALAÇÃO. AF_04/2024</v>
          </cell>
          <cell r="D5143" t="str">
            <v>UN</v>
          </cell>
          <cell r="E5143">
            <v>13.47</v>
          </cell>
          <cell r="F5143">
            <v>0</v>
          </cell>
        </row>
        <row r="5144">
          <cell r="B5144">
            <v>94743</v>
          </cell>
          <cell r="C5144" t="str">
            <v>CURVA 90 GRAUS, CPVC, SOLDÁVEL, DN 28 MM, INSTALADO EM RESERVAÇÃO PREDIAL DE ÁGUA - FORNECIMENTO E INSTALAÇÃO. AF_04/2024</v>
          </cell>
          <cell r="D5144" t="str">
            <v>UN</v>
          </cell>
          <cell r="E5144">
            <v>21.58</v>
          </cell>
          <cell r="F5144">
            <v>0</v>
          </cell>
        </row>
        <row r="5145">
          <cell r="B5145">
            <v>94745</v>
          </cell>
          <cell r="C5145" t="str">
            <v>CURVA 90 GRAUS, CPVC, SOLDÁVEL, DN 35 MM, INSTALADO EM RESERVAÇÃO PREDIAL DE ÁGUA - FORNECIMENTO E INSTALAÇÃO. AF_04/2024</v>
          </cell>
          <cell r="D5145" t="str">
            <v>UN</v>
          </cell>
          <cell r="E5145">
            <v>0</v>
          </cell>
        </row>
        <row r="5146">
          <cell r="B5146">
            <v>94747</v>
          </cell>
          <cell r="C5146" t="str">
            <v>CURVA 90 GRAUS, CPVC, SOLDÁVEL, DN 42 MM, INSTALADO EM RESERVAÇÃO PREDIAL DE ÁGUA - FORNECIMENTO E INSTALAÇÃO. AF_04/2024</v>
          </cell>
          <cell r="D5146" t="str">
            <v>UN</v>
          </cell>
          <cell r="E5146">
            <v>0</v>
          </cell>
        </row>
        <row r="5147">
          <cell r="B5147">
            <v>94749</v>
          </cell>
          <cell r="C5147" t="str">
            <v>CURVA 90 GRAUS, CPVC, SOLDÁVEL, DN 54 MM, INSTALADO EM RESERVAÇÃO PREDIAL DE ÁGUA - FORNECIMENTO E INSTALAÇÃO. AF_04/2024</v>
          </cell>
          <cell r="D5147" t="str">
            <v>UN</v>
          </cell>
          <cell r="E5147">
            <v>0</v>
          </cell>
        </row>
        <row r="5148">
          <cell r="B5148">
            <v>94751</v>
          </cell>
          <cell r="C5148" t="str">
            <v>CURVA 90 GRAUS, CPVC, SOLDÁVEL, DN 73 MM, INSTALADO EM RESERVAÇÃO PREDIAL DE ÁGUA - FORNECIMENTO E INSTALAÇÃO. AF_04/2024</v>
          </cell>
          <cell r="D5148" t="str">
            <v>UN</v>
          </cell>
          <cell r="E5148">
            <v>0</v>
          </cell>
        </row>
        <row r="5149">
          <cell r="B5149">
            <v>94753</v>
          </cell>
          <cell r="C5149" t="str">
            <v>CURVA 90 GRAUS, CPVC, SOLDÁVEL, DN 89 MM, INSTALADO EM RESERVAÇÃO PREDIAL DE ÁGUA - FORNECIMENTO E INSTALAÇÃO. AF_04/2024</v>
          </cell>
          <cell r="D5149" t="str">
            <v>UN</v>
          </cell>
          <cell r="E5149">
            <v>0</v>
          </cell>
        </row>
        <row r="5150">
          <cell r="B5150">
            <v>105209</v>
          </cell>
          <cell r="C5150" t="str">
            <v>CURVA 90 GRAUS, EM FERRO GALVANIZADO, CONEXÃO ROSQUEADA, DN 50 MM (2"), INSTALADO EM RESERVAÇÃO PREDIAL DE ÁGUA - FORNECIMENTO E INSTALAÇÃO. AF_04/2024</v>
          </cell>
          <cell r="D5150" t="str">
            <v>UN</v>
          </cell>
          <cell r="E5150">
            <v>168.39</v>
          </cell>
          <cell r="F5150">
            <v>0</v>
          </cell>
        </row>
        <row r="5151">
          <cell r="B5151">
            <v>105208</v>
          </cell>
          <cell r="C5151" t="str">
            <v>CURVA 90 GRAUS, EM FERRO GALVANIZADO, CONEXÃO ROSQUEADA, DN 65 MM (2 1/2"), INSTALADO EM RESERVAÇÃO PREDIAL DE ÁGUA - FORNECIMENTO E INSTALAÇÃO. AF_04/2024</v>
          </cell>
          <cell r="D5151" t="str">
            <v>UN</v>
          </cell>
          <cell r="E5151">
            <v>338.91</v>
          </cell>
          <cell r="F5151">
            <v>0</v>
          </cell>
        </row>
        <row r="5152">
          <cell r="B5152">
            <v>105210</v>
          </cell>
          <cell r="C5152" t="str">
            <v>CURVA 90 GRAUS, EM FERRO GALVANIZADO, CONEXÃO ROSQUEADA, DN 80 MM (3"), INSTALADO EM RESERVAÇÃO PREDIAL DE ÁGUA - FORNECIMENTO E INSTALAÇÃO. AF_04/2024</v>
          </cell>
          <cell r="D5152" t="str">
            <v>UN</v>
          </cell>
          <cell r="E5152">
            <v>436.39</v>
          </cell>
          <cell r="F5152">
            <v>0</v>
          </cell>
        </row>
        <row r="5153">
          <cell r="B5153">
            <v>105203</v>
          </cell>
          <cell r="C5153" t="str">
            <v>CURVA 90 GRAUS, EM FERRO GALVANIZADO, FÊMEA, CONEXÃO ROSQUEADA, DN 50 MM (2"), INSTALADO EM RESERVAÇÃO PREDIAL DE ÁGUA - FORNECIMENTO E INSTALAÇÃO. AF_04/2024</v>
          </cell>
          <cell r="D5153" t="str">
            <v>UN</v>
          </cell>
          <cell r="E5153">
            <v>172.89</v>
          </cell>
          <cell r="F5153">
            <v>0</v>
          </cell>
        </row>
        <row r="5154">
          <cell r="B5154">
            <v>105202</v>
          </cell>
          <cell r="C5154" t="str">
            <v>CURVA 90 GRAUS, EM FERRO GALVANIZADO, FÊMEA, CONEXÃO ROSQUEADA, DN 65 MM (2 1/2"), INSTALADO EM RESERVAÇÃO PREDIAL DE ÁGUA - FORNECIMENTO E INSTALAÇÃO. AF_04/2024</v>
          </cell>
          <cell r="D5154" t="str">
            <v>UN</v>
          </cell>
          <cell r="E5154">
            <v>280.16000000000003</v>
          </cell>
          <cell r="F5154">
            <v>0</v>
          </cell>
        </row>
        <row r="5155">
          <cell r="B5155">
            <v>105204</v>
          </cell>
          <cell r="C5155" t="str">
            <v>CURVA 90 GRAUS, EM FERRO GALVANIZADO, FÊMEA, CONEXÃO ROSQUEADA, DN 80 (3"), INSTALADO EM RESERVAÇÃO PREDIAL DE ÁGUA - FORNECIMENTO E INSTALAÇÃO. AF_04/2024</v>
          </cell>
          <cell r="D5155" t="str">
            <v>UN</v>
          </cell>
          <cell r="E5155">
            <v>371.21</v>
          </cell>
          <cell r="F5155">
            <v>0</v>
          </cell>
        </row>
        <row r="5156">
          <cell r="B5156">
            <v>105206</v>
          </cell>
          <cell r="C5156" t="str">
            <v>CURVA 90 GRAUS, EM FERRO GALVANIZADO, MACHO/FÊMEA, CONEXÃO ROSQUEADA, DN 50 MM (2"), INSTALADO EM RESERVAÇÃO PREDIAL DE ÁGUA - FORNECIMENTO E INSTALAÇÃO. AF_04/2024</v>
          </cell>
          <cell r="D5156" t="str">
            <v>UN</v>
          </cell>
          <cell r="E5156">
            <v>165.14</v>
          </cell>
          <cell r="F5156">
            <v>0</v>
          </cell>
        </row>
        <row r="5157">
          <cell r="B5157">
            <v>105205</v>
          </cell>
          <cell r="C5157" t="str">
            <v>CURVA 90 GRAUS, EM FERRO GALVANIZADO, MACHO/FÊMEA, CONEXÃO ROSQUEADA, DN 65 MM (2 1/2"), INSTALADO EM RESERVAÇÃO PREDIAL DE ÁGUA - FORNECIMENTO E INSTALAÇÃO. AF_04/2024</v>
          </cell>
          <cell r="D5157" t="str">
            <v>UN</v>
          </cell>
          <cell r="E5157">
            <v>259.52</v>
          </cell>
          <cell r="F5157">
            <v>0</v>
          </cell>
        </row>
        <row r="5158">
          <cell r="B5158">
            <v>105207</v>
          </cell>
          <cell r="C5158" t="str">
            <v>CURVA 90 GRAUS, EM FERRO GALVANIZADO, MACHO/FÊMEA, CONEXÃO ROSQUEADA, DN 80 MM (3"), INSTALADO EM RESERVAÇÃO PREDIAL DE ÁGUA - FORNECIMENTO E INSTALAÇÃO. AF_04/2024</v>
          </cell>
          <cell r="D5158" t="str">
            <v>UN</v>
          </cell>
          <cell r="E5158">
            <v>360.89</v>
          </cell>
          <cell r="F5158">
            <v>0</v>
          </cell>
        </row>
        <row r="5159">
          <cell r="B5159">
            <v>94687</v>
          </cell>
          <cell r="C5159" t="str">
            <v>CURVA 90 GRAUS, PVC, SOLDÁVEL, DN 110 MM, INSTALADO EM RESERVAÇÃO PREDIAL DE ÁGUA - FORNECIMENTO E INSTALAÇÃO. AF_04/2024</v>
          </cell>
          <cell r="D5159" t="str">
            <v>UN</v>
          </cell>
          <cell r="E5159">
            <v>266.08</v>
          </cell>
          <cell r="F5159">
            <v>0</v>
          </cell>
        </row>
        <row r="5160">
          <cell r="B5160">
            <v>94673</v>
          </cell>
          <cell r="C5160" t="str">
            <v>CURVA 90 GRAUS, PVC, SOLDÁVEL, DN 25 MM, INSTALADO EM RESERVAÇÃO PREDIAL DE ÁGUA - FORNECIMENTO E INSTALAÇÃO. AF_04/2024</v>
          </cell>
          <cell r="D5160" t="str">
            <v>UN</v>
          </cell>
          <cell r="E5160">
            <v>8.73</v>
          </cell>
          <cell r="F5160">
            <v>0</v>
          </cell>
        </row>
        <row r="5161">
          <cell r="B5161">
            <v>94675</v>
          </cell>
          <cell r="C5161" t="str">
            <v>CURVA 90 GRAUS, PVC, SOLDÁVEL, DN 32 MM, INSTALADO EM RESERVAÇÃO PREDIAL DE ÁGUA - FORNECIMENTO E INSTALAÇÃO. AF_04/2024</v>
          </cell>
          <cell r="D5161" t="str">
            <v>UN</v>
          </cell>
          <cell r="E5161">
            <v>14.45</v>
          </cell>
          <cell r="F5161">
            <v>0</v>
          </cell>
        </row>
        <row r="5162">
          <cell r="B5162">
            <v>94677</v>
          </cell>
          <cell r="C5162" t="str">
            <v>CURVA 90 GRAUS, PVC, SOLDÁVEL, DN 40 MM, INSTALADO EM RESERVAÇÃO PREDIAL DE ÁGUA - FORNECIMENTO E INSTALAÇÃO. AF_04/2024</v>
          </cell>
          <cell r="D5162" t="str">
            <v>UN</v>
          </cell>
          <cell r="E5162">
            <v>23.24</v>
          </cell>
          <cell r="F5162">
            <v>0</v>
          </cell>
        </row>
        <row r="5163">
          <cell r="B5163">
            <v>94679</v>
          </cell>
          <cell r="C5163" t="str">
            <v>CURVA 90 GRAUS, PVC, SOLDÁVEL, DN 50 MM, INSTALADO EM RESERVAÇÃO PREDIAL DE ÁGUA - FORNECIMENTO E INSTALAÇÃO. AF_04/2024</v>
          </cell>
          <cell r="D5163" t="str">
            <v>UN</v>
          </cell>
          <cell r="E5163">
            <v>28.2</v>
          </cell>
          <cell r="F5163">
            <v>0</v>
          </cell>
        </row>
        <row r="5164">
          <cell r="B5164">
            <v>94681</v>
          </cell>
          <cell r="C5164" t="str">
            <v>CURVA 90 GRAUS, PVC, SOLDÁVEL, DN 60 MM, INSTALADO EM RESERVAÇÃO PREDIAL DE ÁGUA - FORNECIMENTO E INSTALAÇÃO. AF_04/2024</v>
          </cell>
          <cell r="D5164" t="str">
            <v>UN</v>
          </cell>
          <cell r="E5164">
            <v>57.39</v>
          </cell>
          <cell r="F5164">
            <v>0</v>
          </cell>
        </row>
        <row r="5165">
          <cell r="B5165">
            <v>94683</v>
          </cell>
          <cell r="C5165" t="str">
            <v>CURVA 90 GRAUS, PVC, SOLDÁVEL, DN 75 MM, INSTALADO EM RESERVAÇÃO PREDIAL DE ÁGUA - FORNECIMENTO E INSTALAÇÃO. AF_04/2024</v>
          </cell>
          <cell r="D5165" t="str">
            <v>UN</v>
          </cell>
          <cell r="E5165">
            <v>87.15</v>
          </cell>
          <cell r="F5165">
            <v>0</v>
          </cell>
        </row>
        <row r="5166">
          <cell r="B5166">
            <v>94685</v>
          </cell>
          <cell r="C5166" t="str">
            <v>CURVA 90 GRAUS, PVC, SOLDÁVEL, DN 85 MM, INSTALADO EM RESERVAÇÃO PREDIAL DE ÁGUA - FORNECIMENTO E INSTALAÇÃO. AF_04/2024</v>
          </cell>
          <cell r="D5166" t="str">
            <v>UN</v>
          </cell>
          <cell r="E5166">
            <v>110.94</v>
          </cell>
          <cell r="F5166">
            <v>0</v>
          </cell>
        </row>
        <row r="5167">
          <cell r="B5167">
            <v>94621</v>
          </cell>
          <cell r="C5167" t="str">
            <v>CURVA EM COBRE, DN 104 MM, 45 GRAUS, SEM ANEL DE SOLDA, BOLSA X BOLSA, INSTALADO EM RESERVAÇÃO PREDIAL DE ÁGUA - FORNECIMENTO E INSTALAÇÃO. AF_04/2024</v>
          </cell>
          <cell r="D5167" t="str">
            <v>UN</v>
          </cell>
          <cell r="E5167">
            <v>0</v>
          </cell>
        </row>
        <row r="5168">
          <cell r="B5168">
            <v>94615</v>
          </cell>
          <cell r="C5168" t="str">
            <v>CURVA EM COBRE, DN 54 MM, 45 GRAUS, SEM ANEL DE SOLDA, BOLSA X BOLSA, INSTALADO EM RESERVAÇÃO PREDIAL DE ÁGUA - FORNECIMENTO E INSTALAÇÃO. AF_04/2024</v>
          </cell>
          <cell r="D5168" t="str">
            <v>UN</v>
          </cell>
          <cell r="E5168">
            <v>173.97</v>
          </cell>
          <cell r="F5168">
            <v>0</v>
          </cell>
        </row>
        <row r="5169">
          <cell r="B5169">
            <v>94617</v>
          </cell>
          <cell r="C5169" t="str">
            <v>CURVA EM COBRE, DN 66 MM, 45 GRAUS, SEM ANEL DE SOLDA, BOLSA X BOLSA, INSTALADO EM RESERVAÇÃO PREDIAL DE ÁGUA - FORNECIMENTO E INSTALAÇÃO. AF_04/2024</v>
          </cell>
          <cell r="D5169" t="str">
            <v>UN</v>
          </cell>
          <cell r="E5169">
            <v>344.4</v>
          </cell>
          <cell r="F5169">
            <v>0</v>
          </cell>
        </row>
        <row r="5170">
          <cell r="B5170">
            <v>94619</v>
          </cell>
          <cell r="C5170" t="str">
            <v>CURVA EM COBRE, DN 79 MM, 45 GRAUS, SEM ANEL DE SOLDA, BOLSA X BOLSA, INSTALADO EM RESERVAÇÃO PREDIAL DE ÁGUA - FORNECIMENTO E INSTALAÇÃO. AF_04/2024</v>
          </cell>
          <cell r="D5170" t="str">
            <v>UN</v>
          </cell>
          <cell r="E5170">
            <v>0</v>
          </cell>
        </row>
        <row r="5171">
          <cell r="B5171">
            <v>105147</v>
          </cell>
          <cell r="C5171" t="str">
            <v>CURVA PPR 90 GRAUS, DN 20 MM, INSTALADO EM RESERVAÇÃO PREDIAL DE ÁGUA - FORNECIMENTO E INSTALAÇÃO. AF_04/2024</v>
          </cell>
          <cell r="D5171" t="str">
            <v>UN</v>
          </cell>
          <cell r="E5171">
            <v>19</v>
          </cell>
          <cell r="F5171">
            <v>0</v>
          </cell>
        </row>
        <row r="5172">
          <cell r="B5172">
            <v>105148</v>
          </cell>
          <cell r="C5172" t="str">
            <v>CURVA PPR 90 GRAUS, DN 25 MM, INSTALADO EM RESERVAÇÃO PREDIAL DE ÁGUA - FORNECIMENTO E INSTALAÇÃO. AF_04/2024</v>
          </cell>
          <cell r="D5172" t="str">
            <v>UN</v>
          </cell>
          <cell r="E5172">
            <v>26.75</v>
          </cell>
          <cell r="F5172">
            <v>0</v>
          </cell>
        </row>
        <row r="5173">
          <cell r="B5173">
            <v>105154</v>
          </cell>
          <cell r="C5173" t="str">
            <v>CURVA PVC 45 GRAUS, SOLDÁVEL, DN 25 MM, INSTALADO EM RESERVAÇÃO PREDIAL DE ÁGUA - FORNECIMENTO E INSTALAÇÃO. AF_04/2024</v>
          </cell>
          <cell r="D5173" t="str">
            <v>UN</v>
          </cell>
          <cell r="E5173">
            <v>8.11</v>
          </cell>
          <cell r="F5173">
            <v>0</v>
          </cell>
        </row>
        <row r="5174">
          <cell r="B5174">
            <v>105155</v>
          </cell>
          <cell r="C5174" t="str">
            <v>CURVA PVC 45 GRAUS, SOLDÁVEL, DN 32 MM, INSTALADO EM RESERVAÇÃO PREDIAL DE ÁGUA - FORNECIMENTO E INSTALAÇÃO. AF_04/2024</v>
          </cell>
          <cell r="D5174" t="str">
            <v>UN</v>
          </cell>
          <cell r="E5174">
            <v>12.11</v>
          </cell>
          <cell r="F5174">
            <v>0</v>
          </cell>
        </row>
        <row r="5175">
          <cell r="B5175">
            <v>105156</v>
          </cell>
          <cell r="C5175" t="str">
            <v>CURVA PVC 45 GRAUS, SOLDÁVEL, DN 40 MM, INSTALADO EM RESERVAÇÃO PREDIAL DE ÁGUA - FORNECIMENTO E INSTALAÇÃO. AF_04/2024</v>
          </cell>
          <cell r="D5175" t="str">
            <v>UN</v>
          </cell>
          <cell r="E5175">
            <v>15.46</v>
          </cell>
          <cell r="F5175">
            <v>0</v>
          </cell>
        </row>
        <row r="5176">
          <cell r="B5176">
            <v>105157</v>
          </cell>
          <cell r="C5176" t="str">
            <v>CURVA PVC 45 GRAUS, SOLDÁVEL, DN 50 MM, INSTALADO EM RESERVAÇÃO PREDIAL DE ÁGUA - FORNECIMENTO E INSTALAÇÃO. AF_04/2024</v>
          </cell>
          <cell r="D5176" t="str">
            <v>UN</v>
          </cell>
          <cell r="E5176">
            <v>23.76</v>
          </cell>
          <cell r="F5176">
            <v>0</v>
          </cell>
        </row>
        <row r="5177">
          <cell r="B5177">
            <v>105158</v>
          </cell>
          <cell r="C5177" t="str">
            <v>CURVA PVC 45 GRAUS, SOLDÁVEL, DN 60 MM, INSTALADO EM RESERVAÇÃO PREDIAL DE ÁGUA - FORNECIMENTO E INSTALAÇÃO. AF_04/2024</v>
          </cell>
          <cell r="D5177" t="str">
            <v>UN</v>
          </cell>
          <cell r="E5177">
            <v>34.869999999999997</v>
          </cell>
          <cell r="F5177">
            <v>0</v>
          </cell>
        </row>
        <row r="5178">
          <cell r="B5178">
            <v>105159</v>
          </cell>
          <cell r="C5178" t="str">
            <v>CURVA PVC 45 GRAUS, SOLDÁVEL, DN 75 MM, INSTALADO EM RESERVAÇÃO PREDIAL DE ÁGUA - FORNECIMENTO E INSTALAÇÃO. AF_04/2024</v>
          </cell>
          <cell r="D5178" t="str">
            <v>UN</v>
          </cell>
          <cell r="E5178">
            <v>61.96</v>
          </cell>
          <cell r="F5178">
            <v>0</v>
          </cell>
        </row>
        <row r="5179">
          <cell r="B5179">
            <v>105160</v>
          </cell>
          <cell r="C5179" t="str">
            <v>CURVA PVC 45 GRAUS, SOLDÁVEL, DN 85 MM, INSTALADO EM RESERVAÇÃO PREDIAL DE ÁGUA - FORNECIMENTO E INSTALAÇÃO. AF_04/2024</v>
          </cell>
          <cell r="D5179" t="str">
            <v>UN</v>
          </cell>
          <cell r="E5179">
            <v>76.459999999999994</v>
          </cell>
          <cell r="F5179">
            <v>0</v>
          </cell>
        </row>
        <row r="5180">
          <cell r="B5180">
            <v>94634</v>
          </cell>
          <cell r="C5180" t="str">
            <v>FLANGE CURTA EM COBRE, DN 104 MM X 4", INSTALADO EM RESERVAÇÃO PREDIAL DE ÁGUA - FORNECIMENTO E INSTALAÇÃO. AF_04/2024</v>
          </cell>
          <cell r="D5180" t="str">
            <v>UN</v>
          </cell>
          <cell r="E5180">
            <v>0</v>
          </cell>
        </row>
        <row r="5181">
          <cell r="B5181">
            <v>94631</v>
          </cell>
          <cell r="C5181" t="str">
            <v>FLANGE CURTA EM COBRE, DN 54 MM X 2", INSTALADO EM RESERVAÇÃO PREDIAL DE ÁGUA - FORNECIMENTO E INSTALAÇÃO. AF_04/2024</v>
          </cell>
          <cell r="D5181" t="str">
            <v>UN</v>
          </cell>
          <cell r="E5181">
            <v>0</v>
          </cell>
        </row>
        <row r="5182">
          <cell r="B5182">
            <v>94632</v>
          </cell>
          <cell r="C5182" t="str">
            <v>FLANGE CURTA EM COBRE, DN 66 MM X 2 1/2", INSTALADO EM RESERVAÇÃO PREDIAL DE ÁGUA - FORNECIMENTO E INSTALAÇÃO. AF_04/2024</v>
          </cell>
          <cell r="D5182" t="str">
            <v>UN</v>
          </cell>
          <cell r="E5182">
            <v>0</v>
          </cell>
        </row>
        <row r="5183">
          <cell r="B5183">
            <v>94633</v>
          </cell>
          <cell r="C5183" t="str">
            <v>FLANGE CURTA EM COBRE, DN 79 MM X 3", INSTALADO EM RESERVAÇÃO PREDIAL DE ÁGUA - FORNECIMENTO E INSTALAÇÃO. AF_04/2024</v>
          </cell>
          <cell r="D5183" t="str">
            <v>UN</v>
          </cell>
          <cell r="E5183">
            <v>0</v>
          </cell>
        </row>
        <row r="5184">
          <cell r="B5184">
            <v>94672</v>
          </cell>
          <cell r="C5184" t="str">
            <v>JOELHO 90 GRAUS COM BUCHA DE LATÃO, PVC, SOLDÁVEL, DN 25 MM X 3/4", INSTALADO EM RESERVAÇÃO PREDIAL DE ÁGUA - FORNECIMENTO E INSTALAÇÃO. AF_04/2024</v>
          </cell>
          <cell r="D5184" t="str">
            <v>UN</v>
          </cell>
          <cell r="E5184">
            <v>7.62</v>
          </cell>
          <cell r="F5184">
            <v>0</v>
          </cell>
        </row>
        <row r="5185">
          <cell r="B5185">
            <v>94754</v>
          </cell>
          <cell r="C5185" t="str">
            <v>JOELHO 90 GRAUS, CPVC, SOLDÁVEL, DN 114 MM, INSTALADO EM RESERVAÇÃO PREDIAL DE ÁGUA - FORNECIMENTO E INSTALAÇÃO. AF_04/2024</v>
          </cell>
          <cell r="D5185" t="str">
            <v>UN</v>
          </cell>
          <cell r="E5185">
            <v>291.13</v>
          </cell>
          <cell r="F5185">
            <v>0</v>
          </cell>
        </row>
        <row r="5186">
          <cell r="B5186">
            <v>94740</v>
          </cell>
          <cell r="C5186" t="str">
            <v>JOELHO 90 GRAUS, CPVC, SOLDÁVEL, DN 22 MM, INSTALADO EM RESERVAÇÃO PREDIAL DE ÁGUA - FORNECIMENTO E INSTALAÇÃO. AF_04/2024</v>
          </cell>
          <cell r="D5186" t="str">
            <v>UN</v>
          </cell>
          <cell r="E5186">
            <v>10.59</v>
          </cell>
          <cell r="F5186">
            <v>0</v>
          </cell>
        </row>
        <row r="5187">
          <cell r="B5187">
            <v>94742</v>
          </cell>
          <cell r="C5187" t="str">
            <v>JOELHO 90 GRAUS, CPVC, SOLDÁVEL, DN 28 MM, INSTALADO EM RESERVAÇÃO PREDIAL DE ÁGUA - FORNECIMENTO E INSTALAÇÃO. AF_04/2024</v>
          </cell>
          <cell r="D5187" t="str">
            <v>UN</v>
          </cell>
          <cell r="E5187">
            <v>17.260000000000002</v>
          </cell>
          <cell r="F5187">
            <v>0</v>
          </cell>
        </row>
        <row r="5188">
          <cell r="B5188">
            <v>94744</v>
          </cell>
          <cell r="C5188" t="str">
            <v>JOELHO 90 GRAUS, CPVC, SOLDÁVEL, DN 35 MM, INSTALADO EM RESERVAÇÃO PREDIAL DE ÁGUA - FORNECIMENTO E INSTALAÇÃO. AF_04/2024</v>
          </cell>
          <cell r="D5188" t="str">
            <v>UN</v>
          </cell>
          <cell r="E5188">
            <v>26.97</v>
          </cell>
          <cell r="F5188">
            <v>0</v>
          </cell>
        </row>
        <row r="5189">
          <cell r="B5189">
            <v>94746</v>
          </cell>
          <cell r="C5189" t="str">
            <v>JOELHO 90 GRAUS, CPVC, SOLDÁVEL, DN 42 MM, INSTALADO EM RESERVAÇÃO PREDIAL DE ÁGUA - FORNECIMENTO E INSTALAÇÃO. AF_04/2024</v>
          </cell>
          <cell r="D5189" t="str">
            <v>UN</v>
          </cell>
          <cell r="E5189">
            <v>38.51</v>
          </cell>
          <cell r="F5189">
            <v>0</v>
          </cell>
        </row>
        <row r="5190">
          <cell r="B5190">
            <v>94748</v>
          </cell>
          <cell r="C5190" t="str">
            <v>JOELHO 90 GRAUS, CPVC, SOLDÁVEL, DN 54 MM, INSTALADO EM RESERVAÇÃO PREDIAL DE ÁGUA - FORNECIMENTO E INSTALAÇÃO. AF_04/2024</v>
          </cell>
          <cell r="D5190" t="str">
            <v>UN</v>
          </cell>
          <cell r="E5190">
            <v>83.33</v>
          </cell>
          <cell r="F5190">
            <v>0</v>
          </cell>
        </row>
        <row r="5191">
          <cell r="B5191">
            <v>94750</v>
          </cell>
          <cell r="C5191" t="str">
            <v>JOELHO 90 GRAUS, CPVC, SOLDÁVEL, DN 73 MM, INSTALADO EM RESERVAÇÃO PREDIAL DE ÁGUA - FORNECIMENTO E INSTALAÇÃO. AF_04/2024</v>
          </cell>
          <cell r="D5191" t="str">
            <v>UN</v>
          </cell>
          <cell r="E5191">
            <v>167.6</v>
          </cell>
          <cell r="F5191">
            <v>0</v>
          </cell>
        </row>
        <row r="5192">
          <cell r="B5192">
            <v>94752</v>
          </cell>
          <cell r="C5192" t="str">
            <v>JOELHO 90 GRAUS, CPVC, SOLDÁVEL, DN 89 MM, INSTALADO EM RESERVAÇÃO PREDIAL DE ÁGUA - FORNECIMENTO E INSTALAÇÃO. AF_04/2024</v>
          </cell>
          <cell r="D5192" t="str">
            <v>UN</v>
          </cell>
          <cell r="E5192">
            <v>202.48</v>
          </cell>
          <cell r="F5192">
            <v>0</v>
          </cell>
        </row>
        <row r="5193">
          <cell r="B5193">
            <v>96755</v>
          </cell>
          <cell r="C5193" t="str">
            <v>JOELHO 90 GRAUS, PPR, DN 110 MM, INSTALADO EM RESERVAÇÃO PREDIAL DE ÁGUA - FORNECIMENTO E INSTALAÇÃO. AF_04/2024</v>
          </cell>
          <cell r="D5193" t="str">
            <v>UN</v>
          </cell>
          <cell r="E5193">
            <v>385.76</v>
          </cell>
          <cell r="F5193">
            <v>0</v>
          </cell>
        </row>
        <row r="5194">
          <cell r="B5194">
            <v>96747</v>
          </cell>
          <cell r="C5194" t="str">
            <v>JOELHO 90 GRAUS, PPR, DN 20 MM, INSTALADO EM RESERVAÇÃO PREDIAL DE ÁGUA - FORNECIMENTO E INSTALAÇÃO. AF_04/2024</v>
          </cell>
          <cell r="D5194" t="str">
            <v>UN</v>
          </cell>
          <cell r="E5194">
            <v>9.58</v>
          </cell>
          <cell r="F5194">
            <v>0</v>
          </cell>
        </row>
        <row r="5195">
          <cell r="B5195">
            <v>96748</v>
          </cell>
          <cell r="C5195" t="str">
            <v>JOELHO 90 GRAUS, PPR, DN 25 MM, INSTALADO EM RESERVAÇÃO PREDIAL DE ÁGUA - FORNECIMENTO E INSTALAÇÃO. AF_04/2024</v>
          </cell>
          <cell r="D5195" t="str">
            <v>UN</v>
          </cell>
          <cell r="E5195">
            <v>11.05</v>
          </cell>
          <cell r="F5195">
            <v>0</v>
          </cell>
        </row>
        <row r="5196">
          <cell r="B5196">
            <v>96749</v>
          </cell>
          <cell r="C5196" t="str">
            <v>JOELHO 90 GRAUS, PPR, DN 32 MM, INSTALADO EM RESERVAÇÃO PREDIAL DE ÁGUA - FORNECIMENTO E INSTALAÇÃO. AF_04/2024</v>
          </cell>
          <cell r="D5196" t="str">
            <v>UN</v>
          </cell>
          <cell r="E5196">
            <v>13.84</v>
          </cell>
          <cell r="F5196">
            <v>0</v>
          </cell>
        </row>
        <row r="5197">
          <cell r="B5197">
            <v>96750</v>
          </cell>
          <cell r="C5197" t="str">
            <v>JOELHO 90 GRAUS, PPR, DN 40 MM, INSTALADO EM RESERVAÇÃO PREDIAL DE ÁGUA - FORNECIMENTO E INSTALAÇÃO. AF_04/2024</v>
          </cell>
          <cell r="D5197" t="str">
            <v>UN</v>
          </cell>
          <cell r="E5197">
            <v>21.15</v>
          </cell>
          <cell r="F5197">
            <v>0</v>
          </cell>
        </row>
        <row r="5198">
          <cell r="B5198">
            <v>96751</v>
          </cell>
          <cell r="C5198" t="str">
            <v>JOELHO 90 GRAUS, PPR, DN 50 MM, INSTALADO EM RESERVAÇÃO PREDIAL DE ÁGUA - FORNECIMENTO E INSTALAÇÃO. AF_04/2024</v>
          </cell>
          <cell r="D5198" t="str">
            <v>UN</v>
          </cell>
          <cell r="E5198">
            <v>30.51</v>
          </cell>
          <cell r="F5198">
            <v>0</v>
          </cell>
        </row>
        <row r="5199">
          <cell r="B5199">
            <v>96752</v>
          </cell>
          <cell r="C5199" t="str">
            <v>JOELHO 90 GRAUS, PPR, DN 63 MM, INSTALADO EM RESERVAÇÃO PREDIAL DE ÁGUA - FORNECIMENTO E INSTALAÇÃO. AF_04/2024</v>
          </cell>
          <cell r="D5199" t="str">
            <v>UN</v>
          </cell>
          <cell r="E5199">
            <v>45.39</v>
          </cell>
          <cell r="F5199">
            <v>0</v>
          </cell>
        </row>
        <row r="5200">
          <cell r="B5200">
            <v>96753</v>
          </cell>
          <cell r="C5200" t="str">
            <v>JOELHO 90 GRAUS, PPR, DN 75 MM, INSTALADO EM RESERVAÇÃO PREDIAL DE ÁGUA - FORNECIMENTO E INSTALAÇÃO. AF_04/2024</v>
          </cell>
          <cell r="D5200" t="str">
            <v>UN</v>
          </cell>
          <cell r="E5200">
            <v>100.83</v>
          </cell>
          <cell r="F5200">
            <v>0</v>
          </cell>
        </row>
        <row r="5201">
          <cell r="B5201">
            <v>96754</v>
          </cell>
          <cell r="C5201" t="str">
            <v>JOELHO 90 GRAUS, PPR, DN 90 MM, INSTALADO EM RESERVAÇÃO PREDIAL DE ÁGUA - FORNECIMENTO E INSTALAÇÃO. AF_04/2024</v>
          </cell>
          <cell r="D5201" t="str">
            <v>UN</v>
          </cell>
          <cell r="E5201">
            <v>129.58000000000001</v>
          </cell>
          <cell r="F5201">
            <v>0</v>
          </cell>
        </row>
        <row r="5202">
          <cell r="B5202">
            <v>94686</v>
          </cell>
          <cell r="C5202" t="str">
            <v>JOELHO 90 GRAUS, PVC, SOLDÁVEL, DN 110 MM INSTALADO EM RESERVAÇÃO PREDIAL DE ÁGUA - FORNECIMENTO E INSTALAÇÃO. AF_04/2024</v>
          </cell>
          <cell r="D5202" t="str">
            <v>UN</v>
          </cell>
          <cell r="E5202">
            <v>293.43</v>
          </cell>
          <cell r="F5202">
            <v>0</v>
          </cell>
        </row>
        <row r="5203">
          <cell r="B5203">
            <v>94674</v>
          </cell>
          <cell r="C5203" t="str">
            <v>JOELHO 90 GRAUS, PVC, SOLDÁVEL, DN 32 MM INSTALADO EM RESERVAÇÃO PREDIAL DE ÁGUA - FORNECIMENTO E INSTALAÇÃO. AF_04/2024</v>
          </cell>
          <cell r="D5203" t="str">
            <v>UN</v>
          </cell>
          <cell r="E5203">
            <v>9.6999999999999993</v>
          </cell>
          <cell r="F5203">
            <v>0</v>
          </cell>
        </row>
        <row r="5204">
          <cell r="B5204">
            <v>94676</v>
          </cell>
          <cell r="C5204" t="str">
            <v>JOELHO 90 GRAUS, PVC, SOLDÁVEL, DN 40 MM INSTALADO EM RESERVAÇÃO PREDIAL DE ÁGUA - FORNECIMENTO E INSTALAÇÃO. AF_04/2024</v>
          </cell>
          <cell r="D5204" t="str">
            <v>UN</v>
          </cell>
          <cell r="E5204">
            <v>16.03</v>
          </cell>
          <cell r="F5204">
            <v>0</v>
          </cell>
        </row>
        <row r="5205">
          <cell r="B5205">
            <v>94678</v>
          </cell>
          <cell r="C5205" t="str">
            <v>JOELHO 90 GRAUS, PVC, SOLDÁVEL, DN 50 MM INSTALADO EM RESERVAÇÃO PREDIAL DE ÁGUA - FORNECIMENTO E INSTALAÇÃO. AF_04/2024</v>
          </cell>
          <cell r="D5205" t="str">
            <v>UN</v>
          </cell>
          <cell r="E5205">
            <v>18.72</v>
          </cell>
          <cell r="F5205">
            <v>0</v>
          </cell>
        </row>
        <row r="5206">
          <cell r="B5206">
            <v>94680</v>
          </cell>
          <cell r="C5206" t="str">
            <v>JOELHO 90 GRAUS, PVC, SOLDÁVEL, DN 60 MM INSTALADO EM RESERVAÇÃO PREDIAL DE ÁGUA - FORNECIMENTO E INSTALAÇÃO. AF_04/2024</v>
          </cell>
          <cell r="D5206" t="str">
            <v>UN</v>
          </cell>
          <cell r="E5206">
            <v>51.33</v>
          </cell>
          <cell r="F5206">
            <v>0</v>
          </cell>
        </row>
        <row r="5207">
          <cell r="B5207">
            <v>94682</v>
          </cell>
          <cell r="C5207" t="str">
            <v>JOELHO 90 GRAUS, PVC, SOLDÁVEL, DN 75 MM INSTALADO EM RESERVAÇÃO PREDIAL DE ÁGUA - FORNECIMENTO E INSTALAÇÃO. AF_04/2024</v>
          </cell>
          <cell r="D5207" t="str">
            <v>UN</v>
          </cell>
          <cell r="E5207">
            <v>126.03</v>
          </cell>
          <cell r="F5207">
            <v>0</v>
          </cell>
        </row>
        <row r="5208">
          <cell r="B5208">
            <v>94684</v>
          </cell>
          <cell r="C5208" t="str">
            <v>JOELHO 90 GRAUS, PVC, SOLDÁVEL, DN 85 MM INSTALADO EM RESERVAÇÃO PREDIAL DE ÁGUA - FORNECIMENTO E INSTALAÇÃO. AF_04/2024</v>
          </cell>
          <cell r="D5208" t="str">
            <v>UN</v>
          </cell>
          <cell r="E5208">
            <v>152.15</v>
          </cell>
          <cell r="F5208">
            <v>0</v>
          </cell>
        </row>
        <row r="5209">
          <cell r="B5209">
            <v>105219</v>
          </cell>
          <cell r="C5209" t="str">
            <v>JOELHO CPVC, SOLDÁVEL, 45 GRAUS, DN 22 MM, INSTALADO EM RESERVAÇÃO PREDIAL DE ÁGUA - FORNECIMENTO E INSTALAÇÃO. AF_04/2024</v>
          </cell>
          <cell r="D5209" t="str">
            <v>UN</v>
          </cell>
          <cell r="E5209">
            <v>12.19</v>
          </cell>
          <cell r="F5209">
            <v>0</v>
          </cell>
        </row>
        <row r="5210">
          <cell r="B5210">
            <v>105220</v>
          </cell>
          <cell r="C5210" t="str">
            <v>JOELHO CPVC, SOLDÁVEL, 45 GRAUS, DN 28 MM, INSTALADO EM RESERVAÇÃO PREDIAL DE ÁGUA - FORNECIMENTO E INSTALAÇÃO. AF_04/2024</v>
          </cell>
          <cell r="D5210" t="str">
            <v>UN</v>
          </cell>
          <cell r="E5210">
            <v>16.600000000000001</v>
          </cell>
          <cell r="F5210">
            <v>0</v>
          </cell>
        </row>
        <row r="5211">
          <cell r="B5211">
            <v>105221</v>
          </cell>
          <cell r="C5211" t="str">
            <v>JOELHO CPVC, SOLDÁVEL, 45 GRAUS, DN 35 MM, INSTALADO EM RESERVAÇÃO PREDIAL DE ÁGUA - FORNECIMENTO E INSTALAÇÃO. AF_04/2024</v>
          </cell>
          <cell r="D5211" t="str">
            <v>UN</v>
          </cell>
          <cell r="E5211">
            <v>25.33</v>
          </cell>
          <cell r="F5211">
            <v>0</v>
          </cell>
        </row>
        <row r="5212">
          <cell r="B5212">
            <v>105166</v>
          </cell>
          <cell r="C5212" t="str">
            <v>JOELHO CPVC, SOLDÁVEL, 45 GRAUS, DN 42 MM, INSTALADO EM RESERVAÇÃO PREDIAL DE ÁGUA - FORNECIMENTO E INSTALAÇÃO. AF_04/2024</v>
          </cell>
          <cell r="D5212" t="str">
            <v>UN</v>
          </cell>
          <cell r="E5212">
            <v>38.11</v>
          </cell>
          <cell r="F5212">
            <v>0</v>
          </cell>
        </row>
        <row r="5213">
          <cell r="B5213">
            <v>105222</v>
          </cell>
          <cell r="C5213" t="str">
            <v>JOELHO CPVC, SOLDÁVEL, 45 GRAUS, DN 54 MM, INSTALADO EM RESERVAÇÃO PREDIAL DE ÁGUA - FORNECIMENTO E INSTALAÇÃO. AF_04/2024</v>
          </cell>
          <cell r="D5213" t="str">
            <v>UN</v>
          </cell>
          <cell r="E5213">
            <v>71.42</v>
          </cell>
          <cell r="F5213">
            <v>0</v>
          </cell>
        </row>
        <row r="5214">
          <cell r="B5214">
            <v>105223</v>
          </cell>
          <cell r="C5214" t="str">
            <v>JOELHO CPVC, SOLDÁVEL, 45 GRAUS, DN 73 MM, INSTALADO EM RESERVAÇÃO PREDIAL DE ÁGUA - FORNECIMENTO E INSTALAÇÃO. AF_04/2024</v>
          </cell>
          <cell r="D5214" t="str">
            <v>UN</v>
          </cell>
          <cell r="E5214">
            <v>162.21</v>
          </cell>
          <cell r="F5214">
            <v>0</v>
          </cell>
        </row>
        <row r="5215">
          <cell r="B5215">
            <v>105224</v>
          </cell>
          <cell r="C5215" t="str">
            <v>JOELHO CPVC, SOLDÁVEL, 45 GRAUS, DN 89 MM, INSTALADO EM RESERVAÇÃO PREDIAL DE ÁGUA - FORNECIMENTO E INSTALAÇÃO. AF_04/2024</v>
          </cell>
          <cell r="D5215" t="str">
            <v>UN</v>
          </cell>
          <cell r="E5215">
            <v>236.02</v>
          </cell>
          <cell r="F5215">
            <v>0</v>
          </cell>
        </row>
        <row r="5216">
          <cell r="B5216">
            <v>105149</v>
          </cell>
          <cell r="C5216" t="str">
            <v>JOELHO PPR 45 GRAUS, SOLDÁVEL, DN 20 MM, INSTALADO EM RESERVAÇÃO PREDIAL DE ÁGUA - FORNECIMENTO E INSTALAÇÃO. AF_04/2024</v>
          </cell>
          <cell r="D5216" t="str">
            <v>UN</v>
          </cell>
          <cell r="E5216">
            <v>9.85</v>
          </cell>
          <cell r="F5216">
            <v>0</v>
          </cell>
        </row>
        <row r="5217">
          <cell r="B5217">
            <v>105150</v>
          </cell>
          <cell r="C5217" t="str">
            <v>JOELHO PPR 45 GRAUS, SOLDÁVEL, DN 25 MM, INSTALADO EM RESERVAÇÃO PREDIAL DE ÁGUA - FORNECIMENTO E INSTALAÇÃO. AF_04/2024</v>
          </cell>
          <cell r="D5217" t="str">
            <v>UN</v>
          </cell>
          <cell r="E5217">
            <v>11.49</v>
          </cell>
          <cell r="F5217">
            <v>0</v>
          </cell>
        </row>
        <row r="5218">
          <cell r="B5218">
            <v>105151</v>
          </cell>
          <cell r="C5218" t="str">
            <v>JOELHO PPR 45 GRAUS, SOLDÁVEL, DN 40 MM, INSTALADO EM RESERVAÇÃO PREDIAL DE ÁGUA - FORNECIMENTO E INSTALAÇÃO. AF_04/2024</v>
          </cell>
          <cell r="D5218" t="str">
            <v>UN</v>
          </cell>
          <cell r="E5218">
            <v>27.2</v>
          </cell>
          <cell r="F5218">
            <v>0</v>
          </cell>
        </row>
        <row r="5219">
          <cell r="B5219">
            <v>105152</v>
          </cell>
          <cell r="C5219" t="str">
            <v>JOELHO PPR 45 GRAUS, SOLDÁVEL, DN 50 MM, INSTALADO EM RESERVAÇÃO PREDIAL DE ÁGUA - FORNECIMENTO E INSTALAÇÃO. AF_04/2024</v>
          </cell>
          <cell r="D5219" t="str">
            <v>UN</v>
          </cell>
          <cell r="E5219">
            <v>40.090000000000003</v>
          </cell>
          <cell r="F5219">
            <v>0</v>
          </cell>
        </row>
        <row r="5220">
          <cell r="B5220">
            <v>105153</v>
          </cell>
          <cell r="C5220" t="str">
            <v>JOELHO PPR 45 GRAUS, SOLDÁVEL, DN 63 MM, INSTALADO EM RESERVAÇÃO PREDIAL DE ÁGUA - FORNECIMENTO E INSTALAÇÃO. AF_04/2024</v>
          </cell>
          <cell r="D5220" t="str">
            <v>UN</v>
          </cell>
          <cell r="E5220">
            <v>62.48</v>
          </cell>
          <cell r="F5220">
            <v>0</v>
          </cell>
        </row>
        <row r="5221">
          <cell r="B5221">
            <v>105161</v>
          </cell>
          <cell r="C5221" t="str">
            <v>JOELHO PPR 45 GRAUS, SOLDÁVEL, DN 75 MM, INSTALADO EM RESERVAÇÃO PREDIAL DE ÁGUA - FORNECIMENTO E INSTALAÇÃO. AF_04/2024</v>
          </cell>
          <cell r="D5221" t="str">
            <v>UN</v>
          </cell>
          <cell r="E5221">
            <v>111.26</v>
          </cell>
          <cell r="F5221">
            <v>0</v>
          </cell>
        </row>
        <row r="5222">
          <cell r="B5222">
            <v>105162</v>
          </cell>
          <cell r="C5222" t="str">
            <v>JOELHO PPR 45 GRAUS, SOLDÁVEL, DN 90 MM, INSTALADO EM RESERVAÇÃO PREDIAL DE ÁGUA - FORNECIMENTO E INSTALAÇÃO. AF_04/2024</v>
          </cell>
          <cell r="D5222" t="str">
            <v>UN</v>
          </cell>
          <cell r="E5222">
            <v>188.67</v>
          </cell>
          <cell r="F5222">
            <v>0</v>
          </cell>
        </row>
        <row r="5223">
          <cell r="B5223">
            <v>105163</v>
          </cell>
          <cell r="C5223" t="str">
            <v>JOELHO PPR, 45 GRAUS, SOLDÁVEL, DN 32 MM, INSTALADO EM RESERVAÇÃO PREDIAL DE ÁGUA - FORNECIMENTO E INSTALAÇÃO. AF_04/2024</v>
          </cell>
          <cell r="D5223" t="str">
            <v>UN</v>
          </cell>
          <cell r="E5223">
            <v>17.559999999999999</v>
          </cell>
          <cell r="F5223">
            <v>0</v>
          </cell>
        </row>
        <row r="5224">
          <cell r="B5224">
            <v>105170</v>
          </cell>
          <cell r="C5224" t="str">
            <v>JOELHO PVC, SOLDÁVEL, 45 GRAUS, DN 25 MM, INSTALADO EM RESERVAÇÃO PREDIAL DE ÁGUA - FORNECIMENTO E INSTALAÇÃO. AF_04/2024</v>
          </cell>
          <cell r="D5224" t="str">
            <v>UN</v>
          </cell>
          <cell r="E5224">
            <v>6.99</v>
          </cell>
          <cell r="F5224">
            <v>0</v>
          </cell>
        </row>
        <row r="5225">
          <cell r="B5225">
            <v>105179</v>
          </cell>
          <cell r="C5225" t="str">
            <v>JOELHO PVC, SOLDÁVEL, 45 GRAUS, DN 32 MM, INSTALADO EM RESERVAÇÃO PREDIAL DE ÁGUA - FORNECIMENTO E INSTALAÇÃO. AF_04/2024</v>
          </cell>
          <cell r="D5225" t="str">
            <v>UN</v>
          </cell>
          <cell r="E5225">
            <v>11.73</v>
          </cell>
          <cell r="F5225">
            <v>0</v>
          </cell>
        </row>
        <row r="5226">
          <cell r="B5226">
            <v>105180</v>
          </cell>
          <cell r="C5226" t="str">
            <v>JOELHO PVC, SOLDÁVEL, 45 GRAUS, DN 40 MM, INSTALADO EM RESERVAÇÃO PREDIAL DE ÁGUA - FORNECIMENTO E INSTALAÇÃO. AF_04/2024</v>
          </cell>
          <cell r="D5226" t="str">
            <v>UN</v>
          </cell>
          <cell r="E5226">
            <v>16.100000000000001</v>
          </cell>
          <cell r="F5226">
            <v>0</v>
          </cell>
        </row>
        <row r="5227">
          <cell r="B5227">
            <v>105181</v>
          </cell>
          <cell r="C5227" t="str">
            <v>JOELHO PVC, SOLDÁVEL, 45 GRAUS, DN 50 MM, INSTALADO EM RESERVAÇÃO PREDIAL DE ÁGUA - FORNECIMENTO E INSTALAÇÃO. AF_04/2024</v>
          </cell>
          <cell r="D5227" t="str">
            <v>UN</v>
          </cell>
          <cell r="E5227">
            <v>21.65</v>
          </cell>
          <cell r="F5227">
            <v>0</v>
          </cell>
        </row>
        <row r="5228">
          <cell r="B5228">
            <v>105182</v>
          </cell>
          <cell r="C5228" t="str">
            <v>JOELHO PVC, SOLDÁVEL, 45 GRAUS, DN 60 MM, INSTALADO EM RESERVAÇÃO PREDIAL DE ÁGUA - FORNECIMENTO E INSTALAÇÃO. AF_04/2024</v>
          </cell>
          <cell r="D5228" t="str">
            <v>UN</v>
          </cell>
          <cell r="E5228">
            <v>49.28</v>
          </cell>
          <cell r="F5228">
            <v>0</v>
          </cell>
        </row>
        <row r="5229">
          <cell r="B5229">
            <v>105183</v>
          </cell>
          <cell r="C5229" t="str">
            <v>JOELHO PVC, SOLDÁVEL, 45 GRAUS, DN 75 MM, INSTALADO EM RESERVAÇÃO PREDIAL DE ÁGUA - FORNECIMENTO E INSTALAÇÃO. AF_04/2024</v>
          </cell>
          <cell r="D5229" t="str">
            <v>UN</v>
          </cell>
          <cell r="E5229">
            <v>102.3</v>
          </cell>
          <cell r="F5229">
            <v>0</v>
          </cell>
        </row>
        <row r="5230">
          <cell r="B5230">
            <v>105184</v>
          </cell>
          <cell r="C5230" t="str">
            <v>JOELHO PVC, SOLDÁVEL, 45 GRAUS, DN 85 MM, INSTALADO EM RESERVAÇÃO PREDIAL DE ÁGUA - FORNECIMENTO E INSTALAÇÃO. AF_04/2024</v>
          </cell>
          <cell r="D5230" t="str">
            <v>UN</v>
          </cell>
          <cell r="E5230">
            <v>126.74</v>
          </cell>
          <cell r="F5230">
            <v>0</v>
          </cell>
        </row>
        <row r="5231">
          <cell r="B5231">
            <v>94612</v>
          </cell>
          <cell r="C5231" t="str">
            <v>LUVA DE COBRE, DN 104 MM, SEM ANEL DE SOLDA, INSTALADO EM RESERVAÇÃO PREDIAL DE ÁGUA - FORNECIMENTO E INSTALAÇÃO. AF_04/2024</v>
          </cell>
          <cell r="D5231" t="str">
            <v>UN</v>
          </cell>
          <cell r="E5231">
            <v>443.49</v>
          </cell>
          <cell r="F5231">
            <v>0</v>
          </cell>
        </row>
        <row r="5232">
          <cell r="B5232">
            <v>105142</v>
          </cell>
          <cell r="C5232" t="str">
            <v>LUVA DE REDUÇÃO SOLDÁVEL, PVC, DN 32 MM X 25 MM, INSTALADO EM RESERVAÇÃO PREDIAL DE ÁGUA - FORNECIMENTO E INSTALAÇÃO. AF_04/2024</v>
          </cell>
          <cell r="D5232" t="str">
            <v>UN</v>
          </cell>
          <cell r="E5232">
            <v>8.07</v>
          </cell>
          <cell r="F5232">
            <v>0</v>
          </cell>
        </row>
        <row r="5233">
          <cell r="B5233">
            <v>105143</v>
          </cell>
          <cell r="C5233" t="str">
            <v>LUVA DE REDUÇÃO SOLDÁVEL, PVC, DN 40 MM X 32 MM, INSTALADO EM RESERVAÇÃO PREDIAL DE ÁGUA - FORNECIMENTO E INSTALAÇÃO. AF_04/2024</v>
          </cell>
          <cell r="D5233" t="str">
            <v>UN</v>
          </cell>
          <cell r="E5233">
            <v>12.06</v>
          </cell>
          <cell r="F5233">
            <v>0</v>
          </cell>
        </row>
        <row r="5234">
          <cell r="B5234">
            <v>105144</v>
          </cell>
          <cell r="C5234" t="str">
            <v>LUVA DE REDUÇÃO SOLDÁVEL, PVC, DN 60 MM X 50 MM, INSTALADO EM RESERVAÇÃO PREDIAL DE ÁGUA - FORNECIMENTO E INSTALAÇÃO. AF_04/2024</v>
          </cell>
          <cell r="D5234" t="str">
            <v>UN</v>
          </cell>
          <cell r="E5234">
            <v>25.42</v>
          </cell>
          <cell r="F5234">
            <v>0</v>
          </cell>
        </row>
        <row r="5235">
          <cell r="B5235">
            <v>105173</v>
          </cell>
          <cell r="C5235" t="str">
            <v>LUVA DE REDUÇÃO, EM FERRO GALVANIZADO, CONEXÃO ROSQUEADA, DN 65 MM X 50 MM (2 1/2" X 2"), INSTALADO EM RESERVAÇÃO PREDIAL DE ÁGUA - FORNECIMENTO E INSTALAÇÃO. AF_04/2024</v>
          </cell>
          <cell r="D5235" t="str">
            <v>UN</v>
          </cell>
          <cell r="E5235">
            <v>96.92</v>
          </cell>
          <cell r="F5235">
            <v>0</v>
          </cell>
        </row>
        <row r="5236">
          <cell r="B5236">
            <v>105175</v>
          </cell>
          <cell r="C5236" t="str">
            <v>LUVA DE REDUÇÃO, EM FERRO GALVANIZADO, CONEXÃO ROSQUEADA, DN 80 MM X 50 MM (3" X 2"), INSTALADO EM RESERVAÇÃO PREDIAL DE ÁGUA - FORNECIMENTO E INSTALAÇÃO. AF_04/2024</v>
          </cell>
          <cell r="D5236" t="str">
            <v>UN</v>
          </cell>
          <cell r="E5236">
            <v>136.75</v>
          </cell>
          <cell r="F5236">
            <v>0</v>
          </cell>
        </row>
        <row r="5237">
          <cell r="B5237">
            <v>105174</v>
          </cell>
          <cell r="C5237" t="str">
            <v>LUVA DE REDUÇÃO, EM FERRO GALVANIZADO, CONEXÃO ROSQUEADA, DN 80 MM X 65 MM (3" X 2 1/2"), INSTALADO EM RESERVAÇÃO PREDIAL DE ÁGUA - FORNECIMENTO E INSTALAÇÃO. AF_04/2024</v>
          </cell>
          <cell r="D5237" t="str">
            <v>UN</v>
          </cell>
          <cell r="E5237">
            <v>138.76</v>
          </cell>
          <cell r="F5237">
            <v>0</v>
          </cell>
        </row>
        <row r="5238">
          <cell r="B5238">
            <v>105145</v>
          </cell>
          <cell r="C5238" t="str">
            <v>LUVA DE REDUÇÃO, SOLDÁVEL, PVC, DN 50 X 25 MM, INSTALADO EM RESERVAÇÃO PREDIAL DE ÁGUA - FORNECIMENTO E INSTALAÇÃO. AF_04/2024</v>
          </cell>
          <cell r="D5238" t="str">
            <v>UN</v>
          </cell>
          <cell r="E5238">
            <v>13.94</v>
          </cell>
          <cell r="F5238">
            <v>0</v>
          </cell>
        </row>
        <row r="5239">
          <cell r="B5239">
            <v>94606</v>
          </cell>
          <cell r="C5239" t="str">
            <v>LUVA EM COBRE, DN 54 MM, SEM ANEL DE SOLDA, INSTALADO EM RESERVAÇÃO PREDIAL DE ÁGUA - FORNECIMENTO E INSTALAÇÃO. AF_04/2024</v>
          </cell>
          <cell r="D5239" t="str">
            <v>UN</v>
          </cell>
          <cell r="E5239">
            <v>91.73</v>
          </cell>
          <cell r="F5239">
            <v>0</v>
          </cell>
        </row>
        <row r="5240">
          <cell r="B5240">
            <v>94608</v>
          </cell>
          <cell r="C5240" t="str">
            <v>LUVA EM COBRE, DN 66 MM, SEM ANEL DE SOLDA, INSTALADO EM RESERVAÇÃO PREDIAL DE ÁGUA - FORNECIMENTO E INSTALAÇÃO. AF_04/2024</v>
          </cell>
          <cell r="D5240" t="str">
            <v>UN</v>
          </cell>
          <cell r="E5240">
            <v>217.39</v>
          </cell>
          <cell r="F5240">
            <v>0</v>
          </cell>
        </row>
        <row r="5241">
          <cell r="B5241">
            <v>94610</v>
          </cell>
          <cell r="C5241" t="str">
            <v>LUVA EM COBRE, DN 79 MM, SEM ANEL DE SOLDA, INSTALADO EM RESERVAÇÃO PREDIAL DE ÁGUA - FORNECIMENTO E INSTALAÇÃO. AF_04/2024</v>
          </cell>
          <cell r="D5241" t="str">
            <v>UN</v>
          </cell>
          <cell r="E5241">
            <v>314.25</v>
          </cell>
          <cell r="F5241">
            <v>0</v>
          </cell>
        </row>
        <row r="5242">
          <cell r="B5242">
            <v>94657</v>
          </cell>
          <cell r="C5242" t="str">
            <v>LUVA PVC, SOLDÁVEL, DN 25 MM, INSTALADO EM RESERVAÇÃO PREDIAL DE ÁGUA - FORNECIMENTO E INSTALAÇÃO. AF_04/2024</v>
          </cell>
          <cell r="D5242" t="str">
            <v>UN</v>
          </cell>
          <cell r="E5242">
            <v>4.7699999999999996</v>
          </cell>
          <cell r="F5242">
            <v>0</v>
          </cell>
        </row>
        <row r="5243">
          <cell r="B5243">
            <v>94659</v>
          </cell>
          <cell r="C5243" t="str">
            <v>LUVA PVC, SOLDÁVEL, DN 32 MM, INSTALADO EM RESERVAÇÃO PREDIAL DE ÁGUA - FORNECIMENTO E INSTALAÇÃO. AF_04/2024</v>
          </cell>
          <cell r="D5243" t="str">
            <v>UN</v>
          </cell>
          <cell r="E5243">
            <v>7.36</v>
          </cell>
          <cell r="F5243">
            <v>0</v>
          </cell>
        </row>
        <row r="5244">
          <cell r="B5244">
            <v>94739</v>
          </cell>
          <cell r="C5244" t="str">
            <v>LUVA, CPVC, SOLDÁVEL, DN 114 MM, INSTALADO EM RESERVAÇÃO PREDIAL DE ÁGUA - FORNECIMENTO E INSTALAÇÃO. AF_04/2024</v>
          </cell>
          <cell r="D5244" t="str">
            <v>UN</v>
          </cell>
          <cell r="E5244">
            <v>235.31</v>
          </cell>
          <cell r="F5244">
            <v>0</v>
          </cell>
        </row>
        <row r="5245">
          <cell r="B5245">
            <v>94725</v>
          </cell>
          <cell r="C5245" t="str">
            <v>LUVA, CPVC, SOLDÁVEL, DN 22 MM, INSTALADO EM RESERVAÇÃO PREDIAL DE ÁGUA - FORNECIMENTO E INSTALAÇÃO. AF_04/2024</v>
          </cell>
          <cell r="D5245" t="str">
            <v>UN</v>
          </cell>
          <cell r="E5245">
            <v>7.4</v>
          </cell>
          <cell r="F5245">
            <v>0</v>
          </cell>
        </row>
        <row r="5246">
          <cell r="B5246">
            <v>94727</v>
          </cell>
          <cell r="C5246" t="str">
            <v>LUVA, CPVC, SOLDÁVEL, DN 28 MM, INSTALADO EM RESERVAÇÃO PREDIAL DE ÁGUA - FORNECIMENTO E INSTALAÇÃO. AF_04/2024</v>
          </cell>
          <cell r="D5246" t="str">
            <v>UN</v>
          </cell>
          <cell r="E5246">
            <v>11.82</v>
          </cell>
          <cell r="F5246">
            <v>0</v>
          </cell>
        </row>
        <row r="5247">
          <cell r="B5247">
            <v>94729</v>
          </cell>
          <cell r="C5247" t="str">
            <v>LUVA, CPVC, SOLDÁVEL, DN 35 MM, INSTALADO EM RESERVAÇÃO PREDIAL DE ÁGUA - FORNECIMENTO E INSTALAÇÃO. AF_04/2024</v>
          </cell>
          <cell r="D5247" t="str">
            <v>UN</v>
          </cell>
          <cell r="E5247">
            <v>20.16</v>
          </cell>
          <cell r="F5247">
            <v>0</v>
          </cell>
        </row>
        <row r="5248">
          <cell r="B5248">
            <v>94731</v>
          </cell>
          <cell r="C5248" t="str">
            <v>LUVA, CPVC, SOLDÁVEL, DN 42 MM, INSTALADO EM RESERVAÇÃO PREDIAL DE ÁGUA - FORNECIMENTO E INSTALAÇÃO. AF_04/2024</v>
          </cell>
          <cell r="D5248" t="str">
            <v>UN</v>
          </cell>
          <cell r="E5248">
            <v>26.72</v>
          </cell>
          <cell r="F5248">
            <v>0</v>
          </cell>
        </row>
        <row r="5249">
          <cell r="B5249">
            <v>94733</v>
          </cell>
          <cell r="C5249" t="str">
            <v>LUVA, CPVC, SOLDÁVEL, DN 54 MM, INSTALADO EM RESERVAÇÃO PREDIAL DE ÁGUA - FORNECIMENTO E INSTALAÇÃO. AF_04/2024</v>
          </cell>
          <cell r="D5249" t="str">
            <v>UN</v>
          </cell>
          <cell r="E5249">
            <v>46.63</v>
          </cell>
          <cell r="F5249">
            <v>0</v>
          </cell>
        </row>
        <row r="5250">
          <cell r="B5250">
            <v>94863</v>
          </cell>
          <cell r="C5250" t="str">
            <v>LUVA, CPVC, SOLDÁVEL, DN 73 MM, INSTALADO EM RESERVAÇÃO PREDIAL DE ÁGUA - FORNECIMENTO E INSTALAÇÃO. AF_04/2024</v>
          </cell>
          <cell r="D5250" t="str">
            <v>UN</v>
          </cell>
          <cell r="E5250">
            <v>158.94999999999999</v>
          </cell>
          <cell r="F5250">
            <v>0</v>
          </cell>
        </row>
        <row r="5251">
          <cell r="B5251">
            <v>94737</v>
          </cell>
          <cell r="C5251" t="str">
            <v>LUVA, CPVC, SOLDÁVEL, DN 89 MM, INSTALADO EM RESERVAÇÃO PREDIAL DE ÁGUA - FORNECIMENTO E INSTALAÇÃO. AF_04/2024</v>
          </cell>
          <cell r="D5251" t="str">
            <v>UN</v>
          </cell>
          <cell r="E5251">
            <v>190.12</v>
          </cell>
          <cell r="F5251">
            <v>0</v>
          </cell>
        </row>
        <row r="5252">
          <cell r="B5252">
            <v>94465</v>
          </cell>
          <cell r="C5252" t="str">
            <v>LUVA, EM FERRO GALVANIZADO, CONEXÃO ROSQUEADA, DN 50 MM (2"), INSTALADO EM RESERVAÇÃO PREDIAL DE ÁGUA - FORNECIMENTO E INSTALAÇÃO. AF_04/2024</v>
          </cell>
          <cell r="D5252" t="str">
            <v>UN</v>
          </cell>
          <cell r="E5252">
            <v>60.19</v>
          </cell>
          <cell r="F5252">
            <v>0</v>
          </cell>
        </row>
        <row r="5253">
          <cell r="B5253">
            <v>94467</v>
          </cell>
          <cell r="C5253" t="str">
            <v>LUVA, EM FERRO GALVANIZADO, CONEXÃO ROSQUEADA, DN 65 MM (2 1/2"), INSTALADO EM RESERVAÇÃO PREDIAL DE ÁGUA - FORNECIMENTO E INSTALAÇÃO. AF_04/2024</v>
          </cell>
          <cell r="D5253" t="str">
            <v>UN</v>
          </cell>
          <cell r="E5253">
            <v>94.4</v>
          </cell>
          <cell r="F5253">
            <v>0</v>
          </cell>
        </row>
        <row r="5254">
          <cell r="B5254">
            <v>94469</v>
          </cell>
          <cell r="C5254" t="str">
            <v>LUVA, EM FERRO GALVANIZADO, CONEXÃO ROSQUEADA, DN 80 MM (3"), INSTALADO EM RESERVAÇÃO PREDIAL DE ÁGUA - FORNECIMENTO E INSTALAÇÃO. AF_04/2024</v>
          </cell>
          <cell r="D5254" t="str">
            <v>UN</v>
          </cell>
          <cell r="E5254">
            <v>133.34</v>
          </cell>
          <cell r="F5254">
            <v>0</v>
          </cell>
        </row>
        <row r="5255">
          <cell r="B5255">
            <v>96746</v>
          </cell>
          <cell r="C5255" t="str">
            <v>LUVA, PPR, DN 110 MM, CLASSE PN 25, INSTALADO EM RESERVAÇÃO PREDIAL DE ÁGUA - FORNECIMENTO E INSTALAÇÃO. AF_04/2024</v>
          </cell>
          <cell r="D5255" t="str">
            <v>UN</v>
          </cell>
          <cell r="E5255">
            <v>130.02000000000001</v>
          </cell>
          <cell r="F5255">
            <v>0</v>
          </cell>
        </row>
        <row r="5256">
          <cell r="B5256">
            <v>96736</v>
          </cell>
          <cell r="C5256" t="str">
            <v>LUVA, PPR, DN 20 MM, INSTALADO EM RESERVAÇÃO PREDIAL DE ÁGUA - FORNECIMENTO E INSTALAÇÃO. AF_04/2024</v>
          </cell>
          <cell r="D5256" t="str">
            <v>UN</v>
          </cell>
          <cell r="E5256">
            <v>7.64</v>
          </cell>
          <cell r="F5256">
            <v>0</v>
          </cell>
        </row>
        <row r="5257">
          <cell r="B5257">
            <v>96737</v>
          </cell>
          <cell r="C5257" t="str">
            <v>LUVA, PPR, DN 25 MM, INSTALADO EM RESERVAÇÃO PREDIAL DE ÁGUA - FORNECIMENTO E INSTALAÇÃO. AF_04/2024</v>
          </cell>
          <cell r="D5257" t="str">
            <v>UN</v>
          </cell>
          <cell r="E5257">
            <v>7.9</v>
          </cell>
          <cell r="F5257">
            <v>0</v>
          </cell>
        </row>
        <row r="5258">
          <cell r="B5258">
            <v>96739</v>
          </cell>
          <cell r="C5258" t="str">
            <v>LUVA, PPR, DN 32 MM, CLASSE PN 25, INSTALADO EM RESERVAÇÃO PREDIAL DE ÁGUA - FORNECIMENTO E INSTALAÇÃO. AF_04/2024</v>
          </cell>
          <cell r="D5258" t="str">
            <v>UN</v>
          </cell>
          <cell r="E5258">
            <v>10.69</v>
          </cell>
          <cell r="F5258">
            <v>0</v>
          </cell>
        </row>
        <row r="5259">
          <cell r="B5259">
            <v>96741</v>
          </cell>
          <cell r="C5259" t="str">
            <v>LUVA, PPR, DN 40 MM, CLASSE PN 25, INSTALADO EM RESERVAÇÃO PREDIAL DE ÁGUA - FORNECIMENTO E INSTALAÇÃO. AF_04/2024</v>
          </cell>
          <cell r="D5259" t="str">
            <v>UN</v>
          </cell>
          <cell r="E5259">
            <v>20.010000000000002</v>
          </cell>
          <cell r="F5259">
            <v>0</v>
          </cell>
        </row>
        <row r="5260">
          <cell r="B5260">
            <v>96742</v>
          </cell>
          <cell r="C5260" t="str">
            <v>LUVA, PPR, DN 50 MM, CLASSE PN 25, INSTALADO EM RESERVAÇÃO PREDIAL DE ÁGUA - FORNECIMENTO E INSTALAÇÃO. AF_04/2024</v>
          </cell>
          <cell r="D5260" t="str">
            <v>UN</v>
          </cell>
          <cell r="E5260">
            <v>24.62</v>
          </cell>
          <cell r="F5260">
            <v>0</v>
          </cell>
        </row>
        <row r="5261">
          <cell r="B5261">
            <v>96743</v>
          </cell>
          <cell r="C5261" t="str">
            <v>LUVA, PPR, DN 63 MM, CLASSE PN 25, INSTALADO EM RESERVAÇÃO PREDIAL DE ÁGUA - FORNECIMENTO E INSTALAÇÃO. AF_04/2024</v>
          </cell>
          <cell r="D5261" t="str">
            <v>UN</v>
          </cell>
          <cell r="E5261">
            <v>38.049999999999997</v>
          </cell>
          <cell r="F5261">
            <v>0</v>
          </cell>
        </row>
        <row r="5262">
          <cell r="B5262">
            <v>96744</v>
          </cell>
          <cell r="C5262" t="str">
            <v>LUVA, PPR, DN 75 MM, CLASSE PN 25, INSTALADO EM RESERVAÇÃO PREDIAL DE ÁGUA - FORNECIMENTO E INSTALAÇÃO. AF_04/2024</v>
          </cell>
          <cell r="D5262" t="str">
            <v>UN</v>
          </cell>
          <cell r="E5262">
            <v>63.35</v>
          </cell>
          <cell r="F5262">
            <v>0</v>
          </cell>
        </row>
        <row r="5263">
          <cell r="B5263">
            <v>96745</v>
          </cell>
          <cell r="C5263" t="str">
            <v>LUVA, PPR, DN 90 MM, CLASSE PN 25, INSTALADO EM RESERVAÇÃO PREDIAL DE ÁGUA - FORNECIMENTO E INSTALAÇÃO. AF_04/2024</v>
          </cell>
          <cell r="D5263" t="str">
            <v>UN</v>
          </cell>
          <cell r="E5263">
            <v>98.67</v>
          </cell>
          <cell r="F5263">
            <v>0</v>
          </cell>
        </row>
        <row r="5264">
          <cell r="B5264">
            <v>94671</v>
          </cell>
          <cell r="C5264" t="str">
            <v>LUVA, PVC, SOLDÁVEL, DN 110 MM, INSTALADO EM RESERVAÇÃO PREDIAL DE ÁGUA - FORNECIMENTO E INSTALAÇÃO. AF_04/2024</v>
          </cell>
          <cell r="D5264" t="str">
            <v>UN</v>
          </cell>
          <cell r="E5264">
            <v>123.79</v>
          </cell>
          <cell r="F5264">
            <v>0</v>
          </cell>
        </row>
        <row r="5265">
          <cell r="B5265">
            <v>94661</v>
          </cell>
          <cell r="C5265" t="str">
            <v>LUVA, PVC, SOLDÁVEL, DN 40 MM, INSTALADO EM RESERVAÇÃO PREDIAL DE ÁGUA - FORNECIMENTO E INSTALAÇÃO. AF_04/2024</v>
          </cell>
          <cell r="D5265" t="str">
            <v>UN</v>
          </cell>
          <cell r="E5265">
            <v>11.62</v>
          </cell>
          <cell r="F5265">
            <v>0</v>
          </cell>
        </row>
        <row r="5266">
          <cell r="B5266">
            <v>94663</v>
          </cell>
          <cell r="C5266" t="str">
            <v>LUVA, PVC, SOLDÁVEL, DN 50 MM, INSTALADO EM RESERVAÇÃO PREDIAL DE ÁGUA - FORNECIMENTO E INSTALAÇÃO. AF_04/2024</v>
          </cell>
          <cell r="D5266" t="str">
            <v>UN</v>
          </cell>
          <cell r="E5266">
            <v>14.55</v>
          </cell>
          <cell r="F5266">
            <v>0</v>
          </cell>
        </row>
        <row r="5267">
          <cell r="B5267">
            <v>94665</v>
          </cell>
          <cell r="C5267" t="str">
            <v>LUVA, PVC, SOLDÁVEL, DN 60 MM, INSTALADO EM RESERVAÇÃO PREDIAL DE ÁGUA - FORNECIMENTO E INSTALAÇÃO. AF_04/2024</v>
          </cell>
          <cell r="D5267" t="str">
            <v>UN</v>
          </cell>
          <cell r="E5267">
            <v>28.35</v>
          </cell>
          <cell r="F5267">
            <v>0</v>
          </cell>
        </row>
        <row r="5268">
          <cell r="B5268">
            <v>94667</v>
          </cell>
          <cell r="C5268" t="str">
            <v>LUVA, PVC, SOLDÁVEL, DN 75 MM, INSTALADO EM RESERVAÇÃO PREDIAL DE ÁGUA - FORNECIMENTO E INSTALAÇÃO. AF_04/2024</v>
          </cell>
          <cell r="D5268" t="str">
            <v>UN</v>
          </cell>
          <cell r="E5268">
            <v>41.69</v>
          </cell>
          <cell r="F5268">
            <v>0</v>
          </cell>
        </row>
        <row r="5269">
          <cell r="B5269">
            <v>94669</v>
          </cell>
          <cell r="C5269" t="str">
            <v>LUVA, PVC, SOLDÁVEL, DN 85 MM, INSTALADO EM RESERVAÇÃO PREDIAL DE ÁGUA - FORNECIMENTO E INSTALAÇÃO. AF_04/2024</v>
          </cell>
          <cell r="D5269" t="str">
            <v>UN</v>
          </cell>
          <cell r="E5269">
            <v>75.069999999999993</v>
          </cell>
          <cell r="F5269">
            <v>0</v>
          </cell>
        </row>
        <row r="5270">
          <cell r="B5270">
            <v>105177</v>
          </cell>
          <cell r="C5270" t="str">
            <v>NIPLE DE REDUÇÃO, EM FERRO GALVANIZADO, CONEXÃO ROSQUEADA, DN 80 MM X 50 MM (3" X 2"), INSTALADO EM RESERVAÇÃO PREDIAL DE ÁGUA - FORNECIMENTO E INSTALAÇÃO. AF_04/2024</v>
          </cell>
          <cell r="D5270" t="str">
            <v>UN</v>
          </cell>
          <cell r="E5270">
            <v>153.38</v>
          </cell>
          <cell r="F5270">
            <v>0</v>
          </cell>
        </row>
        <row r="5271">
          <cell r="B5271">
            <v>105176</v>
          </cell>
          <cell r="C5271" t="str">
            <v>NIPLE DE REDUÇÃO, EM FERRO GALVANIZADO, CONEXÃO ROSQUEADA, DN 80 MM X 65 MM (3" X 2 1/2"), INSTALADO EM RESERVAÇÃO PREDIAL DE ÁGUA - FORNECIMENTO E INSTALAÇÃO. AF_04/2024</v>
          </cell>
          <cell r="D5271" t="str">
            <v>UN</v>
          </cell>
          <cell r="E5271">
            <v>171.96</v>
          </cell>
          <cell r="F5271">
            <v>0</v>
          </cell>
        </row>
        <row r="5272">
          <cell r="B5272">
            <v>94466</v>
          </cell>
          <cell r="C5272" t="str">
            <v>NIPLE, EM FERRO GALVANIZADO, CONEXÃO ROSQUEADA, DN 50 MM (2"), INSTALADO EM RESERVAÇÃO PREDIAL DE ÁGUA - FORNECIMENTO E INSTALAÇÃO. AF_04/2024</v>
          </cell>
          <cell r="D5272" t="str">
            <v>UN</v>
          </cell>
          <cell r="E5272">
            <v>60.22</v>
          </cell>
          <cell r="F5272">
            <v>0</v>
          </cell>
        </row>
        <row r="5273">
          <cell r="B5273">
            <v>94468</v>
          </cell>
          <cell r="C5273" t="str">
            <v>NIPLE, EM FERRO GALVANIZADO, CONEXÃO ROSQUEADA, DN 65 MM (2 1/2"), INSTALADO EM RESERVAÇÃO PREDIAL DE ÁGUA - FORNECIMENTO E INSTALAÇÃO. AF_04/2024</v>
          </cell>
          <cell r="D5273" t="str">
            <v>UN</v>
          </cell>
          <cell r="E5273">
            <v>83.69</v>
          </cell>
          <cell r="F5273">
            <v>0</v>
          </cell>
        </row>
        <row r="5274">
          <cell r="B5274">
            <v>94470</v>
          </cell>
          <cell r="C5274" t="str">
            <v>NIPLE, EM FERRO GALVANIZADO, CONEXÃO ROSQUEADA, DN 80 MM (3"), INSTALADO EM RESERVAÇÃO PREDIAL DE ÁGUA - FORNECIMENTO E INSTALAÇÃO. AF_04/2024</v>
          </cell>
          <cell r="D5274" t="str">
            <v>UN</v>
          </cell>
          <cell r="E5274">
            <v>123.81</v>
          </cell>
          <cell r="F5274">
            <v>0</v>
          </cell>
        </row>
        <row r="5275">
          <cell r="B5275">
            <v>105225</v>
          </cell>
          <cell r="C5275" t="str">
            <v>TE DE REDUÇÃO, CPVC, DN 28 X 22 MM, INSTALADO EM RESERVAÇÃO PREDIAL DE ÁGUA - FORNECIMENTO E INSTALAÇÃO. AF_04/2024</v>
          </cell>
          <cell r="D5275" t="str">
            <v>UN</v>
          </cell>
          <cell r="E5275">
            <v>18.16</v>
          </cell>
          <cell r="F5275">
            <v>0</v>
          </cell>
        </row>
        <row r="5276">
          <cell r="B5276">
            <v>105226</v>
          </cell>
          <cell r="C5276" t="str">
            <v>TE DE REDUÇÃO, CPVC, DN 35 X 28 MM, INSTALADO EM RESERVAÇÃO PREDIAL DE ÁGUA - FORNECIMENTO E INSTALAÇÃO. AF_04/2024</v>
          </cell>
          <cell r="D5276" t="str">
            <v>UN</v>
          </cell>
          <cell r="E5276">
            <v>40.98</v>
          </cell>
          <cell r="F5276">
            <v>0</v>
          </cell>
        </row>
        <row r="5277">
          <cell r="B5277">
            <v>105227</v>
          </cell>
          <cell r="C5277" t="str">
            <v>TE DE REDUÇÃO, CPVC, DN 42 X 35 MM, INSTALADO EM RESERVAÇÃO PREDIAL DE ÁGUA - FORNECIMENTO E INSTALAÇÃO. AF_04/2024</v>
          </cell>
          <cell r="D5277" t="str">
            <v>UN</v>
          </cell>
          <cell r="E5277">
            <v>58.47</v>
          </cell>
          <cell r="F5277">
            <v>0</v>
          </cell>
        </row>
        <row r="5278">
          <cell r="B5278">
            <v>105212</v>
          </cell>
          <cell r="C5278" t="str">
            <v>TE DE REDUÇÃO, EM FERRO GALVANIZADO, CONEXÃO ROSQUEADA, DN 80 MM X 50 MM (3" X 2"), INSTALADO EM RESERVAÇÃO PREDIAL DE ÁGUA - FORNECIMENTO E INSTALAÇÃO. AF_04/2024</v>
          </cell>
          <cell r="D5278" t="str">
            <v>UN</v>
          </cell>
          <cell r="E5278">
            <v>262.97000000000003</v>
          </cell>
          <cell r="F5278">
            <v>0</v>
          </cell>
        </row>
        <row r="5279">
          <cell r="B5279">
            <v>105211</v>
          </cell>
          <cell r="C5279" t="str">
            <v>TE DE REDUÇÃO, EM FERRO GALVANIZADO, CONEXÃO ROSQUEADA, DN 80 MM X 65 MM (3" X 2 1/2"), INSTALADO EM RESERVAÇÃO PREDIAL DE ÁGUA - FORNECIMENTO E INSTALAÇÃO. AF_04/2024</v>
          </cell>
          <cell r="D5279" t="str">
            <v>UN</v>
          </cell>
          <cell r="E5279">
            <v>265.64</v>
          </cell>
          <cell r="F5279">
            <v>0</v>
          </cell>
        </row>
        <row r="5280">
          <cell r="B5280">
            <v>105189</v>
          </cell>
          <cell r="C5280" t="str">
            <v>TE DE REDUÇÃO, PVC, SOLDÁVEL, 90 GRAUS, DN 50 MM X 25 MM, INSTALADO EM RESERVAÇÃO PREDIAL DE ÁGUA - FORNECIMENTO E INSTALAÇÃO. AF_04/2024</v>
          </cell>
          <cell r="D5280" t="str">
            <v>UN</v>
          </cell>
          <cell r="E5280">
            <v>26.07</v>
          </cell>
          <cell r="F5280">
            <v>0</v>
          </cell>
        </row>
        <row r="5281">
          <cell r="B5281">
            <v>105190</v>
          </cell>
          <cell r="C5281" t="str">
            <v>TE DE REDUÇÃO, PVC, SOLDÁVEL, 90 GRAUS, DN 50 MM X 32 MM, INSTALADO EM RESERVAÇÃO PREDIAL DE ÁGUA - FORNECIMENTO E INSTALAÇÃO. AF_04/2024</v>
          </cell>
          <cell r="D5281" t="str">
            <v>UN</v>
          </cell>
          <cell r="E5281">
            <v>32.25</v>
          </cell>
          <cell r="F5281">
            <v>0</v>
          </cell>
        </row>
        <row r="5282">
          <cell r="B5282">
            <v>94625</v>
          </cell>
          <cell r="C5282" t="str">
            <v>TE EM COBRE, DN 104 MM, SEM ANEL DE SOLDA, INSTALADO EM RESERVAÇÃO PREDIAL DE ÁGUA - FORNECIMENTO E INSTALAÇÃO. AF_04/2024</v>
          </cell>
          <cell r="D5282" t="str">
            <v>UN</v>
          </cell>
          <cell r="E5282">
            <v>1574.66</v>
          </cell>
          <cell r="F5282">
            <v>0</v>
          </cell>
        </row>
        <row r="5283">
          <cell r="B5283">
            <v>94622</v>
          </cell>
          <cell r="C5283" t="str">
            <v>TE EM COBRE, DN 54 MM, SEM ANEL DE SOLDA, INSTALADO EM RESERVAÇÃO PREDIAL DE ÁGUA - FORNECIMENTO E INSTALAÇÃO. AF_04/2024</v>
          </cell>
          <cell r="D5283" t="str">
            <v>UN</v>
          </cell>
          <cell r="E5283">
            <v>224.13</v>
          </cell>
          <cell r="F5283">
            <v>0</v>
          </cell>
        </row>
        <row r="5284">
          <cell r="B5284">
            <v>94623</v>
          </cell>
          <cell r="C5284" t="str">
            <v>TE EM COBRE, DN 66 MM, SEM ANEL DE SOLDA, INSTALADO EM RESERVAÇÃO PREDIAL DE ÁGUA - FORNECIMENTO E INSTALAÇÃO. AF_04/2024</v>
          </cell>
          <cell r="D5284" t="str">
            <v>UN</v>
          </cell>
          <cell r="E5284">
            <v>510.58</v>
          </cell>
          <cell r="F5284">
            <v>0</v>
          </cell>
        </row>
        <row r="5285">
          <cell r="B5285">
            <v>94624</v>
          </cell>
          <cell r="C5285" t="str">
            <v>TE EM COBRE, DN 79 MM, SEM ANEL DE SOLDA, INSTALADO EM RESERVAÇÃO PREDIAL DE ÁGUA - FORNECIMENTO E INSTALAÇÃO. AF_04/2024</v>
          </cell>
          <cell r="D5285" t="str">
            <v>UN</v>
          </cell>
          <cell r="E5285">
            <v>760.82</v>
          </cell>
          <cell r="F5285">
            <v>0</v>
          </cell>
        </row>
        <row r="5286">
          <cell r="B5286">
            <v>94763</v>
          </cell>
          <cell r="C5286" t="str">
            <v>TE, CPVC, SOLDÁVEL, DN 114 MM, INSTALADO EM RESERVAÇÃO PREDIAL DE ÁGUA - FORNECIMENTO E INSTALAÇÃO. AF_04/2024</v>
          </cell>
          <cell r="D5286" t="str">
            <v>UN</v>
          </cell>
          <cell r="E5286">
            <v>363.52</v>
          </cell>
          <cell r="F5286">
            <v>0</v>
          </cell>
        </row>
        <row r="5287">
          <cell r="B5287">
            <v>94756</v>
          </cell>
          <cell r="C5287" t="str">
            <v>TE, CPVC, SOLDÁVEL, DN 22 MM, INSTALADO EM RESERVAÇÃO PREDIAL DE ÁGUA - FORNECIMENTO E INSTALAÇÃO. AF_04/2024</v>
          </cell>
          <cell r="D5287" t="str">
            <v>UN</v>
          </cell>
          <cell r="E5287">
            <v>13.65</v>
          </cell>
          <cell r="F5287">
            <v>0</v>
          </cell>
        </row>
        <row r="5288">
          <cell r="B5288">
            <v>94757</v>
          </cell>
          <cell r="C5288" t="str">
            <v>TE, CPVC, SOLDÁVEL, DN 28 MM, INSTALADO EM RESERVAÇÃO PREDIAL DE ÁGUA - FORNECIMENTO E INSTALAÇÃO. AF_04/2024</v>
          </cell>
          <cell r="D5288" t="str">
            <v>UN</v>
          </cell>
          <cell r="E5288">
            <v>21.09</v>
          </cell>
          <cell r="F5288">
            <v>0</v>
          </cell>
        </row>
        <row r="5289">
          <cell r="B5289">
            <v>94758</v>
          </cell>
          <cell r="C5289" t="str">
            <v>TE, CPVC, SOLDÁVEL, DN 35 MM, INSTALADO EM RESERVAÇÃO PREDIAL DE ÁGUA - FORNECIMENTO E INSTALAÇÃO. AF_04/2024</v>
          </cell>
          <cell r="D5289" t="str">
            <v>UN</v>
          </cell>
          <cell r="E5289">
            <v>51.76</v>
          </cell>
          <cell r="F5289">
            <v>0</v>
          </cell>
        </row>
        <row r="5290">
          <cell r="B5290">
            <v>94759</v>
          </cell>
          <cell r="C5290" t="str">
            <v>TE, CPVC, SOLDÁVEL, DN 42 MM, INSTALADO EM RESERVAÇÃO PREDIAL DE ÁGUA - FORNECIMENTO E INSTALAÇÃO. AF_04/2024</v>
          </cell>
          <cell r="D5290" t="str">
            <v>UN</v>
          </cell>
          <cell r="E5290">
            <v>65.97</v>
          </cell>
          <cell r="F5290">
            <v>0</v>
          </cell>
        </row>
        <row r="5291">
          <cell r="B5291">
            <v>94760</v>
          </cell>
          <cell r="C5291" t="str">
            <v>TE, CPVC, SOLDÁVEL, DN 54 MM, INSTALADO EM RESERVAÇÃO PREDIAL DE ÁGUA - FORNECIMENTO E INSTALAÇÃO. AF_04/2024</v>
          </cell>
          <cell r="D5291" t="str">
            <v>UN</v>
          </cell>
          <cell r="E5291">
            <v>104.93</v>
          </cell>
          <cell r="F5291">
            <v>0</v>
          </cell>
        </row>
        <row r="5292">
          <cell r="B5292">
            <v>94761</v>
          </cell>
          <cell r="C5292" t="str">
            <v>TE, CPVC, SOLDÁVEL, DN 73 MM, INSTALADO EM RESERVAÇÃO PREDIAL DE ÁGUA - FORNECIMENTO E INSTALAÇÃO. AF_04/2024</v>
          </cell>
          <cell r="D5292" t="str">
            <v>UN</v>
          </cell>
          <cell r="E5292">
            <v>225.32</v>
          </cell>
          <cell r="F5292">
            <v>0</v>
          </cell>
        </row>
        <row r="5293">
          <cell r="B5293">
            <v>94762</v>
          </cell>
          <cell r="C5293" t="str">
            <v>TE, CPVC, SOLDÁVEL, DN 89 MM, INSTALADO EM RESERVAÇÃO PREDIAL DE ÁGUA - FORNECIMENTO E INSTALAÇÃO. AF_04/2024</v>
          </cell>
          <cell r="D5293" t="str">
            <v>UN</v>
          </cell>
          <cell r="E5293">
            <v>274.64</v>
          </cell>
          <cell r="F5293">
            <v>0</v>
          </cell>
        </row>
        <row r="5294">
          <cell r="B5294">
            <v>94462</v>
          </cell>
          <cell r="C5294" t="str">
            <v>TUBO DE AÇO GALVANIZADO COM COSTURA, CLASSE MÉDIA, DN 50 MM (2"), CONEXÃO ROSQUEADA, INSTALADO EM RESERVAÇÃO PREDIAL DE ÁGUA - FORNECIMENTO E INSTALAÇÃO. AF_04/2024</v>
          </cell>
          <cell r="D5294" t="str">
            <v>M</v>
          </cell>
          <cell r="E5294">
            <v>104.34</v>
          </cell>
          <cell r="F5294">
            <v>0</v>
          </cell>
        </row>
        <row r="5295">
          <cell r="B5295">
            <v>94463</v>
          </cell>
          <cell r="C5295" t="str">
            <v>TUBO DE AÇO GALVANIZADO COM COSTURA, CLASSE MÉDIA, DN 65 MM (2 1/2"), CONEXÃO ROSQUEADA, INSTALADO EM RESERVAÇÃO PREDIAL DE ÁGUA - FORNECIMENTO E INSTALAÇÃO. AF_04/2024</v>
          </cell>
          <cell r="D5295" t="str">
            <v>M</v>
          </cell>
          <cell r="E5295">
            <v>127.47</v>
          </cell>
          <cell r="F5295">
            <v>0</v>
          </cell>
        </row>
        <row r="5296">
          <cell r="B5296">
            <v>94464</v>
          </cell>
          <cell r="C5296" t="str">
            <v>TUBO DE AÇO GALVANIZADO COM COSTURA, CLASSE MÉDIA, DN 80 MM (3"), CONEXÃO ROSQUEADA, INSTALADO EM RESERVAÇÃO PREDIAL DE ÁGUA - FORNECIMENTO E INSTALAÇÃO. AF_04/2024</v>
          </cell>
          <cell r="D5296" t="str">
            <v>M</v>
          </cell>
          <cell r="E5296">
            <v>166.16</v>
          </cell>
          <cell r="F5296">
            <v>0</v>
          </cell>
        </row>
        <row r="5297">
          <cell r="B5297">
            <v>94605</v>
          </cell>
          <cell r="C5297" t="str">
            <v>TUBO EM COBRE RÍGIDO, DN 104 MM, CLASSE E, SEM ISOLAMENTO, INSTALADO EM RESERVAÇÃO PREDIAL DE ÁGUA - FORNECIMENTO E INSTALAÇÃO. AF_04/2024</v>
          </cell>
          <cell r="D5297" t="str">
            <v>M</v>
          </cell>
          <cell r="E5297">
            <v>672.24</v>
          </cell>
          <cell r="F5297">
            <v>0</v>
          </cell>
        </row>
        <row r="5298">
          <cell r="B5298">
            <v>94602</v>
          </cell>
          <cell r="C5298" t="str">
            <v>TUBO EM COBRE RÍGIDO, DN 54 MM, CLASSE E, SEM ISOLAMENTO, INSTALADO EM RESERVAÇÃO PREDIAL DE ÁGUA - FORNECIMENTO E INSTALAÇÃO. AF_04/2024</v>
          </cell>
          <cell r="D5298" t="str">
            <v>M</v>
          </cell>
          <cell r="E5298">
            <v>243.62</v>
          </cell>
          <cell r="F5298">
            <v>0</v>
          </cell>
        </row>
        <row r="5299">
          <cell r="B5299">
            <v>94603</v>
          </cell>
          <cell r="C5299" t="str">
            <v>TUBO EM COBRE RÍGIDO, DN 66 MM, CLASSE E, SEM ISOLAMENTO, INSTALADO EM RESERVAÇÃO PREDIAL DE ÁGUA - FORNECIMENTO E INSTALAÇÃO. AF_04/2024</v>
          </cell>
          <cell r="D5299" t="str">
            <v>M</v>
          </cell>
          <cell r="E5299">
            <v>329.91</v>
          </cell>
          <cell r="F5299">
            <v>0</v>
          </cell>
        </row>
        <row r="5300">
          <cell r="B5300">
            <v>94604</v>
          </cell>
          <cell r="C5300" t="str">
            <v>TUBO EM COBRE RÍGIDO, DN 79 MM, CLASSE E, SEM ISOLAMENTO, INSTALADO EM RESERVAÇÃO PREDIAL DE ÁGUA - FORNECIMENTO E INSTALAÇÃO. AF_04/2024</v>
          </cell>
          <cell r="D5300" t="str">
            <v>M</v>
          </cell>
          <cell r="E5300">
            <v>466.45</v>
          </cell>
          <cell r="F5300">
            <v>0</v>
          </cell>
        </row>
        <row r="5301">
          <cell r="B5301">
            <v>94723</v>
          </cell>
          <cell r="C5301" t="str">
            <v>TUBO, CPVC, SOLDÁVEL, DN 114 MM, INSTALADO EM RESERVAÇÃO PREDIAL DE ÁGUA - FORNECIMENTO E INSTALAÇÃO. AF_04/2024</v>
          </cell>
          <cell r="D5301" t="str">
            <v>M</v>
          </cell>
          <cell r="E5301">
            <v>457.85</v>
          </cell>
          <cell r="F5301">
            <v>0</v>
          </cell>
        </row>
        <row r="5302">
          <cell r="B5302">
            <v>94716</v>
          </cell>
          <cell r="C5302" t="str">
            <v>TUBO, CPVC, SOLDÁVEL, DN 22 MM, INSTALADO EM RESERVAÇÃO PREDIAL DE ÁGUA - FORNECIMENTO E INSTALAÇÃO. AF_04/2024</v>
          </cell>
          <cell r="D5302" t="str">
            <v>M</v>
          </cell>
          <cell r="E5302">
            <v>22.86</v>
          </cell>
          <cell r="F5302">
            <v>0</v>
          </cell>
        </row>
        <row r="5303">
          <cell r="B5303">
            <v>94717</v>
          </cell>
          <cell r="C5303" t="str">
            <v>TUBO, CPVC, SOLDÁVEL, DN 28 MM, INSTALADO EM RESERVAÇÃO PREDIAL DE ÁGUA - FORNECIMENTO E INSTALAÇÃO. AF_04/2024</v>
          </cell>
          <cell r="D5303" t="str">
            <v>M</v>
          </cell>
          <cell r="E5303">
            <v>37.97</v>
          </cell>
          <cell r="F5303">
            <v>0</v>
          </cell>
        </row>
        <row r="5304">
          <cell r="B5304">
            <v>94718</v>
          </cell>
          <cell r="C5304" t="str">
            <v>TUBO, CPVC, SOLDÁVEL, DN 35 MM, INSTALADO EM RESERVAÇÃO PREDIAL DE ÁGUA - FORNECIMENTO E INSTALAÇÃO. AF_04/2024</v>
          </cell>
          <cell r="D5304" t="str">
            <v>M</v>
          </cell>
          <cell r="E5304">
            <v>49.57</v>
          </cell>
          <cell r="F5304">
            <v>0</v>
          </cell>
        </row>
        <row r="5305">
          <cell r="B5305">
            <v>94719</v>
          </cell>
          <cell r="C5305" t="str">
            <v>TUBO, CPVC, SOLDÁVEL, DN 42 MM, INSTALADO EM RESERVAÇÃO PREDIAL DE ÁGUA - FORNECIMENTO E INSTALAÇÃO. AF_04/2024</v>
          </cell>
          <cell r="D5305" t="str">
            <v>M</v>
          </cell>
          <cell r="E5305">
            <v>66.08</v>
          </cell>
          <cell r="F5305">
            <v>0</v>
          </cell>
        </row>
        <row r="5306">
          <cell r="B5306">
            <v>94720</v>
          </cell>
          <cell r="C5306" t="str">
            <v>TUBO, CPVC, SOLDÁVEL, DN 54 MM, INSTALADO EM RESERVAÇÃO PREDIAL DE ÁGUA - FORNECIMENTO E INSTALAÇÃO. AF_04/2024</v>
          </cell>
          <cell r="D5306" t="str">
            <v>M</v>
          </cell>
          <cell r="E5306">
            <v>96.78</v>
          </cell>
          <cell r="F5306">
            <v>0</v>
          </cell>
        </row>
        <row r="5307">
          <cell r="B5307">
            <v>94721</v>
          </cell>
          <cell r="C5307" t="str">
            <v>TUBO, CPVC, SOLDÁVEL, DN 73 MM, INSTALADO EM RESERVAÇÃO PREDIAL DE ÁGUA - FORNECIMENTO E INSTALAÇÃO. AF_04/2024</v>
          </cell>
          <cell r="D5307" t="str">
            <v>M</v>
          </cell>
          <cell r="E5307">
            <v>157.01</v>
          </cell>
          <cell r="F5307">
            <v>0</v>
          </cell>
        </row>
        <row r="5308">
          <cell r="B5308">
            <v>94722</v>
          </cell>
          <cell r="C5308" t="str">
            <v>TUBO, CPVC, SOLDÁVEL, DN 89 MM, INSTALADO EM RESERVAÇÃO PREDIAL DE ÁGUA - FORNECIMENTO E INSTALAÇÃO. AF_04/2024</v>
          </cell>
          <cell r="D5308" t="str">
            <v>M</v>
          </cell>
          <cell r="E5308">
            <v>244.26</v>
          </cell>
          <cell r="F5308">
            <v>0</v>
          </cell>
        </row>
        <row r="5309">
          <cell r="B5309">
            <v>96726</v>
          </cell>
          <cell r="C5309" t="str">
            <v>TUBO, PPR, DN 110 MM, CLASSE PN 12, INSTALADO EM RESERVAÇÃO PREDIAL DE ÁGUA - FORNECIMENTO E INSTALAÇÃO. AF_04/2024</v>
          </cell>
          <cell r="D5309" t="str">
            <v>M</v>
          </cell>
          <cell r="E5309">
            <v>191.03</v>
          </cell>
          <cell r="F5309">
            <v>0</v>
          </cell>
        </row>
        <row r="5310">
          <cell r="B5310">
            <v>96735</v>
          </cell>
          <cell r="C5310" t="str">
            <v>TUBO, PPR, DN 110 MM, CLASSE PN 25, INSTALADO EM RESERVAÇÃO PREDIAL DE ÁGUA - FORNECIMENTO E INSTALAÇÃO. AF_04/2024</v>
          </cell>
          <cell r="D5310" t="str">
            <v>M</v>
          </cell>
          <cell r="E5310">
            <v>356.85</v>
          </cell>
          <cell r="F5310">
            <v>0</v>
          </cell>
        </row>
        <row r="5311">
          <cell r="B5311">
            <v>96718</v>
          </cell>
          <cell r="C5311" t="str">
            <v>TUBO, PPR, DN 20 MM, CLASSE PN 20, INSTALADO EM RESERVAÇÃO PREDIAL DE ÁGUA - FORNECIMENTO E INSTALAÇÃO. AF_04/2024</v>
          </cell>
          <cell r="D5311" t="str">
            <v>M</v>
          </cell>
          <cell r="E5311">
            <v>17.62</v>
          </cell>
          <cell r="F5311">
            <v>0</v>
          </cell>
        </row>
        <row r="5312">
          <cell r="B5312">
            <v>96727</v>
          </cell>
          <cell r="C5312" t="str">
            <v>TUBO, PPR, DN 20 MM, CLASSE PN 25, INSTALADO EM RESERVAÇÃO PREDIAL DE ÁGUA - FORNECIMENTO E INSTALAÇÃO. AF_04/2024</v>
          </cell>
          <cell r="D5312" t="str">
            <v>M</v>
          </cell>
          <cell r="E5312">
            <v>20.149999999999999</v>
          </cell>
          <cell r="F5312">
            <v>0</v>
          </cell>
        </row>
        <row r="5313">
          <cell r="B5313">
            <v>96719</v>
          </cell>
          <cell r="C5313" t="str">
            <v>TUBO, PPR, DN 25 MM, CLASSE PN 20, INSTALADO EM RESERVAÇÃO PREDIAL DE ÁGUA - FORNECIMENTO E INSTALAÇÃO. AF_04/2024</v>
          </cell>
          <cell r="D5313" t="str">
            <v>M</v>
          </cell>
          <cell r="E5313">
            <v>22.36</v>
          </cell>
          <cell r="F5313">
            <v>0</v>
          </cell>
        </row>
        <row r="5314">
          <cell r="B5314">
            <v>96728</v>
          </cell>
          <cell r="C5314" t="str">
            <v>TUBO, PPR, DN 25 MM, CLASSE PN 25, INSTALADO EM RESERVAÇÃO PREDIAL DE ÁGUA - FORNECIMENTO E INSTALAÇÃO. AF_04/2024</v>
          </cell>
          <cell r="D5314" t="str">
            <v>M</v>
          </cell>
          <cell r="E5314">
            <v>25.77</v>
          </cell>
          <cell r="F5314">
            <v>0</v>
          </cell>
        </row>
        <row r="5315">
          <cell r="B5315">
            <v>96720</v>
          </cell>
          <cell r="C5315" t="str">
            <v>TUBO, PPR, DN 32 MM, CLASSE PN 12, INSTALADO EM RESERVAÇÃO PREDIAL DE ÁGUA - FORNECIMENTO E INSTALAÇÃO. AF_04/2024</v>
          </cell>
          <cell r="D5315" t="str">
            <v>M</v>
          </cell>
          <cell r="E5315">
            <v>20.56</v>
          </cell>
          <cell r="F5315">
            <v>0</v>
          </cell>
        </row>
        <row r="5316">
          <cell r="B5316">
            <v>96729</v>
          </cell>
          <cell r="C5316" t="str">
            <v>TUBO, PPR, DN 32 MM, CLASSE PN 25, INSTALADO EM RESERVAÇÃO PREDIAL DE ÁGUA - FORNECIMENTO E INSTALAÇÃO. AF_04/2024</v>
          </cell>
          <cell r="D5316" t="str">
            <v>M</v>
          </cell>
          <cell r="E5316">
            <v>33.03</v>
          </cell>
          <cell r="F5316">
            <v>0</v>
          </cell>
        </row>
        <row r="5317">
          <cell r="B5317">
            <v>96721</v>
          </cell>
          <cell r="C5317" t="str">
            <v>TUBO, PPR, DN 40 MM, CLASSE PN 12, INSTALADO EM RESERVAÇÃO PREDIAL DE ÁGUA - FORNECIMENTO E INSTALAÇÃO. AF_04/2024</v>
          </cell>
          <cell r="D5317" t="str">
            <v>M</v>
          </cell>
          <cell r="E5317">
            <v>26.6</v>
          </cell>
          <cell r="F5317">
            <v>0</v>
          </cell>
        </row>
        <row r="5318">
          <cell r="B5318">
            <v>96730</v>
          </cell>
          <cell r="C5318" t="str">
            <v>TUBO, PPR, DN 40 MM, CLASSE PN 25, INSTALADO EM RESERVAÇÃO PREDIAL DE ÁGUA - FORNECIMENTO E INSTALAÇÃO. AF_04/2024</v>
          </cell>
          <cell r="D5318" t="str">
            <v>M</v>
          </cell>
          <cell r="E5318">
            <v>45.38</v>
          </cell>
          <cell r="F5318">
            <v>0</v>
          </cell>
        </row>
        <row r="5319">
          <cell r="B5319">
            <v>96722</v>
          </cell>
          <cell r="C5319" t="str">
            <v>TUBO, PPR, DN 50 MM, CLASSE PN 12, INSTALADO EM RESERVAÇÃO PREDIAL DE ÁGUA - FORNECIMENTO E INSTALAÇÃO. AF_04/2024</v>
          </cell>
          <cell r="D5319" t="str">
            <v>M</v>
          </cell>
          <cell r="E5319">
            <v>40.36</v>
          </cell>
          <cell r="F5319">
            <v>0</v>
          </cell>
        </row>
        <row r="5320">
          <cell r="B5320">
            <v>96731</v>
          </cell>
          <cell r="C5320" t="str">
            <v>TUBO, PPR, DN 50 MM, CLASSE PN 25, INSTALADO EM RESERVAÇÃO PREDIAL DE ÁGUA - FORNECIMENTO E INSTALAÇÃO. AF_04/2024</v>
          </cell>
          <cell r="D5320" t="str">
            <v>M</v>
          </cell>
          <cell r="E5320">
            <v>68.08</v>
          </cell>
          <cell r="F5320">
            <v>0</v>
          </cell>
        </row>
        <row r="5321">
          <cell r="B5321">
            <v>96723</v>
          </cell>
          <cell r="C5321" t="str">
            <v>TUBO, PPR, DN 63 MM, CLASSE PN 12, INSTALADO EM RESERVAÇÃO PREDIAL DE ÁGUA - FORNECIMENTO E INSTALAÇÃO. AF_04/2024</v>
          </cell>
          <cell r="D5321" t="str">
            <v>M</v>
          </cell>
          <cell r="E5321">
            <v>62.19</v>
          </cell>
          <cell r="F5321">
            <v>0</v>
          </cell>
        </row>
        <row r="5322">
          <cell r="B5322">
            <v>96732</v>
          </cell>
          <cell r="C5322" t="str">
            <v>TUBO, PPR, DN 63 MM, CLASSE PN 25, INSTALADO EM RESERVAÇÃO PREDIAL DE ÁGUA - FORNECIMENTO E INSTALAÇÃO. AF_04/2024</v>
          </cell>
          <cell r="D5322" t="str">
            <v>M</v>
          </cell>
          <cell r="E5322">
            <v>113.78</v>
          </cell>
          <cell r="F5322">
            <v>0</v>
          </cell>
        </row>
        <row r="5323">
          <cell r="B5323">
            <v>96724</v>
          </cell>
          <cell r="C5323" t="str">
            <v>TUBO, PPR, DN 75 MM, CLASSE PN 12, INSTALADO EM RESERVAÇÃO PREDIAL DE ÁGUA - FORNECIMENTO E INSTALAÇÃO. AF_04/2024</v>
          </cell>
          <cell r="D5323" t="str">
            <v>M</v>
          </cell>
          <cell r="E5323">
            <v>79.81</v>
          </cell>
          <cell r="F5323">
            <v>0</v>
          </cell>
        </row>
        <row r="5324">
          <cell r="B5324">
            <v>96733</v>
          </cell>
          <cell r="C5324" t="str">
            <v>TUBO, PPR, DN 75 MM, CLASSE PN 25, INSTALADO EM RESERVAÇÃO PREDIAL DE ÁGUA - FORNECIMENTO E INSTALAÇÃO. AF_04/2024</v>
          </cell>
          <cell r="D5324" t="str">
            <v>M</v>
          </cell>
          <cell r="E5324">
            <v>154.72999999999999</v>
          </cell>
          <cell r="F5324">
            <v>0</v>
          </cell>
        </row>
        <row r="5325">
          <cell r="B5325">
            <v>96725</v>
          </cell>
          <cell r="C5325" t="str">
            <v>TUBO, PPR, DN 90 MM, CLASSE PN 12, INSTALADO EM RESERVAÇÃO PREDIAL DE ÁGUA - FORNECIMENTO E INSTALAÇÃO. AF_04/2024</v>
          </cell>
          <cell r="D5325" t="str">
            <v>M</v>
          </cell>
          <cell r="E5325">
            <v>129.51</v>
          </cell>
          <cell r="F5325">
            <v>0</v>
          </cell>
        </row>
        <row r="5326">
          <cell r="B5326">
            <v>96734</v>
          </cell>
          <cell r="C5326" t="str">
            <v>TUBO, PPR, DN 90 MM, CLASSE PN 25, INSTALADO EM RESERVAÇÃO PREDIAL DE ÁGUA - FORNECIMENTO E INSTALAÇÃO. AF_04/2024</v>
          </cell>
          <cell r="D5326" t="str">
            <v>M</v>
          </cell>
          <cell r="E5326">
            <v>256.56</v>
          </cell>
          <cell r="F5326">
            <v>0</v>
          </cell>
        </row>
        <row r="5327">
          <cell r="B5327">
            <v>94655</v>
          </cell>
          <cell r="C5327" t="str">
            <v>TUBO, PVC, SOLDÁVEL, DE 110MM, INSTALADO EM RESERVAÇÃO PREDIAL DE ÁGUA - FORNECIMENTO E INSTALAÇÃO. AF_04/2024</v>
          </cell>
          <cell r="D5327" t="str">
            <v>M</v>
          </cell>
          <cell r="E5327">
            <v>146.63</v>
          </cell>
          <cell r="F5327">
            <v>0</v>
          </cell>
        </row>
        <row r="5328">
          <cell r="B5328">
            <v>94648</v>
          </cell>
          <cell r="C5328" t="str">
            <v>TUBO, PVC, SOLDÁVEL, DE 25MM, INSTALADO EM RESERVAÇÃO PREDIAL DE ÁGUA - FORNECIMENTO E INSTALAÇÃO. AF_04/2024</v>
          </cell>
          <cell r="D5328" t="str">
            <v>M</v>
          </cell>
          <cell r="E5328">
            <v>8.5399999999999991</v>
          </cell>
          <cell r="F5328">
            <v>0</v>
          </cell>
        </row>
        <row r="5329">
          <cell r="B5329">
            <v>94649</v>
          </cell>
          <cell r="C5329" t="str">
            <v>TUBO, PVC, SOLDÁVEL, DE 32MM, INSTALADO EM RESERVAÇÃO PREDIAL DE ÁGUA - FORNECIMENTO E INSTALAÇÃO. AF_04/2024</v>
          </cell>
          <cell r="D5329" t="str">
            <v>M</v>
          </cell>
          <cell r="E5329">
            <v>15.53</v>
          </cell>
          <cell r="F5329">
            <v>0</v>
          </cell>
        </row>
        <row r="5330">
          <cell r="B5330">
            <v>94650</v>
          </cell>
          <cell r="C5330" t="str">
            <v>TUBO, PVC, SOLDÁVEL, DE 40MM, INSTALADO EM RESERVAÇÃO PREDIAL DE ÁGUA - FORNECIMENTO E INSTALAÇÃO. AF_04/2024</v>
          </cell>
          <cell r="D5330" t="str">
            <v>M</v>
          </cell>
          <cell r="E5330">
            <v>23.34</v>
          </cell>
          <cell r="F5330">
            <v>0</v>
          </cell>
        </row>
        <row r="5331">
          <cell r="B5331">
            <v>94651</v>
          </cell>
          <cell r="C5331" t="str">
            <v>TUBO, PVC, SOLDÁVEL, DE 50MM, INSTALADO EM RESERVAÇÃO PREDIAL DE ÁGUA - FORNECIMENTO E INSTALAÇÃO. AF_04/2024</v>
          </cell>
          <cell r="D5331" t="str">
            <v>M</v>
          </cell>
          <cell r="E5331">
            <v>27.39</v>
          </cell>
          <cell r="F5331">
            <v>0</v>
          </cell>
        </row>
        <row r="5332">
          <cell r="B5332">
            <v>94652</v>
          </cell>
          <cell r="C5332" t="str">
            <v>TUBO, PVC, SOLDÁVEL, DE 60MM, INSTALADO EM RESERVAÇÃO PREDIAL DE ÁGUA - FORNECIMENTO E INSTALAÇÃO. AF_04/2024</v>
          </cell>
          <cell r="D5332" t="str">
            <v>M</v>
          </cell>
          <cell r="E5332">
            <v>42.57</v>
          </cell>
          <cell r="F5332">
            <v>0</v>
          </cell>
        </row>
        <row r="5333">
          <cell r="B5333">
            <v>94653</v>
          </cell>
          <cell r="C5333" t="str">
            <v>TUBO, PVC, SOLDÁVEL, DE 75MM, INSTALADO EM RESERVAÇÃO PREDIAL DE ÁGUA - FORNECIMENTO E INSTALAÇÃO. AF_04/2024</v>
          </cell>
          <cell r="D5333" t="str">
            <v>M</v>
          </cell>
          <cell r="E5333">
            <v>68.489999999999995</v>
          </cell>
          <cell r="F5333">
            <v>0</v>
          </cell>
        </row>
        <row r="5334">
          <cell r="B5334">
            <v>94654</v>
          </cell>
          <cell r="C5334" t="str">
            <v>TUBO, PVC, SOLDÁVEL, DE 85MM, INSTALADO EM RESERVAÇÃO PREDIAL DE ÁGUA - FORNECIMENTO E INSTALAÇÃO. AF_04/2024</v>
          </cell>
          <cell r="D5334" t="str">
            <v>M</v>
          </cell>
          <cell r="E5334">
            <v>93.02</v>
          </cell>
          <cell r="F5334">
            <v>0</v>
          </cell>
        </row>
        <row r="5335">
          <cell r="B5335">
            <v>94689</v>
          </cell>
          <cell r="C5335" t="str">
            <v>TÊ COM BUCHA DE LATÃO NA BOLSA CENTRAL, PVC, SOLDÁVEL, DN 25 MM X 3/4", INSTALADO EM RESERVAÇÃO PREDIAL DE ÁGUA - FORNECIMENTO E INSTALAÇÃO. AF_04/2024</v>
          </cell>
          <cell r="D5335" t="str">
            <v>UN</v>
          </cell>
          <cell r="E5335">
            <v>11.65</v>
          </cell>
          <cell r="F5335">
            <v>0</v>
          </cell>
        </row>
        <row r="5336">
          <cell r="B5336">
            <v>94702</v>
          </cell>
          <cell r="C5336" t="str">
            <v>TÊ DE REDUÇÃO, PVC, SOLDÁVEL, DN 110 MM X 60 MM, INSTALADO EM RESERVAÇÃO PREDIAL DE ÁGUA - FORNECIMENTO E INSTALAÇÃO. AF_04/2024</v>
          </cell>
          <cell r="D5336" t="str">
            <v>UN</v>
          </cell>
          <cell r="E5336">
            <v>220.85</v>
          </cell>
          <cell r="F5336">
            <v>0</v>
          </cell>
        </row>
        <row r="5337">
          <cell r="B5337">
            <v>94691</v>
          </cell>
          <cell r="C5337" t="str">
            <v>TÊ DE REDUÇÃO, PVC, SOLDÁVEL, DN 32 MM X 25 MM, INSTALADO EM RESERVAÇÃO PREDIAL DE ÁGUA - FORNECIMENTO E INSTALAÇÃO. AF_04/2024</v>
          </cell>
          <cell r="D5337" t="str">
            <v>UN</v>
          </cell>
          <cell r="E5337">
            <v>16.41</v>
          </cell>
          <cell r="F5337">
            <v>0</v>
          </cell>
        </row>
        <row r="5338">
          <cell r="B5338">
            <v>94693</v>
          </cell>
          <cell r="C5338" t="str">
            <v>TÊ DE REDUÇÃO, PVC, SOLDÁVEL, DN 40 MM X 32 MM, INSTALADO EM RESERVAÇÃO PREDIAL DE ÁGUA - FORNECIMENTO E INSTALAÇÃO. AF_04/2024</v>
          </cell>
          <cell r="D5338" t="str">
            <v>UN</v>
          </cell>
          <cell r="E5338">
            <v>21.52</v>
          </cell>
          <cell r="F5338">
            <v>0</v>
          </cell>
        </row>
        <row r="5339">
          <cell r="B5339">
            <v>94695</v>
          </cell>
          <cell r="C5339" t="str">
            <v>TÊ DE REDUÇÃO, PVC, SOLDÁVEL, DN 50 MM X 40 MM, INSTALADO EM RESERVAÇÃO PREDIAL DE ÁGUA - FORNECIMENTO E INSTALAÇÃO. AF_04/2024</v>
          </cell>
          <cell r="D5339" t="str">
            <v>UN</v>
          </cell>
          <cell r="E5339">
            <v>37.130000000000003</v>
          </cell>
          <cell r="F5339">
            <v>0</v>
          </cell>
        </row>
        <row r="5340">
          <cell r="B5340">
            <v>94698</v>
          </cell>
          <cell r="C5340" t="str">
            <v>TÊ DE REDUÇÃO, PVC, SOLDÁVEL, DN 75 MM X 50 MM, INSTALADO EM RESERVAÇÃO PREDIAL DE ÁGUA - FORNECIMENTO E INSTALAÇÃO. AF_04/2024</v>
          </cell>
          <cell r="D5340" t="str">
            <v>UN</v>
          </cell>
          <cell r="E5340">
            <v>79.25</v>
          </cell>
          <cell r="F5340">
            <v>0</v>
          </cell>
        </row>
        <row r="5341">
          <cell r="B5341">
            <v>94700</v>
          </cell>
          <cell r="C5341" t="str">
            <v>TÊ DE REDUÇÃO, PVC, SOLDÁVEL, DN 85 MM X 60 MM, INSTALADO EM RESERVAÇÃO PREDIAL DE ÁGUA - FORNECIMENTO E INSTALAÇÃO. AF_04/2024</v>
          </cell>
          <cell r="D5341" t="str">
            <v>UN</v>
          </cell>
          <cell r="E5341">
            <v>152.87</v>
          </cell>
          <cell r="F5341">
            <v>0</v>
          </cell>
        </row>
        <row r="5342">
          <cell r="B5342">
            <v>94477</v>
          </cell>
          <cell r="C5342" t="str">
            <v>TÊ, EM FERRO GALVANIZADO, CONEXÃO ROSQUEADA, DN 50 MM (2"), INSTALADO EM RESERVAÇÃO PREDIAL DE ÁGUA - FORNECIMENTO E INSTALAÇÃO. AF_04/2024</v>
          </cell>
          <cell r="D5342" t="str">
            <v>UN</v>
          </cell>
          <cell r="E5342">
            <v>116.07</v>
          </cell>
          <cell r="F5342">
            <v>0</v>
          </cell>
        </row>
        <row r="5343">
          <cell r="B5343">
            <v>94478</v>
          </cell>
          <cell r="C5343" t="str">
            <v>TÊ, EM FERRO GALVANIZADO, CONEXÃO ROSQUEADA, DN 65 MM (2 1/2"), INSTALADO EM RESERVAÇÃO PREDIAL DE ÁGUA - FORNECIMENTO E INSTALAÇÃO. AF_04/2024</v>
          </cell>
          <cell r="D5343" t="str">
            <v>UN</v>
          </cell>
          <cell r="E5343">
            <v>186.21</v>
          </cell>
          <cell r="F5343">
            <v>0</v>
          </cell>
        </row>
        <row r="5344">
          <cell r="B5344">
            <v>94479</v>
          </cell>
          <cell r="C5344" t="str">
            <v>TÊ, EM FERRO GALVANIZADO, CONEXÃO ROSQUEADA, DN 80 MM (3"), INSTALADO EM RESERVAÇÃO PREDIAL DE ÁGUA - FORNECIMENTO E INSTALAÇÃO. AF_04/2024</v>
          </cell>
          <cell r="D5344" t="str">
            <v>UN</v>
          </cell>
          <cell r="E5344">
            <v>240.64</v>
          </cell>
          <cell r="F5344">
            <v>0</v>
          </cell>
        </row>
        <row r="5345">
          <cell r="B5345">
            <v>96764</v>
          </cell>
          <cell r="C5345" t="str">
            <v>TÊ, PPR, DN 110 MM, INSTALADO EM RESERVAÇÃO PREDIAL DE ÁGUA - FORNECIMENTO E INSTALAÇÃO. AF_04/2024</v>
          </cell>
          <cell r="D5345" t="str">
            <v>UN</v>
          </cell>
          <cell r="E5345">
            <v>354.9</v>
          </cell>
          <cell r="F5345">
            <v>0</v>
          </cell>
        </row>
        <row r="5346">
          <cell r="B5346">
            <v>105164</v>
          </cell>
          <cell r="C5346" t="str">
            <v>TÊ, PPR, DN 20 MM, INSTALADO EM RESERVAÇÃO PREDIAL DE ÁGUA - FORNECIMENTO E INSTALAÇÃO. AF_04/2024</v>
          </cell>
          <cell r="D5346" t="str">
            <v>UN</v>
          </cell>
          <cell r="E5346">
            <v>14.02</v>
          </cell>
          <cell r="F5346">
            <v>0</v>
          </cell>
        </row>
        <row r="5347">
          <cell r="B5347">
            <v>105165</v>
          </cell>
          <cell r="C5347" t="str">
            <v>TÊ, PPR, DN 25 MM, INSTALADO EM RESERVAÇÃO PREDIAL DE ÁGUA - FORNECIMENTO E INSTALAÇÃO. AF_04/2024</v>
          </cell>
          <cell r="D5347" t="str">
            <v>UN</v>
          </cell>
          <cell r="E5347">
            <v>14.41</v>
          </cell>
          <cell r="F5347">
            <v>0</v>
          </cell>
        </row>
        <row r="5348">
          <cell r="B5348">
            <v>96758</v>
          </cell>
          <cell r="C5348" t="str">
            <v>TÊ, PPR, DN 32 MM, INSTALADO EM RESERVAÇÃO PREDIAL DE ÁGUA - FORNECIMENTO E INSTALAÇÃO. AF_04/2024</v>
          </cell>
          <cell r="D5348" t="str">
            <v>UN</v>
          </cell>
          <cell r="E5348">
            <v>21.35</v>
          </cell>
          <cell r="F5348">
            <v>0</v>
          </cell>
        </row>
        <row r="5349">
          <cell r="B5349">
            <v>96759</v>
          </cell>
          <cell r="C5349" t="str">
            <v>TÊ, PPR, DN 40 MM, INSTALADO EM RESERVAÇÃO PREDIAL DE ÁGUA - FORNECIMENTO E INSTALAÇÃO. AF_04/2024</v>
          </cell>
          <cell r="D5349" t="str">
            <v>UN</v>
          </cell>
          <cell r="E5349">
            <v>31.01</v>
          </cell>
          <cell r="F5349">
            <v>0</v>
          </cell>
        </row>
        <row r="5350">
          <cell r="B5350">
            <v>96760</v>
          </cell>
          <cell r="C5350" t="str">
            <v>TÊ, PPR, DN 50 MM, INSTALADO EM RESERVAÇÃO PREDIAL DE ÁGUA - FORNECIMENTO E INSTALAÇÃO. AF_04/2024</v>
          </cell>
          <cell r="D5350" t="str">
            <v>UN</v>
          </cell>
          <cell r="E5350">
            <v>49.58</v>
          </cell>
          <cell r="F5350">
            <v>0</v>
          </cell>
        </row>
        <row r="5351">
          <cell r="B5351">
            <v>96761</v>
          </cell>
          <cell r="C5351" t="str">
            <v>TÊ, PPR, DN 63 MM, INSTALADO EM RESERVAÇÃO PREDIAL DE ÁGUA - FORNECIMENTO E INSTALAÇÃO. AF_04/2024</v>
          </cell>
          <cell r="D5351" t="str">
            <v>UN</v>
          </cell>
          <cell r="E5351">
            <v>73.430000000000007</v>
          </cell>
          <cell r="F5351">
            <v>0</v>
          </cell>
        </row>
        <row r="5352">
          <cell r="B5352">
            <v>96762</v>
          </cell>
          <cell r="C5352" t="str">
            <v>TÊ, PPR, DN 75 MM, INSTALADO EM RESERVAÇÃO PREDIAL DE ÁGUA - FORNECIMENTO E INSTALAÇÃO. AF_04/2024</v>
          </cell>
          <cell r="D5352" t="str">
            <v>UN</v>
          </cell>
          <cell r="E5352">
            <v>135.62</v>
          </cell>
          <cell r="F5352">
            <v>0</v>
          </cell>
        </row>
        <row r="5353">
          <cell r="B5353">
            <v>96763</v>
          </cell>
          <cell r="C5353" t="str">
            <v>TÊ, PPR, DN 90 MM, INSTALADO EM RESERVAÇÃO PREDIAL DE ÁGUA - FORNECIMENTO E INSTALAÇÃO. AF_04/2024</v>
          </cell>
          <cell r="D5353" t="str">
            <v>UN</v>
          </cell>
          <cell r="E5353">
            <v>181.6</v>
          </cell>
          <cell r="F5353">
            <v>0</v>
          </cell>
        </row>
        <row r="5354">
          <cell r="B5354">
            <v>94701</v>
          </cell>
          <cell r="C5354" t="str">
            <v>TÊ, PVC, SOLDÁVEL, DN 110 MM INSTALADO EM RESERVAÇÃO PREDIAL DE ÁGUA - FORNECIMENTO E INSTALAÇÃO. AF_04/2024</v>
          </cell>
          <cell r="D5354" t="str">
            <v>UN</v>
          </cell>
          <cell r="E5354">
            <v>265.42</v>
          </cell>
          <cell r="F5354">
            <v>0</v>
          </cell>
        </row>
        <row r="5355">
          <cell r="B5355">
            <v>94688</v>
          </cell>
          <cell r="C5355" t="str">
            <v>TÊ, PVC, SOLDÁVEL, DN 25 MM INSTALADO EM RESERVAÇÃO PREDIAL DE ÁGUA - FORNECIMENTO E INSTALAÇÃO. AF_04/2024</v>
          </cell>
          <cell r="D5355" t="str">
            <v>UN</v>
          </cell>
          <cell r="E5355">
            <v>8.5299999999999994</v>
          </cell>
          <cell r="F5355">
            <v>0</v>
          </cell>
        </row>
        <row r="5356">
          <cell r="B5356">
            <v>94690</v>
          </cell>
          <cell r="C5356" t="str">
            <v>TÊ, PVC, SOLDÁVEL, DN 32 MM INSTALADO EM RESERVAÇÃO PREDIAL DE ÁGUA - FORNECIMENTO E INSTALAÇÃO. AF_04/2024</v>
          </cell>
          <cell r="D5356" t="str">
            <v>UN</v>
          </cell>
          <cell r="E5356">
            <v>13.81</v>
          </cell>
          <cell r="F5356">
            <v>0</v>
          </cell>
        </row>
        <row r="5357">
          <cell r="B5357">
            <v>94692</v>
          </cell>
          <cell r="C5357" t="str">
            <v>TÊ, PVC, SOLDÁVEL, DN 40 MM INSTALADO EM RESERVAÇÃO PREDIAL DE ÁGUA - FORNECIMENTO E INSTALAÇÃO. AF_04/2024</v>
          </cell>
          <cell r="D5357" t="str">
            <v>UN</v>
          </cell>
          <cell r="E5357">
            <v>23.24</v>
          </cell>
          <cell r="F5357">
            <v>0</v>
          </cell>
        </row>
        <row r="5358">
          <cell r="B5358">
            <v>94694</v>
          </cell>
          <cell r="C5358" t="str">
            <v>TÊ, PVC, SOLDÁVEL, DN 50 MM INSTALADO EM RESERVAÇÃO PREDIAL DE ÁGUA - FORNECIMENTO E INSTALAÇÃO. AF_04/2024</v>
          </cell>
          <cell r="D5358" t="str">
            <v>UN</v>
          </cell>
          <cell r="E5358">
            <v>28.9</v>
          </cell>
          <cell r="F5358">
            <v>0</v>
          </cell>
        </row>
        <row r="5359">
          <cell r="B5359">
            <v>94696</v>
          </cell>
          <cell r="C5359" t="str">
            <v>TÊ, PVC, SOLDÁVEL, DN 60 MM INSTALADO EM RESERVAÇÃO PREDIAL DE ÁGUA - FORNECIMENTO E INSTALAÇÃO. AF_04/2024</v>
          </cell>
          <cell r="D5359" t="str">
            <v>UN</v>
          </cell>
          <cell r="E5359">
            <v>60.03</v>
          </cell>
          <cell r="F5359">
            <v>0</v>
          </cell>
        </row>
        <row r="5360">
          <cell r="B5360">
            <v>94697</v>
          </cell>
          <cell r="C5360" t="str">
            <v>TÊ, PVC, SOLDÁVEL, DN 75 MM INSTALADO EM RESERVAÇÃO PREDIAL DE ÁGUA - FORNECIMENTO E INSTALAÇÃO. AF_04/2024</v>
          </cell>
          <cell r="D5360" t="str">
            <v>UN</v>
          </cell>
          <cell r="E5360">
            <v>102.48</v>
          </cell>
          <cell r="F5360">
            <v>0</v>
          </cell>
        </row>
        <row r="5361">
          <cell r="B5361">
            <v>94699</v>
          </cell>
          <cell r="C5361" t="str">
            <v>TÊ, PVC, SOLDÁVEL, DN 85 MM INSTALADO EM RESERVAÇÃO PREDIAL DE ÁGUA - FORNECIMENTO E INSTALAÇÃO. AF_04/2024</v>
          </cell>
          <cell r="D5361" t="str">
            <v>UN</v>
          </cell>
          <cell r="E5361">
            <v>135.63</v>
          </cell>
          <cell r="F5361">
            <v>0</v>
          </cell>
        </row>
        <row r="5362">
          <cell r="B5362">
            <v>105167</v>
          </cell>
          <cell r="C5362" t="str">
            <v>UNIÃO FLANGE, PPR, COM PARAFUSOS, DN 40 MM, INSTALADO EM RESERVAÇÃO PREDIAL DE ÁGUA - FORNECIMENTO E INSTALAÇÃO. AF_04/2024</v>
          </cell>
          <cell r="D5362" t="str">
            <v>UN</v>
          </cell>
          <cell r="E5362">
            <v>260.88</v>
          </cell>
          <cell r="F5362">
            <v>0</v>
          </cell>
        </row>
        <row r="5363">
          <cell r="B5363">
            <v>105168</v>
          </cell>
          <cell r="C5363" t="str">
            <v>UNIÃO FLANGE, PPR, COM PARAFUSOS, DN 50 MM, INSTALADO EM RESERVAÇÃO PREDIAL DE ÁGUA - FORNECIMENTO E INSTALAÇÃO. AF_04/2024</v>
          </cell>
          <cell r="D5363" t="str">
            <v>UN</v>
          </cell>
          <cell r="E5363">
            <v>0</v>
          </cell>
        </row>
        <row r="5364">
          <cell r="B5364">
            <v>105171</v>
          </cell>
          <cell r="C5364" t="str">
            <v>UNIÃO FLANGE, PPR, COM PARAFUSOS, DN 63 MM, INSTALADO EM RESERVAÇÃO PREDIAL DE ÁGUA - FORNECIMENTO E INSTALAÇÃO. AF_04/2024</v>
          </cell>
          <cell r="D5364" t="str">
            <v>UN</v>
          </cell>
          <cell r="E5364">
            <v>0</v>
          </cell>
        </row>
        <row r="5365">
          <cell r="B5365">
            <v>105191</v>
          </cell>
          <cell r="C5365" t="str">
            <v>UNIÃO FLANGE, PPR, COM PARAFUSOS, DN 75 MM, INSTALADO EM RESERVAÇÃO PREDIAL DE ÁGUA - FORNECIMENTO E INSTALAÇÃO. AF_04/2024</v>
          </cell>
          <cell r="D5365" t="str">
            <v>UN</v>
          </cell>
          <cell r="E5365">
            <v>0</v>
          </cell>
        </row>
        <row r="5366">
          <cell r="B5366">
            <v>105192</v>
          </cell>
          <cell r="C5366" t="str">
            <v>UNIÃO FLANGE, PPR, COM PARAFUSOS, DN 90 MM, INSTALADO EM RESERVAÇÃO PREDIAL DE ÁGUA - FORNECIMENTO E INSTALAÇÃO. AF_04/2024</v>
          </cell>
          <cell r="D5366" t="str">
            <v>UN</v>
          </cell>
          <cell r="E5366">
            <v>0</v>
          </cell>
        </row>
        <row r="5367">
          <cell r="B5367">
            <v>96809</v>
          </cell>
          <cell r="C5367" t="str">
            <v>CONEXÃO FIXA, ROSCA FÊMEA, METÁLICA, PARA INSTALAÇÕES EM PEX ÁGUA, DN 16 MM X 1/2", COM ANEL DESLIZANTE. FORNECIMENTO E INSTALAÇÃO. AF_02/2023</v>
          </cell>
          <cell r="D5367" t="str">
            <v>UN</v>
          </cell>
          <cell r="E5367">
            <v>22.67</v>
          </cell>
          <cell r="F5367">
            <v>0</v>
          </cell>
        </row>
        <row r="5368">
          <cell r="B5368">
            <v>96812</v>
          </cell>
          <cell r="C5368" t="str">
            <v>CONEXÃO FIXA, ROSCA FÊMEA, METÁLICA, PARA INSTALAÇÕES EM PEX ÁGUA, DN 20 MM X 1/2", COM ANEL DESLIZANTE. FORNECIMENTO E INSTALAÇÃO. AF_02/2023</v>
          </cell>
          <cell r="D5368" t="str">
            <v>UN</v>
          </cell>
          <cell r="E5368">
            <v>23.72</v>
          </cell>
          <cell r="F5368">
            <v>0</v>
          </cell>
        </row>
        <row r="5369">
          <cell r="B5369">
            <v>96813</v>
          </cell>
          <cell r="C5369" t="str">
            <v>CONEXÃO FIXA, ROSCA FÊMEA, METÁLICA, PARA INSTALAÇÕES EM PEX ÁGUA, DN 20 MM X 3/4", COM ANEL DESLIZANTE. FORNECIMENTO E INSTALAÇÃO. AF_02/2023</v>
          </cell>
          <cell r="D5369" t="str">
            <v>UN</v>
          </cell>
          <cell r="E5369">
            <v>26.93</v>
          </cell>
          <cell r="F5369">
            <v>0</v>
          </cell>
        </row>
        <row r="5370">
          <cell r="B5370">
            <v>96817</v>
          </cell>
          <cell r="C5370" t="str">
            <v>CONEXÃO FIXA, ROSCA FÊMEA, METÁLICA, PARA INSTALAÇÕES EM PEX ÁGUA, DN 25 MM X 1", COM ANEL DESLIZANTE - FORNECIMENTO E INSTALAÇÃO. AF_02/2023</v>
          </cell>
          <cell r="D5370" t="str">
            <v>UN</v>
          </cell>
          <cell r="E5370">
            <v>39.409999999999997</v>
          </cell>
          <cell r="F5370">
            <v>0</v>
          </cell>
        </row>
        <row r="5371">
          <cell r="B5371">
            <v>96816</v>
          </cell>
          <cell r="C5371" t="str">
            <v>CONEXÃO FIXA, ROSCA FÊMEA, METÁLICA, PARA INSTALAÇÕES EM PEX ÁGUA, DN 25 MM X 3/4", COM ANEL DESLIZANTE - FORNECIMENTO E INSTALAÇÃO. AF_02/2023</v>
          </cell>
          <cell r="D5371" t="str">
            <v>UN</v>
          </cell>
          <cell r="E5371">
            <v>30.2</v>
          </cell>
          <cell r="F5371">
            <v>0</v>
          </cell>
        </row>
        <row r="5372">
          <cell r="B5372">
            <v>96821</v>
          </cell>
          <cell r="C5372" t="str">
            <v>CONEXÃO FIXA, ROSCA FÊMEA, METÁLICA, PARA INSTALAÇÕES EM PEX ÁGUA, DN 32 MM X 1", COM ANEL DESLIZANTE - FORNECIMENTO E INSTALAÇÃO. AF_02/2023</v>
          </cell>
          <cell r="D5372" t="str">
            <v>UN</v>
          </cell>
          <cell r="E5372">
            <v>43.73</v>
          </cell>
          <cell r="F5372">
            <v>0</v>
          </cell>
        </row>
        <row r="5373">
          <cell r="B5373">
            <v>96824</v>
          </cell>
          <cell r="C5373" t="str">
            <v>CONEXÃO FIXA, ROSCA FÊMEA, PARA INSTALAÇÕES EM PEX ÁGUA, DN 16MM X 1/2", CONEXÃO POR CRIMPAGEM - FORNECIMENTO E INSTALAÇÃO. AF_02/2023</v>
          </cell>
          <cell r="D5373" t="str">
            <v>UN</v>
          </cell>
          <cell r="E5373">
            <v>21.08</v>
          </cell>
          <cell r="F5373">
            <v>0</v>
          </cell>
        </row>
        <row r="5374">
          <cell r="B5374">
            <v>96827</v>
          </cell>
          <cell r="C5374" t="str">
            <v>CONEXÃO FIXA, ROSCA FÊMEA, PARA INSTALAÇÕES EM PEX ÁGUA, DN 20MM X 1/2", CONEXÃO POR CRIMPAGEM - FORNECIMENTO E INSTALAÇÃO. AF_02/2023</v>
          </cell>
          <cell r="D5374" t="str">
            <v>UN</v>
          </cell>
          <cell r="E5374">
            <v>22.88</v>
          </cell>
          <cell r="F5374">
            <v>0</v>
          </cell>
        </row>
        <row r="5375">
          <cell r="B5375">
            <v>96828</v>
          </cell>
          <cell r="C5375" t="str">
            <v>CONEXÃO FIXA, ROSCA FÊMEA, PARA INSTALAÇÕES EM PEX ÁGUA, DN 20MM X 3/4", CONEXÃO POR CRIMPAGEM - FORNECIMENTO E INSTALAÇÃO. AF_02/2023</v>
          </cell>
          <cell r="D5375" t="str">
            <v>UN</v>
          </cell>
          <cell r="E5375">
            <v>27.87</v>
          </cell>
          <cell r="F5375">
            <v>0</v>
          </cell>
        </row>
        <row r="5376">
          <cell r="B5376">
            <v>96832</v>
          </cell>
          <cell r="C5376" t="str">
            <v>CONEXÃO FIXA, ROSCA FÊMEA, PARA INSTALAÇÕES EM PEX ÁGUA, DN 25MM X 3/4", CONEXÃO POR CRIMPAGEM - FORNECIMENTO E INSTALAÇÃO. AF_02/2023</v>
          </cell>
          <cell r="D5376" t="str">
            <v>UN</v>
          </cell>
          <cell r="E5376">
            <v>34.380000000000003</v>
          </cell>
          <cell r="F5376">
            <v>0</v>
          </cell>
        </row>
        <row r="5377">
          <cell r="B5377">
            <v>104525</v>
          </cell>
          <cell r="C5377" t="str">
            <v>CONEXÃO FIXA, ROSCA MACHO, PARA INSTALAÇÕES EM PEX ÁGUA, DN 16 MM X 1/2", COM ANEL DESLIZANTE - FORNECIMENTO E INSTALAÇÃO. AF_02/2023</v>
          </cell>
          <cell r="D5377" t="str">
            <v>UN</v>
          </cell>
          <cell r="E5377">
            <v>0</v>
          </cell>
        </row>
        <row r="5378">
          <cell r="B5378">
            <v>104563</v>
          </cell>
          <cell r="C5378" t="str">
            <v>CONEXÃO FIXA, ROSCA MACHO, PARA INSTALAÇÕES EM PEX ÁGUA, DN 16 MM X 3/4", COM ANEL DESLIZANTE - FORNECIMENTO E INSTALAÇÃO. AF_02/2023</v>
          </cell>
          <cell r="D5378" t="str">
            <v>UN</v>
          </cell>
          <cell r="E5378">
            <v>0</v>
          </cell>
        </row>
        <row r="5379">
          <cell r="B5379">
            <v>104531</v>
          </cell>
          <cell r="C5379" t="str">
            <v>CONEXÃO FIXA, ROSCA MACHO, PARA INSTALAÇÕES EM PEX ÁGUA, DN 20 MM X 1/2", COM ANEL DESLIZANTE - FORNECIMENTO E INSTALAÇÃO. AF_02/2023</v>
          </cell>
          <cell r="D5379" t="str">
            <v>UN</v>
          </cell>
          <cell r="E5379">
            <v>0</v>
          </cell>
        </row>
        <row r="5380">
          <cell r="B5380">
            <v>104527</v>
          </cell>
          <cell r="C5380" t="str">
            <v>CONEXÃO FIXA, ROSCA MACHO, PARA INSTALAÇÕES EM PEX ÁGUA, DN 20 MM X 3/4", COM ANEL DESLIZANTE - FORNECIMENTO E INSTALAÇÃO. AF_02/2023</v>
          </cell>
          <cell r="D5380" t="str">
            <v>UN</v>
          </cell>
          <cell r="E5380">
            <v>0</v>
          </cell>
        </row>
        <row r="5381">
          <cell r="B5381">
            <v>104529</v>
          </cell>
          <cell r="C5381" t="str">
            <v>CONEXÃO FIXA, ROSCA MACHO, PARA INSTALAÇÕES EM PEX ÁGUA, DN 25 MM X 1", COM ANEL DESLIZANTE - FORNECIMENTO E INSTALAÇÃO. AF_02/2023</v>
          </cell>
          <cell r="D5381" t="str">
            <v>UN</v>
          </cell>
          <cell r="E5381">
            <v>0</v>
          </cell>
        </row>
        <row r="5382">
          <cell r="B5382">
            <v>104564</v>
          </cell>
          <cell r="C5382" t="str">
            <v>CONEXÃO FIXA, ROSCA MACHO, PARA INSTALAÇÕES EM PEX ÁGUA, DN 25 MM X 1/2", COM ANEL DESLIZANTE - FORNECIMENTO E INSTALAÇÃO. AF_02/2023</v>
          </cell>
          <cell r="D5382" t="str">
            <v>UN</v>
          </cell>
          <cell r="E5382">
            <v>0</v>
          </cell>
        </row>
        <row r="5383">
          <cell r="B5383">
            <v>104533</v>
          </cell>
          <cell r="C5383" t="str">
            <v>CONEXÃO FIXA, ROSCA MACHO, PARA INSTALAÇÕES EM PEX ÁGUA, DN 25 MM X 3/4", COM ANEL DESLIZANTE - FORNECIMENTO E INSTALAÇÃO. AF_02/2023</v>
          </cell>
          <cell r="D5383" t="str">
            <v>UN</v>
          </cell>
          <cell r="E5383">
            <v>0</v>
          </cell>
        </row>
        <row r="5384">
          <cell r="B5384">
            <v>104535</v>
          </cell>
          <cell r="C5384" t="str">
            <v>CONEXÃO FIXA, ROSCA MACHO, PARA INSTALAÇÕES EM PEX ÁGUA, DN 32 MM X 1", COM ANEL DESLIZANTE - FORNECIMENTO E INSTALAÇÃO. AF_02/2023</v>
          </cell>
          <cell r="D5384" t="str">
            <v>UN</v>
          </cell>
          <cell r="E5384">
            <v>0</v>
          </cell>
        </row>
        <row r="5385">
          <cell r="B5385">
            <v>96810</v>
          </cell>
          <cell r="C5385" t="str">
            <v>CONEXÃO MÓVEL, ROSCA FÊMEA, METÁLICA, PARA INSTALAÇÕES EM PEX ÁGUA, DN 16 MM X 3/4", COM ANEL DESLIZANTE. FORNECIMENTO E INSTALAÇÃO. AF_02/2023</v>
          </cell>
          <cell r="D5385" t="str">
            <v>UN</v>
          </cell>
          <cell r="E5385">
            <v>24.7</v>
          </cell>
          <cell r="F5385">
            <v>0</v>
          </cell>
        </row>
        <row r="5386">
          <cell r="B5386">
            <v>104524</v>
          </cell>
          <cell r="C5386" t="str">
            <v>CONEXÃO MÓVEL, ROSCA FÊMEA, PARA INSTALAÇÕES EM PEX ÁGUA, DN 16 MM X 1/2", COM ANEL DESLIZANTE - FORNECIMENTO E INSTALAÇÃO. AF_02/2023</v>
          </cell>
          <cell r="D5386" t="str">
            <v>UN</v>
          </cell>
          <cell r="E5386">
            <v>0</v>
          </cell>
        </row>
        <row r="5387">
          <cell r="B5387">
            <v>104530</v>
          </cell>
          <cell r="C5387" t="str">
            <v>CONEXÃO MÓVEL, ROSCA FÊMEA, PARA INSTALAÇÕES EM PEX ÁGUA, DN 20 MM X 1/2", COM ANEL DESLIZANTE - FORNECIMENTO E INSTALAÇÃO. AF_02/2023</v>
          </cell>
          <cell r="D5387" t="str">
            <v>UN</v>
          </cell>
          <cell r="E5387">
            <v>0</v>
          </cell>
        </row>
        <row r="5388">
          <cell r="B5388">
            <v>104526</v>
          </cell>
          <cell r="C5388" t="str">
            <v>CONEXÃO MÓVEL, ROSCA FÊMEA, PARA INSTALAÇÕES EM PEX ÁGUA, DN 20 MM X 3/4", COM ANEL DESLIZANTE - FORNECIMENTO E INSTALAÇÃO. AF_02/2023</v>
          </cell>
          <cell r="D5388" t="str">
            <v>UN</v>
          </cell>
          <cell r="E5388">
            <v>0</v>
          </cell>
        </row>
        <row r="5389">
          <cell r="B5389">
            <v>104528</v>
          </cell>
          <cell r="C5389" t="str">
            <v>CONEXÃO MÓVEL, ROSCA FÊMEA, PARA INSTALAÇÕES EM PEX ÁGUA, DN 25 MM X 1", COM ANEL DESLIZANTE - FORNECIMENTO E INSTALAÇÃO. AF_02/2023</v>
          </cell>
          <cell r="D5389" t="str">
            <v>UN</v>
          </cell>
          <cell r="E5389">
            <v>0</v>
          </cell>
        </row>
        <row r="5390">
          <cell r="B5390">
            <v>104532</v>
          </cell>
          <cell r="C5390" t="str">
            <v>CONEXÃO MÓVEL, ROSCA FÊMEA, PARA INSTALAÇÕES EM PEX ÁGUA, DN 25 MM X 3/4", COM ANEL DESLIZANTE - FORNECIMENTO E INSTALAÇÃO. AF_02/2023</v>
          </cell>
          <cell r="D5390" t="str">
            <v>UN</v>
          </cell>
          <cell r="E5390">
            <v>0</v>
          </cell>
        </row>
        <row r="5391">
          <cell r="B5391">
            <v>104534</v>
          </cell>
          <cell r="C5391" t="str">
            <v>CONEXÃO MÓVEL, ROSCA FÊMEA, PARA INSTALAÇÕES EM PEX ÁGUA, DN 32 MM X 1", COM ANEL DESLIZANTE - FORNECIMENTO E INSTALAÇÃO. AF_02/2023</v>
          </cell>
          <cell r="D5391" t="str">
            <v>UN</v>
          </cell>
          <cell r="E5391">
            <v>0</v>
          </cell>
        </row>
        <row r="5392">
          <cell r="B5392">
            <v>96873</v>
          </cell>
          <cell r="C5392" t="str">
            <v>DISTRIBUIDOR 2 SAÍDAS, METÁLICO, PARA INSTALAÇÕES EM PEX ÁGUA, ENTRADA DE 1" X 2 SAÍDAS DE 1/2", CONEXÃO POR ANEL DESLIZANTE - FORNECIMENTO E INSTALAÇÃO. AF_02/2023</v>
          </cell>
          <cell r="D5392" t="str">
            <v>UN</v>
          </cell>
          <cell r="E5392">
            <v>73.22</v>
          </cell>
          <cell r="F5392">
            <v>0</v>
          </cell>
        </row>
        <row r="5393">
          <cell r="B5393">
            <v>96872</v>
          </cell>
          <cell r="C5393" t="str">
            <v>DISTRIBUIDOR 2 SAÍDAS, METÁLICO, PARA INSTALAÇÕES EM PEX ÁGUA, ENTRADA DE 3/4" X 2 SAÍDAS DE 1/2", CONEXÃO POR ANEL DESLIZANTE - FORNECIMENTO E INSTALAÇÃO. AF_02/2023</v>
          </cell>
          <cell r="D5393" t="str">
            <v>UN</v>
          </cell>
          <cell r="E5393">
            <v>56.01</v>
          </cell>
          <cell r="F5393">
            <v>0</v>
          </cell>
        </row>
        <row r="5394">
          <cell r="B5394">
            <v>96876</v>
          </cell>
          <cell r="C5394" t="str">
            <v>DISTRIBUIDOR 2 SAÍDAS, PARA INSTALAÇÕES EM PEX ÁGUA, ENTRADA DE 32 MM X 2 SAÍDAS DE 16 MM, CONEXÃO POR CRIMPAGEM FORNECIMENTO E INSTALAÇÃO. AF_02/2023</v>
          </cell>
          <cell r="D5394" t="str">
            <v>UN</v>
          </cell>
          <cell r="E5394">
            <v>190.24</v>
          </cell>
          <cell r="F5394">
            <v>0</v>
          </cell>
        </row>
        <row r="5395">
          <cell r="B5395">
            <v>96878</v>
          </cell>
          <cell r="C5395" t="str">
            <v>DISTRIBUIDOR 2 SAÍDAS, PARA INSTALAÇÕES EM PEX ÁGUA, ENTRADA DE 32 MM X 2 SAÍDAS DE 25 MM, CONEXÃO POR CRIMPAGEM - FORNECIMENTO E INSTALAÇÃO. AF_02/2023</v>
          </cell>
          <cell r="D5395" t="str">
            <v>UN</v>
          </cell>
          <cell r="E5395">
            <v>213.35</v>
          </cell>
          <cell r="F5395">
            <v>0</v>
          </cell>
        </row>
        <row r="5396">
          <cell r="B5396">
            <v>96875</v>
          </cell>
          <cell r="C5396" t="str">
            <v>DISTRIBUIDOR 3 SAÍDAS, METÁLICO, PARA INSTALAÇÕES EM PEX ÁGUA, ENTRADA DE 1" X 3 SAÍDAS DE 1/2", CONEXÃO POR ANEL DESLIZANTE - FORNECIMENTO E INSTALAÇÃO. AF_02/2023</v>
          </cell>
          <cell r="D5396" t="str">
            <v>UN</v>
          </cell>
          <cell r="E5396">
            <v>87.43</v>
          </cell>
          <cell r="F5396">
            <v>0</v>
          </cell>
        </row>
        <row r="5397">
          <cell r="B5397">
            <v>96874</v>
          </cell>
          <cell r="C5397" t="str">
            <v>DISTRIBUIDOR 3 SAÍDAS, METÁLICO, PARA INSTALAÇÕES EM PEX ÁGUA, ENTRADA DE 3/4" X 3 SAÍDAS DE 1/2", CONEXÃO POR ANEL DESLIZANTE - FORNECIMENTO E INSTALAÇÃO. AF_02/2023</v>
          </cell>
          <cell r="D5397" t="str">
            <v>UN</v>
          </cell>
          <cell r="E5397">
            <v>67.87</v>
          </cell>
          <cell r="F5397">
            <v>0</v>
          </cell>
        </row>
        <row r="5398">
          <cell r="B5398">
            <v>96879</v>
          </cell>
          <cell r="C5398" t="str">
            <v>DISTRIBUIDOR 3 SAÍDAS, PARA INSTALAÇÕES EM PEX ÁGUA, ENTRADA DE 32 MM X 3 SAÍDAS DE 16 MM, CONEXÃO POR CRIMPAGEM - FORNECIMENTO E INSTALAÇÃO. AF_02/2023</v>
          </cell>
          <cell r="D5398" t="str">
            <v>UN</v>
          </cell>
          <cell r="E5398">
            <v>207.13</v>
          </cell>
          <cell r="F5398">
            <v>0</v>
          </cell>
        </row>
        <row r="5399">
          <cell r="B5399">
            <v>96881</v>
          </cell>
          <cell r="C5399" t="str">
            <v>DISTRIBUIDOR 3 SAÍDAS, PARA INSTALAÇÕES EM PEX ÁGUA, ENTRADA DE 32 MM X 3 SAÍDAS DE 25 MM, CONEXÃO POR CRIMPAGEM - FORNECIMENTO E INSTALAÇÃO. AF_02/2023</v>
          </cell>
          <cell r="D5399" t="str">
            <v>UN</v>
          </cell>
          <cell r="E5399">
            <v>245.15</v>
          </cell>
          <cell r="F5399">
            <v>0</v>
          </cell>
        </row>
        <row r="5400">
          <cell r="B5400">
            <v>96837</v>
          </cell>
          <cell r="C5400" t="str">
            <v>JOELHO 90 GRAUS, METÁLICO, PARA INSTALAÇÕES EM PEX ÁGUA, DN 16 MM, CONEXÃO POR ANEL DESLIZANTE - FORNECIMENTO E INSTALAÇÃO. AF_02/2023</v>
          </cell>
          <cell r="D5400" t="str">
            <v>UN</v>
          </cell>
          <cell r="E5400">
            <v>25.29</v>
          </cell>
          <cell r="F5400">
            <v>0</v>
          </cell>
        </row>
        <row r="5401">
          <cell r="B5401">
            <v>96840</v>
          </cell>
          <cell r="C5401" t="str">
            <v>JOELHO 90 GRAUS, METÁLICO, PARA INSTALAÇÕES EM PEX ÁGUA, DN 20 MM, CONEXÃO POR ANEL DESLIZANTE - FORNECIMENTO E INSTALAÇÃO. AF_02/2023</v>
          </cell>
          <cell r="D5401" t="str">
            <v>UN</v>
          </cell>
          <cell r="E5401">
            <v>30.46</v>
          </cell>
          <cell r="F5401">
            <v>0</v>
          </cell>
        </row>
        <row r="5402">
          <cell r="B5402">
            <v>96845</v>
          </cell>
          <cell r="C5402" t="str">
            <v>JOELHO 90 GRAUS, METÁLICO, PARA INSTALAÇÕES EM PEX ÁGUA, DN 25 MM, CONEXÃO POR ANEL DESLIZANTE - FORNECIMENTO E INSTALAÇÃO. AF_02/2023</v>
          </cell>
          <cell r="D5402" t="str">
            <v>UN</v>
          </cell>
          <cell r="E5402">
            <v>46.3</v>
          </cell>
          <cell r="F5402">
            <v>0</v>
          </cell>
        </row>
        <row r="5403">
          <cell r="B5403">
            <v>96848</v>
          </cell>
          <cell r="C5403" t="str">
            <v>JOELHO 90 GRAUS, METÁLICO, PARA INSTALAÇÕES EM PEX ÁGUA, DN 32 MM, CONEXÃO POR ANEL DESLIZANTE - FORNECIMENTO E INSTALAÇÃO. AF_02/2023</v>
          </cell>
          <cell r="D5403" t="str">
            <v>UN</v>
          </cell>
          <cell r="E5403">
            <v>60.94</v>
          </cell>
          <cell r="F5403">
            <v>0</v>
          </cell>
        </row>
        <row r="5404">
          <cell r="B5404">
            <v>96849</v>
          </cell>
          <cell r="C5404" t="str">
            <v>JOELHO 90 GRAUS, PARA INSTALAÇÕES EM PEX ÁGUA, DN 16 MM, CONEXÃO POR CRIMPAGEM - FORNECIMENTO E INSTALAÇÃO. AF_02/2023</v>
          </cell>
          <cell r="D5404" t="str">
            <v>UN</v>
          </cell>
          <cell r="E5404">
            <v>19.8</v>
          </cell>
          <cell r="F5404">
            <v>0</v>
          </cell>
        </row>
        <row r="5405">
          <cell r="B5405">
            <v>96852</v>
          </cell>
          <cell r="C5405" t="str">
            <v>JOELHO 90 GRAUS, PARA INSTALAÇÕES EM PEX ÁGUA, DN 20 MM, CONEXÃO POR CRIMPAGEM - FORNECIMENTO E INSTALAÇÃO. AF_02/2023</v>
          </cell>
          <cell r="D5405" t="str">
            <v>UN</v>
          </cell>
          <cell r="E5405">
            <v>24.97</v>
          </cell>
          <cell r="F5405">
            <v>0</v>
          </cell>
        </row>
        <row r="5406">
          <cell r="B5406">
            <v>96855</v>
          </cell>
          <cell r="C5406" t="str">
            <v>JOELHO 90 GRAUS, PARA INSTALAÇÕES EM PEX ÁGUA, DN 25 MM, CONEXÃO POR CRIMPAGEM - FORNECIMENTO E INSTALAÇÃO. AF_02/2023</v>
          </cell>
          <cell r="D5406" t="str">
            <v>UN</v>
          </cell>
          <cell r="E5406">
            <v>38.06</v>
          </cell>
          <cell r="F5406">
            <v>0</v>
          </cell>
        </row>
        <row r="5407">
          <cell r="B5407">
            <v>96838</v>
          </cell>
          <cell r="C5407" t="str">
            <v>JOELHO 90 GRAUS, ROSCA FÊMEA TERMINAL, METÁLICO, PARA INSTALAÇÕES EM PEX ÁGUA, DN 16MM X 1/2", CONEXÃO POR ANEL DESLIZANTE - FORNECIMENTO E INSTALAÇÃO. AF_02/2023</v>
          </cell>
          <cell r="D5407" t="str">
            <v>UN</v>
          </cell>
          <cell r="E5407">
            <v>30.93</v>
          </cell>
          <cell r="F5407">
            <v>0</v>
          </cell>
        </row>
        <row r="5408">
          <cell r="B5408">
            <v>96841</v>
          </cell>
          <cell r="C5408" t="str">
            <v>JOELHO 90 GRAUS, ROSCA FÊMEA TERMINAL, METÁLICO, PARA INSTALAÇÕES EM PEX ÁGUA, DN 20 MM X 1/2", CONEXÃO POR ANEL DESLIZANTE - FORNECIMENTO E INSTALAÇÃO. AF_02/2023</v>
          </cell>
          <cell r="D5408" t="str">
            <v>UN</v>
          </cell>
          <cell r="E5408">
            <v>34.14</v>
          </cell>
          <cell r="F5408">
            <v>0</v>
          </cell>
        </row>
        <row r="5409">
          <cell r="B5409">
            <v>96842</v>
          </cell>
          <cell r="C5409" t="str">
            <v>JOELHO 90 GRAUS, ROSCA FÊMEA TERMINAL, METÁLICO, PARA INSTALAÇÕES EM PEX ÁGUA, DN 20 MM X 3/4", CONEXÃO POR ANEL DESLIZANTE - FORNECIMENTO E INSTALAÇÃO. AF_02/2023</v>
          </cell>
          <cell r="D5409" t="str">
            <v>UN</v>
          </cell>
          <cell r="E5409">
            <v>38.909999999999997</v>
          </cell>
          <cell r="F5409">
            <v>0</v>
          </cell>
        </row>
        <row r="5410">
          <cell r="B5410">
            <v>96846</v>
          </cell>
          <cell r="C5410" t="str">
            <v>JOELHO 90 GRAUS, ROSCA FÊMEA TERMINAL, METÁLICO, PARA INSTALAÇÕES EM PEX ÁGUA, DN 25 MM X 3/4", CONEXÃO POR ANEL DESLIZANTE - FORNECIMENTO E INSTALAÇÃO. AF_02/2023</v>
          </cell>
          <cell r="D5410" t="str">
            <v>UN</v>
          </cell>
          <cell r="E5410">
            <v>44.82</v>
          </cell>
          <cell r="F5410">
            <v>0</v>
          </cell>
        </row>
        <row r="5411">
          <cell r="B5411">
            <v>96850</v>
          </cell>
          <cell r="C5411" t="str">
            <v>JOELHO 90 GRAUS, ROSCA FÊMEA TERMINAL, PARA INSTALAÇÕES EM PEX ÁGUA, DN 16MM X 1/2", CONEXÃO POR CRIMPAGEM - FORNECIMENTO E INSTALAÇÃO. AF_02/2023</v>
          </cell>
          <cell r="D5411" t="str">
            <v>UN</v>
          </cell>
          <cell r="E5411">
            <v>28.62</v>
          </cell>
          <cell r="F5411">
            <v>0</v>
          </cell>
        </row>
        <row r="5412">
          <cell r="B5412">
            <v>96853</v>
          </cell>
          <cell r="C5412" t="str">
            <v>JOELHO 90 GRAUS, ROSCA FÊMEA TERMINAL, PARA INSTALAÇÕES EM PEX ÁGUA, DN 20MM X 1/2", CONEXÃO POR CRIMPAGEM - FORNECIMENTO E INSTALAÇÃO. AF_02/2023</v>
          </cell>
          <cell r="D5412" t="str">
            <v>UN</v>
          </cell>
          <cell r="E5412">
            <v>30.68</v>
          </cell>
          <cell r="F5412">
            <v>0</v>
          </cell>
        </row>
        <row r="5413">
          <cell r="B5413">
            <v>96854</v>
          </cell>
          <cell r="C5413" t="str">
            <v>JOELHO 90 GRAUS, ROSCA FÊMEA TERMINAL, PARA INSTALAÇÕES EM PEX ÁGUA, DN 20MM X 3/4", CONEXÃO POR CRIMPAGEM - FORNECIMENTO E INSTALAÇÃO. AF_02/2023</v>
          </cell>
          <cell r="D5413" t="str">
            <v>UN</v>
          </cell>
          <cell r="E5413">
            <v>37.28</v>
          </cell>
          <cell r="F5413">
            <v>0</v>
          </cell>
        </row>
        <row r="5414">
          <cell r="B5414">
            <v>104571</v>
          </cell>
          <cell r="C5414" t="str">
            <v>JOELHO 90 GRAUS, ROSCA FÊMEA TERMINAL, PARA INSTALAÇÕES EM PEX ÁGUA, DN 25 MM X 3/4", FIXAÇÃO DAS CONEXÕES POR CRIMPAGEM - FORNECIMENTO E INSTALAÇÃO. AF_02/2023</v>
          </cell>
          <cell r="D5414" t="str">
            <v>UN</v>
          </cell>
          <cell r="E5414">
            <v>0</v>
          </cell>
        </row>
        <row r="5415">
          <cell r="B5415">
            <v>96856</v>
          </cell>
          <cell r="C5415" t="str">
            <v>JOELHO 90 GRAUS, ROSCA FÊMEA TERMINAL, PARA INSTALAÇÕES EM PEX ÁGUA, DN 25MM X 1/2", CONEXÃO POR CRIMPAGEM - FORNECIMENTO E INSTALAÇÃO. AF_02/2023</v>
          </cell>
          <cell r="D5415" t="str">
            <v>UN</v>
          </cell>
          <cell r="E5415">
            <v>41.74</v>
          </cell>
          <cell r="F5415">
            <v>0</v>
          </cell>
        </row>
        <row r="5416">
          <cell r="B5416">
            <v>104566</v>
          </cell>
          <cell r="C5416" t="str">
            <v>JOELHO 90 GRAUS, ROSCA MACHO TERMINAL, PARA INSTALAÇÕES EM PEX ÁGUA, DN 16 MM X 1/2", COM ANEL DESLIZANTE - FORNECIMENTO E INSTALAÇÃO. AF_02/2023</v>
          </cell>
          <cell r="D5416" t="str">
            <v>UN</v>
          </cell>
          <cell r="E5416">
            <v>0</v>
          </cell>
        </row>
        <row r="5417">
          <cell r="B5417">
            <v>104536</v>
          </cell>
          <cell r="C5417" t="str">
            <v>JOELHO 90 GRAUS, ROSCA MACHO TERMINAL, PARA INSTALAÇÕES EM PEX ÁGUA, DN 20 MM X 1/2", FIXAÇÃO DAS CONEXÕES POR CRIMPAGEM - FORNECIMENTO E INSTALAÇÃO. AF_02/2023</v>
          </cell>
          <cell r="D5417" t="str">
            <v>UN</v>
          </cell>
          <cell r="E5417">
            <v>0</v>
          </cell>
        </row>
        <row r="5418">
          <cell r="B5418">
            <v>104537</v>
          </cell>
          <cell r="C5418" t="str">
            <v>JOELHO 90 GRAUS, ROSCA MACHO TERMINAL, PARA INSTALAÇÕES EM PEX ÁGUA, DN 20 MM X 3/4", FIXAÇÃO DAS CONEXÕES POR CRIMPAGEM - FORNECIMENTO E INSTALAÇÃO. AF_02/2023</v>
          </cell>
          <cell r="D5418" t="str">
            <v>UN</v>
          </cell>
          <cell r="E5418">
            <v>0</v>
          </cell>
        </row>
        <row r="5419">
          <cell r="B5419">
            <v>104572</v>
          </cell>
          <cell r="C5419" t="str">
            <v>JOELHO 90 GRAUS, ROSCA MACHO TERMINAL, PARA INSTALAÇÕES EM PEX ÁGUA, DN 25 MM X 1", COM ANEL DESLIZANTE - FORNECIMENTO E INSTALAÇÃO. AF_02/2023</v>
          </cell>
          <cell r="D5419" t="str">
            <v>UN</v>
          </cell>
          <cell r="E5419">
            <v>0</v>
          </cell>
        </row>
        <row r="5420">
          <cell r="B5420">
            <v>104568</v>
          </cell>
          <cell r="C5420" t="str">
            <v>JOELHO 90 GRAUS, ROSCA MACHO TERMINAL, PARA INSTALAÇÕES EM PEX ÁGUA, DN 25 MM X 1/2", COM ANEL DESLIZANTE - FORNECIMENTO E INSTALAÇÃO. AF_02/2023</v>
          </cell>
          <cell r="D5420" t="str">
            <v>UN</v>
          </cell>
          <cell r="E5420">
            <v>0</v>
          </cell>
        </row>
        <row r="5421">
          <cell r="B5421">
            <v>104538</v>
          </cell>
          <cell r="C5421" t="str">
            <v>JOELHO 90 GRAUS, ROSCA MACHO TERMINAL, PARA INSTALAÇÕES EM PEX ÁGUA, DN 25 MM X 3/4", FIXAÇÃO DAS CONEXÕES POR CRIMPAGEM - FORNECIMENTO E INSTALAÇÃO. AF_02/2023</v>
          </cell>
          <cell r="D5421" t="str">
            <v>UN</v>
          </cell>
          <cell r="E5421">
            <v>0</v>
          </cell>
        </row>
        <row r="5422">
          <cell r="B5422">
            <v>104570</v>
          </cell>
          <cell r="C5422" t="str">
            <v>JOELHO 90 GRAUS, ROSCA MACHO TERMINAL, PARA INSTALAÇÕES EM PEX ÁGUA, DN 32 MM X 1", COM ANEL DESLIZANTE - FORNECIMENTO E INSTALAÇÃO. AF_02/2023</v>
          </cell>
          <cell r="D5422" t="str">
            <v>UN</v>
          </cell>
          <cell r="E5422">
            <v>0</v>
          </cell>
        </row>
        <row r="5423">
          <cell r="B5423">
            <v>104565</v>
          </cell>
          <cell r="C5423" t="str">
            <v>JOELHO ROSCA FÊMEA MÓVEL, PARA INSTALAÇÕES EM PEX ÁGUA, DN 16 MM X 1/2", COM ANEL DESLIZANTE - FORNECIMENTO E INSTALAÇÃO. AF_02/2023</v>
          </cell>
          <cell r="D5423" t="str">
            <v>UN</v>
          </cell>
          <cell r="E5423">
            <v>0</v>
          </cell>
        </row>
        <row r="5424">
          <cell r="B5424">
            <v>104567</v>
          </cell>
          <cell r="C5424" t="str">
            <v>JOELHO ROSCA FÊMEA MÓVEL, PARA INSTALAÇÕES EM PEX ÁGUA, DN 20 MM X 1/2", COM ANEL DESLIZANTE - FORNECIMENTO E INSTALAÇÃO. AF_02/2023</v>
          </cell>
          <cell r="D5424" t="str">
            <v>UN</v>
          </cell>
          <cell r="E5424">
            <v>0</v>
          </cell>
        </row>
        <row r="5425">
          <cell r="B5425">
            <v>104569</v>
          </cell>
          <cell r="C5425" t="str">
            <v>JOELHO ROSCA FÊMEA MÓVEL, PARA INSTALAÇÕES EM PEX ÁGUA, DN 25 MM X 3/4", COM ANEL DESLIZANTE - FORNECIMENTO E INSTALAÇÃO. AF_02/2023</v>
          </cell>
          <cell r="D5425" t="str">
            <v>UN</v>
          </cell>
          <cell r="E5425">
            <v>0</v>
          </cell>
        </row>
        <row r="5426">
          <cell r="B5426">
            <v>96843</v>
          </cell>
          <cell r="C5426" t="str">
            <v>JOELHO ROSCA FÊMEA, COM BASE FIXA, METÁLICO, PARA INSTALAÇÕES EM PEX ÁGUA, DN 20MM X 1/2", CONEXÃO POR ANEL DESLIZANTE - FORNECIMENTO E INSTALAÇÃO. AF_02/2023</v>
          </cell>
          <cell r="D5426" t="str">
            <v>UN</v>
          </cell>
          <cell r="E5426">
            <v>35.340000000000003</v>
          </cell>
          <cell r="F5426">
            <v>0</v>
          </cell>
        </row>
        <row r="5427">
          <cell r="B5427">
            <v>96847</v>
          </cell>
          <cell r="C5427" t="str">
            <v>JOELHO ROSCA FÊMEA, COM BASE FIXA, METÁLICO, PARA INSTALAÇÕES EM PEX ÁGUA, DN 25MM X 3/4", CONEXÃO POR ANEL DESLIZANTE - FORNECIMENTO E INSTALAÇÃO. AF_02/2023</v>
          </cell>
          <cell r="D5427" t="str">
            <v>UN</v>
          </cell>
          <cell r="E5427">
            <v>44.29</v>
          </cell>
          <cell r="F5427">
            <v>0</v>
          </cell>
        </row>
        <row r="5428">
          <cell r="B5428">
            <v>96844</v>
          </cell>
          <cell r="C5428" t="str">
            <v>JOELHO ROSCA FÊMEA, MÓVEL, METÁLICO, PARA INSTALAÇÕES EM PEX ÁGUA, DN 20MM X 3/4", CONEXÃO POR ANEL DESLIZANTE - FORNECIMENTO E INSTALAÇÃO. AF_02/2023</v>
          </cell>
          <cell r="D5428" t="str">
            <v>UN</v>
          </cell>
          <cell r="E5428">
            <v>40.46</v>
          </cell>
          <cell r="F5428">
            <v>0</v>
          </cell>
        </row>
        <row r="5429">
          <cell r="B5429">
            <v>96839</v>
          </cell>
          <cell r="C5429" t="str">
            <v>JOELHO, ROSCA FÊMEA, COM BASE FIXA, METÁLICO, PARA INSTALAÇÕES EM PEX ÁGUA, DN 16MM X 1/2", CONEXÃO POR ANEL DESLIZANTE - FORNECIMENTO E INSTALAÇÃO. AF_02/2023</v>
          </cell>
          <cell r="D5429" t="str">
            <v>UN</v>
          </cell>
          <cell r="E5429">
            <v>31.82</v>
          </cell>
          <cell r="F5429">
            <v>0</v>
          </cell>
        </row>
        <row r="5430">
          <cell r="B5430">
            <v>104574</v>
          </cell>
          <cell r="C5430" t="str">
            <v>JOELHO, ROSCA FÊMEA, COM BASE FIXA, PARA INSTALAÇÕES EM PEX ÁGUA, DN 16 MM X 3/4", FIXAÇÃO DAS CONEXÕES POR CRIMPAGEM - FORNECIMENTO E INSTALAÇÃO. AF_02/2023</v>
          </cell>
          <cell r="D5430" t="str">
            <v>UN</v>
          </cell>
          <cell r="E5430">
            <v>0</v>
          </cell>
        </row>
        <row r="5431">
          <cell r="B5431">
            <v>104575</v>
          </cell>
          <cell r="C5431" t="str">
            <v>JOELHO, ROSCA FÊMEA, COM BASE FIXA, PARA INSTALAÇÕES EM PEX ÁGUA, DN 20 MM X 3/4", FIXAÇÃO DAS CONEXÕES POR CRIMPAGEM - FORNECIMENTO E INSTALAÇÃO. AF_02/2023</v>
          </cell>
          <cell r="D5431" t="str">
            <v>UN</v>
          </cell>
          <cell r="E5431">
            <v>0</v>
          </cell>
        </row>
        <row r="5432">
          <cell r="B5432">
            <v>104573</v>
          </cell>
          <cell r="C5432" t="str">
            <v>JOELHO, ROSCA FÊMEA, COM BASE FIXA, PARA INSTALAÇÕES EM PEX ÁGUA, DN 25 MM X 1/2", FIXAÇÃO DAS CONEXÕES POR CRIMPAGEM - FORNECIMENTO E INSTALAÇÃO. AF_02/2023</v>
          </cell>
          <cell r="D5432" t="str">
            <v>UN</v>
          </cell>
          <cell r="E5432">
            <v>0</v>
          </cell>
        </row>
        <row r="5433">
          <cell r="B5433">
            <v>96805</v>
          </cell>
          <cell r="C5433" t="str">
            <v>KIT CHASSI PEX, PRÉ-FABRICADO, PARA CHUVEIRO, INCLUSO QUADRO METÁLICO, TUBOS, REGISTROS DE PRESSÃO E CONEXÕES POR ANEL DESLIZANTE - FORNECIMENTO E INSTALAÇÃO. AF_02/2023</v>
          </cell>
          <cell r="D5433" t="str">
            <v>UN</v>
          </cell>
          <cell r="E5433">
            <v>233.24</v>
          </cell>
          <cell r="F5433">
            <v>0</v>
          </cell>
        </row>
        <row r="5434">
          <cell r="B5434">
            <v>96802</v>
          </cell>
          <cell r="C5434" t="str">
            <v>KIT CHASSI PEX, PRÉ-FABRICADO, PARA CHUVEIRO, INCLUSO QUADRO METÁLICO, TUBOS, REGISTROS DE PRESSÃO E CONEXÕES POR CRIMPAGEM - FORNECIMENTO E INSTALAÇÃO. AF_02/2023</v>
          </cell>
          <cell r="D5434" t="str">
            <v>UN</v>
          </cell>
          <cell r="E5434">
            <v>439.69</v>
          </cell>
          <cell r="F5434">
            <v>0</v>
          </cell>
        </row>
        <row r="5435">
          <cell r="B5435">
            <v>96806</v>
          </cell>
          <cell r="C5435" t="str">
            <v>KIT CHASSI PEX, PRÉ-FABRICADO, PARA COZINHA COM CUBA SIMPLES, INCLUSO QUADRO METÁLICO, TUBOS E CONEXÕES POR ANEL DESLIZANTE - FORNECIMENTO E INSTALAÇÃO. AF_02/2023</v>
          </cell>
          <cell r="D5435" t="str">
            <v>UN</v>
          </cell>
          <cell r="E5435">
            <v>94.51</v>
          </cell>
          <cell r="F5435">
            <v>0</v>
          </cell>
        </row>
        <row r="5436">
          <cell r="B5436">
            <v>96803</v>
          </cell>
          <cell r="C5436" t="str">
            <v>KIT CHASSI PEX, PRÉ-FABRICADO, PARA COZINHA COM CUBA SIMPLES, INCLUSO QUADRO METÁLICO, TUBOS E CONEXÕES POR CRIMPAGEM - FORNECIMENTO E INSTALAÇÃO. AF_02/2023</v>
          </cell>
          <cell r="D5436" t="str">
            <v>UN</v>
          </cell>
          <cell r="E5436">
            <v>84.77</v>
          </cell>
          <cell r="F5436">
            <v>0</v>
          </cell>
        </row>
        <row r="5437">
          <cell r="B5437">
            <v>96807</v>
          </cell>
          <cell r="C5437" t="str">
            <v>KIT CHASSI PEX, PRÉ-FABRICADO, PARA ÁREA DE SERVIÇO COM TANQUE E MÁQUINA DE LAVAR ROUPA, INCLUSO QUADRO METÁLICO, TUBOS E CONEXÕES POR ANEL DESLIZANTE - FORNECIMENTO E INSTALAÇÃO. AF_02/2023</v>
          </cell>
          <cell r="D5437" t="str">
            <v>UN</v>
          </cell>
          <cell r="E5437">
            <v>154.83000000000001</v>
          </cell>
          <cell r="F5437">
            <v>0</v>
          </cell>
        </row>
        <row r="5438">
          <cell r="B5438">
            <v>96804</v>
          </cell>
          <cell r="C5438" t="str">
            <v>KIT CHASSI PEX, PRÉ-FABRICADO, PARA ÁREA DE SERVIÇO COM TANQUE E MÁQUINA DE LAVAR ROUPA, INCLUSO QUADRO METÁLICO, TUBOS E CONEXÕES POR CRIMPAGEM - FORNECIMENTO E INSTALAÇÃO. AF_02/2023</v>
          </cell>
          <cell r="D5438" t="str">
            <v>UN</v>
          </cell>
          <cell r="E5438">
            <v>141.06</v>
          </cell>
          <cell r="F5438">
            <v>0</v>
          </cell>
        </row>
        <row r="5439">
          <cell r="B5439">
            <v>96829</v>
          </cell>
          <cell r="C5439" t="str">
            <v>LUVA DE REDUÇÃO PARA INSTALAÇÕES EM PEX ÁGUA, DN 20 X 16 MM, CONEXÃO POR CRIMPAGEM - FORNECIMENTO E INSTALAÇÃO. AF_02/2023</v>
          </cell>
          <cell r="D5439" t="str">
            <v>UN</v>
          </cell>
          <cell r="E5439">
            <v>20.85</v>
          </cell>
          <cell r="F5439">
            <v>0</v>
          </cell>
        </row>
        <row r="5440">
          <cell r="B5440">
            <v>96833</v>
          </cell>
          <cell r="C5440" t="str">
            <v>LUVA DE REDUÇÃO PARA INSTALAÇÕES EM PEX ÁGUA, DN 25 X 16 MM, CONEXÃO POR CRIMPAGEM - FORNECIMENTO E INSTALAÇÃO. AF_02/2023</v>
          </cell>
          <cell r="D5440" t="str">
            <v>UN</v>
          </cell>
          <cell r="E5440">
            <v>26.28</v>
          </cell>
          <cell r="F5440">
            <v>0</v>
          </cell>
        </row>
        <row r="5441">
          <cell r="B5441">
            <v>96836</v>
          </cell>
          <cell r="C5441" t="str">
            <v>LUVA DE REDUÇÃO PARA INSTALAÇÕES EM PEX ÁGUA, DN 32 X 25 MM, CONEXÃO POR CRIMPAGEM - FORNECIMENTO E INSTALAÇÃO. AF_02/2023</v>
          </cell>
          <cell r="D5441" t="str">
            <v>UN</v>
          </cell>
          <cell r="E5441">
            <v>37.35</v>
          </cell>
          <cell r="F5441">
            <v>0</v>
          </cell>
        </row>
        <row r="5442">
          <cell r="B5442">
            <v>104576</v>
          </cell>
          <cell r="C5442" t="str">
            <v>LUVA DE REDUÇÃO, PARA INSTALAÇÕES EM PEX ÁGUA, DN 20 X 16 MM, COM ANEL DESLIZANTE - FORNECIMENTO E INSTALAÇÃO. AF_02/2023</v>
          </cell>
          <cell r="D5442" t="str">
            <v>UN</v>
          </cell>
          <cell r="E5442">
            <v>19.27</v>
          </cell>
          <cell r="F5442">
            <v>0</v>
          </cell>
        </row>
        <row r="5443">
          <cell r="B5443">
            <v>104577</v>
          </cell>
          <cell r="C5443" t="str">
            <v>LUVA DE REDUÇÃO, PARA INSTALAÇÕES EM PEX ÁGUA, DN 25 X 16 MM, COM ANEL DESLIZANTE - FORNECIMENTO E INSTALAÇÃO. AF_02/2023</v>
          </cell>
          <cell r="D5443" t="str">
            <v>UN</v>
          </cell>
          <cell r="E5443">
            <v>25.27</v>
          </cell>
          <cell r="F5443">
            <v>0</v>
          </cell>
        </row>
        <row r="5444">
          <cell r="B5444">
            <v>104578</v>
          </cell>
          <cell r="C5444" t="str">
            <v>LUVA DE REDUÇÃO, PARA INSTALAÇÕES EM PEX ÁGUA, DN 25 X 20 MM, COM ANEL DESLIZANTE - FORNECIMENTO E INSTALAÇÃO. AF_02/2023</v>
          </cell>
          <cell r="D5444" t="str">
            <v>UN</v>
          </cell>
          <cell r="E5444">
            <v>27.1</v>
          </cell>
          <cell r="F5444">
            <v>0</v>
          </cell>
        </row>
        <row r="5445">
          <cell r="B5445">
            <v>104580</v>
          </cell>
          <cell r="C5445" t="str">
            <v>LUVA DE REDUÇÃO, PARA INSTALAÇÕES EM PEX ÁGUA, DN 32 X 20 MM, FIXAÇÃO DAS CONEXÕES POR CRIMPAGEM - FORNECIMENTO E INSTALAÇÃO. AF_02/2023</v>
          </cell>
          <cell r="D5445" t="str">
            <v>UN</v>
          </cell>
          <cell r="E5445">
            <v>23.32</v>
          </cell>
          <cell r="F5445">
            <v>0</v>
          </cell>
        </row>
        <row r="5446">
          <cell r="B5446">
            <v>104579</v>
          </cell>
          <cell r="C5446" t="str">
            <v>LUVA DE REDUÇÃO, PARA INSTALAÇÕES EM PEX ÁGUA, DN 32 X 25 MM, COM ANEL DESLIZANTE - FORNECIMENTO E INSTALAÇÃO. AF_02/2023</v>
          </cell>
          <cell r="D5446" t="str">
            <v>UN</v>
          </cell>
          <cell r="E5446">
            <v>35.28</v>
          </cell>
          <cell r="F5446">
            <v>0</v>
          </cell>
        </row>
        <row r="5447">
          <cell r="B5447">
            <v>96823</v>
          </cell>
          <cell r="C5447" t="str">
            <v>LUVA PARA INSTALAÇÕES EM PEX ÁGUA, DN 16 MM, CONEXÃO POR CRIMPAGEM - FORNECIMENTO E INSTALAÇÃO. AF_02/2023</v>
          </cell>
          <cell r="D5447" t="str">
            <v>UN</v>
          </cell>
          <cell r="E5447">
            <v>13.38</v>
          </cell>
          <cell r="F5447">
            <v>0</v>
          </cell>
        </row>
        <row r="5448">
          <cell r="B5448">
            <v>96826</v>
          </cell>
          <cell r="C5448" t="str">
            <v>LUVA PARA INSTALAÇÕES EM PEX ÁGUA, DN 20 MM, CONEXÃO POR CRIMPAGEM - FORNECIMENTO E INSTALAÇÃO. AF_02/2023</v>
          </cell>
          <cell r="D5448" t="str">
            <v>UN</v>
          </cell>
          <cell r="E5448">
            <v>15.55</v>
          </cell>
          <cell r="F5448">
            <v>0</v>
          </cell>
        </row>
        <row r="5449">
          <cell r="B5449">
            <v>96830</v>
          </cell>
          <cell r="C5449" t="str">
            <v>LUVA PARA INSTALAÇÕES EM PEX ÁGUA, DN 25 MM, CONEXÃO POR CRIMPAGEM - FORNECIMENTO E INSTALAÇÃO. AF_02/2023</v>
          </cell>
          <cell r="D5449" t="str">
            <v>UN</v>
          </cell>
          <cell r="E5449">
            <v>23.75</v>
          </cell>
          <cell r="F5449">
            <v>0</v>
          </cell>
        </row>
        <row r="5450">
          <cell r="B5450">
            <v>96834</v>
          </cell>
          <cell r="C5450" t="str">
            <v>LUVA PARA INSTALAÇÕES EM PEX ÁGUA, DN 32 MM, CONEXÃO POR CRIMPAGEM - FORNECIMENTO E INSTALAÇÃO. AF_02/2023</v>
          </cell>
          <cell r="D5450" t="str">
            <v>UN</v>
          </cell>
          <cell r="E5450">
            <v>31.88</v>
          </cell>
          <cell r="F5450">
            <v>0</v>
          </cell>
        </row>
        <row r="5451">
          <cell r="B5451">
            <v>104581</v>
          </cell>
          <cell r="C5451" t="str">
            <v>LUVA, PARA INSTALAÇÕES EM PEX ÁGUA, DN 16 MM, COM ANEL DESLIZANTE - FORNECIMENTO E INSTALAÇÃO. AF_02/2023</v>
          </cell>
          <cell r="D5451" t="str">
            <v>UN</v>
          </cell>
          <cell r="E5451">
            <v>17.600000000000001</v>
          </cell>
          <cell r="F5451">
            <v>0</v>
          </cell>
        </row>
        <row r="5452">
          <cell r="B5452">
            <v>104582</v>
          </cell>
          <cell r="C5452" t="str">
            <v>LUVA, PARA INSTALAÇÕES EM PEX ÁGUA, DN 20 MM, COM ANEL DESLIZANTE - FORNECIMENTO E INSTALAÇÃO. AF_02/2023</v>
          </cell>
          <cell r="D5452" t="str">
            <v>UN</v>
          </cell>
          <cell r="E5452">
            <v>22.24</v>
          </cell>
          <cell r="F5452">
            <v>0</v>
          </cell>
        </row>
        <row r="5453">
          <cell r="B5453">
            <v>104583</v>
          </cell>
          <cell r="C5453" t="str">
            <v>LUVA, PARA INSTALAÇÕES EM PEX ÁGUA, DN 25 MM, COM ANEL DESLIZANTE - FORNECIMENTO E INSTALAÇÃO. AF_02/2023</v>
          </cell>
          <cell r="D5453" t="str">
            <v>UN</v>
          </cell>
          <cell r="E5453">
            <v>34.520000000000003</v>
          </cell>
          <cell r="F5453">
            <v>0</v>
          </cell>
        </row>
        <row r="5454">
          <cell r="B5454">
            <v>104584</v>
          </cell>
          <cell r="C5454" t="str">
            <v>LUVA, PARA INSTALAÇÕES EM PEX ÁGUA, DN 32 MM, COM ANEL DESLIZANTE - FORNECIMENTO E INSTALAÇÃO. AF_02/2023</v>
          </cell>
          <cell r="D5454" t="str">
            <v>UN</v>
          </cell>
          <cell r="E5454">
            <v>41.5</v>
          </cell>
          <cell r="F5454">
            <v>0</v>
          </cell>
        </row>
        <row r="5455">
          <cell r="B5455">
            <v>104585</v>
          </cell>
          <cell r="C5455" t="str">
            <v>TAMPÃO / CAP, ROSCA FÊMEA, PARA INSTALAÇÕES EM PEX ÁGUA, DN 1/2" - FORNECIMENTO E INSTALAÇÃO. AF_02/2023</v>
          </cell>
          <cell r="D5455" t="str">
            <v>UN</v>
          </cell>
          <cell r="E5455">
            <v>0</v>
          </cell>
        </row>
        <row r="5456">
          <cell r="B5456">
            <v>104587</v>
          </cell>
          <cell r="C5456" t="str">
            <v>TAMPÃO / CAP, ROSCA FÊMEA, PARA INSTALAÇÕES EM PEX ÁGUA, DN 3/4" - FORNECIMENTO E INSTALAÇÃO. AF_02/2023</v>
          </cell>
          <cell r="D5456" t="str">
            <v>UN</v>
          </cell>
          <cell r="E5456">
            <v>0</v>
          </cell>
        </row>
        <row r="5457">
          <cell r="B5457">
            <v>104586</v>
          </cell>
          <cell r="C5457" t="str">
            <v>TAMPÃO / CAP, ROSCA MACHO, PARA INSTALAÇÕES EM PEX ÁGUA, DN 1/2" - FORNECIMENTO E INSTALAÇÃO. AF_02/2023</v>
          </cell>
          <cell r="D5457" t="str">
            <v>UN</v>
          </cell>
          <cell r="E5457">
            <v>0</v>
          </cell>
        </row>
        <row r="5458">
          <cell r="B5458">
            <v>96798</v>
          </cell>
          <cell r="C5458" t="str">
            <v>TUBO, PEX, MONOCAMADA, DN 16, INSTALADO EM RAMAL/SUB-RAMAL OU DISTRIBUIÇÃO DE ÁGUA - FORNECIMENTO E INSTALAÇÃO. AF_02/2023</v>
          </cell>
          <cell r="D5458" t="str">
            <v>M</v>
          </cell>
          <cell r="E5458">
            <v>9.58</v>
          </cell>
          <cell r="F5458">
            <v>0</v>
          </cell>
        </row>
        <row r="5459">
          <cell r="B5459">
            <v>96799</v>
          </cell>
          <cell r="C5459" t="str">
            <v>TUBO, PEX, MONOCAMADA, DN 20, INSTALADO EM RAMAL/SUB-RAMAL OU DISTRIBUIÇÃO DE ÁGUA - FORNECIMENTO E INSTALAÇÃO. AF_02/2023</v>
          </cell>
          <cell r="D5459" t="str">
            <v>M</v>
          </cell>
          <cell r="E5459">
            <v>12.25</v>
          </cell>
          <cell r="F5459">
            <v>0</v>
          </cell>
        </row>
        <row r="5460">
          <cell r="B5460">
            <v>96800</v>
          </cell>
          <cell r="C5460" t="str">
            <v>TUBO, PEX, MONOCAMADA, DN 25, INSTALADO EM RAMAL/SUB-RAMAL OU DISTRIBUIÇÃO DE ÁGUA - FORNECIMENTO E INSTALAÇÃO. AF_02/2023</v>
          </cell>
          <cell r="D5460" t="str">
            <v>M</v>
          </cell>
          <cell r="E5460">
            <v>16.52</v>
          </cell>
          <cell r="F5460">
            <v>0</v>
          </cell>
        </row>
        <row r="5461">
          <cell r="B5461">
            <v>96801</v>
          </cell>
          <cell r="C5461" t="str">
            <v>TUBO, PEX, MONOCAMADA, DN 32, INSTALADO EM RAMAL/SUB-RAMAL OU DISTRIBUIÇÃO DE ÁGUA - FORNECIMENTO E INSTALAÇÃO. AF_02/2023</v>
          </cell>
          <cell r="D5461" t="str">
            <v>M</v>
          </cell>
          <cell r="E5461">
            <v>24.63</v>
          </cell>
          <cell r="F5461">
            <v>0</v>
          </cell>
        </row>
        <row r="5462">
          <cell r="B5462">
            <v>104539</v>
          </cell>
          <cell r="C5462" t="str">
            <v>TÊ DE REDUÇÃO, PARA INSTALAÇÕES EM PEX ÁGUA, DN 16 X 20 X 16 MM, COM ANEL DESLIZANTE - FORNECIMENTO E INSTALAÇÃO. AF_02/2023</v>
          </cell>
          <cell r="D5462" t="str">
            <v>UN</v>
          </cell>
          <cell r="E5462">
            <v>0</v>
          </cell>
        </row>
        <row r="5463">
          <cell r="B5463">
            <v>104541</v>
          </cell>
          <cell r="C5463" t="str">
            <v>TÊ DE REDUÇÃO, PARA INSTALAÇÕES EM PEX ÁGUA, DN 16 X 25 X 16 MM, COM ANEL DESLIZANTE - FORNECIMENTO E INSTALAÇÃO. AF_02/2023</v>
          </cell>
          <cell r="D5463" t="str">
            <v>UN</v>
          </cell>
          <cell r="E5463">
            <v>0</v>
          </cell>
        </row>
        <row r="5464">
          <cell r="B5464">
            <v>104540</v>
          </cell>
          <cell r="C5464" t="str">
            <v>TÊ DE REDUÇÃO, PARA INSTALAÇÕES EM PEX ÁGUA, DN 20 X 16 X 16 MM, COM ANEL DESLIZANTE - FORNECIMENTO E INSTALAÇÃO. AF_02/2023</v>
          </cell>
          <cell r="D5464" t="str">
            <v>UN</v>
          </cell>
          <cell r="E5464">
            <v>0</v>
          </cell>
        </row>
        <row r="5465">
          <cell r="B5465">
            <v>104543</v>
          </cell>
          <cell r="C5465" t="str">
            <v>TÊ DE REDUÇÃO, PARA INSTALAÇÕES EM PEX ÁGUA, DN 20 X 16 X 20 MM, COM ANEL DESLIZANTE - FORNECIMENTO E INSTALAÇÃO. AF_02/2023</v>
          </cell>
          <cell r="D5465" t="str">
            <v>UN</v>
          </cell>
          <cell r="E5465">
            <v>0</v>
          </cell>
        </row>
        <row r="5466">
          <cell r="B5466">
            <v>104544</v>
          </cell>
          <cell r="C5466" t="str">
            <v>TÊ DE REDUÇÃO, PARA INSTALAÇÕES EM PEX ÁGUA, DN 20 X 20 X 16 MM, COM ANEL DESLIZANTE - FORNECIMENTO E INSTALAÇÃO. AF_02/2023</v>
          </cell>
          <cell r="D5466" t="str">
            <v>UN</v>
          </cell>
          <cell r="E5466">
            <v>0</v>
          </cell>
        </row>
        <row r="5467">
          <cell r="B5467">
            <v>104545</v>
          </cell>
          <cell r="C5467" t="str">
            <v>TÊ DE REDUÇÃO, PARA INSTALAÇÕES EM PEX ÁGUA, DN 20 X 25 X 20 MM, COM ANEL DESLIZANTE - FORNECIMENTO E INSTALAÇÃO. AF_02/2023</v>
          </cell>
          <cell r="D5467" t="str">
            <v>UN</v>
          </cell>
          <cell r="E5467">
            <v>0</v>
          </cell>
        </row>
        <row r="5468">
          <cell r="B5468">
            <v>104542</v>
          </cell>
          <cell r="C5468" t="str">
            <v>TÊ DE REDUÇÃO, PARA INSTALAÇÕES EM PEX ÁGUA, DN 25 X 16 X 16 MM, COM ANEL DESLIZANTE - FORNECIMENTO E INSTALAÇÃO. AF_02/2023</v>
          </cell>
          <cell r="D5468" t="str">
            <v>UN</v>
          </cell>
          <cell r="E5468">
            <v>0</v>
          </cell>
        </row>
        <row r="5469">
          <cell r="B5469">
            <v>104592</v>
          </cell>
          <cell r="C5469" t="str">
            <v>TÊ DE REDUÇÃO, PARA INSTALAÇÕES EM PEX ÁGUA, DN 25 X 16 X 20 MM, COM ANEL DESLIZANTE - FORNECIMENTO E INSTALAÇÃO. AF_02/2023</v>
          </cell>
          <cell r="D5469" t="str">
            <v>UN</v>
          </cell>
          <cell r="E5469">
            <v>0</v>
          </cell>
        </row>
        <row r="5470">
          <cell r="B5470">
            <v>104548</v>
          </cell>
          <cell r="C5470" t="str">
            <v>TÊ DE REDUÇÃO, PARA INSTALAÇÕES EM PEX ÁGUA, DN 25 X 16 X 25 MM, COM ANEL DESLIZANTE - FORNECIMENTO E INSTALAÇÃO. AF_02/2023</v>
          </cell>
          <cell r="D5470" t="str">
            <v>UN</v>
          </cell>
          <cell r="E5470">
            <v>0</v>
          </cell>
        </row>
        <row r="5471">
          <cell r="B5471">
            <v>104546</v>
          </cell>
          <cell r="C5471" t="str">
            <v>TÊ DE REDUÇÃO, PARA INSTALAÇÕES EM PEX ÁGUA, DN 25 X 20 X 20 MM, COM ANEL DESLIZANTE - FORNECIMENTO E INSTALAÇÃO. AF_02/2023</v>
          </cell>
          <cell r="D5471" t="str">
            <v>UN</v>
          </cell>
          <cell r="E5471">
            <v>0</v>
          </cell>
        </row>
        <row r="5472">
          <cell r="B5472">
            <v>104549</v>
          </cell>
          <cell r="C5472" t="str">
            <v>TÊ DE REDUÇÃO, PARA INSTALAÇÕES EM PEX ÁGUA, DN 25 X 20 X 25 MM, COM ANEL DESLIZANTE - FORNECIMENTO E INSTALAÇÃO. AF_02/2023</v>
          </cell>
          <cell r="D5472" t="str">
            <v>UN</v>
          </cell>
          <cell r="E5472">
            <v>0</v>
          </cell>
        </row>
        <row r="5473">
          <cell r="B5473">
            <v>104550</v>
          </cell>
          <cell r="C5473" t="str">
            <v>TÊ DE REDUÇÃO, PARA INSTALAÇÕES EM PEX ÁGUA, DN 25 X 32 X 25 MM, COM ANEL DESLIZANTE - FORNECIMENTO E INSTALAÇÃO. AF_02/2023</v>
          </cell>
          <cell r="D5473" t="str">
            <v>UN</v>
          </cell>
          <cell r="E5473">
            <v>0</v>
          </cell>
        </row>
        <row r="5474">
          <cell r="B5474">
            <v>104552</v>
          </cell>
          <cell r="C5474" t="str">
            <v>TÊ DE REDUÇÃO, PARA INSTALAÇÕES EM PEX ÁGUA, DN 32 X 20 X 32 MM, COM ANEL DESLIZANTE - FORNECIMENTO E INSTALAÇÃO. AF_02/2023</v>
          </cell>
          <cell r="D5474" t="str">
            <v>UN</v>
          </cell>
          <cell r="E5474">
            <v>0</v>
          </cell>
        </row>
        <row r="5475">
          <cell r="B5475">
            <v>104551</v>
          </cell>
          <cell r="C5475" t="str">
            <v>TÊ DE REDUÇÃO, PARA INSTALAÇÕES EM PEX ÁGUA, DN 32 X 25 X 25 MM, COM ANEL DESLIZANTE - FORNECIMENTO E INSTALAÇÃO. AF_02/2023</v>
          </cell>
          <cell r="D5475" t="str">
            <v>UN</v>
          </cell>
          <cell r="E5475">
            <v>0</v>
          </cell>
        </row>
        <row r="5476">
          <cell r="B5476">
            <v>104553</v>
          </cell>
          <cell r="C5476" t="str">
            <v>TÊ DE REDUÇÃO, PARA INSTALAÇÕES EM PEX ÁGUA, DN 32 X 25 X 32 MM, COM ANEL DESLIZANTE - FORNECIMENTO E INSTALAÇÃO. AF_02/2023</v>
          </cell>
          <cell r="D5476" t="str">
            <v>UN</v>
          </cell>
          <cell r="E5476">
            <v>0</v>
          </cell>
        </row>
        <row r="5477">
          <cell r="B5477">
            <v>104554</v>
          </cell>
          <cell r="C5477" t="str">
            <v>TÊ MISTURADOR, PARA INSTALAÇÕES EM PEX ÁGUA, DN 16 MM X 1/2", COM ANEL DESLIZANTE - FORNECIMENTO E INSTALAÇÃO. AF_02/2023</v>
          </cell>
          <cell r="D5477" t="str">
            <v>UN</v>
          </cell>
          <cell r="E5477">
            <v>0</v>
          </cell>
        </row>
        <row r="5478">
          <cell r="B5478">
            <v>104555</v>
          </cell>
          <cell r="C5478" t="str">
            <v>TÊ MISTURADOR, PARA INSTALAÇÕES EM PEX ÁGUA, DN 20 MM X 3/4", COM ANEL DESLIZANTE - FORNECIMENTO E INSTALAÇÃO. AF_02/2023</v>
          </cell>
          <cell r="D5478" t="str">
            <v>UN</v>
          </cell>
          <cell r="E5478">
            <v>0</v>
          </cell>
        </row>
        <row r="5479">
          <cell r="B5479">
            <v>104556</v>
          </cell>
          <cell r="C5479" t="str">
            <v>TÊ ROSCA FÊMEA, PARA INSTALAÇÕES EM PEX ÁGUA, DN 20 MM X 3/4", COM ANEL DESLIZANTE - FORNECIMENTO E INSTALAÇÃO. AF_02/2023</v>
          </cell>
          <cell r="D5479" t="str">
            <v>UN</v>
          </cell>
          <cell r="E5479">
            <v>0</v>
          </cell>
        </row>
        <row r="5480">
          <cell r="B5480">
            <v>104558</v>
          </cell>
          <cell r="C5480" t="str">
            <v>TÊ ROSCA FÊMEA, PARA INSTALAÇÕES EM PEX ÁGUA, DN 25 MM X 1/2", COM ANEL DESLIZANTE - FORNECIMENTO E INSTALAÇÃO. AF_02/2023</v>
          </cell>
          <cell r="D5480" t="str">
            <v>UN</v>
          </cell>
          <cell r="E5480">
            <v>0</v>
          </cell>
        </row>
        <row r="5481">
          <cell r="B5481">
            <v>104559</v>
          </cell>
          <cell r="C5481" t="str">
            <v>TÊ ROSCA MACHO, PARA INSTALAÇÕES EM PEX ÁGUA, DN 16 MM X 1/2", COM ANEL DESLIZANTE - FORNECIMENTO E INSTALAÇÃO. AF_02/2023</v>
          </cell>
          <cell r="D5481" t="str">
            <v>UN</v>
          </cell>
          <cell r="E5481">
            <v>0</v>
          </cell>
        </row>
        <row r="5482">
          <cell r="B5482">
            <v>104560</v>
          </cell>
          <cell r="C5482" t="str">
            <v>TÊ ROSCA MACHO, PARA INSTALAÇÕES EM PEX ÁGUA, DN 20 MM X 1/2", COM ANEL DESLIZANTE - FORNECIMENTO E INSTALAÇÃO. AF_02/2023</v>
          </cell>
          <cell r="D5482" t="str">
            <v>UN</v>
          </cell>
          <cell r="E5482">
            <v>0</v>
          </cell>
        </row>
        <row r="5483">
          <cell r="B5483">
            <v>104557</v>
          </cell>
          <cell r="C5483" t="str">
            <v>TÊ ROSCA MACHO, PARA INSTALAÇÕES EM PEX ÁGUA, DN 20 MM X 3/4", COM ANEL DESLIZANTE - FORNECIMENTO E INSTALAÇÃO. AF_02/2023</v>
          </cell>
          <cell r="D5483" t="str">
            <v>UN</v>
          </cell>
          <cell r="E5483">
            <v>0</v>
          </cell>
        </row>
        <row r="5484">
          <cell r="B5484">
            <v>104561</v>
          </cell>
          <cell r="C5484" t="str">
            <v>TÊ ROSCA MACHO, PARA INSTALAÇÕES EM PEX ÁGUA, DN 25 MM X 3/4", COM ANEL DESLIZANTE - FORNECIMENTO E INSTALAÇÃO. AF_02/2023</v>
          </cell>
          <cell r="D5484" t="str">
            <v>UN</v>
          </cell>
          <cell r="E5484">
            <v>0</v>
          </cell>
        </row>
        <row r="5485">
          <cell r="B5485">
            <v>104562</v>
          </cell>
          <cell r="C5485" t="str">
            <v>TÊ ROSCA MACHO, PARA INSTALAÇÕES EM PEX ÁGUA, DN 32 MM X 3/4", COM ANEL DESLIZANTE - FORNECIMENTO E INSTALAÇÃO. AF_02/2023</v>
          </cell>
          <cell r="D5485" t="str">
            <v>UN</v>
          </cell>
          <cell r="E5485">
            <v>0</v>
          </cell>
        </row>
        <row r="5486">
          <cell r="B5486">
            <v>96860</v>
          </cell>
          <cell r="C5486" t="str">
            <v>TÊ, METÁLICO, PARA INSTALAÇÕES EM PEX ÁGUA, DN 16 MM, CONEXÃO POR ANEL DESLIZANTE - FORNECIMENTO E INSTALAÇÃO. AF_02/2023</v>
          </cell>
          <cell r="D5486" t="str">
            <v>UN</v>
          </cell>
          <cell r="E5486">
            <v>35.82</v>
          </cell>
          <cell r="F5486">
            <v>0</v>
          </cell>
        </row>
        <row r="5487">
          <cell r="B5487">
            <v>96862</v>
          </cell>
          <cell r="C5487" t="str">
            <v>TÊ, METÁLICO, PARA INSTALAÇÕES EM PEX ÁGUA, DN 20 MM, CONEXÃO POR ANEL DESLIZANTE - FORNECIMENTO E INSTALAÇÃO. AF_02/2023</v>
          </cell>
          <cell r="D5487" t="str">
            <v>UN</v>
          </cell>
          <cell r="E5487">
            <v>43.82</v>
          </cell>
          <cell r="F5487">
            <v>0</v>
          </cell>
        </row>
        <row r="5488">
          <cell r="B5488">
            <v>96864</v>
          </cell>
          <cell r="C5488" t="str">
            <v>TÊ, METÁLICO, PARA INSTALAÇÕES EM PEX ÁGUA, DN 25 MM, CONEXÃO POR ANEL DESLIZANTE - FORNECIMENTO E INSTALAÇÃO. AF_02/2023</v>
          </cell>
          <cell r="D5488" t="str">
            <v>UN</v>
          </cell>
          <cell r="E5488">
            <v>60.65</v>
          </cell>
          <cell r="F5488">
            <v>0</v>
          </cell>
        </row>
        <row r="5489">
          <cell r="B5489">
            <v>96866</v>
          </cell>
          <cell r="C5489" t="str">
            <v>TÊ, METÁLICO, PARA INSTALAÇÕES EM PEX ÁGUA, DN 32 MM, CONEXÃO POR ANEL DESLIZANTE - FORNECIMENTO E INSTALAÇÃO. AF_02/2023</v>
          </cell>
          <cell r="D5489" t="str">
            <v>UN</v>
          </cell>
          <cell r="E5489">
            <v>78.400000000000006</v>
          </cell>
          <cell r="F5489">
            <v>0</v>
          </cell>
        </row>
        <row r="5490">
          <cell r="B5490">
            <v>96868</v>
          </cell>
          <cell r="C5490" t="str">
            <v>TÊ, PARA INSTALAÇÕES EM PEX ÁGUA, DN 16 MM, CONEXÃO POR CRIMPAGEM - FORNECIMENTO E INSTALAÇÃO. AF_02/2023</v>
          </cell>
          <cell r="D5490" t="str">
            <v>UN</v>
          </cell>
          <cell r="E5490">
            <v>23.62</v>
          </cell>
          <cell r="F5490">
            <v>0</v>
          </cell>
        </row>
        <row r="5491">
          <cell r="B5491">
            <v>96869</v>
          </cell>
          <cell r="C5491" t="str">
            <v>TÊ, PARA INSTALAÇÕES EM PEX ÁGUA, DN 20 MM, CONEXÃO POR CRIMPAGEM - FORNECIMENTO E INSTALAÇÃO. AF_02/2023</v>
          </cell>
          <cell r="D5491" t="str">
            <v>UN</v>
          </cell>
          <cell r="E5491">
            <v>35</v>
          </cell>
          <cell r="F5491">
            <v>0</v>
          </cell>
        </row>
        <row r="5492">
          <cell r="B5492">
            <v>96870</v>
          </cell>
          <cell r="C5492" t="str">
            <v>TÊ, PARA INSTALAÇÕES EM PEX ÁGUA, DN 25 MM, CONEXÃO POR CRIMPAGEM - FORNECIMENTO E INSTALAÇÃO. AF_02/2023</v>
          </cell>
          <cell r="D5492" t="str">
            <v>UN</v>
          </cell>
          <cell r="E5492">
            <v>51.33</v>
          </cell>
          <cell r="F5492">
            <v>0</v>
          </cell>
        </row>
        <row r="5493">
          <cell r="B5493">
            <v>96871</v>
          </cell>
          <cell r="C5493" t="str">
            <v>TÊ, PARA INSTALAÇÕES EM PEX ÁGUA, DN 32 MM, CONEXÃO POR CRIMPAGEM - FORNECIMENTO E INSTALAÇÃO. AF_02/2023</v>
          </cell>
          <cell r="D5493" t="str">
            <v>UN</v>
          </cell>
          <cell r="E5493">
            <v>59.08</v>
          </cell>
          <cell r="F5493">
            <v>0</v>
          </cell>
        </row>
        <row r="5494">
          <cell r="B5494">
            <v>96861</v>
          </cell>
          <cell r="C5494" t="str">
            <v>TÊ, ROSCA FÊMEA, METÁLICO, PARA INSTALAÇÕES EM PEX ÁGUA, DN 16 MM X ½", CONEXÃO POR ANEL DESLIZANTE - FORNECIMENTO E INSTALAÇÃO. AF_02/2023</v>
          </cell>
          <cell r="D5494" t="str">
            <v>UN</v>
          </cell>
          <cell r="E5494">
            <v>45.07</v>
          </cell>
          <cell r="F5494">
            <v>0</v>
          </cell>
        </row>
        <row r="5495">
          <cell r="B5495">
            <v>96863</v>
          </cell>
          <cell r="C5495" t="str">
            <v>TÊ, ROSCA FÊMEA, METÁLICO, PARA INSTALAÇÕES EM PEX ÁGUA, DN 20 MM X 1/2", CONEXÃO POR ANEL DESLIZANTE - FORNECIMENTO E INSTALAÇÃO. AF_02/2023</v>
          </cell>
          <cell r="D5495" t="str">
            <v>UN</v>
          </cell>
          <cell r="E5495">
            <v>46.64</v>
          </cell>
          <cell r="F5495">
            <v>0</v>
          </cell>
        </row>
        <row r="5496">
          <cell r="B5496">
            <v>96865</v>
          </cell>
          <cell r="C5496" t="str">
            <v>TÊ, ROSCA FÊMEA, METÁLICO, PARA INSTALAÇÕES EM PEX ÁGUA, DN 25 MM X 3/4", CONEXÃO POR ANEL DESLIZANTE - FORNECIMENTO E INSTALAÇÃO. AF_02/2023</v>
          </cell>
          <cell r="D5496" t="str">
            <v>UN</v>
          </cell>
          <cell r="E5496">
            <v>55.11</v>
          </cell>
          <cell r="F5496">
            <v>0</v>
          </cell>
        </row>
        <row r="5497">
          <cell r="B5497">
            <v>96814</v>
          </cell>
          <cell r="C5497" t="str">
            <v>UNIÃO DE REDUÇÃO, METÁLICA, PARA INSTALAÇÕES EM PEX ÁGUA, DN 20 X 16 MM, CONEXÃO POR ANEL DESLIZANTE - FORNECIMENTO E INSTALAÇÃO. AF_02/2023</v>
          </cell>
          <cell r="D5497" t="str">
            <v>UN</v>
          </cell>
          <cell r="E5497">
            <v>19.27</v>
          </cell>
          <cell r="F5497">
            <v>0</v>
          </cell>
        </row>
        <row r="5498">
          <cell r="B5498">
            <v>96818</v>
          </cell>
          <cell r="C5498" t="str">
            <v>UNIÃO DE REDUÇÃO, METÁLICA, PARA INSTALAÇÕES EM PEX ÁGUA, DN 25 X 16 MM, CONEXÃO POR ANEL DESLIZANTE - FORNECIMENTO E INSTALAÇÃO. AF_02/2023</v>
          </cell>
          <cell r="D5498" t="str">
            <v>UN</v>
          </cell>
          <cell r="E5498">
            <v>25.27</v>
          </cell>
          <cell r="F5498">
            <v>0</v>
          </cell>
        </row>
        <row r="5499">
          <cell r="B5499">
            <v>96819</v>
          </cell>
          <cell r="C5499" t="str">
            <v>UNIÃO DE REDUÇÃO, METÁLICA, PARA INSTALAÇÕES EM PEX ÁGUA, DN 25 X 20 MM, CONEXÃO POR ANEL DESLIZANTE - FORNECIMENTO E INSTALAÇÃO. AF_02/2023</v>
          </cell>
          <cell r="D5499" t="str">
            <v>UN</v>
          </cell>
          <cell r="E5499">
            <v>27.1</v>
          </cell>
          <cell r="F5499">
            <v>0</v>
          </cell>
        </row>
        <row r="5500">
          <cell r="B5500">
            <v>96822</v>
          </cell>
          <cell r="C5500" t="str">
            <v>UNIÃO DE REDUÇÃO, METÁLICA, PARA INSTALAÇÕES EM PEX ÁGUA, DN 32 X 25 MM, CONEXÃO POR ANEL DESLIZANTE - FORNECIMENTO E INSTALAÇÃO. AF_02/2023</v>
          </cell>
          <cell r="D5500" t="str">
            <v>UN</v>
          </cell>
          <cell r="E5500">
            <v>35.28</v>
          </cell>
          <cell r="F5500">
            <v>0</v>
          </cell>
        </row>
        <row r="5501">
          <cell r="B5501">
            <v>96808</v>
          </cell>
          <cell r="C5501" t="str">
            <v>UNIÃO METÁLICA PARA INSTALAÇÕES EM PEX ÁGUA, DN 16 MM, COM ANEL DESLIZANTE - FORNECIMENTO E INSTALAÇÃO. AF_02/2023</v>
          </cell>
          <cell r="D5501" t="str">
            <v>UN</v>
          </cell>
          <cell r="E5501">
            <v>20.85</v>
          </cell>
          <cell r="F5501">
            <v>0</v>
          </cell>
        </row>
        <row r="5502">
          <cell r="B5502">
            <v>96811</v>
          </cell>
          <cell r="C5502" t="str">
            <v>UNIÃO METÁLICA PARA INSTALAÇÕES EM PEX ÁGUA, DN 20 MM, COM ANEL DESLIZANTE - FORNECIMENTO E INSTALAÇÃO. AF_02/2023</v>
          </cell>
          <cell r="D5502" t="str">
            <v>UN</v>
          </cell>
          <cell r="E5502">
            <v>26.08</v>
          </cell>
          <cell r="F5502">
            <v>0</v>
          </cell>
        </row>
        <row r="5503">
          <cell r="B5503">
            <v>96815</v>
          </cell>
          <cell r="C5503" t="str">
            <v>UNIÃO METÁLICA PARA INSTALAÇÕES EM PEX ÁGUA, DN 25 MM, COM ANEL DESLIZANTE - FORNECIMENTO E INSTALAÇÃO. AF_02/2023</v>
          </cell>
          <cell r="D5503" t="str">
            <v>UN</v>
          </cell>
          <cell r="E5503">
            <v>39.130000000000003</v>
          </cell>
          <cell r="F5503">
            <v>0</v>
          </cell>
        </row>
        <row r="5504">
          <cell r="B5504">
            <v>96820</v>
          </cell>
          <cell r="C5504" t="str">
            <v>UNIÃO METÁLICA PARA INSTALAÇÕES EM PEX ÁGUA, DN 32 MM, COM ANEL DESLIZANTE - FORNECIMENTO E INSTALAÇÃO. AF_02/2023</v>
          </cell>
          <cell r="D5504" t="str">
            <v>UN</v>
          </cell>
          <cell r="E5504">
            <v>47.16</v>
          </cell>
          <cell r="F5504">
            <v>0</v>
          </cell>
        </row>
        <row r="5505">
          <cell r="B5505">
            <v>96702</v>
          </cell>
          <cell r="C5505" t="str">
            <v>BUCHA DE REDUÇÃO, PPR, 32 X 25, CLASSE PN 25, INSTALADO EM PRUMADA DE ÁGUA FORNECIMENTO E INSTALAÇÃO . AF_08/2022</v>
          </cell>
          <cell r="D5505" t="str">
            <v>UN</v>
          </cell>
          <cell r="E5505">
            <v>15.04</v>
          </cell>
          <cell r="F5505">
            <v>0</v>
          </cell>
        </row>
        <row r="5506">
          <cell r="B5506">
            <v>96662</v>
          </cell>
          <cell r="C5506" t="str">
            <v>BUCHA DE REDUÇÃO, PPR, 32 X 25, CLASSE PN 25, INSTALADO EM RAMAL DE DISTRIBUIÇÃO DE ÁGUA FORNECIMENTO E INSTALAÇÃO. AF_08/2022</v>
          </cell>
          <cell r="D5506" t="str">
            <v>UN</v>
          </cell>
          <cell r="E5506">
            <v>11.84</v>
          </cell>
          <cell r="F5506">
            <v>0</v>
          </cell>
        </row>
        <row r="5507">
          <cell r="B5507">
            <v>96704</v>
          </cell>
          <cell r="C5507" t="str">
            <v>BUCHA DE REDUÇÃO, PPR, 40 X 25, CLASSE PN 25, INSTALADO EM PRUMADA DE ÁGUA FORNECIMENTO E INSTALAÇÃO . AF_08/2022</v>
          </cell>
          <cell r="D5507" t="str">
            <v>UN</v>
          </cell>
          <cell r="E5507">
            <v>25.01</v>
          </cell>
          <cell r="F5507">
            <v>0</v>
          </cell>
        </row>
        <row r="5508">
          <cell r="B5508">
            <v>96664</v>
          </cell>
          <cell r="C5508" t="str">
            <v>BUCHA DE REDUÇÃO, PPR, 40 X 25, CLASSE PN 25, INSTALADO EM RAMAL DE DISTRIBUIÇÃO DE ÁGUA FORNECIMENTO E INSTALAÇÃO. AF_08/2022</v>
          </cell>
          <cell r="D5508" t="str">
            <v>UN</v>
          </cell>
          <cell r="E5508">
            <v>20.89</v>
          </cell>
          <cell r="F5508">
            <v>0</v>
          </cell>
        </row>
        <row r="5509">
          <cell r="B5509">
            <v>104191</v>
          </cell>
          <cell r="C5509" t="str">
            <v>BUCHA DE REDUÇÃO, PPR, DN 25 X 20 MM, INSTALADO EM RAMAL OU SUB-RAMAL DE ÁGUA - FORNECIMENTO E INSTALAÇÃO. AF_08/2022</v>
          </cell>
          <cell r="D5509" t="str">
            <v>UN</v>
          </cell>
          <cell r="E5509">
            <v>13.68</v>
          </cell>
          <cell r="F5509">
            <v>0</v>
          </cell>
        </row>
        <row r="5510">
          <cell r="B5510">
            <v>96700</v>
          </cell>
          <cell r="C5510" t="str">
            <v>CONECTOR FÊMEA, PPR, 25 X 1/2", CLASSE PN 25, INSTALADO EM PRUMADA DE ÁGUA FORNECIMENTO E INSTALAÇÃO . AF_08/2022</v>
          </cell>
          <cell r="D5510" t="str">
            <v>UN</v>
          </cell>
          <cell r="E5510">
            <v>20.7</v>
          </cell>
          <cell r="F5510">
            <v>0</v>
          </cell>
        </row>
        <row r="5511">
          <cell r="B5511">
            <v>96658</v>
          </cell>
          <cell r="C5511" t="str">
            <v>CONECTOR FÊMEA, PPR, 25 X 1/2, CLASSE PN 25, INSTALADO EM RAMAL DE DISTRIBUIÇÃO DE ÁGUA FORNECIMENTO E INSTALAÇÃO. AF_08/2022</v>
          </cell>
          <cell r="D5511" t="str">
            <v>UN</v>
          </cell>
          <cell r="E5511">
            <v>18.260000000000002</v>
          </cell>
          <cell r="F5511">
            <v>0</v>
          </cell>
        </row>
        <row r="5512">
          <cell r="B5512">
            <v>96641</v>
          </cell>
          <cell r="C5512" t="str">
            <v>CONECTOR FÊMEA, PPR, 25 X 1/2, CLASSE PN 25, INSTALADO EM RAMAL OU SUB-RAMAL DE ÁGUA FORNECIMENTO E INSTALAÇÃO. AF_08/2022</v>
          </cell>
          <cell r="D5512" t="str">
            <v>UN</v>
          </cell>
          <cell r="E5512">
            <v>21.26</v>
          </cell>
          <cell r="F5512">
            <v>0</v>
          </cell>
        </row>
        <row r="5513">
          <cell r="B5513">
            <v>96661</v>
          </cell>
          <cell r="C5513" t="str">
            <v>CONECTOR FÊMEA, PPR, 32 X 3/4", CLASSE PN 25, INSTALADO EM RAMAL DE DISTRIBUIÇÃO DE ÁGUA FORNECIMENTO E INSTALAÇÃO. AF_08/2022</v>
          </cell>
          <cell r="D5513" t="str">
            <v>UN</v>
          </cell>
          <cell r="E5513">
            <v>37.01</v>
          </cell>
          <cell r="F5513">
            <v>0</v>
          </cell>
        </row>
        <row r="5514">
          <cell r="B5514">
            <v>96699</v>
          </cell>
          <cell r="C5514" t="str">
            <v>CONECTOR MACHO, PPR, 25 X 1/2", CLASSE PN 25, INSTALADO EM PRUMADA DE ÁGUA FORNECIMENTO E INSTALAÇÃO . AF_08/2022</v>
          </cell>
          <cell r="D5514" t="str">
            <v>UN</v>
          </cell>
          <cell r="E5514">
            <v>30.27</v>
          </cell>
          <cell r="F5514">
            <v>0</v>
          </cell>
        </row>
        <row r="5515">
          <cell r="B5515">
            <v>96657</v>
          </cell>
          <cell r="C5515" t="str">
            <v>CONECTOR MACHO, PPR, 25 X 1/2, CLASSE PN 25, INSTALADO EM RAMAL DE DISTRIBUIÇÃO DE ÁGUA FORNECIMENTO E INSTALAÇÃO. AF_08/2022</v>
          </cell>
          <cell r="D5515" t="str">
            <v>UN</v>
          </cell>
          <cell r="E5515">
            <v>27.83</v>
          </cell>
          <cell r="F5515">
            <v>0</v>
          </cell>
        </row>
        <row r="5516">
          <cell r="B5516">
            <v>96640</v>
          </cell>
          <cell r="C5516" t="str">
            <v>CONECTOR MACHO, PPR, 25 X 1/2, CLASSE PN 25, INSTALADO EM RAMAL OU SUB-RAMAL DE ÁGUA FORNECIMENTO E INSTALAÇÃO. AF_08/2022</v>
          </cell>
          <cell r="D5516" t="str">
            <v>UN</v>
          </cell>
          <cell r="E5516">
            <v>30.83</v>
          </cell>
          <cell r="F5516">
            <v>0</v>
          </cell>
        </row>
        <row r="5517">
          <cell r="B5517">
            <v>96660</v>
          </cell>
          <cell r="C5517" t="str">
            <v>CONECTOR MACHO, PPR, 32 X 3/4", CLASSE PN 25, INSTALADO EM RAMAL DE DISTRIBUIÇÃO DE ÁGUA FORNECIMENTO E INSTALAÇÃO. AF_08/2022</v>
          </cell>
          <cell r="D5517" t="str">
            <v>UN</v>
          </cell>
          <cell r="E5517">
            <v>37.35</v>
          </cell>
          <cell r="F5517">
            <v>0</v>
          </cell>
        </row>
        <row r="5518">
          <cell r="B5518">
            <v>104196</v>
          </cell>
          <cell r="C5518" t="str">
            <v>CURVA 90 GRAUS, PPR, DN 20 MM, INSTALADO EM RAMAL OU SUB-RAMAL DE ÁGUA - FORNECIMENTO E INSTALAÇÃO. AF_08/2022</v>
          </cell>
          <cell r="D5518" t="str">
            <v>UN</v>
          </cell>
          <cell r="E5518">
            <v>19.62</v>
          </cell>
          <cell r="F5518">
            <v>0</v>
          </cell>
        </row>
        <row r="5519">
          <cell r="B5519">
            <v>104197</v>
          </cell>
          <cell r="C5519" t="str">
            <v>CURVA 90 GRAUS, PPR, DN 25 MM, INSTALADO EM RAMAL OU SUB-RAMAL DE ÁGUA - FORNECIMENTO E INSTALAÇÃO. AF_08/2022</v>
          </cell>
          <cell r="D5519" t="str">
            <v>UN</v>
          </cell>
          <cell r="E5519">
            <v>37.82</v>
          </cell>
          <cell r="F5519">
            <v>0</v>
          </cell>
        </row>
        <row r="5520">
          <cell r="B5520">
            <v>104198</v>
          </cell>
          <cell r="C5520" t="str">
            <v>JOELHO 45 GRAUS, PPR, DN 20 MM, INSTALADO EM RAMAL OU SUB-RAMAL DE ÁGUA - FORNECIMENTO E INSTALAÇÃO. AF_08/2022</v>
          </cell>
          <cell r="D5520" t="str">
            <v>UN</v>
          </cell>
          <cell r="E5520">
            <v>10.47</v>
          </cell>
          <cell r="F5520">
            <v>0</v>
          </cell>
        </row>
        <row r="5521">
          <cell r="B5521">
            <v>96685</v>
          </cell>
          <cell r="C5521" t="str">
            <v>JOELHO 45 GRAUS, PPR, DN 25 MM, CLASSE PN 25, INSTALADO EM PRUMADA DE ÁGUA FORNECIMENTO E INSTALAÇÃO . AF_08/2022</v>
          </cell>
          <cell r="D5521" t="str">
            <v>UN</v>
          </cell>
          <cell r="E5521">
            <v>16.11</v>
          </cell>
          <cell r="F5521">
            <v>0</v>
          </cell>
        </row>
        <row r="5522">
          <cell r="B5522">
            <v>96651</v>
          </cell>
          <cell r="C5522" t="str">
            <v>JOELHO 45 GRAUS, PPR, DN 25 MM, CLASSE PN 25, INSTALADO EM RAMAL DE DISTRIBUIÇÃO DE ÁGUA FORNECIMENTO E INSTALAÇÃO. AF_08/2022</v>
          </cell>
          <cell r="D5522" t="str">
            <v>UN</v>
          </cell>
          <cell r="E5522">
            <v>12.47</v>
          </cell>
          <cell r="F5522">
            <v>0</v>
          </cell>
        </row>
        <row r="5523">
          <cell r="B5523">
            <v>96638</v>
          </cell>
          <cell r="C5523" t="str">
            <v>JOELHO 45 GRAUS, PPR, DN 25 MM, CLASSE PN 25, INSTALADO EM RAMAL OU SUB-RAMAL DE ÁGUA FORNECIMENTO E INSTALAÇÃO. AF_08/2022</v>
          </cell>
          <cell r="D5523" t="str">
            <v>UN</v>
          </cell>
          <cell r="E5523">
            <v>22.56</v>
          </cell>
          <cell r="F5523">
            <v>0</v>
          </cell>
        </row>
        <row r="5524">
          <cell r="B5524">
            <v>96687</v>
          </cell>
          <cell r="C5524" t="str">
            <v>JOELHO 45 GRAUS, PPR, DN 32 MM, CLASSE PN 25, INSTALADO EM PRUMADA DE ÁGUA FORNECIMENTO E INSTALAÇÃO . AF_08/2022</v>
          </cell>
          <cell r="D5524" t="str">
            <v>UN</v>
          </cell>
          <cell r="E5524">
            <v>23.71</v>
          </cell>
          <cell r="F5524">
            <v>0</v>
          </cell>
        </row>
        <row r="5525">
          <cell r="B5525">
            <v>96653</v>
          </cell>
          <cell r="C5525" t="str">
            <v>JOELHO 45 GRAUS, PPR, DN 32 MM, CLASSE PN 25, INSTALADO EM RAMAL DE DISTRIBUIÇÃO DE ÁGUA - FORNECIMENTO E INSTALAÇÃO. AF_08/2022</v>
          </cell>
          <cell r="D5525" t="str">
            <v>UN</v>
          </cell>
          <cell r="E5525">
            <v>17.72</v>
          </cell>
          <cell r="F5525">
            <v>0</v>
          </cell>
        </row>
        <row r="5526">
          <cell r="B5526">
            <v>96689</v>
          </cell>
          <cell r="C5526" t="str">
            <v>JOELHO 45 GRAUS, PPR, DN 40 MM, CLASSE PN 25, INSTALADO EM PRUMADA DE ÁGUA FORNECIMENTO E INSTALAÇÃO . AF_08/2022</v>
          </cell>
          <cell r="D5526" t="str">
            <v>UN</v>
          </cell>
          <cell r="E5526">
            <v>34.68</v>
          </cell>
          <cell r="F5526">
            <v>0</v>
          </cell>
        </row>
        <row r="5527">
          <cell r="B5527">
            <v>96655</v>
          </cell>
          <cell r="C5527" t="str">
            <v>JOELHO 45 GRAUS, PPR, DN 40 MM, CLASSE PN 25, INSTALADO EM RAMAL DE DISTRIBUIÇÃO DE ÁGUA - FORNECIMENTO E INSTALAÇÃO. AF_08/2022</v>
          </cell>
          <cell r="D5527" t="str">
            <v>UN</v>
          </cell>
          <cell r="E5527">
            <v>26.04</v>
          </cell>
          <cell r="F5527">
            <v>0</v>
          </cell>
        </row>
        <row r="5528">
          <cell r="B5528">
            <v>96691</v>
          </cell>
          <cell r="C5528" t="str">
            <v>JOELHO 45 GRAUS, PPR, DN 50 MM, CLASSE PN 25, INSTALADO EM PRUMADA DE ÁGUA FORNECIMENTO E INSTALAÇÃO . AF_08/2022</v>
          </cell>
          <cell r="D5528" t="str">
            <v>UN</v>
          </cell>
          <cell r="E5528">
            <v>48.66</v>
          </cell>
          <cell r="F5528">
            <v>0</v>
          </cell>
        </row>
        <row r="5529">
          <cell r="B5529">
            <v>96693</v>
          </cell>
          <cell r="C5529" t="str">
            <v>JOELHO 45 GRAUS, PPR, DN 63 MM, CLASSE PN 25, INSTALADO EM PRUMADA DE ÁGUA FORNECIMENTO E INSTALAÇÃO . AF_08/2022</v>
          </cell>
          <cell r="D5529" t="str">
            <v>UN</v>
          </cell>
          <cell r="E5529">
            <v>71.489999999999995</v>
          </cell>
          <cell r="F5529">
            <v>0</v>
          </cell>
        </row>
        <row r="5530">
          <cell r="B5530">
            <v>96695</v>
          </cell>
          <cell r="C5530" t="str">
            <v>JOELHO 45 GRAUS, PPR, DN 75 MM, CLASSE PN 25, INSTALADO EM PRUMADA DE ÁGUA FORNECIMENTO E INSTALAÇÃO . AF_08/2022</v>
          </cell>
          <cell r="D5530" t="str">
            <v>UN</v>
          </cell>
          <cell r="E5530">
            <v>119.71</v>
          </cell>
          <cell r="F5530">
            <v>0</v>
          </cell>
        </row>
        <row r="5531">
          <cell r="B5531">
            <v>104193</v>
          </cell>
          <cell r="C5531" t="str">
            <v>JOELHO 45 GRAUS, PPR, F/ F, DN 90 MM, INSTALADO EM PRUMADA DE ÁGUA - FORNECIMENTO E INSTALAÇÃO. AF_08/2022</v>
          </cell>
          <cell r="D5531" t="str">
            <v>UN</v>
          </cell>
          <cell r="E5531">
            <v>195.06</v>
          </cell>
          <cell r="F5531">
            <v>0</v>
          </cell>
        </row>
        <row r="5532">
          <cell r="B5532">
            <v>96697</v>
          </cell>
          <cell r="C5532" t="str">
            <v>JOELHO 90 GRAUS, PPR, DN 110 MM, CLASSE PN 25, INSTALADO EM PRUMADA DE ÁGUA FORNECIMENTO E INSTALAÇÃO . AF_08/2022</v>
          </cell>
          <cell r="D5532" t="str">
            <v>UN</v>
          </cell>
          <cell r="E5532">
            <v>387.17</v>
          </cell>
          <cell r="F5532">
            <v>0</v>
          </cell>
        </row>
        <row r="5533">
          <cell r="B5533">
            <v>104199</v>
          </cell>
          <cell r="C5533" t="str">
            <v>JOELHO 90 GRAUS, PPR, DN 20 MM, INSTALADO EM RAMAL OU SUB-RAMAL DE ÁGUA - FORNECIMENTO E INSTALAÇÃO. AF_08/2022</v>
          </cell>
          <cell r="D5533" t="str">
            <v>UN</v>
          </cell>
          <cell r="E5533">
            <v>10.199999999999999</v>
          </cell>
          <cell r="F5533">
            <v>0</v>
          </cell>
        </row>
        <row r="5534">
          <cell r="B5534">
            <v>96684</v>
          </cell>
          <cell r="C5534" t="str">
            <v>JOELHO 90 GRAUS, PPR, DN 25 MM, CLASSE PN 25, INSTALADO EM PRUMADA DE ÁGUA FORNECIMENTO E INSTALAÇÃO . AF_08/2022</v>
          </cell>
          <cell r="D5534" t="str">
            <v>UN</v>
          </cell>
          <cell r="E5534">
            <v>15.67</v>
          </cell>
          <cell r="F5534">
            <v>0</v>
          </cell>
        </row>
        <row r="5535">
          <cell r="B5535">
            <v>96650</v>
          </cell>
          <cell r="C5535" t="str">
            <v>JOELHO 90 GRAUS, PPR, DN 25 MM, CLASSE PN 25, INSTALADO EM RAMAL DE DISTRIBUIÇÃO FORNECIMENTO E INSTALAÇÃO. AF_08/2022</v>
          </cell>
          <cell r="D5535" t="str">
            <v>UN</v>
          </cell>
          <cell r="E5535">
            <v>12.03</v>
          </cell>
          <cell r="F5535">
            <v>0</v>
          </cell>
        </row>
        <row r="5536">
          <cell r="B5536">
            <v>96637</v>
          </cell>
          <cell r="C5536" t="str">
            <v>JOELHO 90 GRAUS, PPR, DN 25 MM, CLASSE PN 25, INSTALADO EM RAMAL OU SUB-RAMAL DE ÁGUA FORNECIMENTO E INSTALAÇÃO. AF_08/2022</v>
          </cell>
          <cell r="D5536" t="str">
            <v>UN</v>
          </cell>
          <cell r="E5536">
            <v>22.12</v>
          </cell>
          <cell r="F5536">
            <v>0</v>
          </cell>
        </row>
        <row r="5537">
          <cell r="B5537">
            <v>96686</v>
          </cell>
          <cell r="C5537" t="str">
            <v>JOELHO 90 GRAUS, PPR, DN 32 MM, CLASSE PN 25, INSTALADO EM PRUMADA DE ÁGUA FORNECIMENTO E INSTALAÇÃO . AF_08/2022</v>
          </cell>
          <cell r="D5537" t="str">
            <v>UN</v>
          </cell>
          <cell r="E5537">
            <v>19.989999999999998</v>
          </cell>
          <cell r="F5537">
            <v>0</v>
          </cell>
        </row>
        <row r="5538">
          <cell r="B5538">
            <v>96652</v>
          </cell>
          <cell r="C5538" t="str">
            <v>JOELHO 90 GRAUS, PPR, DN 32 MM, CLASSE PN 25, INSTALADO EM RAMAL DE DISTRIBUIÇÃO - FORNECIMENTO E INSTALAÇÃO. AF_08/2022</v>
          </cell>
          <cell r="D5538" t="str">
            <v>UN</v>
          </cell>
          <cell r="E5538">
            <v>14</v>
          </cell>
          <cell r="F5538">
            <v>0</v>
          </cell>
        </row>
        <row r="5539">
          <cell r="B5539">
            <v>96688</v>
          </cell>
          <cell r="C5539" t="str">
            <v>JOELHO 90 GRAUS, PPR, DN 40 MM, CLASSE PN 25, INSTALADO EM PRUMADA DE ÁGUA FORNECIMENTO E INSTALAÇÃO . AF_08/2022</v>
          </cell>
          <cell r="D5539" t="str">
            <v>UN</v>
          </cell>
          <cell r="E5539">
            <v>28.63</v>
          </cell>
          <cell r="F5539">
            <v>0</v>
          </cell>
        </row>
        <row r="5540">
          <cell r="B5540">
            <v>96654</v>
          </cell>
          <cell r="C5540" t="str">
            <v>JOELHO 90 GRAUS, PPR, DN 40 MM, CLASSE PN 25, INSTALADO EM RAMAL DE DISTRIBUIÇÃO - FORNECIMENTO E INSTALAÇÃO. AF_08/2022</v>
          </cell>
          <cell r="D5540" t="str">
            <v>UN</v>
          </cell>
          <cell r="E5540">
            <v>19.989999999999998</v>
          </cell>
          <cell r="F5540">
            <v>0</v>
          </cell>
        </row>
        <row r="5541">
          <cell r="B5541">
            <v>96690</v>
          </cell>
          <cell r="C5541" t="str">
            <v>JOELHO 90 GRAUS, PPR, DN 50 MM, CLASSE PN 25, INSTALADO EM PRUMADA DE ÁGUA FORNECIMENTO E INSTALAÇÃO . AF_08/2022</v>
          </cell>
          <cell r="D5541" t="str">
            <v>UN</v>
          </cell>
          <cell r="E5541">
            <v>39.08</v>
          </cell>
          <cell r="F5541">
            <v>0</v>
          </cell>
        </row>
        <row r="5542">
          <cell r="B5542">
            <v>96692</v>
          </cell>
          <cell r="C5542" t="str">
            <v>JOELHO 90 GRAUS, PPR, DN 63 MM, CLASSE PN 25, INSTALADO EM PRUMADA DE ÁGUA FORNECIMENTO E INSTALAÇÃO . AF_08/2022</v>
          </cell>
          <cell r="D5542" t="str">
            <v>UN</v>
          </cell>
          <cell r="E5542">
            <v>54.4</v>
          </cell>
          <cell r="F5542">
            <v>0</v>
          </cell>
        </row>
        <row r="5543">
          <cell r="B5543">
            <v>96694</v>
          </cell>
          <cell r="C5543" t="str">
            <v>JOELHO 90 GRAUS, PPR, DN 75 MM, CLASSE PN 25, INSTALADO EM PRUMADA DE ÁGUA FORNECIMENTO E INSTALAÇÃO . AF_08/2022</v>
          </cell>
          <cell r="D5543" t="str">
            <v>UN</v>
          </cell>
          <cell r="E5543">
            <v>109.28</v>
          </cell>
          <cell r="F5543">
            <v>0</v>
          </cell>
        </row>
        <row r="5544">
          <cell r="B5544">
            <v>96696</v>
          </cell>
          <cell r="C5544" t="str">
            <v>JOELHO 90 GRAUS, PPR, DN 90 MM, CLASSE PN 25, INSTALADO EM PRUMADA DE ÁGUA FORNECIMENTO E INSTALAÇÃO . AF_08/2022</v>
          </cell>
          <cell r="D5544" t="str">
            <v>UN</v>
          </cell>
          <cell r="E5544">
            <v>135.97</v>
          </cell>
          <cell r="F5544">
            <v>0</v>
          </cell>
        </row>
        <row r="5545">
          <cell r="B5545">
            <v>96709</v>
          </cell>
          <cell r="C5545" t="str">
            <v>LUVA, PPR, DN 110 MM, CLASSE PN 25, INSTALADO EM PRUMADA DE ÁGUA FORNECIMENTO E INSTALAÇÃO. AF_08/2022</v>
          </cell>
          <cell r="D5545" t="str">
            <v>UN</v>
          </cell>
          <cell r="E5545">
            <v>130.94999999999999</v>
          </cell>
          <cell r="F5545">
            <v>0</v>
          </cell>
        </row>
        <row r="5546">
          <cell r="B5546">
            <v>104200</v>
          </cell>
          <cell r="C5546" t="str">
            <v>LUVA, PPR, DN 20 MM, INSTALADO EM RAMAL OU SUB-RAMAL DE ÁGUA - FORNECIMENTO E INSTALAÇÃO. AF_08/2022</v>
          </cell>
          <cell r="D5546" t="str">
            <v>UN</v>
          </cell>
          <cell r="E5546">
            <v>8.06</v>
          </cell>
          <cell r="F5546">
            <v>0</v>
          </cell>
        </row>
        <row r="5547">
          <cell r="B5547">
            <v>96698</v>
          </cell>
          <cell r="C5547" t="str">
            <v>LUVA, PPR, DN 25 MM, CLASSE PN 25, INSTALADO EM PRUMADA DE ÁGUA FORNECIMENTO E INSTALAÇÃO . AF_08/2022</v>
          </cell>
          <cell r="D5547" t="str">
            <v>UN</v>
          </cell>
          <cell r="E5547">
            <v>10.99</v>
          </cell>
          <cell r="F5547">
            <v>0</v>
          </cell>
        </row>
        <row r="5548">
          <cell r="B5548">
            <v>96656</v>
          </cell>
          <cell r="C5548" t="str">
            <v>LUVA, PPR, DN 25 MM, CLASSE PN 25, INSTALADO EM RAMAL DE DISTRIBUIÇÃO DE ÁGUA FORNECIMENTO E INSTALAÇÃO. AF_08/2022</v>
          </cell>
          <cell r="D5548" t="str">
            <v>UN</v>
          </cell>
          <cell r="E5548">
            <v>8.5500000000000007</v>
          </cell>
          <cell r="F5548">
            <v>0</v>
          </cell>
        </row>
        <row r="5549">
          <cell r="B5549">
            <v>96639</v>
          </cell>
          <cell r="C5549" t="str">
            <v>LUVA, PPR, DN 25 MM, CLASSE PN 25, INSTALADO EM RAMAL OU SUB-RAMAL DE ÁGUA FORNECIMENTO E INSTALAÇÃO. AF_08/2022</v>
          </cell>
          <cell r="D5549" t="str">
            <v>UN</v>
          </cell>
          <cell r="E5549">
            <v>15.28</v>
          </cell>
          <cell r="F5549">
            <v>0</v>
          </cell>
        </row>
        <row r="5550">
          <cell r="B5550">
            <v>96701</v>
          </cell>
          <cell r="C5550" t="str">
            <v>LUVA, PPR, DN 32 MM, CLASSE PN 25, INSTALADO EM PRUMADA DE ÁGUA FORNECIMENTO E INSTALAÇÃO. AF_08/2022</v>
          </cell>
          <cell r="D5550" t="str">
            <v>UN</v>
          </cell>
          <cell r="E5550">
            <v>14.79</v>
          </cell>
          <cell r="F5550">
            <v>0</v>
          </cell>
        </row>
        <row r="5551">
          <cell r="B5551">
            <v>96659</v>
          </cell>
          <cell r="C5551" t="str">
            <v>LUVA, PPR, DN 32 MM, CLASSE PN 25, INSTALADO EM RAMAL DE DISTRIBUIÇÃO DE ÁGUA FORNECIMENTO E INSTALAÇÃO. AF_08/2022</v>
          </cell>
          <cell r="D5551" t="str">
            <v>UN</v>
          </cell>
          <cell r="E5551">
            <v>10.79</v>
          </cell>
          <cell r="F5551">
            <v>0</v>
          </cell>
        </row>
        <row r="5552">
          <cell r="B5552">
            <v>96703</v>
          </cell>
          <cell r="C5552" t="str">
            <v>LUVA, PPR, DN 40 MM, CLASSE PN 25, INSTALADO EM PRUMADA DE ÁGUA FORNECIMENTO E INSTALAÇÃO. AF_08/2022</v>
          </cell>
          <cell r="D5552" t="str">
            <v>UN</v>
          </cell>
          <cell r="E5552">
            <v>24.99</v>
          </cell>
          <cell r="F5552">
            <v>0</v>
          </cell>
        </row>
        <row r="5553">
          <cell r="B5553">
            <v>96663</v>
          </cell>
          <cell r="C5553" t="str">
            <v>LUVA, PPR, DN 40 MM, CLASSE PN 25, INSTALADO EM RAMAL DE DISTRIBUIÇÃO DE ÁGUA FORNECIMENTO E INSTALAÇÃO. AF_08/2022</v>
          </cell>
          <cell r="D5553" t="str">
            <v>UN</v>
          </cell>
          <cell r="E5553">
            <v>19.239999999999998</v>
          </cell>
          <cell r="F5553">
            <v>0</v>
          </cell>
        </row>
        <row r="5554">
          <cell r="B5554">
            <v>96705</v>
          </cell>
          <cell r="C5554" t="str">
            <v>LUVA, PPR, DN 50 MM, CLASSE PN 25, INSTALADO EM PRUMADA DE ÁGUA FORNECIMENTO E INSTALAÇÃO. AF_08/2022</v>
          </cell>
          <cell r="D5554" t="str">
            <v>UN</v>
          </cell>
          <cell r="E5554">
            <v>30.33</v>
          </cell>
          <cell r="F5554">
            <v>0</v>
          </cell>
        </row>
        <row r="5555">
          <cell r="B5555">
            <v>96706</v>
          </cell>
          <cell r="C5555" t="str">
            <v>LUVA, PPR, DN 63 MM, CLASSE PN 25, INSTALADO EM PRUMADA DE ÁGUA FORNECIMENTO E INSTALAÇÃO. AF_08/2022</v>
          </cell>
          <cell r="D5555" t="str">
            <v>UN</v>
          </cell>
          <cell r="E5555">
            <v>44.07</v>
          </cell>
          <cell r="F5555">
            <v>0</v>
          </cell>
        </row>
        <row r="5556">
          <cell r="B5556">
            <v>96707</v>
          </cell>
          <cell r="C5556" t="str">
            <v>LUVA, PPR, DN 75 MM, CLASSE PN 25, INSTALADO EM PRUMADA DE ÁGUA FORNECIMENTO E INSTALAÇÃO. AF_08/2022</v>
          </cell>
          <cell r="D5556" t="str">
            <v>UN</v>
          </cell>
          <cell r="E5556">
            <v>68.989999999999995</v>
          </cell>
          <cell r="F5556">
            <v>0</v>
          </cell>
        </row>
        <row r="5557">
          <cell r="B5557">
            <v>96708</v>
          </cell>
          <cell r="C5557" t="str">
            <v>LUVA, PPR, DN 90 MM, CLASSE PN 25, INSTALADO EM PRUMADA DE ÁGUA FORNECIMENTO E INSTALAÇÃO. AF_08/2022</v>
          </cell>
          <cell r="D5557" t="str">
            <v>UN</v>
          </cell>
          <cell r="E5557">
            <v>102.93</v>
          </cell>
          <cell r="F5557">
            <v>0</v>
          </cell>
        </row>
        <row r="5558">
          <cell r="B5558">
            <v>96675</v>
          </cell>
          <cell r="C5558" t="str">
            <v>TUBO, PPR, DN 110, CLASSE PN 12, INSTALADO EM PRUMADA DE ÁGUA FORNECIMENTO E INSTALAÇÃO. AF_08/2022</v>
          </cell>
          <cell r="D5558" t="str">
            <v>M</v>
          </cell>
          <cell r="E5558">
            <v>180.39</v>
          </cell>
          <cell r="F5558">
            <v>0</v>
          </cell>
        </row>
        <row r="5559">
          <cell r="B5559">
            <v>96683</v>
          </cell>
          <cell r="C5559" t="str">
            <v>TUBO, PPR, DN 110, CLASSE PN 25, INSTALADO EM PRUMADA DE ÁGUA FORNECIMENTO E INSTALAÇÃO. AF_08/2022</v>
          </cell>
          <cell r="D5559" t="str">
            <v>M</v>
          </cell>
          <cell r="E5559">
            <v>347.32</v>
          </cell>
          <cell r="F5559">
            <v>0</v>
          </cell>
        </row>
        <row r="5560">
          <cell r="B5560">
            <v>104194</v>
          </cell>
          <cell r="C5560" t="str">
            <v>TUBO, PPR, DN 20, CLASSE PN20, INSTALADO EM RAMAL OU SUB-RAMAL DE ÁGUA - FORNECIMENTO E INSTALAÇÃO. AF_08/2022</v>
          </cell>
          <cell r="D5560" t="str">
            <v>M</v>
          </cell>
          <cell r="E5560">
            <v>28.36</v>
          </cell>
          <cell r="F5560">
            <v>0</v>
          </cell>
        </row>
        <row r="5561">
          <cell r="B5561">
            <v>104195</v>
          </cell>
          <cell r="C5561" t="str">
            <v>TUBO, PPR, DN 20, CLASSE PN25, INSTALADO EM RAMAL OU SUB-RAMAL DE ÁGUA - FORNECIMENTO E INSTALAÇÃO. AF_08/2022</v>
          </cell>
          <cell r="D5561" t="str">
            <v>M</v>
          </cell>
          <cell r="E5561">
            <v>29.98</v>
          </cell>
          <cell r="F5561">
            <v>0</v>
          </cell>
        </row>
        <row r="5562">
          <cell r="B5562">
            <v>96668</v>
          </cell>
          <cell r="C5562" t="str">
            <v>TUBO, PPR, DN 25, CLASSE PN 20, INSTALADO EM PRUMADA DE ÁGUA FORNECIMENTO E INSTALAÇÃO. AF_08/2022</v>
          </cell>
          <cell r="D5562" t="str">
            <v>M</v>
          </cell>
          <cell r="E5562">
            <v>21.18</v>
          </cell>
          <cell r="F5562">
            <v>0</v>
          </cell>
        </row>
        <row r="5563">
          <cell r="B5563">
            <v>96644</v>
          </cell>
          <cell r="C5563" t="str">
            <v>TUBO, PPR, DN 25, CLASSE PN 20, INSTALADO EM RAMAL DE DISTRIBUIÇÃO DE ÁGUA FORNECIMENTO E INSTALAÇÃO. AF_08/2022</v>
          </cell>
          <cell r="D5563" t="str">
            <v>M</v>
          </cell>
          <cell r="E5563">
            <v>28.42</v>
          </cell>
          <cell r="F5563">
            <v>0</v>
          </cell>
        </row>
        <row r="5564">
          <cell r="B5564">
            <v>96635</v>
          </cell>
          <cell r="C5564" t="str">
            <v>TUBO, PPR, DN 25, CLASSE PN 20, INSTALADO EM RAMAL OU SUB-RAMAL DE ÁGUA FORNECIMENTO E INSTALAÇÃO. AF_08/2022</v>
          </cell>
          <cell r="D5564" t="str">
            <v>M</v>
          </cell>
          <cell r="E5564">
            <v>55.62</v>
          </cell>
          <cell r="F5564">
            <v>0</v>
          </cell>
        </row>
        <row r="5565">
          <cell r="B5565">
            <v>96636</v>
          </cell>
          <cell r="C5565" t="str">
            <v>TUBO, PPR, DN 25, CLASSE PN 25 INSTALADO EM RAMAL OU SUB-RAMAL DE ÁGUA FORNECIMENTO E INSTALAÇÃO. AF_08/2022</v>
          </cell>
          <cell r="D5565" t="str">
            <v>M</v>
          </cell>
          <cell r="E5565">
            <v>58.7</v>
          </cell>
          <cell r="F5565">
            <v>0</v>
          </cell>
        </row>
        <row r="5566">
          <cell r="B5566">
            <v>96676</v>
          </cell>
          <cell r="C5566" t="str">
            <v>TUBO, PPR, DN 25, CLASSE PN 25, INSTALADO EM PRUMADA DE ÁGUA FORNECIMENTO E INSTALAÇÃO. AF_08/2022</v>
          </cell>
          <cell r="D5566" t="str">
            <v>M</v>
          </cell>
          <cell r="E5566">
            <v>27.38</v>
          </cell>
          <cell r="F5566">
            <v>0</v>
          </cell>
        </row>
        <row r="5567">
          <cell r="B5567">
            <v>96647</v>
          </cell>
          <cell r="C5567" t="str">
            <v>TUBO, PPR, DN 25, CLASSE PN 25, INSTALADO EM RAMAL DE DISTRIBUIÇÃO DE ÁGUA FORNECIMENTO E INSTALAÇÃO. AF_08/2022</v>
          </cell>
          <cell r="D5567" t="str">
            <v>M</v>
          </cell>
          <cell r="E5567">
            <v>30.69</v>
          </cell>
          <cell r="F5567">
            <v>0</v>
          </cell>
        </row>
        <row r="5568">
          <cell r="B5568">
            <v>96669</v>
          </cell>
          <cell r="C5568" t="str">
            <v>TUBO, PPR, DN 32, CLASSE PN 12, INSTALADO EM PRUMADA DE ÁGUA FORNECIMENTO E INSTALAÇÃO. AF_08/2022</v>
          </cell>
          <cell r="D5568" t="str">
            <v>M</v>
          </cell>
          <cell r="E5568">
            <v>21.61</v>
          </cell>
          <cell r="F5568">
            <v>0</v>
          </cell>
        </row>
        <row r="5569">
          <cell r="B5569">
            <v>96645</v>
          </cell>
          <cell r="C5569" t="str">
            <v>TUBO, PPR, DN 32, CLASSE PN 12, INSTALADO EM RAMAL DE DISTRIBUIÇÃO DE ÁGUA FORNECIMENTO E INSTALAÇÃO. AF_08/2022</v>
          </cell>
          <cell r="D5569" t="str">
            <v>M</v>
          </cell>
          <cell r="E5569">
            <v>25.46</v>
          </cell>
          <cell r="F5569">
            <v>0</v>
          </cell>
        </row>
        <row r="5570">
          <cell r="B5570">
            <v>96677</v>
          </cell>
          <cell r="C5570" t="str">
            <v>TUBO, PPR, DN 32, CLASSE PN 25, INSTALADO EM PRUMADA DE ÁGUA FORNECIMENTO E INSTALAÇÃO. AF_08/2022</v>
          </cell>
          <cell r="D5570" t="str">
            <v>M</v>
          </cell>
          <cell r="E5570">
            <v>35.49</v>
          </cell>
          <cell r="F5570">
            <v>0</v>
          </cell>
        </row>
        <row r="5571">
          <cell r="B5571">
            <v>96648</v>
          </cell>
          <cell r="C5571" t="str">
            <v>TUBO, PPR, DN 32, CLASSE PN 25, INSTALADO EM RAMAL DE DISTRIBUIÇÃO DE ÁGUA FORNECIMENTO E INSTALAÇÃO. AF_08/2022</v>
          </cell>
          <cell r="D5571" t="str">
            <v>M</v>
          </cell>
          <cell r="E5571">
            <v>37.35</v>
          </cell>
          <cell r="F5571">
            <v>0</v>
          </cell>
        </row>
        <row r="5572">
          <cell r="B5572">
            <v>96670</v>
          </cell>
          <cell r="C5572" t="str">
            <v>TUBO, PPR, DN 40, CLASSE PN 12, INSTALADO EM PRUMADA DE ÁGUA FORNECIMENTO E INSTALAÇÃO. AF_08/2022</v>
          </cell>
          <cell r="D5572" t="str">
            <v>M</v>
          </cell>
          <cell r="E5572">
            <v>27.92</v>
          </cell>
          <cell r="F5572">
            <v>0</v>
          </cell>
        </row>
        <row r="5573">
          <cell r="B5573">
            <v>96646</v>
          </cell>
          <cell r="C5573" t="str">
            <v>TUBO, PPR, DN 40, CLASSE PN 12, INSTALADO EM RAMAL DE DISTRIBUIÇÃO DE ÁGUA FORNECIMENTO E INSTALAÇÃO. AF_08/2022</v>
          </cell>
          <cell r="D5573" t="str">
            <v>M</v>
          </cell>
          <cell r="E5573">
            <v>30.7</v>
          </cell>
          <cell r="F5573">
            <v>0</v>
          </cell>
        </row>
        <row r="5574">
          <cell r="B5574">
            <v>96678</v>
          </cell>
          <cell r="C5574" t="str">
            <v>TUBO, PPR, DN 40, CLASSE PN 25, INSTALADO EM PRUMADA DE ÁGUA FORNECIMENTO E INSTALAÇÃO. AF_08/2022</v>
          </cell>
          <cell r="D5574" t="str">
            <v>M</v>
          </cell>
          <cell r="E5574">
            <v>48.41</v>
          </cell>
          <cell r="F5574">
            <v>0</v>
          </cell>
        </row>
        <row r="5575">
          <cell r="B5575">
            <v>96649</v>
          </cell>
          <cell r="C5575" t="str">
            <v>TUBO, PPR, DN 40, CLASSE PN 25, INSTALADO EM RAMAL DE DISTRIBUIÇÃO DE ÁGUA FORNECIMENTO E INSTALAÇÃO. AF_08/2022</v>
          </cell>
          <cell r="D5575" t="str">
            <v>M</v>
          </cell>
          <cell r="E5575">
            <v>48.61</v>
          </cell>
          <cell r="F5575">
            <v>0</v>
          </cell>
        </row>
        <row r="5576">
          <cell r="B5576">
            <v>96671</v>
          </cell>
          <cell r="C5576" t="str">
            <v>TUBO, PPR, DN 50, CLASSE PN 12, INSTALADO EM PRUMADA DE ÁGUA FORNECIMENTO E INSTALAÇÃO. AF_08/2022</v>
          </cell>
          <cell r="D5576" t="str">
            <v>M</v>
          </cell>
          <cell r="E5576">
            <v>41.53</v>
          </cell>
          <cell r="F5576">
            <v>0</v>
          </cell>
        </row>
        <row r="5577">
          <cell r="B5577">
            <v>96679</v>
          </cell>
          <cell r="C5577" t="str">
            <v>TUBO, PPR, DN 50, CLASSE PN 25, INSTALADO EM PRUMADA DE ÁGUA FORNECIMENTO E INSTALAÇÃO. AF_08/2022</v>
          </cell>
          <cell r="D5577" t="str">
            <v>M</v>
          </cell>
          <cell r="E5577">
            <v>71.260000000000005</v>
          </cell>
          <cell r="F5577">
            <v>0</v>
          </cell>
        </row>
        <row r="5578">
          <cell r="B5578">
            <v>96672</v>
          </cell>
          <cell r="C5578" t="str">
            <v>TUBO, PPR, DN 63, CLASSE PN 12, INSTALADO EM PRUMADA DE ÁGUA FORNECIMENTO E INSTALAÇÃO. AF_08/2022</v>
          </cell>
          <cell r="D5578" t="str">
            <v>M</v>
          </cell>
          <cell r="E5578">
            <v>62.42</v>
          </cell>
          <cell r="F5578">
            <v>0</v>
          </cell>
        </row>
        <row r="5579">
          <cell r="B5579">
            <v>96680</v>
          </cell>
          <cell r="C5579" t="str">
            <v>TUBO, PPR, DN 63, CLASSE PN 25, INSTALADO EM PRUMADA DE ÁGUA FORNECIMENTO E INSTALAÇÃO. AF_08/2022</v>
          </cell>
          <cell r="D5579" t="str">
            <v>M</v>
          </cell>
          <cell r="E5579">
            <v>116.18</v>
          </cell>
          <cell r="F5579">
            <v>0</v>
          </cell>
        </row>
        <row r="5580">
          <cell r="B5580">
            <v>96673</v>
          </cell>
          <cell r="C5580" t="str">
            <v>TUBO, PPR, DN 75, CLASSE PN 12, INSTALADO EM PRUMADA DE ÁGUA FORNECIMENTO E INSTALAÇÃO. AF_08/2022</v>
          </cell>
          <cell r="D5580" t="str">
            <v>M</v>
          </cell>
          <cell r="E5580">
            <v>78.37</v>
          </cell>
          <cell r="F5580">
            <v>0</v>
          </cell>
        </row>
        <row r="5581">
          <cell r="B5581">
            <v>96681</v>
          </cell>
          <cell r="C5581" t="str">
            <v>TUBO, PPR, DN 75, CLASSE PN 25, INSTALADO EM PRUMADA DE ÁGUA FORNECIMENTO E INSTALAÇÃO. AF_08/2022</v>
          </cell>
          <cell r="D5581" t="str">
            <v>M</v>
          </cell>
          <cell r="E5581">
            <v>155.44</v>
          </cell>
          <cell r="F5581">
            <v>0</v>
          </cell>
        </row>
        <row r="5582">
          <cell r="B5582">
            <v>96674</v>
          </cell>
          <cell r="C5582" t="str">
            <v>TUBO, PPR, DN 90, CLASSE PN 12, INSTALADO EM PRUMADA DE ÁGUA FORNECIMENTO E INSTALAÇÃO. AF_08/2022</v>
          </cell>
          <cell r="D5582" t="str">
            <v>M</v>
          </cell>
          <cell r="E5582">
            <v>124.91</v>
          </cell>
          <cell r="F5582">
            <v>0</v>
          </cell>
        </row>
        <row r="5583">
          <cell r="B5583">
            <v>96682</v>
          </cell>
          <cell r="C5583" t="str">
            <v>TUBO, PPR, DN 90, CLASSE PN 25, INSTALADO EM PRUMADA DE ÁGUA FORNECIMENTO E INSTALAÇÃO. AF_08/2022</v>
          </cell>
          <cell r="D5583" t="str">
            <v>M</v>
          </cell>
          <cell r="E5583">
            <v>253.84</v>
          </cell>
          <cell r="F5583">
            <v>0</v>
          </cell>
        </row>
        <row r="5584">
          <cell r="B5584">
            <v>96643</v>
          </cell>
          <cell r="C5584" t="str">
            <v>TÊ MISTURADOR, PPR, 25 X 3/4, CLASSE PN 25, INSTALADO EM RAMAL OU SUB-RAMAL DE ÁGUA FORNECIMENTO E INSTALAÇÃO. AF_08/2022</v>
          </cell>
          <cell r="D5584" t="str">
            <v>UN</v>
          </cell>
          <cell r="E5584">
            <v>54.57</v>
          </cell>
          <cell r="F5584">
            <v>0</v>
          </cell>
        </row>
        <row r="5585">
          <cell r="B5585">
            <v>104201</v>
          </cell>
          <cell r="C5585" t="str">
            <v>TÊ MISTURADOR, PPR, F M M, DN 20 X 20 MM, INSTALADO EM RAMAL OU SUB-RAMAL DE ÁGUA - FORNECIMENTO E INSTALAÇÃO. AF_08/2022</v>
          </cell>
          <cell r="D5585" t="str">
            <v>UN</v>
          </cell>
          <cell r="E5585">
            <v>24.41</v>
          </cell>
          <cell r="F5585">
            <v>0</v>
          </cell>
        </row>
        <row r="5586">
          <cell r="B5586">
            <v>104192</v>
          </cell>
          <cell r="C5586" t="str">
            <v>TÊ MISTURADOR, PPR, F M M, DN 25 X 25 MM, INSTALADO EM RAMAL OU SUB-RAMAL DE ÁGUA - FORNECIMENTO E INSTALAÇÃO. AF_08/2022</v>
          </cell>
          <cell r="D5586" t="str">
            <v>UN</v>
          </cell>
          <cell r="E5586">
            <v>36.479999999999997</v>
          </cell>
          <cell r="F5586">
            <v>0</v>
          </cell>
        </row>
        <row r="5587">
          <cell r="B5587">
            <v>104202</v>
          </cell>
          <cell r="C5587" t="str">
            <v>TÊ NORMAL, PPR, 90 GRAUS, DN 20 X 20 X 20 MM, INSTALADO EM RAMAL OU SUB-RAMAL DE ÁGUA - FORNECIMENTO E INSTALAÇÃO. AF_08/2022</v>
          </cell>
          <cell r="D5587" t="str">
            <v>UN</v>
          </cell>
          <cell r="E5587">
            <v>14.85</v>
          </cell>
          <cell r="F5587">
            <v>0</v>
          </cell>
        </row>
        <row r="5588">
          <cell r="B5588">
            <v>96717</v>
          </cell>
          <cell r="C5588" t="str">
            <v>TÊ NORMAL, PPR, DN 110 MM, CLASSE PN 25, INSTALADO EM PRUMADA DE ÁGUA FORNECIMENTO E INSTALAÇÃO . AF_08/2022</v>
          </cell>
          <cell r="D5588" t="str">
            <v>UN</v>
          </cell>
          <cell r="E5588">
            <v>356.75</v>
          </cell>
          <cell r="F5588">
            <v>0</v>
          </cell>
        </row>
        <row r="5589">
          <cell r="B5589">
            <v>96710</v>
          </cell>
          <cell r="C5589" t="str">
            <v>TÊ NORMAL, PPR, DN 25 MM, CLASSE PN 25, INSTALADO EM PRUMADA DE ÁGUA FORNECIMENTO E INSTALAÇÃO . AF_08/2022</v>
          </cell>
          <cell r="D5589" t="str">
            <v>UN</v>
          </cell>
          <cell r="E5589">
            <v>20.59</v>
          </cell>
          <cell r="F5589">
            <v>0</v>
          </cell>
        </row>
        <row r="5590">
          <cell r="B5590">
            <v>96665</v>
          </cell>
          <cell r="C5590" t="str">
            <v>TÊ NORMAL, PPR, DN 25 MM, CLASSE PN 25, INSTALADO EM RAMAL DE DISTRIBUIÇÃO DE ÁGUA FORNECIMENTO E INSTALAÇÃO. AF_08/2022</v>
          </cell>
          <cell r="D5590" t="str">
            <v>UN</v>
          </cell>
          <cell r="E5590">
            <v>15.73</v>
          </cell>
          <cell r="F5590">
            <v>0</v>
          </cell>
        </row>
        <row r="5591">
          <cell r="B5591">
            <v>96642</v>
          </cell>
          <cell r="C5591" t="str">
            <v>TÊ NORMAL, PPR, DN 25 MM, CLASSE PN 25, INSTALADO EM RAMAL OU SUB-RAMAL DE ÁGUA FORNECIMENTO E INSTALAÇÃO. AF_08/2022</v>
          </cell>
          <cell r="D5591" t="str">
            <v>UN</v>
          </cell>
          <cell r="E5591">
            <v>29.19</v>
          </cell>
          <cell r="F5591">
            <v>0</v>
          </cell>
        </row>
        <row r="5592">
          <cell r="B5592">
            <v>96711</v>
          </cell>
          <cell r="C5592" t="str">
            <v>TÊ NORMAL, PPR, DN 32 MM, CLASSE PN 25, INSTALADO EM PRUMADA DE ÁGUA FORNECIMENTO E INSTALAÇÃO . AF_08/2022</v>
          </cell>
          <cell r="D5592" t="str">
            <v>UN</v>
          </cell>
          <cell r="E5592">
            <v>29.54</v>
          </cell>
          <cell r="F5592">
            <v>0</v>
          </cell>
        </row>
        <row r="5593">
          <cell r="B5593">
            <v>96666</v>
          </cell>
          <cell r="C5593" t="str">
            <v>TÊ NORMAL, PPR, DN 32 MM, CLASSE PN 25, INSTALADO EM RAMAL DE DISTRIBUIÇÃO DE ÁGUA FORNECIMENTO E INSTALAÇÃO. AF_08/2022</v>
          </cell>
          <cell r="D5593" t="str">
            <v>UN</v>
          </cell>
          <cell r="E5593">
            <v>21.56</v>
          </cell>
          <cell r="F5593">
            <v>0</v>
          </cell>
        </row>
        <row r="5594">
          <cell r="B5594">
            <v>96712</v>
          </cell>
          <cell r="C5594" t="str">
            <v>TÊ NORMAL, PPR, DN 40 MM, CLASSE PN 25, INSTALADO EM PRUMADA DE ÁGUA FORNECIMENTO E INSTALAÇÃO . AF_08/2022</v>
          </cell>
          <cell r="D5594" t="str">
            <v>UN</v>
          </cell>
          <cell r="E5594">
            <v>40.97</v>
          </cell>
          <cell r="F5594">
            <v>0</v>
          </cell>
        </row>
        <row r="5595">
          <cell r="B5595">
            <v>96667</v>
          </cell>
          <cell r="C5595" t="str">
            <v>TÊ NORMAL, PPR, DN 40 MM, CLASSE PN 25, INSTALADO EM RAMAL DE DISTRIBUIÇÃO DE ÁGUA FORNECIMENTO E INSTALAÇÃO. AF_08/2022</v>
          </cell>
          <cell r="D5595" t="str">
            <v>UN</v>
          </cell>
          <cell r="E5595">
            <v>29.45</v>
          </cell>
          <cell r="F5595">
            <v>0</v>
          </cell>
        </row>
        <row r="5596">
          <cell r="B5596">
            <v>96713</v>
          </cell>
          <cell r="C5596" t="str">
            <v>TÊ NORMAL, PPR, DN 50 MM, CLASSE PN 25, INSTALADO EM PRUMADA DE ÁGUA FORNECIMENTO E INSTALAÇÃO . AF_08/2022</v>
          </cell>
          <cell r="D5596" t="str">
            <v>UN</v>
          </cell>
          <cell r="E5596">
            <v>61.01</v>
          </cell>
          <cell r="F5596">
            <v>0</v>
          </cell>
        </row>
        <row r="5597">
          <cell r="B5597">
            <v>96714</v>
          </cell>
          <cell r="C5597" t="str">
            <v>TÊ NORMAL, PPR, DN 63 MM, CLASSE PN 25, INSTALADO EM PRUMADA DE ÁGUA FORNECIMENTO E INSTALAÇÃO . AF_08/2022</v>
          </cell>
          <cell r="D5597" t="str">
            <v>UN</v>
          </cell>
          <cell r="E5597">
            <v>85.42</v>
          </cell>
          <cell r="F5597">
            <v>0</v>
          </cell>
        </row>
        <row r="5598">
          <cell r="B5598">
            <v>96715</v>
          </cell>
          <cell r="C5598" t="str">
            <v>TÊ NORMAL, PPR, DN 75 MM, CLASSE PN 25, INSTALADO EM PRUMADA DE ÁGUA FORNECIMENTO E INSTALAÇÃO . AF_08/2022</v>
          </cell>
          <cell r="D5598" t="str">
            <v>UN</v>
          </cell>
          <cell r="E5598">
            <v>146.88</v>
          </cell>
          <cell r="F5598">
            <v>0</v>
          </cell>
        </row>
        <row r="5599">
          <cell r="B5599">
            <v>96716</v>
          </cell>
          <cell r="C5599" t="str">
            <v>TÊ NORMAL, PPR, DN 90 MM, CLASSE PN 25, INSTALADO EM PRUMADA DE ÁGUA FORNECIMENTO E INSTALAÇÃO . AF_08/2022</v>
          </cell>
          <cell r="D5599" t="str">
            <v>UN</v>
          </cell>
          <cell r="E5599">
            <v>190.14</v>
          </cell>
          <cell r="F5599">
            <v>0</v>
          </cell>
        </row>
        <row r="5600">
          <cell r="B5600">
            <v>104328</v>
          </cell>
          <cell r="C5600" t="str">
            <v>CAIXA SIFONADA, COM GRELHA QUADRADA, PVC, DN 150 X 150 X 50 MM, JUNTA SOLDÁVEL, FORNECIDA E INSTALADA EM RAMAL DE DESCARGA OU EM RAMAL DE ESGOTO SANITÁRIO. AF_08/2022</v>
          </cell>
          <cell r="D5600" t="str">
            <v>UN</v>
          </cell>
          <cell r="E5600">
            <v>83.04</v>
          </cell>
          <cell r="F5600">
            <v>0</v>
          </cell>
        </row>
        <row r="5601">
          <cell r="B5601">
            <v>104329</v>
          </cell>
          <cell r="C5601" t="str">
            <v>CAIXA SIFONADA, COM GRELHA REDONDA, PVC, DN 150 X 150 X 50 MM, JUNTA SOLDÁVEL, FORNECIDA E INSTALADA EM RAMAL DE DESCARGA OU EM RAMAL DE ESGOTO SANITÁRIO. AF_08/2022</v>
          </cell>
          <cell r="D5601" t="str">
            <v>UN</v>
          </cell>
          <cell r="E5601">
            <v>92.71</v>
          </cell>
          <cell r="F5601">
            <v>0</v>
          </cell>
        </row>
        <row r="5602">
          <cell r="B5602">
            <v>89707</v>
          </cell>
          <cell r="C5602" t="str">
            <v>CAIXA SIFONADA, PVC, DN 100 X 100 X 50 MM, JUNTA ELÁSTICA, FORNECIDA E INSTALADA EM RAMAL DE DESCARGA OU EM RAMAL DE ESGOTO SANITÁRIO. AF_08/2022</v>
          </cell>
          <cell r="D5602" t="str">
            <v>UN</v>
          </cell>
          <cell r="E5602">
            <v>59.32</v>
          </cell>
          <cell r="F5602">
            <v>0</v>
          </cell>
        </row>
        <row r="5603">
          <cell r="B5603">
            <v>89708</v>
          </cell>
          <cell r="C5603" t="str">
            <v>CAIXA SIFONADA, PVC, DN 150 X 185 X 75 MM, JUNTA ELÁSTICA, FORNECIDA E INSTALADA EM RAMAL DE DESCARGA OU EM RAMAL DE ESGOTO SANITÁRIO. AF_08/2022</v>
          </cell>
          <cell r="D5603" t="str">
            <v>UN</v>
          </cell>
          <cell r="E5603">
            <v>118.51</v>
          </cell>
          <cell r="F5603">
            <v>0</v>
          </cell>
        </row>
        <row r="5604">
          <cell r="B5604">
            <v>104330</v>
          </cell>
          <cell r="C5604" t="str">
            <v>RALO LINEAR, EM PVC COM GRELHA INOX, JUNTA SOLDÁVEL, FORNECIDO E INSTALADO EM RAMAL DE DESCARGA OU EM RAMAL DE ESGOTO SANITÁRIO. AF_08/2022</v>
          </cell>
          <cell r="D5604" t="str">
            <v>UN</v>
          </cell>
          <cell r="E5604">
            <v>0</v>
          </cell>
        </row>
        <row r="5605">
          <cell r="B5605">
            <v>104326</v>
          </cell>
          <cell r="C5605" t="str">
            <v>RALO SECO CÔNICO, PVC, DN 100 X 40 MM, JUNTA SOLDÁVEL, FORNECIDO E INSTALADO EM RAMAL DE DESCARGA OU EM RAMAL DE ESGOTO SANITÁRIO. AF_08/2022</v>
          </cell>
          <cell r="D5605" t="str">
            <v>UN</v>
          </cell>
          <cell r="E5605">
            <v>24.62</v>
          </cell>
          <cell r="F5605">
            <v>0</v>
          </cell>
        </row>
        <row r="5606">
          <cell r="B5606">
            <v>89710</v>
          </cell>
          <cell r="C5606" t="str">
            <v>RALO SECO, PVC, DN 100 X 40 MM, JUNTA SOLDÁVEL, FORNECIDO E INSTALADO EM RAMAL DE DESCARGA OU EM RAMAL DE ESGOTO SANITÁRIO. AF_08/2022</v>
          </cell>
          <cell r="D5606" t="str">
            <v>UN</v>
          </cell>
          <cell r="E5606">
            <v>22.94</v>
          </cell>
          <cell r="F5606">
            <v>0</v>
          </cell>
        </row>
        <row r="5607">
          <cell r="B5607">
            <v>104327</v>
          </cell>
          <cell r="C5607" t="str">
            <v>RALO SIFONADO REDONDO, PVC, DN 100 X 40 MM, JUNTA SOLDÁVEL, FORNECIDO E INSTALADO EM RAMAL DE DESCARGA OU EM RAMAL DE ESGOTO SANITÁRIO. AF_08/2022</v>
          </cell>
          <cell r="D5607" t="str">
            <v>UN</v>
          </cell>
          <cell r="E5607">
            <v>23.62</v>
          </cell>
          <cell r="F5607">
            <v>0</v>
          </cell>
        </row>
        <row r="5608">
          <cell r="B5608">
            <v>89709</v>
          </cell>
          <cell r="C5608" t="str">
            <v>RALO SIFONADO, PVC, DN 100 X 40 MM, JUNTA SOLDÁVEL, FORNECIDO E INSTALADO EM RAMAL DE DESCARGA OU EM RAMAL DE ESGOTO SANITÁRIO. AF_08/2022</v>
          </cell>
          <cell r="D5608" t="str">
            <v>UN</v>
          </cell>
          <cell r="E5608">
            <v>25.65</v>
          </cell>
          <cell r="F5608">
            <v>0</v>
          </cell>
        </row>
        <row r="5609">
          <cell r="B5609">
            <v>104341</v>
          </cell>
          <cell r="C5609" t="str">
            <v>BUCHA DE REDUÇÃO LONGA, PVC, SÉRIE NORMAL, ESGOTO PREDIAL, DN 50 X 40 MM, JUNTA SOLDÁVEL E ELÁSTICA, FORNECIDO E INSTALADO EM RAMAL DE DESCARGA OU RAMAL DE ESGOTO SANITÁRIO. AF_08/2022</v>
          </cell>
          <cell r="D5609" t="str">
            <v>UN</v>
          </cell>
          <cell r="E5609">
            <v>13.1</v>
          </cell>
          <cell r="F5609">
            <v>0</v>
          </cell>
        </row>
        <row r="5610">
          <cell r="B5610">
            <v>104357</v>
          </cell>
          <cell r="C5610" t="str">
            <v>CAP, PVC, SÉRIE NORMAL, ESGOTO PREDIAL, DN 100 MM, JUNTA ELÁSTICA, FORNECIDO E INSTALADO EM SUBCOLETOR AÉREO DE ESGOTO SANITÁRIO. AF_08/2022</v>
          </cell>
          <cell r="D5610" t="str">
            <v>UN</v>
          </cell>
          <cell r="E5610">
            <v>22.44</v>
          </cell>
          <cell r="F5610">
            <v>0</v>
          </cell>
        </row>
        <row r="5611">
          <cell r="B5611">
            <v>89811</v>
          </cell>
          <cell r="C5611" t="str">
            <v>CURVA CURTA 90 GRAUS, PVC, SERIE NORMAL, ESGOTO PREDIAL, DN 100 MM, JUNTA ELÁSTICA, FORNECIDO E INSTALADO EM PRUMADA DE ESGOTO SANITÁRIO OU VENTILAÇÃO. AF_08/2022</v>
          </cell>
          <cell r="D5611" t="str">
            <v>UN</v>
          </cell>
          <cell r="E5611">
            <v>52.07</v>
          </cell>
          <cell r="F5611">
            <v>0</v>
          </cell>
        </row>
        <row r="5612">
          <cell r="B5612">
            <v>89748</v>
          </cell>
          <cell r="C5612" t="str">
            <v>CURVA CURTA 90 GRAUS, PVC, SERIE NORMAL, ESGOTO PREDIAL, DN 100 MM, JUNTA ELÁSTICA, FORNECIDO E INSTALADO EM RAMAL DE DESCARGA OU RAMAL DE ESGOTO SANITÁRIO. AF_08/2022</v>
          </cell>
          <cell r="D5612" t="str">
            <v>UN</v>
          </cell>
          <cell r="E5612">
            <v>50.26</v>
          </cell>
          <cell r="F5612">
            <v>0</v>
          </cell>
        </row>
        <row r="5613">
          <cell r="B5613">
            <v>89852</v>
          </cell>
          <cell r="C5613" t="str">
            <v>CURVA CURTA 90 GRAUS, PVC, SERIE NORMAL, ESGOTO PREDIAL, DN 100 MM, JUNTA ELÁSTICA, FORNECIDO E INSTALADO EM SUBCOLETOR AÉREO DE ESGOTO SANITÁRIO. AF_08/2022</v>
          </cell>
          <cell r="D5613" t="str">
            <v>UN</v>
          </cell>
          <cell r="E5613">
            <v>56.51</v>
          </cell>
          <cell r="F5613">
            <v>0</v>
          </cell>
        </row>
        <row r="5614">
          <cell r="B5614">
            <v>89728</v>
          </cell>
          <cell r="C5614" t="str">
            <v>CURVA CURTA 90 GRAUS, PVC, SERIE NORMAL, ESGOTO PREDIAL, DN 40 MM, JUNTA SOLDÁVEL, FORNECIDO E INSTALADO EM RAMAL DE DESCARGA OU RAMAL DE ESGOTO SANITÁRIO. AF_08/2022</v>
          </cell>
          <cell r="D5614" t="str">
            <v>UN</v>
          </cell>
          <cell r="E5614">
            <v>17.010000000000002</v>
          </cell>
          <cell r="F5614">
            <v>0</v>
          </cell>
        </row>
        <row r="5615">
          <cell r="B5615">
            <v>89803</v>
          </cell>
          <cell r="C5615" t="str">
            <v>CURVA CURTA 90 GRAUS, PVC, SERIE NORMAL, ESGOTO PREDIAL, DN 50 MM, JUNTA ELÁSTICA, FORNECIDO E INSTALADO EM PRUMADA DE ESGOTO SANITÁRIO OU VENTILAÇÃO. AF_08/2022</v>
          </cell>
          <cell r="D5615" t="str">
            <v>UN</v>
          </cell>
          <cell r="E5615">
            <v>20.52</v>
          </cell>
          <cell r="F5615">
            <v>0</v>
          </cell>
        </row>
        <row r="5616">
          <cell r="B5616">
            <v>89733</v>
          </cell>
          <cell r="C5616" t="str">
            <v>CURVA CURTA 90 GRAUS, PVC, SERIE NORMAL, ESGOTO PREDIAL, DN 50 MM, JUNTA ELÁSTICA, FORNECIDO E INSTALADO EM RAMAL DE DESCARGA OU RAMAL DE ESGOTO SANITÁRIO. AF_08/2022</v>
          </cell>
          <cell r="D5616" t="str">
            <v>UN</v>
          </cell>
          <cell r="E5616">
            <v>28.15</v>
          </cell>
          <cell r="F5616">
            <v>0</v>
          </cell>
        </row>
        <row r="5617">
          <cell r="B5617">
            <v>89807</v>
          </cell>
          <cell r="C5617" t="str">
            <v>CURVA CURTA 90 GRAUS, PVC, SERIE NORMAL, ESGOTO PREDIAL, DN 75 MM, JUNTA ELÁSTICA, FORNECIDO E INSTALADO EM PRUMADA DE ESGOTO SANITÁRIO OU VENTILAÇÃO. AF_08/2022</v>
          </cell>
          <cell r="D5617" t="str">
            <v>UN</v>
          </cell>
          <cell r="E5617">
            <v>44.26</v>
          </cell>
          <cell r="F5617">
            <v>0</v>
          </cell>
        </row>
        <row r="5618">
          <cell r="B5618">
            <v>89742</v>
          </cell>
          <cell r="C5618" t="str">
            <v>CURVA CURTA 90 GRAUS, PVC, SERIE NORMAL, ESGOTO PREDIAL, DN 75 MM, JUNTA ELÁSTICA, FORNECIDO E INSTALADO EM RAMAL DE DESCARGA OU RAMAL DE ESGOTO SANITÁRIO. AF_08/2022</v>
          </cell>
          <cell r="D5618" t="str">
            <v>UN</v>
          </cell>
          <cell r="E5618">
            <v>47.16</v>
          </cell>
          <cell r="F5618">
            <v>0</v>
          </cell>
        </row>
        <row r="5619">
          <cell r="B5619">
            <v>89812</v>
          </cell>
          <cell r="C5619" t="str">
            <v>CURVA LONGA 90 GRAUS, PVC, SERIE NORMAL, ESGOTO PREDIAL, DN 100 MM, JUNTA ELÁSTICA, FORNECIDO E INSTALADO EM PRUMADA DE ESGOTO SANITÁRIO OU VENTILAÇÃO. AF_08/2022</v>
          </cell>
          <cell r="D5619" t="str">
            <v>UN</v>
          </cell>
          <cell r="E5619">
            <v>94.07</v>
          </cell>
          <cell r="F5619">
            <v>0</v>
          </cell>
        </row>
        <row r="5620">
          <cell r="B5620">
            <v>89750</v>
          </cell>
          <cell r="C5620" t="str">
            <v>CURVA LONGA 90 GRAUS, PVC, SERIE NORMAL, ESGOTO PREDIAL, DN 100 MM, JUNTA ELÁSTICA, FORNECIDO E INSTALADO EM RAMAL DE DESCARGA OU RAMAL DE ESGOTO SANITÁRIO. AF_08/2022</v>
          </cell>
          <cell r="D5620" t="str">
            <v>UN</v>
          </cell>
          <cell r="E5620">
            <v>92.26</v>
          </cell>
          <cell r="F5620">
            <v>0</v>
          </cell>
        </row>
        <row r="5621">
          <cell r="B5621">
            <v>89853</v>
          </cell>
          <cell r="C5621" t="str">
            <v>CURVA LONGA 90 GRAUS, PVC, SERIE NORMAL, ESGOTO PREDIAL, DN 100 MM, JUNTA ELÁSTICA, FORNECIDO E INSTALADO EM SUBCOLETOR AÉREO DE ESGOTO SANITÁRIO. AF_08/2022</v>
          </cell>
          <cell r="D5621" t="str">
            <v>UN</v>
          </cell>
          <cell r="E5621">
            <v>98.51</v>
          </cell>
          <cell r="F5621">
            <v>0</v>
          </cell>
        </row>
        <row r="5622">
          <cell r="B5622">
            <v>89730</v>
          </cell>
          <cell r="C5622" t="str">
            <v>CURVA LONGA 90 GRAUS, PVC, SERIE NORMAL, ESGOTO PREDIAL, DN 40 MM, JUNTA SOLDÁVEL, FORNECIDO E INSTALADO EM RAMAL DE DESCARGA OU RAMAL DE ESGOTO SANITÁRIO. AF_08/2022</v>
          </cell>
          <cell r="D5622" t="str">
            <v>UN</v>
          </cell>
          <cell r="E5622">
            <v>19.29</v>
          </cell>
          <cell r="F5622">
            <v>0</v>
          </cell>
        </row>
        <row r="5623">
          <cell r="B5623">
            <v>89804</v>
          </cell>
          <cell r="C5623" t="str">
            <v>CURVA LONGA 90 GRAUS, PVC, SERIE NORMAL, ESGOTO PREDIAL, DN 50 MM, JUNTA ELÁSTICA, FORNECIDO E INSTALADO EM PRUMADA DE ESGOTO SANITÁRIO OU VENTILAÇÃO. AF_08/2022</v>
          </cell>
          <cell r="D5623" t="str">
            <v>UN</v>
          </cell>
          <cell r="E5623">
            <v>23.14</v>
          </cell>
          <cell r="F5623">
            <v>0</v>
          </cell>
        </row>
        <row r="5624">
          <cell r="B5624">
            <v>89735</v>
          </cell>
          <cell r="C5624" t="str">
            <v>CURVA LONGA 90 GRAUS, PVC, SERIE NORMAL, ESGOTO PREDIAL, DN 50 MM, JUNTA ELÁSTICA, FORNECIDO E INSTALADO EM RAMAL DE DESCARGA OU RAMAL DE ESGOTO SANITÁRIO. AF_08/2022</v>
          </cell>
          <cell r="D5624" t="str">
            <v>UN</v>
          </cell>
          <cell r="E5624">
            <v>30.77</v>
          </cell>
          <cell r="F5624">
            <v>0</v>
          </cell>
        </row>
        <row r="5625">
          <cell r="B5625">
            <v>89808</v>
          </cell>
          <cell r="C5625" t="str">
            <v>CURVA LONGA 90 GRAUS, PVC, SERIE NORMAL, ESGOTO PREDIAL, DN 75 MM, JUNTA ELÁSTICA, FORNECIDO E INSTALADO EM PRUMADA DE ESGOTO SANITÁRIO OU VENTILAÇÃO. AF_08/2022</v>
          </cell>
          <cell r="D5625" t="str">
            <v>UN</v>
          </cell>
          <cell r="E5625">
            <v>68.94</v>
          </cell>
          <cell r="F5625">
            <v>0</v>
          </cell>
        </row>
        <row r="5626">
          <cell r="B5626">
            <v>89743</v>
          </cell>
          <cell r="C5626" t="str">
            <v>CURVA LONGA 90 GRAUS, PVC, SERIE NORMAL, ESGOTO PREDIAL, DN 75 MM, JUNTA ELÁSTICA, FORNECIDO E INSTALADO EM RAMAL DE DESCARGA OU RAMAL DE ESGOTO SANITÁRIO. AF_08/2022</v>
          </cell>
          <cell r="D5626" t="str">
            <v>UN</v>
          </cell>
          <cell r="E5626">
            <v>71.84</v>
          </cell>
          <cell r="F5626">
            <v>0</v>
          </cell>
        </row>
        <row r="5627">
          <cell r="B5627">
            <v>89810</v>
          </cell>
          <cell r="C5627" t="str">
            <v>JOELHO 45 GRAUS, PVC, SERIE NORMAL, ESGOTO PREDIAL, DN 100 MM, JUNTA ELÁSTICA, FORNECIDO E INSTALADO EM PRUMADA DE ESGOTO SANITÁRIO OU VENTILAÇÃO. AF_08/2022</v>
          </cell>
          <cell r="D5627" t="str">
            <v>UN</v>
          </cell>
          <cell r="E5627">
            <v>35.04</v>
          </cell>
          <cell r="F5627">
            <v>0</v>
          </cell>
        </row>
        <row r="5628">
          <cell r="B5628">
            <v>89746</v>
          </cell>
          <cell r="C5628" t="str">
            <v>JOELHO 45 GRAUS, PVC, SERIE NORMAL, ESGOTO PREDIAL, DN 100 MM, JUNTA ELÁSTICA, FORNECIDO E INSTALADO EM RAMAL DE DESCARGA OU RAMAL DE ESGOTO SANITÁRIO. AF_08/2022</v>
          </cell>
          <cell r="D5628" t="str">
            <v>UN</v>
          </cell>
          <cell r="E5628">
            <v>33.229999999999997</v>
          </cell>
          <cell r="F5628">
            <v>0</v>
          </cell>
        </row>
        <row r="5629">
          <cell r="B5629">
            <v>89851</v>
          </cell>
          <cell r="C5629" t="str">
            <v>JOELHO 45 GRAUS, PVC, SERIE NORMAL, ESGOTO PREDIAL, DN 100 MM, JUNTA ELÁSTICA, FORNECIDO E INSTALADO EM SUBCOLETOR AÉREO DE ESGOTO SANITÁRIO. AF_08/2022</v>
          </cell>
          <cell r="D5629" t="str">
            <v>UN</v>
          </cell>
          <cell r="E5629">
            <v>39.479999999999997</v>
          </cell>
          <cell r="F5629">
            <v>0</v>
          </cell>
        </row>
        <row r="5630">
          <cell r="B5630">
            <v>89855</v>
          </cell>
          <cell r="C5630" t="str">
            <v>JOELHO 45 GRAUS, PVC, SERIE NORMAL, ESGOTO PREDIAL, DN 150 MM, JUNTA ELÁSTICA, FORNECIDO E INSTALADO EM SUBCOLETOR AÉREO DE ESGOTO SANITÁRIO. AF_08/2022</v>
          </cell>
          <cell r="D5630" t="str">
            <v>UN</v>
          </cell>
          <cell r="E5630">
            <v>127.73</v>
          </cell>
          <cell r="F5630">
            <v>0</v>
          </cell>
        </row>
        <row r="5631">
          <cell r="B5631">
            <v>89726</v>
          </cell>
          <cell r="C5631" t="str">
            <v>JOELHO 45 GRAUS, PVC, SERIE NORMAL, ESGOTO PREDIAL, DN 40 MM, JUNTA SOLDÁVEL, FORNECIDO E INSTALADO EM RAMAL DE DESCARGA OU RAMAL DE ESGOTO SANITÁRIO. AF_08/2022</v>
          </cell>
          <cell r="D5631" t="str">
            <v>UN</v>
          </cell>
          <cell r="E5631">
            <v>13.79</v>
          </cell>
          <cell r="F5631">
            <v>0</v>
          </cell>
        </row>
        <row r="5632">
          <cell r="B5632">
            <v>89802</v>
          </cell>
          <cell r="C5632" t="str">
            <v>JOELHO 45 GRAUS, PVC, SERIE NORMAL, ESGOTO PREDIAL, DN 50 MM, JUNTA ELÁSTICA, FORNECIDO E INSTALADO EM PRUMADA DE ESGOTO SANITÁRIO OU VENTILAÇÃO. AF_08/2022</v>
          </cell>
          <cell r="D5632" t="str">
            <v>UN</v>
          </cell>
          <cell r="E5632">
            <v>11.26</v>
          </cell>
          <cell r="F5632">
            <v>0</v>
          </cell>
        </row>
        <row r="5633">
          <cell r="B5633">
            <v>89732</v>
          </cell>
          <cell r="C5633" t="str">
            <v>JOELHO 45 GRAUS, PVC, SERIE NORMAL, ESGOTO PREDIAL, DN 50 MM, JUNTA ELÁSTICA, FORNECIDO E INSTALADO EM RAMAL DE DESCARGA OU RAMAL DE ESGOTO SANITÁRIO. AF_08/2022</v>
          </cell>
          <cell r="D5633" t="str">
            <v>UN</v>
          </cell>
          <cell r="E5633">
            <v>18.89</v>
          </cell>
          <cell r="F5633">
            <v>0</v>
          </cell>
        </row>
        <row r="5634">
          <cell r="B5634">
            <v>89806</v>
          </cell>
          <cell r="C5634" t="str">
            <v>JOELHO 45 GRAUS, PVC, SERIE NORMAL, ESGOTO PREDIAL, DN 75 MM, JUNTA ELÁSTICA, FORNECIDO E INSTALADO EM PRUMADA DE ESGOTO SANITÁRIO OU VENTILAÇÃO. AF_08/2022</v>
          </cell>
          <cell r="D5634" t="str">
            <v>UN</v>
          </cell>
          <cell r="E5634">
            <v>24.97</v>
          </cell>
          <cell r="F5634">
            <v>0</v>
          </cell>
        </row>
        <row r="5635">
          <cell r="B5635">
            <v>89739</v>
          </cell>
          <cell r="C5635" t="str">
            <v>JOELHO 45 GRAUS, PVC, SERIE NORMAL, ESGOTO PREDIAL, DN 75 MM, JUNTA ELÁSTICA, FORNECIDO E INSTALADO EM RAMAL DE DESCARGA OU RAMAL DE ESGOTO SANITÁRIO. AF_08/2022</v>
          </cell>
          <cell r="D5635" t="str">
            <v>UN</v>
          </cell>
          <cell r="E5635">
            <v>27.87</v>
          </cell>
          <cell r="F5635">
            <v>0</v>
          </cell>
        </row>
        <row r="5636">
          <cell r="B5636">
            <v>89809</v>
          </cell>
          <cell r="C5636" t="str">
            <v>JOELHO 90 GRAUS, PVC, SERIE NORMAL, ESGOTO PREDIAL, DN 100 MM, JUNTA ELÁSTICA, FORNECIDO E INSTALADO EM PRUMADA DE ESGOTO SANITÁRIO OU VENTILAÇÃO. AF_08/2022</v>
          </cell>
          <cell r="D5636" t="str">
            <v>UN</v>
          </cell>
          <cell r="E5636">
            <v>34.04</v>
          </cell>
          <cell r="F5636">
            <v>0</v>
          </cell>
        </row>
        <row r="5637">
          <cell r="B5637">
            <v>89744</v>
          </cell>
          <cell r="C5637" t="str">
            <v>JOELHO 90 GRAUS, PVC, SERIE NORMAL, ESGOTO PREDIAL, DN 100 MM, JUNTA ELÁSTICA, FORNECIDO E INSTALADO EM RAMAL DE DESCARGA OU RAMAL DE ESGOTO SANITÁRIO. AF_08/2022</v>
          </cell>
          <cell r="D5637" t="str">
            <v>UN</v>
          </cell>
          <cell r="E5637">
            <v>32.229999999999997</v>
          </cell>
          <cell r="F5637">
            <v>0</v>
          </cell>
        </row>
        <row r="5638">
          <cell r="B5638">
            <v>89850</v>
          </cell>
          <cell r="C5638" t="str">
            <v>JOELHO 90 GRAUS, PVC, SERIE NORMAL, ESGOTO PREDIAL, DN 100 MM, JUNTA ELÁSTICA, FORNECIDO E INSTALADO EM SUBCOLETOR AÉREO DE ESGOTO SANITÁRIO. AF_08/2022</v>
          </cell>
          <cell r="D5638" t="str">
            <v>UN</v>
          </cell>
          <cell r="E5638">
            <v>38.479999999999997</v>
          </cell>
          <cell r="F5638">
            <v>0</v>
          </cell>
        </row>
        <row r="5639">
          <cell r="B5639">
            <v>89854</v>
          </cell>
          <cell r="C5639" t="str">
            <v>JOELHO 90 GRAUS, PVC, SERIE NORMAL, ESGOTO PREDIAL, DN 150 MM, JUNTA ELÁSTICA, FORNECIDO E INSTALADO EM SUBCOLETOR AÉREO DE ESGOTO SANITÁRIO. AF_08/2022</v>
          </cell>
          <cell r="D5639" t="str">
            <v>UN</v>
          </cell>
          <cell r="E5639">
            <v>121.48</v>
          </cell>
          <cell r="F5639">
            <v>0</v>
          </cell>
        </row>
        <row r="5640">
          <cell r="B5640">
            <v>89724</v>
          </cell>
          <cell r="C5640" t="str">
            <v>JOELHO 90 GRAUS, PVC, SERIE NORMAL, ESGOTO PREDIAL, DN 40 MM, JUNTA SOLDÁVEL, FORNECIDO E INSTALADO EM RAMAL DE DESCARGA OU RAMAL DE ESGOTO SANITÁRIO. AF_08/2022</v>
          </cell>
          <cell r="D5640" t="str">
            <v>UN</v>
          </cell>
          <cell r="E5640">
            <v>13.52</v>
          </cell>
          <cell r="F5640">
            <v>0</v>
          </cell>
        </row>
        <row r="5641">
          <cell r="B5641">
            <v>89801</v>
          </cell>
          <cell r="C5641" t="str">
            <v>JOELHO 90 GRAUS, PVC, SERIE NORMAL, ESGOTO PREDIAL, DN 50 MM, JUNTA ELÁSTICA, FORNECIDO E INSTALADO EM PRUMADA DE ESGOTO SANITÁRIO OU VENTILAÇÃO. AF_08/2022</v>
          </cell>
          <cell r="D5641" t="str">
            <v>UN</v>
          </cell>
          <cell r="E5641">
            <v>10.39</v>
          </cell>
          <cell r="F5641">
            <v>0</v>
          </cell>
        </row>
        <row r="5642">
          <cell r="B5642">
            <v>89731</v>
          </cell>
          <cell r="C5642" t="str">
            <v>JOELHO 90 GRAUS, PVC, SERIE NORMAL, ESGOTO PREDIAL, DN 50 MM, JUNTA ELÁSTICA, FORNECIDO E INSTALADO EM RAMAL DE DESCARGA OU RAMAL DE ESGOTO SANITÁRIO. AF_08/2022</v>
          </cell>
          <cell r="D5642" t="str">
            <v>UN</v>
          </cell>
          <cell r="E5642">
            <v>18.02</v>
          </cell>
          <cell r="F5642">
            <v>0</v>
          </cell>
        </row>
        <row r="5643">
          <cell r="B5643">
            <v>89805</v>
          </cell>
          <cell r="C5643" t="str">
            <v>JOELHO 90 GRAUS, PVC, SERIE NORMAL, ESGOTO PREDIAL, DN 75 MM, JUNTA ELÁSTICA, FORNECIDO E INSTALADO EM PRUMADA DE ESGOTO SANITÁRIO OU VENTILAÇÃO. AF_08/2022</v>
          </cell>
          <cell r="D5643" t="str">
            <v>UN</v>
          </cell>
          <cell r="E5643">
            <v>23.8</v>
          </cell>
          <cell r="F5643">
            <v>0</v>
          </cell>
        </row>
        <row r="5644">
          <cell r="B5644">
            <v>89737</v>
          </cell>
          <cell r="C5644" t="str">
            <v>JOELHO 90 GRAUS, PVC, SERIE NORMAL, ESGOTO PREDIAL, DN 75 MM, JUNTA ELÁSTICA, FORNECIDO E INSTALADO EM RAMAL DE DESCARGA OU RAMAL DE ESGOTO SANITÁRIO. AF_08/2022</v>
          </cell>
          <cell r="D5644" t="str">
            <v>UN</v>
          </cell>
          <cell r="E5644">
            <v>26.7</v>
          </cell>
          <cell r="F5644">
            <v>0</v>
          </cell>
        </row>
        <row r="5645">
          <cell r="B5645">
            <v>104355</v>
          </cell>
          <cell r="C5645" t="str">
            <v>JUNÇÃO DE REDUCAO INVERTIDA, PVC, SÉRIE NORMAL, ESGOTO PREDIAL, DN 100 X 75 MM, JUNTA ELÁSTICA, FORNECIDO E INSTALADO EM PRUMADA DE ESGOTO SANITÁRIO OU VENTILAÇÃO. AF_08/2022</v>
          </cell>
          <cell r="D5645" t="str">
            <v>UN</v>
          </cell>
          <cell r="E5645">
            <v>56.15</v>
          </cell>
          <cell r="F5645">
            <v>0</v>
          </cell>
        </row>
        <row r="5646">
          <cell r="B5646">
            <v>104347</v>
          </cell>
          <cell r="C5646" t="str">
            <v>JUNÇÃO DE REDUCAO INVERTIDA, PVC, SÉRIE NORMAL, ESGOTO PREDIAL, DN 100 X 75 MM, JUNTA ELÁSTICA, FORNECIDO E INSTALADO EM RAMAL DE DESCARGA OU RAMAL DE ESGOTO SANITÁRIO. AF_08/2022</v>
          </cell>
          <cell r="D5646" t="str">
            <v>UN</v>
          </cell>
          <cell r="E5646">
            <v>55.83</v>
          </cell>
          <cell r="F5646">
            <v>0</v>
          </cell>
        </row>
        <row r="5647">
          <cell r="B5647">
            <v>104353</v>
          </cell>
          <cell r="C5647" t="str">
            <v>JUNÇÃO DE REDUÇÃO INVERTIDA, PVC, SÉRIE NORMAL, ESGOTO PREDIAL, DN 100 X 50 MM, JUNTA ELÁSTICA, FORNECIDO E INSTALADO EM PRUMADA DE ESGOTO SANITÁRIO OU VENTILAÇÃO. AF_08/2022</v>
          </cell>
          <cell r="D5647" t="str">
            <v>UN</v>
          </cell>
          <cell r="E5647">
            <v>48.42</v>
          </cell>
          <cell r="F5647">
            <v>0</v>
          </cell>
        </row>
        <row r="5648">
          <cell r="B5648">
            <v>104345</v>
          </cell>
          <cell r="C5648" t="str">
            <v>JUNÇÃO DE REDUÇÃO INVERTIDA, PVC, SÉRIE NORMAL, ESGOTO PREDIAL, DN 100 X 50 MM, JUNTA ELÁSTICA, FORNECIDO E INSTALADO EM RAMAL DE DESCARGA OU RAMAL DE ESGOTO SANITÁRIO. AF_08/2022</v>
          </cell>
          <cell r="D5648" t="str">
            <v>UN</v>
          </cell>
          <cell r="E5648">
            <v>50.2</v>
          </cell>
          <cell r="F5648">
            <v>0</v>
          </cell>
        </row>
        <row r="5649">
          <cell r="B5649">
            <v>104350</v>
          </cell>
          <cell r="C5649" t="str">
            <v>JUNÇÃO DE REDUÇÃO INVERTIDA, PVC, SÉRIE NORMAL, ESGOTO PREDIAL, DN 75 X 50 MM, JUNTA ELÁSTICA, FORNECIDO E INSTALADO EM PRUMADA DE ESGOTO SANITÁRIO OU VENTILAÇÃO. AF_08/2022</v>
          </cell>
          <cell r="D5649" t="str">
            <v>UN</v>
          </cell>
          <cell r="E5649">
            <v>34</v>
          </cell>
          <cell r="F5649">
            <v>0</v>
          </cell>
        </row>
        <row r="5650">
          <cell r="B5650">
            <v>104343</v>
          </cell>
          <cell r="C5650" t="str">
            <v>JUNÇÃO DE REDUÇÃO INVERTIDA, PVC, SÉRIE NORMAL, ESGOTO PREDIAL, DN 75 X 50 MM, JUNTA ELÁSTICA, FORNECIDO E INSTALADO EM RAMAL DE DESCARGA OU RAMAL DE ESGOTO SANITÁRIO. AF_08/2022</v>
          </cell>
          <cell r="D5650" t="str">
            <v>UN</v>
          </cell>
          <cell r="E5650">
            <v>39.99</v>
          </cell>
          <cell r="F5650">
            <v>0</v>
          </cell>
        </row>
        <row r="5651">
          <cell r="B5651">
            <v>89834</v>
          </cell>
          <cell r="C5651" t="str">
            <v>JUNÇÃO SIMPLES, PVC, SERIE NORMAL, ESGOTO PREDIAL, DN 100 X 100 MM, JUNTA ELÁSTICA, FORNECIDO E INSTALADO EM PRUMADA DE ESGOTO SANITÁRIO OU VENTILAÇÃO. AF_08/2022</v>
          </cell>
          <cell r="D5651" t="str">
            <v>UN</v>
          </cell>
          <cell r="E5651">
            <v>62.29</v>
          </cell>
          <cell r="F5651">
            <v>0</v>
          </cell>
        </row>
        <row r="5652">
          <cell r="B5652">
            <v>89797</v>
          </cell>
          <cell r="C5652" t="str">
            <v>JUNÇÃO SIMPLES, PVC, SERIE NORMAL, ESGOTO PREDIAL, DN 100 X 100 MM, JUNTA ELÁSTICA, FORNECIDO E INSTALADO EM RAMAL DE DESCARGA OU RAMAL DE ESGOTO SANITÁRIO. AF_08/2022</v>
          </cell>
          <cell r="D5652" t="str">
            <v>UN</v>
          </cell>
          <cell r="E5652">
            <v>59.88</v>
          </cell>
          <cell r="F5652">
            <v>0</v>
          </cell>
        </row>
        <row r="5653">
          <cell r="B5653">
            <v>89861</v>
          </cell>
          <cell r="C5653" t="str">
            <v>JUNÇÃO SIMPLES, PVC, SERIE NORMAL, ESGOTO PREDIAL, DN 100 X 100 MM, JUNTA ELÁSTICA, FORNECIDO E INSTALADO EM SUBCOLETOR AÉREO DE ESGOTO SANITÁRIO. AF_08/2022</v>
          </cell>
          <cell r="D5653" t="str">
            <v>UN</v>
          </cell>
          <cell r="E5653">
            <v>68.2</v>
          </cell>
          <cell r="F5653">
            <v>0</v>
          </cell>
        </row>
        <row r="5654">
          <cell r="B5654">
            <v>89783</v>
          </cell>
          <cell r="C5654" t="str">
            <v>JUNÇÃO SIMPLES, PVC, SERIE NORMAL, ESGOTO PREDIAL, DN 40 MM, JUNTA SOLDÁVEL, FORNECIDO E INSTALADO EM RAMAL DE DESCARGA OU RAMAL DE ESGOTO SANITÁRIO. AF_08/2022</v>
          </cell>
          <cell r="D5654" t="str">
            <v>UN</v>
          </cell>
          <cell r="E5654">
            <v>19.45</v>
          </cell>
          <cell r="F5654">
            <v>0</v>
          </cell>
        </row>
        <row r="5655">
          <cell r="B5655">
            <v>89827</v>
          </cell>
          <cell r="C5655" t="str">
            <v>JUNÇÃO SIMPLES, PVC, SERIE NORMAL, ESGOTO PREDIAL, DN 50 X 50 MM, JUNTA ELÁSTICA, FORNECIDO E INSTALADO EM PRUMADA DE ESGOTO SANITÁRIO OU VENTILAÇÃO. AF_08/2022</v>
          </cell>
          <cell r="D5655" t="str">
            <v>UN</v>
          </cell>
          <cell r="E5655">
            <v>21.49</v>
          </cell>
          <cell r="F5655">
            <v>0</v>
          </cell>
        </row>
        <row r="5656">
          <cell r="B5656">
            <v>89785</v>
          </cell>
          <cell r="C5656" t="str">
            <v>JUNÇÃO SIMPLES, PVC, SERIE NORMAL, ESGOTO PREDIAL, DN 50 X 50 MM, JUNTA ELÁSTICA, FORNECIDO E INSTALADO EM RAMAL DE DESCARGA OU RAMAL DE ESGOTO SANITÁRIO. AF_08/2022</v>
          </cell>
          <cell r="D5656" t="str">
            <v>UN</v>
          </cell>
          <cell r="E5656">
            <v>31.66</v>
          </cell>
          <cell r="F5656">
            <v>0</v>
          </cell>
        </row>
        <row r="5657">
          <cell r="B5657">
            <v>89830</v>
          </cell>
          <cell r="C5657" t="str">
            <v>JUNÇÃO SIMPLES, PVC, SERIE NORMAL, ESGOTO PREDIAL, DN 75 X 75 MM, JUNTA ELÁSTICA, FORNECIDO E INSTALADO EM PRUMADA DE ESGOTO SANITÁRIO OU VENTILAÇÃO. AF_08/2022</v>
          </cell>
          <cell r="D5657" t="str">
            <v>UN</v>
          </cell>
          <cell r="E5657">
            <v>44.06</v>
          </cell>
          <cell r="F5657">
            <v>0</v>
          </cell>
        </row>
        <row r="5658">
          <cell r="B5658">
            <v>89795</v>
          </cell>
          <cell r="C5658" t="str">
            <v>JUNÇÃO SIMPLES, PVC, SERIE NORMAL, ESGOTO PREDIAL, DN 75 X 75 MM, JUNTA ELÁSTICA, FORNECIDO E INSTALADO EM RAMAL DE DESCARGA OU RAMAL DE ESGOTO SANITÁRIO. AF_08/2022</v>
          </cell>
          <cell r="D5658" t="str">
            <v>UN</v>
          </cell>
          <cell r="E5658">
            <v>47.95</v>
          </cell>
          <cell r="F5658">
            <v>0</v>
          </cell>
        </row>
        <row r="5659">
          <cell r="B5659">
            <v>89823</v>
          </cell>
          <cell r="C5659" t="str">
            <v>LUVA DE CORRER, PVC, SERIE NORMAL, ESGOTO PREDIAL, DN 100 MM, JUNTA ELÁSTICA, FORNECIDO E INSTALADO EM PRUMADA DE ESGOTO SANITÁRIO OU VENTILAÇÃO. AF_08/2022</v>
          </cell>
          <cell r="D5659" t="str">
            <v>UN</v>
          </cell>
          <cell r="E5659">
            <v>40.9</v>
          </cell>
          <cell r="F5659">
            <v>0</v>
          </cell>
        </row>
        <row r="5660">
          <cell r="B5660">
            <v>89779</v>
          </cell>
          <cell r="C5660" t="str">
            <v>LUVA DE CORRER, PVC, SERIE NORMAL, ESGOTO PREDIAL, DN 100 MM, JUNTA ELÁSTICA, FORNECIDO E INSTALADO EM RAMAL DE DESCARGA OU RAMAL DE ESGOTO SANITÁRIO. AF_08/2022</v>
          </cell>
          <cell r="D5660" t="str">
            <v>UN</v>
          </cell>
          <cell r="E5660">
            <v>39.69</v>
          </cell>
          <cell r="F5660">
            <v>0</v>
          </cell>
        </row>
        <row r="5661">
          <cell r="B5661">
            <v>89857</v>
          </cell>
          <cell r="C5661" t="str">
            <v>LUVA DE CORRER, PVC, SERIE NORMAL, ESGOTO PREDIAL, DN 100 MM, JUNTA ELÁSTICA, FORNECIDO E INSTALADO EM SUBCOLETOR AÉREO DE ESGOTO SANITÁRIO. AF_08/2022</v>
          </cell>
          <cell r="D5661" t="str">
            <v>UN</v>
          </cell>
          <cell r="E5661">
            <v>43.85</v>
          </cell>
          <cell r="F5661">
            <v>0</v>
          </cell>
        </row>
        <row r="5662">
          <cell r="B5662">
            <v>89814</v>
          </cell>
          <cell r="C5662" t="str">
            <v>LUVA DE CORRER, PVC, SERIE NORMAL, ESGOTO PREDIAL, DN 50 MM, JUNTA ELÁSTICA, FORNECIDO E INSTALADO EM PRUMADA DE ESGOTO SANITÁRIO OU VENTILAÇÃO. AF_08/2022</v>
          </cell>
          <cell r="D5662" t="str">
            <v>UN</v>
          </cell>
          <cell r="E5662">
            <v>19.37</v>
          </cell>
          <cell r="F5662">
            <v>0</v>
          </cell>
        </row>
        <row r="5663">
          <cell r="B5663">
            <v>89754</v>
          </cell>
          <cell r="C5663" t="str">
            <v>LUVA DE CORRER, PVC, SERIE NORMAL, ESGOTO PREDIAL, DN 50 MM, JUNTA ELÁSTICA, FORNECIDO E INSTALADO EM RAMAL DE DESCARGA OU RAMAL DE ESGOTO SANITÁRIO. AF_08/2022</v>
          </cell>
          <cell r="D5663" t="str">
            <v>UN</v>
          </cell>
          <cell r="E5663">
            <v>24.46</v>
          </cell>
          <cell r="F5663">
            <v>0</v>
          </cell>
        </row>
        <row r="5664">
          <cell r="B5664">
            <v>89819</v>
          </cell>
          <cell r="C5664" t="str">
            <v>LUVA DE CORRER, PVC, SERIE NORMAL, ESGOTO PREDIAL, DN 75 MM, JUNTA ELÁSTICA, FORNECIDO E INSTALADO EM PRUMADA DE ESGOTO SANITÁRIO OU VENTILAÇÃO. AF_08/2022</v>
          </cell>
          <cell r="D5664" t="str">
            <v>UN</v>
          </cell>
          <cell r="E5664">
            <v>27.37</v>
          </cell>
          <cell r="F5664">
            <v>0</v>
          </cell>
        </row>
        <row r="5665">
          <cell r="B5665">
            <v>89776</v>
          </cell>
          <cell r="C5665" t="str">
            <v>LUVA DE CORRER, PVC, SERIE NORMAL, ESGOTO PREDIAL, DN 75 MM, JUNTA ELÁSTICA, FORNECIDO E INSTALADO EM RAMAL DE DESCARGA OU RAMAL DE ESGOTO SANITÁRIO. AF_08/2022</v>
          </cell>
          <cell r="D5665" t="str">
            <v>UN</v>
          </cell>
          <cell r="E5665">
            <v>29.31</v>
          </cell>
          <cell r="F5665">
            <v>0</v>
          </cell>
        </row>
        <row r="5666">
          <cell r="B5666">
            <v>89821</v>
          </cell>
          <cell r="C5666" t="str">
            <v>LUVA SIMPLES, PVC, SERIE NORMAL, ESGOTO PREDIAL, DN 100 MM, JUNTA ELÁSTICA, FORNECIDO E INSTALADO EM PRUMADA DE ESGOTO SANITÁRIO OU VENTILAÇÃO. AF_08/2022</v>
          </cell>
          <cell r="D5666" t="str">
            <v>UN</v>
          </cell>
          <cell r="E5666">
            <v>22.77</v>
          </cell>
          <cell r="F5666">
            <v>0</v>
          </cell>
        </row>
        <row r="5667">
          <cell r="B5667">
            <v>89778</v>
          </cell>
          <cell r="C5667" t="str">
            <v>LUVA SIMPLES, PVC, SERIE NORMAL, ESGOTO PREDIAL, DN 100 MM, JUNTA ELÁSTICA, FORNECIDO E INSTALADO EM RAMAL DE DESCARGA OU RAMAL DE ESGOTO SANITÁRIO. AF_08/2022</v>
          </cell>
          <cell r="D5667" t="str">
            <v>UN</v>
          </cell>
          <cell r="E5667">
            <v>21.56</v>
          </cell>
          <cell r="F5667">
            <v>0</v>
          </cell>
        </row>
        <row r="5668">
          <cell r="B5668">
            <v>89856</v>
          </cell>
          <cell r="C5668" t="str">
            <v>LUVA SIMPLES, PVC, SERIE NORMAL, ESGOTO PREDIAL, DN 100 MM, JUNTA ELÁSTICA, FORNECIDO E INSTALADO EM SUBCOLETOR AÉREO DE ESGOTO SANITÁRIO. AF_08/2022</v>
          </cell>
          <cell r="D5668" t="str">
            <v>UN</v>
          </cell>
          <cell r="E5668">
            <v>25.72</v>
          </cell>
          <cell r="F5668">
            <v>0</v>
          </cell>
        </row>
        <row r="5669">
          <cell r="B5669">
            <v>89752</v>
          </cell>
          <cell r="C5669" t="str">
            <v>LUVA SIMPLES, PVC, SERIE NORMAL, ESGOTO PREDIAL, DN 40 MM, JUNTA SOLDÁVEL, FORNECIDO E INSTALADO EM RAMAL DE DESCARGA OU RAMAL DE ESGOTO SANITÁRIO. AF_08/2022</v>
          </cell>
          <cell r="D5669" t="str">
            <v>UN</v>
          </cell>
          <cell r="E5669">
            <v>9.7799999999999994</v>
          </cell>
          <cell r="F5669">
            <v>0</v>
          </cell>
        </row>
        <row r="5670">
          <cell r="B5670">
            <v>89813</v>
          </cell>
          <cell r="C5670" t="str">
            <v>LUVA SIMPLES, PVC, SERIE NORMAL, ESGOTO PREDIAL, DN 50 MM, JUNTA ELÁSTICA, FORNECIDO E INSTALADO EM PRUMADA DE ESGOTO SANITÁRIO OU VENTILAÇÃO. AF_08/2022</v>
          </cell>
          <cell r="D5670" t="str">
            <v>UN</v>
          </cell>
          <cell r="E5670">
            <v>6.84</v>
          </cell>
          <cell r="F5670">
            <v>0</v>
          </cell>
        </row>
        <row r="5671">
          <cell r="B5671">
            <v>89753</v>
          </cell>
          <cell r="C5671" t="str">
            <v>LUVA SIMPLES, PVC, SERIE NORMAL, ESGOTO PREDIAL, DN 50 MM, JUNTA ELÁSTICA, FORNECIDO E INSTALADO EM RAMAL DE DESCARGA OU RAMAL DE ESGOTO SANITÁRIO. AF_08/2022</v>
          </cell>
          <cell r="D5671" t="str">
            <v>UN</v>
          </cell>
          <cell r="E5671">
            <v>12.01</v>
          </cell>
          <cell r="F5671">
            <v>0</v>
          </cell>
        </row>
        <row r="5672">
          <cell r="B5672">
            <v>89817</v>
          </cell>
          <cell r="C5672" t="str">
            <v>LUVA SIMPLES, PVC, SERIE NORMAL, ESGOTO PREDIAL, DN 75 MM, JUNTA ELÁSTICA, FORNECIDO E INSTALADO EM PRUMADA DE ESGOTO SANITÁRIO OU VENTILAÇÃO. AF_08/2022</v>
          </cell>
          <cell r="D5672" t="str">
            <v>UN</v>
          </cell>
          <cell r="E5672">
            <v>17.09</v>
          </cell>
          <cell r="F5672">
            <v>0</v>
          </cell>
        </row>
        <row r="5673">
          <cell r="B5673">
            <v>89774</v>
          </cell>
          <cell r="C5673" t="str">
            <v>LUVA SIMPLES, PVC, SERIE NORMAL, ESGOTO PREDIAL, DN 75 MM, JUNTA ELÁSTICA, FORNECIDO E INSTALADO EM RAMAL DE DESCARGA OU RAMAL DE ESGOTO SANITÁRIO. AF_08/2022</v>
          </cell>
          <cell r="D5673" t="str">
            <v>UN</v>
          </cell>
          <cell r="E5673">
            <v>19.059999999999999</v>
          </cell>
          <cell r="F5673">
            <v>0</v>
          </cell>
        </row>
        <row r="5674">
          <cell r="B5674">
            <v>95693</v>
          </cell>
          <cell r="C5674" t="str">
            <v>LUVA SIMPLES, PVC, SÉRIE NORMAL, ESGOTO PREDIAL, DN 150 MM, JUNTA ELÁSTICA, FORNECIDO E INSTALADO EM SUBCOLETOR AÉREO DE ESGOTO SANITÁRIO. AF_08/2022</v>
          </cell>
          <cell r="D5674" t="str">
            <v>UN</v>
          </cell>
          <cell r="E5674">
            <v>62.39</v>
          </cell>
          <cell r="F5674">
            <v>0</v>
          </cell>
        </row>
        <row r="5675">
          <cell r="B5675">
            <v>89833</v>
          </cell>
          <cell r="C5675" t="str">
            <v>TE, PVC, SERIE NORMAL, ESGOTO PREDIAL, DN 100 X 100 MM, JUNTA ELÁSTICA, FORNECIDO E INSTALADO EM PRUMADA DE ESGOTO SANITÁRIO OU VENTILAÇÃO. AF_08/2022</v>
          </cell>
          <cell r="D5675" t="str">
            <v>UN</v>
          </cell>
          <cell r="E5675">
            <v>52.65</v>
          </cell>
          <cell r="F5675">
            <v>0</v>
          </cell>
        </row>
        <row r="5676">
          <cell r="B5676">
            <v>89796</v>
          </cell>
          <cell r="C5676" t="str">
            <v>TE, PVC, SERIE NORMAL, ESGOTO PREDIAL, DN 100 X 100 MM, JUNTA ELÁSTICA, FORNECIDO E INSTALADO EM RAMAL DE DESCARGA OU RAMAL DE ESGOTO SANITÁRIO. AF_08/2022</v>
          </cell>
          <cell r="D5676" t="str">
            <v>UN</v>
          </cell>
          <cell r="E5676">
            <v>50.24</v>
          </cell>
          <cell r="F5676">
            <v>0</v>
          </cell>
        </row>
        <row r="5677">
          <cell r="B5677">
            <v>89860</v>
          </cell>
          <cell r="C5677" t="str">
            <v>TE, PVC, SERIE NORMAL, ESGOTO PREDIAL, DN 100 X 100 MM, JUNTA ELÁSTICA, FORNECIDO E INSTALADO EM SUBCOLETOR AÉREO DE ESGOTO SANITÁRIO. AF_08/2022</v>
          </cell>
          <cell r="D5677" t="str">
            <v>UN</v>
          </cell>
          <cell r="E5677">
            <v>58.56</v>
          </cell>
          <cell r="F5677">
            <v>0</v>
          </cell>
        </row>
        <row r="5678">
          <cell r="B5678">
            <v>89782</v>
          </cell>
          <cell r="C5678" t="str">
            <v>TE, PVC, SERIE NORMAL, ESGOTO PREDIAL, DN 40 X 40 MM, JUNTA SOLDÁVEL, FORNECIDO E INSTALADO EM RAMAL DE DESCARGA OU RAMAL DE ESGOTO SANITÁRIO. AF_08/2022</v>
          </cell>
          <cell r="D5678" t="str">
            <v>UN</v>
          </cell>
          <cell r="E5678">
            <v>19.329999999999998</v>
          </cell>
          <cell r="F5678">
            <v>0</v>
          </cell>
        </row>
        <row r="5679">
          <cell r="B5679">
            <v>89825</v>
          </cell>
          <cell r="C5679" t="str">
            <v>TE, PVC, SERIE NORMAL, ESGOTO PREDIAL, DN 50 X 50 MM, JUNTA ELÁSTICA, FORNECIDO E INSTALADO EM PRUMADA DE ESGOTO SANITÁRIO OU VENTILAÇÃO. AF_08/2022</v>
          </cell>
          <cell r="D5679" t="str">
            <v>UN</v>
          </cell>
          <cell r="E5679">
            <v>18.670000000000002</v>
          </cell>
          <cell r="F5679">
            <v>0</v>
          </cell>
        </row>
        <row r="5680">
          <cell r="B5680">
            <v>89784</v>
          </cell>
          <cell r="C5680" t="str">
            <v>TE, PVC, SERIE NORMAL, ESGOTO PREDIAL, DN 50 X 50 MM, JUNTA ELÁSTICA, FORNECIDO E INSTALADO EM RAMAL DE DESCARGA OU RAMAL DE ESGOTO SANITÁRIO. AF_08/2022</v>
          </cell>
          <cell r="D5680" t="str">
            <v>UN</v>
          </cell>
          <cell r="E5680">
            <v>28.84</v>
          </cell>
          <cell r="F5680">
            <v>0</v>
          </cell>
        </row>
        <row r="5681">
          <cell r="B5681">
            <v>89829</v>
          </cell>
          <cell r="C5681" t="str">
            <v>TE, PVC, SERIE NORMAL, ESGOTO PREDIAL, DN 75 X 75 MM, JUNTA ELÁSTICA, FORNECIDO E INSTALADO EM PRUMADA DE ESGOTO SANITÁRIO OU VENTILAÇÃO. AF_08/2022</v>
          </cell>
          <cell r="D5681" t="str">
            <v>UN</v>
          </cell>
          <cell r="E5681">
            <v>41.57</v>
          </cell>
          <cell r="F5681">
            <v>0</v>
          </cell>
        </row>
        <row r="5682">
          <cell r="B5682">
            <v>89786</v>
          </cell>
          <cell r="C5682" t="str">
            <v>TE, PVC, SERIE NORMAL, ESGOTO PREDIAL, DN 75 X 75 MM, JUNTA ELÁSTICA, FORNECIDO E INSTALADO EM RAMAL DE DESCARGA OU RAMAL DE ESGOTO SANITÁRIO. AF_08/2022</v>
          </cell>
          <cell r="D5682" t="str">
            <v>UN</v>
          </cell>
          <cell r="E5682">
            <v>45.46</v>
          </cell>
          <cell r="F5682">
            <v>0</v>
          </cell>
        </row>
        <row r="5683">
          <cell r="B5683">
            <v>104352</v>
          </cell>
          <cell r="C5683" t="str">
            <v>TE, PVC, SÉRIE NORMAL, ESGOTO PREDIAL, DN 100 X 50 MM, JUNTA ELÁSTICA, FORNECIDO E INSTALADO EM PRUMADA DE ESGOTO SANITÁRIO OU VENTILAÇÃO. AF_08/2022</v>
          </cell>
          <cell r="D5683" t="str">
            <v>UN</v>
          </cell>
          <cell r="E5683">
            <v>45.94</v>
          </cell>
          <cell r="F5683">
            <v>0</v>
          </cell>
        </row>
        <row r="5684">
          <cell r="B5684">
            <v>104344</v>
          </cell>
          <cell r="C5684" t="str">
            <v>TE, PVC, SÉRIE NORMAL, ESGOTO PREDIAL, DN 100 X 50 MM, JUNTA ELÁSTICA, FORNECIDO E INSTALADO EM RAMAL DE DESCARGA OU RAMAL DE ESGOTO SANITÁRIO. AF_08/2022</v>
          </cell>
          <cell r="D5684" t="str">
            <v>UN</v>
          </cell>
          <cell r="E5684">
            <v>47.72</v>
          </cell>
          <cell r="F5684">
            <v>0</v>
          </cell>
        </row>
        <row r="5685">
          <cell r="B5685">
            <v>104354</v>
          </cell>
          <cell r="C5685" t="str">
            <v>TE, PVC, SÉRIE NORMAL, ESGOTO PREDIAL, DN 100 X 75 MM, JUNTA ELÁSTICA, FORNECIDO E INSTALADO EM PRUMADA DE ESGOTO SANITÁRIO OU VENTILAÇÃO. AF_08/2022</v>
          </cell>
          <cell r="D5685" t="str">
            <v>UN</v>
          </cell>
          <cell r="E5685">
            <v>52.95</v>
          </cell>
          <cell r="F5685">
            <v>0</v>
          </cell>
        </row>
        <row r="5686">
          <cell r="B5686">
            <v>104346</v>
          </cell>
          <cell r="C5686" t="str">
            <v>TE, PVC, SÉRIE NORMAL, ESGOTO PREDIAL, DN 100 X 75 MM, JUNTA ELÁSTICA, FORNECIDO E INSTALADO EM RAMAL DE DESCARGA OU RAMAL DE ESGOTO SANITÁRIO. AF_08/2022</v>
          </cell>
          <cell r="D5686" t="str">
            <v>UN</v>
          </cell>
          <cell r="E5686">
            <v>52.63</v>
          </cell>
          <cell r="F5686">
            <v>0</v>
          </cell>
        </row>
        <row r="5687">
          <cell r="B5687">
            <v>104356</v>
          </cell>
          <cell r="C5687" t="str">
            <v>TERMINAL DE VENTILAÇÃO, PVC, SÉRIE NORMAL, ESGOTO PREDIAL, DN 100 MM, JUNTA SOLDÁVEL, FORNECIDO E INSTALADO EM PRUMADA DE ESGOTO SANITÁRIO OU VENTILAÇÃO. AF_08/2022</v>
          </cell>
          <cell r="D5687" t="str">
            <v>UN</v>
          </cell>
          <cell r="E5687">
            <v>35.9</v>
          </cell>
          <cell r="F5687">
            <v>0</v>
          </cell>
        </row>
        <row r="5688">
          <cell r="B5688">
            <v>104348</v>
          </cell>
          <cell r="C5688" t="str">
            <v>TERMINAL DE VENTILAÇÃO, PVC, SÉRIE NORMAL, ESGOTO PREDIAL, DN 50 MM, JUNTA SOLDÁVEL, FORNECIDO E INSTALADO EM PRUMADA DE ESGOTO SANITÁRIO OU VENTILAÇÃO. AF_08/2022</v>
          </cell>
          <cell r="D5688" t="str">
            <v>UN</v>
          </cell>
          <cell r="E5688">
            <v>12.99</v>
          </cell>
          <cell r="F5688">
            <v>0</v>
          </cell>
        </row>
        <row r="5689">
          <cell r="B5689">
            <v>104351</v>
          </cell>
          <cell r="C5689" t="str">
            <v>TERMINAL DE VENTILAÇÃO, PVC, SÉRIE NORMAL, ESGOTO PREDIAL, DN 75 MM, JUNTA SOLDÁVEL, FORNECIDO E INSTALADO EM PRUMADA DE ESGOTO SANITÁRIO OU VENTILAÇÃO. AF_08/2022</v>
          </cell>
          <cell r="D5689" t="str">
            <v>UN</v>
          </cell>
          <cell r="E5689">
            <v>27.01</v>
          </cell>
          <cell r="F5689">
            <v>0</v>
          </cell>
        </row>
        <row r="5690">
          <cell r="B5690">
            <v>89800</v>
          </cell>
          <cell r="C5690" t="str">
            <v>TUBO PVC, SERIE NORMAL, ESGOTO PREDIAL, DN 100 MM, FORNECIDO E INSTALADO EM PRUMADA DE ESGOTO SANITÁRIO OU VENTILAÇÃO. AF_08/2022</v>
          </cell>
          <cell r="D5690" t="str">
            <v>M</v>
          </cell>
          <cell r="E5690">
            <v>38.29</v>
          </cell>
          <cell r="F5690">
            <v>0</v>
          </cell>
        </row>
        <row r="5691">
          <cell r="B5691">
            <v>89714</v>
          </cell>
          <cell r="C5691" t="str">
            <v>TUBO PVC, SERIE NORMAL, ESGOTO PREDIAL, DN 100 MM, FORNECIDO E INSTALADO EM RAMAL DE DESCARGA OU RAMAL DE ESGOTO SANITÁRIO. AF_08/2022</v>
          </cell>
          <cell r="D5691" t="str">
            <v>M</v>
          </cell>
          <cell r="E5691">
            <v>51.64</v>
          </cell>
          <cell r="F5691">
            <v>0</v>
          </cell>
        </row>
        <row r="5692">
          <cell r="B5692">
            <v>89848</v>
          </cell>
          <cell r="C5692" t="str">
            <v>TUBO PVC, SERIE NORMAL, ESGOTO PREDIAL, DN 100 MM, FORNECIDO E INSTALADO EM SUBCOLETOR AÉREO DE ESGOTO SANITÁRIO. AF_08/2022</v>
          </cell>
          <cell r="D5692" t="str">
            <v>M</v>
          </cell>
          <cell r="E5692">
            <v>36.549999999999997</v>
          </cell>
          <cell r="F5692">
            <v>0</v>
          </cell>
        </row>
        <row r="5693">
          <cell r="B5693">
            <v>89849</v>
          </cell>
          <cell r="C5693" t="str">
            <v>TUBO PVC, SERIE NORMAL, ESGOTO PREDIAL, DN 150 MM, FORNECIDO E INSTALADO EM SUBCOLETOR AÉREO DE ESGOTO SANITÁRIO. AF_08/2022</v>
          </cell>
          <cell r="D5693" t="str">
            <v>M</v>
          </cell>
          <cell r="E5693">
            <v>72.31</v>
          </cell>
          <cell r="F5693">
            <v>0</v>
          </cell>
        </row>
        <row r="5694">
          <cell r="B5694">
            <v>89711</v>
          </cell>
          <cell r="C5694" t="str">
            <v>TUBO PVC, SERIE NORMAL, ESGOTO PREDIAL, DN 40 MM, FORNECIDO E INSTALADO EM RAMAL DE DESCARGA OU RAMAL DE ESGOTO SANITÁRIO. AF_08/2022</v>
          </cell>
          <cell r="D5694" t="str">
            <v>M</v>
          </cell>
          <cell r="E5694">
            <v>29.83</v>
          </cell>
          <cell r="F5694">
            <v>0</v>
          </cell>
        </row>
        <row r="5695">
          <cell r="B5695">
            <v>89798</v>
          </cell>
          <cell r="C5695" t="str">
            <v>TUBO PVC, SERIE NORMAL, ESGOTO PREDIAL, DN 50 MM, FORNECIDO E INSTALADO EM PRUMADA DE ESGOTO SANITÁRIO OU VENTILAÇÃO. AF_08/2022</v>
          </cell>
          <cell r="D5695" t="str">
            <v>M</v>
          </cell>
          <cell r="E5695">
            <v>16.71</v>
          </cell>
          <cell r="F5695">
            <v>0</v>
          </cell>
        </row>
        <row r="5696">
          <cell r="B5696">
            <v>89712</v>
          </cell>
          <cell r="C5696" t="str">
            <v>TUBO PVC, SERIE NORMAL, ESGOTO PREDIAL, DN 50 MM, FORNECIDO E INSTALADO EM RAMAL DE DESCARGA OU RAMAL DE ESGOTO SANITÁRIO. AF_08/2022</v>
          </cell>
          <cell r="D5696" t="str">
            <v>M</v>
          </cell>
          <cell r="E5696">
            <v>37.07</v>
          </cell>
          <cell r="F5696">
            <v>0</v>
          </cell>
        </row>
        <row r="5697">
          <cell r="B5697">
            <v>89799</v>
          </cell>
          <cell r="C5697" t="str">
            <v>TUBO PVC, SERIE NORMAL, ESGOTO PREDIAL, DN 75 MM, FORNECIDO E INSTALADO EM PRUMADA DE ESGOTO SANITÁRIO OU VENTILAÇÃO. AF_08/2022</v>
          </cell>
          <cell r="D5697" t="str">
            <v>M</v>
          </cell>
          <cell r="E5697">
            <v>29.11</v>
          </cell>
          <cell r="F5697">
            <v>0</v>
          </cell>
        </row>
        <row r="5698">
          <cell r="B5698">
            <v>89713</v>
          </cell>
          <cell r="C5698" t="str">
            <v>TUBO PVC, SERIE NORMAL, ESGOTO PREDIAL, DN 75 MM, FORNECIDO E INSTALADO EM RAMAL DE DESCARGA OU RAMAL DE ESGOTO SANITÁRIO. AF_08/2022</v>
          </cell>
          <cell r="D5698" t="str">
            <v>M</v>
          </cell>
          <cell r="E5698">
            <v>46</v>
          </cell>
          <cell r="F5698">
            <v>0</v>
          </cell>
        </row>
        <row r="5699">
          <cell r="B5699">
            <v>89376</v>
          </cell>
          <cell r="C5699" t="str">
            <v>ADAPTADOR CURTO COM BOLSA E ROSCA PARA REGISTRO, PVC, SOLDÁVEL, DN 20MM X 1/2, INSTALADO EM RAMAL OU SUB-RAMAL DE ÁGUA - FORNECIMENTO E INSTALAÇÃO. AF_06/2022</v>
          </cell>
          <cell r="D5699" t="str">
            <v>UN</v>
          </cell>
          <cell r="E5699">
            <v>7.63</v>
          </cell>
          <cell r="F5699">
            <v>0</v>
          </cell>
        </row>
        <row r="5700">
          <cell r="B5700">
            <v>89429</v>
          </cell>
          <cell r="C5700" t="str">
            <v>ADAPTADOR CURTO COM BOLSA E ROSCA PARA REGISTRO, PVC, SOLDÁVEL, DN 25MM X 3/4, INSTALADO EM RAMAL DE DISTRIBUIÇÃO DE ÁGUA - FORNECIMENTO E INSTALAÇÃO. AF_06/2022</v>
          </cell>
          <cell r="D5700" t="str">
            <v>UN</v>
          </cell>
          <cell r="E5700">
            <v>8.15</v>
          </cell>
          <cell r="F5700">
            <v>0</v>
          </cell>
        </row>
        <row r="5701">
          <cell r="B5701">
            <v>89383</v>
          </cell>
          <cell r="C5701" t="str">
            <v>ADAPTADOR CURTO COM BOLSA E ROSCA PARA REGISTRO, PVC, SOLDÁVEL, DN 25MM X 3/4, INSTALADO EM RAMAL OU SUB-RAMAL DE ÁGUA - FORNECIMENTO E INSTALAÇÃO. AF_06/2022</v>
          </cell>
          <cell r="D5701" t="str">
            <v>UN</v>
          </cell>
          <cell r="E5701">
            <v>8.89</v>
          </cell>
          <cell r="F5701">
            <v>0</v>
          </cell>
        </row>
        <row r="5702">
          <cell r="B5702">
            <v>89553</v>
          </cell>
          <cell r="C5702" t="str">
            <v>ADAPTADOR CURTO COM BOLSA E ROSCA PARA REGISTRO, PVC, SOLDÁVEL, DN 32MM X 1, INSTALADO EM PRUMADA DE ÁGUA - FORNECIMENTO E INSTALAÇÃO. AF_06/2022</v>
          </cell>
          <cell r="D5702" t="str">
            <v>UN</v>
          </cell>
          <cell r="E5702">
            <v>7.12</v>
          </cell>
          <cell r="F5702">
            <v>0</v>
          </cell>
        </row>
        <row r="5703">
          <cell r="B5703">
            <v>89436</v>
          </cell>
          <cell r="C5703" t="str">
            <v>ADAPTADOR CURTO COM BOLSA E ROSCA PARA REGISTRO, PVC, SOLDÁVEL, DN 32MM X 1, INSTALADO EM RAMAL DE DISTRIBUIÇÃO DE ÁGUA - FORNECIMENTO E INSTALAÇÃO. AF_06/2022</v>
          </cell>
          <cell r="D5703" t="str">
            <v>UN</v>
          </cell>
          <cell r="E5703">
            <v>10.63</v>
          </cell>
          <cell r="F5703">
            <v>0</v>
          </cell>
        </row>
        <row r="5704">
          <cell r="B5704">
            <v>89391</v>
          </cell>
          <cell r="C5704" t="str">
            <v>ADAPTADOR CURTO COM BOLSA E ROSCA PARA REGISTRO, PVC, SOLDÁVEL, DN 32MM X 1, INSTALADO EM RAMAL OU SUB-RAMAL DE ÁGUA - FORNECIMENTO E INSTALAÇÃO. AF_06/2022</v>
          </cell>
          <cell r="D5704" t="str">
            <v>UN</v>
          </cell>
          <cell r="E5704">
            <v>11.5</v>
          </cell>
          <cell r="F5704">
            <v>0</v>
          </cell>
        </row>
        <row r="5705">
          <cell r="B5705">
            <v>103994</v>
          </cell>
          <cell r="C5705" t="str">
            <v>ADAPTADOR CURTO COM BOLSA E ROSCA PARA REGISTRO, PVC, SOLDÁVEL, DN 40MM X 1.1/2", INSTALADO EM RAMAL DE DISTRIBUIÇÃO DE ÁGUA - FORNECIMENTO E INSTALAÇÃO. AF_06/2022</v>
          </cell>
          <cell r="D5705" t="str">
            <v>UN</v>
          </cell>
          <cell r="E5705">
            <v>17.600000000000001</v>
          </cell>
          <cell r="F5705">
            <v>0</v>
          </cell>
        </row>
        <row r="5706">
          <cell r="B5706">
            <v>89570</v>
          </cell>
          <cell r="C5706" t="str">
            <v>ADAPTADOR CURTO COM BOLSA E ROSCA PARA REGISTRO, PVC, SOLDÁVEL, DN 40MM X 1.1/2, INSTALADO EM PRUMADA DE ÁGUA - FORNECIMENTO E INSTALAÇÃO. AF_06/2022</v>
          </cell>
          <cell r="D5706" t="str">
            <v>UN</v>
          </cell>
          <cell r="E5706">
            <v>13.71</v>
          </cell>
          <cell r="F5706">
            <v>0</v>
          </cell>
        </row>
        <row r="5707">
          <cell r="B5707">
            <v>103992</v>
          </cell>
          <cell r="C5707" t="str">
            <v>ADAPTADOR CURTO COM BOLSA E ROSCA PARA REGISTRO, PVC, SOLDÁVEL, DN 40MM X 1.1/4", INSTALADO EM RAMAL DE DISTRIBUIÇÃO DE ÁGUA - FORNECIMENTO E INSTALAÇÃO. AF_06/2022</v>
          </cell>
          <cell r="D5707" t="str">
            <v>UN</v>
          </cell>
          <cell r="E5707">
            <v>14.63</v>
          </cell>
          <cell r="F5707">
            <v>0</v>
          </cell>
        </row>
        <row r="5708">
          <cell r="B5708">
            <v>89572</v>
          </cell>
          <cell r="C5708" t="str">
            <v>ADAPTADOR CURTO COM BOLSA E ROSCA PARA REGISTRO, PVC, SOLDÁVEL, DN 40MM X 1.1/4, INSTALADO EM PRUMADA DE ÁGUA - FORNECIMENTO E INSTALAÇÃO. AF_06/2022</v>
          </cell>
          <cell r="D5708" t="str">
            <v>UN</v>
          </cell>
          <cell r="E5708">
            <v>10.56</v>
          </cell>
          <cell r="F5708">
            <v>0</v>
          </cell>
        </row>
        <row r="5709">
          <cell r="B5709">
            <v>104001</v>
          </cell>
          <cell r="C5709" t="str">
            <v>ADAPTADOR CURTO COM BOLSA E ROSCA PARA REGISTRO, PVC, SOLDÁVEL, DN 50MM X 1.1/2", INSTALADO EM RAMAL DE DISTRIBUIÇÃO DE ÁGUA - FORNECIMENTO E INSTALAÇÃO. AF_06/2022</v>
          </cell>
          <cell r="D5709" t="str">
            <v>UN</v>
          </cell>
          <cell r="E5709">
            <v>17.32</v>
          </cell>
          <cell r="F5709">
            <v>0</v>
          </cell>
        </row>
        <row r="5710">
          <cell r="B5710">
            <v>89596</v>
          </cell>
          <cell r="C5710" t="str">
            <v>ADAPTADOR CURTO COM BOLSA E ROSCA PARA REGISTRO, PVC, SOLDÁVEL, DN 50MM X 1.1/2, INSTALADO EM PRUMADA DE ÁGUA - FORNECIMENTO E INSTALAÇÃO. AF_06/2022</v>
          </cell>
          <cell r="D5710" t="str">
            <v>UN</v>
          </cell>
          <cell r="E5710">
            <v>12.59</v>
          </cell>
          <cell r="F5710">
            <v>0</v>
          </cell>
        </row>
        <row r="5711">
          <cell r="B5711">
            <v>104002</v>
          </cell>
          <cell r="C5711" t="str">
            <v>ADAPTADOR CURTO COM BOLSA E ROSCA PARA REGISTRO, PVC, SOLDÁVEL, DN 50MM X 1.1/4", INSTALADO EM RAMAL DE DISTRIBUIÇÃO DE ÁGUA - FORNECIMENTO E INSTALAÇÃO. AF_06/2022</v>
          </cell>
          <cell r="D5711" t="str">
            <v>UN</v>
          </cell>
          <cell r="E5711">
            <v>21.53</v>
          </cell>
          <cell r="F5711">
            <v>0</v>
          </cell>
        </row>
        <row r="5712">
          <cell r="B5712">
            <v>89595</v>
          </cell>
          <cell r="C5712" t="str">
            <v>ADAPTADOR CURTO COM BOLSA E ROSCA PARA REGISTRO, PVC, SOLDÁVEL, DN 50MM X 1.1/4, INSTALADO EM PRUMADA DE ÁGUA - FORNECIMENTO E INSTALAÇÃO. AF_06/2022</v>
          </cell>
          <cell r="D5712" t="str">
            <v>UN</v>
          </cell>
          <cell r="E5712">
            <v>17.079999999999998</v>
          </cell>
          <cell r="F5712">
            <v>0</v>
          </cell>
        </row>
        <row r="5713">
          <cell r="B5713">
            <v>89610</v>
          </cell>
          <cell r="C5713" t="str">
            <v>ADAPTADOR CURTO COM BOLSA E ROSCA PARA REGISTRO, PVC, SOLDÁVEL, DN 60MM X 2, INSTALADO EM PRUMADA DE ÁGUA - FORNECIMENTO E INSTALAÇÃO. AF_06/2022</v>
          </cell>
          <cell r="D5713" t="str">
            <v>UN</v>
          </cell>
          <cell r="E5713">
            <v>22.91</v>
          </cell>
          <cell r="F5713">
            <v>0</v>
          </cell>
        </row>
        <row r="5714">
          <cell r="B5714">
            <v>89613</v>
          </cell>
          <cell r="C5714" t="str">
            <v>ADAPTADOR CURTO COM BOLSA E ROSCA PARA REGISTRO, PVC, SOLDÁVEL, DN 75MM X 2.1/2", INSTALADO EM PRUMADA DE ÁGUA - FORNECIMENTO E INSTALAÇÃO. AF_12/2014</v>
          </cell>
          <cell r="D5714" t="str">
            <v>UN</v>
          </cell>
          <cell r="E5714">
            <v>35.29</v>
          </cell>
          <cell r="F5714">
            <v>0</v>
          </cell>
        </row>
        <row r="5715">
          <cell r="B5715">
            <v>89616</v>
          </cell>
          <cell r="C5715" t="str">
            <v>ADAPTADOR CURTO COM BOLSA E ROSCA PARA REGISTRO, PVC, SOLDÁVEL, DN 85MM X 3, INSTALADO EM PRUMADA DE ÁGUA - FORNECIMENTO E INSTALAÇÃO. AF_06/2022</v>
          </cell>
          <cell r="D5715" t="str">
            <v>UN</v>
          </cell>
          <cell r="E5715">
            <v>46.82</v>
          </cell>
          <cell r="F5715">
            <v>0</v>
          </cell>
        </row>
        <row r="5716">
          <cell r="B5716">
            <v>103952</v>
          </cell>
          <cell r="C5716" t="str">
            <v>BUCHA DE REDUÇÃO, CURTA, PVC, SOLDÁVEL, DN 25 X 20 MM, INSTALADO EM RAMAL DE DISTRIBUIÇÃO DE ÁGUA - FORNECIMENTO E INSTALAÇÃO. AF_06/2022</v>
          </cell>
          <cell r="D5716" t="str">
            <v>UN</v>
          </cell>
          <cell r="E5716">
            <v>7.8</v>
          </cell>
          <cell r="F5716">
            <v>0</v>
          </cell>
        </row>
        <row r="5717">
          <cell r="B5717">
            <v>103947</v>
          </cell>
          <cell r="C5717" t="str">
            <v>BUCHA DE REDUÇÃO, CURTA, PVC, SOLDÁVEL, DN 25 X 20 MM, INSTALADO EM RAMAL OU SUB-RAMAL DE ÁGUA - FORNECIMENTO E INSTALAÇÃO. AF_06/2022</v>
          </cell>
          <cell r="D5717" t="str">
            <v>UN</v>
          </cell>
          <cell r="E5717">
            <v>8.5399999999999991</v>
          </cell>
          <cell r="F5717">
            <v>0</v>
          </cell>
        </row>
        <row r="5718">
          <cell r="B5718">
            <v>103957</v>
          </cell>
          <cell r="C5718" t="str">
            <v>BUCHA DE REDUÇÃO, CURTA, PVC, SOLDÁVEL, DN 32 X 25 MM, INSTALADO EM PRUMADA DE ÁGUA - FORNECIMENTO E INSTALAÇÃO. AF_06/2022</v>
          </cell>
          <cell r="D5718" t="str">
            <v>UN</v>
          </cell>
          <cell r="E5718">
            <v>6.13</v>
          </cell>
          <cell r="F5718">
            <v>0</v>
          </cell>
        </row>
        <row r="5719">
          <cell r="B5719">
            <v>103953</v>
          </cell>
          <cell r="C5719" t="str">
            <v>BUCHA DE REDUÇÃO, CURTA, PVC, SOLDÁVEL, DN 32 X 25 MM, INSTALADO EM RAMAL DE DISTRIBUIÇÃO DE ÁGUA - FORNECIMENTO E INSTALAÇÃO. AF_06/2022</v>
          </cell>
          <cell r="D5719" t="str">
            <v>UN</v>
          </cell>
          <cell r="E5719">
            <v>9.64</v>
          </cell>
          <cell r="F5719">
            <v>0</v>
          </cell>
        </row>
        <row r="5720">
          <cell r="B5720">
            <v>103948</v>
          </cell>
          <cell r="C5720" t="str">
            <v>BUCHA DE REDUÇÃO, CURTA, PVC, SOLDÁVEL, DN 32 X 25 MM, INSTALADO EM RAMAL OU SUB-RAMAL DE ÁGUA - FORNECIMENTO E INSTALAÇÃO. AF_06/2022</v>
          </cell>
          <cell r="D5720" t="str">
            <v>UN</v>
          </cell>
          <cell r="E5720">
            <v>10.51</v>
          </cell>
          <cell r="F5720">
            <v>0</v>
          </cell>
        </row>
        <row r="5721">
          <cell r="B5721">
            <v>103958</v>
          </cell>
          <cell r="C5721" t="str">
            <v>BUCHA DE REDUÇÃO, CURTA, PVC, SOLDÁVEL, DN 50 X 40 MM, INSTALADO EM PRUMADA DE ÁGUA - FORNECIMENTO E INSTALAÇÃO. AF_06/2022</v>
          </cell>
          <cell r="D5721" t="str">
            <v>UN</v>
          </cell>
          <cell r="E5721">
            <v>12.09</v>
          </cell>
          <cell r="F5721">
            <v>0</v>
          </cell>
        </row>
        <row r="5722">
          <cell r="B5722">
            <v>104009</v>
          </cell>
          <cell r="C5722" t="str">
            <v>BUCHA DE REDUÇÃO, CURTA, PVC, SOLDÁVEL, DN 50 X 40 MM, INSTALADO EM RAMAL DE DISTRIBUIÇÃO DE ÁGUA - FORNECIMENTO E INSTALAÇÃO. AF_06/2022</v>
          </cell>
          <cell r="D5722" t="str">
            <v>UN</v>
          </cell>
          <cell r="E5722">
            <v>16.829999999999998</v>
          </cell>
          <cell r="F5722">
            <v>0</v>
          </cell>
        </row>
        <row r="5723">
          <cell r="B5723">
            <v>103959</v>
          </cell>
          <cell r="C5723" t="str">
            <v>BUCHA DE REDUÇÃO, CURTA, PVC, SOLDÁVEL, DN 60 X 50 MM, INSTALADO EM PRUMADA DE ÁGUA - FORNECIMENTO E INSTALAÇÃO. AF_06/2022</v>
          </cell>
          <cell r="D5723" t="str">
            <v>UN</v>
          </cell>
          <cell r="E5723">
            <v>17.79</v>
          </cell>
          <cell r="F5723">
            <v>0</v>
          </cell>
        </row>
        <row r="5724">
          <cell r="B5724">
            <v>103962</v>
          </cell>
          <cell r="C5724" t="str">
            <v>BUCHA DE REDUÇÃO, LONGA, PVC, SOLDÁVEL, DN 32 X 20 MM, INSTALADO EM PRUMADA DE ÁGUA - FORNECIMENTO E INSTALAÇÃO. AF_06/2022</v>
          </cell>
          <cell r="D5724" t="str">
            <v>UN</v>
          </cell>
          <cell r="E5724">
            <v>7.84</v>
          </cell>
          <cell r="F5724">
            <v>0</v>
          </cell>
        </row>
        <row r="5725">
          <cell r="B5725">
            <v>103954</v>
          </cell>
          <cell r="C5725" t="str">
            <v>BUCHA DE REDUÇÃO, LONGA, PVC, SOLDÁVEL, DN 32 X 20 MM, INSTALADO EM RAMAL DE DISTRIBUIÇÃO DE ÁGUA - FORNECIMENTO E INSTALAÇÃO. AF_06/2022</v>
          </cell>
          <cell r="D5725" t="str">
            <v>UN</v>
          </cell>
          <cell r="E5725">
            <v>11.23</v>
          </cell>
          <cell r="F5725">
            <v>0</v>
          </cell>
        </row>
        <row r="5726">
          <cell r="B5726">
            <v>103949</v>
          </cell>
          <cell r="C5726" t="str">
            <v>BUCHA DE REDUÇÃO, LONGA, PVC, SOLDÁVEL, DN 32 X 20 MM, INSTALADO EM RAMAL OU SUB-RAMAL DE ÁGUA - FORNECIMENTO E INSTALAÇÃO. AF_06/2022</v>
          </cell>
          <cell r="D5726" t="str">
            <v>UN</v>
          </cell>
          <cell r="E5726">
            <v>12.06</v>
          </cell>
          <cell r="F5726">
            <v>0</v>
          </cell>
        </row>
        <row r="5727">
          <cell r="B5727">
            <v>103964</v>
          </cell>
          <cell r="C5727" t="str">
            <v>BUCHA DE REDUÇÃO, LONGA, PVC, SOLDÁVEL, DN 40 X 25 MM, INSTALADO EM PRUMADA DE ÁGUA - FORNECIMENTO E INSTALAÇÃO. AF_06/2022</v>
          </cell>
          <cell r="D5727" t="str">
            <v>UN</v>
          </cell>
          <cell r="E5727">
            <v>9.91</v>
          </cell>
          <cell r="F5727">
            <v>0</v>
          </cell>
        </row>
        <row r="5728">
          <cell r="B5728">
            <v>104014</v>
          </cell>
          <cell r="C5728" t="str">
            <v>BUCHA DE REDUÇÃO, LONGA, PVC, SOLDÁVEL, DN 40 X 25 MM, INSTALADO EM RAMAL DE DISTRIBUIÇÃO DE ÁGUA - FORNECIMENTO E INSTALAÇÃO. AF_06/2022</v>
          </cell>
          <cell r="D5728" t="str">
            <v>UN</v>
          </cell>
          <cell r="E5728">
            <v>13.73</v>
          </cell>
          <cell r="F5728">
            <v>0</v>
          </cell>
        </row>
        <row r="5729">
          <cell r="B5729">
            <v>103966</v>
          </cell>
          <cell r="C5729" t="str">
            <v>BUCHA DE REDUÇÃO, LONGA, PVC, SOLDÁVEL, DN 50 X 25 MM, INSTALADO EM PRUMADA DE ÁGUA - FORNECIMENTO E INSTALAÇÃO. AF_06/2022</v>
          </cell>
          <cell r="D5729" t="str">
            <v>UN</v>
          </cell>
          <cell r="E5729">
            <v>11.61</v>
          </cell>
          <cell r="F5729">
            <v>0</v>
          </cell>
        </row>
        <row r="5730">
          <cell r="B5730">
            <v>103999</v>
          </cell>
          <cell r="C5730" t="str">
            <v>BUCHA DE REDUÇÃO, LONGA, PVC, SOLDÁVEL, DN 50 X 25 MM, INSTALADO EM RAMAL DE DISTRIBUIÇÃO DE ÁGUA - FORNECIMENTO E INSTALAÇÃO. AF_06/2022</v>
          </cell>
          <cell r="D5730" t="str">
            <v>UN</v>
          </cell>
          <cell r="E5730">
            <v>15.78</v>
          </cell>
          <cell r="F5730">
            <v>0</v>
          </cell>
        </row>
        <row r="5731">
          <cell r="B5731">
            <v>103967</v>
          </cell>
          <cell r="C5731" t="str">
            <v>BUCHA DE REDUÇÃO, LONGA, PVC, SOLDÁVEL, DN 50 X 32 MM, INSTALADO EM PRUMADA DE ÁGUA - FORNECIMENTO E INSTALAÇÃO. AF_06/2022</v>
          </cell>
          <cell r="D5731" t="str">
            <v>UN</v>
          </cell>
          <cell r="E5731">
            <v>13.89</v>
          </cell>
          <cell r="F5731">
            <v>0</v>
          </cell>
        </row>
        <row r="5732">
          <cell r="B5732">
            <v>104003</v>
          </cell>
          <cell r="C5732" t="str">
            <v>BUCHA DE REDUÇÃO, LONGA, PVC, SOLDÁVEL, DN 50 X 32 MM, INSTALADO EM RAMAL DE DISTRIBUIÇÃO DE ÁGUA - FORNECIMENTO E INSTALAÇÃO. AF_06/2022</v>
          </cell>
          <cell r="D5732" t="str">
            <v>UN</v>
          </cell>
          <cell r="E5732">
            <v>18.34</v>
          </cell>
          <cell r="F5732">
            <v>0</v>
          </cell>
        </row>
        <row r="5733">
          <cell r="B5733">
            <v>103968</v>
          </cell>
          <cell r="C5733" t="str">
            <v>BUCHA DE REDUÇÃO, LONGA, PVC, SOLDÁVEL, DN 60 X 25 MM, INSTALADO EM PRUMADA DE ÁGUA - FORNECIMENTO E INSTALAÇÃO. AF_06/2022</v>
          </cell>
          <cell r="D5733" t="str">
            <v>UN</v>
          </cell>
          <cell r="E5733">
            <v>19.559999999999999</v>
          </cell>
          <cell r="F5733">
            <v>0</v>
          </cell>
        </row>
        <row r="5734">
          <cell r="B5734">
            <v>103969</v>
          </cell>
          <cell r="C5734" t="str">
            <v>BUCHA DE REDUÇÃO, LONGA, PVC, SOLDÁVEL, DN 60 X 32 MM, INSTALADO EM PRUMADA DE ÁGUA - FORNECIMENTO E INSTALAÇÃO. AF_06/2022</v>
          </cell>
          <cell r="D5734" t="str">
            <v>UN</v>
          </cell>
          <cell r="E5734">
            <v>23.04</v>
          </cell>
          <cell r="F5734">
            <v>0</v>
          </cell>
        </row>
        <row r="5735">
          <cell r="B5735">
            <v>103971</v>
          </cell>
          <cell r="C5735" t="str">
            <v>BUCHA DE REDUÇÃO, LONGA, PVC, SOLDÁVEL, DN 60 X 50 MM, INSTALADO EM PRUMADA DE ÁGUA - FORNECIMENTO E INSTALAÇÃO. AF_06/2022</v>
          </cell>
          <cell r="D5735" t="str">
            <v>UN</v>
          </cell>
          <cell r="E5735">
            <v>29.19</v>
          </cell>
          <cell r="F5735">
            <v>0</v>
          </cell>
        </row>
        <row r="5736">
          <cell r="B5736">
            <v>103972</v>
          </cell>
          <cell r="C5736" t="str">
            <v>BUCHA DE REDUÇÃO, LONGA, PVC, SOLDÁVEL, DN 75 X 50 MM, INSTALADO EM PRUMADA DE ÁGUA - FORNECIMENTO E INSTALAÇÃO. AF_06/2022</v>
          </cell>
          <cell r="D5736" t="str">
            <v>UN</v>
          </cell>
          <cell r="E5736">
            <v>33.630000000000003</v>
          </cell>
          <cell r="F5736">
            <v>0</v>
          </cell>
        </row>
        <row r="5737">
          <cell r="B5737">
            <v>103993</v>
          </cell>
          <cell r="C5737" t="str">
            <v>BUCHA DE REDUÇÃO, PVC, SOLDÁVEL, DN 40MM X 32MM, INSTALADO EM RAMAL DE DISTRIBUIÇÃO DE ÁGUA - FORNECIMENTO E INSTALAÇÃO. AF_06/2022</v>
          </cell>
          <cell r="D5737" t="str">
            <v>UN</v>
          </cell>
          <cell r="E5737">
            <v>12.75</v>
          </cell>
          <cell r="F5737">
            <v>0</v>
          </cell>
        </row>
        <row r="5738">
          <cell r="B5738">
            <v>89407</v>
          </cell>
          <cell r="C5738" t="str">
            <v>CURVA 45 GRAUS, PVC, SOLDÁVEL, DN 20MM, INSTALADO EM RAMAL DE DISTRIBUIÇÃO DE ÁGUA - FORNECIMENTO E INSTALAÇÃO. AF_06/2022</v>
          </cell>
          <cell r="D5738" t="str">
            <v>UN</v>
          </cell>
          <cell r="E5738">
            <v>11.94</v>
          </cell>
          <cell r="F5738">
            <v>0</v>
          </cell>
        </row>
        <row r="5739">
          <cell r="B5739">
            <v>89361</v>
          </cell>
          <cell r="C5739" t="str">
            <v>CURVA 45 GRAUS, PVC, SOLDÁVEL, DN 20MM, INSTALADO EM RAMAL OU SUB-RAMAL DE ÁGUA - FORNECIMENTO E INSTALAÇÃO. AF_06/2022</v>
          </cell>
          <cell r="D5739" t="str">
            <v>UN</v>
          </cell>
          <cell r="E5739">
            <v>12.96</v>
          </cell>
          <cell r="F5739">
            <v>0</v>
          </cell>
        </row>
        <row r="5740">
          <cell r="B5740">
            <v>89490</v>
          </cell>
          <cell r="C5740" t="str">
            <v>CURVA 45 GRAUS, PVC, SOLDÁVEL, DN 25MM, INSTALADO EM PRUMADA DE ÁGUA - FORNECIMENTO E INSTALAÇÃO. AF_06/2022</v>
          </cell>
          <cell r="D5740" t="str">
            <v>UN</v>
          </cell>
          <cell r="E5740">
            <v>9.08</v>
          </cell>
          <cell r="F5740">
            <v>0</v>
          </cell>
        </row>
        <row r="5741">
          <cell r="B5741">
            <v>89411</v>
          </cell>
          <cell r="C5741" t="str">
            <v>CURVA 45 GRAUS, PVC, SOLDÁVEL, DN 25MM, INSTALADO EM RAMAL DE DISTRIBUIÇÃO DE ÁGUA - FORNECIMENTO E INSTALAÇÃO. AF_06/2022</v>
          </cell>
          <cell r="D5741" t="str">
            <v>UN</v>
          </cell>
          <cell r="E5741">
            <v>13.93</v>
          </cell>
          <cell r="F5741">
            <v>0</v>
          </cell>
        </row>
        <row r="5742">
          <cell r="B5742">
            <v>89365</v>
          </cell>
          <cell r="C5742" t="str">
            <v>CURVA 45 GRAUS, PVC, SOLDÁVEL, DN 25MM, INSTALADO EM RAMAL OU SUB-RAMAL DE ÁGUA - FORNECIMENTO E INSTALAÇÃO. AF_06/2022</v>
          </cell>
          <cell r="D5742" t="str">
            <v>UN</v>
          </cell>
          <cell r="E5742">
            <v>15.14</v>
          </cell>
          <cell r="F5742">
            <v>0</v>
          </cell>
        </row>
        <row r="5743">
          <cell r="B5743">
            <v>89496</v>
          </cell>
          <cell r="C5743" t="str">
            <v>CURVA 45 GRAUS, PVC, SOLDÁVEL, DN 32MM, INSTALADO EM PRUMADA DE ÁGUA - FORNECIMENTO E INSTALAÇÃO. AF_06/2022</v>
          </cell>
          <cell r="D5743" t="str">
            <v>UN</v>
          </cell>
          <cell r="E5743">
            <v>12.93</v>
          </cell>
          <cell r="F5743">
            <v>0</v>
          </cell>
        </row>
        <row r="5744">
          <cell r="B5744">
            <v>89416</v>
          </cell>
          <cell r="C5744" t="str">
            <v>CURVA 45 GRAUS, PVC, SOLDÁVEL, DN 32MM, INSTALADO EM RAMAL DE DISTRIBUIÇÃO DE ÁGUA - FORNECIMENTO E INSTALAÇÃO. AF_06/2022</v>
          </cell>
          <cell r="D5744" t="str">
            <v>UN</v>
          </cell>
          <cell r="E5744">
            <v>18.59</v>
          </cell>
          <cell r="F5744">
            <v>0</v>
          </cell>
        </row>
        <row r="5745">
          <cell r="B5745">
            <v>89370</v>
          </cell>
          <cell r="C5745" t="str">
            <v>CURVA 45 GRAUS, PVC, SOLDÁVEL, DN 32MM, INSTALADO EM RAMAL OU SUB-RAMAL DE ÁGUA - FORNECIMENTO E INSTALAÇÃO. AF_06/2022</v>
          </cell>
          <cell r="D5745" t="str">
            <v>UN</v>
          </cell>
          <cell r="E5745">
            <v>20</v>
          </cell>
          <cell r="F5745">
            <v>0</v>
          </cell>
        </row>
        <row r="5746">
          <cell r="B5746">
            <v>89500</v>
          </cell>
          <cell r="C5746" t="str">
            <v>CURVA 45 GRAUS, PVC, SOLDÁVEL, DN 40MM, INSTALADO EM PRUMADA DE ÁGUA - FORNECIMENTO E INSTALAÇÃO. AF_06/2022</v>
          </cell>
          <cell r="D5746" t="str">
            <v>UN</v>
          </cell>
          <cell r="E5746">
            <v>15.78</v>
          </cell>
          <cell r="F5746">
            <v>0</v>
          </cell>
        </row>
        <row r="5747">
          <cell r="B5747">
            <v>103983</v>
          </cell>
          <cell r="C5747" t="str">
            <v>CURVA 45 GRAUS, PVC, SOLDÁVEL, DN 40MM, INSTALADO EM RAMAL DE DISTRIBUIÇÃO DE ÁGUA - FORNECIMENTO E INSTALAÇÃO. AF_06/2022</v>
          </cell>
          <cell r="D5747" t="str">
            <v>UN</v>
          </cell>
          <cell r="E5747">
            <v>22.28</v>
          </cell>
          <cell r="F5747">
            <v>0</v>
          </cell>
        </row>
        <row r="5748">
          <cell r="B5748">
            <v>89504</v>
          </cell>
          <cell r="C5748" t="str">
            <v>CURVA 45 GRAUS, PVC, SOLDÁVEL, DN 50MM, INSTALADO EM PRUMADA DE ÁGUA - FORNECIMENTO E INSTALAÇÃO. AF_06/2022</v>
          </cell>
          <cell r="D5748" t="str">
            <v>UN</v>
          </cell>
          <cell r="E5748">
            <v>22.82</v>
          </cell>
          <cell r="F5748">
            <v>0</v>
          </cell>
        </row>
        <row r="5749">
          <cell r="B5749">
            <v>103987</v>
          </cell>
          <cell r="C5749" t="str">
            <v>CURVA 45 GRAUS, PVC, SOLDÁVEL, DN 50MM, INSTALADO EM RAMAL DE DISTRIBUIÇÃO DE ÁGUA - FORNECIMENTO E INSTALAÇÃO. AF_06/2022</v>
          </cell>
          <cell r="D5749" t="str">
            <v>UN</v>
          </cell>
          <cell r="E5749">
            <v>30.43</v>
          </cell>
          <cell r="F5749">
            <v>0</v>
          </cell>
        </row>
        <row r="5750">
          <cell r="B5750">
            <v>89510</v>
          </cell>
          <cell r="C5750" t="str">
            <v>CURVA 45 GRAUS, PVC, SOLDÁVEL, DN 60MM, INSTALADO EM PRUMADA DE ÁGUA - FORNECIMENTO E INSTALAÇÃO. AF_06/2022</v>
          </cell>
          <cell r="D5750" t="str">
            <v>UN</v>
          </cell>
          <cell r="E5750">
            <v>32.090000000000003</v>
          </cell>
          <cell r="F5750">
            <v>0</v>
          </cell>
        </row>
        <row r="5751">
          <cell r="B5751">
            <v>89519</v>
          </cell>
          <cell r="C5751" t="str">
            <v>CURVA 45 GRAUS, PVC, SOLDÁVEL, DN 75MM, INSTALADO EM PRUMADA DE ÁGUA - FORNECIMENTO E INSTALAÇÃO. AF_06/2022</v>
          </cell>
          <cell r="D5751" t="str">
            <v>UN</v>
          </cell>
          <cell r="E5751">
            <v>55.11</v>
          </cell>
          <cell r="F5751">
            <v>0</v>
          </cell>
        </row>
        <row r="5752">
          <cell r="B5752">
            <v>89527</v>
          </cell>
          <cell r="C5752" t="str">
            <v>CURVA 45 GRAUS, PVC, SOLDÁVEL, DN 85MM, INSTALADO EM PRUMADA DE ÁGUA - FORNECIMENTO E INSTALAÇÃO. AF_06/2022</v>
          </cell>
          <cell r="D5752" t="str">
            <v>UN</v>
          </cell>
          <cell r="E5752">
            <v>66.069999999999993</v>
          </cell>
          <cell r="F5752">
            <v>0</v>
          </cell>
        </row>
        <row r="5753">
          <cell r="B5753">
            <v>89406</v>
          </cell>
          <cell r="C5753" t="str">
            <v>CURVA 90 GRAUS, PVC, SOLDÁVEL, DN 20MM, INSTALADO EM RAMAL DE DISTRIBUIÇÃO DE ÁGUA - FORNECIMENTO E INSTALAÇÃO. AF_06/2022</v>
          </cell>
          <cell r="D5753" t="str">
            <v>UN</v>
          </cell>
          <cell r="E5753">
            <v>11.86</v>
          </cell>
          <cell r="F5753">
            <v>0</v>
          </cell>
        </row>
        <row r="5754">
          <cell r="B5754">
            <v>89360</v>
          </cell>
          <cell r="C5754" t="str">
            <v>CURVA 90 GRAUS, PVC, SOLDÁVEL, DN 20MM, INSTALADO EM RAMAL OU SUB-RAMAL DE ÁGUA - FORNECIMENTO E INSTALAÇÃO. AF_06/2022</v>
          </cell>
          <cell r="D5754" t="str">
            <v>UN</v>
          </cell>
          <cell r="E5754">
            <v>12.88</v>
          </cell>
          <cell r="F5754">
            <v>0</v>
          </cell>
        </row>
        <row r="5755">
          <cell r="B5755">
            <v>89489</v>
          </cell>
          <cell r="C5755" t="str">
            <v>CURVA 90 GRAUS, PVC, SOLDÁVEL, DN 25MM, INSTALADO EM PRUMADA DE ÁGUA - FORNECIMENTO E INSTALAÇÃO. AF_06/2022</v>
          </cell>
          <cell r="D5755" t="str">
            <v>UN</v>
          </cell>
          <cell r="E5755">
            <v>9.6999999999999993</v>
          </cell>
          <cell r="F5755">
            <v>0</v>
          </cell>
        </row>
        <row r="5756">
          <cell r="B5756">
            <v>89410</v>
          </cell>
          <cell r="C5756" t="str">
            <v>CURVA 90 GRAUS, PVC, SOLDÁVEL, DN 25MM, INSTALADO EM RAMAL DE DISTRIBUIÇÃO DE ÁGUA - FORNECIMENTO E INSTALAÇÃO. AF_06/2022</v>
          </cell>
          <cell r="D5756" t="str">
            <v>UN</v>
          </cell>
          <cell r="E5756">
            <v>14.55</v>
          </cell>
          <cell r="F5756">
            <v>0</v>
          </cell>
        </row>
        <row r="5757">
          <cell r="B5757">
            <v>89364</v>
          </cell>
          <cell r="C5757" t="str">
            <v>CURVA 90 GRAUS, PVC, SOLDÁVEL, DN 25MM, INSTALADO EM RAMAL OU SUB-RAMAL DE ÁGUA - FORNECIMENTO E INSTALAÇÃO. AF_06/2022</v>
          </cell>
          <cell r="D5757" t="str">
            <v>UN</v>
          </cell>
          <cell r="E5757">
            <v>15.76</v>
          </cell>
          <cell r="F5757">
            <v>0</v>
          </cell>
        </row>
        <row r="5758">
          <cell r="B5758">
            <v>89494</v>
          </cell>
          <cell r="C5758" t="str">
            <v>CURVA 90 GRAUS, PVC, SOLDÁVEL, DN 32MM, INSTALADO EM PRUMADA DE ÁGUA - FORNECIMENTO E INSTALAÇÃO. AF_06/2022</v>
          </cell>
          <cell r="D5758" t="str">
            <v>UN</v>
          </cell>
          <cell r="E5758">
            <v>15.27</v>
          </cell>
          <cell r="F5758">
            <v>0</v>
          </cell>
        </row>
        <row r="5759">
          <cell r="B5759">
            <v>89415</v>
          </cell>
          <cell r="C5759" t="str">
            <v>CURVA 90 GRAUS, PVC, SOLDÁVEL, DN 32MM, INSTALADO EM RAMAL DE DISTRIBUIÇÃO DE ÁGUA - FORNECIMENTO E INSTALAÇÃO. AF_06/2022</v>
          </cell>
          <cell r="D5759" t="str">
            <v>UN</v>
          </cell>
          <cell r="E5759">
            <v>20.93</v>
          </cell>
          <cell r="F5759">
            <v>0</v>
          </cell>
        </row>
        <row r="5760">
          <cell r="B5760">
            <v>89369</v>
          </cell>
          <cell r="C5760" t="str">
            <v>CURVA 90 GRAUS, PVC, SOLDÁVEL, DN 32MM, INSTALADO EM RAMAL OU SUB-RAMAL DE ÁGUA - FORNECIMENTO E INSTALAÇÃO. AF_06/2022</v>
          </cell>
          <cell r="D5760" t="str">
            <v>UN</v>
          </cell>
          <cell r="E5760">
            <v>22.34</v>
          </cell>
          <cell r="F5760">
            <v>0</v>
          </cell>
        </row>
        <row r="5761">
          <cell r="B5761">
            <v>89499</v>
          </cell>
          <cell r="C5761" t="str">
            <v>CURVA 90 GRAUS, PVC, SOLDÁVEL, DN 40MM, INSTALADO EM PRUMADA DE ÁGUA - FORNECIMENTO E INSTALAÇÃO. AF_06/2022</v>
          </cell>
          <cell r="D5761" t="str">
            <v>UN</v>
          </cell>
          <cell r="E5761">
            <v>23.56</v>
          </cell>
          <cell r="F5761">
            <v>0</v>
          </cell>
        </row>
        <row r="5762">
          <cell r="B5762">
            <v>103982</v>
          </cell>
          <cell r="C5762" t="str">
            <v>CURVA 90 GRAUS, PVC, SOLDÁVEL, DN 40MM, INSTALADO EM RAMAL DE DISTRIBUIÇÃO DE ÁGUA - FORNECIMENTO E INSTALAÇÃO. AF_06/2022</v>
          </cell>
          <cell r="D5762" t="str">
            <v>UN</v>
          </cell>
          <cell r="E5762">
            <v>30.06</v>
          </cell>
          <cell r="F5762">
            <v>0</v>
          </cell>
        </row>
        <row r="5763">
          <cell r="B5763">
            <v>89503</v>
          </cell>
          <cell r="C5763" t="str">
            <v>CURVA 90 GRAUS, PVC, SOLDÁVEL, DN 50MM, INSTALADO EM PRUMADA DE ÁGUA - FORNECIMENTO E INSTALAÇÃO. AF_06/2022</v>
          </cell>
          <cell r="D5763" t="str">
            <v>UN</v>
          </cell>
          <cell r="E5763">
            <v>27.26</v>
          </cell>
          <cell r="F5763">
            <v>0</v>
          </cell>
        </row>
        <row r="5764">
          <cell r="B5764">
            <v>103986</v>
          </cell>
          <cell r="C5764" t="str">
            <v>CURVA 90 GRAUS, PVC, SOLDÁVEL, DN 50MM, INSTALADO EM RAMAL DE DISTRIBUIÇÃO DE ÁGUA - FORNECIMENTO E INSTALAÇÃO. AF_06/2022</v>
          </cell>
          <cell r="D5764" t="str">
            <v>UN</v>
          </cell>
          <cell r="E5764">
            <v>34.869999999999997</v>
          </cell>
          <cell r="F5764">
            <v>0</v>
          </cell>
        </row>
        <row r="5765">
          <cell r="B5765">
            <v>89507</v>
          </cell>
          <cell r="C5765" t="str">
            <v>CURVA 90 GRAUS, PVC, SOLDÁVEL, DN 60MM, INSTALADO EM PRUMADA DE ÁGUA - FORNECIMENTO E INSTALAÇÃO. AF_06/2022</v>
          </cell>
          <cell r="D5765" t="str">
            <v>UN</v>
          </cell>
          <cell r="E5765">
            <v>54.61</v>
          </cell>
          <cell r="F5765">
            <v>0</v>
          </cell>
        </row>
        <row r="5766">
          <cell r="B5766">
            <v>89517</v>
          </cell>
          <cell r="C5766" t="str">
            <v>CURVA 90 GRAUS, PVC, SOLDÁVEL, DN 75MM, INSTALADO EM PRUMADA DE ÁGUA - FORNECIMENTO E INSTALAÇÃO. AF_06/2022</v>
          </cell>
          <cell r="D5766" t="str">
            <v>UN</v>
          </cell>
          <cell r="E5766">
            <v>80.3</v>
          </cell>
          <cell r="F5766">
            <v>0</v>
          </cell>
        </row>
        <row r="5767">
          <cell r="B5767">
            <v>89525</v>
          </cell>
          <cell r="C5767" t="str">
            <v>CURVA 90 GRAUS, PVC, SOLDÁVEL, DN 85MM, INSTALADO EM PRUMADA DE ÁGUA - FORNECIMENTO E INSTALAÇÃO. AF_06/2022</v>
          </cell>
          <cell r="D5767" t="str">
            <v>UN</v>
          </cell>
          <cell r="E5767">
            <v>100.55</v>
          </cell>
          <cell r="F5767">
            <v>0</v>
          </cell>
        </row>
        <row r="5768">
          <cell r="B5768">
            <v>89423</v>
          </cell>
          <cell r="C5768" t="str">
            <v>CURVA DE TRANSPOSIÇÃO, PVC, SOLDÁVEL, DN 20MM, INSTALADO EM RAMAL DE DISTRIBUIÇÃO DE ÁGUA FORNECIMENTO E INSTALAÇÃO. AF_06/2022</v>
          </cell>
          <cell r="D5768" t="str">
            <v>UN</v>
          </cell>
          <cell r="E5768">
            <v>12.29</v>
          </cell>
          <cell r="F5768">
            <v>0</v>
          </cell>
        </row>
        <row r="5769">
          <cell r="B5769">
            <v>89377</v>
          </cell>
          <cell r="C5769" t="str">
            <v>CURVA DE TRANSPOSIÇÃO, PVC, SOLDÁVEL, DN 20MM, INSTALADO EM RAMAL OU SUB-RAMAL DE ÁGUA - FORNECIMENTO E INSTALAÇÃO. AF_06/2022</v>
          </cell>
          <cell r="D5769" t="str">
            <v>UN</v>
          </cell>
          <cell r="E5769">
            <v>12.98</v>
          </cell>
          <cell r="F5769">
            <v>0</v>
          </cell>
        </row>
        <row r="5770">
          <cell r="B5770">
            <v>89540</v>
          </cell>
          <cell r="C5770" t="str">
            <v>CURVA DE TRANSPOSIÇÃO, PVC, SOLDÁVEL, DN 25MM, INSTALADO EM PRUMADA DE ÁGUA - FORNECIMENTO E INSTALAÇÃO. AF_06/2022</v>
          </cell>
          <cell r="D5770" t="str">
            <v>UN</v>
          </cell>
          <cell r="E5770">
            <v>12.32</v>
          </cell>
          <cell r="F5770">
            <v>0</v>
          </cell>
        </row>
        <row r="5771">
          <cell r="B5771">
            <v>89430</v>
          </cell>
          <cell r="C5771" t="str">
            <v>CURVA DE TRANSPOSIÇÃO, PVC, SOLDÁVEL, DN 25MM, INSTALADO EM RAMAL DE DISTRIBUIÇÃO DE ÁGUA FORNECIMENTO E INSTALAÇÃO. AF_06/2022</v>
          </cell>
          <cell r="D5771" t="str">
            <v>UN</v>
          </cell>
          <cell r="E5771">
            <v>15.58</v>
          </cell>
          <cell r="F5771">
            <v>0</v>
          </cell>
        </row>
        <row r="5772">
          <cell r="B5772">
            <v>89384</v>
          </cell>
          <cell r="C5772" t="str">
            <v>CURVA DE TRANSPOSIÇÃO, PVC, SOLDÁVEL, DN 25MM, INSTALADO EM RAMAL OU SUB-RAMAL DE ÁGUA FORNECIMENTO E INSTALAÇÃO. AF_06/2022</v>
          </cell>
          <cell r="D5772" t="str">
            <v>UN</v>
          </cell>
          <cell r="E5772">
            <v>16.38</v>
          </cell>
          <cell r="F5772">
            <v>0</v>
          </cell>
        </row>
        <row r="5773">
          <cell r="B5773">
            <v>89555</v>
          </cell>
          <cell r="C5773" t="str">
            <v>CURVA DE TRANSPOSIÇÃO, PVC, SOLDÁVEL, DN 32MM, INSTALADO EM PRUMADA DE ÁGUA FORNECIMENTO E INSTALAÇÃO. AF_06/2022</v>
          </cell>
          <cell r="D5773" t="str">
            <v>UN</v>
          </cell>
          <cell r="E5773">
            <v>25.01</v>
          </cell>
          <cell r="F5773">
            <v>0</v>
          </cell>
        </row>
        <row r="5774">
          <cell r="B5774">
            <v>89437</v>
          </cell>
          <cell r="C5774" t="str">
            <v>CURVA DE TRANSPOSIÇÃO, PVC, SOLDÁVEL, DN 32MM, INSTALADO EM RAMAL DE DISTRIBUIÇÃO DE ÁGUA FORNECIMENTO E INSTALAÇÃO. AF_06/2022</v>
          </cell>
          <cell r="D5774" t="str">
            <v>UN</v>
          </cell>
          <cell r="E5774">
            <v>28.78</v>
          </cell>
          <cell r="F5774">
            <v>0</v>
          </cell>
        </row>
        <row r="5775">
          <cell r="B5775">
            <v>89392</v>
          </cell>
          <cell r="C5775" t="str">
            <v>CURVA DE TRANSPOSIÇÃO, PVC, SOLDÁVEL, DN 32MM, INSTALADO EM RAMAL OU SUB-RAMAL DE ÁGUA FORNECIMENTO E INSTALAÇÃO. AF_06/2022</v>
          </cell>
          <cell r="D5775" t="str">
            <v>UN</v>
          </cell>
          <cell r="E5775">
            <v>29.72</v>
          </cell>
          <cell r="F5775">
            <v>0</v>
          </cell>
        </row>
        <row r="5776">
          <cell r="B5776">
            <v>89405</v>
          </cell>
          <cell r="C5776" t="str">
            <v>JOELHO 45 GRAUS, PVC, SOLDÁVEL, DN 20MM, INSTALADO EM RAMAL DE DISTRIBUIÇÃO DE ÁGUA - FORNECIMENTO E INSTALAÇÃO. AF_06/2022</v>
          </cell>
          <cell r="D5776" t="str">
            <v>UN</v>
          </cell>
          <cell r="E5776">
            <v>10.7</v>
          </cell>
          <cell r="F5776">
            <v>0</v>
          </cell>
        </row>
        <row r="5777">
          <cell r="B5777">
            <v>89359</v>
          </cell>
          <cell r="C5777" t="str">
            <v>JOELHO 45 GRAUS, PVC, SOLDÁVEL, DN 20MM, INSTALADO EM RAMAL OU SUB-RAMAL DE ÁGUA - FORNECIMENTO E INSTALAÇÃO. AF_06/2022</v>
          </cell>
          <cell r="D5777" t="str">
            <v>UN</v>
          </cell>
          <cell r="E5777">
            <v>11.72</v>
          </cell>
          <cell r="F5777">
            <v>0</v>
          </cell>
        </row>
        <row r="5778">
          <cell r="B5778">
            <v>89485</v>
          </cell>
          <cell r="C5778" t="str">
            <v>JOELHO 45 GRAUS, PVC, SOLDÁVEL, DN 25MM, INSTALADO EM PRUMADA DE ÁGUA - FORNECIMENTO E INSTALAÇÃO. AF_06/2022</v>
          </cell>
          <cell r="D5778" t="str">
            <v>UN</v>
          </cell>
          <cell r="E5778">
            <v>7.96</v>
          </cell>
          <cell r="F5778">
            <v>0</v>
          </cell>
        </row>
        <row r="5779">
          <cell r="B5779">
            <v>89409</v>
          </cell>
          <cell r="C5779" t="str">
            <v>JOELHO 45 GRAUS, PVC, SOLDÁVEL, DN 25MM, INSTALADO EM RAMAL DE DISTRIBUIÇÃO DE ÁGUA - FORNECIMENTO E INSTALAÇÃO. AF_06/2022</v>
          </cell>
          <cell r="D5779" t="str">
            <v>UN</v>
          </cell>
          <cell r="E5779">
            <v>12.81</v>
          </cell>
          <cell r="F5779">
            <v>0</v>
          </cell>
        </row>
        <row r="5780">
          <cell r="B5780">
            <v>89363</v>
          </cell>
          <cell r="C5780" t="str">
            <v>JOELHO 45 GRAUS, PVC, SOLDÁVEL, DN 25MM, INSTALADO EM RAMAL OU SUB-RAMAL DE ÁGUA - FORNECIMENTO E INSTALAÇÃO. AF_06/2022</v>
          </cell>
          <cell r="D5780" t="str">
            <v>UN</v>
          </cell>
          <cell r="E5780">
            <v>14.02</v>
          </cell>
          <cell r="F5780">
            <v>0</v>
          </cell>
        </row>
        <row r="5781">
          <cell r="B5781">
            <v>89493</v>
          </cell>
          <cell r="C5781" t="str">
            <v>JOELHO 45 GRAUS, PVC, SOLDÁVEL, DN 32MM, INSTALADO EM PRUMADA DE ÁGUA - FORNECIMENTO E INSTALAÇÃO. AF_06/2022</v>
          </cell>
          <cell r="D5781" t="str">
            <v>UN</v>
          </cell>
          <cell r="E5781">
            <v>12.55</v>
          </cell>
          <cell r="F5781">
            <v>0</v>
          </cell>
        </row>
        <row r="5782">
          <cell r="B5782">
            <v>89414</v>
          </cell>
          <cell r="C5782" t="str">
            <v>JOELHO 45 GRAUS, PVC, SOLDÁVEL, DN 32MM, INSTALADO EM RAMAL DE DISTRIBUIÇÃO DE ÁGUA - FORNECIMENTO E INSTALAÇÃO. AF_06/2022</v>
          </cell>
          <cell r="D5782" t="str">
            <v>UN</v>
          </cell>
          <cell r="E5782">
            <v>18.21</v>
          </cell>
          <cell r="F5782">
            <v>0</v>
          </cell>
        </row>
        <row r="5783">
          <cell r="B5783">
            <v>89368</v>
          </cell>
          <cell r="C5783" t="str">
            <v>JOELHO 45 GRAUS, PVC, SOLDÁVEL, DN 32MM, INSTALADO EM RAMAL OU SUB-RAMAL DE ÁGUA - FORNECIMENTO E INSTALAÇÃO. AF_06/2022</v>
          </cell>
          <cell r="D5783" t="str">
            <v>UN</v>
          </cell>
          <cell r="E5783">
            <v>19.62</v>
          </cell>
          <cell r="F5783">
            <v>0</v>
          </cell>
        </row>
        <row r="5784">
          <cell r="B5784">
            <v>89498</v>
          </cell>
          <cell r="C5784" t="str">
            <v>JOELHO 45 GRAUS, PVC, SOLDÁVEL, DN 40MM, INSTALADO EM PRUMADA DE ÁGUA - FORNECIMENTO E INSTALAÇÃO. AF_06/2022</v>
          </cell>
          <cell r="D5784" t="str">
            <v>UN</v>
          </cell>
          <cell r="E5784">
            <v>16.420000000000002</v>
          </cell>
          <cell r="F5784">
            <v>0</v>
          </cell>
        </row>
        <row r="5785">
          <cell r="B5785">
            <v>103981</v>
          </cell>
          <cell r="C5785" t="str">
            <v>JOELHO 45 GRAUS, PVC, SOLDÁVEL, DN 40MM, INSTALADO EM RAMAL DE DISTRIBUIÇÃO DE ÁGUA - FORNECIMENTO E INSTALAÇÃO. AF_06/2022</v>
          </cell>
          <cell r="D5785" t="str">
            <v>UN</v>
          </cell>
          <cell r="E5785">
            <v>22.92</v>
          </cell>
          <cell r="F5785">
            <v>0</v>
          </cell>
        </row>
        <row r="5786">
          <cell r="B5786">
            <v>89502</v>
          </cell>
          <cell r="C5786" t="str">
            <v>JOELHO 45 GRAUS, PVC, SOLDÁVEL, DN 50MM, INSTALADO EM PRUMADA DE ÁGUA - FORNECIMENTO E INSTALAÇÃO. AF_06/2022</v>
          </cell>
          <cell r="D5786" t="str">
            <v>UN</v>
          </cell>
          <cell r="E5786">
            <v>20.71</v>
          </cell>
          <cell r="F5786">
            <v>0</v>
          </cell>
        </row>
        <row r="5787">
          <cell r="B5787">
            <v>103985</v>
          </cell>
          <cell r="C5787" t="str">
            <v>JOELHO 45 GRAUS, PVC, SOLDÁVEL, DN 50MM, INSTALADO EM RAMAL DE DISTRIBUIÇÃO DE ÁGUA - FORNECIMENTO E INSTALAÇÃO. AF_06/2022</v>
          </cell>
          <cell r="D5787" t="str">
            <v>UN</v>
          </cell>
          <cell r="E5787">
            <v>28.32</v>
          </cell>
          <cell r="F5787">
            <v>0</v>
          </cell>
        </row>
        <row r="5788">
          <cell r="B5788">
            <v>89506</v>
          </cell>
          <cell r="C5788" t="str">
            <v>JOELHO 45 GRAUS, PVC, SOLDÁVEL, DN 60MM, INSTALADO EM PRUMADA DE ÁGUA - FORNECIMENTO E INSTALAÇÃO. AF_06/2022</v>
          </cell>
          <cell r="D5788" t="str">
            <v>UN</v>
          </cell>
          <cell r="E5788">
            <v>46.5</v>
          </cell>
          <cell r="F5788">
            <v>0</v>
          </cell>
        </row>
        <row r="5789">
          <cell r="B5789">
            <v>89515</v>
          </cell>
          <cell r="C5789" t="str">
            <v>JOELHO 45 GRAUS, PVC, SOLDÁVEL, DN 75MM, INSTALADO EM PRUMADA DE ÁGUA - FORNECIMENTO E INSTALAÇÃO. AF_06/2022</v>
          </cell>
          <cell r="D5789" t="str">
            <v>UN</v>
          </cell>
          <cell r="E5789">
            <v>95.45</v>
          </cell>
          <cell r="F5789">
            <v>0</v>
          </cell>
        </row>
        <row r="5790">
          <cell r="B5790">
            <v>89523</v>
          </cell>
          <cell r="C5790" t="str">
            <v>JOELHO 45 GRAUS, PVC, SOLDÁVEL, DN 85MM, INSTALADO EM PRUMADA DE ÁGUA - FORNECIMENTO E INSTALAÇÃO. AF_06/2022</v>
          </cell>
          <cell r="D5790" t="str">
            <v>UN</v>
          </cell>
          <cell r="E5790">
            <v>116.35</v>
          </cell>
          <cell r="F5790">
            <v>0</v>
          </cell>
        </row>
        <row r="5791">
          <cell r="B5791">
            <v>90373</v>
          </cell>
          <cell r="C5791" t="str">
            <v>JOELHO 90 GRAUS COM BUCHA DE LATÃO, PVC, SOLDÁVEL, DN 25MM, X 1/2 INSTALADO EM RAMAL OU SUB-RAMAL DE ÁGUA - FORNECIMENTO E INSTALAÇÃO. AF_06/2022</v>
          </cell>
          <cell r="D5791" t="str">
            <v>UN</v>
          </cell>
          <cell r="E5791">
            <v>16.86</v>
          </cell>
          <cell r="F5791">
            <v>0</v>
          </cell>
        </row>
        <row r="5792">
          <cell r="B5792">
            <v>89366</v>
          </cell>
          <cell r="C5792" t="str">
            <v>JOELHO 90 GRAUS COM BUCHA DE LATÃO, PVC, SOLDÁVEL, DN 25MM, X 3/4 INSTALADO EM RAMAL OU SUB-RAMAL DE ÁGUA - FORNECIMENTO E INSTALAÇÃO. AF_06/2022</v>
          </cell>
          <cell r="D5792" t="str">
            <v>UN</v>
          </cell>
          <cell r="E5792">
            <v>20.82</v>
          </cell>
          <cell r="F5792">
            <v>0</v>
          </cell>
        </row>
        <row r="5793">
          <cell r="B5793">
            <v>89404</v>
          </cell>
          <cell r="C5793" t="str">
            <v>JOELHO 90 GRAUS, PVC, SOLDÁVEL, DN 20MM, INSTALADO EM RAMAL DE DISTRIBUIÇÃO DE ÁGUA - FORNECIMENTO E INSTALAÇÃO. AF_06/2022</v>
          </cell>
          <cell r="D5793" t="str">
            <v>UN</v>
          </cell>
          <cell r="E5793">
            <v>10.07</v>
          </cell>
          <cell r="F5793">
            <v>0</v>
          </cell>
        </row>
        <row r="5794">
          <cell r="B5794">
            <v>89358</v>
          </cell>
          <cell r="C5794" t="str">
            <v>JOELHO 90 GRAUS, PVC, SOLDÁVEL, DN 20MM, INSTALADO EM RAMAL OU SUB-RAMAL DE ÁGUA - FORNECIMENTO E INSTALAÇÃO. AF_06/2022</v>
          </cell>
          <cell r="D5794" t="str">
            <v>UN</v>
          </cell>
          <cell r="E5794">
            <v>11.09</v>
          </cell>
          <cell r="F5794">
            <v>0</v>
          </cell>
        </row>
        <row r="5795">
          <cell r="B5795">
            <v>89481</v>
          </cell>
          <cell r="C5795" t="str">
            <v>JOELHO 90 GRAUS, PVC, SOLDÁVEL, DN 25MM, INSTALADO EM PRUMADA DE ÁGUA - FORNECIMENTO E INSTALAÇÃO. AF_06/2022</v>
          </cell>
          <cell r="D5795" t="str">
            <v>UN</v>
          </cell>
          <cell r="E5795">
            <v>7.05</v>
          </cell>
          <cell r="F5795">
            <v>0</v>
          </cell>
        </row>
        <row r="5796">
          <cell r="B5796">
            <v>89408</v>
          </cell>
          <cell r="C5796" t="str">
            <v>JOELHO 90 GRAUS, PVC, SOLDÁVEL, DN 25MM, INSTALADO EM RAMAL DE DISTRIBUIÇÃO DE ÁGUA - FORNECIMENTO E INSTALAÇÃO. AF_06/2022</v>
          </cell>
          <cell r="D5796" t="str">
            <v>UN</v>
          </cell>
          <cell r="E5796">
            <v>11.9</v>
          </cell>
          <cell r="F5796">
            <v>0</v>
          </cell>
        </row>
        <row r="5797">
          <cell r="B5797">
            <v>89362</v>
          </cell>
          <cell r="C5797" t="str">
            <v>JOELHO 90 GRAUS, PVC, SOLDÁVEL, DN 25MM, INSTALADO EM RAMAL OU SUB-RAMAL DE ÁGUA - FORNECIMENTO E INSTALAÇÃO. AF_06/2022</v>
          </cell>
          <cell r="D5797" t="str">
            <v>UN</v>
          </cell>
          <cell r="E5797">
            <v>13.11</v>
          </cell>
          <cell r="F5797">
            <v>0</v>
          </cell>
        </row>
        <row r="5798">
          <cell r="B5798">
            <v>89412</v>
          </cell>
          <cell r="C5798" t="str">
            <v>JOELHO 90 GRAUS, PVC, SOLDÁVEL, DN 25MM, X 3/4 INSTALADO EM RAMAL DE DISTRIBUIÇÃO DE ÁGUA - FORNECIMENTO E INSTALAÇÃO. AF_06/2022</v>
          </cell>
          <cell r="D5798" t="str">
            <v>UN</v>
          </cell>
          <cell r="E5798">
            <v>13.07</v>
          </cell>
          <cell r="F5798">
            <v>0</v>
          </cell>
        </row>
        <row r="5799">
          <cell r="B5799">
            <v>89492</v>
          </cell>
          <cell r="C5799" t="str">
            <v>JOELHO 90 GRAUS, PVC, SOLDÁVEL, DN 32MM, INSTALADO EM PRUMADA DE ÁGUA - FORNECIMENTO E INSTALAÇÃO. AF_06/2022</v>
          </cell>
          <cell r="D5799" t="str">
            <v>UN</v>
          </cell>
          <cell r="E5799">
            <v>10.52</v>
          </cell>
          <cell r="F5799">
            <v>0</v>
          </cell>
        </row>
        <row r="5800">
          <cell r="B5800">
            <v>89413</v>
          </cell>
          <cell r="C5800" t="str">
            <v>JOELHO 90 GRAUS, PVC, SOLDÁVEL, DN 32MM, INSTALADO EM RAMAL DE DISTRIBUIÇÃO DE ÁGUA - FORNECIMENTO E INSTALAÇÃO. AF_06/2022</v>
          </cell>
          <cell r="D5800" t="str">
            <v>UN</v>
          </cell>
          <cell r="E5800">
            <v>16.18</v>
          </cell>
          <cell r="F5800">
            <v>0</v>
          </cell>
        </row>
        <row r="5801">
          <cell r="B5801">
            <v>89367</v>
          </cell>
          <cell r="C5801" t="str">
            <v>JOELHO 90 GRAUS, PVC, SOLDÁVEL, DN 32MM, INSTALADO EM RAMAL OU SUB-RAMAL DE ÁGUA - FORNECIMENTO E INSTALAÇÃO. AF_06/2022</v>
          </cell>
          <cell r="D5801" t="str">
            <v>UN</v>
          </cell>
          <cell r="E5801">
            <v>17.59</v>
          </cell>
          <cell r="F5801">
            <v>0</v>
          </cell>
        </row>
        <row r="5802">
          <cell r="B5802">
            <v>89497</v>
          </cell>
          <cell r="C5802" t="str">
            <v>JOELHO 90 GRAUS, PVC, SOLDÁVEL, DN 40MM, INSTALADO EM PRUMADA DE ÁGUA - FORNECIMENTO E INSTALAÇÃO. AF_06/2022</v>
          </cell>
          <cell r="D5802" t="str">
            <v>UN</v>
          </cell>
          <cell r="E5802">
            <v>16.350000000000001</v>
          </cell>
          <cell r="F5802">
            <v>0</v>
          </cell>
        </row>
        <row r="5803">
          <cell r="B5803">
            <v>103980</v>
          </cell>
          <cell r="C5803" t="str">
            <v>JOELHO 90 GRAUS, PVC, SOLDÁVEL, DN 40MM, INSTALADO EM RAMAL DE DISTRIBUIÇÃO DE ÁGUA - FORNECIMENTO E INSTALAÇÃO. AF_06/2022</v>
          </cell>
          <cell r="D5803" t="str">
            <v>UN</v>
          </cell>
          <cell r="E5803">
            <v>22.85</v>
          </cell>
          <cell r="F5803">
            <v>0</v>
          </cell>
        </row>
        <row r="5804">
          <cell r="B5804">
            <v>89501</v>
          </cell>
          <cell r="C5804" t="str">
            <v>JOELHO 90 GRAUS, PVC, SOLDÁVEL, DN 50MM, INSTALADO EM PRUMADA DE ÁGUA - FORNECIMENTO E INSTALAÇÃO. AF_06/2022</v>
          </cell>
          <cell r="D5804" t="str">
            <v>UN</v>
          </cell>
          <cell r="E5804">
            <v>17.78</v>
          </cell>
          <cell r="F5804">
            <v>0</v>
          </cell>
        </row>
        <row r="5805">
          <cell r="B5805">
            <v>103984</v>
          </cell>
          <cell r="C5805" t="str">
            <v>JOELHO 90 GRAUS, PVC, SOLDÁVEL, DN 50MM, INSTALADO EM RAMAL DE DISTRIBUIÇÃO DE ÁGUA - FORNECIMENTO E INSTALAÇÃO. AF_06/2022</v>
          </cell>
          <cell r="D5805" t="str">
            <v>UN</v>
          </cell>
          <cell r="E5805">
            <v>25.39</v>
          </cell>
          <cell r="F5805">
            <v>0</v>
          </cell>
        </row>
        <row r="5806">
          <cell r="B5806">
            <v>89505</v>
          </cell>
          <cell r="C5806" t="str">
            <v>JOELHO 90 GRAUS, PVC, SOLDÁVEL, DN 60MM, INSTALADO EM PRUMADA DE ÁGUA - FORNECIMENTO E INSTALAÇÃO. AF_06/2022</v>
          </cell>
          <cell r="D5806" t="str">
            <v>UN</v>
          </cell>
          <cell r="E5806">
            <v>48.55</v>
          </cell>
          <cell r="F5806">
            <v>0</v>
          </cell>
        </row>
        <row r="5807">
          <cell r="B5807">
            <v>89513</v>
          </cell>
          <cell r="C5807" t="str">
            <v>JOELHO 90 GRAUS, PVC, SOLDÁVEL, DN 75MM, INSTALADO EM PRUMADA DE ÁGUA - FORNECIMENTO E INSTALAÇÃO. AF_06/2022</v>
          </cell>
          <cell r="D5807" t="str">
            <v>UN</v>
          </cell>
          <cell r="E5807">
            <v>119.18</v>
          </cell>
          <cell r="F5807">
            <v>0</v>
          </cell>
        </row>
        <row r="5808">
          <cell r="B5808">
            <v>89521</v>
          </cell>
          <cell r="C5808" t="str">
            <v>JOELHO 90 GRAUS, PVC, SOLDÁVEL, DN 85MM, INSTALADO EM PRUMADA DE ÁGUA - FORNECIMENTO E INSTALAÇÃO. AF_06/2022</v>
          </cell>
          <cell r="D5808" t="str">
            <v>UN</v>
          </cell>
          <cell r="E5808">
            <v>141.76</v>
          </cell>
          <cell r="F5808">
            <v>0</v>
          </cell>
        </row>
        <row r="5809">
          <cell r="B5809">
            <v>103955</v>
          </cell>
          <cell r="C5809" t="str">
            <v>JOELHO DE REDUÇÃO, 90 GRAUS, PVC, SOLDÁVEL, DN 25 MM X 20 MM, INSTALADO EM RAMAL DE DISTRIBUIÇÃO DE ÁGUA - FORNECIMENTO E INSTALAÇÃO. AF_06/2022</v>
          </cell>
          <cell r="D5809" t="str">
            <v>UN</v>
          </cell>
          <cell r="E5809">
            <v>13.43</v>
          </cell>
          <cell r="F5809">
            <v>0</v>
          </cell>
        </row>
        <row r="5810">
          <cell r="B5810">
            <v>103950</v>
          </cell>
          <cell r="C5810" t="str">
            <v>JOELHO DE REDUÇÃO, 90 GRAUS, PVC, SOLDÁVEL, DN 25 MM X 20 MM, INSTALADO EM RAMAL OU SUB-RAMAL DE ÁGUA - FORNECIMENTO E INSTALAÇÃO. AF_06/2022</v>
          </cell>
          <cell r="D5810" t="str">
            <v>UN</v>
          </cell>
          <cell r="E5810">
            <v>14.54</v>
          </cell>
          <cell r="F5810">
            <v>0</v>
          </cell>
        </row>
        <row r="5811">
          <cell r="B5811">
            <v>103974</v>
          </cell>
          <cell r="C5811" t="str">
            <v>JOELHO DE REDUÇÃO, 90 GRAUS, PVC, SOLDÁVEL, DN 32 MM X 25 MM, INSTALADO EM PRUMADA DE ÁGUA - FORNECIMENTO E INSTALAÇÃO. AF_06/2022</v>
          </cell>
          <cell r="D5811" t="str">
            <v>UN</v>
          </cell>
          <cell r="E5811">
            <v>13.01</v>
          </cell>
          <cell r="F5811">
            <v>0</v>
          </cell>
        </row>
        <row r="5812">
          <cell r="B5812">
            <v>103956</v>
          </cell>
          <cell r="C5812" t="str">
            <v>JOELHO DE REDUÇÃO, 90 GRAUS, PVC, SOLDÁVEL, DN 32 MM X 25 MM, INSTALADO EM RAMAL DE DISTRIBUIÇÃO DE ÁGUA - FORNECIMENTO E INSTALAÇÃO. AF_06/2022</v>
          </cell>
          <cell r="D5812" t="str">
            <v>UN</v>
          </cell>
          <cell r="E5812">
            <v>18.28</v>
          </cell>
          <cell r="F5812">
            <v>0</v>
          </cell>
        </row>
        <row r="5813">
          <cell r="B5813">
            <v>103951</v>
          </cell>
          <cell r="C5813" t="str">
            <v>JOELHO DE REDUÇÃO, 90 GRAUS, PVC, SOLDÁVEL, DN 32 MM X 25 MM, INSTALADO EM RAMAL OU SUB-RAMAL DE ÁGUA - FORNECIMENTO E INSTALAÇÃO. AF_06/2022</v>
          </cell>
          <cell r="D5813" t="str">
            <v>UN</v>
          </cell>
          <cell r="E5813">
            <v>19.579999999999998</v>
          </cell>
          <cell r="F5813">
            <v>0</v>
          </cell>
        </row>
        <row r="5814">
          <cell r="B5814">
            <v>89374</v>
          </cell>
          <cell r="C5814" t="str">
            <v>LUVA COM BUCHA DE LATÃO, PVC, SOLDÁVEL, DN 20MM X 1/2", INSTALADO EM RAMAL OU SUB-RAMAL DE ÁGUA - FORNECIMENTO E INSTALAÇÃO. AF_06/2022</v>
          </cell>
          <cell r="D5814" t="str">
            <v>UN</v>
          </cell>
          <cell r="E5814">
            <v>12.75</v>
          </cell>
          <cell r="F5814">
            <v>0</v>
          </cell>
        </row>
        <row r="5815">
          <cell r="B5815">
            <v>89427</v>
          </cell>
          <cell r="C5815" t="str">
            <v>LUVA COM BUCHA DE LATÃO, PVC, SOLDÁVEL, DN 25MM X 3/4, INSTALADO EM RAMAL DE DISTRIBUIÇÃO DE ÁGUA - FORNECIMENTO E INSTALAÇÃO. AF_06/2022</v>
          </cell>
          <cell r="D5815" t="str">
            <v>UN</v>
          </cell>
          <cell r="E5815">
            <v>14.83</v>
          </cell>
          <cell r="F5815">
            <v>0</v>
          </cell>
        </row>
        <row r="5816">
          <cell r="B5816">
            <v>89381</v>
          </cell>
          <cell r="C5816" t="str">
            <v>LUVA COM BUCHA DE LATÃO, PVC, SOLDÁVEL, DN 25MM X 3/4, INSTALADO EM RAMAL OU SUB-RAMAL DE ÁGUA - FORNECIMENTO E INSTALAÇÃO. AF_06/2022</v>
          </cell>
          <cell r="D5816" t="str">
            <v>UN</v>
          </cell>
          <cell r="E5816">
            <v>15.57</v>
          </cell>
          <cell r="F5816">
            <v>0</v>
          </cell>
        </row>
        <row r="5817">
          <cell r="B5817">
            <v>95237</v>
          </cell>
          <cell r="C5817" t="str">
            <v>LUVA COM BUCHA DE LATÃO, PVC, SOLDÁVEL, DN 32MM X 1, INSTALADO EM RAMAL DE DISTRIBUIÇÃO DE ÁGUA FORNECIMENTO E INSTALAÇÃO. AF_06/2022</v>
          </cell>
          <cell r="D5817" t="str">
            <v>UN</v>
          </cell>
          <cell r="E5817">
            <v>28.98</v>
          </cell>
          <cell r="F5817">
            <v>0</v>
          </cell>
        </row>
        <row r="5818">
          <cell r="B5818">
            <v>89979</v>
          </cell>
          <cell r="C5818" t="str">
            <v>LUVA COM BUCHA DE LATÃO, PVC, SOLDÁVEL, DN 32MM X 1, INSTALADO EM RAMAL OU SUB-RAMAL DE ÁGUA FORNECIMENTO E INSTALAÇÃO. AF_06/2022</v>
          </cell>
          <cell r="D5818" t="str">
            <v>UN</v>
          </cell>
          <cell r="E5818">
            <v>29.85</v>
          </cell>
          <cell r="F5818">
            <v>0</v>
          </cell>
        </row>
        <row r="5819">
          <cell r="B5819">
            <v>103991</v>
          </cell>
          <cell r="C5819" t="str">
            <v>LUVA COM ROSCA, PVC, SOLDÁVEL, DN 40MM X 1.1/4", INSTALADO EM RAMAL DE DISTRIBUIÇÃO DE ÁGUA - FORNECIMENTO E INSTALAÇÃO. AF_06/2022</v>
          </cell>
          <cell r="D5819" t="str">
            <v>UN</v>
          </cell>
          <cell r="E5819">
            <v>22.43</v>
          </cell>
          <cell r="F5819">
            <v>0</v>
          </cell>
        </row>
        <row r="5820">
          <cell r="B5820">
            <v>89564</v>
          </cell>
          <cell r="C5820" t="str">
            <v>LUVA COM ROSCA, PVC, SOLDÁVEL, DN 40MM X 1.1/4, INSTALADO EM PRUMADA DE ÁGUA - FORNECIMENTO E INSTALAÇÃO. AF_06/2022</v>
          </cell>
          <cell r="D5820" t="str">
            <v>UN</v>
          </cell>
          <cell r="E5820">
            <v>18.36</v>
          </cell>
          <cell r="F5820">
            <v>0</v>
          </cell>
        </row>
        <row r="5821">
          <cell r="B5821">
            <v>104000</v>
          </cell>
          <cell r="C5821" t="str">
            <v>LUVA COM ROSCA, PVC, SOLDÁVEL, DN 50MM X 1.1/2", INSTALADO EM RAMAL DE DISTRIBUIÇÃO DE ÁGUA - FORNECIMENTO E INSTALAÇÃO. AF_06/2022</v>
          </cell>
          <cell r="D5821" t="str">
            <v>UN</v>
          </cell>
          <cell r="E5821">
            <v>33.58</v>
          </cell>
          <cell r="F5821">
            <v>0</v>
          </cell>
        </row>
        <row r="5822">
          <cell r="B5822">
            <v>89593</v>
          </cell>
          <cell r="C5822" t="str">
            <v>LUVA COM ROSCA, PVC, SOLDÁVEL, DN 50MM X 1.1/2, INSTALADO EM PRUMADA DE ÁGUA - FORNECIMENTO E INSTALAÇÃO. AF_06/2022</v>
          </cell>
          <cell r="D5822" t="str">
            <v>UN</v>
          </cell>
          <cell r="E5822">
            <v>28.85</v>
          </cell>
          <cell r="F5822">
            <v>0</v>
          </cell>
        </row>
        <row r="5823">
          <cell r="B5823">
            <v>89418</v>
          </cell>
          <cell r="C5823" t="str">
            <v>LUVA DE CORRER, PVC, SOLDÁVEL, DN 20MM, INSTALADO EM RAMAL DE DISTRIBUIÇÃO DE ÁGUA - FORNECIMENTO E INSTALAÇÃO. AF_06/2022</v>
          </cell>
          <cell r="D5823" t="str">
            <v>UN</v>
          </cell>
          <cell r="E5823">
            <v>18.97</v>
          </cell>
          <cell r="F5823">
            <v>0</v>
          </cell>
        </row>
        <row r="5824">
          <cell r="B5824">
            <v>89372</v>
          </cell>
          <cell r="C5824" t="str">
            <v>LUVA DE CORRER, PVC, SOLDÁVEL, DN 20MM, INSTALADO EM RAMAL OU SUB-RAMAL DE ÁGUA - FORNECIMENTO E INSTALAÇÃO. AF_06/2022</v>
          </cell>
          <cell r="D5824" t="str">
            <v>UN</v>
          </cell>
          <cell r="E5824">
            <v>19.66</v>
          </cell>
          <cell r="F5824">
            <v>0</v>
          </cell>
        </row>
        <row r="5825">
          <cell r="B5825">
            <v>89530</v>
          </cell>
          <cell r="C5825" t="str">
            <v>LUVA DE CORRER, PVC, SOLDÁVEL, DN 25MM, INSTALADO EM PRUMADA DE ÁGUA - FORNECIMENTO E INSTALAÇÃO. AF_06/2022</v>
          </cell>
          <cell r="D5825" t="str">
            <v>UN</v>
          </cell>
          <cell r="E5825">
            <v>18.98</v>
          </cell>
          <cell r="F5825">
            <v>0</v>
          </cell>
        </row>
        <row r="5826">
          <cell r="B5826">
            <v>89425</v>
          </cell>
          <cell r="C5826" t="str">
            <v>LUVA DE CORRER, PVC, SOLDÁVEL, DN 25MM, INSTALADO EM RAMAL DE DISTRIBUIÇÃO DE ÁGUA - FORNECIMENTO E INSTALAÇÃO. AF_06/2022</v>
          </cell>
          <cell r="D5826" t="str">
            <v>UN</v>
          </cell>
          <cell r="E5826">
            <v>22.24</v>
          </cell>
          <cell r="F5826">
            <v>0</v>
          </cell>
        </row>
        <row r="5827">
          <cell r="B5827">
            <v>89379</v>
          </cell>
          <cell r="C5827" t="str">
            <v>LUVA DE CORRER, PVC, SOLDÁVEL, DN 25MM, INSTALADO EM RAMAL OU SUB-RAMAL DE ÁGUA - FORNECIMENTO E INSTALAÇÃO. AF_12/2014</v>
          </cell>
          <cell r="D5827" t="str">
            <v>UN</v>
          </cell>
          <cell r="E5827">
            <v>23.04</v>
          </cell>
          <cell r="F5827">
            <v>0</v>
          </cell>
        </row>
        <row r="5828">
          <cell r="B5828">
            <v>89542</v>
          </cell>
          <cell r="C5828" t="str">
            <v>LUVA DE CORRER, PVC, SOLDÁVEL, DN 32MM, INSTALADO EM PRUMADA DE ÁGUA - FORNECIMENTO E INSTALAÇÃO. AF_06/2022</v>
          </cell>
          <cell r="D5828" t="str">
            <v>UN</v>
          </cell>
          <cell r="E5828">
            <v>31.38</v>
          </cell>
          <cell r="F5828">
            <v>0</v>
          </cell>
        </row>
        <row r="5829">
          <cell r="B5829">
            <v>89432</v>
          </cell>
          <cell r="C5829" t="str">
            <v>LUVA DE CORRER, PVC, SOLDÁVEL, DN 32MM, INSTALADO EM RAMAL DE DISTRIBUIÇÃO DE ÁGUA FORNECIMENTO E INSTALAÇÃO. AF_06/2022</v>
          </cell>
          <cell r="D5829" t="str">
            <v>UN</v>
          </cell>
          <cell r="E5829">
            <v>35.15</v>
          </cell>
          <cell r="F5829">
            <v>0</v>
          </cell>
        </row>
        <row r="5830">
          <cell r="B5830">
            <v>89387</v>
          </cell>
          <cell r="C5830" t="str">
            <v>LUVA DE CORRER, PVC, SOLDÁVEL, DN 32MM, INSTALADO EM RAMAL OU SUB-RAMAL DE ÁGUA FORNECIMENTO E INSTALAÇÃO. AF_06/2022</v>
          </cell>
          <cell r="D5830" t="str">
            <v>UN</v>
          </cell>
          <cell r="E5830">
            <v>36.090000000000003</v>
          </cell>
          <cell r="F5830">
            <v>0</v>
          </cell>
        </row>
        <row r="5831">
          <cell r="B5831">
            <v>89560</v>
          </cell>
          <cell r="C5831" t="str">
            <v>LUVA DE CORRER, PVC, SOLDÁVEL, DN 40MM, INSTALADO EM PRUMADA DE ÁGUA FORNECIMENTO E INSTALAÇÃO. AF_06/2022</v>
          </cell>
          <cell r="D5831" t="str">
            <v>UN</v>
          </cell>
          <cell r="E5831">
            <v>40.15</v>
          </cell>
          <cell r="F5831">
            <v>0</v>
          </cell>
        </row>
        <row r="5832">
          <cell r="B5832">
            <v>104159</v>
          </cell>
          <cell r="C5832" t="str">
            <v>LUVA DE CORRER, PVC, SOLDÁVEL, DN 40MM, INSTALADO EM RAMAL DE DISTRIBUIÇÃO DE ÁGUA - FORNECIMENTO E INSTALAÇÃO. AF_06/2022</v>
          </cell>
          <cell r="D5832" t="str">
            <v>UN</v>
          </cell>
          <cell r="E5832">
            <v>44.53</v>
          </cell>
          <cell r="F5832">
            <v>0</v>
          </cell>
        </row>
        <row r="5833">
          <cell r="B5833">
            <v>89577</v>
          </cell>
          <cell r="C5833" t="str">
            <v>LUVA DE CORRER, PVC, SOLDÁVEL, DN 50MM, INSTALADO EM PRUMADA DE ÁGUA - FORNECIMENTO E INSTALAÇÃO. AF_06/2022</v>
          </cell>
          <cell r="D5833" t="str">
            <v>UN</v>
          </cell>
          <cell r="E5833">
            <v>42.41</v>
          </cell>
          <cell r="F5833">
            <v>0</v>
          </cell>
        </row>
        <row r="5834">
          <cell r="B5834">
            <v>103996</v>
          </cell>
          <cell r="C5834" t="str">
            <v>LUVA DE CORRER, PVC, SOLDÁVEL, DN 50MM, INSTALADO EM RAMAL DE DISTRIBUIÇÃO DE ÁGUA - FORNECIMENTO E INSTALAÇÃO. AF_06/2022</v>
          </cell>
          <cell r="D5834" t="str">
            <v>UN</v>
          </cell>
          <cell r="E5834">
            <v>47.52</v>
          </cell>
          <cell r="F5834">
            <v>0</v>
          </cell>
        </row>
        <row r="5835">
          <cell r="B5835">
            <v>89598</v>
          </cell>
          <cell r="C5835" t="str">
            <v>LUVA DE CORRER, PVC, SOLDÁVEL, DN 60MM, INSTALADO EM PRUMADA DE ÁGUA FORNECIMENTO E INSTALAÇÃO. AF_06/2022</v>
          </cell>
          <cell r="D5835" t="str">
            <v>UN</v>
          </cell>
          <cell r="E5835">
            <v>56.97</v>
          </cell>
          <cell r="F5835">
            <v>0</v>
          </cell>
        </row>
        <row r="5836">
          <cell r="B5836">
            <v>89419</v>
          </cell>
          <cell r="C5836" t="str">
            <v>LUVA DE REDUÇÃO, PVC, SOLDÁVEL, DN 25MM X 20MM, INSTALADO EM RAMAL DE DISTRIBUIÇÃO DE ÁGUA - FORNECIMENTO E INSTALAÇÃO. AF_06/2022</v>
          </cell>
          <cell r="D5836" t="str">
            <v>UN</v>
          </cell>
          <cell r="E5836">
            <v>8.75</v>
          </cell>
          <cell r="F5836">
            <v>0</v>
          </cell>
        </row>
        <row r="5837">
          <cell r="B5837">
            <v>89373</v>
          </cell>
          <cell r="C5837" t="str">
            <v>LUVA DE REDUÇÃO, PVC, SOLDÁVEL, DN 25MM X 20MM, INSTALADO EM RAMAL OU SUB-RAMAL DE ÁGUA - FORNECIMENTO E INSTALAÇÃO. AF_06/2022</v>
          </cell>
          <cell r="D5837" t="str">
            <v>UN</v>
          </cell>
          <cell r="E5837">
            <v>9.49</v>
          </cell>
          <cell r="F5837">
            <v>0</v>
          </cell>
        </row>
        <row r="5838">
          <cell r="B5838">
            <v>89532</v>
          </cell>
          <cell r="C5838" t="str">
            <v>LUVA DE REDUÇÃO, PVC, SOLDÁVEL, DN 32MM X 25MM, INSTALADO EM PRUMADA DE ÁGUA - FORNECIMENTO E INSTALAÇÃO. AF_06/2022</v>
          </cell>
          <cell r="D5838" t="str">
            <v>UN</v>
          </cell>
          <cell r="E5838">
            <v>8.67</v>
          </cell>
          <cell r="F5838">
            <v>0</v>
          </cell>
        </row>
        <row r="5839">
          <cell r="B5839">
            <v>89426</v>
          </cell>
          <cell r="C5839" t="str">
            <v>LUVA DE REDUÇÃO, PVC, SOLDÁVEL, DN 32MM X 25MM, INSTALADO EM RAMAL DE DISTRIBUIÇÃO DE ÁGUA - FORNECIMENTO E INSTALAÇÃO. AF_06/2022</v>
          </cell>
          <cell r="D5839" t="str">
            <v>UN</v>
          </cell>
          <cell r="E5839">
            <v>12.18</v>
          </cell>
          <cell r="F5839">
            <v>0</v>
          </cell>
        </row>
        <row r="5840">
          <cell r="B5840">
            <v>89380</v>
          </cell>
          <cell r="C5840" t="str">
            <v>LUVA DE REDUÇÃO, PVC, SOLDÁVEL, DN 32MM X 25MM, INSTALADO EM RAMAL OU SUB-RAMAL DE ÁGUA - FORNECIMENTO E INSTALAÇÃO. AF_06/2022</v>
          </cell>
          <cell r="D5840" t="str">
            <v>UN</v>
          </cell>
          <cell r="E5840">
            <v>13.05</v>
          </cell>
          <cell r="F5840">
            <v>0</v>
          </cell>
        </row>
        <row r="5841">
          <cell r="B5841">
            <v>89562</v>
          </cell>
          <cell r="C5841" t="str">
            <v>LUVA DE REDUÇÃO, PVC, SOLDÁVEL, DN 40MM X 32MM, INSTALADO EM PRUMADA DE ÁGUA - FORNECIMENTO E INSTALAÇÃO. AF_06/2022</v>
          </cell>
          <cell r="D5841" t="str">
            <v>UN</v>
          </cell>
          <cell r="E5841">
            <v>12.44</v>
          </cell>
          <cell r="F5841">
            <v>0</v>
          </cell>
        </row>
        <row r="5842">
          <cell r="B5842">
            <v>89433</v>
          </cell>
          <cell r="C5842" t="str">
            <v>LUVA DE REDUÇÃO, PVC, SOLDÁVEL, DN 40MM X 32MM, INSTALADO EM RAMAL DE DISTRIBUIÇÃO DE ÁGUA - FORNECIMENTO E INSTALAÇÃO. AF_06/2022</v>
          </cell>
          <cell r="D5842" t="str">
            <v>UN</v>
          </cell>
          <cell r="E5842">
            <v>16.510000000000002</v>
          </cell>
          <cell r="F5842">
            <v>0</v>
          </cell>
        </row>
        <row r="5843">
          <cell r="B5843">
            <v>89579</v>
          </cell>
          <cell r="C5843" t="str">
            <v>LUVA DE REDUÇÃO, PVC, SOLDÁVEL, DN 50MM X 25MM, INSTALADO EM PRUMADA DE ÁGUA FORNECIMENTO E INSTALAÇÃO. AF_06/2022</v>
          </cell>
          <cell r="D5843" t="str">
            <v>UN</v>
          </cell>
          <cell r="E5843">
            <v>13.95</v>
          </cell>
          <cell r="F5843">
            <v>0</v>
          </cell>
        </row>
        <row r="5844">
          <cell r="B5844">
            <v>103998</v>
          </cell>
          <cell r="C5844" t="str">
            <v>LUVA DE REDUÇÃO, PVC, SOLDÁVEL, DN 50MM X 25MM, INSTALADO EM RAMAL DE DISTRIBUIÇÃO DE ÁGUA FORNECIMENTO E INSTALAÇÃO. AF_06/2022</v>
          </cell>
          <cell r="D5844" t="str">
            <v>UN</v>
          </cell>
          <cell r="E5844">
            <v>18.12</v>
          </cell>
          <cell r="F5844">
            <v>0</v>
          </cell>
        </row>
        <row r="5845">
          <cell r="B5845">
            <v>89605</v>
          </cell>
          <cell r="C5845" t="str">
            <v>LUVA DE REDUÇÃO, PVC, SOLDÁVEL, DN 60MM X 50MM, INSTALADO EM PRUMADA DE ÁGUA - FORNECIMENTO E INSTALAÇÃO. AF_06/2022</v>
          </cell>
          <cell r="D5845" t="str">
            <v>UN</v>
          </cell>
          <cell r="E5845">
            <v>24.16</v>
          </cell>
          <cell r="F5845">
            <v>0</v>
          </cell>
        </row>
        <row r="5846">
          <cell r="B5846">
            <v>89981</v>
          </cell>
          <cell r="C5846" t="str">
            <v>LUVA SOLDÁVEL E COM BUCHA DE LATÃO, PVC, SOLDÁVEL, DN 32MM X 1, INSTALADO EM PRUMADA DE ÁGUA FORNECIMENTO E INSTALAÇÃO. AF_06/2022</v>
          </cell>
          <cell r="D5846" t="str">
            <v>UN</v>
          </cell>
          <cell r="E5846">
            <v>25.47</v>
          </cell>
          <cell r="F5846">
            <v>0</v>
          </cell>
        </row>
        <row r="5847">
          <cell r="B5847">
            <v>89385</v>
          </cell>
          <cell r="C5847" t="str">
            <v>LUVA SOLDÁVEL E COM ROSCA, PVC, SOLDÁVEL, DN 25MM X 3/4, INSTALADO EM RAMAL OU SUB-RAMAL DE ÁGUA - FORNECIMENTO E INSTALAÇÃO. AF_06/2022</v>
          </cell>
          <cell r="D5847" t="str">
            <v>UN</v>
          </cell>
          <cell r="E5847">
            <v>9.6199999999999992</v>
          </cell>
          <cell r="F5847">
            <v>0</v>
          </cell>
        </row>
        <row r="5848">
          <cell r="B5848">
            <v>89551</v>
          </cell>
          <cell r="C5848" t="str">
            <v>LUVA SOLDÁVEL E COM ROSCA, PVC, SOLDÁVEL, DN 32MM X 1, INSTALADO EM PRUMADA DE ÁGUA - FORNECIMENTO E INSTALAÇÃO. AF_06/2022</v>
          </cell>
          <cell r="D5848" t="str">
            <v>UN</v>
          </cell>
          <cell r="E5848">
            <v>10.31</v>
          </cell>
          <cell r="F5848">
            <v>0</v>
          </cell>
        </row>
        <row r="5849">
          <cell r="B5849">
            <v>89434</v>
          </cell>
          <cell r="C5849" t="str">
            <v>LUVA SOLDÁVEL E COM ROSCA, PVC, SOLDÁVEL, DN 32MM X 1, INSTALADO EM RAMAL DE DISTRIBUIÇÃO DE ÁGUA - FORNECIMENTO E INSTALAÇÃO. AF_06/2022</v>
          </cell>
          <cell r="D5849" t="str">
            <v>UN</v>
          </cell>
          <cell r="E5849">
            <v>13.82</v>
          </cell>
          <cell r="F5849">
            <v>0</v>
          </cell>
        </row>
        <row r="5850">
          <cell r="B5850">
            <v>89389</v>
          </cell>
          <cell r="C5850" t="str">
            <v>LUVA SOLDÁVEL E COM ROSCA, PVC, SOLDÁVEL, DN 32MM X 1, INSTALADO EM RAMAL OU SUB-RAMAL DE ÁGUA - FORNECIMENTO E INSTALAÇÃO. AF_06/2022</v>
          </cell>
          <cell r="D5850" t="str">
            <v>UN</v>
          </cell>
          <cell r="E5850">
            <v>14.69</v>
          </cell>
          <cell r="F5850">
            <v>0</v>
          </cell>
        </row>
        <row r="5851">
          <cell r="B5851">
            <v>89417</v>
          </cell>
          <cell r="C5851" t="str">
            <v>LUVA, PVC, SOLDÁVEL, DN 20MM, INSTALADO EM RAMAL DE DISTRIBUIÇÃO DE ÁGUA - FORNECIMENTO E INSTALAÇÃO. AF_06/2022</v>
          </cell>
          <cell r="D5851" t="str">
            <v>UN</v>
          </cell>
          <cell r="E5851">
            <v>7.4</v>
          </cell>
          <cell r="F5851">
            <v>0</v>
          </cell>
        </row>
        <row r="5852">
          <cell r="B5852">
            <v>89371</v>
          </cell>
          <cell r="C5852" t="str">
            <v>LUVA, PVC, SOLDÁVEL, DN 20MM, INSTALADO EM RAMAL OU SUB-RAMAL DE ÁGUA - FORNECIMENTO E INSTALAÇÃO. AF_06/2022</v>
          </cell>
          <cell r="D5852" t="str">
            <v>UN</v>
          </cell>
          <cell r="E5852">
            <v>8.09</v>
          </cell>
          <cell r="F5852">
            <v>0</v>
          </cell>
        </row>
        <row r="5853">
          <cell r="B5853">
            <v>89528</v>
          </cell>
          <cell r="C5853" t="str">
            <v>LUVA, PVC, SOLDÁVEL, DN 25MM, INSTALADO EM PRUMADA DE ÁGUA - FORNECIMENTO E INSTALAÇÃO. AF_06/2022</v>
          </cell>
          <cell r="D5853" t="str">
            <v>UN</v>
          </cell>
          <cell r="E5853">
            <v>5.41</v>
          </cell>
          <cell r="F5853">
            <v>0</v>
          </cell>
        </row>
        <row r="5854">
          <cell r="B5854">
            <v>89424</v>
          </cell>
          <cell r="C5854" t="str">
            <v>LUVA, PVC, SOLDÁVEL, DN 25MM, INSTALADO EM RAMAL DE DISTRIBUIÇÃO DE ÁGUA - FORNECIMENTO E INSTALAÇÃO. AF_06/2022</v>
          </cell>
          <cell r="D5854" t="str">
            <v>UN</v>
          </cell>
          <cell r="E5854">
            <v>8.67</v>
          </cell>
          <cell r="F5854">
            <v>0</v>
          </cell>
        </row>
        <row r="5855">
          <cell r="B5855">
            <v>89378</v>
          </cell>
          <cell r="C5855" t="str">
            <v>LUVA, PVC, SOLDÁVEL, DN 25MM, INSTALADO EM RAMAL OU SUB-RAMAL DE ÁGUA - FORNECIMENTO E INSTALAÇÃO. AF_06/2022</v>
          </cell>
          <cell r="D5855" t="str">
            <v>UN</v>
          </cell>
          <cell r="E5855">
            <v>9.4700000000000006</v>
          </cell>
          <cell r="F5855">
            <v>0</v>
          </cell>
        </row>
        <row r="5856">
          <cell r="B5856">
            <v>89541</v>
          </cell>
          <cell r="C5856" t="str">
            <v>LUVA, PVC, SOLDÁVEL, DN 32MM, INSTALADO EM PRUMADA DE ÁGUA - FORNECIMENTO E INSTALAÇÃO. AF_06/2022</v>
          </cell>
          <cell r="D5856" t="str">
            <v>UN</v>
          </cell>
          <cell r="E5856">
            <v>7.93</v>
          </cell>
          <cell r="F5856">
            <v>0</v>
          </cell>
        </row>
        <row r="5857">
          <cell r="B5857">
            <v>89431</v>
          </cell>
          <cell r="C5857" t="str">
            <v>LUVA, PVC, SOLDÁVEL, DN 32MM, INSTALADO EM RAMAL DE DISTRIBUIÇÃO DE ÁGUA - FORNECIMENTO E INSTALAÇÃO. AF_06/2022</v>
          </cell>
          <cell r="D5857" t="str">
            <v>UN</v>
          </cell>
          <cell r="E5857">
            <v>11.7</v>
          </cell>
          <cell r="F5857">
            <v>0</v>
          </cell>
        </row>
        <row r="5858">
          <cell r="B5858">
            <v>89386</v>
          </cell>
          <cell r="C5858" t="str">
            <v>LUVA, PVC, SOLDÁVEL, DN 32MM, INSTALADO EM RAMAL OU SUB-RAMAL DE ÁGUA - FORNECIMENTO E INSTALAÇÃO. AF_06/2022</v>
          </cell>
          <cell r="D5858" t="str">
            <v>UN</v>
          </cell>
          <cell r="E5858">
            <v>12.64</v>
          </cell>
          <cell r="F5858">
            <v>0</v>
          </cell>
        </row>
        <row r="5859">
          <cell r="B5859">
            <v>89558</v>
          </cell>
          <cell r="C5859" t="str">
            <v>LUVA, PVC, SOLDÁVEL, DN 40MM, INSTALADO EM PRUMADA DE ÁGUA - FORNECIMENTO E INSTALAÇÃO. AF_06/2022</v>
          </cell>
          <cell r="D5859" t="str">
            <v>UN</v>
          </cell>
          <cell r="E5859">
            <v>11.81</v>
          </cell>
          <cell r="F5859">
            <v>0</v>
          </cell>
        </row>
        <row r="5860">
          <cell r="B5860">
            <v>103988</v>
          </cell>
          <cell r="C5860" t="str">
            <v>LUVA, PVC, SOLDÁVEL, DN 40MM, INSTALADO EM RAMAL DE DISTRIBUIÇÃO DE ÁGUA - FORNECIMENTO E INSTALAÇÃO. AF_06/2022</v>
          </cell>
          <cell r="D5860" t="str">
            <v>UN</v>
          </cell>
          <cell r="E5860">
            <v>16.190000000000001</v>
          </cell>
          <cell r="F5860">
            <v>0</v>
          </cell>
        </row>
        <row r="5861">
          <cell r="B5861">
            <v>89575</v>
          </cell>
          <cell r="C5861" t="str">
            <v>LUVA, PVC, SOLDÁVEL, DN 50MM, INSTALADO EM PRUMADA DE ÁGUA - FORNECIMENTO E INSTALAÇÃO. AF_06/2022</v>
          </cell>
          <cell r="D5861" t="str">
            <v>UN</v>
          </cell>
          <cell r="E5861">
            <v>13.92</v>
          </cell>
          <cell r="F5861">
            <v>0</v>
          </cell>
        </row>
        <row r="5862">
          <cell r="B5862">
            <v>103995</v>
          </cell>
          <cell r="C5862" t="str">
            <v>LUVA, PVC, SOLDÁVEL, DN 50MM, INSTALADO EM RAMAL DE DISTRIBUIÇÃO DE ÁGUA - FORNECIMENTO E INSTALAÇÃO. AF_06/2022</v>
          </cell>
          <cell r="D5862" t="str">
            <v>UN</v>
          </cell>
          <cell r="E5862">
            <v>19.03</v>
          </cell>
          <cell r="F5862">
            <v>0</v>
          </cell>
        </row>
        <row r="5863">
          <cell r="B5863">
            <v>89597</v>
          </cell>
          <cell r="C5863" t="str">
            <v>LUVA, PVC, SOLDÁVEL, DN 60MM, INSTALADO EM PRUMADA DE ÁGUA - FORNECIMENTO E INSTALAÇÃO. AF_06/2022</v>
          </cell>
          <cell r="D5863" t="str">
            <v>UN</v>
          </cell>
          <cell r="E5863">
            <v>26.48</v>
          </cell>
          <cell r="F5863">
            <v>0</v>
          </cell>
        </row>
        <row r="5864">
          <cell r="B5864">
            <v>89611</v>
          </cell>
          <cell r="C5864" t="str">
            <v>LUVA, PVC, SOLDÁVEL, DN 75MM, INSTALADO EM PRUMADA DE ÁGUA - FORNECIMENTO E INSTALAÇÃO. AF_06/2022</v>
          </cell>
          <cell r="D5864" t="str">
            <v>UN</v>
          </cell>
          <cell r="E5864">
            <v>37.08</v>
          </cell>
          <cell r="F5864">
            <v>0</v>
          </cell>
        </row>
        <row r="5865">
          <cell r="B5865">
            <v>89614</v>
          </cell>
          <cell r="C5865" t="str">
            <v>LUVA, PVC, SOLDÁVEL, DN 85MM, INSTALADO EM PRUMADA DE ÁGUA - FORNECIMENTO E INSTALAÇÃO. AF_06/2022</v>
          </cell>
          <cell r="D5865" t="str">
            <v>UN</v>
          </cell>
          <cell r="E5865">
            <v>68.11</v>
          </cell>
          <cell r="F5865">
            <v>0</v>
          </cell>
        </row>
        <row r="5866">
          <cell r="B5866">
            <v>103975</v>
          </cell>
          <cell r="C5866" t="str">
            <v>TE DE REDUÇÃO, 90 GRAUS, PVC, SOLDÁVEL, DN 50 MM X 20 MM, INSTALADO EM PRUMADA DE ÁGUA - FORNECIMENTO E INSTALAÇÃO. AF_06/2022</v>
          </cell>
          <cell r="D5866" t="str">
            <v>UN</v>
          </cell>
          <cell r="E5866">
            <v>21.6</v>
          </cell>
          <cell r="F5866">
            <v>0</v>
          </cell>
        </row>
        <row r="5867">
          <cell r="B5867">
            <v>104007</v>
          </cell>
          <cell r="C5867" t="str">
            <v>TE DE REDUÇÃO, 90 GRAUS, PVC, SOLDÁVEL, DN 50 MM X 20 MM, INSTALADO EM RAMAL DE DISTRIBUIÇÃO DE ÁGUA - FORNECIMENTO E INSTALAÇÃO. AF_06/2022</v>
          </cell>
          <cell r="D5867" t="str">
            <v>UN</v>
          </cell>
          <cell r="E5867">
            <v>27.79</v>
          </cell>
          <cell r="F5867">
            <v>0</v>
          </cell>
        </row>
        <row r="5868">
          <cell r="B5868">
            <v>103976</v>
          </cell>
          <cell r="C5868" t="str">
            <v>TE DE REDUÇÃO, 90 GRAUS, PVC, SOLDÁVEL, DN 50 MM X 32 MM, INSTALADO EM PRUMADA DE ÁGUA - FORNECIMENTO E INSTALAÇÃO. AF_06/2022</v>
          </cell>
          <cell r="D5868" t="str">
            <v>UN</v>
          </cell>
          <cell r="E5868">
            <v>30.83</v>
          </cell>
          <cell r="F5868">
            <v>0</v>
          </cell>
        </row>
        <row r="5869">
          <cell r="B5869">
            <v>104008</v>
          </cell>
          <cell r="C5869" t="str">
            <v>TE DE REDUÇÃO, 90 GRAUS, PVC, SOLDÁVEL, DN 50 MM X 32 MM, INSTALADO EM RAMAL DE DISTRIBUIÇÃO DE ÁGUA - FORNECIMENTO E INSTALAÇÃO. AF_06/2022</v>
          </cell>
          <cell r="D5869" t="str">
            <v>UN</v>
          </cell>
          <cell r="E5869">
            <v>39.659999999999997</v>
          </cell>
          <cell r="F5869">
            <v>0</v>
          </cell>
        </row>
        <row r="5870">
          <cell r="B5870">
            <v>89630</v>
          </cell>
          <cell r="C5870" t="str">
            <v>TE DE REDUÇÃO, PVC, SOLDÁVEL, DN 75MM X 50MM, INSTALADO EM PRUMADA DE ÁGUA - FORNECIMENTO E INSTALAÇÃO. AF_06/2022</v>
          </cell>
          <cell r="D5870" t="str">
            <v>UN</v>
          </cell>
          <cell r="E5870">
            <v>71.16</v>
          </cell>
          <cell r="F5870">
            <v>0</v>
          </cell>
        </row>
        <row r="5871">
          <cell r="B5871">
            <v>89632</v>
          </cell>
          <cell r="C5871" t="str">
            <v>TE DE REDUÇÃO, PVC, SOLDÁVEL, DN 85MM X 60MM, INSTALADO EM PRUMADA DE ÁGUA - FORNECIMENTO E INSTALAÇÃO. AF_06/2022</v>
          </cell>
          <cell r="D5871" t="str">
            <v>UN</v>
          </cell>
          <cell r="E5871">
            <v>140.72</v>
          </cell>
          <cell r="F5871">
            <v>0</v>
          </cell>
        </row>
        <row r="5872">
          <cell r="B5872">
            <v>89438</v>
          </cell>
          <cell r="C5872" t="str">
            <v>TE, PVC, SOLDÁVEL, DN 20MM, INSTALADO EM RAMAL DE DISTRIBUIÇÃO DE ÁGUA - FORNECIMENTO E INSTALAÇÃO. AF_06/2022</v>
          </cell>
          <cell r="D5872" t="str">
            <v>UN</v>
          </cell>
          <cell r="E5872">
            <v>13.88</v>
          </cell>
          <cell r="F5872">
            <v>0</v>
          </cell>
        </row>
        <row r="5873">
          <cell r="B5873">
            <v>89393</v>
          </cell>
          <cell r="C5873" t="str">
            <v>TE, PVC, SOLDÁVEL, DN 20MM, INSTALADO EM RAMAL OU SUB-RAMAL DE ÁGUA - FORNECIMENTO E INSTALAÇÃO. AF_06/2022</v>
          </cell>
          <cell r="D5873" t="str">
            <v>UN</v>
          </cell>
          <cell r="E5873">
            <v>15.25</v>
          </cell>
          <cell r="F5873">
            <v>0</v>
          </cell>
        </row>
        <row r="5874">
          <cell r="B5874">
            <v>89617</v>
          </cell>
          <cell r="C5874" t="str">
            <v>TE, PVC, SOLDÁVEL, DN 25MM, INSTALADO EM PRUMADA DE ÁGUA - FORNECIMENTO E INSTALAÇÃO. AF_06/2022</v>
          </cell>
          <cell r="D5874" t="str">
            <v>UN</v>
          </cell>
          <cell r="E5874">
            <v>9.83</v>
          </cell>
          <cell r="F5874">
            <v>0</v>
          </cell>
        </row>
        <row r="5875">
          <cell r="B5875">
            <v>89440</v>
          </cell>
          <cell r="C5875" t="str">
            <v>TE, PVC, SOLDÁVEL, DN 25MM, INSTALADO EM RAMAL DE DISTRIBUIÇÃO DE ÁGUA - FORNECIMENTO E INSTALAÇÃO. AF_06/2022</v>
          </cell>
          <cell r="D5875" t="str">
            <v>UN</v>
          </cell>
          <cell r="E5875">
            <v>16.309999999999999</v>
          </cell>
          <cell r="F5875">
            <v>0</v>
          </cell>
        </row>
        <row r="5876">
          <cell r="B5876">
            <v>89395</v>
          </cell>
          <cell r="C5876" t="str">
            <v>TE, PVC, SOLDÁVEL, DN 25MM, INSTALADO EM RAMAL OU SUB-RAMAL DE ÁGUA - FORNECIMENTO E INSTALAÇÃO. AF_06/2022</v>
          </cell>
          <cell r="D5876" t="str">
            <v>UN</v>
          </cell>
          <cell r="E5876">
            <v>17.91</v>
          </cell>
          <cell r="F5876">
            <v>0</v>
          </cell>
        </row>
        <row r="5877">
          <cell r="B5877">
            <v>89620</v>
          </cell>
          <cell r="C5877" t="str">
            <v>TE, PVC, SOLDÁVEL, DN 32MM, INSTALADO EM PRUMADA DE ÁGUA - FORNECIMENTO E INSTALAÇÃO. AF_06/2022</v>
          </cell>
          <cell r="D5877" t="str">
            <v>UN</v>
          </cell>
          <cell r="E5877">
            <v>14.94</v>
          </cell>
          <cell r="F5877">
            <v>0</v>
          </cell>
        </row>
        <row r="5878">
          <cell r="B5878">
            <v>89443</v>
          </cell>
          <cell r="C5878" t="str">
            <v>TE, PVC, SOLDÁVEL, DN 32MM, INSTALADO EM RAMAL DE DISTRIBUIÇÃO DE ÁGUA - FORNECIMENTO E INSTALAÇÃO. AF_06/2022</v>
          </cell>
          <cell r="D5878" t="str">
            <v>UN</v>
          </cell>
          <cell r="E5878">
            <v>22.45</v>
          </cell>
          <cell r="F5878">
            <v>0</v>
          </cell>
        </row>
        <row r="5879">
          <cell r="B5879">
            <v>89398</v>
          </cell>
          <cell r="C5879" t="str">
            <v>TE, PVC, SOLDÁVEL, DN 32MM, INSTALADO EM RAMAL OU SUB-RAMAL DE ÁGUA - FORNECIMENTO E INSTALAÇÃO. AF_06/2022</v>
          </cell>
          <cell r="D5879" t="str">
            <v>UN</v>
          </cell>
          <cell r="E5879">
            <v>24.34</v>
          </cell>
          <cell r="F5879">
            <v>0</v>
          </cell>
        </row>
        <row r="5880">
          <cell r="B5880">
            <v>89623</v>
          </cell>
          <cell r="C5880" t="str">
            <v>TE, PVC, SOLDÁVEL, DN 40MM, INSTALADO EM PRUMADA DE ÁGUA - FORNECIMENTO E INSTALAÇÃO. AF_06/2022</v>
          </cell>
          <cell r="D5880" t="str">
            <v>UN</v>
          </cell>
          <cell r="E5880">
            <v>23.71</v>
          </cell>
          <cell r="F5880">
            <v>0</v>
          </cell>
        </row>
        <row r="5881">
          <cell r="B5881">
            <v>104011</v>
          </cell>
          <cell r="C5881" t="str">
            <v>TE, PVC, SOLDÁVEL, DN 40MM, INSTALADO EM RAMAL DE DISTRIBUIÇÃO DE ÁGUA - FORNECIMENTO E INSTALAÇÃO. AF_06/2022</v>
          </cell>
          <cell r="D5881" t="str">
            <v>UN</v>
          </cell>
          <cell r="E5881">
            <v>32.35</v>
          </cell>
          <cell r="F5881">
            <v>0</v>
          </cell>
        </row>
        <row r="5882">
          <cell r="B5882">
            <v>89625</v>
          </cell>
          <cell r="C5882" t="str">
            <v>TE, PVC, SOLDÁVEL, DN 50MM, INSTALADO EM PRUMADA DE ÁGUA - FORNECIMENTO E INSTALAÇÃO. AF_06/2022</v>
          </cell>
          <cell r="D5882" t="str">
            <v>UN</v>
          </cell>
          <cell r="E5882">
            <v>27.64</v>
          </cell>
          <cell r="F5882">
            <v>0</v>
          </cell>
        </row>
        <row r="5883">
          <cell r="B5883">
            <v>104004</v>
          </cell>
          <cell r="C5883" t="str">
            <v>TE, PVC, SOLDÁVEL, DN 50MM, INSTALADO EM RAMAL DE DISTRIBUIÇÃO DE ÁGUA - FORNECIMENTO E INSTALAÇÃO. AF_06/2022</v>
          </cell>
          <cell r="D5883" t="str">
            <v>UN</v>
          </cell>
          <cell r="E5883">
            <v>37.82</v>
          </cell>
          <cell r="F5883">
            <v>0</v>
          </cell>
        </row>
        <row r="5884">
          <cell r="B5884">
            <v>89628</v>
          </cell>
          <cell r="C5884" t="str">
            <v>TE, PVC, SOLDÁVEL, DN 60MM, INSTALADO EM PRUMADA DE ÁGUA - FORNECIMENTO E INSTALAÇÃO. AF_06/2022</v>
          </cell>
          <cell r="D5884" t="str">
            <v>UN</v>
          </cell>
          <cell r="E5884">
            <v>56.26</v>
          </cell>
          <cell r="F5884">
            <v>0</v>
          </cell>
        </row>
        <row r="5885">
          <cell r="B5885">
            <v>89629</v>
          </cell>
          <cell r="C5885" t="str">
            <v>TE, PVC, SOLDÁVEL, DN 75MM, INSTALADO EM PRUMADA DE ÁGUA - FORNECIMENTO E INSTALAÇÃO. AF_06/2022</v>
          </cell>
          <cell r="D5885" t="str">
            <v>UN</v>
          </cell>
          <cell r="E5885">
            <v>93.31</v>
          </cell>
          <cell r="F5885">
            <v>0</v>
          </cell>
        </row>
        <row r="5886">
          <cell r="B5886">
            <v>89631</v>
          </cell>
          <cell r="C5886" t="str">
            <v>TE, PVC, SOLDÁVEL, DN 85MM, INSTALADO EM PRUMADA DE ÁGUA - FORNECIMENTO E INSTALAÇÃO. AF_06/2022</v>
          </cell>
          <cell r="D5886" t="str">
            <v>UN</v>
          </cell>
          <cell r="E5886">
            <v>121.79</v>
          </cell>
          <cell r="F5886">
            <v>0</v>
          </cell>
        </row>
        <row r="5887">
          <cell r="B5887">
            <v>89401</v>
          </cell>
          <cell r="C5887" t="str">
            <v>TUBO, PVC, SOLDÁVEL, DE 20MM, INSTALADO EM RAMAL DE DISTRIBUIÇÃO DE ÁGUA - FORNECIMENTO E INSTALAÇÃO. AF_06/2022</v>
          </cell>
          <cell r="D5887" t="str">
            <v>M</v>
          </cell>
          <cell r="E5887">
            <v>14.67</v>
          </cell>
          <cell r="F5887">
            <v>0</v>
          </cell>
        </row>
        <row r="5888">
          <cell r="B5888">
            <v>89355</v>
          </cell>
          <cell r="C5888" t="str">
            <v>TUBO, PVC, SOLDÁVEL, DE 20MM, INSTALADO EM RAMAL OU SUB-RAMAL DE ÁGUA - FORNECIMENTO E INSTALAÇÃO. AF_06/2022</v>
          </cell>
          <cell r="D5888" t="str">
            <v>M</v>
          </cell>
          <cell r="E5888">
            <v>28.86</v>
          </cell>
          <cell r="F5888">
            <v>0</v>
          </cell>
        </row>
        <row r="5889">
          <cell r="B5889">
            <v>89446</v>
          </cell>
          <cell r="C5889" t="str">
            <v>TUBO, PVC, SOLDÁVEL, DE 25MM, INSTALADO EM PRUMADA DE ÁGUA - FORNECIMENTO E INSTALAÇÃO. AF_06/2022</v>
          </cell>
          <cell r="D5889" t="str">
            <v>M</v>
          </cell>
          <cell r="E5889">
            <v>6.57</v>
          </cell>
          <cell r="F5889">
            <v>0</v>
          </cell>
        </row>
        <row r="5890">
          <cell r="B5890">
            <v>89402</v>
          </cell>
          <cell r="C5890" t="str">
            <v>TUBO, PVC, SOLDÁVEL, DE 25MM, INSTALADO EM RAMAL DE DISTRIBUIÇÃO DE ÁGUA - FORNECIMENTO E INSTALAÇÃO. AF_06/2022</v>
          </cell>
          <cell r="D5890" t="str">
            <v>M</v>
          </cell>
          <cell r="E5890">
            <v>16.87</v>
          </cell>
          <cell r="F5890">
            <v>0</v>
          </cell>
        </row>
        <row r="5891">
          <cell r="B5891">
            <v>89356</v>
          </cell>
          <cell r="C5891" t="str">
            <v>TUBO, PVC, SOLDÁVEL, DE 25MM, INSTALADO EM RAMAL OU SUB-RAMAL DE ÁGUA - FORNECIMENTO E INSTALAÇÃO. AF_06/2022</v>
          </cell>
          <cell r="D5891" t="str">
            <v>M</v>
          </cell>
          <cell r="E5891">
            <v>33.31</v>
          </cell>
          <cell r="F5891">
            <v>0</v>
          </cell>
        </row>
        <row r="5892">
          <cell r="B5892">
            <v>89447</v>
          </cell>
          <cell r="C5892" t="str">
            <v>TUBO, PVC, SOLDÁVEL, DE 32MM, INSTALADO EM PRUMADA DE ÁGUA - FORNECIMENTO E INSTALAÇÃO. AF_06/2022</v>
          </cell>
          <cell r="D5892" t="str">
            <v>M</v>
          </cell>
          <cell r="E5892">
            <v>12.8</v>
          </cell>
          <cell r="F5892">
            <v>0</v>
          </cell>
        </row>
        <row r="5893">
          <cell r="B5893">
            <v>89403</v>
          </cell>
          <cell r="C5893" t="str">
            <v>TUBO, PVC, SOLDÁVEL, DE 32MM, INSTALADO EM RAMAL DE DISTRIBUIÇÃO DE ÁGUA - FORNECIMENTO E INSTALAÇÃO. AF_06/2022</v>
          </cell>
          <cell r="D5893" t="str">
            <v>M</v>
          </cell>
          <cell r="E5893">
            <v>25.08</v>
          </cell>
          <cell r="F5893">
            <v>0</v>
          </cell>
        </row>
        <row r="5894">
          <cell r="B5894">
            <v>89357</v>
          </cell>
          <cell r="C5894" t="str">
            <v>TUBO, PVC, SOLDÁVEL, DE 32MM, INSTALADO EM RAMAL OU SUB-RAMAL DE ÁGUA - FORNECIMENTO E INSTALAÇÃO. AF_06/2022</v>
          </cell>
          <cell r="D5894" t="str">
            <v>M</v>
          </cell>
          <cell r="E5894">
            <v>44.67</v>
          </cell>
          <cell r="F5894">
            <v>0</v>
          </cell>
        </row>
        <row r="5895">
          <cell r="B5895">
            <v>89448</v>
          </cell>
          <cell r="C5895" t="str">
            <v>TUBO, PVC, SOLDÁVEL, DE 40MM, INSTALADO EM PRUMADA DE ÁGUA - FORNECIMENTO E INSTALAÇÃO. AF_06/2022</v>
          </cell>
          <cell r="D5895" t="str">
            <v>M</v>
          </cell>
          <cell r="E5895">
            <v>19.46</v>
          </cell>
          <cell r="F5895">
            <v>0</v>
          </cell>
        </row>
        <row r="5896">
          <cell r="B5896">
            <v>103978</v>
          </cell>
          <cell r="C5896" t="str">
            <v>TUBO, PVC, SOLDÁVEL, DE 40MM, INSTALADO EM RAMAL DE DISTRIBUIÇÃO DE ÁGUA - FORNECIMENTO E INSTALAÇÃO. AF_06/2022</v>
          </cell>
          <cell r="D5896" t="str">
            <v>M</v>
          </cell>
          <cell r="E5896">
            <v>33.93</v>
          </cell>
          <cell r="F5896">
            <v>0</v>
          </cell>
        </row>
        <row r="5897">
          <cell r="B5897">
            <v>89449</v>
          </cell>
          <cell r="C5897" t="str">
            <v>TUBO, PVC, SOLDÁVEL, DE 50MM, INSTALADO EM PRUMADA DE ÁGUA - FORNECIMENTO E INSTALAÇÃO. AF_06/2022</v>
          </cell>
          <cell r="D5897" t="str">
            <v>M</v>
          </cell>
          <cell r="E5897">
            <v>21.58</v>
          </cell>
          <cell r="F5897">
            <v>0</v>
          </cell>
        </row>
        <row r="5898">
          <cell r="B5898">
            <v>103979</v>
          </cell>
          <cell r="C5898" t="str">
            <v>TUBO, PVC, SOLDÁVEL, DE 50MM, INSTALADO EM RAMAL DE DISTRIBUIÇÃO DE ÁGUA - FORNECIMENTO E INSTALAÇÃO. AF_06/2022</v>
          </cell>
          <cell r="D5898" t="str">
            <v>M</v>
          </cell>
          <cell r="E5898">
            <v>38.85</v>
          </cell>
          <cell r="F5898">
            <v>0</v>
          </cell>
        </row>
        <row r="5899">
          <cell r="B5899">
            <v>89450</v>
          </cell>
          <cell r="C5899" t="str">
            <v>TUBO, PVC, SOLDÁVEL, DE 60MM, INSTALADO EM PRUMADA DE ÁGUA - FORNECIMENTO E INSTALAÇÃO. AF_06/2022</v>
          </cell>
          <cell r="D5899" t="str">
            <v>M</v>
          </cell>
          <cell r="E5899">
            <v>34.33</v>
          </cell>
          <cell r="F5899">
            <v>0</v>
          </cell>
        </row>
        <row r="5900">
          <cell r="B5900">
            <v>89451</v>
          </cell>
          <cell r="C5900" t="str">
            <v>TUBO, PVC, SOLDÁVEL, DE 75MM, INSTALADO EM PRUMADA DE ÁGUA - FORNECIMENTO E INSTALAÇÃO. AF_06/2022</v>
          </cell>
          <cell r="D5900" t="str">
            <v>M</v>
          </cell>
          <cell r="E5900">
            <v>55.64</v>
          </cell>
          <cell r="F5900">
            <v>0</v>
          </cell>
        </row>
        <row r="5901">
          <cell r="B5901">
            <v>89452</v>
          </cell>
          <cell r="C5901" t="str">
            <v>TUBO, PVC, SOLDÁVEL, DE 85MM, INSTALADO EM PRUMADA DE ÁGUA - FORNECIMENTO E INSTALAÇÃO. AF_06/2022</v>
          </cell>
          <cell r="D5901" t="str">
            <v>M</v>
          </cell>
          <cell r="E5901">
            <v>76.430000000000007</v>
          </cell>
          <cell r="F5901">
            <v>0</v>
          </cell>
        </row>
        <row r="5902">
          <cell r="B5902">
            <v>89394</v>
          </cell>
          <cell r="C5902" t="str">
            <v>TÊ COM BUCHA DE LATÃO NA BOLSA CENTRAL, PVC, SOLDÁVEL, DN 20MM X 1/2, INSTALADO EM RAMAL OU SUB-RAMAL DE ÁGUA - FORNECIMENTO E INSTALAÇÃO. AF_06/2022</v>
          </cell>
          <cell r="D5902" t="str">
            <v>UN</v>
          </cell>
          <cell r="E5902">
            <v>23.77</v>
          </cell>
          <cell r="F5902">
            <v>0</v>
          </cell>
        </row>
        <row r="5903">
          <cell r="B5903">
            <v>89396</v>
          </cell>
          <cell r="C5903" t="str">
            <v>TÊ COM BUCHA DE LATÃO NA BOLSA CENTRAL, PVC, SOLDÁVEL, DN 25MM X 1/2, INSTALADO EM RAMAL OU SUB-RAMAL DE ÁGUA - FORNECIMENTO E INSTALAÇÃO. AF_06/2022</v>
          </cell>
          <cell r="D5903" t="str">
            <v>UN</v>
          </cell>
          <cell r="E5903">
            <v>26</v>
          </cell>
          <cell r="F5903">
            <v>0</v>
          </cell>
        </row>
        <row r="5904">
          <cell r="B5904">
            <v>90374</v>
          </cell>
          <cell r="C5904" t="str">
            <v>TÊ COM BUCHA DE LATÃO NA BOLSA CENTRAL, PVC, SOLDÁVEL, DN 25MM X 3/4, INSTALADO EM RAMAL OU SUB-RAMAL DE ÁGUA - FORNECIMENTO E INSTALAÇÃO. AF_06/2022</v>
          </cell>
          <cell r="D5904" t="str">
            <v>UN</v>
          </cell>
          <cell r="E5904">
            <v>28.21</v>
          </cell>
          <cell r="F5904">
            <v>0</v>
          </cell>
        </row>
        <row r="5905">
          <cell r="B5905">
            <v>89444</v>
          </cell>
          <cell r="C5905" t="str">
            <v>TÊ COM BUCHA DE LATÃO NA BOLSA CENTRAL, PVC, SOLDÁVEL, DN 32MM X 3/4, INSTALADO EM RAMAL DE DISTRIBUIÇÃO DE ÁGUA - FORNECIMENTO E INSTALAÇÃO. AF_06/2022</v>
          </cell>
          <cell r="D5905" t="str">
            <v>UN</v>
          </cell>
          <cell r="E5905">
            <v>30.41</v>
          </cell>
          <cell r="F5905">
            <v>0</v>
          </cell>
        </row>
        <row r="5906">
          <cell r="B5906">
            <v>89399</v>
          </cell>
          <cell r="C5906" t="str">
            <v>TÊ COM BUCHA DE LATÃO NA BOLSA CENTRAL, PVC, SOLDÁVEL, DN 32MM X 3/4, INSTALADO EM RAMAL OU SUB-RAMAL DE ÁGUA - FORNECIMENTO E INSTALAÇÃO. AF_06/2022</v>
          </cell>
          <cell r="D5906" t="str">
            <v>UN</v>
          </cell>
          <cell r="E5906">
            <v>31.34</v>
          </cell>
          <cell r="F5906">
            <v>0</v>
          </cell>
        </row>
        <row r="5907">
          <cell r="B5907">
            <v>89442</v>
          </cell>
          <cell r="C5907" t="str">
            <v>TÊ DE REDUÇÃO, PVC, SOLDÁVEL, DN 25MM X 20MM, INSTALADO EM RAMAL DE DISTRIBUIÇÃO DE ÁGUA - FORNECIMENTO E INSTALAÇÃO. AF_06/2022</v>
          </cell>
          <cell r="D5907" t="str">
            <v>UN</v>
          </cell>
          <cell r="E5907">
            <v>18.29</v>
          </cell>
          <cell r="F5907">
            <v>0</v>
          </cell>
        </row>
        <row r="5908">
          <cell r="B5908">
            <v>89397</v>
          </cell>
          <cell r="C5908" t="str">
            <v>TÊ DE REDUÇÃO, PVC, SOLDÁVEL, DN 25MM X 20MM, INSTALADO EM RAMAL OU SUB-RAMAL DE ÁGUA - FORNECIMENTO E INSTALAÇÃO. AF_06/2022</v>
          </cell>
          <cell r="D5908" t="str">
            <v>UN</v>
          </cell>
          <cell r="E5908">
            <v>19.760000000000002</v>
          </cell>
          <cell r="F5908">
            <v>0</v>
          </cell>
        </row>
        <row r="5909">
          <cell r="B5909">
            <v>89622</v>
          </cell>
          <cell r="C5909" t="str">
            <v>TÊ DE REDUÇÃO, PVC, SOLDÁVEL, DN 32MM X 25MM, INSTALADO EM PRUMADA DE ÁGUA - FORNECIMENTO E INSTALAÇÃO. AF_06/2022</v>
          </cell>
          <cell r="D5909" t="str">
            <v>UN</v>
          </cell>
          <cell r="E5909">
            <v>17.34</v>
          </cell>
          <cell r="F5909">
            <v>0</v>
          </cell>
        </row>
        <row r="5910">
          <cell r="B5910">
            <v>89445</v>
          </cell>
          <cell r="C5910" t="str">
            <v>TÊ DE REDUÇÃO, PVC, SOLDÁVEL, DN 32MM X 25MM, INSTALADO EM RAMAL DE DISTRIBUIÇÃO DE ÁGUA - FORNECIMENTO E INSTALAÇÃO. AF_06/2022</v>
          </cell>
          <cell r="D5910" t="str">
            <v>UN</v>
          </cell>
          <cell r="E5910">
            <v>24.34</v>
          </cell>
          <cell r="F5910">
            <v>0</v>
          </cell>
        </row>
        <row r="5911">
          <cell r="B5911">
            <v>89400</v>
          </cell>
          <cell r="C5911" t="str">
            <v>TÊ DE REDUÇÃO, PVC, SOLDÁVEL, DN 32MM X 25MM, INSTALADO EM RAMAL OU SUB-RAMAL DE ÁGUA - FORNECIMENTO E INSTALAÇÃO. AF_06/2022</v>
          </cell>
          <cell r="D5911" t="str">
            <v>UN</v>
          </cell>
          <cell r="E5911">
            <v>26.08</v>
          </cell>
          <cell r="F5911">
            <v>0</v>
          </cell>
        </row>
        <row r="5912">
          <cell r="B5912">
            <v>89624</v>
          </cell>
          <cell r="C5912" t="str">
            <v>TÊ DE REDUÇÃO, PVC, SOLDÁVEL, DN 40MM X 32MM, INSTALADO EM PRUMADA DE ÁGUA - FORNECIMENTO E INSTALAÇÃO. AF_06/2022</v>
          </cell>
          <cell r="D5912" t="str">
            <v>UN</v>
          </cell>
          <cell r="E5912">
            <v>21.9</v>
          </cell>
          <cell r="F5912">
            <v>0</v>
          </cell>
        </row>
        <row r="5913">
          <cell r="B5913">
            <v>104012</v>
          </cell>
          <cell r="C5913" t="str">
            <v>TÊ DE REDUÇÃO, PVC, SOLDÁVEL, DN 40MM X 32MM, INSTALADO EM RAMAL DE DISTRIBUIÇÃO DE ÁGUA - FORNECIMENTO E INSTALAÇÃO. AF_06/2022</v>
          </cell>
          <cell r="D5913" t="str">
            <v>UN</v>
          </cell>
          <cell r="E5913">
            <v>29.98</v>
          </cell>
          <cell r="F5913">
            <v>0</v>
          </cell>
        </row>
        <row r="5914">
          <cell r="B5914">
            <v>89627</v>
          </cell>
          <cell r="C5914" t="str">
            <v>TÊ DE REDUÇÃO, PVC, SOLDÁVEL, DN 50MM X 25MM, INSTALADO EM PRUMADA DE ÁGUA - FORNECIMENTO E INSTALAÇÃO. AF_06/2022</v>
          </cell>
          <cell r="D5914" t="str">
            <v>UN</v>
          </cell>
          <cell r="E5914">
            <v>24.34</v>
          </cell>
          <cell r="F5914">
            <v>0</v>
          </cell>
        </row>
        <row r="5915">
          <cell r="B5915">
            <v>104006</v>
          </cell>
          <cell r="C5915" t="str">
            <v>TÊ DE REDUÇÃO, PVC, SOLDÁVEL, DN 50MM X 25MM, INSTALADO EM RAMAL DE DISTRIBUIÇÃO DE ÁGUA - FORNECIMENTO E INSTALAÇÃO. AF_06/2022</v>
          </cell>
          <cell r="D5915" t="str">
            <v>UN</v>
          </cell>
          <cell r="E5915">
            <v>31.74</v>
          </cell>
          <cell r="F5915">
            <v>0</v>
          </cell>
        </row>
        <row r="5916">
          <cell r="B5916">
            <v>89626</v>
          </cell>
          <cell r="C5916" t="str">
            <v>TÊ DE REDUÇÃO, PVC, SOLDÁVEL, DN 50MM X 40MM, INSTALADO EM PRUMADA DE ÁGUA - FORNECIMENTO E INSTALAÇÃO. AF_06/2022</v>
          </cell>
          <cell r="D5916" t="str">
            <v>UN</v>
          </cell>
          <cell r="E5916">
            <v>35.880000000000003</v>
          </cell>
          <cell r="F5916">
            <v>0</v>
          </cell>
        </row>
        <row r="5917">
          <cell r="B5917">
            <v>104005</v>
          </cell>
          <cell r="C5917" t="str">
            <v>TÊ DE REDUÇÃO, PVC, SOLDÁVEL, DN 50MM X 40MM, INSTALADO EM RAMAL DE DISTRIBUIÇÃO DE ÁGUA - FORNECIMENTO E INSTALAÇÃO. AF_06/2022</v>
          </cell>
          <cell r="D5917" t="str">
            <v>UN</v>
          </cell>
          <cell r="E5917">
            <v>45.29</v>
          </cell>
          <cell r="F5917">
            <v>0</v>
          </cell>
        </row>
        <row r="5918">
          <cell r="B5918">
            <v>89439</v>
          </cell>
          <cell r="C5918" t="str">
            <v>TÊ SOLDÁVEL E COM ROSCA NA BOLSA CENTRAL, PVC, SOLDÁVEL, DN 20MM X 1/2, INSTALADO EM RAMAL DE DISTRIBUIÇÃO DE ÁGUA - FORNECIMENTO E INSTALAÇÃO. AF_06/2022</v>
          </cell>
          <cell r="D5918" t="str">
            <v>UN</v>
          </cell>
          <cell r="E5918">
            <v>15.62</v>
          </cell>
          <cell r="F5918">
            <v>0</v>
          </cell>
        </row>
        <row r="5919">
          <cell r="B5919">
            <v>89421</v>
          </cell>
          <cell r="C5919" t="str">
            <v>UNIÃO, PVC, SOLDÁVEL, DN 20MM, INSTALADO EM RAMAL DE DISTRIBUIÇÃO DE ÁGUA - FORNECIMENTO E INSTALAÇÃO. AF_06/2022</v>
          </cell>
          <cell r="D5919" t="str">
            <v>UN</v>
          </cell>
          <cell r="E5919">
            <v>14.29</v>
          </cell>
          <cell r="F5919">
            <v>0</v>
          </cell>
        </row>
        <row r="5920">
          <cell r="B5920">
            <v>89375</v>
          </cell>
          <cell r="C5920" t="str">
            <v>UNIÃO, PVC, SOLDÁVEL, DN 20MM, INSTALADO EM RAMAL OU SUB-RAMAL DE ÁGUA - FORNECIMENTO E INSTALAÇÃO. AF_06/2022</v>
          </cell>
          <cell r="D5920" t="str">
            <v>UN</v>
          </cell>
          <cell r="E5920">
            <v>14.98</v>
          </cell>
          <cell r="F5920">
            <v>0</v>
          </cell>
        </row>
        <row r="5921">
          <cell r="B5921">
            <v>89536</v>
          </cell>
          <cell r="C5921" t="str">
            <v>UNIÃO, PVC, SOLDÁVEL, DN 25MM, INSTALADO EM PRUMADA DE ÁGUA - FORNECIMENTO E INSTALAÇÃO. AF_06/2022</v>
          </cell>
          <cell r="D5921" t="str">
            <v>UN</v>
          </cell>
          <cell r="E5921">
            <v>13.86</v>
          </cell>
          <cell r="F5921">
            <v>0</v>
          </cell>
        </row>
        <row r="5922">
          <cell r="B5922">
            <v>89428</v>
          </cell>
          <cell r="C5922" t="str">
            <v>UNIÃO, PVC, SOLDÁVEL, DN 25MM, INSTALADO EM RAMAL DE DISTRIBUIÇÃO DE ÁGUA - FORNECIMENTO E INSTALAÇÃO. AF_06/2022</v>
          </cell>
          <cell r="D5922" t="str">
            <v>UN</v>
          </cell>
          <cell r="E5922">
            <v>17.12</v>
          </cell>
          <cell r="F5922">
            <v>0</v>
          </cell>
        </row>
        <row r="5923">
          <cell r="B5923">
            <v>89382</v>
          </cell>
          <cell r="C5923" t="str">
            <v>UNIÃO, PVC, SOLDÁVEL, DN 25MM, INSTALADO EM RAMAL OU SUB-RAMAL DE ÁGUA - FORNECIMENTO E INSTALAÇÃO. AF_06/2022</v>
          </cell>
          <cell r="D5923" t="str">
            <v>UN</v>
          </cell>
          <cell r="E5923">
            <v>17.920000000000002</v>
          </cell>
          <cell r="F5923">
            <v>0</v>
          </cell>
        </row>
        <row r="5924">
          <cell r="B5924">
            <v>89552</v>
          </cell>
          <cell r="C5924" t="str">
            <v>UNIÃO, PVC, SOLDÁVEL, DN 32MM, INSTALADO EM PRUMADA DE ÁGUA - FORNECIMENTO E INSTALAÇÃO. AF_06/2022</v>
          </cell>
          <cell r="D5924" t="str">
            <v>UN</v>
          </cell>
          <cell r="E5924">
            <v>21.42</v>
          </cell>
          <cell r="F5924">
            <v>0</v>
          </cell>
        </row>
        <row r="5925">
          <cell r="B5925">
            <v>89435</v>
          </cell>
          <cell r="C5925" t="str">
            <v>UNIÃO, PVC, SOLDÁVEL, DN 32MM, INSTALADO EM RAMAL DE DISTRIBUIÇÃO DE ÁGUA - FORNECIMENTO E INSTALAÇÃO. AF_06/2022</v>
          </cell>
          <cell r="D5925" t="str">
            <v>UN</v>
          </cell>
          <cell r="E5925">
            <v>25.19</v>
          </cell>
          <cell r="F5925">
            <v>0</v>
          </cell>
        </row>
        <row r="5926">
          <cell r="B5926">
            <v>89390</v>
          </cell>
          <cell r="C5926" t="str">
            <v>UNIÃO, PVC, SOLDÁVEL, DN 32MM, INSTALADO EM RAMAL OU SUB-RAMAL DE ÁGUA - FORNECIMENTO E INSTALAÇÃO. AF_06/2022</v>
          </cell>
          <cell r="D5926" t="str">
            <v>UN</v>
          </cell>
          <cell r="E5926">
            <v>26.13</v>
          </cell>
          <cell r="F5926">
            <v>0</v>
          </cell>
        </row>
        <row r="5927">
          <cell r="B5927">
            <v>89568</v>
          </cell>
          <cell r="C5927" t="str">
            <v>UNIÃO, PVC, SOLDÁVEL, DN 40MM, INSTALADO EM PRUMADA DE ÁGUA - FORNECIMENTO E INSTALAÇÃO. AF_06/2022</v>
          </cell>
          <cell r="D5927" t="str">
            <v>UN</v>
          </cell>
          <cell r="E5927">
            <v>37.270000000000003</v>
          </cell>
          <cell r="F5927">
            <v>0</v>
          </cell>
        </row>
        <row r="5928">
          <cell r="B5928">
            <v>103990</v>
          </cell>
          <cell r="C5928" t="str">
            <v>UNIÃO, PVC, SOLDÁVEL, DN 40MM, INSTALADO EM RAMAL DE DISTRIBUIÇÃO DE ÁGUA - FORNECIMENTO E INSTALAÇÃO. AF_06/2022</v>
          </cell>
          <cell r="D5928" t="str">
            <v>UN</v>
          </cell>
          <cell r="E5928">
            <v>41.65</v>
          </cell>
          <cell r="F5928">
            <v>0</v>
          </cell>
        </row>
        <row r="5929">
          <cell r="B5929">
            <v>89594</v>
          </cell>
          <cell r="C5929" t="str">
            <v>UNIÃO, PVC, SOLDÁVEL, DN 50MM, INSTALADO EM PRUMADA DE ÁGUA - FORNECIMENTO E INSTALAÇÃO. AF_06/2022</v>
          </cell>
          <cell r="D5929" t="str">
            <v>UN</v>
          </cell>
          <cell r="E5929">
            <v>41.32</v>
          </cell>
          <cell r="F5929">
            <v>0</v>
          </cell>
        </row>
        <row r="5930">
          <cell r="B5930">
            <v>103997</v>
          </cell>
          <cell r="C5930" t="str">
            <v>UNIÃO, PVC, SOLDÁVEL, DN 50MM, INSTALADO EM RAMAL DE DISTRIBUIÇÃO DE ÁGUA - FORNECIMENTO E INSTALAÇÃO. AF_06/2022</v>
          </cell>
          <cell r="D5930" t="str">
            <v>UN</v>
          </cell>
          <cell r="E5930">
            <v>46.43</v>
          </cell>
          <cell r="F5930">
            <v>0</v>
          </cell>
        </row>
        <row r="5931">
          <cell r="B5931">
            <v>89609</v>
          </cell>
          <cell r="C5931" t="str">
            <v>UNIÃO, PVC, SOLDÁVEL, DN 60MM, INSTALADO EM PRUMADA DE ÁGUA - FORNECIMENTO E INSTALAÇÃO. AF_06/2022</v>
          </cell>
          <cell r="D5931" t="str">
            <v>UN</v>
          </cell>
          <cell r="E5931">
            <v>95.4</v>
          </cell>
          <cell r="F5931">
            <v>0</v>
          </cell>
        </row>
        <row r="5932">
          <cell r="B5932">
            <v>89612</v>
          </cell>
          <cell r="C5932" t="str">
            <v>UNIÃO, PVC, SOLDÁVEL, DN 75MM, INSTALADO EM PRUMADA DE ÁGUA - FORNECIMENTO E INSTALAÇÃO. AF_06/2022</v>
          </cell>
          <cell r="D5932" t="str">
            <v>UN</v>
          </cell>
          <cell r="E5932">
            <v>186.49</v>
          </cell>
          <cell r="F5932">
            <v>0</v>
          </cell>
        </row>
        <row r="5933">
          <cell r="B5933">
            <v>89615</v>
          </cell>
          <cell r="C5933" t="str">
            <v>UNIÃO, PVC, SOLDÁVEL, DN 85MM, INSTALADO EM PRUMADA DE ÁGUA - FORNECIMENTO E INSTALAÇÃO. AF_06/2022</v>
          </cell>
          <cell r="D5933" t="str">
            <v>UN</v>
          </cell>
          <cell r="E5933">
            <v>220.03</v>
          </cell>
          <cell r="F5933">
            <v>0</v>
          </cell>
        </row>
        <row r="5934">
          <cell r="B5934">
            <v>89747</v>
          </cell>
          <cell r="C5934" t="str">
            <v>ADAPTADOR, CPVC, SOLDÁVEL, DN 22MM, INSTALADO EM RAMAL DE DISTRIBUIÇÃO DE ÁGUA FORNECIMENTO E INSTALAÇÃO. AF_06/2022</v>
          </cell>
          <cell r="D5934" t="str">
            <v>UN</v>
          </cell>
          <cell r="E5934">
            <v>31.4</v>
          </cell>
          <cell r="F5934">
            <v>0</v>
          </cell>
        </row>
        <row r="5935">
          <cell r="B5935">
            <v>89656</v>
          </cell>
          <cell r="C5935" t="str">
            <v>ADAPTADOR, CPVC, SOLDÁVEL, DN15MM, INSTALADO EM RAMAL OU SUB-RAMAL DE ÁGUA FORNECIMENTO E INSTALAÇÃO. AF_06/2022</v>
          </cell>
          <cell r="D5935" t="str">
            <v>UN</v>
          </cell>
          <cell r="E5935">
            <v>24.09</v>
          </cell>
          <cell r="F5935">
            <v>0</v>
          </cell>
        </row>
        <row r="5936">
          <cell r="B5936">
            <v>89663</v>
          </cell>
          <cell r="C5936" t="str">
            <v>ADAPTADOR, CPVC, SOLDÁVEL, DN22MM, INSTALADO EM RAMAL OU SUB-RAMAL DE ÁGUA FORNECIMENTO E INSTALAÇÃO. AF_06/2022</v>
          </cell>
          <cell r="D5936" t="str">
            <v>UN</v>
          </cell>
          <cell r="E5936">
            <v>32.130000000000003</v>
          </cell>
          <cell r="F5936">
            <v>0</v>
          </cell>
        </row>
        <row r="5937">
          <cell r="B5937">
            <v>89759</v>
          </cell>
          <cell r="C5937" t="str">
            <v>BUCHA DE REDUÇÃO, CPVC, SOLDÁVEL, DN 28MM X 22MM, INSTALADO EM RAMAL DE DISTRIBUIÇÃO DE ÁGUA - FORNECIMENTO E INSTALAÇÃO. AF_06/2022</v>
          </cell>
          <cell r="D5937" t="str">
            <v>UN</v>
          </cell>
          <cell r="E5937">
            <v>13.63</v>
          </cell>
          <cell r="F5937">
            <v>0</v>
          </cell>
        </row>
        <row r="5938">
          <cell r="B5938">
            <v>89832</v>
          </cell>
          <cell r="C5938" t="str">
            <v>BUCHA DE REDUÇÃO, CPVC, SOLDÁVEL, DN 42MM X 22MM, INSTALADO EM RAMAL DE DISTRIBUIÇÃO DE ÁGUA - FORNECIMENTO E INSTALAÇÃO. AF_06/2022</v>
          </cell>
          <cell r="D5938" t="str">
            <v>UN</v>
          </cell>
          <cell r="E5938">
            <v>43.7</v>
          </cell>
          <cell r="F5938">
            <v>0</v>
          </cell>
        </row>
        <row r="5939">
          <cell r="B5939">
            <v>89666</v>
          </cell>
          <cell r="C5939" t="str">
            <v>BUCHA DE REDUÇÃO, CPVC, SOLDÁVEL, DN22MM X 15MM, INSTALADO EM RAMAL OU SUB-RAMAL DE ÁGUA FORNECIMENTO E INSTALAÇÃO. AF_06/2022</v>
          </cell>
          <cell r="D5939" t="str">
            <v>UN</v>
          </cell>
          <cell r="E5939">
            <v>9.36</v>
          </cell>
          <cell r="F5939">
            <v>0</v>
          </cell>
        </row>
        <row r="5940">
          <cell r="B5940">
            <v>89678</v>
          </cell>
          <cell r="C5940" t="str">
            <v>BUCHA DE REDUÇÃO, CPVC, SOLDÁVEL, DN28MM X 22MM, INSTALADO EM RAMAL OU SUB-RAMAL DE ÁGUA FORNECIMENTO E INSTALAÇÃO. AF_06/2022</v>
          </cell>
          <cell r="D5940" t="str">
            <v>UN</v>
          </cell>
          <cell r="E5940">
            <v>14.43</v>
          </cell>
          <cell r="F5940">
            <v>0</v>
          </cell>
        </row>
        <row r="5941">
          <cell r="B5941">
            <v>89764</v>
          </cell>
          <cell r="C5941" t="str">
            <v>BUCHA DE REDUÇÃO, CPVC, SOLDÁVEL, DN35MM X 28MM, INSTALADO EM RAMAL DE DISTRIBUIÇÃO DE ÁGUA - FORNECIMENTO E INSTALAÇÃO. AF_06/2022</v>
          </cell>
          <cell r="D5941" t="str">
            <v>UN</v>
          </cell>
          <cell r="E5941">
            <v>39.43</v>
          </cell>
          <cell r="F5941">
            <v>0</v>
          </cell>
        </row>
        <row r="5942">
          <cell r="B5942">
            <v>89689</v>
          </cell>
          <cell r="C5942" t="str">
            <v>BUCHA DE REDUÇÃO, CPVC, SOLDÁVEL, DN35MM X 28MM, INSTALADO EM RAMAL OU SUB-RAMAL DE ÁGUA FORNECIMENTO E INSTALAÇÃO. AF_06/2022</v>
          </cell>
          <cell r="D5942" t="str">
            <v>UN</v>
          </cell>
          <cell r="E5942">
            <v>40.369999999999997</v>
          </cell>
          <cell r="F5942">
            <v>0</v>
          </cell>
        </row>
        <row r="5943">
          <cell r="B5943">
            <v>89655</v>
          </cell>
          <cell r="C5943" t="str">
            <v>CONECTOR, CPVC, SOLDÁVEL, DN 15MM X 1/2, INSTALADO EM RAMAL OU SUB-RAMAL DE ÁGUA FORNECIMENTO E INSTALAÇÃO. AF_06/2022</v>
          </cell>
          <cell r="D5943" t="str">
            <v>UN</v>
          </cell>
          <cell r="E5943">
            <v>25.73</v>
          </cell>
          <cell r="F5943">
            <v>0</v>
          </cell>
        </row>
        <row r="5944">
          <cell r="B5944">
            <v>89662</v>
          </cell>
          <cell r="C5944" t="str">
            <v>CONECTOR, CPVC, SOLDÁVEL, DN 22MM X 1/2, INSTALADO EM RAMAL OU SUB-RAMAL DE ÁGUA FORNECIMENTO E INSTALAÇÃO. AF_06/2022</v>
          </cell>
          <cell r="D5944" t="str">
            <v>UN</v>
          </cell>
          <cell r="E5944">
            <v>33</v>
          </cell>
          <cell r="F5944">
            <v>0</v>
          </cell>
        </row>
        <row r="5945">
          <cell r="B5945">
            <v>89758</v>
          </cell>
          <cell r="C5945" t="str">
            <v>CONECTOR, CPVC, SOLDÁVEL, DN 28MM X 1, INSTALADO EM RAMAL DE DISTRIBUIÇÃO DE ÁGUA FORNECIMENTO E INSTALAÇÃO. AF_06/2022</v>
          </cell>
          <cell r="D5945" t="str">
            <v>UN</v>
          </cell>
          <cell r="E5945">
            <v>38.880000000000003</v>
          </cell>
          <cell r="F5945">
            <v>0</v>
          </cell>
        </row>
        <row r="5946">
          <cell r="B5946">
            <v>89676</v>
          </cell>
          <cell r="C5946" t="str">
            <v>CONECTOR, CPVC, SOLDÁVEL, DN 28MM X 1, INSTALADO EM RAMAL OU SUB-RAMAL DE ÁGUA FORNECIMENTO E INSTALAÇÃO. AF_06/2022</v>
          </cell>
          <cell r="D5946" t="str">
            <v>UN</v>
          </cell>
          <cell r="E5946">
            <v>39.28</v>
          </cell>
          <cell r="F5946">
            <v>0</v>
          </cell>
        </row>
        <row r="5947">
          <cell r="B5947">
            <v>89818</v>
          </cell>
          <cell r="C5947" t="str">
            <v>CONECTOR, CPVC, SOLDÁVEL, DN 35MM X 1 1/4, INSTALADO EM PRUMADA DE ÁGUA FORNECIMENTO E INSTALAÇÃO. AF_06/2022</v>
          </cell>
          <cell r="D5947" t="str">
            <v>UN</v>
          </cell>
          <cell r="E5947">
            <v>54.36</v>
          </cell>
          <cell r="F5947">
            <v>0</v>
          </cell>
        </row>
        <row r="5948">
          <cell r="B5948">
            <v>89763</v>
          </cell>
          <cell r="C5948" t="str">
            <v>CONECTOR, CPVC, SOLDÁVEL, DN 35MM X 1 1/4, INSTALADO EM RAMAL DE DISTRIBUIÇÃO DE ÁGUA - FORNECIMENTO E INSTALAÇÃO. AF_06/2022</v>
          </cell>
          <cell r="D5948" t="str">
            <v>UN</v>
          </cell>
          <cell r="E5948">
            <v>58.18</v>
          </cell>
          <cell r="F5948">
            <v>0</v>
          </cell>
        </row>
        <row r="5949">
          <cell r="B5949">
            <v>89686</v>
          </cell>
          <cell r="C5949" t="str">
            <v>CONECTOR, CPVC, SOLDÁVEL, DN 35MM X 1 1/4, INSTALADO EM RAMAL OU SUB-RAMAL DE ÁGUA FORNECIMENTO E INSTALAÇÃO. AF_06/2022</v>
          </cell>
          <cell r="D5949" t="str">
            <v>UN</v>
          </cell>
          <cell r="E5949">
            <v>59.14</v>
          </cell>
          <cell r="F5949">
            <v>0</v>
          </cell>
        </row>
        <row r="5950">
          <cell r="B5950">
            <v>104029</v>
          </cell>
          <cell r="C5950" t="str">
            <v>CONECTOR, CPVC, SOLDÁVEL, DN 42MM X 1.1/2", INSTALADO EM RAMAL DE DISTRIBUIÇÃO DE ÁGUA - FORNECIMENTO E INSTALAÇÃO. AF_06/2022</v>
          </cell>
          <cell r="D5950" t="str">
            <v>UN</v>
          </cell>
          <cell r="E5950">
            <v>69.78</v>
          </cell>
          <cell r="F5950">
            <v>0</v>
          </cell>
        </row>
        <row r="5951">
          <cell r="B5951">
            <v>89831</v>
          </cell>
          <cell r="C5951" t="str">
            <v>CONECTOR, CPVC, SOLDÁVEL, DN 42MM X 1.1/2, INSTALADO EM PRUMADA DE ÁGUA FORNECIMENTO E INSTALAÇÃO. AF_06/2022</v>
          </cell>
          <cell r="D5951" t="str">
            <v>UN</v>
          </cell>
          <cell r="E5951">
            <v>65.62</v>
          </cell>
          <cell r="F5951">
            <v>0</v>
          </cell>
        </row>
        <row r="5952">
          <cell r="B5952">
            <v>89668</v>
          </cell>
          <cell r="C5952" t="str">
            <v>CONECTOR, CPVC, SOLDÁVEL, DN22MM X 3/4", INSTALADO EM RAMAL OU SUB-RAMAL DE ÁGUA - FORNECIMENTO E INSTALAÇÃO. AF_06/2022</v>
          </cell>
          <cell r="D5952" t="str">
            <v>UN</v>
          </cell>
          <cell r="E5952">
            <v>31.34</v>
          </cell>
          <cell r="F5952">
            <v>0</v>
          </cell>
        </row>
        <row r="5953">
          <cell r="B5953">
            <v>89639</v>
          </cell>
          <cell r="C5953" t="str">
            <v>CURVA 90 GRAUS, CPVC, SOLDÁVEL, DN 15MM, INSTALADO EM RAMAL OU SUB-RAMAL DE ÁGUA - FORNECIMENTO E INSTALAÇÃO. AF_06/2022</v>
          </cell>
          <cell r="D5953" t="str">
            <v>UN</v>
          </cell>
          <cell r="E5953">
            <v>14.85</v>
          </cell>
          <cell r="F5953">
            <v>0</v>
          </cell>
        </row>
        <row r="5954">
          <cell r="B5954">
            <v>89721</v>
          </cell>
          <cell r="C5954" t="str">
            <v>CURVA 90 GRAUS, CPVC, SOLDÁVEL, DN 22MM, INSTALADO EM RAMAL DE DISTRIBUIÇÃO DE ÁGUA - FORNECIMENTO E INSTALAÇÃO. AF_06/2022</v>
          </cell>
          <cell r="D5954" t="str">
            <v>UN</v>
          </cell>
          <cell r="E5954">
            <v>18.86</v>
          </cell>
          <cell r="F5954">
            <v>0</v>
          </cell>
        </row>
        <row r="5955">
          <cell r="B5955">
            <v>89643</v>
          </cell>
          <cell r="C5955" t="str">
            <v>CURVA 90 GRAUS, CPVC, SOLDÁVEL, DN 22MM, INSTALADO EM RAMAL OU SUB-RAMAL DE ÁGUA - FORNECIMENTO E INSTALAÇÃO. AF_06/2022</v>
          </cell>
          <cell r="D5955" t="str">
            <v>UN</v>
          </cell>
          <cell r="E5955">
            <v>19.95</v>
          </cell>
          <cell r="F5955">
            <v>0</v>
          </cell>
        </row>
        <row r="5956">
          <cell r="B5956">
            <v>89727</v>
          </cell>
          <cell r="C5956" t="str">
            <v>CURVA 90 GRAUS, CPVC, SOLDÁVEL, DN 28MM, INSTALADO EM RAMAL DE DISTRIBUIÇÃO DE ÁGUA FORNECIMENTO E INSTALAÇÃO. AF_06/2022</v>
          </cell>
          <cell r="D5956" t="str">
            <v>UN</v>
          </cell>
          <cell r="E5956">
            <v>27.66</v>
          </cell>
          <cell r="F5956">
            <v>0</v>
          </cell>
        </row>
        <row r="5957">
          <cell r="B5957">
            <v>89648</v>
          </cell>
          <cell r="C5957" t="str">
            <v>CURVA 90 GRAUS, CPVC, SOLDÁVEL, DN 28MM, INSTALADO EM RAMAL OU SUB-RAMAL DE ÁGUA FORNECIMENTO E INSTALAÇÃO. AF_06/2022</v>
          </cell>
          <cell r="D5957" t="str">
            <v>UN</v>
          </cell>
          <cell r="E5957">
            <v>28.94</v>
          </cell>
          <cell r="F5957">
            <v>0</v>
          </cell>
        </row>
        <row r="5958">
          <cell r="B5958">
            <v>89749</v>
          </cell>
          <cell r="C5958" t="str">
            <v>CURVA DE TRANSPOSIÇÃO, CPVC, SOLDÁVEL, DN 22MM, INSTALADO EM RAMAL DE DISTRIBUIÇÃO DE ÁGUA FORNECIMENTO E INSTALAÇÃO. AF_06/2022</v>
          </cell>
          <cell r="D5958" t="str">
            <v>UN</v>
          </cell>
          <cell r="E5958">
            <v>18.59</v>
          </cell>
          <cell r="F5958">
            <v>0</v>
          </cell>
        </row>
        <row r="5959">
          <cell r="B5959">
            <v>89657</v>
          </cell>
          <cell r="C5959" t="str">
            <v>CURVA DE TRANSPOSIÇÃO, CPVC, SOLDÁVEL, DN15MM, INSTALADO EM RAMAL OU SUB-RAMAL DE ÁGUA FORNECIMENTO E INSTALAÇÃO. AF_06/2022</v>
          </cell>
          <cell r="D5959" t="str">
            <v>UN</v>
          </cell>
          <cell r="E5959">
            <v>15.61</v>
          </cell>
          <cell r="F5959">
            <v>0</v>
          </cell>
        </row>
        <row r="5960">
          <cell r="B5960">
            <v>89664</v>
          </cell>
          <cell r="C5960" t="str">
            <v>CURVA DE TRANSPOSIÇÃO, CPVC, SOLDÁVEL, DN22MM, INSTALADO EM RAMAL OU SUB-RAMAL DE ÁGUA FORNECIMENTO E INSTALAÇÃO. AF_06/2022</v>
          </cell>
          <cell r="D5960" t="str">
            <v>UN</v>
          </cell>
          <cell r="E5960">
            <v>19.32</v>
          </cell>
          <cell r="F5960">
            <v>0</v>
          </cell>
        </row>
        <row r="5961">
          <cell r="B5961">
            <v>89638</v>
          </cell>
          <cell r="C5961" t="str">
            <v>JOELHO 45 GRAUS, CPVC, SOLDÁVEL, DN 15MM, INSTALADO EM RAMAL OU SUB-RAMAL DE ÁGUA - FORNECIMENTO E INSTALAÇÃO. AF_06/2022</v>
          </cell>
          <cell r="D5961" t="str">
            <v>UN</v>
          </cell>
          <cell r="E5961">
            <v>14.21</v>
          </cell>
          <cell r="F5961">
            <v>0</v>
          </cell>
        </row>
        <row r="5962">
          <cell r="B5962">
            <v>89720</v>
          </cell>
          <cell r="C5962" t="str">
            <v>JOELHO 45 GRAUS, CPVC, SOLDÁVEL, DN 22MM, INSTALADO EM RAMAL DE DISTRIBUIÇÃO DE ÁGUA FORNECIMENTO E INSTALAÇÃO. AF_06/2022</v>
          </cell>
          <cell r="D5962" t="str">
            <v>UN</v>
          </cell>
          <cell r="E5962">
            <v>17.579999999999998</v>
          </cell>
          <cell r="F5962">
            <v>0</v>
          </cell>
        </row>
        <row r="5963">
          <cell r="B5963">
            <v>89642</v>
          </cell>
          <cell r="C5963" t="str">
            <v>JOELHO 45 GRAUS, CPVC, SOLDÁVEL, DN 22MM, INSTALADO EM RAMAL OU SUB-RAMAL DE ÁGUA - FORNECIMENTO E INSTALAÇÃO. AF_06/2022</v>
          </cell>
          <cell r="D5963" t="str">
            <v>UN</v>
          </cell>
          <cell r="E5963">
            <v>18.670000000000002</v>
          </cell>
          <cell r="F5963">
            <v>0</v>
          </cell>
        </row>
        <row r="5964">
          <cell r="B5964">
            <v>89725</v>
          </cell>
          <cell r="C5964" t="str">
            <v>JOELHO 45 GRAUS, CPVC, SOLDÁVEL, DN 28MM, INSTALADO EM RAMAL DE DISTRIBUIÇÃO DE ÁGUA FORNECIMENTO E INSTALAÇÃO. AF_06/2022</v>
          </cell>
          <cell r="D5964" t="str">
            <v>UN</v>
          </cell>
          <cell r="E5964">
            <v>22.68</v>
          </cell>
          <cell r="F5964">
            <v>0</v>
          </cell>
        </row>
        <row r="5965">
          <cell r="B5965">
            <v>89647</v>
          </cell>
          <cell r="C5965" t="str">
            <v>JOELHO 45 GRAUS, CPVC, SOLDÁVEL, DN 28MM, INSTALADO EM RAMAL OU SUB-RAMAL DE ÁGUA FORNECIMENTO E INSTALAÇÃO. AF_06/2022</v>
          </cell>
          <cell r="D5965" t="str">
            <v>UN</v>
          </cell>
          <cell r="E5965">
            <v>23.96</v>
          </cell>
          <cell r="F5965">
            <v>0</v>
          </cell>
        </row>
        <row r="5966">
          <cell r="B5966">
            <v>89780</v>
          </cell>
          <cell r="C5966" t="str">
            <v>JOELHO 45 GRAUS, CPVC, SOLDÁVEL, DN 35MM, INSTALADO EM PRUMADA DE ÁGUA - FORNECIMENTO E INSTALAÇÃO. AF_06/2022</v>
          </cell>
          <cell r="D5966" t="str">
            <v>UN</v>
          </cell>
          <cell r="E5966">
            <v>25.98</v>
          </cell>
          <cell r="F5966">
            <v>0</v>
          </cell>
        </row>
        <row r="5967">
          <cell r="B5967">
            <v>89734</v>
          </cell>
          <cell r="C5967" t="str">
            <v>JOELHO 45 GRAUS, CPVC, SOLDÁVEL, DN 35MM, INSTALADO EM RAMAL DE DISTRIBUIÇÃO DE ÁGUA FORNECIMENTO E INSTALAÇÃO. AF_06/2022</v>
          </cell>
          <cell r="D5967" t="str">
            <v>UN</v>
          </cell>
          <cell r="E5967">
            <v>31.9</v>
          </cell>
          <cell r="F5967">
            <v>0</v>
          </cell>
        </row>
        <row r="5968">
          <cell r="B5968">
            <v>89650</v>
          </cell>
          <cell r="C5968" t="str">
            <v>JOELHO 45 GRAUS, CPVC, SOLDÁVEL, DN 35MM, INSTALADO EM RAMAL OU SUB-RAMAL DE ÁGUA FORNECIMENTO E INSTALAÇÃO. AF_06/2022</v>
          </cell>
          <cell r="D5968" t="str">
            <v>UN</v>
          </cell>
          <cell r="E5968">
            <v>33.409999999999997</v>
          </cell>
          <cell r="F5968">
            <v>0</v>
          </cell>
        </row>
        <row r="5969">
          <cell r="B5969">
            <v>89787</v>
          </cell>
          <cell r="C5969" t="str">
            <v>JOELHO 45 GRAUS, CPVC, SOLDÁVEL, DN 42MM, INSTALADO EM PRUMADA DE ÁGUA FORNECIMENTO E INSTALAÇÃO. AF_06/2022</v>
          </cell>
          <cell r="D5969" t="str">
            <v>UN</v>
          </cell>
          <cell r="E5969">
            <v>38.24</v>
          </cell>
          <cell r="F5969">
            <v>0</v>
          </cell>
        </row>
        <row r="5970">
          <cell r="B5970">
            <v>104024</v>
          </cell>
          <cell r="C5970" t="str">
            <v>JOELHO 45 GRAUS, CPVC, SOLDÁVEL, DN 42MM, INSTALADO EM RAMAL DE DISTRIBUIÇÃO DE ÁGUA - FORNECIMENTO E INSTALAÇÃO. AF_06/2022</v>
          </cell>
          <cell r="D5970" t="str">
            <v>UN</v>
          </cell>
          <cell r="E5970">
            <v>44.87</v>
          </cell>
          <cell r="F5970">
            <v>0</v>
          </cell>
        </row>
        <row r="5971">
          <cell r="B5971">
            <v>89789</v>
          </cell>
          <cell r="C5971" t="str">
            <v>JOELHO 45 GRAUS, CPVC, SOLDÁVEL, DN 54MM, INSTALADO EM PRUMADA DE ÁGUA FORNECIMENTO E INSTALAÇÃO. AF_06/2022</v>
          </cell>
          <cell r="D5971" t="str">
            <v>UN</v>
          </cell>
          <cell r="E5971">
            <v>69.8</v>
          </cell>
          <cell r="F5971">
            <v>0</v>
          </cell>
        </row>
        <row r="5972">
          <cell r="B5972">
            <v>89791</v>
          </cell>
          <cell r="C5972" t="str">
            <v>JOELHO 45 GRAUS, CPVC, SOLDÁVEL, DN 73MM, INSTALADO EM PRUMADA DE ÁGUA FORNECIMENTO E INSTALAÇÃO. AF_06/2022</v>
          </cell>
          <cell r="D5972" t="str">
            <v>UN</v>
          </cell>
          <cell r="E5972">
            <v>155.97999999999999</v>
          </cell>
          <cell r="F5972">
            <v>0</v>
          </cell>
        </row>
        <row r="5973">
          <cell r="B5973">
            <v>89793</v>
          </cell>
          <cell r="C5973" t="str">
            <v>JOELHO 45 GRAUS, CPVC, SOLDÁVEL, DN 89MM, INSTALADO EM PRUMADA DE ÁGUA FORNECIMENTO E INSTALAÇÃO. AF_06/2022</v>
          </cell>
          <cell r="D5973" t="str">
            <v>UN</v>
          </cell>
          <cell r="E5973">
            <v>224.08</v>
          </cell>
          <cell r="F5973">
            <v>0</v>
          </cell>
        </row>
        <row r="5974">
          <cell r="B5974">
            <v>89637</v>
          </cell>
          <cell r="C5974" t="str">
            <v>JOELHO 90 GRAUS, CPVC, SOLDÁVEL, DN 15MM, INSTALADO EM RAMAL OU SUB-RAMAL DE ÁGUA - FORNECIMENTO E INSTALAÇÃO. AF_06/2022</v>
          </cell>
          <cell r="D5974" t="str">
            <v>UN</v>
          </cell>
          <cell r="E5974">
            <v>13.3</v>
          </cell>
          <cell r="F5974">
            <v>0</v>
          </cell>
        </row>
        <row r="5975">
          <cell r="B5975">
            <v>89719</v>
          </cell>
          <cell r="C5975" t="str">
            <v>JOELHO 90 GRAUS, CPVC, SOLDÁVEL, DN 22MM, INSTALADO EM RAMAL DE DISTRIBUIÇÃO DE ÁGUA FORNECIMENTO E INSTALAÇÃO. AF_06/2022</v>
          </cell>
          <cell r="D5975" t="str">
            <v>UN</v>
          </cell>
          <cell r="E5975">
            <v>15.98</v>
          </cell>
          <cell r="F5975">
            <v>0</v>
          </cell>
        </row>
        <row r="5976">
          <cell r="B5976">
            <v>89641</v>
          </cell>
          <cell r="C5976" t="str">
            <v>JOELHO 90 GRAUS, CPVC, SOLDÁVEL, DN 22MM, INSTALADO EM RAMAL OU SUB-RAMAL DE ÁGUA - FORNECIMENTO E INSTALAÇÃO. AF_06/2022</v>
          </cell>
          <cell r="D5976" t="str">
            <v>UN</v>
          </cell>
          <cell r="E5976">
            <v>17.07</v>
          </cell>
          <cell r="F5976">
            <v>0</v>
          </cell>
        </row>
        <row r="5977">
          <cell r="B5977">
            <v>89723</v>
          </cell>
          <cell r="C5977" t="str">
            <v>JOELHO 90 GRAUS, CPVC, SOLDÁVEL, DN 28MM, INSTALADO EM RAMAL DE DISTRIBUIÇÃO DE ÁGUA FORNECIMENTO E INSTALAÇÃO. AF_06/2022</v>
          </cell>
          <cell r="D5977" t="str">
            <v>UN</v>
          </cell>
          <cell r="E5977">
            <v>23.34</v>
          </cell>
          <cell r="F5977">
            <v>0</v>
          </cell>
        </row>
        <row r="5978">
          <cell r="B5978">
            <v>89646</v>
          </cell>
          <cell r="C5978" t="str">
            <v>JOELHO 90 GRAUS, CPVC, SOLDÁVEL, DN 28MM, INSTALADO EM RAMAL OU SUB-RAMAL DE ÁGUA - FORNECIMENTO E INSTALAÇÃO. AF_06/2022</v>
          </cell>
          <cell r="D5978" t="str">
            <v>UN</v>
          </cell>
          <cell r="E5978">
            <v>24.62</v>
          </cell>
          <cell r="F5978">
            <v>0</v>
          </cell>
        </row>
        <row r="5979">
          <cell r="B5979">
            <v>89777</v>
          </cell>
          <cell r="C5979" t="str">
            <v>JOELHO 90 GRAUS, CPVC, SOLDÁVEL, DN 35MM, INSTALADO EM PRUMADA DE ÁGUA FORNECIMENTO E INSTALAÇÃO. AF_06/2022</v>
          </cell>
          <cell r="D5979" t="str">
            <v>UN</v>
          </cell>
          <cell r="E5979">
            <v>27.62</v>
          </cell>
          <cell r="F5979">
            <v>0</v>
          </cell>
        </row>
        <row r="5980">
          <cell r="B5980">
            <v>89729</v>
          </cell>
          <cell r="C5980" t="str">
            <v>JOELHO 90 GRAUS, CPVC, SOLDÁVEL, DN 35MM, INSTALADO EM RAMAL DE DISTRIBUIÇÃO DE ÁGUA FORNECIMENTO E INSTALAÇÃO. AF_06/2022</v>
          </cell>
          <cell r="D5980" t="str">
            <v>UN</v>
          </cell>
          <cell r="E5980">
            <v>33.54</v>
          </cell>
          <cell r="F5980">
            <v>0</v>
          </cell>
        </row>
        <row r="5981">
          <cell r="B5981">
            <v>89649</v>
          </cell>
          <cell r="C5981" t="str">
            <v>JOELHO 90 GRAUS, CPVC, SOLDÁVEL, DN 35MM, INSTALADO EM RAMAL OU SUB-RAMAL DE ÁGUA FORNECIMENTO E INSTALAÇÃO. AF_06/2022</v>
          </cell>
          <cell r="D5981" t="str">
            <v>UN</v>
          </cell>
          <cell r="E5981">
            <v>35.049999999999997</v>
          </cell>
          <cell r="F5981">
            <v>0</v>
          </cell>
        </row>
        <row r="5982">
          <cell r="B5982">
            <v>89781</v>
          </cell>
          <cell r="C5982" t="str">
            <v>JOELHO 90 GRAUS, CPVC, SOLDÁVEL, DN 42MM, INSTALADO EM PRUMADA DE ÁGUA FORNECIMENTO E INSTALAÇÃO. AF_06/2022</v>
          </cell>
          <cell r="D5982" t="str">
            <v>UN</v>
          </cell>
          <cell r="E5982">
            <v>38.64</v>
          </cell>
          <cell r="F5982">
            <v>0</v>
          </cell>
        </row>
        <row r="5983">
          <cell r="B5983">
            <v>104023</v>
          </cell>
          <cell r="C5983" t="str">
            <v>JOELHO 90 GRAUS, CPVC, SOLDÁVEL, DN 42MM, INSTALADO EM RAMAL DE DISTRIBUIÇÃO DE ÁGUA - FORNECIMENTO E INSTALAÇÃO. AF_06/2022</v>
          </cell>
          <cell r="D5983" t="str">
            <v>UN</v>
          </cell>
          <cell r="E5983">
            <v>45.27</v>
          </cell>
          <cell r="F5983">
            <v>0</v>
          </cell>
        </row>
        <row r="5984">
          <cell r="B5984">
            <v>89788</v>
          </cell>
          <cell r="C5984" t="str">
            <v>JOELHO 90 GRAUS, CPVC, SOLDÁVEL, DN 54MM, INSTALADO EM PRUMADA DE ÁGUA FORNECIMENTO E INSTALAÇÃO. AF_06/2022</v>
          </cell>
          <cell r="D5984" t="str">
            <v>UN</v>
          </cell>
          <cell r="E5984">
            <v>81.709999999999994</v>
          </cell>
          <cell r="F5984">
            <v>0</v>
          </cell>
        </row>
        <row r="5985">
          <cell r="B5985">
            <v>89790</v>
          </cell>
          <cell r="C5985" t="str">
            <v>JOELHO 90 GRAUS, CPVC, SOLDÁVEL, DN 73MM, INSTALADO EM PRUMADA DE ÁGUA FORNECIMENTO E INSTALAÇÃO. AF_06/2022</v>
          </cell>
          <cell r="D5985" t="str">
            <v>UN</v>
          </cell>
          <cell r="E5985">
            <v>161.37</v>
          </cell>
          <cell r="F5985">
            <v>0</v>
          </cell>
        </row>
        <row r="5986">
          <cell r="B5986">
            <v>89792</v>
          </cell>
          <cell r="C5986" t="str">
            <v>JOELHO 90 GRAUS, CPVC, SOLDÁVEL, DN 89MM, INSTALADO EM PRUMADA DE ÁGUA FORNECIMENTO E INSTALAÇÃO. AF_06/2022</v>
          </cell>
          <cell r="D5986" t="str">
            <v>UN</v>
          </cell>
          <cell r="E5986">
            <v>190.54</v>
          </cell>
          <cell r="F5986">
            <v>0</v>
          </cell>
        </row>
        <row r="5987">
          <cell r="B5987">
            <v>89640</v>
          </cell>
          <cell r="C5987" t="str">
            <v>JOELHO DE TRANSIÇÃO, 90 GRAUS, CPVC, SOLDÁVEL, DN 15MM X 1/2", INSTALADO EM RAMAL OU SUB-RAMAL DE ÁGUA - FORNECIMENTO E INSTALAÇÃO. AF_06/2022</v>
          </cell>
          <cell r="D5987" t="str">
            <v>UN</v>
          </cell>
          <cell r="E5987">
            <v>21.75</v>
          </cell>
          <cell r="F5987">
            <v>0</v>
          </cell>
        </row>
        <row r="5988">
          <cell r="B5988">
            <v>89644</v>
          </cell>
          <cell r="C5988" t="str">
            <v>JOELHO DE TRANSIÇÃO, 90 GRAUS, CPVC, SOLDÁVEL, DN 22MM X 1/2", INSTALADO EM RAMAL OU SUB-RAMAL DE ÁGUA - FORNECIMENTO E INSTALAÇÃO. AF_06/2022</v>
          </cell>
          <cell r="D5988" t="str">
            <v>UN</v>
          </cell>
          <cell r="E5988">
            <v>26.28</v>
          </cell>
          <cell r="F5988">
            <v>0</v>
          </cell>
        </row>
        <row r="5989">
          <cell r="B5989">
            <v>89645</v>
          </cell>
          <cell r="C5989" t="str">
            <v>JOELHO DE TRANSIÇÃO, 90 GRAUS, CPVC, SOLDÁVEL, DN 22MM X 3/4", INSTALADO EM RAMAL OU SUB-RAMAL DE ÁGUA - FORNECIMENTO E INSTALAÇÃO. AF_06/2022</v>
          </cell>
          <cell r="D5989" t="str">
            <v>UN</v>
          </cell>
          <cell r="E5989">
            <v>35.729999999999997</v>
          </cell>
          <cell r="F5989">
            <v>0</v>
          </cell>
        </row>
        <row r="5990">
          <cell r="B5990">
            <v>89652</v>
          </cell>
          <cell r="C5990" t="str">
            <v>LUVA DE CORRER, CPVC, SOLDÁVEL, DN 15MM, INSTALADO EM RAMAL OU SUB-RAMAL DE ÁGUA FORNECIMENTO E INSTALAÇÃO. AF_06/2022</v>
          </cell>
          <cell r="D5990" t="str">
            <v>UN</v>
          </cell>
          <cell r="E5990">
            <v>13.99</v>
          </cell>
          <cell r="F5990">
            <v>0</v>
          </cell>
        </row>
        <row r="5991">
          <cell r="B5991">
            <v>89738</v>
          </cell>
          <cell r="C5991" t="str">
            <v>LUVA DE CORRER, CPVC, SOLDÁVEL, DN 22MM, INSTALADO EM RAMAL DE DISTRIBUIÇÃO DE ÁGUA FORNECIMENTO E INSTALAÇÃO. AF_12/2014</v>
          </cell>
          <cell r="D5991" t="str">
            <v>UN</v>
          </cell>
          <cell r="E5991">
            <v>18.66</v>
          </cell>
          <cell r="F5991">
            <v>0</v>
          </cell>
        </row>
        <row r="5992">
          <cell r="B5992">
            <v>89659</v>
          </cell>
          <cell r="C5992" t="str">
            <v>LUVA DE CORRER, CPVC, SOLDÁVEL, DN 22MM, INSTALADO EM RAMAL OU SUB-RAMAL DE ÁGUA FORNECIMENTO E INSTALAÇÃO. AF_06/2022</v>
          </cell>
          <cell r="D5992" t="str">
            <v>UN</v>
          </cell>
          <cell r="E5992">
            <v>19.39</v>
          </cell>
          <cell r="F5992">
            <v>0</v>
          </cell>
        </row>
        <row r="5993">
          <cell r="B5993">
            <v>89756</v>
          </cell>
          <cell r="C5993" t="str">
            <v>LUVA DE CORRER, CPVC, SOLDÁVEL, DN 28MM, INSTALADO EM RAMAL DE DISTRIBUIÇÃO DE ÁGUA FORNECIMENTO E INSTALAÇÃO. AF_06/2022</v>
          </cell>
          <cell r="D5993" t="str">
            <v>UN</v>
          </cell>
          <cell r="E5993">
            <v>25.39</v>
          </cell>
          <cell r="F5993">
            <v>0</v>
          </cell>
        </row>
        <row r="5994">
          <cell r="B5994">
            <v>89672</v>
          </cell>
          <cell r="C5994" t="str">
            <v>LUVA DE CORRER, CPVC, SOLDÁVEL, DN 28MM, INSTALADO EM RAMAL OU SUB-RAMAL DE ÁGUA FORNECIMENTO E INSTALAÇÃO. AF_06/2022</v>
          </cell>
          <cell r="D5994" t="str">
            <v>UN</v>
          </cell>
          <cell r="E5994">
            <v>26.25</v>
          </cell>
          <cell r="F5994">
            <v>0</v>
          </cell>
        </row>
        <row r="5995">
          <cell r="B5995">
            <v>89815</v>
          </cell>
          <cell r="C5995" t="str">
            <v>LUVA DE CORRER, CPVC, SOLDÁVEL, DN 35MM, INSTALADO EM PRUMADA DE ÁGUA FORNECIMENTO E INSTALAÇÃO. AF_06/2022</v>
          </cell>
          <cell r="D5995" t="str">
            <v>UN</v>
          </cell>
          <cell r="E5995">
            <v>29.61</v>
          </cell>
          <cell r="F5995">
            <v>0</v>
          </cell>
        </row>
        <row r="5996">
          <cell r="B5996">
            <v>89761</v>
          </cell>
          <cell r="C5996" t="str">
            <v>LUVA DE CORRER, CPVC, SOLDÁVEL, DN 35MM, INSTALADO EM RAMAL DE DISTRIBUIÇÃO DE ÁGUA - FORNECIMENTO E INSTALAÇÃO. AF_06/2022</v>
          </cell>
          <cell r="D5996" t="str">
            <v>UN</v>
          </cell>
          <cell r="E5996">
            <v>33.53</v>
          </cell>
          <cell r="F5996">
            <v>0</v>
          </cell>
        </row>
        <row r="5997">
          <cell r="B5997">
            <v>89682</v>
          </cell>
          <cell r="C5997" t="str">
            <v>LUVA DE CORRER, CPVC, SOLDÁVEL, DN 35MM, INSTALADO EM RAMAL OU SUB-RAMAL DE ÁGUA FORNECIMENTO E INSTALAÇÃO. AF_06/2022</v>
          </cell>
          <cell r="D5997" t="str">
            <v>UN</v>
          </cell>
          <cell r="E5997">
            <v>34.53</v>
          </cell>
          <cell r="F5997">
            <v>0</v>
          </cell>
        </row>
        <row r="5998">
          <cell r="B5998">
            <v>89824</v>
          </cell>
          <cell r="C5998" t="str">
            <v>LUVA DE CORRER, CPVC, SOLDÁVEL, DN 42MM, INSTALADO EM PRUMADA DE ÁGUA FORNECIMENTO E INSTALAÇÃO. AF_06/2022</v>
          </cell>
          <cell r="D5998" t="str">
            <v>UN</v>
          </cell>
          <cell r="E5998">
            <v>40.01</v>
          </cell>
          <cell r="F5998">
            <v>0</v>
          </cell>
        </row>
        <row r="5999">
          <cell r="B5999">
            <v>104026</v>
          </cell>
          <cell r="C5999" t="str">
            <v>LUVA DE CORRER, CPVC, SOLDÁVEL, DN 42MM, INSTALADO EM RAMAL DE DISTRIBUIÇÃO DE ÁGUA - FORNECIMENTO E INSTALAÇÃO. AF_06/2022</v>
          </cell>
          <cell r="D5999" t="str">
            <v>UN</v>
          </cell>
          <cell r="E5999">
            <v>44.44</v>
          </cell>
          <cell r="F5999">
            <v>0</v>
          </cell>
        </row>
        <row r="6000">
          <cell r="B6000">
            <v>89740</v>
          </cell>
          <cell r="C6000" t="str">
            <v>LUVA DE TRANSIÇÃO, CPVC, SOLDÁVEL, DN 22MM X 25MM, INSTALADO EM RAMAL DE DISTRIBUIÇÃO DE ÁGUA FORNECIMENTO E INSTALAÇÃO. AF_06/2022</v>
          </cell>
          <cell r="D6000" t="str">
            <v>UN</v>
          </cell>
          <cell r="E6000">
            <v>11.24</v>
          </cell>
          <cell r="F6000">
            <v>0</v>
          </cell>
        </row>
        <row r="6001">
          <cell r="B6001">
            <v>89836</v>
          </cell>
          <cell r="C6001" t="str">
            <v>LUVA DE TRANSIÇÃO, CPVC, SOLDÁVEL, DN 54MM X 2, INSTALADO EM PRUMADA DE ÁGUA FORNECIMENTO E INSTALAÇÃO. AF_06/2022</v>
          </cell>
          <cell r="D6001" t="str">
            <v>UN</v>
          </cell>
          <cell r="E6001">
            <v>200.2</v>
          </cell>
          <cell r="F6001">
            <v>0</v>
          </cell>
        </row>
        <row r="6002">
          <cell r="B6002">
            <v>89653</v>
          </cell>
          <cell r="C6002" t="str">
            <v>LUVA DE TRANSIÇÃO, CPVC, SOLDÁVEL, DN15MM X 1/2", INSTALADO EM RAMAL OU SUB-RAMAL DE ÁGUA - FORNECIMENTO E INSTALAÇÃO. AF_06/2022</v>
          </cell>
          <cell r="D6002" t="str">
            <v>UN</v>
          </cell>
          <cell r="E6002">
            <v>19.13</v>
          </cell>
          <cell r="F6002">
            <v>0</v>
          </cell>
        </row>
        <row r="6003">
          <cell r="B6003">
            <v>89660</v>
          </cell>
          <cell r="C6003" t="str">
            <v>LUVA DE TRANSIÇÃO, CPVC, SOLDÁVEL, DN22MM X 25MM, INSTALADO EM RAMAL OU SUB-RAMAL DE ÁGUA - FORNECIMENTO E INSTALAÇÃO. AF_06/2022</v>
          </cell>
          <cell r="D6003" t="str">
            <v>UN</v>
          </cell>
          <cell r="E6003">
            <v>12</v>
          </cell>
          <cell r="F6003">
            <v>0</v>
          </cell>
        </row>
        <row r="6004">
          <cell r="B6004">
            <v>104028</v>
          </cell>
          <cell r="C6004" t="str">
            <v>LUVA DE TRANSIÇÃO, CPVC, SOLDÁVEL, DN42MM X 1.1/2", INSTALADO EM RAMAL DE DISTRIBUIÇÃO DE ÁGUA - FORNECIMENTO E INSTALAÇÃO. AF_06/2022</v>
          </cell>
          <cell r="D6004" t="str">
            <v>UN</v>
          </cell>
          <cell r="E6004">
            <v>131.72</v>
          </cell>
          <cell r="F6004">
            <v>0</v>
          </cell>
        </row>
        <row r="6005">
          <cell r="B6005">
            <v>89826</v>
          </cell>
          <cell r="C6005" t="str">
            <v>LUVA DE TRANSIÇÃO, CPVC, SOLDÁVEL, DN42MM X 1.1/2, INSTALADO EM PRUMADA DE ÁGUA FORNECIMENTO E INSTALAÇÃO. AF_06/2022</v>
          </cell>
          <cell r="D6005" t="str">
            <v>UN</v>
          </cell>
          <cell r="E6005">
            <v>127.56</v>
          </cell>
          <cell r="F6005">
            <v>0</v>
          </cell>
        </row>
        <row r="6006">
          <cell r="B6006">
            <v>89651</v>
          </cell>
          <cell r="C6006" t="str">
            <v>LUVA, CPVC, SOLDÁVEL, DN 15MM, INSTALADO EM RAMAL OU SUB-RAMAL DE ÁGUA - FORNECIMENTO E INSTALAÇÃO. AF_06/2022</v>
          </cell>
          <cell r="D6006" t="str">
            <v>UN</v>
          </cell>
          <cell r="E6006">
            <v>8.92</v>
          </cell>
          <cell r="F6006">
            <v>0</v>
          </cell>
        </row>
        <row r="6007">
          <cell r="B6007">
            <v>89736</v>
          </cell>
          <cell r="C6007" t="str">
            <v>LUVA, CPVC, SOLDÁVEL, DN 22MM, INSTALADO EM RAMAL DE DISTRIBUIÇÃO DE ÁGUA FORNECIMENTO E INSTALAÇÃO. AF_06/2022</v>
          </cell>
          <cell r="D6007" t="str">
            <v>UN</v>
          </cell>
          <cell r="E6007">
            <v>11</v>
          </cell>
          <cell r="F6007">
            <v>0</v>
          </cell>
        </row>
        <row r="6008">
          <cell r="B6008">
            <v>89658</v>
          </cell>
          <cell r="C6008" t="str">
            <v>LUVA, CPVC, SOLDÁVEL, DN 22MM, INSTALADO EM RAMAL OU SUB-RAMAL DE ÁGUA FORNECIMENTO E INSTALAÇÃO. AF_06/2022</v>
          </cell>
          <cell r="D6008" t="str">
            <v>UN</v>
          </cell>
          <cell r="E6008">
            <v>11.73</v>
          </cell>
          <cell r="F6008">
            <v>0</v>
          </cell>
        </row>
        <row r="6009">
          <cell r="B6009">
            <v>89755</v>
          </cell>
          <cell r="C6009" t="str">
            <v>LUVA, CPVC, SOLDÁVEL, DN 28MM, INSTALADO EM RAMAL DE DISTRIBUIÇÃO DE ÁGUA FORNECIMENTO E INSTALAÇÃO. AF_06/2022</v>
          </cell>
          <cell r="D6009" t="str">
            <v>UN</v>
          </cell>
          <cell r="E6009">
            <v>15.87</v>
          </cell>
          <cell r="F6009">
            <v>0</v>
          </cell>
        </row>
        <row r="6010">
          <cell r="B6010">
            <v>89670</v>
          </cell>
          <cell r="C6010" t="str">
            <v>LUVA, CPVC, SOLDÁVEL, DN 28MM, INSTALADO EM RAMAL OU SUB-RAMAL DE ÁGUA FORNECIMENTO E INSTALAÇÃO. AF_06/2022</v>
          </cell>
          <cell r="D6010" t="str">
            <v>UN</v>
          </cell>
          <cell r="E6010">
            <v>16.73</v>
          </cell>
          <cell r="F6010">
            <v>0</v>
          </cell>
        </row>
        <row r="6011">
          <cell r="B6011">
            <v>89794</v>
          </cell>
          <cell r="C6011" t="str">
            <v>LUVA, CPVC, SOLDÁVEL, DN 35MM, INSTALADO EM PRUMADA DE ÁGUA FORNECIMENTO E INSTALAÇÃO. AF_06/2022</v>
          </cell>
          <cell r="D6011" t="str">
            <v>UN</v>
          </cell>
          <cell r="E6011">
            <v>20.62</v>
          </cell>
          <cell r="F6011">
            <v>0</v>
          </cell>
        </row>
        <row r="6012">
          <cell r="B6012">
            <v>89760</v>
          </cell>
          <cell r="C6012" t="str">
            <v>LUVA, CPVC, SOLDÁVEL, DN 35MM, INSTALADO EM RAMAL DE DISTRIBUIÇÃO DE ÁGUA - FORNECIMENTO E INSTALAÇÃO. AF_06/2022</v>
          </cell>
          <cell r="D6012" t="str">
            <v>UN</v>
          </cell>
          <cell r="E6012">
            <v>24.54</v>
          </cell>
          <cell r="F6012">
            <v>0</v>
          </cell>
        </row>
        <row r="6013">
          <cell r="B6013">
            <v>89680</v>
          </cell>
          <cell r="C6013" t="str">
            <v>LUVA, CPVC, SOLDÁVEL, DN 35MM, INSTALADO EM RAMAL OU SUB-RAMAL DE ÁGUA FORNECIMENTO E INSTALAÇÃO. AF_06/2022</v>
          </cell>
          <cell r="D6013" t="str">
            <v>UN</v>
          </cell>
          <cell r="E6013">
            <v>25.54</v>
          </cell>
          <cell r="F6013">
            <v>0</v>
          </cell>
        </row>
        <row r="6014">
          <cell r="B6014">
            <v>89822</v>
          </cell>
          <cell r="C6014" t="str">
            <v>LUVA, CPVC, SOLDÁVEL, DN 42MM, INSTALADO EM PRUMADA DE ÁGUA FORNECIMENTO E INSTALAÇÃO. AF_06/2022</v>
          </cell>
          <cell r="D6014" t="str">
            <v>UN</v>
          </cell>
          <cell r="E6014">
            <v>26.8</v>
          </cell>
          <cell r="F6014">
            <v>0</v>
          </cell>
        </row>
        <row r="6015">
          <cell r="B6015">
            <v>104025</v>
          </cell>
          <cell r="C6015" t="str">
            <v>LUVA, CPVC, SOLDÁVEL, DN 42MM, INSTALADO EM RAMAL DE DISTRIBUIÇÃO DE ÁGUA - FORNECIMENTO E INSTALAÇÃO. AF_06/2022</v>
          </cell>
          <cell r="D6015" t="str">
            <v>UN</v>
          </cell>
          <cell r="E6015">
            <v>31.23</v>
          </cell>
          <cell r="F6015">
            <v>0</v>
          </cell>
        </row>
        <row r="6016">
          <cell r="B6016">
            <v>89835</v>
          </cell>
          <cell r="C6016" t="str">
            <v>LUVA, CPVC, SOLDÁVEL, DN 54MM, INSTALADO EM PRUMADA DE ÁGUA FORNECIMENTO E INSTALAÇÃO. AF_06/2022</v>
          </cell>
          <cell r="D6016" t="str">
            <v>UN</v>
          </cell>
          <cell r="E6016">
            <v>45.52</v>
          </cell>
          <cell r="F6016">
            <v>0</v>
          </cell>
        </row>
        <row r="6017">
          <cell r="B6017">
            <v>89838</v>
          </cell>
          <cell r="C6017" t="str">
            <v>LUVA, CPVC, SOLDÁVEL, DN 73MM, INSTALADO EM PRUMADA DE ÁGUA FORNECIMENTO E INSTALAÇÃO. AF_06/2022</v>
          </cell>
          <cell r="D6017" t="str">
            <v>UN</v>
          </cell>
          <cell r="E6017">
            <v>154.80000000000001</v>
          </cell>
          <cell r="F6017">
            <v>0</v>
          </cell>
        </row>
        <row r="6018">
          <cell r="B6018">
            <v>89840</v>
          </cell>
          <cell r="C6018" t="str">
            <v>LUVA, CPVC, SOLDÁVEL, DN 89MM, INSTALADO EM PRUMADA DE ÁGUA FORNECIMENTO E INSTALAÇÃO. AF_06/2022</v>
          </cell>
          <cell r="D6018" t="str">
            <v>UN</v>
          </cell>
          <cell r="E6018">
            <v>182.18</v>
          </cell>
          <cell r="F6018">
            <v>0</v>
          </cell>
        </row>
        <row r="6019">
          <cell r="B6019">
            <v>104015</v>
          </cell>
          <cell r="C6019" t="str">
            <v>TE DE REDUÇÃO, CPVC, SOLDÁVEL, DN 22 X 15 MM, INSTALADO EM RAMAL OU SUB-RAMAL DE ÁGUA - FORNECIMENTO E INSTALAÇÃO. AF_06/2022</v>
          </cell>
          <cell r="D6019" t="str">
            <v>UN</v>
          </cell>
          <cell r="E6019">
            <v>20.46</v>
          </cell>
          <cell r="F6019">
            <v>0</v>
          </cell>
        </row>
        <row r="6020">
          <cell r="B6020">
            <v>104018</v>
          </cell>
          <cell r="C6020" t="str">
            <v>TE DE REDUÇÃO, CPVC, SOLDÁVEL, DN 28 X 22 MM, INSTALADO EM RAMAL DE DISTRIBUIÇÃO DE ÁGUA - FORNECIMENTO E INSTALAÇÃO. AF_06/2022</v>
          </cell>
          <cell r="D6020" t="str">
            <v>UN</v>
          </cell>
          <cell r="E6020">
            <v>25.38</v>
          </cell>
          <cell r="F6020">
            <v>0</v>
          </cell>
        </row>
        <row r="6021">
          <cell r="B6021">
            <v>104016</v>
          </cell>
          <cell r="C6021" t="str">
            <v>TE DE REDUÇÃO, CPVC, SOLDÁVEL, DN 28 X 22 MM, INSTALADO EM RAMAL OU SUB-RAMAL DE ÁGUA - FORNECIMENTO E INSTALAÇÃO. AF_06/2022</v>
          </cell>
          <cell r="D6021" t="str">
            <v>UN</v>
          </cell>
          <cell r="E6021">
            <v>26.96</v>
          </cell>
          <cell r="F6021">
            <v>0</v>
          </cell>
        </row>
        <row r="6022">
          <cell r="B6022">
            <v>104019</v>
          </cell>
          <cell r="C6022" t="str">
            <v>TE DE REDUÇÃO, CPVC, SOLDÁVEL, DN 35 X 28 MM, INSTALADO EM RAMAL DE DISTRIBUIÇÃO DE ÁGUA - FORNECIMENTO E INSTALAÇÃO. AF_06/2022</v>
          </cell>
          <cell r="D6022" t="str">
            <v>UN</v>
          </cell>
          <cell r="E6022">
            <v>48.92</v>
          </cell>
          <cell r="F6022">
            <v>0</v>
          </cell>
        </row>
        <row r="6023">
          <cell r="B6023">
            <v>104017</v>
          </cell>
          <cell r="C6023" t="str">
            <v>TE DE REDUÇÃO, CPVC, SOLDÁVEL, DN 35 X 28 MM, INSTALADO EM RAMAL OU SUB-RAMAL DE ÁGUA - FORNECIMENTO E INSTALAÇÃO. AF_06/2022</v>
          </cell>
          <cell r="D6023" t="str">
            <v>UN</v>
          </cell>
          <cell r="E6023">
            <v>50.77</v>
          </cell>
          <cell r="F6023">
            <v>0</v>
          </cell>
        </row>
        <row r="6024">
          <cell r="B6024">
            <v>104020</v>
          </cell>
          <cell r="C6024" t="str">
            <v>TE DE REDUÇÃO, CPVC, SOLDÁVEL, DN 42 X 35 MM, INSTALADO EM PRUMADA DE ÁGUA - FORNECIMENTO E INSTALAÇÃO. AF_06/2022</v>
          </cell>
          <cell r="D6024" t="str">
            <v>UN</v>
          </cell>
          <cell r="E6024">
            <v>58.42</v>
          </cell>
          <cell r="F6024">
            <v>0</v>
          </cell>
        </row>
        <row r="6025">
          <cell r="B6025">
            <v>104030</v>
          </cell>
          <cell r="C6025" t="str">
            <v>TE DE REDUÇÃO, CPVC, SOLDÁVEL, DN 42 X 35 MM, INSTALADO EM RAMAL DE DISTRIBUIÇÃO DE ÁGUA - FORNECIMENTO E INSTALAÇÃO. AF_06/2022</v>
          </cell>
          <cell r="D6025" t="str">
            <v>UN</v>
          </cell>
          <cell r="E6025">
            <v>66.760000000000005</v>
          </cell>
          <cell r="F6025">
            <v>0</v>
          </cell>
        </row>
        <row r="6026">
          <cell r="B6026">
            <v>89694</v>
          </cell>
          <cell r="C6026" t="str">
            <v>TE DE TRANSIÇÃO, CPVC, SOLDÁVEL, DN 15MM X 1/2, INSTALADO EM RAMAL OU SUB-RAMAL DE ÁGUA FORNECIMENTO E INSTALAÇÃO. AF_06/2022</v>
          </cell>
          <cell r="D6026" t="str">
            <v>UN</v>
          </cell>
          <cell r="E6026">
            <v>23.73</v>
          </cell>
          <cell r="F6026">
            <v>0</v>
          </cell>
        </row>
        <row r="6027">
          <cell r="B6027">
            <v>89700</v>
          </cell>
          <cell r="C6027" t="str">
            <v>TE DE TRANSIÇÃO, CPVC, SOLDÁVEL, DN 22MM X 1/2, INSTALADO EM RAMAL OU SUB-RAMAL DE ÁGUA FORNECIMENTO E INSTALAÇÃO. AF_06/2022</v>
          </cell>
          <cell r="D6027" t="str">
            <v>UN</v>
          </cell>
          <cell r="E6027">
            <v>27.08</v>
          </cell>
          <cell r="F6027">
            <v>0</v>
          </cell>
        </row>
        <row r="6028">
          <cell r="B6028">
            <v>89703</v>
          </cell>
          <cell r="C6028" t="str">
            <v>TE MISTURADOR DE TRANSIÇÃO, CPVC, SOLDÁVEL, DN 22MM X 3/4", INSTALADO EM RAMAL OU SUB-RAMAL DE ÁGUA - FORNECIMENTO E INSTALAÇÃO. AF_06/2022</v>
          </cell>
          <cell r="D6028" t="str">
            <v>UN</v>
          </cell>
          <cell r="E6028">
            <v>52.11</v>
          </cell>
          <cell r="F6028">
            <v>0</v>
          </cell>
        </row>
        <row r="6029">
          <cell r="B6029">
            <v>89691</v>
          </cell>
          <cell r="C6029" t="str">
            <v>TE, CPVC, SOLDÁVEL, DN 15MM, INSTALADO EM RAMAL OU SUB-RAMAL DE ÁGUA - FORNECIMENTO E INSTALAÇÃO. AF_06/2022</v>
          </cell>
          <cell r="D6029" t="str">
            <v>UN</v>
          </cell>
          <cell r="E6029">
            <v>17.22</v>
          </cell>
          <cell r="F6029">
            <v>0</v>
          </cell>
        </row>
        <row r="6030">
          <cell r="B6030">
            <v>89765</v>
          </cell>
          <cell r="C6030" t="str">
            <v>TE, CPVC, SOLDÁVEL, DN 22MM, INSTALADO EM RAMAL DE DISTRIBUIÇÃO DE ÁGUA - FORNECIMENTO E INSTALAÇÃO. AF_06/2022</v>
          </cell>
          <cell r="D6030" t="str">
            <v>UN</v>
          </cell>
          <cell r="E6030">
            <v>20.85</v>
          </cell>
          <cell r="F6030">
            <v>0</v>
          </cell>
        </row>
        <row r="6031">
          <cell r="B6031">
            <v>89697</v>
          </cell>
          <cell r="C6031" t="str">
            <v>TE, CPVC, SOLDÁVEL, DN 22MM, INSTALADO EM RAMAL OU SUB-RAMAL DE ÁGUA - FORNECIMENTO E INSTALAÇÃO. AF_06/2022</v>
          </cell>
          <cell r="D6031" t="str">
            <v>UN</v>
          </cell>
          <cell r="E6031">
            <v>22.31</v>
          </cell>
          <cell r="F6031">
            <v>0</v>
          </cell>
        </row>
        <row r="6032">
          <cell r="B6032">
            <v>89844</v>
          </cell>
          <cell r="C6032" t="str">
            <v>TE, CPVC, SOLDÁVEL, DN 42MM, INSTALADO EM PRUMADA DE ÁGUA FORNECIMENTO E INSTALAÇÃO. AF_06/2022</v>
          </cell>
          <cell r="D6032" t="str">
            <v>UN</v>
          </cell>
          <cell r="E6032">
            <v>66.13</v>
          </cell>
          <cell r="F6032">
            <v>0</v>
          </cell>
        </row>
        <row r="6033">
          <cell r="B6033">
            <v>104022</v>
          </cell>
          <cell r="C6033" t="str">
            <v>TE, CPVC, SOLDÁVEL, DN 42MM, INSTALADO EM RAMAL DE DISTRIBUIÇÃO DE ÁGUA - FORNECIMENTO E INSTALAÇÃO. AF_06/2022</v>
          </cell>
          <cell r="D6033" t="str">
            <v>UN</v>
          </cell>
          <cell r="E6033">
            <v>74.98</v>
          </cell>
          <cell r="F6033">
            <v>0</v>
          </cell>
        </row>
        <row r="6034">
          <cell r="B6034">
            <v>89633</v>
          </cell>
          <cell r="C6034" t="str">
            <v>TUBO, CPVC, SOLDÁVEL, DN 15MM, INSTALADO EM RAMAL OU SUB-RAMAL DE ÁGUA - FORNECIMENTO E INSTALAÇÃO. AF_06/2022</v>
          </cell>
          <cell r="D6034" t="str">
            <v>M</v>
          </cell>
          <cell r="E6034">
            <v>32.700000000000003</v>
          </cell>
          <cell r="F6034">
            <v>0</v>
          </cell>
        </row>
        <row r="6035">
          <cell r="B6035">
            <v>89716</v>
          </cell>
          <cell r="C6035" t="str">
            <v>TUBO, CPVC, SOLDÁVEL, DN 22MM, INSTALADO EM RAMAL DE DISTRIBUIÇÃO DE ÁGUA - FORNECIMENTO E INSTALAÇÃO. AF_06/2022</v>
          </cell>
          <cell r="D6035" t="str">
            <v>M</v>
          </cell>
          <cell r="E6035">
            <v>30.53</v>
          </cell>
          <cell r="F6035">
            <v>0</v>
          </cell>
        </row>
        <row r="6036">
          <cell r="B6036">
            <v>89634</v>
          </cell>
          <cell r="C6036" t="str">
            <v>TUBO, CPVC, SOLDÁVEL, DN 22MM, INSTALADO EM RAMAL OU SUB-RAMAL DE ÁGUA - FORNECIMENTO E INSTALAÇÃO. AF_06/2022</v>
          </cell>
          <cell r="D6036" t="str">
            <v>M</v>
          </cell>
          <cell r="E6036">
            <v>45.5</v>
          </cell>
          <cell r="F6036">
            <v>0</v>
          </cell>
        </row>
        <row r="6037">
          <cell r="B6037">
            <v>89717</v>
          </cell>
          <cell r="C6037" t="str">
            <v>TUBO, CPVC, SOLDÁVEL, DN 28MM, INSTALADO EM RAMAL DE DISTRIBUIÇÃO DE ÁGUA - FORNECIMENTO E INSTALAÇÃO. AF_06/2022</v>
          </cell>
          <cell r="D6037" t="str">
            <v>M</v>
          </cell>
          <cell r="E6037">
            <v>46.77</v>
          </cell>
          <cell r="F6037">
            <v>0</v>
          </cell>
        </row>
        <row r="6038">
          <cell r="B6038">
            <v>89635</v>
          </cell>
          <cell r="C6038" t="str">
            <v>TUBO, CPVC, SOLDÁVEL, DN 28MM, INSTALADO EM RAMAL OU SUB-RAMAL DE ÁGUA - FORNECIMENTO E INSTALAÇÃO. AF_06/2022</v>
          </cell>
          <cell r="D6038" t="str">
            <v>M</v>
          </cell>
          <cell r="E6038">
            <v>64.430000000000007</v>
          </cell>
          <cell r="F6038">
            <v>0</v>
          </cell>
        </row>
        <row r="6039">
          <cell r="B6039">
            <v>89770</v>
          </cell>
          <cell r="C6039" t="str">
            <v>TUBO, CPVC, SOLDÁVEL, DN 35MM, INSTALADO EM PRUMADA DE ÁGUA FORNECIMENTO E INSTALAÇÃO. AF_06/2022</v>
          </cell>
          <cell r="D6039" t="str">
            <v>M</v>
          </cell>
          <cell r="E6039">
            <v>46.41</v>
          </cell>
          <cell r="F6039">
            <v>0</v>
          </cell>
        </row>
        <row r="6040">
          <cell r="B6040">
            <v>89718</v>
          </cell>
          <cell r="C6040" t="str">
            <v>TUBO, CPVC, SOLDÁVEL, DN 35MM, INSTALADO EM RAMAL DE DISTRIBUIÇÃO DE ÁGUA FORNECIMENTO E INSTALAÇÃO. AF_06/2022</v>
          </cell>
          <cell r="D6040" t="str">
            <v>M</v>
          </cell>
          <cell r="E6040">
            <v>59.48</v>
          </cell>
          <cell r="F6040">
            <v>0</v>
          </cell>
        </row>
        <row r="6041">
          <cell r="B6041">
            <v>89636</v>
          </cell>
          <cell r="C6041" t="str">
            <v>TUBO, CPVC, SOLDÁVEL, DN 35MM, INSTALADO EM RAMAL OU SUB-RAMAL DE ÁGUA FORNECIMENTO E INSTALAÇÃO. AF_06/2022</v>
          </cell>
          <cell r="D6041" t="str">
            <v>M</v>
          </cell>
          <cell r="E6041">
            <v>80.260000000000005</v>
          </cell>
          <cell r="F6041">
            <v>0</v>
          </cell>
        </row>
        <row r="6042">
          <cell r="B6042">
            <v>89771</v>
          </cell>
          <cell r="C6042" t="str">
            <v>TUBO, CPVC, SOLDÁVEL, DN 42MM, INSTALADO EM PRUMADA DE ÁGUA FORNECIMENTO E INSTALAÇÃO. AF_06/2022</v>
          </cell>
          <cell r="D6042" t="str">
            <v>M</v>
          </cell>
          <cell r="E6042">
            <v>61.87</v>
          </cell>
          <cell r="F6042">
            <v>0</v>
          </cell>
        </row>
        <row r="6043">
          <cell r="B6043">
            <v>104021</v>
          </cell>
          <cell r="C6043" t="str">
            <v>TUBO, CPVC, SOLDÁVEL, DN 42MM, INSTALADO EM RAMAL DE DISTRIBUIÇÃO DE ÁGUA - FORNECIMENTO E INSTALAÇÃO. AF_06/2022</v>
          </cell>
          <cell r="D6043" t="str">
            <v>M</v>
          </cell>
          <cell r="E6043">
            <v>76.84</v>
          </cell>
          <cell r="F6043">
            <v>0</v>
          </cell>
        </row>
        <row r="6044">
          <cell r="B6044">
            <v>89772</v>
          </cell>
          <cell r="C6044" t="str">
            <v>TUBO, CPVC, SOLDÁVEL, DN 54MM, INSTALADO EM PRUMADA DE ÁGUA FORNECIMENTO E INSTALAÇÃO. AF_06/2022</v>
          </cell>
          <cell r="D6044" t="str">
            <v>M</v>
          </cell>
          <cell r="E6044">
            <v>90.07</v>
          </cell>
          <cell r="F6044">
            <v>0</v>
          </cell>
        </row>
        <row r="6045">
          <cell r="B6045">
            <v>89773</v>
          </cell>
          <cell r="C6045" t="str">
            <v>TUBO, CPVC, SOLDÁVEL, DN 73MM, INSTALADO EM PRUMADA DE ÁGUA FORNECIMENTO E INSTALAÇÃO. AF_06/2022</v>
          </cell>
          <cell r="D6045" t="str">
            <v>M</v>
          </cell>
          <cell r="E6045">
            <v>144.87</v>
          </cell>
          <cell r="F6045">
            <v>0</v>
          </cell>
        </row>
        <row r="6046">
          <cell r="B6046">
            <v>89775</v>
          </cell>
          <cell r="C6046" t="str">
            <v>TUBO, CPVC, SOLDÁVEL, DN 89MM, INSTALADO EM PRUMADA DE ÁGUA FORNECIMENTO E INSTALAÇÃO. AF_06/2022</v>
          </cell>
          <cell r="D6046" t="str">
            <v>M</v>
          </cell>
          <cell r="E6046">
            <v>226.06</v>
          </cell>
          <cell r="F6046">
            <v>0</v>
          </cell>
        </row>
        <row r="6047">
          <cell r="B6047">
            <v>89767</v>
          </cell>
          <cell r="C6047" t="str">
            <v>TÊ MISTURADOR, CPVC, SOLDÁVEL, DN 22MM, INSTALADO EM RAMAL DE DISTRIBUIÇÃO DE ÁGUA - FORNECIMENTO E INSTALAÇÃO. AF_06/2022</v>
          </cell>
          <cell r="D6047" t="str">
            <v>UN</v>
          </cell>
          <cell r="E6047">
            <v>25.11</v>
          </cell>
          <cell r="F6047">
            <v>0</v>
          </cell>
        </row>
        <row r="6048">
          <cell r="B6048">
            <v>89695</v>
          </cell>
          <cell r="C6048" t="str">
            <v>TÊ MISTURADOR, CPVC, SOLDÁVEL, DN15MM, INSTALADO EM RAMAL OU SUB-RAMAL DE ÁGUA FORNECIMENTO E INSTALAÇÃO. AF_06/2022</v>
          </cell>
          <cell r="D6048" t="str">
            <v>UN</v>
          </cell>
          <cell r="E6048">
            <v>20.72</v>
          </cell>
          <cell r="F6048">
            <v>0</v>
          </cell>
        </row>
        <row r="6049">
          <cell r="B6049">
            <v>89702</v>
          </cell>
          <cell r="C6049" t="str">
            <v>TÊ MISTURADOR, CPVC, SOLDÁVEL, DN22MM, INSTALADO EM RAMAL OU SUB-RAMAL DE ÁGUA FORNECIMENTO E INSTALAÇÃO. AF_06/2022</v>
          </cell>
          <cell r="D6049" t="str">
            <v>UN</v>
          </cell>
          <cell r="E6049">
            <v>26.57</v>
          </cell>
          <cell r="F6049">
            <v>0</v>
          </cell>
        </row>
        <row r="6050">
          <cell r="B6050">
            <v>89768</v>
          </cell>
          <cell r="C6050" t="str">
            <v>TÊ, CPVC, SOLDÁVEL, DN 28MM, INSTALADO EM RAMAL DE DISTRIBUIÇÃO DE ÁGUA - FORNECIMENTO E INSTALAÇÃO. AF_06/2022</v>
          </cell>
          <cell r="D6050" t="str">
            <v>UN</v>
          </cell>
          <cell r="E6050">
            <v>29.2</v>
          </cell>
          <cell r="F6050">
            <v>0</v>
          </cell>
        </row>
        <row r="6051">
          <cell r="B6051">
            <v>89842</v>
          </cell>
          <cell r="C6051" t="str">
            <v>TÊ, CPVC, SOLDÁVEL, DN 35MM, INSTALADO EM PRUMADA DE ÁGUA FORNECIMENTO E INSTALAÇÃO. AF_06/2022</v>
          </cell>
          <cell r="D6051" t="str">
            <v>UN</v>
          </cell>
          <cell r="E6051">
            <v>52.7</v>
          </cell>
          <cell r="F6051">
            <v>0</v>
          </cell>
        </row>
        <row r="6052">
          <cell r="B6052">
            <v>89845</v>
          </cell>
          <cell r="C6052" t="str">
            <v>TÊ, CPVC, SOLDÁVEL, DN 54 MM, INSTALADO EM PRUMADA DE ÁGUA FORNECIMENTO E INSTALAÇÃO. AF_06/2022</v>
          </cell>
          <cell r="D6052" t="str">
            <v>UN</v>
          </cell>
          <cell r="E6052">
            <v>102.8</v>
          </cell>
          <cell r="F6052">
            <v>0</v>
          </cell>
        </row>
        <row r="6053">
          <cell r="B6053">
            <v>89846</v>
          </cell>
          <cell r="C6053" t="str">
            <v>TÊ, CPVC, SOLDÁVEL, DN 73MM, INSTALADO EM PRUMADA DE ÁGUA FORNECIMENTO E INSTALAÇÃO. AF_06/2022</v>
          </cell>
          <cell r="D6053" t="str">
            <v>UN</v>
          </cell>
          <cell r="E6053">
            <v>217.02</v>
          </cell>
          <cell r="F6053">
            <v>0</v>
          </cell>
        </row>
        <row r="6054">
          <cell r="B6054">
            <v>89847</v>
          </cell>
          <cell r="C6054" t="str">
            <v>TÊ, CPVC, SOLDÁVEL, DN 89MM, INSTALADO EM PRUMADA DE ÁGUA FORNECIMENTO E INSTALAÇÃO. AF_06/2022</v>
          </cell>
          <cell r="D6054" t="str">
            <v>UN</v>
          </cell>
          <cell r="E6054">
            <v>258.7</v>
          </cell>
          <cell r="F6054">
            <v>0</v>
          </cell>
        </row>
        <row r="6055">
          <cell r="B6055">
            <v>89705</v>
          </cell>
          <cell r="C6055" t="str">
            <v>TÊ, CPVC, SOLDÁVEL, DN28MM, INSTALADO EM RAMAL OU SUB-RAMAL DE ÁGUA FORNECIMENTO E INSTALAÇÃO. AF_06/2022</v>
          </cell>
          <cell r="D6055" t="str">
            <v>UN</v>
          </cell>
          <cell r="E6055">
            <v>30.9</v>
          </cell>
          <cell r="F6055">
            <v>0</v>
          </cell>
        </row>
        <row r="6056">
          <cell r="B6056">
            <v>89769</v>
          </cell>
          <cell r="C6056" t="str">
            <v>TÊ, CPVC, SOLDÁVEL, DN35MM, INSTALADO EM RAMAL DE DISTRIBUIÇÃO DE ÁGUA - FORNECIMENTO E INSTALAÇÃO. AF_06/2022</v>
          </cell>
          <cell r="D6056" t="str">
            <v>UN</v>
          </cell>
          <cell r="E6056">
            <v>60.53</v>
          </cell>
          <cell r="F6056">
            <v>0</v>
          </cell>
        </row>
        <row r="6057">
          <cell r="B6057">
            <v>89706</v>
          </cell>
          <cell r="C6057" t="str">
            <v>TÊ, CPVC, SOLDÁVEL, DN35MM, INSTALADO EM RAMAL OU SUB-RAMAL DE ÁGUA FORNECIMENTO E INSTALAÇÃO. AF_06/2022</v>
          </cell>
          <cell r="D6057" t="str">
            <v>UN</v>
          </cell>
          <cell r="E6057">
            <v>62.54</v>
          </cell>
          <cell r="F6057">
            <v>0</v>
          </cell>
        </row>
        <row r="6058">
          <cell r="B6058">
            <v>89741</v>
          </cell>
          <cell r="C6058" t="str">
            <v>UNIÃO, CPVC, SOLDÁVEL, DN 22MM, INSTALADO EM RAMAL DE DISTRIBUIÇÃO DE ÁGUA FORNECIMENTO E INSTALAÇÃO. AF_06/2022</v>
          </cell>
          <cell r="D6058" t="str">
            <v>UN</v>
          </cell>
          <cell r="E6058">
            <v>24.94</v>
          </cell>
          <cell r="F6058">
            <v>0</v>
          </cell>
        </row>
        <row r="6059">
          <cell r="B6059">
            <v>89757</v>
          </cell>
          <cell r="C6059" t="str">
            <v>UNIÃO, CPVC, SOLDÁVEL, DN 28MM, INSTALADO EM RAMAL DE DISTRIBUIÇÃO DE ÁGUA FORNECIMENTO E INSTALAÇÃO. AF_06/2022</v>
          </cell>
          <cell r="D6059" t="str">
            <v>UN</v>
          </cell>
          <cell r="E6059">
            <v>32.28</v>
          </cell>
          <cell r="F6059">
            <v>0</v>
          </cell>
        </row>
        <row r="6060">
          <cell r="B6060">
            <v>104027</v>
          </cell>
          <cell r="C6060" t="str">
            <v>UNIÃO, CPVC, SOLDÁVEL, DN 42MM, INSTALADO EM RAMAL DE DISTRIBUIÇÃO DE ÁGUA FORNECIMENTO E INSTALAÇÃO. AF_06/2022</v>
          </cell>
          <cell r="D6060" t="str">
            <v>UN</v>
          </cell>
          <cell r="E6060">
            <v>65.98</v>
          </cell>
          <cell r="F6060">
            <v>0</v>
          </cell>
        </row>
        <row r="6061">
          <cell r="B6061">
            <v>89837</v>
          </cell>
          <cell r="C6061" t="str">
            <v>UNIÃO, CPVC, SOLDÁVEL, DN 54MM, INSTALADO EM PRUMADA DE ÁGUA FORNECIMENTO E INSTALAÇÃO. AF_06/2022</v>
          </cell>
          <cell r="D6061" t="str">
            <v>UN</v>
          </cell>
          <cell r="E6061">
            <v>134.82</v>
          </cell>
          <cell r="F6061">
            <v>0</v>
          </cell>
        </row>
        <row r="6062">
          <cell r="B6062">
            <v>89839</v>
          </cell>
          <cell r="C6062" t="str">
            <v>UNIÃO, CPVC, SOLDÁVEL, DN 73MM, INSTALADO EM PRUMADA DE ÁGUA FORNECIMENTO E INSTALAÇÃO. AF_06/2022</v>
          </cell>
          <cell r="D6062" t="str">
            <v>UN</v>
          </cell>
          <cell r="E6062">
            <v>175.24</v>
          </cell>
          <cell r="F6062">
            <v>0</v>
          </cell>
        </row>
        <row r="6063">
          <cell r="B6063">
            <v>89841</v>
          </cell>
          <cell r="C6063" t="str">
            <v>UNIÃO, CPVC, SOLDÁVEL, DN 89MM, INSTALADO EM PRUMADA DE ÁGUA FORNECIMENTO E INSTALAÇÃO. AF_06/2022</v>
          </cell>
          <cell r="D6063" t="str">
            <v>UN</v>
          </cell>
          <cell r="E6063">
            <v>265.11</v>
          </cell>
          <cell r="F6063">
            <v>0</v>
          </cell>
        </row>
        <row r="6064">
          <cell r="B6064">
            <v>89654</v>
          </cell>
          <cell r="C6064" t="str">
            <v>UNIÃO, CPVC, SOLDÁVEL, DN15MM, INSTALADO EM RAMAL OU SUB-RAMAL DE ÁGUA FORNECIMENTO E INSTALAÇÃO. AF_06/2022</v>
          </cell>
          <cell r="D6064" t="str">
            <v>UN</v>
          </cell>
          <cell r="E6064">
            <v>21.88</v>
          </cell>
          <cell r="F6064">
            <v>0</v>
          </cell>
        </row>
        <row r="6065">
          <cell r="B6065">
            <v>89661</v>
          </cell>
          <cell r="C6065" t="str">
            <v>UNIÃO, CPVC, SOLDÁVEL, DN22MM, INSTALADO EM RAMAL OU SUB-RAMAL DE ÁGUA FORNECIMENTO E INSTALAÇÃO. AF_06/2022</v>
          </cell>
          <cell r="D6065" t="str">
            <v>UN</v>
          </cell>
          <cell r="E6065">
            <v>25.67</v>
          </cell>
          <cell r="F6065">
            <v>0</v>
          </cell>
        </row>
        <row r="6066">
          <cell r="B6066">
            <v>89674</v>
          </cell>
          <cell r="C6066" t="str">
            <v>UNIÃO, CPVC, SOLDÁVEL, DN28MM, INSTALADO EM RAMAL OU SUB-RAMAL DE ÁGUA FORNECIMENTO E INSTALAÇÃO. AF_06/2022</v>
          </cell>
          <cell r="D6066" t="str">
            <v>UN</v>
          </cell>
          <cell r="E6066">
            <v>33.14</v>
          </cell>
          <cell r="F6066">
            <v>0</v>
          </cell>
        </row>
        <row r="6067">
          <cell r="B6067">
            <v>89816</v>
          </cell>
          <cell r="C6067" t="str">
            <v>UNIÃO, CPVC, SOLDÁVEL, DN35MM, INSTALADO EM PRUMADA DE ÁGUA FORNECIMENTO E INSTALAÇÃO. AF_06/2022</v>
          </cell>
          <cell r="D6067" t="str">
            <v>UN</v>
          </cell>
          <cell r="E6067">
            <v>42.48</v>
          </cell>
          <cell r="F6067">
            <v>0</v>
          </cell>
        </row>
        <row r="6068">
          <cell r="B6068">
            <v>89762</v>
          </cell>
          <cell r="C6068" t="str">
            <v>UNIÃO, CPVC, SOLDÁVEL, DN35MM, INSTALADO EM RAMAL DE DISTRIBUIÇÃO DE ÁGUA - FORNECIMENTO E INSTALAÇÃO. AF_06/2022</v>
          </cell>
          <cell r="D6068" t="str">
            <v>UN</v>
          </cell>
          <cell r="E6068">
            <v>46.4</v>
          </cell>
          <cell r="F6068">
            <v>0</v>
          </cell>
        </row>
        <row r="6069">
          <cell r="B6069">
            <v>89684</v>
          </cell>
          <cell r="C6069" t="str">
            <v>UNIÃO, CPVC, SOLDÁVEL, DN35MM, INSTALADO EM RAMAL OU SUB-RAMAL DE ÁGUA FORNECIMENTO E INSTALAÇÃO. AF_06/2022</v>
          </cell>
          <cell r="D6069" t="str">
            <v>UN</v>
          </cell>
          <cell r="E6069">
            <v>47.4</v>
          </cell>
          <cell r="F6069">
            <v>0</v>
          </cell>
        </row>
        <row r="6070">
          <cell r="B6070">
            <v>89828</v>
          </cell>
          <cell r="C6070" t="str">
            <v>UNIÃO, CPVC, SOLDÁVEL, DN42MM, INSTALADO EM PRUMADA DE ÁGUA FORNECIMENTO E INSTALAÇÃO. AF_06/2022</v>
          </cell>
          <cell r="D6070" t="str">
            <v>UN</v>
          </cell>
          <cell r="E6070">
            <v>61.55</v>
          </cell>
          <cell r="F6070">
            <v>0</v>
          </cell>
        </row>
        <row r="6071">
          <cell r="B6071">
            <v>89546</v>
          </cell>
          <cell r="C6071" t="str">
            <v>BUCHA DE REDUÇÃO LONGA, PVC, SERIE R, ÁGUA PLUVIAL, DN 50 X 40 MM, JUNTA ELÁSTICA, FORNECIDO E INSTALADO EM RAMAL DE ENCAMINHAMENTO. AF_06/2022</v>
          </cell>
          <cell r="D6071" t="str">
            <v>UN</v>
          </cell>
          <cell r="E6071">
            <v>12.4</v>
          </cell>
          <cell r="F6071">
            <v>0</v>
          </cell>
        </row>
        <row r="6072">
          <cell r="B6072">
            <v>89482</v>
          </cell>
          <cell r="C6072" t="str">
            <v>CAIXA SIFONADA, PVC, DN 100 X 100 X 50 MM, FORNECIDA E INSTALADA EM RAMAIS DE ENCAMINHAMENTO DE ÁGUA PLUVIAL. AF_06/2022</v>
          </cell>
          <cell r="D6072" t="str">
            <v>UN</v>
          </cell>
          <cell r="E6072">
            <v>45.95</v>
          </cell>
          <cell r="F6072">
            <v>0</v>
          </cell>
        </row>
        <row r="6073">
          <cell r="B6073">
            <v>89491</v>
          </cell>
          <cell r="C6073" t="str">
            <v>CAIXA SIFONADA, PVC, DN 150 X 185 X 75 MM, FORNECIDA E INSTALADA EM RAMAIS DE ENCAMINHAMENTO DE ÁGUA PLUVIAL. AF_06/2022</v>
          </cell>
          <cell r="D6073" t="str">
            <v>UN</v>
          </cell>
          <cell r="E6073">
            <v>111.22</v>
          </cell>
          <cell r="F6073">
            <v>0</v>
          </cell>
        </row>
        <row r="6074">
          <cell r="B6074">
            <v>104178</v>
          </cell>
          <cell r="C6074" t="str">
            <v>CAP, PVC, SERIE R, ÁGUA PLUVIAL, DN 100 MM, JUNTA ELÁSTICA, FORNECIDO E INSTALADO EM RAMAL DE ENCAMINHAMENTO. AF_06/2022</v>
          </cell>
          <cell r="D6074" t="str">
            <v>UN</v>
          </cell>
          <cell r="E6074">
            <v>24.7</v>
          </cell>
          <cell r="F6074">
            <v>0</v>
          </cell>
        </row>
        <row r="6075">
          <cell r="B6075">
            <v>104179</v>
          </cell>
          <cell r="C6075" t="str">
            <v>CAP, PVC, SERIE R, ÁGUA PLUVIAL, DN 150 MM, JUNTA ELÁSTICA, FORNECIDO E INSTALADO EM RAMAL DE ENCAMINHAMENTO. AF_06/2022</v>
          </cell>
          <cell r="D6075" t="str">
            <v>UN</v>
          </cell>
          <cell r="E6075">
            <v>94</v>
          </cell>
          <cell r="F6075">
            <v>0</v>
          </cell>
        </row>
        <row r="6076">
          <cell r="B6076">
            <v>89587</v>
          </cell>
          <cell r="C6076" t="str">
            <v>CURVA 87 GRAUS E 30 MINUTOS, PVC, SERIE R, ÁGUA PLUVIAL, DN 100 MM, JUNTA ELÁSTICA, FORNECIDO E INSTALADO EM CONDUTORES VERTICAIS DE ÁGUAS PLUVIAIS. AF_06/2022</v>
          </cell>
          <cell r="D6076" t="str">
            <v>UN</v>
          </cell>
          <cell r="E6076">
            <v>58.9</v>
          </cell>
          <cell r="F6076">
            <v>0</v>
          </cell>
        </row>
        <row r="6077">
          <cell r="B6077">
            <v>89535</v>
          </cell>
          <cell r="C6077" t="str">
            <v>CURVA 87 GRAUS E 30 MINUTOS, PVC, SERIE R, ÁGUA PLUVIAL, DN 100 MM, JUNTA ELÁSTICA, FORNECIDO E INSTALADO EM RAMAL DE ENCAMINHAMENTO. AF_06/2022</v>
          </cell>
          <cell r="D6077" t="str">
            <v>UN</v>
          </cell>
          <cell r="E6077">
            <v>48.29</v>
          </cell>
          <cell r="F6077">
            <v>0</v>
          </cell>
        </row>
        <row r="6078">
          <cell r="B6078">
            <v>89592</v>
          </cell>
          <cell r="C6078" t="str">
            <v>CURVA 87 GRAUS E 30 MINUTOS, PVC, SERIE R, ÁGUA PLUVIAL, DN 150 MM, JUNTA ELÁSTICA, FORNECIDO E INSTALADO EM CONDUTORES VERTICAIS DE ÁGUAS PLUVIAIS. AF_06/2022</v>
          </cell>
          <cell r="D6078" t="str">
            <v>UN</v>
          </cell>
          <cell r="E6078">
            <v>182.08</v>
          </cell>
          <cell r="F6078">
            <v>0</v>
          </cell>
        </row>
        <row r="6079">
          <cell r="B6079">
            <v>104169</v>
          </cell>
          <cell r="C6079" t="str">
            <v>CURVA 87 GRAUS E 30 MINUTOS, PVC, SERIE R, ÁGUA PLUVIAL, DN 150 MM, JUNTA ELÁSTICA, FORNECIDO E INSTALADO EM RAMAL DE ENCAMINHAMENTO. AF_06/2022</v>
          </cell>
          <cell r="D6079" t="str">
            <v>UN</v>
          </cell>
          <cell r="E6079">
            <v>166.52</v>
          </cell>
          <cell r="F6079">
            <v>0</v>
          </cell>
        </row>
        <row r="6080">
          <cell r="B6080">
            <v>89583</v>
          </cell>
          <cell r="C6080" t="str">
            <v>CURVA 87 GRAUS E 30 MINUTOS, PVC, SERIE R, ÁGUA PLUVIAL, DN 75 MM, JUNTA ELÁSTICA, FORNECIDO E INSTALADO EM CONDUTORES VERTICAIS DE ÁGUAS PLUVIAIS. AF_06/2022</v>
          </cell>
          <cell r="D6080" t="str">
            <v>UN</v>
          </cell>
          <cell r="E6080">
            <v>50.21</v>
          </cell>
          <cell r="F6080">
            <v>0</v>
          </cell>
        </row>
        <row r="6081">
          <cell r="B6081">
            <v>89526</v>
          </cell>
          <cell r="C6081" t="str">
            <v>CURVA 87 GRAUS E 30 MINUTOS, PVC, SERIE R, ÁGUA PLUVIAL, DN 75 MM, JUNTA ELÁSTICA, FORNECIDO E INSTALADO EM RAMAL DE ENCAMINHAMENTO. AF_06/2022</v>
          </cell>
          <cell r="D6081" t="str">
            <v>UN</v>
          </cell>
          <cell r="E6081">
            <v>44.35</v>
          </cell>
          <cell r="F6081">
            <v>0</v>
          </cell>
        </row>
        <row r="6082">
          <cell r="B6082">
            <v>95695</v>
          </cell>
          <cell r="C6082" t="str">
            <v>CURVA 90 GRAUS, PVC, SERIE R, ÁGUA PLUVIAL, DN 100 MM, JUNTA ELÁSTICA, FORNECIDO E INSTALADO EM CONDUTORES VERTICAIS DE ÁGUAS PLUVIAIS. AF_06/2022</v>
          </cell>
          <cell r="D6082" t="str">
            <v>UN</v>
          </cell>
          <cell r="E6082">
            <v>71.66</v>
          </cell>
          <cell r="F6082">
            <v>0</v>
          </cell>
        </row>
        <row r="6083">
          <cell r="B6083">
            <v>95694</v>
          </cell>
          <cell r="C6083" t="str">
            <v>CURVA 90 GRAUS, PVC, SERIE R, ÁGUA PLUVIAL, DN 100 MM, JUNTA ELÁSTICA, FORNECIDO E INSTALADO EM RAMAL DE ENCAMINHAMENTO. AF_06/2022</v>
          </cell>
          <cell r="D6083" t="str">
            <v>UN</v>
          </cell>
          <cell r="E6083">
            <v>61.05</v>
          </cell>
          <cell r="F6083">
            <v>0</v>
          </cell>
        </row>
        <row r="6084">
          <cell r="B6084">
            <v>89585</v>
          </cell>
          <cell r="C6084" t="str">
            <v>JOELHO 45 GRAUS, PVC, SERIE R, ÁGUA PLUVIAL, DN 100 MM, JUNTA ELÁSTICA, FORNECIDO E INSTALADO EM CONDUTORES VERTICAIS DE ÁGUAS PLUVIAIS. AF_06/2022</v>
          </cell>
          <cell r="D6084" t="str">
            <v>UN</v>
          </cell>
          <cell r="E6084">
            <v>53.61</v>
          </cell>
          <cell r="F6084">
            <v>0</v>
          </cell>
        </row>
        <row r="6085">
          <cell r="B6085">
            <v>89531</v>
          </cell>
          <cell r="C6085" t="str">
            <v>JOELHO 45 GRAUS, PVC, SERIE R, ÁGUA PLUVIAL, DN 100 MM, JUNTA ELÁSTICA, FORNECIDO E INSTALADO EM RAMAL DE ENCAMINHAMENTO. AF_06/2022</v>
          </cell>
          <cell r="D6085" t="str">
            <v>UN</v>
          </cell>
          <cell r="E6085">
            <v>43</v>
          </cell>
          <cell r="F6085">
            <v>0</v>
          </cell>
        </row>
        <row r="6086">
          <cell r="B6086">
            <v>89591</v>
          </cell>
          <cell r="C6086" t="str">
            <v>JOELHO 45 GRAUS, PVC, SERIE R, ÁGUA PLUVIAL, DN 150 MM, JUNTA ELÁSTICA, FORNECIDO E INSTALADO EM CONDUTORES VERTICAIS DE ÁGUAS PLUVIAIS. AF_06/2022</v>
          </cell>
          <cell r="D6086" t="str">
            <v>UN</v>
          </cell>
          <cell r="E6086">
            <v>148.97999999999999</v>
          </cell>
          <cell r="F6086">
            <v>0</v>
          </cell>
        </row>
        <row r="6087">
          <cell r="B6087">
            <v>104168</v>
          </cell>
          <cell r="C6087" t="str">
            <v>JOELHO 45 GRAUS, PVC, SERIE R, ÁGUA PLUVIAL, DN 150 MM, JUNTA ELÁSTICA, FORNECIDO E INSTALADO EM RAMAL DE ENCAMINHAMENTO. AF_06/2022</v>
          </cell>
          <cell r="D6087" t="str">
            <v>UN</v>
          </cell>
          <cell r="E6087">
            <v>133.41999999999999</v>
          </cell>
          <cell r="F6087">
            <v>0</v>
          </cell>
        </row>
        <row r="6088">
          <cell r="B6088">
            <v>89516</v>
          </cell>
          <cell r="C6088" t="str">
            <v>JOELHO 45 GRAUS, PVC, SERIE R, ÁGUA PLUVIAL, DN 40 MM, JUNTA SOLDÁVEL, FORNECIDO E INSTALADO EM RAMAL DE ENCAMINHAMENTO. AF_06/2022</v>
          </cell>
          <cell r="D6088" t="str">
            <v>UN</v>
          </cell>
          <cell r="E6088">
            <v>10</v>
          </cell>
          <cell r="F6088">
            <v>0</v>
          </cell>
        </row>
        <row r="6089">
          <cell r="B6089">
            <v>89520</v>
          </cell>
          <cell r="C6089" t="str">
            <v>JOELHO 45 GRAUS, PVC, SERIE R, ÁGUA PLUVIAL, DN 50 MM, JUNTA ELÁSTICA, FORNECIDO E INSTALADO EM RAMAL DE ENCAMINHAMENTO. AF_06/2022</v>
          </cell>
          <cell r="D6089" t="str">
            <v>UN</v>
          </cell>
          <cell r="E6089">
            <v>17.63</v>
          </cell>
          <cell r="F6089">
            <v>0</v>
          </cell>
        </row>
        <row r="6090">
          <cell r="B6090">
            <v>89582</v>
          </cell>
          <cell r="C6090" t="str">
            <v>JOELHO 45 GRAUS, PVC, SERIE R, ÁGUA PLUVIAL, DN 75 MM, JUNTA ELÁSTICA, FORNECIDO E INSTALADO EM CONDUTORES VERTICAIS DE ÁGUAS PLUVIAIS. AF_06/2022</v>
          </cell>
          <cell r="D6090" t="str">
            <v>UN</v>
          </cell>
          <cell r="E6090">
            <v>40.11</v>
          </cell>
          <cell r="F6090">
            <v>0</v>
          </cell>
        </row>
        <row r="6091">
          <cell r="B6091">
            <v>89524</v>
          </cell>
          <cell r="C6091" t="str">
            <v>JOELHO 45 GRAUS, PVC, SERIE R, ÁGUA PLUVIAL, DN 75 MM, JUNTA ELÁSTICA, FORNECIDO E INSTALADO EM RAMAL DE ENCAMINHAMENTO. AF_06/2022</v>
          </cell>
          <cell r="D6091" t="str">
            <v>UN</v>
          </cell>
          <cell r="E6091">
            <v>34.25</v>
          </cell>
          <cell r="F6091">
            <v>0</v>
          </cell>
        </row>
        <row r="6092">
          <cell r="B6092">
            <v>89584</v>
          </cell>
          <cell r="C6092" t="str">
            <v>JOELHO 90 GRAUS, PVC, SERIE R, ÁGUA PLUVIAL, DN 100 MM, JUNTA ELÁSTICA, FORNECIDO E INSTALADO EM CONDUTORES VERTICAIS DE ÁGUAS PLUVIAIS. AF_06/2022</v>
          </cell>
          <cell r="D6092" t="str">
            <v>UN</v>
          </cell>
          <cell r="E6092">
            <v>52.38</v>
          </cell>
          <cell r="F6092">
            <v>0</v>
          </cell>
        </row>
        <row r="6093">
          <cell r="B6093">
            <v>89529</v>
          </cell>
          <cell r="C6093" t="str">
            <v>JOELHO 90 GRAUS, PVC, SERIE R, ÁGUA PLUVIAL, DN 100 MM, JUNTA ELÁSTICA, FORNECIDO E INSTALADO EM RAMAL DE ENCAMINHAMENTO. AF_06/2022</v>
          </cell>
          <cell r="D6093" t="str">
            <v>UN</v>
          </cell>
          <cell r="E6093">
            <v>41.77</v>
          </cell>
          <cell r="F6093">
            <v>0</v>
          </cell>
        </row>
        <row r="6094">
          <cell r="B6094">
            <v>89590</v>
          </cell>
          <cell r="C6094" t="str">
            <v>JOELHO 90 GRAUS, PVC, SERIE R, ÁGUA PLUVIAL, DN 150 MM, JUNTA ELÁSTICA, FORNECIDO E INSTALADO EM CONDUTORES VERTICAIS DE ÁGUAS PLUVIAIS. AF_06/2022</v>
          </cell>
          <cell r="D6094" t="str">
            <v>UN</v>
          </cell>
          <cell r="E6094">
            <v>152.75</v>
          </cell>
          <cell r="F6094">
            <v>0</v>
          </cell>
        </row>
        <row r="6095">
          <cell r="B6095">
            <v>104167</v>
          </cell>
          <cell r="C6095" t="str">
            <v>JOELHO 90 GRAUS, PVC, SERIE R, ÁGUA PLUVIAL, DN 150 MM, JUNTA ELÁSTICA, FORNECIDO E INSTALADO EM RAMAL DE ENCAMINHAMENTO. AF_06/2022</v>
          </cell>
          <cell r="D6095" t="str">
            <v>UN</v>
          </cell>
          <cell r="E6095">
            <v>137.19</v>
          </cell>
          <cell r="F6095">
            <v>0</v>
          </cell>
        </row>
        <row r="6096">
          <cell r="B6096">
            <v>89514</v>
          </cell>
          <cell r="C6096" t="str">
            <v>JOELHO 90 GRAUS, PVC, SERIE R, ÁGUA PLUVIAL, DN 40 MM, JUNTA SOLDÁVEL, FORNECIDO E INSTALADO EM RAMAL DE ENCAMINHAMENTO. AF_06/2022</v>
          </cell>
          <cell r="D6096" t="str">
            <v>UN</v>
          </cell>
          <cell r="E6096">
            <v>9.9</v>
          </cell>
          <cell r="F6096">
            <v>0</v>
          </cell>
        </row>
        <row r="6097">
          <cell r="B6097">
            <v>89518</v>
          </cell>
          <cell r="C6097" t="str">
            <v>JOELHO 90 GRAUS, PVC, SERIE R, ÁGUA PLUVIAL, DN 50 MM, JUNTA ELÁSTICA, FORNECIDO E INSTALADO EM RAMAL DE ENCAMINHAMENTO. AF_06/2022</v>
          </cell>
          <cell r="D6097" t="str">
            <v>UN</v>
          </cell>
          <cell r="E6097">
            <v>16.760000000000002</v>
          </cell>
          <cell r="F6097">
            <v>0</v>
          </cell>
        </row>
        <row r="6098">
          <cell r="B6098">
            <v>89581</v>
          </cell>
          <cell r="C6098" t="str">
            <v>JOELHO 90 GRAUS, PVC, SERIE R, ÁGUA PLUVIAL, DN 75 MM, JUNTA ELÁSTICA, FORNECIDO E INSTALADO EM CONDUTORES VERTICAIS DE ÁGUAS PLUVIAIS. AF_06/2022</v>
          </cell>
          <cell r="D6098" t="str">
            <v>UN</v>
          </cell>
          <cell r="E6098">
            <v>39.56</v>
          </cell>
          <cell r="F6098">
            <v>0</v>
          </cell>
        </row>
        <row r="6099">
          <cell r="B6099">
            <v>89522</v>
          </cell>
          <cell r="C6099" t="str">
            <v>JOELHO 90 GRAUS, PVC, SERIE R, ÁGUA PLUVIAL, DN 75 MM, JUNTA ELÁSTICA, FORNECIDO E INSTALADO EM RAMAL DE ENCAMINHAMENTO. AF_06/2022</v>
          </cell>
          <cell r="D6099" t="str">
            <v>UN</v>
          </cell>
          <cell r="E6099">
            <v>33.700000000000003</v>
          </cell>
          <cell r="F6099">
            <v>0</v>
          </cell>
        </row>
        <row r="6100">
          <cell r="B6100">
            <v>89574</v>
          </cell>
          <cell r="C6100" t="str">
            <v>JUNÇÃO DUPLA, PVC, SERIE R, ÁGUA PLUVIAL, DN 100 X 100 X 100 MM, JUNTA ELÁSTICA, FORNECIDO E INSTALADO EM RAMAL DE ENCAMINHAMENTO. AF_06/2022</v>
          </cell>
          <cell r="D6100" t="str">
            <v>UN</v>
          </cell>
          <cell r="E6100">
            <v>177.74</v>
          </cell>
          <cell r="F6100">
            <v>0</v>
          </cell>
        </row>
        <row r="6101">
          <cell r="B6101">
            <v>89690</v>
          </cell>
          <cell r="C6101" t="str">
            <v>JUNÇÃO SIMPLES, PVC, SERIE R, ÁGUA PLUVIAL, DN 100 X 100 MM, JUNTA ELÁSTICA, FORNECIDO E INSTALADO EM CONDUTORES VERTICAIS DE ÁGUAS PLUVIAIS. AF_06/2022</v>
          </cell>
          <cell r="D6101" t="str">
            <v>UN</v>
          </cell>
          <cell r="E6101">
            <v>105.32</v>
          </cell>
          <cell r="F6101">
            <v>0</v>
          </cell>
        </row>
        <row r="6102">
          <cell r="B6102">
            <v>89567</v>
          </cell>
          <cell r="C6102" t="str">
            <v>JUNÇÃO SIMPLES, PVC, SERIE R, ÁGUA PLUVIAL, DN 100 X 100 MM, JUNTA ELÁSTICA, FORNECIDO E INSTALADO EM RAMAL DE ENCAMINHAMENTO. AF_06/2022</v>
          </cell>
          <cell r="D6102" t="str">
            <v>UN</v>
          </cell>
          <cell r="E6102">
            <v>91.18</v>
          </cell>
          <cell r="F6102">
            <v>0</v>
          </cell>
        </row>
        <row r="6103">
          <cell r="B6103">
            <v>89692</v>
          </cell>
          <cell r="C6103" t="str">
            <v>JUNÇÃO SIMPLES, PVC, SERIE R, ÁGUA PLUVIAL, DN 100 X 75 MM, JUNTA ELÁSTICA, FORNECIDO E INSTALADO EM CONDUTORES VERTICAIS DE ÁGUAS PLUVIAIS. AF_06/2022</v>
          </cell>
          <cell r="D6103" t="str">
            <v>UN</v>
          </cell>
          <cell r="E6103">
            <v>119.05</v>
          </cell>
          <cell r="F6103">
            <v>0</v>
          </cell>
        </row>
        <row r="6104">
          <cell r="B6104">
            <v>89569</v>
          </cell>
          <cell r="C6104" t="str">
            <v>JUNÇÃO SIMPLES, PVC, SERIE R, ÁGUA PLUVIAL, DN 100 X 75 MM, JUNTA ELÁSTICA, FORNECIDO E INSTALADO EM RAMAL DE ENCAMINHAMENTO. AF_06/2022</v>
          </cell>
          <cell r="D6104" t="str">
            <v>UN</v>
          </cell>
          <cell r="E6104">
            <v>107.01</v>
          </cell>
          <cell r="F6104">
            <v>0</v>
          </cell>
        </row>
        <row r="6105">
          <cell r="B6105">
            <v>89699</v>
          </cell>
          <cell r="C6105" t="str">
            <v>JUNÇÃO SIMPLES, PVC, SERIE R, ÁGUA PLUVIAL, DN 150 X 100 MM, JUNTA ELÁSTICA, FORNECIDO E INSTALADO EM CONDUTORES VERTICAIS DE ÁGUAS PLUVIAIS. AF_06/2022</v>
          </cell>
          <cell r="D6105" t="str">
            <v>UN</v>
          </cell>
          <cell r="E6105">
            <v>230.33</v>
          </cell>
          <cell r="F6105">
            <v>0</v>
          </cell>
        </row>
        <row r="6106">
          <cell r="B6106">
            <v>104174</v>
          </cell>
          <cell r="C6106" t="str">
            <v>JUNÇÃO SIMPLES, PVC, SERIE R, ÁGUA PLUVIAL, DN 150 X 100 MM, JUNTA ELÁSTICA, FORNECIDO E INSTALADO EM RAMAL DE ENCAMINHAMENTO. AF_06/2022</v>
          </cell>
          <cell r="D6106" t="str">
            <v>UN</v>
          </cell>
          <cell r="E6106">
            <v>213.96</v>
          </cell>
          <cell r="F6106">
            <v>0</v>
          </cell>
        </row>
        <row r="6107">
          <cell r="B6107">
            <v>89698</v>
          </cell>
          <cell r="C6107" t="str">
            <v>JUNÇÃO SIMPLES, PVC, SERIE R, ÁGUA PLUVIAL, DN 150 X 150 MM, JUNTA ELÁSTICA, FORNECIDO E INSTALADO EM CONDUTORES VERTICAIS DE ÁGUAS PLUVIAIS. AF_06/2022</v>
          </cell>
          <cell r="D6107" t="str">
            <v>UN</v>
          </cell>
          <cell r="E6107">
            <v>304.01</v>
          </cell>
          <cell r="F6107">
            <v>0</v>
          </cell>
        </row>
        <row r="6108">
          <cell r="B6108">
            <v>104176</v>
          </cell>
          <cell r="C6108" t="str">
            <v>JUNÇÃO SIMPLES, PVC, SERIE R, ÁGUA PLUVIAL, DN 150 X 150 MM, JUNTA ELÁSTICA, FORNECIDO E INSTALADO EM RAMAL DE ENCAMINHAMENTO. AF_06/2022</v>
          </cell>
          <cell r="D6108" t="str">
            <v>UN</v>
          </cell>
          <cell r="E6108">
            <v>283.26</v>
          </cell>
          <cell r="F6108">
            <v>0</v>
          </cell>
        </row>
        <row r="6109">
          <cell r="B6109">
            <v>89561</v>
          </cell>
          <cell r="C6109" t="str">
            <v>JUNÇÃO SIMPLES, PVC, SERIE R, ÁGUA PLUVIAL, DN 40 MM, JUNTA SOLDÁVEL, FORNECIDO E INSTALADO EM RAMAL DE ENCAMINHAMENTO. AF_06/2022</v>
          </cell>
          <cell r="D6109" t="str">
            <v>UN</v>
          </cell>
          <cell r="E6109">
            <v>17.46</v>
          </cell>
          <cell r="F6109">
            <v>0</v>
          </cell>
        </row>
        <row r="6110">
          <cell r="B6110">
            <v>89563</v>
          </cell>
          <cell r="C6110" t="str">
            <v>JUNÇÃO SIMPLES, PVC, SERIE R, ÁGUA PLUVIAL, DN 50 MM, JUNTA ELÁSTICA, FORNECIDO E INSTALADO EM RAMAL DE ENCAMINHAMENTO. AF_06/2022</v>
          </cell>
          <cell r="D6110" t="str">
            <v>UN</v>
          </cell>
          <cell r="E6110">
            <v>38.83</v>
          </cell>
          <cell r="F6110">
            <v>0</v>
          </cell>
        </row>
        <row r="6111">
          <cell r="B6111">
            <v>89685</v>
          </cell>
          <cell r="C6111" t="str">
            <v>JUNÇÃO SIMPLES, PVC, SERIE R, ÁGUA PLUVIAL, DN 75 X 75 MM, JUNTA ELÁSTICA, FORNECIDO E INSTALADO EM CONDUTORES VERTICAIS DE ÁGUAS PLUVIAIS. AF_06/2022</v>
          </cell>
          <cell r="D6111" t="str">
            <v>UN</v>
          </cell>
          <cell r="E6111">
            <v>71.25</v>
          </cell>
          <cell r="F6111">
            <v>0</v>
          </cell>
        </row>
        <row r="6112">
          <cell r="B6112">
            <v>89565</v>
          </cell>
          <cell r="C6112" t="str">
            <v>JUNÇÃO SIMPLES, PVC, SERIE R, ÁGUA PLUVIAL, DN 75 X 75 MM, JUNTA ELÁSTICA, FORNECIDO E INSTALADO EM RAMAL DE ENCAMINHAMENTO. AF_06/2022</v>
          </cell>
          <cell r="D6112" t="str">
            <v>UN</v>
          </cell>
          <cell r="E6112">
            <v>63.44</v>
          </cell>
          <cell r="F6112">
            <v>0</v>
          </cell>
        </row>
        <row r="6113">
          <cell r="B6113">
            <v>89671</v>
          </cell>
          <cell r="C6113" t="str">
            <v>LUVA DE CORRER, PVC, SERIE R, ÁGUA PLUVIAL, DN 100 MM, JUNTA ELÁSTICA, FORNECIDO E INSTALADO EM CONDUTORES VERTICAIS DE ÁGUAS PLUVIAIS. AF_06/2022</v>
          </cell>
          <cell r="D6113" t="str">
            <v>UN</v>
          </cell>
          <cell r="E6113">
            <v>51.8</v>
          </cell>
          <cell r="F6113">
            <v>0</v>
          </cell>
        </row>
        <row r="6114">
          <cell r="B6114">
            <v>89556</v>
          </cell>
          <cell r="C6114" t="str">
            <v>LUVA DE CORRER, PVC, SERIE R, ÁGUA PLUVIAL, DN 100 MM, JUNTA ELÁSTICA, FORNECIDO E INSTALADO EM RAMAL DE ENCAMINHAMENTO. AF_06/2022</v>
          </cell>
          <cell r="D6114" t="str">
            <v>UN</v>
          </cell>
          <cell r="E6114">
            <v>44.71</v>
          </cell>
          <cell r="F6114">
            <v>0</v>
          </cell>
        </row>
        <row r="6115">
          <cell r="B6115">
            <v>89679</v>
          </cell>
          <cell r="C6115" t="str">
            <v>LUVA DE CORRER, PVC, SERIE R, ÁGUA PLUVIAL, DN 150 MM, JUNTA ELÁSTICA, FORNECIDO E INSTALADO EM CONDUTORES VERTICAIS DE ÁGUAS PLUVIAIS. AF_06/2022</v>
          </cell>
          <cell r="D6115" t="str">
            <v>UN</v>
          </cell>
          <cell r="E6115">
            <v>138.5</v>
          </cell>
          <cell r="F6115">
            <v>0</v>
          </cell>
        </row>
        <row r="6116">
          <cell r="B6116">
            <v>104171</v>
          </cell>
          <cell r="C6116" t="str">
            <v>LUVA DE CORRER, PVC, SERIE R, ÁGUA PLUVIAL, DN 150 MM, JUNTA ELÁSTICA, FORNECIDO E INSTALADO EM RAMAL DE ENCAMINHAMENTO. AF_06/2022</v>
          </cell>
          <cell r="D6116" t="str">
            <v>UN</v>
          </cell>
          <cell r="E6116">
            <v>111.62</v>
          </cell>
          <cell r="F6116">
            <v>0</v>
          </cell>
        </row>
        <row r="6117">
          <cell r="B6117">
            <v>89600</v>
          </cell>
          <cell r="C6117" t="str">
            <v>LUVA DE CORRER, PVC, SERIE R, ÁGUA PLUVIAL, DN 75 MM, JUNTA ELÁSTICA, FORNECIDO E INSTALADO EM CONDUTORES VERTICAIS DE ÁGUAS PLUVIAIS. AF_06/2022</v>
          </cell>
          <cell r="D6117" t="str">
            <v>UN</v>
          </cell>
          <cell r="E6117">
            <v>29.22</v>
          </cell>
          <cell r="F6117">
            <v>0</v>
          </cell>
        </row>
        <row r="6118">
          <cell r="B6118">
            <v>89548</v>
          </cell>
          <cell r="C6118" t="str">
            <v>LUVA DE CORRER, PVC, SERIE R, ÁGUA PLUVIAL, DN 75 MM, JUNTA ELÁSTICA, FORNECIDO E INSTALADO EM RAMAL DE ENCAMINHAMENTO. AF_06/2022</v>
          </cell>
          <cell r="D6118" t="str">
            <v>UN</v>
          </cell>
          <cell r="E6118">
            <v>25.31</v>
          </cell>
          <cell r="F6118">
            <v>0</v>
          </cell>
        </row>
        <row r="6119">
          <cell r="B6119">
            <v>89669</v>
          </cell>
          <cell r="C6119" t="str">
            <v>LUVA SIMPLES, PVC, SERIE R, ÁGUA PLUVIAL, DN 100 MM, JUNTA ELÁSTICA, FORNECIDO E INSTALADO EM CONDUTORES VERTICAIS DE ÁGUAS PLUVIAIS. AF_06/2022</v>
          </cell>
          <cell r="D6119" t="str">
            <v>UN</v>
          </cell>
          <cell r="E6119">
            <v>38.53</v>
          </cell>
          <cell r="F6119">
            <v>0</v>
          </cell>
        </row>
        <row r="6120">
          <cell r="B6120">
            <v>89554</v>
          </cell>
          <cell r="C6120" t="str">
            <v>LUVA SIMPLES, PVC, SERIE R, ÁGUA PLUVIAL, DN 100 MM, JUNTA ELÁSTICA, FORNECIDO E INSTALADO EM RAMAL DE ENCAMINHAMENTO. AF_06/2022</v>
          </cell>
          <cell r="D6120" t="str">
            <v>UN</v>
          </cell>
          <cell r="E6120">
            <v>31.4</v>
          </cell>
          <cell r="F6120">
            <v>0</v>
          </cell>
        </row>
        <row r="6121">
          <cell r="B6121">
            <v>89677</v>
          </cell>
          <cell r="C6121" t="str">
            <v>LUVA SIMPLES, PVC, SERIE R, ÁGUA PLUVIAL, DN 150 MM, JUNTA ELÁSTICA, FORNECIDO E INSTALADO EM CONDUTORES VERTICAIS DE ÁGUAS PLUVIAIS. AF_06/2022</v>
          </cell>
          <cell r="D6121" t="str">
            <v>UN</v>
          </cell>
          <cell r="E6121">
            <v>88.37</v>
          </cell>
          <cell r="F6121">
            <v>0</v>
          </cell>
        </row>
        <row r="6122">
          <cell r="B6122">
            <v>104170</v>
          </cell>
          <cell r="C6122" t="str">
            <v>LUVA SIMPLES, PVC, SERIE R, ÁGUA PLUVIAL, DN 150 MM, JUNTA ELÁSTICA, FORNECIDO E INSTALADO EM RAMAL DE ENCAMINHAMENTO. AF_06/2022</v>
          </cell>
          <cell r="D6122" t="str">
            <v>UN</v>
          </cell>
          <cell r="E6122">
            <v>77.790000000000006</v>
          </cell>
          <cell r="F6122">
            <v>0</v>
          </cell>
        </row>
        <row r="6123">
          <cell r="B6123">
            <v>89544</v>
          </cell>
          <cell r="C6123" t="str">
            <v>LUVA SIMPLES, PVC, SERIE R, ÁGUA PLUVIAL, DN 40 MM, JUNTA SOLDÁVEL, FORNECIDO E INSTALADO EM RAMAL DE ENCAMINHAMENTO. AF_06/2022</v>
          </cell>
          <cell r="D6123" t="str">
            <v>UN</v>
          </cell>
          <cell r="E6123">
            <v>9.92</v>
          </cell>
          <cell r="F6123">
            <v>0</v>
          </cell>
        </row>
        <row r="6124">
          <cell r="B6124">
            <v>89545</v>
          </cell>
          <cell r="C6124" t="str">
            <v>LUVA SIMPLES, PVC, SERIE R, ÁGUA PLUVIAL, DN 50 MM, JUNTA ELÁSTICA, FORNECIDO E INSTALADO EM RAMAL DE ENCAMINHAMENTO. AF_06/2022</v>
          </cell>
          <cell r="D6124" t="str">
            <v>UN</v>
          </cell>
          <cell r="E6124">
            <v>18.93</v>
          </cell>
          <cell r="F6124">
            <v>0</v>
          </cell>
        </row>
        <row r="6125">
          <cell r="B6125">
            <v>89599</v>
          </cell>
          <cell r="C6125" t="str">
            <v>LUVA SIMPLES, PVC, SERIE R, ÁGUA PLUVIAL, DN 75 MM, JUNTA ELÁSTICA, FORNECIDO E INSTALADO EM CONDUTORES VERTICAIS DE ÁGUAS PLUVIAIS. AF_06/2022</v>
          </cell>
          <cell r="D6125" t="str">
            <v>UN</v>
          </cell>
          <cell r="E6125">
            <v>28.87</v>
          </cell>
          <cell r="F6125">
            <v>0</v>
          </cell>
        </row>
        <row r="6126">
          <cell r="B6126">
            <v>89547</v>
          </cell>
          <cell r="C6126" t="str">
            <v>LUVA SIMPLES, PVC, SERIE R, ÁGUA PLUVIAL, DN 75 MM, JUNTA ELÁSTICA, FORNECIDO E INSTALADO EM RAMAL DE ENCAMINHAMENTO. AF_06/2022</v>
          </cell>
          <cell r="D6126" t="str">
            <v>UN</v>
          </cell>
          <cell r="E6126">
            <v>24.95</v>
          </cell>
          <cell r="F6126">
            <v>0</v>
          </cell>
        </row>
        <row r="6127">
          <cell r="B6127">
            <v>89495</v>
          </cell>
          <cell r="C6127" t="str">
            <v>RALO SIFONADO, PVC, DN 100 X 40 MM, JUNTA SOLDÁVEL, FORNECIDO E INSTALADO EM RAMAIS DE ENCAMINHAMENTO DE ÁGUA PLUVIAL. AF_06/2022</v>
          </cell>
          <cell r="D6127" t="str">
            <v>UN</v>
          </cell>
          <cell r="E6127">
            <v>21.68</v>
          </cell>
          <cell r="F6127">
            <v>0</v>
          </cell>
        </row>
        <row r="6128">
          <cell r="B6128">
            <v>89673</v>
          </cell>
          <cell r="C6128" t="str">
            <v>REDUÇÃO EXCÊNTRICA, PVC, SERIE R, ÁGUA PLUVIAL, DN 100 X 75 MM, JUNTA ELÁSTICA, FORNECIDO E INSTALADO EM CONDUTORES VERTICAIS DE ÁGUAS PLUVIAIS. AF_06/2022</v>
          </cell>
          <cell r="D6128" t="str">
            <v>UN</v>
          </cell>
          <cell r="E6128">
            <v>40.85</v>
          </cell>
          <cell r="F6128">
            <v>0</v>
          </cell>
        </row>
        <row r="6129">
          <cell r="B6129">
            <v>89557</v>
          </cell>
          <cell r="C6129" t="str">
            <v>REDUÇÃO EXCÊNTRICA, PVC, SERIE R, ÁGUA PLUVIAL, DN 100 X 75 MM, JUNTA ELÁSTICA, FORNECIDO E INSTALADO EM RAMAL DE ENCAMINHAMENTO. AF_06/2022</v>
          </cell>
          <cell r="D6129" t="str">
            <v>UN</v>
          </cell>
          <cell r="E6129">
            <v>35.36</v>
          </cell>
          <cell r="F6129">
            <v>0</v>
          </cell>
        </row>
        <row r="6130">
          <cell r="B6130">
            <v>89681</v>
          </cell>
          <cell r="C6130" t="str">
            <v>REDUÇÃO EXCÊNTRICA, PVC, SERIE R, ÁGUA PLUVIAL, DN 150 X 100 MM, JUNTA ELÁSTICA, FORNECIDO E INSTALADO EM CONDUTORES VERTICAIS DE ÁGUAS PLUVIAIS. AF_06/2022</v>
          </cell>
          <cell r="D6130" t="str">
            <v>UN</v>
          </cell>
          <cell r="E6130">
            <v>101.85</v>
          </cell>
          <cell r="F6130">
            <v>0</v>
          </cell>
        </row>
        <row r="6131">
          <cell r="B6131">
            <v>104173</v>
          </cell>
          <cell r="C6131" t="str">
            <v>REDUÇÃO EXCÊNTRICA, PVC, SERIE R, ÁGUA PLUVIAL, DN 150 X 100 MM, JUNTA ELÁSTICA, FORNECIDO E INSTALADO EM RAMAL DE ENCAMINHAMENTO. AF_06/2022</v>
          </cell>
          <cell r="D6131" t="str">
            <v>UN</v>
          </cell>
          <cell r="E6131">
            <v>94.76</v>
          </cell>
          <cell r="F6131">
            <v>0</v>
          </cell>
        </row>
        <row r="6132">
          <cell r="B6132">
            <v>89549</v>
          </cell>
          <cell r="C6132" t="str">
            <v>REDUÇÃO EXCÊNTRICA, PVC, SERIE R, ÁGUA PLUVIAL, DN 75 X 50 MM, JUNTA ELÁSTICA, FORNECIDO E INSTALADO EM RAMAL DE ENCAMINHAMENTO. AF_06/2022</v>
          </cell>
          <cell r="D6132" t="str">
            <v>UN</v>
          </cell>
          <cell r="E6132">
            <v>20.81</v>
          </cell>
          <cell r="F6132">
            <v>0</v>
          </cell>
        </row>
        <row r="6133">
          <cell r="B6133">
            <v>89578</v>
          </cell>
          <cell r="C6133" t="str">
            <v>TUBO PVC, SÉRIE R, ÁGUA PLUVIAL, DN 100 MM, FORNECIDO E INSTALADO EM CONDUTORES VERTICAIS DE ÁGUAS PLUVIAIS. AF_06/2022</v>
          </cell>
          <cell r="D6133" t="str">
            <v>M</v>
          </cell>
          <cell r="E6133">
            <v>40.549999999999997</v>
          </cell>
          <cell r="F6133">
            <v>0</v>
          </cell>
        </row>
        <row r="6134">
          <cell r="B6134">
            <v>89512</v>
          </cell>
          <cell r="C6134" t="str">
            <v>TUBO PVC, SÉRIE R, ÁGUA PLUVIAL, DN 100 MM, FORNECIDO E INSTALADO EM RAMAL DE ENCAMINHAMENTO. AF_06/2022</v>
          </cell>
          <cell r="D6134" t="str">
            <v>M</v>
          </cell>
          <cell r="E6134">
            <v>64.56</v>
          </cell>
          <cell r="F6134">
            <v>0</v>
          </cell>
        </row>
        <row r="6135">
          <cell r="B6135">
            <v>89580</v>
          </cell>
          <cell r="C6135" t="str">
            <v>TUBO PVC, SÉRIE R, ÁGUA PLUVIAL, DN 150 MM, FORNECIDO E INSTALADO EM CONDUTORES VERTICAIS DE ÁGUAS PLUVIAIS. AF_06/2022</v>
          </cell>
          <cell r="D6135" t="str">
            <v>M</v>
          </cell>
          <cell r="E6135">
            <v>83.52</v>
          </cell>
          <cell r="F6135">
            <v>0</v>
          </cell>
        </row>
        <row r="6136">
          <cell r="B6136">
            <v>104166</v>
          </cell>
          <cell r="C6136" t="str">
            <v>TUBO PVC, SÉRIE R, ÁGUA PLUVIAL, DN 150 MM, FORNECIDO E INSTALADO EM RAMAL DE ENCAMINHAMENTO. AF_06/2022</v>
          </cell>
          <cell r="D6136" t="str">
            <v>M</v>
          </cell>
          <cell r="E6136">
            <v>92.39</v>
          </cell>
          <cell r="F6136">
            <v>0</v>
          </cell>
        </row>
        <row r="6137">
          <cell r="B6137">
            <v>89508</v>
          </cell>
          <cell r="C6137" t="str">
            <v>TUBO PVC, SÉRIE R, ÁGUA PLUVIAL, DN 40 MM, FORNECIDO E INSTALADO EM RAMAL DE ENCAMINHAMENTO. AF_06/2022</v>
          </cell>
          <cell r="D6137" t="str">
            <v>M</v>
          </cell>
          <cell r="E6137">
            <v>22.23</v>
          </cell>
          <cell r="F6137">
            <v>0</v>
          </cell>
        </row>
        <row r="6138">
          <cell r="B6138">
            <v>89509</v>
          </cell>
          <cell r="C6138" t="str">
            <v>TUBO PVC, SÉRIE R, ÁGUA PLUVIAL, DN 50 MM, FORNECIDO E INSTALADO EM RAMAL DE ENCAMINHAMENTO. AF_06/2022</v>
          </cell>
          <cell r="D6138" t="str">
            <v>M</v>
          </cell>
          <cell r="E6138">
            <v>29.92</v>
          </cell>
          <cell r="F6138">
            <v>0</v>
          </cell>
        </row>
        <row r="6139">
          <cell r="B6139">
            <v>89576</v>
          </cell>
          <cell r="C6139" t="str">
            <v>TUBO PVC, SÉRIE R, ÁGUA PLUVIAL, DN 75 MM, FORNECIDO E INSTALADO EM CONDUTORES VERTICAIS DE ÁGUAS PLUVIAIS. AF_06/2022</v>
          </cell>
          <cell r="D6139" t="str">
            <v>M</v>
          </cell>
          <cell r="E6139">
            <v>32.5</v>
          </cell>
          <cell r="F6139">
            <v>0</v>
          </cell>
        </row>
        <row r="6140">
          <cell r="B6140">
            <v>89511</v>
          </cell>
          <cell r="C6140" t="str">
            <v>TUBO PVC, SÉRIE R, ÁGUA PLUVIAL, DN 75 MM, FORNECIDO E INSTALADO EM RAMAL DE ENCAMINHAMENTO. AF_06/2022</v>
          </cell>
          <cell r="D6140" t="str">
            <v>M</v>
          </cell>
          <cell r="E6140">
            <v>50.56</v>
          </cell>
          <cell r="F6140">
            <v>0</v>
          </cell>
        </row>
        <row r="6141">
          <cell r="B6141">
            <v>89675</v>
          </cell>
          <cell r="C6141" t="str">
            <v>TÊ DE INSPEÇÃO, PVC, SERIE R, ÁGUA PLUVIAL, DN 100 MM, JUNTA ELÁSTICA, FORNECIDO E INSTALADO EM CONDUTORES VERTICAIS DE ÁGUAS PLUVIAIS. AF_06/2022</v>
          </cell>
          <cell r="D6141" t="str">
            <v>UN</v>
          </cell>
          <cell r="E6141">
            <v>83.1</v>
          </cell>
          <cell r="F6141">
            <v>0</v>
          </cell>
        </row>
        <row r="6142">
          <cell r="B6142">
            <v>89559</v>
          </cell>
          <cell r="C6142" t="str">
            <v>TÊ DE INSPEÇÃO, PVC, SERIE R, ÁGUA PLUVIAL, DN 100 MM, JUNTA ELÁSTICA, FORNECIDO E INSTALADO EM RAMAL DE ENCAMINHAMENTO. AF_06/2022</v>
          </cell>
          <cell r="D6142" t="str">
            <v>UN</v>
          </cell>
          <cell r="E6142">
            <v>76.010000000000005</v>
          </cell>
          <cell r="F6142">
            <v>0</v>
          </cell>
        </row>
        <row r="6143">
          <cell r="B6143">
            <v>104172</v>
          </cell>
          <cell r="C6143" t="str">
            <v>TÊ DE INSPEÇÃO, PVC, SERIE R, ÁGUA PLUVIAL, DN 150 MM, JUNTA ELÁSTICA, FORNECIDO E INSTALADO EM RAMAL DE ENCAMINHAMENTO. AF_06/2022</v>
          </cell>
          <cell r="D6143" t="str">
            <v>UN</v>
          </cell>
          <cell r="E6143">
            <v>313.79000000000002</v>
          </cell>
          <cell r="F6143">
            <v>0</v>
          </cell>
        </row>
        <row r="6144">
          <cell r="B6144">
            <v>89683</v>
          </cell>
          <cell r="C6144" t="str">
            <v>TÊ DE INSPEÇÃO, PVC, SERIE R, ÁGUA PLUVIAL, DN 150 X 100 MM, JUNTA ELÁSTICA, FORNECIDO E INSTALADO EM CONDUTORES VERTICAIS DE ÁGUAS PLUVIAIS. AF_06/2022</v>
          </cell>
          <cell r="D6144" t="str">
            <v>UN</v>
          </cell>
          <cell r="E6144">
            <v>324.17</v>
          </cell>
          <cell r="F6144">
            <v>0</v>
          </cell>
        </row>
        <row r="6145">
          <cell r="B6145">
            <v>89667</v>
          </cell>
          <cell r="C6145" t="str">
            <v>TÊ DE INSPEÇÃO, PVC, SERIE R, ÁGUA PLUVIAL, DN 75 MM, JUNTA ELÁSTICA, FORNECIDO E INSTALADO EM CONDUTORES VERTICAIS DE ÁGUAS PLUVIAIS. AF_06/2022</v>
          </cell>
          <cell r="D6145" t="str">
            <v>UN</v>
          </cell>
          <cell r="E6145">
            <v>50.39</v>
          </cell>
          <cell r="F6145">
            <v>0</v>
          </cell>
        </row>
        <row r="6146">
          <cell r="B6146">
            <v>89550</v>
          </cell>
          <cell r="C6146" t="str">
            <v>TÊ DE INSPEÇÃO, PVC, SERIE R, ÁGUA PLUVIAL, DN 75 MM, JUNTA ELÁSTICA, FORNECIDO E INSTALADO EM RAMAL DE ENCAMINHAMENTO. AF_06/2022</v>
          </cell>
          <cell r="D6146" t="str">
            <v>UN</v>
          </cell>
          <cell r="E6146">
            <v>46.48</v>
          </cell>
          <cell r="F6146">
            <v>0</v>
          </cell>
        </row>
        <row r="6147">
          <cell r="B6147">
            <v>89693</v>
          </cell>
          <cell r="C6147" t="str">
            <v>TÊ, PVC, SERIE R, ÁGUA PLUVIAL, DN 100 X 100 MM, JUNTA ELÁSTICA, FORNECIDO E INSTALADO EM CONDUTORES VERTICAIS DE ÁGUAS PLUVIAIS. AF_06/2022</v>
          </cell>
          <cell r="D6147" t="str">
            <v>UN</v>
          </cell>
          <cell r="E6147">
            <v>92.82</v>
          </cell>
          <cell r="F6147">
            <v>0</v>
          </cell>
        </row>
        <row r="6148">
          <cell r="B6148">
            <v>89571</v>
          </cell>
          <cell r="C6148" t="str">
            <v>TÊ, PVC, SERIE R, ÁGUA PLUVIAL, DN 100 X 100 MM, JUNTA ELÁSTICA, FORNECIDO E INSTALADO EM RAMAL DE ENCAMINHAMENTO. AF_06/2022</v>
          </cell>
          <cell r="D6148" t="str">
            <v>UN</v>
          </cell>
          <cell r="E6148">
            <v>78.680000000000007</v>
          </cell>
          <cell r="F6148">
            <v>0</v>
          </cell>
        </row>
        <row r="6149">
          <cell r="B6149">
            <v>89696</v>
          </cell>
          <cell r="C6149" t="str">
            <v>TÊ, PVC, SERIE R, ÁGUA PLUVIAL, DN 100 X 75 MM, JUNTA ELÁSTICA, FORNECIDO E INSTALADO EM CONDUTORES VERTICAIS DE ÁGUAS PLUVIAIS. AF_06/2022</v>
          </cell>
          <cell r="D6149" t="str">
            <v>UN</v>
          </cell>
          <cell r="E6149">
            <v>98.81</v>
          </cell>
          <cell r="F6149">
            <v>0</v>
          </cell>
        </row>
        <row r="6150">
          <cell r="B6150">
            <v>89573</v>
          </cell>
          <cell r="C6150" t="str">
            <v>TÊ, PVC, SERIE R, ÁGUA PLUVIAL, DN 100 X 75 MM, JUNTA ELÁSTICA, FORNECIDO E INSTALADO EM RAMAL DE ENCAMINHAMENTO. AF_06/2022</v>
          </cell>
          <cell r="D6150" t="str">
            <v>UN</v>
          </cell>
          <cell r="E6150">
            <v>86.77</v>
          </cell>
          <cell r="F6150">
            <v>0</v>
          </cell>
        </row>
        <row r="6151">
          <cell r="B6151">
            <v>89704</v>
          </cell>
          <cell r="C6151" t="str">
            <v>TÊ, PVC, SERIE R, ÁGUA PLUVIAL, DN 150 X 100 MM, JUNTA ELÁSTICA, FORNECIDO E INSTALADO EM CONDUTORES VERTICAIS DE ÁGUAS PLUVIAIS. AF_06/2022</v>
          </cell>
          <cell r="D6151" t="str">
            <v>UN</v>
          </cell>
          <cell r="E6151">
            <v>173.75</v>
          </cell>
          <cell r="F6151">
            <v>0</v>
          </cell>
        </row>
        <row r="6152">
          <cell r="B6152">
            <v>104175</v>
          </cell>
          <cell r="C6152" t="str">
            <v>TÊ, PVC, SERIE R, ÁGUA PLUVIAL, DN 150 X 100 MM, JUNTA ELÁSTICA, FORNECIDO E INSTALADO EM RAMAL DE ENCAMINHAMENTO. AF_06/2022</v>
          </cell>
          <cell r="D6152" t="str">
            <v>UN</v>
          </cell>
          <cell r="E6152">
            <v>157.38</v>
          </cell>
          <cell r="F6152">
            <v>0</v>
          </cell>
        </row>
        <row r="6153">
          <cell r="B6153">
            <v>89701</v>
          </cell>
          <cell r="C6153" t="str">
            <v>TÊ, PVC, SERIE R, ÁGUA PLUVIAL, DN 150 X 150 MM, JUNTA ELÁSTICA, FORNECIDO E INSTALADO EM CONDUTORES VERTICAIS DE ÁGUAS PLUVIAIS. AF_06/2022</v>
          </cell>
          <cell r="D6153" t="str">
            <v>UN</v>
          </cell>
          <cell r="E6153">
            <v>223.75</v>
          </cell>
          <cell r="F6153">
            <v>0</v>
          </cell>
        </row>
        <row r="6154">
          <cell r="B6154">
            <v>104177</v>
          </cell>
          <cell r="C6154" t="str">
            <v>TÊ, PVC, SERIE R, ÁGUA PLUVIAL, DN 150 X 150 MM, JUNTA ELÁSTICA, FORNECIDO E INSTALADO EM RAMAL DE ENCAMINHAMENTO. AF_06/2022</v>
          </cell>
          <cell r="D6154" t="str">
            <v>UN</v>
          </cell>
          <cell r="E6154">
            <v>203</v>
          </cell>
          <cell r="F6154">
            <v>0</v>
          </cell>
        </row>
        <row r="6155">
          <cell r="B6155">
            <v>89566</v>
          </cell>
          <cell r="C6155" t="str">
            <v>TÊ, PVC, SERIE R, ÁGUA PLUVIAL, DN 75 MM, JUNTA ELÁSTICA, FORNECIDO E INSTALADO EM RAMAL DE ENCAMINHAMENTO. AF_06/2022</v>
          </cell>
          <cell r="D6155" t="str">
            <v>UN</v>
          </cell>
          <cell r="E6155">
            <v>53.51</v>
          </cell>
          <cell r="F6155">
            <v>0</v>
          </cell>
        </row>
        <row r="6156">
          <cell r="B6156">
            <v>89687</v>
          </cell>
          <cell r="C6156" t="str">
            <v>TÊ, PVC, SERIE R, ÁGUA PLUVIAL, DN 75 X 75 MM, JUNTA ELÁSTICA, FORNECIDO E INSTALADO EM CONDUTORES VERTICAIS DE ÁGUAS PLUVIAIS. AF_06/2022</v>
          </cell>
          <cell r="D6156" t="str">
            <v>UN</v>
          </cell>
          <cell r="E6156">
            <v>61.32</v>
          </cell>
          <cell r="F6156">
            <v>0</v>
          </cell>
        </row>
        <row r="6157">
          <cell r="B6157">
            <v>102450</v>
          </cell>
          <cell r="C6157" t="str">
            <v>DIVISORIA (N2) - PAINEL/VIDRO - PAINEL C/ MSO/COMEIA E=35MM - PERFIS SIMPLES ACO GALVANIZADO PINTADO. AF_10/2025</v>
          </cell>
          <cell r="D6157" t="str">
            <v>M2</v>
          </cell>
          <cell r="E6157">
            <v>0</v>
          </cell>
        </row>
        <row r="6158">
          <cell r="B6158">
            <v>102250</v>
          </cell>
          <cell r="C6158" t="str">
            <v>DIVISORIA (N2) - PAINEL/VIDRO - PAINEL DE PVC E=35MM - PERFIS SIMPLES ACO GALVANIZADO PINTADO. AF_10/2025</v>
          </cell>
          <cell r="D6158" t="str">
            <v>M2</v>
          </cell>
          <cell r="E6158">
            <v>0</v>
          </cell>
        </row>
        <row r="6159">
          <cell r="B6159">
            <v>102240</v>
          </cell>
          <cell r="C6159" t="str">
            <v>DIVISORIA (N2) - PAINEL/VIDRO - PAINEL MDF/VIDRO 6 MM, LINHA 90 MM - PERFIS DE ALUMÍNIO EXTRUDADO. AF_10/2025</v>
          </cell>
          <cell r="D6159" t="str">
            <v>M2</v>
          </cell>
          <cell r="E6159">
            <v>0</v>
          </cell>
        </row>
        <row r="6160">
          <cell r="B6160">
            <v>102449</v>
          </cell>
          <cell r="C6160" t="str">
            <v>DIVISORIA (N3) - PAINEL/VIDRO/PAINEL MSO/COMEIA E=35MM - PERFIS SIMPLES ACO GALVANIZADO PINTADO. AF_10/2025</v>
          </cell>
          <cell r="D6160" t="str">
            <v>M2</v>
          </cell>
          <cell r="E6160">
            <v>0</v>
          </cell>
        </row>
        <row r="6161">
          <cell r="B6161">
            <v>102249</v>
          </cell>
          <cell r="C6161" t="str">
            <v>DIVISORIA (N3) - PAINEL/VIDRO/PAINEL PVC E=35MM - PERFIS SIMPLES ACO GALVANIZADO PINTADO. AF_10/2025</v>
          </cell>
          <cell r="D6161" t="str">
            <v>M2</v>
          </cell>
          <cell r="E6161">
            <v>0</v>
          </cell>
        </row>
        <row r="6162">
          <cell r="B6162">
            <v>102238</v>
          </cell>
          <cell r="C6162" t="str">
            <v>DIVISORIA CEGA (N1) - PAINEL MDF, LINHA 90 MM - PERFIS DE ALUMÍNIO EXTRUDADO. AF_10/2025</v>
          </cell>
          <cell r="D6162" t="str">
            <v>M2</v>
          </cell>
          <cell r="E6162">
            <v>0</v>
          </cell>
        </row>
        <row r="6163">
          <cell r="B6163">
            <v>102448</v>
          </cell>
          <cell r="C6163" t="str">
            <v>DIVISORIA CEGA (N1) - PAINEL MSO/COMEIA E=35MM - PERFIS SIMPLES ACO GALVANIZADO PINTADO. AF_10/2025</v>
          </cell>
          <cell r="D6163" t="str">
            <v>M2</v>
          </cell>
          <cell r="E6163">
            <v>0</v>
          </cell>
        </row>
        <row r="6164">
          <cell r="B6164">
            <v>102248</v>
          </cell>
          <cell r="C6164" t="str">
            <v>DIVISORIA CEGA (N1) - PAINEL PVC E=35MM - PERFIS SIMPLES ACO GALVANIZADO PINTADO. AF_10/2025</v>
          </cell>
          <cell r="D6164" t="str">
            <v>M2</v>
          </cell>
          <cell r="E6164">
            <v>0</v>
          </cell>
        </row>
        <row r="6165">
          <cell r="B6165">
            <v>102253</v>
          </cell>
          <cell r="C6165" t="str">
            <v>DIVISORIA SANITÁRIA, EM GRANITO CINZA POLIDO, ESP = 3CM, ASSENTADO COM ARGAMASSA COLANTE AC III-E. AF_10/2025</v>
          </cell>
          <cell r="D6165" t="str">
            <v>M2</v>
          </cell>
          <cell r="E6165">
            <v>974.54</v>
          </cell>
          <cell r="F6165">
            <v>0</v>
          </cell>
        </row>
        <row r="6166">
          <cell r="B6166">
            <v>102254</v>
          </cell>
          <cell r="C6166" t="str">
            <v>DIVISORIA SANITÁRIA, EM MÁRMORE BRANCO POLIDO, ESP = 3CM, ASSENTADO COM ARGAMASSA COLANTE AC III-E. AF_10/2025</v>
          </cell>
          <cell r="D6166" t="str">
            <v>M2</v>
          </cell>
          <cell r="E6166">
            <v>1048.05</v>
          </cell>
          <cell r="F6166">
            <v>0</v>
          </cell>
        </row>
        <row r="6167">
          <cell r="B6167">
            <v>102257</v>
          </cell>
          <cell r="C6167" t="str">
            <v>DIVISORIA SANITÁRIA, EM PAINEL DE GRANILITE, ESP = 3CM, ASSENTADO COM ARGAMASSA COLANTE AC III-E. AF_10/2025</v>
          </cell>
          <cell r="D6167" t="str">
            <v>M2</v>
          </cell>
          <cell r="E6167">
            <v>415.27</v>
          </cell>
          <cell r="F6167">
            <v>0</v>
          </cell>
        </row>
        <row r="6168">
          <cell r="B6168">
            <v>102239</v>
          </cell>
          <cell r="C6168" t="str">
            <v>DIVISÓRIA (N3) - PAINEL/VIDRO/PAINEL MDF, LINHA 90 MM - PERFIS DE ALUMINIO EXTRUDADO. AF_10/2025</v>
          </cell>
          <cell r="D6168" t="str">
            <v>M2</v>
          </cell>
          <cell r="E6168">
            <v>0</v>
          </cell>
        </row>
        <row r="6169">
          <cell r="B6169">
            <v>102236</v>
          </cell>
          <cell r="C6169" t="str">
            <v>DIVISÓRIA EM VIDRO TEMPERADO 10 MM COM PORTA DE CORRER, INCLUSIVE FERRAGENS. AF_10/2025</v>
          </cell>
          <cell r="D6169" t="str">
            <v>M2</v>
          </cell>
          <cell r="E6169">
            <v>0</v>
          </cell>
        </row>
        <row r="6170">
          <cell r="B6170">
            <v>102235</v>
          </cell>
          <cell r="C6170" t="str">
            <v>DIVISÓRIA FIXA EM VIDRO TEMPERADO 10 MM, SEM ABERTURA. AF_10/2025_PS</v>
          </cell>
          <cell r="D6170" t="str">
            <v>M2</v>
          </cell>
          <cell r="E6170">
            <v>514.61</v>
          </cell>
          <cell r="F6170">
            <v>0</v>
          </cell>
        </row>
        <row r="6171">
          <cell r="B6171">
            <v>106164</v>
          </cell>
          <cell r="C6171" t="str">
            <v>DIVISÓRIA SALA LIMPA - PAINEL PIR 50 MM, PERFIS DE AÇO GALVANIZADO E ACABAMENTO COM PERFIS DE ALUMINIO CANTO ARREDONDADO PINTADO. AF_10/2025</v>
          </cell>
          <cell r="D6171" t="str">
            <v>M2</v>
          </cell>
          <cell r="E6171">
            <v>0</v>
          </cell>
        </row>
        <row r="6172">
          <cell r="B6172">
            <v>102260</v>
          </cell>
          <cell r="C6172" t="str">
            <v>DIVISÓRIA SANITÁRIA, TIPO CABINE, EM PAINÉIS DE PVC, INCLUSIVE ESTRUTURA, PORTA E FERRAGENS. AF_10/2025</v>
          </cell>
          <cell r="D6172" t="str">
            <v>M2</v>
          </cell>
          <cell r="E6172">
            <v>0</v>
          </cell>
        </row>
        <row r="6173">
          <cell r="B6173">
            <v>102259</v>
          </cell>
          <cell r="C6173" t="str">
            <v>DIVISÓRIA SANITÁRIA, TIPO CABINE, EM PAINÉIS ESTRUTURAIS TS, INCLUSIVE ESTRUTURA, PORTA E FERRAGENS. AF_10/2025</v>
          </cell>
          <cell r="D6173" t="str">
            <v>M2</v>
          </cell>
          <cell r="E6173">
            <v>0</v>
          </cell>
        </row>
        <row r="6174">
          <cell r="B6174">
            <v>102262</v>
          </cell>
          <cell r="C6174" t="str">
            <v>PORTA DE CABINE SANITÁRIA EM VIDRO TEMPERADO 8MM, INCLUSIVE DOBRADIÇAS, BATENTE, TRINCO E CONTRA-TRINCO. AF_10/2025</v>
          </cell>
          <cell r="D6174" t="str">
            <v>UN</v>
          </cell>
          <cell r="E6174">
            <v>0</v>
          </cell>
        </row>
        <row r="6175">
          <cell r="B6175">
            <v>102242</v>
          </cell>
          <cell r="C6175" t="str">
            <v>PORTA PARA DIVISÓRIA MDF/VIDRO 6 MM, LINHA 90 MM, 0,80 X 2,10 M - PERFIS DE ALUMINIO EXTRUDADO, INCLUSO PORTAL, BATENTES, DOBRADIÇAS E FECHADURA. AF_10/2025</v>
          </cell>
          <cell r="D6175" t="str">
            <v>M2</v>
          </cell>
          <cell r="E6175">
            <v>0</v>
          </cell>
        </row>
        <row r="6176">
          <cell r="B6176">
            <v>106165</v>
          </cell>
          <cell r="C6176" t="str">
            <v>PORTA SALA LIMPA COM VISOR - PAINEL PIR 50 MM. AF_10/2025</v>
          </cell>
          <cell r="D6176" t="str">
            <v>UN</v>
          </cell>
          <cell r="E6176">
            <v>0</v>
          </cell>
        </row>
        <row r="6177">
          <cell r="B6177">
            <v>102246</v>
          </cell>
          <cell r="C6177" t="str">
            <v>PORTA/PAINEL CEGO PARA DIVISÓRIA (N1) - PAINEL CEGO MSO/COMEIA E=35MM, S/ BONECA, INCLUSO BATENTE, TESTEIRO, DOBRADIÇAS E FECHADURA. AF_10/2025</v>
          </cell>
          <cell r="D6177" t="str">
            <v>M2</v>
          </cell>
          <cell r="E6177">
            <v>0</v>
          </cell>
        </row>
        <row r="6178">
          <cell r="B6178">
            <v>102252</v>
          </cell>
          <cell r="C6178" t="str">
            <v>PORTA/VIDRO PARA DIVISÓRIA (N2) - PAINEL DE PVC E=35MM, S/ BONECA, INCLUSO BATENTE, TESTEIRO, DOBRADIÇAS E FECHADURA. AF_10/2025</v>
          </cell>
          <cell r="D6178" t="str">
            <v>M2</v>
          </cell>
          <cell r="E6178">
            <v>0</v>
          </cell>
        </row>
        <row r="6179">
          <cell r="B6179">
            <v>101912</v>
          </cell>
          <cell r="C6179" t="str">
            <v>ABRIGO PARA HIDRANTE, 75X45X17CM, COM REGISTRO GLOBO ANGULAR 45 GRAUS 2 1/2", ADAPTADOR STORZ 2 1/2", MANGUEIRA DE INCÊNDIO 15M 2 1/2" E ESGUICHO EM LATÃO 2 1/2" - FORNECIMENTO E INSTALAÇÃO. AF_01/2026</v>
          </cell>
          <cell r="D6179" t="str">
            <v>UN</v>
          </cell>
          <cell r="E6179">
            <v>1930.45</v>
          </cell>
          <cell r="F6179">
            <v>0</v>
          </cell>
        </row>
        <row r="6180">
          <cell r="B6180">
            <v>96765</v>
          </cell>
          <cell r="C6180" t="str">
            <v>ABRIGO PARA HIDRANTE, 90X60X17CM, COM REGISTRO GLOBO ANGULAR 45 GRAUS 2 1/2", ADAPTADOR STORZ 2 1/2", MANGUEIRA DE INCÊNDIO 20M, REDUÇÃO 2 1/2" X 1 1/2" E ESGUICHO EM LATÃO 1 1/2" - FORNECIMENTO E INSTALAÇÃO. AF_01/2026</v>
          </cell>
          <cell r="D6180" t="str">
            <v>UN</v>
          </cell>
          <cell r="E6180">
            <v>2019.83</v>
          </cell>
          <cell r="F6180">
            <v>0</v>
          </cell>
        </row>
        <row r="6181">
          <cell r="B6181">
            <v>97430</v>
          </cell>
          <cell r="C6181" t="str">
            <v>ACOPLAMENTO RÍGIDO EM AÇO, CONEXÃO RANHURADA, DN 50 (2"), INSTALADO EM PRUMADAS - FORNECIMENTO E INSTALAÇÃO. AF_01/2026</v>
          </cell>
          <cell r="D6181" t="str">
            <v>UN</v>
          </cell>
          <cell r="E6181">
            <v>50.43</v>
          </cell>
          <cell r="F6181">
            <v>0</v>
          </cell>
        </row>
        <row r="6182">
          <cell r="B6182">
            <v>97431</v>
          </cell>
          <cell r="C6182" t="str">
            <v>ACOPLAMENTO RÍGIDO EM AÇO, CONEXÃO RANHURADA, DN 65 (2 1/2"), INSTALADO EM PRUMADAS - FORNECIMENTO E INSTALAÇÃO. AF_01/2026</v>
          </cell>
          <cell r="D6182" t="str">
            <v>UN</v>
          </cell>
          <cell r="E6182">
            <v>53.28</v>
          </cell>
          <cell r="F6182">
            <v>0</v>
          </cell>
        </row>
        <row r="6183">
          <cell r="B6183">
            <v>97432</v>
          </cell>
          <cell r="C6183" t="str">
            <v>ACOPLAMENTO RÍGIDO EM AÇO, CONEXÃO RANHURADA, DN 80 (3"), INSTALADO EM PRUMADAS - FORNECIMENTO E INSTALAÇÃO. AF_01/2026</v>
          </cell>
          <cell r="D6183" t="str">
            <v>UN</v>
          </cell>
          <cell r="E6183">
            <v>57.19</v>
          </cell>
          <cell r="F6183">
            <v>0</v>
          </cell>
        </row>
        <row r="6184">
          <cell r="B6184">
            <v>101913</v>
          </cell>
          <cell r="C6184" t="str">
            <v>CAIXA DE INCÊNDIO 45X75X17CM - FORNECIMENTO E INSTALAÇÃO. AF_01/2026</v>
          </cell>
          <cell r="D6184" t="str">
            <v>UN</v>
          </cell>
          <cell r="E6184">
            <v>524.83000000000004</v>
          </cell>
          <cell r="F6184">
            <v>0</v>
          </cell>
        </row>
        <row r="6185">
          <cell r="B6185">
            <v>101914</v>
          </cell>
          <cell r="C6185" t="str">
            <v>CAIXA DE INCÊNDIO 60X90X17CM - FORNECIMENTO E INSTALAÇÃO. AF_01/2026</v>
          </cell>
          <cell r="D6185" t="str">
            <v>UN</v>
          </cell>
          <cell r="E6185">
            <v>637.65</v>
          </cell>
          <cell r="F6185">
            <v>0</v>
          </cell>
        </row>
        <row r="6186">
          <cell r="B6186">
            <v>101915</v>
          </cell>
          <cell r="C6186" t="str">
            <v>CONJUNTO DE MANGUEIRA PARA COMBATE A INCÊNDIO EM FIBRA DE POLIESTER PURA, COM 1.1/2", REVESTIDA INTERNAMENTE, COMPRIMENTO DE 15M - FORNECIMENTO E INSTALAÇÃO. AF_01/2026</v>
          </cell>
          <cell r="D6186" t="str">
            <v>UN</v>
          </cell>
          <cell r="E6186">
            <v>369.76</v>
          </cell>
          <cell r="F6186">
            <v>0</v>
          </cell>
        </row>
        <row r="6187">
          <cell r="B6187">
            <v>97433</v>
          </cell>
          <cell r="C6187" t="str">
            <v>CURVA 45 GRAUS, EM AÇO, CONEXÃO RANHURADA, DN 50 (2"), INSTALADO EM PRUMADAS - FORNECIMENTO E INSTALAÇÃO. AF_01/2026</v>
          </cell>
          <cell r="D6187" t="str">
            <v>UN</v>
          </cell>
          <cell r="E6187">
            <v>105.91</v>
          </cell>
          <cell r="F6187">
            <v>0</v>
          </cell>
        </row>
        <row r="6188">
          <cell r="B6188">
            <v>97435</v>
          </cell>
          <cell r="C6188" t="str">
            <v>CURVA 45 GRAUS, EM AÇO, CONEXÃO RANHURADA, DN 65 (2 1/2"), INSTALADO EM PRUMADAS - FORNECIMENTO E INSTALAÇÃO. AF_01/2026</v>
          </cell>
          <cell r="D6188" t="str">
            <v>UN</v>
          </cell>
          <cell r="E6188">
            <v>118.49</v>
          </cell>
          <cell r="F6188">
            <v>0</v>
          </cell>
        </row>
        <row r="6189">
          <cell r="B6189">
            <v>97437</v>
          </cell>
          <cell r="C6189" t="str">
            <v>CURVA 45 GRAUS, EM AÇO, CONEXÃO RANHURADA, DN 80 (3"), INSTALADO EM PRUMADAS - FORNECIMENTO E INSTALAÇÃO. AF_01/2026</v>
          </cell>
          <cell r="D6189" t="str">
            <v>UN</v>
          </cell>
          <cell r="E6189">
            <v>130.94999999999999</v>
          </cell>
          <cell r="F6189">
            <v>0</v>
          </cell>
        </row>
        <row r="6190">
          <cell r="B6190">
            <v>97546</v>
          </cell>
          <cell r="C6190" t="str">
            <v>CURVA 45 GRAUS, EM AÇO, CONEXÃO SOLDADA, DN 15 (1/2"), INSTALADO EM RAMAIS E SUB-RAMAIS DE GÁS - FORNECIMENTO E INSTALAÇÃO. AF_01/2026</v>
          </cell>
          <cell r="D6190" t="str">
            <v>UN</v>
          </cell>
          <cell r="E6190">
            <v>40.07</v>
          </cell>
          <cell r="F6190">
            <v>0</v>
          </cell>
        </row>
        <row r="6191">
          <cell r="B6191">
            <v>97548</v>
          </cell>
          <cell r="C6191" t="str">
            <v>CURVA 45 GRAUS, EM AÇO, CONEXÃO SOLDADA, DN 20 (3/4"), INSTALADO EM RAMAIS E SUB-RAMAIS DE GÁS - FORNECIMENTO E INSTALAÇÃO. AF_01/2026</v>
          </cell>
          <cell r="D6191" t="str">
            <v>UN</v>
          </cell>
          <cell r="E6191">
            <v>60.44</v>
          </cell>
          <cell r="F6191">
            <v>0</v>
          </cell>
        </row>
        <row r="6192">
          <cell r="B6192">
            <v>97550</v>
          </cell>
          <cell r="C6192" t="str">
            <v>CURVA 45 GRAUS, EM AÇO, CONEXÃO SOLDADA, DN 25 (1"), INSTALADO EM RAMAIS E SUB-RAMAIS DE GÁS - FORNECIMENTO E INSTALAÇÃO. AF_01/2026</v>
          </cell>
          <cell r="D6192" t="str">
            <v>UN</v>
          </cell>
          <cell r="E6192">
            <v>102.4</v>
          </cell>
          <cell r="F6192">
            <v>0</v>
          </cell>
        </row>
        <row r="6193">
          <cell r="B6193">
            <v>97479</v>
          </cell>
          <cell r="C6193" t="str">
            <v>CURVA 45 GRAUS, EM AÇO, CONEXÃO SOLDADA, DN 25 (1"), INSTALADO EM REDE DE ALIMENTAÇÃO PARA HIDRANTE - FORNECIMENTO E INSTALAÇÃO. AF_01/2026</v>
          </cell>
          <cell r="D6193" t="str">
            <v>UN</v>
          </cell>
          <cell r="E6193">
            <v>64.36</v>
          </cell>
          <cell r="F6193">
            <v>0</v>
          </cell>
        </row>
        <row r="6194">
          <cell r="B6194">
            <v>97517</v>
          </cell>
          <cell r="C6194" t="str">
            <v>CURVA 45 GRAUS, EM AÇO, CONEXÃO SOLDADA, DN 25 (1"), INSTALADO EM REDE DE ALIMENTAÇÃO PARA SPRINKLER - FORNECIMENTO E INSTALAÇÃO. AF_01/2026</v>
          </cell>
          <cell r="D6194" t="str">
            <v>UN</v>
          </cell>
          <cell r="E6194">
            <v>59.68</v>
          </cell>
          <cell r="F6194">
            <v>0</v>
          </cell>
        </row>
        <row r="6195">
          <cell r="B6195">
            <v>97481</v>
          </cell>
          <cell r="C6195" t="str">
            <v>CURVA 45 GRAUS, EM AÇO, CONEXÃO SOLDADA, DN 32 (1 1/4"), INSTALADO EM REDE DE ALIMENTAÇÃO PARA HIDRANTE - FORNECIMENTO E INSTALAÇÃO. AF_01/2026</v>
          </cell>
          <cell r="D6195" t="str">
            <v>UN</v>
          </cell>
          <cell r="E6195">
            <v>92.1</v>
          </cell>
          <cell r="F6195">
            <v>0</v>
          </cell>
        </row>
        <row r="6196">
          <cell r="B6196">
            <v>97519</v>
          </cell>
          <cell r="C6196" t="str">
            <v>CURVA 45 GRAUS, EM AÇO, CONEXÃO SOLDADA, DN 32 (1 1/4"), INSTALADO EM REDE DE ALIMENTAÇÃO PARA SPRINKLER - FORNECIMENTO E INSTALAÇÃO. AF_01/2026</v>
          </cell>
          <cell r="D6196" t="str">
            <v>UN</v>
          </cell>
          <cell r="E6196">
            <v>83.84</v>
          </cell>
          <cell r="F6196">
            <v>0</v>
          </cell>
        </row>
        <row r="6197">
          <cell r="B6197">
            <v>97483</v>
          </cell>
          <cell r="C6197" t="str">
            <v>CURVA 45 GRAUS, EM AÇO, CONEXÃO SOLDADA, DN 40 (1 1/2"), INSTALADO EM REDE DE ALIMENTAÇÃO PARA HIDRANTE - FORNECIMENTO E INSTALAÇÃO. AF_01/2026</v>
          </cell>
          <cell r="D6197" t="str">
            <v>UN</v>
          </cell>
          <cell r="E6197">
            <v>127.69</v>
          </cell>
          <cell r="F6197">
            <v>0</v>
          </cell>
        </row>
        <row r="6198">
          <cell r="B6198">
            <v>97521</v>
          </cell>
          <cell r="C6198" t="str">
            <v>CURVA 45 GRAUS, EM AÇO, CONEXÃO SOLDADA, DN 40 (1 1/2"), INSTALADO EM REDE DE ALIMENTAÇÃO PARA SPRINKLER - FORNECIMENTO E INSTALAÇÃO. AF_01/2026</v>
          </cell>
          <cell r="D6198" t="str">
            <v>UN</v>
          </cell>
          <cell r="E6198">
            <v>115.35</v>
          </cell>
          <cell r="F6198">
            <v>0</v>
          </cell>
        </row>
        <row r="6199">
          <cell r="B6199">
            <v>97452</v>
          </cell>
          <cell r="C6199" t="str">
            <v>CURVA 45 GRAUS, EM AÇO, CONEXÃO SOLDADA, DN 50 (2"), INSTALADO EM PRUMADAS - FORNECIMENTO E INSTALAÇÃO. AF_01/2026</v>
          </cell>
          <cell r="D6199" t="str">
            <v>UN</v>
          </cell>
          <cell r="E6199">
            <v>212.41</v>
          </cell>
          <cell r="F6199">
            <v>0</v>
          </cell>
        </row>
        <row r="6200">
          <cell r="B6200">
            <v>97485</v>
          </cell>
          <cell r="C6200" t="str">
            <v>CURVA 45 GRAUS, EM AÇO, CONEXÃO SOLDADA, DN 50 (2"), INSTALADO EM REDE DE ALIMENTAÇÃO PARA HIDRANTE - FORNECIMENTO E INSTALAÇÃO. AF_01/2026</v>
          </cell>
          <cell r="D6200" t="str">
            <v>UN</v>
          </cell>
          <cell r="E6200">
            <v>174.88</v>
          </cell>
          <cell r="F6200">
            <v>0</v>
          </cell>
        </row>
        <row r="6201">
          <cell r="B6201">
            <v>97523</v>
          </cell>
          <cell r="C6201" t="str">
            <v>CURVA 45 GRAUS, EM AÇO, CONEXÃO SOLDADA, DN 50 (2"), INSTALADO EM REDE DE ALIMENTAÇÃO PARA SPRINKLER - FORNECIMENTO E INSTALAÇÃO. AF_01/2026</v>
          </cell>
          <cell r="D6201" t="str">
            <v>UN</v>
          </cell>
          <cell r="E6201">
            <v>157.43</v>
          </cell>
          <cell r="F6201">
            <v>0</v>
          </cell>
        </row>
        <row r="6202">
          <cell r="B6202">
            <v>97454</v>
          </cell>
          <cell r="C6202" t="str">
            <v>CURVA 45 GRAUS, EM AÇO, CONEXÃO SOLDADA, DN 65 (2 1/2"), INSTALADO EM PRUMADAS - FORNECIMENTO E INSTALAÇÃO. AF_01/2026</v>
          </cell>
          <cell r="D6202" t="str">
            <v>UN</v>
          </cell>
          <cell r="E6202">
            <v>343.36</v>
          </cell>
          <cell r="F6202">
            <v>0</v>
          </cell>
        </row>
        <row r="6203">
          <cell r="B6203">
            <v>97487</v>
          </cell>
          <cell r="C6203" t="str">
            <v>CURVA 45 GRAUS, EM AÇO, CONEXÃO SOLDADA, DN 65 (2 1/2"), INSTALADO EM REDE DE ALIMENTAÇÃO PARA HIDRANTE - FORNECIMENTO E INSTALAÇÃO. AF_01/2026</v>
          </cell>
          <cell r="D6203" t="str">
            <v>UN</v>
          </cell>
          <cell r="E6203">
            <v>316.83</v>
          </cell>
          <cell r="F6203">
            <v>0</v>
          </cell>
        </row>
        <row r="6204">
          <cell r="B6204">
            <v>97525</v>
          </cell>
          <cell r="C6204" t="str">
            <v>CURVA 45 GRAUS, EM AÇO, CONEXÃO SOLDADA, DN 65 (2 1/2"), INSTALADO EM REDE DE ALIMENTAÇÃO PARA SPRINKLER - FORNECIMENTO E INSTALAÇÃO. AF_01/2026</v>
          </cell>
          <cell r="D6204" t="str">
            <v>UN</v>
          </cell>
          <cell r="E6204">
            <v>291.72000000000003</v>
          </cell>
          <cell r="F6204">
            <v>0</v>
          </cell>
        </row>
        <row r="6205">
          <cell r="B6205">
            <v>97456</v>
          </cell>
          <cell r="C6205" t="str">
            <v>CURVA 45 GRAUS, EM AÇO, CONEXÃO SOLDADA, DN 80 (3"), INSTALADO EM PRUMADAS - FORNECIMENTO E INSTALAÇÃO. AF_01/2026</v>
          </cell>
          <cell r="D6205" t="str">
            <v>UN</v>
          </cell>
          <cell r="E6205">
            <v>753.34</v>
          </cell>
          <cell r="F6205">
            <v>0</v>
          </cell>
        </row>
        <row r="6206">
          <cell r="B6206">
            <v>97489</v>
          </cell>
          <cell r="C6206" t="str">
            <v>CURVA 45 GRAUS, EM AÇO, CONEXÃO SOLDADA, DN 80 (3"), INSTALADO EM REDE DE ALIMENTAÇÃO PARA HIDRANTE - FORNECIMENTO E INSTALAÇÃO. AF_01/2026</v>
          </cell>
          <cell r="D6206" t="str">
            <v>UN</v>
          </cell>
          <cell r="E6206">
            <v>737.83</v>
          </cell>
          <cell r="F6206">
            <v>0</v>
          </cell>
        </row>
        <row r="6207">
          <cell r="B6207">
            <v>97527</v>
          </cell>
          <cell r="C6207" t="str">
            <v>CURVA 45 GRAUS, EM AÇO, CONEXÃO SOLDADA, DN 80 (3"), INSTALADO EM REDE DE ALIMENTAÇÃO PARA SPRINKLER - FORNECIMENTO E INSTALAÇÃO. AF_01/2026</v>
          </cell>
          <cell r="D6207" t="str">
            <v>UN</v>
          </cell>
          <cell r="E6207">
            <v>705.06</v>
          </cell>
          <cell r="F6207">
            <v>0</v>
          </cell>
        </row>
        <row r="6208">
          <cell r="B6208">
            <v>97434</v>
          </cell>
          <cell r="C6208" t="str">
            <v>CURVA 90 GRAUS, EM AÇO, CONEXÃO RANHURADA, DN 50 (2"), INSTALADO EM PRUMADAS - FORNECIMENTO E INSTALAÇÃO. AF_01/2026</v>
          </cell>
          <cell r="D6208" t="str">
            <v>UN</v>
          </cell>
          <cell r="E6208">
            <v>107.57</v>
          </cell>
          <cell r="F6208">
            <v>0</v>
          </cell>
        </row>
        <row r="6209">
          <cell r="B6209">
            <v>97436</v>
          </cell>
          <cell r="C6209" t="str">
            <v>CURVA 90 GRAUS, EM AÇO, CONEXÃO RANHURADA, DN 65 (2 1/2"), INSTALADO EM PRUMADAS - FORNECIMENTO E INSTALAÇÃO. AF_01/2026</v>
          </cell>
          <cell r="D6209" t="str">
            <v>UN</v>
          </cell>
          <cell r="E6209">
            <v>121.68</v>
          </cell>
          <cell r="F6209">
            <v>0</v>
          </cell>
        </row>
        <row r="6210">
          <cell r="B6210">
            <v>97438</v>
          </cell>
          <cell r="C6210" t="str">
            <v>CURVA 90 GRAUS, EM AÇO, CONEXÃO RANHURADA, DN 80 (3"), INSTALADO EM PRUMADAS - FORNECIMENTO E INSTALAÇÃO. AF_01/2026</v>
          </cell>
          <cell r="D6210" t="str">
            <v>UN</v>
          </cell>
          <cell r="E6210">
            <v>134.36000000000001</v>
          </cell>
          <cell r="F6210">
            <v>0</v>
          </cell>
        </row>
        <row r="6211">
          <cell r="B6211">
            <v>97547</v>
          </cell>
          <cell r="C6211" t="str">
            <v>CURVA 90 GRAUS, EM AÇO, CONEXÃO SOLDADA, DN 15 (1/2"), INSTALADO EM RAMAIS E SUB-RAMAIS DE GÁS - FORNECIMENTO E INSTALAÇÃO. AF_01/2026</v>
          </cell>
          <cell r="D6211" t="str">
            <v>UN</v>
          </cell>
          <cell r="E6211">
            <v>40.07</v>
          </cell>
          <cell r="F6211">
            <v>0</v>
          </cell>
        </row>
        <row r="6212">
          <cell r="B6212">
            <v>97549</v>
          </cell>
          <cell r="C6212" t="str">
            <v>CURVA 90 GRAUS, EM AÇO, CONEXÃO SOLDADA, DN 20 (3/4"), INSTALADO EM RAMAIS E SUB-RAMAIS DE GÁS - FORNECIMENTO E INSTALAÇÃO. AF_01/2026</v>
          </cell>
          <cell r="D6212" t="str">
            <v>UN</v>
          </cell>
          <cell r="E6212">
            <v>60.44</v>
          </cell>
          <cell r="F6212">
            <v>0</v>
          </cell>
        </row>
        <row r="6213">
          <cell r="B6213">
            <v>97551</v>
          </cell>
          <cell r="C6213" t="str">
            <v>CURVA 90 GRAUS, EM AÇO, CONEXÃO SOLDADA, DN 25 (1"), INSTALADO EM RAMAIS E SUB-RAMAIS DE GÁS - FORNECIMENTO E INSTALAÇÃO. AF_01/2026</v>
          </cell>
          <cell r="D6213" t="str">
            <v>UN</v>
          </cell>
          <cell r="E6213">
            <v>102.4</v>
          </cell>
          <cell r="F6213">
            <v>0</v>
          </cell>
        </row>
        <row r="6214">
          <cell r="B6214">
            <v>97480</v>
          </cell>
          <cell r="C6214" t="str">
            <v>CURVA 90 GRAUS, EM AÇO, CONEXÃO SOLDADA, DN 25 (1"), INSTALADO EM REDE DE ALIMENTAÇÃO PARA HIDRANTE - FORNECIMENTO E INSTALAÇÃO. AF_01/2026</v>
          </cell>
          <cell r="D6214" t="str">
            <v>UN</v>
          </cell>
          <cell r="E6214">
            <v>64.36</v>
          </cell>
          <cell r="F6214">
            <v>0</v>
          </cell>
        </row>
        <row r="6215">
          <cell r="B6215">
            <v>97518</v>
          </cell>
          <cell r="C6215" t="str">
            <v>CURVA 90 GRAUS, EM AÇO, CONEXÃO SOLDADA, DN 25 (1"), INSTALADO EM REDE DE ALIMENTAÇÃO PARA SPRINKLER - FORNECIMENTO E INSTALAÇÃO. AF_01/2026</v>
          </cell>
          <cell r="D6215" t="str">
            <v>UN</v>
          </cell>
          <cell r="E6215">
            <v>59.68</v>
          </cell>
          <cell r="F6215">
            <v>0</v>
          </cell>
        </row>
        <row r="6216">
          <cell r="B6216">
            <v>97482</v>
          </cell>
          <cell r="C6216" t="str">
            <v>CURVA 90 GRAUS, EM AÇO, CONEXÃO SOLDADA, DN 32 (1 1/4"), INSTALADO EM REDE DE ALIMENTAÇÃO PARA HIDRANTE - FORNECIMENTO E INSTALAÇÃO. AF_01/2026</v>
          </cell>
          <cell r="D6216" t="str">
            <v>UN</v>
          </cell>
          <cell r="E6216">
            <v>92.1</v>
          </cell>
          <cell r="F6216">
            <v>0</v>
          </cell>
        </row>
        <row r="6217">
          <cell r="B6217">
            <v>97520</v>
          </cell>
          <cell r="C6217" t="str">
            <v>CURVA 90 GRAUS, EM AÇO, CONEXÃO SOLDADA, DN 32 (1 1/4"), INSTALADO EM REDE DE ALIMENTAÇÃO PARA SPRINKLER - FORNECIMENTO E INSTALAÇÃO. AF_01/2026</v>
          </cell>
          <cell r="D6217" t="str">
            <v>UN</v>
          </cell>
          <cell r="E6217">
            <v>83.84</v>
          </cell>
          <cell r="F6217">
            <v>0</v>
          </cell>
        </row>
        <row r="6218">
          <cell r="B6218">
            <v>97484</v>
          </cell>
          <cell r="C6218" t="str">
            <v>CURVA 90 GRAUS, EM AÇO, CONEXÃO SOLDADA, DN 40 (1 1/2"), INSTALADO EM REDE DE ALIMENTAÇÃO PARA HIDRANTE - FORNECIMENTO E INSTALAÇÃO. AF_01/2026</v>
          </cell>
          <cell r="D6218" t="str">
            <v>UN</v>
          </cell>
          <cell r="E6218">
            <v>127.69</v>
          </cell>
          <cell r="F6218">
            <v>0</v>
          </cell>
        </row>
        <row r="6219">
          <cell r="B6219">
            <v>97522</v>
          </cell>
          <cell r="C6219" t="str">
            <v>CURVA 90 GRAUS, EM AÇO, CONEXÃO SOLDADA, DN 40 (1 1/2"), INSTALADO EM REDE DE ALIMENTAÇÃO PARA SPRINKLER - FORNECIMENTO E INSTALAÇÃO. AF_01/2026</v>
          </cell>
          <cell r="D6219" t="str">
            <v>UN</v>
          </cell>
          <cell r="E6219">
            <v>115.35</v>
          </cell>
          <cell r="F6219">
            <v>0</v>
          </cell>
        </row>
        <row r="6220">
          <cell r="B6220">
            <v>97453</v>
          </cell>
          <cell r="C6220" t="str">
            <v>CURVA 90 GRAUS, EM AÇO, CONEXÃO SOLDADA, DN 50 (2"), INSTALADO EM PRUMADAS - FORNECIMENTO E INSTALAÇÃO. AF_01/2026</v>
          </cell>
          <cell r="D6220" t="str">
            <v>UN</v>
          </cell>
          <cell r="E6220">
            <v>224.24</v>
          </cell>
          <cell r="F6220">
            <v>0</v>
          </cell>
        </row>
        <row r="6221">
          <cell r="B6221">
            <v>97486</v>
          </cell>
          <cell r="C6221" t="str">
            <v>CURVA 90 GRAUS, EM AÇO, CONEXÃO SOLDADA, DN 50 (2"), INSTALADO EM REDE DE ALIMENTAÇÃO PARA HIDRANTE - FORNECIMENTO E INSTALAÇÃO. AF_01/2026</v>
          </cell>
          <cell r="D6221" t="str">
            <v>UN</v>
          </cell>
          <cell r="E6221">
            <v>186.71</v>
          </cell>
          <cell r="F6221">
            <v>0</v>
          </cell>
        </row>
        <row r="6222">
          <cell r="B6222">
            <v>97524</v>
          </cell>
          <cell r="C6222" t="str">
            <v>CURVA 90 GRAUS, EM AÇO, CONEXÃO SOLDADA, DN 50 (2"), INSTALADO EM REDE DE ALIMENTAÇÃO PARA SPRINKLER - FORNECIMENTO E INSTALAÇÃO. AF_01/2026</v>
          </cell>
          <cell r="D6222" t="str">
            <v>UN</v>
          </cell>
          <cell r="E6222">
            <v>169.26</v>
          </cell>
          <cell r="F6222">
            <v>0</v>
          </cell>
        </row>
        <row r="6223">
          <cell r="B6223">
            <v>97455</v>
          </cell>
          <cell r="C6223" t="str">
            <v>CURVA 90 GRAUS, EM AÇO, CONEXÃO SOLDADA, DN 65 (2 1/2"), INSTALADO EM PRUMADAS - FORNECIMENTO E INSTALAÇÃO. AF_01/2026</v>
          </cell>
          <cell r="D6223" t="str">
            <v>UN</v>
          </cell>
          <cell r="E6223">
            <v>362.28</v>
          </cell>
          <cell r="F6223">
            <v>0</v>
          </cell>
        </row>
        <row r="6224">
          <cell r="B6224">
            <v>97488</v>
          </cell>
          <cell r="C6224" t="str">
            <v>CURVA 90 GRAUS, EM AÇO, CONEXÃO SOLDADA, DN 65 (2 1/2"), INSTALADO EM REDE DE ALIMENTAÇÃO PARA HIDRANTE - FORNECIMENTO E INSTALAÇÃO. AF_01/2026</v>
          </cell>
          <cell r="D6224" t="str">
            <v>UN</v>
          </cell>
          <cell r="E6224">
            <v>335.75</v>
          </cell>
          <cell r="F6224">
            <v>0</v>
          </cell>
        </row>
        <row r="6225">
          <cell r="B6225">
            <v>97526</v>
          </cell>
          <cell r="C6225" t="str">
            <v>CURVA 90 GRAUS, EM AÇO, CONEXÃO SOLDADA, DN 65 (2 1/2"), INSTALADO EM REDE DE ALIMENTAÇÃO PARA SPRINKLER - FORNECIMENTO E INSTALAÇÃO. AF_01/2026</v>
          </cell>
          <cell r="D6225" t="str">
            <v>UN</v>
          </cell>
          <cell r="E6225">
            <v>310.64</v>
          </cell>
          <cell r="F6225">
            <v>0</v>
          </cell>
        </row>
        <row r="6226">
          <cell r="B6226">
            <v>97457</v>
          </cell>
          <cell r="C6226" t="str">
            <v>CURVA 90 GRAUS, EM AÇO, CONEXÃO SOLDADA, DN 80 (3"), INSTALADO EM PRUMADAS - FORNECIMENTO E INSTALAÇÃO. AF_01/2026</v>
          </cell>
          <cell r="D6226" t="str">
            <v>UN</v>
          </cell>
          <cell r="E6226">
            <v>668.45</v>
          </cell>
          <cell r="F6226">
            <v>0</v>
          </cell>
        </row>
        <row r="6227">
          <cell r="B6227">
            <v>97490</v>
          </cell>
          <cell r="C6227" t="str">
            <v>CURVA 90 GRAUS, EM AÇO, CONEXÃO SOLDADA, DN 80 (3"), INSTALADO EM REDE DE ALIMENTAÇÃO PARA HIDRANTE - FORNECIMENTO E INSTALAÇÃO. AF_01/2026</v>
          </cell>
          <cell r="D6227" t="str">
            <v>UN</v>
          </cell>
          <cell r="E6227">
            <v>652.94000000000005</v>
          </cell>
          <cell r="F6227">
            <v>0</v>
          </cell>
        </row>
        <row r="6228">
          <cell r="B6228">
            <v>97528</v>
          </cell>
          <cell r="C6228" t="str">
            <v>CURVA 90 GRAUS, EM AÇO, CONEXÃO SOLDADA, DN 80 (3"), INSTALADO EM REDE DE ALIMENTAÇÃO PARA SPRINKLER - FORNECIMENTO E INSTALAÇÃO. AF_01/2026</v>
          </cell>
          <cell r="D6228" t="str">
            <v>UN</v>
          </cell>
          <cell r="E6228">
            <v>620.16999999999996</v>
          </cell>
          <cell r="F6228">
            <v>0</v>
          </cell>
        </row>
        <row r="6229">
          <cell r="B6229">
            <v>101906</v>
          </cell>
          <cell r="C6229" t="str">
            <v>EXTINTOR DE INCÊNDIO PORTÁTIL COM CARGA DE CO2 DE 4 KG, CLASSE BC - FORNECIMENTO E INSTALAÇÃO. AF_01/2026_PE</v>
          </cell>
          <cell r="D6229" t="str">
            <v>UN</v>
          </cell>
          <cell r="E6229">
            <v>668.5</v>
          </cell>
          <cell r="F6229">
            <v>0</v>
          </cell>
        </row>
        <row r="6230">
          <cell r="B6230">
            <v>101907</v>
          </cell>
          <cell r="C6230" t="str">
            <v>EXTINTOR DE INCÊNDIO PORTÁTIL COM CARGA DE CO2 DE 6 KG, CLASSE BC - FORNECIMENTO E INSTALAÇÃO. AF_01/2026_PE</v>
          </cell>
          <cell r="D6230" t="str">
            <v>UN</v>
          </cell>
          <cell r="E6230">
            <v>721.47</v>
          </cell>
          <cell r="F6230">
            <v>0</v>
          </cell>
        </row>
        <row r="6231">
          <cell r="B6231">
            <v>101911</v>
          </cell>
          <cell r="C6231" t="str">
            <v>EXTINTOR DE INCÊNDIO PORTÁTIL COM CARGA DE PQS DE 12 KG, CLASSE BC - FORNECIMENTO E INSTALAÇÃO. AF_01/2026_PE</v>
          </cell>
          <cell r="D6231" t="str">
            <v>UN</v>
          </cell>
          <cell r="E6231">
            <v>350.73</v>
          </cell>
          <cell r="F6231">
            <v>0</v>
          </cell>
        </row>
        <row r="6232">
          <cell r="B6232">
            <v>101908</v>
          </cell>
          <cell r="C6232" t="str">
            <v>EXTINTOR DE INCÊNDIO PORTÁTIL COM CARGA DE PQS DE 4 KG, CLASSE BC - FORNECIMENTO E INSTALAÇÃO. AF_01/2026_PE</v>
          </cell>
          <cell r="D6232" t="str">
            <v>UN</v>
          </cell>
          <cell r="E6232">
            <v>227.16</v>
          </cell>
          <cell r="F6232">
            <v>0</v>
          </cell>
        </row>
        <row r="6233">
          <cell r="B6233">
            <v>101909</v>
          </cell>
          <cell r="C6233" t="str">
            <v>EXTINTOR DE INCÊNDIO PORTÁTIL COM CARGA DE PQS DE 6 KG, CLASSE BC - FORNECIMENTO E INSTALAÇÃO. AF_01/2026_PE</v>
          </cell>
          <cell r="D6233" t="str">
            <v>UN</v>
          </cell>
          <cell r="E6233">
            <v>262.47000000000003</v>
          </cell>
          <cell r="F6233">
            <v>0</v>
          </cell>
        </row>
        <row r="6234">
          <cell r="B6234">
            <v>101910</v>
          </cell>
          <cell r="C6234" t="str">
            <v>EXTINTOR DE INCÊNDIO PORTÁTIL COM CARGA DE PQS DE 8 KG, CLASSE BC - FORNECIMENTO E INSTALAÇÃO. AF_01/2026_PE</v>
          </cell>
          <cell r="D6234" t="str">
            <v>UN</v>
          </cell>
          <cell r="E6234">
            <v>306.60000000000002</v>
          </cell>
          <cell r="F6234">
            <v>0</v>
          </cell>
        </row>
        <row r="6235">
          <cell r="B6235">
            <v>101905</v>
          </cell>
          <cell r="C6235" t="str">
            <v>EXTINTOR DE INCÊNDIO PORTÁTIL COM CARGA DE ÁGUA PRESSURIZADA DE 10 L, CLASSE A - FORNECIMENTO E INSTALAÇÃO. AF_01/2026_PE</v>
          </cell>
          <cell r="D6235" t="str">
            <v>UN</v>
          </cell>
          <cell r="E6235">
            <v>233.78</v>
          </cell>
          <cell r="F6235">
            <v>0</v>
          </cell>
        </row>
        <row r="6236">
          <cell r="B6236">
            <v>92698</v>
          </cell>
          <cell r="C6236" t="str">
            <v>JOELHO 45 GRAUS, EM FERRO GALVANIZADO, CONEXÃO ROSQUEADA, DN 15 (1/2"), INSTALADO EM RAMAIS E SUB-RAMAIS DE GÁS - FORNECIMENTO E INSTALAÇÃO. AF_01/2026</v>
          </cell>
          <cell r="D6236" t="str">
            <v>UN</v>
          </cell>
          <cell r="E6236">
            <v>26.8</v>
          </cell>
          <cell r="F6236">
            <v>0</v>
          </cell>
        </row>
        <row r="6237">
          <cell r="B6237">
            <v>92700</v>
          </cell>
          <cell r="C6237" t="str">
            <v>JOELHO 45 GRAUS, EM FERRO GALVANIZADO, CONEXÃO ROSQUEADA, DN 20 (3/4"), INSTALADO EM RAMAIS E SUB-RAMAIS DE GÁS - FORNECIMENTO E INSTALAÇÃO. AF_01/2026</v>
          </cell>
          <cell r="D6237" t="str">
            <v>UN</v>
          </cell>
          <cell r="E6237">
            <v>44</v>
          </cell>
          <cell r="F6237">
            <v>0</v>
          </cell>
        </row>
        <row r="6238">
          <cell r="B6238">
            <v>92702</v>
          </cell>
          <cell r="C6238" t="str">
            <v>JOELHO 45 GRAUS, EM FERRO GALVANIZADO, CONEXÃO ROSQUEADA, DN 25 (1"), INSTALADO EM RAMAIS E SUB-RAMAIS DE GÁS - FORNECIMENTO E INSTALAÇÃO. AF_01/2026</v>
          </cell>
          <cell r="D6238" t="str">
            <v>UN</v>
          </cell>
          <cell r="E6238">
            <v>69.319999999999993</v>
          </cell>
          <cell r="F6238">
            <v>0</v>
          </cell>
        </row>
        <row r="6239">
          <cell r="B6239">
            <v>92669</v>
          </cell>
          <cell r="C6239" t="str">
            <v>JOELHO 45 GRAUS, EM FERRO GALVANIZADO, CONEXÃO ROSQUEADA, DN 25 (1"), INSTALADO EM REDE DE ALIMENTAÇÃO PARA SPRINKLER - FORNECIMENTO E INSTALAÇÃO. AF_01/2026</v>
          </cell>
          <cell r="D6239" t="str">
            <v>UN</v>
          </cell>
          <cell r="E6239">
            <v>50.18</v>
          </cell>
          <cell r="F6239">
            <v>0</v>
          </cell>
        </row>
        <row r="6240">
          <cell r="B6240">
            <v>92671</v>
          </cell>
          <cell r="C6240" t="str">
            <v>JOELHO 45 GRAUS, EM FERRO GALVANIZADO, CONEXÃO ROSQUEADA, DN 32 (1 1/4"), INSTALADO EM REDE DE ALIMENTAÇÃO PARA SPRINKLER - FORNECIMENTO E INSTALAÇÃO. AF_01/2026</v>
          </cell>
          <cell r="D6240" t="str">
            <v>UN</v>
          </cell>
          <cell r="E6240">
            <v>65.13</v>
          </cell>
          <cell r="F6240">
            <v>0</v>
          </cell>
        </row>
        <row r="6241">
          <cell r="B6241">
            <v>92673</v>
          </cell>
          <cell r="C6241" t="str">
            <v>JOELHO 45 GRAUS, EM FERRO GALVANIZADO, CONEXÃO ROSQUEADA, DN 40 (1 1/2"), INSTALADO EM REDE DE ALIMENTAÇÃO PARA SPRINKLER - FORNECIMENTO E INSTALAÇÃO. AF_01/2026</v>
          </cell>
          <cell r="D6241" t="str">
            <v>UN</v>
          </cell>
          <cell r="E6241">
            <v>75.62</v>
          </cell>
          <cell r="F6241">
            <v>0</v>
          </cell>
        </row>
        <row r="6242">
          <cell r="B6242">
            <v>92675</v>
          </cell>
          <cell r="C6242" t="str">
            <v>JOELHO 45 GRAUS, EM FERRO GALVANIZADO, CONEXÃO ROSQUEADA, DN 50 (2"), INSTALADO EM REDE DE ALIMENTAÇÃO PARA SPRINKLER - FORNECIMENTO E INSTALAÇÃO. AF_01/2026</v>
          </cell>
          <cell r="D6242" t="str">
            <v>UN</v>
          </cell>
          <cell r="E6242">
            <v>97.18</v>
          </cell>
          <cell r="F6242">
            <v>0</v>
          </cell>
        </row>
        <row r="6243">
          <cell r="B6243">
            <v>92677</v>
          </cell>
          <cell r="C6243" t="str">
            <v>JOELHO 45 GRAUS, EM FERRO GALVANIZADO, CONEXÃO ROSQUEADA, DN 65 (2 1/2"), INSTALADO EM REDE DE ALIMENTAÇÃO PARA SPRINKLER - FORNECIMENTO E INSTALAÇÃO. AF_01/2026</v>
          </cell>
          <cell r="D6243" t="str">
            <v>UN</v>
          </cell>
          <cell r="E6243">
            <v>154.75</v>
          </cell>
          <cell r="F6243">
            <v>0</v>
          </cell>
        </row>
        <row r="6244">
          <cell r="B6244">
            <v>92635</v>
          </cell>
          <cell r="C6244" t="str">
            <v>JOELHO 45 GRAUS, EM FERRO GALVANIZADO, CONEXÃO ROSQUEADA, DN 80 (3"), INSTALADO EM REDE DE ALIMENTAÇÃO PARA HIDRANTE - FORNECIMENTO E INSTALAÇÃO. AF_01/2026</v>
          </cell>
          <cell r="D6244" t="str">
            <v>UN</v>
          </cell>
          <cell r="E6244">
            <v>245.24</v>
          </cell>
          <cell r="F6244">
            <v>0</v>
          </cell>
        </row>
        <row r="6245">
          <cell r="B6245">
            <v>92679</v>
          </cell>
          <cell r="C6245" t="str">
            <v>JOELHO 45 GRAUS, EM FERRO GALVANIZADO, CONEXÃO ROSQUEADA, DN 80 (3"), INSTALADO EM REDE DE ALIMENTAÇÃO PARA SPRINKLER - FORNECIMENTO E INSTALAÇÃO. AF_01/2026</v>
          </cell>
          <cell r="D6245" t="str">
            <v>UN</v>
          </cell>
          <cell r="E6245">
            <v>210.12</v>
          </cell>
          <cell r="F6245">
            <v>0</v>
          </cell>
        </row>
        <row r="6246">
          <cell r="B6246">
            <v>92381</v>
          </cell>
          <cell r="C6246" t="str">
            <v>JOELHO 45 GRAUS, EM FERRO GALVANIZADO, DN 25 (1"), CONEXÃO ROSQUEADA, INSTALADO EM REDE DE ALIMENTAÇÃO PARA HIDRANTE - FORNECIMENTO E INSTALAÇÃO. AF_01/2026</v>
          </cell>
          <cell r="D6246" t="str">
            <v>UN</v>
          </cell>
          <cell r="E6246">
            <v>67.11</v>
          </cell>
          <cell r="F6246">
            <v>0</v>
          </cell>
        </row>
        <row r="6247">
          <cell r="B6247">
            <v>92383</v>
          </cell>
          <cell r="C6247" t="str">
            <v>JOELHO 45 GRAUS, EM FERRO GALVANIZADO, DN 32 (1 1/4"), CONEXÃO ROSQUEADA, INSTALADO EM REDE DE ALIMENTAÇÃO PARA HIDRANTE - FORNECIMENTO E INSTALAÇÃO. AF_01/2026</v>
          </cell>
          <cell r="D6247" t="str">
            <v>UN</v>
          </cell>
          <cell r="E6247">
            <v>84.37</v>
          </cell>
          <cell r="F6247">
            <v>0</v>
          </cell>
        </row>
        <row r="6248">
          <cell r="B6248">
            <v>92385</v>
          </cell>
          <cell r="C6248" t="str">
            <v>JOELHO 45 GRAUS, EM FERRO GALVANIZADO, DN 40 (1 1/2"), CONEXÃO ROSQUEADA, INSTALADO EM REDE DE ALIMENTAÇÃO PARA HIDRANTE - FORNECIMENTO E INSTALAÇÃO. AF_01/2026</v>
          </cell>
          <cell r="D6248" t="str">
            <v>UN</v>
          </cell>
          <cell r="E6248">
            <v>97.49</v>
          </cell>
          <cell r="F6248">
            <v>0</v>
          </cell>
        </row>
        <row r="6249">
          <cell r="B6249">
            <v>92350</v>
          </cell>
          <cell r="C6249" t="str">
            <v>JOELHO 45 GRAUS, EM FERRO GALVANIZADO, DN 50 (2"), CONEXÃO ROSQUEADA, INSTALADO EM PRUMADAS - FORNECIMENTO E INSTALAÇÃO. AF_01/2026</v>
          </cell>
          <cell r="D6249" t="str">
            <v>UN</v>
          </cell>
          <cell r="E6249">
            <v>129.30000000000001</v>
          </cell>
          <cell r="F6249">
            <v>0</v>
          </cell>
        </row>
        <row r="6250">
          <cell r="B6250">
            <v>92387</v>
          </cell>
          <cell r="C6250" t="str">
            <v>JOELHO 45 GRAUS, EM FERRO GALVANIZADO, DN 50 (2"), CONEXÃO ROSQUEADA, INSTALADO EM REDE DE ALIMENTAÇÃO PARA HIDRANTE - FORNECIMENTO E INSTALAÇÃO. AF_01/2026</v>
          </cell>
          <cell r="D6250" t="str">
            <v>UN</v>
          </cell>
          <cell r="E6250">
            <v>122.37</v>
          </cell>
          <cell r="F6250">
            <v>0</v>
          </cell>
        </row>
        <row r="6251">
          <cell r="B6251">
            <v>92352</v>
          </cell>
          <cell r="C6251" t="str">
            <v>JOELHO 45 GRAUS, EM FERRO GALVANIZADO, DN 65 (2 1/2"), CONEXÃO ROSQUEADA, INSTALADO EM PRUMADAS - FORNECIMENTO E INSTALAÇÃO. AF_01/2026</v>
          </cell>
          <cell r="D6251" t="str">
            <v>UN</v>
          </cell>
          <cell r="E6251">
            <v>185.03</v>
          </cell>
          <cell r="F6251">
            <v>0</v>
          </cell>
        </row>
        <row r="6252">
          <cell r="B6252">
            <v>92389</v>
          </cell>
          <cell r="C6252" t="str">
            <v>JOELHO 45 GRAUS, EM FERRO GALVANIZADO, DN 65 (2 1/2"), CONEXÃO ROSQUEADA, INSTALADO EM REDE DE ALIMENTAÇÃO PARA HIDRANTE - FORNECIMENTO E INSTALAÇÃO. AF_01/2026</v>
          </cell>
          <cell r="D6252" t="str">
            <v>UN</v>
          </cell>
          <cell r="E6252">
            <v>184.9</v>
          </cell>
          <cell r="F6252">
            <v>0</v>
          </cell>
        </row>
        <row r="6253">
          <cell r="B6253">
            <v>92354</v>
          </cell>
          <cell r="C6253" t="str">
            <v>JOELHO 45 GRAUS, EM FERRO GALVANIZADO, DN 80 (3"), CONEXÃO ROSQUEADA, INSTALADO EM PRUMADAS - FORNECIMENTO E INSTALAÇÃO. AF_01/2026</v>
          </cell>
          <cell r="D6253" t="str">
            <v>UN</v>
          </cell>
          <cell r="E6253">
            <v>238.58</v>
          </cell>
          <cell r="F6253">
            <v>0</v>
          </cell>
        </row>
        <row r="6254">
          <cell r="B6254">
            <v>92699</v>
          </cell>
          <cell r="C6254" t="str">
            <v>JOELHO 90 GRAUS, EM FERRO GALVANIZADO, CONEXÃO ROSQUEADA, DN 15 (1/2"), INSTALADO EM RAMAIS E SUB-RAMAIS DE GÁS - FORNECIMENTO E INSTALAÇÃO. AF_01/2026</v>
          </cell>
          <cell r="D6254" t="str">
            <v>UN</v>
          </cell>
          <cell r="E6254">
            <v>25.41</v>
          </cell>
          <cell r="F6254">
            <v>0</v>
          </cell>
        </row>
        <row r="6255">
          <cell r="B6255">
            <v>92701</v>
          </cell>
          <cell r="C6255" t="str">
            <v>JOELHO 90 GRAUS, EM FERRO GALVANIZADO, CONEXÃO ROSQUEADA, DN 20 (3/4"), INSTALADO EM RAMAIS E SUB-RAMAIS DE GÁS - FORNECIMENTO E INSTALAÇÃO. AF_01/2026</v>
          </cell>
          <cell r="D6255" t="str">
            <v>UN</v>
          </cell>
          <cell r="E6255">
            <v>41.92</v>
          </cell>
          <cell r="F6255">
            <v>0</v>
          </cell>
        </row>
        <row r="6256">
          <cell r="B6256">
            <v>92703</v>
          </cell>
          <cell r="C6256" t="str">
            <v>JOELHO 90 GRAUS, EM FERRO GALVANIZADO, CONEXÃO ROSQUEADA, DN 25 (1"), INSTALADO EM RAMAIS E SUB-RAMAIS DE GÁS - FORNECIMENTO E INSTALAÇÃO. AF_01/2026</v>
          </cell>
          <cell r="D6256" t="str">
            <v>UN</v>
          </cell>
          <cell r="E6256">
            <v>66.77</v>
          </cell>
          <cell r="F6256">
            <v>0</v>
          </cell>
        </row>
        <row r="6257">
          <cell r="B6257">
            <v>92670</v>
          </cell>
          <cell r="C6257" t="str">
            <v>JOELHO 90 GRAUS, EM FERRO GALVANIZADO, CONEXÃO ROSQUEADA, DN 25 (1"), INSTALADO EM REDE DE ALIMENTAÇÃO PARA SPRINKLER - FORNECIMENTO E INSTALAÇÃO. AF_01/2026</v>
          </cell>
          <cell r="D6257" t="str">
            <v>UN</v>
          </cell>
          <cell r="E6257">
            <v>47.63</v>
          </cell>
          <cell r="F6257">
            <v>0</v>
          </cell>
        </row>
        <row r="6258">
          <cell r="B6258">
            <v>92672</v>
          </cell>
          <cell r="C6258" t="str">
            <v>JOELHO 90 GRAUS, EM FERRO GALVANIZADO, CONEXÃO ROSQUEADA, DN 32 (1 1/4"), INSTALADO EM REDE DE ALIMENTAÇÃO PARA SPRINKLER - FORNECIMENTO E INSTALAÇÃO. AF_01/2026</v>
          </cell>
          <cell r="D6258" t="str">
            <v>UN</v>
          </cell>
          <cell r="E6258">
            <v>60.04</v>
          </cell>
          <cell r="F6258">
            <v>0</v>
          </cell>
        </row>
        <row r="6259">
          <cell r="B6259">
            <v>92674</v>
          </cell>
          <cell r="C6259" t="str">
            <v>JOELHO 90 GRAUS, EM FERRO GALVANIZADO, CONEXÃO ROSQUEADA, DN 40 (1 1/2"), INSTALADO EM REDE DE ALIMENTAÇÃO PARA SPRINKLER - FORNECIMENTO E INSTALAÇÃO. AF_01/2026</v>
          </cell>
          <cell r="D6259" t="str">
            <v>UN</v>
          </cell>
          <cell r="E6259">
            <v>72.12</v>
          </cell>
          <cell r="F6259">
            <v>0</v>
          </cell>
        </row>
        <row r="6260">
          <cell r="B6260">
            <v>92676</v>
          </cell>
          <cell r="C6260" t="str">
            <v>JOELHO 90 GRAUS, EM FERRO GALVANIZADO, CONEXÃO ROSQUEADA, DN 50 (2"), INSTALADO EM REDE DE ALIMENTAÇÃO PARA SPRINKLER - FORNECIMENTO E INSTALAÇÃO. AF_01/2026</v>
          </cell>
          <cell r="D6260" t="str">
            <v>UN</v>
          </cell>
          <cell r="E6260">
            <v>94.8</v>
          </cell>
          <cell r="F6260">
            <v>0</v>
          </cell>
        </row>
        <row r="6261">
          <cell r="B6261">
            <v>92678</v>
          </cell>
          <cell r="C6261" t="str">
            <v>JOELHO 90 GRAUS, EM FERRO GALVANIZADO, CONEXÃO ROSQUEADA, DN 65 (2 1/2"), INSTALADO EM REDE DE ALIMENTAÇÃO PARA SPRINKLER - FORNECIMENTO E INSTALAÇÃO. AF_01/2026</v>
          </cell>
          <cell r="D6261" t="str">
            <v>UN</v>
          </cell>
          <cell r="E6261">
            <v>144.26</v>
          </cell>
          <cell r="F6261">
            <v>0</v>
          </cell>
        </row>
        <row r="6262">
          <cell r="B6262">
            <v>92636</v>
          </cell>
          <cell r="C6262" t="str">
            <v>JOELHO 90 GRAUS, EM FERRO GALVANIZADO, CONEXÃO ROSQUEADA, DN 80 (3"), INSTALADO EM REDE DE ALIMENTAÇÃO PARA HIDRANTE - FORNECIMENTO E INSTALAÇÃO. AF_01/2026</v>
          </cell>
          <cell r="D6262" t="str">
            <v>UN</v>
          </cell>
          <cell r="E6262">
            <v>225.04</v>
          </cell>
          <cell r="F6262">
            <v>0</v>
          </cell>
        </row>
        <row r="6263">
          <cell r="B6263">
            <v>92680</v>
          </cell>
          <cell r="C6263" t="str">
            <v>JOELHO 90 GRAUS, EM FERRO GALVANIZADO, CONEXÃO ROSQUEADA, DN 80 (3"), INSTALADO EM REDE DE ALIMENTAÇÃO PARA SPRINKLER - FORNECIMENTO E INSTALAÇÃO. AF_01/2026</v>
          </cell>
          <cell r="D6263" t="str">
            <v>UN</v>
          </cell>
          <cell r="E6263">
            <v>189.92</v>
          </cell>
          <cell r="F6263">
            <v>0</v>
          </cell>
        </row>
        <row r="6264">
          <cell r="B6264">
            <v>92382</v>
          </cell>
          <cell r="C6264" t="str">
            <v>JOELHO 90 GRAUS, EM FERRO GALVANIZADO, DN 25 (1"), CONEXÃO ROSQUEADA, INSTALADO EM REDE DE ALIMENTAÇÃO PARA HIDRANTE - FORNECIMENTO E INSTALAÇÃO. AF_01/2026</v>
          </cell>
          <cell r="D6264" t="str">
            <v>UN</v>
          </cell>
          <cell r="E6264">
            <v>64.56</v>
          </cell>
          <cell r="F6264">
            <v>0</v>
          </cell>
        </row>
        <row r="6265">
          <cell r="B6265">
            <v>92384</v>
          </cell>
          <cell r="C6265" t="str">
            <v>JOELHO 90 GRAUS, EM FERRO GALVANIZADO, DN 32 (1 1/4"), CONEXÃO ROSQUEADA, INSTALADO EM REDE DE ALIMENTAÇÃO PARA HIDRANTE - FORNECIMENTO E INSTALAÇÃO. AF_01/2026</v>
          </cell>
          <cell r="D6265" t="str">
            <v>UN</v>
          </cell>
          <cell r="E6265">
            <v>79.28</v>
          </cell>
          <cell r="F6265">
            <v>0</v>
          </cell>
        </row>
        <row r="6266">
          <cell r="B6266">
            <v>92386</v>
          </cell>
          <cell r="C6266" t="str">
            <v>JOELHO 90 GRAUS, EM FERRO GALVANIZADO, DN 40 (1 1/2"), CONEXÃO ROSQUEADA, INSTALADO EM REDE DE ALIMENTAÇÃO PARA HIDRANTE - FORNECIMENTO E INSTALAÇÃO. AF_01/2026</v>
          </cell>
          <cell r="D6266" t="str">
            <v>UN</v>
          </cell>
          <cell r="E6266">
            <v>93.99</v>
          </cell>
          <cell r="F6266">
            <v>0</v>
          </cell>
        </row>
        <row r="6267">
          <cell r="B6267">
            <v>92351</v>
          </cell>
          <cell r="C6267" t="str">
            <v>JOELHO 90 GRAUS, EM FERRO GALVANIZADO, DN 50 (2"), CONEXÃO ROSQUEADA, INSTALADO EM PRUMADAS - FORNECIMENTO E INSTALAÇÃO. AF_01/2026</v>
          </cell>
          <cell r="D6267" t="str">
            <v>UN</v>
          </cell>
          <cell r="E6267">
            <v>126.92</v>
          </cell>
          <cell r="F6267">
            <v>0</v>
          </cell>
        </row>
        <row r="6268">
          <cell r="B6268">
            <v>92388</v>
          </cell>
          <cell r="C6268" t="str">
            <v>JOELHO 90 GRAUS, EM FERRO GALVANIZADO, DN 50 (2"), CONEXÃO ROSQUEADA, INSTALADO EM REDE DE ALIMENTAÇÃO PARA HIDRANTE - FORNECIMENTO E INSTALAÇÃO. AF_01/2026</v>
          </cell>
          <cell r="D6268" t="str">
            <v>UN</v>
          </cell>
          <cell r="E6268">
            <v>119.99</v>
          </cell>
          <cell r="F6268">
            <v>0</v>
          </cell>
        </row>
        <row r="6269">
          <cell r="B6269">
            <v>92353</v>
          </cell>
          <cell r="C6269" t="str">
            <v>JOELHO 90 GRAUS, EM FERRO GALVANIZADO, DN 65 (2 1/2"), CONEXÃO ROSQUEADA, INSTALADO EM PRUMADAS - FORNECIMENTO E INSTALAÇÃO. AF_01/2026</v>
          </cell>
          <cell r="D6269" t="str">
            <v>UN</v>
          </cell>
          <cell r="E6269">
            <v>174.54</v>
          </cell>
          <cell r="F6269">
            <v>0</v>
          </cell>
        </row>
        <row r="6270">
          <cell r="B6270">
            <v>92390</v>
          </cell>
          <cell r="C6270" t="str">
            <v>JOELHO 90 GRAUS, EM FERRO GALVANIZADO, DN 65 (2 1/2"), CONEXÃO ROSQUEADA, INSTALADO EM REDE DE ALIMENTAÇÃO PARA HIDRANTE - FORNECIMENTO E INSTALAÇÃO. AF_01/2026</v>
          </cell>
          <cell r="D6270" t="str">
            <v>UN</v>
          </cell>
          <cell r="E6270">
            <v>174.41</v>
          </cell>
          <cell r="F6270">
            <v>0</v>
          </cell>
        </row>
        <row r="6271">
          <cell r="B6271">
            <v>92355</v>
          </cell>
          <cell r="C6271" t="str">
            <v>JOELHO 90 GRAUS, EM FERRO GALVANIZADO, DN 80 (3"), CONEXÃO ROSQUEADA, INSTALADO EM PRUMADAS - FORNECIMENTO E INSTALAÇÃO. AF_01/2026</v>
          </cell>
          <cell r="D6271" t="str">
            <v>UN</v>
          </cell>
          <cell r="E6271">
            <v>218.38</v>
          </cell>
          <cell r="F6271">
            <v>0</v>
          </cell>
        </row>
        <row r="6272">
          <cell r="B6272">
            <v>101925</v>
          </cell>
          <cell r="C6272" t="str">
            <v>JOELHO 90°, EM FERRO GALVANIZADO, 4", CONEXÃO ROSQUEADA, INSTALADO EM PRUMADAS - FORNECIMENTO E INSTALAÇÃO. AF_01/2026</v>
          </cell>
          <cell r="D6272" t="str">
            <v>UN</v>
          </cell>
          <cell r="E6272">
            <v>345.46</v>
          </cell>
          <cell r="F6272">
            <v>0</v>
          </cell>
        </row>
        <row r="6273">
          <cell r="B6273">
            <v>101934</v>
          </cell>
          <cell r="C6273" t="str">
            <v>JOELHO 90°, EM FERRO GALVANIZADO, 4", CONEXÃO ROSQUEADA, INSTALADO EM REDE DE ALIMENTAÇÃO PARA HIDRANTE - FORNECIMENTO E INSTALAÇÃO. AF_01/2026</v>
          </cell>
          <cell r="D6273" t="str">
            <v>UN</v>
          </cell>
          <cell r="E6273">
            <v>361.18</v>
          </cell>
          <cell r="F6273">
            <v>0</v>
          </cell>
        </row>
        <row r="6274">
          <cell r="B6274">
            <v>97541</v>
          </cell>
          <cell r="C6274" t="str">
            <v>LUVA COM REDUÇÃO, EM AÇO, CONEXÃO SOLDADA, DN 20 X 15 MM (3/4" X 1/2"), INSTALADO EM RAMAIS E SUB-RAMAIS DE GÁS - FORNECIMENTO E INSTALAÇÃO. AF_01/2026</v>
          </cell>
          <cell r="D6274" t="str">
            <v>UN</v>
          </cell>
          <cell r="E6274">
            <v>29.88</v>
          </cell>
          <cell r="F6274">
            <v>0</v>
          </cell>
        </row>
        <row r="6275">
          <cell r="B6275">
            <v>97462</v>
          </cell>
          <cell r="C6275" t="str">
            <v>LUVA COM REDUÇÃO, EM AÇO, CONEXÃO SOLDADA, DN 25 X 20 MM (1 X 3/4"), INSTALADO EM REDE DE ALIMENTAÇÃO PARA HIDRANTE - FORNECIMENTO E INSTALAÇÃO. AF_01/2026</v>
          </cell>
          <cell r="D6275" t="str">
            <v>UN</v>
          </cell>
          <cell r="E6275">
            <v>32.549999999999997</v>
          </cell>
          <cell r="F6275">
            <v>0</v>
          </cell>
        </row>
        <row r="6276">
          <cell r="B6276">
            <v>97544</v>
          </cell>
          <cell r="C6276" t="str">
            <v>LUVA COM REDUÇÃO, EM AÇO, CONEXÃO SOLDADA, DN 25 X 20 MM (1" X 3/4"), INSTALADO EM RAMAIS E SUB-RAMAIS DE GÁS - FORNECIMENTO E INSTALAÇÃO. AF_01/2026</v>
          </cell>
          <cell r="D6276" t="str">
            <v>UN</v>
          </cell>
          <cell r="E6276">
            <v>49.45</v>
          </cell>
          <cell r="F6276">
            <v>0</v>
          </cell>
        </row>
        <row r="6277">
          <cell r="B6277">
            <v>97500</v>
          </cell>
          <cell r="C6277" t="str">
            <v>LUVA COM REDUÇÃO, EM AÇO, CONEXÃO SOLDADA, DN 25 X 20 MM (1" X 3/4"), INSTALADO EM REDE DE ALIMENTAÇÃO PARA SPRINKLER - FORNECIMENTO E INSTALAÇÃO. AF_01/2026</v>
          </cell>
          <cell r="D6277" t="str">
            <v>UN</v>
          </cell>
          <cell r="E6277">
            <v>30.29</v>
          </cell>
          <cell r="F6277">
            <v>0</v>
          </cell>
        </row>
        <row r="6278">
          <cell r="B6278">
            <v>97465</v>
          </cell>
          <cell r="C6278" t="str">
            <v>LUVA COM REDUÇÃO, EM AÇO, CONEXÃO SOLDADA, DN 32 X 25 MM (1 1/4" X 1"), INSTALADO EM REDE DE ALIMENTAÇÃO PARA HIDRANTE - FORNECIMENTO E INSTALAÇÃO. AF_01/2026</v>
          </cell>
          <cell r="D6278" t="str">
            <v>UN</v>
          </cell>
          <cell r="E6278">
            <v>65.22</v>
          </cell>
          <cell r="F6278">
            <v>0</v>
          </cell>
        </row>
        <row r="6279">
          <cell r="B6279">
            <v>97503</v>
          </cell>
          <cell r="C6279" t="str">
            <v>LUVA COM REDUÇÃO, EM AÇO, CONEXÃO SOLDADA, DN 32 X 25 MM (1 1/4" X 1"), INSTALADO EM REDE DE ALIMENTAÇÃO PARA SPRINKLER - FORNECIMENTO E INSTALAÇÃO. AF_01/2026</v>
          </cell>
          <cell r="D6279" t="str">
            <v>UN</v>
          </cell>
          <cell r="E6279">
            <v>60.91</v>
          </cell>
          <cell r="F6279">
            <v>0</v>
          </cell>
        </row>
        <row r="6280">
          <cell r="B6280">
            <v>97468</v>
          </cell>
          <cell r="C6280" t="str">
            <v>LUVA COM REDUÇÃO, EM AÇO, CONEXÃO SOLDADA, DN 40 X 32 MM (1 1/2" X 1 1/4"), INSTALADO EM REDE DE ALIMENTAÇÃO PARA HIDRANTE - FORNECIMENTO E INSTALAÇÃO. AF_01/2026</v>
          </cell>
          <cell r="D6280" t="str">
            <v>UN</v>
          </cell>
          <cell r="E6280">
            <v>82.92</v>
          </cell>
          <cell r="F6280">
            <v>0</v>
          </cell>
        </row>
        <row r="6281">
          <cell r="B6281">
            <v>97506</v>
          </cell>
          <cell r="C6281" t="str">
            <v>LUVA COM REDUÇÃO, EM AÇO, CONEXÃO SOLDADA, DN 40 X 32 MM (1 1/2" X 1 1/4"), INSTALADO EM REDE DE ALIMENTAÇÃO PARA SPRINKLER - FORNECIMENTO E INSTALAÇÃO. AF_01/2026</v>
          </cell>
          <cell r="D6281" t="str">
            <v>UN</v>
          </cell>
          <cell r="E6281">
            <v>76.05</v>
          </cell>
          <cell r="F6281">
            <v>0</v>
          </cell>
        </row>
        <row r="6282">
          <cell r="B6282">
            <v>97444</v>
          </cell>
          <cell r="C6282" t="str">
            <v>LUVA COM REDUÇÃO, EM AÇO, CONEXÃO SOLDADA, DN 50 X 40 MM (2 X 1 1/2"), INSTALADO EM PRUMADAS - FORNECIMENTO E INSTALAÇÃO. AF_01/2026</v>
          </cell>
          <cell r="D6282" t="str">
            <v>UN</v>
          </cell>
          <cell r="E6282">
            <v>150.43</v>
          </cell>
          <cell r="F6282">
            <v>0</v>
          </cell>
        </row>
        <row r="6283">
          <cell r="B6283">
            <v>97471</v>
          </cell>
          <cell r="C6283" t="str">
            <v>LUVA COM REDUÇÃO, EM AÇO, CONEXÃO SOLDADA, DN 50 X 40 MM (2" X 1 1/2"), INSTALADO EM REDE DE ALIMENTAÇÃO PARA HIDRANTE - FORNECIMENTO E INSTALAÇÃO. AF_01/2026</v>
          </cell>
          <cell r="D6283" t="str">
            <v>UN</v>
          </cell>
          <cell r="E6283">
            <v>122.96</v>
          </cell>
          <cell r="F6283">
            <v>0</v>
          </cell>
        </row>
        <row r="6284">
          <cell r="B6284">
            <v>97509</v>
          </cell>
          <cell r="C6284" t="str">
            <v>LUVA COM REDUÇÃO, EM AÇO, CONEXÃO SOLDADA, DN 50 X 40 MM (2" X 1 1/2"), INSTALADO EM REDE DE ALIMENTAÇÃO PARA SPRINKLER - FORNECIMENTO E INSTALAÇÃO. AF_01/2026</v>
          </cell>
          <cell r="D6284" t="str">
            <v>UN</v>
          </cell>
          <cell r="E6284">
            <v>113.04</v>
          </cell>
          <cell r="F6284">
            <v>0</v>
          </cell>
        </row>
        <row r="6285">
          <cell r="B6285">
            <v>97447</v>
          </cell>
          <cell r="C6285" t="str">
            <v>LUVA COM REDUÇÃO, EM AÇO, CONEXÃO SOLDADA, DN 65 X 50 MM (2 1/2" X 2"), INSTALADO EM PRUMADAS - FORNECIMENTO E INSTALAÇÃO. AF_01/2026</v>
          </cell>
          <cell r="D6285" t="str">
            <v>UN</v>
          </cell>
          <cell r="E6285">
            <v>247.74</v>
          </cell>
          <cell r="F6285">
            <v>0</v>
          </cell>
        </row>
        <row r="6286">
          <cell r="B6286">
            <v>97475</v>
          </cell>
          <cell r="C6286" t="str">
            <v>LUVA COM REDUÇÃO, EM AÇO, CONEXÃO SOLDADA, DN 65 X 50 MM (2 1/2" X 2"), INSTALADO EM REDE DE ALIMENTAÇÃO PARA HIDRANTE - FORNECIMENTO E INSTALAÇÃO. AF_01/2026</v>
          </cell>
          <cell r="D6286" t="str">
            <v>UN</v>
          </cell>
          <cell r="E6286">
            <v>226.4</v>
          </cell>
          <cell r="F6286">
            <v>0</v>
          </cell>
        </row>
        <row r="6287">
          <cell r="B6287">
            <v>97512</v>
          </cell>
          <cell r="C6287" t="str">
            <v>LUVA COM REDUÇÃO, EM AÇO, CONEXÃO SOLDADA, DN 65 X 50 MM (2 1/2" X 2"), INSTALADO EM REDE DE ALIMENTAÇÃO PARA SPRINKLER - FORNECIMENTO E INSTALAÇÃO. AF_01/2026</v>
          </cell>
          <cell r="D6287" t="str">
            <v>UN</v>
          </cell>
          <cell r="E6287">
            <v>212.21</v>
          </cell>
          <cell r="F6287">
            <v>0</v>
          </cell>
        </row>
        <row r="6288">
          <cell r="B6288">
            <v>97450</v>
          </cell>
          <cell r="C6288" t="str">
            <v>LUVA COM REDUÇÃO, EM AÇO, CONEXÃO SOLDADA, DN 80 X 65 MM (3" X 2 1/2"), INSTALADO EM PRUMADAS - FORNECIMENTO E INSTALAÇÃO. AF_01/2026</v>
          </cell>
          <cell r="D6288" t="str">
            <v>UN</v>
          </cell>
          <cell r="E6288">
            <v>317.10000000000002</v>
          </cell>
          <cell r="F6288">
            <v>0</v>
          </cell>
        </row>
        <row r="6289">
          <cell r="B6289">
            <v>97478</v>
          </cell>
          <cell r="C6289" t="str">
            <v>LUVA COM REDUÇÃO, EM AÇO, CONEXÃO SOLDADA, DN 80 X 65 MM (3" X 2 1/2"), INSTALADO EM REDE DE ALIMENTAÇÃO PARA HIDRANTE - FORNECIMENTO E INSTALAÇÃO. AF_01/2026</v>
          </cell>
          <cell r="D6289" t="str">
            <v>UN</v>
          </cell>
          <cell r="E6289">
            <v>303.08999999999997</v>
          </cell>
          <cell r="F6289">
            <v>0</v>
          </cell>
        </row>
        <row r="6290">
          <cell r="B6290">
            <v>97515</v>
          </cell>
          <cell r="C6290" t="str">
            <v>LUVA COM REDUÇÃO, EM AÇO, CONEXÃO SOLDADA, DN 80 X 65 MM (3" X 2 1/2"), INSTALADO EM REDE DE ALIMENTAÇÃO PARA SPRINKLER - FORNECIMENTO E INSTALAÇÃO. AF_01/2026</v>
          </cell>
          <cell r="D6290" t="str">
            <v>UN</v>
          </cell>
          <cell r="E6290">
            <v>283.79000000000002</v>
          </cell>
          <cell r="F6290">
            <v>0</v>
          </cell>
        </row>
        <row r="6291">
          <cell r="B6291">
            <v>92928</v>
          </cell>
          <cell r="C6291" t="str">
            <v>LUVA DE REDUÇÃO, EM FERRO GALVANIZADO, 1 1/2" X 1 1/4", CONEXÃO ROSQUEADA, INSTALADO EM REDE DE ALIMENTAÇÃO PARA HIDRANTE - FORNECIMENTO E INSTALAÇÃO. AF_01/2026</v>
          </cell>
          <cell r="D6291" t="str">
            <v>UN</v>
          </cell>
          <cell r="E6291">
            <v>63.5</v>
          </cell>
          <cell r="F6291">
            <v>0</v>
          </cell>
        </row>
        <row r="6292">
          <cell r="B6292">
            <v>92943</v>
          </cell>
          <cell r="C6292" t="str">
            <v>LUVA DE REDUÇÃO, EM FERRO GALVANIZADO, 1 1/2" X 1 1/4", CONEXÃO ROSQUEADA, INSTALADO EM REDE DE ALIMENTAÇÃO PARA SPRINKLER - FORNECIMENTO E INSTALAÇÃO. AF_01/2026</v>
          </cell>
          <cell r="D6292" t="str">
            <v>UN</v>
          </cell>
          <cell r="E6292">
            <v>49.79</v>
          </cell>
          <cell r="F6292">
            <v>0</v>
          </cell>
        </row>
        <row r="6293">
          <cell r="B6293">
            <v>92929</v>
          </cell>
          <cell r="C6293" t="str">
            <v>LUVA DE REDUÇÃO, EM FERRO GALVANIZADO, 1 1/2" X 1", CONEXÃO ROSQUEADA, INSTALADO EM REDE DE ALIMENTAÇÃO PARA HIDRANTE - FORNECIMENTO E INSTALAÇÃO. AF_01/2026</v>
          </cell>
          <cell r="D6293" t="str">
            <v>UN</v>
          </cell>
          <cell r="E6293">
            <v>61.65</v>
          </cell>
          <cell r="F6293">
            <v>0</v>
          </cell>
        </row>
        <row r="6294">
          <cell r="B6294">
            <v>92944</v>
          </cell>
          <cell r="C6294" t="str">
            <v>LUVA DE REDUÇÃO, EM FERRO GALVANIZADO, 1 1/2" X 1", CONEXÃO ROSQUEADA, INSTALADO EM REDE DE ALIMENTAÇÃO PARA SPRINKLER - FORNECIMENTO E INSTALAÇÃO. AF_01/2026</v>
          </cell>
          <cell r="D6294" t="str">
            <v>UN</v>
          </cell>
          <cell r="E6294">
            <v>48.71</v>
          </cell>
          <cell r="F6294">
            <v>0</v>
          </cell>
        </row>
        <row r="6295">
          <cell r="B6295">
            <v>92930</v>
          </cell>
          <cell r="C6295" t="str">
            <v>LUVA DE REDUÇÃO, EM FERRO GALVANIZADO, 1 1/2" X 3/4", CONEXÃO ROSQUEADA, INSTALADO EM REDE DE ALIMENTAÇÃO PARA HIDRANTE - FORNECIMENTO E INSTALAÇÃO. AF_01/2026</v>
          </cell>
          <cell r="D6295" t="str">
            <v>UN</v>
          </cell>
          <cell r="E6295">
            <v>60.32</v>
          </cell>
          <cell r="F6295">
            <v>0</v>
          </cell>
        </row>
        <row r="6296">
          <cell r="B6296">
            <v>92945</v>
          </cell>
          <cell r="C6296" t="str">
            <v>LUVA DE REDUÇÃO, EM FERRO GALVANIZADO, 1 1/2" X 3/4", CONEXÃO ROSQUEADA, INSTALADO EM REDE DE ALIMENTAÇÃO PARA SPRINKLER - FORNECIMENTO E INSTALAÇÃO. AF_01/2026</v>
          </cell>
          <cell r="D6296" t="str">
            <v>UN</v>
          </cell>
          <cell r="E6296">
            <v>47.94</v>
          </cell>
          <cell r="F6296">
            <v>0</v>
          </cell>
        </row>
        <row r="6297">
          <cell r="B6297">
            <v>92925</v>
          </cell>
          <cell r="C6297" t="str">
            <v>LUVA DE REDUÇÃO, EM FERRO GALVANIZADO, 1 1/4" X 1", CONEXÃO ROSQUEADA, INSTALADO EM REDE DE ALIMENTAÇÃO PARA HIDRANTE - FORNECIMENTO E INSTALAÇÃO. AF_01/2026</v>
          </cell>
          <cell r="D6297" t="str">
            <v>UN</v>
          </cell>
          <cell r="E6297">
            <v>55.11</v>
          </cell>
          <cell r="F6297">
            <v>0</v>
          </cell>
        </row>
        <row r="6298">
          <cell r="B6298">
            <v>92940</v>
          </cell>
          <cell r="C6298" t="str">
            <v>LUVA DE REDUÇÃO, EM FERRO GALVANIZADO, 1 1/4" X 1", CONEXÃO ROSQUEADA, INSTALADO EM REDE DE ALIMENTAÇÃO PARA SPRINKLER - FORNECIMENTO E INSTALAÇÃO. AF_01/2026</v>
          </cell>
          <cell r="D6298" t="str">
            <v>UN</v>
          </cell>
          <cell r="E6298">
            <v>43.07</v>
          </cell>
          <cell r="F6298">
            <v>0</v>
          </cell>
        </row>
        <row r="6299">
          <cell r="B6299">
            <v>92926</v>
          </cell>
          <cell r="C6299" t="str">
            <v>LUVA DE REDUÇÃO, EM FERRO GALVANIZADO, 1 1/4" X 1/2", CONEXÃO ROSQUEADA, INSTALADO EM REDE DE ALIMENTAÇÃO PARA HIDRANTE - FORNECIMENTO E INSTALAÇÃO. AF_01/2026</v>
          </cell>
          <cell r="D6299" t="str">
            <v>UN</v>
          </cell>
          <cell r="E6299">
            <v>52.46</v>
          </cell>
          <cell r="F6299">
            <v>0</v>
          </cell>
        </row>
        <row r="6300">
          <cell r="B6300">
            <v>92941</v>
          </cell>
          <cell r="C6300" t="str">
            <v>LUVA DE REDUÇÃO, EM FERRO GALVANIZADO, 1 1/4" X 1/2", CONEXÃO ROSQUEADA, INSTALADO EM REDE DE ALIMENTAÇÃO PARA SPRINKLER - FORNECIMENTO E INSTALAÇÃO. AF_01/2026</v>
          </cell>
          <cell r="D6300" t="str">
            <v>UN</v>
          </cell>
          <cell r="E6300">
            <v>41.51</v>
          </cell>
          <cell r="F6300">
            <v>0</v>
          </cell>
        </row>
        <row r="6301">
          <cell r="B6301">
            <v>92927</v>
          </cell>
          <cell r="C6301" t="str">
            <v>LUVA DE REDUÇÃO, EM FERRO GALVANIZADO, 1 1/4" X 3/4", CONEXÃO ROSQUEADA, INSTALADO EM REDE DE ALIMENTAÇÃO PARA HIDRANTE - FORNECIMENTO E INSTALAÇÃO. AF_01/2026</v>
          </cell>
          <cell r="D6301" t="str">
            <v>UN</v>
          </cell>
          <cell r="E6301">
            <v>53.78</v>
          </cell>
          <cell r="F6301">
            <v>0</v>
          </cell>
        </row>
        <row r="6302">
          <cell r="B6302">
            <v>92942</v>
          </cell>
          <cell r="C6302" t="str">
            <v>LUVA DE REDUÇÃO, EM FERRO GALVANIZADO, 1 1/4" X 3/4", CONEXÃO ROSQUEADA, INSTALADO EM REDE DE ALIMENTAÇÃO PARA SPRINKLER - FORNECIMENTO E INSTALAÇÃO. AF_01/2026</v>
          </cell>
          <cell r="D6302" t="str">
            <v>UN</v>
          </cell>
          <cell r="E6302">
            <v>42.28</v>
          </cell>
          <cell r="F6302">
            <v>0</v>
          </cell>
        </row>
        <row r="6303">
          <cell r="B6303">
            <v>92918</v>
          </cell>
          <cell r="C6303" t="str">
            <v>LUVA DE REDUÇÃO, EM FERRO GALVANIZADO, 1" X 1/2", CONEXÃO ROSQUEADA, INSTALADO EM REDE DE ALIMENTAÇÃO PARA HIDRANTE - FORNECIMENTO E INSTALAÇÃO. AF_01/2026</v>
          </cell>
          <cell r="D6303" t="str">
            <v>UN</v>
          </cell>
          <cell r="E6303">
            <v>43.47</v>
          </cell>
          <cell r="F6303">
            <v>0</v>
          </cell>
        </row>
        <row r="6304">
          <cell r="B6304">
            <v>92938</v>
          </cell>
          <cell r="C6304" t="str">
            <v>LUVA DE REDUÇÃO, EM FERRO GALVANIZADO, 1" X 1/2", CONEXÃO ROSQUEADA, INSTALADO EM REDE DE ALIMENTAÇÃO PARA SPRINKLER - FORNECIMENTO E INSTALAÇÃO. AF_01/2026</v>
          </cell>
          <cell r="D6304" t="str">
            <v>UN</v>
          </cell>
          <cell r="E6304">
            <v>33.29</v>
          </cell>
          <cell r="F6304">
            <v>0</v>
          </cell>
        </row>
        <row r="6305">
          <cell r="B6305">
            <v>92920</v>
          </cell>
          <cell r="C6305" t="str">
            <v>LUVA DE REDUÇÃO, EM FERRO GALVANIZADO, 1" X 3/4", CONEXÃO ROSQUEADA, INSTALADO EM REDE DE ALIMENTAÇÃO PARA HIDRANTE - FORNECIMENTO E INSTALAÇÃO. AF_01/2026</v>
          </cell>
          <cell r="D6305" t="str">
            <v>UN</v>
          </cell>
          <cell r="E6305">
            <v>45.06</v>
          </cell>
          <cell r="F6305">
            <v>0</v>
          </cell>
        </row>
        <row r="6306">
          <cell r="B6306">
            <v>92939</v>
          </cell>
          <cell r="C6306" t="str">
            <v>LUVA DE REDUÇÃO, EM FERRO GALVANIZADO, 1" X 3/4", CONEXÃO ROSQUEADA, INSTALADO EM REDE DE ALIMENTAÇÃO PARA SPRINKLER - FORNECIMENTO E INSTALAÇÃO. AF_01/2026</v>
          </cell>
          <cell r="D6306" t="str">
            <v>UN</v>
          </cell>
          <cell r="E6306">
            <v>34.340000000000003</v>
          </cell>
          <cell r="F6306">
            <v>0</v>
          </cell>
        </row>
        <row r="6307">
          <cell r="B6307">
            <v>92910</v>
          </cell>
          <cell r="C6307" t="str">
            <v>LUVA DE REDUÇÃO, EM FERRO GALVANIZADO, 2 1/2" X 1 1/2", CONEXÃO ROSQUEADA, INSTALADO EM PRUMADAS - FORNECIMENTO E INSTALAÇÃO. AF_01/2026</v>
          </cell>
          <cell r="D6307" t="str">
            <v>UN</v>
          </cell>
          <cell r="E6307">
            <v>121.98</v>
          </cell>
          <cell r="F6307">
            <v>0</v>
          </cell>
        </row>
        <row r="6308">
          <cell r="B6308">
            <v>92934</v>
          </cell>
          <cell r="C6308" t="str">
            <v>LUVA DE REDUÇÃO, EM FERRO GALVANIZADO, 2 1/2" X 1 1/2", CONEXÃO ROSQUEADA, INSTALADO EM REDE DE ALIMENTAÇÃO PARA HIDRANTE - FORNECIMENTO E INSTALAÇÃO. AF_01/2026</v>
          </cell>
          <cell r="D6308" t="str">
            <v>UN</v>
          </cell>
          <cell r="E6308">
            <v>118.12</v>
          </cell>
          <cell r="F6308">
            <v>0</v>
          </cell>
        </row>
        <row r="6309">
          <cell r="B6309">
            <v>92949</v>
          </cell>
          <cell r="C6309" t="str">
            <v>LUVA DE REDUÇÃO, EM FERRO GALVANIZADO, 2 1/2" X 1 1/2", CONEXÃO ROSQUEADA, INSTALADO EM REDE DE ALIMENTAÇÃO PARA SPRINKLER - FORNECIMENTO E INSTALAÇÃO. AF_01/2026</v>
          </cell>
          <cell r="D6309" t="str">
            <v>UN</v>
          </cell>
          <cell r="E6309">
            <v>100.77</v>
          </cell>
          <cell r="F6309">
            <v>0</v>
          </cell>
        </row>
        <row r="6310">
          <cell r="B6310">
            <v>92911</v>
          </cell>
          <cell r="C6310" t="str">
            <v>LUVA DE REDUÇÃO, EM FERRO GALVANIZADO, 2 1/2" X 2", CONEXÃO ROSQUEADA, INSTALADO EM PRUMADAS - FORNECIMENTO E INSTALAÇÃO. AF_01/2026</v>
          </cell>
          <cell r="D6310" t="str">
            <v>UN</v>
          </cell>
          <cell r="E6310">
            <v>123.11</v>
          </cell>
          <cell r="F6310">
            <v>0</v>
          </cell>
        </row>
        <row r="6311">
          <cell r="B6311">
            <v>92935</v>
          </cell>
          <cell r="C6311" t="str">
            <v>LUVA DE REDUÇÃO, EM FERRO GALVANIZADO, 2 1/2" X 2", CONEXÃO ROSQUEADA, INSTALADO EM REDE DE ALIMENTAÇÃO PARA HIDRANTE - FORNECIMENTO E INSTALAÇÃO. AF_01/2026</v>
          </cell>
          <cell r="D6311" t="str">
            <v>UN</v>
          </cell>
          <cell r="E6311">
            <v>120.76</v>
          </cell>
          <cell r="F6311">
            <v>0</v>
          </cell>
        </row>
        <row r="6312">
          <cell r="B6312">
            <v>92950</v>
          </cell>
          <cell r="C6312" t="str">
            <v>LUVA DE REDUÇÃO, EM FERRO GALVANIZADO, 2 1/2" X 2", CONEXÃO ROSQUEADA, INSTALADO EM REDE DE ALIMENTAÇÃO PARA SPRINKLER - FORNECIMENTO E INSTALAÇÃO. AF_01/2026</v>
          </cell>
          <cell r="D6312" t="str">
            <v>UN</v>
          </cell>
          <cell r="E6312">
            <v>102.31</v>
          </cell>
          <cell r="F6312">
            <v>0</v>
          </cell>
        </row>
        <row r="6313">
          <cell r="B6313">
            <v>92907</v>
          </cell>
          <cell r="C6313" t="str">
            <v>LUVA DE REDUÇÃO, EM FERRO GALVANIZADO, 2" X 1 1/2", CONEXÃO ROSQUEADA, INSTALADO EM PRUMADAS - FORNECIMENTO E INSTALAÇÃO. AF_01/2026</v>
          </cell>
          <cell r="D6313" t="str">
            <v>UN</v>
          </cell>
          <cell r="E6313">
            <v>89.64</v>
          </cell>
          <cell r="F6313">
            <v>0</v>
          </cell>
        </row>
        <row r="6314">
          <cell r="B6314">
            <v>92931</v>
          </cell>
          <cell r="C6314" t="str">
            <v>LUVA DE REDUÇÃO, EM FERRO GALVANIZADO, 2" X 1 1/2", CONEXÃO ROSQUEADA, INSTALADO EM REDE DE ALIMENTAÇÃO PARA HIDRANTE - FORNECIMENTO E INSTALAÇÃO. AF_01/2026</v>
          </cell>
          <cell r="D6314" t="str">
            <v>UN</v>
          </cell>
          <cell r="E6314">
            <v>83.51</v>
          </cell>
          <cell r="F6314">
            <v>0</v>
          </cell>
        </row>
        <row r="6315">
          <cell r="B6315">
            <v>92946</v>
          </cell>
          <cell r="C6315" t="str">
            <v>LUVA DE REDUÇÃO, EM FERRO GALVANIZADO, 2" X 1 1/2", CONEXÃO ROSQUEADA, INSTALADO EM REDE DE ALIMENTAÇÃO PARA SPRINKLER - FORNECIMENTO E INSTALAÇÃO. AF_01/2026</v>
          </cell>
          <cell r="D6315" t="str">
            <v>UN</v>
          </cell>
          <cell r="E6315">
            <v>67.819999999999993</v>
          </cell>
          <cell r="F6315">
            <v>0</v>
          </cell>
        </row>
        <row r="6316">
          <cell r="B6316">
            <v>92908</v>
          </cell>
          <cell r="C6316" t="str">
            <v>LUVA DE REDUÇÃO, EM FERRO GALVANIZADO, 2" X 1 1/4", CONEXÃO ROSQUEADA, INSTALADO EM PRUMADAS - FORNECIMENTO E INSTALAÇÃO. AF_01/2026</v>
          </cell>
          <cell r="D6316" t="str">
            <v>UN</v>
          </cell>
          <cell r="E6316">
            <v>88.75</v>
          </cell>
          <cell r="F6316">
            <v>0</v>
          </cell>
        </row>
        <row r="6317">
          <cell r="B6317">
            <v>92932</v>
          </cell>
          <cell r="C6317" t="str">
            <v>LUVA DE REDUÇÃO, EM FERRO GALVANIZADO, 2" X 1 1/4", CONEXÃO ROSQUEADA, INSTALADO EM REDE DE ALIMENTAÇÃO PARA HIDRANTE - FORNECIMENTO E INSTALAÇÃO. AF_01/2026</v>
          </cell>
          <cell r="D6317" t="str">
            <v>UN</v>
          </cell>
          <cell r="E6317">
            <v>81.42</v>
          </cell>
          <cell r="F6317">
            <v>0</v>
          </cell>
        </row>
        <row r="6318">
          <cell r="B6318">
            <v>92947</v>
          </cell>
          <cell r="C6318" t="str">
            <v>LUVA DE REDUÇÃO, EM FERRO GALVANIZADO, 2" X 1 1/4", CONEXÃO ROSQUEADA, INSTALADO EM REDE DE ALIMENTAÇÃO PARA SPRINKLER - FORNECIMENTO E INSTALAÇÃO. AF_01/2026</v>
          </cell>
          <cell r="D6318" t="str">
            <v>UN</v>
          </cell>
          <cell r="E6318">
            <v>66.61</v>
          </cell>
          <cell r="F6318">
            <v>0</v>
          </cell>
        </row>
        <row r="6319">
          <cell r="B6319">
            <v>92909</v>
          </cell>
          <cell r="C6319" t="str">
            <v>LUVA DE REDUÇÃO, EM FERRO GALVANIZADO, 2" X 1", CONEXÃO ROSQUEADA, INSTALADO EM PRUMADAS - FORNECIMENTO E INSTALAÇÃO. AF_01/2026</v>
          </cell>
          <cell r="D6319" t="str">
            <v>UN</v>
          </cell>
          <cell r="E6319">
            <v>87.96</v>
          </cell>
          <cell r="F6319">
            <v>0</v>
          </cell>
        </row>
        <row r="6320">
          <cell r="B6320">
            <v>92933</v>
          </cell>
          <cell r="C6320" t="str">
            <v>LUVA DE REDUÇÃO, EM FERRO GALVANIZADO, 2" X 1", CONEXÃO ROSQUEADA, INSTALADO EM REDE DE ALIMENTAÇÃO PARA HIDRANTE - FORNECIMENTO E INSTALAÇÃO. AF_01/2026</v>
          </cell>
          <cell r="D6320" t="str">
            <v>UN</v>
          </cell>
          <cell r="E6320">
            <v>79.569999999999993</v>
          </cell>
          <cell r="F6320">
            <v>0</v>
          </cell>
        </row>
        <row r="6321">
          <cell r="B6321">
            <v>92948</v>
          </cell>
          <cell r="C6321" t="str">
            <v>LUVA DE REDUÇÃO, EM FERRO GALVANIZADO, 2" X 1", CONEXÃO ROSQUEADA, INSTALADO EM REDE DE ALIMENTAÇÃO PARA SPRINKLER - FORNECIMENTO E INSTALAÇÃO. AF_01/2026</v>
          </cell>
          <cell r="D6321" t="str">
            <v>UN</v>
          </cell>
          <cell r="E6321">
            <v>65.53</v>
          </cell>
          <cell r="F6321">
            <v>0</v>
          </cell>
        </row>
        <row r="6322">
          <cell r="B6322">
            <v>92912</v>
          </cell>
          <cell r="C6322" t="str">
            <v>LUVA DE REDUÇÃO, EM FERRO GALVANIZADO, 3" X 1 1/2", CONEXÃO ROSQUEADA, INSTALADO EM PRUMADAS - FORNECIMENTO E INSTALAÇÃO. AF_01/2026</v>
          </cell>
          <cell r="D6322" t="str">
            <v>UN</v>
          </cell>
          <cell r="E6322">
            <v>161</v>
          </cell>
          <cell r="F6322">
            <v>0</v>
          </cell>
        </row>
        <row r="6323">
          <cell r="B6323">
            <v>92913</v>
          </cell>
          <cell r="C6323" t="str">
            <v>LUVA DE REDUÇÃO, EM FERRO GALVANIZADO, 3" X 2 1/2", CONEXÃO ROSQUEADA, INSTALADO EM PRUMADAS - FORNECIMENTO E INSTALAÇÃO. AF_01/2026</v>
          </cell>
          <cell r="D6323" t="str">
            <v>UN</v>
          </cell>
          <cell r="E6323">
            <v>163.83000000000001</v>
          </cell>
          <cell r="F6323">
            <v>0</v>
          </cell>
        </row>
        <row r="6324">
          <cell r="B6324">
            <v>92936</v>
          </cell>
          <cell r="C6324" t="str">
            <v>LUVA DE REDUÇÃO, EM FERRO GALVANIZADO, 3" X 2 1/2", CONEXÃO ROSQUEADA, INSTALADO EM REDE DE ALIMENTAÇÃO PARA HIDRANTE - FORNECIMENTO E INSTALAÇÃO. AF_01/2026</v>
          </cell>
          <cell r="D6324" t="str">
            <v>UN</v>
          </cell>
          <cell r="E6324">
            <v>165.99</v>
          </cell>
          <cell r="F6324">
            <v>0</v>
          </cell>
        </row>
        <row r="6325">
          <cell r="B6325">
            <v>92951</v>
          </cell>
          <cell r="C6325" t="str">
            <v>LUVA DE REDUÇÃO, EM FERRO GALVANIZADO, 3" X 2 1/2", CONEXÃO ROSQUEADA, INSTALADO EM REDE DE ALIMENTAÇÃO PARA SPRINKLER - FORNECIMENTO E INSTALAÇÃO. AF_01/2026</v>
          </cell>
          <cell r="D6325" t="str">
            <v>UN</v>
          </cell>
          <cell r="E6325">
            <v>144.25</v>
          </cell>
          <cell r="F6325">
            <v>0</v>
          </cell>
        </row>
        <row r="6326">
          <cell r="B6326">
            <v>92914</v>
          </cell>
          <cell r="C6326" t="str">
            <v>LUVA DE REDUÇÃO, EM FERRO GALVANIZADO, 3" X 2", CONEXÃO ROSQUEADA, INSTALADO EM PRUMADAS - FORNECIMENTO E INSTALAÇÃO. AF_01/2026</v>
          </cell>
          <cell r="D6326" t="str">
            <v>UN</v>
          </cell>
          <cell r="E6326">
            <v>162.13</v>
          </cell>
          <cell r="F6326">
            <v>0</v>
          </cell>
        </row>
        <row r="6327">
          <cell r="B6327">
            <v>92937</v>
          </cell>
          <cell r="C6327" t="str">
            <v>LUVA DE REDUÇÃO, EM FERRO GALVANIZADO, 3" X 2", CONEXÃO ROSQUEADA, INSTALADO EM REDE DE ALIMENTAÇÃO PARA HIDRANTE - FORNECIMENTO E INSTALAÇÃO. AF_01/2026</v>
          </cell>
          <cell r="D6327" t="str">
            <v>UN</v>
          </cell>
          <cell r="E6327">
            <v>162.05000000000001</v>
          </cell>
          <cell r="F6327">
            <v>0</v>
          </cell>
        </row>
        <row r="6328">
          <cell r="B6328">
            <v>92952</v>
          </cell>
          <cell r="C6328" t="str">
            <v>LUVA DE REDUÇÃO, EM FERRO GALVANIZADO, 3" X 2", CONEXÃO ROSQUEADA, INSTALADO EM REDE DE ALIMENTAÇÃO PARA SPRINKLER - FORNECIMENTO E INSTALAÇÃO. AF_01/2026</v>
          </cell>
          <cell r="D6328" t="str">
            <v>UN</v>
          </cell>
          <cell r="E6328">
            <v>141.94</v>
          </cell>
          <cell r="F6328">
            <v>0</v>
          </cell>
        </row>
        <row r="6329">
          <cell r="B6329">
            <v>92953</v>
          </cell>
          <cell r="C6329" t="str">
            <v>LUVA DE REDUÇÃO, EM FERRO GALVANIZADO, 3/4" X 1/2", CONEXÃO ROSQUEADA, INSTALADO EM RAMAIS E SUB-RAMAIS DE GÁS - FORNECIMENTO E INSTALAÇÃO. AF_01/2026</v>
          </cell>
          <cell r="D6329" t="str">
            <v>UN</v>
          </cell>
          <cell r="E6329">
            <v>26.48</v>
          </cell>
          <cell r="F6329">
            <v>0</v>
          </cell>
        </row>
        <row r="6330">
          <cell r="B6330">
            <v>101921</v>
          </cell>
          <cell r="C6330" t="str">
            <v>LUVA DE REDUÇÃO, EM FERRO GALVANIZADO, 4" X 2 1/2", CONEXÃO ROSQUEADA, INSTALADO EM PRUMADAS - FORNECIMENTO E INSTALAÇÃO. AF_01/2026</v>
          </cell>
          <cell r="D6330" t="str">
            <v>UN</v>
          </cell>
          <cell r="E6330">
            <v>245.06</v>
          </cell>
          <cell r="F6330">
            <v>0</v>
          </cell>
        </row>
        <row r="6331">
          <cell r="B6331">
            <v>101930</v>
          </cell>
          <cell r="C6331" t="str">
            <v>LUVA DE REDUÇÃO, EM FERRO GALVANIZADO, 4" X 2 1/2", CONEXÃO ROSQUEADA, INSTALADO EM REDE DE ALIMENTAÇÃO PARA HIDRANTE - FORNECIMENTO E INSTALAÇÃO. AF_01/2026</v>
          </cell>
          <cell r="D6331" t="str">
            <v>UN</v>
          </cell>
          <cell r="E6331">
            <v>250.25</v>
          </cell>
          <cell r="F6331">
            <v>0</v>
          </cell>
        </row>
        <row r="6332">
          <cell r="B6332">
            <v>101922</v>
          </cell>
          <cell r="C6332" t="str">
            <v>LUVA DE REDUÇÃO, EM FERRO GALVANIZADO, 4" X 2", CONEXÃO ROSQUEADA, INSTALADO EM PRUMADAS - FORNECIMENTO E INSTALAÇÃO. AF_01/2026</v>
          </cell>
          <cell r="D6332" t="str">
            <v>UN</v>
          </cell>
          <cell r="E6332">
            <v>243.37</v>
          </cell>
          <cell r="F6332">
            <v>0</v>
          </cell>
        </row>
        <row r="6333">
          <cell r="B6333">
            <v>101931</v>
          </cell>
          <cell r="C6333" t="str">
            <v>LUVA DE REDUÇÃO, EM FERRO GALVANIZADO, 4" X 2", CONEXÃO ROSQUEADA, INSTALADO EM REDE DE ALIMENTAÇÃO PARA HIDRANTE - FORNECIMENTO E INSTALAÇÃO. AF_01/2026</v>
          </cell>
          <cell r="D6333" t="str">
            <v>UN</v>
          </cell>
          <cell r="E6333">
            <v>246.31</v>
          </cell>
          <cell r="F6333">
            <v>0</v>
          </cell>
        </row>
        <row r="6334">
          <cell r="B6334">
            <v>101923</v>
          </cell>
          <cell r="C6334" t="str">
            <v>LUVA DE REDUÇÃO, EM FERRO GALVANIZADO, 4" X 3", CONEXÃO ROSQUEADA, INSTALADO EM PRUMADAS - FORNECIMENTO E INSTALAÇÃO. AF_01/2026</v>
          </cell>
          <cell r="D6334" t="str">
            <v>UN</v>
          </cell>
          <cell r="E6334">
            <v>246.73</v>
          </cell>
          <cell r="F6334">
            <v>0</v>
          </cell>
        </row>
        <row r="6335">
          <cell r="B6335">
            <v>101932</v>
          </cell>
          <cell r="C6335" t="str">
            <v>LUVA DE REDUÇÃO, EM FERRO GALVANIZADO, 4" X 3", CONEXÃO ROSQUEADA, INSTALADO EM REDE DE ALIMENTAÇÃO PARA HIDRANTE - FORNECIMENTO E INSTALAÇÃO. AF_01/2026</v>
          </cell>
          <cell r="D6335" t="str">
            <v>UN</v>
          </cell>
          <cell r="E6335">
            <v>254.19</v>
          </cell>
          <cell r="F6335">
            <v>0</v>
          </cell>
        </row>
        <row r="6336">
          <cell r="B6336">
            <v>97537</v>
          </cell>
          <cell r="C6336" t="str">
            <v>LUVA, EM AÇO, CONEXÃO SOLDADA, DN 15 (1/2"), INSTALADO EM RAMAIS E SUB-RAMAIS DE GÁS - FORNECIMENTO E INSTALAÇÃO. AF_01/2026</v>
          </cell>
          <cell r="D6336" t="str">
            <v>UN</v>
          </cell>
          <cell r="E6336">
            <v>28.53</v>
          </cell>
          <cell r="F6336">
            <v>0</v>
          </cell>
        </row>
        <row r="6337">
          <cell r="B6337">
            <v>97540</v>
          </cell>
          <cell r="C6337" t="str">
            <v>LUVA, EM AÇO, CONEXÃO SOLDADA, DN 20 (3/4"), INSTALADO EM RAMAIS E SUB-RAMAIS DE GÁS - FORNECIMENTO E INSTALAÇÃO. AF_01/2026</v>
          </cell>
          <cell r="D6337" t="str">
            <v>UN</v>
          </cell>
          <cell r="E6337">
            <v>39.369999999999997</v>
          </cell>
          <cell r="F6337">
            <v>0</v>
          </cell>
        </row>
        <row r="6338">
          <cell r="B6338">
            <v>97543</v>
          </cell>
          <cell r="C6338" t="str">
            <v>LUVA, EM AÇO, CONEXÃO SOLDADA, DN 25 (1"), INSTALADO EM RAMAIS E SUB-RAMAIS DE GÁS - FORNECIMENTO E INSTALAÇÃO. AF_01/2026</v>
          </cell>
          <cell r="D6338" t="str">
            <v>UN</v>
          </cell>
          <cell r="E6338">
            <v>65.61</v>
          </cell>
          <cell r="F6338">
            <v>0</v>
          </cell>
        </row>
        <row r="6339">
          <cell r="B6339">
            <v>97461</v>
          </cell>
          <cell r="C6339" t="str">
            <v>LUVA, EM AÇO, CONEXÃO SOLDADA, DN 25 (1"), INSTALADO EM REDE DE ALIMENTAÇÃO PARA HIDRANTE - FORNECIMENTO E INSTALAÇÃO. AF_01/2026</v>
          </cell>
          <cell r="D6339" t="str">
            <v>UN</v>
          </cell>
          <cell r="E6339">
            <v>40.24</v>
          </cell>
          <cell r="F6339">
            <v>0</v>
          </cell>
        </row>
        <row r="6340">
          <cell r="B6340">
            <v>97499</v>
          </cell>
          <cell r="C6340" t="str">
            <v>LUVA, EM AÇO, CONEXÃO SOLDADA, DN 25 (1"), INSTALADO EM REDE DE ALIMENTAÇÃO PARA SPRINKLER - FORNECIMENTO E INSTALAÇÃO. AF_01/2026</v>
          </cell>
          <cell r="D6340" t="str">
            <v>UN</v>
          </cell>
          <cell r="E6340">
            <v>37.130000000000003</v>
          </cell>
          <cell r="F6340">
            <v>0</v>
          </cell>
        </row>
        <row r="6341">
          <cell r="B6341">
            <v>97464</v>
          </cell>
          <cell r="C6341" t="str">
            <v>LUVA, EM AÇO, CONEXÃO SOLDADA, DN 32 (1 1/4"), INSTALADO EM REDE DE ALIMENTAÇÃO PARA HIDRANTE - FORNECIMENTO E INSTALAÇÃO. AF_01/2026</v>
          </cell>
          <cell r="D6341" t="str">
            <v>UN</v>
          </cell>
          <cell r="E6341">
            <v>57.21</v>
          </cell>
          <cell r="F6341">
            <v>0</v>
          </cell>
        </row>
        <row r="6342">
          <cell r="B6342">
            <v>97502</v>
          </cell>
          <cell r="C6342" t="str">
            <v>LUVA, EM AÇO, CONEXÃO SOLDADA, DN 32 (1 1/4"), INSTALADO EM REDE DE ALIMENTAÇÃO PARA SPRINKLER - FORNECIMENTO E INSTALAÇÃO. AF_01/2026</v>
          </cell>
          <cell r="D6342" t="str">
            <v>UN</v>
          </cell>
          <cell r="E6342">
            <v>51.7</v>
          </cell>
          <cell r="F6342">
            <v>0</v>
          </cell>
        </row>
        <row r="6343">
          <cell r="B6343">
            <v>97467</v>
          </cell>
          <cell r="C6343" t="str">
            <v>LUVA, EM AÇO, CONEXÃO SOLDADA, DN 40 (1 1/2"), INSTALADO EM REDE DE ALIMENTAÇÃO PARA HIDRANTE - FORNECIMENTO E INSTALAÇÃO. AF_01/2026</v>
          </cell>
          <cell r="D6343" t="str">
            <v>UN</v>
          </cell>
          <cell r="E6343">
            <v>72.28</v>
          </cell>
          <cell r="F6343">
            <v>0</v>
          </cell>
        </row>
        <row r="6344">
          <cell r="B6344">
            <v>97505</v>
          </cell>
          <cell r="C6344" t="str">
            <v>LUVA, EM AÇO, CONEXÃO SOLDADA, DN 40 (1 1/2"), INSTALADO EM REDE DE ALIMENTAÇÃO PARA SPRINKLER - FORNECIMENTO E INSTALAÇÃO. AF_01/2026</v>
          </cell>
          <cell r="D6344" t="str">
            <v>UN</v>
          </cell>
          <cell r="E6344">
            <v>64.05</v>
          </cell>
          <cell r="F6344">
            <v>0</v>
          </cell>
        </row>
        <row r="6345">
          <cell r="B6345">
            <v>97443</v>
          </cell>
          <cell r="C6345" t="str">
            <v>LUVA, EM AÇO, CONEXÃO SOLDADA, DN 50 (2"), INSTALADO EM PRUMADAS - FORNECIMENTO E INSTALAÇÃO. AF_01/2026</v>
          </cell>
          <cell r="D6345" t="str">
            <v>UN</v>
          </cell>
          <cell r="E6345">
            <v>130.44999999999999</v>
          </cell>
          <cell r="F6345">
            <v>0</v>
          </cell>
        </row>
        <row r="6346">
          <cell r="B6346">
            <v>97470</v>
          </cell>
          <cell r="C6346" t="str">
            <v>LUVA, EM AÇO, CONEXÃO SOLDADA, DN 50 (2"), INSTALADO EM REDE DE ALIMENTAÇÃO PARA HIDRANTE - FORNECIMENTO E INSTALAÇÃO. AF_01/2026</v>
          </cell>
          <cell r="D6346" t="str">
            <v>UN</v>
          </cell>
          <cell r="E6346">
            <v>105.43</v>
          </cell>
          <cell r="F6346">
            <v>0</v>
          </cell>
        </row>
        <row r="6347">
          <cell r="B6347">
            <v>97508</v>
          </cell>
          <cell r="C6347" t="str">
            <v>LUVA, EM AÇO, CONEXÃO SOLDADA, DN 50 (2"), INSTALADO EM REDE DE ALIMENTAÇÃO PARA SPRINKLER - FORNECIMENTO E INSTALAÇÃO. AF_01/2026</v>
          </cell>
          <cell r="D6347" t="str">
            <v>UN</v>
          </cell>
          <cell r="E6347">
            <v>93.8</v>
          </cell>
          <cell r="F6347">
            <v>0</v>
          </cell>
        </row>
        <row r="6348">
          <cell r="B6348">
            <v>97446</v>
          </cell>
          <cell r="C6348" t="str">
            <v>LUVA, EM AÇO, CONEXÃO SOLDADA, DN 65 (2 1/2"), INSTALADO EM PRUMADAS - FORNECIMENTO E INSTALAÇÃO. AF_01/2026</v>
          </cell>
          <cell r="D6348" t="str">
            <v>UN</v>
          </cell>
          <cell r="E6348">
            <v>207.29</v>
          </cell>
          <cell r="F6348">
            <v>0</v>
          </cell>
        </row>
        <row r="6349">
          <cell r="B6349">
            <v>97474</v>
          </cell>
          <cell r="C6349" t="str">
            <v>LUVA, EM AÇO, CONEXÃO SOLDADA, DN 65 (2 1/2"), INSTALADO EM REDE DE ALIMENTAÇÃO PARA HIDRANTE - FORNECIMENTO E INSTALAÇÃO. AF_01/2026</v>
          </cell>
          <cell r="D6349" t="str">
            <v>UN</v>
          </cell>
          <cell r="E6349">
            <v>189.6</v>
          </cell>
          <cell r="F6349">
            <v>0</v>
          </cell>
        </row>
        <row r="6350">
          <cell r="B6350">
            <v>97511</v>
          </cell>
          <cell r="C6350" t="str">
            <v>LUVA, EM AÇO, CONEXÃO SOLDADA, DN 65 (2 1/2"), INSTALADO EM REDE DE ALIMENTAÇÃO PARA SPRINKLER - FORNECIMENTO E INSTALAÇÃO. AF_01/2026</v>
          </cell>
          <cell r="D6350" t="str">
            <v>UN</v>
          </cell>
          <cell r="E6350">
            <v>172.87</v>
          </cell>
          <cell r="F6350">
            <v>0</v>
          </cell>
        </row>
        <row r="6351">
          <cell r="B6351">
            <v>97449</v>
          </cell>
          <cell r="C6351" t="str">
            <v>LUVA, EM AÇO, CONEXÃO SOLDADA, DN 80 (3"), INSTALADO EM PRUMADAS - FORNECIMENTO E INSTALAÇÃO. AF_01/2026</v>
          </cell>
          <cell r="D6351" t="str">
            <v>UN</v>
          </cell>
          <cell r="E6351">
            <v>261.95</v>
          </cell>
          <cell r="F6351">
            <v>0</v>
          </cell>
        </row>
        <row r="6352">
          <cell r="B6352">
            <v>97477</v>
          </cell>
          <cell r="C6352" t="str">
            <v>LUVA, EM AÇO, CONEXÃO SOLDADA, DN 80 (3"), INSTALADO EM REDE DE ALIMENTAÇÃO PARA HIDRANTE - FORNECIMENTO E INSTALAÇÃO. AF_01/2026</v>
          </cell>
          <cell r="D6352" t="str">
            <v>UN</v>
          </cell>
          <cell r="E6352">
            <v>251.61</v>
          </cell>
          <cell r="F6352">
            <v>0</v>
          </cell>
        </row>
        <row r="6353">
          <cell r="B6353">
            <v>97514</v>
          </cell>
          <cell r="C6353" t="str">
            <v>LUVA, EM AÇO, CONEXÃO SOLDADA, DN 80 (3"), INSTALADO EM REDE DE ALIMENTAÇÃO PARA SPRINKLER - FORNECIMENTO E INSTALAÇÃO. AF_01/2026</v>
          </cell>
          <cell r="D6353" t="str">
            <v>UN</v>
          </cell>
          <cell r="E6353">
            <v>229.76</v>
          </cell>
          <cell r="F6353">
            <v>0</v>
          </cell>
        </row>
        <row r="6354">
          <cell r="B6354">
            <v>101920</v>
          </cell>
          <cell r="C6354" t="str">
            <v>LUVA, EM FERRO GALVANIZADO, 4", CONEXÃO ROSQUEADA, INSTALADO EM PRUMADAS - FORNECIMENTO E INSTALAÇÃO. AF_01/2026</v>
          </cell>
          <cell r="D6354" t="str">
            <v>UN</v>
          </cell>
          <cell r="E6354">
            <v>220.27</v>
          </cell>
          <cell r="F6354">
            <v>0</v>
          </cell>
        </row>
        <row r="6355">
          <cell r="B6355">
            <v>101929</v>
          </cell>
          <cell r="C6355" t="str">
            <v>LUVA, EM FERRO GALVANIZADO, 4", CONEXÃO ROSQUEADA, INSTALADO EM REDE DE ALIMENTAÇÃO PARA HIDRANTE - FORNECIMENTO E INSTALAÇÃO. AF_01/2026</v>
          </cell>
          <cell r="D6355" t="str">
            <v>UN</v>
          </cell>
          <cell r="E6355">
            <v>230.75</v>
          </cell>
          <cell r="F6355">
            <v>0</v>
          </cell>
        </row>
        <row r="6356">
          <cell r="B6356">
            <v>92693</v>
          </cell>
          <cell r="C6356" t="str">
            <v>LUVA, EM FERRO GALVANIZADO, CONEXÃO ROSQUEADA, DN 15 (1/2"), INSTALADO EM RAMAIS E SUB-RAMAIS DE GÁS - FORNECIMENTO E INSTALAÇÃO. AF_01/2026</v>
          </cell>
          <cell r="D6356" t="str">
            <v>UN</v>
          </cell>
          <cell r="E6356">
            <v>18.48</v>
          </cell>
          <cell r="F6356">
            <v>0</v>
          </cell>
        </row>
        <row r="6357">
          <cell r="B6357">
            <v>92695</v>
          </cell>
          <cell r="C6357" t="str">
            <v>LUVA, EM FERRO GALVANIZADO, CONEXÃO ROSQUEADA, DN 20 (3/4"), INSTALADO EM RAMAIS E SUB-RAMAIS DE GÁS - FORNECIMENTO E INSTALAÇÃO. AF_01/2026</v>
          </cell>
          <cell r="D6357" t="str">
            <v>UN</v>
          </cell>
          <cell r="E6357">
            <v>29.4</v>
          </cell>
          <cell r="F6357">
            <v>0</v>
          </cell>
        </row>
        <row r="6358">
          <cell r="B6358">
            <v>92697</v>
          </cell>
          <cell r="C6358" t="str">
            <v>LUVA, EM FERRO GALVANIZADO, CONEXÃO ROSQUEADA, DN 25 (1"), INSTALADO EM RAMAIS E SUB-RAMAIS DE GÁS - FORNECIMENTO E INSTALAÇÃO. AF_01/2026</v>
          </cell>
          <cell r="D6358" t="str">
            <v>UN</v>
          </cell>
          <cell r="E6358">
            <v>47.75</v>
          </cell>
          <cell r="F6358">
            <v>0</v>
          </cell>
        </row>
        <row r="6359">
          <cell r="B6359">
            <v>92658</v>
          </cell>
          <cell r="C6359" t="str">
            <v>LUVA, EM FERRO GALVANIZADO, CONEXÃO ROSQUEADA, DN 25 (1"), INSTALADO EM REDE DE ALIMENTAÇÃO PARA SPRINKLER - FORNECIMENTO E INSTALAÇÃO. AF_01/2026</v>
          </cell>
          <cell r="D6359" t="str">
            <v>UN</v>
          </cell>
          <cell r="E6359">
            <v>34.99</v>
          </cell>
          <cell r="F6359">
            <v>0</v>
          </cell>
        </row>
        <row r="6360">
          <cell r="B6360">
            <v>92660</v>
          </cell>
          <cell r="C6360" t="str">
            <v>LUVA, EM FERRO GALVANIZADO, CONEXÃO ROSQUEADA, DN 32 (1 1/4"), INSTALADO EM REDE DE ALIMENTAÇÃO PARA SPRINKLER - FORNECIMENTO E INSTALAÇÃO. AF_01/2026</v>
          </cell>
          <cell r="D6360" t="str">
            <v>UN</v>
          </cell>
          <cell r="E6360">
            <v>42.71</v>
          </cell>
          <cell r="F6360">
            <v>0</v>
          </cell>
        </row>
        <row r="6361">
          <cell r="B6361">
            <v>92662</v>
          </cell>
          <cell r="C6361" t="str">
            <v>LUVA, EM FERRO GALVANIZADO, CONEXÃO ROSQUEADA, DN 40 (1 1/2"), INSTALADO EM REDE DE ALIMENTAÇÃO PARA SPRINKLER - FORNECIMENTO E INSTALAÇÃO. AF_01/2026</v>
          </cell>
          <cell r="D6361" t="str">
            <v>UN</v>
          </cell>
          <cell r="E6361">
            <v>49.52</v>
          </cell>
          <cell r="F6361">
            <v>0</v>
          </cell>
        </row>
        <row r="6362">
          <cell r="B6362">
            <v>92664</v>
          </cell>
          <cell r="C6362" t="str">
            <v>LUVA, EM FERRO GALVANIZADO, CONEXÃO ROSQUEADA, DN 50 (2"), INSTALADO EM REDE DE ALIMENTAÇÃO PARA SPRINKLER - FORNECIMENTO E INSTALAÇÃO. AF_01/2026</v>
          </cell>
          <cell r="D6362" t="str">
            <v>UN</v>
          </cell>
          <cell r="E6362">
            <v>65.319999999999993</v>
          </cell>
          <cell r="F6362">
            <v>0</v>
          </cell>
        </row>
        <row r="6363">
          <cell r="B6363">
            <v>92666</v>
          </cell>
          <cell r="C6363" t="str">
            <v>LUVA, EM FERRO GALVANIZADO, CONEXÃO ROSQUEADA, DN 65 (2 1/2"), INSTALADO EM REDE DE ALIMENTAÇÃO PARA SPRINKLER - FORNECIMENTO E INSTALAÇÃO. AF_01/2026</v>
          </cell>
          <cell r="D6363" t="str">
            <v>UN</v>
          </cell>
          <cell r="E6363">
            <v>100.08</v>
          </cell>
          <cell r="F6363">
            <v>0</v>
          </cell>
        </row>
        <row r="6364">
          <cell r="B6364">
            <v>92668</v>
          </cell>
          <cell r="C6364" t="str">
            <v>LUVA, EM FERRO GALVANIZADO, CONEXÃO ROSQUEADA, DN 80 (3"), INSTALADO EM REDE DE ALIMENTAÇÃO PARA SPRINKLER - FORNECIMENTO E INSTALAÇÃO. AF_01/2026</v>
          </cell>
          <cell r="D6364" t="str">
            <v>UN</v>
          </cell>
          <cell r="E6364">
            <v>138.63</v>
          </cell>
          <cell r="F6364">
            <v>0</v>
          </cell>
        </row>
        <row r="6365">
          <cell r="B6365">
            <v>92370</v>
          </cell>
          <cell r="C6365" t="str">
            <v>LUVA, EM FERRO GALVANIZADO, DN 25 (1"), CONEXÃO ROSQUEADA, INSTALADO EM REDE DE ALIMENTAÇÃO PARA HIDRANTE - FORNECIMENTO E INSTALAÇÃO. AF_01/2026</v>
          </cell>
          <cell r="D6365" t="str">
            <v>UN</v>
          </cell>
          <cell r="E6365">
            <v>46.28</v>
          </cell>
          <cell r="F6365">
            <v>0</v>
          </cell>
        </row>
        <row r="6366">
          <cell r="B6366">
            <v>92372</v>
          </cell>
          <cell r="C6366" t="str">
            <v>LUVA, EM FERRO GALVANIZADO, DN 32 (1 1/4"), CONEXÃO ROSQUEADA, INSTALADO EM REDE DE ALIMENTAÇÃO PARA HIDRANTE - FORNECIMENTO E INSTALAÇÃO. AF_01/2026</v>
          </cell>
          <cell r="D6366" t="str">
            <v>UN</v>
          </cell>
          <cell r="E6366">
            <v>55.54</v>
          </cell>
          <cell r="F6366">
            <v>0</v>
          </cell>
        </row>
        <row r="6367">
          <cell r="B6367">
            <v>92374</v>
          </cell>
          <cell r="C6367" t="str">
            <v>LUVA, EM FERRO GALVANIZADO, DN 40 (1 1/2"), CONEXÃO ROSQUEADA, INSTALADO EM REDE DE ALIMENTAÇÃO PARA HIDRANTE - FORNECIMENTO E INSTALAÇÃO. AF_01/2026</v>
          </cell>
          <cell r="D6367" t="str">
            <v>UN</v>
          </cell>
          <cell r="E6367">
            <v>64.11</v>
          </cell>
          <cell r="F6367">
            <v>0</v>
          </cell>
        </row>
        <row r="6368">
          <cell r="B6368">
            <v>92345</v>
          </cell>
          <cell r="C6368" t="str">
            <v>LUVA, EM FERRO GALVANIZADO, DN 50 (2"), CONEXÃO ROSQUEADA, INSTALADO EM PRUMADAS - FORNECIMENTO E INSTALAÇÃO. AF_01/2026</v>
          </cell>
          <cell r="D6368" t="str">
            <v>UN</v>
          </cell>
          <cell r="E6368">
            <v>86.72</v>
          </cell>
          <cell r="F6368">
            <v>0</v>
          </cell>
        </row>
        <row r="6369">
          <cell r="B6369">
            <v>92376</v>
          </cell>
          <cell r="C6369" t="str">
            <v>LUVA, EM FERRO GALVANIZADO, DN 50 (2"), CONEXÃO ROSQUEADA, INSTALADO EM REDE DE ALIMENTAÇÃO PARA HIDRANTE - FORNECIMENTO E INSTALAÇÃO. AF_01/2026</v>
          </cell>
          <cell r="D6369" t="str">
            <v>UN</v>
          </cell>
          <cell r="E6369">
            <v>82.11</v>
          </cell>
          <cell r="F6369">
            <v>0</v>
          </cell>
        </row>
        <row r="6370">
          <cell r="B6370">
            <v>92347</v>
          </cell>
          <cell r="C6370" t="str">
            <v>LUVA, EM FERRO GALVANIZADO, DN 65 (2 1/2"), CONEXÃO ROSQUEADA, INSTALADO EM PRUMADAS - FORNECIMENTO E INSTALAÇÃO. AF_01/2026</v>
          </cell>
          <cell r="D6370" t="str">
            <v>UN</v>
          </cell>
          <cell r="E6370">
            <v>120.27</v>
          </cell>
          <cell r="F6370">
            <v>0</v>
          </cell>
        </row>
        <row r="6371">
          <cell r="B6371">
            <v>92378</v>
          </cell>
          <cell r="C6371" t="str">
            <v>LUVA, EM FERRO GALVANIZADO, DN 65 (2 1/2"), CONEXÃO ROSQUEADA, INSTALADO EM REDE DE ALIMENTAÇÃO PARA HIDRANTE - FORNECIMENTO E INSTALAÇÃO. AF_01/2026</v>
          </cell>
          <cell r="D6371" t="str">
            <v>UN</v>
          </cell>
          <cell r="E6371">
            <v>120.19</v>
          </cell>
          <cell r="F6371">
            <v>0</v>
          </cell>
        </row>
        <row r="6372">
          <cell r="B6372">
            <v>92349</v>
          </cell>
          <cell r="C6372" t="str">
            <v>LUVA, EM FERRO GALVANIZADO, DN 80 (3"), CONEXÃO ROSQUEADA, INSTALADO EM PRUMADAS - FORNECIMENTO E INSTALAÇÃO. AF_01/2026</v>
          </cell>
          <cell r="D6372" t="str">
            <v>UN</v>
          </cell>
          <cell r="E6372">
            <v>157.6</v>
          </cell>
          <cell r="F6372">
            <v>0</v>
          </cell>
        </row>
        <row r="6373">
          <cell r="B6373">
            <v>92380</v>
          </cell>
          <cell r="C6373" t="str">
            <v>LUVA, EM FERRO GALVANIZADO, DN 80 (3"), CONEXÃO ROSQUEADA, INSTALADO EM REDE DE ALIMENTAÇÃO PARA HIDRANTE - FORNECIMENTO E INSTALAÇÃO. AF_01/2026</v>
          </cell>
          <cell r="D6373" t="str">
            <v>UN</v>
          </cell>
          <cell r="E6373">
            <v>162.04</v>
          </cell>
          <cell r="F6373">
            <v>0</v>
          </cell>
        </row>
        <row r="6374">
          <cell r="B6374">
            <v>101917</v>
          </cell>
          <cell r="C6374" t="str">
            <v>MANÔMETRO 0 A 200 PSI (0 A 14 KGF/CM2), D = 50MM - FORNECIMENTO E INSTALAÇÃO. AF_01/2026</v>
          </cell>
          <cell r="D6374" t="str">
            <v>UN</v>
          </cell>
          <cell r="E6374">
            <v>189.81</v>
          </cell>
          <cell r="F6374">
            <v>0</v>
          </cell>
        </row>
        <row r="6375">
          <cell r="B6375">
            <v>101924</v>
          </cell>
          <cell r="C6375" t="str">
            <v>NIPLE, EM FERRO GALVANIZADO, 4", CONEXÃO ROSQUEADA, INSTALADO EM PRUMADAS - FORNECIMENTO E INSTALAÇÃO. AF_01/2026</v>
          </cell>
          <cell r="D6375" t="str">
            <v>UN</v>
          </cell>
          <cell r="E6375">
            <v>208.24</v>
          </cell>
          <cell r="F6375">
            <v>0</v>
          </cell>
        </row>
        <row r="6376">
          <cell r="B6376">
            <v>101933</v>
          </cell>
          <cell r="C6376" t="str">
            <v>NIPLE, EM FERRO GALVANIZADO, 4", CONEXÃO ROSQUEADA, INSTALADO EM REDE DE ALIMENTAÇÃO PARA HIDRANTE - FORNECIMENTO E INSTALAÇÃO. AF_01/2026</v>
          </cell>
          <cell r="D6376" t="str">
            <v>UN</v>
          </cell>
          <cell r="E6376">
            <v>218.72</v>
          </cell>
          <cell r="F6376">
            <v>0</v>
          </cell>
        </row>
        <row r="6377">
          <cell r="B6377">
            <v>92692</v>
          </cell>
          <cell r="C6377" t="str">
            <v>NIPLE, EM FERRO GALVANIZADO, CONEXÃO ROSQUEADA, DN 15 (1/2"), INSTALADO EM RAMAIS E SUB-RAMAIS DE GÁS - FORNECIMENTO E INSTALAÇÃO. AF_01/2026</v>
          </cell>
          <cell r="D6377" t="str">
            <v>UN</v>
          </cell>
          <cell r="E6377">
            <v>18.059999999999999</v>
          </cell>
          <cell r="F6377">
            <v>0</v>
          </cell>
        </row>
        <row r="6378">
          <cell r="B6378">
            <v>92694</v>
          </cell>
          <cell r="C6378" t="str">
            <v>NIPLE, EM FERRO GALVANIZADO, CONEXÃO ROSQUEADA, DN 20 (3/4"), INSTALADO EM RAMAIS E SUB-RAMAIS DE GÁS - FORNECIMENTO E INSTALAÇÃO. AF_01/2026</v>
          </cell>
          <cell r="D6378" t="str">
            <v>UN</v>
          </cell>
          <cell r="E6378">
            <v>28.97</v>
          </cell>
          <cell r="F6378">
            <v>0</v>
          </cell>
        </row>
        <row r="6379">
          <cell r="B6379">
            <v>92696</v>
          </cell>
          <cell r="C6379" t="str">
            <v>NIPLE, EM FERRO GALVANIZADO, CONEXÃO ROSQUEADA, DN 25 (1"), INSTALADO EM RAMAIS E SUB-RAMAIS DE GÁS - FORNECIMENTO E INSTALAÇÃO. AF_01/2026</v>
          </cell>
          <cell r="D6379" t="str">
            <v>UN</v>
          </cell>
          <cell r="E6379">
            <v>45.83</v>
          </cell>
          <cell r="F6379">
            <v>0</v>
          </cell>
        </row>
        <row r="6380">
          <cell r="B6380">
            <v>92657</v>
          </cell>
          <cell r="C6380" t="str">
            <v>NIPLE, EM FERRO GALVANIZADO, CONEXÃO ROSQUEADA, DN 25 (1"), INSTALADO EM REDE DE ALIMENTAÇÃO PARA SPRINKLER - FORNECIMENTO E INSTALAÇÃO. AF_01/2026</v>
          </cell>
          <cell r="D6380" t="str">
            <v>UN</v>
          </cell>
          <cell r="E6380">
            <v>33.07</v>
          </cell>
          <cell r="F6380">
            <v>0</v>
          </cell>
        </row>
        <row r="6381">
          <cell r="B6381">
            <v>92659</v>
          </cell>
          <cell r="C6381" t="str">
            <v>NIPLE, EM FERRO GALVANIZADO, CONEXÃO ROSQUEADA, DN 32 (1 1/4"), INSTALADO EM REDE DE ALIMENTAÇÃO PARA SPRINKLER - FORNECIMENTO E INSTALAÇÃO. AF_01/2026</v>
          </cell>
          <cell r="D6381" t="str">
            <v>UN</v>
          </cell>
          <cell r="E6381">
            <v>40.92</v>
          </cell>
          <cell r="F6381">
            <v>0</v>
          </cell>
        </row>
        <row r="6382">
          <cell r="B6382">
            <v>92661</v>
          </cell>
          <cell r="C6382" t="str">
            <v>NIPLE, EM FERRO GALVANIZADO, CONEXÃO ROSQUEADA, DN 40 (1 1/2"), INSTALADO EM REDE DE ALIMENTAÇÃO PARA SPRINKLER - FORNECIMENTO E INSTALAÇÃO. AF_01/2026</v>
          </cell>
          <cell r="D6382" t="str">
            <v>UN</v>
          </cell>
          <cell r="E6382">
            <v>49.17</v>
          </cell>
          <cell r="F6382">
            <v>0</v>
          </cell>
        </row>
        <row r="6383">
          <cell r="B6383">
            <v>92663</v>
          </cell>
          <cell r="C6383" t="str">
            <v>NIPLE, EM FERRO GALVANIZADO, CONEXÃO ROSQUEADA, DN 50 (2"), INSTALADO EM REDE DE ALIMENTAÇÃO PARA SPRINKLER - FORNECIMENTO E INSTALAÇÃO. AF_01/2026</v>
          </cell>
          <cell r="D6383" t="str">
            <v>UN</v>
          </cell>
          <cell r="E6383">
            <v>65.349999999999994</v>
          </cell>
          <cell r="F6383">
            <v>0</v>
          </cell>
        </row>
        <row r="6384">
          <cell r="B6384">
            <v>92665</v>
          </cell>
          <cell r="C6384" t="str">
            <v>NIPLE, EM FERRO GALVANIZADO, CONEXÃO ROSQUEADA, DN 65 (2 1/2"), INSTALADO EM REDE DE ALIMENTAÇÃO PARA SPRINKLER - FORNECIMENTO E INSTALAÇÃO. AF_01/2026</v>
          </cell>
          <cell r="D6384" t="str">
            <v>UN</v>
          </cell>
          <cell r="E6384">
            <v>89.37</v>
          </cell>
          <cell r="F6384">
            <v>0</v>
          </cell>
        </row>
        <row r="6385">
          <cell r="B6385">
            <v>92667</v>
          </cell>
          <cell r="C6385" t="str">
            <v>NIPLE, EM FERRO GALVANIZADO, CONEXÃO ROSQUEADA, DN 80 (3"), INSTALADO EM REDE DE ALIMENTAÇÃO PARA SPRINKLER - FORNECIMENTO E INSTALAÇÃO. AF_01/2026</v>
          </cell>
          <cell r="D6385" t="str">
            <v>UN</v>
          </cell>
          <cell r="E6385">
            <v>129.1</v>
          </cell>
          <cell r="F6385">
            <v>0</v>
          </cell>
        </row>
        <row r="6386">
          <cell r="B6386">
            <v>92369</v>
          </cell>
          <cell r="C6386" t="str">
            <v>NIPLE, EM FERRO GALVANIZADO, DN 25 (1"), CONEXÃO ROSQUEADA, INSTALADO EM REDE DE ALIMENTAÇÃO PARA HIDRANTE - FORNECIMENTO E INSTALAÇÃO. AF_01/2026</v>
          </cell>
          <cell r="D6386" t="str">
            <v>UN</v>
          </cell>
          <cell r="E6386">
            <v>44.36</v>
          </cell>
          <cell r="F6386">
            <v>0</v>
          </cell>
        </row>
        <row r="6387">
          <cell r="B6387">
            <v>92371</v>
          </cell>
          <cell r="C6387" t="str">
            <v>NIPLE, EM FERRO GALVANIZADO, DN 32 (1 1/4"), CONEXÃO ROSQUEADA, INSTALADO EM REDE DE ALIMENTAÇÃO PARA HIDRANTE - FORNECIMENTO E INSTALAÇÃO. AF_01/2026</v>
          </cell>
          <cell r="D6387" t="str">
            <v>UN</v>
          </cell>
          <cell r="E6387">
            <v>53.75</v>
          </cell>
          <cell r="F6387">
            <v>0</v>
          </cell>
        </row>
        <row r="6388">
          <cell r="B6388">
            <v>92373</v>
          </cell>
          <cell r="C6388" t="str">
            <v>NIPLE, EM FERRO GALVANIZADO, DN 40 (1 1/2"), CONEXÃO ROSQUEADA, INSTALADO EM REDE DE ALIMENTAÇÃO PARA HIDRANTE - FORNECIMENTO E INSTALAÇÃO. AF_01/2026</v>
          </cell>
          <cell r="D6388" t="str">
            <v>UN</v>
          </cell>
          <cell r="E6388">
            <v>63.76</v>
          </cell>
          <cell r="F6388">
            <v>0</v>
          </cell>
        </row>
        <row r="6389">
          <cell r="B6389">
            <v>92344</v>
          </cell>
          <cell r="C6389" t="str">
            <v>NIPLE, EM FERRO GALVANIZADO, DN 50 (2"), CONEXÃO ROSQUEADA, INSTALADO EM PRUMADAS - FORNECIMENTO E INSTALAÇÃO. AF_01/2026</v>
          </cell>
          <cell r="D6389" t="str">
            <v>UN</v>
          </cell>
          <cell r="E6389">
            <v>86.75</v>
          </cell>
          <cell r="F6389">
            <v>0</v>
          </cell>
        </row>
        <row r="6390">
          <cell r="B6390">
            <v>92375</v>
          </cell>
          <cell r="C6390" t="str">
            <v>NIPLE, EM FERRO GALVANIZADO, DN 50 (2"), CONEXÃO ROSQUEADA, INSTALADO EM REDE DE ALIMENTAÇÃO PARA HIDRANTE - FORNECIMENTO E INSTALAÇÃO. AF_01/2026</v>
          </cell>
          <cell r="D6390" t="str">
            <v>UN</v>
          </cell>
          <cell r="E6390">
            <v>82.14</v>
          </cell>
          <cell r="F6390">
            <v>0</v>
          </cell>
        </row>
        <row r="6391">
          <cell r="B6391">
            <v>92346</v>
          </cell>
          <cell r="C6391" t="str">
            <v>NIPLE, EM FERRO GALVANIZADO, DN 65 (2 1/2"), CONEXÃO ROSQUEADA, INSTALADO EM PRUMADAS - FORNECIMENTO E INSTALAÇÃO. AF_01/2026</v>
          </cell>
          <cell r="D6391" t="str">
            <v>UN</v>
          </cell>
          <cell r="E6391">
            <v>109.56</v>
          </cell>
          <cell r="F6391">
            <v>0</v>
          </cell>
        </row>
        <row r="6392">
          <cell r="B6392">
            <v>92377</v>
          </cell>
          <cell r="C6392" t="str">
            <v>NIPLE, EM FERRO GALVANIZADO, DN 65 (2 1/2"), CONEXÃO ROSQUEADA, INSTALADO EM REDE DE ALIMENTAÇÃO PARA HIDRANTE - FORNECIMENTO E INSTALAÇÃO. AF_01/2026</v>
          </cell>
          <cell r="D6392" t="str">
            <v>UN</v>
          </cell>
          <cell r="E6392">
            <v>109.48</v>
          </cell>
          <cell r="F6392">
            <v>0</v>
          </cell>
        </row>
        <row r="6393">
          <cell r="B6393">
            <v>92348</v>
          </cell>
          <cell r="C6393" t="str">
            <v>NIPLE, EM FERRO GALVANIZADO, DN 80 (3"), CONEXÃO ROSQUEADA, INSTALADO EM PRUMADAS - FORNECIMENTO E INSTALAÇÃO. AF_01/2026</v>
          </cell>
          <cell r="D6393" t="str">
            <v>UN</v>
          </cell>
          <cell r="E6393">
            <v>148.07</v>
          </cell>
          <cell r="F6393">
            <v>0</v>
          </cell>
        </row>
        <row r="6394">
          <cell r="B6394">
            <v>92379</v>
          </cell>
          <cell r="C6394" t="str">
            <v>NIPLE, EM FERRO GALVANIZADO, DN 80 (3"), CONEXÃO ROSQUEADA, INSTALADO EM REDE DE ALIMENTAÇÃO PARA HIDRANTE - FORNECIMENTO E INSTALAÇÃO. AF_01/2026</v>
          </cell>
          <cell r="D6394" t="str">
            <v>UN</v>
          </cell>
          <cell r="E6394">
            <v>152.51</v>
          </cell>
          <cell r="F6394">
            <v>0</v>
          </cell>
        </row>
        <row r="6395">
          <cell r="B6395">
            <v>106677</v>
          </cell>
          <cell r="C6395" t="str">
            <v>REGISTRO DE RECALQUE, HIDRANTE SUBTERRÂNEO PREDIAL, 65 MM - FORNECIMENTO E INSTALAÇÃO. AF_01/2026</v>
          </cell>
          <cell r="D6395" t="str">
            <v>UN</v>
          </cell>
          <cell r="E6395">
            <v>1070.73</v>
          </cell>
          <cell r="F6395">
            <v>0</v>
          </cell>
        </row>
        <row r="6396">
          <cell r="B6396">
            <v>95696</v>
          </cell>
          <cell r="C6396" t="str">
            <v>SPRINKLER TIPO PENDENTE, 68 °C, UNIÃO POR ROSCA DN 15 (1/2") - FORNECIMENTO E INSTALAÇÃO. AF_01/2026</v>
          </cell>
          <cell r="D6396" t="str">
            <v>UN</v>
          </cell>
          <cell r="E6396">
            <v>47.63</v>
          </cell>
          <cell r="F6396">
            <v>0</v>
          </cell>
        </row>
        <row r="6397">
          <cell r="B6397">
            <v>92335</v>
          </cell>
          <cell r="C6397" t="str">
            <v>TUBO DE AÇO GALVANIZADO COM COSTURA, CLASSE MÉDIA, CONEXÃO RANHURADA, DN 50 (2"), INSTALADO EM PRUMADAS - FORNECIMENTO E INSTALAÇÃO. AF_01/2026</v>
          </cell>
          <cell r="D6397" t="str">
            <v>M</v>
          </cell>
          <cell r="E6397">
            <v>97.3</v>
          </cell>
          <cell r="F6397">
            <v>0</v>
          </cell>
        </row>
        <row r="6398">
          <cell r="B6398">
            <v>92336</v>
          </cell>
          <cell r="C6398" t="str">
            <v>TUBO DE AÇO GALVANIZADO COM COSTURA, CLASSE MÉDIA, CONEXÃO RANHURADA, DN 65 (2 1/2"), INSTALADO EM PRUMADAS - FORNECIMENTO E INSTALAÇÃO. AF_01/2026</v>
          </cell>
          <cell r="D6398" t="str">
            <v>M</v>
          </cell>
          <cell r="E6398">
            <v>116.39</v>
          </cell>
          <cell r="F6398">
            <v>0</v>
          </cell>
        </row>
        <row r="6399">
          <cell r="B6399">
            <v>92337</v>
          </cell>
          <cell r="C6399" t="str">
            <v>TUBO DE AÇO GALVANIZADO COM COSTURA, CLASSE MÉDIA, CONEXÃO RANHURADA, DN 80 (3"), INSTALADO EM PRUMADAS - FORNECIMENTO E INSTALAÇÃO. AF_01/2026</v>
          </cell>
          <cell r="D6399" t="str">
            <v>M</v>
          </cell>
          <cell r="E6399">
            <v>149.83000000000001</v>
          </cell>
          <cell r="F6399">
            <v>0</v>
          </cell>
        </row>
        <row r="6400">
          <cell r="B6400">
            <v>92687</v>
          </cell>
          <cell r="C6400" t="str">
            <v>TUBO DE AÇO GALVANIZADO COM COSTURA, CLASSE MÉDIA, CONEXÃO ROSQUEADA, DN 15 (1/2"), INSTALADO EM RAMAIS E SUB-RAMAIS DE GÁS - FORNECIMENTO E INSTALAÇÃO. AF_01/2026</v>
          </cell>
          <cell r="D6400" t="str">
            <v>M</v>
          </cell>
          <cell r="E6400">
            <v>31.22</v>
          </cell>
          <cell r="F6400">
            <v>0</v>
          </cell>
        </row>
        <row r="6401">
          <cell r="B6401">
            <v>92688</v>
          </cell>
          <cell r="C6401" t="str">
            <v>TUBO DE AÇO GALVANIZADO COM COSTURA, CLASSE MÉDIA, CONEXÃO ROSQUEADA, DN 20 (3/4"), INSTALADO EM RAMAIS E SUB-RAMAIS DE GÁS - FORNECIMENTO E INSTALAÇÃO. AF_01/2026</v>
          </cell>
          <cell r="D6401" t="str">
            <v>M</v>
          </cell>
          <cell r="E6401">
            <v>44.91</v>
          </cell>
          <cell r="F6401">
            <v>0</v>
          </cell>
        </row>
        <row r="6402">
          <cell r="B6402">
            <v>97536</v>
          </cell>
          <cell r="C6402" t="str">
            <v>TUBO DE AÇO GALVANIZADO COM COSTURA, CLASSE MÉDIA, CONEXÃO ROSQUEADA, DN 25 (1"), INSTALADO EM RAMAIS E SUB-RAMAIS DE GÁS - FORNECIMENTO E INSTALAÇÃO. AF_01/2026</v>
          </cell>
          <cell r="D6402" t="str">
            <v>M</v>
          </cell>
          <cell r="E6402">
            <v>69.58</v>
          </cell>
          <cell r="F6402">
            <v>0</v>
          </cell>
        </row>
        <row r="6403">
          <cell r="B6403">
            <v>97535</v>
          </cell>
          <cell r="C6403" t="str">
            <v>TUBO DE AÇO GALVANIZADO COM COSTURA, CLASSE MÉDIA, CONEXÃO ROSQUEADA, DN 25 (1"), INSTALADO EM REDE DE ALIMENTAÇÃO PARA SPRINKLER - FORNECIMENTO E INSTALAÇÃO. AF_01/2026</v>
          </cell>
          <cell r="D6403" t="str">
            <v>M</v>
          </cell>
          <cell r="E6403">
            <v>54.02</v>
          </cell>
          <cell r="F6403">
            <v>0</v>
          </cell>
        </row>
        <row r="6404">
          <cell r="B6404">
            <v>92652</v>
          </cell>
          <cell r="C6404" t="str">
            <v>TUBO DE AÇO GALVANIZADO COM COSTURA, CLASSE MÉDIA, CONEXÃO ROSQUEADA, DN 32 (1 1/4"), INSTALADO EM REDE DE ALIMENTAÇÃO PARA SPRINKLER - FORNECIMENTO E INSTALAÇÃO. AF_01/2026</v>
          </cell>
          <cell r="D6404" t="str">
            <v>M</v>
          </cell>
          <cell r="E6404">
            <v>65.25</v>
          </cell>
          <cell r="F6404">
            <v>0</v>
          </cell>
        </row>
        <row r="6405">
          <cell r="B6405">
            <v>92653</v>
          </cell>
          <cell r="C6405" t="str">
            <v>TUBO DE AÇO GALVANIZADO COM COSTURA, CLASSE MÉDIA, CONEXÃO ROSQUEADA, DN 40 (1 1/2"), INSTALADO EM REDE DE ALIMENTAÇÃO PARA SPRINKLER - FORNECIMENTO E INSTALAÇÃO. AF_01/2026</v>
          </cell>
          <cell r="D6405" t="str">
            <v>M</v>
          </cell>
          <cell r="E6405">
            <v>74.66</v>
          </cell>
          <cell r="F6405">
            <v>0</v>
          </cell>
        </row>
        <row r="6406">
          <cell r="B6406">
            <v>92654</v>
          </cell>
          <cell r="C6406" t="str">
            <v>TUBO DE AÇO GALVANIZADO COM COSTURA, CLASSE MÉDIA, CONEXÃO ROSQUEADA, DN 50 (2"), INSTALADO EM REDE DE ALIMENTAÇÃO PARA SPRINKLER - FORNECIMENTO E INSTALAÇÃO. AF_01/2026</v>
          </cell>
          <cell r="D6406" t="str">
            <v>M</v>
          </cell>
          <cell r="E6406">
            <v>100.61</v>
          </cell>
          <cell r="F6406">
            <v>0</v>
          </cell>
        </row>
        <row r="6407">
          <cell r="B6407">
            <v>92655</v>
          </cell>
          <cell r="C6407" t="str">
            <v>TUBO DE AÇO GALVANIZADO COM COSTURA, CLASSE MÉDIA, CONEXÃO ROSQUEADA, DN 65 (2 1/2"), INSTALADO EM REDE DE ALIMENTAÇÃO PARA SPRINKLER - FORNECIMENTO E INSTALAÇÃO. AF_01/2026</v>
          </cell>
          <cell r="D6407" t="str">
            <v>M</v>
          </cell>
          <cell r="E6407">
            <v>122.84</v>
          </cell>
          <cell r="F6407">
            <v>0</v>
          </cell>
        </row>
        <row r="6408">
          <cell r="B6408">
            <v>92656</v>
          </cell>
          <cell r="C6408" t="str">
            <v>TUBO DE AÇO GALVANIZADO COM COSTURA, CLASSE MÉDIA, CONEXÃO ROSQUEADA, DN 80 (3"), INSTALADO EM REDE DE ALIMENTAÇÃO PARA SPRINKLER - FORNECIMENTO E INSTALAÇÃO. AF_01/2026</v>
          </cell>
          <cell r="D6408" t="str">
            <v>M</v>
          </cell>
          <cell r="E6408">
            <v>159.41</v>
          </cell>
          <cell r="F6408">
            <v>0</v>
          </cell>
        </row>
        <row r="6409">
          <cell r="B6409">
            <v>101918</v>
          </cell>
          <cell r="C6409" t="str">
            <v>TUBO DE AÇO GALVANIZADO COM COSTURA, CLASSE MÉDIA, DN 100 (4"), CONEXÃO ROSQUEADA, INSTALADO EM PRUMADAS - FORNECIMENTO E INSTALAÇÃO. AF_01/2026</v>
          </cell>
          <cell r="D6409" t="str">
            <v>M</v>
          </cell>
          <cell r="E6409">
            <v>220.11</v>
          </cell>
          <cell r="F6409">
            <v>0</v>
          </cell>
        </row>
        <row r="6410">
          <cell r="B6410">
            <v>101927</v>
          </cell>
          <cell r="C6410" t="str">
            <v>TUBO DE AÇO GALVANIZADO COM COSTURA, CLASSE MÉDIA, DN 100 (4"), CONEXÃO ROSQUEADA, INSTALADO EM REDE DE ALIMENTAÇÃO PARA HIDRANTE - FORNECIMENTO E INSTALAÇÃO. AF_01/2026</v>
          </cell>
          <cell r="D6410" t="str">
            <v>M</v>
          </cell>
          <cell r="E6410">
            <v>201.24</v>
          </cell>
          <cell r="F6410">
            <v>0</v>
          </cell>
        </row>
        <row r="6411">
          <cell r="B6411">
            <v>97498</v>
          </cell>
          <cell r="C6411" t="str">
            <v>TUBO DE AÇO GALVANIZADO COM COSTURA, CLASSE MÉDIA, DN 25 (1"), CONEXÃO ROSQUEADA, INSTALADO EM REDE DE ALIMENTAÇÃO PARA HIDRANTE - FORNECIMENTO E INSTALAÇÃO. AF_01/2026</v>
          </cell>
          <cell r="D6411" t="str">
            <v>M</v>
          </cell>
          <cell r="E6411">
            <v>47.77</v>
          </cell>
          <cell r="F6411">
            <v>0</v>
          </cell>
        </row>
        <row r="6412">
          <cell r="B6412">
            <v>92364</v>
          </cell>
          <cell r="C6412" t="str">
            <v>TUBO DE AÇO GALVANIZADO COM COSTURA, CLASSE MÉDIA, DN 32 (1 1/4"), CONEXÃO ROSQUEADA, INSTALADO EM REDE DE ALIMENTAÇÃO PARA HIDRANTE - FORNECIMENTO E INSTALAÇÃO. AF_01/2026</v>
          </cell>
          <cell r="D6412" t="str">
            <v>M</v>
          </cell>
          <cell r="E6412">
            <v>58.52</v>
          </cell>
          <cell r="F6412">
            <v>0</v>
          </cell>
        </row>
        <row r="6413">
          <cell r="B6413">
            <v>92365</v>
          </cell>
          <cell r="C6413" t="str">
            <v>TUBO DE AÇO GALVANIZADO COM COSTURA, CLASSE MÉDIA, DN 40 (1 1/2"), CONEXÃO ROSQUEADA, INSTALADO EM REDE DE ALIMENTAÇÃO PARA HIDRANTE - FORNECIMENTO E INSTALAÇÃO. AF_01/2026</v>
          </cell>
          <cell r="D6413" t="str">
            <v>M</v>
          </cell>
          <cell r="E6413">
            <v>67.39</v>
          </cell>
          <cell r="F6413">
            <v>0</v>
          </cell>
        </row>
        <row r="6414">
          <cell r="B6414">
            <v>92341</v>
          </cell>
          <cell r="C6414" t="str">
            <v>TUBO DE AÇO GALVANIZADO COM COSTURA, CLASSE MÉDIA, DN 50 (2"), CONEXÃO ROSQUEADA, INSTALADO EM PRUMADAS - FORNECIMENTO E INSTALAÇÃO. AF_01/2026</v>
          </cell>
          <cell r="D6414" t="str">
            <v>M</v>
          </cell>
          <cell r="E6414">
            <v>112.97</v>
          </cell>
          <cell r="F6414">
            <v>0</v>
          </cell>
        </row>
        <row r="6415">
          <cell r="B6415">
            <v>92366</v>
          </cell>
          <cell r="C6415" t="str">
            <v>TUBO DE AÇO GALVANIZADO COM COSTURA, CLASSE MÉDIA, DN 50 (2"), CONEXÃO ROSQUEADA, INSTALADO EM REDE DE ALIMENTAÇÃO PARA HIDRANTE - FORNECIMENTO E INSTALAÇÃO. AF_01/2026</v>
          </cell>
          <cell r="D6415" t="str">
            <v>M</v>
          </cell>
          <cell r="E6415">
            <v>92.66</v>
          </cell>
          <cell r="F6415">
            <v>0</v>
          </cell>
        </row>
        <row r="6416">
          <cell r="B6416">
            <v>92342</v>
          </cell>
          <cell r="C6416" t="str">
            <v>TUBO DE AÇO GALVANIZADO COM COSTURA, CLASSE MÉDIA, DN 65 (2 1/2"), CONEXÃO ROSQUEADA, INSTALADO EM PRUMADAS - FORNECIMENTO E INSTALAÇÃO. AF_01/2026</v>
          </cell>
          <cell r="D6416" t="str">
            <v>M</v>
          </cell>
          <cell r="E6416">
            <v>133.75</v>
          </cell>
          <cell r="F6416">
            <v>0</v>
          </cell>
        </row>
        <row r="6417">
          <cell r="B6417">
            <v>92367</v>
          </cell>
          <cell r="C6417" t="str">
            <v>TUBO DE AÇO GALVANIZADO COM COSTURA, CLASSE MÉDIA, DN 65 (2 1/2"), CONEXÃO ROSQUEADA, INSTALADO EM REDE DE ALIMENTAÇÃO PARA HIDRANTE - FORNECIMENTO E INSTALAÇÃO. AF_01/2026</v>
          </cell>
          <cell r="D6417" t="str">
            <v>M</v>
          </cell>
          <cell r="E6417">
            <v>113.87</v>
          </cell>
          <cell r="F6417">
            <v>0</v>
          </cell>
        </row>
        <row r="6418">
          <cell r="B6418">
            <v>92343</v>
          </cell>
          <cell r="C6418" t="str">
            <v>TUBO DE AÇO GALVANIZADO COM COSTURA, CLASSE MÉDIA, DN 80 (3"), CONEXÃO ROSQUEADA, INSTALADO EM PRUMADAS - FORNECIMENTO E INSTALAÇÃO. AF_01/2026</v>
          </cell>
          <cell r="D6418" t="str">
            <v>M</v>
          </cell>
          <cell r="E6418">
            <v>168.87</v>
          </cell>
          <cell r="F6418">
            <v>0</v>
          </cell>
        </row>
        <row r="6419">
          <cell r="B6419">
            <v>92368</v>
          </cell>
          <cell r="C6419" t="str">
            <v>TUBO DE AÇO GALVANIZADO COM COSTURA, CLASSE MÉDIA, DN 80 (3"), CONEXÃO ROSQUEADA, INSTALADO EM REDE DE ALIMENTAÇÃO PARA HIDRANTE - FORNECIMENTO E INSTALAÇÃO. AF_01/2026</v>
          </cell>
          <cell r="D6419" t="str">
            <v>M</v>
          </cell>
          <cell r="E6419">
            <v>149.41999999999999</v>
          </cell>
          <cell r="F6419">
            <v>0</v>
          </cell>
        </row>
        <row r="6420">
          <cell r="B6420">
            <v>92689</v>
          </cell>
          <cell r="C6420" t="str">
            <v>TUBO DE AÇO PRETO SEM COSTURA, CLASSE MÉDIA, CONEXÃO SOLDADA, DN 15 (1/2"), INSTALADO EM RAMAIS E SUB-RAMAIS DE GÁS - FORNECIMENTO E INSTALAÇÃO. AF_01/2026</v>
          </cell>
          <cell r="D6420" t="str">
            <v>M</v>
          </cell>
          <cell r="E6420">
            <v>55.39</v>
          </cell>
          <cell r="F6420">
            <v>0</v>
          </cell>
        </row>
        <row r="6421">
          <cell r="B6421">
            <v>92690</v>
          </cell>
          <cell r="C6421" t="str">
            <v>TUBO DE AÇO PRETO SEM COSTURA, CLASSE MÉDIA, CONEXÃO SOLDADA, DN 20 (3/4"), INSTALADO EM RAMAIS E SUB-RAMAIS DE GÁS - FORNECIMENTO E INSTALAÇÃO. AF_01/2026</v>
          </cell>
          <cell r="D6421" t="str">
            <v>M</v>
          </cell>
          <cell r="E6421">
            <v>79.88</v>
          </cell>
          <cell r="F6421">
            <v>0</v>
          </cell>
        </row>
        <row r="6422">
          <cell r="B6422">
            <v>92691</v>
          </cell>
          <cell r="C6422" t="str">
            <v>TUBO DE AÇO PRETO SEM COSTURA, CLASSE MÉDIA, CONEXÃO SOLDADA, DN 25 (1"), INSTALADO EM RAMAIS E SUB-RAMAIS DE GÁS - FORNECIMENTO E INSTALAÇÃO. AF_01/2026</v>
          </cell>
          <cell r="D6422" t="str">
            <v>M</v>
          </cell>
          <cell r="E6422">
            <v>107.12</v>
          </cell>
          <cell r="F6422">
            <v>0</v>
          </cell>
        </row>
        <row r="6423">
          <cell r="B6423">
            <v>92359</v>
          </cell>
          <cell r="C6423" t="str">
            <v>TUBO DE AÇO PRETO SEM COSTURA, CONEXÃO SOLDADA, DN 25 (1"), INSTALADO EM REDE DE ALIMENTAÇÃO PARA HIDRANTE - FORNECIMENTO E INSTALAÇÃO. AF_01/2026</v>
          </cell>
          <cell r="D6423" t="str">
            <v>M</v>
          </cell>
          <cell r="E6423">
            <v>71.900000000000006</v>
          </cell>
          <cell r="F6423">
            <v>0</v>
          </cell>
        </row>
        <row r="6424">
          <cell r="B6424">
            <v>92645</v>
          </cell>
          <cell r="C6424" t="str">
            <v>TUBO DE AÇO PRETO SEM COSTURA, CONEXÃO SOLDADA, DN 25 (1"), INSTALADO EM REDE DE ALIMENTAÇÃO PARA SPRINKLER - FORNECIMENTO E INSTALAÇÃO. AF_01/2026</v>
          </cell>
          <cell r="D6424" t="str">
            <v>M</v>
          </cell>
          <cell r="E6424">
            <v>76.959999999999994</v>
          </cell>
          <cell r="F6424">
            <v>0</v>
          </cell>
        </row>
        <row r="6425">
          <cell r="B6425">
            <v>92360</v>
          </cell>
          <cell r="C6425" t="str">
            <v>TUBO DE AÇO PRETO SEM COSTURA, CONEXÃO SOLDADA, DN 32 (1 1/4"), INSTALADO EM REDE DE ALIMENTAÇÃO PARA HIDRANTE - FORNECIMENTO E INSTALAÇÃO. AF_01/2026</v>
          </cell>
          <cell r="D6425" t="str">
            <v>M</v>
          </cell>
          <cell r="E6425">
            <v>95.93</v>
          </cell>
          <cell r="F6425">
            <v>0</v>
          </cell>
        </row>
        <row r="6426">
          <cell r="B6426">
            <v>92646</v>
          </cell>
          <cell r="C6426" t="str">
            <v>TUBO DE AÇO PRETO SEM COSTURA, CONEXÃO SOLDADA, DN 32 (1 1/4"), INSTALADO EM REDE DE ALIMENTAÇÃO PARA SPRINKLER - FORNECIMENTO E INSTALAÇÃO. AF_01/2026</v>
          </cell>
          <cell r="D6426" t="str">
            <v>M</v>
          </cell>
          <cell r="E6426">
            <v>101</v>
          </cell>
          <cell r="F6426">
            <v>0</v>
          </cell>
        </row>
        <row r="6427">
          <cell r="B6427">
            <v>95697</v>
          </cell>
          <cell r="C6427" t="str">
            <v>TUBO DE AÇO PRETO SEM COSTURA, CONEXÃO SOLDADA, DN 40 (1 1/2"), INSTALADO EM REDE DE ALIMENTAÇÃO PARA HIDRANTE - FORNECIMENTO E INSTALAÇÃO. AF_01/2026</v>
          </cell>
          <cell r="D6427" t="str">
            <v>M</v>
          </cell>
          <cell r="E6427">
            <v>105.63</v>
          </cell>
          <cell r="F6427">
            <v>0</v>
          </cell>
        </row>
        <row r="6428">
          <cell r="B6428">
            <v>92648</v>
          </cell>
          <cell r="C6428" t="str">
            <v>TUBO DE AÇO PRETO SEM COSTURA, CONEXÃO SOLDADA, DN 40 (1 1/2"), INSTALADO EM REDE DE ALIMENTAÇÃO PARA SPRINKLER - FORNECIMENTO E INSTALAÇÃO. AF_01/2026</v>
          </cell>
          <cell r="D6428" t="str">
            <v>M</v>
          </cell>
          <cell r="E6428">
            <v>110.69</v>
          </cell>
          <cell r="F6428">
            <v>0</v>
          </cell>
        </row>
        <row r="6429">
          <cell r="B6429">
            <v>92338</v>
          </cell>
          <cell r="C6429" t="str">
            <v>TUBO DE AÇO PRETO SEM COSTURA, CONEXÃO SOLDADA, DN 50 (2"), INSTALADO EM PRUMADAS - FORNECIMENTO E INSTALAÇÃO. AF_01/2026</v>
          </cell>
          <cell r="D6429" t="str">
            <v>M</v>
          </cell>
          <cell r="E6429">
            <v>159.65</v>
          </cell>
          <cell r="F6429">
            <v>0</v>
          </cell>
        </row>
        <row r="6430">
          <cell r="B6430">
            <v>92361</v>
          </cell>
          <cell r="C6430" t="str">
            <v>TUBO DE AÇO PRETO SEM COSTURA, CONEXÃO SOLDADA, DN 50 (2"), INSTALADO EM REDE DE ALIMENTAÇÃO PARA HIDRANTE - FORNECIMENTO E INSTALAÇÃO. AF_01/2026</v>
          </cell>
          <cell r="D6430" t="str">
            <v>M</v>
          </cell>
          <cell r="E6430">
            <v>129.75</v>
          </cell>
          <cell r="F6430">
            <v>0</v>
          </cell>
        </row>
        <row r="6431">
          <cell r="B6431">
            <v>92649</v>
          </cell>
          <cell r="C6431" t="str">
            <v>TUBO DE AÇO PRETO SEM COSTURA, CONEXÃO SOLDADA, DN 50 (2"), INSTALADO EM REDE DE ALIMENTAÇÃO PARA SPRINKLER - FORNECIMENTO E INSTALAÇÃO. AF_01/2026</v>
          </cell>
          <cell r="D6431" t="str">
            <v>M</v>
          </cell>
          <cell r="E6431">
            <v>134.82</v>
          </cell>
          <cell r="F6431">
            <v>0</v>
          </cell>
        </row>
        <row r="6432">
          <cell r="B6432">
            <v>92339</v>
          </cell>
          <cell r="C6432" t="str">
            <v>TUBO DE AÇO PRETO SEM COSTURA, CONEXÃO SOLDADA, DN 65 (2 1/2"), INSTALADO EM PRUMADAS - FORNECIMENTO E INSTALAÇÃO. AF_01/2026</v>
          </cell>
          <cell r="D6432" t="str">
            <v>M</v>
          </cell>
          <cell r="E6432">
            <v>234.4</v>
          </cell>
          <cell r="F6432">
            <v>0</v>
          </cell>
        </row>
        <row r="6433">
          <cell r="B6433">
            <v>92362</v>
          </cell>
          <cell r="C6433" t="str">
            <v>TUBO DE AÇO PRETO SEM COSTURA, CONEXÃO SOLDADA, DN 65 (2 1/2"), INSTALADO EM REDE DE ALIMENTAÇÃO PARA HIDRANTE - FORNECIMENTO E INSTALAÇÃO. AF_01/2026</v>
          </cell>
          <cell r="D6433" t="str">
            <v>M</v>
          </cell>
          <cell r="E6433">
            <v>206.61</v>
          </cell>
          <cell r="F6433">
            <v>0</v>
          </cell>
        </row>
        <row r="6434">
          <cell r="B6434">
            <v>92650</v>
          </cell>
          <cell r="C6434" t="str">
            <v>TUBO DE AÇO PRETO SEM COSTURA, CONEXÃO SOLDADA, DN 65 (2 1/2"), INSTALADO EM REDE DE ALIMENTAÇÃO PARA SPRINKLER - FORNECIMENTO E INSTALAÇÃO. AF_01/2026</v>
          </cell>
          <cell r="D6434" t="str">
            <v>M</v>
          </cell>
          <cell r="E6434">
            <v>211.67</v>
          </cell>
          <cell r="F6434">
            <v>0</v>
          </cell>
        </row>
        <row r="6435">
          <cell r="B6435">
            <v>106674</v>
          </cell>
          <cell r="C6435" t="str">
            <v>TUBO DE AÇO PRETO SEM COSTURA, CONEXÃO SOLDADA, DN 80 (3"), INSTALADO EM PRUMADAS - FORNECIMENTO E INSTALAÇÃO. AF_01/2026</v>
          </cell>
          <cell r="D6435" t="str">
            <v>M</v>
          </cell>
          <cell r="E6435">
            <v>285.33</v>
          </cell>
          <cell r="F6435">
            <v>0</v>
          </cell>
        </row>
        <row r="6436">
          <cell r="B6436">
            <v>106675</v>
          </cell>
          <cell r="C6436" t="str">
            <v>TUBO DE AÇO PRETO SEM COSTURA, CONEXÃO SOLDADA, DN 80 (3"), INSTALADO EM REDE DE ALIMENTAÇÃO PARA HIDRANTE - FORNECIMENTO E INSTALAÇÃO. AF_01/2026</v>
          </cell>
          <cell r="D6436" t="str">
            <v>M</v>
          </cell>
          <cell r="E6436">
            <v>259.67</v>
          </cell>
          <cell r="F6436">
            <v>0</v>
          </cell>
        </row>
        <row r="6437">
          <cell r="B6437">
            <v>106676</v>
          </cell>
          <cell r="C6437" t="str">
            <v>TUBO DE AÇO PRETO SEM COSTURA, CONEXÃO SOLDADA, DN 80 (3"), INSTALADO EM REDE DE ALIMENTAÇÃO PARA SPRINKLER - FORNECIMENTO E INSTALAÇÃO. AF_01/2026</v>
          </cell>
          <cell r="D6437" t="str">
            <v>M</v>
          </cell>
          <cell r="E6437">
            <v>264.72000000000003</v>
          </cell>
          <cell r="F6437">
            <v>0</v>
          </cell>
        </row>
        <row r="6438">
          <cell r="B6438">
            <v>97439</v>
          </cell>
          <cell r="C6438" t="str">
            <v>TÊ, EM AÇO, CONEXÃO RANHURADA, DN 50 (2"), INSTALADO EM PRUMADAS - FORNECIMENTO E INSTALAÇÃO. AF_01/2026</v>
          </cell>
          <cell r="D6438" t="str">
            <v>UN</v>
          </cell>
          <cell r="E6438">
            <v>157.13999999999999</v>
          </cell>
          <cell r="F6438">
            <v>0</v>
          </cell>
        </row>
        <row r="6439">
          <cell r="B6439">
            <v>97440</v>
          </cell>
          <cell r="C6439" t="str">
            <v>TÊ, EM AÇO, CONEXÃO RANHURADA, DN 65 (2 1/2"), INSTALADO EM PRUMADAS - FORNECIMENTO E INSTALAÇÃO. AF_01/2026</v>
          </cell>
          <cell r="D6439" t="str">
            <v>UN</v>
          </cell>
          <cell r="E6439">
            <v>180.45</v>
          </cell>
          <cell r="F6439">
            <v>0</v>
          </cell>
        </row>
        <row r="6440">
          <cell r="B6440">
            <v>97442</v>
          </cell>
          <cell r="C6440" t="str">
            <v>TÊ, EM AÇO, CONEXÃO RANHURADA, DN 80 (3"), INSTALADO EM PRUMADAS - FORNECIMENTO E INSTALAÇÃO. AF_01/2026</v>
          </cell>
          <cell r="D6440" t="str">
            <v>UN</v>
          </cell>
          <cell r="E6440">
            <v>194.43</v>
          </cell>
          <cell r="F6440">
            <v>0</v>
          </cell>
        </row>
        <row r="6441">
          <cell r="B6441">
            <v>97552</v>
          </cell>
          <cell r="C6441" t="str">
            <v>TÊ, EM AÇO, CONEXÃO SOLDADA, DN 15 (1/2"), INSTALADO EM RAMAIS E SUB-RAMAIS DE GÁS - FORNECIMENTO E INSTALAÇÃO. AF_01/2026</v>
          </cell>
          <cell r="D6441" t="str">
            <v>UN</v>
          </cell>
          <cell r="E6441">
            <v>57.85</v>
          </cell>
          <cell r="F6441">
            <v>0</v>
          </cell>
        </row>
        <row r="6442">
          <cell r="B6442">
            <v>97553</v>
          </cell>
          <cell r="C6442" t="str">
            <v>TÊ, EM AÇO, CONEXÃO SOLDADA, DN 20 (3/4"), INSTALADO EM RAMAIS E SUB-RAMAIS DE GÁS - FORNECIMENTO E INSTALAÇÃO. AF_01/2026</v>
          </cell>
          <cell r="D6442" t="str">
            <v>UN</v>
          </cell>
          <cell r="E6442">
            <v>85.01</v>
          </cell>
          <cell r="F6442">
            <v>0</v>
          </cell>
        </row>
        <row r="6443">
          <cell r="B6443">
            <v>97554</v>
          </cell>
          <cell r="C6443" t="str">
            <v>TÊ, EM AÇO, CONEXÃO SOLDADA, DN 25 (1"), INSTALADO EM RAMAIS E SUB-RAMAIS DE GÁS - FORNECIMENTO E INSTALAÇÃO. AF_01/2026</v>
          </cell>
          <cell r="D6443" t="str">
            <v>UN</v>
          </cell>
          <cell r="E6443">
            <v>149.19</v>
          </cell>
          <cell r="F6443">
            <v>0</v>
          </cell>
        </row>
        <row r="6444">
          <cell r="B6444">
            <v>97491</v>
          </cell>
          <cell r="C6444" t="str">
            <v>TÊ, EM AÇO, CONEXÃO SOLDADA, DN 25 (1"), INSTALADO EM REDE DE ALIMENTAÇÃO PARA HIDRANTE - FORNECIMENTO E INSTALAÇÃO. AF_01/2026</v>
          </cell>
          <cell r="D6444" t="str">
            <v>UN</v>
          </cell>
          <cell r="E6444">
            <v>98.47</v>
          </cell>
          <cell r="F6444">
            <v>0</v>
          </cell>
        </row>
        <row r="6445">
          <cell r="B6445">
            <v>97529</v>
          </cell>
          <cell r="C6445" t="str">
            <v>TÊ, EM AÇO, CONEXÃO SOLDADA, DN 25 (1"), INSTALADO EM REDE DE ALIMENTAÇÃO PARA SPRINKLER - FORNECIMENTO E INSTALAÇÃO. AF_01/2026</v>
          </cell>
          <cell r="D6445" t="str">
            <v>UN</v>
          </cell>
          <cell r="E6445">
            <v>92.23</v>
          </cell>
          <cell r="F6445">
            <v>0</v>
          </cell>
        </row>
        <row r="6446">
          <cell r="B6446">
            <v>97492</v>
          </cell>
          <cell r="C6446" t="str">
            <v>TÊ, EM AÇO, CONEXÃO SOLDADA, DN 32 (1 1/4"), INSTALADO EM REDE DE ALIMENTAÇÃO PARA HIDRANTE - FORNECIMENTO E INSTALAÇÃO. AF_01/2026</v>
          </cell>
          <cell r="D6446" t="str">
            <v>UN</v>
          </cell>
          <cell r="E6446">
            <v>142.63</v>
          </cell>
          <cell r="F6446">
            <v>0</v>
          </cell>
        </row>
        <row r="6447">
          <cell r="B6447">
            <v>97530</v>
          </cell>
          <cell r="C6447" t="str">
            <v>TÊ, EM AÇO, CONEXÃO SOLDADA, DN 32 (1 1/4"), INSTALADO EM REDE DE ALIMENTAÇÃO PARA SPRINKLER - FORNECIMENTO E INSTALAÇÃO. AF_01/2026</v>
          </cell>
          <cell r="D6447" t="str">
            <v>UN</v>
          </cell>
          <cell r="E6447">
            <v>131.61000000000001</v>
          </cell>
          <cell r="F6447">
            <v>0</v>
          </cell>
        </row>
        <row r="6448">
          <cell r="B6448">
            <v>97493</v>
          </cell>
          <cell r="C6448" t="str">
            <v>TÊ, EM AÇO, CONEXÃO SOLDADA, DN 40 (1 1/2"), INSTALADO EM REDE DE ALIMENTAÇÃO PARA HIDRANTE - FORNECIMENTO E INSTALAÇÃO. AF_01/2026</v>
          </cell>
          <cell r="D6448" t="str">
            <v>UN</v>
          </cell>
          <cell r="E6448">
            <v>183.16</v>
          </cell>
          <cell r="F6448">
            <v>0</v>
          </cell>
        </row>
        <row r="6449">
          <cell r="B6449">
            <v>97531</v>
          </cell>
          <cell r="C6449" t="str">
            <v>TÊ, EM AÇO, CONEXÃO SOLDADA, DN 40 (1 1/2"), INSTALADO EM REDE DE ALIMENTAÇÃO PARA SPRINKLER - FORNECIMENTO E INSTALAÇÃO. AF_01/2026</v>
          </cell>
          <cell r="D6449" t="str">
            <v>UN</v>
          </cell>
          <cell r="E6449">
            <v>166.7</v>
          </cell>
          <cell r="F6449">
            <v>0</v>
          </cell>
        </row>
        <row r="6450">
          <cell r="B6450">
            <v>97458</v>
          </cell>
          <cell r="C6450" t="str">
            <v>TÊ, EM AÇO, CONEXÃO SOLDADA, DN 50 (2"), INSTALADO EM PRUMADAS - FORNECIMENTO E INSTALAÇÃO. AF_01/2026</v>
          </cell>
          <cell r="D6450" t="str">
            <v>UN</v>
          </cell>
          <cell r="E6450">
            <v>330.78</v>
          </cell>
          <cell r="F6450">
            <v>0</v>
          </cell>
        </row>
        <row r="6451">
          <cell r="B6451">
            <v>97494</v>
          </cell>
          <cell r="C6451" t="str">
            <v>TÊ, EM AÇO, CONEXÃO SOLDADA, DN 50 (2"), INSTALADO EM REDE DE ALIMENTAÇÃO PARA HIDRANTE - FORNECIMENTO E INSTALAÇÃO. AF_01/2026</v>
          </cell>
          <cell r="D6451" t="str">
            <v>UN</v>
          </cell>
          <cell r="E6451">
            <v>280.75</v>
          </cell>
          <cell r="F6451">
            <v>0</v>
          </cell>
        </row>
        <row r="6452">
          <cell r="B6452">
            <v>97532</v>
          </cell>
          <cell r="C6452" t="str">
            <v>TÊ, EM AÇO, CONEXÃO SOLDADA, DN 50 (2"), INSTALADO EM REDE DE ALIMENTAÇÃO PARA SPRINKLER - FORNECIMENTO E INSTALAÇÃO. AF_01/2026</v>
          </cell>
          <cell r="D6452" t="str">
            <v>UN</v>
          </cell>
          <cell r="E6452">
            <v>257.48</v>
          </cell>
          <cell r="F6452">
            <v>0</v>
          </cell>
        </row>
        <row r="6453">
          <cell r="B6453">
            <v>97459</v>
          </cell>
          <cell r="C6453" t="str">
            <v>TÊ, EM AÇO, CONEXÃO SOLDADA, DN 65 (2 1/2"), INSTALADO EM PRUMADAS - FORNECIMENTO E INSTALAÇÃO. AF_01/2026</v>
          </cell>
          <cell r="D6453" t="str">
            <v>UN</v>
          </cell>
          <cell r="E6453">
            <v>542.91999999999996</v>
          </cell>
          <cell r="F6453">
            <v>0</v>
          </cell>
        </row>
        <row r="6454">
          <cell r="B6454">
            <v>97495</v>
          </cell>
          <cell r="C6454" t="str">
            <v>TÊ, EM AÇO, CONEXÃO SOLDADA, DN 65 (2 1/2"), INSTALADO EM REDE DE ALIMENTAÇÃO PARA HIDRANTE - FORNECIMENTO E INSTALAÇÃO. AF_01/2026</v>
          </cell>
          <cell r="D6454" t="str">
            <v>UN</v>
          </cell>
          <cell r="E6454">
            <v>507.55</v>
          </cell>
          <cell r="F6454">
            <v>0</v>
          </cell>
        </row>
        <row r="6455">
          <cell r="B6455">
            <v>97533</v>
          </cell>
          <cell r="C6455" t="str">
            <v>TÊ, EM AÇO, CONEXÃO SOLDADA, DN 65 (2 1/2"), INSTALADO EM REDE DE ALIMENTAÇÃO PARA SPRINKLER - FORNECIMENTO E INSTALAÇÃO. AF_01/2026</v>
          </cell>
          <cell r="D6455" t="str">
            <v>UN</v>
          </cell>
          <cell r="E6455">
            <v>474.08</v>
          </cell>
          <cell r="F6455">
            <v>0</v>
          </cell>
        </row>
        <row r="6456">
          <cell r="B6456">
            <v>97460</v>
          </cell>
          <cell r="C6456" t="str">
            <v>TÊ, EM AÇO, CONEXÃO SOLDADA, DN 80 (3"), INSTALADO EM PRUMADAS - FORNECIMENTO E INSTALAÇÃO. AF_01/2026</v>
          </cell>
          <cell r="D6456" t="str">
            <v>UN</v>
          </cell>
          <cell r="E6456">
            <v>817.45</v>
          </cell>
          <cell r="F6456">
            <v>0</v>
          </cell>
        </row>
        <row r="6457">
          <cell r="B6457">
            <v>97496</v>
          </cell>
          <cell r="C6457" t="str">
            <v>TÊ, EM AÇO, CONEXÃO SOLDADA, DN 80 (3"), INSTALADO EM REDE DE ALIMENTAÇÃO PARA HIDRANTE - FORNECIMENTO E INSTALAÇÃO. AF_01/2026</v>
          </cell>
          <cell r="D6457" t="str">
            <v>UN</v>
          </cell>
          <cell r="E6457">
            <v>796.76</v>
          </cell>
          <cell r="F6457">
            <v>0</v>
          </cell>
        </row>
        <row r="6458">
          <cell r="B6458">
            <v>97534</v>
          </cell>
          <cell r="C6458" t="str">
            <v>TÊ, EM AÇO, CONEXÃO SOLDADA, DN 80 (3"), INSTALADO EM REDE DE ALIMENTAÇÃO PARA SPRINKLER - FORNECIMENTO E INSTALAÇÃO. AF_01/2026</v>
          </cell>
          <cell r="D6458" t="str">
            <v>UN</v>
          </cell>
          <cell r="E6458">
            <v>753.07</v>
          </cell>
          <cell r="F6458">
            <v>0</v>
          </cell>
        </row>
        <row r="6459">
          <cell r="B6459">
            <v>101926</v>
          </cell>
          <cell r="C6459" t="str">
            <v>TÊ, EM FERRO GALVANIZADO, 4", CONEXÃO ROSQUEADA, INSTALADO EM PRUMADAS - FORNECIMENTO E INSTALAÇÃO. AF_01/2026</v>
          </cell>
          <cell r="D6459" t="str">
            <v>UN</v>
          </cell>
          <cell r="E6459">
            <v>446.47</v>
          </cell>
          <cell r="F6459">
            <v>0</v>
          </cell>
        </row>
        <row r="6460">
          <cell r="B6460">
            <v>101935</v>
          </cell>
          <cell r="C6460" t="str">
            <v>TÊ, EM FERRO GALVANIZADO, 4", CONEXÃO ROSQUEADA, INSTALADO EM REDE DE ALIMENTAÇÃO PARA HIDRANTE - FORNECIMENTO E INSTALAÇÃO. AF_01/2026</v>
          </cell>
          <cell r="D6460" t="str">
            <v>UN</v>
          </cell>
          <cell r="E6460">
            <v>467.43</v>
          </cell>
          <cell r="F6460">
            <v>0</v>
          </cell>
        </row>
        <row r="6461">
          <cell r="B6461">
            <v>92704</v>
          </cell>
          <cell r="C6461" t="str">
            <v>TÊ, EM FERRO GALVANIZADO, CONEXÃO ROSQUEADA, DN 15 (1/2"), INSTALADO EM RAMAIS E SUB-RAMAIS DE GÁS - FORNECIMENTO E INSTALAÇÃO. AF_01/2026</v>
          </cell>
          <cell r="D6461" t="str">
            <v>UN</v>
          </cell>
          <cell r="E6461">
            <v>34.090000000000003</v>
          </cell>
          <cell r="F6461">
            <v>0</v>
          </cell>
        </row>
        <row r="6462">
          <cell r="B6462">
            <v>92705</v>
          </cell>
          <cell r="C6462" t="str">
            <v>TÊ, EM FERRO GALVANIZADO, CONEXÃO ROSQUEADA, DN 20 (3/4"), INSTALADO EM RAMAIS E SUB-RAMAIS DE GÁS - FORNECIMENTO E INSTALAÇÃO. AF_01/2026</v>
          </cell>
          <cell r="D6462" t="str">
            <v>UN</v>
          </cell>
          <cell r="E6462">
            <v>55.5</v>
          </cell>
          <cell r="F6462">
            <v>0</v>
          </cell>
        </row>
        <row r="6463">
          <cell r="B6463">
            <v>92706</v>
          </cell>
          <cell r="C6463" t="str">
            <v>TÊ, EM FERRO GALVANIZADO, CONEXÃO ROSQUEADA, DN 25 (1"), INSTALADO EM RAMAIS E SUB-RAMAIS DE GÁS - FORNECIMENTO E INSTALAÇÃO. AF_01/2026</v>
          </cell>
          <cell r="D6463" t="str">
            <v>UN</v>
          </cell>
          <cell r="E6463">
            <v>89.95</v>
          </cell>
          <cell r="F6463">
            <v>0</v>
          </cell>
        </row>
        <row r="6464">
          <cell r="B6464">
            <v>92637</v>
          </cell>
          <cell r="C6464" t="str">
            <v>TÊ, EM FERRO GALVANIZADO, CONEXÃO ROSQUEADA, DN 25 (1"), INSTALADO EM REDE DE ALIMENTAÇÃO PARA HIDRANTE - FORNECIMENTO E INSTALAÇÃO. AF_01/2026</v>
          </cell>
          <cell r="D6464" t="str">
            <v>UN</v>
          </cell>
          <cell r="E6464">
            <v>130.58000000000001</v>
          </cell>
          <cell r="F6464">
            <v>0</v>
          </cell>
        </row>
        <row r="6465">
          <cell r="B6465">
            <v>92681</v>
          </cell>
          <cell r="C6465" t="str">
            <v>TÊ, EM FERRO GALVANIZADO, CONEXÃO ROSQUEADA, DN 25 (1"), INSTALADO EM REDE DE ALIMENTAÇÃO PARA SPRINKLER - FORNECIMENTO E INSTALAÇÃO. AF_01/2026</v>
          </cell>
          <cell r="D6465" t="str">
            <v>UN</v>
          </cell>
          <cell r="E6465">
            <v>64.430000000000007</v>
          </cell>
          <cell r="F6465">
            <v>0</v>
          </cell>
        </row>
        <row r="6466">
          <cell r="B6466">
            <v>92638</v>
          </cell>
          <cell r="C6466" t="str">
            <v>TÊ, EM FERRO GALVANIZADO, CONEXÃO ROSQUEADA, DN 32 (1 1/4"), INSTALADO EM REDE DE ALIMENTAÇÃO PARA HIDRANTE - FORNECIMENTO E INSTALAÇÃO. AF_01/2026</v>
          </cell>
          <cell r="D6466" t="str">
            <v>UN</v>
          </cell>
          <cell r="E6466">
            <v>173.37</v>
          </cell>
          <cell r="F6466">
            <v>0</v>
          </cell>
        </row>
        <row r="6467">
          <cell r="B6467">
            <v>92682</v>
          </cell>
          <cell r="C6467" t="str">
            <v>TÊ, EM FERRO GALVANIZADO, CONEXÃO ROSQUEADA, DN 32 (1 1/4"), INSTALADO EM REDE DE ALIMENTAÇÃO PARA SPRINKLER - FORNECIMENTO E INSTALAÇÃO. AF_01/2026</v>
          </cell>
          <cell r="D6467" t="str">
            <v>UN</v>
          </cell>
          <cell r="E6467">
            <v>80.66</v>
          </cell>
          <cell r="F6467">
            <v>0</v>
          </cell>
        </row>
        <row r="6468">
          <cell r="B6468">
            <v>92639</v>
          </cell>
          <cell r="C6468" t="str">
            <v>TÊ, EM FERRO GALVANIZADO, CONEXÃO ROSQUEADA, DN 40 (1 1/2"), INSTALADO EM REDE DE ALIMENTAÇÃO PARA HIDRANTE - FORNECIMENTO E INSTALAÇÃO. AF_01/2026</v>
          </cell>
          <cell r="D6468" t="str">
            <v>UN</v>
          </cell>
          <cell r="E6468">
            <v>212.5</v>
          </cell>
          <cell r="F6468">
            <v>0</v>
          </cell>
        </row>
        <row r="6469">
          <cell r="B6469">
            <v>92683</v>
          </cell>
          <cell r="C6469" t="str">
            <v>TÊ, EM FERRO GALVANIZADO, CONEXÃO ROSQUEADA, DN 40 (1 1/2"), INSTALADO EM REDE DE ALIMENTAÇÃO PARA SPRINKLER - FORNECIMENTO E INSTALAÇÃO. AF_01/2026</v>
          </cell>
          <cell r="D6469" t="str">
            <v>UN</v>
          </cell>
          <cell r="E6469">
            <v>94.69</v>
          </cell>
          <cell r="F6469">
            <v>0</v>
          </cell>
        </row>
        <row r="6470">
          <cell r="B6470">
            <v>92640</v>
          </cell>
          <cell r="C6470" t="str">
            <v>TÊ, EM FERRO GALVANIZADO, CONEXÃO ROSQUEADA, DN 50 (2"), INSTALADO EM REDE DE ALIMENTAÇÃO PARA HIDRANTE - FORNECIMENTO E INSTALAÇÃO- FORNECIMENTO E INSTALAÇÃO. AF_01/2026</v>
          </cell>
          <cell r="D6470" t="str">
            <v>UN</v>
          </cell>
          <cell r="E6470">
            <v>159.88999999999999</v>
          </cell>
          <cell r="F6470">
            <v>0</v>
          </cell>
        </row>
        <row r="6471">
          <cell r="B6471">
            <v>92684</v>
          </cell>
          <cell r="C6471" t="str">
            <v>TÊ, EM FERRO GALVANIZADO, CONEXÃO ROSQUEADA, DN 50 (2"), INSTALADO EM REDE DE ALIMENTAÇÃO PARA SPRINKLER - FORNECIMENTO E INSTALAÇÃO. AF_01/2026</v>
          </cell>
          <cell r="D6471" t="str">
            <v>UN</v>
          </cell>
          <cell r="E6471">
            <v>126.3</v>
          </cell>
          <cell r="F6471">
            <v>0</v>
          </cell>
        </row>
        <row r="6472">
          <cell r="B6472">
            <v>92642</v>
          </cell>
          <cell r="C6472" t="str">
            <v>TÊ, EM FERRO GALVANIZADO, CONEXÃO ROSQUEADA, DN 65 (2 1/2"), INSTALADO EM REDE DE ALIMENTAÇÃO PARA HIDRANTE - FORNECIMENTO E INSTALAÇÃO. AF_01/2026</v>
          </cell>
          <cell r="D6472" t="str">
            <v>UN</v>
          </cell>
          <cell r="E6472">
            <v>237.78</v>
          </cell>
          <cell r="F6472">
            <v>0</v>
          </cell>
        </row>
        <row r="6473">
          <cell r="B6473">
            <v>92685</v>
          </cell>
          <cell r="C6473" t="str">
            <v>TÊ, EM FERRO GALVANIZADO, CONEXÃO ROSQUEADA, DN 65 (2 1/2"), INSTALADO EM REDE DE ALIMENTAÇÃO PARA SPRINKLER - FORNECIMENTO E INSTALAÇÃO. AF_01/2026</v>
          </cell>
          <cell r="D6473" t="str">
            <v>UN</v>
          </cell>
          <cell r="E6473">
            <v>197.58</v>
          </cell>
          <cell r="F6473">
            <v>0</v>
          </cell>
        </row>
        <row r="6474">
          <cell r="B6474">
            <v>92644</v>
          </cell>
          <cell r="C6474" t="str">
            <v>TÊ, EM FERRO GALVANIZADO, CONEXÃO ROSQUEADA, DN 80 (3"), INSTALADO EM REDE DE ALIMENTAÇÃO PARA HIDRANTE - FORNECIMENTO E INSTALAÇÃO. AF_01/2026</v>
          </cell>
          <cell r="D6474" t="str">
            <v>UN</v>
          </cell>
          <cell r="E6474">
            <v>298.04000000000002</v>
          </cell>
          <cell r="F6474">
            <v>0</v>
          </cell>
        </row>
        <row r="6475">
          <cell r="B6475">
            <v>92686</v>
          </cell>
          <cell r="C6475" t="str">
            <v>TÊ, EM FERRO GALVANIZADO, CONEXÃO ROSQUEADA, DN 80 (3"), INSTALADO EM REDE DE ALIMENTAÇÃO PARA SPRINKLER - FORNECIMENTO E INSTALAÇÃO. AF_01/2026</v>
          </cell>
          <cell r="D6475" t="str">
            <v>UN</v>
          </cell>
          <cell r="E6475">
            <v>251.22</v>
          </cell>
          <cell r="F6475">
            <v>0</v>
          </cell>
        </row>
        <row r="6476">
          <cell r="B6476">
            <v>92356</v>
          </cell>
          <cell r="C6476" t="str">
            <v>TÊ, EM FERRO GALVANIZADO, DN 50 (2"), CONEXÃO ROSQUEADA, INSTALADO EM PRUMADAS - FORNECIMENTO E INSTALAÇÃO. AF_01/2026</v>
          </cell>
          <cell r="D6476" t="str">
            <v>UN</v>
          </cell>
          <cell r="E6476">
            <v>169.12</v>
          </cell>
          <cell r="F6476">
            <v>0</v>
          </cell>
        </row>
        <row r="6477">
          <cell r="B6477">
            <v>92357</v>
          </cell>
          <cell r="C6477" t="str">
            <v>TÊ, EM FERRO GALVANIZADO, DN 65 (2 1/2"), CONEXÃO ROSQUEADA, INSTALADO EM PRUMADAS - FORNECIMENTO E INSTALAÇÃO. AF_01/2026</v>
          </cell>
          <cell r="D6477" t="str">
            <v>UN</v>
          </cell>
          <cell r="E6477">
            <v>237.95</v>
          </cell>
          <cell r="F6477">
            <v>0</v>
          </cell>
        </row>
        <row r="6478">
          <cell r="B6478">
            <v>92358</v>
          </cell>
          <cell r="C6478" t="str">
            <v>TÊ, EM FERRO GALVANIZADO, DN 80 (3"), CONEXÃO ROSQUEADA, INSTALADO EM PRUMADAS - FORNECIMENTO E INSTALAÇÃO. AF_01/2026</v>
          </cell>
          <cell r="D6478" t="str">
            <v>UN</v>
          </cell>
          <cell r="E6478">
            <v>289.16000000000003</v>
          </cell>
          <cell r="F6478">
            <v>0</v>
          </cell>
        </row>
        <row r="6479">
          <cell r="B6479">
            <v>101919</v>
          </cell>
          <cell r="C6479" t="str">
            <v>UNIÃO, EM FERRO GALVANIZADO, 4", CONEXÃO ROSQUEADA, INSTALADO EM PRUMADAS - FORNECIMENTO E INSTALAÇÃO. AF_01/2026</v>
          </cell>
          <cell r="D6479" t="str">
            <v>UN</v>
          </cell>
          <cell r="E6479">
            <v>443.41</v>
          </cell>
          <cell r="F6479">
            <v>0</v>
          </cell>
        </row>
        <row r="6480">
          <cell r="B6480">
            <v>101928</v>
          </cell>
          <cell r="C6480" t="str">
            <v>UNIÃO, EM FERRO GALVANIZADO, 4", CONEXÃO ROSQUEADA, INSTALADO EM REDE DE ALIMENTAÇÃO PARA HIDRANTE - FORNECIMENTO E INSTALAÇÃO. AF_01/2026</v>
          </cell>
          <cell r="D6480" t="str">
            <v>UN</v>
          </cell>
          <cell r="E6480">
            <v>453.89</v>
          </cell>
          <cell r="F6480">
            <v>0</v>
          </cell>
        </row>
        <row r="6481">
          <cell r="B6481">
            <v>92904</v>
          </cell>
          <cell r="C6481" t="str">
            <v>UNIÃO, EM FERRO GALVANIZADO, CONEXÃO ROSQUEADA, DN 15 (1/2"), INSTALADO EM RAMAIS E SUB-RAMAIS DE GÁS - FORNECIMENTO E INSTALAÇÃO. AF_01/2026</v>
          </cell>
          <cell r="D6481" t="str">
            <v>UN</v>
          </cell>
          <cell r="E6481">
            <v>37.479999999999997</v>
          </cell>
          <cell r="F6481">
            <v>0</v>
          </cell>
        </row>
        <row r="6482">
          <cell r="B6482">
            <v>92905</v>
          </cell>
          <cell r="C6482" t="str">
            <v>UNIÃO, EM FERRO GALVANIZADO, CONEXÃO ROSQUEADA, DN 20 (3/4"), INSTALADO EM RAMAIS E SUB-RAMAIS DE GÁS - FORNECIMENTO E INSTALAÇÃO. AF_01/2026</v>
          </cell>
          <cell r="D6482" t="str">
            <v>UN</v>
          </cell>
          <cell r="E6482">
            <v>54.33</v>
          </cell>
          <cell r="F6482">
            <v>0</v>
          </cell>
        </row>
        <row r="6483">
          <cell r="B6483">
            <v>92906</v>
          </cell>
          <cell r="C6483" t="str">
            <v>UNIÃO, EM FERRO GALVANIZADO, CONEXÃO ROSQUEADA, DN 25 (1"), INSTALADO EM RAMAIS E SUB-RAMAIS DE GÁS - FORNECIMENTO E INSTALAÇÃO. AF_01/2026</v>
          </cell>
          <cell r="D6483" t="str">
            <v>UN</v>
          </cell>
          <cell r="E6483">
            <v>68.45</v>
          </cell>
          <cell r="F6483">
            <v>0</v>
          </cell>
        </row>
        <row r="6484">
          <cell r="B6484">
            <v>92898</v>
          </cell>
          <cell r="C6484" t="str">
            <v>UNIÃO, EM FERRO GALVANIZADO, CONEXÃO ROSQUEADA, DN 25 (1"), INSTALADO EM REDE DE ALIMENTAÇÃO PARA SPRINKLER - FORNECIMENTO E INSTALAÇÃO. AF_01/2026</v>
          </cell>
          <cell r="D6484" t="str">
            <v>UN</v>
          </cell>
          <cell r="E6484">
            <v>55.69</v>
          </cell>
          <cell r="F6484">
            <v>0</v>
          </cell>
        </row>
        <row r="6485">
          <cell r="B6485">
            <v>92899</v>
          </cell>
          <cell r="C6485" t="str">
            <v>UNIÃO, EM FERRO GALVANIZADO, CONEXÃO ROSQUEADA, DN 32 (1 1/4"), INSTALADO EM REDE DE ALIMENTAÇÃO PARA SPRINKLER - FORNECIMENTO E INSTALAÇÃO. AF_01/2026</v>
          </cell>
          <cell r="D6485" t="str">
            <v>UN</v>
          </cell>
          <cell r="E6485">
            <v>81.19</v>
          </cell>
          <cell r="F6485">
            <v>0</v>
          </cell>
        </row>
        <row r="6486">
          <cell r="B6486">
            <v>92900</v>
          </cell>
          <cell r="C6486" t="str">
            <v>UNIÃO, EM FERRO GALVANIZADO, CONEXÃO ROSQUEADA, DN 40 (1 1/2"), INSTALADO EM REDE DE ALIMENTAÇÃO PARA SPRINKLER - FORNECIMENTO E INSTALAÇÃO. AF_01/2026</v>
          </cell>
          <cell r="D6486" t="str">
            <v>UN</v>
          </cell>
          <cell r="E6486">
            <v>97.81</v>
          </cell>
          <cell r="F6486">
            <v>0</v>
          </cell>
        </row>
        <row r="6487">
          <cell r="B6487">
            <v>92901</v>
          </cell>
          <cell r="C6487" t="str">
            <v>UNIÃO, EM FERRO GALVANIZADO, CONEXÃO ROSQUEADA, DN 50 (2"), INSTALADO EM REDE DE ALIMENTAÇÃO PARA SPRINKLER - FORNECIMENTO E INSTALAÇÃO. AF_01/2026</v>
          </cell>
          <cell r="D6487" t="str">
            <v>UN</v>
          </cell>
          <cell r="E6487">
            <v>134.88</v>
          </cell>
          <cell r="F6487">
            <v>0</v>
          </cell>
        </row>
        <row r="6488">
          <cell r="B6488">
            <v>92902</v>
          </cell>
          <cell r="C6488" t="str">
            <v>UNIÃO, EM FERRO GALVANIZADO, CONEXÃO ROSQUEADA, DN 65 (2 1/2"), INSTALADO EM REDE DE ALIMENTAÇÃO PARA SPRINKLER - FORNECIMENTO E INSTALAÇÃO. AF_01/2026</v>
          </cell>
          <cell r="D6488" t="str">
            <v>UN</v>
          </cell>
          <cell r="E6488">
            <v>208.95</v>
          </cell>
          <cell r="F6488">
            <v>0</v>
          </cell>
        </row>
        <row r="6489">
          <cell r="B6489">
            <v>92903</v>
          </cell>
          <cell r="C6489" t="str">
            <v>UNIÃO, EM FERRO GALVANIZADO, CONEXÃO ROSQUEADA, DN 80 (3"), INSTALADO EM REDE DE ALIMENTAÇÃO PARA SPRINKLER - FORNECIMENTO E INSTALAÇÃO. AF_01/2026</v>
          </cell>
          <cell r="D6489" t="str">
            <v>UN</v>
          </cell>
          <cell r="E6489">
            <v>310.01</v>
          </cell>
          <cell r="F6489">
            <v>0</v>
          </cell>
        </row>
        <row r="6490">
          <cell r="B6490">
            <v>92892</v>
          </cell>
          <cell r="C6490" t="str">
            <v>UNIÃO, EM FERRO GALVANIZADO, DN 25 (1"), CONEXÃO ROSQUEADA, INSTALADO EM REDE DE ALIMENTAÇÃO PARA HIDRANTE - FORNECIMENTO E INSTALAÇÃO. AF_01/2026</v>
          </cell>
          <cell r="D6490" t="str">
            <v>UN</v>
          </cell>
          <cell r="E6490">
            <v>66.98</v>
          </cell>
          <cell r="F6490">
            <v>0</v>
          </cell>
        </row>
        <row r="6491">
          <cell r="B6491">
            <v>92893</v>
          </cell>
          <cell r="C6491" t="str">
            <v>UNIÃO, EM FERRO GALVANIZADO, DN 32 (1 1/4"), CONEXÃO ROSQUEADA, INSTALADO EM REDE DE ALIMENTAÇÃO PARA HIDRANTE - FORNECIMENTO E INSTALAÇÃO. AF_01/2026</v>
          </cell>
          <cell r="D6491" t="str">
            <v>UN</v>
          </cell>
          <cell r="E6491">
            <v>94.02</v>
          </cell>
          <cell r="F6491">
            <v>0</v>
          </cell>
        </row>
        <row r="6492">
          <cell r="B6492">
            <v>92894</v>
          </cell>
          <cell r="C6492" t="str">
            <v>UNIÃO, EM FERRO GALVANIZADO, DN 40 (1 1/2"), CONEXÃO ROSQUEADA, INSTALADO EM REDE DE ALIMENTAÇÃO PARA HIDRANTE - FORNECIMENTO E INSTALAÇÃO. AF_01/2026</v>
          </cell>
          <cell r="D6492" t="str">
            <v>UN</v>
          </cell>
          <cell r="E6492">
            <v>112.4</v>
          </cell>
          <cell r="F6492">
            <v>0</v>
          </cell>
        </row>
        <row r="6493">
          <cell r="B6493">
            <v>92889</v>
          </cell>
          <cell r="C6493" t="str">
            <v>UNIÃO, EM FERRO GALVANIZADO, DN 50 (2"), CONEXÃO ROSQUEADA, INSTALADO EM PRUMADAS - FORNECIMENTO E INSTALAÇÃO. AF_01/2026</v>
          </cell>
          <cell r="D6493" t="str">
            <v>UN</v>
          </cell>
          <cell r="E6493">
            <v>156.28</v>
          </cell>
          <cell r="F6493">
            <v>0</v>
          </cell>
        </row>
        <row r="6494">
          <cell r="B6494">
            <v>92895</v>
          </cell>
          <cell r="C6494" t="str">
            <v>UNIÃO, EM FERRO GALVANIZADO, DN 50 (2"), CONEXÃO ROSQUEADA, INSTALADO EM REDE DE ALIMENTAÇÃO PARA HIDRANTE - FORNECIMENTO E INSTALAÇÃO. AF_01/2026</v>
          </cell>
          <cell r="D6494" t="str">
            <v>UN</v>
          </cell>
          <cell r="E6494">
            <v>151.66999999999999</v>
          </cell>
          <cell r="F6494">
            <v>0</v>
          </cell>
        </row>
        <row r="6495">
          <cell r="B6495">
            <v>92890</v>
          </cell>
          <cell r="C6495" t="str">
            <v>UNIÃO, EM FERRO GALVANIZADO, DN 65 (2 1/2"), CONEXÃO ROSQUEADA, INSTALADO EM PRUMADAS - FORNECIMENTO E INSTALAÇÃO. AF_01/2026</v>
          </cell>
          <cell r="D6495" t="str">
            <v>UN</v>
          </cell>
          <cell r="E6495">
            <v>229.14</v>
          </cell>
          <cell r="F6495">
            <v>0</v>
          </cell>
        </row>
        <row r="6496">
          <cell r="B6496">
            <v>92896</v>
          </cell>
          <cell r="C6496" t="str">
            <v>UNIÃO, EM FERRO GALVANIZADO, DN 65 (2 1/2"), CONEXÃO ROSQUEADA, INSTALADO EM REDE DE ALIMENTAÇÃO PARA HIDRANTE - FORNECIMENTO E INSTALAÇÃO. AF_01/2026</v>
          </cell>
          <cell r="D6496" t="str">
            <v>UN</v>
          </cell>
          <cell r="E6496">
            <v>229.06</v>
          </cell>
          <cell r="F6496">
            <v>0</v>
          </cell>
        </row>
        <row r="6497">
          <cell r="B6497">
            <v>92891</v>
          </cell>
          <cell r="C6497" t="str">
            <v>UNIÃO, EM FERRO GALVANIZADO, DN 80 (3"), CONEXÃO ROSQUEADA, INSTALADO EM PRUMADAS - FORNECIMENTO E INSTALAÇÃO. AF_01/2026</v>
          </cell>
          <cell r="D6497" t="str">
            <v>UN</v>
          </cell>
          <cell r="E6497">
            <v>328.98</v>
          </cell>
          <cell r="F6497">
            <v>0</v>
          </cell>
        </row>
        <row r="6498">
          <cell r="B6498">
            <v>92897</v>
          </cell>
          <cell r="C6498" t="str">
            <v>UNIÃO, EM FERRO GALVANIZADO, DN 80 (3"), CONEXÃO ROSQUEADA, INSTALADO EM REDE DE ALIMENTAÇÃO PARA HIDRANTE - FORNECIMENTO E INSTALAÇÃO. AF_01/2026</v>
          </cell>
          <cell r="D6498" t="str">
            <v>UN</v>
          </cell>
          <cell r="E6498">
            <v>333.42</v>
          </cell>
          <cell r="F6498">
            <v>0</v>
          </cell>
        </row>
        <row r="6499">
          <cell r="B6499">
            <v>100822</v>
          </cell>
          <cell r="C6499" t="str">
            <v>CONEXÃO FIXA, ROSCA FÊMEA, METÁLICA, PARA INSTALAÇÕES EM PEX MULTICAMADA, DN 16MM X 1/2", CONEXÃO POR CRIMPAGEM - FORNECIMENTO E INSTALAÇÃO. AF_01/2020</v>
          </cell>
          <cell r="D6499" t="str">
            <v>UN</v>
          </cell>
          <cell r="E6499">
            <v>0</v>
          </cell>
        </row>
        <row r="6500">
          <cell r="B6500">
            <v>100823</v>
          </cell>
          <cell r="C6500" t="str">
            <v>CONEXÃO FIXA, ROSCA FÊMEA, METÁLICA, PARA INSTALAÇÕES EM PEX MULTICAMADA, DN 20MM X 3/4", CONEXÃO POR CRIMPAGEM - FORNECIMENTO E INSTALAÇÃO. AF_01/2020</v>
          </cell>
          <cell r="D6500" t="str">
            <v>UN</v>
          </cell>
          <cell r="E6500">
            <v>0</v>
          </cell>
        </row>
        <row r="6501">
          <cell r="B6501">
            <v>100824</v>
          </cell>
          <cell r="C6501" t="str">
            <v>CONEXÃO FIXA, ROSCA FÊMEA, METÁLICA, PARA INSTALAÇÕES EM PEX MULTICAMADA, DN 26MM X 1", CONEXÃO POR CRIMPAGEM - FORNECIMENTO E INSTALAÇÃO. AF_01/2020</v>
          </cell>
          <cell r="D6501" t="str">
            <v>UN</v>
          </cell>
          <cell r="E6501">
            <v>0</v>
          </cell>
        </row>
        <row r="6502">
          <cell r="B6502">
            <v>100825</v>
          </cell>
          <cell r="C6502" t="str">
            <v>CONEXÃO FIXA, ROSCA FÊMEA, METÁLICA, PARA INSTALAÇÕES EM PEX MULTICAMADA, DN 32MM X 1 1/4", CONEXÃO POR CRIMPAGEM - FORNECIMENTO E INSTALAÇÃO. AF_01/2020</v>
          </cell>
          <cell r="D6502" t="str">
            <v>UN</v>
          </cell>
          <cell r="E6502">
            <v>0</v>
          </cell>
        </row>
        <row r="6503">
          <cell r="B6503">
            <v>100818</v>
          </cell>
          <cell r="C6503" t="str">
            <v>CONEXÃO FIXA, ROSCA MACHO, METÁLICA, PARA INSTALAÇÕES EM PEX MULTICAMADA, DN 16MM X 1/2", CONEXÃO POR CRIMPAGEM - FORNECIMENTO E INSTALAÇÃO. AF_01/2020</v>
          </cell>
          <cell r="D6503" t="str">
            <v>UN</v>
          </cell>
          <cell r="E6503">
            <v>0</v>
          </cell>
        </row>
        <row r="6504">
          <cell r="B6504">
            <v>100819</v>
          </cell>
          <cell r="C6504" t="str">
            <v>CONEXÃO FIXA, ROSCA MACHO, METÁLICA, PARA INSTALAÇÕES EM PEX MULTICAMADA, DN 20MM X 3/4", CONEXÃO POR CRIMPAGEM - FORNECIMENTO E INSTALAÇÃO. AF_01/2020</v>
          </cell>
          <cell r="D6504" t="str">
            <v>UN</v>
          </cell>
          <cell r="E6504">
            <v>0</v>
          </cell>
        </row>
        <row r="6505">
          <cell r="B6505">
            <v>100820</v>
          </cell>
          <cell r="C6505" t="str">
            <v>CONEXÃO FIXA, ROSCA MACHO, METÁLICA, PARA INSTALAÇÕES EM PEX MULTICAMADA, DN 26MM X 1", CONEXÃO POR CRIMPAGEM - FORNECIMENTO E INSTALAÇÃO. AF_01/2020</v>
          </cell>
          <cell r="D6505" t="str">
            <v>UN</v>
          </cell>
          <cell r="E6505">
            <v>0</v>
          </cell>
        </row>
        <row r="6506">
          <cell r="B6506">
            <v>100821</v>
          </cell>
          <cell r="C6506" t="str">
            <v>CONEXÃO FIXA, ROSCA MACHO, METÁLICA, PARA INSTALAÇÕES EM PEX MULTICAMADA, DN 32MM X 1 1/4", CONEXÃO POR CRIMPAGEM - FORNECIMENTO E INSTALAÇÃO. AF_01/2020</v>
          </cell>
          <cell r="D6506" t="str">
            <v>UN</v>
          </cell>
          <cell r="E6506">
            <v>0</v>
          </cell>
        </row>
        <row r="6507">
          <cell r="B6507">
            <v>100846</v>
          </cell>
          <cell r="C6507" t="str">
            <v>FIXAÇÃO DE TUBOS VERTICAIS DE MULTICAMADA, DIÂMETROS MENORES OU IGUAIS A 32 MM, COM ABRAÇADEIRA TIPO SUPORTE MÚLTIPLO, FIXADA EM PAREDE EXTERNA - FORNECIMENTO E INSTALAÇÃO. AF_01/2020</v>
          </cell>
          <cell r="D6507" t="str">
            <v>UN</v>
          </cell>
          <cell r="E6507">
            <v>0</v>
          </cell>
        </row>
        <row r="6508">
          <cell r="B6508">
            <v>100834</v>
          </cell>
          <cell r="C6508" t="str">
            <v>JOELHO 90 GRAUS, PARA INSTALAÇÕES EM PEX MULTICAMADA, DN 16 MM, CONEXÃO POR CRIMPAGEM - FORNECIMENTO E INSTALAÇÃO. AF_01/2020</v>
          </cell>
          <cell r="D6508" t="str">
            <v>UN</v>
          </cell>
          <cell r="E6508">
            <v>0</v>
          </cell>
        </row>
        <row r="6509">
          <cell r="B6509">
            <v>100835</v>
          </cell>
          <cell r="C6509" t="str">
            <v>JOELHO 90 GRAUS, PARA INSTALAÇÕES EM PEX MULTICAMADA, DN 20 MM, CONEXÃO POR CRIMPAGEM - FORNECIMENTO E INSTALAÇÃO. AF_01/2020</v>
          </cell>
          <cell r="D6509" t="str">
            <v>UN</v>
          </cell>
          <cell r="E6509">
            <v>0</v>
          </cell>
        </row>
        <row r="6510">
          <cell r="B6510">
            <v>100836</v>
          </cell>
          <cell r="C6510" t="str">
            <v>JOELHO 90 GRAUS, PARA INSTALAÇÕES EM PEX MULTICAMADA, DN 26 MM, CONEXÃO POR CRIMPAGEM - FORNECIMENTO E INSTALAÇÃO. AF_01/2020</v>
          </cell>
          <cell r="D6510" t="str">
            <v>UN</v>
          </cell>
          <cell r="E6510">
            <v>0</v>
          </cell>
        </row>
        <row r="6511">
          <cell r="B6511">
            <v>100837</v>
          </cell>
          <cell r="C6511" t="str">
            <v>JOELHO 90 GRAUS, PARA INSTALAÇÕES EM PEX MULTICAMADA, DN 32 MM, CONEXÃO POR CRIMPAGEM - FORNECIMENTO E INSTALAÇÃO. AF_01/2020</v>
          </cell>
          <cell r="D6511" t="str">
            <v>UN</v>
          </cell>
          <cell r="E6511">
            <v>0</v>
          </cell>
        </row>
        <row r="6512">
          <cell r="B6512">
            <v>100826</v>
          </cell>
          <cell r="C6512" t="str">
            <v>JOELHO 90 GRAUS, ROSCA FÊMEA, PARA INSTALAÇÕES EM PEX MULTICAMADA, DN 16 MM X 1/2'', CONEXÃO POR CRIMPAGEM - FORNECIMENTO E INSTALAÇÃO. AF_01/2020</v>
          </cell>
          <cell r="D6512" t="str">
            <v>UN</v>
          </cell>
          <cell r="E6512">
            <v>0</v>
          </cell>
        </row>
        <row r="6513">
          <cell r="B6513">
            <v>100827</v>
          </cell>
          <cell r="C6513" t="str">
            <v>JOELHO 90 GRAUS, ROSCA FÊMEA, PARA INSTALAÇÕES EM PEX MULTICAMADA, DN 20 MM X 3/4", CONEXÃO POR CRIMPAGEM - FORNECIMENTO E INSTALAÇÃO. AF_01/2020</v>
          </cell>
          <cell r="D6513" t="str">
            <v>UN</v>
          </cell>
          <cell r="E6513">
            <v>0</v>
          </cell>
        </row>
        <row r="6514">
          <cell r="B6514">
            <v>100828</v>
          </cell>
          <cell r="C6514" t="str">
            <v>JOELHO 90 GRAUS, ROSCA FÊMEA, PARA INSTALAÇÕES EM PEX MULTICAMADA, DN 25 MM X 1'', CONEXÃO POR CRIMPAGEM - FORNECIMENTO E INSTALAÇÃO. AF_01/2020</v>
          </cell>
          <cell r="D6514" t="str">
            <v>UN</v>
          </cell>
          <cell r="E6514">
            <v>0</v>
          </cell>
        </row>
        <row r="6515">
          <cell r="B6515">
            <v>100829</v>
          </cell>
          <cell r="C6515" t="str">
            <v>JOELHO 90 GRAUS, ROSCA FÊMEA, PARA INSTALAÇÕES EM PEX MULTICAMADA, DN 32 MM X 1 1/4'', CONEXÃO POR CRIMPAGEM - FORNECIMENTO E INSTALAÇÃO. AF_01/2020</v>
          </cell>
          <cell r="D6515" t="str">
            <v>UN</v>
          </cell>
          <cell r="E6515">
            <v>0</v>
          </cell>
        </row>
        <row r="6516">
          <cell r="B6516">
            <v>100830</v>
          </cell>
          <cell r="C6516" t="str">
            <v>JOELHO 90 GRAUS, ROSCA MACHO, PARA INSTALAÇÕES EM PEX MULTICAMADA, DN 16 MM X 1/2'', CONEXÃO POR CRIMPAGEM - FORNECIMENTO E INSTALAÇÃO. AF_01/2020</v>
          </cell>
          <cell r="D6516" t="str">
            <v>UN</v>
          </cell>
          <cell r="E6516">
            <v>0</v>
          </cell>
        </row>
        <row r="6517">
          <cell r="B6517">
            <v>100831</v>
          </cell>
          <cell r="C6517" t="str">
            <v>JOELHO 90 GRAUS, ROSCA MACHO, PARA INSTALAÇÕES EM PEX MULTICAMADA, DN 20 MM X 3/4", CONEXÃO POR CRIMPAGEM - FORNECIMENTO E INSTALAÇÃO. AF_01/2020</v>
          </cell>
          <cell r="D6517" t="str">
            <v>UN</v>
          </cell>
          <cell r="E6517">
            <v>0</v>
          </cell>
        </row>
        <row r="6518">
          <cell r="B6518">
            <v>100832</v>
          </cell>
          <cell r="C6518" t="str">
            <v>JOELHO 90 GRAUS, ROSCA MACHO, PARA INSTALAÇÕES EM PEX MULTICAMADA, DN 25 MM X 1'', CONEXÃO POR CRIMPAGEM - FORNECIMENTO E INSTALAÇÃO. AF_01/2020</v>
          </cell>
          <cell r="D6518" t="str">
            <v>UN</v>
          </cell>
          <cell r="E6518">
            <v>0</v>
          </cell>
        </row>
        <row r="6519">
          <cell r="B6519">
            <v>100833</v>
          </cell>
          <cell r="C6519" t="str">
            <v>JOELHO 90 GRAUS, ROSCA MACHO, PARA INSTALAÇÕES EM PEX MULTICAMADA, DN 32 MM X 1 1/4'', CONEXÃO POR CRIMPAGEM - FORNECIMENTO E INSTALAÇÃO. AF_01/2020</v>
          </cell>
          <cell r="D6519" t="str">
            <v>UN</v>
          </cell>
          <cell r="E6519">
            <v>0</v>
          </cell>
        </row>
        <row r="6520">
          <cell r="B6520">
            <v>100790</v>
          </cell>
          <cell r="C6520" t="str">
            <v>KIT CAVALETE PARA GÁS - COM MEDIDOR E REGULADOR - ENTRADA INDIVIDUAL PRINCIPAL, EM AÇO GALVANIZADO DN 15 E 25 MM (1/2" E 1") - FORNECIMENTO E INSTALAÇÃO. AF_01/2020</v>
          </cell>
          <cell r="D6520" t="str">
            <v>UN</v>
          </cell>
          <cell r="E6520">
            <v>0</v>
          </cell>
        </row>
        <row r="6521">
          <cell r="B6521">
            <v>100789</v>
          </cell>
          <cell r="C6521" t="str">
            <v>KIT CAVALETE PARA GÁS - SEM MEDIDOR COM REGULADOR - ENTRADA INDIVIDUAL PRINCIPAL, EM AÇO GALVANIZADO DN 15 E 25 MM (1/2" E 1") - FORNECIMENTO E INSTALAÇÃO. AF_01/2020</v>
          </cell>
          <cell r="D6521" t="str">
            <v>UN</v>
          </cell>
          <cell r="E6521">
            <v>0</v>
          </cell>
        </row>
        <row r="6522">
          <cell r="B6522">
            <v>100788</v>
          </cell>
          <cell r="C6522" t="str">
            <v>KIT CAVALETE PARA GÁS - SEM MEDIDOR OU REGULADOR - ENTRADA INDIVIDUAL PRINCIPAL, EM AÇO GALVANIZADO DN 15 E 25 MM (1/2" E 1") - FORNECIMENTO E INSTALAÇÃO. AF_01/2020</v>
          </cell>
          <cell r="D6522" t="str">
            <v>UN</v>
          </cell>
          <cell r="E6522">
            <v>739.15</v>
          </cell>
          <cell r="F6522">
            <v>0</v>
          </cell>
        </row>
        <row r="6523">
          <cell r="B6523">
            <v>100811</v>
          </cell>
          <cell r="C6523" t="str">
            <v>LUVA DE REDUÇÃO PARA INSTALAÇÕES EM PEX MULTICAMADA, DN 20 X 16 MM, CONEXÃO POR CRIMPAGEM - FORNECIMENTO E INSTALAÇÃO. AF_01/2020</v>
          </cell>
          <cell r="D6523" t="str">
            <v>UN</v>
          </cell>
          <cell r="E6523">
            <v>0</v>
          </cell>
        </row>
        <row r="6524">
          <cell r="B6524">
            <v>100812</v>
          </cell>
          <cell r="C6524" t="str">
            <v>LUVA DE REDUÇÃO PARA INSTALAÇÕES EM PEX MULTICAMADA, DN 26 X 20 MM, CONEXÃO POR CRIMPAGEM - FORNECIMENTO E INSTALAÇÃO. AF_01/2020</v>
          </cell>
          <cell r="D6524" t="str">
            <v>UN</v>
          </cell>
          <cell r="E6524">
            <v>0</v>
          </cell>
        </row>
        <row r="6525">
          <cell r="B6525">
            <v>100813</v>
          </cell>
          <cell r="C6525" t="str">
            <v>LUVA DE REDUÇÃO PARA INSTALAÇÕES EM PEX MULTICAMADA, DN 32 X 26 MM, CONEXÃO POR CRIMPAGEM - FORNECIMENTO E INSTALAÇÃO. AF_01/2020</v>
          </cell>
          <cell r="D6525" t="str">
            <v>UN</v>
          </cell>
          <cell r="E6525">
            <v>0</v>
          </cell>
        </row>
        <row r="6526">
          <cell r="B6526">
            <v>100814</v>
          </cell>
          <cell r="C6526" t="str">
            <v>LUVA PARA INSTALAÇÕES EM PEX MULTICAMADA, DN 16 MM, CONEXÃO POR CRIMPAGEM - FORNECIMENTO E INSTALAÇÃO. AF_01/2020</v>
          </cell>
          <cell r="D6526" t="str">
            <v>UN</v>
          </cell>
          <cell r="E6526">
            <v>0</v>
          </cell>
        </row>
        <row r="6527">
          <cell r="B6527">
            <v>100815</v>
          </cell>
          <cell r="C6527" t="str">
            <v>LUVA PARA INSTALAÇÕES EM PEX MULTICAMADA, DN 20 MM, CONEXÃO POR CRIMPAGEM - FORNECIMENTO E INSTALAÇÃO. AF_01/2020</v>
          </cell>
          <cell r="D6527" t="str">
            <v>UN</v>
          </cell>
          <cell r="E6527">
            <v>0</v>
          </cell>
        </row>
        <row r="6528">
          <cell r="B6528">
            <v>100816</v>
          </cell>
          <cell r="C6528" t="str">
            <v>LUVA PARA INSTALAÇÕES EM PEX MULTICAMADA, DN 26 MM, CONEXÃO POR CRIMPAGEM - FORNECIMENTO E INSTALAÇÃO. AF_01/2020</v>
          </cell>
          <cell r="D6528" t="str">
            <v>UN</v>
          </cell>
          <cell r="E6528">
            <v>0</v>
          </cell>
        </row>
        <row r="6529">
          <cell r="B6529">
            <v>100817</v>
          </cell>
          <cell r="C6529" t="str">
            <v>LUVA PARA INSTALAÇÕES EM PEX MULTICAMADA, DN 32 MM, CONEXÃO POR CRIMPAGEM - FORNECIMENTO E INSTALAÇÃO. AF_01/2020</v>
          </cell>
          <cell r="D6529" t="str">
            <v>UN</v>
          </cell>
          <cell r="E6529">
            <v>0</v>
          </cell>
        </row>
        <row r="6530">
          <cell r="B6530">
            <v>100795</v>
          </cell>
          <cell r="C6530" t="str">
            <v>TUBO, PEX, MULTICAMADA, COM PROTEÇÃO UV, DN 16, INSTALADO EM IMPLANTAÇÃO DE INSTALAÇÕES DE GÁS - FORNECIMENTO E INSTALAÇÃO. AF_01/2020</v>
          </cell>
          <cell r="D6530" t="str">
            <v>M</v>
          </cell>
          <cell r="E6530">
            <v>0</v>
          </cell>
        </row>
        <row r="6531">
          <cell r="B6531">
            <v>100842</v>
          </cell>
          <cell r="C6531" t="str">
            <v>TUBO, PEX, MULTICAMADA, COM PROTEÇÃO UV, DN 16, INSTALADO EM PRUMADA DE INSTALAÇÕES DE GÁS - FORNECIMENTO E INSTALAÇÃO. AF_01/2020</v>
          </cell>
          <cell r="D6531" t="str">
            <v>M</v>
          </cell>
          <cell r="E6531">
            <v>0</v>
          </cell>
        </row>
        <row r="6532">
          <cell r="B6532">
            <v>100796</v>
          </cell>
          <cell r="C6532" t="str">
            <v>TUBO, PEX, MULTICAMADA, COM PROTEÇÃO UV, DN 20, INSTALADO EM IMPLANTAÇÃO DE INSTALAÇÕES DE GÁS - FORNECIMENTO E INSTALAÇÃO. AF_01/2020</v>
          </cell>
          <cell r="D6532" t="str">
            <v>M</v>
          </cell>
          <cell r="E6532">
            <v>0</v>
          </cell>
        </row>
        <row r="6533">
          <cell r="B6533">
            <v>100843</v>
          </cell>
          <cell r="C6533" t="str">
            <v>TUBO, PEX, MULTICAMADA, COM PROTEÇÃO UV, DN 20, INSTALADO EM PRUMADA DE INSTALAÇÕES DE GÁS - FORNECIMENTO E INSTALAÇÃO. AF_01/2020</v>
          </cell>
          <cell r="D6533" t="str">
            <v>M</v>
          </cell>
          <cell r="E6533">
            <v>0</v>
          </cell>
        </row>
        <row r="6534">
          <cell r="B6534">
            <v>100844</v>
          </cell>
          <cell r="C6534" t="str">
            <v>TUBO, PEX, MULTICAMADA, COM PROTEÇÃO UV, DN 25, INSTALADO EM PRUMADA DE INSTALAÇÕES DE GÁS - FORNECIMENTO E INSTALAÇÃO. AF_01/2020</v>
          </cell>
          <cell r="D6534" t="str">
            <v>M</v>
          </cell>
          <cell r="E6534">
            <v>0</v>
          </cell>
        </row>
        <row r="6535">
          <cell r="B6535">
            <v>100797</v>
          </cell>
          <cell r="C6535" t="str">
            <v>TUBO, PEX, MULTICAMADA, COM PROTEÇÃO UV, DN 26, INSTALADO EM IMPLANTAÇÃO DE INSTALAÇÕES DE GÁS - FORNECIMENTO E INSTALAÇÃO. AF_01/2020</v>
          </cell>
          <cell r="D6535" t="str">
            <v>M</v>
          </cell>
          <cell r="E6535">
            <v>0</v>
          </cell>
        </row>
        <row r="6536">
          <cell r="B6536">
            <v>100798</v>
          </cell>
          <cell r="C6536" t="str">
            <v>TUBO, PEX, MULTICAMADA, COM PROTEÇÃO UV, DN 32, INSTALADO EM IMPLANTAÇÃO DE INSTALAÇÕES DE GÁS - FORNECIMENTO E INSTALAÇÃO. AF_01/2020</v>
          </cell>
          <cell r="D6536" t="str">
            <v>M</v>
          </cell>
          <cell r="E6536">
            <v>0</v>
          </cell>
        </row>
        <row r="6537">
          <cell r="B6537">
            <v>100845</v>
          </cell>
          <cell r="C6537" t="str">
            <v>TUBO, PEX, MULTICAMADA, COM PROTEÇÃO UV, DN 32, INSTALADO EM PRUMADA DE INSTALAÇÕES DE GÁS - FORNECIMENTO E INSTALAÇÃO. AF_01/2020</v>
          </cell>
          <cell r="D6537" t="str">
            <v>M</v>
          </cell>
          <cell r="E6537">
            <v>0</v>
          </cell>
        </row>
        <row r="6538">
          <cell r="B6538">
            <v>100799</v>
          </cell>
          <cell r="C6538" t="str">
            <v>TUBO, PEX, MULTICAMADA, COM TUBO LUVA, DN 16, INSTALADO EM IMPLANTAÇÃO DE INSTALAÇÕES DE GÁS - FORNECIMENTO E INSTALAÇÃO. AF_01/2020</v>
          </cell>
          <cell r="D6538" t="str">
            <v>M</v>
          </cell>
          <cell r="E6538">
            <v>22.1</v>
          </cell>
          <cell r="F6538">
            <v>0</v>
          </cell>
        </row>
        <row r="6539">
          <cell r="B6539">
            <v>100807</v>
          </cell>
          <cell r="C6539" t="str">
            <v>TUBO, PEX, MULTICAMADA, COM TUBO LUVA, DN 16, INSTALADO EM RAMAL INTERNO DE INSTALAÇÕES DE GÁS - FORNECIMENTO E INSTALAÇÃO. AF_01/2020</v>
          </cell>
          <cell r="D6539" t="str">
            <v>M</v>
          </cell>
          <cell r="E6539">
            <v>30.61</v>
          </cell>
          <cell r="F6539">
            <v>0</v>
          </cell>
        </row>
        <row r="6540">
          <cell r="B6540">
            <v>100800</v>
          </cell>
          <cell r="C6540" t="str">
            <v>TUBO, PEX, MULTICAMADA, COM TUBO LUVA, DN 20, INSTALADO EM IMPLANTAÇÃO DE INSTALAÇÕES DE GÁS - FORNECIMENTO E INSTALAÇÃO. AF_01/2020</v>
          </cell>
          <cell r="D6540" t="str">
            <v>M</v>
          </cell>
          <cell r="E6540">
            <v>30.54</v>
          </cell>
          <cell r="F6540">
            <v>0</v>
          </cell>
        </row>
        <row r="6541">
          <cell r="B6541">
            <v>100808</v>
          </cell>
          <cell r="C6541" t="str">
            <v>TUBO, PEX, MULTICAMADA, COM TUBO LUVA, DN 20, INSTALADO EM RAMAL INTERNO DE INSTALAÇÕES DE GÁS - FORNECIMENTO E INSTALAÇÃO. AF_01/2020</v>
          </cell>
          <cell r="D6541" t="str">
            <v>M</v>
          </cell>
          <cell r="E6541">
            <v>40.64</v>
          </cell>
          <cell r="F6541">
            <v>0</v>
          </cell>
        </row>
        <row r="6542">
          <cell r="B6542">
            <v>100801</v>
          </cell>
          <cell r="C6542" t="str">
            <v>TUBO, PEX, MULTICAMADA, COM TUBO LUVA, DN 26, INSTALADO EM IMPLANTAÇÃO DE INSTALAÇÕES DE GÁS - FORNECIMENTO E INSTALAÇÃO. AF_01/2020</v>
          </cell>
          <cell r="D6542" t="str">
            <v>M</v>
          </cell>
          <cell r="E6542">
            <v>39.450000000000003</v>
          </cell>
          <cell r="F6542">
            <v>0</v>
          </cell>
        </row>
        <row r="6543">
          <cell r="B6543">
            <v>100809</v>
          </cell>
          <cell r="C6543" t="str">
            <v>TUBO, PEX, MULTICAMADA, COM TUBO LUVA, DN 26, INSTALADO EM RAMAL INTERNO DE INSTALAÇÕES DE GÁS - FORNECIMENTO E INSTALAÇÃO. AF_01/2020</v>
          </cell>
          <cell r="D6543" t="str">
            <v>M</v>
          </cell>
          <cell r="E6543">
            <v>51.54</v>
          </cell>
          <cell r="F6543">
            <v>0</v>
          </cell>
        </row>
        <row r="6544">
          <cell r="B6544">
            <v>100802</v>
          </cell>
          <cell r="C6544" t="str">
            <v>TUBO, PEX, MULTICAMADA, COM TUBO LUVA, DN 32, INSTALADO EM IMPLANTAÇÃO DE INSTALAÇÕES DE GÁS - FORNECIMENTO E INSTALAÇÃO. AF_01/2020</v>
          </cell>
          <cell r="D6544" t="str">
            <v>M</v>
          </cell>
          <cell r="E6544">
            <v>52.04</v>
          </cell>
          <cell r="F6544">
            <v>0</v>
          </cell>
        </row>
        <row r="6545">
          <cell r="B6545">
            <v>100810</v>
          </cell>
          <cell r="C6545" t="str">
            <v>TUBO, PEX, MULTICAMADA, COM TUBO LUVA, DN 32, INSTALADO EM RAMAL INTERNO DE INSTALAÇÕES DE GÁS - FORNECIMENTO E INSTALAÇÃO. AF_01/2020</v>
          </cell>
          <cell r="D6545" t="str">
            <v>M</v>
          </cell>
          <cell r="E6545">
            <v>66.900000000000006</v>
          </cell>
          <cell r="F6545">
            <v>0</v>
          </cell>
        </row>
        <row r="6546">
          <cell r="B6546">
            <v>100791</v>
          </cell>
          <cell r="C6546" t="str">
            <v>TUBO, PEX, MULTICAMADA, DN 16, INSTALADO EM IMPLANTAÇÃO DE INSTALAÇÕES DE GÁS - FORNECIMENTO E INSTALAÇÃO. AF_01/2020</v>
          </cell>
          <cell r="D6546" t="str">
            <v>M</v>
          </cell>
          <cell r="E6546">
            <v>21.37</v>
          </cell>
          <cell r="F6546">
            <v>0</v>
          </cell>
        </row>
        <row r="6547">
          <cell r="B6547">
            <v>100803</v>
          </cell>
          <cell r="C6547" t="str">
            <v>TUBO, PEX, MULTICAMADA, DN 16, INSTALADO EM RAMAL INTERNO DE INSTALAÇÕES DE GÁS - FORNECIMENTO E INSTALAÇÃO. AF_01/2020</v>
          </cell>
          <cell r="D6547" t="str">
            <v>M</v>
          </cell>
          <cell r="E6547">
            <v>19.87</v>
          </cell>
          <cell r="F6547">
            <v>0</v>
          </cell>
        </row>
        <row r="6548">
          <cell r="B6548">
            <v>100792</v>
          </cell>
          <cell r="C6548" t="str">
            <v>TUBO, PEX, MULTICAMADA, DN 20, INSTALADO EM IMPLANTAÇÃO DE INSTALAÇÕES DE GÁS - FORNECIMENTO E INSTALAÇÃO. AF_01/2020</v>
          </cell>
          <cell r="D6548" t="str">
            <v>M</v>
          </cell>
          <cell r="E6548">
            <v>29.81</v>
          </cell>
          <cell r="F6548">
            <v>0</v>
          </cell>
        </row>
        <row r="6549">
          <cell r="B6549">
            <v>100804</v>
          </cell>
          <cell r="C6549" t="str">
            <v>TUBO, PEX, MULTICAMADA, DN 20, INSTALADO EM RAMAL INTERNO DE INSTALAÇÕES DE GÁS - FORNECIMENTO E INSTALAÇÃO. AF_01/2020</v>
          </cell>
          <cell r="D6549" t="str">
            <v>M</v>
          </cell>
          <cell r="E6549">
            <v>28.04</v>
          </cell>
          <cell r="F6549">
            <v>0</v>
          </cell>
        </row>
        <row r="6550">
          <cell r="B6550">
            <v>100793</v>
          </cell>
          <cell r="C6550" t="str">
            <v>TUBO, PEX, MULTICAMADA, DN 26, INSTALADO EM IMPLANTAÇÃO DE INSTALAÇÕES DE GÁS - FORNECIMENTO E INSTALAÇÃO. AF_01/2020</v>
          </cell>
          <cell r="D6550" t="str">
            <v>M</v>
          </cell>
          <cell r="E6550">
            <v>38.729999999999997</v>
          </cell>
          <cell r="F6550">
            <v>0</v>
          </cell>
        </row>
        <row r="6551">
          <cell r="B6551">
            <v>100805</v>
          </cell>
          <cell r="C6551" t="str">
            <v>TUBO, PEX, MULTICAMADA, DN 26, INSTALADO EM RAMAL INTERNO DE INSTALAÇÕES DE GÁS - FORNECIMENTO E INSTALAÇÃO. AF_01/2020</v>
          </cell>
          <cell r="D6551" t="str">
            <v>M</v>
          </cell>
          <cell r="E6551">
            <v>36.61</v>
          </cell>
          <cell r="F6551">
            <v>0</v>
          </cell>
        </row>
        <row r="6552">
          <cell r="B6552">
            <v>100794</v>
          </cell>
          <cell r="C6552" t="str">
            <v>TUBO, PEX, MULTICAMADA, DN 32, INSTALADO EM IMPLANTAÇÃO DE INSTALAÇÕES DE GÁS - FORNECIMENTO E INSTALAÇÃO. AF_01/2020</v>
          </cell>
          <cell r="D6552" t="str">
            <v>M</v>
          </cell>
          <cell r="E6552">
            <v>51.31</v>
          </cell>
          <cell r="F6552">
            <v>0</v>
          </cell>
        </row>
        <row r="6553">
          <cell r="B6553">
            <v>100806</v>
          </cell>
          <cell r="C6553" t="str">
            <v>TUBO, PEX, MULTICAMADA, DN 32, INSTALADO EM RAMAL INTERNO DE INSTALAÇÕES DE GÁS - FORNECIMENTO E INSTALAÇÃO. AF_01/2020</v>
          </cell>
          <cell r="D6553" t="str">
            <v>M</v>
          </cell>
          <cell r="E6553">
            <v>48.7</v>
          </cell>
          <cell r="F6553">
            <v>0</v>
          </cell>
        </row>
        <row r="6554">
          <cell r="B6554">
            <v>100838</v>
          </cell>
          <cell r="C6554" t="str">
            <v>TÊ, PARA INSTALAÇÕES EM PEX MULTICAMADA, DN 16 MM, CONEXÃO POR CRIMPAGEM - FORNECIMENTO E INSTALAÇÃO. AF_01/2020</v>
          </cell>
          <cell r="D6554" t="str">
            <v>UN</v>
          </cell>
          <cell r="E6554">
            <v>0</v>
          </cell>
        </row>
        <row r="6555">
          <cell r="B6555">
            <v>100839</v>
          </cell>
          <cell r="C6555" t="str">
            <v>TÊ, PARA INSTALAÇÕES EM PEX MULTICAMADA, DN 20 MM, CONEXÃO POR CRIMPAGEM - FORNECIMENTO E INSTALAÇÃO. AF_01/2020</v>
          </cell>
          <cell r="D6555" t="str">
            <v>UN</v>
          </cell>
          <cell r="E6555">
            <v>0</v>
          </cell>
        </row>
        <row r="6556">
          <cell r="B6556">
            <v>100840</v>
          </cell>
          <cell r="C6556" t="str">
            <v>TÊ, PARA INSTALAÇÕES EM PEX MULTICAMADA, DN 26 MM, CONEXÃO POR CRIMPAGEM - FORNECIMENTO E INSTALAÇÃO. AF_01/2020</v>
          </cell>
          <cell r="D6556" t="str">
            <v>UN</v>
          </cell>
          <cell r="E6556">
            <v>0</v>
          </cell>
        </row>
        <row r="6557">
          <cell r="B6557">
            <v>100841</v>
          </cell>
          <cell r="C6557" t="str">
            <v>TÊ, PARA INSTALAÇÕES EM PEX MULTICAMADA, DN 32 MM, CONEXÃO POR CRIMPAGEM - FORNECIMENTO E INSTALAÇÃO. AF_01/2020</v>
          </cell>
          <cell r="D6557" t="str">
            <v>UN</v>
          </cell>
          <cell r="E6557">
            <v>0</v>
          </cell>
        </row>
        <row r="6558">
          <cell r="B6558">
            <v>103283</v>
          </cell>
          <cell r="C6558" t="str">
            <v>AR CONDICIONADO JANELA, 10000 BTU/H, CICLO FRIO - FORNECIMENTO E INSTALAÇÃO. AF_11/2021</v>
          </cell>
          <cell r="D6558" t="str">
            <v>UN</v>
          </cell>
          <cell r="E6558">
            <v>0</v>
          </cell>
        </row>
        <row r="6559">
          <cell r="B6559">
            <v>103284</v>
          </cell>
          <cell r="C6559" t="str">
            <v>AR CONDICIONADO JANELA, 12000 BTU/H, CICLO FRIO - FORNECIMENTO E INSTALAÇÃO. AF_11/2021</v>
          </cell>
          <cell r="D6559" t="str">
            <v>UN</v>
          </cell>
          <cell r="E6559">
            <v>0</v>
          </cell>
        </row>
        <row r="6560">
          <cell r="B6560">
            <v>103282</v>
          </cell>
          <cell r="C6560" t="str">
            <v>AR CONDICIONADO JANELA, 7500 BTU/H, CICLO FRIO - FORNECIMENTO E INSTALAÇÃO. AF_11/2021</v>
          </cell>
          <cell r="D6560" t="str">
            <v>UN</v>
          </cell>
          <cell r="E6560">
            <v>0</v>
          </cell>
        </row>
        <row r="6561">
          <cell r="B6561">
            <v>103279</v>
          </cell>
          <cell r="C6561" t="str">
            <v>AR CONDICIONADO SPLIT DUTO, 18000 BTU/H, CICLO QUENTE/FRIO - FORNECIMENTO E INSTALAÇÃO. AF_11/2021</v>
          </cell>
          <cell r="D6561" t="str">
            <v>UN</v>
          </cell>
          <cell r="E6561">
            <v>0</v>
          </cell>
        </row>
        <row r="6562">
          <cell r="B6562">
            <v>103280</v>
          </cell>
          <cell r="C6562" t="str">
            <v>AR CONDICIONADO SPLIT DUTO, 24000 BTU/H, CICLO QUENTE/FRIO - FORNECIMENTO E INSTALAÇÃO. AF_11/2021</v>
          </cell>
          <cell r="D6562" t="str">
            <v>UN</v>
          </cell>
          <cell r="E6562">
            <v>0</v>
          </cell>
        </row>
        <row r="6563">
          <cell r="B6563">
            <v>103281</v>
          </cell>
          <cell r="C6563" t="str">
            <v>AR CONDICIONADO SPLIT DUTO, 36000 BTU/H, CICLO QUENTE/FRIO - FORNECIMENTO E INSTALAÇÃO. AF_11/2021</v>
          </cell>
          <cell r="D6563" t="str">
            <v>UN</v>
          </cell>
          <cell r="E6563">
            <v>0</v>
          </cell>
        </row>
        <row r="6564">
          <cell r="B6564">
            <v>103247</v>
          </cell>
          <cell r="C6564" t="str">
            <v>AR CONDICIONADO SPLIT INVERTER, HI-WALL (PAREDE), 12000 BTU/H, CICLO FRIO - FORNECIMENTO E INSTALAÇÃO. AF_11/2021_PE</v>
          </cell>
          <cell r="D6564" t="str">
            <v>UN</v>
          </cell>
          <cell r="E6564">
            <v>2681.01</v>
          </cell>
          <cell r="F6564">
            <v>0</v>
          </cell>
        </row>
        <row r="6565">
          <cell r="B6565">
            <v>103250</v>
          </cell>
          <cell r="C6565" t="str">
            <v>AR CONDICIONADO SPLIT INVERTER, HI-WALL (PAREDE), 18000 BTU/H, CICLO FRIO - FORNECIMENTO E INSTALAÇÃO. AF_11/2021_PE</v>
          </cell>
          <cell r="D6565" t="str">
            <v>UN</v>
          </cell>
          <cell r="E6565">
            <v>3877.16</v>
          </cell>
          <cell r="F6565">
            <v>0</v>
          </cell>
        </row>
        <row r="6566">
          <cell r="B6566">
            <v>103253</v>
          </cell>
          <cell r="C6566" t="str">
            <v>AR CONDICIONADO SPLIT INVERTER, HI-WALL (PAREDE), 24000 BTU/H, CICLO FRIO - FORNECIMENTO E INSTALAÇÃO. AF_11/2021_PE</v>
          </cell>
          <cell r="D6566" t="str">
            <v>UN</v>
          </cell>
          <cell r="E6566">
            <v>5268.88</v>
          </cell>
          <cell r="F6566">
            <v>0</v>
          </cell>
        </row>
        <row r="6567">
          <cell r="B6567">
            <v>103244</v>
          </cell>
          <cell r="C6567" t="str">
            <v>AR CONDICIONADO SPLIT INVERTER, HI-WALL (PAREDE), 9000 BTU/H, CICLO FRIO - FORNECIMENTO E INSTALAÇÃO. AF_11/2021_PE</v>
          </cell>
          <cell r="D6567" t="str">
            <v>UN</v>
          </cell>
          <cell r="E6567">
            <v>2420.3000000000002</v>
          </cell>
          <cell r="F6567">
            <v>0</v>
          </cell>
        </row>
        <row r="6568">
          <cell r="B6568">
            <v>103256</v>
          </cell>
          <cell r="C6568" t="str">
            <v>AR CONDICIONADO SPLIT INVERTER, PISO TETO, 18000 BTU/H, CICLO FRIO - FORNECIMENTO E INSTALAÇÃO. AF_11/2021_PSE</v>
          </cell>
          <cell r="D6568" t="str">
            <v>UN</v>
          </cell>
          <cell r="E6568">
            <v>9767.9</v>
          </cell>
          <cell r="F6568">
            <v>0</v>
          </cell>
        </row>
        <row r="6569">
          <cell r="B6569">
            <v>103258</v>
          </cell>
          <cell r="C6569" t="str">
            <v>AR CONDICIONADO SPLIT INVERTER, PISO TETO, 24000 BTU/H, CICLO FRIO - FORNECIMENTO E INSTALAÇÃO. AF_11/2021_PSE</v>
          </cell>
          <cell r="D6569" t="str">
            <v>UN</v>
          </cell>
          <cell r="E6569">
            <v>10912.56</v>
          </cell>
          <cell r="F6569">
            <v>0</v>
          </cell>
        </row>
        <row r="6570">
          <cell r="B6570">
            <v>103260</v>
          </cell>
          <cell r="C6570" t="str">
            <v>AR CONDICIONADO SPLIT INVERTER, PISO TETO, 24000 BTU/H, QUENTE/FRIO - FORNECIMENTO E INSTALAÇÃO. AF_11/2021_PSE</v>
          </cell>
          <cell r="D6570" t="str">
            <v>UN</v>
          </cell>
          <cell r="E6570">
            <v>6080.15</v>
          </cell>
          <cell r="F6570">
            <v>0</v>
          </cell>
        </row>
        <row r="6571">
          <cell r="B6571">
            <v>103261</v>
          </cell>
          <cell r="C6571" t="str">
            <v>AR CONDICIONADO SPLIT INVERTER, PISO TETO, 36000 BTU/H, CICLO FRIO - FORNECIMENTO E INSTALAÇÃO. AF_11/2021_PSE</v>
          </cell>
          <cell r="D6571" t="str">
            <v>UN</v>
          </cell>
          <cell r="E6571">
            <v>12308.59</v>
          </cell>
          <cell r="F6571">
            <v>0</v>
          </cell>
        </row>
        <row r="6572">
          <cell r="B6572">
            <v>103263</v>
          </cell>
          <cell r="C6572" t="str">
            <v>AR CONDICIONADO SPLIT INVERTER, PISO TETO, 48000 BTU/H, CICLO FRIO - FORNECIMENTO E INSTALAÇÃO. AF_11/2021_PE</v>
          </cell>
          <cell r="D6572" t="str">
            <v>UN</v>
          </cell>
          <cell r="E6572">
            <v>17083.95</v>
          </cell>
          <cell r="F6572">
            <v>0</v>
          </cell>
        </row>
        <row r="6573">
          <cell r="B6573">
            <v>103265</v>
          </cell>
          <cell r="C6573" t="str">
            <v>AR CONDICIONADO SPLIT INVERTER, PISO TETO, APRESENTANDO ENTRE 54000 E 58000 BTU/H, CICLO FRIO - FORNECIMENTO E INSTALAÇÃO. AF_11/2021_PE</v>
          </cell>
          <cell r="D6573" t="str">
            <v>UN</v>
          </cell>
          <cell r="E6573">
            <v>20569.23</v>
          </cell>
          <cell r="F6573">
            <v>0</v>
          </cell>
        </row>
        <row r="6574">
          <cell r="B6574">
            <v>103268</v>
          </cell>
          <cell r="C6574" t="str">
            <v>AR CONDICIONADO SPLIT ON/OFF, CASSETE (TETO), 18000 BTU/H, CICLO QUENTE/FRIO - FORNECIMENTO E INSTALAÇÃO. AF_11/2021_PE</v>
          </cell>
          <cell r="D6574" t="str">
            <v>UN</v>
          </cell>
          <cell r="E6574">
            <v>7270.04</v>
          </cell>
          <cell r="F6574">
            <v>0</v>
          </cell>
        </row>
        <row r="6575">
          <cell r="B6575">
            <v>103270</v>
          </cell>
          <cell r="C6575" t="str">
            <v>AR CONDICIONADO SPLIT ON/OFF, CASSETE (TETO), 24000 BTU/H, CICLO QUENTE/FRIO - FORNECIMENTO E INSTALAÇÃO. AF_11/2021_PE</v>
          </cell>
          <cell r="D6575" t="str">
            <v>UN</v>
          </cell>
          <cell r="E6575">
            <v>7810.91</v>
          </cell>
          <cell r="F6575">
            <v>0</v>
          </cell>
        </row>
        <row r="6576">
          <cell r="B6576">
            <v>103272</v>
          </cell>
          <cell r="C6576" t="str">
            <v>AR CONDICIONADO SPLIT ON/OFF, CASSETE (TETO), 36000 BTU/H, CICLO QUENTE/FRIO - FORNECIMENTO E INSTALAÇÃO. AF_11/2021_PE</v>
          </cell>
          <cell r="D6576" t="str">
            <v>UN</v>
          </cell>
          <cell r="E6576">
            <v>11401.87</v>
          </cell>
          <cell r="F6576">
            <v>0</v>
          </cell>
        </row>
        <row r="6577">
          <cell r="B6577">
            <v>103274</v>
          </cell>
          <cell r="C6577" t="str">
            <v>AR CONDICIONADO SPLIT ON/OFF, CASSETE (TETO), 48000 BTU/H, CICLO QUENTE/FRIO - FORNECIMENTO E INSTALAÇÃO. AF_11/2021_PE</v>
          </cell>
          <cell r="D6577" t="str">
            <v>UN</v>
          </cell>
          <cell r="E6577">
            <v>13447.58</v>
          </cell>
          <cell r="F6577">
            <v>0</v>
          </cell>
        </row>
        <row r="6578">
          <cell r="B6578">
            <v>103276</v>
          </cell>
          <cell r="C6578" t="str">
            <v>AR CONDICIONADO SPLIT ON/OFF, CASSETE (TETO), 60000 BTU/H, CICLO QUENTE/FRIO - FORNECIMENTO E INSTALAÇÃO. AF_11/2021_PE</v>
          </cell>
          <cell r="D6578" t="str">
            <v>UN</v>
          </cell>
          <cell r="E6578">
            <v>14032.32</v>
          </cell>
          <cell r="F6578">
            <v>0</v>
          </cell>
        </row>
        <row r="6579">
          <cell r="B6579">
            <v>103267</v>
          </cell>
          <cell r="C6579" t="str">
            <v>AR CONDICIONADO SPLIT ON/OFF, CASSETE (TETO), FRIO 4 VIAS 18000 BTU/H - FORNECIMENTO E INSTALAÇÃO. AF_11/2021_PE</v>
          </cell>
          <cell r="D6579" t="str">
            <v>UN</v>
          </cell>
          <cell r="E6579">
            <v>6138.72</v>
          </cell>
          <cell r="F6579">
            <v>0</v>
          </cell>
        </row>
        <row r="6580">
          <cell r="B6580">
            <v>103269</v>
          </cell>
          <cell r="C6580" t="str">
            <v>AR CONDICIONADO SPLIT ON/OFF, CASSETE (TETO), FRIO 4 VIAS 24000 BTU/H - FORNECIMENTO E INSTALAÇÃO. AF_11/2021_PE</v>
          </cell>
          <cell r="D6580" t="str">
            <v>UN</v>
          </cell>
          <cell r="E6580">
            <v>7528.29</v>
          </cell>
          <cell r="F6580">
            <v>0</v>
          </cell>
        </row>
        <row r="6581">
          <cell r="B6581">
            <v>103271</v>
          </cell>
          <cell r="C6581" t="str">
            <v>AR CONDICIONADO SPLIT ON/OFF, CASSETE (TETO), FRIO 4 VIAS 36000 BTU/H - FORNECIMENTO E INSTALAÇÃO. AF_11/2021_PE</v>
          </cell>
          <cell r="D6581" t="str">
            <v>UN</v>
          </cell>
          <cell r="E6581">
            <v>11042.47</v>
          </cell>
          <cell r="F6581">
            <v>0</v>
          </cell>
        </row>
        <row r="6582">
          <cell r="B6582">
            <v>103273</v>
          </cell>
          <cell r="C6582" t="str">
            <v>AR CONDICIONADO SPLIT ON/OFF, CASSETE (TETO), FRIO 4 VIAS 48000 BTU/H - FORNECIMENTO E INSTALAÇÃO. AF_11/2021_PE</v>
          </cell>
          <cell r="D6582" t="str">
            <v>UN</v>
          </cell>
          <cell r="E6582">
            <v>11757.28</v>
          </cell>
          <cell r="F6582">
            <v>0</v>
          </cell>
        </row>
        <row r="6583">
          <cell r="B6583">
            <v>103275</v>
          </cell>
          <cell r="C6583" t="str">
            <v>AR CONDICIONADO SPLIT ON/OFF, CASSETE (TETO), FRIO 4 VIAS 60000 BTU/H - FORNECIMENTO E INSTALAÇÃO. AF_11/2021_PE</v>
          </cell>
          <cell r="D6583" t="str">
            <v>UN</v>
          </cell>
          <cell r="E6583">
            <v>13378.57</v>
          </cell>
          <cell r="F6583">
            <v>0</v>
          </cell>
        </row>
        <row r="6584">
          <cell r="B6584">
            <v>103248</v>
          </cell>
          <cell r="C6584" t="str">
            <v>AR CONDICIONADO SPLIT ON/OFF, HI-WALL (PAREDE), 12000 BTUS/H, CICLO FRIO - FORNECIMENTO E INSTALAÇÃO. AF_11/2021_PE</v>
          </cell>
          <cell r="D6584" t="str">
            <v>UN</v>
          </cell>
          <cell r="E6584">
            <v>2199.5700000000002</v>
          </cell>
          <cell r="F6584">
            <v>0</v>
          </cell>
        </row>
        <row r="6585">
          <cell r="B6585">
            <v>103249</v>
          </cell>
          <cell r="C6585" t="str">
            <v>AR CONDICIONADO SPLIT ON/OFF, HI-WALL (PAREDE), 12000 BTUS/H, CICLO QUENTE/FRIO - FORNECIMENTO E INSTALAÇÃO. AF_11/2021_PE</v>
          </cell>
          <cell r="D6585" t="str">
            <v>UN</v>
          </cell>
          <cell r="E6585">
            <v>2359.54</v>
          </cell>
          <cell r="F6585">
            <v>0</v>
          </cell>
        </row>
        <row r="6586">
          <cell r="B6586">
            <v>103251</v>
          </cell>
          <cell r="C6586" t="str">
            <v>AR CONDICIONADO SPLIT ON/OFF, HI-WALL (PAREDE), 18000 BTUS/H, CICLO FRIO - FORNECIMENTO E INSTALAÇÃO. AF_11/2021_PE</v>
          </cell>
          <cell r="D6586" t="str">
            <v>UN</v>
          </cell>
          <cell r="E6586">
            <v>3073.07</v>
          </cell>
          <cell r="F6586">
            <v>0</v>
          </cell>
        </row>
        <row r="6587">
          <cell r="B6587">
            <v>103252</v>
          </cell>
          <cell r="C6587" t="str">
            <v>AR CONDICIONADO SPLIT ON/OFF, HI-WALL (PAREDE), 18000 BTUS/H, CICLO QUENTE/FRIO - FORNECIMENTO E INSTALAÇÃO. AF_11/2021_PE</v>
          </cell>
          <cell r="D6587" t="str">
            <v>UN</v>
          </cell>
          <cell r="E6587">
            <v>3397.34</v>
          </cell>
          <cell r="F6587">
            <v>0</v>
          </cell>
        </row>
        <row r="6588">
          <cell r="B6588">
            <v>103254</v>
          </cell>
          <cell r="C6588" t="str">
            <v>AR CONDICIONADO SPLIT ON/OFF, HI-WALL (PAREDE), 24000 BTUS/H, CICLO FRIO - FORNECIMENTO E INSTALAÇÃO. AF_11/2021_PE</v>
          </cell>
          <cell r="D6588" t="str">
            <v>UN</v>
          </cell>
          <cell r="E6588">
            <v>3954.29</v>
          </cell>
          <cell r="F6588">
            <v>0</v>
          </cell>
        </row>
        <row r="6589">
          <cell r="B6589">
            <v>103255</v>
          </cell>
          <cell r="C6589" t="str">
            <v>AR CONDICIONADO SPLIT ON/OFF, HI-WALL (PAREDE), 24000 BTUS/H, CICLO QUENTE/FRIO - FORNECIMENTO E INSTALAÇÃO. AF_11/2021_PE</v>
          </cell>
          <cell r="D6589" t="str">
            <v>UN</v>
          </cell>
          <cell r="E6589">
            <v>4418.1099999999997</v>
          </cell>
          <cell r="F6589">
            <v>0</v>
          </cell>
        </row>
        <row r="6590">
          <cell r="B6590">
            <v>103245</v>
          </cell>
          <cell r="C6590" t="str">
            <v>AR CONDICIONADO SPLIT ON/OFF, HI-WALL (PAREDE), 9000 BTUS/H, CICLO FRIO - FORNECIMENTO E INSTALAÇÃO. AF_11/2021_PE</v>
          </cell>
          <cell r="D6590" t="str">
            <v>UN</v>
          </cell>
          <cell r="E6590">
            <v>1919.06</v>
          </cell>
          <cell r="F6590">
            <v>0</v>
          </cell>
        </row>
        <row r="6591">
          <cell r="B6591">
            <v>103246</v>
          </cell>
          <cell r="C6591" t="str">
            <v>AR CONDICIONADO SPLIT ON/OFF, HI-WALL (PAREDE), 9000 BTUS/H, CICLO QUENTE/FRIO - FORNECIMENTO E INSTALAÇÃO. AF_11/2021_PE</v>
          </cell>
          <cell r="D6591" t="str">
            <v>UN</v>
          </cell>
          <cell r="E6591">
            <v>2088.5700000000002</v>
          </cell>
          <cell r="F6591">
            <v>0</v>
          </cell>
        </row>
        <row r="6592">
          <cell r="B6592">
            <v>103257</v>
          </cell>
          <cell r="C6592" t="str">
            <v>AR CONDICIONADO SPLIT ON/OFF, PISO TETO, 18.000 BTU/H, CICLO FRIO - FORNECIMENTO E INSTALAÇÃO. AF_11/2021_PSE</v>
          </cell>
          <cell r="D6592" t="str">
            <v>UN</v>
          </cell>
          <cell r="E6592">
            <v>5618.61</v>
          </cell>
          <cell r="F6592">
            <v>0</v>
          </cell>
        </row>
        <row r="6593">
          <cell r="B6593">
            <v>103259</v>
          </cell>
          <cell r="C6593" t="str">
            <v>AR CONDICIONADO SPLIT ON/OFF, PISO TETO, 24.000 BTU/H, CICLO FRIO - FORNECIMENTO E INSTALAÇÃO. AF_11/2021_PSE</v>
          </cell>
          <cell r="D6593" t="str">
            <v>UN</v>
          </cell>
          <cell r="E6593">
            <v>5921.32</v>
          </cell>
          <cell r="F6593">
            <v>0</v>
          </cell>
        </row>
        <row r="6594">
          <cell r="B6594">
            <v>103262</v>
          </cell>
          <cell r="C6594" t="str">
            <v>AR CONDICIONADO SPLIT ON/OFF, PISO TETO, 36.000 BTU/H, CICLO FRIO - FORNECIMENTO E INSTALAÇÃO. AF_11/2021_PSE</v>
          </cell>
          <cell r="D6594" t="str">
            <v>UN</v>
          </cell>
          <cell r="E6594">
            <v>7760.89</v>
          </cell>
          <cell r="F6594">
            <v>0</v>
          </cell>
        </row>
        <row r="6595">
          <cell r="B6595">
            <v>103264</v>
          </cell>
          <cell r="C6595" t="str">
            <v>AR CONDICIONADO SPLIT ON/OFF, PISO TETO, 48.000 BTU/H, CICLO FRIO - FORNECIMENTO E INSTALAÇÃO. AF_11/2021_PE</v>
          </cell>
          <cell r="D6595" t="str">
            <v>UN</v>
          </cell>
          <cell r="E6595">
            <v>9638.06</v>
          </cell>
          <cell r="F6595">
            <v>0</v>
          </cell>
        </row>
        <row r="6596">
          <cell r="B6596">
            <v>103266</v>
          </cell>
          <cell r="C6596" t="str">
            <v>AR CONDICIONADO SPLIT ON/OFF, PISO TETO, 60.000 BTU/H, CICLO FRIO - FORNECIMENTO E INSTALAÇÃO. AF_11/2021_PE</v>
          </cell>
          <cell r="D6596" t="str">
            <v>UN</v>
          </cell>
          <cell r="E6596">
            <v>10748.73</v>
          </cell>
          <cell r="F6596">
            <v>0</v>
          </cell>
        </row>
        <row r="6597">
          <cell r="B6597">
            <v>103277</v>
          </cell>
          <cell r="C6597" t="str">
            <v>AR CONDICIONADO SPLITÃO 10 TR - FORNECIMENTO E INSTALAÇÃO. AF_11/2021_PE</v>
          </cell>
          <cell r="D6597" t="str">
            <v>UN</v>
          </cell>
          <cell r="E6597">
            <v>25820.92</v>
          </cell>
          <cell r="F6597">
            <v>0</v>
          </cell>
        </row>
        <row r="6598">
          <cell r="B6598">
            <v>103278</v>
          </cell>
          <cell r="C6598" t="str">
            <v>AR CONDICIONADO SPLITÃO 15 TR - FORNECIMENTO E INSTALAÇÃO. AF_11/2021_PE</v>
          </cell>
          <cell r="D6598" t="str">
            <v>UN</v>
          </cell>
          <cell r="E6598">
            <v>33008.26</v>
          </cell>
          <cell r="F6598">
            <v>0</v>
          </cell>
        </row>
        <row r="6599">
          <cell r="B6599">
            <v>103285</v>
          </cell>
          <cell r="C6599" t="str">
            <v>DAMPER DE REGULAGEM PARA SISTEMA DE AR CONDICIONADO, 1000X500 MM - FORNECIMENTO E INSTALAÇÃO. AF_11/2021</v>
          </cell>
          <cell r="D6599" t="str">
            <v>UN</v>
          </cell>
          <cell r="E6599">
            <v>0</v>
          </cell>
        </row>
        <row r="6600">
          <cell r="B6600">
            <v>103286</v>
          </cell>
          <cell r="C6600" t="str">
            <v>DIFUSOR PARA SISTEMA DE AR CONDICIONADO, 400X400 MM - FORNECIMENTO E INSTALAÇÃO. AF_11/2021</v>
          </cell>
          <cell r="D6600" t="str">
            <v>UN</v>
          </cell>
          <cell r="E6600">
            <v>0</v>
          </cell>
        </row>
        <row r="6601">
          <cell r="B6601">
            <v>103287</v>
          </cell>
          <cell r="C6601" t="str">
            <v>GRELHA PARA SISTEMA DE AR CONDICIONADO, 400X400 MM - FORNECIMENTO E INSTALAÇÃO. AF_11/2021</v>
          </cell>
          <cell r="D6601" t="str">
            <v>UN</v>
          </cell>
          <cell r="E6601">
            <v>0</v>
          </cell>
        </row>
        <row r="6602">
          <cell r="B6602">
            <v>103288</v>
          </cell>
          <cell r="C6602" t="str">
            <v>RASGO E CHUMBAMENTO EM ALVENARIA PARA TUBOS DE SPLIT PAREDE DE 9000 A 24000 BTUS/H. AF_11/2021</v>
          </cell>
          <cell r="D6602" t="str">
            <v>UN</v>
          </cell>
          <cell r="E6602">
            <v>21.24</v>
          </cell>
          <cell r="F6602">
            <v>0</v>
          </cell>
        </row>
        <row r="6603">
          <cell r="B6603">
            <v>103291</v>
          </cell>
          <cell r="C6603" t="str">
            <v>TUBO EM COBRE FLEXÍVEL, DN 1/2", COM ISOLAMENTO, INSTALADO EM FORRO, PARA RAMAL DE ALIMENTAÇÃO DE AR CONDICIONADO, INCLUSO FIXADOR. AF_11/2021</v>
          </cell>
          <cell r="D6603" t="str">
            <v>M</v>
          </cell>
          <cell r="E6603">
            <v>64.14</v>
          </cell>
          <cell r="F6603">
            <v>0</v>
          </cell>
        </row>
        <row r="6604">
          <cell r="B6604">
            <v>103289</v>
          </cell>
          <cell r="C6604" t="str">
            <v>TUBO EM COBRE FLEXÍVEL, DN 1/4", COM ISOLAMENTO, INSTALADO EM FORRO, PARA RAMAL DE ALIMENTAÇÃO DE AR CONDICIONADO, INCLUSO FIXADOR. AF_11/2021</v>
          </cell>
          <cell r="D6604" t="str">
            <v>M</v>
          </cell>
          <cell r="E6604">
            <v>33.26</v>
          </cell>
          <cell r="F6604">
            <v>0</v>
          </cell>
        </row>
        <row r="6605">
          <cell r="B6605">
            <v>103290</v>
          </cell>
          <cell r="C6605" t="str">
            <v>TUBO EM COBRE FLEXÍVEL, DN 3/8", COM ISOLAMENTO, INSTALADO EM FORRO, PARA RAMAL DE ALIMENTAÇÃO DE AR CONDICIONADO, INCLUSO FIXADOR. AF_11/2021</v>
          </cell>
          <cell r="D6605" t="str">
            <v>M</v>
          </cell>
          <cell r="E6605">
            <v>50.96</v>
          </cell>
          <cell r="F6605">
            <v>0</v>
          </cell>
        </row>
        <row r="6606">
          <cell r="B6606">
            <v>103292</v>
          </cell>
          <cell r="C6606" t="str">
            <v>TUBO EM COBRE FLEXÍVEL, DN 5/8", COM ISOLAMENTO, INSTALADO EM FORRO, PARA RAMAL DE ALIMENTAÇÃO DE AR CONDICIONADO, INCLUSO FIXADOR. AF_11/2021</v>
          </cell>
          <cell r="D6606" t="str">
            <v>M</v>
          </cell>
          <cell r="E6606">
            <v>77.599999999999994</v>
          </cell>
          <cell r="F6606">
            <v>0</v>
          </cell>
        </row>
        <row r="6607">
          <cell r="B6607">
            <v>106044</v>
          </cell>
          <cell r="C6607" t="str">
            <v>COTOVELO EM COBRE, 45 GRAUS, DN 1 1/8", INSTALADO EM RAMAL DE ALIMENTAÇÃO DE AR-CONDICIONADO COM CONDENSADORA CENTRAL - FORNECIMENTO E INSTALAÇÃO. AF_07/2025</v>
          </cell>
          <cell r="D6607" t="str">
            <v>UN</v>
          </cell>
          <cell r="E6607">
            <v>75.05</v>
          </cell>
          <cell r="F6607">
            <v>0</v>
          </cell>
        </row>
        <row r="6608">
          <cell r="B6608">
            <v>106045</v>
          </cell>
          <cell r="C6608" t="str">
            <v>COTOVELO EM COBRE, 45 GRAUS, DN 1 5/8", INSTALADO EM RAMAL DE ALIMENTAÇÃO DE AR-CONDICIONADO COM CONDENSADORA CENTRAL - FORNECIMENTO E INSTALAÇÃO. AF_07/2025</v>
          </cell>
          <cell r="D6608" t="str">
            <v>UN</v>
          </cell>
          <cell r="E6608">
            <v>154.21</v>
          </cell>
          <cell r="F6608">
            <v>0</v>
          </cell>
        </row>
        <row r="6609">
          <cell r="B6609">
            <v>106042</v>
          </cell>
          <cell r="C6609" t="str">
            <v>COTOVELO EM COBRE, 90 GRAUS, DN 1 1/8", INSTALADO EM RAMAL DE ALIMENTAÇÃO DE AR-CONDICIONADO COM CONDENSADORA CENTRAL - FORNECIMENTO E INSTALAÇÃO. AF_07/2025</v>
          </cell>
          <cell r="D6609" t="str">
            <v>UN</v>
          </cell>
          <cell r="E6609">
            <v>76.930000000000007</v>
          </cell>
          <cell r="F6609">
            <v>0</v>
          </cell>
        </row>
        <row r="6610">
          <cell r="B6610">
            <v>106043</v>
          </cell>
          <cell r="C6610" t="str">
            <v>COTOVELO EM COBRE, 90 GRAUS, DN 1 5/8", INSTALADO EM RAMAL DE ALIMENTAÇÃO DE AR-CONDICIONADO COM CONDENSADORA CENTRAL - FORNECIMENTO E INSTALAÇÃO. AF_07/2025</v>
          </cell>
          <cell r="D6610" t="str">
            <v>UN</v>
          </cell>
          <cell r="E6610">
            <v>136.86000000000001</v>
          </cell>
          <cell r="F6610">
            <v>0</v>
          </cell>
        </row>
        <row r="6611">
          <cell r="B6611">
            <v>106046</v>
          </cell>
          <cell r="C6611" t="str">
            <v>LUVA EM COBRE, DN 1 1/8", INSTALADO EM RAMAL DE ALIMENTAÇÃO DE AR-CONDICIONADO COM CONDENSADORA CENTRAL - FORNECIMENTO E INSTALAÇÃO. AF_07/2025</v>
          </cell>
          <cell r="D6611" t="str">
            <v>UN</v>
          </cell>
          <cell r="E6611">
            <v>49.69</v>
          </cell>
          <cell r="F6611">
            <v>0</v>
          </cell>
        </row>
        <row r="6612">
          <cell r="B6612">
            <v>106047</v>
          </cell>
          <cell r="C6612" t="str">
            <v>LUVA EM COBRE, DN 1 5/8", INSTALADO EM RAMAL DE ALIMENTAÇÃO DE AR-CONDICIONADO COM CONDENSADORA CENTRAL - FORNECIMENTO E INSTALAÇÃO. AF_07/2025</v>
          </cell>
          <cell r="D6612" t="str">
            <v>UN</v>
          </cell>
          <cell r="E6612">
            <v>83.44</v>
          </cell>
          <cell r="F6612">
            <v>0</v>
          </cell>
        </row>
        <row r="6613">
          <cell r="B6613">
            <v>106038</v>
          </cell>
          <cell r="C6613" t="str">
            <v>REFINETE EM COBRE, DN 1 1/8", INSTALADO EM RAMAL DE ALIMENTAÇÃO DE AR-CONDICIONADO COM CONDENSADORA CENTRAL - INSTALAÇÃO. AF_07/2025</v>
          </cell>
          <cell r="D6613" t="str">
            <v>UN</v>
          </cell>
          <cell r="E6613">
            <v>74.650000000000006</v>
          </cell>
          <cell r="F6613">
            <v>0</v>
          </cell>
        </row>
        <row r="6614">
          <cell r="B6614">
            <v>106039</v>
          </cell>
          <cell r="C6614" t="str">
            <v>REFINETE EM COBRE, DN 1 5/8", INSTALADO EM RAMAL DE ALIMENTAÇÃO DE AR-CONDICIONADO COM CONDENSADORA CENTRAL - INSTALAÇÃO. AF_07/2025</v>
          </cell>
          <cell r="D6614" t="str">
            <v>UN</v>
          </cell>
          <cell r="E6614">
            <v>97.81</v>
          </cell>
          <cell r="F6614">
            <v>0</v>
          </cell>
        </row>
        <row r="6615">
          <cell r="B6615">
            <v>106040</v>
          </cell>
          <cell r="C6615" t="str">
            <v>TE EM COBRE, DN 1 1/8", INSTALADO EM RAMAL DE ALIMENTAÇÃO DE AR-CONDICIONADO COM CONDENSADORA CENTRAL - FORNECIMENTO E INSTALAÇÃO. AF_07/2025</v>
          </cell>
          <cell r="D6615" t="str">
            <v>UN</v>
          </cell>
          <cell r="E6615">
            <v>100.79</v>
          </cell>
          <cell r="F6615">
            <v>0</v>
          </cell>
        </row>
        <row r="6616">
          <cell r="B6616">
            <v>106041</v>
          </cell>
          <cell r="C6616" t="str">
            <v>TE EM COBRE, DN 1 5/8", INSTALADO EM RAMAL DE ALIMENTAÇÃO DE AR-CONDICIONADO COM CONDENSADORA CENTRAL - FORNECIMENTO E INSTALAÇÃO. AF_07/2025</v>
          </cell>
          <cell r="D6616" t="str">
            <v>UN</v>
          </cell>
          <cell r="E6616">
            <v>174.8</v>
          </cell>
          <cell r="F6616">
            <v>0</v>
          </cell>
        </row>
        <row r="6617">
          <cell r="B6617">
            <v>97329</v>
          </cell>
          <cell r="C6617" t="str">
            <v>TUBO EM COBRE FLEXÍVEL, DN 1/2", COM ISOLAMENTO, INSTALADO EM RAMAL DE ALIMENTAÇÃO DE AR-CONDICIONADO - FORNECIMENTO E INSTALAÇÃO. AF_07/2025</v>
          </cell>
          <cell r="D6617" t="str">
            <v>M</v>
          </cell>
          <cell r="E6617">
            <v>59.11</v>
          </cell>
          <cell r="F6617">
            <v>0</v>
          </cell>
        </row>
        <row r="6618">
          <cell r="B6618">
            <v>97327</v>
          </cell>
          <cell r="C6618" t="str">
            <v>TUBO EM COBRE FLEXÍVEL, DN 1/4", COM ISOLAMENTO, INSTALADO EM RAMAL DE ALIMENTAÇÃO DE AR-CONDICIONADO - FORNECIMENTO E INSTALAÇÃO. AF_07/2025</v>
          </cell>
          <cell r="D6618" t="str">
            <v>M</v>
          </cell>
          <cell r="E6618">
            <v>28.23</v>
          </cell>
          <cell r="F6618">
            <v>0</v>
          </cell>
        </row>
        <row r="6619">
          <cell r="B6619">
            <v>106034</v>
          </cell>
          <cell r="C6619" t="str">
            <v>TUBO EM COBRE FLEXÍVEL, DN 3/4", COM ISOLAMENTO, INSTALADO EM RAMAL DE ALIMENTAÇÃO DE AR-CONDICIONADO - FORNECIMENTO E INSTALAÇÃO. AF_07/2025</v>
          </cell>
          <cell r="D6619" t="str">
            <v>M</v>
          </cell>
          <cell r="E6619">
            <v>123.36</v>
          </cell>
          <cell r="F6619">
            <v>0</v>
          </cell>
        </row>
        <row r="6620">
          <cell r="B6620">
            <v>97328</v>
          </cell>
          <cell r="C6620" t="str">
            <v>TUBO EM COBRE FLEXÍVEL, DN 3/8", COM ISOLAMENTO, INSTALADO EM RAMAL DE ALIMENTAÇÃO DE AR-CONDICIONADO - FORNECIMENTO E INSTALAÇÃO. AF_07/2025</v>
          </cell>
          <cell r="D6620" t="str">
            <v>M</v>
          </cell>
          <cell r="E6620">
            <v>45.93</v>
          </cell>
          <cell r="F6620">
            <v>0</v>
          </cell>
        </row>
        <row r="6621">
          <cell r="B6621">
            <v>97330</v>
          </cell>
          <cell r="C6621" t="str">
            <v>TUBO EM COBRE FLEXÍVEL, DN 5/8", COM ISOLAMENTO, INSTALADO EM RAMAL DE ALIMENTAÇÃO DE AR-CONDICIONADO - FORNECIMENTO E INSTALAÇÃO. AF_07/2025</v>
          </cell>
          <cell r="D6621" t="str">
            <v>M</v>
          </cell>
          <cell r="E6621">
            <v>72.569999999999993</v>
          </cell>
          <cell r="F6621">
            <v>0</v>
          </cell>
        </row>
        <row r="6622">
          <cell r="B6622">
            <v>106035</v>
          </cell>
          <cell r="C6622" t="str">
            <v>TUBO EM COBRE FLEXÍVEL, DN 7/8", COM ISOLAMENTO, INSTALADO EM RAMAL DE ALIMENTAÇÃO DE AR-CONDICIONADO - FORNECIMENTO E INSTALAÇÃO. AF_07/2025</v>
          </cell>
          <cell r="D6622" t="str">
            <v>M</v>
          </cell>
          <cell r="E6622">
            <v>0</v>
          </cell>
        </row>
        <row r="6623">
          <cell r="B6623">
            <v>106036</v>
          </cell>
          <cell r="C6623" t="str">
            <v>TUBO EM COBRE RÍGIDO, DN 1 1/8"", COM ISOLAMENTO, INSTALADO EM RAMAL DE ALIMENTAÇÃO DE AR-CONDICIONADO COM CONDENSADORA CENTRAL - FORNECIMENTO E INSTALAÇÃO. AF_07/2025</v>
          </cell>
          <cell r="D6623" t="str">
            <v>M</v>
          </cell>
          <cell r="E6623">
            <v>0</v>
          </cell>
        </row>
        <row r="6624">
          <cell r="B6624">
            <v>106037</v>
          </cell>
          <cell r="C6624" t="str">
            <v>TUBO EM COBRE RÍGIDO, DN 1 5/8"", COM ISOLAMENTO, INSTALADO EM RAMAL DE ALIMENTAÇÃO DE AR-CONDICIONADO COM CONDENSADORA CENTRAL - FORNECIMENTO E INSTALAÇÃO. AF_07/2025</v>
          </cell>
          <cell r="D6624" t="str">
            <v>M</v>
          </cell>
          <cell r="E6624">
            <v>0</v>
          </cell>
        </row>
        <row r="6625">
          <cell r="B6625">
            <v>93085</v>
          </cell>
          <cell r="C6625" t="str">
            <v>BUCHA DE REDUÇÃO EM COBRE, DN 22 MM X 15 MM, SEM ANEL DE SOLDA, PONTA X BOLSA, INSTALADO EM RAMAL DE DISTRIBUIÇÃO DE HIDRÁULICA PREDIAL - FORNECIMENTO E INSTALAÇÃO. AF_04/2022</v>
          </cell>
          <cell r="D6625" t="str">
            <v>UN</v>
          </cell>
          <cell r="E6625">
            <v>19.48</v>
          </cell>
          <cell r="F6625">
            <v>0</v>
          </cell>
        </row>
        <row r="6626">
          <cell r="B6626">
            <v>103892</v>
          </cell>
          <cell r="C6626" t="str">
            <v>BUCHA DE REDUÇÃO EM COBRE, DN 22 MM X 15 MM, SEM ANEL DE SOLDA, PONTA X BOLSA, INSTALADO EM RAMAL E SUB-RAMAL DE AQUECIMENTO SOLAR - FORNECIMENTO E INSTALAÇÃO. AF_04/2022</v>
          </cell>
          <cell r="D6626" t="str">
            <v>UN</v>
          </cell>
          <cell r="E6626">
            <v>20.94</v>
          </cell>
          <cell r="F6626">
            <v>0</v>
          </cell>
        </row>
        <row r="6627">
          <cell r="B6627">
            <v>103823</v>
          </cell>
          <cell r="C6627" t="str">
            <v>BUCHA DE REDUÇÃO EM COBRE, DN 22 MM X 15 MM, SEM ANEL DE SOLDA, PONTA X BOLSA, INSTALADO EM RAMAL E SUB-RAMAL DE GÁS COMBUSTÍVEL - FORNECIMENTO E INSTALAÇÃO. AF_04/2022</v>
          </cell>
          <cell r="D6627" t="str">
            <v>UN</v>
          </cell>
          <cell r="E6627">
            <v>23.95</v>
          </cell>
          <cell r="F6627">
            <v>0</v>
          </cell>
        </row>
        <row r="6628">
          <cell r="B6628">
            <v>103856</v>
          </cell>
          <cell r="C6628" t="str">
            <v>BUCHA DE REDUÇÃO EM COBRE, DN 22 MM X 15 MM, SEM ANEL DE SOLDA, PONTA X BOLSA, INSTALADO EM RAMAL E SUB-RAMAL DE GÁS MEDICINAL - FORNECIMENTO E INSTALAÇÃO. AF_04/2022</v>
          </cell>
          <cell r="D6628" t="str">
            <v>UN</v>
          </cell>
          <cell r="E6628">
            <v>20.91</v>
          </cell>
          <cell r="F6628">
            <v>0</v>
          </cell>
        </row>
        <row r="6629">
          <cell r="B6629">
            <v>93108</v>
          </cell>
          <cell r="C6629" t="str">
            <v>BUCHA DE REDUÇÃO EM COBRE, DN 22 MM X 15 MM, SEM ANEL DE SOLDA, PONTA X BOLSA, INSTALADO EM RAMAL E SUB-RAMAL DE HIDRÁULICA PREDIAL - FORNECIMENTO E INSTALAÇÃO. AF_04/2022</v>
          </cell>
          <cell r="D6629" t="str">
            <v>UN</v>
          </cell>
          <cell r="E6629">
            <v>17.190000000000001</v>
          </cell>
          <cell r="F6629">
            <v>0</v>
          </cell>
        </row>
        <row r="6630">
          <cell r="B6630">
            <v>93091</v>
          </cell>
          <cell r="C6630" t="str">
            <v>BUCHA DE REDUÇÃO EM COBRE, DN 28 MM X 22 MM, SEM ANEL DE SOLDA, INSTALADO EM RAMAL DE DISTRIBUIÇÃO DE HIDRÁULICA PREDIAL - FORNECIMENTO E INSTALAÇÃO. AF_04/2022</v>
          </cell>
          <cell r="D6630" t="str">
            <v>UN</v>
          </cell>
          <cell r="E6630">
            <v>20.329999999999998</v>
          </cell>
          <cell r="F6630">
            <v>0</v>
          </cell>
        </row>
        <row r="6631">
          <cell r="B6631">
            <v>103900</v>
          </cell>
          <cell r="C6631" t="str">
            <v>BUCHA DE REDUÇÃO EM COBRE, DN 28 MM X 22 MM, SEM ANEL DE SOLDA, INSTALADO EM RAMAL E SUB-RAMAL DE AQUECIMENTO SOLAR - FORNECIMENTO E INSTALAÇÃO. AF_04/2022</v>
          </cell>
          <cell r="D6631" t="str">
            <v>UN</v>
          </cell>
          <cell r="E6631">
            <v>26.56</v>
          </cell>
          <cell r="F6631">
            <v>0</v>
          </cell>
        </row>
        <row r="6632">
          <cell r="B6632">
            <v>103831</v>
          </cell>
          <cell r="C6632" t="str">
            <v>BUCHA DE REDUÇÃO EM COBRE, DN 28 MM X 22 MM, SEM ANEL DE SOLDA, INSTALADO EM RAMAL E SUB-RAMAL DE GÁS COMBUSTÍVEL - FORNECIMENTO E INSTALAÇÃO. AF_04/2022</v>
          </cell>
          <cell r="D6632" t="str">
            <v>UN</v>
          </cell>
          <cell r="E6632">
            <v>35.700000000000003</v>
          </cell>
          <cell r="F6632">
            <v>0</v>
          </cell>
        </row>
        <row r="6633">
          <cell r="B6633">
            <v>103864</v>
          </cell>
          <cell r="C6633" t="str">
            <v>BUCHA DE REDUÇÃO EM COBRE, DN 28 MM X 22 MM, SEM ANEL DE SOLDA, INSTALADO EM RAMAL E SUB-RAMAL DE GÁS MEDICINAL - FORNECIMENTO E INSTALAÇÃO. AF_04/2022</v>
          </cell>
          <cell r="D6633" t="str">
            <v>UN</v>
          </cell>
          <cell r="E6633">
            <v>28.2</v>
          </cell>
          <cell r="F6633">
            <v>0</v>
          </cell>
        </row>
        <row r="6634">
          <cell r="B6634">
            <v>93133</v>
          </cell>
          <cell r="C6634" t="str">
            <v>BUCHA DE REDUÇÃO EM COBRE, DN 28 MM X 22 MM, SEM ANEL DE SOLDA, INSTALADO EM RAMAL E SUB-RAMAL DE HIDRÁULICA PREDIAL - FORNECIMENTO E INSTALAÇÃO. AF_04/2022</v>
          </cell>
          <cell r="D6634" t="str">
            <v>UN</v>
          </cell>
          <cell r="E6634">
            <v>24.6</v>
          </cell>
          <cell r="F6634">
            <v>0</v>
          </cell>
        </row>
        <row r="6635">
          <cell r="B6635">
            <v>93057</v>
          </cell>
          <cell r="C6635" t="str">
            <v>BUCHA DE REDUÇÃO EM COBRE, DN 28 MM X 22 MM, SEM ANEL DE SOLDA, PONTA X BOLSA, INSTALADO EM PRUMADA DE HIDRÁULICA PREDIAL - FORNECIMENTO E INSTALAÇÃO. AF_04/2022</v>
          </cell>
          <cell r="D6635" t="str">
            <v>UN</v>
          </cell>
          <cell r="E6635">
            <v>16.34</v>
          </cell>
          <cell r="F6635">
            <v>0</v>
          </cell>
        </row>
        <row r="6636">
          <cell r="B6636">
            <v>93062</v>
          </cell>
          <cell r="C6636" t="str">
            <v>BUCHA DE REDUÇÃO EM COBRE, DN 35 MM X 28 MM, SEM ANEL DE SOLDA, PONTA X BOLSA, INSTALADO EM PRUMADA DE HIDRÁULICA PREDIAL - FORNECIMENTO E INSTALAÇÃO. AF_04/2022</v>
          </cell>
          <cell r="D6636" t="str">
            <v>UN</v>
          </cell>
          <cell r="E6636">
            <v>30.5</v>
          </cell>
          <cell r="F6636">
            <v>0</v>
          </cell>
        </row>
        <row r="6637">
          <cell r="B6637">
            <v>93065</v>
          </cell>
          <cell r="C6637" t="str">
            <v>BUCHA DE REDUÇÃO EM COBRE, DN 42 MM X 35 MM, SEM ANEL DE SOLDA, PONTA X BOLSA, INSTALADO EM PRUMADA DE HIDRÁULICA PREDIAL - FORNECIMENTO E INSTALAÇÃO. AF_04/2022</v>
          </cell>
          <cell r="D6637" t="str">
            <v>UN</v>
          </cell>
          <cell r="E6637">
            <v>49.11</v>
          </cell>
          <cell r="F6637">
            <v>0</v>
          </cell>
        </row>
        <row r="6638">
          <cell r="B6638">
            <v>93068</v>
          </cell>
          <cell r="C6638" t="str">
            <v>BUCHA DE REDUÇÃO EM COBRE, DN 54 MM X 42 MM, SEM ANEL DE SOLDA, PONTA X BOLSA, INSTALADO EM PRUMADA DE HIDRÁULICA PREDIAL - FORNECIMENTO E INSTALAÇÃO. AF_04/2022</v>
          </cell>
          <cell r="D6638" t="str">
            <v>UN</v>
          </cell>
          <cell r="E6638">
            <v>68.81</v>
          </cell>
          <cell r="F6638">
            <v>0</v>
          </cell>
        </row>
        <row r="6639">
          <cell r="B6639">
            <v>93071</v>
          </cell>
          <cell r="C6639" t="str">
            <v>BUCHA DE REDUÇÃO EM COBRE, DN 66 MM X 54 MM, SEM ANEL DE SOLDA, PONTA X BOLSA, INSTALADO EM PRUMADA DE HIDRÁULICA PREDIAL - FORNECIMENTO E INSTALAÇÃO. AF_04/2022</v>
          </cell>
          <cell r="D6639" t="str">
            <v>UN</v>
          </cell>
          <cell r="E6639">
            <v>183.61</v>
          </cell>
          <cell r="F6639">
            <v>0</v>
          </cell>
        </row>
        <row r="6640">
          <cell r="B6640">
            <v>93081</v>
          </cell>
          <cell r="C6640" t="str">
            <v>CONECTOR EM BRONZE/LATÃO, DN 15 MM X 1/2", SEM ANEL DE SOLDA, BOLSA X ROSCA F, INSTALADO EM RAMAL DE DISTRIBUIÇÃO DE HIDRÁULICA PREDIAL - FORNECIMENTO E INSTALAÇÃO. AF_04/2022</v>
          </cell>
          <cell r="D6640" t="str">
            <v>UN</v>
          </cell>
          <cell r="E6640">
            <v>21.57</v>
          </cell>
          <cell r="F6640">
            <v>0</v>
          </cell>
        </row>
        <row r="6641">
          <cell r="B6641">
            <v>103887</v>
          </cell>
          <cell r="C6641" t="str">
            <v>CONECTOR EM BRONZE/LATÃO, DN 15 MM X 1/2", SEM ANEL DE SOLDA, BOLSA X ROSCA F, INSTALADO EM RAMAL E SUB-RAMAL DE AQUECIMENTO SOLAR - FORNECIMENTO E INSTALAÇÃO. AF_04/2022</v>
          </cell>
          <cell r="D6641" t="str">
            <v>UN</v>
          </cell>
          <cell r="E6641">
            <v>23.94</v>
          </cell>
          <cell r="F6641">
            <v>0</v>
          </cell>
        </row>
        <row r="6642">
          <cell r="B6642">
            <v>103818</v>
          </cell>
          <cell r="C6642" t="str">
            <v>CONECTOR EM BRONZE/LATÃO, DN 15 MM X 1/2", SEM ANEL DE SOLDA, BOLSA X ROSCA F, INSTALADO EM RAMAL E SUB-RAMAL DE GÁS COMBUSTÍVEL - FORNECIMENTO E INSTALAÇÃO. AF_04/2022</v>
          </cell>
          <cell r="D6642" t="str">
            <v>UN</v>
          </cell>
          <cell r="E6642">
            <v>23.9</v>
          </cell>
          <cell r="F6642">
            <v>0</v>
          </cell>
        </row>
        <row r="6643">
          <cell r="B6643">
            <v>103851</v>
          </cell>
          <cell r="C6643" t="str">
            <v>CONECTOR EM BRONZE/LATÃO, DN 15 MM X 1/2", SEM ANEL DE SOLDA, BOLSA X ROSCA F, INSTALADO EM RAMAL E SUB-RAMAL DE GÁS MEDICINAL - FORNECIMENTO E INSTALAÇÃO. AF_04/2022</v>
          </cell>
          <cell r="D6643" t="str">
            <v>UN</v>
          </cell>
          <cell r="E6643">
            <v>23.56</v>
          </cell>
          <cell r="F6643">
            <v>0</v>
          </cell>
        </row>
        <row r="6644">
          <cell r="B6644">
            <v>93104</v>
          </cell>
          <cell r="C6644" t="str">
            <v>CONECTOR EM BRONZE/LATÃO, DN 15 MM X 1/2", SEM ANEL DE SOLDA, BOLSA X ROSCA F, INSTALADO EM RAMAL E SUB-RAMAL DE HIDRÁULICA PREDIAL - FORNECIMENTO E INSTALAÇÃO. AF_04/2022</v>
          </cell>
          <cell r="D6644" t="str">
            <v>UN</v>
          </cell>
          <cell r="E6644">
            <v>21.71</v>
          </cell>
          <cell r="F6644">
            <v>0</v>
          </cell>
        </row>
        <row r="6645">
          <cell r="B6645">
            <v>98602</v>
          </cell>
          <cell r="C6645" t="str">
            <v>CONECTOR EM BRONZE/LATÃO, DN 22 MM X 1/2", SEM ANEL DE SOLDA, BOLSA X ROSCA F, INSTALADO EM PRUMADA DE HIDRÁULICA PREDIAL - FORNECIMENTO E INSTALAÇÃO. AF_04/2022</v>
          </cell>
          <cell r="D6645" t="str">
            <v>UN</v>
          </cell>
          <cell r="E6645">
            <v>20.62</v>
          </cell>
          <cell r="F6645">
            <v>0</v>
          </cell>
        </row>
        <row r="6646">
          <cell r="B6646">
            <v>93087</v>
          </cell>
          <cell r="C6646" t="str">
            <v>CONECTOR EM BRONZE/LATÃO, DN 22 MM X 1/2", SEM ANEL DE SOLDA, BOLSA X ROSCA F, INSTALADO EM RAMAL DE DISTRIBUIÇÃO DE HIDRÁULICA PREDIAL - FORNECIMENTO E INSTALAÇÃO. AF_04/2022</v>
          </cell>
          <cell r="D6646" t="str">
            <v>UN</v>
          </cell>
          <cell r="E6646">
            <v>22.69</v>
          </cell>
          <cell r="F6646">
            <v>0</v>
          </cell>
        </row>
        <row r="6647">
          <cell r="B6647">
            <v>103893</v>
          </cell>
          <cell r="C6647" t="str">
            <v>CONECTOR EM BRONZE/LATÃO, DN 22 MM X 1/2", SEM ANEL DE SOLDA, BOLSA X ROSCA F, INSTALADO EM RAMAL E SUB-RAMAL DE AQUECIMENTO SOLAR - FORNECIMENTO E INSTALAÇÃO. AF_04/2022</v>
          </cell>
          <cell r="D6647" t="str">
            <v>UN</v>
          </cell>
          <cell r="E6647">
            <v>25.58</v>
          </cell>
          <cell r="F6647">
            <v>0</v>
          </cell>
        </row>
        <row r="6648">
          <cell r="B6648">
            <v>103824</v>
          </cell>
          <cell r="C6648" t="str">
            <v>CONECTOR EM BRONZE/LATÃO, DN 22 MM X 1/2", SEM ANEL DE SOLDA, BOLSA X ROSCA F, INSTALADO EM RAMAL E SUB-RAMAL DE GÁS COMBUSTÍVEL - FORNECIMENTO E INSTALAÇÃO. AF_04/2022</v>
          </cell>
          <cell r="D6648" t="str">
            <v>UN</v>
          </cell>
          <cell r="E6648">
            <v>28.78</v>
          </cell>
          <cell r="F6648">
            <v>0</v>
          </cell>
        </row>
        <row r="6649">
          <cell r="B6649">
            <v>103857</v>
          </cell>
          <cell r="C6649" t="str">
            <v>CONECTOR EM BRONZE/LATÃO, DN 22 MM X 1/2", SEM ANEL DE SOLDA, BOLSA X ROSCA F, INSTALADO EM RAMAL E SUB-RAMAL DE GÁS MEDICINAL - FORNECIMENTO E INSTALAÇÃO. AF_04/2022</v>
          </cell>
          <cell r="D6649" t="str">
            <v>UN</v>
          </cell>
          <cell r="E6649">
            <v>26</v>
          </cell>
          <cell r="F6649">
            <v>0</v>
          </cell>
        </row>
        <row r="6650">
          <cell r="B6650">
            <v>93110</v>
          </cell>
          <cell r="C6650" t="str">
            <v>CONECTOR EM BRONZE/LATÃO, DN 22 MM X 1/2", SEM ANEL DE SOLDA, BOLSA X ROSCA F, INSTALADO EM RAMAL E SUB-RAMAL DE HIDRÁULICA PREDIAL - FORNECIMENTO E INSTALAÇÃO. AF_04/2022</v>
          </cell>
          <cell r="D6650" t="str">
            <v>UN</v>
          </cell>
          <cell r="E6650">
            <v>24.23</v>
          </cell>
          <cell r="F6650">
            <v>0</v>
          </cell>
        </row>
        <row r="6651">
          <cell r="B6651">
            <v>93054</v>
          </cell>
          <cell r="C6651" t="str">
            <v>CONECTOR EM BRONZE/LATÃO, DN 22 MM X 3/4", SEM ANEL DE SOLDA, BOLSA X ROSCA F, INSTALADO EM PRUMADA DE HIDRÁULICA PREDIAL - FORNECIMENTO E INSTALAÇÃO. AF_04/2022</v>
          </cell>
          <cell r="D6651" t="str">
            <v>UN</v>
          </cell>
          <cell r="E6651">
            <v>25.64</v>
          </cell>
          <cell r="F6651">
            <v>0</v>
          </cell>
        </row>
        <row r="6652">
          <cell r="B6652">
            <v>93088</v>
          </cell>
          <cell r="C6652" t="str">
            <v>CONECTOR EM BRONZE/LATÃO, DN 22 MM X 3/4", SEM ANEL DE SOLDA, BOLSA X ROSCA F, INSTALADO EM RAMAL DE DISTRIBUIÇÃO DE HIDRÁULICA PREDIAL - FORNECIMENTO E INSTALAÇÃO. AF_04/2022</v>
          </cell>
          <cell r="D6652" t="str">
            <v>UN</v>
          </cell>
          <cell r="E6652">
            <v>28.04</v>
          </cell>
          <cell r="F6652">
            <v>0</v>
          </cell>
        </row>
        <row r="6653">
          <cell r="B6653">
            <v>103894</v>
          </cell>
          <cell r="C6653" t="str">
            <v>CONECTOR EM BRONZE/LATÃO, DN 22 MM X 3/4", SEM ANEL DE SOLDA, BOLSA X ROSCA F, INSTALADO EM RAMAL E SUB-RAMAL DE AQUECIMENTO SOLAR - FORNECIMENTO E INSTALAÇÃO. AF_04/2022</v>
          </cell>
          <cell r="D6653" t="str">
            <v>UN</v>
          </cell>
          <cell r="E6653">
            <v>30.6</v>
          </cell>
          <cell r="F6653">
            <v>0</v>
          </cell>
        </row>
        <row r="6654">
          <cell r="B6654">
            <v>103825</v>
          </cell>
          <cell r="C6654" t="str">
            <v>CONECTOR EM BRONZE/LATÃO, DN 22 MM X 3/4", SEM ANEL DE SOLDA, BOLSA X ROSCA F, INSTALADO EM RAMAL E SUB-RAMAL DE GÁS COMBUSTÍVEL - FORNECIMENTO E INSTALAÇÃO. AF_04/2022</v>
          </cell>
          <cell r="D6654" t="str">
            <v>UN</v>
          </cell>
          <cell r="E6654">
            <v>33.799999999999997</v>
          </cell>
          <cell r="F6654">
            <v>0</v>
          </cell>
        </row>
        <row r="6655">
          <cell r="B6655">
            <v>103858</v>
          </cell>
          <cell r="C6655" t="str">
            <v>CONECTOR EM BRONZE/LATÃO, DN 22 MM X 3/4", SEM ANEL DE SOLDA, BOLSA X ROSCA F, INSTALADO EM RAMAL E SUB-RAMAL DE GÁS MEDICINAL - FORNECIMENTO E INSTALAÇÃO. AF_04/2022</v>
          </cell>
          <cell r="D6655" t="str">
            <v>UN</v>
          </cell>
          <cell r="E6655">
            <v>31.02</v>
          </cell>
          <cell r="F6655">
            <v>0</v>
          </cell>
        </row>
        <row r="6656">
          <cell r="B6656">
            <v>93111</v>
          </cell>
          <cell r="C6656" t="str">
            <v>CONECTOR EM BRONZE/LATÃO, DN 22 MM X 3/4", SEM ANEL DE SOLDA, BOLSA X ROSCA F, INSTALADO EM RAMAL E SUB-RAMAL DE HIDRÁULICA PREDIAL - FORNECIMENTO E INSTALAÇÃO. AF_04/2022</v>
          </cell>
          <cell r="D6656" t="str">
            <v>UN</v>
          </cell>
          <cell r="E6656">
            <v>29.25</v>
          </cell>
          <cell r="F6656">
            <v>0</v>
          </cell>
        </row>
        <row r="6657">
          <cell r="B6657">
            <v>93059</v>
          </cell>
          <cell r="C6657" t="str">
            <v>CONECTOR EM BRONZE/LATÃO, DN 28 MM X 1/2", SEM ANEL DE SOLDA, BOLSA X ROSCA F, INSTALADO EM PRUMADA DE HIDRÁULICA PREDIAL - FORNECIMENTO E INSTALAÇÃO. AF_04/2022</v>
          </cell>
          <cell r="D6657" t="str">
            <v>UN</v>
          </cell>
          <cell r="E6657">
            <v>32.71</v>
          </cell>
          <cell r="F6657">
            <v>0</v>
          </cell>
        </row>
        <row r="6658">
          <cell r="B6658">
            <v>93093</v>
          </cell>
          <cell r="C6658" t="str">
            <v>CONECTOR EM BRONZE/LATÃO, DN 28 MM X 1/2", SEM ANEL DE SOLDA, BOLSA X ROSCA F, INSTALADO EM RAMAL DE DISTRIBUIÇÃO DE HIDRÁULICA PREDIAL - FORNECIMENTO E INSTALAÇÃO. AF_04/2022</v>
          </cell>
          <cell r="D6658" t="str">
            <v>UN</v>
          </cell>
          <cell r="E6658">
            <v>34.630000000000003</v>
          </cell>
          <cell r="F6658">
            <v>0</v>
          </cell>
        </row>
        <row r="6659">
          <cell r="B6659">
            <v>103899</v>
          </cell>
          <cell r="C6659" t="str">
            <v>CONECTOR EM BRONZE/LATÃO, DN 28 MM X 1/2", SEM ANEL DE SOLDA, BOLSA X ROSCA F, INSTALADO EM RAMAL E SUB-RAMAL DE AQUECIMENTO SOLAR - FORNECIMENTO E INSTALAÇÃO. AF_04/2022</v>
          </cell>
          <cell r="D6659" t="str">
            <v>UN</v>
          </cell>
          <cell r="E6659">
            <v>37.96</v>
          </cell>
          <cell r="F6659">
            <v>0</v>
          </cell>
        </row>
        <row r="6660">
          <cell r="B6660">
            <v>103830</v>
          </cell>
          <cell r="C6660" t="str">
            <v>CONECTOR EM BRONZE/LATÃO, DN 28 MM X 1/2", SEM ANEL DE SOLDA, BOLSA X ROSCA F, INSTALADO EM RAMAL E SUB-RAMAL DE GÁS COMBUSTÍVEL - FORNECIMENTO E INSTALAÇÃO. AF_04/2022</v>
          </cell>
          <cell r="D6660" t="str">
            <v>UN</v>
          </cell>
          <cell r="E6660">
            <v>43.68</v>
          </cell>
          <cell r="F6660">
            <v>0</v>
          </cell>
        </row>
        <row r="6661">
          <cell r="B6661">
            <v>103863</v>
          </cell>
          <cell r="C6661" t="str">
            <v>CONECTOR EM BRONZE/LATÃO, DN 28 MM X 1/2", SEM ANEL DE SOLDA, BOLSA X ROSCA F, INSTALADO EM RAMAL E SUB-RAMAL DE GÁS MEDICINAL - FORNECIMENTO E INSTALAÇÃO. AF_04/2022</v>
          </cell>
          <cell r="D6661" t="str">
            <v>UN</v>
          </cell>
          <cell r="E6661">
            <v>39.049999999999997</v>
          </cell>
          <cell r="F6661">
            <v>0</v>
          </cell>
        </row>
        <row r="6662">
          <cell r="B6662">
            <v>93114</v>
          </cell>
          <cell r="C6662" t="str">
            <v>CONECTOR EM BRONZE/LATÃO, DN 28 MM X 1/2", SEM ANEL DE SOLDA, BOLSA X ROSCA F, INSTALADO EM RAMAL E SUB-RAMAL DE HIDRÁULICA PREDIAL - FORNECIMENTO E INSTALAÇÃO. AF_04/2022</v>
          </cell>
          <cell r="D6662" t="str">
            <v>UN</v>
          </cell>
          <cell r="E6662">
            <v>37.36</v>
          </cell>
          <cell r="F6662">
            <v>0</v>
          </cell>
        </row>
        <row r="6663">
          <cell r="B6663">
            <v>93075</v>
          </cell>
          <cell r="C6663" t="str">
            <v>COTOVELO EM BRONZE/LATÃO, DN 15 MM X 1/2", 90 GRAUS, SEM ANEL DE SOLDA, BOLSA X ROSCA F, INSTALADO EM RAMAL DE DISTRIBUIÇÃO DE HIDRÁULICA PREDIAL - FORNECIMENTO E INSTALAÇÃO. AF_04/2022</v>
          </cell>
          <cell r="D6663" t="str">
            <v>UN</v>
          </cell>
          <cell r="E6663">
            <v>23.31</v>
          </cell>
          <cell r="F6663">
            <v>0</v>
          </cell>
        </row>
        <row r="6664">
          <cell r="B6664">
            <v>103876</v>
          </cell>
          <cell r="C6664" t="str">
            <v>COTOVELO EM BRONZE/LATÃO, DN 15 MM X 1/2", 90 GRAUS, SEM ANEL DE SOLDA, BOLSA X ROSCA F, INSTALADO EM RAMAL E SUB-RAMAL DE AQUECIMENTO SOLAR - FORNECIMENTO E INSTALAÇÃO. AF_04/2022</v>
          </cell>
          <cell r="D6664" t="str">
            <v>UN</v>
          </cell>
          <cell r="E6664">
            <v>26.84</v>
          </cell>
          <cell r="F6664">
            <v>0</v>
          </cell>
        </row>
        <row r="6665">
          <cell r="B6665">
            <v>103807</v>
          </cell>
          <cell r="C6665" t="str">
            <v>COTOVELO EM BRONZE/LATÃO, DN 15 MM X 1/2", 90 GRAUS, SEM ANEL DE SOLDA, BOLSA X ROSCA F, INSTALADO EM RAMAL E SUB-RAMAL DE GÁS COMBUSTÍVEL - FORNECIMENTO E INSTALAÇÃO. AF_04/2022</v>
          </cell>
          <cell r="D6665" t="str">
            <v>UN</v>
          </cell>
          <cell r="E6665">
            <v>26.79</v>
          </cell>
          <cell r="F6665">
            <v>0</v>
          </cell>
        </row>
        <row r="6666">
          <cell r="B6666">
            <v>103840</v>
          </cell>
          <cell r="C6666" t="str">
            <v>COTOVELO EM BRONZE/LATÃO, DN 15 MM X 1/2", 90 GRAUS, SEM ANEL DE SOLDA, BOLSA X ROSCA F, INSTALADO EM RAMAL E SUB-RAMAL DE GÁS MEDICINAL - FORNECIMENTO E INSTALAÇÃO. AF_04/2022</v>
          </cell>
          <cell r="D6666" t="str">
            <v>UN</v>
          </cell>
          <cell r="E6666">
            <v>26.27</v>
          </cell>
          <cell r="F6666">
            <v>0</v>
          </cell>
        </row>
        <row r="6667">
          <cell r="B6667">
            <v>93098</v>
          </cell>
          <cell r="C6667" t="str">
            <v>COTOVELO EM BRONZE/LATÃO, DN 15 MM X 1/2", 90 GRAUS, SEM ANEL DE SOLDA, BOLSA X ROSCA F, INSTALADO EM RAMAL E SUB-RAMAL DE HIDRÁULICA PREDIAL - FORNECIMENTO E INSTALAÇÃO. AF_04/2022</v>
          </cell>
          <cell r="D6667" t="str">
            <v>UN</v>
          </cell>
          <cell r="E6667">
            <v>23.52</v>
          </cell>
          <cell r="F6667">
            <v>0</v>
          </cell>
        </row>
        <row r="6668">
          <cell r="B6668">
            <v>93120</v>
          </cell>
          <cell r="C6668" t="str">
            <v>COTOVELO EM BRONZE/LATÃO, DN 22 MM X 1/2", 90 GRAUS, SEM ANEL DE SOLDA, BOLSA X ROSCA F, INSTALADO EM PRUMADA DE HIDRÁULICA PREDIAL - FORNECIMENTO E INSTALAÇÃO. AF_04/2022</v>
          </cell>
          <cell r="D6668" t="str">
            <v>UN</v>
          </cell>
          <cell r="E6668">
            <v>29.16</v>
          </cell>
          <cell r="F6668">
            <v>0</v>
          </cell>
        </row>
        <row r="6669">
          <cell r="B6669">
            <v>93077</v>
          </cell>
          <cell r="C6669" t="str">
            <v>COTOVELO EM BRONZE/LATÃO, DN 22 MM X 1/2", 90 GRAUS, SEM ANEL DE SOLDA, BOLSA X ROSCA F, INSTALADO EM RAMAL DE DISTRIBUIÇÃO DE HIDRÁULICA PREDIAL - FORNECIMENTO E INSTALAÇÃO. AF_04/2022</v>
          </cell>
          <cell r="D6669" t="str">
            <v>UN</v>
          </cell>
          <cell r="E6669">
            <v>32.25</v>
          </cell>
          <cell r="F6669">
            <v>0</v>
          </cell>
        </row>
        <row r="6670">
          <cell r="B6670">
            <v>103879</v>
          </cell>
          <cell r="C6670" t="str">
            <v>COTOVELO EM BRONZE/LATÃO, DN 22 MM X 1/2", 90 GRAUS, SEM ANEL DE SOLDA, BOLSA X ROSCA F, INSTALADO EM RAMAL E SUB-RAMAL DE AQUECIMENTO SOLAR - FORNECIMENTO E INSTALAÇÃO. AF_04/2022</v>
          </cell>
          <cell r="D6670" t="str">
            <v>UN</v>
          </cell>
          <cell r="E6670">
            <v>36.57</v>
          </cell>
          <cell r="F6670">
            <v>0</v>
          </cell>
        </row>
        <row r="6671">
          <cell r="B6671">
            <v>103810</v>
          </cell>
          <cell r="C6671" t="str">
            <v>COTOVELO EM BRONZE/LATÃO, DN 22 MM X 1/2", 90 GRAUS, SEM ANEL DE SOLDA, BOLSA X ROSCA F, INSTALADO EM RAMAL E SUB-RAMAL DE GÁS COMBUSTÍVEL - FORNECIMENTO E INSTALAÇÃO. AF_04/2022</v>
          </cell>
          <cell r="D6671" t="str">
            <v>UN</v>
          </cell>
          <cell r="E6671">
            <v>41.32</v>
          </cell>
          <cell r="F6671">
            <v>0</v>
          </cell>
        </row>
        <row r="6672">
          <cell r="B6672">
            <v>103843</v>
          </cell>
          <cell r="C6672" t="str">
            <v>COTOVELO EM BRONZE/LATÃO, DN 22 MM X 1/2", 90 GRAUS, SEM ANEL DE SOLDA, BOLSA X ROSCA F, INSTALADO EM RAMAL E SUB-RAMAL DE GÁS MEDICINAL - FORNECIMENTO E INSTALAÇÃO. AF_04/2022</v>
          </cell>
          <cell r="D6672" t="str">
            <v>UN</v>
          </cell>
          <cell r="E6672">
            <v>37.18</v>
          </cell>
          <cell r="F6672">
            <v>0</v>
          </cell>
        </row>
        <row r="6673">
          <cell r="B6673">
            <v>93100</v>
          </cell>
          <cell r="C6673" t="str">
            <v>COTOVELO EM BRONZE/LATÃO, DN 22 MM X 1/2", 90 GRAUS, SEM ANEL DE SOLDA, BOLSA X ROSCA F, INSTALADO EM RAMAL E SUB-RAMAL DE HIDRÁULICA PREDIAL - FORNECIMENTO E INSTALAÇÃO. AF_04/2022</v>
          </cell>
          <cell r="D6673" t="str">
            <v>UN</v>
          </cell>
          <cell r="E6673">
            <v>34.54</v>
          </cell>
          <cell r="F6673">
            <v>0</v>
          </cell>
        </row>
        <row r="6674">
          <cell r="B6674">
            <v>93121</v>
          </cell>
          <cell r="C6674" t="str">
            <v>COTOVELO EM BRONZE/LATÃO, DN 22 MM X 3/4", 90 GRAUS, SEM ANEL DE SOLDA, BOLSA X ROSCA F, INSTALADO EM PRUMADA DE HIDRÁULICA PREDIAL - FORNECIMENTO E INSTALAÇÃO. AF_04/2022</v>
          </cell>
          <cell r="D6674" t="str">
            <v>UN</v>
          </cell>
          <cell r="E6674">
            <v>33.270000000000003</v>
          </cell>
          <cell r="F6674">
            <v>0</v>
          </cell>
        </row>
        <row r="6675">
          <cell r="B6675">
            <v>93078</v>
          </cell>
          <cell r="C6675" t="str">
            <v>COTOVELO EM BRONZE/LATÃO, DN 22 MM X 3/4", 90 GRAUS, SEM ANEL DE SOLDA, BOLSA X ROSCA F, INSTALADO EM RAMAL DE DISTRIBUIÇÃO DE HIDRÁULICA PREDIAL - FORNECIMENTO E INSTALAÇÃO. AF_04/2022</v>
          </cell>
          <cell r="D6675" t="str">
            <v>UN</v>
          </cell>
          <cell r="E6675">
            <v>36.36</v>
          </cell>
          <cell r="F6675">
            <v>0</v>
          </cell>
        </row>
        <row r="6676">
          <cell r="B6676">
            <v>103880</v>
          </cell>
          <cell r="C6676" t="str">
            <v>COTOVELO EM BRONZE/LATÃO, DN 22 MM X 3/4", 90 GRAUS, SEM ANEL DE SOLDA, BOLSA X ROSCA F, INSTALADO EM RAMAL E SUB-RAMAL DE AQUECIMENTO SOLAR - FORNECIMENTO E INSTALAÇÃO. AF_04/2022</v>
          </cell>
          <cell r="D6676" t="str">
            <v>UN</v>
          </cell>
          <cell r="E6676">
            <v>40.69</v>
          </cell>
          <cell r="F6676">
            <v>0</v>
          </cell>
        </row>
        <row r="6677">
          <cell r="B6677">
            <v>103811</v>
          </cell>
          <cell r="C6677" t="str">
            <v>COTOVELO EM BRONZE/LATÃO, DN 22 MM X 3/4", 90 GRAUS, SEM ANEL DE SOLDA, BOLSA X ROSCA F, INSTALADO EM RAMAL E SUB-RAMAL DE GÁS COMBUSTÍVEL - FORNECIMENTO E INSTALAÇÃO. AF_04/2022</v>
          </cell>
          <cell r="D6677" t="str">
            <v>UN</v>
          </cell>
          <cell r="E6677">
            <v>45.45</v>
          </cell>
          <cell r="F6677">
            <v>0</v>
          </cell>
        </row>
        <row r="6678">
          <cell r="B6678">
            <v>103844</v>
          </cell>
          <cell r="C6678" t="str">
            <v>COTOVELO EM BRONZE/LATÃO, DN 22 MM X 3/4", 90 GRAUS, SEM ANEL DE SOLDA, BOLSA X ROSCA F, INSTALADO EM RAMAL E SUB-RAMAL DE GÁS MEDICINAL - FORNECIMENTO E INSTALAÇÃO. AF_04/2022</v>
          </cell>
          <cell r="D6678" t="str">
            <v>UN</v>
          </cell>
          <cell r="E6678">
            <v>41.29</v>
          </cell>
          <cell r="F6678">
            <v>0</v>
          </cell>
        </row>
        <row r="6679">
          <cell r="B6679">
            <v>93101</v>
          </cell>
          <cell r="C6679" t="str">
            <v>COTOVELO EM BRONZE/LATÃO, DN 22 MM X 3/4", 90 GRAUS, SEM ANEL DE SOLDA, BOLSA X ROSCA F, INSTALADO EM RAMAL E SUB-RAMAL DE HIDRÁULICA PREDIAL - FORNECIMENTO E INSTALAÇÃO. AF_04/2022</v>
          </cell>
          <cell r="D6679" t="str">
            <v>UN</v>
          </cell>
          <cell r="E6679">
            <v>38.659999999999997</v>
          </cell>
          <cell r="F6679">
            <v>0</v>
          </cell>
        </row>
        <row r="6680">
          <cell r="B6680">
            <v>92311</v>
          </cell>
          <cell r="C6680" t="str">
            <v>COTOVELO EM COBRE, DN 15 MM, 90 GRAUS, SEM ANEL DE SOLDA, INSTALADO EM RAMAL DE DISTRIBUIÇÃO FORNECIMENTO E INSTALAÇÃO. AF_04/2022</v>
          </cell>
          <cell r="D6680" t="str">
            <v>UN</v>
          </cell>
          <cell r="E6680">
            <v>16.73</v>
          </cell>
          <cell r="F6680">
            <v>0</v>
          </cell>
        </row>
        <row r="6681">
          <cell r="B6681">
            <v>103874</v>
          </cell>
          <cell r="C6681" t="str">
            <v>COTOVELO EM COBRE, DN 15 MM, 90 GRAUS, SEM ANEL DE SOLDA, INSTALADO EM RAMAL E SUB-RAMAL DE AQUECIMENTO SOLAR - FORNECIMENTO E INSTALAÇÃO. AF_04/2022</v>
          </cell>
          <cell r="D6681" t="str">
            <v>UN</v>
          </cell>
          <cell r="E6681">
            <v>24.54</v>
          </cell>
          <cell r="F6681">
            <v>0</v>
          </cell>
        </row>
        <row r="6682">
          <cell r="B6682">
            <v>103805</v>
          </cell>
          <cell r="C6682" t="str">
            <v>COTOVELO EM COBRE, DN 15 MM, 90 GRAUS, SEM ANEL DE SOLDA, INSTALADO EM RAMAL E SUB-RAMAL DE GÁS COMBUSTÍVEL - FORNECIMENTO E INSTALAÇÃO. AF_04/2022</v>
          </cell>
          <cell r="D6682" t="str">
            <v>UN</v>
          </cell>
          <cell r="E6682">
            <v>24.43</v>
          </cell>
          <cell r="F6682">
            <v>0</v>
          </cell>
        </row>
        <row r="6683">
          <cell r="B6683">
            <v>103838</v>
          </cell>
          <cell r="C6683" t="str">
            <v>COTOVELO EM COBRE, DN 15 MM, 90 GRAUS, SEM ANEL DE SOLDA, INSTALADO EM RAMAL E SUB-RAMAL DE GÁS MEDICINAL - FORNECIMENTO E INSTALAÇÃO. AF_04/2022</v>
          </cell>
          <cell r="D6683" t="str">
            <v>UN</v>
          </cell>
          <cell r="E6683">
            <v>23.37</v>
          </cell>
          <cell r="F6683">
            <v>0</v>
          </cell>
        </row>
        <row r="6684">
          <cell r="B6684">
            <v>92326</v>
          </cell>
          <cell r="C6684" t="str">
            <v>COTOVELO EM COBRE, DN 15 MM, 90 GRAUS, SEM ANEL DE SOLDA, INSTALADO EM RAMAL E SUB-RAMAL DE HIDRÁULICA PREDIAL - FORNECIMENTO E INSTALAÇÃO. AF_04/2022</v>
          </cell>
          <cell r="D6684" t="str">
            <v>UN</v>
          </cell>
          <cell r="E6684">
            <v>17.86</v>
          </cell>
          <cell r="F6684">
            <v>0</v>
          </cell>
        </row>
        <row r="6685">
          <cell r="B6685">
            <v>92287</v>
          </cell>
          <cell r="C6685" t="str">
            <v>COTOVELO EM COBRE, DN 22 MM, 90 GRAUS, SEM ANEL DE SOLDA, INSTALADO EM PRUMADA DE HIDRÁULICA PREDIAL - FORNECIMENTO E INSTALAÇÃO. AF_04/2022</v>
          </cell>
          <cell r="D6685" t="str">
            <v>UN</v>
          </cell>
          <cell r="E6685">
            <v>20.54</v>
          </cell>
          <cell r="F6685">
            <v>0</v>
          </cell>
        </row>
        <row r="6686">
          <cell r="B6686">
            <v>92312</v>
          </cell>
          <cell r="C6686" t="str">
            <v>COTOVELO EM COBRE, DN 22 MM, 90 GRAUS, SEM ANEL DE SOLDA, INSTALADO EM RAMAL DE DISTRIBUIÇÃO DE HIDRÁULICA PREDIAL - FORNECIMENTO E INSTALAÇÃO. AF_04/2022</v>
          </cell>
          <cell r="D6686" t="str">
            <v>UN</v>
          </cell>
          <cell r="E6686">
            <v>26.72</v>
          </cell>
          <cell r="F6686">
            <v>0</v>
          </cell>
        </row>
        <row r="6687">
          <cell r="B6687">
            <v>103877</v>
          </cell>
          <cell r="C6687" t="str">
            <v>COTOVELO EM COBRE, DN 22 MM, 90 GRAUS, SEM ANEL DE SOLDA, INSTALADO EM RAMAL E SUB-RAMAL DE AQUECIMENTO SOLAR - FORNECIMENTO E INSTALAÇÃO. AF_04/2022</v>
          </cell>
          <cell r="D6687" t="str">
            <v>UN</v>
          </cell>
          <cell r="E6687">
            <v>35.380000000000003</v>
          </cell>
          <cell r="F6687">
            <v>0</v>
          </cell>
        </row>
        <row r="6688">
          <cell r="B6688">
            <v>103808</v>
          </cell>
          <cell r="C6688" t="str">
            <v>COTOVELO EM COBRE, DN 22 MM, 90 GRAUS, SEM ANEL DE SOLDA, INSTALADO EM RAMAL E SUB-RAMAL DE GÁS COMBUSTÍVEL - FORNECIMENTO E INSTALAÇÃO. AF_04/2022</v>
          </cell>
          <cell r="D6688" t="str">
            <v>UN</v>
          </cell>
          <cell r="E6688">
            <v>44.88</v>
          </cell>
          <cell r="F6688">
            <v>0</v>
          </cell>
        </row>
        <row r="6689">
          <cell r="B6689">
            <v>103841</v>
          </cell>
          <cell r="C6689" t="str">
            <v>COTOVELO EM COBRE, DN 22 MM, 90 GRAUS, SEM ANEL DE SOLDA, INSTALADO EM RAMAL E SUB-RAMAL DE GÁS MEDICINAL - FORNECIMENTO E INSTALAÇÃO. AF_04/2022</v>
          </cell>
          <cell r="D6689" t="str">
            <v>UN</v>
          </cell>
          <cell r="E6689">
            <v>36.57</v>
          </cell>
          <cell r="F6689">
            <v>0</v>
          </cell>
        </row>
        <row r="6690">
          <cell r="B6690">
            <v>92327</v>
          </cell>
          <cell r="C6690" t="str">
            <v>COTOVELO EM COBRE, DN 22 MM, 90 GRAUS, SEM ANEL DE SOLDA, INSTALADO EM RAMAL E SUB-RAMAL DE HIDRÁULICA PREDIAL - FORNECIMENTO E INSTALAÇÃO. AF_04/2022</v>
          </cell>
          <cell r="D6690" t="str">
            <v>UN</v>
          </cell>
          <cell r="E6690">
            <v>31.31</v>
          </cell>
          <cell r="F6690">
            <v>0</v>
          </cell>
        </row>
        <row r="6691">
          <cell r="B6691">
            <v>92288</v>
          </cell>
          <cell r="C6691" t="str">
            <v>COTOVELO EM COBRE, DN 28 MM, 90 GRAUS, SEM ANEL DE SOLDA, INSTALADO EM PRUMADA DE HIDRÁULICA PREDIAL - FORNECIMENTO E INSTALAÇÃO. AF_04/2022</v>
          </cell>
          <cell r="D6691" t="str">
            <v>UN</v>
          </cell>
          <cell r="E6691">
            <v>31.87</v>
          </cell>
          <cell r="F6691">
            <v>0</v>
          </cell>
        </row>
        <row r="6692">
          <cell r="B6692">
            <v>92313</v>
          </cell>
          <cell r="C6692" t="str">
            <v>COTOVELO EM COBRE, DN 28 MM, 90 GRAUS, SEM ANEL DE SOLDA, INSTALADO EM RAMAL DE DISTRIBUIÇÃO DE HIDRÁULICA PREDIAL - FORNECIMENTO E INSTALAÇÃO. AF_04/2022</v>
          </cell>
          <cell r="D6692" t="str">
            <v>UN</v>
          </cell>
          <cell r="E6692">
            <v>37.590000000000003</v>
          </cell>
          <cell r="F6692">
            <v>0</v>
          </cell>
        </row>
        <row r="6693">
          <cell r="B6693">
            <v>103881</v>
          </cell>
          <cell r="C6693" t="str">
            <v>COTOVELO EM COBRE, DN 28 MM, 90 GRAUS, SEM ANEL DE SOLDA, INSTALADO EM RAMAL E SUB-RAMAL DE AQUECIMENTO SOLAR - FORNECIMENTO E INSTALAÇÃO. AF_04/2022</v>
          </cell>
          <cell r="D6693" t="str">
            <v>UN</v>
          </cell>
          <cell r="E6693">
            <v>47.6</v>
          </cell>
          <cell r="F6693">
            <v>0</v>
          </cell>
        </row>
        <row r="6694">
          <cell r="B6694">
            <v>103812</v>
          </cell>
          <cell r="C6694" t="str">
            <v>COTOVELO EM COBRE, DN 28 MM, 90 GRAUS, SEM ANEL DE SOLDA, INSTALADO EM RAMAL E SUB-RAMAL DE GÁS COMBUSTÍVEL - FORNECIMENTO E INSTALAÇÃO. AF_04/2022</v>
          </cell>
          <cell r="D6694" t="str">
            <v>UN</v>
          </cell>
          <cell r="E6694">
            <v>65.34</v>
          </cell>
          <cell r="F6694">
            <v>0</v>
          </cell>
        </row>
        <row r="6695">
          <cell r="B6695">
            <v>103845</v>
          </cell>
          <cell r="C6695" t="str">
            <v>COTOVELO EM COBRE, DN 28 MM, 90 GRAUS, SEM ANEL DE SOLDA, INSTALADO EM RAMAL E SUB-RAMAL DE GÁS MEDICINAL - FORNECIMENTO E INSTALAÇÃO. AF_04/2022</v>
          </cell>
          <cell r="D6695" t="str">
            <v>UN</v>
          </cell>
          <cell r="E6695">
            <v>50.81</v>
          </cell>
          <cell r="F6695">
            <v>0</v>
          </cell>
        </row>
        <row r="6696">
          <cell r="B6696">
            <v>92328</v>
          </cell>
          <cell r="C6696" t="str">
            <v>COTOVELO EM COBRE, DN 28 MM, 90 GRAUS, SEM ANEL DE SOLDA, INSTALADO EM RAMAL E SUB-RAMAL DE HIDRÁULICA PREDIAL - FORNECIMENTO E INSTALAÇÃO. AF_04/2022</v>
          </cell>
          <cell r="D6696" t="str">
            <v>UN</v>
          </cell>
          <cell r="E6696">
            <v>45.75</v>
          </cell>
          <cell r="F6696">
            <v>0</v>
          </cell>
        </row>
        <row r="6697">
          <cell r="B6697">
            <v>92289</v>
          </cell>
          <cell r="C6697" t="str">
            <v>COTOVELO EM COBRE, DN 35 MM, 90 GRAUS, SEM ANEL DE SOLDA, INSTALADO EM PRUMADA DE HIDRÁULICA PREDIAL - FORNECIMENTO E INSTALAÇÃO. AF_04/2022</v>
          </cell>
          <cell r="D6697" t="str">
            <v>UN</v>
          </cell>
          <cell r="E6697">
            <v>55.29</v>
          </cell>
          <cell r="F6697">
            <v>0</v>
          </cell>
        </row>
        <row r="6698">
          <cell r="B6698">
            <v>92290</v>
          </cell>
          <cell r="C6698" t="str">
            <v>COTOVELO EM COBRE, DN 42 MM, 90 GRAUS, SEM ANEL DE SOLDA, INSTALADO EM PRUMADA DE HIDRÁULICA PREDIAL - FORNECIMENTO E INSTALAÇÃO. AF_04/2022</v>
          </cell>
          <cell r="D6698" t="str">
            <v>UN</v>
          </cell>
          <cell r="E6698">
            <v>82.84</v>
          </cell>
          <cell r="F6698">
            <v>0</v>
          </cell>
        </row>
        <row r="6699">
          <cell r="B6699">
            <v>92291</v>
          </cell>
          <cell r="C6699" t="str">
            <v>COTOVELO EM COBRE, DN 54 MM, 90 GRAUS, SEM ANEL DE SOLDA, INSTALADO EM PRUMADA DE HIDRÁULICA PREDIAL - FORNECIMENTO E INSTALAÇÃO. AF_04/2022</v>
          </cell>
          <cell r="D6699" t="str">
            <v>UN</v>
          </cell>
          <cell r="E6699">
            <v>127.43</v>
          </cell>
          <cell r="F6699">
            <v>0</v>
          </cell>
        </row>
        <row r="6700">
          <cell r="B6700">
            <v>92292</v>
          </cell>
          <cell r="C6700" t="str">
            <v>COTOVELO EM COBRE, DN 66 MM, 90 GRAUS, SEM ANEL DE SOLDA, INSTALADO EM PRUMADA DE HIDRÁULICA PREDIAL - FORNECIMENTO E INSTALAÇÃO. AF_04/2022</v>
          </cell>
          <cell r="D6700" t="str">
            <v>UN</v>
          </cell>
          <cell r="E6700">
            <v>386.11</v>
          </cell>
          <cell r="F6700">
            <v>0</v>
          </cell>
        </row>
        <row r="6701">
          <cell r="B6701">
            <v>93082</v>
          </cell>
          <cell r="C6701" t="str">
            <v>CURVA DE TRANSPOSIÇÃO EM BRONZE/LATÃO, DN 15 MM, SEM ANEL DE SOLDA, BOLSA X BOLSA, INSTALADO EM RAMAL DE DISTRIBUIÇÃO DE HIDRÁULICA PREDIAL - FORNECIMENTO E INSTALAÇÃO. AF_04/2022</v>
          </cell>
          <cell r="D6701" t="str">
            <v>UN</v>
          </cell>
          <cell r="E6701">
            <v>27.71</v>
          </cell>
          <cell r="F6701">
            <v>0</v>
          </cell>
        </row>
        <row r="6702">
          <cell r="B6702">
            <v>103885</v>
          </cell>
          <cell r="C6702" t="str">
            <v>CURVA DE TRANSPOSIÇÃO EM BRONZE/LATÃO, DN 15 MM, SEM ANEL DE SOLDA, BOLSA X BOLSA, INSTALADO EM RAMAL E SUB-RAMAL DE AQUECIMENTO SOLAR - FORNECIMENTO E INSTALAÇÃO. AF_04/2022</v>
          </cell>
          <cell r="D6702" t="str">
            <v>UN</v>
          </cell>
          <cell r="E6702">
            <v>32.43</v>
          </cell>
          <cell r="F6702">
            <v>0</v>
          </cell>
        </row>
        <row r="6703">
          <cell r="B6703">
            <v>103816</v>
          </cell>
          <cell r="C6703" t="str">
            <v>CURVA DE TRANSPOSIÇÃO EM BRONZE/LATÃO, DN 15 MM, SEM ANEL DE SOLDA, BOLSA X BOLSA, INSTALADO EM RAMAL E SUB-RAMAL DE GÁS COMBUSTÍVEL - FORNECIMENTO E INSTALAÇÃO. AF_04/2022</v>
          </cell>
          <cell r="D6703" t="str">
            <v>UN</v>
          </cell>
          <cell r="E6703">
            <v>32.380000000000003</v>
          </cell>
          <cell r="F6703">
            <v>0</v>
          </cell>
        </row>
        <row r="6704">
          <cell r="B6704">
            <v>103849</v>
          </cell>
          <cell r="C6704" t="str">
            <v>CURVA DE TRANSPOSIÇÃO EM BRONZE/LATÃO, DN 15 MM, SEM ANEL DE SOLDA, BOLSA X BOLSA, INSTALADO EM RAMAL E SUB-RAMAL DE GÁS MEDICINAL - FORNECIMENTO E INSTALAÇÃO. AF_04/2022</v>
          </cell>
          <cell r="D6704" t="str">
            <v>UN</v>
          </cell>
          <cell r="E6704">
            <v>31.67</v>
          </cell>
          <cell r="F6704">
            <v>0</v>
          </cell>
        </row>
        <row r="6705">
          <cell r="B6705">
            <v>93105</v>
          </cell>
          <cell r="C6705" t="str">
            <v>CURVA DE TRANSPOSIÇÃO EM BRONZE/LATÃO, DN 15 MM, SEM ANEL DE SOLDA, BOLSA X BOLSA, INSTALADO EM RAMAL E SUB-RAMAL DE HIDRÁULICA PREDIAL - FORNECIMENTO E INSTALAÇÃO. AF_04/2022</v>
          </cell>
          <cell r="D6705" t="str">
            <v>UN</v>
          </cell>
          <cell r="E6705">
            <v>27.98</v>
          </cell>
          <cell r="F6705">
            <v>0</v>
          </cell>
        </row>
        <row r="6706">
          <cell r="B6706">
            <v>93055</v>
          </cell>
          <cell r="C6706" t="str">
            <v>CURVA DE TRANSPOSIÇÃO EM BRONZE/LATÃO, DN 22 MM, SEM ANEL DE SOLDA, BOLSA X BOLSA, INSTALADO EM PRUMADA DE HIDRÁULICA PREDIAL - FORNECIMENTO E INSTALAÇÃO. AF_04/2022</v>
          </cell>
          <cell r="D6706" t="str">
            <v>UN</v>
          </cell>
          <cell r="E6706">
            <v>49.09</v>
          </cell>
          <cell r="F6706">
            <v>0</v>
          </cell>
        </row>
        <row r="6707">
          <cell r="B6707">
            <v>93089</v>
          </cell>
          <cell r="C6707" t="str">
            <v>CURVA DE TRANSPOSIÇÃO EM BRONZE/LATÃO, DN 22 MM, SEM ANEL DE SOLDA, BOLSA X BOLSA, INSTALADO EM RAMAL DE DISTRIBUIÇÃO DE HIDRÁULICA PREDIAL - FORNECIMENTO E INSTALAÇÃO. AF_04/2022</v>
          </cell>
          <cell r="D6707" t="str">
            <v>UN</v>
          </cell>
          <cell r="E6707">
            <v>53.22</v>
          </cell>
          <cell r="F6707">
            <v>0</v>
          </cell>
        </row>
        <row r="6708">
          <cell r="B6708">
            <v>103891</v>
          </cell>
          <cell r="C6708" t="str">
            <v>CURVA DE TRANSPOSIÇÃO EM BRONZE/LATÃO, DN 22 MM, SEM ANEL DE SOLDA, BOLSA X BOLSA, INSTALADO EM RAMAL E SUB-RAMAL DE AQUECIMENTO SOLAR - FORNECIMENTO E INSTALAÇÃO. AF_04/2022</v>
          </cell>
          <cell r="D6708" t="str">
            <v>UN</v>
          </cell>
          <cell r="E6708">
            <v>59</v>
          </cell>
          <cell r="F6708">
            <v>0</v>
          </cell>
        </row>
        <row r="6709">
          <cell r="B6709">
            <v>103822</v>
          </cell>
          <cell r="C6709" t="str">
            <v>CURVA DE TRANSPOSIÇÃO EM BRONZE/LATÃO, DN 22 MM, SEM ANEL DE SOLDA, BOLSA X BOLSA, INSTALADO EM RAMAL E SUB-RAMAL DE GÁS COMBUSTÍVEL - FORNECIMENTO E INSTALAÇÃO. AF_04/2022</v>
          </cell>
          <cell r="D6709" t="str">
            <v>UN</v>
          </cell>
          <cell r="E6709">
            <v>65.39</v>
          </cell>
          <cell r="F6709">
            <v>0</v>
          </cell>
        </row>
        <row r="6710">
          <cell r="B6710">
            <v>103855</v>
          </cell>
          <cell r="C6710" t="str">
            <v>CURVA DE TRANSPOSIÇÃO EM BRONZE/LATÃO, DN 22 MM, SEM ANEL DE SOLDA, BOLSA X BOLSA, INSTALADO EM RAMAL E SUB-RAMAL DE GÁS MEDICINAL - FORNECIMENTO E INSTALAÇÃO. AF_04/2022</v>
          </cell>
          <cell r="D6710" t="str">
            <v>UN</v>
          </cell>
          <cell r="E6710">
            <v>59.83</v>
          </cell>
          <cell r="F6710">
            <v>0</v>
          </cell>
        </row>
        <row r="6711">
          <cell r="B6711">
            <v>93112</v>
          </cell>
          <cell r="C6711" t="str">
            <v>CURVA DE TRANSPOSIÇÃO EM BRONZE/LATÃO, DN 22 MM, SEM ANEL DE SOLDA, BOLSA X BOLSA, INSTALADO EM RAMAL E SUB-RAMAL DE HIDRÁULICA PREDIAL - FORNECIMENTO E INSTALAÇÃO. AF_04/2022</v>
          </cell>
          <cell r="D6711" t="str">
            <v>UN</v>
          </cell>
          <cell r="E6711">
            <v>56.3</v>
          </cell>
          <cell r="F6711">
            <v>0</v>
          </cell>
        </row>
        <row r="6712">
          <cell r="B6712">
            <v>93060</v>
          </cell>
          <cell r="C6712" t="str">
            <v>CURVA DE TRANSPOSIÇÃO EM BRONZE/LATÃO, DN 28 MM, SEM ANEL DE SOLDA, BOLSA X BOLSA, INSTALADO EM PRUMADA DE HIDRÁULICA PREDIAL - FORNECIMENTO E INSTALAÇÃO. AF_04/2022</v>
          </cell>
          <cell r="D6712" t="str">
            <v>UN</v>
          </cell>
          <cell r="E6712">
            <v>85.45</v>
          </cell>
          <cell r="F6712">
            <v>0</v>
          </cell>
        </row>
        <row r="6713">
          <cell r="B6713">
            <v>93094</v>
          </cell>
          <cell r="C6713" t="str">
            <v>CURVA DE TRANSPOSIÇÃO EM BRONZE/LATÃO, DN 28 MM, SEM ANEL DE SOLDA, BOLSA X BOLSA, INSTALADO EM RAMAL DE DISTRIBUIÇÃO DE HIDRÁULICA PREDIAL - FORNECIMENTO E INSTALAÇÃO. AF_04/2022</v>
          </cell>
          <cell r="D6713" t="str">
            <v>UN</v>
          </cell>
          <cell r="E6713">
            <v>89.28</v>
          </cell>
          <cell r="F6713">
            <v>0</v>
          </cell>
        </row>
        <row r="6714">
          <cell r="B6714">
            <v>103897</v>
          </cell>
          <cell r="C6714" t="str">
            <v>CURVA DE TRANSPOSIÇÃO EM BRONZE/LATÃO, DN 28 MM, SEM ANEL DE SOLDA, BOLSA X BOLSA, INSTALADO EM RAMAL E SUB-RAMAL DE AQUECIMENTO SOLAR - FORNECIMENTO E INSTALAÇÃO. AF_04/2022</v>
          </cell>
          <cell r="D6714" t="str">
            <v>UN</v>
          </cell>
          <cell r="E6714">
            <v>95.94</v>
          </cell>
          <cell r="F6714">
            <v>0</v>
          </cell>
        </row>
        <row r="6715">
          <cell r="B6715">
            <v>103828</v>
          </cell>
          <cell r="C6715" t="str">
            <v>CURVA DE TRANSPOSIÇÃO EM BRONZE/LATÃO, DN 28 MM, SEM ANEL DE SOLDA, BOLSA X BOLSA, INSTALADO EM RAMAL E SUB-RAMAL DE GÁS COMBUSTÍVEL - FORNECIMENTO E INSTALAÇÃO. AF_04/2022</v>
          </cell>
          <cell r="D6715" t="str">
            <v>UN</v>
          </cell>
          <cell r="E6715">
            <v>107.34</v>
          </cell>
          <cell r="F6715">
            <v>0</v>
          </cell>
        </row>
        <row r="6716">
          <cell r="B6716">
            <v>103861</v>
          </cell>
          <cell r="C6716" t="str">
            <v>CURVA DE TRANSPOSIÇÃO EM BRONZE/LATÃO, DN 28 MM, SEM ANEL DE SOLDA, BOLSA X BOLSA, INSTALADO EM RAMAL E SUB-RAMAL DE GÁS MEDICINAL - FORNECIMENTO E INSTALAÇÃO. AF_04/2022</v>
          </cell>
          <cell r="D6716" t="str">
            <v>UN</v>
          </cell>
          <cell r="E6716">
            <v>98.13</v>
          </cell>
          <cell r="F6716">
            <v>0</v>
          </cell>
        </row>
        <row r="6717">
          <cell r="B6717">
            <v>93115</v>
          </cell>
          <cell r="C6717" t="str">
            <v>CURVA DE TRANSPOSIÇÃO EM BRONZE/LATÃO, DN 28 MM, SEM ANEL DE SOLDA, BOLSA X BOLSA, INSTALADO EM RAMAL E SUB-RAMAL DE HIDRÁULICA PREDIAL - FORNECIMENTO E INSTALAÇÃO. AF_04/2022</v>
          </cell>
          <cell r="D6717" t="str">
            <v>UN</v>
          </cell>
          <cell r="E6717">
            <v>94.73</v>
          </cell>
          <cell r="F6717">
            <v>0</v>
          </cell>
        </row>
        <row r="6718">
          <cell r="B6718">
            <v>93074</v>
          </cell>
          <cell r="C6718" t="str">
            <v>CURVA EM COBRE, DN 15 MM, 45 GRAUS, SEM ANEL DE SOLDA, BOLSA X BOLSA, INSTALADO EM RAMAL DE DISTRIBUIÇÃO DE HIDRÁULICA PREDIAL - FORNECIMENTO E INSTALAÇÃO. AF_04/2022</v>
          </cell>
          <cell r="D6718" t="str">
            <v>UN</v>
          </cell>
          <cell r="E6718">
            <v>17.45</v>
          </cell>
          <cell r="F6718">
            <v>0</v>
          </cell>
        </row>
        <row r="6719">
          <cell r="B6719">
            <v>103875</v>
          </cell>
          <cell r="C6719" t="str">
            <v>CURVA EM COBRE, DN 15 MM, 45 GRAUS, SEM ANEL DE SOLDA, BOLSA X BOLSA, INSTALADO EM RAMAL E SUB-RAMAL DE AQUECIMENTO SOLAR - FORNECIMENTO E INSTALAÇÃO. AF_04/2022</v>
          </cell>
          <cell r="D6719" t="str">
            <v>UN</v>
          </cell>
          <cell r="E6719">
            <v>24.51</v>
          </cell>
          <cell r="F6719">
            <v>0</v>
          </cell>
        </row>
        <row r="6720">
          <cell r="B6720">
            <v>103806</v>
          </cell>
          <cell r="C6720" t="str">
            <v>CURVA EM COBRE, DN 15 MM, 45 GRAUS, SEM ANEL DE SOLDA, BOLSA X BOLSA, INSTALADO EM RAMAL E SUB-RAMAL DE GÁS COMBUSTÍVEL - FORNECIMENTO E INSTALAÇÃO. AF_04/2022</v>
          </cell>
          <cell r="D6720" t="str">
            <v>UN</v>
          </cell>
          <cell r="E6720">
            <v>24.4</v>
          </cell>
          <cell r="F6720">
            <v>0</v>
          </cell>
        </row>
        <row r="6721">
          <cell r="B6721">
            <v>103839</v>
          </cell>
          <cell r="C6721" t="str">
            <v>CURVA EM COBRE, DN 15 MM, 45 GRAUS, SEM ANEL DE SOLDA, BOLSA X BOLSA, INSTALADO EM RAMAL E SUB-RAMAL DE GÁS MEDICINAL - FORNECIMENTO E INSTALAÇÃO. AF_04/2022</v>
          </cell>
          <cell r="D6721" t="str">
            <v>UN</v>
          </cell>
          <cell r="E6721">
            <v>23.34</v>
          </cell>
          <cell r="F6721">
            <v>0</v>
          </cell>
        </row>
        <row r="6722">
          <cell r="B6722">
            <v>93097</v>
          </cell>
          <cell r="C6722" t="str">
            <v>CURVA EM COBRE, DN 15 MM, 45 GRAUS, SEM ANEL DE SOLDA, BOLSA X BOLSA, INSTALADO EM RAMAL E SUB-RAMAL DE HIDRÁULICA PREDIAL - FORNECIMENTO E INSTALAÇÃO. AF_04/2022</v>
          </cell>
          <cell r="D6722" t="str">
            <v>UN</v>
          </cell>
          <cell r="E6722">
            <v>17.850000000000001</v>
          </cell>
          <cell r="F6722">
            <v>0</v>
          </cell>
        </row>
        <row r="6723">
          <cell r="B6723">
            <v>93119</v>
          </cell>
          <cell r="C6723" t="str">
            <v>CURVA EM COBRE, DN 22 MM, 45 GRAUS, SEM ANEL DE SOLDA, BOLSA X BOLSA, INSTALADO EM PRUMADA DE HIDRÁULICA PREDIAL - FORNECIMENTO E INSTALAÇÃO. AF_04/2022</v>
          </cell>
          <cell r="D6723" t="str">
            <v>UN</v>
          </cell>
          <cell r="E6723">
            <v>20.23</v>
          </cell>
          <cell r="F6723">
            <v>0</v>
          </cell>
        </row>
        <row r="6724">
          <cell r="B6724">
            <v>93076</v>
          </cell>
          <cell r="C6724" t="str">
            <v>CURVA EM COBRE, DN 22 MM, 45 GRAUS, SEM ANEL DE SOLDA, BOLSA X BOLSA, INSTALADO EM RAMAL DE DISTRIBUIÇÃO DE HIDRÁULICA PREDIAL - FORNECIMENTO E INSTALAÇÃO. AF_04/2022</v>
          </cell>
          <cell r="D6724" t="str">
            <v>UN</v>
          </cell>
          <cell r="E6724">
            <v>26.41</v>
          </cell>
          <cell r="F6724">
            <v>0</v>
          </cell>
        </row>
        <row r="6725">
          <cell r="B6725">
            <v>103878</v>
          </cell>
          <cell r="C6725" t="str">
            <v>CURVA EM COBRE, DN 22 MM, 45 GRAUS, SEM ANEL DE SOLDA, BOLSA X BOLSA, INSTALADO EM RAMAL E SUB-RAMAL DE AQUECIMENTO SOLAR - FORNECIMENTO E INSTALAÇÃO. AF_04/2022</v>
          </cell>
          <cell r="D6725" t="str">
            <v>UN</v>
          </cell>
          <cell r="E6725">
            <v>35.07</v>
          </cell>
          <cell r="F6725">
            <v>0</v>
          </cell>
        </row>
        <row r="6726">
          <cell r="B6726">
            <v>103809</v>
          </cell>
          <cell r="C6726" t="str">
            <v>CURVA EM COBRE, DN 22 MM, 45 GRAUS, SEM ANEL DE SOLDA, BOLSA X BOLSA, INSTALADO EM RAMAL E SUB-RAMAL DE GÁS COMBUSTÍVEL - FORNECIMENTO E INSTALAÇÃO. AF_04/2022</v>
          </cell>
          <cell r="D6726" t="str">
            <v>UN</v>
          </cell>
          <cell r="E6726">
            <v>44.57</v>
          </cell>
          <cell r="F6726">
            <v>0</v>
          </cell>
        </row>
        <row r="6727">
          <cell r="B6727">
            <v>103842</v>
          </cell>
          <cell r="C6727" t="str">
            <v>CURVA EM COBRE, DN 22 MM, 45 GRAUS, SEM ANEL DE SOLDA, BOLSA X BOLSA, INSTALADO EM RAMAL E SUB-RAMAL DE GÁS MEDICINAL - FORNECIMENTO E INSTALAÇÃO. AF_04/2022</v>
          </cell>
          <cell r="D6727" t="str">
            <v>UN</v>
          </cell>
          <cell r="E6727">
            <v>36.26</v>
          </cell>
          <cell r="F6727">
            <v>0</v>
          </cell>
        </row>
        <row r="6728">
          <cell r="B6728">
            <v>93099</v>
          </cell>
          <cell r="C6728" t="str">
            <v>CURVA EM COBRE, DN 22 MM, 45 GRAUS, SEM ANEL DE SOLDA, BOLSA X BOLSA, INSTALADO EM RAMAL E SUB-RAMAL DE HIDRÁULICA PREDIAL - FORNECIMENTO E INSTALAÇÃO. AF_04/2022</v>
          </cell>
          <cell r="D6728" t="str">
            <v>UN</v>
          </cell>
          <cell r="E6728">
            <v>31</v>
          </cell>
          <cell r="F6728">
            <v>0</v>
          </cell>
        </row>
        <row r="6729">
          <cell r="B6729">
            <v>93122</v>
          </cell>
          <cell r="C6729" t="str">
            <v>CURVA EM COBRE, DN 28 MM, 45 GRAUS, SEM ANEL DE SOLDA, BOLSA X BOLSA, INSTALADO EM PRUMADA DE HIDRÁULICA PREDIAL - FORNECIMENTO E INSTALAÇÃO. AF_04/2022</v>
          </cell>
          <cell r="D6729" t="str">
            <v>UN</v>
          </cell>
          <cell r="E6729">
            <v>29.99</v>
          </cell>
          <cell r="F6729">
            <v>0</v>
          </cell>
        </row>
        <row r="6730">
          <cell r="B6730">
            <v>93079</v>
          </cell>
          <cell r="C6730" t="str">
            <v>CURVA EM COBRE, DN 28 MM, 45 GRAUS, SEM ANEL DE SOLDA, BOLSA X BOLSA, INSTALADO EM RAMAL DE DISTRIBUIÇÃO DE HIDRÁULICA PREDIAL - FORNECIMENTO E INSTALAÇÃO. AF_04/2022</v>
          </cell>
          <cell r="D6730" t="str">
            <v>UN</v>
          </cell>
          <cell r="E6730">
            <v>35.71</v>
          </cell>
          <cell r="F6730">
            <v>0</v>
          </cell>
        </row>
        <row r="6731">
          <cell r="B6731">
            <v>103882</v>
          </cell>
          <cell r="C6731" t="str">
            <v>CURVA EM COBRE, DN 28 MM, 45 GRAUS, SEM ANEL DE SOLDA, BOLSA X BOLSA, INSTALADO EM RAMAL E SUB-RAMAL DE AQUECIMENTO SOLAR - FORNECIMENTO E INSTALAÇÃO. AF_04/2022</v>
          </cell>
          <cell r="D6731" t="str">
            <v>UN</v>
          </cell>
          <cell r="E6731">
            <v>45.72</v>
          </cell>
          <cell r="F6731">
            <v>0</v>
          </cell>
        </row>
        <row r="6732">
          <cell r="B6732">
            <v>103813</v>
          </cell>
          <cell r="C6732" t="str">
            <v>CURVA EM COBRE, DN 28 MM, 45 GRAUS, SEM ANEL DE SOLDA, BOLSA X BOLSA, INSTALADO EM RAMAL E SUB-RAMAL DE GÁS COMBUSTÍVEL - FORNECIMENTO E INSTALAÇÃO. AF_04/2022</v>
          </cell>
          <cell r="D6732" t="str">
            <v>UN</v>
          </cell>
          <cell r="E6732">
            <v>63.46</v>
          </cell>
          <cell r="F6732">
            <v>0</v>
          </cell>
        </row>
        <row r="6733">
          <cell r="B6733">
            <v>103846</v>
          </cell>
          <cell r="C6733" t="str">
            <v>CURVA EM COBRE, DN 28 MM, 45 GRAUS, SEM ANEL DE SOLDA, BOLSA X BOLSA, INSTALADO EM RAMAL E SUB-RAMAL DE GÁS MEDICINAL - FORNECIMENTO E INSTALAÇÃO. AF_04/2022</v>
          </cell>
          <cell r="D6733" t="str">
            <v>UN</v>
          </cell>
          <cell r="E6733">
            <v>48.93</v>
          </cell>
          <cell r="F6733">
            <v>0</v>
          </cell>
        </row>
        <row r="6734">
          <cell r="B6734">
            <v>93102</v>
          </cell>
          <cell r="C6734" t="str">
            <v>CURVA EM COBRE, DN 28 MM, 45 GRAUS, SEM ANEL DE SOLDA, BOLSA X BOLSA, INSTALADO EM RAMAL E SUB-RAMAL DE HIDRÁULICA PREDIAL - FORNECIMENTO E INSTALAÇÃO. AF_04/2022</v>
          </cell>
          <cell r="D6734" t="str">
            <v>UN</v>
          </cell>
          <cell r="E6734">
            <v>43.87</v>
          </cell>
          <cell r="F6734">
            <v>0</v>
          </cell>
        </row>
        <row r="6735">
          <cell r="B6735">
            <v>93123</v>
          </cell>
          <cell r="C6735" t="str">
            <v>CURVA EM COBRE, DN 35 MM, 45 GRAUS, SEM ANEL DE SOLDA, BOLSA X BOLSA, INSTALADO EM PRUMADA DE HIDRÁULICA PREDIAL - FORNECIMENTO E INSTALAÇÃO. AF_04/2022</v>
          </cell>
          <cell r="D6735" t="str">
            <v>UN</v>
          </cell>
          <cell r="E6735">
            <v>64.53</v>
          </cell>
          <cell r="F6735">
            <v>0</v>
          </cell>
        </row>
        <row r="6736">
          <cell r="B6736">
            <v>93124</v>
          </cell>
          <cell r="C6736" t="str">
            <v>CURVA EM COBRE, DN 42 MM, 45 GRAUS, SEM ANEL DE SOLDA, BOLSA X BOLSA, INSTALADO EM PRUMADA DE HIDRÁULICA PREDIAL - FORNECIMENTO E INSTALAÇÃO. AF_04/2022</v>
          </cell>
          <cell r="D6736" t="str">
            <v>UN</v>
          </cell>
          <cell r="E6736">
            <v>100.19</v>
          </cell>
          <cell r="F6736">
            <v>0</v>
          </cell>
        </row>
        <row r="6737">
          <cell r="B6737">
            <v>93125</v>
          </cell>
          <cell r="C6737" t="str">
            <v>CURVA EM COBRE, DN 54 MM, 45 GRAUS, SEM ANEL DE SOLDA, BOLSA X BOLSA, INSTALADO EM PRUMADA DE HIDRÁULICA PREDIAL - FORNECIMENTO E INSTALAÇÃO. AF_04/2022</v>
          </cell>
          <cell r="D6737" t="str">
            <v>UN</v>
          </cell>
          <cell r="E6737">
            <v>146.65</v>
          </cell>
          <cell r="F6737">
            <v>0</v>
          </cell>
        </row>
        <row r="6738">
          <cell r="B6738">
            <v>93126</v>
          </cell>
          <cell r="C6738" t="str">
            <v>CURVA EM COBRE, DN 66 MM, 45 GRAUS, SEM ANEL DE SOLDA, BOLSA X BOLSA, INSTALADO EM PRUMADA DE HIDRÁULICA PREDIAL - FORNECIMENTO E INSTALAÇÃO. AF_04/2022</v>
          </cell>
          <cell r="D6738" t="str">
            <v>UN</v>
          </cell>
          <cell r="E6738">
            <v>319.27999999999997</v>
          </cell>
          <cell r="F6738">
            <v>0</v>
          </cell>
        </row>
        <row r="6739">
          <cell r="B6739">
            <v>93063</v>
          </cell>
          <cell r="C6739" t="str">
            <v>JUNTA DE EXPANSÃO EM BRONZE/LATÃO, DN 35 MM, PONTA X PONTA, INSTALADO EM PRUMADA DE HIDRÁULICA PREDIAL - FORNECIMENTO E INSTALAÇÃO. AF_04/2022</v>
          </cell>
          <cell r="D6739" t="str">
            <v>UN</v>
          </cell>
          <cell r="E6739">
            <v>699.28</v>
          </cell>
          <cell r="F6739">
            <v>0</v>
          </cell>
        </row>
        <row r="6740">
          <cell r="B6740">
            <v>93066</v>
          </cell>
          <cell r="C6740" t="str">
            <v>JUNTA DE EXPANSÃO EM BRONZE/LATÃO, DN 42 MM, PONTA X PONTA, INSTALADO EM PRUMADA DE HIDRÁULICA PREDIAL - FORNECIMENTO E INSTALAÇÃO. AF_04/2022</v>
          </cell>
          <cell r="D6740" t="str">
            <v>UN</v>
          </cell>
          <cell r="E6740">
            <v>877.46</v>
          </cell>
          <cell r="F6740">
            <v>0</v>
          </cell>
        </row>
        <row r="6741">
          <cell r="B6741">
            <v>93069</v>
          </cell>
          <cell r="C6741" t="str">
            <v>JUNTA DE EXPANSÃO EM BRONZE/LATÃO, DN 54 MM, PONTA X PONTA, INSTALADO EM PRUMADA DE HIDRÁULICA PREDIAL - FORNECIMENTO E INSTALAÇÃO. AF_04/2022</v>
          </cell>
          <cell r="D6741" t="str">
            <v>UN</v>
          </cell>
          <cell r="E6741">
            <v>1216.07</v>
          </cell>
          <cell r="F6741">
            <v>0</v>
          </cell>
        </row>
        <row r="6742">
          <cell r="B6742">
            <v>93072</v>
          </cell>
          <cell r="C6742" t="str">
            <v>JUNTA DE EXPANSÃO EM BRONZE/LATÃO, DN 66 MM, PONTA X PONTA, INSTALADO EM PRUMADA DE HIDRÁULICA PREDIAL - FORNECIMENTO E INSTALAÇÃO. AF_04/2022</v>
          </cell>
          <cell r="D6742" t="str">
            <v>UN</v>
          </cell>
          <cell r="E6742">
            <v>1604.6</v>
          </cell>
          <cell r="F6742">
            <v>0</v>
          </cell>
        </row>
        <row r="6743">
          <cell r="B6743">
            <v>93083</v>
          </cell>
          <cell r="C6743" t="str">
            <v>JUNTA DE EXPANSÃO EM COBRE, DN 15 MM, PONTA X PONTA, INSTALADO EM RAMAL DE DISTRIBUIÇÃO DE HIDRÁULICA PREDIAL - FORNECIMENTO E INSTALAÇÃO. AF_04/2022</v>
          </cell>
          <cell r="D6743" t="str">
            <v>UN</v>
          </cell>
          <cell r="E6743">
            <v>481.04</v>
          </cell>
          <cell r="F6743">
            <v>0</v>
          </cell>
        </row>
        <row r="6744">
          <cell r="B6744">
            <v>103886</v>
          </cell>
          <cell r="C6744" t="str">
            <v>JUNTA DE EXPANSÃO EM COBRE, DN 15 MM, PONTA X PONTA, INSTALADO EM RAMAL E SUB-RAMAL DE AQUECIMENTO SOLAR - FORNECIMENTO E INSTALAÇÃO. AF_04/2022</v>
          </cell>
          <cell r="D6744" t="str">
            <v>UN</v>
          </cell>
          <cell r="E6744">
            <v>485.76</v>
          </cell>
          <cell r="F6744">
            <v>0</v>
          </cell>
        </row>
        <row r="6745">
          <cell r="B6745">
            <v>103817</v>
          </cell>
          <cell r="C6745" t="str">
            <v>JUNTA DE EXPANSÃO EM COBRE, DN 15 MM, PONTA X PONTA, INSTALADO EM RAMAL E SUB-RAMAL DE GÁS COMBUSTÍVEL - FORNECIMENTO E INSTALAÇÃO. AF_04/2022</v>
          </cell>
          <cell r="D6745" t="str">
            <v>UN</v>
          </cell>
          <cell r="E6745">
            <v>485.71</v>
          </cell>
          <cell r="F6745">
            <v>0</v>
          </cell>
        </row>
        <row r="6746">
          <cell r="B6746">
            <v>103850</v>
          </cell>
          <cell r="C6746" t="str">
            <v>JUNTA DE EXPANSÃO EM COBRE, DN 15 MM, PONTA X PONTA, INSTALADO EM RAMAL E SUB-RAMAL DE GÁS MEDICINAL - FORNECIMENTO E INSTALAÇÃO. AF_04/2022</v>
          </cell>
          <cell r="D6746" t="str">
            <v>UN</v>
          </cell>
          <cell r="E6746">
            <v>485</v>
          </cell>
          <cell r="F6746">
            <v>0</v>
          </cell>
        </row>
        <row r="6747">
          <cell r="B6747">
            <v>93106</v>
          </cell>
          <cell r="C6747" t="str">
            <v>JUNTA DE EXPANSÃO EM COBRE, DN 15 MM, PONTA X PONTA, INSTALADO EM RAMAL E SUB-RAMAL DE HIDRÁULICA PREDIAL - FORNECIMENTO E INSTALAÇÃO. AF_04/2022</v>
          </cell>
          <cell r="D6747" t="str">
            <v>UN</v>
          </cell>
          <cell r="E6747">
            <v>481.31</v>
          </cell>
          <cell r="F6747">
            <v>0</v>
          </cell>
        </row>
        <row r="6748">
          <cell r="B6748">
            <v>93052</v>
          </cell>
          <cell r="C6748" t="str">
            <v>JUNTA DE EXPANSÃO EM COBRE, DN 22 MM, PONTA X PONTA, INSTALADO EM PRUMADA DE HIDRÁULICA PREDIAL - FORNECIMENTO E INSTALAÇÃO. AF_04/2022</v>
          </cell>
          <cell r="D6748" t="str">
            <v>UN</v>
          </cell>
          <cell r="E6748">
            <v>554.32000000000005</v>
          </cell>
          <cell r="F6748">
            <v>0</v>
          </cell>
        </row>
        <row r="6749">
          <cell r="B6749">
            <v>93086</v>
          </cell>
          <cell r="C6749" t="str">
            <v>JUNTA DE EXPANSÃO EM COBRE, DN 22 MM, PONTA X PONTA, INSTALADO EM RAMAL DE DISTRIBUIÇÃO DE HIDRÁULICA PREDIAL - FORNECIMENTO E INSTALAÇÃO. AF_04/2022</v>
          </cell>
          <cell r="D6749" t="str">
            <v>UN</v>
          </cell>
          <cell r="E6749">
            <v>558.45000000000005</v>
          </cell>
          <cell r="F6749">
            <v>0</v>
          </cell>
        </row>
        <row r="6750">
          <cell r="B6750">
            <v>103890</v>
          </cell>
          <cell r="C6750" t="str">
            <v>JUNTA DE EXPANSÃO EM COBRE, DN 22 MM, PONTA X PONTA, INSTALADO EM RAMAL E SUB-RAMAL DE AQUECIMENTO SOLAR - FORNECIMENTO E INSTALAÇÃO. AF_04/2022</v>
          </cell>
          <cell r="D6750" t="str">
            <v>UN</v>
          </cell>
          <cell r="E6750">
            <v>564.23</v>
          </cell>
          <cell r="F6750">
            <v>0</v>
          </cell>
        </row>
        <row r="6751">
          <cell r="B6751">
            <v>103821</v>
          </cell>
          <cell r="C6751" t="str">
            <v>JUNTA DE EXPANSÃO EM COBRE, DN 22 MM, PONTA X PONTA, INSTALADO EM RAMAL E SUB-RAMAL DE GÁS COMBUSTÍVEL - FORNECIMENTO E INSTALAÇÃO. AF_04/2022</v>
          </cell>
          <cell r="D6751" t="str">
            <v>UN</v>
          </cell>
          <cell r="E6751">
            <v>570.62</v>
          </cell>
          <cell r="F6751">
            <v>0</v>
          </cell>
        </row>
        <row r="6752">
          <cell r="B6752">
            <v>103854</v>
          </cell>
          <cell r="C6752" t="str">
            <v>JUNTA DE EXPANSÃO EM COBRE, DN 22 MM, PONTA X PONTA, INSTALADO EM RAMAL E SUB-RAMAL DE GÁS MEDICINAL - FORNECIMENTO E INSTALAÇÃO. AF_04/2022</v>
          </cell>
          <cell r="D6752" t="str">
            <v>UN</v>
          </cell>
          <cell r="E6752">
            <v>565.05999999999995</v>
          </cell>
          <cell r="F6752">
            <v>0</v>
          </cell>
        </row>
        <row r="6753">
          <cell r="B6753">
            <v>93109</v>
          </cell>
          <cell r="C6753" t="str">
            <v>JUNTA DE EXPANSÃO EM COBRE, DN 22 MM, PONTA X PONTA, INSTALADO EM RAMAL E SUB-RAMAL DE HIDRÁULICA PREDIAL - FORNECIMENTO E INSTALAÇÃO. AF_04/2022</v>
          </cell>
          <cell r="D6753" t="str">
            <v>UN</v>
          </cell>
          <cell r="E6753">
            <v>561.53</v>
          </cell>
          <cell r="F6753">
            <v>0</v>
          </cell>
        </row>
        <row r="6754">
          <cell r="B6754">
            <v>93058</v>
          </cell>
          <cell r="C6754" t="str">
            <v>JUNTA DE EXPANSÃO EM COBRE, DN 28 MM, PONTA X PONTA, INSTALADO EM PRUMADA DE HIDRÁULICA PREDIAL - FORNECIMENTO E INSTALAÇÃO. AF_04/2022</v>
          </cell>
          <cell r="D6754" t="str">
            <v>UN</v>
          </cell>
          <cell r="E6754">
            <v>610.08000000000004</v>
          </cell>
          <cell r="F6754">
            <v>0</v>
          </cell>
        </row>
        <row r="6755">
          <cell r="B6755">
            <v>93092</v>
          </cell>
          <cell r="C6755" t="str">
            <v>JUNTA DE EXPANSÃO EM COBRE, DN 28 MM, PONTA X PONTA, INSTALADO EM RAMAL DE DISTRIBUIÇÃO DE HIDRÁULICA PREDIAL - FORNECIMENTO E INSTALAÇÃO. AF_04/2022</v>
          </cell>
          <cell r="D6755" t="str">
            <v>UN</v>
          </cell>
          <cell r="E6755">
            <v>613.91</v>
          </cell>
          <cell r="F6755">
            <v>0</v>
          </cell>
        </row>
        <row r="6756">
          <cell r="B6756">
            <v>103898</v>
          </cell>
          <cell r="C6756" t="str">
            <v>JUNTA DE EXPANSÃO EM COBRE, DN 28 MM, PONTA X PONTA, INSTALADO EM RAMAL E SUB-RAMAL DE AQUECIMENTO SOLAR - FORNECIMENTO E INSTALAÇÃO. AF_04/2022</v>
          </cell>
          <cell r="D6756" t="str">
            <v>UN</v>
          </cell>
          <cell r="E6756">
            <v>620.57000000000005</v>
          </cell>
          <cell r="F6756">
            <v>0</v>
          </cell>
        </row>
        <row r="6757">
          <cell r="B6757">
            <v>103829</v>
          </cell>
          <cell r="C6757" t="str">
            <v>JUNTA DE EXPANSÃO EM COBRE, DN 28 MM, PONTA X PONTA, INSTALADO EM RAMAL E SUB-RAMAL DE GÁS COMBUSTÍVEL - FORNECIMENTO E INSTALAÇÃO. AF_04/2022</v>
          </cell>
          <cell r="D6757" t="str">
            <v>UN</v>
          </cell>
          <cell r="E6757">
            <v>631.97</v>
          </cell>
          <cell r="F6757">
            <v>0</v>
          </cell>
        </row>
        <row r="6758">
          <cell r="B6758">
            <v>103862</v>
          </cell>
          <cell r="C6758" t="str">
            <v>JUNTA DE EXPANSÃO EM COBRE, DN 28 MM, PONTA X PONTA, INSTALADO EM RAMAL E SUB-RAMAL DE GÁS MEDICINAL - FORNECIMENTO E INSTALAÇÃO. AF_04/2022</v>
          </cell>
          <cell r="D6758" t="str">
            <v>UN</v>
          </cell>
          <cell r="E6758">
            <v>622.76</v>
          </cell>
          <cell r="F6758">
            <v>0</v>
          </cell>
        </row>
        <row r="6759">
          <cell r="B6759">
            <v>93116</v>
          </cell>
          <cell r="C6759" t="str">
            <v>JUNTA DE EXPANSÃO EM COBRE, DN 28 MM, PONTA X PONTA, INSTALADO EM RAMAL E SUB-RAMAL DE HIDRÁULICA PREDIAL - FORNECIMENTO E INSTALAÇÃO. AF_04/2022</v>
          </cell>
          <cell r="D6759" t="str">
            <v>UN</v>
          </cell>
          <cell r="E6759">
            <v>619.36</v>
          </cell>
          <cell r="F6759">
            <v>0</v>
          </cell>
        </row>
        <row r="6760">
          <cell r="B6760">
            <v>92314</v>
          </cell>
          <cell r="C6760" t="str">
            <v>LUVA EM COBRE, DN 15 MM, SEM ANEL DE SOLDA, INSTALADO EM RAMAL DE DISTRIBUIÇÃO DE HIDRÁULICA PREDIAL - FORNECIMENTO E INSTALAÇÃO. AF_04/2022</v>
          </cell>
          <cell r="D6760" t="str">
            <v>UN</v>
          </cell>
          <cell r="E6760">
            <v>11.37</v>
          </cell>
          <cell r="F6760">
            <v>0</v>
          </cell>
        </row>
        <row r="6761">
          <cell r="B6761">
            <v>103883</v>
          </cell>
          <cell r="C6761" t="str">
            <v>LUVA EM COBRE, DN 15 MM, SEM ANEL DE SOLDA, INSTALADO EM RAMAL E SUB-RAMAL DE AQUECIMENTO SOLAR - FORNECIMENTO E INSTALAÇÃO. AF_04/2022</v>
          </cell>
          <cell r="D6761" t="str">
            <v>UN</v>
          </cell>
          <cell r="E6761">
            <v>16.09</v>
          </cell>
          <cell r="F6761">
            <v>0</v>
          </cell>
        </row>
        <row r="6762">
          <cell r="B6762">
            <v>103814</v>
          </cell>
          <cell r="C6762" t="str">
            <v>LUVA EM COBRE, DN 15 MM, SEM ANEL DE SOLDA, INSTALADO EM RAMAL E SUB-RAMAL DE GÁS COMBUSTÍVEL - FORNECIMENTO E INSTALAÇÃO. AF_04/2022</v>
          </cell>
          <cell r="D6762" t="str">
            <v>UN</v>
          </cell>
          <cell r="E6762">
            <v>16.04</v>
          </cell>
          <cell r="F6762">
            <v>0</v>
          </cell>
        </row>
        <row r="6763">
          <cell r="B6763">
            <v>103847</v>
          </cell>
          <cell r="C6763" t="str">
            <v>LUVA EM COBRE, DN 15 MM, SEM ANEL DE SOLDA, INSTALADO EM RAMAL E SUB-RAMAL DE GÁS MEDICINAL - FORNECIMENTO E INSTALAÇÃO. AF_04/2022</v>
          </cell>
          <cell r="D6763" t="str">
            <v>UN</v>
          </cell>
          <cell r="E6763">
            <v>15.33</v>
          </cell>
          <cell r="F6763">
            <v>0</v>
          </cell>
        </row>
        <row r="6764">
          <cell r="B6764">
            <v>92329</v>
          </cell>
          <cell r="C6764" t="str">
            <v>LUVA EM COBRE, DN 15 MM, SEM ANEL DE SOLDA, INSTALADO EM RAMAL E SUB-RAMAL DE HIDRÁULICA PREDIAL - FORNECIMENTO E INSTALAÇÃO. AF_04/2022</v>
          </cell>
          <cell r="D6764" t="str">
            <v>UN</v>
          </cell>
          <cell r="E6764">
            <v>11.64</v>
          </cell>
          <cell r="F6764">
            <v>0</v>
          </cell>
        </row>
        <row r="6765">
          <cell r="B6765">
            <v>92293</v>
          </cell>
          <cell r="C6765" t="str">
            <v>LUVA EM COBRE, DN 22 MM, SEM ANEL DE SOLDA, INSTALADO EM PRUMADA DE HIDRÁULICA PREDIAL - FORNECIMENTO E INSTALAÇÃO. AF_04/2022</v>
          </cell>
          <cell r="D6765" t="str">
            <v>UN</v>
          </cell>
          <cell r="E6765">
            <v>11.85</v>
          </cell>
          <cell r="F6765">
            <v>0</v>
          </cell>
        </row>
        <row r="6766">
          <cell r="B6766">
            <v>92315</v>
          </cell>
          <cell r="C6766" t="str">
            <v>LUVA EM COBRE, DN 22 MM, SEM ANEL DE SOLDA, INSTALADO EM RAMAL DE DISTRIBUIÇÃO DE HIDRÁULICA PREDIAL - FORNECIMENTO E INSTALAÇÃO. AF_04/2022</v>
          </cell>
          <cell r="D6766" t="str">
            <v>UN</v>
          </cell>
          <cell r="E6766">
            <v>15.98</v>
          </cell>
          <cell r="F6766">
            <v>0</v>
          </cell>
        </row>
        <row r="6767">
          <cell r="B6767">
            <v>103888</v>
          </cell>
          <cell r="C6767" t="str">
            <v>LUVA EM COBRE, DN 22 MM, SEM ANEL DE SOLDA, INSTALADO EM RAMAL E SUB-RAMAL DE AQUECIMENTO SOLAR - FORNECIMENTO E INSTALAÇÃO. AF_04/2022</v>
          </cell>
          <cell r="D6767" t="str">
            <v>UN</v>
          </cell>
          <cell r="E6767">
            <v>21.76</v>
          </cell>
          <cell r="F6767">
            <v>0</v>
          </cell>
        </row>
        <row r="6768">
          <cell r="B6768">
            <v>103819</v>
          </cell>
          <cell r="C6768" t="str">
            <v>LUVA EM COBRE, DN 22 MM, SEM ANEL DE SOLDA, INSTALADO EM RAMAL E SUB-RAMAL DE GÁS COMBUSTÍVEL - FORNECIMENTO E INSTALAÇÃO. AF_04/2022</v>
          </cell>
          <cell r="D6768" t="str">
            <v>UN</v>
          </cell>
          <cell r="E6768">
            <v>28.15</v>
          </cell>
          <cell r="F6768">
            <v>0</v>
          </cell>
        </row>
        <row r="6769">
          <cell r="B6769">
            <v>103852</v>
          </cell>
          <cell r="C6769" t="str">
            <v>LUVA EM COBRE, DN 22 MM, SEM ANEL DE SOLDA, INSTALADO EM RAMAL E SUB-RAMAL DE GÁS MEDICINAL - FORNECIMENTO E INSTALAÇÃO. AF_04/2022</v>
          </cell>
          <cell r="D6769" t="str">
            <v>UN</v>
          </cell>
          <cell r="E6769">
            <v>22.59</v>
          </cell>
          <cell r="F6769">
            <v>0</v>
          </cell>
        </row>
        <row r="6770">
          <cell r="B6770">
            <v>92330</v>
          </cell>
          <cell r="C6770" t="str">
            <v>LUVA EM COBRE, DN 22 MM, SEM ANEL DE SOLDA, INSTALADO EM RAMAL E SUB-RAMAL DE HIDRÁULICA PREDIAL - FORNECIMENTO E INSTALAÇÃO. AF_04/2022</v>
          </cell>
          <cell r="D6770" t="str">
            <v>UN</v>
          </cell>
          <cell r="E6770">
            <v>19.059999999999999</v>
          </cell>
          <cell r="F6770">
            <v>0</v>
          </cell>
        </row>
        <row r="6771">
          <cell r="B6771">
            <v>92294</v>
          </cell>
          <cell r="C6771" t="str">
            <v>LUVA EM COBRE, DN 28 MM, SEM ANEL DE SOLDA, INSTALADO EM PRUMADA DE HIDRÁULICA PREDIAL - FORNECIMENTO E INSTALAÇÃO. AF_04/2022</v>
          </cell>
          <cell r="D6771" t="str">
            <v>UN</v>
          </cell>
          <cell r="E6771">
            <v>19.57</v>
          </cell>
          <cell r="F6771">
            <v>0</v>
          </cell>
        </row>
        <row r="6772">
          <cell r="B6772">
            <v>92316</v>
          </cell>
          <cell r="C6772" t="str">
            <v>LUVA EM COBRE, DN 28 MM, SEM ANEL DE SOLDA, INSTALADO EM RAMAL DE DISTRIBUIÇÃO DE HIDRÁULICA PREDIAL - FORNECIMENTO E INSTALAÇÃO. AF_04/2022</v>
          </cell>
          <cell r="D6772" t="str">
            <v>UN</v>
          </cell>
          <cell r="E6772">
            <v>23.4</v>
          </cell>
          <cell r="F6772">
            <v>0</v>
          </cell>
        </row>
        <row r="6773">
          <cell r="B6773">
            <v>103895</v>
          </cell>
          <cell r="C6773" t="str">
            <v>LUVA EM COBRE, DN 28 MM, SEM ANEL DE SOLDA, INSTALADO EM RAMAL E SUB-RAMAL DE AQUECIMENTO SOLAR - FORNECIMENTO E INSTALAÇÃO. AF_04/2022</v>
          </cell>
          <cell r="D6773" t="str">
            <v>UN</v>
          </cell>
          <cell r="E6773">
            <v>30.06</v>
          </cell>
          <cell r="F6773">
            <v>0</v>
          </cell>
        </row>
        <row r="6774">
          <cell r="B6774">
            <v>103826</v>
          </cell>
          <cell r="C6774" t="str">
            <v>LUVA EM COBRE, DN 28 MM, SEM ANEL DE SOLDA, INSTALADO EM RAMAL E SUB-RAMAL DE GÁS COMBUSTÍVEL - FORNECIMENTO E INSTALAÇÃO. AF_04/2022</v>
          </cell>
          <cell r="D6774" t="str">
            <v>UN</v>
          </cell>
          <cell r="E6774">
            <v>41.46</v>
          </cell>
          <cell r="F6774">
            <v>0</v>
          </cell>
        </row>
        <row r="6775">
          <cell r="B6775">
            <v>103859</v>
          </cell>
          <cell r="C6775" t="str">
            <v>LUVA EM COBRE, DN 28 MM, SEM ANEL DE SOLDA, INSTALADO EM RAMAL E SUB-RAMAL DE GÁS MEDICINAL - FORNECIMENTO E INSTALAÇÃO. AF_04/2022</v>
          </cell>
          <cell r="D6775" t="str">
            <v>UN</v>
          </cell>
          <cell r="E6775">
            <v>32.25</v>
          </cell>
          <cell r="F6775">
            <v>0</v>
          </cell>
        </row>
        <row r="6776">
          <cell r="B6776">
            <v>92331</v>
          </cell>
          <cell r="C6776" t="str">
            <v>LUVA EM COBRE, DN 28 MM, SEM ANEL DE SOLDA, INSTALADO EM RAMAL E SUB-RAMAL DE HIDRÁULICA PREDIAL - FORNECIMENTO E INSTALAÇÃO. AF_04/2022</v>
          </cell>
          <cell r="D6776" t="str">
            <v>UN</v>
          </cell>
          <cell r="E6776">
            <v>28.85</v>
          </cell>
          <cell r="F6776">
            <v>0</v>
          </cell>
        </row>
        <row r="6777">
          <cell r="B6777">
            <v>92295</v>
          </cell>
          <cell r="C6777" t="str">
            <v>LUVA EM COBRE, DN 35 MM, SEM ANEL DE SOLDA, INSTALADO EM PRUMADA DE HIDRÁULICA PREDIAL - FORNECIMENTO E INSTALAÇÃO. AF_04/2022</v>
          </cell>
          <cell r="D6777" t="str">
            <v>UN</v>
          </cell>
          <cell r="E6777">
            <v>35.9</v>
          </cell>
          <cell r="F6777">
            <v>0</v>
          </cell>
        </row>
        <row r="6778">
          <cell r="B6778">
            <v>92296</v>
          </cell>
          <cell r="C6778" t="str">
            <v>LUVA EM COBRE, DN 42 MM, SEM ANEL DE SOLDA, INSTALADO EM PRUMADA DE HIDRÁULICA PREDIAL - FORNECIMENTO E INSTALAÇÃO. AF_04/2022</v>
          </cell>
          <cell r="D6778" t="str">
            <v>UN</v>
          </cell>
          <cell r="E6778">
            <v>47.33</v>
          </cell>
          <cell r="F6778">
            <v>0</v>
          </cell>
        </row>
        <row r="6779">
          <cell r="B6779">
            <v>92297</v>
          </cell>
          <cell r="C6779" t="str">
            <v>LUVA EM COBRE, DN 54 MM, SEM ANEL DE SOLDA, INSTALADO EM PRUMADA DE HIDRÁULICA PREDIAL - FORNECIMENTO E INSTALAÇÃO. AF_04/2022</v>
          </cell>
          <cell r="D6779" t="str">
            <v>UN</v>
          </cell>
          <cell r="E6779">
            <v>72.83</v>
          </cell>
          <cell r="F6779">
            <v>0</v>
          </cell>
        </row>
        <row r="6780">
          <cell r="B6780">
            <v>92298</v>
          </cell>
          <cell r="C6780" t="str">
            <v>LUVA EM COBRE, DN 66 MM, SEM ANEL DE SOLDA, INSTALADO EM PRUMADA DE HIDRÁULICA PREDIAL - FORNECIMENTO E INSTALAÇÃO. AF_04/2022</v>
          </cell>
          <cell r="D6780" t="str">
            <v>UN</v>
          </cell>
          <cell r="E6780">
            <v>199.77</v>
          </cell>
          <cell r="F6780">
            <v>0</v>
          </cell>
        </row>
        <row r="6781">
          <cell r="B6781">
            <v>93080</v>
          </cell>
          <cell r="C6781" t="str">
            <v>LUVA PASSANTE EM COBRE, DN 15 MM, SEM ANEL DE SOLDA, INSTALADO EM RAMAL DE DISTRIBUIÇÃO DE HIDRÁULICA PREDIAL - FORNECIMENTO E INSTALAÇÃO. AF_04/2022</v>
          </cell>
          <cell r="D6781" t="str">
            <v>UN</v>
          </cell>
          <cell r="E6781">
            <v>11.4</v>
          </cell>
          <cell r="F6781">
            <v>0</v>
          </cell>
        </row>
        <row r="6782">
          <cell r="B6782">
            <v>103884</v>
          </cell>
          <cell r="C6782" t="str">
            <v>LUVA PASSANTE EM COBRE, DN 15 MM, SEM ANEL DE SOLDA, INSTALADO EM RAMAL E SUB-RAMAL DE AQUECIMENTO SOLAR - FORNECIMENTO E INSTALAÇÃO. AF_04/2022</v>
          </cell>
          <cell r="D6782" t="str">
            <v>UN</v>
          </cell>
          <cell r="E6782">
            <v>16.12</v>
          </cell>
          <cell r="F6782">
            <v>0</v>
          </cell>
        </row>
        <row r="6783">
          <cell r="B6783">
            <v>103815</v>
          </cell>
          <cell r="C6783" t="str">
            <v>LUVA PASSANTE EM COBRE, DN 15 MM, SEM ANEL DE SOLDA, INSTALADO EM RAMAL E SUB-RAMAL DE GÁS COMBUSTÍVEL - FORNECIMENTO E INSTALAÇÃO. AF_04/2022</v>
          </cell>
          <cell r="D6783" t="str">
            <v>UN</v>
          </cell>
          <cell r="E6783">
            <v>16.07</v>
          </cell>
          <cell r="F6783">
            <v>0</v>
          </cell>
        </row>
        <row r="6784">
          <cell r="B6784">
            <v>103848</v>
          </cell>
          <cell r="C6784" t="str">
            <v>LUVA PASSANTE EM COBRE, DN 15 MM, SEM ANEL DE SOLDA, INSTALADO EM RAMAL E SUB-RAMAL DE GÁS MEDICINAL - FORNECIMENTO E INSTALAÇÃO. AF_04/2022</v>
          </cell>
          <cell r="D6784" t="str">
            <v>UN</v>
          </cell>
          <cell r="E6784">
            <v>15.36</v>
          </cell>
          <cell r="F6784">
            <v>0</v>
          </cell>
        </row>
        <row r="6785">
          <cell r="B6785">
            <v>93103</v>
          </cell>
          <cell r="C6785" t="str">
            <v>LUVA PASSANTE EM COBRE, DN 15 MM, SEM ANEL DE SOLDA, INSTALADO EM RAMAL E SUB-RAMAL DE HIDRÁULICA PREDIAL - FORNECIMENTO E INSTALAÇÃO. AF_04/2022</v>
          </cell>
          <cell r="D6785" t="str">
            <v>UN</v>
          </cell>
          <cell r="E6785">
            <v>11.67</v>
          </cell>
          <cell r="F6785">
            <v>0</v>
          </cell>
        </row>
        <row r="6786">
          <cell r="B6786">
            <v>93050</v>
          </cell>
          <cell r="C6786" t="str">
            <v>LUVA PASSANTE EM COBRE, DN 22 MM, SEM ANEL DE SOLDA, INSTALADO EM PRUMADA DE HIDRÁULICA PREDIAL - FORNECIMENTO E INSTALAÇÃO. AF_04/2022</v>
          </cell>
          <cell r="D6786" t="str">
            <v>UN</v>
          </cell>
          <cell r="E6786">
            <v>13.25</v>
          </cell>
          <cell r="F6786">
            <v>0</v>
          </cell>
        </row>
        <row r="6787">
          <cell r="B6787">
            <v>93084</v>
          </cell>
          <cell r="C6787" t="str">
            <v>LUVA PASSANTE EM COBRE, DN 22 MM, SEM ANEL DE SOLDA, INSTALADO EM RAMAL DE DISTRIBUIÇÃO DE HIDRÁULICA PREDIAL - FORNECIMENTO E INSTALAÇÃO. AF_04/2022</v>
          </cell>
          <cell r="D6787" t="str">
            <v>UN</v>
          </cell>
          <cell r="E6787">
            <v>17.38</v>
          </cell>
          <cell r="F6787">
            <v>0</v>
          </cell>
        </row>
        <row r="6788">
          <cell r="B6788">
            <v>103889</v>
          </cell>
          <cell r="C6788" t="str">
            <v>LUVA PASSANTE EM COBRE, DN 22 MM, SEM ANEL DE SOLDA, INSTALADO EM RAMAL E SUB-RAMAL DE AQUECIMENTO SOLAR - FORNECIMENTO E INSTALAÇÃO. AF_04/2022</v>
          </cell>
          <cell r="D6788" t="str">
            <v>UN</v>
          </cell>
          <cell r="E6788">
            <v>23.16</v>
          </cell>
          <cell r="F6788">
            <v>0</v>
          </cell>
        </row>
        <row r="6789">
          <cell r="B6789">
            <v>103820</v>
          </cell>
          <cell r="C6789" t="str">
            <v>LUVA PASSANTE EM COBRE, DN 22 MM, SEM ANEL DE SOLDA, INSTALADO EM RAMAL E SUB-RAMAL DE GÁS COMBUSTÍVEL - FORNECIMENTO E INSTALAÇÃO. AF_04/2022</v>
          </cell>
          <cell r="D6789" t="str">
            <v>UN</v>
          </cell>
          <cell r="E6789">
            <v>29.55</v>
          </cell>
          <cell r="F6789">
            <v>0</v>
          </cell>
        </row>
        <row r="6790">
          <cell r="B6790">
            <v>103853</v>
          </cell>
          <cell r="C6790" t="str">
            <v>LUVA PASSANTE EM COBRE, DN 22 MM, SEM ANEL DE SOLDA, INSTALADO EM RAMAL E SUB-RAMAL DE GÁS MEDICINAL - FORNECIMENTO E INSTALAÇÃO. AF_04/2022</v>
          </cell>
          <cell r="D6790" t="str">
            <v>UN</v>
          </cell>
          <cell r="E6790">
            <v>23.99</v>
          </cell>
          <cell r="F6790">
            <v>0</v>
          </cell>
        </row>
        <row r="6791">
          <cell r="B6791">
            <v>93107</v>
          </cell>
          <cell r="C6791" t="str">
            <v>LUVA PASSANTE EM COBRE, DN 22 MM, SEM ANEL DE SOLDA, INSTALADO EM RAMAL E SUB-RAMAL DE HIDRÁULICA PREDIAL - FORNECIMENTO E INSTALAÇÃO. AF_04/2022</v>
          </cell>
          <cell r="D6791" t="str">
            <v>UN</v>
          </cell>
          <cell r="E6791">
            <v>20.46</v>
          </cell>
          <cell r="F6791">
            <v>0</v>
          </cell>
        </row>
        <row r="6792">
          <cell r="B6792">
            <v>93056</v>
          </cell>
          <cell r="C6792" t="str">
            <v>LUVA PASSANTE EM COBRE, DN 28 MM, SEM ANEL DE SOLDA, INSTALADO EM PRUMADA DE HIDRÁULICA PREDIAL - FORNECIMENTO E INSTALAÇÃO. AF_04/2022</v>
          </cell>
          <cell r="D6792" t="str">
            <v>UN</v>
          </cell>
          <cell r="E6792">
            <v>19.57</v>
          </cell>
          <cell r="F6792">
            <v>0</v>
          </cell>
        </row>
        <row r="6793">
          <cell r="B6793">
            <v>93090</v>
          </cell>
          <cell r="C6793" t="str">
            <v>LUVA PASSANTE EM COBRE, DN 28 MM, SEM ANEL DE SOLDA, INSTALADO EM RAMAL DE DISTRIBUIÇÃO DE HIDRÁULICA PREDIAL - FORNECIMENTO E INSTALAÇÃO. AF_04/2022</v>
          </cell>
          <cell r="D6793" t="str">
            <v>UN</v>
          </cell>
          <cell r="E6793">
            <v>23.4</v>
          </cell>
          <cell r="F6793">
            <v>0</v>
          </cell>
        </row>
        <row r="6794">
          <cell r="B6794">
            <v>103896</v>
          </cell>
          <cell r="C6794" t="str">
            <v>LUVA PASSANTE EM COBRE, DN 28 MM, SEM ANEL DE SOLDA, INSTALADO EM RAMAL E SUB-RAMAL DE AQUECIMENTO SOLAR - FORNECIMENTO E INSTALAÇÃO. AF_04/2022</v>
          </cell>
          <cell r="D6794" t="str">
            <v>UN</v>
          </cell>
          <cell r="E6794">
            <v>30.06</v>
          </cell>
          <cell r="F6794">
            <v>0</v>
          </cell>
        </row>
        <row r="6795">
          <cell r="B6795">
            <v>103827</v>
          </cell>
          <cell r="C6795" t="str">
            <v>LUVA PASSANTE EM COBRE, DN 28 MM, SEM ANEL DE SOLDA, INSTALADO EM RAMAL E SUB-RAMAL DE GÁS COMBUSTÍVEL - FORNECIMENTO E INSTALAÇÃO. AF_04/2022</v>
          </cell>
          <cell r="D6795" t="str">
            <v>UN</v>
          </cell>
          <cell r="E6795">
            <v>41.46</v>
          </cell>
          <cell r="F6795">
            <v>0</v>
          </cell>
        </row>
        <row r="6796">
          <cell r="B6796">
            <v>103860</v>
          </cell>
          <cell r="C6796" t="str">
            <v>LUVA PASSANTE EM COBRE, DN 28 MM, SEM ANEL DE SOLDA, INSTALADO EM RAMAL E SUB-RAMAL DE GÁS MEDICINAL - FORNECIMENTO E INSTALAÇÃO. AF_04/2022</v>
          </cell>
          <cell r="D6796" t="str">
            <v>UN</v>
          </cell>
          <cell r="E6796">
            <v>32.25</v>
          </cell>
          <cell r="F6796">
            <v>0</v>
          </cell>
        </row>
        <row r="6797">
          <cell r="B6797">
            <v>93113</v>
          </cell>
          <cell r="C6797" t="str">
            <v>LUVA PASSANTE EM COBRE, DN 28 MM, SEM ANEL DE SOLDA, INSTALADO EM RAMAL E SUB-RAMAL DE HIDRÁULICA PREDIAL - FORNECIMENTO E INSTALAÇÃO. AF_04/2022</v>
          </cell>
          <cell r="D6797" t="str">
            <v>UN</v>
          </cell>
          <cell r="E6797">
            <v>28.85</v>
          </cell>
          <cell r="F6797">
            <v>0</v>
          </cell>
        </row>
        <row r="6798">
          <cell r="B6798">
            <v>93061</v>
          </cell>
          <cell r="C6798" t="str">
            <v>LUVA PASSANTE EM COBRE, DN 35 MM, SEM ANEL DE SOLDA, INSTALADO EM PRUMADA DE HIDRÁULICA PREDIAL - FORNECIMENTO E INSTALAÇÃO. AF_04/2022</v>
          </cell>
          <cell r="D6798" t="str">
            <v>UN</v>
          </cell>
          <cell r="E6798">
            <v>36.04</v>
          </cell>
          <cell r="F6798">
            <v>0</v>
          </cell>
        </row>
        <row r="6799">
          <cell r="B6799">
            <v>93064</v>
          </cell>
          <cell r="C6799" t="str">
            <v>LUVA PASSANTE EM COBRE, DN 42 MM, SEM ANEL DE SOLDA, INSTALADO EM PRUMADA DE HIDRÁULICA PREDIAL - FORNECIMENTO E INSTALAÇÃO. AF_04/2022</v>
          </cell>
          <cell r="D6799" t="str">
            <v>UN</v>
          </cell>
          <cell r="E6799">
            <v>54.64</v>
          </cell>
          <cell r="F6799">
            <v>0</v>
          </cell>
        </row>
        <row r="6800">
          <cell r="B6800">
            <v>93067</v>
          </cell>
          <cell r="C6800" t="str">
            <v>LUVA PASSANTE EM COBRE, DN 54 MM, SEM ANEL DE SOLDA, INSTALADO EM PRUMADA DE HIDRÁULICA PREDIAL - FORNECIMENTO E INSTALAÇÃO. AF_04/2022</v>
          </cell>
          <cell r="D6800" t="str">
            <v>UN</v>
          </cell>
          <cell r="E6800">
            <v>80.790000000000006</v>
          </cell>
          <cell r="F6800">
            <v>0</v>
          </cell>
        </row>
        <row r="6801">
          <cell r="B6801">
            <v>93070</v>
          </cell>
          <cell r="C6801" t="str">
            <v>LUVA PASSANTE EM COBRE, DN 66 MM, SEM ANEL DE SOLDA, INSTALADO EM PRUMADA DE HIDRÁULICA PREDIAL - FORNECIMENTO E INSTALAÇÃO. AF_04/2022</v>
          </cell>
          <cell r="D6801" t="str">
            <v>UN</v>
          </cell>
          <cell r="E6801">
            <v>199.77</v>
          </cell>
          <cell r="F6801">
            <v>0</v>
          </cell>
        </row>
        <row r="6802">
          <cell r="B6802">
            <v>93117</v>
          </cell>
          <cell r="C6802" t="str">
            <v>TE DUPLA CURVA EM BRONZE/LATÃO, DN 1/2" X 15 MM X 1/2", SEM ANEL DE SOLDA, ROSCA F X BOLSA X ROSCA F, INSTALADO EM RAMAL E SUB-RAMAL DE HIDRÁULICA PREDIAL - FORNECIMENTO E INSTALAÇÃO. AF_04/2022</v>
          </cell>
          <cell r="D6802" t="str">
            <v>UN</v>
          </cell>
          <cell r="E6802">
            <v>64.77</v>
          </cell>
          <cell r="F6802">
            <v>0</v>
          </cell>
        </row>
        <row r="6803">
          <cell r="B6803">
            <v>93118</v>
          </cell>
          <cell r="C6803" t="str">
            <v>TE DUPLA CURVA EM BRONZE/LATÃO, DN 3/4" X 22 MM X 3/4", SEM ANEL DE SOLDA, ROSCA F X BOLSA X ROSCA F, INSTALADO EM RAMAL E SUB-RAMAL DE HIDRÁULICA PREDIAL - FORNECIMENTO E INSTALAÇÃO. AF_04/2022</v>
          </cell>
          <cell r="D6803" t="str">
            <v>UN</v>
          </cell>
          <cell r="E6803">
            <v>95.61</v>
          </cell>
          <cell r="F6803">
            <v>0</v>
          </cell>
        </row>
        <row r="6804">
          <cell r="B6804">
            <v>92317</v>
          </cell>
          <cell r="C6804" t="str">
            <v>TE EM COBRE, DN 15 MM, SEM ANEL DE SOLDA, INSTALADO EM RAMAL DE DISTRIBUIÇÃO DE HIDRÁULICA PREDIAL - FORNECIMENTO E INSTALAÇÃO. AF_04/2022</v>
          </cell>
          <cell r="D6804" t="str">
            <v>UN</v>
          </cell>
          <cell r="E6804">
            <v>23.63</v>
          </cell>
          <cell r="F6804">
            <v>0</v>
          </cell>
        </row>
        <row r="6805">
          <cell r="B6805">
            <v>92332</v>
          </cell>
          <cell r="C6805" t="str">
            <v>TE EM COBRE, DN 15 MM, SEM ANEL DE SOLDA, INSTALADO EM RAMAL E SUB-RAMAL DE HIDRÁULICA PREDIAL - FORNECIMENTO E INSTALAÇÃO. AF_04/2022</v>
          </cell>
          <cell r="D6805" t="str">
            <v>UN</v>
          </cell>
          <cell r="E6805">
            <v>24.15</v>
          </cell>
          <cell r="F6805">
            <v>0</v>
          </cell>
        </row>
        <row r="6806">
          <cell r="B6806">
            <v>92299</v>
          </cell>
          <cell r="C6806" t="str">
            <v>TE EM COBRE, DN 22 MM, SEM ANEL DE SOLDA, INSTALADO EM PRUMADA DE HIDRÁULICA PREDIAL - FORNECIMENTO E INSTALAÇÃO. AF_04/2022</v>
          </cell>
          <cell r="D6806" t="str">
            <v>UN</v>
          </cell>
          <cell r="E6806">
            <v>27.07</v>
          </cell>
          <cell r="F6806">
            <v>0</v>
          </cell>
        </row>
        <row r="6807">
          <cell r="B6807">
            <v>92318</v>
          </cell>
          <cell r="C6807" t="str">
            <v>TE EM COBRE, DN 22 MM, SEM ANEL DE SOLDA, INSTALADO EM RAMAL DE DISTRIBUIÇÃO DE HIDRÁULICA PREDIAL - FORNECIMENTO E INSTALAÇÃO. AF_04/2022</v>
          </cell>
          <cell r="D6807" t="str">
            <v>UN</v>
          </cell>
          <cell r="E6807">
            <v>35.33</v>
          </cell>
          <cell r="F6807">
            <v>0</v>
          </cell>
        </row>
        <row r="6808">
          <cell r="B6808">
            <v>103833</v>
          </cell>
          <cell r="C6808" t="str">
            <v>TE EM COBRE, DN 22 MM, SEM ANEL DE SOLDA, INSTALADO EM RAMAL E SUB-RAMAL DE GÁS COMBUSTÍVEL - FORNECIMENTO E INSTALAÇÃO. AF_04/2022</v>
          </cell>
          <cell r="D6808" t="str">
            <v>UN</v>
          </cell>
          <cell r="E6808">
            <v>59.56</v>
          </cell>
          <cell r="F6808">
            <v>0</v>
          </cell>
        </row>
        <row r="6809">
          <cell r="B6809">
            <v>92333</v>
          </cell>
          <cell r="C6809" t="str">
            <v>TE EM COBRE, DN 22 MM, SEM ANEL DE SOLDA, INSTALADO EM RAMAL E SUB-RAMAL DE HIDRÁULICA PREDIAL - FORNECIMENTO E INSTALAÇÃO. AF_04/2022</v>
          </cell>
          <cell r="D6809" t="str">
            <v>UN</v>
          </cell>
          <cell r="E6809">
            <v>41.44</v>
          </cell>
          <cell r="F6809">
            <v>0</v>
          </cell>
        </row>
        <row r="6810">
          <cell r="B6810">
            <v>92300</v>
          </cell>
          <cell r="C6810" t="str">
            <v>TE EM COBRE, DN 28 MM, SEM ANEL DE SOLDA, INSTALADO EM PRUMADA DE HIDRÁULICA PREDIAL - FORNECIMENTO E INSTALAÇÃO. AF_04/2022</v>
          </cell>
          <cell r="D6810" t="str">
            <v>UN</v>
          </cell>
          <cell r="E6810">
            <v>40.67</v>
          </cell>
          <cell r="F6810">
            <v>0</v>
          </cell>
        </row>
        <row r="6811">
          <cell r="B6811">
            <v>92319</v>
          </cell>
          <cell r="C6811" t="str">
            <v>TE EM COBRE, DN 28 MM, SEM ANEL DE SOLDA, INSTALADO EM RAMAL DE DISTRIBUIÇÃO DE HIDRÁULICA PREDIAL - FORNECIMENTO E INSTALAÇÃO. AF_04/2022</v>
          </cell>
          <cell r="D6811" t="str">
            <v>UN</v>
          </cell>
          <cell r="E6811">
            <v>48.3</v>
          </cell>
          <cell r="F6811">
            <v>0</v>
          </cell>
        </row>
        <row r="6812">
          <cell r="B6812">
            <v>92334</v>
          </cell>
          <cell r="C6812" t="str">
            <v>TE EM COBRE, DN 28 MM, SEM ANEL DE SOLDA, INSTALADO EM RAMAL E SUB-RAMAL DE HIDRÁULICA PREDIAL - FORNECIMENTO E INSTALAÇÃO. AF_04/2022</v>
          </cell>
          <cell r="D6812" t="str">
            <v>UN</v>
          </cell>
          <cell r="E6812">
            <v>59.19</v>
          </cell>
          <cell r="F6812">
            <v>0</v>
          </cell>
        </row>
        <row r="6813">
          <cell r="B6813">
            <v>92301</v>
          </cell>
          <cell r="C6813" t="str">
            <v>TE EM COBRE, DN 35 MM, SEM ANEL DE SOLDA, INSTALADO EM PRUMADA DE HIDRÁULICA PREDIAL - FORNECIMENTO E INSTALAÇÃO. AF_04/2022</v>
          </cell>
          <cell r="D6813" t="str">
            <v>UN</v>
          </cell>
          <cell r="E6813">
            <v>78.239999999999995</v>
          </cell>
          <cell r="F6813">
            <v>0</v>
          </cell>
        </row>
        <row r="6814">
          <cell r="B6814">
            <v>92302</v>
          </cell>
          <cell r="C6814" t="str">
            <v>TE EM COBRE, DN 42 MM, SEM ANEL DE SOLDA, INSTALADO EM PRUMADA DE HIDRÁULICA PREDIAL - FORNECIMENTO E INSTALAÇÃO. AF_04/2022</v>
          </cell>
          <cell r="D6814" t="str">
            <v>UN</v>
          </cell>
          <cell r="E6814">
            <v>102.93</v>
          </cell>
          <cell r="F6814">
            <v>0</v>
          </cell>
        </row>
        <row r="6815">
          <cell r="B6815">
            <v>92303</v>
          </cell>
          <cell r="C6815" t="str">
            <v>TE EM COBRE, DN 54 MM, SEM ANEL DE SOLDA, INSTALADO EM PRUMADA DE HIDRÁULICA PREDIAL - FORNECIMENTO E INSTALAÇÃO. AF_04/2022</v>
          </cell>
          <cell r="D6815" t="str">
            <v>UN</v>
          </cell>
          <cell r="E6815">
            <v>186.35</v>
          </cell>
          <cell r="F6815">
            <v>0</v>
          </cell>
        </row>
        <row r="6816">
          <cell r="B6816">
            <v>92304</v>
          </cell>
          <cell r="C6816" t="str">
            <v>TE EM COBRE, DN 66 MM, SEM ANEL DE SOLDA, INSTALADO EM PRUMADA DE HIDRÁULICA PREDIAL - FORNECIMENTO E INSTALAÇÃO. AF_04/2022</v>
          </cell>
          <cell r="D6816" t="str">
            <v>UN</v>
          </cell>
          <cell r="E6816">
            <v>475.36</v>
          </cell>
          <cell r="F6816">
            <v>0</v>
          </cell>
        </row>
        <row r="6817">
          <cell r="B6817">
            <v>103835</v>
          </cell>
          <cell r="C6817" t="str">
            <v>TUBO EM COBRE RÍGIDO, DN 15 MM, CLASSE A, SEM ISOLAMENTO, INSTALADO EM RAMAL E SUB-RAMAL DE GÁS MEDICINAL - FORNECIMENTO E INSTALAÇÃO. AF_04/2022</v>
          </cell>
          <cell r="D6817" t="str">
            <v>M</v>
          </cell>
          <cell r="E6817">
            <v>73.069999999999993</v>
          </cell>
          <cell r="F6817">
            <v>0</v>
          </cell>
        </row>
        <row r="6818">
          <cell r="B6818">
            <v>92308</v>
          </cell>
          <cell r="C6818" t="str">
            <v>TUBO EM COBRE RÍGIDO, DN 15 MM, CLASSE E, COM ISOLAMENTO, INSTALADO EM RAMAL DE DISTRIBUIÇÃO DE HIDRÁULICA PREDIAL - FORNECIMENTO E INSTALAÇÃO. AF_04/2022</v>
          </cell>
          <cell r="D6818" t="str">
            <v>M</v>
          </cell>
          <cell r="E6818">
            <v>59.34</v>
          </cell>
          <cell r="F6818">
            <v>0</v>
          </cell>
        </row>
        <row r="6819">
          <cell r="B6819">
            <v>103871</v>
          </cell>
          <cell r="C6819" t="str">
            <v>TUBO EM COBRE RÍGIDO, DN 15 MM, CLASSE E, COM ISOLAMENTO, INSTALADO EM RAMAL E SUB-RAMAL DE AQUECIMENTO SOLAR - FORNECIMENTO E INSTALAÇÃO. AF_04/2022</v>
          </cell>
          <cell r="D6819" t="str">
            <v>M</v>
          </cell>
          <cell r="E6819">
            <v>73.069999999999993</v>
          </cell>
          <cell r="F6819">
            <v>0</v>
          </cell>
        </row>
        <row r="6820">
          <cell r="B6820">
            <v>92323</v>
          </cell>
          <cell r="C6820" t="str">
            <v>TUBO EM COBRE RÍGIDO, DN 15 MM, CLASSE E, COM ISOLAMENTO, INSTALADO EM RAMAL E SUB-RAMAL DE HIDRÁULICA PREDIAL - FORNECIMENTO E INSTALAÇÃO. AF_04/2022</v>
          </cell>
          <cell r="D6820" t="str">
            <v>M</v>
          </cell>
          <cell r="E6820">
            <v>72.31</v>
          </cell>
          <cell r="F6820">
            <v>0</v>
          </cell>
        </row>
        <row r="6821">
          <cell r="B6821">
            <v>92305</v>
          </cell>
          <cell r="C6821" t="str">
            <v>TUBO EM COBRE RÍGIDO, DN 15 MM, CLASSE E, SEM ISOLAMENTO, INSTALADO EM RAMAL DE DISTRIBUIÇÃO DE HIDRÁULICA PREDIAL - FORNECIMENTO E INSTALAÇÃO. AF_04/2022</v>
          </cell>
          <cell r="D6821" t="str">
            <v>M</v>
          </cell>
          <cell r="E6821">
            <v>43.36</v>
          </cell>
          <cell r="F6821">
            <v>0</v>
          </cell>
        </row>
        <row r="6822">
          <cell r="B6822">
            <v>103868</v>
          </cell>
          <cell r="C6822" t="str">
            <v>TUBO EM COBRE RÍGIDO, DN 15 MM, CLASSE E, SEM ISOLAMENTO, INSTALADO EM RAMAL E SUB-RAMAL DE AQUECIMENTO SOLAR - FORNECIMENTO E INSTALAÇÃO. AF_04/2022</v>
          </cell>
          <cell r="D6822" t="str">
            <v>M</v>
          </cell>
          <cell r="E6822">
            <v>61.36</v>
          </cell>
          <cell r="F6822">
            <v>0</v>
          </cell>
        </row>
        <row r="6823">
          <cell r="B6823">
            <v>103802</v>
          </cell>
          <cell r="C6823" t="str">
            <v>TUBO EM COBRE RÍGIDO, DN 15 MM, CLASSE E, SEM ISOLAMENTO, INSTALADO EM RAMAL E SUB-RAMAL DE GÁS COMBUSTÍVEL - FORNECIMENTO E INSTALAÇÃO. AF_04/2022</v>
          </cell>
          <cell r="D6823" t="str">
            <v>M</v>
          </cell>
          <cell r="E6823">
            <v>46.63</v>
          </cell>
          <cell r="F6823">
            <v>0</v>
          </cell>
        </row>
        <row r="6824">
          <cell r="B6824">
            <v>92320</v>
          </cell>
          <cell r="C6824" t="str">
            <v>TUBO EM COBRE RÍGIDO, DN 15 MM, CLASSE E, SEM ISOLAMENTO, INSTALADO EM RAMAL E SUB-RAMAL DE HIDRÁULICA PREDIAL - FORNECIMENTO E INSTALAÇÃO. AF_04/2022</v>
          </cell>
          <cell r="D6824" t="str">
            <v>M</v>
          </cell>
          <cell r="E6824">
            <v>60.43</v>
          </cell>
          <cell r="F6824">
            <v>0</v>
          </cell>
        </row>
        <row r="6825">
          <cell r="B6825">
            <v>97335</v>
          </cell>
          <cell r="C6825" t="str">
            <v>TUBO EM COBRE RÍGIDO, DN 22 MM, CLASSE A, SEM ISOLAMENTO, INSTALADO EM PRUMADA DE GÁS COMBUSTÍVEL - FORNECIMENTO E INSTALAÇÃO. AF_04/2022</v>
          </cell>
          <cell r="D6825" t="str">
            <v>M</v>
          </cell>
          <cell r="E6825">
            <v>86.82</v>
          </cell>
          <cell r="F6825">
            <v>0</v>
          </cell>
        </row>
        <row r="6826">
          <cell r="B6826">
            <v>103836</v>
          </cell>
          <cell r="C6826" t="str">
            <v>TUBO EM COBRE RÍGIDO, DN 22 MM, CLASSE A, SEM ISOLAMENTO, INSTALADO EM RAMAL E SUB-RAMAL DE GÁS MEDICINAL - FORNECIMENTO E INSTALAÇÃO. AF_04/2022</v>
          </cell>
          <cell r="D6826" t="str">
            <v>M</v>
          </cell>
          <cell r="E6826">
            <v>112.13</v>
          </cell>
          <cell r="F6826">
            <v>0</v>
          </cell>
        </row>
        <row r="6827">
          <cell r="B6827">
            <v>92281</v>
          </cell>
          <cell r="C6827" t="str">
            <v>TUBO EM COBRE RÍGIDO, DN 22 MM, CLASSE E, COM ISOLAMENTO, INSTALADO EM PRUMADA DE HIDRÁULICA PREDIAL - FORNECIMENTO E INSTALAÇÃO. AF_04/2022</v>
          </cell>
          <cell r="D6827" t="str">
            <v>M</v>
          </cell>
          <cell r="E6827">
            <v>113.13</v>
          </cell>
          <cell r="F6827">
            <v>0</v>
          </cell>
        </row>
        <row r="6828">
          <cell r="B6828">
            <v>92309</v>
          </cell>
          <cell r="C6828" t="str">
            <v>TUBO EM COBRE RÍGIDO, DN 22 MM, CLASSE E, COM ISOLAMENTO, INSTALADO EM RAMAL DE DISTRIBUIÇÃO DE HIDRÁULICA PREDIAL - FORNECIMENTO E INSTALAÇÃO. AF_04/2022</v>
          </cell>
          <cell r="D6828" t="str">
            <v>M</v>
          </cell>
          <cell r="E6828">
            <v>125.57</v>
          </cell>
          <cell r="F6828">
            <v>0</v>
          </cell>
        </row>
        <row r="6829">
          <cell r="B6829">
            <v>103872</v>
          </cell>
          <cell r="C6829" t="str">
            <v>TUBO EM COBRE RÍGIDO, DN 22 MM, CLASSE E, COM ISOLAMENTO, INSTALADO EM RAMAL E SUB-RAMAL DE AQUECIMENTO SOLAR - FORNECIMENTO E INSTALAÇÃO. AF_04/2022</v>
          </cell>
          <cell r="D6829" t="str">
            <v>M</v>
          </cell>
          <cell r="E6829">
            <v>142.83000000000001</v>
          </cell>
          <cell r="F6829">
            <v>0</v>
          </cell>
        </row>
        <row r="6830">
          <cell r="B6830">
            <v>92324</v>
          </cell>
          <cell r="C6830" t="str">
            <v>TUBO EM COBRE RÍGIDO, DN 22 MM, CLASSE E, COM ISOLAMENTO, INSTALADO EM RAMAL E SUB-RAMAL DE HIDRÁULICA PREDIAL - FORNECIMENTO E INSTALAÇÃO. AF_04/2022</v>
          </cell>
          <cell r="D6830" t="str">
            <v>M</v>
          </cell>
          <cell r="E6830">
            <v>150.86000000000001</v>
          </cell>
          <cell r="F6830">
            <v>0</v>
          </cell>
        </row>
        <row r="6831">
          <cell r="B6831">
            <v>92275</v>
          </cell>
          <cell r="C6831" t="str">
            <v>TUBO EM COBRE RÍGIDO, DN 22 MM, CLASSE E, SEM ISOLAMENTO, INSTALADO EM PRUMADA DE HIDRÁULICA PREDIAL - FORNECIMENTO E INSTALAÇÃO. AF_04/2022</v>
          </cell>
          <cell r="D6831" t="str">
            <v>M</v>
          </cell>
          <cell r="E6831">
            <v>60.63</v>
          </cell>
          <cell r="F6831">
            <v>0</v>
          </cell>
        </row>
        <row r="6832">
          <cell r="B6832">
            <v>92306</v>
          </cell>
          <cell r="C6832" t="str">
            <v>TUBO EM COBRE RÍGIDO, DN 22 MM, CLASSE E, SEM ISOLAMENTO, INSTALADO EM RAMAL DE DISTRIBUIÇÃO DE HIDRÁULICA PREDIAL - FORNECIMENTO E INSTALAÇÃO. AF_04/2022</v>
          </cell>
          <cell r="D6832" t="str">
            <v>M</v>
          </cell>
          <cell r="E6832">
            <v>68.94</v>
          </cell>
          <cell r="F6832">
            <v>0</v>
          </cell>
        </row>
        <row r="6833">
          <cell r="B6833">
            <v>103869</v>
          </cell>
          <cell r="C6833" t="str">
            <v>TUBO EM COBRE RÍGIDO, DN 22 MM, CLASSE E, SEM ISOLAMENTO, INSTALADO EM RAMAL E SUB-RAMAL DE AQUECIMENTO SOLAR - FORNECIMENTO E INSTALAÇÃO. AF_04/2022</v>
          </cell>
          <cell r="D6833" t="str">
            <v>M</v>
          </cell>
          <cell r="E6833">
            <v>90.47</v>
          </cell>
          <cell r="F6833">
            <v>0</v>
          </cell>
        </row>
        <row r="6834">
          <cell r="B6834">
            <v>103803</v>
          </cell>
          <cell r="C6834" t="str">
            <v>TUBO EM COBRE RÍGIDO, DN 22 MM, CLASSE E, SEM ISOLAMENTO, INSTALADO EM RAMAL E SUB-RAMAL DE GÁS COMBUSTÍVEL - FORNECIMENTO E INSTALAÇÃO. AF_04/2022</v>
          </cell>
          <cell r="D6834" t="str">
            <v>M</v>
          </cell>
          <cell r="E6834">
            <v>80.150000000000006</v>
          </cell>
          <cell r="F6834">
            <v>0</v>
          </cell>
        </row>
        <row r="6835">
          <cell r="B6835">
            <v>92321</v>
          </cell>
          <cell r="C6835" t="str">
            <v>TUBO EM COBRE RÍGIDO, DN 22 MM, CLASSE E, SEM ISOLAMENTO, INSTALADO EM RAMAL E SUB-RAMAL DE HIDRÁULICA PREDIAL - FORNECIMENTO E INSTALAÇÃO. AF_04/2022</v>
          </cell>
          <cell r="D6835" t="str">
            <v>M</v>
          </cell>
          <cell r="E6835">
            <v>98.34</v>
          </cell>
          <cell r="F6835">
            <v>0</v>
          </cell>
        </row>
        <row r="6836">
          <cell r="B6836">
            <v>97336</v>
          </cell>
          <cell r="C6836" t="str">
            <v>TUBO EM COBRE RÍGIDO, DN 28 MM, CLASSE A, SEM ISOLAMENTO, INSTALADO EM PRUMADA DE GÁS COMBUSTÍVEL - FORNECIMENTO E INSTALAÇÃO. AF_04/2022</v>
          </cell>
          <cell r="D6836" t="str">
            <v>M</v>
          </cell>
          <cell r="E6836">
            <v>110.52</v>
          </cell>
          <cell r="F6836">
            <v>0</v>
          </cell>
        </row>
        <row r="6837">
          <cell r="B6837">
            <v>103837</v>
          </cell>
          <cell r="C6837" t="str">
            <v>TUBO EM COBRE RÍGIDO, DN 28 MM, CLASSE A, SEM ISOLAMENTO, INSTALADO EM RAMAL E SUB-RAMAL DE GÁS MEDICINAL - FORNECIMENTO E INSTALAÇÃO. AF_04/2022</v>
          </cell>
          <cell r="D6837" t="str">
            <v>M</v>
          </cell>
          <cell r="E6837">
            <v>141</v>
          </cell>
          <cell r="F6837">
            <v>0</v>
          </cell>
        </row>
        <row r="6838">
          <cell r="B6838">
            <v>92282</v>
          </cell>
          <cell r="C6838" t="str">
            <v>TUBO EM COBRE RÍGIDO, DN 28 MM, CLASSE E, COM ISOLAMENTO, INSTALADO EM PRUMADA DE HIDRÁULICA PREDIAL - FORNECIMENTO E INSTALAÇÃO. AF_04/2022</v>
          </cell>
          <cell r="D6838" t="str">
            <v>M</v>
          </cell>
          <cell r="E6838">
            <v>131.61000000000001</v>
          </cell>
          <cell r="F6838">
            <v>0</v>
          </cell>
        </row>
        <row r="6839">
          <cell r="B6839">
            <v>92310</v>
          </cell>
          <cell r="C6839" t="str">
            <v>TUBO EM COBRE RÍGIDO, DN 28 MM, CLASSE E, COM ISOLAMENTO, INSTALADO EM RAMAL DE DISTRIBUIÇÃO DE HIDRÁULICA PREDIAL - FORNECIMENTO E INSTALAÇÃO. AF_04/2022</v>
          </cell>
          <cell r="D6839" t="str">
            <v>M</v>
          </cell>
          <cell r="E6839">
            <v>144.43</v>
          </cell>
          <cell r="F6839">
            <v>0</v>
          </cell>
        </row>
        <row r="6840">
          <cell r="B6840">
            <v>103873</v>
          </cell>
          <cell r="C6840" t="str">
            <v>TUBO EM COBRE RÍGIDO, DN 28 MM, CLASSE E, COM ISOLAMENTO, INSTALADO EM RAMAL E SUB-RAMAL DE AQUECIMENTO SOLAR - FORNECIMENTO E INSTALAÇÃO. AF_04/2022</v>
          </cell>
          <cell r="D6840" t="str">
            <v>M</v>
          </cell>
          <cell r="E6840">
            <v>164.72</v>
          </cell>
          <cell r="F6840">
            <v>0</v>
          </cell>
        </row>
        <row r="6841">
          <cell r="B6841">
            <v>92325</v>
          </cell>
          <cell r="C6841" t="str">
            <v>TUBO EM COBRE RÍGIDO, DN 28 MM, CLASSE E, COM ISOLAMENTO, INSTALADO EM RAMAL E SUB-RAMAL DE HIDRÁULICA PREDIAL - FORNECIMENTO E INSTALAÇÃO. AF_04/2022</v>
          </cell>
          <cell r="D6841" t="str">
            <v>M</v>
          </cell>
          <cell r="E6841">
            <v>180.3</v>
          </cell>
          <cell r="F6841">
            <v>0</v>
          </cell>
        </row>
        <row r="6842">
          <cell r="B6842">
            <v>92276</v>
          </cell>
          <cell r="C6842" t="str">
            <v>TUBO EM COBRE RÍGIDO, DN 28 MM, CLASSE E, SEM ISOLAMENTO, INSTALADO EM PRUMADA DE HIDRÁULICA PREDIAL - FORNECIMENTO E INSTALAÇÃO. AF_04/2022</v>
          </cell>
          <cell r="D6842" t="str">
            <v>M</v>
          </cell>
          <cell r="E6842">
            <v>77.02</v>
          </cell>
          <cell r="F6842">
            <v>0</v>
          </cell>
        </row>
        <row r="6843">
          <cell r="B6843">
            <v>92307</v>
          </cell>
          <cell r="C6843" t="str">
            <v>TUBO EM COBRE RÍGIDO, DN 28 MM, CLASSE E, SEM ISOLAMENTO, INSTALADO EM RAMAL DE DISTRIBUIÇÃO DE HIDRÁULICA PREDIAL - FORNECIMENTO E INSTALAÇÃO. AF_04/2022</v>
          </cell>
          <cell r="D6843" t="str">
            <v>M</v>
          </cell>
          <cell r="E6843">
            <v>85.7</v>
          </cell>
          <cell r="F6843">
            <v>0</v>
          </cell>
        </row>
        <row r="6844">
          <cell r="B6844">
            <v>103870</v>
          </cell>
          <cell r="C6844" t="str">
            <v>TUBO EM COBRE RÍGIDO, DN 28 MM, CLASSE E, SEM ISOLAMENTO, INSTALADO EM RAMAL E SUB-RAMAL DE AQUECIMENTO SOLAR - FORNECIMENTO E INSTALAÇÃO. AF_04/2022</v>
          </cell>
          <cell r="D6844" t="str">
            <v>M</v>
          </cell>
          <cell r="E6844">
            <v>110.26</v>
          </cell>
          <cell r="F6844">
            <v>0</v>
          </cell>
        </row>
        <row r="6845">
          <cell r="B6845">
            <v>103804</v>
          </cell>
          <cell r="C6845" t="str">
            <v>TUBO EM COBRE RÍGIDO, DN 28 MM, CLASSE E, SEM ISOLAMENTO, INSTALADO EM RAMAL E SUB-RAMAL DE GÁS COMBUSTÍVEL - FORNECIMENTO E INSTALAÇÃO. AF_04/2022</v>
          </cell>
          <cell r="D6845" t="str">
            <v>M</v>
          </cell>
          <cell r="E6845">
            <v>95.6</v>
          </cell>
          <cell r="F6845">
            <v>0</v>
          </cell>
        </row>
        <row r="6846">
          <cell r="B6846">
            <v>92322</v>
          </cell>
          <cell r="C6846" t="str">
            <v>TUBO EM COBRE RÍGIDO, DN 28 MM, CLASSE E, SEM ISOLAMENTO, INSTALADO EM RAMAL E SUB-RAMAL DE HIDRÁULICA PREDIAL - FORNECIMENTO E INSTALAÇÃO. AF_04/2022</v>
          </cell>
          <cell r="D6846" t="str">
            <v>M</v>
          </cell>
          <cell r="E6846">
            <v>125.67</v>
          </cell>
          <cell r="F6846">
            <v>0</v>
          </cell>
        </row>
        <row r="6847">
          <cell r="B6847">
            <v>97337</v>
          </cell>
          <cell r="C6847" t="str">
            <v>TUBO EM COBRE RÍGIDO, DN 35 MM, CLASSE A, SEM ISOLAMENTO, INSTALADO EM PRUMADA DE GÁS COMBUSTÍVEL - FORNECIMENTO E INSTALAÇÃO. AF_04/2022</v>
          </cell>
          <cell r="D6847" t="str">
            <v>M</v>
          </cell>
          <cell r="E6847">
            <v>165.89</v>
          </cell>
          <cell r="F6847">
            <v>0</v>
          </cell>
        </row>
        <row r="6848">
          <cell r="B6848">
            <v>92283</v>
          </cell>
          <cell r="C6848" t="str">
            <v>TUBO EM COBRE RÍGIDO, DN 35 MM, CLASSE E, COM ISOLAMENTO, INSTALADO EM PRUMADA DE HIDRÁULICA PREDIAL - FORNECIMENTO E INSTALAÇÃO. AF_04/2022</v>
          </cell>
          <cell r="D6848" t="str">
            <v>M</v>
          </cell>
          <cell r="E6848">
            <v>179.81</v>
          </cell>
          <cell r="F6848">
            <v>0</v>
          </cell>
        </row>
        <row r="6849">
          <cell r="B6849">
            <v>92277</v>
          </cell>
          <cell r="C6849" t="str">
            <v>TUBO EM COBRE RÍGIDO, DN 35 MM, CLASSE E, SEM ISOLAMENTO, INSTALADO EM PRUMADA DE HIDRÁULICA PREDIAL - FORNECIMENTO E INSTALAÇÃO. AF_04/2022</v>
          </cell>
          <cell r="D6849" t="str">
            <v>M</v>
          </cell>
          <cell r="E6849">
            <v>111.05</v>
          </cell>
          <cell r="F6849">
            <v>0</v>
          </cell>
        </row>
        <row r="6850">
          <cell r="B6850">
            <v>97338</v>
          </cell>
          <cell r="C6850" t="str">
            <v>TUBO EM COBRE RÍGIDO, DN 42 MM, CLASSE A, SEM ISOLAMENTO, INSTALADO EM PRUMADA DE GÁS COMBUSTÍVEL - FORNECIMENTO E INSTALAÇÃO. AF_04/2022</v>
          </cell>
          <cell r="D6850" t="str">
            <v>M</v>
          </cell>
          <cell r="E6850">
            <v>199.62</v>
          </cell>
          <cell r="F6850">
            <v>0</v>
          </cell>
        </row>
        <row r="6851">
          <cell r="B6851">
            <v>92284</v>
          </cell>
          <cell r="C6851" t="str">
            <v>TUBO EM COBRE RÍGIDO, DN 42 MM, CLASSE E, COM ISOLAMENTO, INSTALADO EM PRUMADA DE HIDRÁULICA PREDIAL - FORNECIMENTO E INSTALAÇÃO. AF_04/2022</v>
          </cell>
          <cell r="D6851" t="str">
            <v>M</v>
          </cell>
          <cell r="E6851">
            <v>227.49</v>
          </cell>
          <cell r="F6851">
            <v>0</v>
          </cell>
        </row>
        <row r="6852">
          <cell r="B6852">
            <v>92278</v>
          </cell>
          <cell r="C6852" t="str">
            <v>TUBO EM COBRE RÍGIDO, DN 42 MM, CLASSE E, SEM ISOLAMENTO, INSTALADO EM PRUMADA DE HIDRÁULICA PREDIAL - FORNECIMENTO E INSTALAÇÃO. AF_04/2022</v>
          </cell>
          <cell r="D6852" t="str">
            <v>M</v>
          </cell>
          <cell r="E6852">
            <v>149.22999999999999</v>
          </cell>
          <cell r="F6852">
            <v>0</v>
          </cell>
        </row>
        <row r="6853">
          <cell r="B6853">
            <v>97339</v>
          </cell>
          <cell r="C6853" t="str">
            <v>TUBO EM COBRE RÍGIDO, DN 54 MM, CLASSE A, SEM ISOLAMENTO, INSTALADO EM PRUMADA DE GÁS COMBUSTÍVEL - FORNECIMENTO E INSTALAÇÃO. AF_04/2022</v>
          </cell>
          <cell r="D6853" t="str">
            <v>M</v>
          </cell>
          <cell r="E6853">
            <v>215.44</v>
          </cell>
          <cell r="F6853">
            <v>0</v>
          </cell>
        </row>
        <row r="6854">
          <cell r="B6854">
            <v>92285</v>
          </cell>
          <cell r="C6854" t="str">
            <v>TUBO EM COBRE RÍGIDO, DN 54 MM, CLASSE E, COM ISOLAMENTO, INSTALADO EM PRUMADA DE HIDRÁULICA PREDIAL - FORNECIMENTO E INSTALAÇÃO. AF_04/2022</v>
          </cell>
          <cell r="D6854" t="str">
            <v>M</v>
          </cell>
          <cell r="E6854">
            <v>308.8</v>
          </cell>
          <cell r="F6854">
            <v>0</v>
          </cell>
        </row>
        <row r="6855">
          <cell r="B6855">
            <v>92279</v>
          </cell>
          <cell r="C6855" t="str">
            <v>TUBO EM COBRE RÍGIDO, DN 54 MM, CLASSE E, SEM ISOLAMENTO, INSTALADO EM PRUMADA DE HIDRÁULICA PREDIAL - FORNECIMENTO E INSTALAÇÃO. AF_04/2022</v>
          </cell>
          <cell r="D6855" t="str">
            <v>M</v>
          </cell>
          <cell r="E6855">
            <v>215.44</v>
          </cell>
          <cell r="F6855">
            <v>0</v>
          </cell>
        </row>
        <row r="6856">
          <cell r="B6856">
            <v>97340</v>
          </cell>
          <cell r="C6856" t="str">
            <v>TUBO EM COBRE RÍGIDO, DN 66 MM, CLASSE A, SEM ISOLAMENTO, INSTALADO EM PRUMADA DE GÁS COMBUSTÍVEL - FORNECIMENTO E INSTALAÇÃO. AF_04/2022</v>
          </cell>
          <cell r="D6856" t="str">
            <v>M</v>
          </cell>
          <cell r="E6856">
            <v>217.31</v>
          </cell>
          <cell r="F6856">
            <v>0</v>
          </cell>
        </row>
        <row r="6857">
          <cell r="B6857">
            <v>92286</v>
          </cell>
          <cell r="C6857" t="str">
            <v>TUBO EM COBRE RÍGIDO, DN 66 MM, CLASSE E, COM ISOLAMENTO, INSTALADO EM PRUMADA DE HIDRÁULICA PREDIAL - FORNECIMENTO E INSTALAÇÃO. AF_04/2022</v>
          </cell>
          <cell r="D6857" t="str">
            <v>M</v>
          </cell>
          <cell r="E6857">
            <v>396.67</v>
          </cell>
          <cell r="F6857">
            <v>0</v>
          </cell>
        </row>
        <row r="6858">
          <cell r="B6858">
            <v>92280</v>
          </cell>
          <cell r="C6858" t="str">
            <v>TUBO EM COBRE RÍGIDO, DN 66 MM, CLASSE E, SEM ISOLAMENTO, INSTALADO EM PRUMADA DE HIDRÁULICA PREDIAL - FORNECIMENTO E INSTALAÇÃO. AF_04/2022</v>
          </cell>
          <cell r="D6858" t="str">
            <v>M</v>
          </cell>
          <cell r="E6858">
            <v>302.02</v>
          </cell>
          <cell r="F6858">
            <v>0</v>
          </cell>
        </row>
        <row r="6859">
          <cell r="B6859">
            <v>103901</v>
          </cell>
          <cell r="C6859" t="str">
            <v>TÊ EM COBRE, DN 15 MM, SEM ANEL DE SOLDA, INSTALADO EM RAMAL E SUB-RAMAL DE AQUECIMENTO SOLAR - FORNECIMENTO E INSTALAÇÃO. AF_04/2022</v>
          </cell>
          <cell r="D6859" t="str">
            <v>UN</v>
          </cell>
          <cell r="E6859">
            <v>33.06</v>
          </cell>
          <cell r="F6859">
            <v>0</v>
          </cell>
        </row>
        <row r="6860">
          <cell r="B6860">
            <v>103832</v>
          </cell>
          <cell r="C6860" t="str">
            <v>TÊ EM COBRE, DN 15 MM, SEM ANEL DE SOLDA, INSTALADO EM RAMAL E SUB-RAMAL DE GÁS COMBUSTÍVEL - FORNECIMENTO E INSTALAÇÃO. AF_04/2022</v>
          </cell>
          <cell r="D6860" t="str">
            <v>UN</v>
          </cell>
          <cell r="E6860">
            <v>32.909999999999997</v>
          </cell>
          <cell r="F6860">
            <v>0</v>
          </cell>
        </row>
        <row r="6861">
          <cell r="B6861">
            <v>103865</v>
          </cell>
          <cell r="C6861" t="str">
            <v>TÊ EM COBRE, DN 15 MM, SEM ANEL DE SOLDA, INSTALADO EM RAMAL E SUB-RAMAL DE GÁS MEDICINAL - FORNECIMENTO E INSTALAÇÃO. AF_04/2022</v>
          </cell>
          <cell r="D6861" t="str">
            <v>UN</v>
          </cell>
          <cell r="E6861">
            <v>31.5</v>
          </cell>
          <cell r="F6861">
            <v>0</v>
          </cell>
        </row>
        <row r="6862">
          <cell r="B6862">
            <v>103902</v>
          </cell>
          <cell r="C6862" t="str">
            <v>TÊ EM COBRE, DN 22 MM, SEM ANEL DE SOLDA, INSTALADO EM RAMAL E SUB-RAMAL DE AQUECIMENTO SOLAR - FORNECIMENTO E INSTALAÇÃO. AF_04/2022</v>
          </cell>
          <cell r="D6862" t="str">
            <v>UN</v>
          </cell>
          <cell r="E6862">
            <v>46.85</v>
          </cell>
          <cell r="F6862">
            <v>0</v>
          </cell>
        </row>
        <row r="6863">
          <cell r="B6863">
            <v>103866</v>
          </cell>
          <cell r="C6863" t="str">
            <v>TÊ EM COBRE, DN 22 MM, SEM ANEL DE SOLDA, INSTALADO EM RAMAL E SUB-RAMAL DE GÁS MEDICINAL - FORNECIMENTO E INSTALAÇÃO. AF_04/2022</v>
          </cell>
          <cell r="D6863" t="str">
            <v>UN</v>
          </cell>
          <cell r="E6863">
            <v>48.47</v>
          </cell>
          <cell r="F6863">
            <v>0</v>
          </cell>
        </row>
        <row r="6864">
          <cell r="B6864">
            <v>103903</v>
          </cell>
          <cell r="C6864" t="str">
            <v>TÊ EM COBRE, DN 28 MM, SEM ANEL DE SOLDA, INSTALADO EM RAMAL E SUB-RAMAL DE AQUECIMENTO SOLAR - FORNECIMENTO E INSTALAÇÃO. AF_04/2022</v>
          </cell>
          <cell r="D6864" t="str">
            <v>UN</v>
          </cell>
          <cell r="E6864">
            <v>61.65</v>
          </cell>
          <cell r="F6864">
            <v>0</v>
          </cell>
        </row>
        <row r="6865">
          <cell r="B6865">
            <v>103834</v>
          </cell>
          <cell r="C6865" t="str">
            <v>TÊ EM COBRE, DN 28 MM, SEM ANEL DE SOLDA, INSTALADO EM RAMAL E SUB-RAMAL DE GÁS COMBUSTÍVEL - FORNECIMENTO E INSTALAÇÃO. AF_04/2022</v>
          </cell>
          <cell r="D6865" t="str">
            <v>UN</v>
          </cell>
          <cell r="E6865">
            <v>85.36</v>
          </cell>
          <cell r="F6865">
            <v>0</v>
          </cell>
        </row>
        <row r="6866">
          <cell r="B6866">
            <v>103867</v>
          </cell>
          <cell r="C6866" t="str">
            <v>TÊ EM COBRE, DN 28 MM, SEM ANEL DE SOLDA, INSTALADO EM RAMAL E SUB-RAMAL DE GÁS MEDICINAL - FORNECIMENTO E INSTALAÇÃO. AF_04/2022</v>
          </cell>
          <cell r="D6866" t="str">
            <v>UN</v>
          </cell>
          <cell r="E6866">
            <v>65.959999999999994</v>
          </cell>
          <cell r="F6866">
            <v>0</v>
          </cell>
        </row>
        <row r="6867">
          <cell r="B6867">
            <v>105113</v>
          </cell>
          <cell r="C6867" t="str">
            <v>ESTRUTURA DE MADEIRA PROVISÓRIA PARA SUPORTE DE CAIXA D'ÁGUA ELEVADA DE 2000 LITROS. AF_03/2024</v>
          </cell>
          <cell r="D6867" t="str">
            <v>UN</v>
          </cell>
          <cell r="E6867">
            <v>8156.06</v>
          </cell>
          <cell r="F6867">
            <v>0</v>
          </cell>
        </row>
        <row r="6868">
          <cell r="B6868">
            <v>98461</v>
          </cell>
          <cell r="C6868" t="str">
            <v>ESTRUTURA DE MADEIRA PROVISÓRIA PARA SUPORTE DE CAIXA DÁGUA ELEVADA DE 1000 LITROS. AF_03/2024</v>
          </cell>
          <cell r="D6868" t="str">
            <v>UN</v>
          </cell>
          <cell r="E6868">
            <v>6180.32</v>
          </cell>
          <cell r="F6868">
            <v>0</v>
          </cell>
        </row>
        <row r="6869">
          <cell r="B6869">
            <v>98462</v>
          </cell>
          <cell r="C6869" t="str">
            <v>ESTRUTURA DE MADEIRA PROVISÓRIA PARA SUPORTE DE CAIXA DÁGUA ELEVADA DE 3000 LITROS. AF_03/2024</v>
          </cell>
          <cell r="D6869" t="str">
            <v>UN</v>
          </cell>
          <cell r="E6869">
            <v>10519.88</v>
          </cell>
          <cell r="F6869">
            <v>0</v>
          </cell>
        </row>
        <row r="6870">
          <cell r="B6870">
            <v>105130</v>
          </cell>
          <cell r="C6870" t="str">
            <v>EXECUÇÃO DE PILARETES PARA TAPUMES E CONSTRUÇÕES TEMPORÁRIAS. AF_03/2024</v>
          </cell>
          <cell r="D6870" t="str">
            <v>M</v>
          </cell>
          <cell r="E6870">
            <v>33.61</v>
          </cell>
          <cell r="F6870">
            <v>0</v>
          </cell>
        </row>
        <row r="6871">
          <cell r="B6871">
            <v>105114</v>
          </cell>
          <cell r="C6871" t="str">
            <v>EXECUÇÃO DOS APOIOS PARA CONTÊINER OU MÓDULO HABITÁVEL. AF_03/2024</v>
          </cell>
          <cell r="D6871" t="str">
            <v>M3</v>
          </cell>
          <cell r="E6871">
            <v>2018.19</v>
          </cell>
          <cell r="F6871">
            <v>0</v>
          </cell>
        </row>
        <row r="6872">
          <cell r="B6872">
            <v>105129</v>
          </cell>
          <cell r="C6872" t="str">
            <v>INSTALAÇÃO DE CATRACA ELETRÔNICA. AF_03/2024</v>
          </cell>
          <cell r="D6872" t="str">
            <v>UN</v>
          </cell>
          <cell r="E6872">
            <v>0</v>
          </cell>
        </row>
        <row r="6873">
          <cell r="B6873">
            <v>105127</v>
          </cell>
          <cell r="C6873" t="str">
            <v>INSTALAÇÃO DE CONCERTINA DUPLA CLIPADA, ESPIRAL DE 300 MM. AF_03/2024</v>
          </cell>
          <cell r="D6873" t="str">
            <v>M</v>
          </cell>
          <cell r="E6873">
            <v>28.79</v>
          </cell>
          <cell r="F6873">
            <v>0</v>
          </cell>
        </row>
        <row r="6874">
          <cell r="B6874">
            <v>105128</v>
          </cell>
          <cell r="C6874" t="str">
            <v>INSTALAÇÃO DE CONCERTINA FLAT, ESPIRAL DE 300 MM. AF_03/2024</v>
          </cell>
          <cell r="D6874" t="str">
            <v>M</v>
          </cell>
          <cell r="E6874">
            <v>98.42</v>
          </cell>
          <cell r="F6874">
            <v>0</v>
          </cell>
        </row>
        <row r="6875">
          <cell r="B6875">
            <v>105126</v>
          </cell>
          <cell r="C6875" t="str">
            <v>INSTALAÇÃO DE CONCERTINA SIMPLES, ESPIRAL DE 300 MM. AF_03/2024</v>
          </cell>
          <cell r="D6875" t="str">
            <v>M</v>
          </cell>
          <cell r="E6875">
            <v>32.39</v>
          </cell>
          <cell r="F6875">
            <v>0</v>
          </cell>
        </row>
        <row r="6876">
          <cell r="B6876">
            <v>105116</v>
          </cell>
          <cell r="C6876" t="str">
            <v>INSTALAÇÃO E DESINSTALAÇÃO MANUAL DE CONTÊINER OU MÓDULO HABITÁVEL PEQUENO. AF_03/2024</v>
          </cell>
          <cell r="D6876" t="str">
            <v>UN</v>
          </cell>
          <cell r="E6876">
            <v>15.4</v>
          </cell>
          <cell r="F6876">
            <v>0</v>
          </cell>
        </row>
        <row r="6877">
          <cell r="B6877">
            <v>105115</v>
          </cell>
          <cell r="C6877" t="str">
            <v>INSTALAÇÃO E DESINSTALAÇÃO MECANIZADA DE CONTÊINER OU MÓDULO HABITÁVEL DE USOS DIVERSOS. AF_03/2024</v>
          </cell>
          <cell r="D6877" t="str">
            <v>UN</v>
          </cell>
          <cell r="E6877">
            <v>149.81</v>
          </cell>
          <cell r="F6877">
            <v>0</v>
          </cell>
        </row>
        <row r="6878">
          <cell r="B6878">
            <v>98453</v>
          </cell>
          <cell r="C6878" t="str">
            <v>PAREDE DE MADEIRA COMPENSADA PARA CONSTRUÇÃO TEMPORÁRIA EM CHAPA DUPLA, EXTERNA, COM ÁREA LÍQUIDA MAIOR OU IGUAL A QUE 6 M², COM VÃO. AF_03/2024</v>
          </cell>
          <cell r="D6878" t="str">
            <v>M2</v>
          </cell>
          <cell r="E6878">
            <v>158.32</v>
          </cell>
          <cell r="F6878">
            <v>0</v>
          </cell>
        </row>
        <row r="6879">
          <cell r="B6879">
            <v>98454</v>
          </cell>
          <cell r="C6879" t="str">
            <v>PAREDE DE MADEIRA COMPENSADA PARA CONSTRUÇÃO TEMPORÁRIA EM CHAPA DUPLA, EXTERNA, COM ÁREA LÍQUIDA MENOR QUE 6 M², COM VÃO. AF_03/2024</v>
          </cell>
          <cell r="D6879" t="str">
            <v>M2</v>
          </cell>
          <cell r="E6879">
            <v>204.68</v>
          </cell>
          <cell r="F6879">
            <v>0</v>
          </cell>
        </row>
        <row r="6880">
          <cell r="B6880">
            <v>98449</v>
          </cell>
          <cell r="C6880" t="str">
            <v>PAREDE DE MADEIRA COMPENSADA PARA CONSTRUÇÃO TEMPORÁRIA EM CHAPA DUPLA, EXTERNA, SEM VÃO. AF_03/2024</v>
          </cell>
          <cell r="D6880" t="str">
            <v>M2</v>
          </cell>
          <cell r="E6880">
            <v>134</v>
          </cell>
          <cell r="F6880">
            <v>0</v>
          </cell>
        </row>
        <row r="6881">
          <cell r="B6881">
            <v>98455</v>
          </cell>
          <cell r="C6881" t="str">
            <v>PAREDE DE MADEIRA COMPENSADA PARA CONSTRUÇÃO TEMPORÁRIA EM CHAPA DUPLA, INTERNA, COM ÁREA LÍQUIDA MAIOR OU IGUAL A 6 M², COM VÃO. AF_03/2024</v>
          </cell>
          <cell r="D6881" t="str">
            <v>M2</v>
          </cell>
          <cell r="E6881">
            <v>123.31</v>
          </cell>
          <cell r="F6881">
            <v>0</v>
          </cell>
        </row>
        <row r="6882">
          <cell r="B6882">
            <v>98456</v>
          </cell>
          <cell r="C6882" t="str">
            <v>PAREDE DE MADEIRA COMPENSADA PARA CONSTRUÇÃO TEMPORÁRIA EM CHAPA DUPLA, INTERNA, COM ÁREA LÍQUIDA MENOR QUE 6 M², COM VÃO. AF_03/2024</v>
          </cell>
          <cell r="D6882" t="str">
            <v>M2</v>
          </cell>
          <cell r="E6882">
            <v>162.18</v>
          </cell>
          <cell r="F6882">
            <v>0</v>
          </cell>
        </row>
        <row r="6883">
          <cell r="B6883">
            <v>98451</v>
          </cell>
          <cell r="C6883" t="str">
            <v>PAREDE DE MADEIRA COMPENSADA PARA CONSTRUÇÃO TEMPORÁRIA EM CHAPA DUPLA, INTERNA, SEM VÃO. AF_03/2024</v>
          </cell>
          <cell r="D6883" t="str">
            <v>M2</v>
          </cell>
          <cell r="E6883">
            <v>104.36</v>
          </cell>
          <cell r="F6883">
            <v>0</v>
          </cell>
        </row>
        <row r="6884">
          <cell r="B6884">
            <v>98445</v>
          </cell>
          <cell r="C6884" t="str">
            <v>PAREDE DE MADEIRA COMPENSADA PARA CONSTRUÇÃO TEMPORÁRIA EM CHAPA SIMPLES, EXTERNA, COM ÁREA LÍQUIDA MAIOR OU IGUAL A 6 M², COM VÃO. AF_03/2024</v>
          </cell>
          <cell r="D6884" t="str">
            <v>M2</v>
          </cell>
          <cell r="E6884">
            <v>119.08</v>
          </cell>
          <cell r="F6884">
            <v>0</v>
          </cell>
        </row>
        <row r="6885">
          <cell r="B6885">
            <v>98446</v>
          </cell>
          <cell r="C6885" t="str">
            <v>PAREDE DE MADEIRA COMPENSADA PARA CONSTRUÇÃO TEMPORÁRIA EM CHAPA SIMPLES, EXTERNA, COM ÁREA LÍQUIDA MENOR QUE 6 M², COM VÃO. AF_03/2024</v>
          </cell>
          <cell r="D6885" t="str">
            <v>M2</v>
          </cell>
          <cell r="E6885">
            <v>155.6</v>
          </cell>
          <cell r="F6885">
            <v>0</v>
          </cell>
        </row>
        <row r="6886">
          <cell r="B6886">
            <v>98441</v>
          </cell>
          <cell r="C6886" t="str">
            <v>PAREDE DE MADEIRA COMPENSADA PARA CONSTRUÇÃO TEMPORÁRIA EM CHAPA SIMPLES, EXTERNA, SEM VÃO. AF_03/2024</v>
          </cell>
          <cell r="D6886" t="str">
            <v>M2</v>
          </cell>
          <cell r="E6886">
            <v>99.9</v>
          </cell>
          <cell r="F6886">
            <v>0</v>
          </cell>
        </row>
        <row r="6887">
          <cell r="B6887">
            <v>98447</v>
          </cell>
          <cell r="C6887" t="str">
            <v>PAREDE DE MADEIRA COMPENSADA PARA CONSTRUÇÃO TEMPORÁRIA EM CHAPA SIMPLES, INTERNA, COM ÁREA LÍQUIDA MAIOR OU IGUAL A 6 M², COM VÃO. AF_03/2024</v>
          </cell>
          <cell r="D6887" t="str">
            <v>M2</v>
          </cell>
          <cell r="E6887">
            <v>88.83</v>
          </cell>
          <cell r="F6887">
            <v>0</v>
          </cell>
        </row>
        <row r="6888">
          <cell r="B6888">
            <v>98448</v>
          </cell>
          <cell r="C6888" t="str">
            <v>PAREDE DE MADEIRA COMPENSADA PARA CONSTRUÇÃO TEMPORÁRIA EM CHAPA SIMPLES, INTERNA, COM ÁREA LÍQUIDA MENOR QUE 6 M², COM VÃO. AF_03/2024</v>
          </cell>
          <cell r="D6888" t="str">
            <v>M2</v>
          </cell>
          <cell r="E6888">
            <v>117.35</v>
          </cell>
          <cell r="F6888">
            <v>0</v>
          </cell>
        </row>
        <row r="6889">
          <cell r="B6889">
            <v>98443</v>
          </cell>
          <cell r="C6889" t="str">
            <v>PAREDE DE MADEIRA COMPENSADA PARA CONSTRUÇÃO TEMPORÁRIA EM CHAPA SIMPLES, INTERNA, SEM VÃO. AF_03/2024</v>
          </cell>
          <cell r="D6889" t="str">
            <v>M2</v>
          </cell>
          <cell r="E6889">
            <v>73.900000000000006</v>
          </cell>
          <cell r="F6889">
            <v>0</v>
          </cell>
        </row>
        <row r="6890">
          <cell r="B6890">
            <v>105122</v>
          </cell>
          <cell r="C6890" t="str">
            <v>PAREDE DE MADEIRA OSB PARA CONSTRUÇÃO TEMPORÁRIA EM CHAPA DUPLA, EXTERNA, COM ÁREA LÍQUIDA MAIOR OU IGUAL A QUE 6 M², COM VÃO. AF_03/2024</v>
          </cell>
          <cell r="D6890" t="str">
            <v>M2</v>
          </cell>
          <cell r="E6890">
            <v>0</v>
          </cell>
        </row>
        <row r="6891">
          <cell r="B6891">
            <v>105125</v>
          </cell>
          <cell r="C6891" t="str">
            <v>PAREDE DE MADEIRA OSB PARA CONSTRUÇÃO TEMPORÁRIA EM CHAPA DUPLA, EXTERNA, COM ÁREA LÍQUIDA MENOR QUE 6 M², COM VÃO. AF_03/2024</v>
          </cell>
          <cell r="D6891" t="str">
            <v>M2</v>
          </cell>
          <cell r="E6891">
            <v>0</v>
          </cell>
        </row>
        <row r="6892">
          <cell r="B6892">
            <v>105133</v>
          </cell>
          <cell r="C6892" t="str">
            <v>PAREDE DE MADEIRA OSB PARA CONSTRUÇÃO TEMPORÁRIA EM CHAPA DUPLA, EXTERNA, SEM VÃO. AF_03/2024</v>
          </cell>
          <cell r="D6892" t="str">
            <v>M2</v>
          </cell>
          <cell r="E6892">
            <v>0</v>
          </cell>
        </row>
        <row r="6893">
          <cell r="B6893">
            <v>105123</v>
          </cell>
          <cell r="C6893" t="str">
            <v>PAREDE DE MADEIRA OSB PARA CONSTRUÇÃO TEMPORÁRIA EM CHAPA DUPLA, INTERNA, COM ÁREA LÍQUIDA MAIOR OU IGUAL A 6 M², COM VÃO. AF_03/2024</v>
          </cell>
          <cell r="D6893" t="str">
            <v>M2</v>
          </cell>
          <cell r="E6893">
            <v>0</v>
          </cell>
        </row>
        <row r="6894">
          <cell r="B6894">
            <v>105124</v>
          </cell>
          <cell r="C6894" t="str">
            <v>PAREDE DE MADEIRA OSB PARA CONSTRUÇÃO TEMPORÁRIA EM CHAPA DUPLA, INTERNA, COM ÁREA LÍQUIDA MENOR QUE 6 M², COM VÃO. AF_03/2024</v>
          </cell>
          <cell r="D6894" t="str">
            <v>M2</v>
          </cell>
          <cell r="E6894">
            <v>0</v>
          </cell>
        </row>
        <row r="6895">
          <cell r="B6895">
            <v>105134</v>
          </cell>
          <cell r="C6895" t="str">
            <v>PAREDE DE MADEIRA OSB PARA CONSTRUÇÃO TEMPORÁRIA EM CHAPA DUPLA, INTERNA, SEM VÃO. AF_03/2024</v>
          </cell>
          <cell r="D6895" t="str">
            <v>M2</v>
          </cell>
          <cell r="E6895">
            <v>0</v>
          </cell>
        </row>
        <row r="6896">
          <cell r="B6896">
            <v>105117</v>
          </cell>
          <cell r="C6896" t="str">
            <v>PAREDE DE MADEIRA OSB PARA CONSTRUÇÃO TEMPORÁRIA EM CHAPA SIMPLES, EXTERNA, COM ÁREA LÍQUIDA MAIOR OU IGUAL A 6 M², COM VÃO. AF_03/2024</v>
          </cell>
          <cell r="D6896" t="str">
            <v>M2</v>
          </cell>
          <cell r="E6896">
            <v>0</v>
          </cell>
        </row>
        <row r="6897">
          <cell r="B6897">
            <v>105119</v>
          </cell>
          <cell r="C6897" t="str">
            <v>PAREDE DE MADEIRA OSB PARA CONSTRUÇÃO TEMPORÁRIA EM CHAPA SIMPLES, EXTERNA, COM ÁREA LÍQUIDA MENOR QUE 6 M², COM VÃO. AF_03/2024</v>
          </cell>
          <cell r="D6897" t="str">
            <v>M2</v>
          </cell>
          <cell r="E6897">
            <v>0</v>
          </cell>
        </row>
        <row r="6898">
          <cell r="B6898">
            <v>105131</v>
          </cell>
          <cell r="C6898" t="str">
            <v>PAREDE DE MADEIRA OSB PARA CONSTRUÇÃO TEMPORÁRIA EM CHAPA SIMPLES, EXTERNA, SEM VÃO. AF_03/2024</v>
          </cell>
          <cell r="D6898" t="str">
            <v>M2</v>
          </cell>
          <cell r="E6898">
            <v>0</v>
          </cell>
        </row>
        <row r="6899">
          <cell r="B6899">
            <v>105120</v>
          </cell>
          <cell r="C6899" t="str">
            <v>PAREDE DE MADEIRA OSB PARA CONSTRUÇÃO TEMPORÁRIA EM CHAPA SIMPLES, INTERNA, COM ÁREA LÍQUIDA MAIOR OU IGUAL A 6 M², COM VÃO. AF_03/2024</v>
          </cell>
          <cell r="D6899" t="str">
            <v>M2</v>
          </cell>
          <cell r="E6899">
            <v>0</v>
          </cell>
        </row>
        <row r="6900">
          <cell r="B6900">
            <v>105121</v>
          </cell>
          <cell r="C6900" t="str">
            <v>PAREDE DE MADEIRA OSB PARA CONSTRUÇÃO TEMPORÁRIA EM CHAPA SIMPLES, INTERNA, COM ÁREA LÍQUIDA MENOR QUE 6 M², COM VÃO. AF_03/2024</v>
          </cell>
          <cell r="D6900" t="str">
            <v>M2</v>
          </cell>
          <cell r="E6900">
            <v>0</v>
          </cell>
        </row>
        <row r="6901">
          <cell r="B6901">
            <v>105132</v>
          </cell>
          <cell r="C6901" t="str">
            <v>PAREDE DE MADEIRA OSB PARA CONSTRUÇÃO TEMPORÁRIA EM CHAPA SIMPLES, INTERNA, SEM VÃO. AF_03/2024</v>
          </cell>
          <cell r="D6901" t="str">
            <v>M2</v>
          </cell>
          <cell r="E6901">
            <v>0</v>
          </cell>
        </row>
        <row r="6902">
          <cell r="B6902">
            <v>98460</v>
          </cell>
          <cell r="C6902" t="str">
            <v>PISO PARA CONSTRUÇÃO TEMPORÁRIA EM MADEIRA, SEM REAPROVEITAMENTO. AF_03/2024</v>
          </cell>
          <cell r="D6902" t="str">
            <v>M2</v>
          </cell>
          <cell r="E6902">
            <v>73.760000000000005</v>
          </cell>
          <cell r="F6902">
            <v>0</v>
          </cell>
        </row>
        <row r="6903">
          <cell r="B6903">
            <v>98457</v>
          </cell>
          <cell r="C6903" t="str">
            <v>TAPUME COM CHAPA METÁLICA. AF_03/2024</v>
          </cell>
          <cell r="D6903" t="str">
            <v>M2</v>
          </cell>
          <cell r="E6903">
            <v>0</v>
          </cell>
        </row>
        <row r="6904">
          <cell r="B6904">
            <v>98458</v>
          </cell>
          <cell r="C6904" t="str">
            <v>TAPUME COM COMPENSADO DE MADEIRA. AF_03/2024</v>
          </cell>
          <cell r="D6904" t="str">
            <v>M2</v>
          </cell>
          <cell r="E6904">
            <v>99.25</v>
          </cell>
          <cell r="F6904">
            <v>0</v>
          </cell>
        </row>
        <row r="6905">
          <cell r="B6905">
            <v>98459</v>
          </cell>
          <cell r="C6905" t="str">
            <v>TAPUME COM TELHA METÁLICA. AF_03/2024</v>
          </cell>
          <cell r="D6905" t="str">
            <v>M2</v>
          </cell>
          <cell r="E6905">
            <v>96.32</v>
          </cell>
          <cell r="F6905">
            <v>0</v>
          </cell>
        </row>
        <row r="6906">
          <cell r="B6906">
            <v>105118</v>
          </cell>
          <cell r="C6906" t="str">
            <v>TAPUME EM CHAPA DE MADEIRA OSB. AF_03/2024</v>
          </cell>
          <cell r="D6906" t="str">
            <v>M2</v>
          </cell>
          <cell r="E6906">
            <v>0</v>
          </cell>
        </row>
        <row r="6907">
          <cell r="B6907">
            <v>106056</v>
          </cell>
          <cell r="C6907" t="str">
            <v>LAJE PRÉ-MOLDADA UNIDIRECIONAL COM VÃOS MAIORES QUE 3,0 M, BIAPOIADA, PARA PISO, ENCHIMENTO EM CERÂMICA, VIGOTA PROTENDIDA, ALTURA TOTAL DA LAJE "LT" = 12 CM (ENCHIMENTO+CAPA) = (8+4). AF_08/2025</v>
          </cell>
          <cell r="D6907" t="str">
            <v>M2</v>
          </cell>
          <cell r="E6907">
            <v>180.89</v>
          </cell>
          <cell r="F6907">
            <v>0</v>
          </cell>
        </row>
        <row r="6908">
          <cell r="B6908">
            <v>106057</v>
          </cell>
          <cell r="C6908" t="str">
            <v>LAJE PRÉ-MOLDADA UNIDIRECIONAL COM VÃOS MAIORES QUE 3,0 M, BIAPOIADA, PARA PISO, ENCHIMENTO EM CERÂMICA, VIGOTA PROTENDIDA, ALTURA TOTAL DA LAJE "LT" = 16 CM (ENCHIMENTO+CAPA) = (12+4). AF_08/2025</v>
          </cell>
          <cell r="D6908" t="str">
            <v>M2</v>
          </cell>
          <cell r="E6908">
            <v>187.36</v>
          </cell>
          <cell r="F6908">
            <v>0</v>
          </cell>
        </row>
        <row r="6909">
          <cell r="B6909">
            <v>104690</v>
          </cell>
          <cell r="C6909" t="str">
            <v>LAJE PRÉ-MOLDADA UNIDIRECIONAL COM VÃOS MAIORES QUE 3,0 M, BIAPOIADA, PARA PISO, ENCHIMENTO EM CERÂMICA, VIGOTA PROTENDIDA, ALTURA TOTAL DA LAJE "LT" = 20 CM (ENCHIMENTO+CAPA) = (16+4). AF_08/2025</v>
          </cell>
          <cell r="D6909" t="str">
            <v>M2</v>
          </cell>
          <cell r="E6909">
            <v>189.58</v>
          </cell>
          <cell r="F6909">
            <v>0</v>
          </cell>
        </row>
        <row r="6910">
          <cell r="B6910">
            <v>101958</v>
          </cell>
          <cell r="C6910" t="str">
            <v>LAJE PRÉ-MOLDADA UNIDIRECIONAL COM VÃOS MAIORES QUE 3,0 M, BIAPOIADA, PARA PISO, ENCHIMENTO EM CERÂMICA, VIGOTA PROTENDIDA, ALTURA TOTAL DA LAJE "LT" = 25 CM (ENCHIMENTO+CAPA) = (20+5). AF_08/2025</v>
          </cell>
          <cell r="D6910" t="str">
            <v>M2</v>
          </cell>
          <cell r="E6910">
            <v>225</v>
          </cell>
          <cell r="F6910">
            <v>0</v>
          </cell>
        </row>
        <row r="6911">
          <cell r="B6911">
            <v>106065</v>
          </cell>
          <cell r="C6911" t="str">
            <v>LAJE PRÉ-MOLDADA UNIDIRECIONAL COM VÃOS MAIORES QUE 3,0 M, BIAPOIADA, PARA PISO, ENCHIMENTO EM CERÂMICA, VIGOTA PROTENDIDA, ALTURA TOTAL DA LAJE "LT" = 30 CM (ENCHIMENTO+CAPA) = (25+5). AF_08/2025</v>
          </cell>
          <cell r="D6911" t="str">
            <v>M2</v>
          </cell>
          <cell r="E6911">
            <v>241.1</v>
          </cell>
          <cell r="F6911">
            <v>0</v>
          </cell>
        </row>
        <row r="6912">
          <cell r="B6912">
            <v>101959</v>
          </cell>
          <cell r="C6912" t="str">
            <v>LAJE PRÉ-MOLDADA UNIDIRECIONAL COM VÃOS MAIORES QUE 3,0 M, BIAPOIADA, PARA PISO, ENCHIMENTO EM EPS, VIGOTA PROTENDIDA, ALTURA TOTAL DA LAJE "LT" = 12 CM (ENCHIMENTO+CAPA) = (8+4). AF_08/2025</v>
          </cell>
          <cell r="D6912" t="str">
            <v>M2</v>
          </cell>
          <cell r="E6912">
            <v>165.49</v>
          </cell>
          <cell r="F6912">
            <v>0</v>
          </cell>
        </row>
        <row r="6913">
          <cell r="B6913">
            <v>101960</v>
          </cell>
          <cell r="C6913" t="str">
            <v>LAJE PRÉ-MOLDADA UNIDIRECIONAL COM VÃOS MAIORES QUE 3,0 M, BIAPOIADA, PARA PISO, ENCHIMENTO EM EPS, VIGOTA PROTENDIDA, ALTURA TOTAL DA LAJE "LT" = 16 CM (ENCHIMENTO+CAPA) = (12+4). AF_08/2025</v>
          </cell>
          <cell r="D6913" t="str">
            <v>M2</v>
          </cell>
          <cell r="E6913">
            <v>178.42</v>
          </cell>
          <cell r="F6913">
            <v>0</v>
          </cell>
        </row>
        <row r="6914">
          <cell r="B6914">
            <v>106058</v>
          </cell>
          <cell r="C6914" t="str">
            <v>LAJE PRÉ-MOLDADA UNIDIRECIONAL COM VÃOS MAIORES QUE 3,0 M, BIAPOIADA, PARA PISO, ENCHIMENTO EM EPS, VIGOTA PROTENDIDA, ALTURA TOTAL DA LAJE "LT" = 20 CM (ENCHIMENTO+CAPA) = (16+4). AF_08/2025</v>
          </cell>
          <cell r="D6914" t="str">
            <v>M2</v>
          </cell>
          <cell r="E6914">
            <v>186.12</v>
          </cell>
          <cell r="F6914">
            <v>0</v>
          </cell>
        </row>
        <row r="6915">
          <cell r="B6915">
            <v>101962</v>
          </cell>
          <cell r="C6915" t="str">
            <v>LAJE PRÉ-MOLDADA UNIDIRECIONAL COM VÃOS MAIORES QUE 3,0 M, BIAPOIADA, PARA PISO, ENCHIMENTO EM EPS, VIGOTA PROTENDIDA, ALTURA TOTAL DA LAJE "LT" = 25 CM (ENCHIMENTO+CAPA) = (20+5). AF_08/2025</v>
          </cell>
          <cell r="D6915" t="str">
            <v>M2</v>
          </cell>
          <cell r="E6915">
            <v>211.97</v>
          </cell>
          <cell r="F6915">
            <v>0</v>
          </cell>
        </row>
        <row r="6916">
          <cell r="B6916">
            <v>106066</v>
          </cell>
          <cell r="C6916" t="str">
            <v>LAJE PRÉ-MOLDADA UNIDIRECIONAL COM VÃOS MAIORES QUE 3,0 M, BIAPOIADA, PARA PISO, ENCHIMENTO EM EPS, VIGOTA PROTENDIDA, ALTURA TOTAL DA LAJE "LT" = 30 CM (ENCHIMENTO+CAPA) = (25+5). AF_08/2025</v>
          </cell>
          <cell r="D6916" t="str">
            <v>M2</v>
          </cell>
          <cell r="E6916">
            <v>229.77</v>
          </cell>
          <cell r="F6916">
            <v>0</v>
          </cell>
        </row>
        <row r="6917">
          <cell r="B6917">
            <v>106048</v>
          </cell>
          <cell r="C6917" t="str">
            <v>LAJE PRÉ-MOLDADA UNIDIRECIONAL COM VÃOS MENORES OU IGUAIS A 3,0 M, BIAPOIADA, PARA PISO, ENCHIMENTO EM CERÂMICA, VIGOTA PROTENDIDA, ALTURA TOTAL DA LAJE "LT" = 12 CM (ENCHIMENTO+CAPA) = (8+4). AF_08/2025</v>
          </cell>
          <cell r="D6917" t="str">
            <v>M2</v>
          </cell>
          <cell r="E6917">
            <v>148.09</v>
          </cell>
          <cell r="F6917">
            <v>0</v>
          </cell>
        </row>
        <row r="6918">
          <cell r="B6918">
            <v>106049</v>
          </cell>
          <cell r="C6918" t="str">
            <v>LAJE PRÉ-MOLDADA UNIDIRECIONAL COM VÃOS MENORES OU IGUAIS A 3,0 M, BIAPOIADA, PARA PISO, ENCHIMENTO EM CERÂMICA, VIGOTA PROTENDIDA, ALTURA TOTAL DA LAJE "LT" = 16 CM (ENCHIMENTO+CAPA) = (12+4). AF_08/2025</v>
          </cell>
          <cell r="D6918" t="str">
            <v>M2</v>
          </cell>
          <cell r="E6918">
            <v>154.56</v>
          </cell>
          <cell r="F6918">
            <v>0</v>
          </cell>
        </row>
        <row r="6919">
          <cell r="B6919">
            <v>106050</v>
          </cell>
          <cell r="C6919" t="str">
            <v>LAJE PRÉ-MOLDADA UNIDIRECIONAL COM VÃOS MENORES OU IGUAIS A 3,0 M, BIAPOIADA, PARA PISO, ENCHIMENTO EM CERÂMICA, VIGOTA PROTENDIDA, ALTURA TOTAL DA LAJE "LT" = 20 CM (ENCHIMENTO+CAPA) = (16+4). AF_08/2025</v>
          </cell>
          <cell r="D6919" t="str">
            <v>M2</v>
          </cell>
          <cell r="E6919">
            <v>164.89</v>
          </cell>
          <cell r="F6919">
            <v>0</v>
          </cell>
        </row>
        <row r="6920">
          <cell r="B6920">
            <v>106051</v>
          </cell>
          <cell r="C6920" t="str">
            <v>LAJE PRÉ-MOLDADA UNIDIRECIONAL COM VÃOS MENORES OU IGUAIS A 3,0 M, BIAPOIADA, PARA PISO, ENCHIMENTO EM CERÂMICA, VIGOTA PROTENDIDA, ALTURA TOTAL DA LAJE "LT" = 25 CM (ENCHIMENTO+CAPA) = (20+5). AF_08/2025</v>
          </cell>
          <cell r="D6920" t="str">
            <v>M2</v>
          </cell>
          <cell r="E6920">
            <v>200.31</v>
          </cell>
          <cell r="F6920">
            <v>0</v>
          </cell>
        </row>
        <row r="6921">
          <cell r="B6921">
            <v>106063</v>
          </cell>
          <cell r="C6921" t="str">
            <v>LAJE PRÉ-MOLDADA UNIDIRECIONAL COM VÃOS MENORES OU IGUAIS A 3,0 M, BIAPOIADA, PARA PISO, ENCHIMENTO EM CERÂMICA, VIGOTA PROTENDIDA, ALTURA TOTAL DA LAJE "LT" = 30 CM (ENCHIMENTO+CAPA) = (25+5). AF_08/2025</v>
          </cell>
          <cell r="D6921" t="str">
            <v>M2</v>
          </cell>
          <cell r="E6921">
            <v>216.41</v>
          </cell>
          <cell r="F6921">
            <v>0</v>
          </cell>
        </row>
        <row r="6922">
          <cell r="B6922">
            <v>106052</v>
          </cell>
          <cell r="C6922" t="str">
            <v>LAJE PRÉ-MOLDADA UNIDIRECIONAL COM VÃOS MENORES OU IGUAIS A 3,0 M, BIAPOIADA, PARA PISO, ENCHIMENTO EM EPS, VIGOTA PROTENDIDA, ALTURA TOTAL DA LAJE "LT" = 12 CM (ENCHIMENTO+CAPA) = (8+4). AF_08/2025</v>
          </cell>
          <cell r="D6922" t="str">
            <v>M2</v>
          </cell>
          <cell r="E6922">
            <v>130.29</v>
          </cell>
          <cell r="F6922">
            <v>0</v>
          </cell>
        </row>
        <row r="6923">
          <cell r="B6923">
            <v>106053</v>
          </cell>
          <cell r="C6923" t="str">
            <v>LAJE PRÉ-MOLDADA UNIDIRECIONAL COM VÃOS MENORES OU IGUAIS A 3,0 M, BIAPOIADA, PARA PISO, ENCHIMENTO EM EPS, VIGOTA PROTENDIDA, ALTURA TOTAL DA LAJE "LT" = 16 CM (ENCHIMENTO+CAPA) = (12+4). AF_08/2025</v>
          </cell>
          <cell r="D6923" t="str">
            <v>M2</v>
          </cell>
          <cell r="E6923">
            <v>143.22</v>
          </cell>
          <cell r="F6923">
            <v>0</v>
          </cell>
        </row>
        <row r="6924">
          <cell r="B6924">
            <v>106054</v>
          </cell>
          <cell r="C6924" t="str">
            <v>LAJE PRÉ-MOLDADA UNIDIRECIONAL COM VÃOS MENORES OU IGUAIS A 3,0 M, BIAPOIADA, PARA PISO, ENCHIMENTO EM EPS, VIGOTA PROTENDIDA, ALTURA TOTAL DA LAJE "LT" = 20 CM (ENCHIMENTO+CAPA) = (16+4). AF_08/2025</v>
          </cell>
          <cell r="D6924" t="str">
            <v>M2</v>
          </cell>
          <cell r="E6924">
            <v>158.52000000000001</v>
          </cell>
          <cell r="F6924">
            <v>0</v>
          </cell>
        </row>
        <row r="6925">
          <cell r="B6925">
            <v>106055</v>
          </cell>
          <cell r="C6925" t="str">
            <v>LAJE PRÉ-MOLDADA UNIDIRECIONAL COM VÃOS MENORES OU IGUAIS A 3,0 M, BIAPOIADA, PARA PISO, ENCHIMENTO EM EPS, VIGOTA PROTENDIDA, ALTURA TOTAL DA LAJE "LT" = 25 CM (ENCHIMENTO+CAPA) = (20+5). AF_08/2025</v>
          </cell>
          <cell r="D6925" t="str">
            <v>M2</v>
          </cell>
          <cell r="E6925">
            <v>184.37</v>
          </cell>
          <cell r="F6925">
            <v>0</v>
          </cell>
        </row>
        <row r="6926">
          <cell r="B6926">
            <v>106064</v>
          </cell>
          <cell r="C6926" t="str">
            <v>LAJE PRÉ-MOLDADA UNIDIRECIONAL COM VÃOS MENORES OU IGUAIS A 3,0 M, BIAPOIADA, PARA PISO, ENCHIMENTO EM EPS, VIGOTA PROTENDIDA, ALTURA TOTAL DA LAJE "LT" = 30 CM (ENCHIMENTO+CAPA) = (25+5). AF_08/2025</v>
          </cell>
          <cell r="D6926" t="str">
            <v>M2</v>
          </cell>
          <cell r="E6926">
            <v>202.17</v>
          </cell>
          <cell r="F6926">
            <v>0</v>
          </cell>
        </row>
        <row r="6927">
          <cell r="B6927">
            <v>106067</v>
          </cell>
          <cell r="C6927" t="str">
            <v>LAJE PRÉ-MOLDADA UNIDIRECIONAL, BIAPOIADA TIPO LAJE PAINEL TRELIÇADO MACIÇO (SEM ENCHIMENTO), PARA PISO, ALTURA TOTAL DA LAJE "LT" = 12 CM (PAINEL+CAPA) = (3+9). AF_08/2025</v>
          </cell>
          <cell r="D6927" t="str">
            <v>M2</v>
          </cell>
          <cell r="E6927">
            <v>278.20999999999998</v>
          </cell>
          <cell r="F6927">
            <v>0</v>
          </cell>
        </row>
        <row r="6928">
          <cell r="B6928">
            <v>106070</v>
          </cell>
          <cell r="C6928" t="str">
            <v>LAJE PRÉ-MOLDADA UNIDIRECIONAL, BIAPOIADA TIPO LAJE PAINEL TRELIÇADO MACIÇO (SEM ENCHIMENTO), PARA PISO, ALTURA TOTAL DA LAJE "LT" = 16 CM (PAINEL+CAPA) = (3+13). AF_08/2025</v>
          </cell>
          <cell r="D6928" t="str">
            <v>M2</v>
          </cell>
          <cell r="E6928">
            <v>306.45999999999998</v>
          </cell>
          <cell r="F6928">
            <v>0</v>
          </cell>
        </row>
        <row r="6929">
          <cell r="B6929">
            <v>106071</v>
          </cell>
          <cell r="C6929" t="str">
            <v>LAJE PRÉ-MOLDADA UNIDIRECIONAL, BIAPOIADA TIPO LAJE PAINEL TRELIÇADO MACIÇO (SEM ENCHIMENTO), PARA PISO, ALTURA TOTAL DA LAJE "LT" = 20 CM (PAINEL+CAPA) = (3+17). AF_08/2025</v>
          </cell>
          <cell r="D6929" t="str">
            <v>M2</v>
          </cell>
          <cell r="E6929">
            <v>352.92</v>
          </cell>
          <cell r="F6929">
            <v>0</v>
          </cell>
        </row>
        <row r="6930">
          <cell r="B6930">
            <v>106072</v>
          </cell>
          <cell r="C6930" t="str">
            <v>LAJE PRÉ-MOLDADA UNIDIRECIONAL, BIAPOIADA TIPO LAJE PAINEL TRELIÇADO MACIÇO (SEM ENCHIMENTO), PARA PISO, ALTURA TOTAL DA LAJE "LT" = 25 CM (PAINEL+CAPA) = (3+22). AF_08/2025</v>
          </cell>
          <cell r="D6930" t="str">
            <v>M2</v>
          </cell>
          <cell r="E6930">
            <v>378.92</v>
          </cell>
          <cell r="F6930">
            <v>0</v>
          </cell>
        </row>
        <row r="6931">
          <cell r="B6931">
            <v>106073</v>
          </cell>
          <cell r="C6931" t="str">
            <v>LAJE PRÉ-MOLDADA UNIDIRECIONAL, BIAPOIADA TIPO LAJE PAINEL TRELIÇADO MACIÇO (SEM ENCHIMENTO), PARA PISO, ALTURA TOTAL DA LAJE "LT" = 30 CM (PAINEL+CAPA) = (3+27). AF_08/2025</v>
          </cell>
          <cell r="D6931" t="str">
            <v>M2</v>
          </cell>
          <cell r="E6931">
            <v>456.95</v>
          </cell>
          <cell r="F6931">
            <v>0</v>
          </cell>
        </row>
        <row r="6932">
          <cell r="B6932">
            <v>106068</v>
          </cell>
          <cell r="C6932" t="str">
            <v>LAJE PRÉ-MOLDADA UNIDIRECIONAL, BIAPOIADA TIPO LAJE PAINEL TRELIÇADO NERVURADO (COM ENCHIMENTO EM EPS), PARA PISO, ALTURA TOTAL DA LAJE "LT" = 12 CM (PAINEL+ENCHIMENTO+CAPA) = (3+5+4). AF_08/2025</v>
          </cell>
          <cell r="D6932" t="str">
            <v>M2</v>
          </cell>
          <cell r="E6932">
            <v>281.93</v>
          </cell>
          <cell r="F6932">
            <v>0</v>
          </cell>
        </row>
        <row r="6933">
          <cell r="B6933">
            <v>106069</v>
          </cell>
          <cell r="C6933" t="str">
            <v>LAJE PRÉ-MOLDADA UNIDIRECIONAL, BIAPOIADA TIPO LAJE PAINEL TRELIÇADO NERVURADO (COM ENCHIMENTO EM EPS), PARA PISO, ALTURA TOTAL DA LAJE "LT" = 16 CM (PAINEL+ENCHIMENTO+CAPA) = (3+9+4). AF_08/2025</v>
          </cell>
          <cell r="D6933" t="str">
            <v>M2</v>
          </cell>
          <cell r="E6933">
            <v>308.05</v>
          </cell>
          <cell r="F6933">
            <v>0</v>
          </cell>
        </row>
        <row r="6934">
          <cell r="B6934">
            <v>106074</v>
          </cell>
          <cell r="C6934" t="str">
            <v>LAJE PRÉ-MOLDADA UNIDIRECIONAL, BIAPOIADA TIPO LAJE PAINEL TRELIÇADO NERVURADO (COM ENCHIMENTO EM EPS), PARA PISO, ALTURA TOTAL DA LAJE "LT" = 20 CM (PAINEL+ENCHIMENTO+CAPA) = (3+13+4). AF_08/2025</v>
          </cell>
          <cell r="D6934" t="str">
            <v>M2</v>
          </cell>
          <cell r="E6934">
            <v>330.12</v>
          </cell>
          <cell r="F6934">
            <v>0</v>
          </cell>
        </row>
        <row r="6935">
          <cell r="B6935">
            <v>106075</v>
          </cell>
          <cell r="C6935" t="str">
            <v>LAJE PRÉ-MOLDADA UNIDIRECIONAL, BIAPOIADA TIPO LAJE PAINEL TRELIÇADO NERVURADO (COM ENCHIMENTO EM EPS), PARA PISO, ALTURA TOTAL DA LAJE "LT" = 25 CM (PAINEL+ENCHIMENTO+CAPA) = (3+17+5). AF_08/2025</v>
          </cell>
          <cell r="D6935" t="str">
            <v>M2</v>
          </cell>
          <cell r="E6935">
            <v>362.12</v>
          </cell>
          <cell r="F6935">
            <v>0</v>
          </cell>
        </row>
        <row r="6936">
          <cell r="B6936">
            <v>106076</v>
          </cell>
          <cell r="C6936" t="str">
            <v>LAJE PRÉ-MOLDADA UNIDIRECIONAL, BIAPOIADA TIPO LAJE PAINEL TRELIÇADO NERVURADO (COM ENCHIMENTO EM EPS), PARA PISO, ALTURA TOTAL DA LAJE "LT" = 30 CM (PAINEL+ENCHIMENTO+CAPA) = (3+22+5). AF_08/2025</v>
          </cell>
          <cell r="D6936" t="str">
            <v>M2</v>
          </cell>
          <cell r="E6936">
            <v>419.99</v>
          </cell>
          <cell r="F6936">
            <v>0</v>
          </cell>
        </row>
        <row r="6937">
          <cell r="B6937">
            <v>101964</v>
          </cell>
          <cell r="C6937" t="str">
            <v>LAJE PRÉ-MOLDADA UNIDIRECIONAL, BIAPOIADA, PARA FORRO, ENCHIMENTO EM CERÂMICA, VIGOTA CONVENCIONAL, ALTURA TOTAL DA LAJE "LT" = 12 CM (ENCHIMENTO+CAPA) = (8+4). AF_08/2025</v>
          </cell>
          <cell r="D6937" t="str">
            <v>M2</v>
          </cell>
          <cell r="E6937">
            <v>184.31</v>
          </cell>
          <cell r="F6937">
            <v>0</v>
          </cell>
        </row>
        <row r="6938">
          <cell r="B6938">
            <v>106059</v>
          </cell>
          <cell r="C6938" t="str">
            <v>LAJE PRÉ-MOLDADA UNIDIRECIONAL, BIAPOIADA, PARA FORRO, ENCHIMENTO EM CERÂMICA, VIGOTA TRELIÇADA, ALTURA TOTAL DA LAJE "LT" = 12 CM (ENCHIMENTO+CAPA) = (8+4). AF_08/2025</v>
          </cell>
          <cell r="D6938" t="str">
            <v>M2</v>
          </cell>
          <cell r="E6938">
            <v>196.91</v>
          </cell>
          <cell r="F6938">
            <v>0</v>
          </cell>
        </row>
        <row r="6939">
          <cell r="B6939">
            <v>106060</v>
          </cell>
          <cell r="C6939" t="str">
            <v>LAJE PRÉ-MOLDADA UNIDIRECIONAL, BIAPOIADA, PARA FORRO, ENCHIMENTO EM EPS, VIGOTA TRELIÇADA, ALTURA TOTAL DA LAJE "LT" = 12 CM (ENCHIMENTO+CAPA) = (8+4). AF_08/2025</v>
          </cell>
          <cell r="D6939" t="str">
            <v>M2</v>
          </cell>
          <cell r="E6939">
            <v>188.95</v>
          </cell>
          <cell r="F6939">
            <v>0</v>
          </cell>
        </row>
        <row r="6940">
          <cell r="B6940">
            <v>101963</v>
          </cell>
          <cell r="C6940" t="str">
            <v>LAJE PRÉ-MOLDADA UNIDIRECIONAL, BIAPOIADA, PARA PISO, ENCHIMENTO EM CERÂMICA, VIGOTA CONVENCIONAL, ALTURA TOTAL DA LAJE "LT" = 12 CM (ENCHIMENTO+CAPA) = (8+4). AF_08/2025</v>
          </cell>
          <cell r="D6940" t="str">
            <v>M2</v>
          </cell>
          <cell r="E6940">
            <v>202.93</v>
          </cell>
          <cell r="F6940">
            <v>0</v>
          </cell>
        </row>
        <row r="6941">
          <cell r="B6941">
            <v>101947</v>
          </cell>
          <cell r="C6941" t="str">
            <v>LAJE PRÉ-MOLDADA UNIDIRECIONAL, BIAPOIADA, PARA PISO, ENCHIMENTO EM CERÂMICA, VIGOTA TRELIÇADA, ALTURA TOTAL DA LAJE "LT" = 12 CM (ENCHIMENTO+CAPA) = (8+4). AF_08/2025</v>
          </cell>
          <cell r="D6941" t="str">
            <v>M2</v>
          </cell>
          <cell r="E6941">
            <v>207.38</v>
          </cell>
          <cell r="F6941">
            <v>0</v>
          </cell>
        </row>
        <row r="6942">
          <cell r="B6942">
            <v>101948</v>
          </cell>
          <cell r="C6942" t="str">
            <v>LAJE PRÉ-MOLDADA UNIDIRECIONAL, BIAPOIADA, PARA PISO, ENCHIMENTO EM CERÂMICA, VIGOTA TRELIÇADA, ALTURA TOTAL DA LAJE "LT" = 16 CM (ENCHIMENTO+CAPA) = (12+4). AF_08/2025</v>
          </cell>
          <cell r="D6942" t="str">
            <v>M2</v>
          </cell>
          <cell r="E6942">
            <v>217.97</v>
          </cell>
          <cell r="F6942">
            <v>0</v>
          </cell>
        </row>
        <row r="6943">
          <cell r="B6943">
            <v>101949</v>
          </cell>
          <cell r="C6943" t="str">
            <v>LAJE PRÉ-MOLDADA UNIDIRECIONAL, BIAPOIADA, PARA PISO, ENCHIMENTO EM CERÂMICA, VIGOTA TRELIÇADA, ALTURA TOTAL DA LAJE "LT" = 20 CM (ENCHIMENTO+CAPA) = (16+4). AF_08/2025</v>
          </cell>
          <cell r="D6943" t="str">
            <v>M2</v>
          </cell>
          <cell r="E6943">
            <v>226.21</v>
          </cell>
          <cell r="F6943">
            <v>0</v>
          </cell>
        </row>
        <row r="6944">
          <cell r="B6944">
            <v>101950</v>
          </cell>
          <cell r="C6944" t="str">
            <v>LAJE PRÉ-MOLDADA UNIDIRECIONAL, BIAPOIADA, PARA PISO, ENCHIMENTO EM CERÂMICA, VIGOTA TRELIÇADA, ALTURA TOTAL DA LAJE "LT" = 25 CM (ENCHIMENTO+CAPA) = (20+5). AF_08/2025</v>
          </cell>
          <cell r="D6944" t="str">
            <v>M2</v>
          </cell>
          <cell r="E6944">
            <v>256.95</v>
          </cell>
          <cell r="F6944">
            <v>0</v>
          </cell>
        </row>
        <row r="6945">
          <cell r="B6945">
            <v>106061</v>
          </cell>
          <cell r="C6945" t="str">
            <v>LAJE PRÉ-MOLDADA UNIDIRECIONAL, BIAPOIADA, PARA PISO, ENCHIMENTO EM CERÂMICA, VIGOTA TRELIÇADA, ALTURA TOTAL DA LAJE "LT" = 30 CM (ENCHIMENTO+CAPA) = (25+5). AF_08/2025</v>
          </cell>
          <cell r="D6945" t="str">
            <v>M2</v>
          </cell>
          <cell r="E6945">
            <v>289.29000000000002</v>
          </cell>
          <cell r="F6945">
            <v>0</v>
          </cell>
        </row>
        <row r="6946">
          <cell r="B6946">
            <v>101951</v>
          </cell>
          <cell r="C6946" t="str">
            <v>LAJE PRÉ-MOLDADA UNIDIRECIONAL, BIAPOIADA, PARA PISO, ENCHIMENTO EM EPS, VIGOTA TRELIÇADA, ALTURA TOTAL DA LAJE "LT" = 12 CM (ENCHIMENTO+CAPA) = (8+4). AF_08/2025</v>
          </cell>
          <cell r="D6946" t="str">
            <v>M2</v>
          </cell>
          <cell r="E6946">
            <v>206.5</v>
          </cell>
          <cell r="F6946">
            <v>0</v>
          </cell>
        </row>
        <row r="6947">
          <cell r="B6947">
            <v>101952</v>
          </cell>
          <cell r="C6947" t="str">
            <v>LAJE PRÉ-MOLDADA UNIDIRECIONAL, BIAPOIADA, PARA PISO, ENCHIMENTO EM EPS, VIGOTA TRELIÇADA, ALTURA TOTAL DA LAJE "LT" = 16 CM (ENCHIMENTO+CAPA) = (12+4). AF_08/2025</v>
          </cell>
          <cell r="D6947" t="str">
            <v>M2</v>
          </cell>
          <cell r="E6947">
            <v>220.96</v>
          </cell>
          <cell r="F6947">
            <v>0</v>
          </cell>
        </row>
        <row r="6948">
          <cell r="B6948">
            <v>101953</v>
          </cell>
          <cell r="C6948" t="str">
            <v>LAJE PRÉ-MOLDADA UNIDIRECIONAL, BIAPOIADA, PARA PISO, ENCHIMENTO EM EPS, VIGOTA TRELIÇADA, ALTURA TOTAL DA LAJE "LT" = 20 CM (ENCHIMENTO+CAPA) = (16+4). AF_08/2025</v>
          </cell>
          <cell r="D6948" t="str">
            <v>M2</v>
          </cell>
          <cell r="E6948">
            <v>234.57</v>
          </cell>
          <cell r="F6948">
            <v>0</v>
          </cell>
        </row>
        <row r="6949">
          <cell r="B6949">
            <v>101954</v>
          </cell>
          <cell r="C6949" t="str">
            <v>LAJE PRÉ-MOLDADA UNIDIRECIONAL, BIAPOIADA, PARA PISO, ENCHIMENTO EM EPS, VIGOTA TRELIÇADA, ALTURA TOTAL DA LAJE "LT" = 25 CM (ENCHIMENTO+CAPA) = (20+5). AF_08/2025</v>
          </cell>
          <cell r="D6949" t="str">
            <v>M2</v>
          </cell>
          <cell r="E6949">
            <v>264.22000000000003</v>
          </cell>
          <cell r="F6949">
            <v>0</v>
          </cell>
        </row>
        <row r="6950">
          <cell r="B6950">
            <v>106062</v>
          </cell>
          <cell r="C6950" t="str">
            <v>LAJE PRÉ-MOLDADA UNIDIRECIONAL, BIAPOIADA, PARA PISO, ENCHIMENTO EM EPS, VIGOTA TRELIÇADA, ALTURA TOTAL DA LAJE "LT" = 30 CM (ENCHIMENTO+CAPA) = (25+5). AF_08/2025</v>
          </cell>
          <cell r="D6950" t="str">
            <v>M2</v>
          </cell>
          <cell r="E6950">
            <v>286.04000000000002</v>
          </cell>
          <cell r="F6950">
            <v>0</v>
          </cell>
        </row>
        <row r="6951">
          <cell r="B6951">
            <v>100323</v>
          </cell>
          <cell r="C6951" t="str">
            <v>LASTRO COM MATERIAL GRANULAR (AREIA MÉDIA), APLICADO EM PISOS OU LAJES SOBRE SOLO, ESPESSURA DE *10 CM*. AF_01/2024</v>
          </cell>
          <cell r="D6951" t="str">
            <v>M3</v>
          </cell>
          <cell r="E6951">
            <v>177.87</v>
          </cell>
          <cell r="F6951">
            <v>0</v>
          </cell>
        </row>
        <row r="6952">
          <cell r="B6952">
            <v>100324</v>
          </cell>
          <cell r="C6952" t="str">
            <v>LASTRO COM MATERIAL GRANULAR (PEDRA BRITADA N.1 E PEDRA BRITADA N.2), APLICADO EM PISOS OU LAJES SOBRE SOLO, ESPESSURA DE *10 CM*. AF_01/2024</v>
          </cell>
          <cell r="D6952" t="str">
            <v>M3</v>
          </cell>
          <cell r="E6952">
            <v>169.51</v>
          </cell>
          <cell r="F6952">
            <v>0</v>
          </cell>
        </row>
        <row r="6953">
          <cell r="B6953">
            <v>96624</v>
          </cell>
          <cell r="C6953" t="str">
            <v>LASTRO COM MATERIAL GRANULAR (PEDRA BRITADA N.2), APLICADO EM PISOS OU LAJES SOBRE SOLO, ESPESSURA DE *10 CM*. AF_01/2024</v>
          </cell>
          <cell r="D6953" t="str">
            <v>M3</v>
          </cell>
          <cell r="E6953">
            <v>169.76</v>
          </cell>
          <cell r="F6953">
            <v>0</v>
          </cell>
        </row>
        <row r="6954">
          <cell r="B6954">
            <v>100322</v>
          </cell>
          <cell r="C6954" t="str">
            <v>LASTRO COM MATERIAL GRANULAR (PEDRA BRITADA N.3), APLICADO EM PISOS OU LAJES SOBRE SOLO, ESPESSURA DE *10 CM*. AF_01/2024</v>
          </cell>
          <cell r="D6954" t="str">
            <v>M3</v>
          </cell>
          <cell r="E6954">
            <v>164.14</v>
          </cell>
          <cell r="F6954">
            <v>0</v>
          </cell>
        </row>
        <row r="6955">
          <cell r="B6955">
            <v>96623</v>
          </cell>
          <cell r="C6955" t="str">
            <v>LASTRO COM MATERIAL GRANULAR, APLICADO EM BLOCOS DE COROAMENTO, ESPESSURA DE *10 CM*. AF_01/2024</v>
          </cell>
          <cell r="D6955" t="str">
            <v>M3</v>
          </cell>
          <cell r="E6955">
            <v>189.06</v>
          </cell>
          <cell r="F6955">
            <v>0</v>
          </cell>
        </row>
        <row r="6956">
          <cell r="B6956">
            <v>96622</v>
          </cell>
          <cell r="C6956" t="str">
            <v>LASTRO COM MATERIAL GRANULAR, APLICADO EM PISOS OU LAJES SOBRE SOLO, ESPESSURA DE *5 CM*. AF_01/2024</v>
          </cell>
          <cell r="D6956" t="str">
            <v>M3</v>
          </cell>
          <cell r="E6956">
            <v>201.72</v>
          </cell>
          <cell r="F6956">
            <v>0</v>
          </cell>
        </row>
        <row r="6957">
          <cell r="B6957">
            <v>96621</v>
          </cell>
          <cell r="C6957" t="str">
            <v>LASTRO COM MATERIAL GRANULAR, APLICAÇÃO EM BLOCOS DE COROAMENTO, ESPESSURA DE *5 CM*. AF_01/2024</v>
          </cell>
          <cell r="D6957" t="str">
            <v>M3</v>
          </cell>
          <cell r="E6957">
            <v>221.02</v>
          </cell>
          <cell r="F6957">
            <v>0</v>
          </cell>
        </row>
        <row r="6958">
          <cell r="B6958">
            <v>96617</v>
          </cell>
          <cell r="C6958" t="str">
            <v>LASTRO DE CONCRETO MAGRO, APLICADO EM BLOCOS DE COROAMENTO OU SAPATAS, ESPESSURA DE 3 CM. AF_01/2024</v>
          </cell>
          <cell r="D6958" t="str">
            <v>M2</v>
          </cell>
          <cell r="E6958">
            <v>20.97</v>
          </cell>
          <cell r="F6958">
            <v>0</v>
          </cell>
        </row>
        <row r="6959">
          <cell r="B6959">
            <v>96619</v>
          </cell>
          <cell r="C6959" t="str">
            <v>LASTRO DE CONCRETO MAGRO, APLICADO EM BLOCOS DE COROAMENTO OU SAPATAS, ESPESSURA DE 5 CM. AF_01/2024</v>
          </cell>
          <cell r="D6959" t="str">
            <v>M2</v>
          </cell>
          <cell r="E6959">
            <v>41.85</v>
          </cell>
          <cell r="F6959">
            <v>0</v>
          </cell>
        </row>
        <row r="6960">
          <cell r="B6960">
            <v>96616</v>
          </cell>
          <cell r="C6960" t="str">
            <v>LASTRO DE CONCRETO MAGRO, APLICADO EM BLOCOS DE COROAMENTO OU SAPATAS. AF_01/2024</v>
          </cell>
          <cell r="D6960" t="str">
            <v>M3</v>
          </cell>
          <cell r="E6960">
            <v>837.05</v>
          </cell>
          <cell r="F6960">
            <v>0</v>
          </cell>
        </row>
        <row r="6961">
          <cell r="B6961">
            <v>95240</v>
          </cell>
          <cell r="C6961" t="str">
            <v>LASTRO DE CONCRETO MAGRO, APLICADO EM PISOS, LAJES SOBRE SOLO OU RADIERS, ESPESSURA DE 3 CM. AF_01/2024</v>
          </cell>
          <cell r="D6961" t="str">
            <v>M2</v>
          </cell>
          <cell r="E6961">
            <v>19.940000000000001</v>
          </cell>
          <cell r="F6961">
            <v>0</v>
          </cell>
        </row>
        <row r="6962">
          <cell r="B6962">
            <v>95241</v>
          </cell>
          <cell r="C6962" t="str">
            <v>LASTRO DE CONCRETO MAGRO, APLICADO EM PISOS, LAJES SOBRE SOLO OU RADIERS, ESPESSURA DE 5 CM. AF_01/2024</v>
          </cell>
          <cell r="D6962" t="str">
            <v>M2</v>
          </cell>
          <cell r="E6962">
            <v>37.840000000000003</v>
          </cell>
          <cell r="F6962">
            <v>0</v>
          </cell>
        </row>
        <row r="6963">
          <cell r="B6963">
            <v>96620</v>
          </cell>
          <cell r="C6963" t="str">
            <v>LASTRO DE CONCRETO MAGRO, APLICADO EM PISOS, LAJES SOBRE SOLO OU RADIERS. AF_01/2024</v>
          </cell>
          <cell r="D6963" t="str">
            <v>M3</v>
          </cell>
          <cell r="E6963">
            <v>756.98</v>
          </cell>
          <cell r="F6963">
            <v>0</v>
          </cell>
        </row>
        <row r="6964">
          <cell r="B6964">
            <v>104043</v>
          </cell>
          <cell r="C6964" t="str">
            <v>ADAPTADOR, POLIPROPILENO, PARA TUBOS EM PEAD, 20 MM X 1/2", PARA LIGAÇÃO PREDIAL DE ÁGUA. AF_06/2022</v>
          </cell>
          <cell r="D6964" t="str">
            <v>UN</v>
          </cell>
          <cell r="E6964">
            <v>10.35</v>
          </cell>
          <cell r="F6964">
            <v>0</v>
          </cell>
        </row>
        <row r="6965">
          <cell r="B6965">
            <v>104044</v>
          </cell>
          <cell r="C6965" t="str">
            <v>ADAPTADOR, POLIPROPILENO, PARA TUBOS EM PEAD, 20 MM X 3/4", PARA LIGAÇÃO PREDIAL DE ÁGUA. AF_06/2022</v>
          </cell>
          <cell r="D6965" t="str">
            <v>UN</v>
          </cell>
          <cell r="E6965">
            <v>11.13</v>
          </cell>
          <cell r="F6965">
            <v>0</v>
          </cell>
        </row>
        <row r="6966">
          <cell r="B6966">
            <v>104045</v>
          </cell>
          <cell r="C6966" t="str">
            <v>ADAPTADOR, POLIPROPILENO, PARA TUBOS EM PEAD, 32 MM X 1", PARA LIGAÇÃO PREDIAL DE ÁGUA. AF_06/2022</v>
          </cell>
          <cell r="D6966" t="str">
            <v>UN</v>
          </cell>
          <cell r="E6966">
            <v>16.97</v>
          </cell>
          <cell r="F6966">
            <v>0</v>
          </cell>
        </row>
        <row r="6967">
          <cell r="B6967">
            <v>104049</v>
          </cell>
          <cell r="C6967" t="str">
            <v>ADAPTADOR, PVC, CURTO COM BOLSA E ROSCA, 20 MM X 1/2", PARA LIGAÇÃO PREDIAL DE ÁGUA. AF_06/2022</v>
          </cell>
          <cell r="D6967" t="str">
            <v>UN</v>
          </cell>
          <cell r="E6967">
            <v>7.55</v>
          </cell>
          <cell r="F6967">
            <v>0</v>
          </cell>
        </row>
        <row r="6968">
          <cell r="B6968">
            <v>104050</v>
          </cell>
          <cell r="C6968" t="str">
            <v>ADAPTADOR, PVC, CURTO COM BOLSA E ROSCA, 32 MM X 1", PARA LIGAÇÃO PREDIAL DE ÁGUA. AF_06/2022</v>
          </cell>
          <cell r="D6968" t="str">
            <v>UN</v>
          </cell>
          <cell r="E6968">
            <v>11.18</v>
          </cell>
          <cell r="F6968">
            <v>0</v>
          </cell>
        </row>
        <row r="6969">
          <cell r="B6969">
            <v>104084</v>
          </cell>
          <cell r="C6969" t="str">
            <v>CAP, PVC OCRE, JUNTA ELÁSTICA, DN 150 MM, PARA COLETOR PREDIAL DE ESGOTO. AF_06/2022</v>
          </cell>
          <cell r="D6969" t="str">
            <v>UN</v>
          </cell>
          <cell r="E6969">
            <v>94.07</v>
          </cell>
          <cell r="F6969">
            <v>0</v>
          </cell>
        </row>
        <row r="6970">
          <cell r="B6970">
            <v>104037</v>
          </cell>
          <cell r="C6970" t="str">
            <v>COLAR DE TOMADA, FERRO FUNDIDO, COM PARAFUSOS, DN 50 MM X 3/4", PARA LIGAÇÃO PREDIAL DE ÁGUA. AF_06/2022</v>
          </cell>
          <cell r="D6970" t="str">
            <v>UN</v>
          </cell>
          <cell r="E6970">
            <v>0</v>
          </cell>
        </row>
        <row r="6971">
          <cell r="B6971">
            <v>104035</v>
          </cell>
          <cell r="C6971" t="str">
            <v>COLAR DE TOMADA, POLIPROPILENO, COM PARAFUSOS, 63 MM X 1/2", PARA LIGAÇÃO PREDIAL DE ÁGUA. AF_06/2022</v>
          </cell>
          <cell r="D6971" t="str">
            <v>UN</v>
          </cell>
          <cell r="E6971">
            <v>47.32</v>
          </cell>
          <cell r="F6971">
            <v>0</v>
          </cell>
        </row>
        <row r="6972">
          <cell r="B6972">
            <v>104036</v>
          </cell>
          <cell r="C6972" t="str">
            <v>COLAR DE TOMADA, POLIPROPILENO, COM PARAFUSOS, 63 MM X 3/4", PARA LIGAÇÃO PREDIAL DE ÁGUA. AF_06/2022</v>
          </cell>
          <cell r="D6972" t="str">
            <v>UN</v>
          </cell>
          <cell r="E6972">
            <v>48.85</v>
          </cell>
          <cell r="F6972">
            <v>0</v>
          </cell>
        </row>
        <row r="6973">
          <cell r="B6973">
            <v>104034</v>
          </cell>
          <cell r="C6973" t="str">
            <v>COLAR DE TOMADA, PVC, COM TRAVAS, DE 110 MM X 1/2" OU 110 MM X 3/4", PARA LIGAÇÃO PREDIAL DE ÁGUA. AF_06/2022</v>
          </cell>
          <cell r="D6973" t="str">
            <v>UN</v>
          </cell>
          <cell r="E6973">
            <v>37.11</v>
          </cell>
          <cell r="F6973">
            <v>0</v>
          </cell>
        </row>
        <row r="6974">
          <cell r="B6974">
            <v>104031</v>
          </cell>
          <cell r="C6974" t="str">
            <v>COLAR DE TOMADA, PVC, COM TRAVAS, DE 60 MM X 1/2" OU 60 MM X 3/4", PARA LIGAÇÃO PREDIAL DE ÁGUA. AF_06/2022</v>
          </cell>
          <cell r="D6974" t="str">
            <v>UN</v>
          </cell>
          <cell r="E6974">
            <v>25.16</v>
          </cell>
          <cell r="F6974">
            <v>0</v>
          </cell>
        </row>
        <row r="6975">
          <cell r="B6975">
            <v>104032</v>
          </cell>
          <cell r="C6975" t="str">
            <v>COLAR DE TOMADA, PVC, COM TRAVAS, DE 75 MM X 1/2" OU 75 MM X 3/4", PARA LIGAÇÃO PREDIAL DE ÁGUA. AF_06/2022</v>
          </cell>
          <cell r="D6975" t="str">
            <v>UN</v>
          </cell>
          <cell r="E6975">
            <v>31.36</v>
          </cell>
          <cell r="F6975">
            <v>0</v>
          </cell>
        </row>
        <row r="6976">
          <cell r="B6976">
            <v>104033</v>
          </cell>
          <cell r="C6976" t="str">
            <v>COLAR DE TOMADA, PVC, COM TRAVAS, DE 85 MM X 1/2" OU 85 MM X 3/4", PARA LIGAÇÃO PREDIAL DE ÁGUA. AF_06/2022</v>
          </cell>
          <cell r="D6976" t="str">
            <v>UN</v>
          </cell>
          <cell r="E6976">
            <v>28.73</v>
          </cell>
          <cell r="F6976">
            <v>0</v>
          </cell>
        </row>
        <row r="6977">
          <cell r="B6977">
            <v>104038</v>
          </cell>
          <cell r="C6977" t="str">
            <v>COLAR TOMADA EM FERRO FUNDIDO, COM PARAFUSOS, SAIDA COM ROSCA, DN 75 MM X 3/4", PARA LIGACAO PREDIAL DE AGUA. AF_06/2022</v>
          </cell>
          <cell r="D6977" t="str">
            <v>UN</v>
          </cell>
          <cell r="E6977">
            <v>0</v>
          </cell>
        </row>
        <row r="6978">
          <cell r="B6978">
            <v>104051</v>
          </cell>
          <cell r="C6978" t="str">
            <v>COTOVELO/JOELHO 90°, POLIPROPILENO, PARA TUBOS EM PEAD, 20 X 20 MM, PARA LIGAÇÃO PREDIAL DE ÁGUA. AF_06/2022</v>
          </cell>
          <cell r="D6978" t="str">
            <v>UN</v>
          </cell>
          <cell r="E6978">
            <v>9.31</v>
          </cell>
          <cell r="F6978">
            <v>0</v>
          </cell>
        </row>
        <row r="6979">
          <cell r="B6979">
            <v>104052</v>
          </cell>
          <cell r="C6979" t="str">
            <v>COTOVELO/JOELHO 90°, POLIPROPILENO, PARA TUBOS EM PEAD, 32 X 32 MM, PARA LIGAÇÃO PREDIAL DE ÁGUA. AF_06/2022</v>
          </cell>
          <cell r="D6979" t="str">
            <v>UN</v>
          </cell>
          <cell r="E6979">
            <v>13.01</v>
          </cell>
          <cell r="F6979">
            <v>0</v>
          </cell>
        </row>
        <row r="6980">
          <cell r="B6980">
            <v>104046</v>
          </cell>
          <cell r="C6980" t="str">
            <v>COTOVELO/JOELHO COM ADAPTADOR, POLIPROPILENO, PARA TUBOS EM PEAD, 20 MM X 1/2", PARA LIGAÇÃO PREDIAL DE ÁGUA. AF_06/2022</v>
          </cell>
          <cell r="D6980" t="str">
            <v>UN</v>
          </cell>
          <cell r="E6980">
            <v>9.93</v>
          </cell>
          <cell r="F6980">
            <v>0</v>
          </cell>
        </row>
        <row r="6981">
          <cell r="B6981">
            <v>104047</v>
          </cell>
          <cell r="C6981" t="str">
            <v>COTOVELO/JOELHO COM ADAPTADOR, POLIPROPILENO, PARA TUBOS EM PEAD, 20 MM X 3/4", PARA LIGAÇÃO PREDIAL DE ÁGUA. AF_06/2022</v>
          </cell>
          <cell r="D6981" t="str">
            <v>UN</v>
          </cell>
          <cell r="E6981">
            <v>11.55</v>
          </cell>
          <cell r="F6981">
            <v>0</v>
          </cell>
        </row>
        <row r="6982">
          <cell r="B6982">
            <v>104048</v>
          </cell>
          <cell r="C6982" t="str">
            <v>COTOVELO/JOELHO COM ADAPTADOR, POLIPROPILENO, PARA TUBOS EM PEAD, 32 MM X 1", PARA LIGAÇÃO PREDIAL DE ÁGUA. AF_06/2022</v>
          </cell>
          <cell r="D6982" t="str">
            <v>UN</v>
          </cell>
          <cell r="E6982">
            <v>16.59</v>
          </cell>
          <cell r="F6982">
            <v>0</v>
          </cell>
        </row>
        <row r="6983">
          <cell r="B6983">
            <v>104063</v>
          </cell>
          <cell r="C6983" t="str">
            <v>CURVA LONGA, 45 GRAUS, PVC OCRE, JUNTA ELÁSTICA, DN 100 MM, PARA COLETOR PREDIAL DE ESGOTO. AF_06/2022</v>
          </cell>
          <cell r="D6983" t="str">
            <v>UN</v>
          </cell>
          <cell r="E6983">
            <v>81.05</v>
          </cell>
          <cell r="F6983">
            <v>0</v>
          </cell>
        </row>
        <row r="6984">
          <cell r="B6984">
            <v>104065</v>
          </cell>
          <cell r="C6984" t="str">
            <v>CURVA LONGA, 45 GRAUS, PVC OCRE, JUNTA ELÁSTICA, DN 150 MM, PARA COLETOR PREDIAL DE ESGOTO. AF_06/2022</v>
          </cell>
          <cell r="D6984" t="str">
            <v>UN</v>
          </cell>
          <cell r="E6984">
            <v>173.46</v>
          </cell>
          <cell r="F6984">
            <v>0</v>
          </cell>
        </row>
        <row r="6985">
          <cell r="B6985">
            <v>104062</v>
          </cell>
          <cell r="C6985" t="str">
            <v>CURVA LONGA, 90 GRAUS, PVC OCRE, JUNTA ELÁSTICA, DN 100 MM, PARA COLETOR PREDIAL DE ESGOTO. AF_06/2022</v>
          </cell>
          <cell r="D6985" t="str">
            <v>UN</v>
          </cell>
          <cell r="E6985">
            <v>85.28</v>
          </cell>
          <cell r="F6985">
            <v>0</v>
          </cell>
        </row>
        <row r="6986">
          <cell r="B6986">
            <v>104064</v>
          </cell>
          <cell r="C6986" t="str">
            <v>CURVA LONGA, 90 GRAUS, PVC OCRE, JUNTA ELÁSTICA, DN 150 MM, PARA COLETOR PREDIAL DE ESGOTO. AF_06/2022</v>
          </cell>
          <cell r="D6986" t="str">
            <v>UN</v>
          </cell>
          <cell r="E6986">
            <v>205.3</v>
          </cell>
          <cell r="F6986">
            <v>0</v>
          </cell>
        </row>
        <row r="6987">
          <cell r="B6987">
            <v>104059</v>
          </cell>
          <cell r="C6987" t="str">
            <v>LUVA, PVC, ROSCÁVEL, 1", PARA LIGAÇÃO PREDIAL DE ÁGUA. AF_06/2022</v>
          </cell>
          <cell r="D6987" t="str">
            <v>UN</v>
          </cell>
          <cell r="E6987">
            <v>13.58</v>
          </cell>
          <cell r="F6987">
            <v>0</v>
          </cell>
        </row>
        <row r="6988">
          <cell r="B6988">
            <v>104058</v>
          </cell>
          <cell r="C6988" t="str">
            <v>LUVA, PVC, ROSCÁVEL, 1/2", PARA LIGAÇÃO PREDIAL DE ÁGUA. AF_06/2022</v>
          </cell>
          <cell r="D6988" t="str">
            <v>UN</v>
          </cell>
          <cell r="E6988">
            <v>9.4600000000000009</v>
          </cell>
          <cell r="F6988">
            <v>0</v>
          </cell>
        </row>
        <row r="6989">
          <cell r="B6989">
            <v>104082</v>
          </cell>
          <cell r="C6989" t="str">
            <v>PLUG, PVC OCRE, JUNTA ELÁSTICA, DN 100 MM, PARA COLETOR PREDIAL DE ESGOTO. AF_06/2022</v>
          </cell>
          <cell r="D6989" t="str">
            <v>UN</v>
          </cell>
          <cell r="E6989">
            <v>34.549999999999997</v>
          </cell>
          <cell r="F6989">
            <v>0</v>
          </cell>
        </row>
        <row r="6990">
          <cell r="B6990">
            <v>104083</v>
          </cell>
          <cell r="C6990" t="str">
            <v>PLUG, PVC OCRE, JUNTA ELÁSTICA, DN 150 MM, PARA COLETOR PREDIAL DE ESGOTO. AF_06/2022</v>
          </cell>
          <cell r="D6990" t="str">
            <v>UN</v>
          </cell>
          <cell r="E6990">
            <v>82.06</v>
          </cell>
          <cell r="F6990">
            <v>0</v>
          </cell>
        </row>
        <row r="6991">
          <cell r="B6991">
            <v>104057</v>
          </cell>
          <cell r="C6991" t="str">
            <v>REGISTRO ESFERA, LATÃO NIQUELADO, COM ROSCA, 3/4", PARA LIGAÇÃO PREDIAL DE ÁGUA. AF_06/2022</v>
          </cell>
          <cell r="D6991" t="str">
            <v>UN</v>
          </cell>
          <cell r="E6991">
            <v>0</v>
          </cell>
        </row>
        <row r="6992">
          <cell r="B6992">
            <v>104056</v>
          </cell>
          <cell r="C6992" t="str">
            <v>REGISTRO ESFERA, PVC, COM ROSCA, 1/2", PARA LIGAÇÃO PREDIAL DE ÁGUA. AF_06/2022</v>
          </cell>
          <cell r="D6992" t="str">
            <v>UN</v>
          </cell>
          <cell r="E6992">
            <v>31.09</v>
          </cell>
          <cell r="F6992">
            <v>0</v>
          </cell>
        </row>
        <row r="6993">
          <cell r="B6993">
            <v>104055</v>
          </cell>
          <cell r="C6993" t="str">
            <v>REGISTRO ESFERA, PVC, DE PASSEIO, PARA POLIETILENO, 20 MM, PARA LIGAÇÃO PREDIAL DE ÁGUA. AF_06/2022</v>
          </cell>
          <cell r="D6993" t="str">
            <v>UN</v>
          </cell>
          <cell r="E6993">
            <v>20.8</v>
          </cell>
          <cell r="F6993">
            <v>0</v>
          </cell>
        </row>
        <row r="6994">
          <cell r="B6994">
            <v>104076</v>
          </cell>
          <cell r="C6994" t="str">
            <v>SELIM, PVC OCRE, COM TRAVA, DN 125 X 100 MM OU 150 X 100 MM, PARA COLETOR PREDIAL DE ESGOTO. AF_06/2022</v>
          </cell>
          <cell r="D6994" t="str">
            <v>UN</v>
          </cell>
          <cell r="E6994">
            <v>56.15</v>
          </cell>
          <cell r="F6994">
            <v>0</v>
          </cell>
        </row>
        <row r="6995">
          <cell r="B6995">
            <v>104060</v>
          </cell>
          <cell r="C6995" t="str">
            <v>TUBO, PEAD, PE-80, DE = 20 MM X 2,3 MM, PARA LIGAÇÃO PREDIAL DE ÁGUA. AF_06/2022</v>
          </cell>
          <cell r="D6995" t="str">
            <v>M</v>
          </cell>
          <cell r="E6995">
            <v>10.39</v>
          </cell>
          <cell r="F6995">
            <v>0</v>
          </cell>
        </row>
        <row r="6996">
          <cell r="B6996">
            <v>104061</v>
          </cell>
          <cell r="C6996" t="str">
            <v>TUBO, PEAD, PE-80, DE = 32 MM X 3,0 MM, PARA LIGAÇÃO PREDIAL DE ÁGUA. AF_06/2022</v>
          </cell>
          <cell r="D6996" t="str">
            <v>M</v>
          </cell>
          <cell r="E6996">
            <v>18.32</v>
          </cell>
          <cell r="F6996">
            <v>0</v>
          </cell>
        </row>
        <row r="6997">
          <cell r="B6997">
            <v>104085</v>
          </cell>
          <cell r="C6997" t="str">
            <v>TUBO, PVC OCRE, JUNTA ELÁSTICA, DN 100 MM, PARA COLETOR PREDIAL DE ESGOTO. AF_06/2022</v>
          </cell>
          <cell r="D6997" t="str">
            <v>M</v>
          </cell>
          <cell r="E6997">
            <v>65.709999999999994</v>
          </cell>
          <cell r="F6997">
            <v>0</v>
          </cell>
        </row>
        <row r="6998">
          <cell r="B6998">
            <v>104086</v>
          </cell>
          <cell r="C6998" t="str">
            <v>TUBO, PVC OCRE, JUNTA ELÁSTICA, DN 150 MM, PARA COLETOR PREDIAL DE ESGOTO. AF_06/2022</v>
          </cell>
          <cell r="D6998" t="str">
            <v>M</v>
          </cell>
          <cell r="E6998">
            <v>116.35</v>
          </cell>
          <cell r="F6998">
            <v>0</v>
          </cell>
        </row>
        <row r="6999">
          <cell r="B6999">
            <v>104073</v>
          </cell>
          <cell r="C6999" t="str">
            <v>TÊ DE REDUÇÃO, PVC OCRE, JUNTA ELÁSTICA, DN 150 X 100 MM, PARA COLETOR PREDIAL DE ESGOTO. AF_06/2022</v>
          </cell>
          <cell r="D6999" t="str">
            <v>UN</v>
          </cell>
          <cell r="E6999">
            <v>0</v>
          </cell>
        </row>
        <row r="7000">
          <cell r="B7000">
            <v>104074</v>
          </cell>
          <cell r="C7000" t="str">
            <v>TÊ DE REDUÇÃO, PVC OCRE, JUNTA ELÁSTICA, DN 300 X 100 MM, PARA COLETOR PREDIAL DE ESGOTO. AF_06/2022</v>
          </cell>
          <cell r="D7000" t="str">
            <v>UN</v>
          </cell>
          <cell r="E7000">
            <v>0</v>
          </cell>
        </row>
        <row r="7001">
          <cell r="B7001">
            <v>104075</v>
          </cell>
          <cell r="C7001" t="str">
            <v>TÊ DE REDUÇÃO, PVC OCRE, JUNTA ELÁSTICA, DN 300 X 150 MM, PARA COLETOR PREDIAL DE ESGOTO. AF_06/2022</v>
          </cell>
          <cell r="D7001" t="str">
            <v>UN</v>
          </cell>
          <cell r="E7001">
            <v>0</v>
          </cell>
        </row>
        <row r="7002">
          <cell r="B7002">
            <v>104039</v>
          </cell>
          <cell r="C7002" t="str">
            <v>TÊ DE SERVIÇO INTEGRADO, POLIPROPILENO, PARA TUBOS EM PEAD, 63 MM X 20 MM, PARA LIGAÇÃO PREDIAL DE ÁGUA. AF_06/2022</v>
          </cell>
          <cell r="D7002" t="str">
            <v>UN</v>
          </cell>
          <cell r="E7002">
            <v>86.55</v>
          </cell>
          <cell r="F7002">
            <v>0</v>
          </cell>
        </row>
        <row r="7003">
          <cell r="B7003">
            <v>104040</v>
          </cell>
          <cell r="C7003" t="str">
            <v>TÊ DE SERVIÇO INTEGRADO, POLIPROPILENO, PARA TUBOS EM PEAD, 63 MM X 32 MM, PARA LIGAÇÃO PREDIAL DE ÁGUA. AF_06/2022</v>
          </cell>
          <cell r="D7003" t="str">
            <v>UN</v>
          </cell>
          <cell r="E7003">
            <v>0</v>
          </cell>
        </row>
        <row r="7004">
          <cell r="B7004">
            <v>104041</v>
          </cell>
          <cell r="C7004" t="str">
            <v>TÊ DE SERVIÇO INTEGRADO, POLIPROPILENO, PARA TUBOS EM PEAD, 90 MM X 20 MM, PARA LIGAÇÃO PREDIAL DE ÁGUA. AF_06/2022</v>
          </cell>
          <cell r="D7004" t="str">
            <v>UN</v>
          </cell>
          <cell r="E7004">
            <v>0</v>
          </cell>
        </row>
        <row r="7005">
          <cell r="B7005">
            <v>104042</v>
          </cell>
          <cell r="C7005" t="str">
            <v>TÊ DE SERVIÇO INTEGRADO, POLIPROPILENO, PARA TUBOS EM PEAD, 90 MM X 32 MM, PARA LIGAÇÃO PREDIAL DE ÁGUA. AF_06/2022</v>
          </cell>
          <cell r="D7005" t="str">
            <v>UN</v>
          </cell>
          <cell r="E7005">
            <v>0</v>
          </cell>
        </row>
        <row r="7006">
          <cell r="B7006">
            <v>104072</v>
          </cell>
          <cell r="C7006" t="str">
            <v>TÊ, PVC OCRE, JUNTA ELÁSTICA, DN 200 MM, PARA COLETOR PREDIAL DE ESGOTO. AF_06/2022</v>
          </cell>
          <cell r="D7006" t="str">
            <v>UN</v>
          </cell>
          <cell r="E7006">
            <v>309.22000000000003</v>
          </cell>
          <cell r="F7006">
            <v>0</v>
          </cell>
        </row>
        <row r="7007">
          <cell r="B7007">
            <v>104053</v>
          </cell>
          <cell r="C7007" t="str">
            <v>UNIÃO, POLIPROPILENO, PARA TUBOS EM PEAD, 20 MM, PARA LIGAÇÃO PREDIAL DE ÁGUA. AF_06/2022</v>
          </cell>
          <cell r="D7007" t="str">
            <v>UN</v>
          </cell>
          <cell r="E7007">
            <v>10.68</v>
          </cell>
          <cell r="F7007">
            <v>0</v>
          </cell>
        </row>
        <row r="7008">
          <cell r="B7008">
            <v>104054</v>
          </cell>
          <cell r="C7008" t="str">
            <v>UNIÃO, POLIPROPILENO, PARA TUBOS EM PEAD, 32 MM, PARA LIGAÇÃO PREDIAL DE ÁGUA. AF_06/2022</v>
          </cell>
          <cell r="D7008" t="str">
            <v>UN</v>
          </cell>
          <cell r="E7008">
            <v>20.6</v>
          </cell>
          <cell r="F7008">
            <v>0</v>
          </cell>
        </row>
        <row r="7009">
          <cell r="B7009">
            <v>99818</v>
          </cell>
          <cell r="C7009" t="str">
            <v>LIMPEZA DE BACIA SANITÁRIA, BIDÊ OU MICTÓRIO EM LOUÇA, INCLUSIVE METAIS CORRESPONDENTES. AF_10/2025_PS</v>
          </cell>
          <cell r="D7009" t="str">
            <v>UN</v>
          </cell>
          <cell r="E7009">
            <v>7.09</v>
          </cell>
          <cell r="F7009">
            <v>0</v>
          </cell>
        </row>
        <row r="7010">
          <cell r="B7010">
            <v>99819</v>
          </cell>
          <cell r="C7010" t="str">
            <v>LIMPEZA DE BANCADA COM PLACA DE ROCHA (MÁRMORE OU GRANITO). AF_10/2025_PS</v>
          </cell>
          <cell r="D7010" t="str">
            <v>M2</v>
          </cell>
          <cell r="E7010">
            <v>23.87</v>
          </cell>
          <cell r="F7010">
            <v>0</v>
          </cell>
        </row>
        <row r="7011">
          <cell r="B7011">
            <v>99817</v>
          </cell>
          <cell r="C7011" t="str">
            <v>LIMPEZA DE BANCADA COM PLACA DE ROCHA E CUBA DE LOUÇA, INCLUSIVE METAIS CORRESPONDENTES. AF_10/2025_PS</v>
          </cell>
          <cell r="D7011" t="str">
            <v>UN</v>
          </cell>
          <cell r="E7011">
            <v>8.17</v>
          </cell>
          <cell r="F7011">
            <v>0</v>
          </cell>
        </row>
        <row r="7012">
          <cell r="B7012">
            <v>99815</v>
          </cell>
          <cell r="C7012" t="str">
            <v>LIMPEZA DE BANCADA DE PIA COM PLACA DE ROCHA E CUBA DE INOX, INCLUSIVE METAIS CORRESPONDENTES. AF_10/2025_PS</v>
          </cell>
          <cell r="D7012" t="str">
            <v>UN</v>
          </cell>
          <cell r="E7012">
            <v>11.71</v>
          </cell>
          <cell r="F7012">
            <v>0</v>
          </cell>
        </row>
        <row r="7013">
          <cell r="B7013">
            <v>99811</v>
          </cell>
          <cell r="C7013" t="str">
            <v>LIMPEZA DE CONTRAPISO COM VASSOURA A SECO. AF_10/2025</v>
          </cell>
          <cell r="D7013" t="str">
            <v>M2</v>
          </cell>
          <cell r="E7013">
            <v>0.89</v>
          </cell>
          <cell r="F7013">
            <v>0</v>
          </cell>
        </row>
        <row r="7014">
          <cell r="B7014">
            <v>99826</v>
          </cell>
          <cell r="C7014" t="str">
            <v>LIMPEZA DE FORRO REMOVÍVEL COM PANO ÚMIDO. AF_10/2025_PS</v>
          </cell>
          <cell r="D7014" t="str">
            <v>M2</v>
          </cell>
          <cell r="E7014">
            <v>2.19</v>
          </cell>
          <cell r="F7014">
            <v>0</v>
          </cell>
        </row>
        <row r="7015">
          <cell r="B7015">
            <v>106170</v>
          </cell>
          <cell r="C7015" t="str">
            <v>LIMPEZA DE GRADIL. AF_10/2025_PS</v>
          </cell>
          <cell r="D7015" t="str">
            <v>M2</v>
          </cell>
          <cell r="E7015">
            <v>9</v>
          </cell>
          <cell r="F7015">
            <v>0</v>
          </cell>
        </row>
        <row r="7016">
          <cell r="B7016">
            <v>99821</v>
          </cell>
          <cell r="C7016" t="str">
            <v>LIMPEZA DE JANELA DE VIDRO COM CAIXILHO EM AÇO/ALUMÍNIO/PVC. AF_10/2025_PS</v>
          </cell>
          <cell r="D7016" t="str">
            <v>M2</v>
          </cell>
          <cell r="E7016">
            <v>6.34</v>
          </cell>
          <cell r="F7016">
            <v>0</v>
          </cell>
        </row>
        <row r="7017">
          <cell r="B7017">
            <v>99820</v>
          </cell>
          <cell r="C7017" t="str">
            <v>LIMPEZA DE JANELA INTEIRAMENTE DE VIDRO. AF_10/2025_PS</v>
          </cell>
          <cell r="D7017" t="str">
            <v>M2</v>
          </cell>
          <cell r="E7017">
            <v>3.39</v>
          </cell>
          <cell r="F7017">
            <v>0</v>
          </cell>
        </row>
        <row r="7018">
          <cell r="B7018">
            <v>99805</v>
          </cell>
          <cell r="C7018" t="str">
            <v>LIMPEZA DE PISO CERÂMICO OU COM PEDRAS RÚSTICAS UTILIZANDO ÁCIDO MURIÁTICO. AF_10/2025_PS</v>
          </cell>
          <cell r="D7018" t="str">
            <v>M2</v>
          </cell>
          <cell r="E7018">
            <v>14.68</v>
          </cell>
          <cell r="F7018">
            <v>0</v>
          </cell>
        </row>
        <row r="7019">
          <cell r="B7019">
            <v>99803</v>
          </cell>
          <cell r="C7019" t="str">
            <v>LIMPEZA DE PISO CERÂMICO OU PORCELANATO COM PANO ÚMIDO. AF_10/2025_PS</v>
          </cell>
          <cell r="D7019" t="str">
            <v>M2</v>
          </cell>
          <cell r="E7019">
            <v>5.29</v>
          </cell>
          <cell r="F7019">
            <v>0</v>
          </cell>
        </row>
        <row r="7020">
          <cell r="B7020">
            <v>99802</v>
          </cell>
          <cell r="C7020" t="str">
            <v>LIMPEZA DE PISO CERÂMICO OU PORCELANATO COM VASSOURA A SECO. AF_10/2025</v>
          </cell>
          <cell r="D7020" t="str">
            <v>M2</v>
          </cell>
          <cell r="E7020">
            <v>0.72</v>
          </cell>
          <cell r="F7020">
            <v>0</v>
          </cell>
        </row>
        <row r="7021">
          <cell r="B7021">
            <v>99810</v>
          </cell>
          <cell r="C7021" t="str">
            <v>LIMPEZA DE PISO CERÂMICO/ PORCELANATO/ MÁRMORE/ GRANITO UTILIZANDO DETERGENTE NEUTRO E ESCOVAÇÃO MANUAL. AF_10/2025_PS</v>
          </cell>
          <cell r="D7021" t="str">
            <v>M2</v>
          </cell>
          <cell r="E7021">
            <v>8.66</v>
          </cell>
          <cell r="F7021">
            <v>0</v>
          </cell>
        </row>
        <row r="7022">
          <cell r="B7022">
            <v>99809</v>
          </cell>
          <cell r="C7022" t="str">
            <v>LIMPEZA DE PISO DE LADRILHO HIDRÁULICO COM PANO ÚMIDO. AF_10/2025_PS</v>
          </cell>
          <cell r="D7022" t="str">
            <v>M2</v>
          </cell>
          <cell r="E7022">
            <v>9.15</v>
          </cell>
          <cell r="F7022">
            <v>0</v>
          </cell>
        </row>
        <row r="7023">
          <cell r="B7023">
            <v>99801</v>
          </cell>
          <cell r="C7023" t="str">
            <v>LIMPEZA DE PISO UTILIZANDO DETERGENTE NEUTRO E ESCOVAÇÃO MECÂNICA. AF_10/2025</v>
          </cell>
          <cell r="D7023" t="str">
            <v>M2</v>
          </cell>
          <cell r="E7023">
            <v>0</v>
          </cell>
        </row>
        <row r="7024">
          <cell r="B7024">
            <v>106166</v>
          </cell>
          <cell r="C7024" t="str">
            <v>LIMPEZA DE PISO VINÍLICO COM VASSOURA E PANO ÚMIDO. AF_10/2025_PS</v>
          </cell>
          <cell r="D7024" t="str">
            <v>M2</v>
          </cell>
          <cell r="E7024">
            <v>1.82</v>
          </cell>
          <cell r="F7024">
            <v>0</v>
          </cell>
        </row>
        <row r="7025">
          <cell r="B7025">
            <v>99822</v>
          </cell>
          <cell r="C7025" t="str">
            <v>LIMPEZA DE PORTA DE MADEIRA. AF_10/2025_PS</v>
          </cell>
          <cell r="D7025" t="str">
            <v>M2</v>
          </cell>
          <cell r="E7025">
            <v>1.43</v>
          </cell>
          <cell r="F7025">
            <v>0</v>
          </cell>
        </row>
        <row r="7026">
          <cell r="B7026">
            <v>99825</v>
          </cell>
          <cell r="C7026" t="str">
            <v>LIMPEZA DE PORTA DE VIDRO COM CAIXILHO EM AÇO/ ALUMÍNIO/ PVC. AF_10/2025_PS</v>
          </cell>
          <cell r="D7026" t="str">
            <v>M2</v>
          </cell>
          <cell r="E7026">
            <v>6.08</v>
          </cell>
          <cell r="F7026">
            <v>0</v>
          </cell>
        </row>
        <row r="7027">
          <cell r="B7027">
            <v>99824</v>
          </cell>
          <cell r="C7027" t="str">
            <v>LIMPEZA DE PORTA EM AÇO/ALUMÍNIO. AF_10/2025_PS</v>
          </cell>
          <cell r="D7027" t="str">
            <v>M2</v>
          </cell>
          <cell r="E7027">
            <v>3.55</v>
          </cell>
          <cell r="F7027">
            <v>0</v>
          </cell>
        </row>
        <row r="7028">
          <cell r="B7028">
            <v>99823</v>
          </cell>
          <cell r="C7028" t="str">
            <v>LIMPEZA DE PORTA INTEIRAMENTE DE VIDRO. AF_10/2025_PS</v>
          </cell>
          <cell r="D7028" t="str">
            <v>M2</v>
          </cell>
          <cell r="E7028">
            <v>3.12</v>
          </cell>
          <cell r="F7028">
            <v>0</v>
          </cell>
        </row>
        <row r="7029">
          <cell r="B7029">
            <v>99806</v>
          </cell>
          <cell r="C7029" t="str">
            <v>LIMPEZA DE REVESTIMENTO CERÂMICO EM PAREDE COM PANO ÚMIDO. AF_10/2025_PS</v>
          </cell>
          <cell r="D7029" t="str">
            <v>M2</v>
          </cell>
          <cell r="E7029">
            <v>3.78</v>
          </cell>
          <cell r="F7029">
            <v>0</v>
          </cell>
        </row>
        <row r="7030">
          <cell r="B7030">
            <v>99813</v>
          </cell>
          <cell r="C7030" t="str">
            <v>LIMPEZA DE REVESTIMENTO CERÂMICO/ MÁRMORE/ GRANITO EM PAREDE UTILIZANDO DETERGENTE NEUTRO E ESCOVAÇÃO MANUAL. AF_10/2025_PS</v>
          </cell>
          <cell r="D7030" t="str">
            <v>M2</v>
          </cell>
          <cell r="E7030">
            <v>3.98</v>
          </cell>
          <cell r="F7030">
            <v>0</v>
          </cell>
        </row>
        <row r="7031">
          <cell r="B7031">
            <v>106169</v>
          </cell>
          <cell r="C7031" t="str">
            <v>LIMPEZA DE RODAS DE CAMINHÕES COM JATO DE ALTA PRESSÃO, POR EIXO. AF_10/2025</v>
          </cell>
          <cell r="D7031" t="str">
            <v>UN</v>
          </cell>
          <cell r="E7031">
            <v>4.7</v>
          </cell>
          <cell r="F7031">
            <v>0</v>
          </cell>
        </row>
        <row r="7032">
          <cell r="B7032">
            <v>106167</v>
          </cell>
          <cell r="C7032" t="str">
            <v>LIMPEZA DE RUA COM CAMINHÃO PIPA. AF_10/2025</v>
          </cell>
          <cell r="D7032" t="str">
            <v>M2</v>
          </cell>
          <cell r="E7032">
            <v>0.08</v>
          </cell>
          <cell r="F7032">
            <v>0</v>
          </cell>
        </row>
        <row r="7033">
          <cell r="B7033">
            <v>106168</v>
          </cell>
          <cell r="C7033" t="str">
            <v>LIMPEZA DE RUA COM JATO DE ALTA PRESSÃO. AF_10/2025</v>
          </cell>
          <cell r="D7033" t="str">
            <v>M2</v>
          </cell>
          <cell r="E7033">
            <v>0.82</v>
          </cell>
          <cell r="F7033">
            <v>0</v>
          </cell>
        </row>
        <row r="7034">
          <cell r="B7034">
            <v>99814</v>
          </cell>
          <cell r="C7034" t="str">
            <v>LIMPEZA DE SUPERFÍCIE PISO OU PAREDE COM JATO DE ALTA PRESSÃO. AF_10/2025</v>
          </cell>
          <cell r="D7034" t="str">
            <v>M2</v>
          </cell>
          <cell r="E7034">
            <v>2.16</v>
          </cell>
          <cell r="F7034">
            <v>0</v>
          </cell>
        </row>
        <row r="7035">
          <cell r="B7035">
            <v>99816</v>
          </cell>
          <cell r="C7035" t="str">
            <v>LIMPEZA DE TANQUE OU LAVATÓRIO DE LOUÇA ISOLADO, INCLUSIVE METAIS CORRESPONDENTES. AF_10/2025_PS</v>
          </cell>
          <cell r="D7035" t="str">
            <v>UN</v>
          </cell>
          <cell r="E7035">
            <v>11.25</v>
          </cell>
          <cell r="F7035">
            <v>0</v>
          </cell>
        </row>
        <row r="7036">
          <cell r="B7036">
            <v>106171</v>
          </cell>
          <cell r="C7036" t="str">
            <v>RETIRADA DE SALVA PISO DO CHÃO. AF_10/2025</v>
          </cell>
          <cell r="D7036" t="str">
            <v>M2</v>
          </cell>
          <cell r="E7036">
            <v>2.2000000000000002</v>
          </cell>
          <cell r="F7036">
            <v>0</v>
          </cell>
        </row>
        <row r="7037">
          <cell r="B7037">
            <v>88238</v>
          </cell>
          <cell r="C7037" t="str">
            <v>AJUDANTE DE ARMADOR COM ENCARGOS COMPLEMENTARES</v>
          </cell>
          <cell r="D7037" t="str">
            <v>H</v>
          </cell>
          <cell r="E7037">
            <v>33.49</v>
          </cell>
          <cell r="F7037">
            <v>0</v>
          </cell>
        </row>
        <row r="7038">
          <cell r="B7038">
            <v>101374</v>
          </cell>
          <cell r="C7038" t="str">
            <v>AJUDANTE DE ARMADOR COM ENCARGOS COMPLEMENTARES</v>
          </cell>
          <cell r="D7038" t="str">
            <v>MES</v>
          </cell>
          <cell r="E7038">
            <v>5737.1</v>
          </cell>
          <cell r="F7038">
            <v>0</v>
          </cell>
        </row>
        <row r="7039">
          <cell r="B7039">
            <v>88239</v>
          </cell>
          <cell r="C7039" t="str">
            <v>AJUDANTE DE CARPINTEIRO COM ENCARGOS COMPLEMENTARES</v>
          </cell>
          <cell r="D7039" t="str">
            <v>H</v>
          </cell>
          <cell r="E7039">
            <v>33.11</v>
          </cell>
          <cell r="F7039">
            <v>0</v>
          </cell>
        </row>
        <row r="7040">
          <cell r="B7040">
            <v>101375</v>
          </cell>
          <cell r="C7040" t="str">
            <v>AJUDANTE DE ELETRICISTA COM ENCARGOS COMPLEMENTARES</v>
          </cell>
          <cell r="D7040" t="str">
            <v>MES</v>
          </cell>
          <cell r="E7040">
            <v>5739.05</v>
          </cell>
          <cell r="F7040">
            <v>0</v>
          </cell>
        </row>
        <row r="7041">
          <cell r="B7041">
            <v>88240</v>
          </cell>
          <cell r="C7041" t="str">
            <v>AJUDANTE DE ESTRUTURA METÁLICA COM ENCARGOS COMPLEMENTARES</v>
          </cell>
          <cell r="D7041" t="str">
            <v>H</v>
          </cell>
          <cell r="E7041">
            <v>32.229999999999997</v>
          </cell>
          <cell r="F7041">
            <v>0</v>
          </cell>
        </row>
        <row r="7042">
          <cell r="B7042">
            <v>101376</v>
          </cell>
          <cell r="C7042" t="str">
            <v>AJUDANTE DE ESTRUTURAS METÁLICAS COM ENCARGOS COMPLEMENTARES</v>
          </cell>
          <cell r="D7042" t="str">
            <v>MES</v>
          </cell>
          <cell r="E7042">
            <v>5528.64</v>
          </cell>
          <cell r="F7042">
            <v>0</v>
          </cell>
        </row>
        <row r="7043">
          <cell r="B7043">
            <v>88241</v>
          </cell>
          <cell r="C7043" t="str">
            <v>AJUDANTE DE OPERAÇÃO EM GERAL COM ENCARGOS COMPLEMENTARES</v>
          </cell>
          <cell r="D7043" t="str">
            <v>H</v>
          </cell>
          <cell r="E7043">
            <v>31.03</v>
          </cell>
          <cell r="F7043">
            <v>0</v>
          </cell>
        </row>
        <row r="7044">
          <cell r="B7044">
            <v>101377</v>
          </cell>
          <cell r="C7044" t="str">
            <v>AJUDANTE DE OPERAÇÃO EM GERAL COM ENCARGOS COMPLEMENTARES</v>
          </cell>
          <cell r="D7044" t="str">
            <v>MES</v>
          </cell>
          <cell r="E7044">
            <v>5310.57</v>
          </cell>
          <cell r="F7044">
            <v>0</v>
          </cell>
        </row>
        <row r="7045">
          <cell r="B7045">
            <v>88242</v>
          </cell>
          <cell r="C7045" t="str">
            <v>AJUDANTE DE PEDREIRO COM ENCARGOS COMPLEMENTARES</v>
          </cell>
          <cell r="D7045" t="str">
            <v>H</v>
          </cell>
          <cell r="E7045">
            <v>33.57</v>
          </cell>
          <cell r="F7045">
            <v>0</v>
          </cell>
        </row>
        <row r="7046">
          <cell r="B7046">
            <v>100301</v>
          </cell>
          <cell r="C7046" t="str">
            <v>AJUDANTE DE PINTOR COM ENCARGOS COMPLEMENTARES</v>
          </cell>
          <cell r="D7046" t="str">
            <v>H</v>
          </cell>
          <cell r="E7046">
            <v>35.32</v>
          </cell>
          <cell r="F7046">
            <v>0</v>
          </cell>
        </row>
        <row r="7047">
          <cell r="B7047">
            <v>101378</v>
          </cell>
          <cell r="C7047" t="str">
            <v>AJUDANTE DE PINTOR COM ENCARGOS COMPLEMENTARES</v>
          </cell>
          <cell r="D7047" t="str">
            <v>MES</v>
          </cell>
          <cell r="E7047">
            <v>6027.45</v>
          </cell>
          <cell r="F7047">
            <v>0</v>
          </cell>
        </row>
        <row r="7048">
          <cell r="B7048">
            <v>101379</v>
          </cell>
          <cell r="C7048" t="str">
            <v>AJUDANTE DE SERRALHEIRO COM ENCARGOS COMPLEMENTARES</v>
          </cell>
          <cell r="D7048" t="str">
            <v>MES</v>
          </cell>
          <cell r="E7048">
            <v>5737.1</v>
          </cell>
          <cell r="F7048">
            <v>0</v>
          </cell>
        </row>
        <row r="7049">
          <cell r="B7049">
            <v>88243</v>
          </cell>
          <cell r="C7049" t="str">
            <v>AJUDANTE ESPECIALIZADO COM ENCARGOS COMPLEMENTARES</v>
          </cell>
          <cell r="D7049" t="str">
            <v>H</v>
          </cell>
          <cell r="E7049">
            <v>32.46</v>
          </cell>
          <cell r="F7049">
            <v>0</v>
          </cell>
        </row>
        <row r="7050">
          <cell r="B7050">
            <v>101380</v>
          </cell>
          <cell r="C7050" t="str">
            <v>AJUDANTE ESPECIALIZADO COM ENCARGOS COMPLEMENTARES</v>
          </cell>
          <cell r="D7050" t="str">
            <v>MES</v>
          </cell>
          <cell r="E7050">
            <v>5559.65</v>
          </cell>
          <cell r="F7050">
            <v>0</v>
          </cell>
        </row>
        <row r="7051">
          <cell r="B7051">
            <v>90766</v>
          </cell>
          <cell r="C7051" t="str">
            <v>ALMOXARIFE COM ENCARGOS COMPLEMENTARES</v>
          </cell>
          <cell r="D7051" t="str">
            <v>H</v>
          </cell>
          <cell r="E7051">
            <v>46.33</v>
          </cell>
          <cell r="F7051">
            <v>0</v>
          </cell>
        </row>
        <row r="7052">
          <cell r="B7052">
            <v>93563</v>
          </cell>
          <cell r="C7052" t="str">
            <v>ALMOXARIFE COM ENCARGOS COMPLEMENTARES</v>
          </cell>
          <cell r="D7052" t="str">
            <v>MES</v>
          </cell>
          <cell r="E7052">
            <v>8009.02</v>
          </cell>
          <cell r="F7052">
            <v>0</v>
          </cell>
        </row>
        <row r="7053">
          <cell r="B7053">
            <v>90767</v>
          </cell>
          <cell r="C7053" t="str">
            <v>APONTADOR OU APROPRIADOR COM ENCARGOS COMPLEMENTARES</v>
          </cell>
          <cell r="D7053" t="str">
            <v>H</v>
          </cell>
          <cell r="E7053">
            <v>48.37</v>
          </cell>
          <cell r="F7053">
            <v>0</v>
          </cell>
        </row>
        <row r="7054">
          <cell r="B7054">
            <v>93564</v>
          </cell>
          <cell r="C7054" t="str">
            <v>APONTADOR OU APROPRIADOR COM ENCARGOS COMPLEMENTARES</v>
          </cell>
          <cell r="D7054" t="str">
            <v>MES</v>
          </cell>
          <cell r="E7054">
            <v>8254.83</v>
          </cell>
          <cell r="F7054">
            <v>0</v>
          </cell>
        </row>
        <row r="7055">
          <cell r="B7055">
            <v>88245</v>
          </cell>
          <cell r="C7055" t="str">
            <v>ARMADOR COM ENCARGOS COMPLEMENTARES</v>
          </cell>
          <cell r="D7055" t="str">
            <v>H</v>
          </cell>
          <cell r="E7055">
            <v>35.619999999999997</v>
          </cell>
          <cell r="F7055">
            <v>0</v>
          </cell>
        </row>
        <row r="7056">
          <cell r="B7056">
            <v>101381</v>
          </cell>
          <cell r="C7056" t="str">
            <v>ARMADOR COM ENCARGOS COMPLEMENTARES</v>
          </cell>
          <cell r="D7056" t="str">
            <v>MES</v>
          </cell>
          <cell r="E7056">
            <v>6103.15</v>
          </cell>
          <cell r="F7056">
            <v>0</v>
          </cell>
        </row>
        <row r="7057">
          <cell r="B7057">
            <v>90768</v>
          </cell>
          <cell r="C7057" t="str">
            <v>ARQUITETO DE OBRA JUNIOR COM ENCARGOS COMPLEMENTARES</v>
          </cell>
          <cell r="D7057" t="str">
            <v>H</v>
          </cell>
          <cell r="E7057">
            <v>138.47999999999999</v>
          </cell>
          <cell r="F7057">
            <v>0</v>
          </cell>
        </row>
        <row r="7058">
          <cell r="B7058">
            <v>90769</v>
          </cell>
          <cell r="C7058" t="str">
            <v>ARQUITETO DE OBRA PLENO COM ENCARGOS COMPLEMENTARES</v>
          </cell>
          <cell r="D7058" t="str">
            <v>H</v>
          </cell>
          <cell r="E7058">
            <v>145.72</v>
          </cell>
          <cell r="F7058">
            <v>0</v>
          </cell>
        </row>
        <row r="7059">
          <cell r="B7059">
            <v>90770</v>
          </cell>
          <cell r="C7059" t="str">
            <v>ARQUITETO DE OBRA SENIOR COM ENCARGOS COMPLEMENTARES</v>
          </cell>
          <cell r="D7059" t="str">
            <v>H</v>
          </cell>
          <cell r="E7059">
            <v>155.31</v>
          </cell>
          <cell r="F7059">
            <v>0</v>
          </cell>
        </row>
        <row r="7060">
          <cell r="B7060">
            <v>93569</v>
          </cell>
          <cell r="C7060" t="str">
            <v>ARQUITETO JUNIOR COM ENCARGOS COMPLEMENTARES</v>
          </cell>
          <cell r="D7060" t="str">
            <v>MES</v>
          </cell>
          <cell r="E7060">
            <v>24005.77</v>
          </cell>
          <cell r="F7060">
            <v>0</v>
          </cell>
        </row>
        <row r="7061">
          <cell r="B7061">
            <v>93570</v>
          </cell>
          <cell r="C7061" t="str">
            <v>ARQUITETO PLENO COM ENCARGOS COMPLEMENTARES</v>
          </cell>
          <cell r="D7061" t="str">
            <v>MES</v>
          </cell>
          <cell r="E7061">
            <v>25263.29</v>
          </cell>
          <cell r="F7061">
            <v>0</v>
          </cell>
        </row>
        <row r="7062">
          <cell r="B7062">
            <v>93571</v>
          </cell>
          <cell r="C7062" t="str">
            <v>ARQUITETO SENIOR COM ENCARGOS COMPLEMENTARES</v>
          </cell>
          <cell r="D7062" t="str">
            <v>MES</v>
          </cell>
          <cell r="E7062">
            <v>26928.58</v>
          </cell>
          <cell r="F7062">
            <v>0</v>
          </cell>
        </row>
        <row r="7063">
          <cell r="B7063">
            <v>101382</v>
          </cell>
          <cell r="C7063" t="str">
            <v>ASSENTADOR DE MANILHAS COM ENCARGOS COMPLEMENTARES</v>
          </cell>
          <cell r="D7063" t="str">
            <v>MES</v>
          </cell>
          <cell r="E7063">
            <v>5493.09</v>
          </cell>
          <cell r="F7063">
            <v>0</v>
          </cell>
        </row>
        <row r="7064">
          <cell r="B7064">
            <v>88246</v>
          </cell>
          <cell r="C7064" t="str">
            <v>ASSENTADOR DE TUBOS COM ENCARGOS COMPLEMENTARES</v>
          </cell>
          <cell r="D7064" t="str">
            <v>H</v>
          </cell>
          <cell r="E7064">
            <v>32.11</v>
          </cell>
          <cell r="F7064">
            <v>0</v>
          </cell>
        </row>
        <row r="7065">
          <cell r="B7065">
            <v>100303</v>
          </cell>
          <cell r="C7065" t="str">
            <v>AUXILIAR DE AZULEJISTA COM ENCARGOS COMPLEMENTARES</v>
          </cell>
          <cell r="D7065" t="str">
            <v>H</v>
          </cell>
          <cell r="E7065">
            <v>30.99</v>
          </cell>
          <cell r="F7065">
            <v>0</v>
          </cell>
        </row>
        <row r="7066">
          <cell r="B7066">
            <v>101383</v>
          </cell>
          <cell r="C7066" t="str">
            <v>AUXILIAR DE AZULEJISTA COM ENCARGOS COMPLEMENTARES</v>
          </cell>
          <cell r="D7066" t="str">
            <v>MES</v>
          </cell>
          <cell r="E7066">
            <v>5291.52</v>
          </cell>
          <cell r="F7066">
            <v>0</v>
          </cell>
        </row>
        <row r="7067">
          <cell r="B7067">
            <v>88247</v>
          </cell>
          <cell r="C7067" t="str">
            <v>AUXILIAR DE ELETRICISTA COM ENCARGOS COMPLEMENTARES</v>
          </cell>
          <cell r="D7067" t="str">
            <v>H</v>
          </cell>
          <cell r="E7067">
            <v>34.119999999999997</v>
          </cell>
          <cell r="F7067">
            <v>0</v>
          </cell>
        </row>
        <row r="7068">
          <cell r="B7068">
            <v>88248</v>
          </cell>
          <cell r="C7068" t="str">
            <v>AUXILIAR DE ENCANADOR OU BOMBEIRO HIDRÁULICO COM ENCARGOS COMPLEMENTARES</v>
          </cell>
          <cell r="D7068" t="str">
            <v>H</v>
          </cell>
          <cell r="E7068">
            <v>33.1</v>
          </cell>
          <cell r="F7068">
            <v>0</v>
          </cell>
        </row>
        <row r="7069">
          <cell r="B7069">
            <v>101384</v>
          </cell>
          <cell r="C7069" t="str">
            <v>AUXILIAR DE ENCANADOR OU BOMBEIRO HIDRÁULICO COM ENCARGOS COMPLEMENTARES</v>
          </cell>
          <cell r="D7069" t="str">
            <v>MES</v>
          </cell>
          <cell r="E7069">
            <v>5646.27</v>
          </cell>
          <cell r="F7069">
            <v>0</v>
          </cell>
        </row>
        <row r="7070">
          <cell r="B7070">
            <v>90772</v>
          </cell>
          <cell r="C7070" t="str">
            <v>AUXILIAR DE ESCRITORIO COM ENCARGOS COMPLEMENTARES</v>
          </cell>
          <cell r="D7070" t="str">
            <v>H</v>
          </cell>
          <cell r="E7070">
            <v>40.86</v>
          </cell>
          <cell r="F7070">
            <v>0</v>
          </cell>
        </row>
        <row r="7071">
          <cell r="B7071">
            <v>93566</v>
          </cell>
          <cell r="C7071" t="str">
            <v>AUXILIAR DE ESCRITORIO COM ENCARGOS COMPLEMENTARES</v>
          </cell>
          <cell r="D7071" t="str">
            <v>MES</v>
          </cell>
          <cell r="E7071">
            <v>7057.92</v>
          </cell>
          <cell r="F7071">
            <v>0</v>
          </cell>
        </row>
        <row r="7072">
          <cell r="B7072">
            <v>101385</v>
          </cell>
          <cell r="C7072" t="str">
            <v>AUXILIAR DE LABORATORISTA DE SOLOS E DE CONCRETO COM ENCARGOS COMPLEMENTARES</v>
          </cell>
          <cell r="D7072" t="str">
            <v>MES</v>
          </cell>
          <cell r="E7072">
            <v>8613.3700000000008</v>
          </cell>
          <cell r="F7072">
            <v>0</v>
          </cell>
        </row>
        <row r="7073">
          <cell r="B7073">
            <v>88249</v>
          </cell>
          <cell r="C7073" t="str">
            <v>AUXILIAR DE LABORATÓRIO COM ENCARGOS COMPLEMENTARES</v>
          </cell>
          <cell r="D7073" t="str">
            <v>H</v>
          </cell>
          <cell r="E7073">
            <v>49.92</v>
          </cell>
          <cell r="F7073">
            <v>0</v>
          </cell>
        </row>
        <row r="7074">
          <cell r="B7074">
            <v>88250</v>
          </cell>
          <cell r="C7074" t="str">
            <v>AUXILIAR DE MECÂNICO COM ENCARGOS COMPLEMENTARES</v>
          </cell>
          <cell r="D7074" t="str">
            <v>H</v>
          </cell>
          <cell r="E7074">
            <v>32.229999999999997</v>
          </cell>
          <cell r="F7074">
            <v>0</v>
          </cell>
        </row>
        <row r="7075">
          <cell r="B7075">
            <v>101386</v>
          </cell>
          <cell r="C7075" t="str">
            <v>AUXILIAR DE MECÂNICO COM ENCARGOS COMPLEMENTARES</v>
          </cell>
          <cell r="D7075" t="str">
            <v>MES</v>
          </cell>
          <cell r="E7075">
            <v>5528.64</v>
          </cell>
          <cell r="F7075">
            <v>0</v>
          </cell>
        </row>
        <row r="7076">
          <cell r="B7076">
            <v>101387</v>
          </cell>
          <cell r="C7076" t="str">
            <v>AUXILIAR DE PEDREIRO COM ENCARGOS COMPLEMENTARES</v>
          </cell>
          <cell r="D7076" t="str">
            <v>MES</v>
          </cell>
          <cell r="E7076">
            <v>5737.1</v>
          </cell>
          <cell r="F7076">
            <v>0</v>
          </cell>
        </row>
        <row r="7077">
          <cell r="B7077">
            <v>88251</v>
          </cell>
          <cell r="C7077" t="str">
            <v>AUXILIAR DE SERRALHEIRO COM ENCARGOS COMPLEMENTARES</v>
          </cell>
          <cell r="D7077" t="str">
            <v>H</v>
          </cell>
          <cell r="E7077">
            <v>33.49</v>
          </cell>
          <cell r="F7077">
            <v>0</v>
          </cell>
        </row>
        <row r="7078">
          <cell r="B7078">
            <v>88252</v>
          </cell>
          <cell r="C7078" t="str">
            <v>AUXILIAR DE SERVIÇOS GERAIS COM ENCARGOS COMPLEMENTARES</v>
          </cell>
          <cell r="D7078" t="str">
            <v>H</v>
          </cell>
          <cell r="E7078">
            <v>30.94</v>
          </cell>
          <cell r="F7078">
            <v>0</v>
          </cell>
        </row>
        <row r="7079">
          <cell r="B7079">
            <v>101388</v>
          </cell>
          <cell r="C7079" t="str">
            <v>AUXILIAR DE SERVIÇOS GERAIS COM ENCARGOS COMPLEMENTARES</v>
          </cell>
          <cell r="D7079" t="str">
            <v>MES</v>
          </cell>
          <cell r="E7079">
            <v>5293.4</v>
          </cell>
          <cell r="F7079">
            <v>0</v>
          </cell>
        </row>
        <row r="7080">
          <cell r="B7080">
            <v>88253</v>
          </cell>
          <cell r="C7080" t="str">
            <v>AUXILIAR DE TOPÓGRAFO COM ENCARGOS COMPLEMENTARES</v>
          </cell>
          <cell r="D7080" t="str">
            <v>H</v>
          </cell>
          <cell r="E7080">
            <v>44.38</v>
          </cell>
          <cell r="F7080">
            <v>0</v>
          </cell>
        </row>
        <row r="7081">
          <cell r="B7081">
            <v>101389</v>
          </cell>
          <cell r="C7081" t="str">
            <v>AUXILIAR DE TOPÓGRAFO COM ENCARGOS COMPLEMENTARES</v>
          </cell>
          <cell r="D7081" t="str">
            <v>MES</v>
          </cell>
          <cell r="E7081">
            <v>7649.26</v>
          </cell>
          <cell r="F7081">
            <v>0</v>
          </cell>
        </row>
        <row r="7082">
          <cell r="B7082">
            <v>101390</v>
          </cell>
          <cell r="C7082" t="str">
            <v>AUXILIAR TÉCNICO / ASSISTENTE DE ENGENHARIA COM ENCARGOS COMPLEMENTARES</v>
          </cell>
          <cell r="D7082" t="str">
            <v>MES</v>
          </cell>
          <cell r="E7082">
            <v>8189.31</v>
          </cell>
          <cell r="F7082">
            <v>0</v>
          </cell>
        </row>
        <row r="7083">
          <cell r="B7083">
            <v>88255</v>
          </cell>
          <cell r="C7083" t="str">
            <v>AUXILIAR TÉCNICO DE ENGENHARIA COM ENCARGOS COMPLEMENTARES</v>
          </cell>
          <cell r="D7083" t="str">
            <v>H</v>
          </cell>
          <cell r="E7083">
            <v>47.48</v>
          </cell>
          <cell r="F7083">
            <v>0</v>
          </cell>
        </row>
        <row r="7084">
          <cell r="B7084">
            <v>88256</v>
          </cell>
          <cell r="C7084" t="str">
            <v>AZULEJISTA OU LADRILHEIRO COM ENCARGOS COMPLEMENTARES</v>
          </cell>
          <cell r="D7084" t="str">
            <v>H</v>
          </cell>
          <cell r="E7084">
            <v>35.700000000000003</v>
          </cell>
          <cell r="F7084">
            <v>0</v>
          </cell>
        </row>
        <row r="7085">
          <cell r="B7085">
            <v>101391</v>
          </cell>
          <cell r="C7085" t="str">
            <v>AZULEJISTA OU LADRILHEIRO COM ENCARGOS COMPLEMENTARES</v>
          </cell>
          <cell r="D7085" t="str">
            <v>MES</v>
          </cell>
          <cell r="E7085">
            <v>6103.15</v>
          </cell>
          <cell r="F7085">
            <v>0</v>
          </cell>
        </row>
        <row r="7086">
          <cell r="B7086">
            <v>88257</v>
          </cell>
          <cell r="C7086" t="str">
            <v>BLASTER, DINAMITADOR OU CABO DE FOGO COM ENCARGOS COMPLEMENTARES</v>
          </cell>
          <cell r="D7086" t="str">
            <v>H</v>
          </cell>
          <cell r="E7086">
            <v>40.65</v>
          </cell>
          <cell r="F7086">
            <v>0</v>
          </cell>
        </row>
        <row r="7087">
          <cell r="B7087">
            <v>101392</v>
          </cell>
          <cell r="C7087" t="str">
            <v>BLASTER, DINAMITADOR OU CABO DE FORÇA COM ENCARGOS COMPLEMENTARES</v>
          </cell>
          <cell r="D7087" t="str">
            <v>MES</v>
          </cell>
          <cell r="E7087">
            <v>6951.08</v>
          </cell>
          <cell r="F7087">
            <v>0</v>
          </cell>
        </row>
        <row r="7088">
          <cell r="B7088">
            <v>88260</v>
          </cell>
          <cell r="C7088" t="str">
            <v>CALCETEIRO COM ENCARGOS COMPLEMENTARES</v>
          </cell>
          <cell r="D7088" t="str">
            <v>H</v>
          </cell>
          <cell r="E7088">
            <v>35.6</v>
          </cell>
          <cell r="F7088">
            <v>0</v>
          </cell>
        </row>
        <row r="7089">
          <cell r="B7089">
            <v>101394</v>
          </cell>
          <cell r="C7089" t="str">
            <v>CALCETEIRO COM ENCARGOS COMPLEMENTARES</v>
          </cell>
          <cell r="D7089" t="str">
            <v>MES</v>
          </cell>
          <cell r="E7089">
            <v>6103.12</v>
          </cell>
          <cell r="F7089">
            <v>0</v>
          </cell>
        </row>
        <row r="7090">
          <cell r="B7090">
            <v>101395</v>
          </cell>
          <cell r="C7090" t="str">
            <v>CARPINTEIRO AUXILIAR COM ENCARGOS COMPLEMENTARES</v>
          </cell>
          <cell r="D7090" t="str">
            <v>MES</v>
          </cell>
          <cell r="E7090">
            <v>5660.15</v>
          </cell>
          <cell r="F7090">
            <v>0</v>
          </cell>
        </row>
        <row r="7091">
          <cell r="B7091">
            <v>88261</v>
          </cell>
          <cell r="C7091" t="str">
            <v>CARPINTEIRO DE ESQUADRIAS COM ENCARGOS COMPLEMENTARES</v>
          </cell>
          <cell r="D7091" t="str">
            <v>H</v>
          </cell>
          <cell r="E7091">
            <v>35.24</v>
          </cell>
          <cell r="F7091">
            <v>0</v>
          </cell>
        </row>
        <row r="7092">
          <cell r="B7092">
            <v>101396</v>
          </cell>
          <cell r="C7092" t="str">
            <v>CARPINTEIRO DE ESQUADRIAS COM ENCARGOS COMPLEMENTARES</v>
          </cell>
          <cell r="D7092" t="str">
            <v>MES</v>
          </cell>
          <cell r="E7092">
            <v>6026.2</v>
          </cell>
          <cell r="F7092">
            <v>0</v>
          </cell>
        </row>
        <row r="7093">
          <cell r="B7093">
            <v>88262</v>
          </cell>
          <cell r="C7093" t="str">
            <v>CARPINTEIRO DE FORMAS COM ENCARGOS COMPLEMENTARES</v>
          </cell>
          <cell r="D7093" t="str">
            <v>H</v>
          </cell>
          <cell r="E7093">
            <v>35.159999999999997</v>
          </cell>
          <cell r="F7093">
            <v>0</v>
          </cell>
        </row>
        <row r="7094">
          <cell r="B7094">
            <v>101397</v>
          </cell>
          <cell r="C7094" t="str">
            <v>CARPINTEIRO DE FORMAS COM ENCARGOS COMPLEMENTARES</v>
          </cell>
          <cell r="D7094" t="str">
            <v>MES</v>
          </cell>
          <cell r="E7094">
            <v>6026.2</v>
          </cell>
          <cell r="F7094">
            <v>0</v>
          </cell>
        </row>
        <row r="7095">
          <cell r="B7095">
            <v>101398</v>
          </cell>
          <cell r="C7095" t="str">
            <v>CAVOUQUEIRO OU OPERADOR DE PERFURATRIZ COM ENCARGOS COMPLEMENTARES</v>
          </cell>
          <cell r="D7095" t="str">
            <v>MES</v>
          </cell>
          <cell r="E7095">
            <v>8135.88</v>
          </cell>
          <cell r="F7095">
            <v>0</v>
          </cell>
        </row>
        <row r="7096">
          <cell r="B7096">
            <v>88263</v>
          </cell>
          <cell r="C7096" t="str">
            <v>CAVOUQUEIRO OU OPERADOR PERFURATRIZ/ROMPEDOR COM ENCARGOS COMPLEMENTARES</v>
          </cell>
          <cell r="D7096" t="str">
            <v>H</v>
          </cell>
          <cell r="E7096">
            <v>47.3</v>
          </cell>
          <cell r="F7096">
            <v>0</v>
          </cell>
        </row>
        <row r="7097">
          <cell r="B7097">
            <v>95308</v>
          </cell>
          <cell r="C7097" t="str">
            <v>CURSO DE CAPACITAÇÃO PARA AJUDANTE DE ARMADOR (ENCARGOS COMPLEMENTARES) - HORISTA</v>
          </cell>
          <cell r="D7097" t="str">
            <v>H</v>
          </cell>
          <cell r="E7097">
            <v>0.27</v>
          </cell>
          <cell r="F7097">
            <v>0</v>
          </cell>
        </row>
        <row r="7098">
          <cell r="B7098">
            <v>101286</v>
          </cell>
          <cell r="C7098" t="str">
            <v>CURSO DE CAPACITAÇÃO PARA AJUDANTE DE ARMADOR (ENCARGOS COMPLEMENTARES) - MENSALISTA</v>
          </cell>
          <cell r="D7098" t="str">
            <v>MES</v>
          </cell>
          <cell r="E7098">
            <v>36.450000000000003</v>
          </cell>
          <cell r="F7098">
            <v>0</v>
          </cell>
        </row>
        <row r="7099">
          <cell r="B7099">
            <v>95309</v>
          </cell>
          <cell r="C7099" t="str">
            <v>CURSO DE CAPACITAÇÃO PARA AJUDANTE DE CARPINTEIRO (ENCARGOS COMPLEMENTARES) - HORISTA</v>
          </cell>
          <cell r="D7099" t="str">
            <v>H</v>
          </cell>
          <cell r="E7099">
            <v>0.35</v>
          </cell>
          <cell r="F7099">
            <v>0</v>
          </cell>
        </row>
        <row r="7100">
          <cell r="B7100">
            <v>101287</v>
          </cell>
          <cell r="C7100" t="str">
            <v>CURSO DE CAPACITAÇÃO PARA AJUDANTE DE ELETRICISTA (ENCARGOS COMPLEMENTARES) - MENSALISTA</v>
          </cell>
          <cell r="D7100" t="str">
            <v>MES</v>
          </cell>
          <cell r="E7100">
            <v>117.9</v>
          </cell>
          <cell r="F7100">
            <v>0</v>
          </cell>
        </row>
        <row r="7101">
          <cell r="B7101">
            <v>95310</v>
          </cell>
          <cell r="C7101" t="str">
            <v>CURSO DE CAPACITAÇÃO PARA AJUDANTE DE ESTRUTURA METÁLICA (ENCARGOS COMPLEMENTARES) - HORISTA</v>
          </cell>
          <cell r="D7101" t="str">
            <v>H</v>
          </cell>
          <cell r="E7101">
            <v>0.27</v>
          </cell>
          <cell r="F7101">
            <v>0</v>
          </cell>
        </row>
        <row r="7102">
          <cell r="B7102">
            <v>101288</v>
          </cell>
          <cell r="C7102" t="str">
            <v>CURSO DE CAPACITAÇÃO PARA AJUDANTE DE ESTRUTURAS METÁLICAS(ENCARGOS COMPLEMENTARES) - MENSALISTA</v>
          </cell>
          <cell r="D7102" t="str">
            <v>MES</v>
          </cell>
          <cell r="E7102">
            <v>36.450000000000003</v>
          </cell>
          <cell r="F7102">
            <v>0</v>
          </cell>
        </row>
        <row r="7103">
          <cell r="B7103">
            <v>95311</v>
          </cell>
          <cell r="C7103" t="str">
            <v>CURSO DE CAPACITAÇÃO PARA AJUDANTE DE OPERAÇÃO EM GERAL (ENCARGOS COMPLEMENTARES) - HORISTA</v>
          </cell>
          <cell r="D7103" t="str">
            <v>H</v>
          </cell>
          <cell r="E7103">
            <v>0.24</v>
          </cell>
          <cell r="F7103">
            <v>0</v>
          </cell>
        </row>
        <row r="7104">
          <cell r="B7104">
            <v>101289</v>
          </cell>
          <cell r="C7104" t="str">
            <v>CURSO DE CAPACITAÇÃO PARA AJUDANTE DE OPERAÇÃO EM GERAL (ENCARGOS COMPLEMENTARES) - MENSALISTA</v>
          </cell>
          <cell r="D7104" t="str">
            <v>MES</v>
          </cell>
          <cell r="E7104">
            <v>32.74</v>
          </cell>
          <cell r="F7104">
            <v>0</v>
          </cell>
        </row>
        <row r="7105">
          <cell r="B7105">
            <v>95312</v>
          </cell>
          <cell r="C7105" t="str">
            <v>CURSO DE CAPACITAÇÃO PARA AJUDANTE DE PEDREIRO (ENCARGOS COMPLEMENTARES) - HORISTA</v>
          </cell>
          <cell r="D7105" t="str">
            <v>H</v>
          </cell>
          <cell r="E7105">
            <v>0.35</v>
          </cell>
          <cell r="F7105">
            <v>0</v>
          </cell>
        </row>
        <row r="7106">
          <cell r="B7106">
            <v>100291</v>
          </cell>
          <cell r="C7106" t="str">
            <v>CURSO DE CAPACITAÇÃO PARA AJUDANTE DE PINTOR (ENCARGOS COMPLEMENTARES) - HORISTA</v>
          </cell>
          <cell r="D7106" t="str">
            <v>H</v>
          </cell>
          <cell r="E7106">
            <v>0.35</v>
          </cell>
          <cell r="F7106">
            <v>0</v>
          </cell>
        </row>
        <row r="7107">
          <cell r="B7107">
            <v>101290</v>
          </cell>
          <cell r="C7107" t="str">
            <v>CURSO DE CAPACITAÇÃO PARA AJUDANTE DE PINTOR (ENCARGOS COMPLEMENTARES) - MENSALISTA</v>
          </cell>
          <cell r="D7107" t="str">
            <v>MES</v>
          </cell>
          <cell r="E7107">
            <v>46.64</v>
          </cell>
          <cell r="F7107">
            <v>0</v>
          </cell>
        </row>
        <row r="7108">
          <cell r="B7108">
            <v>101291</v>
          </cell>
          <cell r="C7108" t="str">
            <v>CURSO DE CAPACITAÇÃO PARA AJUDANTE DE SERRALHEIRO (ENCARGOS COMPLEMENTARES) - MENSALISTA</v>
          </cell>
          <cell r="D7108" t="str">
            <v>MES</v>
          </cell>
          <cell r="E7108">
            <v>36.450000000000003</v>
          </cell>
          <cell r="F7108">
            <v>0</v>
          </cell>
        </row>
        <row r="7109">
          <cell r="B7109">
            <v>95313</v>
          </cell>
          <cell r="C7109" t="str">
            <v>CURSO DE CAPACITAÇÃO PARA AJUDANTE ESPECIALIZADO (ENCARGOS COMPLEMENTARES) - HORISTA</v>
          </cell>
          <cell r="D7109" t="str">
            <v>H</v>
          </cell>
          <cell r="E7109">
            <v>0.26</v>
          </cell>
          <cell r="F7109">
            <v>0</v>
          </cell>
        </row>
        <row r="7110">
          <cell r="B7110">
            <v>101292</v>
          </cell>
          <cell r="C7110" t="str">
            <v>CURSO DE CAPACITAÇÃO PARA AJUDANTE ESPECIALIZADO (ENCARGOS COMPLEMENTARES) - MENSALISTA</v>
          </cell>
          <cell r="D7110" t="str">
            <v>MES</v>
          </cell>
          <cell r="E7110">
            <v>35.03</v>
          </cell>
          <cell r="F7110">
            <v>0</v>
          </cell>
        </row>
        <row r="7111">
          <cell r="B7111">
            <v>95392</v>
          </cell>
          <cell r="C7111" t="str">
            <v>CURSO DE CAPACITAÇÃO PARA ALMOXARIFE (ENCARGOS COMPLEMENTARES) - HORISTA</v>
          </cell>
          <cell r="D7111" t="str">
            <v>H</v>
          </cell>
          <cell r="E7111">
            <v>0.19</v>
          </cell>
          <cell r="F7111">
            <v>0</v>
          </cell>
        </row>
        <row r="7112">
          <cell r="B7112">
            <v>95413</v>
          </cell>
          <cell r="C7112" t="str">
            <v>CURSO DE CAPACITAÇÃO PARA ALMOXARIFE (ENCARGOS COMPLEMENTARES) - MENSALISTA</v>
          </cell>
          <cell r="D7112" t="str">
            <v>MES</v>
          </cell>
          <cell r="E7112">
            <v>25.65</v>
          </cell>
          <cell r="F7112">
            <v>0</v>
          </cell>
        </row>
        <row r="7113">
          <cell r="B7113">
            <v>95393</v>
          </cell>
          <cell r="C7113" t="str">
            <v>CURSO DE CAPACITAÇÃO PARA APONTADOR OU APROPRIADOR (ENCARGOS COMPLEMENTARES) - HORISTA</v>
          </cell>
          <cell r="D7113" t="str">
            <v>H</v>
          </cell>
          <cell r="E7113">
            <v>0.84</v>
          </cell>
          <cell r="F7113">
            <v>0</v>
          </cell>
        </row>
        <row r="7114">
          <cell r="B7114">
            <v>95414</v>
          </cell>
          <cell r="C7114" t="str">
            <v>CURSO DE CAPACITAÇÃO PARA APONTADOR OU APROPRIADOR (ENCARGOS COMPLEMENTARES) - MENSALISTA</v>
          </cell>
          <cell r="D7114" t="str">
            <v>MES</v>
          </cell>
          <cell r="E7114">
            <v>110.91</v>
          </cell>
          <cell r="F7114">
            <v>0</v>
          </cell>
        </row>
        <row r="7115">
          <cell r="B7115">
            <v>95314</v>
          </cell>
          <cell r="C7115" t="str">
            <v>CURSO DE CAPACITAÇÃO PARA ARMADOR (ENCARGOS COMPLEMENTARES) - HORISTA</v>
          </cell>
          <cell r="D7115" t="str">
            <v>H</v>
          </cell>
          <cell r="E7115">
            <v>0.3</v>
          </cell>
          <cell r="F7115">
            <v>0</v>
          </cell>
        </row>
        <row r="7116">
          <cell r="B7116">
            <v>101293</v>
          </cell>
          <cell r="C7116" t="str">
            <v>CURSO DE CAPACITAÇÃO PARA ARMADOR (ENCARGOS COMPLEMENTARES) - MENSALISTA</v>
          </cell>
          <cell r="D7116" t="str">
            <v>MES</v>
          </cell>
          <cell r="E7116">
            <v>39.630000000000003</v>
          </cell>
          <cell r="F7116">
            <v>0</v>
          </cell>
        </row>
        <row r="7117">
          <cell r="B7117">
            <v>95394</v>
          </cell>
          <cell r="C7117" t="str">
            <v>CURSO DE CAPACITAÇÃO PARA ARQUITETO DE OBRA JÚNIOR (ENCARGOS COMPLEMENTARES) - HORISTA</v>
          </cell>
          <cell r="D7117" t="str">
            <v>H</v>
          </cell>
          <cell r="E7117">
            <v>1.08</v>
          </cell>
          <cell r="F7117">
            <v>0</v>
          </cell>
        </row>
        <row r="7118">
          <cell r="B7118">
            <v>95395</v>
          </cell>
          <cell r="C7118" t="str">
            <v>CURSO DE CAPACITAÇÃO PARA ARQUITETO DE OBRA PLENO (ENCARGOS COMPLEMENTARES) - HORISTA</v>
          </cell>
          <cell r="D7118" t="str">
            <v>H</v>
          </cell>
          <cell r="E7118">
            <v>1.1399999999999999</v>
          </cell>
          <cell r="F7118">
            <v>0</v>
          </cell>
        </row>
        <row r="7119">
          <cell r="B7119">
            <v>95396</v>
          </cell>
          <cell r="C7119" t="str">
            <v>CURSO DE CAPACITAÇÃO PARA ARQUITETO DE OBRA SÊNIOR (ENCARGOS COMPLEMENTARES) - HORISTA</v>
          </cell>
          <cell r="D7119" t="str">
            <v>H</v>
          </cell>
          <cell r="E7119">
            <v>1.22</v>
          </cell>
          <cell r="F7119">
            <v>0</v>
          </cell>
        </row>
        <row r="7120">
          <cell r="B7120">
            <v>95419</v>
          </cell>
          <cell r="C7120" t="str">
            <v>CURSO DE CAPACITAÇÃO PARA ARQUITETO JÚNIOR (ENCARGOS COMPLEMENTARES) - MENSALISTA</v>
          </cell>
          <cell r="D7120" t="str">
            <v>MES</v>
          </cell>
          <cell r="E7120">
            <v>143.04</v>
          </cell>
          <cell r="F7120">
            <v>0</v>
          </cell>
        </row>
        <row r="7121">
          <cell r="B7121">
            <v>95420</v>
          </cell>
          <cell r="C7121" t="str">
            <v>CURSO DE CAPACITAÇÃO PARA ARQUITETO PLENO (ENCARGOS COMPLEMENTARES) - MENSALISTA</v>
          </cell>
          <cell r="D7121" t="str">
            <v>MES</v>
          </cell>
          <cell r="E7121">
            <v>150.91</v>
          </cell>
          <cell r="F7121">
            <v>0</v>
          </cell>
        </row>
        <row r="7122">
          <cell r="B7122">
            <v>95421</v>
          </cell>
          <cell r="C7122" t="str">
            <v>CURSO DE CAPACITAÇÃO PARA ARQUITETO SÊNIOR (ENCARGOS COMPLEMENTARES) - MENSALISTA</v>
          </cell>
          <cell r="D7122" t="str">
            <v>MES</v>
          </cell>
          <cell r="E7122">
            <v>161.33000000000001</v>
          </cell>
          <cell r="F7122">
            <v>0</v>
          </cell>
        </row>
        <row r="7123">
          <cell r="B7123">
            <v>101294</v>
          </cell>
          <cell r="C7123" t="str">
            <v>CURSO DE CAPACITAÇÃO PARA ASSENTADOR DE MANILHA (ENCARGOS COMPLEMENTARES) - MENSALISTA</v>
          </cell>
          <cell r="D7123" t="str">
            <v>MES</v>
          </cell>
          <cell r="E7123">
            <v>46.24</v>
          </cell>
          <cell r="F7123">
            <v>0</v>
          </cell>
        </row>
        <row r="7124">
          <cell r="B7124">
            <v>95315</v>
          </cell>
          <cell r="C7124" t="str">
            <v>CURSO DE CAPACITAÇÃO PARA ASSENTADOR DE TUBOS (ENCARGOS COMPLEMENTARES) - HORISTA</v>
          </cell>
          <cell r="D7124" t="str">
            <v>H</v>
          </cell>
          <cell r="E7124">
            <v>0.35</v>
          </cell>
          <cell r="F7124">
            <v>0</v>
          </cell>
        </row>
        <row r="7125">
          <cell r="B7125">
            <v>100293</v>
          </cell>
          <cell r="C7125" t="str">
            <v>CURSO DE CAPACITAÇÃO PARA AUXILIAR DE AZULEJISTA (ENCARGOS COMPLEMENTARES) - HORISTA</v>
          </cell>
          <cell r="D7125" t="str">
            <v>H</v>
          </cell>
          <cell r="E7125">
            <v>0.31</v>
          </cell>
          <cell r="F7125">
            <v>0</v>
          </cell>
        </row>
        <row r="7126">
          <cell r="B7126">
            <v>101295</v>
          </cell>
          <cell r="C7126" t="str">
            <v>CURSO DE CAPACITAÇÃO PARA AUXILIAR DE AZULEJISTA (ENCARGOS COMPLEMENTARES) - MENSALISTA</v>
          </cell>
          <cell r="D7126" t="str">
            <v>MES</v>
          </cell>
          <cell r="E7126">
            <v>41.68</v>
          </cell>
          <cell r="F7126">
            <v>0</v>
          </cell>
        </row>
        <row r="7127">
          <cell r="B7127">
            <v>95316</v>
          </cell>
          <cell r="C7127" t="str">
            <v>CURSO DE CAPACITAÇÃO PARA AUXILIAR DE ELETRICISTA (ENCARGOS COMPLEMENTARES) - HORISTA</v>
          </cell>
          <cell r="D7127" t="str">
            <v>H</v>
          </cell>
          <cell r="E7127">
            <v>0.89</v>
          </cell>
          <cell r="F7127">
            <v>0</v>
          </cell>
        </row>
        <row r="7128">
          <cell r="B7128">
            <v>95317</v>
          </cell>
          <cell r="C7128" t="str">
            <v>CURSO DE CAPACITAÇÃO PARA AUXILIAR DE ENCANADOR OU BOMBEIRO HIDRÁULICO (ENCARGOS COMPLEMENTARES) - HORISTA</v>
          </cell>
          <cell r="D7128" t="str">
            <v>H</v>
          </cell>
          <cell r="E7128">
            <v>0.43</v>
          </cell>
          <cell r="F7128">
            <v>0</v>
          </cell>
        </row>
        <row r="7129">
          <cell r="B7129">
            <v>101296</v>
          </cell>
          <cell r="C7129" t="str">
            <v>CURSO DE CAPACITAÇÃO PARA AUXILIAR DE ENCANADOR OU BOMBEIRO HIDRÁULICO (ENCARGOS COMPLEMENTARES) - MENSALISTA</v>
          </cell>
          <cell r="D7129" t="str">
            <v>MES</v>
          </cell>
          <cell r="E7129">
            <v>56.79</v>
          </cell>
          <cell r="F7129">
            <v>0</v>
          </cell>
        </row>
        <row r="7130">
          <cell r="B7130">
            <v>95398</v>
          </cell>
          <cell r="C7130" t="str">
            <v>CURSO DE CAPACITAÇÃO PARA AUXILIAR DE ESCRITÓRIO (ENCARGOS COMPLEMENTARES) - HORISTA</v>
          </cell>
          <cell r="D7130" t="str">
            <v>H</v>
          </cell>
          <cell r="E7130">
            <v>0.16</v>
          </cell>
          <cell r="F7130">
            <v>0</v>
          </cell>
        </row>
        <row r="7131">
          <cell r="B7131">
            <v>95416</v>
          </cell>
          <cell r="C7131" t="str">
            <v>CURSO DE CAPACITAÇÃO PARA AUXILIAR DE ESCRITÓRIO (ENCARGOS COMPLEMENTARES) - MENSALISTA</v>
          </cell>
          <cell r="D7131" t="str">
            <v>MES</v>
          </cell>
          <cell r="E7131">
            <v>22.01</v>
          </cell>
          <cell r="F7131">
            <v>0</v>
          </cell>
        </row>
        <row r="7132">
          <cell r="B7132">
            <v>101297</v>
          </cell>
          <cell r="C7132" t="str">
            <v>CURSO DE CAPACITAÇÃO PARA AUXILIAR DE LABORATORIO (ENCARGOS COMPLEMENTARES) - MENSALISTA</v>
          </cell>
          <cell r="D7132" t="str">
            <v>MES</v>
          </cell>
          <cell r="E7132">
            <v>45.72</v>
          </cell>
          <cell r="F7132">
            <v>0</v>
          </cell>
        </row>
        <row r="7133">
          <cell r="B7133">
            <v>95318</v>
          </cell>
          <cell r="C7133" t="str">
            <v>CURSO DE CAPACITAÇÃO PARA AUXILIAR DE LABORATÓRIO (ENCARGOS COMPLEMENTARES) - HORISTA</v>
          </cell>
          <cell r="D7133" t="str">
            <v>H</v>
          </cell>
          <cell r="E7133">
            <v>0.34</v>
          </cell>
          <cell r="F7133">
            <v>0</v>
          </cell>
        </row>
        <row r="7134">
          <cell r="B7134">
            <v>101298</v>
          </cell>
          <cell r="C7134" t="str">
            <v>CURSO DE CAPACITAÇÃO PARA AUXILIAR DE MECANICO (ENCARGOS COMPLEMENTARES) - MENSALISTA</v>
          </cell>
          <cell r="D7134" t="str">
            <v>MES</v>
          </cell>
          <cell r="E7134">
            <v>36.450000000000003</v>
          </cell>
          <cell r="F7134">
            <v>0</v>
          </cell>
        </row>
        <row r="7135">
          <cell r="B7135">
            <v>95319</v>
          </cell>
          <cell r="C7135" t="str">
            <v>CURSO DE CAPACITAÇÃO PARA AUXILIAR DE MECÂNICO (ENCARGOS COMPLEMENTARES) - HORISTA</v>
          </cell>
          <cell r="D7135" t="str">
            <v>H</v>
          </cell>
          <cell r="E7135">
            <v>0.27</v>
          </cell>
          <cell r="F7135">
            <v>0</v>
          </cell>
        </row>
        <row r="7136">
          <cell r="B7136">
            <v>101299</v>
          </cell>
          <cell r="C7136" t="str">
            <v>CURSO DE CAPACITAÇÃO PARA AUXILIAR DE PEDREIRO (ENCARGOS COMPLEMENTARES) - MENSALISTA</v>
          </cell>
          <cell r="D7136" t="str">
            <v>MES</v>
          </cell>
          <cell r="E7136">
            <v>46.64</v>
          </cell>
          <cell r="F7136">
            <v>0</v>
          </cell>
        </row>
        <row r="7137">
          <cell r="B7137">
            <v>95320</v>
          </cell>
          <cell r="C7137" t="str">
            <v>CURSO DE CAPACITAÇÃO PARA AUXILIAR DE SERRALHEIRO (ENCARGOS COMPLEMENTARES) - HORISTA</v>
          </cell>
          <cell r="D7137" t="str">
            <v>H</v>
          </cell>
          <cell r="E7137">
            <v>0.27</v>
          </cell>
          <cell r="F7137">
            <v>0</v>
          </cell>
        </row>
        <row r="7138">
          <cell r="B7138">
            <v>95321</v>
          </cell>
          <cell r="C7138" t="str">
            <v>CURSO DE CAPACITAÇÃO PARA AUXILIAR DE SERVIÇOS GERAIS (ENCARGOS COMPLEMENTARES) - HORISTA</v>
          </cell>
          <cell r="D7138" t="str">
            <v>H</v>
          </cell>
          <cell r="E7138">
            <v>0.24</v>
          </cell>
          <cell r="F7138">
            <v>0</v>
          </cell>
        </row>
        <row r="7139">
          <cell r="B7139">
            <v>101300</v>
          </cell>
          <cell r="C7139" t="str">
            <v>CURSO DE CAPACITAÇÃO PARA AUXILIAR DE SERVIÇOS GERAIS (ENCARGOS COMPLEMENTARES) - MENSALISTA</v>
          </cell>
          <cell r="D7139" t="str">
            <v>MES</v>
          </cell>
          <cell r="E7139">
            <v>32.72</v>
          </cell>
          <cell r="F7139">
            <v>0</v>
          </cell>
        </row>
        <row r="7140">
          <cell r="B7140">
            <v>95322</v>
          </cell>
          <cell r="C7140" t="str">
            <v>CURSO DE CAPACITAÇÃO PARA AUXILIAR DE TOPÓGRAFO (ENCARGOS COMPLEMENTARES) - HORISTA</v>
          </cell>
          <cell r="D7140" t="str">
            <v>H</v>
          </cell>
          <cell r="E7140">
            <v>0.3</v>
          </cell>
          <cell r="F7140">
            <v>0</v>
          </cell>
        </row>
        <row r="7141">
          <cell r="B7141">
            <v>101301</v>
          </cell>
          <cell r="C7141" t="str">
            <v>CURSO DE CAPACITAÇÃO PARA AUXILIAR DE TOPÓGRAFO (ENCARGOS COMPLEMENTARES) - MENSALISTA</v>
          </cell>
          <cell r="D7141" t="str">
            <v>MES</v>
          </cell>
          <cell r="E7141">
            <v>39.65</v>
          </cell>
          <cell r="F7141">
            <v>0</v>
          </cell>
        </row>
        <row r="7142">
          <cell r="B7142">
            <v>95323</v>
          </cell>
          <cell r="C7142" t="str">
            <v>CURSO DE CAPACITAÇÃO PARA AUXILIAR TÉCNICO DE ENGENHARIA (ENCARGOS COMPLEMENTARES) - HORISTA</v>
          </cell>
          <cell r="D7142" t="str">
            <v>H</v>
          </cell>
          <cell r="E7142">
            <v>0.32</v>
          </cell>
          <cell r="F7142">
            <v>0</v>
          </cell>
        </row>
        <row r="7143">
          <cell r="B7143">
            <v>101302</v>
          </cell>
          <cell r="C7143" t="str">
            <v>CURSO DE CAPACITAÇÃO PARA AUXILIAR TÉCNICO DE ENGENHARIA (ENCARGOS COMPLEMENTARES) - MENSALISTA</v>
          </cell>
          <cell r="D7143" t="str">
            <v>MES</v>
          </cell>
          <cell r="E7143">
            <v>42.92</v>
          </cell>
          <cell r="F7143">
            <v>0</v>
          </cell>
        </row>
        <row r="7144">
          <cell r="B7144">
            <v>95324</v>
          </cell>
          <cell r="C7144" t="str">
            <v>CURSO DE CAPACITAÇÃO PARA AZULEJISTA OU LADRILHEIRO (ENCARGOS COMPLEMENTARES) - HORISTA</v>
          </cell>
          <cell r="D7144" t="str">
            <v>H</v>
          </cell>
          <cell r="E7144">
            <v>0.38</v>
          </cell>
          <cell r="F7144">
            <v>0</v>
          </cell>
        </row>
        <row r="7145">
          <cell r="B7145">
            <v>101304</v>
          </cell>
          <cell r="C7145" t="str">
            <v>CURSO DE CAPACITAÇÃO PARA AZULEJISTA OU LADRILHEIRO (ENCARGOS COMPLEMENTARES) - MENSALISTA</v>
          </cell>
          <cell r="D7145" t="str">
            <v>MES</v>
          </cell>
          <cell r="E7145">
            <v>50.71</v>
          </cell>
          <cell r="F7145">
            <v>0</v>
          </cell>
        </row>
        <row r="7146">
          <cell r="B7146">
            <v>95325</v>
          </cell>
          <cell r="C7146" t="str">
            <v>CURSO DE CAPACITAÇÃO PARA BLASTER, DINAMITADOR OU CABO DE FOGO (ENCARGOS COMPLEMENTARES) - HORISTA</v>
          </cell>
          <cell r="D7146" t="str">
            <v>H</v>
          </cell>
          <cell r="E7146">
            <v>0.56999999999999995</v>
          </cell>
          <cell r="F7146">
            <v>0</v>
          </cell>
        </row>
        <row r="7147">
          <cell r="B7147">
            <v>101305</v>
          </cell>
          <cell r="C7147" t="str">
            <v>CURSO DE CAPACITAÇÃO PARA BLASTER, DINAMITADOR OU CABO DE FORÇA (ENCARGOS COMPLEMENTARES) - MENSALISTA</v>
          </cell>
          <cell r="D7147" t="str">
            <v>MES</v>
          </cell>
          <cell r="E7147">
            <v>76.05</v>
          </cell>
          <cell r="F7147">
            <v>0</v>
          </cell>
        </row>
        <row r="7148">
          <cell r="B7148">
            <v>95328</v>
          </cell>
          <cell r="C7148" t="str">
            <v>CURSO DE CAPACITAÇÃO PARA CALCETEIRO (ENCARGOS COMPLEMENTARES) - HORISTA</v>
          </cell>
          <cell r="D7148" t="str">
            <v>H</v>
          </cell>
          <cell r="E7148">
            <v>0.3</v>
          </cell>
          <cell r="F7148">
            <v>0</v>
          </cell>
        </row>
        <row r="7149">
          <cell r="B7149">
            <v>101307</v>
          </cell>
          <cell r="C7149" t="str">
            <v>CURSO DE CAPACITAÇÃO PARA CALCETEIRO (ENCARGOS COMPLEMENTARES) - MENSALISTA</v>
          </cell>
          <cell r="D7149" t="str">
            <v>MES</v>
          </cell>
          <cell r="E7149">
            <v>39.630000000000003</v>
          </cell>
          <cell r="F7149">
            <v>0</v>
          </cell>
        </row>
        <row r="7150">
          <cell r="B7150">
            <v>101309</v>
          </cell>
          <cell r="C7150" t="str">
            <v>CURSO DE CAPACITAÇÃO PARA CARPINTEIRO AUXILIAR (ENCARGOS COMPLEMENTARES) - MENSALISTA</v>
          </cell>
          <cell r="D7150" t="str">
            <v>MES</v>
          </cell>
          <cell r="E7150">
            <v>46.64</v>
          </cell>
          <cell r="F7150">
            <v>0</v>
          </cell>
        </row>
        <row r="7151">
          <cell r="B7151">
            <v>95329</v>
          </cell>
          <cell r="C7151" t="str">
            <v>CURSO DE CAPACITAÇÃO PARA CARPINTEIRO DE ESQUADRIA (ENCARGOS COMPLEMENTARES) - HORISTA</v>
          </cell>
          <cell r="D7151" t="str">
            <v>H</v>
          </cell>
          <cell r="E7151">
            <v>0.38</v>
          </cell>
          <cell r="F7151">
            <v>0</v>
          </cell>
        </row>
        <row r="7152">
          <cell r="B7152">
            <v>101310</v>
          </cell>
          <cell r="C7152" t="str">
            <v>CURSO DE CAPACITAÇÃO PARA CARPINTEIRO DE ESQUADRIAS (ENCARGOS COMPLEMENTARES) - MENSALISTA</v>
          </cell>
          <cell r="D7152" t="str">
            <v>MES</v>
          </cell>
          <cell r="E7152">
            <v>50.71</v>
          </cell>
          <cell r="F7152">
            <v>0</v>
          </cell>
        </row>
        <row r="7153">
          <cell r="B7153">
            <v>101311</v>
          </cell>
          <cell r="C7153" t="str">
            <v>CURSO DE CAPACITAÇÃO PARA CARPINTEIRO DE FORMAS (ENCARGOS COMPLEMENTARES) - MENSALISTA</v>
          </cell>
          <cell r="D7153" t="str">
            <v>MES</v>
          </cell>
          <cell r="E7153">
            <v>39.630000000000003</v>
          </cell>
          <cell r="F7153">
            <v>0</v>
          </cell>
        </row>
        <row r="7154">
          <cell r="B7154">
            <v>95330</v>
          </cell>
          <cell r="C7154" t="str">
            <v>CURSO DE CAPACITAÇÃO PARA CARPINTEIRO DE FÔRMAS (ENCARGOS COMPLEMENTARES) - HORISTA</v>
          </cell>
          <cell r="D7154" t="str">
            <v>H</v>
          </cell>
          <cell r="E7154">
            <v>0.3</v>
          </cell>
          <cell r="F7154">
            <v>0</v>
          </cell>
        </row>
        <row r="7155">
          <cell r="B7155">
            <v>101312</v>
          </cell>
          <cell r="C7155" t="str">
            <v>CURSO DE CAPACITAÇÃO PARA CAVOUQUEIRO OU OPERADOR DE PERFURATRIZ (ENCARGOS COMPLEMENTARES) - MENSALISTA</v>
          </cell>
          <cell r="D7155" t="str">
            <v>MES</v>
          </cell>
          <cell r="E7155">
            <v>59.1</v>
          </cell>
          <cell r="F7155">
            <v>0</v>
          </cell>
        </row>
        <row r="7156">
          <cell r="B7156">
            <v>95331</v>
          </cell>
          <cell r="C7156" t="str">
            <v>CURSO DE CAPACITAÇÃO PARA CAVOUQUEIRO OU OPERADOR PERFURATRIZ/ROMPEDOR (ENCARGOS COMPLEMENTARES) - HORISTA</v>
          </cell>
          <cell r="D7156" t="str">
            <v>H</v>
          </cell>
          <cell r="E7156">
            <v>0.44</v>
          </cell>
          <cell r="F7156">
            <v>0</v>
          </cell>
        </row>
        <row r="7157">
          <cell r="B7157">
            <v>95400</v>
          </cell>
          <cell r="C7157" t="str">
            <v>CURSO DE CAPACITAÇÃO PARA DESENHISTA PROJETISTA (ENCARGOS COMPLEMENTARES) - HORISTA</v>
          </cell>
          <cell r="D7157" t="str">
            <v>H</v>
          </cell>
          <cell r="E7157">
            <v>0.32</v>
          </cell>
          <cell r="F7157">
            <v>0</v>
          </cell>
        </row>
        <row r="7158">
          <cell r="B7158">
            <v>95411</v>
          </cell>
          <cell r="C7158" t="str">
            <v>CURSO DE CAPACITAÇÃO PARA DESENHISTA PROJETISTA (ENCARGOS COMPLEMENTARES) - MENSALISTA</v>
          </cell>
          <cell r="D7158" t="str">
            <v>MES</v>
          </cell>
          <cell r="E7158">
            <v>43.38</v>
          </cell>
          <cell r="F7158">
            <v>0</v>
          </cell>
        </row>
        <row r="7159">
          <cell r="B7159">
            <v>95332</v>
          </cell>
          <cell r="C7159" t="str">
            <v>CURSO DE CAPACITAÇÃO PARA ELETRICISTA (ENCARGOS COMPLEMENTARES) - HORISTA</v>
          </cell>
          <cell r="D7159" t="str">
            <v>H</v>
          </cell>
          <cell r="E7159">
            <v>1.28</v>
          </cell>
          <cell r="F7159">
            <v>0</v>
          </cell>
        </row>
        <row r="7160">
          <cell r="B7160">
            <v>101313</v>
          </cell>
          <cell r="C7160" t="str">
            <v>CURSO DE CAPACITAÇÃO PARA ELETRICISTA (ENCARGOS COMPLEMENTARES) - MENSALISTA</v>
          </cell>
          <cell r="D7160" t="str">
            <v>MES</v>
          </cell>
          <cell r="E7160">
            <v>169.69</v>
          </cell>
          <cell r="F7160">
            <v>0</v>
          </cell>
        </row>
        <row r="7161">
          <cell r="B7161">
            <v>95334</v>
          </cell>
          <cell r="C7161" t="str">
            <v>CURSO DE CAPACITAÇÃO PARA ELETROTÉCNICO (ENCARGOS COMPLEMENTARES) - HORISTA</v>
          </cell>
          <cell r="D7161" t="str">
            <v>H</v>
          </cell>
          <cell r="E7161">
            <v>1.25</v>
          </cell>
          <cell r="F7161">
            <v>0</v>
          </cell>
        </row>
        <row r="7162">
          <cell r="B7162">
            <v>101315</v>
          </cell>
          <cell r="C7162" t="str">
            <v>CURSO DE CAPACITAÇÃO PARA ELETROTÉCNICO (ENCARGOS COMPLEMENTARES) - MENSALISTA</v>
          </cell>
          <cell r="D7162" t="str">
            <v>MES</v>
          </cell>
          <cell r="E7162">
            <v>165.15</v>
          </cell>
          <cell r="F7162">
            <v>0</v>
          </cell>
        </row>
        <row r="7163">
          <cell r="B7163">
            <v>95335</v>
          </cell>
          <cell r="C7163" t="str">
            <v>CURSO DE CAPACITAÇÃO PARA ENCANADOR OU BOMBEIRO HIDRÁULICO (ENCARGOS COMPLEMENTARES) - HORISTA</v>
          </cell>
          <cell r="D7163" t="str">
            <v>H</v>
          </cell>
          <cell r="E7163">
            <v>0.56000000000000005</v>
          </cell>
          <cell r="F7163">
            <v>0</v>
          </cell>
        </row>
        <row r="7164">
          <cell r="B7164">
            <v>101316</v>
          </cell>
          <cell r="C7164" t="str">
            <v>CURSO DE CAPACITAÇÃO PARA ENCANADOR OU BOMBEIRO HIDRÁULICO (ENCARGOS COMPLEMENTARES) - MENSALISTA</v>
          </cell>
          <cell r="D7164" t="str">
            <v>MES</v>
          </cell>
          <cell r="E7164">
            <v>74.08</v>
          </cell>
          <cell r="F7164">
            <v>0</v>
          </cell>
        </row>
        <row r="7165">
          <cell r="B7165">
            <v>95401</v>
          </cell>
          <cell r="C7165" t="str">
            <v>CURSO DE CAPACITAÇÃO PARA ENCARREGADO GERAL (ENCARGOS COMPLEMENTARES) - HORISTA</v>
          </cell>
          <cell r="D7165" t="str">
            <v>H</v>
          </cell>
          <cell r="E7165">
            <v>0.97</v>
          </cell>
          <cell r="F7165">
            <v>0</v>
          </cell>
        </row>
        <row r="7166">
          <cell r="B7166">
            <v>95422</v>
          </cell>
          <cell r="C7166" t="str">
            <v>CURSO DE CAPACITAÇÃO PARA ENCARREGADO GERAL DE OBRAS (ENCARGOS COMPLEMENTARES) - MENSALISTA</v>
          </cell>
          <cell r="D7166" t="str">
            <v>MES</v>
          </cell>
          <cell r="E7166">
            <v>128.69999999999999</v>
          </cell>
          <cell r="F7166">
            <v>0</v>
          </cell>
        </row>
        <row r="7167">
          <cell r="B7167">
            <v>95402</v>
          </cell>
          <cell r="C7167" t="str">
            <v>CURSO DE CAPACITAÇÃO PARA ENGENHEIRO CIVIL DE OBRA JÚNIOR (ENCARGOS COMPLEMENTARES) - HORISTA</v>
          </cell>
          <cell r="D7167" t="str">
            <v>H</v>
          </cell>
          <cell r="E7167">
            <v>1.98</v>
          </cell>
          <cell r="F7167">
            <v>0</v>
          </cell>
        </row>
        <row r="7168">
          <cell r="B7168">
            <v>95415</v>
          </cell>
          <cell r="C7168" t="str">
            <v>CURSO DE CAPACITAÇÃO PARA ENGENHEIRO CIVIL DE OBRA JÚNIOR (ENCARGOS COMPLEMENTARES) - MENSALISTA</v>
          </cell>
          <cell r="D7168" t="str">
            <v>MES</v>
          </cell>
          <cell r="E7168">
            <v>262.27</v>
          </cell>
          <cell r="F7168">
            <v>0</v>
          </cell>
        </row>
        <row r="7169">
          <cell r="B7169">
            <v>95403</v>
          </cell>
          <cell r="C7169" t="str">
            <v>CURSO DE CAPACITAÇÃO PARA ENGENHEIRO CIVIL DE OBRA PLENO (ENCARGOS COMPLEMENTARES) - HORISTA</v>
          </cell>
          <cell r="D7169" t="str">
            <v>H</v>
          </cell>
          <cell r="E7169">
            <v>2.02</v>
          </cell>
          <cell r="F7169">
            <v>0</v>
          </cell>
        </row>
        <row r="7170">
          <cell r="B7170">
            <v>95417</v>
          </cell>
          <cell r="C7170" t="str">
            <v>CURSO DE CAPACITAÇÃO PARA ENGENHEIRO CIVIL DE OBRA PLENO (ENCARGOS COMPLEMENTARES) - MENSALISTA</v>
          </cell>
          <cell r="D7170" t="str">
            <v>MES</v>
          </cell>
          <cell r="E7170">
            <v>266.8</v>
          </cell>
          <cell r="F7170">
            <v>0</v>
          </cell>
        </row>
        <row r="7171">
          <cell r="B7171">
            <v>95404</v>
          </cell>
          <cell r="C7171" t="str">
            <v>CURSO DE CAPACITAÇÃO PARA ENGENHEIRO CIVIL DE OBRA SÊNIOR (ENCARGOS COMPLEMENTARES) - HORISTA</v>
          </cell>
          <cell r="D7171" t="str">
            <v>H</v>
          </cell>
          <cell r="E7171">
            <v>2.83</v>
          </cell>
          <cell r="F7171">
            <v>0</v>
          </cell>
        </row>
        <row r="7172">
          <cell r="B7172">
            <v>95418</v>
          </cell>
          <cell r="C7172" t="str">
            <v>CURSO DE CAPACITAÇÃO PARA ENGENHEIRO CIVIL DE OBRA SÊNIOR (ENCARGOS COMPLEMENTARES) - MENSALISTA</v>
          </cell>
          <cell r="D7172" t="str">
            <v>MES</v>
          </cell>
          <cell r="E7172">
            <v>373.74</v>
          </cell>
          <cell r="F7172">
            <v>0</v>
          </cell>
        </row>
        <row r="7173">
          <cell r="B7173">
            <v>95337</v>
          </cell>
          <cell r="C7173" t="str">
            <v>CURSO DE CAPACITAÇÃO PARA GESSEIRO (ENCARGOS COMPLEMENTARES) - HORISTA</v>
          </cell>
          <cell r="D7173" t="str">
            <v>H</v>
          </cell>
          <cell r="E7173">
            <v>0.3</v>
          </cell>
          <cell r="F7173">
            <v>0</v>
          </cell>
        </row>
        <row r="7174">
          <cell r="B7174">
            <v>101322</v>
          </cell>
          <cell r="C7174" t="str">
            <v>CURSO DE CAPACITAÇÃO PARA GESSEIRO (ENCARGOS COMPLEMENTARES) - MENSALISTA</v>
          </cell>
          <cell r="D7174" t="str">
            <v>MES</v>
          </cell>
          <cell r="E7174">
            <v>39.630000000000003</v>
          </cell>
          <cell r="F7174">
            <v>0</v>
          </cell>
        </row>
        <row r="7175">
          <cell r="B7175">
            <v>95338</v>
          </cell>
          <cell r="C7175" t="str">
            <v>CURSO DE CAPACITAÇÃO PARA IMPERMEABILIZADOR (ENCARGOS COMPLEMENTARES) - HORISTA</v>
          </cell>
          <cell r="D7175" t="str">
            <v>H</v>
          </cell>
          <cell r="E7175">
            <v>0.55000000000000004</v>
          </cell>
          <cell r="F7175">
            <v>0</v>
          </cell>
        </row>
        <row r="7176">
          <cell r="B7176">
            <v>101323</v>
          </cell>
          <cell r="C7176" t="str">
            <v>CURSO DE CAPACITAÇÃO PARA IMPERMEABILIZADOR (ENCARGOS COMPLEMENTARES) - MENSALISTA</v>
          </cell>
          <cell r="D7176" t="str">
            <v>MES</v>
          </cell>
          <cell r="E7176">
            <v>72.83</v>
          </cell>
          <cell r="F7176">
            <v>0</v>
          </cell>
        </row>
        <row r="7177">
          <cell r="B7177">
            <v>102918</v>
          </cell>
          <cell r="C7177" t="str">
            <v>CURSO DE CAPACITAÇÃO PARA INSTALADOR DE PISO ELEVADO (ENCARGOS COMPLEMENTARES) - HORISTA</v>
          </cell>
          <cell r="D7177" t="str">
            <v>H</v>
          </cell>
          <cell r="E7177">
            <v>0</v>
          </cell>
        </row>
        <row r="7178">
          <cell r="B7178">
            <v>101325</v>
          </cell>
          <cell r="C7178" t="str">
            <v>CURSO DE CAPACITAÇÃO PARA INSTALADOR DE TUBULAÇÕES (ENCARGOS COMPLEMENTARES) - MENSALISTA</v>
          </cell>
          <cell r="D7178" t="str">
            <v>MES</v>
          </cell>
          <cell r="E7178">
            <v>66</v>
          </cell>
          <cell r="F7178">
            <v>0</v>
          </cell>
        </row>
        <row r="7179">
          <cell r="B7179">
            <v>95390</v>
          </cell>
          <cell r="C7179" t="str">
            <v>CURSO DE CAPACITAÇÃO PARA JARDINEIRO (ENCARGOS COMPLEMENTARES) - HORISTA</v>
          </cell>
          <cell r="D7179" t="str">
            <v>H</v>
          </cell>
          <cell r="E7179">
            <v>0.11</v>
          </cell>
          <cell r="F7179">
            <v>0</v>
          </cell>
        </row>
        <row r="7180">
          <cell r="B7180">
            <v>101326</v>
          </cell>
          <cell r="C7180" t="str">
            <v>CURSO DE CAPACITAÇÃO PARA JARDINEIRO (ENCARGOS COMPLEMENTARES) - MENSALISTA</v>
          </cell>
          <cell r="D7180" t="str">
            <v>MES</v>
          </cell>
          <cell r="E7180">
            <v>15.46</v>
          </cell>
          <cell r="F7180">
            <v>0</v>
          </cell>
        </row>
        <row r="7181">
          <cell r="B7181">
            <v>95340</v>
          </cell>
          <cell r="C7181" t="str">
            <v>CURSO DE CAPACITAÇÃO PARA MARCENEIRO (ENCARGOS COMPLEMENTARES) - HORISTA</v>
          </cell>
          <cell r="D7181" t="str">
            <v>H</v>
          </cell>
          <cell r="E7181">
            <v>0.38</v>
          </cell>
          <cell r="F7181">
            <v>0</v>
          </cell>
        </row>
        <row r="7182">
          <cell r="B7182">
            <v>101330</v>
          </cell>
          <cell r="C7182" t="str">
            <v>CURSO DE CAPACITAÇÃO PARA MARCENEIRO (ENCARGOS COMPLEMENTARES) - MENSALISTA</v>
          </cell>
          <cell r="D7182" t="str">
            <v>MES</v>
          </cell>
          <cell r="E7182">
            <v>50.71</v>
          </cell>
          <cell r="F7182">
            <v>0</v>
          </cell>
        </row>
        <row r="7183">
          <cell r="B7183">
            <v>101331</v>
          </cell>
          <cell r="C7183" t="str">
            <v>CURSO DE CAPACITAÇÃO PARA MARMORISTA / GRANITEIRO (ENCARGOS COMPLEMENTARES) - MENSALISTA</v>
          </cell>
          <cell r="D7183" t="str">
            <v>MES</v>
          </cell>
          <cell r="E7183">
            <v>52.55</v>
          </cell>
          <cell r="F7183">
            <v>0</v>
          </cell>
        </row>
        <row r="7184">
          <cell r="B7184">
            <v>95341</v>
          </cell>
          <cell r="C7184" t="str">
            <v>CURSO DE CAPACITAÇÃO PARA MARMORISTA/GRANITEIRO (ENCARGOS COMPLEMENTARES) - HORISTA</v>
          </cell>
          <cell r="D7184" t="str">
            <v>H</v>
          </cell>
          <cell r="E7184">
            <v>0.39</v>
          </cell>
          <cell r="F7184">
            <v>0</v>
          </cell>
        </row>
        <row r="7185">
          <cell r="B7185">
            <v>95339</v>
          </cell>
          <cell r="C7185" t="str">
            <v>CURSO DE CAPACITAÇÃO PARA MAÇARIQUEIRO (ENCARGOS COMPLEMENTARES) - HORISTA</v>
          </cell>
          <cell r="D7185" t="str">
            <v>H</v>
          </cell>
          <cell r="E7185">
            <v>0.51</v>
          </cell>
          <cell r="F7185">
            <v>0</v>
          </cell>
        </row>
        <row r="7186">
          <cell r="B7186">
            <v>101329</v>
          </cell>
          <cell r="C7186" t="str">
            <v>CURSO DE CAPACITAÇÃO PARA MAÇARIQUEIRO (ENCARGOS COMPLEMENTARES) - MENSALISTA</v>
          </cell>
          <cell r="D7186" t="str">
            <v>MES</v>
          </cell>
          <cell r="E7186">
            <v>68.069999999999993</v>
          </cell>
          <cell r="F7186">
            <v>0</v>
          </cell>
        </row>
        <row r="7187">
          <cell r="B7187">
            <v>95342</v>
          </cell>
          <cell r="C7187" t="str">
            <v>CURSO DE CAPACITAÇÃO PARA MECÂNICO DE EQUIPAMENTOS PESADOS (ENCARGOS COMPLEMENTARES) - HORISTA</v>
          </cell>
          <cell r="D7187" t="str">
            <v>H</v>
          </cell>
          <cell r="E7187">
            <v>0.34</v>
          </cell>
          <cell r="F7187">
            <v>0</v>
          </cell>
        </row>
        <row r="7188">
          <cell r="B7188">
            <v>101333</v>
          </cell>
          <cell r="C7188" t="str">
            <v>CURSO DE CAPACITAÇÃO PARA MECÂNICO DE EQUIPAMENTOS PESADOS (ENCARGOS COMPLEMENTARES) - MENSALISTA</v>
          </cell>
          <cell r="D7188" t="str">
            <v>MES</v>
          </cell>
          <cell r="E7188">
            <v>45.72</v>
          </cell>
          <cell r="F7188">
            <v>0</v>
          </cell>
        </row>
        <row r="7189">
          <cell r="B7189">
            <v>100298</v>
          </cell>
          <cell r="C7189" t="str">
            <v>CURSO DE CAPACITAÇÃO PARA MECÂNICO DE REFRIGERAÇÃO (ENCARGOS COMPLEMENTARES) - HORISTA</v>
          </cell>
          <cell r="D7189" t="str">
            <v>H</v>
          </cell>
          <cell r="E7189">
            <v>0.95</v>
          </cell>
          <cell r="F7189">
            <v>0</v>
          </cell>
        </row>
        <row r="7190">
          <cell r="B7190">
            <v>101334</v>
          </cell>
          <cell r="C7190" t="str">
            <v>CURSO DE CAPACITAÇÃO PARA MECÂNICO DE REFRIGERAÇÃO (ENCARGOS COMPLEMENTARES) - MENSALISTA</v>
          </cell>
          <cell r="D7190" t="str">
            <v>MES</v>
          </cell>
          <cell r="E7190">
            <v>125.83</v>
          </cell>
          <cell r="F7190">
            <v>0</v>
          </cell>
        </row>
        <row r="7191">
          <cell r="B7191">
            <v>95405</v>
          </cell>
          <cell r="C7191" t="str">
            <v>CURSO DE CAPACITAÇÃO PARA MESTRE DE OBRAS (ENCARGOS COMPLEMENTARES) - HORISTA</v>
          </cell>
          <cell r="D7191" t="str">
            <v>H</v>
          </cell>
          <cell r="E7191">
            <v>1.59</v>
          </cell>
          <cell r="F7191">
            <v>0</v>
          </cell>
        </row>
        <row r="7192">
          <cell r="B7192">
            <v>95423</v>
          </cell>
          <cell r="C7192" t="str">
            <v>CURSO DE CAPACITAÇÃO PARA MESTRE DE OBRAS (ENCARGOS COMPLEMENTARES) - MENSALISTA</v>
          </cell>
          <cell r="D7192" t="str">
            <v>MES</v>
          </cell>
          <cell r="E7192">
            <v>209.94</v>
          </cell>
          <cell r="F7192">
            <v>0</v>
          </cell>
        </row>
        <row r="7193">
          <cell r="B7193">
            <v>100295</v>
          </cell>
          <cell r="C7193" t="str">
            <v>CURSO DE CAPACITAÇÃO PARA MONTADOR DE ELETROELETRONICOS (ENCARGOS COMPLEMENTARES) - HORISTA</v>
          </cell>
          <cell r="D7193" t="str">
            <v>H</v>
          </cell>
          <cell r="E7193">
            <v>1.05</v>
          </cell>
          <cell r="F7193">
            <v>0</v>
          </cell>
        </row>
        <row r="7194">
          <cell r="B7194">
            <v>101303</v>
          </cell>
          <cell r="C7194" t="str">
            <v>CURSO DE CAPACITAÇÃO PARA MONTADOR DE ELETROELETRONICOS(ENCARGOS COMPLEMENTARES) - MENSALISTA</v>
          </cell>
          <cell r="D7194" t="str">
            <v>MES</v>
          </cell>
          <cell r="E7194">
            <v>138.66</v>
          </cell>
          <cell r="F7194">
            <v>0</v>
          </cell>
        </row>
        <row r="7195">
          <cell r="B7195">
            <v>95344</v>
          </cell>
          <cell r="C7195" t="str">
            <v>CURSO DE CAPACITAÇÃO PARA MONTADOR DE ESTRUTURA METÁLICA (ENCARGOS COMPLEMENTARES) - HORISTA</v>
          </cell>
          <cell r="D7195" t="str">
            <v>H</v>
          </cell>
          <cell r="E7195">
            <v>0.3</v>
          </cell>
          <cell r="F7195">
            <v>0</v>
          </cell>
        </row>
        <row r="7196">
          <cell r="B7196">
            <v>101308</v>
          </cell>
          <cell r="C7196" t="str">
            <v>CURSO DE CAPACITAÇÃO PARA MONTADOR DE ESTRUTURAS METALICAS (ENCARGOS COMPLEMENTARES) - MENSALISTA</v>
          </cell>
          <cell r="D7196" t="str">
            <v>MES</v>
          </cell>
          <cell r="E7196">
            <v>40.33</v>
          </cell>
          <cell r="F7196">
            <v>0</v>
          </cell>
        </row>
        <row r="7197">
          <cell r="B7197">
            <v>105536</v>
          </cell>
          <cell r="C7197" t="str">
            <v>CURSO DE CAPACITAÇÃO PARA MONTADOR DE FÔRMAS DO SISTEMA DE PAREDES DE CONCRETO (ENCARGOS COMPLEMENTARES) - HORISTA</v>
          </cell>
          <cell r="D7197" t="str">
            <v>H</v>
          </cell>
          <cell r="E7197">
            <v>0</v>
          </cell>
        </row>
        <row r="7198">
          <cell r="B7198">
            <v>101320</v>
          </cell>
          <cell r="C7198" t="str">
            <v>CURSO DE CAPACITAÇÃO PARA MONTADOR DE MAQUINAS (ENCARGOS COMPLEMENTARES) - MENSALISTA</v>
          </cell>
          <cell r="D7198" t="str">
            <v>MES</v>
          </cell>
          <cell r="E7198">
            <v>34.81</v>
          </cell>
          <cell r="F7198">
            <v>0</v>
          </cell>
        </row>
        <row r="7199">
          <cell r="B7199">
            <v>95343</v>
          </cell>
          <cell r="C7199" t="str">
            <v>CURSO DE CAPACITAÇÃO PARA MONTADOR DE TUBO AÇO/EQUIPAMENTOS (ENCARGOS COMPLEMENTARES) - HORISTA</v>
          </cell>
          <cell r="D7199" t="str">
            <v>H</v>
          </cell>
          <cell r="E7199">
            <v>0.5</v>
          </cell>
          <cell r="F7199">
            <v>0</v>
          </cell>
        </row>
        <row r="7200">
          <cell r="B7200">
            <v>95345</v>
          </cell>
          <cell r="C7200" t="str">
            <v>CURSO DE CAPACITAÇÃO PARA MONTADOR ELETROMECÂNICO (ENCARGOS COMPLEMENTARES) - HORISTA</v>
          </cell>
          <cell r="D7200" t="str">
            <v>H</v>
          </cell>
          <cell r="E7200">
            <v>0.97</v>
          </cell>
          <cell r="F7200">
            <v>0</v>
          </cell>
        </row>
        <row r="7201">
          <cell r="B7201">
            <v>95346</v>
          </cell>
          <cell r="C7201" t="str">
            <v>CURSO DE CAPACITAÇÃO PARA MOTORISTA DE BASCULANTE (ENCARGOS COMPLEMENTARES) - HORISTA</v>
          </cell>
          <cell r="D7201" t="str">
            <v>H</v>
          </cell>
          <cell r="E7201">
            <v>0.15</v>
          </cell>
          <cell r="F7201">
            <v>0</v>
          </cell>
        </row>
        <row r="7202">
          <cell r="B7202">
            <v>101324</v>
          </cell>
          <cell r="C7202" t="str">
            <v>CURSO DE CAPACITAÇÃO PARA MOTORISTA DE CAMINHAO-BASCULANTE (ENCARGOS COMPLEMENTARES) - MENSALISTA</v>
          </cell>
          <cell r="D7202" t="str">
            <v>MES</v>
          </cell>
          <cell r="E7202">
            <v>20.440000000000001</v>
          </cell>
          <cell r="F7202">
            <v>0</v>
          </cell>
        </row>
        <row r="7203">
          <cell r="B7203">
            <v>101328</v>
          </cell>
          <cell r="C7203" t="str">
            <v>CURSO DE CAPACITAÇÃO PARA MOTORISTA DE CAMINHAO-CARRETA (ENCARGOS COMPLEMENTARES) - MENSALISTA</v>
          </cell>
          <cell r="D7203" t="str">
            <v>MES</v>
          </cell>
          <cell r="E7203">
            <v>24.47</v>
          </cell>
          <cell r="F7203">
            <v>0</v>
          </cell>
        </row>
        <row r="7204">
          <cell r="B7204">
            <v>95347</v>
          </cell>
          <cell r="C7204" t="str">
            <v>CURSO DE CAPACITAÇÃO PARA MOTORISTA DE CAMINHÃO (ENCARGOS COMPLEMENTARES) - HORISTA</v>
          </cell>
          <cell r="D7204" t="str">
            <v>H</v>
          </cell>
          <cell r="E7204">
            <v>0.14000000000000001</v>
          </cell>
          <cell r="F7204">
            <v>0</v>
          </cell>
        </row>
        <row r="7205">
          <cell r="B7205">
            <v>95408</v>
          </cell>
          <cell r="C7205" t="str">
            <v>CURSO DE CAPACITAÇÃO PARA MOTORISTA DE CAMINHÃO (ENCARGOS COMPLEMENTARES) - MENSALISTA</v>
          </cell>
          <cell r="D7205" t="str">
            <v>MES</v>
          </cell>
          <cell r="E7205">
            <v>19.670000000000002</v>
          </cell>
          <cell r="F7205">
            <v>0</v>
          </cell>
        </row>
        <row r="7206">
          <cell r="B7206">
            <v>95348</v>
          </cell>
          <cell r="C7206" t="str">
            <v>CURSO DE CAPACITAÇÃO PARA MOTORISTA DE CAMINHÃO E CARRETA (ENCARGOS COMPLEMENTARES) - HORISTA</v>
          </cell>
          <cell r="D7206" t="str">
            <v>H</v>
          </cell>
          <cell r="E7206">
            <v>0.18</v>
          </cell>
          <cell r="F7206">
            <v>0</v>
          </cell>
        </row>
        <row r="7207">
          <cell r="B7207">
            <v>101332</v>
          </cell>
          <cell r="C7207" t="str">
            <v>CURSO DE CAPACITAÇÃO PARA MOTORISTA DE CARRO DE PASSEIO (ENCARGOS COMPLEMENTARES) - MENSALISTA</v>
          </cell>
          <cell r="D7207" t="str">
            <v>MES</v>
          </cell>
          <cell r="E7207">
            <v>16.38</v>
          </cell>
          <cell r="F7207">
            <v>0</v>
          </cell>
        </row>
        <row r="7208">
          <cell r="B7208">
            <v>95349</v>
          </cell>
          <cell r="C7208" t="str">
            <v>CURSO DE CAPACITAÇÃO PARA MOTORISTA DE VEÍCULO LEVE (ENCARGOS COMPLEMENTARES) - HORISTA</v>
          </cell>
          <cell r="D7208" t="str">
            <v>H</v>
          </cell>
          <cell r="E7208">
            <v>0.12</v>
          </cell>
          <cell r="F7208">
            <v>0</v>
          </cell>
        </row>
        <row r="7209">
          <cell r="B7209">
            <v>101336</v>
          </cell>
          <cell r="C7209" t="str">
            <v>CURSO DE CAPACITAÇÃO PARA MOTORISTA OPERADOR DE CAMINHAO COM MUNCK (ENCARGOS COMPLEMENTARES) - MENSALISTA</v>
          </cell>
          <cell r="D7209" t="str">
            <v>MES</v>
          </cell>
          <cell r="E7209">
            <v>71.02</v>
          </cell>
          <cell r="F7209">
            <v>0</v>
          </cell>
        </row>
        <row r="7210">
          <cell r="B7210">
            <v>95351</v>
          </cell>
          <cell r="C7210" t="str">
            <v>CURSO DE CAPACITAÇÃO PARA MOTORISTA OPERADOR DE MUNCK (ENCARGOS COMPLEMENTARES) - HORISTA</v>
          </cell>
          <cell r="D7210" t="str">
            <v>H</v>
          </cell>
          <cell r="E7210">
            <v>0.53</v>
          </cell>
          <cell r="F7210">
            <v>0</v>
          </cell>
        </row>
        <row r="7211">
          <cell r="B7211">
            <v>95352</v>
          </cell>
          <cell r="C7211" t="str">
            <v>CURSO DE CAPACITAÇÃO PARA NIVELADOR (ENCARGOS COMPLEMENTARES) - HORISTA</v>
          </cell>
          <cell r="D7211" t="str">
            <v>H</v>
          </cell>
          <cell r="E7211">
            <v>0.19</v>
          </cell>
          <cell r="F7211">
            <v>0</v>
          </cell>
        </row>
        <row r="7212">
          <cell r="B7212">
            <v>101337</v>
          </cell>
          <cell r="C7212" t="str">
            <v>CURSO DE CAPACITAÇÃO PARA NIVELADOR (ENCARGOS COMPLEMENTARES) - MENSALISTA</v>
          </cell>
          <cell r="D7212" t="str">
            <v>MES</v>
          </cell>
          <cell r="E7212">
            <v>26.25</v>
          </cell>
          <cell r="F7212">
            <v>0</v>
          </cell>
        </row>
        <row r="7213">
          <cell r="B7213">
            <v>101338</v>
          </cell>
          <cell r="C7213" t="str">
            <v>CURSO DE CAPACITAÇÃO PARA OPERADOR DE BATE-ESTACAS (ENCARGOS COMPLEMENTARES) - MENSALISTA</v>
          </cell>
          <cell r="D7213" t="str">
            <v>MES</v>
          </cell>
          <cell r="E7213">
            <v>34.07</v>
          </cell>
          <cell r="F7213">
            <v>0</v>
          </cell>
        </row>
        <row r="7214">
          <cell r="B7214">
            <v>95354</v>
          </cell>
          <cell r="C7214" t="str">
            <v>CURSO DE CAPACITAÇÃO PARA OPERADOR DE BETONEIRA (CAMINHÃO) (ENCARGOS COMPLEMENTARES) - HORISTA</v>
          </cell>
          <cell r="D7214" t="str">
            <v>H</v>
          </cell>
          <cell r="E7214">
            <v>0.23</v>
          </cell>
          <cell r="F7214">
            <v>0</v>
          </cell>
        </row>
        <row r="7215">
          <cell r="B7215">
            <v>101339</v>
          </cell>
          <cell r="C7215" t="str">
            <v>CURSO DE CAPACITAÇÃO PARA OPERADOR DE BETONEIRA (ENCARGOS COMPLEMENTARES) - MENSALISTA</v>
          </cell>
          <cell r="D7215" t="str">
            <v>MES</v>
          </cell>
          <cell r="E7215">
            <v>31.36</v>
          </cell>
          <cell r="F7215">
            <v>0</v>
          </cell>
        </row>
        <row r="7216">
          <cell r="B7216">
            <v>101340</v>
          </cell>
          <cell r="C7216" t="str">
            <v>CURSO DE CAPACITAÇÃO PARA OPERADOR DE BETONEIRA ESTACIONARIA / MISTURADOR (ENCARGOS COMPLEMENTARES) - MENSALISTA</v>
          </cell>
          <cell r="D7216" t="str">
            <v>MES</v>
          </cell>
          <cell r="E7216">
            <v>28.44</v>
          </cell>
          <cell r="F7216">
            <v>0</v>
          </cell>
        </row>
        <row r="7217">
          <cell r="B7217">
            <v>95389</v>
          </cell>
          <cell r="C7217" t="str">
            <v>CURSO DE CAPACITAÇÃO PARA OPERADOR DE BETONEIRA ESTACIONÁRIA/MISTURADOR (ENCARGOS COMPLEMENTARES) - HORISTA</v>
          </cell>
          <cell r="D7217" t="str">
            <v>H</v>
          </cell>
          <cell r="E7217">
            <v>0.21</v>
          </cell>
          <cell r="F7217">
            <v>0</v>
          </cell>
        </row>
        <row r="7218">
          <cell r="B7218">
            <v>101341</v>
          </cell>
          <cell r="C7218" t="str">
            <v>CURSO DE CAPACITAÇÃO PARA OPERADOR DE COMPRESSOR DE AR OU COMPRESSORISTA (ENCARGOS COMPLEMENTARES) - MENSALISTA</v>
          </cell>
          <cell r="D7218" t="str">
            <v>MES</v>
          </cell>
          <cell r="E7218">
            <v>26.63</v>
          </cell>
          <cell r="F7218">
            <v>0</v>
          </cell>
        </row>
        <row r="7219">
          <cell r="B7219">
            <v>95355</v>
          </cell>
          <cell r="C7219" t="str">
            <v>CURSO DE CAPACITAÇÃO PARA OPERADOR DE COMPRESSOR OU COMPRESSORISTA (ENCARGOS COMPLEMENTARES) - HORISTA</v>
          </cell>
          <cell r="D7219" t="str">
            <v>H</v>
          </cell>
          <cell r="E7219">
            <v>0.2</v>
          </cell>
          <cell r="F7219">
            <v>0</v>
          </cell>
        </row>
        <row r="7220">
          <cell r="B7220">
            <v>95356</v>
          </cell>
          <cell r="C7220" t="str">
            <v>CURSO DE CAPACITAÇÃO PARA OPERADOR DE DEMARCADORA DE FAIXAS (ENCARGOS COMPLEMENTARES) - HORISTA</v>
          </cell>
          <cell r="D7220" t="str">
            <v>H</v>
          </cell>
          <cell r="E7220">
            <v>0.23</v>
          </cell>
          <cell r="F7220">
            <v>0</v>
          </cell>
        </row>
        <row r="7221">
          <cell r="B7221">
            <v>101342</v>
          </cell>
          <cell r="C7221" t="str">
            <v>CURSO DE CAPACITAÇÃO PARA OPERADOR DE DEMARCADORA DE FAIXAS DE TRAFEGO (ENCARGOS COMPLEMENTARES) - MENSALISTA</v>
          </cell>
          <cell r="D7221" t="str">
            <v>MES</v>
          </cell>
          <cell r="E7221">
            <v>31.36</v>
          </cell>
          <cell r="F7221">
            <v>0</v>
          </cell>
        </row>
        <row r="7222">
          <cell r="B7222">
            <v>95357</v>
          </cell>
          <cell r="C7222" t="str">
            <v>CURSO DE CAPACITAÇÃO PARA OPERADOR DE ESCAVADEIRA (ENCARGOS COMPLEMENTARES) - HORISTA</v>
          </cell>
          <cell r="D7222" t="str">
            <v>H</v>
          </cell>
          <cell r="E7222">
            <v>0.44</v>
          </cell>
          <cell r="F7222">
            <v>0</v>
          </cell>
        </row>
        <row r="7223">
          <cell r="B7223">
            <v>101343</v>
          </cell>
          <cell r="C7223" t="str">
            <v>CURSO DE CAPACITAÇÃO PARA OPERADOR DE ESCAVADEIRA (ENCARGOS COMPLEMENTARES) - MENSALISTA</v>
          </cell>
          <cell r="D7223" t="str">
            <v>MES</v>
          </cell>
          <cell r="E7223">
            <v>58.08</v>
          </cell>
          <cell r="F7223">
            <v>0</v>
          </cell>
        </row>
        <row r="7224">
          <cell r="B7224">
            <v>95358</v>
          </cell>
          <cell r="C7224" t="str">
            <v>CURSO DE CAPACITAÇÃO PARA OPERADOR DE GUINCHO (ENCARGOS COMPLEMENTARES) - HORISTA</v>
          </cell>
          <cell r="D7224" t="str">
            <v>H</v>
          </cell>
          <cell r="E7224">
            <v>0.43</v>
          </cell>
          <cell r="F7224">
            <v>0</v>
          </cell>
        </row>
        <row r="7225">
          <cell r="B7225">
            <v>101344</v>
          </cell>
          <cell r="C7225" t="str">
            <v>CURSO DE CAPACITAÇÃO PARA OPERADOR DE GUINCHO OU GUINCHEIRO (ENCARGOS COMPLEMENTARES) - MENSALISTA</v>
          </cell>
          <cell r="D7225" t="str">
            <v>MES</v>
          </cell>
          <cell r="E7225">
            <v>57.22</v>
          </cell>
          <cell r="F7225">
            <v>0</v>
          </cell>
        </row>
        <row r="7226">
          <cell r="B7226">
            <v>95359</v>
          </cell>
          <cell r="C7226" t="str">
            <v>CURSO DE CAPACITAÇÃO PARA OPERADOR DE GUINDASTE (ENCARGOS COMPLEMENTARES) - HORISTA</v>
          </cell>
          <cell r="D7226" t="str">
            <v>H</v>
          </cell>
          <cell r="E7226">
            <v>0.44</v>
          </cell>
          <cell r="F7226">
            <v>0</v>
          </cell>
        </row>
        <row r="7227">
          <cell r="B7227">
            <v>101345</v>
          </cell>
          <cell r="C7227" t="str">
            <v>CURSO DE CAPACITAÇÃO PARA OPERADOR DE GUINDASTE (ENCARGOS COMPLEMENTARES) - MENSALISTA</v>
          </cell>
          <cell r="D7227" t="str">
            <v>MES</v>
          </cell>
          <cell r="E7227">
            <v>59.19</v>
          </cell>
          <cell r="F7227">
            <v>0</v>
          </cell>
        </row>
        <row r="7228">
          <cell r="B7228">
            <v>101346</v>
          </cell>
          <cell r="C7228" t="str">
            <v>CURSO DE CAPACITAÇÃO PARA OPERADOR DE JATO ABRASIVO OU JATISTA (ENCARGOS COMPLEMENTARES) - MENSALISTA</v>
          </cell>
          <cell r="D7228" t="str">
            <v>MES</v>
          </cell>
          <cell r="E7228">
            <v>32.32</v>
          </cell>
          <cell r="F7228">
            <v>0</v>
          </cell>
        </row>
        <row r="7229">
          <cell r="B7229">
            <v>101347</v>
          </cell>
          <cell r="C7229" t="str">
            <v>CURSO DE CAPACITAÇÃO PARA OPERADOR DE MAQUINAS E TRATORES DIVERSOS (ENCARGOS COMPLEMENTARES) - MENSALISTA</v>
          </cell>
          <cell r="D7229" t="str">
            <v>MES</v>
          </cell>
          <cell r="E7229">
            <v>46.72</v>
          </cell>
          <cell r="F7229">
            <v>0</v>
          </cell>
        </row>
        <row r="7230">
          <cell r="B7230">
            <v>95361</v>
          </cell>
          <cell r="C7230" t="str">
            <v>CURSO DE CAPACITAÇÃO PARA OPERADOR DE MARTELETE OU MARTELETEIRO (ENCARGOS COMPLEMENTARES) - HORISTA</v>
          </cell>
          <cell r="D7230" t="str">
            <v>H</v>
          </cell>
          <cell r="E7230">
            <v>0.22</v>
          </cell>
          <cell r="F7230">
            <v>0</v>
          </cell>
        </row>
        <row r="7231">
          <cell r="B7231">
            <v>101348</v>
          </cell>
          <cell r="C7231" t="str">
            <v>CURSO DE CAPACITAÇÃO PARA OPERADOR DE MARTELETE OU MARTELETEIRO (ENCARGOS COMPLEMENTARES) - MENSALISTA</v>
          </cell>
          <cell r="D7231" t="str">
            <v>MES</v>
          </cell>
          <cell r="E7231">
            <v>29.05</v>
          </cell>
          <cell r="F7231">
            <v>0</v>
          </cell>
        </row>
        <row r="7232">
          <cell r="B7232">
            <v>101349</v>
          </cell>
          <cell r="C7232" t="str">
            <v>CURSO DE CAPACITAÇÃO PARA OPERADOR DE MOTO SCRAPER (ENCARGOS COMPLEMENTARES) - MENSALISTA</v>
          </cell>
          <cell r="D7232" t="str">
            <v>MES</v>
          </cell>
          <cell r="E7232">
            <v>43.35</v>
          </cell>
          <cell r="F7232">
            <v>0</v>
          </cell>
        </row>
        <row r="7233">
          <cell r="B7233">
            <v>95362</v>
          </cell>
          <cell r="C7233" t="str">
            <v>CURSO DE CAPACITAÇÃO PARA OPERADOR DE MOTO-ESCREIPER (ENCARGOS COMPLEMENTARES) - HORISTA</v>
          </cell>
          <cell r="D7233" t="str">
            <v>H</v>
          </cell>
          <cell r="E7233">
            <v>0.32</v>
          </cell>
          <cell r="F7233">
            <v>0</v>
          </cell>
        </row>
        <row r="7234">
          <cell r="B7234">
            <v>95363</v>
          </cell>
          <cell r="C7234" t="str">
            <v>CURSO DE CAPACITAÇÃO PARA OPERADOR DE MOTONIVELADORA (ENCARGOS COMPLEMENTARES) - HORISTA</v>
          </cell>
          <cell r="D7234" t="str">
            <v>H</v>
          </cell>
          <cell r="E7234">
            <v>0.32</v>
          </cell>
          <cell r="F7234">
            <v>0</v>
          </cell>
        </row>
        <row r="7235">
          <cell r="B7235">
            <v>101350</v>
          </cell>
          <cell r="C7235" t="str">
            <v>CURSO DE CAPACITAÇÃO PARA OPERADOR DE MOTONIVELADORA (ENCARGOS COMPLEMENTARES) - MENSALISTA</v>
          </cell>
          <cell r="D7235" t="str">
            <v>MES</v>
          </cell>
          <cell r="E7235">
            <v>43.35</v>
          </cell>
          <cell r="F7235">
            <v>0</v>
          </cell>
        </row>
        <row r="7236">
          <cell r="B7236">
            <v>95360</v>
          </cell>
          <cell r="C7236" t="str">
            <v>CURSO DE CAPACITAÇÃO PARA OPERADOR DE MÁQUINAS E EQUIPAMENTOS (ENCARGOS COMPLEMENTARES) - HORISTA</v>
          </cell>
          <cell r="D7236" t="str">
            <v>H</v>
          </cell>
          <cell r="E7236">
            <v>0.35</v>
          </cell>
          <cell r="F7236">
            <v>0</v>
          </cell>
        </row>
        <row r="7237">
          <cell r="B7237">
            <v>101351</v>
          </cell>
          <cell r="C7237" t="str">
            <v>CURSO DE CAPACITAÇÃO PARA OPERADOR DE PA CARREGADEIRA (ENCARGOS COMPLEMENTARES) - MENSALISTA</v>
          </cell>
          <cell r="D7237" t="str">
            <v>MES</v>
          </cell>
          <cell r="E7237">
            <v>31.36</v>
          </cell>
          <cell r="F7237">
            <v>0</v>
          </cell>
        </row>
        <row r="7238">
          <cell r="B7238">
            <v>95365</v>
          </cell>
          <cell r="C7238" t="str">
            <v>CURSO DE CAPACITAÇÃO PARA OPERADOR DE PAVIMENTADORA (ENCARGOS COMPLEMENTARES) - HORISTA</v>
          </cell>
          <cell r="D7238" t="str">
            <v>H</v>
          </cell>
          <cell r="E7238">
            <v>0.23</v>
          </cell>
          <cell r="F7238">
            <v>0</v>
          </cell>
        </row>
        <row r="7239">
          <cell r="B7239">
            <v>101352</v>
          </cell>
          <cell r="C7239" t="str">
            <v>CURSO DE CAPACITAÇÃO PARA OPERADOR DE PAVIMENTADORA / MESA VIBROACABADORA (ENCARGOS COMPLEMENTARES) - MENSALISTA</v>
          </cell>
          <cell r="D7239" t="str">
            <v>MES</v>
          </cell>
          <cell r="E7239">
            <v>31.36</v>
          </cell>
          <cell r="F7239">
            <v>0</v>
          </cell>
        </row>
        <row r="7240">
          <cell r="B7240">
            <v>95364</v>
          </cell>
          <cell r="C7240" t="str">
            <v>CURSO DE CAPACITAÇÃO PARA OPERADOR DE PÁ CARREGADEIRA (ENCARGOS COMPLEMENTARES) - HORISTA</v>
          </cell>
          <cell r="D7240" t="str">
            <v>H</v>
          </cell>
          <cell r="E7240">
            <v>0.23</v>
          </cell>
          <cell r="F7240">
            <v>0</v>
          </cell>
        </row>
        <row r="7241">
          <cell r="B7241">
            <v>95366</v>
          </cell>
          <cell r="C7241" t="str">
            <v>CURSO DE CAPACITAÇÃO PARA OPERADOR DE ROLO COMPACTADOR (ENCARGOS COMPLEMENTARES) - HORISTA</v>
          </cell>
          <cell r="D7241" t="str">
            <v>H</v>
          </cell>
          <cell r="E7241">
            <v>0.24</v>
          </cell>
          <cell r="F7241">
            <v>0</v>
          </cell>
        </row>
        <row r="7242">
          <cell r="B7242">
            <v>101353</v>
          </cell>
          <cell r="C7242" t="str">
            <v>CURSO DE CAPACITAÇÃO PARA OPERADOR DE ROLO COMPACTADOR (ENCARGOS COMPLEMENTARES) - MENSALISTA</v>
          </cell>
          <cell r="D7242" t="str">
            <v>MES</v>
          </cell>
          <cell r="E7242">
            <v>31.92</v>
          </cell>
          <cell r="F7242">
            <v>0</v>
          </cell>
        </row>
        <row r="7243">
          <cell r="B7243">
            <v>95367</v>
          </cell>
          <cell r="C7243" t="str">
            <v>CURSO DE CAPACITAÇÃO PARA OPERADOR DE USINA DE ASFALTO, DE SOLOS OU DE CONCRETO (ENCARGOS COMPLEMENTARES) - HORISTA</v>
          </cell>
          <cell r="D7243" t="str">
            <v>H</v>
          </cell>
          <cell r="E7243">
            <v>0.32</v>
          </cell>
          <cell r="F7243">
            <v>0</v>
          </cell>
        </row>
        <row r="7244">
          <cell r="B7244">
            <v>101355</v>
          </cell>
          <cell r="C7244" t="str">
            <v>CURSO DE CAPACITAÇÃO PARA OPERADOR DE USINA DE ASFALTO, DE SOLOS OU DE CONCRETO (ENCARGOS COMPLEMENTARES) - MENSALISTA</v>
          </cell>
          <cell r="D7244" t="str">
            <v>MES</v>
          </cell>
          <cell r="E7244">
            <v>43.35</v>
          </cell>
          <cell r="F7244">
            <v>0</v>
          </cell>
        </row>
        <row r="7245">
          <cell r="B7245">
            <v>95368</v>
          </cell>
          <cell r="C7245" t="str">
            <v>CURSO DE CAPACITAÇÃO PARA OPERADOR JATO DE AREIA OU JATISTA (ENCARGOS COMPLEMENTARES) - HORISTA</v>
          </cell>
          <cell r="D7245" t="str">
            <v>H</v>
          </cell>
          <cell r="E7245">
            <v>0.24</v>
          </cell>
          <cell r="F7245">
            <v>0</v>
          </cell>
        </row>
        <row r="7246">
          <cell r="B7246">
            <v>95369</v>
          </cell>
          <cell r="C7246" t="str">
            <v>CURSO DE CAPACITAÇÃO PARA OPERADOR PARA BATE ESTACAS (ENCARGOS COMPLEMENTARES) - HORISTA</v>
          </cell>
          <cell r="D7246" t="str">
            <v>H</v>
          </cell>
          <cell r="E7246">
            <v>0.25</v>
          </cell>
          <cell r="F7246">
            <v>0</v>
          </cell>
        </row>
        <row r="7247">
          <cell r="B7247">
            <v>95370</v>
          </cell>
          <cell r="C7247" t="str">
            <v>CURSO DE CAPACITAÇÃO PARA PASTILHEIRO (ENCARGOS COMPLEMENTARES) - HORISTA</v>
          </cell>
          <cell r="D7247" t="str">
            <v>H</v>
          </cell>
          <cell r="E7247">
            <v>0.38</v>
          </cell>
          <cell r="F7247">
            <v>0</v>
          </cell>
        </row>
        <row r="7248">
          <cell r="B7248">
            <v>101356</v>
          </cell>
          <cell r="C7248" t="str">
            <v>CURSO DE CAPACITAÇÃO PARA PASTILHEIRO (ENCARGOS COMPLEMENTARES) - MENSALISTA</v>
          </cell>
          <cell r="D7248" t="str">
            <v>MES</v>
          </cell>
          <cell r="E7248">
            <v>50.71</v>
          </cell>
          <cell r="F7248">
            <v>0</v>
          </cell>
        </row>
        <row r="7249">
          <cell r="B7249">
            <v>95371</v>
          </cell>
          <cell r="C7249" t="str">
            <v>CURSO DE CAPACITAÇÃO PARA PEDREIRO (ENCARGOS COMPLEMENTARES) - HORISTA</v>
          </cell>
          <cell r="D7249" t="str">
            <v>H</v>
          </cell>
          <cell r="E7249">
            <v>0.55000000000000004</v>
          </cell>
          <cell r="F7249">
            <v>0</v>
          </cell>
        </row>
        <row r="7250">
          <cell r="B7250">
            <v>101357</v>
          </cell>
          <cell r="C7250" t="str">
            <v>CURSO DE CAPACITAÇÃO PARA PEDREIRO (ENCARGOS COMPLEMENTARES) - MENSALISTA</v>
          </cell>
          <cell r="D7250" t="str">
            <v>MES</v>
          </cell>
          <cell r="E7250">
            <v>72.83</v>
          </cell>
          <cell r="F7250">
            <v>0</v>
          </cell>
        </row>
        <row r="7251">
          <cell r="B7251">
            <v>95372</v>
          </cell>
          <cell r="C7251" t="str">
            <v>CURSO DE CAPACITAÇÃO PARA PINTOR (ENCARGOS COMPLEMENTARES) - HORISTA</v>
          </cell>
          <cell r="D7251" t="str">
            <v>H</v>
          </cell>
          <cell r="E7251">
            <v>0.38</v>
          </cell>
          <cell r="F7251">
            <v>0</v>
          </cell>
        </row>
        <row r="7252">
          <cell r="B7252">
            <v>101358</v>
          </cell>
          <cell r="C7252" t="str">
            <v>CURSO DE CAPACITAÇÃO PARA PINTOR (ENCARGOS COMPLEMENTARES) - MENSALISTA</v>
          </cell>
          <cell r="D7252" t="str">
            <v>MES</v>
          </cell>
          <cell r="E7252">
            <v>50.71</v>
          </cell>
          <cell r="F7252">
            <v>0</v>
          </cell>
        </row>
        <row r="7253">
          <cell r="B7253">
            <v>95373</v>
          </cell>
          <cell r="C7253" t="str">
            <v>CURSO DE CAPACITAÇÃO PARA PINTOR DE LETREIROS (ENCARGOS COMPLEMENTARES) - HORISTA</v>
          </cell>
          <cell r="D7253" t="str">
            <v>H</v>
          </cell>
          <cell r="E7253">
            <v>0.35</v>
          </cell>
          <cell r="F7253">
            <v>0</v>
          </cell>
        </row>
        <row r="7254">
          <cell r="B7254">
            <v>101359</v>
          </cell>
          <cell r="C7254" t="str">
            <v>CURSO DE CAPACITAÇÃO PARA PINTOR DE LETREIROS (ENCARGOS COMPLEMENTARES) - MENSALISTA</v>
          </cell>
          <cell r="D7254" t="str">
            <v>MES</v>
          </cell>
          <cell r="E7254">
            <v>46.76</v>
          </cell>
          <cell r="F7254">
            <v>0</v>
          </cell>
        </row>
        <row r="7255">
          <cell r="B7255">
            <v>101360</v>
          </cell>
          <cell r="C7255" t="str">
            <v>CURSO DE CAPACITAÇÃO PARA PINTOR PARA TINTA EPOXI (ENCARGOS COMPLEMENTARES) - MENSALISTA</v>
          </cell>
          <cell r="D7255" t="str">
            <v>MES</v>
          </cell>
          <cell r="E7255">
            <v>50.71</v>
          </cell>
          <cell r="F7255">
            <v>0</v>
          </cell>
        </row>
        <row r="7256">
          <cell r="B7256">
            <v>95374</v>
          </cell>
          <cell r="C7256" t="str">
            <v>CURSO DE CAPACITAÇÃO PARA PINTOR PARA TINTA EPÓXI (ENCARGOS COMPLEMENTARES) - HORISTA</v>
          </cell>
          <cell r="D7256" t="str">
            <v>H</v>
          </cell>
          <cell r="E7256">
            <v>0.38</v>
          </cell>
          <cell r="F7256">
            <v>0</v>
          </cell>
        </row>
        <row r="7257">
          <cell r="B7257">
            <v>95375</v>
          </cell>
          <cell r="C7257" t="str">
            <v>CURSO DE CAPACITAÇÃO PARA POCEIRO (ENCARGOS COMPLEMENTARES) - HORISTA</v>
          </cell>
          <cell r="D7257" t="str">
            <v>H</v>
          </cell>
          <cell r="E7257">
            <v>0.56000000000000005</v>
          </cell>
          <cell r="F7257">
            <v>0</v>
          </cell>
        </row>
        <row r="7258">
          <cell r="B7258">
            <v>101361</v>
          </cell>
          <cell r="C7258" t="str">
            <v>CURSO DE CAPACITAÇÃO PARA POCEIRO / ESCAVADOR DE VALAS E TUBULOES (ENCARGOS COMPLEMENTARES) - MENSALISTA</v>
          </cell>
          <cell r="D7258" t="str">
            <v>MES</v>
          </cell>
          <cell r="E7258">
            <v>74.12</v>
          </cell>
          <cell r="F7258">
            <v>0</v>
          </cell>
        </row>
        <row r="7259">
          <cell r="B7259">
            <v>95376</v>
          </cell>
          <cell r="C7259" t="str">
            <v>CURSO DE CAPACITAÇÃO PARA RASTELEIRO (ENCARGOS COMPLEMENTARES) - HORISTA</v>
          </cell>
          <cell r="D7259" t="str">
            <v>H</v>
          </cell>
          <cell r="E7259">
            <v>0.13</v>
          </cell>
          <cell r="F7259">
            <v>0</v>
          </cell>
        </row>
        <row r="7260">
          <cell r="B7260">
            <v>95377</v>
          </cell>
          <cell r="C7260" t="str">
            <v>CURSO DE CAPACITAÇÃO PARA SERRALHEIRO (ENCARGOS COMPLEMENTARES) - HORISTA</v>
          </cell>
          <cell r="D7260" t="str">
            <v>H</v>
          </cell>
          <cell r="E7260">
            <v>0.3</v>
          </cell>
          <cell r="F7260">
            <v>0</v>
          </cell>
        </row>
        <row r="7261">
          <cell r="B7261">
            <v>101363</v>
          </cell>
          <cell r="C7261" t="str">
            <v>CURSO DE CAPACITAÇÃO PARA SERRALHEIRO (ENCARGOS COMPLEMENTARES) - MENSALISTA</v>
          </cell>
          <cell r="D7261" t="str">
            <v>MES</v>
          </cell>
          <cell r="E7261">
            <v>40.69</v>
          </cell>
          <cell r="F7261">
            <v>0</v>
          </cell>
        </row>
        <row r="7262">
          <cell r="B7262">
            <v>95378</v>
          </cell>
          <cell r="C7262" t="str">
            <v>CURSO DE CAPACITAÇÃO PARA SERVENTE (ENCARGOS COMPLEMENTARES) - HORISTA</v>
          </cell>
          <cell r="D7262" t="str">
            <v>H</v>
          </cell>
          <cell r="E7262">
            <v>0.45</v>
          </cell>
          <cell r="F7262">
            <v>0</v>
          </cell>
        </row>
        <row r="7263">
          <cell r="B7263">
            <v>101364</v>
          </cell>
          <cell r="C7263" t="str">
            <v>CURSO DE CAPACITAÇÃO PARA SERVENTE DE OBRAS (ENCARGOS COMPLEMENTARES) - MENSALISTA</v>
          </cell>
          <cell r="D7263" t="str">
            <v>MES</v>
          </cell>
          <cell r="E7263">
            <v>60.14</v>
          </cell>
          <cell r="F7263">
            <v>0</v>
          </cell>
        </row>
        <row r="7264">
          <cell r="B7264">
            <v>95379</v>
          </cell>
          <cell r="C7264" t="str">
            <v>CURSO DE CAPACITAÇÃO PARA SOLDADOR (ENCARGOS COMPLEMENTARES) - HORISTA</v>
          </cell>
          <cell r="D7264" t="str">
            <v>H</v>
          </cell>
          <cell r="E7264">
            <v>0.33</v>
          </cell>
          <cell r="F7264">
            <v>0</v>
          </cell>
        </row>
        <row r="7265">
          <cell r="B7265">
            <v>101365</v>
          </cell>
          <cell r="C7265" t="str">
            <v>CURSO DE CAPACITAÇÃO PARA SOLDADOR (ENCARGOS COMPLEMENTARES) - MENSALISTA</v>
          </cell>
          <cell r="D7265" t="str">
            <v>MES</v>
          </cell>
          <cell r="E7265">
            <v>44.37</v>
          </cell>
          <cell r="F7265">
            <v>0</v>
          </cell>
        </row>
        <row r="7266">
          <cell r="B7266">
            <v>95380</v>
          </cell>
          <cell r="C7266" t="str">
            <v>CURSO DE CAPACITAÇÃO PARA SOLDADOR A (PARA SOLDA A SER TESTADA COM RAIOS X) (ENCARGOS COMPLEMENTARES) - HORISTA</v>
          </cell>
          <cell r="D7266" t="str">
            <v>H</v>
          </cell>
          <cell r="E7266">
            <v>0.36</v>
          </cell>
          <cell r="F7266">
            <v>0</v>
          </cell>
        </row>
        <row r="7267">
          <cell r="B7267">
            <v>101366</v>
          </cell>
          <cell r="C7267" t="str">
            <v>CURSO DE CAPACITAÇÃO PARA SOLDADOR ELETRICO (ENCARGOS COMPLEMENTARES) - MENSALISTA</v>
          </cell>
          <cell r="D7267" t="str">
            <v>MES</v>
          </cell>
          <cell r="E7267">
            <v>47.82</v>
          </cell>
          <cell r="F7267">
            <v>0</v>
          </cell>
        </row>
        <row r="7268">
          <cell r="B7268">
            <v>100535</v>
          </cell>
          <cell r="C7268" t="str">
            <v>CURSO DE CAPACITAÇÃO PARA TECNICO DE EDIFICACOES (ENCARGOS COMPLEMENTARES) - HORISTA</v>
          </cell>
          <cell r="D7268" t="str">
            <v>H</v>
          </cell>
          <cell r="E7268">
            <v>1.1399999999999999</v>
          </cell>
          <cell r="F7268">
            <v>0</v>
          </cell>
        </row>
        <row r="7269">
          <cell r="B7269">
            <v>100536</v>
          </cell>
          <cell r="C7269" t="str">
            <v>CURSO DE CAPACITAÇÃO PARA TECNICO DE EDIFICACOES (ENCARGOS COMPLEMENTARES) - MENSALISTA</v>
          </cell>
          <cell r="D7269" t="str">
            <v>MES</v>
          </cell>
          <cell r="E7269">
            <v>150.6</v>
          </cell>
          <cell r="F7269">
            <v>0</v>
          </cell>
        </row>
        <row r="7270">
          <cell r="B7270">
            <v>101368</v>
          </cell>
          <cell r="C7270" t="str">
            <v>CURSO DE CAPACITAÇÃO PARA TECNICO EM LABORATORIO E CAMPO DE CONSTRUCAO CIVIL (ENCARGOS COMPLEMENTARES) - MENSALISTA</v>
          </cell>
          <cell r="D7270" t="str">
            <v>MES</v>
          </cell>
          <cell r="E7270">
            <v>67.06</v>
          </cell>
          <cell r="F7270">
            <v>0</v>
          </cell>
        </row>
        <row r="7271">
          <cell r="B7271">
            <v>101369</v>
          </cell>
          <cell r="C7271" t="str">
            <v>CURSO DE CAPACITAÇÃO PARA TECNICO EM SONDAGEM (ENCARGOS COMPLEMENTARES) - MENSALISTA</v>
          </cell>
          <cell r="D7271" t="str">
            <v>MES</v>
          </cell>
          <cell r="E7271">
            <v>51.05</v>
          </cell>
          <cell r="F7271">
            <v>0</v>
          </cell>
        </row>
        <row r="7272">
          <cell r="B7272">
            <v>95385</v>
          </cell>
          <cell r="C7272" t="str">
            <v>CURSO DE CAPACITAÇÃO PARA TELHADISTA (ENCARGOS COMPLEMENTARES) - HORISTA</v>
          </cell>
          <cell r="D7272" t="str">
            <v>H</v>
          </cell>
          <cell r="E7272">
            <v>0.3</v>
          </cell>
          <cell r="F7272">
            <v>0</v>
          </cell>
        </row>
        <row r="7273">
          <cell r="B7273">
            <v>101370</v>
          </cell>
          <cell r="C7273" t="str">
            <v>CURSO DE CAPACITAÇÃO PARA TELHADOR (ENCARGOS COMPLEMENTARES) - MENSALISTA</v>
          </cell>
          <cell r="D7273" t="str">
            <v>MES</v>
          </cell>
          <cell r="E7273">
            <v>39.630000000000003</v>
          </cell>
          <cell r="F7273">
            <v>0</v>
          </cell>
        </row>
        <row r="7274">
          <cell r="B7274">
            <v>95406</v>
          </cell>
          <cell r="C7274" t="str">
            <v>CURSO DE CAPACITAÇÃO PARA TOPÓGRAFO (ENCARGOS COMPLEMENTARES) - HORISTA</v>
          </cell>
          <cell r="D7274" t="str">
            <v>H</v>
          </cell>
          <cell r="E7274">
            <v>0.66</v>
          </cell>
          <cell r="F7274">
            <v>0</v>
          </cell>
        </row>
        <row r="7275">
          <cell r="B7275">
            <v>95424</v>
          </cell>
          <cell r="C7275" t="str">
            <v>CURSO DE CAPACITAÇÃO PARA TOPÓGRAFO (ENCARGOS COMPLEMENTARES) - MENSALISTA</v>
          </cell>
          <cell r="D7275" t="str">
            <v>MES</v>
          </cell>
          <cell r="E7275">
            <v>88.12</v>
          </cell>
          <cell r="F7275">
            <v>0</v>
          </cell>
        </row>
        <row r="7276">
          <cell r="B7276">
            <v>95386</v>
          </cell>
          <cell r="C7276" t="str">
            <v>CURSO DE CAPACITAÇÃO PARA TRATORISTA (ENCARGOS COMPLEMENTARES) - HORISTA</v>
          </cell>
          <cell r="D7276" t="str">
            <v>H</v>
          </cell>
          <cell r="E7276">
            <v>0.35</v>
          </cell>
          <cell r="F7276">
            <v>0</v>
          </cell>
        </row>
        <row r="7277">
          <cell r="B7277">
            <v>95383</v>
          </cell>
          <cell r="C7277" t="str">
            <v>CURSO DE CAPACITAÇÃO PARA TÉCNICO DE LABORATÓRIO (ENCARGOS COMPLEMENTARES) - HORISTA</v>
          </cell>
          <cell r="D7277" t="str">
            <v>H</v>
          </cell>
          <cell r="E7277">
            <v>0.5</v>
          </cell>
          <cell r="F7277">
            <v>0</v>
          </cell>
        </row>
        <row r="7278">
          <cell r="B7278">
            <v>95384</v>
          </cell>
          <cell r="C7278" t="str">
            <v>CURSO DE CAPACITAÇÃO PARA TÉCNICO DE SONDAGEM (ENCARGOS COMPLEMENTARES) - HORISTA</v>
          </cell>
          <cell r="D7278" t="str">
            <v>H</v>
          </cell>
          <cell r="E7278">
            <v>0.38</v>
          </cell>
          <cell r="F7278">
            <v>0</v>
          </cell>
        </row>
        <row r="7279">
          <cell r="B7279">
            <v>100299</v>
          </cell>
          <cell r="C7279" t="str">
            <v>CURSO DE CAPACITAÇÃO PARA TÉCNICO EM SEGURANÇA DO TRABALHO (ENCARGOS COMPLEMENTARES) - HORISTA</v>
          </cell>
          <cell r="D7279" t="str">
            <v>H</v>
          </cell>
          <cell r="E7279">
            <v>1.34</v>
          </cell>
          <cell r="F7279">
            <v>0</v>
          </cell>
        </row>
        <row r="7280">
          <cell r="B7280">
            <v>100315</v>
          </cell>
          <cell r="C7280" t="str">
            <v>CURSO DE CAPACITAÇÃO PARA TÉCNICO EM SEGURANÇA DO TRABALHO (ENCARGOS COMPLEMENTARES) - MENSALISTA</v>
          </cell>
          <cell r="D7280" t="str">
            <v>MES</v>
          </cell>
          <cell r="E7280">
            <v>176.98</v>
          </cell>
          <cell r="F7280">
            <v>0</v>
          </cell>
        </row>
        <row r="7281">
          <cell r="B7281">
            <v>95387</v>
          </cell>
          <cell r="C7281" t="str">
            <v>CURSO DE CAPACITAÇÃO PARA VIDRACEIRO (ENCARGOS COMPLEMENTARES) - HORISTA</v>
          </cell>
          <cell r="D7281" t="str">
            <v>H</v>
          </cell>
          <cell r="E7281">
            <v>0.31</v>
          </cell>
          <cell r="F7281">
            <v>0</v>
          </cell>
        </row>
        <row r="7282">
          <cell r="B7282">
            <v>101371</v>
          </cell>
          <cell r="C7282" t="str">
            <v>CURSO DE CAPACITAÇÃO PARA VIDRACEIRO (ENCARGOS COMPLEMENTARES) - MENSALISTA</v>
          </cell>
          <cell r="D7282" t="str">
            <v>MES</v>
          </cell>
          <cell r="E7282">
            <v>41.69</v>
          </cell>
          <cell r="F7282">
            <v>0</v>
          </cell>
        </row>
        <row r="7283">
          <cell r="B7283">
            <v>100288</v>
          </cell>
          <cell r="C7283" t="str">
            <v>CURSO DE CAPACITAÇÃO PARA VIGIA DIURNO (ENCARGOS COMPLEMENTARES) - HORISTA</v>
          </cell>
          <cell r="D7283" t="str">
            <v>H</v>
          </cell>
          <cell r="E7283">
            <v>0.12</v>
          </cell>
          <cell r="F7283">
            <v>0</v>
          </cell>
        </row>
        <row r="7284">
          <cell r="B7284">
            <v>101372</v>
          </cell>
          <cell r="C7284" t="str">
            <v>CURSO DE CAPACITAÇÃO PARA VIGIA DIURNO (ENCARGOS COMPLEMENTARES) - MENSALISTA</v>
          </cell>
          <cell r="D7284" t="str">
            <v>MES</v>
          </cell>
          <cell r="E7284">
            <v>16.14</v>
          </cell>
          <cell r="F7284">
            <v>0</v>
          </cell>
        </row>
        <row r="7285">
          <cell r="B7285">
            <v>90775</v>
          </cell>
          <cell r="C7285" t="str">
            <v>DESENHISTA PROJETISTA COM ENCARGOS COMPLEMENTARES</v>
          </cell>
          <cell r="D7285" t="str">
            <v>H</v>
          </cell>
          <cell r="E7285">
            <v>72.89</v>
          </cell>
          <cell r="F7285">
            <v>0</v>
          </cell>
        </row>
        <row r="7286">
          <cell r="B7286">
            <v>93561</v>
          </cell>
          <cell r="C7286" t="str">
            <v>DESENHISTA PROJETISTA COM ENCARGOS COMPLEMENTARES</v>
          </cell>
          <cell r="D7286" t="str">
            <v>MES</v>
          </cell>
          <cell r="E7286">
            <v>12640.75</v>
          </cell>
          <cell r="F7286">
            <v>0</v>
          </cell>
        </row>
        <row r="7287">
          <cell r="B7287">
            <v>88264</v>
          </cell>
          <cell r="C7287" t="str">
            <v>ELETRICISTA COM ENCARGOS COMPLEMENTARES</v>
          </cell>
          <cell r="D7287" t="str">
            <v>H</v>
          </cell>
          <cell r="E7287">
            <v>45.04</v>
          </cell>
          <cell r="F7287">
            <v>0</v>
          </cell>
        </row>
        <row r="7288">
          <cell r="B7288">
            <v>101399</v>
          </cell>
          <cell r="C7288" t="str">
            <v>ELETRICISTA COM ENCARGOS COMPLEMENTARES</v>
          </cell>
          <cell r="D7288" t="str">
            <v>MES</v>
          </cell>
          <cell r="E7288">
            <v>7581.36</v>
          </cell>
          <cell r="F7288">
            <v>0</v>
          </cell>
        </row>
        <row r="7289">
          <cell r="B7289">
            <v>88266</v>
          </cell>
          <cell r="C7289" t="str">
            <v>ELETROTÉCNICO COM ENCARGOS COMPLEMENTARES</v>
          </cell>
          <cell r="D7289" t="str">
            <v>H</v>
          </cell>
          <cell r="E7289">
            <v>51.1</v>
          </cell>
          <cell r="F7289">
            <v>0</v>
          </cell>
        </row>
        <row r="7290">
          <cell r="B7290">
            <v>101401</v>
          </cell>
          <cell r="C7290" t="str">
            <v>ELETROTÉCNICO COM ENCARGOS COMPLEMENTARES</v>
          </cell>
          <cell r="D7290" t="str">
            <v>MES</v>
          </cell>
          <cell r="E7290">
            <v>8648.17</v>
          </cell>
          <cell r="F7290">
            <v>0</v>
          </cell>
        </row>
        <row r="7291">
          <cell r="B7291">
            <v>88267</v>
          </cell>
          <cell r="C7291" t="str">
            <v>ENCANADOR OU BOMBEIRO HIDRÁULICO COM ENCARGOS COMPLEMENTARES</v>
          </cell>
          <cell r="D7291" t="str">
            <v>H</v>
          </cell>
          <cell r="E7291">
            <v>40.54</v>
          </cell>
          <cell r="F7291">
            <v>0</v>
          </cell>
        </row>
        <row r="7292">
          <cell r="B7292">
            <v>101402</v>
          </cell>
          <cell r="C7292" t="str">
            <v>ENCANADOR OU BOMBEIRO HIDRÁULICO COM ENCARGOS COMPLEMENTARES</v>
          </cell>
          <cell r="D7292" t="str">
            <v>MES</v>
          </cell>
          <cell r="E7292">
            <v>6923.68</v>
          </cell>
          <cell r="F7292">
            <v>0</v>
          </cell>
        </row>
        <row r="7293">
          <cell r="B7293">
            <v>90776</v>
          </cell>
          <cell r="C7293" t="str">
            <v>ENCARREGADO GERAL COM ENCARGOS COMPLEMENTARES</v>
          </cell>
          <cell r="D7293" t="str">
            <v>H</v>
          </cell>
          <cell r="E7293">
            <v>55.46</v>
          </cell>
          <cell r="F7293">
            <v>0</v>
          </cell>
        </row>
        <row r="7294">
          <cell r="B7294">
            <v>93572</v>
          </cell>
          <cell r="C7294" t="str">
            <v>ENCARREGADO GERAL DE OBRAS COM ENCARGOS COMPLEMENTARES</v>
          </cell>
          <cell r="D7294" t="str">
            <v>MES</v>
          </cell>
          <cell r="E7294">
            <v>9468.2099999999991</v>
          </cell>
          <cell r="F7294">
            <v>0</v>
          </cell>
        </row>
        <row r="7295">
          <cell r="B7295">
            <v>90777</v>
          </cell>
          <cell r="C7295" t="str">
            <v>ENGENHEIRO CIVIL DE OBRA JUNIOR COM ENCARGOS COMPLEMENTARES</v>
          </cell>
          <cell r="D7295" t="str">
            <v>H</v>
          </cell>
          <cell r="E7295">
            <v>143.6</v>
          </cell>
          <cell r="F7295">
            <v>0</v>
          </cell>
        </row>
        <row r="7296">
          <cell r="B7296">
            <v>93565</v>
          </cell>
          <cell r="C7296" t="str">
            <v>ENGENHEIRO CIVIL DE OBRA JUNIOR COM ENCARGOS COMPLEMENTARES</v>
          </cell>
          <cell r="D7296" t="str">
            <v>MES</v>
          </cell>
          <cell r="E7296">
            <v>24741.89</v>
          </cell>
          <cell r="F7296">
            <v>0</v>
          </cell>
        </row>
        <row r="7297">
          <cell r="B7297">
            <v>90778</v>
          </cell>
          <cell r="C7297" t="str">
            <v>ENGENHEIRO CIVIL DE OBRA PLENO COM ENCARGOS COMPLEMENTARES</v>
          </cell>
          <cell r="D7297" t="str">
            <v>H</v>
          </cell>
          <cell r="E7297">
            <v>145.96</v>
          </cell>
          <cell r="F7297">
            <v>0</v>
          </cell>
        </row>
        <row r="7298">
          <cell r="B7298">
            <v>93567</v>
          </cell>
          <cell r="C7298" t="str">
            <v>ENGENHEIRO CIVIL DE OBRA PLENO COM ENCARGOS COMPLEMENTARES</v>
          </cell>
          <cell r="D7298" t="str">
            <v>MES</v>
          </cell>
          <cell r="E7298">
            <v>25149.06</v>
          </cell>
          <cell r="F7298">
            <v>0</v>
          </cell>
        </row>
        <row r="7299">
          <cell r="B7299">
            <v>90779</v>
          </cell>
          <cell r="C7299" t="str">
            <v>ENGENHEIRO CIVIL DE OBRA SENIOR COM ENCARGOS COMPLEMENTARES</v>
          </cell>
          <cell r="D7299" t="str">
            <v>H</v>
          </cell>
          <cell r="E7299">
            <v>201.66</v>
          </cell>
          <cell r="F7299">
            <v>0</v>
          </cell>
        </row>
        <row r="7300">
          <cell r="B7300">
            <v>93568</v>
          </cell>
          <cell r="C7300" t="str">
            <v>ENGENHEIRO CIVIL DE OBRA SENIOR COM ENCARGOS COMPLEMENTARES</v>
          </cell>
          <cell r="D7300" t="str">
            <v>MES</v>
          </cell>
          <cell r="E7300">
            <v>34765.53</v>
          </cell>
          <cell r="F7300">
            <v>0</v>
          </cell>
        </row>
        <row r="7301">
          <cell r="B7301">
            <v>88269</v>
          </cell>
          <cell r="C7301" t="str">
            <v>GESSEIRO COM ENCARGOS COMPLEMENTARES</v>
          </cell>
          <cell r="D7301" t="str">
            <v>H</v>
          </cell>
          <cell r="E7301">
            <v>35.619999999999997</v>
          </cell>
          <cell r="F7301">
            <v>0</v>
          </cell>
        </row>
        <row r="7302">
          <cell r="B7302">
            <v>101407</v>
          </cell>
          <cell r="C7302" t="str">
            <v>GESSEIRO COM ENCARGOS COMPLEMENTARES</v>
          </cell>
          <cell r="D7302" t="str">
            <v>MES</v>
          </cell>
          <cell r="E7302">
            <v>6103.15</v>
          </cell>
          <cell r="F7302">
            <v>0</v>
          </cell>
        </row>
        <row r="7303">
          <cell r="B7303">
            <v>88270</v>
          </cell>
          <cell r="C7303" t="str">
            <v>IMPERMEABILIZADOR COM ENCARGOS COMPLEMENTARES</v>
          </cell>
          <cell r="D7303" t="str">
            <v>H</v>
          </cell>
          <cell r="E7303">
            <v>35.869999999999997</v>
          </cell>
          <cell r="F7303">
            <v>0</v>
          </cell>
        </row>
        <row r="7304">
          <cell r="B7304">
            <v>101408</v>
          </cell>
          <cell r="C7304" t="str">
            <v>IMPERMEABILIZADOR COM ENCARGOS COMPLEMENTARES</v>
          </cell>
          <cell r="D7304" t="str">
            <v>MES</v>
          </cell>
          <cell r="E7304">
            <v>6103.15</v>
          </cell>
          <cell r="F7304">
            <v>0</v>
          </cell>
        </row>
        <row r="7305">
          <cell r="B7305">
            <v>102919</v>
          </cell>
          <cell r="C7305" t="str">
            <v>INSTALADOR DE PISO ELEVADO COM ENCARGOS COMPLEMENTARES</v>
          </cell>
          <cell r="D7305" t="str">
            <v>H</v>
          </cell>
          <cell r="E7305">
            <v>0</v>
          </cell>
        </row>
        <row r="7306">
          <cell r="B7306">
            <v>101409</v>
          </cell>
          <cell r="C7306" t="str">
            <v>INSTALADOR DE TUBULAÇÕES COM ENCARGOS COMPLEMENTARES</v>
          </cell>
          <cell r="D7306" t="str">
            <v>MES</v>
          </cell>
          <cell r="E7306">
            <v>7269.49</v>
          </cell>
          <cell r="F7306">
            <v>0</v>
          </cell>
        </row>
        <row r="7307">
          <cell r="B7307">
            <v>88441</v>
          </cell>
          <cell r="C7307" t="str">
            <v>JARDINEIRO COM ENCARGOS COMPLEMENTARES</v>
          </cell>
          <cell r="D7307" t="str">
            <v>H</v>
          </cell>
          <cell r="E7307">
            <v>32.44</v>
          </cell>
          <cell r="F7307">
            <v>0</v>
          </cell>
        </row>
        <row r="7308">
          <cell r="B7308">
            <v>101410</v>
          </cell>
          <cell r="C7308" t="str">
            <v>JARDINEIRO COM ENCARGOS COMPLEMENTARES</v>
          </cell>
          <cell r="D7308" t="str">
            <v>MES</v>
          </cell>
          <cell r="E7308">
            <v>5579.91</v>
          </cell>
          <cell r="F7308">
            <v>0</v>
          </cell>
        </row>
        <row r="7309">
          <cell r="B7309">
            <v>88272</v>
          </cell>
          <cell r="C7309" t="str">
            <v>MACARIQUEIRO COM ENCARGOS COMPLEMENTARES</v>
          </cell>
          <cell r="D7309" t="str">
            <v>H</v>
          </cell>
          <cell r="E7309">
            <v>39.76</v>
          </cell>
          <cell r="F7309">
            <v>0</v>
          </cell>
        </row>
        <row r="7310">
          <cell r="B7310">
            <v>88273</v>
          </cell>
          <cell r="C7310" t="str">
            <v>MARCENEIRO COM ENCARGOS COMPLEMENTARES</v>
          </cell>
          <cell r="D7310" t="str">
            <v>H</v>
          </cell>
          <cell r="E7310">
            <v>35.24</v>
          </cell>
          <cell r="F7310">
            <v>0</v>
          </cell>
        </row>
        <row r="7311">
          <cell r="B7311">
            <v>101413</v>
          </cell>
          <cell r="C7311" t="str">
            <v>MARCENEIRO COM ENCARGOS COMPLEMENTARES</v>
          </cell>
          <cell r="D7311" t="str">
            <v>MES</v>
          </cell>
          <cell r="E7311">
            <v>6026.2</v>
          </cell>
          <cell r="F7311">
            <v>0</v>
          </cell>
        </row>
        <row r="7312">
          <cell r="B7312">
            <v>101414</v>
          </cell>
          <cell r="C7312" t="str">
            <v>MARMORISTA / GRANITEIRO COM ENCARGOS COMPLEMENTARES</v>
          </cell>
          <cell r="D7312" t="str">
            <v>MES</v>
          </cell>
          <cell r="E7312">
            <v>6268.46</v>
          </cell>
          <cell r="F7312">
            <v>0</v>
          </cell>
        </row>
        <row r="7313">
          <cell r="B7313">
            <v>88274</v>
          </cell>
          <cell r="C7313" t="str">
            <v>MARMORISTA/GRANITEIRO COM ENCARGOS COMPLEMENTARES</v>
          </cell>
          <cell r="D7313" t="str">
            <v>H</v>
          </cell>
          <cell r="E7313">
            <v>36.64</v>
          </cell>
          <cell r="F7313">
            <v>0</v>
          </cell>
        </row>
        <row r="7314">
          <cell r="B7314">
            <v>101412</v>
          </cell>
          <cell r="C7314" t="str">
            <v>MAÇARIQUEIRO COM ENCARGOS COMPLEMENTARES</v>
          </cell>
          <cell r="D7314" t="str">
            <v>MES</v>
          </cell>
          <cell r="E7314">
            <v>6782.01</v>
          </cell>
          <cell r="F7314">
            <v>0</v>
          </cell>
        </row>
        <row r="7315">
          <cell r="B7315">
            <v>101415</v>
          </cell>
          <cell r="C7315" t="str">
            <v>MECÂNICO DE EQUIPAMENTOS PESADOS COM ENCARGOS COMPLEMENTARES</v>
          </cell>
          <cell r="D7315" t="str">
            <v>MES</v>
          </cell>
          <cell r="E7315">
            <v>8638.23</v>
          </cell>
          <cell r="F7315">
            <v>0</v>
          </cell>
        </row>
        <row r="7316">
          <cell r="B7316">
            <v>100308</v>
          </cell>
          <cell r="C7316" t="str">
            <v>MECÂNICO DE REFRIGERAÇÃO COM ENCARGOS COMPLEMENTARES</v>
          </cell>
          <cell r="D7316" t="str">
            <v>H</v>
          </cell>
          <cell r="E7316">
            <v>44.73</v>
          </cell>
          <cell r="F7316">
            <v>0</v>
          </cell>
        </row>
        <row r="7317">
          <cell r="B7317">
            <v>101416</v>
          </cell>
          <cell r="C7317" t="str">
            <v>MECÂNICO DE REFRIGERAÇÃO COM ENCARGOS COMPLEMENTARES</v>
          </cell>
          <cell r="D7317" t="str">
            <v>MES</v>
          </cell>
          <cell r="E7317">
            <v>7588.6</v>
          </cell>
          <cell r="F7317">
            <v>0</v>
          </cell>
        </row>
        <row r="7318">
          <cell r="B7318">
            <v>88275</v>
          </cell>
          <cell r="C7318" t="str">
            <v>MECÃNICO DE EQUIPAMENTOS PESADOS COM ENCARGOS COMPLEMENTARES</v>
          </cell>
          <cell r="D7318" t="str">
            <v>H</v>
          </cell>
          <cell r="E7318">
            <v>50.06</v>
          </cell>
          <cell r="F7318">
            <v>0</v>
          </cell>
        </row>
        <row r="7319">
          <cell r="B7319">
            <v>90780</v>
          </cell>
          <cell r="C7319" t="str">
            <v>MESTRE DE OBRAS COM ENCARGOS COMPLEMENTARES</v>
          </cell>
          <cell r="D7319" t="str">
            <v>H</v>
          </cell>
          <cell r="E7319">
            <v>85.1</v>
          </cell>
          <cell r="F7319">
            <v>0</v>
          </cell>
        </row>
        <row r="7320">
          <cell r="B7320">
            <v>94295</v>
          </cell>
          <cell r="C7320" t="str">
            <v>MESTRE DE OBRAS COM ENCARGOS COMPLEMENTARES</v>
          </cell>
          <cell r="D7320" t="str">
            <v>MES</v>
          </cell>
          <cell r="E7320">
            <v>14555.49</v>
          </cell>
          <cell r="F7320">
            <v>0</v>
          </cell>
        </row>
        <row r="7321">
          <cell r="B7321">
            <v>88277</v>
          </cell>
          <cell r="C7321" t="str">
            <v>MONTADOR (TUBO AÇO/EQUIPAMENTOS) COM ENCARGOS COMPLEMENTARES</v>
          </cell>
          <cell r="D7321" t="str">
            <v>H</v>
          </cell>
          <cell r="E7321">
            <v>42.41</v>
          </cell>
          <cell r="F7321">
            <v>0</v>
          </cell>
        </row>
        <row r="7322">
          <cell r="B7322">
            <v>100307</v>
          </cell>
          <cell r="C7322" t="str">
            <v>MONTADOR DE ELETROELETRÔNICOS COM ENCARGOS COMPLEMENTARES</v>
          </cell>
          <cell r="D7322" t="str">
            <v>H</v>
          </cell>
          <cell r="E7322">
            <v>44.38</v>
          </cell>
          <cell r="F7322">
            <v>0</v>
          </cell>
        </row>
        <row r="7323">
          <cell r="B7323">
            <v>101417</v>
          </cell>
          <cell r="C7323" t="str">
            <v>MONTADOR DE ELETROELETRÔNICOS COM ENCARGOS COMPLEMENTARES</v>
          </cell>
          <cell r="D7323" t="str">
            <v>MES</v>
          </cell>
          <cell r="E7323">
            <v>7508.61</v>
          </cell>
          <cell r="F7323">
            <v>0</v>
          </cell>
        </row>
        <row r="7324">
          <cell r="B7324">
            <v>88278</v>
          </cell>
          <cell r="C7324" t="str">
            <v>MONTADOR DE ESTRUTURAS METÁLICAS COM ENCARGOS COMPLEMENTARES</v>
          </cell>
          <cell r="D7324" t="str">
            <v>H</v>
          </cell>
          <cell r="E7324">
            <v>34.81</v>
          </cell>
          <cell r="F7324">
            <v>0</v>
          </cell>
        </row>
        <row r="7325">
          <cell r="B7325">
            <v>101418</v>
          </cell>
          <cell r="C7325" t="str">
            <v>MONTADOR DE ESTRUTURAS METÁLICAS COM ENCARGOS COMPLEMENTARES</v>
          </cell>
          <cell r="D7325" t="str">
            <v>MES</v>
          </cell>
          <cell r="E7325">
            <v>5975.34</v>
          </cell>
          <cell r="F7325">
            <v>0</v>
          </cell>
        </row>
        <row r="7326">
          <cell r="B7326">
            <v>105535</v>
          </cell>
          <cell r="C7326" t="str">
            <v>MONTADOR DE FÔRMAS DO SISTEMA DE PAREDES DE CONCRETO COM ENCARGOS COMPLEMENTARES</v>
          </cell>
          <cell r="D7326" t="str">
            <v>H</v>
          </cell>
          <cell r="E7326">
            <v>0</v>
          </cell>
        </row>
        <row r="7327">
          <cell r="B7327">
            <v>101419</v>
          </cell>
          <cell r="C7327" t="str">
            <v>MONTADOR DE MÁQUINAS COM ENCARGOS COMPLEMENTARES</v>
          </cell>
          <cell r="D7327" t="str">
            <v>MES</v>
          </cell>
          <cell r="E7327">
            <v>7106.13</v>
          </cell>
          <cell r="F7327">
            <v>0</v>
          </cell>
        </row>
        <row r="7328">
          <cell r="B7328">
            <v>88279</v>
          </cell>
          <cell r="C7328" t="str">
            <v>MONTADOR ELETROMECÂNICO COM ENCARGOS COMPLEMENTARES</v>
          </cell>
          <cell r="D7328" t="str">
            <v>H</v>
          </cell>
          <cell r="E7328">
            <v>42</v>
          </cell>
          <cell r="F7328">
            <v>0</v>
          </cell>
        </row>
        <row r="7329">
          <cell r="B7329">
            <v>88281</v>
          </cell>
          <cell r="C7329" t="str">
            <v>MOTORISTA DE BASCULANTE COM ENCARGOS COMPLEMENTARES</v>
          </cell>
          <cell r="D7329" t="str">
            <v>H</v>
          </cell>
          <cell r="E7329">
            <v>38.64</v>
          </cell>
          <cell r="F7329">
            <v>0</v>
          </cell>
        </row>
        <row r="7330">
          <cell r="B7330">
            <v>93558</v>
          </cell>
          <cell r="C7330" t="str">
            <v>MOTORISTA DE CAMINHAO COM ENCARGOS COMPLEMENTARES</v>
          </cell>
          <cell r="D7330" t="str">
            <v>MES</v>
          </cell>
          <cell r="E7330">
            <v>6470.88</v>
          </cell>
          <cell r="F7330">
            <v>0</v>
          </cell>
        </row>
        <row r="7331">
          <cell r="B7331">
            <v>101420</v>
          </cell>
          <cell r="C7331" t="str">
            <v>MOTORISTA DE CAMINHÃO BASCULANTE COM ENCARGOS COMPLEMENTARES</v>
          </cell>
          <cell r="D7331" t="str">
            <v>MES</v>
          </cell>
          <cell r="E7331">
            <v>6672.26</v>
          </cell>
          <cell r="F7331">
            <v>0</v>
          </cell>
        </row>
        <row r="7332">
          <cell r="B7332">
            <v>101421</v>
          </cell>
          <cell r="C7332" t="str">
            <v>MOTORISTA DE CAMINHÃO CARRETA COM ENCARGOS COMPLEMENTARES</v>
          </cell>
          <cell r="D7332" t="str">
            <v>MES</v>
          </cell>
          <cell r="E7332">
            <v>7723.34</v>
          </cell>
          <cell r="F7332">
            <v>0</v>
          </cell>
        </row>
        <row r="7333">
          <cell r="B7333">
            <v>88282</v>
          </cell>
          <cell r="C7333" t="str">
            <v>MOTORISTA DE CAMINHÃO COM ENCARGOS COMPLEMENTARES</v>
          </cell>
          <cell r="D7333" t="str">
            <v>H</v>
          </cell>
          <cell r="E7333">
            <v>37.49</v>
          </cell>
          <cell r="F7333">
            <v>0</v>
          </cell>
        </row>
        <row r="7334">
          <cell r="B7334">
            <v>88283</v>
          </cell>
          <cell r="C7334" t="str">
            <v>MOTORISTA DE CAMINHÃO E CARRETA COM ENCARGOS COMPLEMENTARES</v>
          </cell>
          <cell r="D7334" t="str">
            <v>H</v>
          </cell>
          <cell r="E7334">
            <v>44.67</v>
          </cell>
          <cell r="F7334">
            <v>0</v>
          </cell>
        </row>
        <row r="7335">
          <cell r="B7335">
            <v>101422</v>
          </cell>
          <cell r="C7335" t="str">
            <v>MOTORISTA DE CARRO DE PASSEIO COM ENCARGOS COMPLEMENTARES</v>
          </cell>
          <cell r="D7335" t="str">
            <v>MES</v>
          </cell>
          <cell r="E7335">
            <v>5612.91</v>
          </cell>
          <cell r="F7335">
            <v>0</v>
          </cell>
        </row>
        <row r="7336">
          <cell r="B7336">
            <v>88284</v>
          </cell>
          <cell r="C7336" t="str">
            <v>MOTORISTA DE VEÍCULO LEVE COM ENCARGOS COMPLEMENTARES</v>
          </cell>
          <cell r="D7336" t="str">
            <v>H</v>
          </cell>
          <cell r="E7336">
            <v>32.57</v>
          </cell>
          <cell r="F7336">
            <v>0</v>
          </cell>
        </row>
        <row r="7337">
          <cell r="B7337">
            <v>101424</v>
          </cell>
          <cell r="C7337" t="str">
            <v>MOTORISTA OPERADOR DE CAMINHÃO COM MUNCK COM ENCARGOS COMPLEMENTARES</v>
          </cell>
          <cell r="D7337" t="str">
            <v>MES</v>
          </cell>
          <cell r="E7337">
            <v>7094.36</v>
          </cell>
          <cell r="F7337">
            <v>0</v>
          </cell>
        </row>
        <row r="7338">
          <cell r="B7338">
            <v>88286</v>
          </cell>
          <cell r="C7338" t="str">
            <v>MOTORISTA OPERADOR DE MUNCK COM ENCARGOS COMPLEMENTARES</v>
          </cell>
          <cell r="D7338" t="str">
            <v>H</v>
          </cell>
          <cell r="E7338">
            <v>41.43</v>
          </cell>
          <cell r="F7338">
            <v>0</v>
          </cell>
        </row>
        <row r="7339">
          <cell r="B7339">
            <v>88288</v>
          </cell>
          <cell r="C7339" t="str">
            <v>NIVELADOR COM ENCARGOS COMPLEMENTARES</v>
          </cell>
          <cell r="D7339" t="str">
            <v>H</v>
          </cell>
          <cell r="E7339">
            <v>32.04</v>
          </cell>
          <cell r="F7339">
            <v>0</v>
          </cell>
        </row>
        <row r="7340">
          <cell r="B7340">
            <v>101425</v>
          </cell>
          <cell r="C7340" t="str">
            <v>NIVELADOR COM ENCARGOS COMPLEMENTARES</v>
          </cell>
          <cell r="D7340" t="str">
            <v>MES</v>
          </cell>
          <cell r="E7340">
            <v>5508.65</v>
          </cell>
          <cell r="F7340">
            <v>0</v>
          </cell>
        </row>
        <row r="7341">
          <cell r="B7341">
            <v>101426</v>
          </cell>
          <cell r="C7341" t="str">
            <v>OPERADOR DE BATE-ESTACA COM ENCARGOS COMPLEMENTARES</v>
          </cell>
          <cell r="D7341" t="str">
            <v>MES</v>
          </cell>
          <cell r="E7341">
            <v>6776.94</v>
          </cell>
          <cell r="F7341">
            <v>0</v>
          </cell>
        </row>
        <row r="7342">
          <cell r="B7342">
            <v>88291</v>
          </cell>
          <cell r="C7342" t="str">
            <v>OPERADOR DE BETONEIRA (CAMINHÃO) COM ENCARGOS COMPLEMENTARES</v>
          </cell>
          <cell r="D7342" t="str">
            <v>H</v>
          </cell>
          <cell r="E7342">
            <v>36.85</v>
          </cell>
          <cell r="F7342">
            <v>0</v>
          </cell>
        </row>
        <row r="7343">
          <cell r="B7343">
            <v>101427</v>
          </cell>
          <cell r="C7343" t="str">
            <v>OPERADOR DE BETONEIRA (CAMINHÃO) COM ENCARGOS COMPLEMENTARES</v>
          </cell>
          <cell r="D7343" t="str">
            <v>MES</v>
          </cell>
          <cell r="E7343">
            <v>6344.96</v>
          </cell>
          <cell r="F7343">
            <v>0</v>
          </cell>
        </row>
        <row r="7344">
          <cell r="B7344">
            <v>101428</v>
          </cell>
          <cell r="C7344" t="str">
            <v>OPERADOR DE BETONEIRA ESTACIONÁRIA COM ENCARGOS COMPLEMENTARES</v>
          </cell>
          <cell r="D7344" t="str">
            <v>MES</v>
          </cell>
          <cell r="E7344">
            <v>5877.76</v>
          </cell>
          <cell r="F7344">
            <v>0</v>
          </cell>
        </row>
        <row r="7345">
          <cell r="B7345">
            <v>88377</v>
          </cell>
          <cell r="C7345" t="str">
            <v>OPERADOR DE BETONEIRA ESTACIONÁRIA/MISTURADOR COM ENCARGOS COMPLEMENTARES</v>
          </cell>
          <cell r="D7345" t="str">
            <v>H</v>
          </cell>
          <cell r="E7345">
            <v>34.17</v>
          </cell>
          <cell r="F7345">
            <v>0</v>
          </cell>
        </row>
        <row r="7346">
          <cell r="B7346">
            <v>101429</v>
          </cell>
          <cell r="C7346" t="str">
            <v>OPERADOR DE COMPRESSOR DE AR OU COMPRESSORISTA COM ENCARGOS COMPLEMENTARES</v>
          </cell>
          <cell r="D7346" t="str">
            <v>MES</v>
          </cell>
          <cell r="E7346">
            <v>5588.66</v>
          </cell>
          <cell r="F7346">
            <v>0</v>
          </cell>
        </row>
        <row r="7347">
          <cell r="B7347">
            <v>88292</v>
          </cell>
          <cell r="C7347" t="str">
            <v>OPERADOR DE COMPRESSOR OU COMPRESSORISTA COM ENCARGOS COMPLEMENTARES</v>
          </cell>
          <cell r="D7347" t="str">
            <v>H</v>
          </cell>
          <cell r="E7347">
            <v>32.5</v>
          </cell>
          <cell r="F7347">
            <v>0</v>
          </cell>
        </row>
        <row r="7348">
          <cell r="B7348">
            <v>88293</v>
          </cell>
          <cell r="C7348" t="str">
            <v>OPERADOR DE DEMARCADORA DE FAIXAS COM ENCARGOS COMPLEMENTARES</v>
          </cell>
          <cell r="D7348" t="str">
            <v>H</v>
          </cell>
          <cell r="E7348">
            <v>36.85</v>
          </cell>
          <cell r="F7348">
            <v>0</v>
          </cell>
        </row>
        <row r="7349">
          <cell r="B7349">
            <v>101430</v>
          </cell>
          <cell r="C7349" t="str">
            <v>OPERADOR DE DEMARCADORA DE FAIXAS DE TRÁFEGO COM ENCARGOS COMPLEMENTARES</v>
          </cell>
          <cell r="D7349" t="str">
            <v>MES</v>
          </cell>
          <cell r="E7349">
            <v>6344.96</v>
          </cell>
          <cell r="F7349">
            <v>0</v>
          </cell>
        </row>
        <row r="7350">
          <cell r="B7350">
            <v>88294</v>
          </cell>
          <cell r="C7350" t="str">
            <v>OPERADOR DE ESCAVADEIRA COM ENCARGOS COMPLEMENTARES</v>
          </cell>
          <cell r="D7350" t="str">
            <v>H</v>
          </cell>
          <cell r="E7350">
            <v>46.63</v>
          </cell>
          <cell r="F7350">
            <v>0</v>
          </cell>
        </row>
        <row r="7351">
          <cell r="B7351">
            <v>101431</v>
          </cell>
          <cell r="C7351" t="str">
            <v>OPERADOR DE ESCAVADEIRA COM ENCARGOS COMPLEMENTARES</v>
          </cell>
          <cell r="D7351" t="str">
            <v>MES</v>
          </cell>
          <cell r="E7351">
            <v>8018.69</v>
          </cell>
          <cell r="F7351">
            <v>0</v>
          </cell>
        </row>
        <row r="7352">
          <cell r="B7352">
            <v>88295</v>
          </cell>
          <cell r="C7352" t="str">
            <v>OPERADOR DE GUINCHO COM ENCARGOS COMPLEMENTARES</v>
          </cell>
          <cell r="D7352" t="str">
            <v>H</v>
          </cell>
          <cell r="E7352">
            <v>34.94</v>
          </cell>
          <cell r="F7352">
            <v>0</v>
          </cell>
        </row>
        <row r="7353">
          <cell r="B7353">
            <v>101432</v>
          </cell>
          <cell r="C7353" t="str">
            <v>OPERADOR DE GUINCHO OU GUINCHEIRO COM ENCARGOS COMPLEMENTARES</v>
          </cell>
          <cell r="D7353" t="str">
            <v>MES</v>
          </cell>
          <cell r="E7353">
            <v>5975.34</v>
          </cell>
          <cell r="F7353">
            <v>0</v>
          </cell>
        </row>
        <row r="7354">
          <cell r="B7354">
            <v>88296</v>
          </cell>
          <cell r="C7354" t="str">
            <v>OPERADOR DE GUINDASTE COM ENCARGOS COMPLEMENTARES</v>
          </cell>
          <cell r="D7354" t="str">
            <v>H</v>
          </cell>
          <cell r="E7354">
            <v>35.86</v>
          </cell>
          <cell r="F7354">
            <v>0</v>
          </cell>
        </row>
        <row r="7355">
          <cell r="B7355">
            <v>101433</v>
          </cell>
          <cell r="C7355" t="str">
            <v>OPERADOR DE GUINDASTE COM ENCARGOS COMPLEMENTARES</v>
          </cell>
          <cell r="D7355" t="str">
            <v>MES</v>
          </cell>
          <cell r="E7355">
            <v>6134.93</v>
          </cell>
          <cell r="F7355">
            <v>0</v>
          </cell>
        </row>
        <row r="7356">
          <cell r="B7356">
            <v>101434</v>
          </cell>
          <cell r="C7356" t="str">
            <v>OPERADOR DE JATO ABRASIVO OU JATISTA COM ENCARGOS COMPLEMENTARES</v>
          </cell>
          <cell r="D7356" t="str">
            <v>MES</v>
          </cell>
          <cell r="E7356">
            <v>5053.6000000000004</v>
          </cell>
          <cell r="F7356">
            <v>0</v>
          </cell>
        </row>
        <row r="7357">
          <cell r="B7357">
            <v>88298</v>
          </cell>
          <cell r="C7357" t="str">
            <v>OPERADOR DE MARTELETE OU MARTELETEIRO COM ENCARGOS COMPLEMENTARES</v>
          </cell>
          <cell r="D7357" t="str">
            <v>H</v>
          </cell>
          <cell r="E7357">
            <v>34.729999999999997</v>
          </cell>
          <cell r="F7357">
            <v>0</v>
          </cell>
        </row>
        <row r="7358">
          <cell r="B7358">
            <v>101436</v>
          </cell>
          <cell r="C7358" t="str">
            <v>OPERADOR DE MARTELETE OU MARTELETEIRO COM ENCARGOS COMPLEMENTARES</v>
          </cell>
          <cell r="D7358" t="str">
            <v>MES</v>
          </cell>
          <cell r="E7358">
            <v>5975.34</v>
          </cell>
          <cell r="F7358">
            <v>0</v>
          </cell>
        </row>
        <row r="7359">
          <cell r="B7359">
            <v>101437</v>
          </cell>
          <cell r="C7359" t="str">
            <v>OPERADOR DE MOTO SCRAPER COM ENCARGOS COMPLEMENTARES</v>
          </cell>
          <cell r="D7359" t="str">
            <v>MES</v>
          </cell>
          <cell r="E7359">
            <v>8259.65</v>
          </cell>
          <cell r="F7359">
            <v>0</v>
          </cell>
        </row>
        <row r="7360">
          <cell r="B7360">
            <v>88299</v>
          </cell>
          <cell r="C7360" t="str">
            <v>OPERADOR DE MOTO-ESCREIPER COM ENCARGOS COMPLEMENTARES</v>
          </cell>
          <cell r="D7360" t="str">
            <v>H</v>
          </cell>
          <cell r="E7360">
            <v>47.86</v>
          </cell>
          <cell r="F7360">
            <v>0</v>
          </cell>
        </row>
        <row r="7361">
          <cell r="B7361">
            <v>88300</v>
          </cell>
          <cell r="C7361" t="str">
            <v>OPERADOR DE MOTONIVELADORA COM ENCARGOS COMPLEMENTARES</v>
          </cell>
          <cell r="D7361" t="str">
            <v>H</v>
          </cell>
          <cell r="E7361">
            <v>47.86</v>
          </cell>
          <cell r="F7361">
            <v>0</v>
          </cell>
        </row>
        <row r="7362">
          <cell r="B7362">
            <v>101438</v>
          </cell>
          <cell r="C7362" t="str">
            <v>OPERADOR DE MOTONIVELADORA COM ENCARGOS COMPLEMENTARES</v>
          </cell>
          <cell r="D7362" t="str">
            <v>MES</v>
          </cell>
          <cell r="E7362">
            <v>8259.65</v>
          </cell>
          <cell r="F7362">
            <v>0</v>
          </cell>
        </row>
        <row r="7363">
          <cell r="B7363">
            <v>88297</v>
          </cell>
          <cell r="C7363" t="str">
            <v>OPERADOR DE MÁQUINAS E EQUIPAMENTOS COM ENCARGOS COMPLEMENTARES</v>
          </cell>
          <cell r="D7363" t="str">
            <v>H</v>
          </cell>
          <cell r="E7363">
            <v>39.06</v>
          </cell>
          <cell r="F7363">
            <v>0</v>
          </cell>
        </row>
        <row r="7364">
          <cell r="B7364">
            <v>101435</v>
          </cell>
          <cell r="C7364" t="str">
            <v>OPERADOR DE MÁQUINAS E TRATORES DIVERSOS COM ENCARGOS COMPLEMENTARES</v>
          </cell>
          <cell r="D7364" t="str">
            <v>MES</v>
          </cell>
          <cell r="E7364">
            <v>6710.57</v>
          </cell>
          <cell r="F7364">
            <v>0</v>
          </cell>
        </row>
        <row r="7365">
          <cell r="B7365">
            <v>101440</v>
          </cell>
          <cell r="C7365" t="str">
            <v>OPERADOR DE PAVIMENTADORA / MESA VIBROACABADORA COM ENCARGOS COMPLEMENTARES</v>
          </cell>
          <cell r="D7365" t="str">
            <v>MES</v>
          </cell>
          <cell r="E7365">
            <v>6344.96</v>
          </cell>
          <cell r="F7365">
            <v>0</v>
          </cell>
        </row>
        <row r="7366">
          <cell r="B7366">
            <v>88302</v>
          </cell>
          <cell r="C7366" t="str">
            <v>OPERADOR DE PAVIMENTADORA COM ENCARGOS COMPLEMENTARES</v>
          </cell>
          <cell r="D7366" t="str">
            <v>H</v>
          </cell>
          <cell r="E7366">
            <v>36.85</v>
          </cell>
          <cell r="F7366">
            <v>0</v>
          </cell>
        </row>
        <row r="7367">
          <cell r="B7367">
            <v>88301</v>
          </cell>
          <cell r="C7367" t="str">
            <v>OPERADOR DE PÁ CARREGADEIRA COM ENCARGOS COMPLEMENTARES</v>
          </cell>
          <cell r="D7367" t="str">
            <v>H</v>
          </cell>
          <cell r="E7367">
            <v>36.85</v>
          </cell>
          <cell r="F7367">
            <v>0</v>
          </cell>
        </row>
        <row r="7368">
          <cell r="B7368">
            <v>101439</v>
          </cell>
          <cell r="C7368" t="str">
            <v>OPERADOR DE PÁ CARREGADEIRA COM ENCARGOS COMPLEMENTARES</v>
          </cell>
          <cell r="D7368" t="str">
            <v>MES</v>
          </cell>
          <cell r="E7368">
            <v>6344.96</v>
          </cell>
          <cell r="F7368">
            <v>0</v>
          </cell>
        </row>
        <row r="7369">
          <cell r="B7369">
            <v>88303</v>
          </cell>
          <cell r="C7369" t="str">
            <v>OPERADOR DE ROLO COMPACTADOR COM ENCARGOS COMPLEMENTARES</v>
          </cell>
          <cell r="D7369" t="str">
            <v>H</v>
          </cell>
          <cell r="E7369">
            <v>37.380000000000003</v>
          </cell>
          <cell r="F7369">
            <v>0</v>
          </cell>
        </row>
        <row r="7370">
          <cell r="B7370">
            <v>101441</v>
          </cell>
          <cell r="C7370" t="str">
            <v>OPERADOR DE ROLO COMPACTADOR COM ENCARGOS COMPLEMENTARES</v>
          </cell>
          <cell r="D7370" t="str">
            <v>MES</v>
          </cell>
          <cell r="E7370">
            <v>6433.96</v>
          </cell>
          <cell r="F7370">
            <v>0</v>
          </cell>
        </row>
        <row r="7371">
          <cell r="B7371">
            <v>88304</v>
          </cell>
          <cell r="C7371" t="str">
            <v>OPERADOR DE USINA DE ASFALTO, DE SOLOS OU DE CONCRETO COM ENCARGOS COMPLEMENTARES</v>
          </cell>
          <cell r="D7371" t="str">
            <v>H</v>
          </cell>
          <cell r="E7371">
            <v>47.86</v>
          </cell>
          <cell r="F7371">
            <v>0</v>
          </cell>
        </row>
        <row r="7372">
          <cell r="B7372">
            <v>101443</v>
          </cell>
          <cell r="C7372" t="str">
            <v>OPERADOR DE USINA DE ASFALTO, DE SOLOS OU DE CONCRETO COM ENCARGOS COMPLEMENTARES</v>
          </cell>
          <cell r="D7372" t="str">
            <v>MES</v>
          </cell>
          <cell r="E7372">
            <v>8259.65</v>
          </cell>
          <cell r="F7372">
            <v>0</v>
          </cell>
        </row>
        <row r="7373">
          <cell r="B7373">
            <v>88306</v>
          </cell>
          <cell r="C7373" t="str">
            <v>OPERADOR JATO DE AREIA OU JATISTA COM ENCARGOS COMPLEMENTARES</v>
          </cell>
          <cell r="D7373" t="str">
            <v>H</v>
          </cell>
          <cell r="E7373">
            <v>29.49</v>
          </cell>
          <cell r="F7373">
            <v>0</v>
          </cell>
        </row>
        <row r="7374">
          <cell r="B7374">
            <v>88307</v>
          </cell>
          <cell r="C7374" t="str">
            <v>OPERADOR PARA BATE ESTACAS COM ENCARGOS COMPLEMENTARES</v>
          </cell>
          <cell r="D7374" t="str">
            <v>H</v>
          </cell>
          <cell r="E7374">
            <v>39.340000000000003</v>
          </cell>
          <cell r="F7374">
            <v>0</v>
          </cell>
        </row>
        <row r="7375">
          <cell r="B7375">
            <v>88308</v>
          </cell>
          <cell r="C7375" t="str">
            <v>PASTILHEIRO COM ENCARGOS COMPLEMENTARES</v>
          </cell>
          <cell r="D7375" t="str">
            <v>H</v>
          </cell>
          <cell r="E7375">
            <v>35.700000000000003</v>
          </cell>
          <cell r="F7375">
            <v>0</v>
          </cell>
        </row>
        <row r="7376">
          <cell r="B7376">
            <v>101444</v>
          </cell>
          <cell r="C7376" t="str">
            <v>PASTILHEIRO COM ENCARGOS COMPLEMENTARES</v>
          </cell>
          <cell r="D7376" t="str">
            <v>MES</v>
          </cell>
          <cell r="E7376">
            <v>6103.15</v>
          </cell>
          <cell r="F7376">
            <v>0</v>
          </cell>
        </row>
        <row r="7377">
          <cell r="B7377">
            <v>88309</v>
          </cell>
          <cell r="C7377" t="str">
            <v>PEDREIRO COM ENCARGOS COMPLEMENTARES</v>
          </cell>
          <cell r="D7377" t="str">
            <v>H</v>
          </cell>
          <cell r="E7377">
            <v>35.869999999999997</v>
          </cell>
          <cell r="F7377">
            <v>0</v>
          </cell>
        </row>
        <row r="7378">
          <cell r="B7378">
            <v>101445</v>
          </cell>
          <cell r="C7378" t="str">
            <v>PEDREIRO COM ENCARGOS COMPLEMENTARES</v>
          </cell>
          <cell r="D7378" t="str">
            <v>MES</v>
          </cell>
          <cell r="E7378">
            <v>6103.15</v>
          </cell>
          <cell r="F7378">
            <v>0</v>
          </cell>
        </row>
        <row r="7379">
          <cell r="B7379">
            <v>88310</v>
          </cell>
          <cell r="C7379" t="str">
            <v>PINTOR COM ENCARGOS COMPLEMENTARES</v>
          </cell>
          <cell r="D7379" t="str">
            <v>H</v>
          </cell>
          <cell r="E7379">
            <v>37.450000000000003</v>
          </cell>
          <cell r="F7379">
            <v>0</v>
          </cell>
        </row>
        <row r="7380">
          <cell r="B7380">
            <v>101446</v>
          </cell>
          <cell r="C7380" t="str">
            <v>PINTOR COM ENCARGOS COMPLEMENTARES</v>
          </cell>
          <cell r="D7380" t="str">
            <v>MES</v>
          </cell>
          <cell r="E7380">
            <v>6393.5</v>
          </cell>
          <cell r="F7380">
            <v>0</v>
          </cell>
        </row>
        <row r="7381">
          <cell r="B7381">
            <v>88311</v>
          </cell>
          <cell r="C7381" t="str">
            <v>PINTOR DE LETREIROS COM ENCARGOS COMPLEMENTARES</v>
          </cell>
          <cell r="D7381" t="str">
            <v>H</v>
          </cell>
          <cell r="E7381">
            <v>35.380000000000003</v>
          </cell>
          <cell r="F7381">
            <v>0</v>
          </cell>
        </row>
        <row r="7382">
          <cell r="B7382">
            <v>101447</v>
          </cell>
          <cell r="C7382" t="str">
            <v>PINTOR DE LETREIROS COM ENCARGOS COMPLEMENTARES</v>
          </cell>
          <cell r="D7382" t="str">
            <v>MES</v>
          </cell>
          <cell r="E7382">
            <v>6038.71</v>
          </cell>
          <cell r="F7382">
            <v>0</v>
          </cell>
        </row>
        <row r="7383">
          <cell r="B7383">
            <v>88312</v>
          </cell>
          <cell r="C7383" t="str">
            <v>PINTOR PARA TINTA EPÓXI COM ENCARGOS COMPLEMENTARES</v>
          </cell>
          <cell r="D7383" t="str">
            <v>H</v>
          </cell>
          <cell r="E7383">
            <v>37.450000000000003</v>
          </cell>
          <cell r="F7383">
            <v>0</v>
          </cell>
        </row>
        <row r="7384">
          <cell r="B7384">
            <v>101448</v>
          </cell>
          <cell r="C7384" t="str">
            <v>PINTOR PARA TINTA EPÓXI COM ENCARGOS COMPLEMENTARES</v>
          </cell>
          <cell r="D7384" t="str">
            <v>MES</v>
          </cell>
          <cell r="E7384">
            <v>6393.5</v>
          </cell>
          <cell r="F7384">
            <v>0</v>
          </cell>
        </row>
        <row r="7385">
          <cell r="B7385">
            <v>101449</v>
          </cell>
          <cell r="C7385" t="str">
            <v>POCEIRO / ESCAVADOR DE VALAS COM ENCARGOS COMPLEMENTARES</v>
          </cell>
          <cell r="D7385" t="str">
            <v>MES</v>
          </cell>
          <cell r="E7385">
            <v>5975.34</v>
          </cell>
          <cell r="F7385">
            <v>0</v>
          </cell>
        </row>
        <row r="7386">
          <cell r="B7386">
            <v>88313</v>
          </cell>
          <cell r="C7386" t="str">
            <v>POCEIRO COM ENCARGOS COMPLEMENTARES</v>
          </cell>
          <cell r="D7386" t="str">
            <v>H</v>
          </cell>
          <cell r="E7386">
            <v>35.07</v>
          </cell>
          <cell r="F7386">
            <v>0</v>
          </cell>
        </row>
        <row r="7387">
          <cell r="B7387">
            <v>88314</v>
          </cell>
          <cell r="C7387" t="str">
            <v>RASTELEIRO COM ENCARGOS COMPLEMENTARES</v>
          </cell>
          <cell r="D7387" t="str">
            <v>H</v>
          </cell>
          <cell r="E7387">
            <v>34.17</v>
          </cell>
          <cell r="F7387">
            <v>0</v>
          </cell>
        </row>
        <row r="7388">
          <cell r="B7388">
            <v>88315</v>
          </cell>
          <cell r="C7388" t="str">
            <v>SERRALHEIRO COM ENCARGOS COMPLEMENTARES</v>
          </cell>
          <cell r="D7388" t="str">
            <v>H</v>
          </cell>
          <cell r="E7388">
            <v>36.31</v>
          </cell>
          <cell r="F7388">
            <v>0</v>
          </cell>
        </row>
        <row r="7389">
          <cell r="B7389">
            <v>101451</v>
          </cell>
          <cell r="C7389" t="str">
            <v>SERRALHEIRO COM ENCARGOS COMPLEMENTARES</v>
          </cell>
          <cell r="D7389" t="str">
            <v>MES</v>
          </cell>
          <cell r="E7389">
            <v>6225.94</v>
          </cell>
          <cell r="F7389">
            <v>0</v>
          </cell>
        </row>
        <row r="7390">
          <cell r="B7390">
            <v>88316</v>
          </cell>
          <cell r="C7390" t="str">
            <v>SERVENTE COM ENCARGOS COMPLEMENTARES</v>
          </cell>
          <cell r="D7390" t="str">
            <v>H</v>
          </cell>
          <cell r="E7390">
            <v>31.15</v>
          </cell>
          <cell r="F7390">
            <v>0</v>
          </cell>
        </row>
        <row r="7391">
          <cell r="B7391">
            <v>101452</v>
          </cell>
          <cell r="C7391" t="str">
            <v>SERVENTE DE OBRAS COM ENCARGOS COMPLEMENTARES</v>
          </cell>
          <cell r="D7391" t="str">
            <v>MES</v>
          </cell>
          <cell r="E7391">
            <v>5293.4</v>
          </cell>
          <cell r="F7391">
            <v>0</v>
          </cell>
        </row>
        <row r="7392">
          <cell r="B7392">
            <v>88318</v>
          </cell>
          <cell r="C7392" t="str">
            <v>SOLDADOR A (PARA SOLDA A SER TESTADA COM RAIOS "X") COM ENCARGOS COMPLEMENTARES</v>
          </cell>
          <cell r="D7392" t="str">
            <v>H</v>
          </cell>
          <cell r="E7392">
            <v>42.34</v>
          </cell>
          <cell r="F7392">
            <v>0</v>
          </cell>
        </row>
        <row r="7393">
          <cell r="B7393">
            <v>88317</v>
          </cell>
          <cell r="C7393" t="str">
            <v>SOLDADOR COM ENCARGOS COMPLEMENTARES</v>
          </cell>
          <cell r="D7393" t="str">
            <v>H</v>
          </cell>
          <cell r="E7393">
            <v>40.049999999999997</v>
          </cell>
          <cell r="F7393">
            <v>0</v>
          </cell>
        </row>
        <row r="7394">
          <cell r="B7394">
            <v>101453</v>
          </cell>
          <cell r="C7394" t="str">
            <v>SOLDADOR COM ENCARGOS COMPLEMENTARES</v>
          </cell>
          <cell r="D7394" t="str">
            <v>MES</v>
          </cell>
          <cell r="E7394">
            <v>6861.24</v>
          </cell>
          <cell r="F7394">
            <v>0</v>
          </cell>
        </row>
        <row r="7395">
          <cell r="B7395">
            <v>101454</v>
          </cell>
          <cell r="C7395" t="str">
            <v>SOLDADOR ELÉTRICO COM ENCARGOS COMPLEMENTARES</v>
          </cell>
          <cell r="D7395" t="str">
            <v>MES</v>
          </cell>
          <cell r="E7395">
            <v>7257.88</v>
          </cell>
          <cell r="F7395">
            <v>0</v>
          </cell>
        </row>
        <row r="7396">
          <cell r="B7396">
            <v>100533</v>
          </cell>
          <cell r="C7396" t="str">
            <v>TECNICO DE EDIFICACOES COM ENCARGOS COMPLEMENTARES</v>
          </cell>
          <cell r="D7396" t="str">
            <v>H</v>
          </cell>
          <cell r="E7396">
            <v>72.55</v>
          </cell>
          <cell r="F7396">
            <v>0</v>
          </cell>
        </row>
        <row r="7397">
          <cell r="B7397">
            <v>100534</v>
          </cell>
          <cell r="C7397" t="str">
            <v>TECNICO DE EDIFICACOES COM ENCARGOS COMPLEMENTARES</v>
          </cell>
          <cell r="D7397" t="str">
            <v>MES</v>
          </cell>
          <cell r="E7397">
            <v>12432.12</v>
          </cell>
          <cell r="F7397">
            <v>0</v>
          </cell>
        </row>
        <row r="7398">
          <cell r="B7398">
            <v>88323</v>
          </cell>
          <cell r="C7398" t="str">
            <v>TELHADISTA COM ENCARGOS COMPLEMENTARES</v>
          </cell>
          <cell r="D7398" t="str">
            <v>H</v>
          </cell>
          <cell r="E7398">
            <v>35.159999999999997</v>
          </cell>
          <cell r="F7398">
            <v>0</v>
          </cell>
        </row>
        <row r="7399">
          <cell r="B7399">
            <v>101458</v>
          </cell>
          <cell r="C7399" t="str">
            <v>TELHADOR COM ENCARGOS COMPLEMENTARES</v>
          </cell>
          <cell r="D7399" t="str">
            <v>MES</v>
          </cell>
          <cell r="E7399">
            <v>6026.2</v>
          </cell>
          <cell r="F7399">
            <v>0</v>
          </cell>
        </row>
        <row r="7400">
          <cell r="B7400">
            <v>90781</v>
          </cell>
          <cell r="C7400" t="str">
            <v>TOPOGRAFO COM ENCARGOS COMPLEMENTARES</v>
          </cell>
          <cell r="D7400" t="str">
            <v>H</v>
          </cell>
          <cell r="E7400">
            <v>88.95</v>
          </cell>
          <cell r="F7400">
            <v>0</v>
          </cell>
        </row>
        <row r="7401">
          <cell r="B7401">
            <v>94296</v>
          </cell>
          <cell r="C7401" t="str">
            <v>TOPOGRAFO COM ENCARGOS COMPLEMENTARES</v>
          </cell>
          <cell r="D7401" t="str">
            <v>MES</v>
          </cell>
          <cell r="E7401">
            <v>15391.28</v>
          </cell>
          <cell r="F7401">
            <v>0</v>
          </cell>
        </row>
        <row r="7402">
          <cell r="B7402">
            <v>88324</v>
          </cell>
          <cell r="C7402" t="str">
            <v>TRATORISTA COM ENCARGOS COMPLEMENTARES</v>
          </cell>
          <cell r="D7402" t="str">
            <v>H</v>
          </cell>
          <cell r="E7402">
            <v>39.06</v>
          </cell>
          <cell r="F7402">
            <v>0</v>
          </cell>
        </row>
        <row r="7403">
          <cell r="B7403">
            <v>88321</v>
          </cell>
          <cell r="C7403" t="str">
            <v>TÉCNICO DE LABORATÓRIO COM ENCARGOS COMPLEMENTARES</v>
          </cell>
          <cell r="D7403" t="str">
            <v>H</v>
          </cell>
          <cell r="E7403">
            <v>69.53</v>
          </cell>
          <cell r="F7403">
            <v>0</v>
          </cell>
        </row>
        <row r="7404">
          <cell r="B7404">
            <v>101456</v>
          </cell>
          <cell r="C7404" t="str">
            <v>TÉCNICO DE LABORATÓRIO E CAMPO DE CONSTRUÇÃO COM ENCARGOS COMPLEMENTARES</v>
          </cell>
          <cell r="D7404" t="str">
            <v>MES</v>
          </cell>
          <cell r="E7404">
            <v>12022.11</v>
          </cell>
          <cell r="F7404">
            <v>0</v>
          </cell>
        </row>
        <row r="7405">
          <cell r="B7405">
            <v>100309</v>
          </cell>
          <cell r="C7405" t="str">
            <v>TÉCNICO EM SEGURANÇA DO TRABALHO COM ENCARGOS COMPLEMENTARES</v>
          </cell>
          <cell r="D7405" t="str">
            <v>H</v>
          </cell>
          <cell r="E7405">
            <v>83.83</v>
          </cell>
          <cell r="F7405">
            <v>0</v>
          </cell>
        </row>
        <row r="7406">
          <cell r="B7406">
            <v>100321</v>
          </cell>
          <cell r="C7406" t="str">
            <v>TÉCNICO EM SEGURANÇA DO TRABALHO COM ENCARGOS COMPLEMENTARES</v>
          </cell>
          <cell r="D7406" t="str">
            <v>MES</v>
          </cell>
          <cell r="E7406">
            <v>14380.83</v>
          </cell>
          <cell r="F7406">
            <v>0</v>
          </cell>
        </row>
        <row r="7407">
          <cell r="B7407">
            <v>88322</v>
          </cell>
          <cell r="C7407" t="str">
            <v>TÉCNICO EM SONDAGEM COM ENCARGOS COMPLEMENTARES</v>
          </cell>
          <cell r="D7407" t="str">
            <v>H</v>
          </cell>
          <cell r="E7407">
            <v>41.95</v>
          </cell>
          <cell r="F7407">
            <v>0</v>
          </cell>
        </row>
        <row r="7408">
          <cell r="B7408">
            <v>101457</v>
          </cell>
          <cell r="C7408" t="str">
            <v>TÉCNICO EM SONDAGEM COM ENCARGOS COMPLEMENTARES</v>
          </cell>
          <cell r="D7408" t="str">
            <v>MES</v>
          </cell>
          <cell r="E7408">
            <v>7209.15</v>
          </cell>
          <cell r="F7408">
            <v>0</v>
          </cell>
        </row>
        <row r="7409">
          <cell r="B7409">
            <v>88325</v>
          </cell>
          <cell r="C7409" t="str">
            <v>VIDRACEIRO COM ENCARGOS COMPLEMENTARES</v>
          </cell>
          <cell r="D7409" t="str">
            <v>H</v>
          </cell>
          <cell r="E7409">
            <v>30.99</v>
          </cell>
          <cell r="F7409">
            <v>0</v>
          </cell>
        </row>
        <row r="7410">
          <cell r="B7410">
            <v>101459</v>
          </cell>
          <cell r="C7410" t="str">
            <v>VIDRACEIRO COM ENCARGOS COMPLEMENTARES</v>
          </cell>
          <cell r="D7410" t="str">
            <v>MES</v>
          </cell>
          <cell r="E7410">
            <v>5291.84</v>
          </cell>
          <cell r="F7410">
            <v>0</v>
          </cell>
        </row>
        <row r="7411">
          <cell r="B7411">
            <v>100289</v>
          </cell>
          <cell r="C7411" t="str">
            <v>VIGIA DIURNO COM ENCARGOS COMPLEMENTARES</v>
          </cell>
          <cell r="D7411" t="str">
            <v>H</v>
          </cell>
          <cell r="E7411">
            <v>33.369999999999997</v>
          </cell>
          <cell r="F7411">
            <v>0</v>
          </cell>
        </row>
        <row r="7412">
          <cell r="B7412">
            <v>101460</v>
          </cell>
          <cell r="C7412" t="str">
            <v>VIGIA DIURNO COM ENCARGOS COMPLEMENTARES</v>
          </cell>
          <cell r="D7412" t="str">
            <v>MES</v>
          </cell>
          <cell r="E7412">
            <v>5742.83</v>
          </cell>
          <cell r="F7412">
            <v>0</v>
          </cell>
        </row>
        <row r="7413">
          <cell r="B7413">
            <v>105011</v>
          </cell>
          <cell r="C7413" t="str">
            <v>EXECUÇÃO DE LINHAS DE REFERÊNCIA EM GABARITO OU CAVALETE. AF_03/2024</v>
          </cell>
          <cell r="D7413" t="str">
            <v>M</v>
          </cell>
          <cell r="E7413">
            <v>0.7</v>
          </cell>
          <cell r="F7413">
            <v>0</v>
          </cell>
        </row>
        <row r="7414">
          <cell r="B7414">
            <v>99061</v>
          </cell>
          <cell r="C7414" t="str">
            <v>LOCAÇÃO COM CAVALETE COM ALTURA DE 0,50 M - 2 UTILIZAÇÕES. AF_03/2024</v>
          </cell>
          <cell r="D7414" t="str">
            <v>UN</v>
          </cell>
          <cell r="E7414">
            <v>149.97</v>
          </cell>
          <cell r="F7414">
            <v>0</v>
          </cell>
        </row>
        <row r="7415">
          <cell r="B7415">
            <v>99060</v>
          </cell>
          <cell r="C7415" t="str">
            <v>LOCAÇÃO COM CAVALETE COM ALTURA DE 1,00 M - 2 UTILIZAÇÕES. AF_03/2024</v>
          </cell>
          <cell r="D7415" t="str">
            <v>UN</v>
          </cell>
          <cell r="E7415">
            <v>243.01</v>
          </cell>
          <cell r="F7415">
            <v>0</v>
          </cell>
        </row>
        <row r="7416">
          <cell r="B7416">
            <v>105008</v>
          </cell>
          <cell r="C7416" t="str">
            <v>LOCAÇÃO COM USO EXCLUSIVO DE EQUIPAMENTO TOPOGRÁFICO. AF_03/2024</v>
          </cell>
          <cell r="D7416" t="str">
            <v>UN</v>
          </cell>
          <cell r="E7416">
            <v>0</v>
          </cell>
        </row>
        <row r="7417">
          <cell r="B7417">
            <v>105009</v>
          </cell>
          <cell r="C7417" t="str">
            <v>LOCAÇÃO CONVENCIONAL DE OBRA, UTILIZANDO GABARITO DE TÁBUAS CORRIDAS PONTALETADAS A CADA 1,50M - 2 UTILIZAÇÕES. AF_03/2024</v>
          </cell>
          <cell r="D7417" t="str">
            <v>M</v>
          </cell>
          <cell r="E7417">
            <v>98.75</v>
          </cell>
          <cell r="F7417">
            <v>0</v>
          </cell>
        </row>
        <row r="7418">
          <cell r="B7418">
            <v>99059</v>
          </cell>
          <cell r="C7418" t="str">
            <v>LOCAÇÃO CONVENCIONAL DE OBRA, UTILIZANDO GABARITO DE TÁBUAS CORRIDAS PONTALETADAS A CADA 2,00M - 2 UTILIZAÇÕES. AF_03/2024</v>
          </cell>
          <cell r="D7418" t="str">
            <v>M</v>
          </cell>
          <cell r="E7418">
            <v>80.010000000000005</v>
          </cell>
          <cell r="F7418">
            <v>0</v>
          </cell>
        </row>
        <row r="7419">
          <cell r="B7419">
            <v>105137</v>
          </cell>
          <cell r="C7419" t="str">
            <v>LOCAÇÃO DE PAVIMENTAÇÃO. AF_03/2024</v>
          </cell>
          <cell r="D7419" t="str">
            <v>M</v>
          </cell>
          <cell r="E7419">
            <v>0</v>
          </cell>
        </row>
        <row r="7420">
          <cell r="B7420">
            <v>105136</v>
          </cell>
          <cell r="C7420" t="str">
            <v>LOCAÇÃO DE PONTO PARA REFERÊNCIA TOPOGRÁFICA. AF_03/2024</v>
          </cell>
          <cell r="D7420" t="str">
            <v>UN</v>
          </cell>
          <cell r="E7420">
            <v>0</v>
          </cell>
        </row>
        <row r="7421">
          <cell r="B7421">
            <v>105007</v>
          </cell>
          <cell r="C7421" t="str">
            <v>LOCAÇÃO DE PRAÇAS EM PONTALETEAMENTO. AF_03/2024</v>
          </cell>
          <cell r="D7421" t="str">
            <v>UN</v>
          </cell>
          <cell r="E7421">
            <v>50.42</v>
          </cell>
          <cell r="F7421">
            <v>0</v>
          </cell>
        </row>
        <row r="7422">
          <cell r="B7422">
            <v>99063</v>
          </cell>
          <cell r="C7422" t="str">
            <v>LOCAÇÃO DE REDE DE ÁGUA OU ESGOTO. AF_03/2024</v>
          </cell>
          <cell r="D7422" t="str">
            <v>M</v>
          </cell>
          <cell r="E7422">
            <v>11.9</v>
          </cell>
          <cell r="F7422">
            <v>0</v>
          </cell>
        </row>
        <row r="7423">
          <cell r="B7423">
            <v>105010</v>
          </cell>
          <cell r="C7423" t="str">
            <v>MARCAÇÃO DE PONTOS EM GABARITO OU CAVALETE, COM USO DE ESTAÇÃO TOTAL. AF_03/2024</v>
          </cell>
          <cell r="D7423" t="str">
            <v>UN</v>
          </cell>
          <cell r="E7423">
            <v>0</v>
          </cell>
        </row>
        <row r="7424">
          <cell r="B7424">
            <v>99062</v>
          </cell>
          <cell r="C7424" t="str">
            <v>MARCAÇÃO DE PONTOS EM GABARITO OU CAVALETE. AF_03/2024</v>
          </cell>
          <cell r="D7424" t="str">
            <v>UN</v>
          </cell>
          <cell r="E7424">
            <v>2.71</v>
          </cell>
          <cell r="F7424">
            <v>0</v>
          </cell>
        </row>
        <row r="7425">
          <cell r="B7425">
            <v>100857</v>
          </cell>
          <cell r="C7425" t="str">
            <v>ACABAMENTO MONOCOMANDO PARA CHUVEIRO - FORNECIMENTO E INSTALAÇÃO. AF_01/2020</v>
          </cell>
          <cell r="D7425" t="str">
            <v>UN</v>
          </cell>
          <cell r="E7425">
            <v>468.55</v>
          </cell>
          <cell r="F7425">
            <v>0</v>
          </cell>
        </row>
        <row r="7426">
          <cell r="B7426">
            <v>86905</v>
          </cell>
          <cell r="C7426" t="str">
            <v>APARELHO MISTURADOR DE MESA PARA LAVATÓRIO, PADRÃO MÉDIO - FORNECIMENTO E INSTALAÇÃO. AF_01/2020</v>
          </cell>
          <cell r="D7426" t="str">
            <v>UN</v>
          </cell>
          <cell r="E7426">
            <v>365.22</v>
          </cell>
          <cell r="F7426">
            <v>0</v>
          </cell>
        </row>
        <row r="7427">
          <cell r="B7427">
            <v>86908</v>
          </cell>
          <cell r="C7427" t="str">
            <v>APARELHO MISTURADOR DE MESA PARA PIA DE COZINHA, PADRÃO MÉDIO - FORNECIMENTO E INSTALAÇÃO. AF_01/2020</v>
          </cell>
          <cell r="D7427" t="str">
            <v>UN</v>
          </cell>
          <cell r="E7427">
            <v>430.16</v>
          </cell>
          <cell r="F7427">
            <v>0</v>
          </cell>
        </row>
        <row r="7428">
          <cell r="B7428">
            <v>100849</v>
          </cell>
          <cell r="C7428" t="str">
            <v>ASSENTO SANITÁRIO CONVENCIONAL - FORNECIMENTO E INSTALACAO. AF_01/2020</v>
          </cell>
          <cell r="D7428" t="str">
            <v>UN</v>
          </cell>
          <cell r="E7428">
            <v>47.92</v>
          </cell>
          <cell r="F7428">
            <v>0</v>
          </cell>
        </row>
        <row r="7429">
          <cell r="B7429">
            <v>100851</v>
          </cell>
          <cell r="C7429" t="str">
            <v>ASSENTO SANITÁRIO INFANTIL - FORNECIMENTO E INSTALACAO. AF_01/2020</v>
          </cell>
          <cell r="D7429" t="str">
            <v>UN</v>
          </cell>
          <cell r="E7429">
            <v>93.27</v>
          </cell>
          <cell r="F7429">
            <v>0</v>
          </cell>
        </row>
        <row r="7430">
          <cell r="B7430">
            <v>100850</v>
          </cell>
          <cell r="C7430" t="str">
            <v>ASSENTO SANITÁRIO PARA PCD - FORNECIMENTO E INSTALACAO. AF_01/2020</v>
          </cell>
          <cell r="D7430" t="str">
            <v>UN</v>
          </cell>
          <cell r="E7430">
            <v>0</v>
          </cell>
        </row>
        <row r="7431">
          <cell r="B7431">
            <v>86895</v>
          </cell>
          <cell r="C7431" t="str">
            <v>BANCADA DE GRANITO CINZA POLIDO, DE 0,50 X 0,60 M, PARA LAVATÓRIO - FORNECIMENTO E INSTALAÇÃO. AF_01/2020</v>
          </cell>
          <cell r="D7431" t="str">
            <v>UN</v>
          </cell>
          <cell r="E7431">
            <v>404.94</v>
          </cell>
          <cell r="F7431">
            <v>0</v>
          </cell>
        </row>
        <row r="7432">
          <cell r="B7432">
            <v>86889</v>
          </cell>
          <cell r="C7432" t="str">
            <v>BANCADA DE GRANITO CINZA POLIDO, DE 1,50 X 0,60 M, PARA PIA DE COZINHA - FORNECIMENTO E INSTALAÇÃO. AF_01/2020</v>
          </cell>
          <cell r="D7432" t="str">
            <v>UN</v>
          </cell>
          <cell r="E7432">
            <v>823.53</v>
          </cell>
          <cell r="F7432">
            <v>0</v>
          </cell>
        </row>
        <row r="7433">
          <cell r="B7433">
            <v>86899</v>
          </cell>
          <cell r="C7433" t="str">
            <v>BANCADA DE MÁRMORE BRANCO POLIDO, DE 0,50 X 0,60 M, PARA LAVATÓRIO - FORNECIMENTO E INSTALAÇÃO. AF_01/2020</v>
          </cell>
          <cell r="D7433" t="str">
            <v>UN</v>
          </cell>
          <cell r="E7433">
            <v>394.02</v>
          </cell>
          <cell r="F7433">
            <v>0</v>
          </cell>
        </row>
        <row r="7434">
          <cell r="B7434">
            <v>86893</v>
          </cell>
          <cell r="C7434" t="str">
            <v>BANCADA DE MÁRMORE BRANCO POLIDO, DE 1,50 X 0,60 M, PARA PIA DE COZINHA - FORNECIMENTO E INSTALAÇÃO. AF_01/2020</v>
          </cell>
          <cell r="D7434" t="str">
            <v>UN</v>
          </cell>
          <cell r="E7434">
            <v>794.41</v>
          </cell>
          <cell r="F7434">
            <v>0</v>
          </cell>
        </row>
        <row r="7435">
          <cell r="B7435">
            <v>86934</v>
          </cell>
          <cell r="C7435" t="str">
            <v>BANCADA DE MÁRMORE SINTÉTICO 120 X 60CM, COM CUBA INTEGRADA, INCLUSO SIFÃO TIPO FLEXÍVEL EM PVC, VÁLVULA EM PLÁSTICO CROMADO TIPO AMERICANA E TORNEIRA CROMADA LONGA, DE PAREDE, PADRÃO POPULAR - FORNECIMENTO E INSTALAÇÃO. AF_01/2020</v>
          </cell>
          <cell r="D7435" t="str">
            <v>UN</v>
          </cell>
          <cell r="E7435">
            <v>509.98</v>
          </cell>
          <cell r="F7435">
            <v>0</v>
          </cell>
        </row>
        <row r="7436">
          <cell r="B7436">
            <v>86933</v>
          </cell>
          <cell r="C7436" t="str">
            <v>BANCADA DE MÁRMORE SINTÉTICO 120 X 60CM, COM CUBA INTEGRADA, INCLUSO SIFÃO TIPO GARRAFA EM PVC, VÁLVULA EM PLÁSTICO CROMADO TIPO AMERICANA E TORNEIRA CROMADA LONGA, DE PAREDE, PADRÃO POPULAR - FORNECIMENTO E INSTALAÇÃO. AF_01/2020</v>
          </cell>
          <cell r="D7436" t="str">
            <v>UN</v>
          </cell>
          <cell r="E7436">
            <v>522.69000000000005</v>
          </cell>
          <cell r="F7436">
            <v>0</v>
          </cell>
        </row>
        <row r="7437">
          <cell r="B7437">
            <v>86894</v>
          </cell>
          <cell r="C7437" t="str">
            <v>BANCADA DE MÁRMORE SINTÉTICO, DE 120 X 60CM, COM CUBA INTEGRADA - FORNECIMENTO E INSTALAÇÃO. AF_01/2020</v>
          </cell>
          <cell r="D7437" t="str">
            <v>UN</v>
          </cell>
          <cell r="E7437">
            <v>382.62</v>
          </cell>
          <cell r="F7437">
            <v>0</v>
          </cell>
        </row>
        <row r="7438">
          <cell r="B7438">
            <v>93441</v>
          </cell>
          <cell r="C7438" t="str">
            <v>BANCADA GRANITO CINZA 150 X 60 CM, COM CUBA DE EMBUTIR DE AÇO, VÁLVULA AMERICANA EM METAL, SIFÃO FLEXÍVEL EM PVC, ENGATE FLEXÍVEL 30 CM, TORNEIRA CROMADA LONGA, DE PAREDE, 1/2" OU 3/4", P/ COZINHA, PADRÃO POPULAR - FORNEC. E INSTALAÇÃO. AF_01/2020</v>
          </cell>
          <cell r="D7438" t="str">
            <v>UN</v>
          </cell>
          <cell r="E7438">
            <v>1213.43</v>
          </cell>
          <cell r="F7438">
            <v>0</v>
          </cell>
        </row>
        <row r="7439">
          <cell r="B7439">
            <v>93396</v>
          </cell>
          <cell r="C7439" t="str">
            <v>BANCADA GRANITO CINZA, 50 X 60 CM, INCL. CUBA DE EMBUTIR OVAL LOUÇA BRANCA 35 X 50 CM, VÁLVULA METAL CROMADO, SIFÃO FLEXÍVEL PVC, ENGATE 30 CM FLEXÍVEL PLÁSTICO E TORNEIRA CROMADA DE MESA, PADRÃO POPULAR - FORNEC. E INSTALAÇÃO. AF_01/2020</v>
          </cell>
          <cell r="D7439" t="str">
            <v>UN</v>
          </cell>
          <cell r="E7439">
            <v>724.01</v>
          </cell>
          <cell r="F7439">
            <v>0</v>
          </cell>
        </row>
        <row r="7440">
          <cell r="B7440">
            <v>93442</v>
          </cell>
          <cell r="C7440" t="str">
            <v>BANCADA MÁRMORE BRANCO 150 X 60 CM, COM CUBA DE EMBUTIR DE AÇO, VÁLVULA AMERICANA E SIFÃO TIPO GARRAFA EM METAL, ENGATE FLEXÍVEL 30 CM, TORNEIRA CROMADA, DE MESA, 1/2" OU 3/4", PARA PIA COZINHA, PADRÃO ALTO - FORNEC. E INSTALAÇÃO. AF_01/2020</v>
          </cell>
          <cell r="D7440" t="str">
            <v>UN</v>
          </cell>
          <cell r="E7440">
            <v>1390.6</v>
          </cell>
          <cell r="F7440">
            <v>0</v>
          </cell>
        </row>
        <row r="7441">
          <cell r="B7441">
            <v>86947</v>
          </cell>
          <cell r="C7441" t="str">
            <v>BANCADA MÁRMORE BRANCO, 50 X 60 CM, INCLUSO CUBA DE EMBUTIR OVAL EM LOUÇA BRANCA 35 X 50 CM, VÁLVULA, SIFÃO TIPO GARRAFA E ENGATE FLEXÍVEL 40 CM EM METAL CROMADO E APARELHO MISTURADOR DE MESA, PADRÃO MÉDIO - FORNEC. E INSTALAÇÃO. AF_01/2020</v>
          </cell>
          <cell r="D7441" t="str">
            <v>UN</v>
          </cell>
          <cell r="E7441">
            <v>1264.6600000000001</v>
          </cell>
          <cell r="F7441">
            <v>0</v>
          </cell>
        </row>
        <row r="7442">
          <cell r="B7442">
            <v>100875</v>
          </cell>
          <cell r="C7442" t="str">
            <v>BANCO ARTICULADO, EM ACO INOX, PARA PCD, FIXADO NA PAREDE - FORNECIMENTO E INSTALAÇÃO. AF_01/2020</v>
          </cell>
          <cell r="D7442" t="str">
            <v>UN</v>
          </cell>
          <cell r="E7442">
            <v>1056.31</v>
          </cell>
          <cell r="F7442">
            <v>0</v>
          </cell>
        </row>
        <row r="7443">
          <cell r="B7443">
            <v>100863</v>
          </cell>
          <cell r="C7443" t="str">
            <v>BARRA DE APOIO EM "L", EM ACO INOX POLIDO 70 X 70 CM, FIXADA NA PAREDE - FORNECIMENTO E INSTALACAO. AF_01/2020</v>
          </cell>
          <cell r="D7443" t="str">
            <v>UN</v>
          </cell>
          <cell r="E7443">
            <v>599.54</v>
          </cell>
          <cell r="F7443">
            <v>0</v>
          </cell>
        </row>
        <row r="7444">
          <cell r="B7444">
            <v>100864</v>
          </cell>
          <cell r="C7444" t="str">
            <v>BARRA DE APOIO EM "L", EM ACO INOX POLIDO 80 X 80 CM, FIXADA NA PAREDE - FORNECIMENTO E INSTALACAO. AF_01/2020</v>
          </cell>
          <cell r="D7444" t="str">
            <v>UN</v>
          </cell>
          <cell r="E7444">
            <v>656</v>
          </cell>
          <cell r="F7444">
            <v>0</v>
          </cell>
        </row>
        <row r="7445">
          <cell r="B7445">
            <v>100865</v>
          </cell>
          <cell r="C7445" t="str">
            <v>BARRA DE APOIO LATERAL ARTICULADA, COM TRAVA, EM ACO INOX POLIDO, FIXADA NA PAREDE - FORNECIMENTO E INSTALAÇÃO. AF_01/2020</v>
          </cell>
          <cell r="D7445" t="str">
            <v>UN</v>
          </cell>
          <cell r="E7445">
            <v>571.30999999999995</v>
          </cell>
          <cell r="F7445">
            <v>0</v>
          </cell>
        </row>
        <row r="7446">
          <cell r="B7446">
            <v>100866</v>
          </cell>
          <cell r="C7446" t="str">
            <v>BARRA DE APOIO RETA, EM ACO INOX POLIDO, COMPRIMENTO 60CM, FIXADA NA PAREDE - FORNECIMENTO E INSTALAÇÃO. AF_01/2020</v>
          </cell>
          <cell r="D7446" t="str">
            <v>UN</v>
          </cell>
          <cell r="E7446">
            <v>313.11</v>
          </cell>
          <cell r="F7446">
            <v>0</v>
          </cell>
        </row>
        <row r="7447">
          <cell r="B7447">
            <v>100867</v>
          </cell>
          <cell r="C7447" t="str">
            <v>BARRA DE APOIO RETA, EM ACO INOX POLIDO, COMPRIMENTO 70 CM, FIXADA NA PAREDE - FORNECIMENTO E INSTALAÇÃO. AF_01/2020</v>
          </cell>
          <cell r="D7447" t="str">
            <v>UN</v>
          </cell>
          <cell r="E7447">
            <v>331.73</v>
          </cell>
          <cell r="F7447">
            <v>0</v>
          </cell>
        </row>
        <row r="7448">
          <cell r="B7448">
            <v>100868</v>
          </cell>
          <cell r="C7448" t="str">
            <v>BARRA DE APOIO RETA, EM ACO INOX POLIDO, COMPRIMENTO 80 CM, FIXADA NA PAREDE - FORNECIMENTO E INSTALAÇÃO. AF_01/2020</v>
          </cell>
          <cell r="D7448" t="str">
            <v>UN</v>
          </cell>
          <cell r="E7448">
            <v>344.12</v>
          </cell>
          <cell r="F7448">
            <v>0</v>
          </cell>
        </row>
        <row r="7449">
          <cell r="B7449">
            <v>100869</v>
          </cell>
          <cell r="C7449" t="str">
            <v>BARRA DE APOIO RETA, EM ACO INOX POLIDO, COMPRIMENTO 90 CM, FIXADA NA PAREDE - FORNECIMENTO E INSTALAÇÃO. AF_01/2020</v>
          </cell>
          <cell r="D7449" t="str">
            <v>UN</v>
          </cell>
          <cell r="E7449">
            <v>353.62</v>
          </cell>
          <cell r="F7449">
            <v>0</v>
          </cell>
        </row>
        <row r="7450">
          <cell r="B7450">
            <v>100870</v>
          </cell>
          <cell r="C7450" t="str">
            <v>BARRA DE APOIO RETA, EM ALUMINIO, COMPRIMENTO 60 CM, FIXADA NA PAREDE - FORNECIMENTO E INSTALAÇÃO. AF_01/2020</v>
          </cell>
          <cell r="D7450" t="str">
            <v>UN</v>
          </cell>
          <cell r="E7450">
            <v>318.02999999999997</v>
          </cell>
          <cell r="F7450">
            <v>0</v>
          </cell>
        </row>
        <row r="7451">
          <cell r="B7451">
            <v>100871</v>
          </cell>
          <cell r="C7451" t="str">
            <v>BARRA DE APOIO RETA, EM ALUMINIO, COMPRIMENTO 70 CM, FIXADA NA PAREDE - FORNECIMENTO E INSTALAÇÃO. AF_01/2020</v>
          </cell>
          <cell r="D7451" t="str">
            <v>UN</v>
          </cell>
          <cell r="E7451">
            <v>343.45</v>
          </cell>
          <cell r="F7451">
            <v>0</v>
          </cell>
        </row>
        <row r="7452">
          <cell r="B7452">
            <v>100872</v>
          </cell>
          <cell r="C7452" t="str">
            <v>BARRA DE APOIO RETA, EM ALUMINIO, COMPRIMENTO 80 CM, FIXADA NA PAREDE - FORNECIMENTO E INSTALAÇÃO. AF_01/2020</v>
          </cell>
          <cell r="D7452" t="str">
            <v>UN</v>
          </cell>
          <cell r="E7452">
            <v>359.67</v>
          </cell>
          <cell r="F7452">
            <v>0</v>
          </cell>
        </row>
        <row r="7453">
          <cell r="B7453">
            <v>100873</v>
          </cell>
          <cell r="C7453" t="str">
            <v>BARRA DE APOIO RETA, EM ALUMINIO, COMPRIMENTO 90 CM, FIXADA NA PAREDE - FORNECIMENTO E INSTALAÇÃO. AF_01/2020</v>
          </cell>
          <cell r="D7453" t="str">
            <v>UN</v>
          </cell>
          <cell r="E7453">
            <v>369.8</v>
          </cell>
          <cell r="F7453">
            <v>0</v>
          </cell>
        </row>
        <row r="7454">
          <cell r="B7454">
            <v>100860</v>
          </cell>
          <cell r="C7454" t="str">
            <v>CHUVEIRO ELÉTRICO COMUM CORPO PLÁSTICO, TIPO DUCHA - FORNECIMENTO E INSTALAÇÃO. AF_01/2020</v>
          </cell>
          <cell r="D7454" t="str">
            <v>UN</v>
          </cell>
          <cell r="E7454">
            <v>125.54</v>
          </cell>
          <cell r="F7454">
            <v>0</v>
          </cell>
        </row>
        <row r="7455">
          <cell r="B7455">
            <v>86936</v>
          </cell>
          <cell r="C7455" t="str">
            <v>CUBA DE EMBUTIR DE AÇO INOXIDÁVEL MÉDIA, INCLUSO VÁLVULA TIPO AMERICANA E SIFÃO TIPO GARRAFA EM METAL CROMADO - FORNECIMENTO E INSTALAÇÃO. AF_01/2020</v>
          </cell>
          <cell r="D7455" t="str">
            <v>UN</v>
          </cell>
          <cell r="E7455">
            <v>464.13</v>
          </cell>
          <cell r="F7455">
            <v>0</v>
          </cell>
        </row>
        <row r="7456">
          <cell r="B7456">
            <v>86935</v>
          </cell>
          <cell r="C7456" t="str">
            <v>CUBA DE EMBUTIR DE AÇO INOXIDÁVEL MÉDIA, INCLUSO VÁLVULA TIPO AMERICANA EM METAL CROMADO E SIFÃO FLEXÍVEL EM PVC - FORNECIMENTO E INSTALAÇÃO. AF_01/2020</v>
          </cell>
          <cell r="D7456" t="str">
            <v>UN</v>
          </cell>
          <cell r="E7456">
            <v>296.14</v>
          </cell>
          <cell r="F7456">
            <v>0</v>
          </cell>
        </row>
        <row r="7457">
          <cell r="B7457">
            <v>86901</v>
          </cell>
          <cell r="C7457" t="str">
            <v>CUBA DE EMBUTIR OVAL EM LOUÇA BRANCA, 35 X 50CM OU EQUIVALENTE - FORNECIMENTO E INSTALAÇÃO. AF_01/2020</v>
          </cell>
          <cell r="D7457" t="str">
            <v>UN</v>
          </cell>
          <cell r="E7457">
            <v>159.47</v>
          </cell>
          <cell r="F7457">
            <v>0</v>
          </cell>
        </row>
        <row r="7458">
          <cell r="B7458">
            <v>86938</v>
          </cell>
          <cell r="C7458" t="str">
            <v>CUBA DE EMBUTIR OVAL EM LOUÇA BRANCA, 35 X 50CM OU EQUIVALENTE, INCLUSO VÁLVULA E SIFÃO TIPO GARRAFA EM METAL CROMADO - FORNECIMENTO E INSTALAÇÃO. AF_01/2020</v>
          </cell>
          <cell r="D7458" t="str">
            <v>UN</v>
          </cell>
          <cell r="E7458">
            <v>404.92</v>
          </cell>
          <cell r="F7458">
            <v>0</v>
          </cell>
        </row>
        <row r="7459">
          <cell r="B7459">
            <v>86937</v>
          </cell>
          <cell r="C7459" t="str">
            <v>CUBA DE EMBUTIR OVAL EM LOUÇA BRANCA, 35 X 50CM OU EQUIVALENTE, INCLUSO VÁLVULA EM METAL CROMADO E SIFÃO FLEXÍVEL EM PVC - FORNECIMENTO E INSTALAÇÃO. AF_01/2020</v>
          </cell>
          <cell r="D7459" t="str">
            <v>UN</v>
          </cell>
          <cell r="E7459">
            <v>236.93</v>
          </cell>
          <cell r="F7459">
            <v>0</v>
          </cell>
        </row>
        <row r="7460">
          <cell r="B7460">
            <v>86900</v>
          </cell>
          <cell r="C7460" t="str">
            <v>CUBA DE EMBUTIR RETANGULAR DE AÇO INOXIDÁVEL, 46 X 30 X 12 CM - FORNECIMENTO E INSTALAÇÃO. AF_01/2020</v>
          </cell>
          <cell r="D7460" t="str">
            <v>UN</v>
          </cell>
          <cell r="E7460">
            <v>214.11</v>
          </cell>
          <cell r="F7460">
            <v>0</v>
          </cell>
        </row>
        <row r="7461">
          <cell r="B7461">
            <v>100852</v>
          </cell>
          <cell r="C7461" t="str">
            <v>CUBA DE EMBUTIR RETANGULAR DE AÇO INOXIDÁVEL, 56 X 33 X 12 CM - FORNECIMENTO E INSTALAÇÃO. AF_01/2020</v>
          </cell>
          <cell r="D7461" t="str">
            <v>UN</v>
          </cell>
          <cell r="E7461">
            <v>233.88</v>
          </cell>
          <cell r="F7461">
            <v>0</v>
          </cell>
        </row>
        <row r="7462">
          <cell r="B7462">
            <v>86886</v>
          </cell>
          <cell r="C7462" t="str">
            <v>ENGATE FLEXÍVEL EM INOX, 1/2 X 30CM - FORNECIMENTO E INSTALAÇÃO. AF_01/2020</v>
          </cell>
          <cell r="D7462" t="str">
            <v>UN</v>
          </cell>
          <cell r="E7462">
            <v>46.58</v>
          </cell>
          <cell r="F7462">
            <v>0</v>
          </cell>
        </row>
        <row r="7463">
          <cell r="B7463">
            <v>86887</v>
          </cell>
          <cell r="C7463" t="str">
            <v>ENGATE FLEXÍVEL EM INOX, 1/2 X 40CM - FORNECIMENTO E INSTALAÇÃO. AF_01/2020</v>
          </cell>
          <cell r="D7463" t="str">
            <v>UN</v>
          </cell>
          <cell r="E7463">
            <v>50.25</v>
          </cell>
          <cell r="F7463">
            <v>0</v>
          </cell>
        </row>
        <row r="7464">
          <cell r="B7464">
            <v>86884</v>
          </cell>
          <cell r="C7464" t="str">
            <v>ENGATE FLEXÍVEL EM PLÁSTICO BRANCO, 1/2" X 30CM - FORNECIMENTO E INSTALAÇÃO. AF_01/2020</v>
          </cell>
          <cell r="D7464" t="str">
            <v>UN</v>
          </cell>
          <cell r="E7464">
            <v>14.35</v>
          </cell>
          <cell r="F7464">
            <v>0</v>
          </cell>
        </row>
        <row r="7465">
          <cell r="B7465">
            <v>86885</v>
          </cell>
          <cell r="C7465" t="str">
            <v>ENGATE FLEXÍVEL EM PLÁSTICO BRANCO, 1/2" X 40CM - FORNECIMENTO E INSTALAÇÃO. AF_01/2020</v>
          </cell>
          <cell r="D7465" t="str">
            <v>UN</v>
          </cell>
          <cell r="E7465">
            <v>16.079999999999998</v>
          </cell>
          <cell r="F7465">
            <v>0</v>
          </cell>
        </row>
        <row r="7466">
          <cell r="B7466">
            <v>95546</v>
          </cell>
          <cell r="C7466" t="str">
            <v>KIT DE ACESSORIOS PARA BANHEIRO EM METAL CROMADO, 5 PECAS, INCLUSO FIXAÇÃO. AF_01/2020</v>
          </cell>
          <cell r="D7466" t="str">
            <v>UN</v>
          </cell>
          <cell r="E7466">
            <v>216.78</v>
          </cell>
          <cell r="F7466">
            <v>0</v>
          </cell>
        </row>
        <row r="7467">
          <cell r="B7467">
            <v>86902</v>
          </cell>
          <cell r="C7467" t="str">
            <v>LAVATÓRIO LOUÇA BRANCA COM COLUNA, *44 X 35,5* CM, PADRÃO POPULAR - FORNECIMENTO E INSTALAÇÃO. AF_01/2020</v>
          </cell>
          <cell r="D7467" t="str">
            <v>UN</v>
          </cell>
          <cell r="E7467">
            <v>325.69</v>
          </cell>
          <cell r="F7467">
            <v>0</v>
          </cell>
        </row>
        <row r="7468">
          <cell r="B7468">
            <v>86939</v>
          </cell>
          <cell r="C7468" t="str">
            <v>LAVATÓRIO LOUÇA BRANCA COM COLUNA, *44 X 35,5* CM, PADRÃO POPULAR, INCLUSO SIFÃO FLEXÍVEL EM PVC, VÁLVULA E ENGATE FLEXÍVEL 30CM EM PLÁSTICO E COM TORNEIRA CROMADA PADRÃO POPULAR - FORNECIMENTO E INSTALAÇÃO. AF_01/2020</v>
          </cell>
          <cell r="D7468" t="str">
            <v>UN</v>
          </cell>
          <cell r="E7468">
            <v>435.83</v>
          </cell>
          <cell r="F7468">
            <v>0</v>
          </cell>
        </row>
        <row r="7469">
          <cell r="B7469">
            <v>86903</v>
          </cell>
          <cell r="C7469" t="str">
            <v>LAVATÓRIO LOUÇA BRANCA COM COLUNA, 45 X 55CM OU EQUIVALENTE, PADRÃO MÉDIO - FORNECIMENTO E INSTALAÇÃO. AF_01/2020</v>
          </cell>
          <cell r="D7469" t="str">
            <v>UN</v>
          </cell>
          <cell r="E7469">
            <v>377.57</v>
          </cell>
          <cell r="F7469">
            <v>0</v>
          </cell>
        </row>
        <row r="7470">
          <cell r="B7470">
            <v>86940</v>
          </cell>
          <cell r="C7470" t="str">
            <v>LAVATÓRIO LOUÇA BRANCA COM COLUNA, 45 X 55CM OU EQUIVALENTE, PADRÃO MÉDIO, INCLUSO SIFÃO TIPO GARRAFA, VÁLVULA E ENGATE FLEXÍVEL DE 40CM EM METAL CROMADO, COM APARELHO MISTURADOR PADRÃO MÉDIO - FORNECIMENTO E INSTALAÇÃO. AF_01/2020</v>
          </cell>
          <cell r="D7470" t="str">
            <v>UN</v>
          </cell>
          <cell r="E7470">
            <v>1088.74</v>
          </cell>
          <cell r="F7470">
            <v>0</v>
          </cell>
        </row>
        <row r="7471">
          <cell r="B7471">
            <v>86941</v>
          </cell>
          <cell r="C7471" t="str">
            <v>LAVATÓRIO LOUÇA BRANCA COM COLUNA, 45 X 55CM OU EQUIVALENTE, PADRÃO MÉDIO, INCLUSO SIFÃO TIPO GARRAFA, VÁLVULA E ENGATE FLEXÍVEL DE 40CM EM METAL CROMADO, COM TORNEIRA CROMADA DE MESA, PADRÃO MÉDIO - FORNECIMENTO E INSTALAÇÃO. AF_01/2020</v>
          </cell>
          <cell r="D7471" t="str">
            <v>UN</v>
          </cell>
          <cell r="E7471">
            <v>801.11</v>
          </cell>
          <cell r="F7471">
            <v>0</v>
          </cell>
        </row>
        <row r="7472">
          <cell r="B7472">
            <v>86904</v>
          </cell>
          <cell r="C7472" t="str">
            <v>LAVATÓRIO LOUÇA BRANCA SUSPENSO, 29,5 X 39CM OU EQUIVALENTE, PADRÃO POPULAR - FORNECIMENTO E INSTALAÇÃO. AF_01/2020</v>
          </cell>
          <cell r="D7472" t="str">
            <v>UN</v>
          </cell>
          <cell r="E7472">
            <v>154.41</v>
          </cell>
          <cell r="F7472">
            <v>0</v>
          </cell>
        </row>
        <row r="7473">
          <cell r="B7473">
            <v>86943</v>
          </cell>
          <cell r="C7473" t="str">
            <v>LAVATÓRIO LOUÇA BRANCA SUSPENSO, 29,5 X 39CM OU EQUIVALENTE, PADRÃO POPULAR, INCLUSO SIFÃO FLEXÍVEL EM PVC, VÁLVULA E ENGATE FLEXÍVEL 30CM EM PLÁSTICO E TORNEIRA CROMADA DE MESA, PADRÃO POPULAR - FORNECIMENTO E INSTALAÇÃO. AF_01/2020</v>
          </cell>
          <cell r="D7473" t="str">
            <v>UN</v>
          </cell>
          <cell r="E7473">
            <v>264.55</v>
          </cell>
          <cell r="F7473">
            <v>0</v>
          </cell>
        </row>
        <row r="7474">
          <cell r="B7474">
            <v>86942</v>
          </cell>
          <cell r="C7474" t="str">
            <v>LAVATÓRIO LOUÇA BRANCA SUSPENSO, 29,5 X 39CM OU EQUIVALENTE, PADRÃO POPULAR, INCLUSO SIFÃO TIPO GARRAFA EM PVC, VÁLVULA E ENGATE FLEXÍVEL 30CM EM PLÁSTICO E TORNEIRA CROMADA DE MESA, PADRÃO POPULAR - FORNECIMENTO E INSTALAÇÃO. AF_01/2020</v>
          </cell>
          <cell r="D7474" t="str">
            <v>UN</v>
          </cell>
          <cell r="E7474">
            <v>277.26</v>
          </cell>
          <cell r="F7474">
            <v>0</v>
          </cell>
        </row>
        <row r="7475">
          <cell r="B7475">
            <v>100856</v>
          </cell>
          <cell r="C7475" t="str">
            <v>MANOPLA E CANOPLA CROMADA - FORNECIMENTO E INSTALAÇÃO. AF_01/2020</v>
          </cell>
          <cell r="D7475" t="str">
            <v>UN</v>
          </cell>
          <cell r="E7475">
            <v>35.43</v>
          </cell>
          <cell r="F7475">
            <v>0</v>
          </cell>
        </row>
        <row r="7476">
          <cell r="B7476">
            <v>100858</v>
          </cell>
          <cell r="C7476" t="str">
            <v>MICTÓRIO SIFONADO LOUÇA BRANCA - PADRÃO MÉDIO - FORNECIMENTO E INSTALAÇÃO. AF_01/2020</v>
          </cell>
          <cell r="D7476" t="str">
            <v>UN</v>
          </cell>
          <cell r="E7476">
            <v>799.15</v>
          </cell>
          <cell r="F7476">
            <v>0</v>
          </cell>
        </row>
        <row r="7477">
          <cell r="B7477">
            <v>100859</v>
          </cell>
          <cell r="C7477" t="str">
            <v>MICTÓRIO SIFONADO LOUÇA BRANCA PARA ENTRADA DE ÁGUA EMBUTIDA - PADRÃO ALTO - FORNECIMENTO E INSTALAÇÃO. AF_01/2020</v>
          </cell>
          <cell r="D7477" t="str">
            <v>UN</v>
          </cell>
          <cell r="E7477">
            <v>1073.6400000000001</v>
          </cell>
          <cell r="F7477">
            <v>0</v>
          </cell>
        </row>
        <row r="7478">
          <cell r="B7478">
            <v>95544</v>
          </cell>
          <cell r="C7478" t="str">
            <v>PAPELEIRA DE PAREDE EM METAL CROMADO SEM TAMPA, INCLUSO FIXAÇÃO. AF_01/2020</v>
          </cell>
          <cell r="D7478" t="str">
            <v>UN</v>
          </cell>
          <cell r="E7478">
            <v>63.1</v>
          </cell>
          <cell r="F7478">
            <v>0</v>
          </cell>
        </row>
        <row r="7479">
          <cell r="B7479">
            <v>95543</v>
          </cell>
          <cell r="C7479" t="str">
            <v>PORTA TOALHA BANHO EM METAL CROMADO, TIPO BARRA, INCLUSO FIXAÇÃO. AF_01/2020</v>
          </cell>
          <cell r="D7479" t="str">
            <v>UN</v>
          </cell>
          <cell r="E7479">
            <v>87.96</v>
          </cell>
          <cell r="F7479">
            <v>0</v>
          </cell>
        </row>
        <row r="7480">
          <cell r="B7480">
            <v>95542</v>
          </cell>
          <cell r="C7480" t="str">
            <v>PORTA TOALHA ROSTO EM METAL CROMADO, TIPO ARGOLA, INCLUSO FIXAÇÃO. AF_01/2020</v>
          </cell>
          <cell r="D7480" t="str">
            <v>UN</v>
          </cell>
          <cell r="E7480">
            <v>51.96</v>
          </cell>
          <cell r="F7480">
            <v>0</v>
          </cell>
        </row>
        <row r="7481">
          <cell r="B7481">
            <v>100874</v>
          </cell>
          <cell r="C7481" t="str">
            <v>PUXADOR PARA PCD, FIXADO NA PORTA - FORNECIMENTO E INSTALAÇÃO. AF_01/2020</v>
          </cell>
          <cell r="D7481" t="str">
            <v>UN</v>
          </cell>
          <cell r="E7481">
            <v>313.11</v>
          </cell>
          <cell r="F7481">
            <v>0</v>
          </cell>
        </row>
        <row r="7482">
          <cell r="B7482">
            <v>95545</v>
          </cell>
          <cell r="C7482" t="str">
            <v>SABONETEIRA DE PAREDE EM METAL CROMADO, INCLUSO FIXAÇÃO. AF_01/2020</v>
          </cell>
          <cell r="D7482" t="str">
            <v>UN</v>
          </cell>
          <cell r="E7482">
            <v>61.91</v>
          </cell>
          <cell r="F7482">
            <v>0</v>
          </cell>
        </row>
        <row r="7483">
          <cell r="B7483">
            <v>95547</v>
          </cell>
          <cell r="C7483" t="str">
            <v>SABONETEIRA PLASTICA TIPO DISPENSER PARA SABONETE LIQUIDO COM RESERVATORIO 800 A 1500 ML, INCLUSO FIXAÇÃO. AF_01/2020</v>
          </cell>
          <cell r="D7483" t="str">
            <v>UN</v>
          </cell>
          <cell r="E7483">
            <v>73.67</v>
          </cell>
          <cell r="F7483">
            <v>0</v>
          </cell>
        </row>
        <row r="7484">
          <cell r="B7484">
            <v>86883</v>
          </cell>
          <cell r="C7484" t="str">
            <v>SIFÃO DO TIPO FLEXÍVEL EM PVC 1 X 1.1/2 - FORNECIMENTO E INSTALAÇÃO. AF_01/2020</v>
          </cell>
          <cell r="D7484" t="str">
            <v>UN</v>
          </cell>
          <cell r="E7484">
            <v>15.28</v>
          </cell>
          <cell r="F7484">
            <v>0</v>
          </cell>
        </row>
        <row r="7485">
          <cell r="B7485">
            <v>86881</v>
          </cell>
          <cell r="C7485" t="str">
            <v>SIFÃO DO TIPO GARRAFA EM METAL CROMADO 1 X 1.1/2" - FORNECIMENTO E INSTALAÇÃO. AF_01/2020</v>
          </cell>
          <cell r="D7485" t="str">
            <v>UN</v>
          </cell>
          <cell r="E7485">
            <v>183.27</v>
          </cell>
          <cell r="F7485">
            <v>0</v>
          </cell>
        </row>
        <row r="7486">
          <cell r="B7486">
            <v>86882</v>
          </cell>
          <cell r="C7486" t="str">
            <v>SIFÃO DO TIPO GARRAFA/COPO EM PVC 1.1/4 X 1.1/2" - FORNECIMENTO E INSTALAÇÃO. AF_01/2020</v>
          </cell>
          <cell r="D7486" t="str">
            <v>UN</v>
          </cell>
          <cell r="E7486">
            <v>27.99</v>
          </cell>
          <cell r="F7486">
            <v>0</v>
          </cell>
        </row>
        <row r="7487">
          <cell r="B7487">
            <v>100862</v>
          </cell>
          <cell r="C7487" t="str">
            <v>SUPORTE MÃO FRANCESA EM ACO, ABAS IGUAIS 40 CM, CAPACIDADE MINIMA 70 KG, BRANCO - FORNECIMENTO E INSTALAÇÃO. AF_01/2020</v>
          </cell>
          <cell r="D7487" t="str">
            <v>UN</v>
          </cell>
          <cell r="E7487">
            <v>45.04</v>
          </cell>
          <cell r="F7487">
            <v>0</v>
          </cell>
        </row>
        <row r="7488">
          <cell r="B7488">
            <v>100861</v>
          </cell>
          <cell r="C7488" t="str">
            <v>SUPORTE MÃO FRANCESA EM AÇO, ABAS IGUAIS 30 CM, CAPACIDADE MINIMA 60 KG, BRANCO - FORNECIMENTO E INSTALAÇÃO. AF_01/2020</v>
          </cell>
          <cell r="D7488" t="str">
            <v>UN</v>
          </cell>
          <cell r="E7488">
            <v>41.63</v>
          </cell>
          <cell r="F7488">
            <v>0</v>
          </cell>
        </row>
        <row r="7489">
          <cell r="B7489">
            <v>86872</v>
          </cell>
          <cell r="C7489" t="str">
            <v>TANQUE DE LOUÇA BRANCA COM COLUNA, 30L OU EQUIVALENTE - FORNECIMENTO E INSTALAÇÃO. AF_01/2020</v>
          </cell>
          <cell r="D7489" t="str">
            <v>UN</v>
          </cell>
          <cell r="E7489">
            <v>759.71</v>
          </cell>
          <cell r="F7489">
            <v>0</v>
          </cell>
        </row>
        <row r="7490">
          <cell r="B7490">
            <v>86919</v>
          </cell>
          <cell r="C7490" t="str">
            <v>TANQUE DE LOUÇA BRANCA COM COLUNA, 30L OU EQUIVALENTE, INCLUSO SIFÃO FLEXÍVEL EM PVC, VÁLVULA METÁLICA E TORNEIRA DE METAL CROMADO PADRÃO MÉDIO - FORNECIMENTO E INSTALAÇÃO. AF_01/2020</v>
          </cell>
          <cell r="D7490" t="str">
            <v>UN</v>
          </cell>
          <cell r="E7490">
            <v>926.82</v>
          </cell>
          <cell r="F7490">
            <v>0</v>
          </cell>
        </row>
        <row r="7491">
          <cell r="B7491">
            <v>86920</v>
          </cell>
          <cell r="C7491" t="str">
            <v>TANQUE DE LOUÇA BRANCA COM COLUNA, 30L OU EQUIVALENTE, INCLUSO SIFÃO FLEXÍVEL EM PVC, VÁLVULA PLÁSTICA E TORNEIRA DE METAL CROMADO PADRÃO POPULAR - FORNECIMENTO E INSTALAÇÃO. AF_01/2020</v>
          </cell>
          <cell r="D7491" t="str">
            <v>UN</v>
          </cell>
          <cell r="E7491">
            <v>839.19</v>
          </cell>
          <cell r="F7491">
            <v>0</v>
          </cell>
        </row>
        <row r="7492">
          <cell r="B7492">
            <v>86921</v>
          </cell>
          <cell r="C7492" t="str">
            <v>TANQUE DE LOUÇA BRANCA COM COLUNA, 30L OU EQUIVALENTE, INCLUSO SIFÃO FLEXÍVEL EM PVC, VÁLVULA PLÁSTICA E TORNEIRA DE PLÁSTICO - FORNECIMENTO E INSTALAÇÃO. AF_01/2020</v>
          </cell>
          <cell r="D7492" t="str">
            <v>UN</v>
          </cell>
          <cell r="E7492">
            <v>816.43</v>
          </cell>
          <cell r="F7492">
            <v>0</v>
          </cell>
        </row>
        <row r="7493">
          <cell r="B7493">
            <v>86874</v>
          </cell>
          <cell r="C7493" t="str">
            <v>TANQUE DE LOUÇA BRANCA SUSPENSO, 18L OU EQUIVALENTE - FORNECIMENTO E INSTALAÇÃO. AF_01/2020</v>
          </cell>
          <cell r="D7493" t="str">
            <v>UN</v>
          </cell>
          <cell r="E7493">
            <v>525.16</v>
          </cell>
          <cell r="F7493">
            <v>0</v>
          </cell>
        </row>
        <row r="7494">
          <cell r="B7494">
            <v>86922</v>
          </cell>
          <cell r="C7494" t="str">
            <v>TANQUE DE LOUÇA BRANCA SUSPENSO, 18L OU EQUIVALENTE, INCLUSO SIFÃO TIPO GARRAFA EM METAL CROMADO, VÁLVULA METÁLICA E TORNEIRA DE METAL CROMADO PADRÃO MÉDIO - FORNECIMENTO E INSTALAÇÃO. AF_01/2020</v>
          </cell>
          <cell r="D7494" t="str">
            <v>UN</v>
          </cell>
          <cell r="E7494">
            <v>860.26</v>
          </cell>
          <cell r="F7494">
            <v>0</v>
          </cell>
        </row>
        <row r="7495">
          <cell r="B7495">
            <v>86923</v>
          </cell>
          <cell r="C7495" t="str">
            <v>TANQUE DE LOUÇA BRANCA SUSPENSO, 18L OU EQUIVALENTE, INCLUSO SIFÃO TIPO GARRAFA EM PVC, VÁLVULA PLÁSTICA E TORNEIRA DE METAL CROMADO PADRÃO POPULAR - FORNECIMENTO E INSTALAÇÃO. AF_01/2020</v>
          </cell>
          <cell r="D7495" t="str">
            <v>UN</v>
          </cell>
          <cell r="E7495">
            <v>617.35</v>
          </cell>
          <cell r="F7495">
            <v>0</v>
          </cell>
        </row>
        <row r="7496">
          <cell r="B7496">
            <v>86924</v>
          </cell>
          <cell r="C7496" t="str">
            <v>TANQUE DE LOUÇA BRANCA SUSPENSO, 18L OU EQUIVALENTE, INCLUSO SIFÃO TIPO GARRAFA EM PVC, VÁLVULA PLÁSTICA E TORNEIRA DE PLÁSTICO - FORNECIMENTO E INSTALAÇÃO. AF_01/2020</v>
          </cell>
          <cell r="D7496" t="str">
            <v>UN</v>
          </cell>
          <cell r="E7496">
            <v>594.59</v>
          </cell>
          <cell r="F7496">
            <v>0</v>
          </cell>
        </row>
        <row r="7497">
          <cell r="B7497">
            <v>86875</v>
          </cell>
          <cell r="C7497" t="str">
            <v>TANQUE DE MÁRMORE SINTÉTICO COM COLUNA, 22L OU EQUIVALENTE FORNECIMENTO E INSTALAÇÃO. AF_01/2020</v>
          </cell>
          <cell r="D7497" t="str">
            <v>UN</v>
          </cell>
          <cell r="E7497">
            <v>666.82</v>
          </cell>
          <cell r="F7497">
            <v>0</v>
          </cell>
        </row>
        <row r="7498">
          <cell r="B7498">
            <v>86925</v>
          </cell>
          <cell r="C7498" t="str">
            <v>TANQUE DE MÁRMORE SINTÉTICO COM COLUNA, 22L OU EQUIVALENTE, INCLUSO SIFÃO FLEXÍVEL EM PVC, VÁLVULA PLÁSTICA E TORNEIRA DE METAL CROMADO PADRÃO POPULAR - FORNECIMENTO E INSTALAÇÃO. AF_01/2020</v>
          </cell>
          <cell r="D7498" t="str">
            <v>UN</v>
          </cell>
          <cell r="E7498">
            <v>746.3</v>
          </cell>
          <cell r="F7498">
            <v>0</v>
          </cell>
        </row>
        <row r="7499">
          <cell r="B7499">
            <v>86926</v>
          </cell>
          <cell r="C7499" t="str">
            <v>TANQUE DE MÁRMORE SINTÉTICO COM COLUNA, 22L OU EQUIVALENTE, INCLUSO SIFÃO FLEXÍVEL EM PVC, VÁLVULA PLÁSTICA E TORNEIRA DE PLÁSTICO - FORNECIMENTO E INSTALAÇÃO. AF_01/2020</v>
          </cell>
          <cell r="D7499" t="str">
            <v>UN</v>
          </cell>
          <cell r="E7499">
            <v>723.54</v>
          </cell>
          <cell r="F7499">
            <v>0</v>
          </cell>
        </row>
        <row r="7500">
          <cell r="B7500">
            <v>86876</v>
          </cell>
          <cell r="C7500" t="str">
            <v>TANQUE DE MÁRMORE SINTÉTICO SUSPENSO, 22L OU EQUIVALENTE - FORNECIMENTO E INSTALAÇÃO. AF_01/2020</v>
          </cell>
          <cell r="D7500" t="str">
            <v>UN</v>
          </cell>
          <cell r="E7500">
            <v>378.32</v>
          </cell>
          <cell r="F7500">
            <v>0</v>
          </cell>
        </row>
        <row r="7501">
          <cell r="B7501">
            <v>86929</v>
          </cell>
          <cell r="C7501" t="str">
            <v>TANQUE DE MÁRMORE SINTÉTICO SUSPENSO, 22L OU EQUIVALENTE, INCLUSO SIFÃO FLEXÍVEL EM PVC, VÁLVULA PLÁSTICA E TORNEIRA DE METAL CROMADO PADRÃO POPULAR - FORNECIMENTO E INSTALAÇÃO. AF_01/2020</v>
          </cell>
          <cell r="D7501" t="str">
            <v>UN</v>
          </cell>
          <cell r="E7501">
            <v>457.8</v>
          </cell>
          <cell r="F7501">
            <v>0</v>
          </cell>
        </row>
        <row r="7502">
          <cell r="B7502">
            <v>86930</v>
          </cell>
          <cell r="C7502" t="str">
            <v>TANQUE DE MÁRMORE SINTÉTICO SUSPENSO, 22L OU EQUIVALENTE, INCLUSO SIFÃO FLEXÍVEL EM PVC, VÁLVULA PLÁSTICA E TORNEIRA DE PLÁSTICO - FORNECIMENTO E INSTALAÇÃO. AF_01/2020</v>
          </cell>
          <cell r="D7502" t="str">
            <v>UN</v>
          </cell>
          <cell r="E7502">
            <v>435.04</v>
          </cell>
          <cell r="F7502">
            <v>0</v>
          </cell>
        </row>
        <row r="7503">
          <cell r="B7503">
            <v>86927</v>
          </cell>
          <cell r="C7503" t="str">
            <v>TANQUE DE MÁRMORE SINTÉTICO SUSPENSO, 22L OU EQUIVALENTE, INCLUSO SIFÃO TIPO GARRAFA EM PVC, VÁLVULA PLÁSTICA E TORNEIRA DE METAL CROMADO PADRÃO POPULAR - FORNEC. E INSTALAÇÃO. AF_01/2020</v>
          </cell>
          <cell r="D7503" t="str">
            <v>UN</v>
          </cell>
          <cell r="E7503">
            <v>470.51</v>
          </cell>
          <cell r="F7503">
            <v>0</v>
          </cell>
        </row>
        <row r="7504">
          <cell r="B7504">
            <v>86928</v>
          </cell>
          <cell r="C7504" t="str">
            <v>TANQUE DE MÁRMORE SINTÉTICO SUSPENSO, 22L OU EQUIVALENTE, INCLUSO SIFÃO TIPO GARRAFA EM PVC, VÁLVULA PLÁSTICA E TORNEIRA DE PLÁSTICO - FORNECIMENTO E INSTALAÇÃO. AF_01/2020</v>
          </cell>
          <cell r="D7504" t="str">
            <v>UN</v>
          </cell>
          <cell r="E7504">
            <v>447.75</v>
          </cell>
          <cell r="F7504">
            <v>0</v>
          </cell>
        </row>
        <row r="7505">
          <cell r="B7505">
            <v>86914</v>
          </cell>
          <cell r="C7505" t="str">
            <v>TORNEIRA CROMADA 1/2" OU 3/4" PARA TANQUE, PADRÃO MÉDIO - FORNECIMENTO E INSTALAÇÃO. AF_01/2020</v>
          </cell>
          <cell r="D7505" t="str">
            <v>UN</v>
          </cell>
          <cell r="E7505">
            <v>89.65</v>
          </cell>
          <cell r="F7505">
            <v>0</v>
          </cell>
        </row>
        <row r="7506">
          <cell r="B7506">
            <v>86913</v>
          </cell>
          <cell r="C7506" t="str">
            <v>TORNEIRA CROMADA 1/2" OU 3/4" PARA TANQUE, PADRÃO POPULAR - FORNECIMENTO E INSTALAÇÃO. AF_01/2020</v>
          </cell>
          <cell r="D7506" t="str">
            <v>UN</v>
          </cell>
          <cell r="E7506">
            <v>51.48</v>
          </cell>
          <cell r="F7506">
            <v>0</v>
          </cell>
        </row>
        <row r="7507">
          <cell r="B7507">
            <v>100853</v>
          </cell>
          <cell r="C7507" t="str">
            <v>TORNEIRA CROMADA DE MESA PARA LAVATORIO, TIPO MONOCOMANDO. AF_01/2020</v>
          </cell>
          <cell r="D7507" t="str">
            <v>UN</v>
          </cell>
          <cell r="E7507">
            <v>311.89999999999998</v>
          </cell>
          <cell r="F7507">
            <v>0</v>
          </cell>
        </row>
        <row r="7508">
          <cell r="B7508">
            <v>100854</v>
          </cell>
          <cell r="C7508" t="str">
            <v>TORNEIRA CROMADA DE MESA PARA LAVATÓRIO COM SENSOR DE PRESENCA. AF_01/2020</v>
          </cell>
          <cell r="D7508" t="str">
            <v>UN</v>
          </cell>
          <cell r="E7508">
            <v>1587.11</v>
          </cell>
          <cell r="F7508">
            <v>0</v>
          </cell>
        </row>
        <row r="7509">
          <cell r="B7509">
            <v>86915</v>
          </cell>
          <cell r="C7509" t="str">
            <v>TORNEIRA CROMADA DE MESA, 1/2" OU 3/4", PARA LAVATÓRIO, PADRÃO MÉDIO - FORNECIMENTO E INSTALAÇÃO. AF_01/2020</v>
          </cell>
          <cell r="D7509" t="str">
            <v>UN</v>
          </cell>
          <cell r="E7509">
            <v>127.84</v>
          </cell>
          <cell r="F7509">
            <v>0</v>
          </cell>
        </row>
        <row r="7510">
          <cell r="B7510">
            <v>86906</v>
          </cell>
          <cell r="C7510" t="str">
            <v>TORNEIRA CROMADA DE MESA, 1/2" OU 3/4", PARA LAVATÓRIO, PADRÃO POPULAR - FORNECIMENTO E INSTALAÇÃO. AF_01/2020</v>
          </cell>
          <cell r="D7510" t="str">
            <v>UN</v>
          </cell>
          <cell r="E7510">
            <v>67.790000000000006</v>
          </cell>
          <cell r="F7510">
            <v>0</v>
          </cell>
        </row>
        <row r="7511">
          <cell r="B7511">
            <v>86911</v>
          </cell>
          <cell r="C7511" t="str">
            <v>TORNEIRA CROMADA LONGA, DE PAREDE, 1/2" OU 3/4", PARA PIA DE COZINHA, PADRÃO POPULAR - FORNECIMENTO E INSTALAÇÃO. AF_01/2020</v>
          </cell>
          <cell r="D7511" t="str">
            <v>UN</v>
          </cell>
          <cell r="E7511">
            <v>79.41</v>
          </cell>
          <cell r="F7511">
            <v>0</v>
          </cell>
        </row>
        <row r="7512">
          <cell r="B7512">
            <v>86909</v>
          </cell>
          <cell r="C7512" t="str">
            <v>TORNEIRA CROMADA TUBO MÓVEL, DE MESA, 1/2" OU 3/4", PARA PIA DE COZINHA, PADRÃO ALTO - FORNECIMENTO E INSTALAÇÃO. AF_01/2020</v>
          </cell>
          <cell r="D7512" t="str">
            <v>UN</v>
          </cell>
          <cell r="E7512">
            <v>117.71</v>
          </cell>
          <cell r="F7512">
            <v>0</v>
          </cell>
        </row>
        <row r="7513">
          <cell r="B7513">
            <v>86910</v>
          </cell>
          <cell r="C7513" t="str">
            <v>TORNEIRA CROMADA TUBO MÓVEL, DE PAREDE, 1/2" OU 3/4", PARA PIA DE COZINHA, PADRÃO MÉDIO - FORNECIMENTO E INSTALAÇÃO. AF_01/2020</v>
          </cell>
          <cell r="D7513" t="str">
            <v>UN</v>
          </cell>
          <cell r="E7513">
            <v>114.84</v>
          </cell>
          <cell r="F7513">
            <v>0</v>
          </cell>
        </row>
        <row r="7514">
          <cell r="B7514">
            <v>86916</v>
          </cell>
          <cell r="C7514" t="str">
            <v>TORNEIRA PLÁSTICA 3/4" PARA TANQUE - FORNECIMENTO E INSTALAÇÃO. AF_01/2020</v>
          </cell>
          <cell r="D7514" t="str">
            <v>UN</v>
          </cell>
          <cell r="E7514">
            <v>28.72</v>
          </cell>
          <cell r="F7514">
            <v>0</v>
          </cell>
        </row>
        <row r="7515">
          <cell r="B7515">
            <v>95469</v>
          </cell>
          <cell r="C7515" t="str">
            <v>VASO SANITARIO SIFONADO CONVENCIONAL COM LOUÇA BRANCA - FORNECIMENTO E INSTALAÇÃO. AF_01/2020</v>
          </cell>
          <cell r="D7515" t="str">
            <v>UN</v>
          </cell>
          <cell r="E7515">
            <v>310.88</v>
          </cell>
          <cell r="F7515">
            <v>0</v>
          </cell>
        </row>
        <row r="7516">
          <cell r="B7516">
            <v>95470</v>
          </cell>
          <cell r="C7516" t="str">
            <v>VASO SANITARIO SIFONADO CONVENCIONAL COM LOUÇA BRANCA, INCLUSO CONJUNTO DE LIGAÇÃO PARA BACIA SANITÁRIA AJUSTÁVEL - FORNECIMENTO E INSTALAÇÃO. AF_01/2020</v>
          </cell>
          <cell r="D7516" t="str">
            <v>UN</v>
          </cell>
          <cell r="E7516">
            <v>320.44</v>
          </cell>
          <cell r="F7516">
            <v>0</v>
          </cell>
        </row>
        <row r="7517">
          <cell r="B7517">
            <v>95471</v>
          </cell>
          <cell r="C7517" t="str">
            <v>VASO SANITARIO SIFONADO CONVENCIONAL PARA PCD SEM FURO FRONTAL COM LOUÇA BRANCA SEM ASSENTO - FORNECIMENTO E INSTALAÇÃO. AF_01/2020</v>
          </cell>
          <cell r="D7517" t="str">
            <v>UN</v>
          </cell>
          <cell r="E7517">
            <v>806.22</v>
          </cell>
          <cell r="F7517">
            <v>0</v>
          </cell>
        </row>
        <row r="7518">
          <cell r="B7518">
            <v>95472</v>
          </cell>
          <cell r="C7518" t="str">
            <v>VASO SANITARIO SIFONADO CONVENCIONAL PARA PCD SEM FURO FRONTAL COM LOUÇA BRANCA SEM ASSENTO, INCLUSO CONJUNTO DE LIGAÇÃO PARA BACIA SANITÁRIA AJUSTÁVEL - FORNECIMENTO E INSTALAÇÃO. AF_01/2020</v>
          </cell>
          <cell r="D7518" t="str">
            <v>UN</v>
          </cell>
          <cell r="E7518">
            <v>815.78</v>
          </cell>
          <cell r="F7518">
            <v>0</v>
          </cell>
        </row>
        <row r="7519">
          <cell r="B7519">
            <v>100848</v>
          </cell>
          <cell r="C7519" t="str">
            <v>VASO SANITÁRIO INFANTIL LOUÇA BRANCA - FORNECIMENTO E INSTALACAO. AF_01/2020</v>
          </cell>
          <cell r="D7519" t="str">
            <v>UN</v>
          </cell>
          <cell r="E7519">
            <v>572.75</v>
          </cell>
          <cell r="F7519">
            <v>0</v>
          </cell>
        </row>
        <row r="7520">
          <cell r="B7520">
            <v>86888</v>
          </cell>
          <cell r="C7520" t="str">
            <v>VASO SANITÁRIO SIFONADO COM CAIXA ACOPLADA LOUÇA BRANCA - FORNECIMENTO E INSTALAÇÃO. AF_01/2020</v>
          </cell>
          <cell r="D7520" t="str">
            <v>UN</v>
          </cell>
          <cell r="E7520">
            <v>512.30999999999995</v>
          </cell>
          <cell r="F7520">
            <v>0</v>
          </cell>
        </row>
        <row r="7521">
          <cell r="B7521">
            <v>86932</v>
          </cell>
          <cell r="C7521" t="str">
            <v>VASO SANITÁRIO SIFONADO COM CAIXA ACOPLADA LOUÇA BRANCA - PADRÃO MÉDIO, INCLUSO ENGATE FLEXÍVEL EM METAL CROMADO, 1/2 X 40CM - FORNECIMENTO E INSTALAÇÃO. AF_01/2020</v>
          </cell>
          <cell r="D7521" t="str">
            <v>UN</v>
          </cell>
          <cell r="E7521">
            <v>562.55999999999995</v>
          </cell>
          <cell r="F7521">
            <v>0</v>
          </cell>
        </row>
        <row r="7522">
          <cell r="B7522">
            <v>86931</v>
          </cell>
          <cell r="C7522" t="str">
            <v>VASO SANITÁRIO SIFONADO COM CAIXA ACOPLADA LOUÇA BRANCA, INCLUSO ENGATE FLEXÍVEL EM PLÁSTICO BRANCO, 1/2 X 40CM - FORNECIMENTO E INSTALAÇÃO. AF_01/2020</v>
          </cell>
          <cell r="D7522" t="str">
            <v>UN</v>
          </cell>
          <cell r="E7522">
            <v>528.39</v>
          </cell>
          <cell r="F7522">
            <v>0</v>
          </cell>
        </row>
        <row r="7523">
          <cell r="B7523">
            <v>100878</v>
          </cell>
          <cell r="C7523" t="str">
            <v>VASO SANITÁRIO SIFONADO COM CAIXA ACOPLADA, LOUÇA BRANCA - PADRÃO ALTO - FORNECIMENTO E INSTALAÇÃO. AF_01/2020</v>
          </cell>
          <cell r="D7523" t="str">
            <v>UN</v>
          </cell>
          <cell r="E7523">
            <v>693.86</v>
          </cell>
          <cell r="F7523">
            <v>0</v>
          </cell>
        </row>
        <row r="7524">
          <cell r="B7524">
            <v>86877</v>
          </cell>
          <cell r="C7524" t="str">
            <v>VÁLVULA EM METAL CROMADO 1.1/2" X 1.1/2" PARA TANQUE OU LAVATÓRIO, COM OU SEM LADRÃO - FORNECIMENTO E INSTALAÇÃO. AF_01/2020</v>
          </cell>
          <cell r="D7524" t="str">
            <v>UN</v>
          </cell>
          <cell r="E7524">
            <v>62.18</v>
          </cell>
          <cell r="F7524">
            <v>0</v>
          </cell>
        </row>
        <row r="7525">
          <cell r="B7525">
            <v>86878</v>
          </cell>
          <cell r="C7525" t="str">
            <v>VÁLVULA EM METAL CROMADO TIPO AMERICANA 3.1/2" X 1.1/2" PARA PIA - FORNECIMENTO E INSTALAÇÃO. AF_01/2020</v>
          </cell>
          <cell r="D7525" t="str">
            <v>UN</v>
          </cell>
          <cell r="E7525">
            <v>66.75</v>
          </cell>
          <cell r="F7525">
            <v>0</v>
          </cell>
        </row>
        <row r="7526">
          <cell r="B7526">
            <v>86879</v>
          </cell>
          <cell r="C7526" t="str">
            <v>VÁLVULA EM PLÁSTICO 1" PARA PIA, TANQUE OU LAVATÓRIO, COM OU SEM LADRÃO - FORNECIMENTO E INSTALAÇÃO. AF_01/2020</v>
          </cell>
          <cell r="D7526" t="str">
            <v>UN</v>
          </cell>
          <cell r="E7526">
            <v>12.72</v>
          </cell>
          <cell r="F7526">
            <v>0</v>
          </cell>
        </row>
        <row r="7527">
          <cell r="B7527">
            <v>86880</v>
          </cell>
          <cell r="C7527" t="str">
            <v>VÁLVULA EM PLÁSTICO CROMADO TIPO AMERICANA 3.1/2" X 1.1/2" SEM ADAPTADOR PARA PIA - FORNECIMENTO E INSTALAÇÃO. AF_01/2020</v>
          </cell>
          <cell r="D7527" t="str">
            <v>UN</v>
          </cell>
          <cell r="E7527">
            <v>32.67</v>
          </cell>
          <cell r="F7527">
            <v>0</v>
          </cell>
        </row>
        <row r="7528">
          <cell r="B7528">
            <v>101663</v>
          </cell>
          <cell r="C7528" t="str">
            <v>ABRAÇADEIRA DE FIXAÇÃO DE BRAÇOS DE LUMINÁRIAS DE 2" - FORNECIMENTO E INSTALAÇÃO. AF_02/2025</v>
          </cell>
          <cell r="D7528" t="str">
            <v>UN</v>
          </cell>
          <cell r="E7528">
            <v>32.79</v>
          </cell>
          <cell r="F7528">
            <v>0</v>
          </cell>
        </row>
        <row r="7529">
          <cell r="B7529">
            <v>101664</v>
          </cell>
          <cell r="C7529" t="str">
            <v>ABRAÇADEIRA DE FIXAÇÃO DE BRAÇOS DE LUMINÁRIAS DE 3" - FORNECIMENTO E INSTALAÇÃO. AF_02/2025</v>
          </cell>
          <cell r="D7529" t="str">
            <v>UN</v>
          </cell>
          <cell r="E7529">
            <v>33.880000000000003</v>
          </cell>
          <cell r="F7529">
            <v>0</v>
          </cell>
        </row>
        <row r="7530">
          <cell r="B7530">
            <v>101665</v>
          </cell>
          <cell r="C7530" t="str">
            <v>ABRAÇADEIRA DE FIXAÇÃO DE BRAÇOS DE LUMINÁRIAS DE 4" - FORNECIMENTO E INSTALAÇÃO. AF_02/2025</v>
          </cell>
          <cell r="D7530" t="str">
            <v>UN</v>
          </cell>
          <cell r="E7530">
            <v>38.6</v>
          </cell>
          <cell r="F7530">
            <v>0</v>
          </cell>
        </row>
        <row r="7531">
          <cell r="B7531">
            <v>101634</v>
          </cell>
          <cell r="C7531" t="str">
            <v>BRAÇO PARA ILUMINAÇÃO PÚBLICA, EM TUBO DE AÇO GALVANIZADO, COMPRIMENTO DE 1,20 M, PARA FIXAÇÃO EM POSTE DE CONCRETO - FORNECIMENTO E INSTALAÇÃO. AF_02/2025</v>
          </cell>
          <cell r="D7531" t="str">
            <v>UN</v>
          </cell>
          <cell r="E7531">
            <v>0</v>
          </cell>
        </row>
        <row r="7532">
          <cell r="B7532">
            <v>101635</v>
          </cell>
          <cell r="C7532" t="str">
            <v>BRAÇO PARA ILUMINAÇÃO PÚBLICA, EM TUBO DE AÇO GALVANIZADO, COMPRIMENTO DE 1,20 M, PARA FIXAÇÃO EM POSTE METÁLICO - FORNECIMENTO E INSTALAÇÃO. AF_02/2025</v>
          </cell>
          <cell r="D7532" t="str">
            <v>UN</v>
          </cell>
          <cell r="E7532">
            <v>0</v>
          </cell>
        </row>
        <row r="7533">
          <cell r="B7533">
            <v>101636</v>
          </cell>
          <cell r="C7533" t="str">
            <v>BRAÇO PARA ILUMINAÇÃO PÚBLICA, EM TUBO DE AÇO GALVANIZADO, COMPRIMENTO DE 1,50 M, PARA FIXAÇÃO EM POSTE DE CONCRETO - FORNECIMENTO E INSTALAÇÃO. AF_02/2025_PS</v>
          </cell>
          <cell r="D7533" t="str">
            <v>UN</v>
          </cell>
          <cell r="E7533">
            <v>158.27000000000001</v>
          </cell>
          <cell r="F7533">
            <v>0</v>
          </cell>
        </row>
        <row r="7534">
          <cell r="B7534">
            <v>101637</v>
          </cell>
          <cell r="C7534" t="str">
            <v>BRAÇO PARA ILUMINAÇÃO PÚBLICA, EM TUBO DE AÇO GALVANIZADO, COMPRIMENTO DE 1,50 M, PARA FIXAÇÃO EM POSTE METÁLICO - FORNECIMENTO E INSTALAÇÃO. AF_02/2025_PS</v>
          </cell>
          <cell r="D7534" t="str">
            <v>UN</v>
          </cell>
          <cell r="E7534">
            <v>152.55000000000001</v>
          </cell>
          <cell r="F7534">
            <v>0</v>
          </cell>
        </row>
        <row r="7535">
          <cell r="B7535">
            <v>101638</v>
          </cell>
          <cell r="C7535" t="str">
            <v>BRAÇO PARA ILUMINAÇÃO PÚBLICA, EM TUBO DE AÇO GALVANIZADO, COMPRIMENTO DE 3,50 M, PARA FIXAÇÃO EM POSTE DE CONCRETO - FORNECIMENTO E INSTALAÇÃO. AF_02/2025</v>
          </cell>
          <cell r="D7535" t="str">
            <v>UN</v>
          </cell>
          <cell r="E7535">
            <v>0</v>
          </cell>
        </row>
        <row r="7536">
          <cell r="B7536">
            <v>101639</v>
          </cell>
          <cell r="C7536" t="str">
            <v>BRAÇO PARA ILUMINAÇÃO PÚBLICA, EM TUBO DE AÇO GALVANIZADO, COMPRIMENTO DE 3,50 M, PARA FIXAÇÃO EM POSTE METÁLICO - FORNECIMENTO E INSTALAÇÃO. AF_02/2025</v>
          </cell>
          <cell r="D7536" t="str">
            <v>UN</v>
          </cell>
          <cell r="E7536">
            <v>0</v>
          </cell>
        </row>
        <row r="7537">
          <cell r="B7537">
            <v>105919</v>
          </cell>
          <cell r="C7537" t="str">
            <v>LUMINÁRIA DE LED PARA ILUMINAÇÃO PÚBLICA, 1000 W - FORNECIMENTO E INSTALAÇÃO. AF_02/2025</v>
          </cell>
          <cell r="D7537" t="str">
            <v>UN</v>
          </cell>
          <cell r="E7537">
            <v>0</v>
          </cell>
        </row>
        <row r="7538">
          <cell r="B7538">
            <v>101658</v>
          </cell>
          <cell r="C7538" t="str">
            <v>LUMINÁRIA DE LED PARA ILUMINAÇÃO PÚBLICA, DE 138 W ATÉ 180 W - FORNECIMENTO E INSTALAÇÃO. AF_02/2025_PS</v>
          </cell>
          <cell r="D7538" t="str">
            <v>UN</v>
          </cell>
          <cell r="E7538">
            <v>432.17</v>
          </cell>
          <cell r="F7538">
            <v>0</v>
          </cell>
        </row>
        <row r="7539">
          <cell r="B7539">
            <v>101659</v>
          </cell>
          <cell r="C7539" t="str">
            <v>LUMINÁRIA DE LED PARA ILUMINAÇÃO PÚBLICA, DE 181 W ATÉ 239 W - FORNECIMENTO E INSTALAÇÃO. AF_02/2025_PS</v>
          </cell>
          <cell r="D7539" t="str">
            <v>UN</v>
          </cell>
          <cell r="E7539">
            <v>489.12</v>
          </cell>
          <cell r="F7539">
            <v>0</v>
          </cell>
        </row>
        <row r="7540">
          <cell r="B7540">
            <v>101660</v>
          </cell>
          <cell r="C7540" t="str">
            <v>LUMINÁRIA DE LED PARA ILUMINAÇÃO PÚBLICA, DE 240 W ATÉ 350 W - FORNECIMENTO E INSTALAÇÃO. AF_02/2025_PS</v>
          </cell>
          <cell r="D7540" t="str">
            <v>UN</v>
          </cell>
          <cell r="E7540">
            <v>757.93</v>
          </cell>
          <cell r="F7540">
            <v>0</v>
          </cell>
        </row>
        <row r="7541">
          <cell r="B7541">
            <v>101654</v>
          </cell>
          <cell r="C7541" t="str">
            <v>LUMINÁRIA DE LED PARA ILUMINAÇÃO PÚBLICA, DE 33 W ATÉ 50 W - FORNECIMENTO E INSTALAÇÃO. AF_02/2025_PS</v>
          </cell>
          <cell r="D7541" t="str">
            <v>UN</v>
          </cell>
          <cell r="E7541">
            <v>185.66</v>
          </cell>
          <cell r="F7541">
            <v>0</v>
          </cell>
        </row>
        <row r="7542">
          <cell r="B7542">
            <v>101655</v>
          </cell>
          <cell r="C7542" t="str">
            <v>LUMINÁRIA DE LED PARA ILUMINAÇÃO PÚBLICA, DE 51 W ATÉ 67 W - FORNECIMENTO E INSTALAÇÃO. AF_02/2025_PS</v>
          </cell>
          <cell r="D7542" t="str">
            <v>UN</v>
          </cell>
          <cell r="E7542">
            <v>275.19</v>
          </cell>
          <cell r="F7542">
            <v>0</v>
          </cell>
        </row>
        <row r="7543">
          <cell r="B7543">
            <v>101656</v>
          </cell>
          <cell r="C7543" t="str">
            <v>LUMINÁRIA DE LED PARA ILUMINAÇÃO PÚBLICA, DE 68 W ATÉ 97 W - FORNECIMENTO E INSTALAÇÃO. AF_02/2025_PS</v>
          </cell>
          <cell r="D7543" t="str">
            <v>UN</v>
          </cell>
          <cell r="E7543">
            <v>296.08999999999997</v>
          </cell>
          <cell r="F7543">
            <v>0</v>
          </cell>
        </row>
        <row r="7544">
          <cell r="B7544">
            <v>101657</v>
          </cell>
          <cell r="C7544" t="str">
            <v>LUMINÁRIA DE LED PARA ILUMINAÇÃO PÚBLICA, DE 98 W ATÉ 137 W - FORNECIMENTO E INSTALAÇÃO. AF_02/2025_PS</v>
          </cell>
          <cell r="D7544" t="str">
            <v>UN</v>
          </cell>
          <cell r="E7544">
            <v>340.62</v>
          </cell>
          <cell r="F7544">
            <v>0</v>
          </cell>
        </row>
        <row r="7545">
          <cell r="B7545">
            <v>105923</v>
          </cell>
          <cell r="C7545" t="str">
            <v>LUMINÁRIA REFLETOR LED PARA ILUMINAÇÃO PÚBLICA, 1000 W - FORNECIMENTO E INSTALAÇÃO. AF_02/2025</v>
          </cell>
          <cell r="D7545" t="str">
            <v>UN</v>
          </cell>
          <cell r="E7545">
            <v>0</v>
          </cell>
        </row>
        <row r="7546">
          <cell r="B7546">
            <v>105921</v>
          </cell>
          <cell r="C7546" t="str">
            <v>LUMINÁRIA REFLETOR LED PARA ILUMINAÇÃO PÚBLICA, 200 W - FORNECIMENTO E INSTALAÇÃO. AF_02/2025</v>
          </cell>
          <cell r="D7546" t="str">
            <v>UN</v>
          </cell>
          <cell r="E7546">
            <v>0</v>
          </cell>
        </row>
        <row r="7547">
          <cell r="B7547">
            <v>105920</v>
          </cell>
          <cell r="C7547" t="str">
            <v>LUMINÁRIA REFLETOR LED PARA ILUMINAÇÃO PÚBLICA, 50 W - FORNECIMENTO E INSTALAÇÃO. AF_02/2025</v>
          </cell>
          <cell r="D7547" t="str">
            <v>UN</v>
          </cell>
          <cell r="E7547">
            <v>0</v>
          </cell>
        </row>
        <row r="7548">
          <cell r="B7548">
            <v>105922</v>
          </cell>
          <cell r="C7548" t="str">
            <v>LUMINÁRIA REFLETOR LED PARA ILUMINAÇÃO PÚBLICA, 600 W - FORNECIMENTO E INSTALAÇÃO. AF_02/2025</v>
          </cell>
          <cell r="D7548" t="str">
            <v>UN</v>
          </cell>
          <cell r="E7548">
            <v>0</v>
          </cell>
        </row>
        <row r="7549">
          <cell r="B7549">
            <v>101632</v>
          </cell>
          <cell r="C7549" t="str">
            <v>RELÉ FOTOELÉTRICO PARA COMANDO DE ILUMINAÇÃO EXTERNA 1000 W - FORNECIMENTO E INSTALAÇÃO. AF_02/2025</v>
          </cell>
          <cell r="D7549" t="str">
            <v>UN</v>
          </cell>
          <cell r="E7549">
            <v>33.33</v>
          </cell>
          <cell r="F7549">
            <v>0</v>
          </cell>
        </row>
        <row r="7550">
          <cell r="B7550">
            <v>101661</v>
          </cell>
          <cell r="C7550" t="str">
            <v>SUBSTITUIÇÃO DE LUMINÁRIA DE VAPOR DE MERCÚRIO/VAPOR DE SÓDIO POR LUMINÁRIA DE LED PARA ILUMINAÇÃO PÚBLICA (NÃO INCLUI FORNECIMENTO). AF_02/2025_PS</v>
          </cell>
          <cell r="D7550" t="str">
            <v>UN</v>
          </cell>
          <cell r="E7550">
            <v>159.81</v>
          </cell>
          <cell r="F7550">
            <v>0</v>
          </cell>
        </row>
        <row r="7551">
          <cell r="B7551">
            <v>105924</v>
          </cell>
          <cell r="C7551" t="str">
            <v>SUBSTITUIÇÃO DE LUMINÁRIA REFLETOR LED PARA ILUMINAÇÃO PÚBLICA (NÃO INCLUI FORNECIMENTO). AF_02/2025</v>
          </cell>
          <cell r="D7551" t="str">
            <v>UN</v>
          </cell>
          <cell r="E7551">
            <v>18.46</v>
          </cell>
          <cell r="F7551">
            <v>0</v>
          </cell>
        </row>
        <row r="7552">
          <cell r="B7552">
            <v>101651</v>
          </cell>
          <cell r="C7552" t="str">
            <v>SUBSTITUIÇÃO DE LÂMPADA PARA ILUMINAÇÃO PÚBLICA (NÃO INCLUI FORNECIMENTO). AF_02/2025_PS</v>
          </cell>
          <cell r="D7552" t="str">
            <v>UN</v>
          </cell>
          <cell r="E7552">
            <v>67.319999999999993</v>
          </cell>
          <cell r="F7552">
            <v>0</v>
          </cell>
        </row>
        <row r="7553">
          <cell r="B7553">
            <v>101630</v>
          </cell>
          <cell r="C7553" t="str">
            <v>SUBSTITUIÇÃO DE REATOR PARA ILUMINAÇÃO PÚBLICA (NÃO INCLUI FORNECIMENTO). AF_02/2025_PS</v>
          </cell>
          <cell r="D7553" t="str">
            <v>UN</v>
          </cell>
          <cell r="E7553">
            <v>82.4</v>
          </cell>
          <cell r="F7553">
            <v>0</v>
          </cell>
        </row>
        <row r="7554">
          <cell r="B7554">
            <v>101633</v>
          </cell>
          <cell r="C7554" t="str">
            <v>SUBSTITUIÇÃO DE RELÉ FOTOELÉTRICO PARA COMANDO DE ILUMINAÇÃO EXTERNA 1000 W - FORNECIMENTO E INSTALAÇÃO. AF_02/2025_PS</v>
          </cell>
          <cell r="D7554" t="str">
            <v>UN</v>
          </cell>
          <cell r="E7554">
            <v>97.14</v>
          </cell>
          <cell r="F7554">
            <v>0</v>
          </cell>
        </row>
        <row r="7555">
          <cell r="B7555">
            <v>104219</v>
          </cell>
          <cell r="C7555" t="str">
            <v>EMBOÇO OU MASSA ÚNICA EM ARGAMASSA INDUSTRIALIZADA, PREPARO MECÂNICA E APLICAÇÃO COM EQUIPAMENTO DE MISTURA E PROJEÇÃO DE 1,5 M3/H DE ARGAMASSA EM PANOS DE FACHADA COM PRESENÇA DE VÃOS, ESPESSURA DE 25 MM, ACESSO POR ANDAIME. AF_08/2022</v>
          </cell>
          <cell r="D7555" t="str">
            <v>M2</v>
          </cell>
          <cell r="E7555">
            <v>95.13</v>
          </cell>
          <cell r="F7555">
            <v>0</v>
          </cell>
        </row>
        <row r="7556">
          <cell r="B7556">
            <v>104223</v>
          </cell>
          <cell r="C7556" t="str">
            <v>EMBOÇO OU MASSA ÚNICA EM ARGAMASSA INDUSTRIALIZADA, PREPARO MECÂNICA E APLICAÇÃO COM EQUIPAMENTO DE MISTURA E PROJEÇÃO DE 1,5 M3/H DE ARGAMASSA EM PANOS DE FACHADA COM PRESENÇA DE VÃOS, ESPESSURA DE 35 MM, ACESSO POR ANDAIME. AF_08/2022</v>
          </cell>
          <cell r="D7556" t="str">
            <v>M2</v>
          </cell>
          <cell r="E7556">
            <v>124.58</v>
          </cell>
          <cell r="F7556">
            <v>0</v>
          </cell>
        </row>
        <row r="7557">
          <cell r="B7557">
            <v>104227</v>
          </cell>
          <cell r="C7557" t="str">
            <v>EMBOÇO OU MASSA ÚNICA EM ARGAMASSA INDUSTRIALIZADA, PREPARO MECÂNICA E APLICAÇÃO COM EQUIPAMENTO DE MISTURA E PROJEÇÃO DE 1,5 M3/H DE ARGAMASSA EM PANOS DE FACHADA COM PRESENÇA DE VÃOS, ESPESSURA DE 45 MM, ACESSO POR ANDAIME. AF_08/2022</v>
          </cell>
          <cell r="D7557" t="str">
            <v>M2</v>
          </cell>
          <cell r="E7557">
            <v>143.79</v>
          </cell>
          <cell r="F7557">
            <v>0</v>
          </cell>
        </row>
        <row r="7558">
          <cell r="B7558">
            <v>104231</v>
          </cell>
          <cell r="C7558" t="str">
            <v>EMBOÇO OU MASSA ÚNICA EM ARGAMASSA INDUSTRIALIZADA, PREPARO MECÂNICA E APLICAÇÃO COM EQUIPAMENTO DE MISTURA E PROJEÇÃO DE 1,5 M3/H DE ARGAMASSA EM PANOS DE FACHADA COM PRESENÇA DE VÃOS, ESPESSURA DE 50 MM, ACESSO POR ANDAIME. AF_08/2022</v>
          </cell>
          <cell r="D7558" t="str">
            <v>M2</v>
          </cell>
          <cell r="E7558">
            <v>158.66999999999999</v>
          </cell>
          <cell r="F7558">
            <v>0</v>
          </cell>
        </row>
        <row r="7559">
          <cell r="B7559">
            <v>104235</v>
          </cell>
          <cell r="C7559" t="str">
            <v>EMBOÇO OU MASSA ÚNICA EM ARGAMASSA INDUSTRIALIZADA, PREPARO MECÂNICA E APLICAÇÃO COM EQUIPAMENTO DE MISTURA E PROJEÇÃO DE 1,5 M3/H DE ARGAMASSA EM PANOS DE FACHADA SEM PRESENÇA DE VÃOS, ESPESSURA DE 25 MM, ACESSO POR ANDAIME. AF_08/2022</v>
          </cell>
          <cell r="D7559" t="str">
            <v>M2</v>
          </cell>
          <cell r="E7559">
            <v>77.05</v>
          </cell>
          <cell r="F7559">
            <v>0</v>
          </cell>
        </row>
        <row r="7560">
          <cell r="B7560">
            <v>104239</v>
          </cell>
          <cell r="C7560" t="str">
            <v>EMBOÇO OU MASSA ÚNICA EM ARGAMASSA INDUSTRIALIZADA, PREPARO MECÂNICA E APLICAÇÃO COM EQUIPAMENTO DE MISTURA E PROJEÇÃO DE 1,5 M3/H DE ARGAMASSA EM PANOS DE FACHADA SEM PRESENÇA DE VÃOS, ESPESSURA DE 35 MM, ACESSO POR ANDAIME. AF_08/2022</v>
          </cell>
          <cell r="D7560" t="str">
            <v>M2</v>
          </cell>
          <cell r="E7560">
            <v>105.32</v>
          </cell>
          <cell r="F7560">
            <v>0</v>
          </cell>
        </row>
        <row r="7561">
          <cell r="B7561">
            <v>104243</v>
          </cell>
          <cell r="C7561" t="str">
            <v>EMBOÇO OU MASSA ÚNICA EM ARGAMASSA INDUSTRIALIZADA, PREPARO MECÂNICA E APLICAÇÃO COM EQUIPAMENTO DE MISTURA E PROJEÇÃO DE 1,5 M3/H DE ARGAMASSA EM PANOS DE FACHADA SEM PRESENÇA DE VÃOS, ESPESSURA DE 45 MM, ACESSO POR ANDAIME. AF_08/2022</v>
          </cell>
          <cell r="D7561" t="str">
            <v>M2</v>
          </cell>
          <cell r="E7561">
            <v>123.27</v>
          </cell>
          <cell r="F7561">
            <v>0</v>
          </cell>
        </row>
        <row r="7562">
          <cell r="B7562">
            <v>104247</v>
          </cell>
          <cell r="C7562" t="str">
            <v>EMBOÇO OU MASSA ÚNICA EM ARGAMASSA INDUSTRIALIZADA, PREPARO MECÂNICA E APLICAÇÃO COM EQUIPAMENTO DE MISTURA E PROJEÇÃO DE 1,5 M3/H DE ARGAMASSA EM PANOS DE FACHADA SEM PRESENÇA DE VÃOS, ESPESSURA DE 50 MM, ACESSO POR ANDAIME. AF_08/2022</v>
          </cell>
          <cell r="D7562" t="str">
            <v>M2</v>
          </cell>
          <cell r="E7562">
            <v>131.44999999999999</v>
          </cell>
          <cell r="F7562">
            <v>0</v>
          </cell>
        </row>
        <row r="7563">
          <cell r="B7563">
            <v>87795</v>
          </cell>
          <cell r="C7563" t="str">
            <v>EMBOÇO OU MASSA ÚNICA EM ARGAMASSA INDUSTRIALIZADA, PREPARO MECÂNICO E APLICAÇÃO COM EQUIPAMENTO DE MISTURA E PROJEÇÃO DE 1,5 M3/H DE ARGAMASSA EM PANOS CEGOS DE FACHADA (SEM PRESENÇA DE VÃOS), ESPESSURA DE 25 MM. AF_08/2022</v>
          </cell>
          <cell r="D7563" t="str">
            <v>M2</v>
          </cell>
          <cell r="E7563">
            <v>79.930000000000007</v>
          </cell>
          <cell r="F7563">
            <v>0</v>
          </cell>
        </row>
        <row r="7564">
          <cell r="B7564">
            <v>87800</v>
          </cell>
          <cell r="C7564" t="str">
            <v>EMBOÇO OU MASSA ÚNICA EM ARGAMASSA INDUSTRIALIZADA, PREPARO MECÂNICO E APLICAÇÃO COM EQUIPAMENTO DE MISTURA E PROJEÇÃO DE 1,5 M3/H DE ARGAMASSA EM PANOS CEGOS DE FACHADA (SEM PRESENÇA DE VÃOS), ESPESSURA DE 35 MM. AF_08/2022</v>
          </cell>
          <cell r="D7564" t="str">
            <v>M2</v>
          </cell>
          <cell r="E7564">
            <v>109.47</v>
          </cell>
          <cell r="F7564">
            <v>0</v>
          </cell>
        </row>
        <row r="7565">
          <cell r="B7565">
            <v>87804</v>
          </cell>
          <cell r="C7565" t="str">
            <v>EMBOÇO OU MASSA ÚNICA EM ARGAMASSA INDUSTRIALIZADA, PREPARO MECÂNICO E APLICAÇÃO COM EQUIPAMENTO DE MISTURA E PROJEÇÃO DE 1,5 M3/H DE ARGAMASSA EM PANOS CEGOS DE FACHADA (SEM PRESENÇA DE VÃOS), ESPESSURA DE 45 MM. AF_08/2022</v>
          </cell>
          <cell r="D7565" t="str">
            <v>M2</v>
          </cell>
          <cell r="E7565">
            <v>127.42</v>
          </cell>
          <cell r="F7565">
            <v>0</v>
          </cell>
        </row>
        <row r="7566">
          <cell r="B7566">
            <v>87808</v>
          </cell>
          <cell r="C7566" t="str">
            <v>EMBOÇO OU MASSA ÚNICA EM ARGAMASSA INDUSTRIALIZADA, PREPARO MECÂNICO E APLICAÇÃO COM EQUIPAMENTO DE MISTURA E PROJEÇÃO DE 1,5 M3/H DE ARGAMASSA EM PANOS CEGOS DE FACHADA (SEM PRESENÇA DE VÃOS), ESPESSURA MAIOR OU IGUAL A 50 MM. AF_08/2022</v>
          </cell>
          <cell r="D7566" t="str">
            <v>M2</v>
          </cell>
          <cell r="E7566">
            <v>135.47</v>
          </cell>
          <cell r="F7566">
            <v>0</v>
          </cell>
        </row>
        <row r="7567">
          <cell r="B7567">
            <v>87778</v>
          </cell>
          <cell r="C7567" t="str">
            <v>EMBOÇO OU MASSA ÚNICA EM ARGAMASSA INDUSTRIALIZADA, PREPARO MECÂNICO E APLICAÇÃO COM EQUIPAMENTO DE MISTURA E PROJEÇÃO DE 1,5 M3/H DE ARGAMASSA EM PANOS DE FACHADA COM PRESENÇA DE VÃOS, ESPESSURA DE 25 MM. AF_08/2022</v>
          </cell>
          <cell r="D7567" t="str">
            <v>M2</v>
          </cell>
          <cell r="E7567">
            <v>99.82</v>
          </cell>
          <cell r="F7567">
            <v>0</v>
          </cell>
        </row>
        <row r="7568">
          <cell r="B7568">
            <v>87783</v>
          </cell>
          <cell r="C7568" t="str">
            <v>EMBOÇO OU MASSA ÚNICA EM ARGAMASSA INDUSTRIALIZADA, PREPARO MECÂNICO E APLICAÇÃO COM EQUIPAMENTO DE MISTURA E PROJEÇÃO DE 1,5 M3/H DE ARGAMASSA EM PANOS DE FACHADA COM PRESENÇA DE VÃOS, ESPESSURA DE 35 MM. AF_08/2022</v>
          </cell>
          <cell r="D7568" t="str">
            <v>M2</v>
          </cell>
          <cell r="E7568">
            <v>130.68</v>
          </cell>
          <cell r="F7568">
            <v>0</v>
          </cell>
        </row>
        <row r="7569">
          <cell r="B7569">
            <v>87787</v>
          </cell>
          <cell r="C7569" t="str">
            <v>EMBOÇO OU MASSA ÚNICA EM ARGAMASSA INDUSTRIALIZADA, PREPARO MECÂNICO E APLICAÇÃO COM EQUIPAMENTO DE MISTURA E PROJEÇÃO DE 1,5 M3/H DE ARGAMASSA EM PANOS DE FACHADA COM PRESENÇA DE VÃOS, ESPESSURA DE 45 MM. AF_08/2022</v>
          </cell>
          <cell r="D7569" t="str">
            <v>M2</v>
          </cell>
          <cell r="E7569">
            <v>149.88999999999999</v>
          </cell>
          <cell r="F7569">
            <v>0</v>
          </cell>
        </row>
        <row r="7570">
          <cell r="B7570">
            <v>87791</v>
          </cell>
          <cell r="C7570" t="str">
            <v>EMBOÇO OU MASSA ÚNICA EM ARGAMASSA INDUSTRIALIZADA, PREPARO MECÂNICO E APLICAÇÃO COM EQUIPAMENTO DE MISTURA E PROJEÇÃO DE 1,5 M3/H DE ARGAMASSA EM PANOS DE FACHADA COM PRESENÇA DE VÃOS, ESPESSURA MAIOR OU IGUAL A 50 MM. AF_08/2022</v>
          </cell>
          <cell r="D7570" t="str">
            <v>M2</v>
          </cell>
          <cell r="E7570">
            <v>165.38</v>
          </cell>
          <cell r="F7570">
            <v>0</v>
          </cell>
        </row>
        <row r="7571">
          <cell r="B7571">
            <v>87832</v>
          </cell>
          <cell r="C7571" t="str">
            <v>EMBOÇO OU MASSA ÚNICA EM ARGAMASSA INDUSTRIALIZADA, PREPARO MECÂNICO E APLICAÇÃO COM EQUIPAMENTO DE MISTURA E PROJEÇÃO DE 1,5 M3/H DE ARGAMASSA NAS PAREDES INTERNAS DA SACADA, ESPESSURA 35 MM, SEM USO DE TELA METÁLICA. AF_08/2022</v>
          </cell>
          <cell r="D7571" t="str">
            <v>M2</v>
          </cell>
          <cell r="E7571">
            <v>159.53</v>
          </cell>
          <cell r="F7571">
            <v>0</v>
          </cell>
        </row>
        <row r="7572">
          <cell r="B7572">
            <v>87812</v>
          </cell>
          <cell r="C7572" t="str">
            <v>EMBOÇO OU MASSA ÚNICA EM ARGAMASSA INDUSTRIALIZADA, PREPARO MECÂNICO E APLICAÇÃO COM EQUIPAMENTO DE MISTURA E PROJEÇÃO DE 1,5 M3/H EM SUPERFÍCIES EXTERNAS DA SACADA, ESPESSURA 25 MM, SEM USO DE TELA METÁLICA. AF_08/2022</v>
          </cell>
          <cell r="D7572" t="str">
            <v>M2</v>
          </cell>
          <cell r="E7572">
            <v>126.65</v>
          </cell>
          <cell r="F7572">
            <v>0</v>
          </cell>
        </row>
        <row r="7573">
          <cell r="B7573">
            <v>87816</v>
          </cell>
          <cell r="C7573" t="str">
            <v>EMBOÇO OU MASSA ÚNICA EM ARGAMASSA INDUSTRIALIZADA, PREPARO MECÂNICO E APLICAÇÃO COM EQUIPAMENTO DE MISTURA E PROJEÇÃO DE 1,5 M3/H EM SUPERFÍCIES EXTERNAS DA SACADA, ESPESSURA 35 MM, SEM USO DE TELA METÁLICA. AF_08/2022</v>
          </cell>
          <cell r="D7573" t="str">
            <v>M2</v>
          </cell>
          <cell r="E7573">
            <v>156.26</v>
          </cell>
          <cell r="F7573">
            <v>0</v>
          </cell>
        </row>
        <row r="7574">
          <cell r="B7574">
            <v>87820</v>
          </cell>
          <cell r="C7574" t="str">
            <v>EMBOÇO OU MASSA ÚNICA EM ARGAMASSA INDUSTRIALIZADA, PREPARO MECÂNICO E APLICAÇÃO COM EQUIPAMENTO DE MISTURA E PROJEÇÃO DE 1,5 M3/H EM SUPERFÍCIES EXTERNAS DA SACADA, ESPESSURA 45 MM, SEM USO DE TELA METÁLICA. AF_08/2022</v>
          </cell>
          <cell r="D7574" t="str">
            <v>M2</v>
          </cell>
          <cell r="E7574">
            <v>174.21</v>
          </cell>
          <cell r="F7574">
            <v>0</v>
          </cell>
        </row>
        <row r="7575">
          <cell r="B7575">
            <v>87824</v>
          </cell>
          <cell r="C7575" t="str">
            <v>EMBOÇO OU MASSA ÚNICA EM ARGAMASSA INDUSTRIALIZADA, PREPARO MECÂNICO E APLICAÇÃO COM EQUIPAMENTO DE MISTURA E PROJEÇÃO DE 1,5 M3/H EM SUPERFÍCIES EXTERNAS DA SACADA, ESPESSURA MAIOR OU IGUAL A 50 MM, SEM USO DE TELA METÁLICA. AF_08/2022</v>
          </cell>
          <cell r="D7575" t="str">
            <v>M2</v>
          </cell>
          <cell r="E7575">
            <v>203.16</v>
          </cell>
          <cell r="F7575">
            <v>0</v>
          </cell>
        </row>
        <row r="7576">
          <cell r="B7576">
            <v>87828</v>
          </cell>
          <cell r="C7576" t="str">
            <v>EMBOÇO OU MASSA ÚNICA EM ARGAMASSA INDUSTRIALIZADA, PREPARO MECÂNICO E APLICAÇÃO COM EQUIPAMENTO DE MISTURA E PROJEÇÃO DE 1,5 M3/H NAS PAREDES INTERNAS DA SACADA, ESPESSURA 25 MM, SEM USO DE TELA METÁLICA. AF_08/2022</v>
          </cell>
          <cell r="D7576" t="str">
            <v>M2</v>
          </cell>
          <cell r="E7576">
            <v>127.7</v>
          </cell>
          <cell r="F7576">
            <v>0</v>
          </cell>
        </row>
        <row r="7577">
          <cell r="B7577">
            <v>104251</v>
          </cell>
          <cell r="C7577" t="str">
            <v>EMBOÇO OU MASSA ÚNICA EM ARGAMASSA INDUSTRIALIZADA, PREPARO MECÂNICO E APLICAÇÃO COM EQUIPAMENTO DE MISTURA E PROJEÇÃO DE 1,5 M3/H, NAS SUPERFÍCIES EXTERNAS DA SACADA, ESPESSURA DE 25 MM, ACESSO POR ANDAIME, SEM USO DE TELA METÁLICA. AF_08/2022</v>
          </cell>
          <cell r="D7577" t="str">
            <v>M2</v>
          </cell>
          <cell r="E7577">
            <v>118.2</v>
          </cell>
          <cell r="F7577">
            <v>0</v>
          </cell>
        </row>
        <row r="7578">
          <cell r="B7578">
            <v>104255</v>
          </cell>
          <cell r="C7578" t="str">
            <v>EMBOÇO OU MASSA ÚNICA EM ARGAMASSA INDUSTRIALIZADA, PREPARO MECÂNICO E APLICAÇÃO COM EQUIPAMENTO DE MISTURA E PROJEÇÃO DE 1,5 M3/H, NAS SUPERFÍCIES EXTERNAS DA SACADA, ESPESSURA DE 35 MM, ACESSO POR ANDAIME, SEM USO DE TELA METÁLICA. AF_08/2022</v>
          </cell>
          <cell r="D7578" t="str">
            <v>M2</v>
          </cell>
          <cell r="E7578">
            <v>146.47999999999999</v>
          </cell>
          <cell r="F7578">
            <v>0</v>
          </cell>
        </row>
        <row r="7579">
          <cell r="B7579">
            <v>104259</v>
          </cell>
          <cell r="C7579" t="str">
            <v>EMBOÇO OU MASSA ÚNICA EM ARGAMASSA INDUSTRIALIZADA, PREPARO MECÂNICO E APLICAÇÃO COM EQUIPAMENTO DE MISTURA E PROJEÇÃO DE 1,5 M3/H, NAS SUPERFÍCIES EXTERNAS DA SACADA, ESPESSURA DE 45 MM, ACESSO POR ANDAIME, SEM USO DE TELA METÁLICA. AF_08/2022</v>
          </cell>
          <cell r="D7579" t="str">
            <v>M2</v>
          </cell>
          <cell r="E7579">
            <v>164.43</v>
          </cell>
          <cell r="F7579">
            <v>0</v>
          </cell>
        </row>
        <row r="7580">
          <cell r="B7580">
            <v>104263</v>
          </cell>
          <cell r="C7580" t="str">
            <v>EMBOÇO OU MASSA ÚNICA EM ARGAMASSA INDUSTRIALIZADA, PREPARO MECÂNICO E APLICAÇÃO COM EQUIPAMENTO DE MISTURA E PROJEÇÃO DE 1,5 M3/H, NAS SUPERFÍCIES EXTERNAS DA SACADA, ESPESSURA DE 50 MM, ACESSO POR ANDAIME, SEM USO DE TELA METÁLICA. AF_08/2022</v>
          </cell>
          <cell r="D7580" t="str">
            <v>M2</v>
          </cell>
          <cell r="E7580">
            <v>191.1</v>
          </cell>
          <cell r="F7580">
            <v>0</v>
          </cell>
        </row>
        <row r="7581">
          <cell r="B7581">
            <v>87794</v>
          </cell>
          <cell r="C7581" t="str">
            <v>EMBOÇO OU MASSA ÚNICA EM ARGAMASSA TRAÇO 1:2:8, PREPARO MANUAL, APLICADA MANUALMENTE EM PANOS CEGOS DE FACHADA (SEM PRESENÇA DE VÃOS), ESPESSURA DE 25 MM. AF_09/2022</v>
          </cell>
          <cell r="D7581" t="str">
            <v>M2</v>
          </cell>
          <cell r="E7581">
            <v>52.28</v>
          </cell>
          <cell r="F7581">
            <v>0</v>
          </cell>
        </row>
        <row r="7582">
          <cell r="B7582">
            <v>87799</v>
          </cell>
          <cell r="C7582" t="str">
            <v>EMBOÇO OU MASSA ÚNICA EM ARGAMASSA TRAÇO 1:2:8, PREPARO MANUAL, APLICADA MANUALMENTE EM PANOS CEGOS DE FACHADA (SEM PRESENÇA DE VÃOS), ESPESSURA DE 35 MM. AF_08/2022</v>
          </cell>
          <cell r="D7582" t="str">
            <v>M2</v>
          </cell>
          <cell r="E7582">
            <v>72.75</v>
          </cell>
          <cell r="F7582">
            <v>0</v>
          </cell>
        </row>
        <row r="7583">
          <cell r="B7583">
            <v>87803</v>
          </cell>
          <cell r="C7583" t="str">
            <v>EMBOÇO OU MASSA ÚNICA EM ARGAMASSA TRAÇO 1:2:8, PREPARO MANUAL, APLICADA MANUALMENTE EM PANOS CEGOS DE FACHADA (SEM PRESENÇA DE VÃOS), ESPESSURA DE 45 MM. AF_08/2022</v>
          </cell>
          <cell r="D7583" t="str">
            <v>M2</v>
          </cell>
          <cell r="E7583">
            <v>80.41</v>
          </cell>
          <cell r="F7583">
            <v>0</v>
          </cell>
        </row>
        <row r="7584">
          <cell r="B7584">
            <v>87807</v>
          </cell>
          <cell r="C7584" t="str">
            <v>EMBOÇO OU MASSA ÚNICA EM ARGAMASSA TRAÇO 1:2:8, PREPARO MANUAL, APLICADA MANUALMENTE EM PANOS CEGOS DE FACHADA (SEM PRESENÇA DE VÃOS), ESPESSURA MAIOR OU IGUAL A 50 MM. AF_08/2022</v>
          </cell>
          <cell r="D7584" t="str">
            <v>M2</v>
          </cell>
          <cell r="E7584">
            <v>87.93</v>
          </cell>
          <cell r="F7584">
            <v>0</v>
          </cell>
        </row>
        <row r="7585">
          <cell r="B7585">
            <v>104218</v>
          </cell>
          <cell r="C7585" t="str">
            <v>EMBOÇO OU MASSA ÚNICA EM ARGAMASSA TRAÇO 1:2:8, PREPARO MANUAL, APLICADA MANUALMENTE EM PANOS DE FACHADA COM PRESENÇA DE VÃOS, ESPESSURA DE 25 MM, ACESSO POR ANDAIME. AF_08/2022</v>
          </cell>
          <cell r="D7585" t="str">
            <v>M2</v>
          </cell>
          <cell r="E7585">
            <v>66.45</v>
          </cell>
          <cell r="F7585">
            <v>0</v>
          </cell>
        </row>
        <row r="7586">
          <cell r="B7586">
            <v>87777</v>
          </cell>
          <cell r="C7586" t="str">
            <v>EMBOÇO OU MASSA ÚNICA EM ARGAMASSA TRAÇO 1:2:8, PREPARO MANUAL, APLICADA MANUALMENTE EM PANOS DE FACHADA COM PRESENÇA DE VÃOS, ESPESSURA DE 25 MM. AF_08/2022</v>
          </cell>
          <cell r="D7586" t="str">
            <v>M2</v>
          </cell>
          <cell r="E7586">
            <v>71.680000000000007</v>
          </cell>
          <cell r="F7586">
            <v>0</v>
          </cell>
        </row>
        <row r="7587">
          <cell r="B7587">
            <v>104222</v>
          </cell>
          <cell r="C7587" t="str">
            <v>EMBOÇO OU MASSA ÚNICA EM ARGAMASSA TRAÇO 1:2:8, PREPARO MANUAL, APLICADA MANUALMENTE EM PANOS DE FACHADA COM PRESENÇA DE VÃOS, ESPESSURA DE 35 MM, ACESSO POR ANDAIME. AF_08/2022</v>
          </cell>
          <cell r="D7587" t="str">
            <v>M2</v>
          </cell>
          <cell r="E7587">
            <v>85.91</v>
          </cell>
          <cell r="F7587">
            <v>0</v>
          </cell>
        </row>
        <row r="7588">
          <cell r="B7588">
            <v>87781</v>
          </cell>
          <cell r="C7588" t="str">
            <v>EMBOÇO OU MASSA ÚNICA EM ARGAMASSA TRAÇO 1:2:8, PREPARO MANUAL, APLICADA MANUALMENTE EM PANOS DE FACHADA COM PRESENÇA DE VÃOS, ESPESSURA DE 35 MM. AF_08/2022</v>
          </cell>
          <cell r="D7588" t="str">
            <v>M2</v>
          </cell>
          <cell r="E7588">
            <v>92.61</v>
          </cell>
          <cell r="F7588">
            <v>0</v>
          </cell>
        </row>
        <row r="7589">
          <cell r="B7589">
            <v>104226</v>
          </cell>
          <cell r="C7589" t="str">
            <v>EMBOÇO OU MASSA ÚNICA EM ARGAMASSA TRAÇO 1:2:8, PREPARO MANUAL, APLICADA MANUALMENTE EM PANOS DE FACHADA COM PRESENÇA DE VÃOS, ESPESSURA DE 45 MM, ACESSO POR ANDAIME. AF_08/2022</v>
          </cell>
          <cell r="D7589" t="str">
            <v>M2</v>
          </cell>
          <cell r="E7589">
            <v>94.12</v>
          </cell>
          <cell r="F7589">
            <v>0</v>
          </cell>
        </row>
        <row r="7590">
          <cell r="B7590">
            <v>87786</v>
          </cell>
          <cell r="C7590" t="str">
            <v>EMBOÇO OU MASSA ÚNICA EM ARGAMASSA TRAÇO 1:2:8, PREPARO MANUAL, APLICADA MANUALMENTE EM PANOS DE FACHADA COM PRESENÇA DE VÃOS, ESPESSURA DE 45 MM. AF_08/2022</v>
          </cell>
          <cell r="D7590" t="str">
            <v>M2</v>
          </cell>
          <cell r="E7590">
            <v>100.82</v>
          </cell>
          <cell r="F7590">
            <v>0</v>
          </cell>
        </row>
        <row r="7591">
          <cell r="B7591">
            <v>104230</v>
          </cell>
          <cell r="C7591" t="str">
            <v>EMBOÇO OU MASSA ÚNICA EM ARGAMASSA TRAÇO 1:2:8, PREPARO MANUAL, APLICADA MANUALMENTE EM PANOS DE FACHADA COM PRESENÇA DE VÃOS, ESPESSURA DE 50 MM, ACESSO POR ANDAIME. AF_08/2022</v>
          </cell>
          <cell r="D7591" t="str">
            <v>M2</v>
          </cell>
          <cell r="E7591">
            <v>111.05</v>
          </cell>
          <cell r="F7591">
            <v>0</v>
          </cell>
        </row>
        <row r="7592">
          <cell r="B7592">
            <v>104234</v>
          </cell>
          <cell r="C7592" t="str">
            <v>EMBOÇO OU MASSA ÚNICA EM ARGAMASSA TRAÇO 1:2:8, PREPARO MANUAL, APLICADA MANUALMENTE EM PANOS DE FACHADA SEM PRESENÇA DE VÃOS, ESPESSURA DE 25 MM, ACESSO POR ANDAIME. AF_08/2022</v>
          </cell>
          <cell r="D7592" t="str">
            <v>M2</v>
          </cell>
          <cell r="E7592">
            <v>49.19</v>
          </cell>
          <cell r="F7592">
            <v>0</v>
          </cell>
        </row>
        <row r="7593">
          <cell r="B7593">
            <v>104238</v>
          </cell>
          <cell r="C7593" t="str">
            <v>EMBOÇO OU MASSA ÚNICA EM ARGAMASSA TRAÇO 1:2:8, PREPARO MANUAL, APLICADA MANUALMENTE EM PANOS DE FACHADA SEM PRESENÇA DE VÃOS, ESPESSURA DE 35 MM, ACESSO POR ANDAIME. AF_08/2022</v>
          </cell>
          <cell r="D7593" t="str">
            <v>M2</v>
          </cell>
          <cell r="E7593">
            <v>68.19</v>
          </cell>
          <cell r="F7593">
            <v>0</v>
          </cell>
        </row>
        <row r="7594">
          <cell r="B7594">
            <v>104242</v>
          </cell>
          <cell r="C7594" t="str">
            <v>EMBOÇO OU MASSA ÚNICA EM ARGAMASSA TRAÇO 1:2:8, PREPARO MANUAL, APLICADA MANUALMENTE EM PANOS DE FACHADA SEM PRESENÇA DE VÃOS, ESPESSURA DE 45 MM, ACESSO POR ANDAIME. AF_08/2022</v>
          </cell>
          <cell r="D7594" t="str">
            <v>M2</v>
          </cell>
          <cell r="E7594">
            <v>75.849999999999994</v>
          </cell>
          <cell r="F7594">
            <v>0</v>
          </cell>
        </row>
        <row r="7595">
          <cell r="B7595">
            <v>104246</v>
          </cell>
          <cell r="C7595" t="str">
            <v>EMBOÇO OU MASSA ÚNICA EM ARGAMASSA TRAÇO 1:2:8, PREPARO MANUAL, APLICADA MANUALMENTE EM PANOS DE FACHADA SEM PRESENÇA DE VÃOS, ESPESSURA DE 50 MM, ACESSO POR ANDAIME. AF_08/2022</v>
          </cell>
          <cell r="D7595" t="str">
            <v>M2</v>
          </cell>
          <cell r="E7595">
            <v>82.9</v>
          </cell>
          <cell r="F7595">
            <v>0</v>
          </cell>
        </row>
        <row r="7596">
          <cell r="B7596">
            <v>104250</v>
          </cell>
          <cell r="C7596" t="str">
            <v>EMBOÇO OU MASSA ÚNICA EM ARGAMASSA TRAÇO 1:2:8, PREPARO MANUAL, APLICADA MANUALMENTE EM SUPERFÍCIES EXTERNAS DA SACADA, ESPESSURA DE 25 MM, ACESSO POR ANDAIME, SEM USO DE TELA METÁLICA. AF_08/2022</v>
          </cell>
          <cell r="D7596" t="str">
            <v>M2</v>
          </cell>
          <cell r="E7596">
            <v>94.56</v>
          </cell>
          <cell r="F7596">
            <v>0</v>
          </cell>
        </row>
        <row r="7597">
          <cell r="B7597">
            <v>87811</v>
          </cell>
          <cell r="C7597" t="str">
            <v>EMBOÇO OU MASSA ÚNICA EM ARGAMASSA TRAÇO 1:2:8, PREPARO MANUAL, APLICADA MANUALMENTE EM SUPERFÍCIES EXTERNAS DA SACADA, ESPESSURA DE 25 MM, SEM USO DE TELA METÁLICA DE REFORÇO CONTRA FISSURAÇÃO. AF_08/2022</v>
          </cell>
          <cell r="D7597" t="str">
            <v>M2</v>
          </cell>
          <cell r="E7597">
            <v>103.94</v>
          </cell>
          <cell r="F7597">
            <v>0</v>
          </cell>
        </row>
        <row r="7598">
          <cell r="B7598">
            <v>104254</v>
          </cell>
          <cell r="C7598" t="str">
            <v>EMBOÇO OU MASSA ÚNICA EM ARGAMASSA TRAÇO 1:2:8, PREPARO MANUAL, APLICADA MANUALMENTE EM SUPERFÍCIES EXTERNAS DA SACADA, ESPESSURA DE 35 MM, ACESSO POR ANDAIME, SEM USO DE TELA METÁLICA. AF_08/2022</v>
          </cell>
          <cell r="D7598" t="str">
            <v>M2</v>
          </cell>
          <cell r="E7598">
            <v>113.56</v>
          </cell>
          <cell r="F7598">
            <v>0</v>
          </cell>
        </row>
        <row r="7599">
          <cell r="B7599">
            <v>87815</v>
          </cell>
          <cell r="C7599" t="str">
            <v>EMBOÇO OU MASSA ÚNICA EM ARGAMASSA TRAÇO 1:2:8, PREPARO MANUAL, APLICADA MANUALMENTE EM SUPERFÍCIES EXTERNAS DA SACADA, ESPESSURA DE 35 MM, SEM USO DE TELA METÁLICA DE REFORÇO CONTRA FISSURAÇÃO. AF_08/2022</v>
          </cell>
          <cell r="D7599" t="str">
            <v>M2</v>
          </cell>
          <cell r="E7599">
            <v>124.41</v>
          </cell>
          <cell r="F7599">
            <v>0</v>
          </cell>
        </row>
        <row r="7600">
          <cell r="B7600">
            <v>104258</v>
          </cell>
          <cell r="C7600" t="str">
            <v>EMBOÇO OU MASSA ÚNICA EM ARGAMASSA TRAÇO 1:2:8, PREPARO MANUAL, APLICADA MANUALMENTE EM SUPERFÍCIES EXTERNAS DA SACADA, ESPESSURA DE 45 MM, ACESSO POR ANDAIME, SEM USO DE TELA METÁLICA. AF_08/2022</v>
          </cell>
          <cell r="D7600" t="str">
            <v>M2</v>
          </cell>
          <cell r="E7600">
            <v>121.22</v>
          </cell>
          <cell r="F7600">
            <v>0</v>
          </cell>
        </row>
        <row r="7601">
          <cell r="B7601">
            <v>87819</v>
          </cell>
          <cell r="C7601" t="str">
            <v>EMBOÇO OU MASSA ÚNICA EM ARGAMASSA TRAÇO 1:2:8, PREPARO MANUAL, APLICADA MANUALMENTE EM SUPERFÍCIES EXTERNAS DA SACADA, ESPESSURA DE 45 MM, SEM USO DE TELA METÁLICA DE REFORÇO CONTRA FISSURAÇÃO. AF_08/2022</v>
          </cell>
          <cell r="D7601" t="str">
            <v>M2</v>
          </cell>
          <cell r="E7601">
            <v>132.07</v>
          </cell>
          <cell r="F7601">
            <v>0</v>
          </cell>
        </row>
        <row r="7602">
          <cell r="B7602">
            <v>104262</v>
          </cell>
          <cell r="C7602" t="str">
            <v>EMBOÇO OU MASSA ÚNICA EM ARGAMASSA TRAÇO 1:2:8, PREPARO MANUAL, APLICADA MANUALMENTE EM SUPERFÍCIES EXTERNAS DA SACADA, ESPESSURA DE 50 MM, ACESSO POR ANDAIME, SEM USO DE TELA METÁLICA. AF_08/2022</v>
          </cell>
          <cell r="D7602" t="str">
            <v>M2</v>
          </cell>
          <cell r="E7602">
            <v>157.1</v>
          </cell>
          <cell r="F7602">
            <v>0</v>
          </cell>
        </row>
        <row r="7603">
          <cell r="B7603">
            <v>87823</v>
          </cell>
          <cell r="C7603" t="str">
            <v>EMBOÇO OU MASSA ÚNICA EM ARGAMASSA TRAÇO 1:2:8, PREPARO MANUAL, APLICADA MANUALMENTE EM SUPERFÍCIES EXTERNAS DA SACADA, ESPESSURA MAIOR OU IGUAL A 50 MM, SEM USO DE TELA METÁLICA DE REFORÇO CONTRA FISSURAÇÃO. AF_08/2022</v>
          </cell>
          <cell r="D7603" t="str">
            <v>M2</v>
          </cell>
          <cell r="E7603">
            <v>171.91</v>
          </cell>
          <cell r="F7603">
            <v>0</v>
          </cell>
        </row>
        <row r="7604">
          <cell r="B7604">
            <v>87827</v>
          </cell>
          <cell r="C7604" t="str">
            <v>EMBOÇO OU MASSA ÚNICA EM ARGAMASSA TRAÇO 1:2:8, PREPARO MANUAL, APLICADA MANUALMENTE NAS PAREDES INTERNAS DA SACADA, ESPESSURA DE 25 MM, SEM USO DE TELA METÁLICA DE REFORÇO CONTRA FISSURAÇÃO. AF_08/2022</v>
          </cell>
          <cell r="D7604" t="str">
            <v>M2</v>
          </cell>
          <cell r="E7604">
            <v>97.01</v>
          </cell>
          <cell r="F7604">
            <v>0</v>
          </cell>
        </row>
        <row r="7605">
          <cell r="B7605">
            <v>87831</v>
          </cell>
          <cell r="C7605" t="str">
            <v>EMBOÇO OU MASSA ÚNICA EM ARGAMASSA TRAÇO 1:2:8, PREPARO MANUAL, APLICADA MANUALMENTE NAS PAREDES INTERNAS DA SACADA, ESPESSURA DE 35 MM, SEM USO DE TELA METÁLICA DE REFORÇO CONTRA FISSURAÇÃO. AF_08/2022</v>
          </cell>
          <cell r="D7605" t="str">
            <v>M2</v>
          </cell>
          <cell r="E7605">
            <v>117.29</v>
          </cell>
          <cell r="F7605">
            <v>0</v>
          </cell>
        </row>
        <row r="7606">
          <cell r="B7606">
            <v>104220</v>
          </cell>
          <cell r="C7606" t="str">
            <v>EMBOÇO OU MASSA ÚNICA EM ARGAMASSA TRAÇO 1:2:8, PREPARO MECÂNICA COM BETONEIRA 400 L, APLICADA COM PROJETOR TIPO CANEQUINHA EM PANOS DE FACHADA COM PRESENÇA DE VÃOS, ESPESSURA DE 25 MM, ACESSO POR ANDAIME. AF_08/2022</v>
          </cell>
          <cell r="D7606" t="str">
            <v>M2</v>
          </cell>
          <cell r="E7606">
            <v>63.75</v>
          </cell>
          <cell r="F7606">
            <v>0</v>
          </cell>
        </row>
        <row r="7607">
          <cell r="B7607">
            <v>104203</v>
          </cell>
          <cell r="C7607" t="str">
            <v>EMBOÇO OU MASSA ÚNICA EM ARGAMASSA TRAÇO 1:2:8, PREPARO MECÂNICA COM BETONEIRA 400 L, APLICADA COM PROJETOR TIPO CANEQUINHA EM PANOS DE FACHADA COM PRESENÇA DE VÃOS, ESPESSURA DE 25 MM, ACESSO POR BALANCIM MANUAL. AF_08/2022</v>
          </cell>
          <cell r="D7607" t="str">
            <v>M2</v>
          </cell>
          <cell r="E7607">
            <v>69.069999999999993</v>
          </cell>
          <cell r="F7607">
            <v>0</v>
          </cell>
        </row>
        <row r="7608">
          <cell r="B7608">
            <v>104224</v>
          </cell>
          <cell r="C7608" t="str">
            <v>EMBOÇO OU MASSA ÚNICA EM ARGAMASSA TRAÇO 1:2:8, PREPARO MECÂNICA COM BETONEIRA 400 L, APLICADA COM PROJETOR TIPO CANEQUINHA EM PANOS DE FACHADA COM PRESENÇA DE VÃOS, ESPESSURA DE 35 MM, ACESSO POR ANDAIME. AF_08/2022</v>
          </cell>
          <cell r="D7608" t="str">
            <v>M2</v>
          </cell>
          <cell r="E7608">
            <v>82.32</v>
          </cell>
          <cell r="F7608">
            <v>0</v>
          </cell>
        </row>
        <row r="7609">
          <cell r="B7609">
            <v>104204</v>
          </cell>
          <cell r="C7609" t="str">
            <v>EMBOÇO OU MASSA ÚNICA EM ARGAMASSA TRAÇO 1:2:8, PREPARO MECÂNICA COM BETONEIRA 400 L, APLICADA COM PROJETOR TIPO CANEQUINHA EM PANOS DE FACHADA COM PRESENÇA DE VÃOS, ESPESSURA DE 35 MM, ACESSO POR BALANCIM MANUAL. AF_08/2022</v>
          </cell>
          <cell r="D7609" t="str">
            <v>M2</v>
          </cell>
          <cell r="E7609">
            <v>89.23</v>
          </cell>
          <cell r="F7609">
            <v>0</v>
          </cell>
        </row>
        <row r="7610">
          <cell r="B7610">
            <v>104228</v>
          </cell>
          <cell r="C7610" t="str">
            <v>EMBOÇO OU MASSA ÚNICA EM ARGAMASSA TRAÇO 1:2:8, PREPARO MECÂNICA COM BETONEIRA 400 L, APLICADA COM PROJETOR TIPO CANEQUINHA EM PANOS DE FACHADA COM PRESENÇA DE VÃOS, ESPESSURA DE 45 MM, ACESSO POR ANDAIME. AF_08/2022</v>
          </cell>
          <cell r="D7610" t="str">
            <v>M2</v>
          </cell>
          <cell r="E7610">
            <v>89.27</v>
          </cell>
          <cell r="F7610">
            <v>0</v>
          </cell>
        </row>
        <row r="7611">
          <cell r="B7611">
            <v>104205</v>
          </cell>
          <cell r="C7611" t="str">
            <v>EMBOÇO OU MASSA ÚNICA EM ARGAMASSA TRAÇO 1:2:8, PREPARO MECÂNICA COM BETONEIRA 400 L, APLICADA COM PROJETOR TIPO CANEQUINHA EM PANOS DE FACHADA COM PRESENÇA DE VÃOS, ESPESSURA DE 45 MM, ACESSO POR BALANCIM MANUAL. AF_08/2022</v>
          </cell>
          <cell r="D7611" t="str">
            <v>M2</v>
          </cell>
          <cell r="E7611">
            <v>96.19</v>
          </cell>
          <cell r="F7611">
            <v>0</v>
          </cell>
        </row>
        <row r="7612">
          <cell r="B7612">
            <v>104232</v>
          </cell>
          <cell r="C7612" t="str">
            <v>EMBOÇO OU MASSA ÚNICA EM ARGAMASSA TRAÇO 1:2:8, PREPARO MECÂNICA COM BETONEIRA 400 L, APLICADA COM PROJETOR TIPO CANEQUINHA EM PANOS DE FACHADA COM PRESENÇA DE VÃOS, ESPESSURA DE 50 MM, ACESSO POR ANDAIME. AF_08/2022</v>
          </cell>
          <cell r="D7612" t="str">
            <v>M2</v>
          </cell>
          <cell r="E7612">
            <v>98.8</v>
          </cell>
          <cell r="F7612">
            <v>0</v>
          </cell>
        </row>
        <row r="7613">
          <cell r="B7613">
            <v>104206</v>
          </cell>
          <cell r="C7613" t="str">
            <v>EMBOÇO OU MASSA ÚNICA EM ARGAMASSA TRAÇO 1:2:8, PREPARO MECÂNICA COM BETONEIRA 400 L, APLICADA COM PROJETOR TIPO CANEQUINHA EM PANOS DE FACHADA COM PRESENÇA DE VÃOS, ESPESSURA DE 50 MM, ACESSO POR BALANCIM MANUAL. AF_08/2022</v>
          </cell>
          <cell r="D7613" t="str">
            <v>M2</v>
          </cell>
          <cell r="E7613">
            <v>106.4</v>
          </cell>
          <cell r="F7613">
            <v>0</v>
          </cell>
        </row>
        <row r="7614">
          <cell r="B7614">
            <v>104236</v>
          </cell>
          <cell r="C7614" t="str">
            <v>EMBOÇO OU MASSA ÚNICA EM ARGAMASSA TRAÇO 1:2:8, PREPARO MECÂNICA COM BETONEIRA 400 L, APLICADA COM PROJETOR TIPO CANEQUINHA EM PANOS DE FACHADA SEM PRESENÇA DE VÃOS, ESPESSURA DE 25 MM, ACESSO POR ANDAIME. AF_08/2022</v>
          </cell>
          <cell r="D7614" t="str">
            <v>M2</v>
          </cell>
          <cell r="E7614">
            <v>46.26</v>
          </cell>
          <cell r="F7614">
            <v>0</v>
          </cell>
        </row>
        <row r="7615">
          <cell r="B7615">
            <v>104207</v>
          </cell>
          <cell r="C7615" t="str">
            <v>EMBOÇO OU MASSA ÚNICA EM ARGAMASSA TRAÇO 1:2:8, PREPARO MECÂNICA COM BETONEIRA 400 L, APLICADA COM PROJETOR TIPO CANEQUINHA EM PANOS DE FACHADA SEM PRESENÇA DE VÃOS, ESPESSURA DE 25 MM, ACESSO POR BALANCIM MANUAL. AF_08/2022</v>
          </cell>
          <cell r="D7615" t="str">
            <v>M2</v>
          </cell>
          <cell r="E7615">
            <v>49.53</v>
          </cell>
          <cell r="F7615">
            <v>0</v>
          </cell>
        </row>
        <row r="7616">
          <cell r="B7616">
            <v>104240</v>
          </cell>
          <cell r="C7616" t="str">
            <v>EMBOÇO OU MASSA ÚNICA EM ARGAMASSA TRAÇO 1:2:8, PREPARO MECÂNICA COM BETONEIRA 400 L, APLICADA COM PROJETOR TIPO CANEQUINHA EM PANOS DE FACHADA SEM PRESENÇA DE VÃOS, ESPESSURA DE 35 MM, ACESSO POR ANDAIME. AF_08/2022</v>
          </cell>
          <cell r="D7616" t="str">
            <v>M2</v>
          </cell>
          <cell r="E7616">
            <v>64.5</v>
          </cell>
          <cell r="F7616">
            <v>0</v>
          </cell>
        </row>
        <row r="7617">
          <cell r="B7617">
            <v>104208</v>
          </cell>
          <cell r="C7617" t="str">
            <v>EMBOÇO OU MASSA ÚNICA EM ARGAMASSA TRAÇO 1:2:8, PREPARO MECÂNICA COM BETONEIRA 400 L, APLICADA COM PROJETOR TIPO CANEQUINHA EM PANOS DE FACHADA SEM PRESENÇA DE VÃOS, ESPESSURA DE 35 MM, ACESSO POR BALANCIM MANUAL. AF_08/2022</v>
          </cell>
          <cell r="D7617" t="str">
            <v>M2</v>
          </cell>
          <cell r="E7617">
            <v>69.209999999999994</v>
          </cell>
          <cell r="F7617">
            <v>0</v>
          </cell>
        </row>
        <row r="7618">
          <cell r="B7618">
            <v>104244</v>
          </cell>
          <cell r="C7618" t="str">
            <v>EMBOÇO OU MASSA ÚNICA EM ARGAMASSA TRAÇO 1:2:8, PREPARO MECÂNICA COM BETONEIRA 400 L, APLICADA COM PROJETOR TIPO CANEQUINHA EM PANOS DE FACHADA SEM PRESENÇA DE VÃOS, ESPESSURA DE 45 MM, ACESSO POR ANDAIME. AF_08/2022</v>
          </cell>
          <cell r="D7618" t="str">
            <v>M2</v>
          </cell>
          <cell r="E7618">
            <v>71.05</v>
          </cell>
          <cell r="F7618">
            <v>0</v>
          </cell>
        </row>
        <row r="7619">
          <cell r="B7619">
            <v>104209</v>
          </cell>
          <cell r="C7619" t="str">
            <v>EMBOÇO OU MASSA ÚNICA EM ARGAMASSA TRAÇO 1:2:8, PREPARO MECÂNICA COM BETONEIRA 400 L, APLICADA COM PROJETOR TIPO CANEQUINHA EM PANOS DE FACHADA SEM PRESENÇA DE VÃOS, ESPESSURA DE 45 MM, ACESSO POR BALANCIM MANUAL. AF_08/2022</v>
          </cell>
          <cell r="D7619" t="str">
            <v>M2</v>
          </cell>
          <cell r="E7619">
            <v>75.760000000000005</v>
          </cell>
          <cell r="F7619">
            <v>0</v>
          </cell>
        </row>
        <row r="7620">
          <cell r="B7620">
            <v>104248</v>
          </cell>
          <cell r="C7620" t="str">
            <v>EMBOÇO OU MASSA ÚNICA EM ARGAMASSA TRAÇO 1:2:8, PREPARO MECÂNICA COM BETONEIRA 400 L, APLICADA COM PROJETOR TIPO CANEQUINHA EM PANOS DE FACHADA SEM PRESENÇA DE VÃOS, ESPESSURA DE 50 MM, ACESSO POR ANDAIME. AF_08/2022</v>
          </cell>
          <cell r="D7620" t="str">
            <v>M2</v>
          </cell>
          <cell r="E7620">
            <v>73.41</v>
          </cell>
          <cell r="F7620">
            <v>0</v>
          </cell>
        </row>
        <row r="7621">
          <cell r="B7621">
            <v>104210</v>
          </cell>
          <cell r="C7621" t="str">
            <v>EMBOÇO OU MASSA ÚNICA EM ARGAMASSA TRAÇO 1:2:8, PREPARO MECÂNICA COM BETONEIRA 400 L, APLICADA COM PROJETOR TIPO CANEQUINHA EM PANOS DE FACHADA SEM PRESENÇA DE VÃOS, ESPESSURA DE 50 MM, ACESSO POR BALANCIM MANUAL. AF_08/2022</v>
          </cell>
          <cell r="D7621" t="str">
            <v>M2</v>
          </cell>
          <cell r="E7621">
            <v>77.959999999999994</v>
          </cell>
          <cell r="F7621">
            <v>0</v>
          </cell>
        </row>
        <row r="7622">
          <cell r="B7622">
            <v>104252</v>
          </cell>
          <cell r="C7622" t="str">
            <v>EMBOÇO OU MASSA ÚNICA EM ARGAMASSA TRAÇO 1:2:8, PREPARO MECÂNICA COM BETONEIRA 400 L, APLICADA COM PROJETOR TIPO CANEQUINHA EM SUPERFÍCIES EXTERNAS DA SACADA, ESPESSURA DE 25 MM, ACESSO POR ANDAIME, SEM USO DE TELA METÁLICA. AF_08/2022</v>
          </cell>
          <cell r="D7622" t="str">
            <v>M2</v>
          </cell>
          <cell r="E7622">
            <v>93.22</v>
          </cell>
          <cell r="F7622">
            <v>0</v>
          </cell>
        </row>
        <row r="7623">
          <cell r="B7623">
            <v>104211</v>
          </cell>
          <cell r="C7623" t="str">
            <v>EMBOÇO OU MASSA ÚNICA EM ARGAMASSA TRAÇO 1:2:8, PREPARO MECÂNICA COM BETONEIRA 400 L, APLICADA COM PROJETOR TIPO CANEQUINHA EM SUPERFÍCIES EXTERNAS DA SACADA, ESPESSURA DE 25 MM, ACESSO POR BALANCIM MANUAL, SEM USO DE TELA METÁLICA. AF_08/2022</v>
          </cell>
          <cell r="D7623" t="str">
            <v>M2</v>
          </cell>
          <cell r="E7623">
            <v>102.8</v>
          </cell>
          <cell r="F7623">
            <v>0</v>
          </cell>
        </row>
        <row r="7624">
          <cell r="B7624">
            <v>104212</v>
          </cell>
          <cell r="C7624" t="str">
            <v>EMBOÇO OU MASSA ÚNICA EM ARGAMASSA TRAÇO 1:2:8, PREPARO MECÂNICA COM BETONEIRA 400 L, APLICADA COM PROJETOR TIPO CANEQUINHA EM SUPERFÍCIES EXTERNAS DA SACADA, ESPESSURA DE 35 MM, ACESSO POR BALANCIM MANUAL, SEM USO DE TELA METÁLICA. AF_08/2022</v>
          </cell>
          <cell r="D7624" t="str">
            <v>M2</v>
          </cell>
          <cell r="E7624">
            <v>122.56</v>
          </cell>
          <cell r="F7624">
            <v>0</v>
          </cell>
        </row>
        <row r="7625">
          <cell r="B7625">
            <v>104213</v>
          </cell>
          <cell r="C7625" t="str">
            <v>EMBOÇO OU MASSA ÚNICA EM ARGAMASSA TRAÇO 1:2:8, PREPARO MECÂNICA COM BETONEIRA 400 L, APLICADA COM PROJETOR TIPO CANEQUINHA EM SUPERFÍCIES EXTERNAS DA SACADA, ESPESSURA DE 45 MM, ACESSO POR BALANCIM MANUAL, SEM USO DE TELA METÁLICA. AF_08/2022</v>
          </cell>
          <cell r="D7625" t="str">
            <v>M2</v>
          </cell>
          <cell r="E7625">
            <v>129.11000000000001</v>
          </cell>
          <cell r="F7625">
            <v>0</v>
          </cell>
        </row>
        <row r="7626">
          <cell r="B7626">
            <v>104214</v>
          </cell>
          <cell r="C7626" t="str">
            <v>EMBOÇO OU MASSA ÚNICA EM ARGAMASSA TRAÇO 1:2:8, PREPARO MECÂNICA COM BETONEIRA 400 L, APLICADA COM PROJETOR TIPO CANEQUINHA EM SUPERFÍCIES EXTERNAS DA SACADA, ESPESSURA DE 50 MM, ACESSO POR BALANCIM MANUAL, SEM USO DE TELA METÁLICA. AF_08/2022</v>
          </cell>
          <cell r="D7626" t="str">
            <v>M2</v>
          </cell>
          <cell r="E7626">
            <v>155.01</v>
          </cell>
          <cell r="F7626">
            <v>0</v>
          </cell>
        </row>
        <row r="7627">
          <cell r="B7627">
            <v>104215</v>
          </cell>
          <cell r="C7627" t="str">
            <v>EMBOÇO OU MASSA ÚNICA EM ARGAMASSA TRAÇO 1:2:8, PREPARO MECÂNICA COM BETONEIRA 400 L, APLICADA COM PROJETOR TIPO CANEQUINHA EM SUPERFÍCIES INTERNAS DA SACADA, ESPESSURA DE 25 MM, SEM USO DE TELA METÁLICA. AF_08/2022</v>
          </cell>
          <cell r="D7627" t="str">
            <v>M2</v>
          </cell>
          <cell r="E7627">
            <v>94.43</v>
          </cell>
          <cell r="F7627">
            <v>0</v>
          </cell>
        </row>
        <row r="7628">
          <cell r="B7628">
            <v>104216</v>
          </cell>
          <cell r="C7628" t="str">
            <v>EMBOÇO OU MASSA ÚNICA EM ARGAMASSA TRAÇO 1:2:8, PREPARO MECÂNICA COM BETONEIRA 400 L, APLICADA COM PROJETOR TIPO CANEQUINHA EM SUPERFÍCIES INTERNAS DA SACADA, ESPESSURA DE 35 MM, SEM USO DE TELA METÁLICA. AF_08/2022</v>
          </cell>
          <cell r="D7628" t="str">
            <v>M2</v>
          </cell>
          <cell r="E7628">
            <v>113.51</v>
          </cell>
          <cell r="F7628">
            <v>0</v>
          </cell>
        </row>
        <row r="7629">
          <cell r="B7629">
            <v>104217</v>
          </cell>
          <cell r="C7629" t="str">
            <v>EMBOÇO OU MASSA ÚNICA EM ARGAMASSA TRAÇO 1:2:8, PREPARO MECÂNICA COM BETONEIRA 400 L, APLICADA MANUALMENTE EM PANOS DE FACHADA COM PRESENÇA DE VÃOS, ESPESSURA DE 25 MM, ACESSO POR ANDAIME. AF_08/2022</v>
          </cell>
          <cell r="D7629" t="str">
            <v>M2</v>
          </cell>
          <cell r="E7629">
            <v>60.76</v>
          </cell>
          <cell r="F7629">
            <v>0</v>
          </cell>
        </row>
        <row r="7630">
          <cell r="B7630">
            <v>104221</v>
          </cell>
          <cell r="C7630" t="str">
            <v>EMBOÇO OU MASSA ÚNICA EM ARGAMASSA TRAÇO 1:2:8, PREPARO MECÂNICA COM BETONEIRA 400 L, APLICADA MANUALMENTE EM PANOS DE FACHADA COM PRESENÇA DE VÃOS, ESPESSURA DE 35 MM, ACESSO POR ANDAIME. AF_08/2022</v>
          </cell>
          <cell r="D7630" t="str">
            <v>M2</v>
          </cell>
          <cell r="E7630">
            <v>78.28</v>
          </cell>
          <cell r="F7630">
            <v>0</v>
          </cell>
        </row>
        <row r="7631">
          <cell r="B7631">
            <v>104225</v>
          </cell>
          <cell r="C7631" t="str">
            <v>EMBOÇO OU MASSA ÚNICA EM ARGAMASSA TRAÇO 1:2:8, PREPARO MECÂNICA COM BETONEIRA 400 L, APLICADA MANUALMENTE EM PANOS DE FACHADA COM PRESENÇA DE VÃOS, ESPESSURA DE 45 MM, ACESSO POR ANDAIME. AF_08/2022</v>
          </cell>
          <cell r="D7631" t="str">
            <v>M2</v>
          </cell>
          <cell r="E7631">
            <v>84.54</v>
          </cell>
          <cell r="F7631">
            <v>0</v>
          </cell>
        </row>
        <row r="7632">
          <cell r="B7632">
            <v>104229</v>
          </cell>
          <cell r="C7632" t="str">
            <v>EMBOÇO OU MASSA ÚNICA EM ARGAMASSA TRAÇO 1:2:8, PREPARO MECÂNICA COM BETONEIRA 400 L, APLICADA MANUALMENTE EM PANOS DE FACHADA COM PRESENÇA DE VÃOS, ESPESSURA DE 50 MM, ACESSO POR ANDAIME. AF_08/2022</v>
          </cell>
          <cell r="D7632" t="str">
            <v>M2</v>
          </cell>
          <cell r="E7632">
            <v>100.52</v>
          </cell>
          <cell r="F7632">
            <v>0</v>
          </cell>
        </row>
        <row r="7633">
          <cell r="B7633">
            <v>104233</v>
          </cell>
          <cell r="C7633" t="str">
            <v>EMBOÇO OU MASSA ÚNICA EM ARGAMASSA TRAÇO 1:2:8, PREPARO MECÂNICA COM BETONEIRA 400 L, APLICADA MANUALMENTE EM PANOS DE FACHADA SEM PRESENÇA DE VÃOS, ESPESSURA DE 25 MM, ACESSO POR ANDAIME. AF_08/2022</v>
          </cell>
          <cell r="D7633" t="str">
            <v>M2</v>
          </cell>
          <cell r="E7633">
            <v>43.88</v>
          </cell>
          <cell r="F7633">
            <v>0</v>
          </cell>
        </row>
        <row r="7634">
          <cell r="B7634">
            <v>104237</v>
          </cell>
          <cell r="C7634" t="str">
            <v>EMBOÇO OU MASSA ÚNICA EM ARGAMASSA TRAÇO 1:2:8, PREPARO MECÂNICA COM BETONEIRA 400 L, APLICADA MANUALMENTE EM PANOS DE FACHADA SEM PRESENÇA DE VÃOS, ESPESSURA DE 35 MM, ACESSO POR ANDAIME. AF_08/2022</v>
          </cell>
          <cell r="D7634" t="str">
            <v>M2</v>
          </cell>
          <cell r="E7634">
            <v>61.06</v>
          </cell>
          <cell r="F7634">
            <v>0</v>
          </cell>
        </row>
        <row r="7635">
          <cell r="B7635">
            <v>104241</v>
          </cell>
          <cell r="C7635" t="str">
            <v>EMBOÇO OU MASSA ÚNICA EM ARGAMASSA TRAÇO 1:2:8, PREPARO MECÂNICA COM BETONEIRA 400 L, APLICADA MANUALMENTE EM PANOS DE FACHADA SEM PRESENÇA DE VÃOS, ESPESSURA DE 45 MM, ACESSO POR ANDAIME. AF_08/2022</v>
          </cell>
          <cell r="D7635" t="str">
            <v>M2</v>
          </cell>
          <cell r="E7635">
            <v>66.92</v>
          </cell>
          <cell r="F7635">
            <v>0</v>
          </cell>
        </row>
        <row r="7636">
          <cell r="B7636">
            <v>104245</v>
          </cell>
          <cell r="C7636" t="str">
            <v>EMBOÇO OU MASSA ÚNICA EM ARGAMASSA TRAÇO 1:2:8, PREPARO MECÂNICA COM BETONEIRA 400 L, APLICADA MANUALMENTE EM PANOS DE FACHADA SEM PRESENÇA DE VÃOS, ESPESSURA DE 50 MM, ACESSO POR ANDAIME. AF_08/2022</v>
          </cell>
          <cell r="D7636" t="str">
            <v>M2</v>
          </cell>
          <cell r="E7636">
            <v>73.05</v>
          </cell>
          <cell r="F7636">
            <v>0</v>
          </cell>
        </row>
        <row r="7637">
          <cell r="B7637">
            <v>104249</v>
          </cell>
          <cell r="C7637" t="str">
            <v>EMBOÇO OU MASSA ÚNICA EM ARGAMASSA TRAÇO 1:2:8, PREPARO MECÂNICA COM BETONEIRA 400 L, APLICADA MANUALMENTE EM SUPERFÍCIES EXTERNAS DA SACADA, ESPESSURA DE 25 MM, ACESSO POR ANDAIME, SEM USO DE TELA METÁLICA. AF_08/2022</v>
          </cell>
          <cell r="D7637" t="str">
            <v>M2</v>
          </cell>
          <cell r="E7637">
            <v>89.25</v>
          </cell>
          <cell r="F7637">
            <v>0</v>
          </cell>
        </row>
        <row r="7638">
          <cell r="B7638">
            <v>104253</v>
          </cell>
          <cell r="C7638" t="str">
            <v>EMBOÇO OU MASSA ÚNICA EM ARGAMASSA TRAÇO 1:2:8, PREPARO MECÂNICA COM BETONEIRA 400 L, APLICADA MANUALMENTE EM SUPERFÍCIES EXTERNAS DA SACADA, ESPESSURA DE 35 MM, ACESSO POR ANDAIME, SEM USO DE TELA METÁLICA. AF_08/2022</v>
          </cell>
          <cell r="D7638" t="str">
            <v>M2</v>
          </cell>
          <cell r="E7638">
            <v>106.43</v>
          </cell>
          <cell r="F7638">
            <v>0</v>
          </cell>
        </row>
        <row r="7639">
          <cell r="B7639">
            <v>104256</v>
          </cell>
          <cell r="C7639" t="str">
            <v>EMBOÇO OU MASSA ÚNICA EM ARGAMASSA TRAÇO 1:2:8, PREPARO MECÂNICO COM BETONEIRA 400 L, APLICADA COM PROJETOR TIPO CANEQUINHA EM SUPERFÍCIES EXTERNAS DA SACADA, ESPESSURA DE 35 MM, ACESSO POR ANDAIME, SEM USO DE TELA METÁLICA. AF_08/2022</v>
          </cell>
          <cell r="D7639" t="str">
            <v>M2</v>
          </cell>
          <cell r="E7639">
            <v>111.47</v>
          </cell>
          <cell r="F7639">
            <v>0</v>
          </cell>
        </row>
        <row r="7640">
          <cell r="B7640">
            <v>104260</v>
          </cell>
          <cell r="C7640" t="str">
            <v>EMBOÇO OU MASSA ÚNICA EM ARGAMASSA TRAÇO 1:2:8, PREPARO MECÂNICO COM BETONEIRA 400 L, APLICADA COM PROJETOR TIPO CANEQUINHA EM SUPERFÍCIES EXTERNAS DA SACADA, ESPESSURA DE 45 MM, ACESSO POR ANDAIME, SEM USO DE TELA METÁLICA. AF_08/2022</v>
          </cell>
          <cell r="D7640" t="str">
            <v>M2</v>
          </cell>
          <cell r="E7640">
            <v>118.02</v>
          </cell>
          <cell r="F7640">
            <v>0</v>
          </cell>
        </row>
        <row r="7641">
          <cell r="B7641">
            <v>104264</v>
          </cell>
          <cell r="C7641" t="str">
            <v>EMBOÇO OU MASSA ÚNICA EM ARGAMASSA TRAÇO 1:2:8, PREPARO MECÂNICO COM BETONEIRA 400 L, APLICADA COM PROJETOR TIPO CANEQUINHA EM SUPERFÍCIES EXTERNAS DA SACADA, ESPESSURA DE 50 MM, ACESSO POR ANDAIME, SEM USO DE TELA METÁLICA. AF_08/2022</v>
          </cell>
          <cell r="D7641" t="str">
            <v>M2</v>
          </cell>
          <cell r="E7641">
            <v>141.34</v>
          </cell>
          <cell r="F7641">
            <v>0</v>
          </cell>
        </row>
        <row r="7642">
          <cell r="B7642">
            <v>87792</v>
          </cell>
          <cell r="C7642" t="str">
            <v>EMBOÇO OU MASSA ÚNICA EM ARGAMASSA TRAÇO 1:2:8, PREPARO MECÂNICO COM BETONEIRA 400 L, APLICADA MANUALMENTE EM PANOS CEGOS DE FACHADA (SEM PRESENÇA DE VÃOS), ESPESSURA DE 25 MM. AF_08/2022</v>
          </cell>
          <cell r="D7642" t="str">
            <v>M2</v>
          </cell>
          <cell r="E7642">
            <v>46.97</v>
          </cell>
          <cell r="F7642">
            <v>0</v>
          </cell>
        </row>
        <row r="7643">
          <cell r="B7643">
            <v>87797</v>
          </cell>
          <cell r="C7643" t="str">
            <v>EMBOÇO OU MASSA ÚNICA EM ARGAMASSA TRAÇO 1:2:8, PREPARO MECÂNICO COM BETONEIRA 400 L, APLICADA MANUALMENTE EM PANOS CEGOS DE FACHADA (SEM PRESENÇA DE VÃOS), ESPESSURA DE 35 MM. AF_08/2022</v>
          </cell>
          <cell r="D7643" t="str">
            <v>M2</v>
          </cell>
          <cell r="E7643">
            <v>65.62</v>
          </cell>
          <cell r="F7643">
            <v>0</v>
          </cell>
        </row>
        <row r="7644">
          <cell r="B7644">
            <v>87801</v>
          </cell>
          <cell r="C7644" t="str">
            <v>EMBOÇO OU MASSA ÚNICA EM ARGAMASSA TRAÇO 1:2:8, PREPARO MECÂNICO COM BETONEIRA 400 L, APLICADA MANUALMENTE EM PANOS CEGOS DE FACHADA (SEM PRESENÇA DE VÃOS), ESPESSURA DE 45 MM. AF_08/2022</v>
          </cell>
          <cell r="D7644" t="str">
            <v>M2</v>
          </cell>
          <cell r="E7644">
            <v>71.48</v>
          </cell>
          <cell r="F7644">
            <v>0</v>
          </cell>
        </row>
        <row r="7645">
          <cell r="B7645">
            <v>87805</v>
          </cell>
          <cell r="C7645" t="str">
            <v>EMBOÇO OU MASSA ÚNICA EM ARGAMASSA TRAÇO 1:2:8, PREPARO MECÂNICO COM BETONEIRA 400 L, APLICADA MANUALMENTE EM PANOS CEGOS DE FACHADA (SEM PRESENÇA DE VÃOS), ESPESSURA MAIOR OU IGUAL A 50 MM. AF_08/2022</v>
          </cell>
          <cell r="D7645" t="str">
            <v>M2</v>
          </cell>
          <cell r="E7645">
            <v>78.08</v>
          </cell>
          <cell r="F7645">
            <v>0</v>
          </cell>
        </row>
        <row r="7646">
          <cell r="B7646">
            <v>87775</v>
          </cell>
          <cell r="C7646" t="str">
            <v>EMBOÇO OU MASSA ÚNICA EM ARGAMASSA TRAÇO 1:2:8, PREPARO MECÂNICO COM BETONEIRA 400 L, APLICADA MANUALMENTE EM PANOS DE FACHADA COM PRESENÇA DE VÃOS, ESPESSURA DE 25 MM. AF_08/2022</v>
          </cell>
          <cell r="D7646" t="str">
            <v>M2</v>
          </cell>
          <cell r="E7646">
            <v>65.989999999999995</v>
          </cell>
          <cell r="F7646">
            <v>0</v>
          </cell>
        </row>
        <row r="7647">
          <cell r="B7647">
            <v>87779</v>
          </cell>
          <cell r="C7647" t="str">
            <v>EMBOÇO OU MASSA ÚNICA EM ARGAMASSA TRAÇO 1:2:8, PREPARO MECÂNICO COM BETONEIRA 400 L, APLICADA MANUALMENTE EM PANOS DE FACHADA COM PRESENÇA DE VÃOS, ESPESSURA DE 35 MM. AF_08/2022</v>
          </cell>
          <cell r="D7647" t="str">
            <v>M2</v>
          </cell>
          <cell r="E7647">
            <v>84.98</v>
          </cell>
          <cell r="F7647">
            <v>0</v>
          </cell>
        </row>
        <row r="7648">
          <cell r="B7648">
            <v>87784</v>
          </cell>
          <cell r="C7648" t="str">
            <v>EMBOÇO OU MASSA ÚNICA EM ARGAMASSA TRAÇO 1:2:8, PREPARO MECÂNICO COM BETONEIRA 400 L, APLICADA MANUALMENTE EM PANOS DE FACHADA COM PRESENÇA DE VÃOS, ESPESSURA DE 45 MM. AF_08/2022</v>
          </cell>
          <cell r="D7648" t="str">
            <v>M2</v>
          </cell>
          <cell r="E7648">
            <v>91.24</v>
          </cell>
          <cell r="F7648">
            <v>0</v>
          </cell>
        </row>
        <row r="7649">
          <cell r="B7649">
            <v>87788</v>
          </cell>
          <cell r="C7649" t="str">
            <v>EMBOÇO OU MASSA ÚNICA EM ARGAMASSA TRAÇO 1:2:8, PREPARO MECÂNICO COM BETONEIRA 400 L, APLICADA MANUALMENTE EM PANOS DE FACHADA COM PRESENÇA DE VÃOS, ESPESSURA MAIOR OU IGUAL A 50 MM. AF_08/2022</v>
          </cell>
          <cell r="D7649" t="str">
            <v>M2</v>
          </cell>
          <cell r="E7649">
            <v>108.82</v>
          </cell>
          <cell r="F7649">
            <v>0</v>
          </cell>
        </row>
        <row r="7650">
          <cell r="B7650">
            <v>87809</v>
          </cell>
          <cell r="C7650" t="str">
            <v>EMBOÇO OU MASSA ÚNICA EM ARGAMASSA TRAÇO 1:2:8, PREPARO MECÂNICO COM BETONEIRA 400 L, APLICADA MANUALMENTE EM SUPERFÍCIES EXTERNAS DA SACADA, ESPESSURA DE 25 MM, SEM USO DE TELA METÁLICA DE REFORÇO CONTRA FISSURAÇÃO. AF_08/2022</v>
          </cell>
          <cell r="D7650" t="str">
            <v>M2</v>
          </cell>
          <cell r="E7650">
            <v>98.63</v>
          </cell>
          <cell r="F7650">
            <v>0</v>
          </cell>
        </row>
        <row r="7651">
          <cell r="B7651">
            <v>87813</v>
          </cell>
          <cell r="C7651" t="str">
            <v>EMBOÇO OU MASSA ÚNICA EM ARGAMASSA TRAÇO 1:2:8, PREPARO MECÂNICO COM BETONEIRA 400 L, APLICADA MANUALMENTE EM SUPERFÍCIES EXTERNAS DA SACADA, ESPESSURA DE 35 MM, SEM USO DE TELA METÁLICA DE REFORÇO CONTRA FISSURAÇÃO. AF_08/2022</v>
          </cell>
          <cell r="D7651" t="str">
            <v>M2</v>
          </cell>
          <cell r="E7651">
            <v>117.28</v>
          </cell>
          <cell r="F7651">
            <v>0</v>
          </cell>
        </row>
        <row r="7652">
          <cell r="B7652">
            <v>104257</v>
          </cell>
          <cell r="C7652" t="str">
            <v>EMBOÇO OU MASSA ÚNICA EM ARGAMASSA TRAÇO 1:2:8, PREPARO MECÂNICO COM BETONEIRA 400 L, APLICADA MANUALMENTE EM SUPERFÍCIES EXTERNAS DA SACADA, ESPESSURA DE 45 MM, ACESSO POR ANDAIME, SEM USO DE TELA METÁLICA. AF_08/2022</v>
          </cell>
          <cell r="D7652" t="str">
            <v>M2</v>
          </cell>
          <cell r="E7652">
            <v>112.29</v>
          </cell>
          <cell r="F7652">
            <v>0</v>
          </cell>
        </row>
        <row r="7653">
          <cell r="B7653">
            <v>87817</v>
          </cell>
          <cell r="C7653" t="str">
            <v>EMBOÇO OU MASSA ÚNICA EM ARGAMASSA TRAÇO 1:2:8, PREPARO MECÂNICO COM BETONEIRA 400 L, APLICADA MANUALMENTE EM SUPERFÍCIES EXTERNAS DA SACADA, ESPESSURA DE 45 MM, SEM USO DE TELA METÁLICA DE REFORÇO CONTRA FISSURAÇÃO. AF_08/2022</v>
          </cell>
          <cell r="D7653" t="str">
            <v>M2</v>
          </cell>
          <cell r="E7653">
            <v>123.14</v>
          </cell>
          <cell r="F7653">
            <v>0</v>
          </cell>
        </row>
        <row r="7654">
          <cell r="B7654">
            <v>104261</v>
          </cell>
          <cell r="C7654" t="str">
            <v>EMBOÇO OU MASSA ÚNICA EM ARGAMASSA TRAÇO 1:2:8, PREPARO MECÂNICO COM BETONEIRA 400 L, APLICADA MANUALMENTE EM SUPERFÍCIES EXTERNAS DA SACADA, ESPESSURA DE 50 MM, ACESSO POR ANDAIME, SEM USO DE TELA METÁLICA. AF_08/2022</v>
          </cell>
          <cell r="D7654" t="str">
            <v>M2</v>
          </cell>
          <cell r="E7654">
            <v>147.25</v>
          </cell>
          <cell r="F7654">
            <v>0</v>
          </cell>
        </row>
        <row r="7655">
          <cell r="B7655">
            <v>87821</v>
          </cell>
          <cell r="C7655" t="str">
            <v>EMBOÇO OU MASSA ÚNICA EM ARGAMASSA TRAÇO 1:2:8, PREPARO MECÂNICO COM BETONEIRA 400 L, APLICADA MANUALMENTE EM SUPERFÍCIES EXTERNAS DA SACADA, ESPESSURA MAIOR OU IGUAL A 50 MM, SEM USO DE TELA METÁLICA DE REFORÇO CONTRA FISSURAÇÃO. AF_08/2022</v>
          </cell>
          <cell r="D7655" t="str">
            <v>M2</v>
          </cell>
          <cell r="E7655">
            <v>162.06</v>
          </cell>
          <cell r="F7655">
            <v>0</v>
          </cell>
        </row>
        <row r="7656">
          <cell r="B7656">
            <v>87825</v>
          </cell>
          <cell r="C7656" t="str">
            <v>EMBOÇO OU MASSA ÚNICA EM ARGAMASSA TRAÇO 1:2:8, PREPARO MECÂNICO COM BETONEIRA 400 L, APLICADA MANUALMENTE NAS PAREDES INTERNAS DA SACADA, ESPESSURA DE 25 MM, SEM USO DE TELA METÁLICA DE REFORÇO CONTRA FISSURAÇÃO. AF_08/2022</v>
          </cell>
          <cell r="D7656" t="str">
            <v>M2</v>
          </cell>
          <cell r="E7656">
            <v>90.5</v>
          </cell>
          <cell r="F7656">
            <v>0</v>
          </cell>
        </row>
        <row r="7657">
          <cell r="B7657">
            <v>87829</v>
          </cell>
          <cell r="C7657" t="str">
            <v>EMBOÇO OU MASSA ÚNICA EM ARGAMASSA TRAÇO 1:2:8, PREPARO MECÂNICO COM BETONEIRA 400 L, APLICADA MANUALMENTE NAS PAREDES INTERNAS DA SACADA, ESPESSURA DE 35 MM, SEM USO DE TELA METÁLICA DE REFORÇO CONTRA FISSURAÇÃO. AF_08/2022</v>
          </cell>
          <cell r="D7657" t="str">
            <v>M2</v>
          </cell>
          <cell r="E7657">
            <v>108.57</v>
          </cell>
          <cell r="F7657">
            <v>0</v>
          </cell>
        </row>
        <row r="7658">
          <cell r="B7658">
            <v>87557</v>
          </cell>
          <cell r="C7658" t="str">
            <v>EMBOÇO, EM ARGAMASSA INDUSTRIALIZADA, PREPARO MECÂNICO, APLICADO COM EQUIPAMENTO DE MISTURA E PROJEÇÃO DE ARGAMASSA EM PAREDES INTERNAS, E = 10MM, COM TALISCAS. AF_03/2024</v>
          </cell>
          <cell r="D7658" t="str">
            <v>M2</v>
          </cell>
          <cell r="E7658">
            <v>46.64</v>
          </cell>
          <cell r="F7658">
            <v>0</v>
          </cell>
        </row>
        <row r="7659">
          <cell r="B7659">
            <v>87539</v>
          </cell>
          <cell r="C7659" t="str">
            <v>EMBOÇO, EM ARGAMASSA INDUSTRIALIZADA, PREPARO MECÂNICO, APLICADO COM EQUIPAMENTO DE MISTURA E PROJEÇÃO DE ARGAMASSA EM PAREDES INTERNAS, E = 17,5MM, COM TALISCAS. AF_03/2024</v>
          </cell>
          <cell r="D7659" t="str">
            <v>M2</v>
          </cell>
          <cell r="E7659">
            <v>70.11</v>
          </cell>
          <cell r="F7659">
            <v>0</v>
          </cell>
        </row>
        <row r="7660">
          <cell r="B7660">
            <v>104972</v>
          </cell>
          <cell r="C7660" t="str">
            <v>EMBOÇO, EM ARGAMASSA TRAÇO 1:2:8, PREPARO MANUAL, APLICADO MANUALMENTE EM PAREDES INTERNAS DE AMBIENTES COM PÉ-DIREITO DUPLO E ÁREA ENTRE 5M² E 10M², E = 10MM, COM TALISCAS. AF_03/2024</v>
          </cell>
          <cell r="D7660" t="str">
            <v>M2</v>
          </cell>
          <cell r="E7660">
            <v>42.5</v>
          </cell>
          <cell r="F7660">
            <v>0</v>
          </cell>
        </row>
        <row r="7661">
          <cell r="B7661">
            <v>104954</v>
          </cell>
          <cell r="C7661" t="str">
            <v>EMBOÇO, EM ARGAMASSA TRAÇO 1:2:8, PREPARO MANUAL, APLICADO MANUALMENTE EM PAREDES INTERNAS DE AMBIENTES COM PÉ-DIREITO DUPLO E ÁREA ENTRE 5M² E 10M², E = 17,5MM, COM TALISCAS. AF_03/2024</v>
          </cell>
          <cell r="D7661" t="str">
            <v>M2</v>
          </cell>
          <cell r="E7661">
            <v>58.38</v>
          </cell>
          <cell r="F7661">
            <v>0</v>
          </cell>
        </row>
        <row r="7662">
          <cell r="B7662">
            <v>104976</v>
          </cell>
          <cell r="C7662" t="str">
            <v>EMBOÇO, EM ARGAMASSA TRAÇO 1:2:8, PREPARO MANUAL, APLICADO MANUALMENTE EM PAREDES INTERNAS DE AMBIENTES COM PÉ-DIREITO DUPLO E ÁREA MAIOR QUE 10M², E = 10MM, COM TALISCAS. AF_03/2024</v>
          </cell>
          <cell r="D7662" t="str">
            <v>M2</v>
          </cell>
          <cell r="E7662">
            <v>37.22</v>
          </cell>
          <cell r="F7662">
            <v>0</v>
          </cell>
        </row>
        <row r="7663">
          <cell r="B7663">
            <v>104966</v>
          </cell>
          <cell r="C7663" t="str">
            <v>EMBOÇO, EM ARGAMASSA TRAÇO 1:2:8, PREPARO MANUAL, APLICADO MANUALMENTE EM PAREDES INTERNAS DE AMBIENTES COM PÉ-DIREITO DUPLO E ÁREA MAIOR QUE 10M², E = 17,5MM, COM TALISCAS. AF_03/2024</v>
          </cell>
          <cell r="D7663" t="str">
            <v>M2</v>
          </cell>
          <cell r="E7663">
            <v>53.1</v>
          </cell>
          <cell r="F7663">
            <v>0</v>
          </cell>
        </row>
        <row r="7664">
          <cell r="B7664">
            <v>104968</v>
          </cell>
          <cell r="C7664" t="str">
            <v>EMBOÇO, EM ARGAMASSA TRAÇO 1:2:8, PREPARO MANUAL, APLICADO MANUALMENTE EM PAREDES INTERNAS DE AMBIENTES COM PÉ-DIREITO DUPLO E ÁREA MENOR QUE 5M², E = 10MM, COM TALISCAS. AF_03/2024</v>
          </cell>
          <cell r="D7664" t="str">
            <v>M2</v>
          </cell>
          <cell r="E7664">
            <v>51.37</v>
          </cell>
          <cell r="F7664">
            <v>0</v>
          </cell>
        </row>
        <row r="7665">
          <cell r="B7665">
            <v>104962</v>
          </cell>
          <cell r="C7665" t="str">
            <v>EMBOÇO, EM ARGAMASSA TRAÇO 1:2:8, PREPARO MANUAL, APLICADO MANUALMENTE EM PAREDES INTERNAS DE AMBIENTES COM PÉ-DIREITO DUPLO E ÁREA MENOR QUE 5M², E = 17,5MM, COM TALISCAS. AF_03/2024</v>
          </cell>
          <cell r="D7665" t="str">
            <v>M2</v>
          </cell>
          <cell r="E7665">
            <v>67.239999999999995</v>
          </cell>
          <cell r="F7665">
            <v>0</v>
          </cell>
        </row>
        <row r="7666">
          <cell r="B7666">
            <v>87550</v>
          </cell>
          <cell r="C7666" t="str">
            <v>EMBOÇO, EM ARGAMASSA TRAÇO 1:2:8, PREPARO MANUAL, APLICADO MANUALMENTE EM PAREDES INTERNAS DE AMBIENTES COM ÁREA ENTRE 5M² E 10M², E = 10MM, COM TALISCAS. AF_03/2024</v>
          </cell>
          <cell r="D7666" t="str">
            <v>M2</v>
          </cell>
          <cell r="E7666">
            <v>32.700000000000003</v>
          </cell>
          <cell r="F7666">
            <v>0</v>
          </cell>
        </row>
        <row r="7667">
          <cell r="B7667">
            <v>87532</v>
          </cell>
          <cell r="C7667" t="str">
            <v>EMBOÇO, EM ARGAMASSA TRAÇO 1:2:8, PREPARO MANUAL, APLICADO MANUALMENTE EM PAREDES INTERNAS DE AMBIENTES COM ÁREA ENTRE 5M² E 10M², E = 17,5MM, COM TALISCAS. AF_03/2024</v>
          </cell>
          <cell r="D7667" t="str">
            <v>M2</v>
          </cell>
          <cell r="E7667">
            <v>45.93</v>
          </cell>
          <cell r="F7667">
            <v>0</v>
          </cell>
        </row>
        <row r="7668">
          <cell r="B7668">
            <v>87554</v>
          </cell>
          <cell r="C7668" t="str">
            <v>EMBOÇO, EM ARGAMASSA TRAÇO 1:2:8, PREPARO MANUAL, APLICADO MANUALMENTE EM PAREDES INTERNAS DE AMBIENTES COM ÁREA MAIOR QUE 10M², E = 10MM, COM TALISCAS. AF_03/2024</v>
          </cell>
          <cell r="D7668" t="str">
            <v>M2</v>
          </cell>
          <cell r="E7668">
            <v>29.29</v>
          </cell>
          <cell r="F7668">
            <v>0</v>
          </cell>
        </row>
        <row r="7669">
          <cell r="B7669">
            <v>87536</v>
          </cell>
          <cell r="C7669" t="str">
            <v>EMBOÇO, EM ARGAMASSA TRAÇO 1:2:8, PREPARO MANUAL, APLICADO MANUALMENTE EM PAREDES INTERNAS DE AMBIENTES COM ÁREA MAIOR QUE 10M², E = 17,5MM, COM TALISCAS. AF_03/2024</v>
          </cell>
          <cell r="D7669" t="str">
            <v>M2</v>
          </cell>
          <cell r="E7669">
            <v>42.53</v>
          </cell>
          <cell r="F7669">
            <v>0</v>
          </cell>
        </row>
        <row r="7670">
          <cell r="B7670">
            <v>87528</v>
          </cell>
          <cell r="C7670" t="str">
            <v>EMBOÇO, EM ARGAMASSA TRAÇO 1:2:8, PREPARO MANUAL, APLICADO MANUALMENTE EM PAREDES INTERNAS DE AMBIENTES COM ÁREA MENOR QUE 5M², E = 17,5MM, COM TALISCAS. AF_03/2024</v>
          </cell>
          <cell r="D7670" t="str">
            <v>M2</v>
          </cell>
          <cell r="E7670">
            <v>51.65</v>
          </cell>
          <cell r="F7670">
            <v>0</v>
          </cell>
        </row>
        <row r="7671">
          <cell r="B7671">
            <v>87546</v>
          </cell>
          <cell r="C7671" t="str">
            <v>EMBOÇO, EM ARGAMASSA TRAÇO 1:2:8, PREPARO MANUAL, APLICADO MANUALMENTE EM PAREDES INTERNAS, PARA AMBIENTES COM ÁREA MENOR QUE 5M², E = 10MM, COM TALISCAS. AF_03/2024</v>
          </cell>
          <cell r="D7671" t="str">
            <v>M2</v>
          </cell>
          <cell r="E7671">
            <v>38.42</v>
          </cell>
          <cell r="F7671">
            <v>0</v>
          </cell>
        </row>
        <row r="7672">
          <cell r="B7672">
            <v>104971</v>
          </cell>
          <cell r="C7672" t="str">
            <v>EMBOÇO, EM ARGAMASSA TRAÇO 1:2:8, PREPARO MECÂNICO, APLICADO MANUALMENTE EM PAREDES INTERNAS DE AMBIENTES COM PÉ-DIREITO DUPLO E ÁREA ENTRE 5M² E 10M², E = 10MM, COM TALISCAS. AF_03/2024</v>
          </cell>
          <cell r="D7672" t="str">
            <v>M2</v>
          </cell>
          <cell r="E7672">
            <v>38.979999999999997</v>
          </cell>
          <cell r="F7672">
            <v>0</v>
          </cell>
        </row>
        <row r="7673">
          <cell r="B7673">
            <v>104965</v>
          </cell>
          <cell r="C7673" t="str">
            <v>EMBOÇO, EM ARGAMASSA TRAÇO 1:2:8, PREPARO MECÂNICO, APLICADO MANUALMENTE EM PAREDES INTERNAS DE AMBIENTES COM PÉ-DIREITO DUPLO E ÁREA ENTRE 5M² E 10M², E = 17,5MM, COM TALISCAS. AF_03/2024</v>
          </cell>
          <cell r="D7673" t="str">
            <v>M2</v>
          </cell>
          <cell r="E7673">
            <v>52.87</v>
          </cell>
          <cell r="F7673">
            <v>0</v>
          </cell>
        </row>
        <row r="7674">
          <cell r="B7674">
            <v>104975</v>
          </cell>
          <cell r="C7674" t="str">
            <v>EMBOÇO, EM ARGAMASSA TRAÇO 1:2:8, PREPARO MECÂNICO, APLICADO MANUALMENTE EM PAREDES INTERNAS DE AMBIENTES COM PÉ-DIREITO DUPLO E ÁREA MAIOR QUE 10M², E = 10MM, COM TALISCAS. AF_03/2024</v>
          </cell>
          <cell r="D7674" t="str">
            <v>M2</v>
          </cell>
          <cell r="E7674">
            <v>33.700000000000003</v>
          </cell>
          <cell r="F7674">
            <v>0</v>
          </cell>
        </row>
        <row r="7675">
          <cell r="B7675">
            <v>104957</v>
          </cell>
          <cell r="C7675" t="str">
            <v>EMBOÇO, EM ARGAMASSA TRAÇO 1:2:8, PREPARO MECÂNICO, APLICADO MANUALMENTE EM PAREDES INTERNAS DE AMBIENTES COM PÉ-DIREITO DUPLO E ÁREA MAIOR QUE 10M², E = 17,5MM, COM TALISCAS. AF_03/2024</v>
          </cell>
          <cell r="D7675" t="str">
            <v>M2</v>
          </cell>
          <cell r="E7675">
            <v>47.59</v>
          </cell>
          <cell r="F7675">
            <v>0</v>
          </cell>
        </row>
        <row r="7676">
          <cell r="B7676">
            <v>104967</v>
          </cell>
          <cell r="C7676" t="str">
            <v>EMBOÇO, EM ARGAMASSA TRAÇO 1:2:8, PREPARO MECÂNICO, APLICADO MANUALMENTE EM PAREDES INTERNAS DE AMBIENTES COM PÉ-DIREITO DUPLO E ÁREA MENOR QUE 5M², E = 10MM, COM TALISCAS. AF_03/2024</v>
          </cell>
          <cell r="D7676" t="str">
            <v>M2</v>
          </cell>
          <cell r="E7676">
            <v>47.85</v>
          </cell>
          <cell r="F7676">
            <v>0</v>
          </cell>
        </row>
        <row r="7677">
          <cell r="B7677">
            <v>104961</v>
          </cell>
          <cell r="C7677" t="str">
            <v>EMBOÇO, EM ARGAMASSA TRAÇO 1:2:8, PREPARO MECÂNICO, APLICADO MANUALMENTE EM PAREDES INTERNAS DE AMBIENTES COM PÉ-DIREITO DUPLO E ÁREA MENOR QUE 5M², E = 17,5MM, COM TALISCAS. AF_03/2024</v>
          </cell>
          <cell r="D7677" t="str">
            <v>M2</v>
          </cell>
          <cell r="E7677">
            <v>61.73</v>
          </cell>
          <cell r="F7677">
            <v>0</v>
          </cell>
        </row>
        <row r="7678">
          <cell r="B7678">
            <v>87549</v>
          </cell>
          <cell r="C7678" t="str">
            <v>EMBOÇO, EM ARGAMASSA TRAÇO 1:2:8, PREPARO MECÂNICO, APLICADO MANUALMENTE EM PAREDES INTERNAS DE AMBIENTES COM ÁREA ENTRE 5M² E 10M², E = 10MM, COM TALISCAS. AF_03/2024</v>
          </cell>
          <cell r="D7678" t="str">
            <v>M2</v>
          </cell>
          <cell r="E7678">
            <v>29.18</v>
          </cell>
          <cell r="F7678">
            <v>0</v>
          </cell>
        </row>
        <row r="7679">
          <cell r="B7679">
            <v>87531</v>
          </cell>
          <cell r="C7679" t="str">
            <v>EMBOÇO, EM ARGAMASSA TRAÇO 1:2:8, PREPARO MECÂNICO, APLICADO MANUALMENTE EM PAREDES INTERNAS DE AMBIENTES COM ÁREA ENTRE 5M² E 10M², E = 17,5MM, COM TALISCAS. AF_03/2024</v>
          </cell>
          <cell r="D7679" t="str">
            <v>M2</v>
          </cell>
          <cell r="E7679">
            <v>40.42</v>
          </cell>
          <cell r="F7679">
            <v>0</v>
          </cell>
        </row>
        <row r="7680">
          <cell r="B7680">
            <v>87553</v>
          </cell>
          <cell r="C7680" t="str">
            <v>EMBOÇO, EM ARGAMASSA TRAÇO 1:2:8, PREPARO MECÂNICO, APLICADO MANUALMENTE EM PAREDES INTERNAS DE AMBIENTES COM ÁREA MAIOR QUE 10M², E = 10MM, COM TALISCAS. AF_03/2024</v>
          </cell>
          <cell r="D7680" t="str">
            <v>M2</v>
          </cell>
          <cell r="E7680">
            <v>25.77</v>
          </cell>
          <cell r="F7680">
            <v>0</v>
          </cell>
        </row>
        <row r="7681">
          <cell r="B7681">
            <v>87535</v>
          </cell>
          <cell r="C7681" t="str">
            <v>EMBOÇO, EM ARGAMASSA TRAÇO 1:2:8, PREPARO MECÂNICO, APLICADO MANUALMENTE EM PAREDES INTERNAS DE AMBIENTES COM ÁREA MAIOR QUE 10M², E = 17,5MM, COM TALISCAS. AF_03/2024</v>
          </cell>
          <cell r="D7681" t="str">
            <v>M2</v>
          </cell>
          <cell r="E7681">
            <v>37.020000000000003</v>
          </cell>
          <cell r="F7681">
            <v>0</v>
          </cell>
        </row>
        <row r="7682">
          <cell r="B7682">
            <v>87527</v>
          </cell>
          <cell r="C7682" t="str">
            <v>EMBOÇO, EM ARGAMASSA TRAÇO 1:2:8, PREPARO MECÂNICO, APLICADO MANUALMENTE EM PAREDES INTERNAS DE AMBIENTES COM ÁREA MENOR QUE 5M², E =17,5MM, COM TALISCAS. AF_03/2024</v>
          </cell>
          <cell r="D7682" t="str">
            <v>M2</v>
          </cell>
          <cell r="E7682">
            <v>46.14</v>
          </cell>
          <cell r="F7682">
            <v>0</v>
          </cell>
        </row>
        <row r="7683">
          <cell r="B7683">
            <v>87545</v>
          </cell>
          <cell r="C7683" t="str">
            <v>EMBOÇO, EM ARGAMASSA TRAÇO 1:2:8, PREPARO MECÂNICO, APLICADO MANUALMENTE EM PAREDES INTERNAS, PARA AMBIENTES COM ÁREA MENOR QUE 5M², E = 10MM, COM TALISCAS. AF_03/2024</v>
          </cell>
          <cell r="D7683" t="str">
            <v>M2</v>
          </cell>
          <cell r="E7683">
            <v>34.9</v>
          </cell>
          <cell r="F7683">
            <v>0</v>
          </cell>
        </row>
        <row r="7684">
          <cell r="B7684">
            <v>104960</v>
          </cell>
          <cell r="C7684" t="str">
            <v>MASSA ÚNICA, EM ARGAMASSA INDUSTRIALIZADA, PREPARO MECÂNICO, APLICADA COM EQUIPAMENTO DE MISTURA E PROJEÇÃO DE ARGAMASSA EM PAREDES INTERNAS, E = 10MM, COM TALISCAS. AF_03/2024</v>
          </cell>
          <cell r="D7684" t="str">
            <v>M2</v>
          </cell>
          <cell r="E7684">
            <v>44.66</v>
          </cell>
          <cell r="F7684">
            <v>0</v>
          </cell>
        </row>
        <row r="7685">
          <cell r="B7685">
            <v>87561</v>
          </cell>
          <cell r="C7685" t="str">
            <v>MASSA ÚNICA, EM ARGAMASSA INDUSTRIALIZADA, PREPARO MECÂNICO, APLICADA COM EQUIPAMENTO DE MISTURA E PROJEÇÃO DE ARGAMASSA EM PAREDES INTERNAS, E = 10MM, SEM TALISCAS. AF_03/2024</v>
          </cell>
          <cell r="D7685" t="str">
            <v>M2</v>
          </cell>
          <cell r="E7685">
            <v>45.91</v>
          </cell>
          <cell r="F7685">
            <v>0</v>
          </cell>
        </row>
        <row r="7686">
          <cell r="B7686">
            <v>104953</v>
          </cell>
          <cell r="C7686" t="str">
            <v>MASSA ÚNICA, EM ARGAMASSA INDUSTRIALIZADA, PREPARO MECÂNICO, APLICADA COM EQUIPAMENTO DE MISTURA E PROJEÇÃO DE ARGAMASSA EM PAREDES INTERNAS, E = 17,5MM, COM TALISCAS. AF_03/2024</v>
          </cell>
          <cell r="D7686" t="str">
            <v>M2</v>
          </cell>
          <cell r="E7686">
            <v>68.12</v>
          </cell>
          <cell r="F7686">
            <v>0</v>
          </cell>
        </row>
        <row r="7687">
          <cell r="B7687">
            <v>87543</v>
          </cell>
          <cell r="C7687" t="str">
            <v>MASSA ÚNICA, EM ARGAMASSA INDUSTRIALIZADA, PREPARO MECÂNICO, APLICADA COM EQUIPAMENTO DE MISTURA E PROJEÇÃO DE ARGAMASSA EM PAREDES INTERNAS, E = 5MM, SEM TALISCAS. AF_03/2024</v>
          </cell>
          <cell r="D7687" t="str">
            <v>M2</v>
          </cell>
          <cell r="E7687">
            <v>27.31</v>
          </cell>
          <cell r="F7687">
            <v>0</v>
          </cell>
        </row>
        <row r="7688">
          <cell r="B7688">
            <v>104959</v>
          </cell>
          <cell r="C7688" t="str">
            <v>MASSA ÚNICA, EM ARGAMASSA TRAÇO 1:2:8 PREPARO MANUAL, APLICADA MANUALMENTE EM PAREDES INTERNAS DE AMBIENTES COM ÁREA MAIOR QUE 10M², E = 10MM, COM TALISCAS. AF_03/2024</v>
          </cell>
          <cell r="D7688" t="str">
            <v>M2</v>
          </cell>
          <cell r="E7688">
            <v>30.14</v>
          </cell>
          <cell r="F7688">
            <v>0</v>
          </cell>
        </row>
        <row r="7689">
          <cell r="B7689">
            <v>104958</v>
          </cell>
          <cell r="C7689" t="str">
            <v>MASSA ÚNICA, EM ARGAMASSA TRAÇO 1:2:8 PREPARO MECÂNICO, APLICADA MANUALMENTE EM PAREDES INTERNAS DE AMBIENTES COM ÁREA MAIOR QUE 10M², E = 10MM, COM TALISCAS. AF_03/2024</v>
          </cell>
          <cell r="D7689" t="str">
            <v>M2</v>
          </cell>
          <cell r="E7689">
            <v>26.62</v>
          </cell>
          <cell r="F7689">
            <v>0</v>
          </cell>
        </row>
        <row r="7690">
          <cell r="B7690">
            <v>104970</v>
          </cell>
          <cell r="C7690" t="str">
            <v>MASSA ÚNICA, EM ARGAMASSA TRAÇO 1:2:8, PREPARO MANUAL, APLICADA MANUALMENTE EM PAREDES INTERNAS DE AMBIENTES COM PÉ-DIREITO DUPLO E ÁREA ENTRE 5M² E 10M², E = 10MM, COM TALISCAS. AF_03/2024</v>
          </cell>
          <cell r="D7690" t="str">
            <v>M2</v>
          </cell>
          <cell r="E7690">
            <v>45.06</v>
          </cell>
          <cell r="F7690">
            <v>0</v>
          </cell>
        </row>
        <row r="7691">
          <cell r="B7691">
            <v>104964</v>
          </cell>
          <cell r="C7691" t="str">
            <v>MASSA ÚNICA, EM ARGAMASSA TRAÇO 1:2:8, PREPARO MANUAL, APLICADA MANUALMENTE EM PAREDES INTERNAS DE AMBIENTES COM PÉ-DIREITO DUPLO E ÁREA ENTRE 5M² E 10M², E = 17,5MM, COM TALISCAS. AF_03/2024</v>
          </cell>
          <cell r="D7691" t="str">
            <v>M2</v>
          </cell>
          <cell r="E7691">
            <v>60.94</v>
          </cell>
          <cell r="F7691">
            <v>0</v>
          </cell>
        </row>
        <row r="7692">
          <cell r="B7692">
            <v>104956</v>
          </cell>
          <cell r="C7692" t="str">
            <v>MASSA ÚNICA, EM ARGAMASSA TRAÇO 1:2:8, PREPARO MANUAL, APLICADA MANUALMENTE EM PAREDES INTERNAS DE AMBIENTES COM PÉ-DIREITO DUPLO E ÁREA MAIOR QUE 10M², E = 17,5MM, COM TALISCAS. AF_03/2024</v>
          </cell>
          <cell r="D7692" t="str">
            <v>M2</v>
          </cell>
          <cell r="E7692">
            <v>54.42</v>
          </cell>
          <cell r="F7692">
            <v>0</v>
          </cell>
        </row>
        <row r="7693">
          <cell r="B7693">
            <v>104974</v>
          </cell>
          <cell r="C7693" t="str">
            <v>MASSA ÚNICA, EM ARGAMASSA TRAÇO 1:2:8, PREPARO MANUAL, APLICADA MANUALMENTE EM PAREDES INTERNAS DE AMBIENTES COM PÉ-DIREITO DUPLO ÁREA MAIOR QUE 10M², E = 10MM, COM TALISCAS. AF_03/2024</v>
          </cell>
          <cell r="D7693" t="str">
            <v>M2</v>
          </cell>
          <cell r="E7693">
            <v>38.54</v>
          </cell>
          <cell r="F7693">
            <v>0</v>
          </cell>
        </row>
        <row r="7694">
          <cell r="B7694">
            <v>87548</v>
          </cell>
          <cell r="C7694" t="str">
            <v>MASSA ÚNICA, EM ARGAMASSA TRAÇO 1:2:8, PREPARO MANUAL, APLICADA MANUALMENTE EM PAREDES INTERNAS DE AMBIENTES COM ÁREA ENTRE 5M² E 10M², E = 10MM, COM TALISCAS. AF_03/2024</v>
          </cell>
          <cell r="D7694" t="str">
            <v>M2</v>
          </cell>
          <cell r="E7694">
            <v>34.35</v>
          </cell>
          <cell r="F7694">
            <v>0</v>
          </cell>
        </row>
        <row r="7695">
          <cell r="B7695">
            <v>87530</v>
          </cell>
          <cell r="C7695" t="str">
            <v>MASSA ÚNICA, EM ARGAMASSA TRAÇO 1:2:8, PREPARO MANUAL, APLICADA MANUALMENTE EM PAREDES INTERNAS DE AMBIENTES COM ÁREA ENTRE 5M² E 10M², E = 17,5MM, COM TALISCAS. AF_03/2024</v>
          </cell>
          <cell r="D7695" t="str">
            <v>M2</v>
          </cell>
          <cell r="E7695">
            <v>47.59</v>
          </cell>
          <cell r="F7695">
            <v>0</v>
          </cell>
        </row>
        <row r="7696">
          <cell r="B7696">
            <v>104952</v>
          </cell>
          <cell r="C7696" t="str">
            <v>MASSA ÚNICA, EM ARGAMASSA TRAÇO 1:2:8, PREPARO MANUAL, APLICADA MANUALMENTE EM PAREDES INTERNAS DE AMBIENTES COM ÁREA MAIOR QUE 10M², E = 17,5MM, COM TALISCAS. AF_03/2024</v>
          </cell>
          <cell r="D7696" t="str">
            <v>M2</v>
          </cell>
          <cell r="E7696">
            <v>43.39</v>
          </cell>
          <cell r="F7696">
            <v>0</v>
          </cell>
        </row>
        <row r="7697">
          <cell r="B7697">
            <v>104969</v>
          </cell>
          <cell r="C7697" t="str">
            <v>MASSA ÚNICA, EM ARGAMASSA TRAÇO 1:2:8, PREPARO MECÂNICO, APLICADA MANUALMENTE EM PAREDES INTERNAS DE AMBIENTES COM PÉ-DIREITO DUPLO E ÁREA ENTRE 5M² E 10M², E = 10MM, COM TALISCAS. AF_03/2024</v>
          </cell>
          <cell r="D7697" t="str">
            <v>M2</v>
          </cell>
          <cell r="E7697">
            <v>41.54</v>
          </cell>
          <cell r="F7697">
            <v>0</v>
          </cell>
        </row>
        <row r="7698">
          <cell r="B7698">
            <v>104963</v>
          </cell>
          <cell r="C7698" t="str">
            <v>MASSA ÚNICA, EM ARGAMASSA TRAÇO 1:2:8, PREPARO MECÂNICO, APLICADA MANUALMENTE EM PAREDES INTERNAS DE AMBIENTES COM PÉ-DIREITO DUPLO E ÁREA ENTRE 5M² E 10M², E = 17,5MM, COM TALISCAS. AF_03/2024</v>
          </cell>
          <cell r="D7698" t="str">
            <v>M2</v>
          </cell>
          <cell r="E7698">
            <v>55.43</v>
          </cell>
          <cell r="F7698">
            <v>0</v>
          </cell>
        </row>
        <row r="7699">
          <cell r="B7699">
            <v>104955</v>
          </cell>
          <cell r="C7699" t="str">
            <v>MASSA ÚNICA, EM ARGAMASSA TRAÇO 1:2:8, PREPARO MECÂNICO, APLICADA MANUALMENTE EM PAREDES INTERNAS DE AMBIENTES COM PÉ-DIREITO DUPLO E ÁREA MAIOR QUE 10M², E = 17,5MM, COM TALISCAS. AF_03/2024</v>
          </cell>
          <cell r="D7699" t="str">
            <v>M2</v>
          </cell>
          <cell r="E7699">
            <v>48.91</v>
          </cell>
          <cell r="F7699">
            <v>0</v>
          </cell>
        </row>
        <row r="7700">
          <cell r="B7700">
            <v>104973</v>
          </cell>
          <cell r="C7700" t="str">
            <v>MASSA ÚNICA, EM ARGAMASSA TRAÇO 1:2:8, PREPARO MECÂNICO, APLICADA MANUALMENTE EM PAREDES INTERNAS DE AMBIENTES COM PÉ-DIREITO DUPLO ÁREA MAIOR QUE 10M², E = 10MM, COM TALISCAS. AF_03/2024</v>
          </cell>
          <cell r="D7700" t="str">
            <v>M2</v>
          </cell>
          <cell r="E7700">
            <v>35.020000000000003</v>
          </cell>
          <cell r="F7700">
            <v>0</v>
          </cell>
        </row>
        <row r="7701">
          <cell r="B7701">
            <v>87547</v>
          </cell>
          <cell r="C7701" t="str">
            <v>MASSA ÚNICA, EM ARGAMASSA TRAÇO 1:2:8, PREPARO MECÂNICO, APLICADA MANUALMENTE EM PAREDES INTERNAS DE AMBIENTES COM ÁREA ENTRE 5M² E 10M², E = 10MM, COM TALISCAS. AF_03/2024</v>
          </cell>
          <cell r="D7701" t="str">
            <v>M2</v>
          </cell>
          <cell r="E7701">
            <v>30.83</v>
          </cell>
          <cell r="F7701">
            <v>0</v>
          </cell>
        </row>
        <row r="7702">
          <cell r="B7702">
            <v>87529</v>
          </cell>
          <cell r="C7702" t="str">
            <v>MASSA ÚNICA, EM ARGAMASSA TRAÇO 1:2:8, PREPARO MECÂNICO, APLICADA MANUALMENTE EM PAREDES INTERNAS DE AMBIENTES COM ÁREA ENTRE 5M² E 10M², E = 17,5MM, COM TALISCAS. AF_03/2024</v>
          </cell>
          <cell r="D7702" t="str">
            <v>M2</v>
          </cell>
          <cell r="E7702">
            <v>42.08</v>
          </cell>
          <cell r="F7702">
            <v>0</v>
          </cell>
        </row>
        <row r="7703">
          <cell r="B7703">
            <v>104951</v>
          </cell>
          <cell r="C7703" t="str">
            <v>MASSA ÚNICA, EM ARGAMASSA TRAÇO 1:2:8, PREPARO MECÂNICO, APLICADA MANUALMENTE EM PAREDES INTERNAS DE AMBIENTES COM ÁREA MAIOR QUE 10M², E = 17,5MM, COM TALISCAS. AF_03/2024</v>
          </cell>
          <cell r="D7703" t="str">
            <v>M2</v>
          </cell>
          <cell r="E7703">
            <v>37.880000000000003</v>
          </cell>
          <cell r="F7703">
            <v>0</v>
          </cell>
        </row>
        <row r="7704">
          <cell r="B7704">
            <v>104978</v>
          </cell>
          <cell r="C7704" t="str">
            <v>MASSA ÚNICA, EM ARGAMASSA TRAÇO 1:2:8, PREPARO MECÂNICO, APLICADA MANUALMENTE EM TETO DE AMBIENTES COM PAREDES EM PÉ-DIREITO DUPLO, E = 10MM, COM TALISCAS. AF_03/2024</v>
          </cell>
          <cell r="D7704" t="str">
            <v>M2</v>
          </cell>
          <cell r="E7704">
            <v>44.77</v>
          </cell>
          <cell r="F7704">
            <v>0</v>
          </cell>
        </row>
        <row r="7705">
          <cell r="B7705">
            <v>104977</v>
          </cell>
          <cell r="C7705" t="str">
            <v>MASSA ÚNICA, EM ARGAMASSA TRAÇO 1:2:8, PREPARO MECÂNICO, APLICADA MANUALMENTE EM TETO DE AMBIENTES COM PAREDES EM PÉ-DIREITO DUPLO, E = 17,5MM, COM TALISCAS. AF_03/2024</v>
          </cell>
          <cell r="D7705" t="str">
            <v>M2</v>
          </cell>
          <cell r="E7705">
            <v>58.43</v>
          </cell>
          <cell r="F7705">
            <v>0</v>
          </cell>
        </row>
        <row r="7706">
          <cell r="B7706">
            <v>90408</v>
          </cell>
          <cell r="C7706" t="str">
            <v>MASSA ÚNICA, EM ARGAMASSA TRAÇO 1:2:8, PREPARO MECÂNICO, APLICADA MANUALMENTE EM TETO, E = 10MM, COM TALISCAS. AF_03/2024</v>
          </cell>
          <cell r="D7706" t="str">
            <v>M2</v>
          </cell>
          <cell r="E7706">
            <v>38.74</v>
          </cell>
          <cell r="F7706">
            <v>0</v>
          </cell>
        </row>
        <row r="7707">
          <cell r="B7707">
            <v>90406</v>
          </cell>
          <cell r="C7707" t="str">
            <v>MASSA ÚNICA, EM ARGAMASSA TRAÇO 1:2:8, PREPARO MECÂNICO, APLICADA MANUALMENTE EM TETO, E = 17,5MM, COM TALISCAS. AF_03/2024</v>
          </cell>
          <cell r="D7707" t="str">
            <v>M2</v>
          </cell>
          <cell r="E7707">
            <v>51.09</v>
          </cell>
          <cell r="F7707">
            <v>0</v>
          </cell>
        </row>
        <row r="7708">
          <cell r="B7708">
            <v>106626</v>
          </cell>
          <cell r="C7708" t="str">
            <v>CARGA, MANOBRA E DESCARGA DE ESCAVADEIRA SOBRE ESTEIRAS, PESO OPERACIONAL DE 17 T, EM CAVALO MECÂNICO 6X2 COM PRANCHA RETA. AF_01/2026</v>
          </cell>
          <cell r="D7708" t="str">
            <v>UN</v>
          </cell>
          <cell r="E7708">
            <v>0</v>
          </cell>
        </row>
        <row r="7709">
          <cell r="B7709">
            <v>106627</v>
          </cell>
          <cell r="C7709" t="str">
            <v>CARGA, MANOBRA E DESCARGA DE FRESADORA DE ASFALTO A FRIO SOBRE RODAS, LARGURA 1,0 M, PESO OPERACIONAL DE 14,7 T, EM CAVALO MECÂNICO 6X2 COM PRANCHA RETA. AF_01/2026</v>
          </cell>
          <cell r="D7709" t="str">
            <v>UN</v>
          </cell>
          <cell r="E7709">
            <v>0</v>
          </cell>
        </row>
        <row r="7710">
          <cell r="B7710">
            <v>106628</v>
          </cell>
          <cell r="C7710" t="str">
            <v>CARGA, MANOBRA E DESCARGA DE FRESADORA DE ASFALTO A FRIO SOBRE RODAS, LARGURA 2,0 M, PESO OPERACIONAL DE 27,7 T, EM CAVALO MECÂNICO 6X2 COM PRANCHA REBAIXADA. AF_01/2026</v>
          </cell>
          <cell r="D7710" t="str">
            <v>UN</v>
          </cell>
          <cell r="E7710">
            <v>0</v>
          </cell>
        </row>
        <row r="7711">
          <cell r="B7711">
            <v>106629</v>
          </cell>
          <cell r="C7711" t="str">
            <v>CARGA, MANOBRA E DESCARGA DE GUINDASTE HIDRÁULICO AUTOPROPELIDO, COM LANÇA TRELIÇADA 41 M, PESO OPERACIONAL DE 43 T, EM CAVALO MECÂNICO 6X2 COM PRANCHA REBAIXADA. AF_01/2026</v>
          </cell>
          <cell r="D7711" t="str">
            <v>UN</v>
          </cell>
          <cell r="E7711">
            <v>0</v>
          </cell>
        </row>
        <row r="7712">
          <cell r="B7712">
            <v>106631</v>
          </cell>
          <cell r="C7712" t="str">
            <v>CARGA, MANOBRA E DESCARGA DE MINICARREGADEIRA SOBRE RODAS, PESO OPERACIONAL DE 2,58 T, EM CAMINHÃO GUINCHO-SOCORRO 23000 KG. AF_01/2026</v>
          </cell>
          <cell r="D7712" t="str">
            <v>UN</v>
          </cell>
          <cell r="E7712">
            <v>0</v>
          </cell>
        </row>
        <row r="7713">
          <cell r="B7713">
            <v>106630</v>
          </cell>
          <cell r="C7713" t="str">
            <v>CARGA, MANOBRA E DESCARGA DE MINICARREGADEIRA SOBRE RODAS, PESO OPERACIONAL DE 2,58 T, EM CAMINHÃO PLATAFORMA 16000 KG. AF_01/2026</v>
          </cell>
          <cell r="D7713" t="str">
            <v>UN</v>
          </cell>
          <cell r="E7713">
            <v>0</v>
          </cell>
        </row>
        <row r="7714">
          <cell r="B7714">
            <v>106633</v>
          </cell>
          <cell r="C7714" t="str">
            <v>CARGA, MANOBRA E DESCARGA DE MINIESCAVADEIRA SOBRE ESTEIRA, PESO OPERACIONAL DE 3,5 T, EM CAMINHÃO GUINCHO-SOCORRO 23000 KG. AF_01/2026</v>
          </cell>
          <cell r="D7714" t="str">
            <v>UN</v>
          </cell>
          <cell r="E7714">
            <v>0</v>
          </cell>
        </row>
        <row r="7715">
          <cell r="B7715">
            <v>106632</v>
          </cell>
          <cell r="C7715" t="str">
            <v>CARGA, MANOBRA E DESCARGA DE MINIESCAVADEIRA SOBRE ESTEIRA, PESO OPERACIONAL DE 3,5 T, EM CAMINHÃO PLATAFORMA 16000 KG. AF_01/2026</v>
          </cell>
          <cell r="D7715" t="str">
            <v>UN</v>
          </cell>
          <cell r="E7715">
            <v>0</v>
          </cell>
        </row>
        <row r="7716">
          <cell r="B7716">
            <v>106634</v>
          </cell>
          <cell r="C7716" t="str">
            <v>CARGA, MANOBRA E DESCARGA DE MOTONIVELADORA, PESO OPERACIONAL DE 13 T, EM CAMINHÃO PLATAFORMA 23000 KG. AF_01/2026</v>
          </cell>
          <cell r="D7716" t="str">
            <v>UN</v>
          </cell>
          <cell r="E7716">
            <v>0</v>
          </cell>
        </row>
        <row r="7717">
          <cell r="B7717">
            <v>106636</v>
          </cell>
          <cell r="C7717" t="str">
            <v>CARGA, MANOBRA E DESCARGA DE PÁ CARREGADEIRA SOBRE RODAS, CAÇAMBA DE 1,7 A 2,8 M3, PESO OPERACIONAL DE 11,63 T, EM CAMINHÃO PLATAFORMA 23000 KG. AF_01/2026</v>
          </cell>
          <cell r="D7717" t="str">
            <v>UN</v>
          </cell>
          <cell r="E7717">
            <v>0</v>
          </cell>
        </row>
        <row r="7718">
          <cell r="B7718">
            <v>106635</v>
          </cell>
          <cell r="C7718" t="str">
            <v>CARGA, MANOBRA E DESCARGA DE PÁ CARREGADEIRA SOBRE RODAS, CAÇAMBA DE 2,5 A 3,5 M3, PESO OPERACIONAL DE 18,34 T, EM CAVALO MECÂNICO 6X2 COM PRANCHA RETA. AF_01/2026</v>
          </cell>
          <cell r="D7718" t="str">
            <v>UN</v>
          </cell>
          <cell r="E7718">
            <v>0</v>
          </cell>
        </row>
        <row r="7719">
          <cell r="B7719">
            <v>106637</v>
          </cell>
          <cell r="C7719" t="str">
            <v>CARGA, MANOBRA E DESCARGA DE RECICLADORA DE ASFALTO A FRIO SOBRE RODAS, LARGURA 2,0 M, PESO OPERACIONAL DE 24,2 T, EM CAVALO MECÂNICO 6X2 COM PRANCHA REBAIXADA. AF_01/2026</v>
          </cell>
          <cell r="D7719" t="str">
            <v>UN</v>
          </cell>
          <cell r="E7719">
            <v>0</v>
          </cell>
        </row>
        <row r="7720">
          <cell r="B7720">
            <v>106639</v>
          </cell>
          <cell r="C7720" t="str">
            <v>CARGA, MANOBRA E DESCARGA DE RETROESCAVADEIRA SOBRE RODAS COM CARREGADEIRA E MARTELO ROMPEDOR HIDRÁULICO, PESO OPERACIONAL DE 6,67 T, EM CAMINHÃO GUINCHO-SOCORRO 23000 KG. AF_01/2026</v>
          </cell>
          <cell r="D7720" t="str">
            <v>UN</v>
          </cell>
          <cell r="E7720">
            <v>0</v>
          </cell>
        </row>
        <row r="7721">
          <cell r="B7721">
            <v>106638</v>
          </cell>
          <cell r="C7721" t="str">
            <v>CARGA, MANOBRA E DESCARGA DE RETROESCAVADEIRA SOBRE RODAS COM CARREGADEIRA E MARTELO ROMPEDOR HIDRÁULICO, PESO OPERACIONAL DE 6,67 T, EM CAMINHÃO PLATAFORMA 16000 KG. AF_01/2026</v>
          </cell>
          <cell r="D7721" t="str">
            <v>UN</v>
          </cell>
          <cell r="E7721">
            <v>0</v>
          </cell>
        </row>
        <row r="7722">
          <cell r="B7722">
            <v>106641</v>
          </cell>
          <cell r="C7722" t="str">
            <v>CARGA, MANOBRA E DESCARGA DE RETROESCAVADEIRA SOBRE RODAS COM CARREGADEIRA, PESO OPERACIONAL DE 7,14 T, EM CAMINHÃO GUINCHO-SOCORRO 23000 KG. AF_01/2026</v>
          </cell>
          <cell r="D7722" t="str">
            <v>UN</v>
          </cell>
          <cell r="E7722">
            <v>0</v>
          </cell>
        </row>
        <row r="7723">
          <cell r="B7723">
            <v>106640</v>
          </cell>
          <cell r="C7723" t="str">
            <v>CARGA, MANOBRA E DESCARGA DE RETROESCAVADEIRA SOBRE RODAS COM CARREGADEIRA, PESO OPERACIONAL DE 7,14 T, EM CAMINHÃO PLATAFORMA 16000 KG. AF_01/2026</v>
          </cell>
          <cell r="D7723" t="str">
            <v>UN</v>
          </cell>
          <cell r="E7723">
            <v>0</v>
          </cell>
        </row>
        <row r="7724">
          <cell r="B7724">
            <v>106644</v>
          </cell>
          <cell r="C7724" t="str">
            <v>CARGA, MANOBRA E DESCARGA DE ROLO COMPACTADOR DE CARNEIRO VIBRATORIO, PESO OPERACIONAL SEM LASTRO DE 11,95 T, EM CAMINHÃO PLATAFORMA 23000 KG. AF_01/2026</v>
          </cell>
          <cell r="D7724" t="str">
            <v>UN</v>
          </cell>
          <cell r="E7724">
            <v>0</v>
          </cell>
        </row>
        <row r="7725">
          <cell r="B7725">
            <v>106646</v>
          </cell>
          <cell r="C7725" t="str">
            <v>CARGA, MANOBRA E DESCARGA DE ROLO COMPACTADOR DE CARNEIRO VIBRATORIO, PESO OPERACIONAL SEM LASTRO DE 7,4 T, EM CAMINHÃO GUINCHO-SOCORRO 23000 KG. AF_01/2026</v>
          </cell>
          <cell r="D7725" t="str">
            <v>UN</v>
          </cell>
          <cell r="E7725">
            <v>0</v>
          </cell>
        </row>
        <row r="7726">
          <cell r="B7726">
            <v>106645</v>
          </cell>
          <cell r="C7726" t="str">
            <v>CARGA, MANOBRA E DESCARGA DE ROLO COMPACTADOR DE CARNEIRO VIBRATORIO, PESO OPERACIONAL SEM LASTRO DE 7,4 T, EM CAMINHÃO PLATAFORMA 16000 KG. AF_01/2026</v>
          </cell>
          <cell r="D7726" t="str">
            <v>UN</v>
          </cell>
          <cell r="E7726">
            <v>0</v>
          </cell>
        </row>
        <row r="7727">
          <cell r="B7727">
            <v>106643</v>
          </cell>
          <cell r="C7727" t="str">
            <v>CARGA, MANOBRA E DESCARGA DE ROLO COMPACTADOR DE PNEUS, PESO OPERACIONAL SEM LASTRO DE 10,8 T, EM CAMINHÃO PLATAFORMA 23000 KG. AF_01/2026</v>
          </cell>
          <cell r="D7727" t="str">
            <v>UN</v>
          </cell>
          <cell r="E7727">
            <v>0</v>
          </cell>
        </row>
        <row r="7728">
          <cell r="B7728">
            <v>106642</v>
          </cell>
          <cell r="C7728" t="str">
            <v>CARGA, MANOBRA E DESCARGA DE ROLO COMPACTADOR DE PNEUS, PESO OPERACIONAL SEM LASTRO DE 9,5 T, EM CAMINHÃO PLATAFORMA 16000 KG. AF_01/2026</v>
          </cell>
          <cell r="D7728" t="str">
            <v>UN</v>
          </cell>
          <cell r="E7728">
            <v>0</v>
          </cell>
        </row>
        <row r="7729">
          <cell r="B7729">
            <v>106649</v>
          </cell>
          <cell r="C7729" t="str">
            <v>CARGA, MANOBRA E DESCARGA DE ROLO COMPACTADOR VIBRATORIO TAMDEM LISO, PESO OPERACIONAL SEM LASTRO DE 10,2 T, EM CAMINHÃO PLATAFORMA 23000 KG. AF_01/2026</v>
          </cell>
          <cell r="D7729" t="str">
            <v>UN</v>
          </cell>
          <cell r="E7729">
            <v>0</v>
          </cell>
        </row>
        <row r="7730">
          <cell r="B7730">
            <v>106648</v>
          </cell>
          <cell r="C7730" t="str">
            <v>CARGA, MANOBRA E DESCARGA DE ROLO COMPACTADOR VIBRATORIO TAMDEM LISO, PESO OPERACIONAL SEM LASTRO DE 6,5 T, EM CAMINHÃO GUINCHO-SOCORRO 23000 KG. AF_01/2026</v>
          </cell>
          <cell r="D7730" t="str">
            <v>UN</v>
          </cell>
          <cell r="E7730">
            <v>0</v>
          </cell>
        </row>
        <row r="7731">
          <cell r="B7731">
            <v>106647</v>
          </cell>
          <cell r="C7731" t="str">
            <v>CARGA, MANOBRA E DESCARGA DE ROLO COMPACTADOR VIBRATORIO TAMDEM LISO, PESO OPERACIONAL SEM LASTRO DE 6,5 T, EM CAMINHÃO PLATAFORMA 16000 KG. AF_01/2026</v>
          </cell>
          <cell r="D7731" t="str">
            <v>UN</v>
          </cell>
          <cell r="E7731">
            <v>0</v>
          </cell>
        </row>
        <row r="7732">
          <cell r="B7732">
            <v>106652</v>
          </cell>
          <cell r="C7732" t="str">
            <v>CARGA, MANOBRA E DESCARGA DE TRATOR DE ESTEIRAS, PESO OPERACIONAL DE 12,9 T, EM CAMINHÃO PLATAFORMA 23000 KG. AF_01/2026</v>
          </cell>
          <cell r="D7732" t="str">
            <v>UN</v>
          </cell>
          <cell r="E7732">
            <v>0</v>
          </cell>
        </row>
        <row r="7733">
          <cell r="B7733">
            <v>106653</v>
          </cell>
          <cell r="C7733" t="str">
            <v>CARGA, MANOBRA E DESCARGA DE TRATOR DE ESTEIRAS, PESO OPERACIONAL DE 16,7 T, EM CAVALO MECÂNICO 6X2 COM PRANCHA RETA. AF_01/2026</v>
          </cell>
          <cell r="D7733" t="str">
            <v>UN</v>
          </cell>
          <cell r="E7733">
            <v>0</v>
          </cell>
        </row>
        <row r="7734">
          <cell r="B7734">
            <v>106654</v>
          </cell>
          <cell r="C7734" t="str">
            <v>CARGA, MANOBRA E DESCARGA DE TRATOR DE ESTEIRAS, PESO OPERACIONAL DE 38,5 T, EM CAVALO MECÂNICO 6X2 COM PRANCHA REBAIXADA. AF_01/2026</v>
          </cell>
          <cell r="D7734" t="str">
            <v>UN</v>
          </cell>
          <cell r="E7734">
            <v>0</v>
          </cell>
        </row>
        <row r="7735">
          <cell r="B7735">
            <v>106651</v>
          </cell>
          <cell r="C7735" t="str">
            <v>CARGA, MANOBRA E DESCARGA DE TRATOR DE ESTEIRAS, PESO OPERACIONAL DE 9,4 T, EM CAMINHÃO GUINCHO-SOCORRO 23000 KG. AF_01/2026</v>
          </cell>
          <cell r="D7735" t="str">
            <v>UN</v>
          </cell>
          <cell r="E7735">
            <v>0</v>
          </cell>
        </row>
        <row r="7736">
          <cell r="B7736">
            <v>106650</v>
          </cell>
          <cell r="C7736" t="str">
            <v>CARGA, MANOBRA E DESCARGA DE TRATOR DE ESTEIRAS, PESO OPERACIONAL DE 9,4 T, EM CAMINHÃO PLATAFORMA 16000 KG. AF_01/2026</v>
          </cell>
          <cell r="D7736" t="str">
            <v>UN</v>
          </cell>
          <cell r="E7736">
            <v>0</v>
          </cell>
        </row>
        <row r="7737">
          <cell r="B7737">
            <v>106655</v>
          </cell>
          <cell r="C7737" t="str">
            <v>CARGA, MANOBRA E DESCARGA DE TRATOR DE PNEUS 85 CV COM GRADE DE DISCOS ACOPLADA, PESO OPERACIONAL DO CONJUNTO DE 7,018 T, EM CAVALO MECÂNICO 6X2 COM PRANCHA REBAIXADA. AF_01/2026</v>
          </cell>
          <cell r="D7737" t="str">
            <v>UN</v>
          </cell>
          <cell r="E7737">
            <v>0</v>
          </cell>
        </row>
        <row r="7738">
          <cell r="B7738">
            <v>106657</v>
          </cell>
          <cell r="C7738" t="str">
            <v>CARGA, MANOBRA E DESCARGA DE TRATOR DE PNEUS 85 CV COM VASSOURA MECÂNICA ACOPLADA, PESO OPERACIONAL DO CONJUNTO DE 5,495 T, EM CAMINHÃO GUINCHO-SOCORRO 23000 KG. AF_01/2026</v>
          </cell>
          <cell r="D7738" t="str">
            <v>UN</v>
          </cell>
          <cell r="E7738">
            <v>0</v>
          </cell>
        </row>
        <row r="7739">
          <cell r="B7739">
            <v>106656</v>
          </cell>
          <cell r="C7739" t="str">
            <v>CARGA, MANOBRA E DESCARGA DE TRATOR DE PNEUS 85 CV COM VASSOURA MECÂNICA ACOPLADA, PESO OPERACIONAL DO CONJUNTO DE 5,495 T, EM CAMINHÃO PLATAFORMA 16000 KG. AF_01/2026</v>
          </cell>
          <cell r="D7739" t="str">
            <v>UN</v>
          </cell>
          <cell r="E7739">
            <v>0</v>
          </cell>
        </row>
        <row r="7740">
          <cell r="B7740">
            <v>106661</v>
          </cell>
          <cell r="C7740" t="str">
            <v>CARGA, MANOBRA E DESCARGA DE TRATOR DE PNEUS 85 CV, PESO COM LASTRO DE 4,675 T, EM CAMINHÃO GUINCHO-SOCORRO 23000 KG. AF_01/2026</v>
          </cell>
          <cell r="D7740" t="str">
            <v>UN</v>
          </cell>
          <cell r="E7740">
            <v>0</v>
          </cell>
        </row>
        <row r="7741">
          <cell r="B7741">
            <v>106660</v>
          </cell>
          <cell r="C7741" t="str">
            <v>CARGA, MANOBRA E DESCARGA DE TRATOR DE PNEUS 85 CV, PESO COM LASTRO DE 4,675 T, EM CAMINHÃO PLATAFORMA 16000 KG. AF_01/2026</v>
          </cell>
          <cell r="D7741" t="str">
            <v>UN</v>
          </cell>
          <cell r="E7741">
            <v>0</v>
          </cell>
        </row>
        <row r="7742">
          <cell r="B7742">
            <v>106659</v>
          </cell>
          <cell r="C7742" t="str">
            <v>CARGA, MANOBRA E DESCARGA DE TRATOR DE PNEUS COM ESPARGIDOR DE ASFALTO COM TANQUE 2500 L, PESO OPERACIONAL DE 9,51 T, EM CAMINHÃO GUINCHO-SOCORRO 23000 KG. AF_01/2026</v>
          </cell>
          <cell r="D7742" t="str">
            <v>UN</v>
          </cell>
          <cell r="E7742">
            <v>0</v>
          </cell>
        </row>
        <row r="7743">
          <cell r="B7743">
            <v>106658</v>
          </cell>
          <cell r="C7743" t="str">
            <v>CARGA, MANOBRA E DESCARGA DE TRATOR DE PNEUS COM ESPARGIDOR DE ASFALTO COM TANQUE 2500 L, PESO OPERACIONAL DE 9,51 T, EM CAMINHÃO PLATAFORMA 16000 KG. AF_01/2026</v>
          </cell>
          <cell r="D7743" t="str">
            <v>UN</v>
          </cell>
          <cell r="E7743">
            <v>0</v>
          </cell>
        </row>
        <row r="7744">
          <cell r="B7744">
            <v>106663</v>
          </cell>
          <cell r="C7744" t="str">
            <v>CARGA, MANOBRA E DESCARGA DE VIBROACABADORA DE ASFALTO SOBRE ESTEIRAS, LARGURA DE PAVIMENTAÇÃO 1,90 M A 5,30 M, PESO OPERACIONAL DE 13,575 T, EM CAMINHÃO PLATAFORMA 23000 KG. AF_01/2026</v>
          </cell>
          <cell r="D7744" t="str">
            <v>UN</v>
          </cell>
          <cell r="E7744">
            <v>0</v>
          </cell>
        </row>
        <row r="7745">
          <cell r="B7745">
            <v>106662</v>
          </cell>
          <cell r="C7745" t="str">
            <v>CARGA, MANOBRA E DESCARGA DE VIBROACABADORA DE ASFALTO SOBRE ESTEIRAS, LARGURA DE PAVIMENTAÇÃO MÁXIMA 8,00 M, PESO OPERACIONAL DE 18,4 T, EM CAVALO MECÂNICO 6X2 COM PRANCHA RETA. AF_01/2026</v>
          </cell>
          <cell r="D7745" t="str">
            <v>UN</v>
          </cell>
          <cell r="E7745">
            <v>0</v>
          </cell>
        </row>
        <row r="7746">
          <cell r="B7746">
            <v>106664</v>
          </cell>
          <cell r="C7746" t="str">
            <v>CARGA, MANOBRA E DESCARGA DE VIBROACABADORA DE ASFALTO SOBRE RODAS, LARGURA DE PAVIMENTAÇÃO 1,70 M A 4,20 M, PESO OPERACIONAL DE 12,5 T, EM CAMINHÃO PLATAFORMA 23000 KG. AF_01/2026</v>
          </cell>
          <cell r="D7746" t="str">
            <v>UN</v>
          </cell>
          <cell r="E7746">
            <v>0</v>
          </cell>
        </row>
        <row r="7747">
          <cell r="B7747">
            <v>106602</v>
          </cell>
          <cell r="C7747" t="str">
            <v>TRANSPORTE DE EQUIPAMENTO PESADO COM CAMINHÃO GUINCHO-SOCORRO 23000 KG, EM VIA INTERNA (DENTRO DO CANTEIRO) EM LEITO NATURAL. AF_01/2026</v>
          </cell>
          <cell r="D7747" t="str">
            <v>UNXKM</v>
          </cell>
          <cell r="E7747">
            <v>0</v>
          </cell>
        </row>
        <row r="7748">
          <cell r="B7748">
            <v>106603</v>
          </cell>
          <cell r="C7748" t="str">
            <v>TRANSPORTE DE EQUIPAMENTO PESADO COM CAMINHÃO GUINCHO-SOCORRO 23000 KG, EM VIA INTERNA (DENTRO DO CANTEIRO) EM REVESTIMENTO PRIMÁRIO. AF_01/2026</v>
          </cell>
          <cell r="D7748" t="str">
            <v>UNXKM</v>
          </cell>
          <cell r="E7748">
            <v>0</v>
          </cell>
        </row>
        <row r="7749">
          <cell r="B7749">
            <v>106604</v>
          </cell>
          <cell r="C7749" t="str">
            <v>TRANSPORTE DE EQUIPAMENTO PESADO COM CAMINHÃO GUINCHO-SOCORRO 23000 KG, EM VIA INTERNA (DENTRO DO CANTEIRO) PAVIMENTADA. AF_01/2026</v>
          </cell>
          <cell r="D7749" t="str">
            <v>UNXKM</v>
          </cell>
          <cell r="E7749">
            <v>0</v>
          </cell>
        </row>
        <row r="7750">
          <cell r="B7750">
            <v>106598</v>
          </cell>
          <cell r="C7750" t="str">
            <v>TRANSPORTE DE EQUIPAMENTO PESADO COM CAMINHÃO GUINCHO-SOCORRO 23000 KG, EM VIA URBANA EM LEITO NATURAL. AF_01/2026</v>
          </cell>
          <cell r="D7750" t="str">
            <v>UNXKM</v>
          </cell>
          <cell r="E7750">
            <v>0</v>
          </cell>
        </row>
        <row r="7751">
          <cell r="B7751">
            <v>106599</v>
          </cell>
          <cell r="C7751" t="str">
            <v>TRANSPORTE DE EQUIPAMENTO PESADO COM CAMINHÃO GUINCHO-SOCORRO 23000 KG, EM VIA URBANA EM REVESTIMENTO PRIMÁRIO. AF_01/2026</v>
          </cell>
          <cell r="D7751" t="str">
            <v>UNXKM</v>
          </cell>
          <cell r="E7751">
            <v>0</v>
          </cell>
        </row>
        <row r="7752">
          <cell r="B7752">
            <v>106601</v>
          </cell>
          <cell r="C7752" t="str">
            <v>TRANSPORTE DE EQUIPAMENTO PESADO COM CAMINHÃO GUINCHO-SOCORRO 23000 KG, EM VIA URBANA PAVIMENTADA, ADICIONAL PARA DMT EXCEDENTE A 30 KM. AF_01/2026</v>
          </cell>
          <cell r="D7752" t="str">
            <v>UNXKM</v>
          </cell>
          <cell r="E7752">
            <v>0</v>
          </cell>
        </row>
        <row r="7753">
          <cell r="B7753">
            <v>106600</v>
          </cell>
          <cell r="C7753" t="str">
            <v>TRANSPORTE DE EQUIPAMENTO PESADO COM CAMINHÃO GUINCHO-SOCORRO 23000 KG, EM VIA URBANA PAVIMENTADA, DMT ATÉ 30 KM. AF_01/2026</v>
          </cell>
          <cell r="D7753" t="str">
            <v>UNXKM</v>
          </cell>
          <cell r="E7753">
            <v>0</v>
          </cell>
        </row>
        <row r="7754">
          <cell r="B7754">
            <v>106609</v>
          </cell>
          <cell r="C7754" t="str">
            <v>TRANSPORTE DE EQUIPAMENTO PESADO COM CAMINHÃO GUINCHO-SOCORRO 29000 KG, EM VIA INTERNA (DENTRO DO CANTEIRO) EM LEITO NATURAL. AF_01/2026</v>
          </cell>
          <cell r="D7754" t="str">
            <v>UNXKM</v>
          </cell>
          <cell r="E7754">
            <v>0</v>
          </cell>
        </row>
        <row r="7755">
          <cell r="B7755">
            <v>106610</v>
          </cell>
          <cell r="C7755" t="str">
            <v>TRANSPORTE DE EQUIPAMENTO PESADO COM CAMINHÃO GUINCHO-SOCORRO 29000 KG, EM VIA INTERNA (DENTRO DO CANTEIRO) EM REVESTIMENTO PRIMÁRIO. AF_01/2026</v>
          </cell>
          <cell r="D7755" t="str">
            <v>UNXKM</v>
          </cell>
          <cell r="E7755">
            <v>0</v>
          </cell>
        </row>
        <row r="7756">
          <cell r="B7756">
            <v>106611</v>
          </cell>
          <cell r="C7756" t="str">
            <v>TRANSPORTE DE EQUIPAMENTO PESADO COM CAMINHÃO GUINCHO-SOCORRO 29000 KG, EM VIA INTERNA (DENTRO DO CANTEIRO) PAVIMENTADA. AF_01/2026</v>
          </cell>
          <cell r="D7756" t="str">
            <v>UNXKM</v>
          </cell>
          <cell r="E7756">
            <v>0</v>
          </cell>
        </row>
        <row r="7757">
          <cell r="B7757">
            <v>106605</v>
          </cell>
          <cell r="C7757" t="str">
            <v>TRANSPORTE DE EQUIPAMENTO PESADO COM CAMINHÃO GUINCHO-SOCORRO 29000 KG, EM VIA URBANA EM LEITO NATURAL. AF_01/2026</v>
          </cell>
          <cell r="D7757" t="str">
            <v>UNXKM</v>
          </cell>
          <cell r="E7757">
            <v>0</v>
          </cell>
        </row>
        <row r="7758">
          <cell r="B7758">
            <v>106606</v>
          </cell>
          <cell r="C7758" t="str">
            <v>TRANSPORTE DE EQUIPAMENTO PESADO COM CAMINHÃO GUINCHO-SOCORRO 29000 KG, EM VIA URBANA EM REVESTIMENTO PRIMÁRIO. AF_01/2026</v>
          </cell>
          <cell r="D7758" t="str">
            <v>UNXKM</v>
          </cell>
          <cell r="E7758">
            <v>0</v>
          </cell>
        </row>
        <row r="7759">
          <cell r="B7759">
            <v>106608</v>
          </cell>
          <cell r="C7759" t="str">
            <v>TRANSPORTE DE EQUIPAMENTO PESADO COM CAMINHÃO GUINCHO-SOCORRO 29000 KG, EM VIA URBANA PAVIMENTADA, ADICIONAL PARA DMT EXCEDENTE A 30 KM. AF_01/2026</v>
          </cell>
          <cell r="D7759" t="str">
            <v>UNXKM</v>
          </cell>
          <cell r="E7759">
            <v>0</v>
          </cell>
        </row>
        <row r="7760">
          <cell r="B7760">
            <v>106607</v>
          </cell>
          <cell r="C7760" t="str">
            <v>TRANSPORTE DE EQUIPAMENTO PESADO COM CAMINHÃO GUINCHO-SOCORRO 29000 KG, EM VIA URBANA PAVIMENTADA, DMT ATÉ 30 KM. AF_01/2026</v>
          </cell>
          <cell r="D7760" t="str">
            <v>UNXKM</v>
          </cell>
          <cell r="E7760">
            <v>0</v>
          </cell>
        </row>
        <row r="7761">
          <cell r="B7761">
            <v>106581</v>
          </cell>
          <cell r="C7761" t="str">
            <v>TRANSPORTE DE EQUIPAMENTO PESADO COM CAMINHÃO PLATAFORMA 16000 KG, EM VIA INTERNA (DENTRO DO CANTEIRO) EM LEITO NATURAL. AF_01/2026</v>
          </cell>
          <cell r="D7761" t="str">
            <v>UNXKM</v>
          </cell>
          <cell r="E7761">
            <v>0</v>
          </cell>
        </row>
        <row r="7762">
          <cell r="B7762">
            <v>106582</v>
          </cell>
          <cell r="C7762" t="str">
            <v>TRANSPORTE DE EQUIPAMENTO PESADO COM CAMINHÃO PLATAFORMA 16000 KG, EM VIA INTERNA (DENTRO DO CANTEIRO) EM REVESTIMENTO PRIMÁRIO. AF_01/2026</v>
          </cell>
          <cell r="D7762" t="str">
            <v>UNXKM</v>
          </cell>
          <cell r="E7762">
            <v>0</v>
          </cell>
        </row>
        <row r="7763">
          <cell r="B7763">
            <v>106583</v>
          </cell>
          <cell r="C7763" t="str">
            <v>TRANSPORTE DE EQUIPAMENTO PESADO COM CAMINHÃO PLATAFORMA 16000 KG, EM VIA INTERNA (DENTRO DO CANTEIRO) PAVIMENTADA. AF_01/2026</v>
          </cell>
          <cell r="D7763" t="str">
            <v>UNXKM</v>
          </cell>
          <cell r="E7763">
            <v>0</v>
          </cell>
        </row>
        <row r="7764">
          <cell r="B7764">
            <v>106577</v>
          </cell>
          <cell r="C7764" t="str">
            <v>TRANSPORTE DE EQUIPAMENTO PESADO COM CAMINHÃO PLATAFORMA 16000 KG, EM VIA URBANA EM LEITO NATURAL. AF_01/2026</v>
          </cell>
          <cell r="D7764" t="str">
            <v>UNXKM</v>
          </cell>
          <cell r="E7764">
            <v>0</v>
          </cell>
        </row>
        <row r="7765">
          <cell r="B7765">
            <v>106578</v>
          </cell>
          <cell r="C7765" t="str">
            <v>TRANSPORTE DE EQUIPAMENTO PESADO COM CAMINHÃO PLATAFORMA 16000 KG, EM VIA URBANA EM REVESTIMENTO PRIMÁRIO. AF_01/2026</v>
          </cell>
          <cell r="D7765" t="str">
            <v>UNXKM</v>
          </cell>
          <cell r="E7765">
            <v>0</v>
          </cell>
        </row>
        <row r="7766">
          <cell r="B7766">
            <v>106580</v>
          </cell>
          <cell r="C7766" t="str">
            <v>TRANSPORTE DE EQUIPAMENTO PESADO COM CAMINHÃO PLATAFORMA 16000 KG, EM VIA URBANA PAVIMENTADA, ADICIONAL PARA DMT EXCEDENTE A 30 KM. AF_01/2026</v>
          </cell>
          <cell r="D7766" t="str">
            <v>UNXKM</v>
          </cell>
          <cell r="E7766">
            <v>0</v>
          </cell>
        </row>
        <row r="7767">
          <cell r="B7767">
            <v>106579</v>
          </cell>
          <cell r="C7767" t="str">
            <v>TRANSPORTE DE EQUIPAMENTO PESADO COM CAMINHÃO PLATAFORMA 16000 KG, EM VIA URBANA PAVIMENTADA, DMT ATÉ 30 KM. AF_01/2026</v>
          </cell>
          <cell r="D7767" t="str">
            <v>UNXKM</v>
          </cell>
          <cell r="E7767">
            <v>0</v>
          </cell>
        </row>
        <row r="7768">
          <cell r="B7768">
            <v>106588</v>
          </cell>
          <cell r="C7768" t="str">
            <v>TRANSPORTE DE EQUIPAMENTO PESADO COM CAMINHÃO PLATAFORMA 23000 KG, EM VIA INTERNA (DENTRO DO CANTEIRO) EM LEITO NATURAL. AF_01/2026</v>
          </cell>
          <cell r="D7768" t="str">
            <v>UNXKM</v>
          </cell>
          <cell r="E7768">
            <v>0</v>
          </cell>
        </row>
        <row r="7769">
          <cell r="B7769">
            <v>106589</v>
          </cell>
          <cell r="C7769" t="str">
            <v>TRANSPORTE DE EQUIPAMENTO PESADO COM CAMINHÃO PLATAFORMA 23000 KG, EM VIA INTERNA (DENTRO DO CANTEIRO) EM REVESTIMENTO PRIMÁRIO. AF_01/2026</v>
          </cell>
          <cell r="D7769" t="str">
            <v>UNXKM</v>
          </cell>
          <cell r="E7769">
            <v>0</v>
          </cell>
        </row>
        <row r="7770">
          <cell r="B7770">
            <v>106590</v>
          </cell>
          <cell r="C7770" t="str">
            <v>TRANSPORTE DE EQUIPAMENTO PESADO COM CAMINHÃO PLATAFORMA 23000 KG, EM VIA INTERNA (DENTRO DO CANTEIRO) PAVIMENTADA. AF_01/2026</v>
          </cell>
          <cell r="D7770" t="str">
            <v>UNXKM</v>
          </cell>
          <cell r="E7770">
            <v>0</v>
          </cell>
        </row>
        <row r="7771">
          <cell r="B7771">
            <v>106584</v>
          </cell>
          <cell r="C7771" t="str">
            <v>TRANSPORTE DE EQUIPAMENTO PESADO COM CAMINHÃO PLATAFORMA 23000 KG, EM VIA URBANA EM LEITO NATURAL. AF_01/2026</v>
          </cell>
          <cell r="D7771" t="str">
            <v>UNXKM</v>
          </cell>
          <cell r="E7771">
            <v>0</v>
          </cell>
        </row>
        <row r="7772">
          <cell r="B7772">
            <v>106585</v>
          </cell>
          <cell r="C7772" t="str">
            <v>TRANSPORTE DE EQUIPAMENTO PESADO COM CAMINHÃO PLATAFORMA 23000 KG, EM VIA URBANA EM REVESTIMENTO PRIMÁRIO. AF_01/2026</v>
          </cell>
          <cell r="D7772" t="str">
            <v>UNXKM</v>
          </cell>
          <cell r="E7772">
            <v>0</v>
          </cell>
        </row>
        <row r="7773">
          <cell r="B7773">
            <v>106587</v>
          </cell>
          <cell r="C7773" t="str">
            <v>TRANSPORTE DE EQUIPAMENTO PESADO COM CAMINHÃO PLATAFORMA 23000 KG, EM VIA URBANA PAVIMENTADA, ADICIONAL PARA DMT EXCEDENTE A 30 KM. AF_01/2026</v>
          </cell>
          <cell r="D7773" t="str">
            <v>UNXKM</v>
          </cell>
          <cell r="E7773">
            <v>0</v>
          </cell>
        </row>
        <row r="7774">
          <cell r="B7774">
            <v>106586</v>
          </cell>
          <cell r="C7774" t="str">
            <v>TRANSPORTE DE EQUIPAMENTO PESADO COM CAMINHÃO PLATAFORMA 23000 KG, EM VIA URBANA PAVIMENTADA, DMT ATÉ 30 KM. AF_01/2026</v>
          </cell>
          <cell r="D7774" t="str">
            <v>UNXKM</v>
          </cell>
          <cell r="E7774">
            <v>0</v>
          </cell>
        </row>
        <row r="7775">
          <cell r="B7775">
            <v>106595</v>
          </cell>
          <cell r="C7775" t="str">
            <v>TRANSPORTE DE EQUIPAMENTO PESADO COM CAMINHÃO PLATAFORMA 29000 KG, EM VIA INTERNA (DENTRO DO CANTEIRO) EM LEITO NATURAL. AF_01/2026</v>
          </cell>
          <cell r="D7775" t="str">
            <v>UNXKM</v>
          </cell>
          <cell r="E7775">
            <v>0</v>
          </cell>
        </row>
        <row r="7776">
          <cell r="B7776">
            <v>106596</v>
          </cell>
          <cell r="C7776" t="str">
            <v>TRANSPORTE DE EQUIPAMENTO PESADO COM CAMINHÃO PLATAFORMA 29000 KG, EM VIA INTERNA (DENTRO DO CANTEIRO) EM REVESTIMENTO PRIMÁRIO. AF_01/2026</v>
          </cell>
          <cell r="D7776" t="str">
            <v>UNXKM</v>
          </cell>
          <cell r="E7776">
            <v>0</v>
          </cell>
        </row>
        <row r="7777">
          <cell r="B7777">
            <v>106597</v>
          </cell>
          <cell r="C7777" t="str">
            <v>TRANSPORTE DE EQUIPAMENTO PESADO COM CAMINHÃO PLATAFORMA 29000 KG, EM VIA INTERNA (DENTRO DO CANTEIRO) PAVIMENTADA. AF_01/2026</v>
          </cell>
          <cell r="D7777" t="str">
            <v>UNXKM</v>
          </cell>
          <cell r="E7777">
            <v>0</v>
          </cell>
        </row>
        <row r="7778">
          <cell r="B7778">
            <v>106591</v>
          </cell>
          <cell r="C7778" t="str">
            <v>TRANSPORTE DE EQUIPAMENTO PESADO COM CAMINHÃO PLATAFORMA 29000 KG, EM VIA URBANA EM LEITO NATURAL. AF_01/2026</v>
          </cell>
          <cell r="D7778" t="str">
            <v>UNXKM</v>
          </cell>
          <cell r="E7778">
            <v>0</v>
          </cell>
        </row>
        <row r="7779">
          <cell r="B7779">
            <v>106592</v>
          </cell>
          <cell r="C7779" t="str">
            <v>TRANSPORTE DE EQUIPAMENTO PESADO COM CAMINHÃO PLATAFORMA 29000 KG, EM VIA URBANA EM REVESTIMENTO PRIMÁRIO. AF_01/2026</v>
          </cell>
          <cell r="D7779" t="str">
            <v>UNXKM</v>
          </cell>
          <cell r="E7779">
            <v>0</v>
          </cell>
        </row>
        <row r="7780">
          <cell r="B7780">
            <v>106594</v>
          </cell>
          <cell r="C7780" t="str">
            <v>TRANSPORTE DE EQUIPAMENTO PESADO COM CAMINHÃO PLATAFORMA 29000 KG, EM VIA URBANA PAVIMENTADA, ADICIONAL PARA DMT EXCEDENTE A 30 KM. AF_01/2026</v>
          </cell>
          <cell r="D7780" t="str">
            <v>UNXKM</v>
          </cell>
          <cell r="E7780">
            <v>0</v>
          </cell>
        </row>
        <row r="7781">
          <cell r="B7781">
            <v>106593</v>
          </cell>
          <cell r="C7781" t="str">
            <v>TRANSPORTE DE EQUIPAMENTO PESADO COM CAMINHÃO PLATAFORMA 29000 KG, EM VIA URBANA PAVIMENTADA, DMT ATÉ 30 KM. AF_01/2026</v>
          </cell>
          <cell r="D7781" t="str">
            <v>UNXKM</v>
          </cell>
          <cell r="E7781">
            <v>0</v>
          </cell>
        </row>
        <row r="7782">
          <cell r="B7782">
            <v>106616</v>
          </cell>
          <cell r="C7782" t="str">
            <v>TRANSPORTE DE EQUIPAMENTO PESADO COM CAVALO MECÂNICO 6X2 COM PRANCHA REBAIXADA KG, EM VIA INTERNA (DENTRO DO CANTEIRO) EM LEITO NATURAL. AF_01/2026</v>
          </cell>
          <cell r="D7782" t="str">
            <v>UNXKM</v>
          </cell>
          <cell r="E7782">
            <v>0</v>
          </cell>
        </row>
        <row r="7783">
          <cell r="B7783">
            <v>106617</v>
          </cell>
          <cell r="C7783" t="str">
            <v>TRANSPORTE DE EQUIPAMENTO PESADO COM CAVALO MECÂNICO 6X2 COM PRANCHA REBAIXADA KG, EM VIA INTERNA (DENTRO DO CANTEIRO) EM REVESTIMENTO PRIMÁRIO. AF_01/2026</v>
          </cell>
          <cell r="D7783" t="str">
            <v>UNXKM</v>
          </cell>
          <cell r="E7783">
            <v>0</v>
          </cell>
        </row>
        <row r="7784">
          <cell r="B7784">
            <v>106618</v>
          </cell>
          <cell r="C7784" t="str">
            <v>TRANSPORTE DE EQUIPAMENTO PESADO COM CAVALO MECÂNICO 6X2 COM PRANCHA REBAIXADA KG, EM VIA INTERNA (DENTRO DO CANTEIRO) PAVIMENTADA. AF_01/2026</v>
          </cell>
          <cell r="D7784" t="str">
            <v>UNXKM</v>
          </cell>
          <cell r="E7784">
            <v>0</v>
          </cell>
        </row>
        <row r="7785">
          <cell r="B7785">
            <v>106612</v>
          </cell>
          <cell r="C7785" t="str">
            <v>TRANSPORTE DE EQUIPAMENTO PESADO COM CAVALO MECÂNICO 6X2 COM PRANCHA REBAIXADA KG, EM VIA URBANA EM LEITO NATURAL. AF_01/2026</v>
          </cell>
          <cell r="D7785" t="str">
            <v>UNXKM</v>
          </cell>
          <cell r="E7785">
            <v>0</v>
          </cell>
        </row>
        <row r="7786">
          <cell r="B7786">
            <v>106613</v>
          </cell>
          <cell r="C7786" t="str">
            <v>TRANSPORTE DE EQUIPAMENTO PESADO COM CAVALO MECÂNICO 6X2 COM PRANCHA REBAIXADA KG, EM VIA URBANA EM REVESTIMENTO PRIMÁRIO. AF_01/2026</v>
          </cell>
          <cell r="D7786" t="str">
            <v>UNXKM</v>
          </cell>
          <cell r="E7786">
            <v>0</v>
          </cell>
        </row>
        <row r="7787">
          <cell r="B7787">
            <v>106615</v>
          </cell>
          <cell r="C7787" t="str">
            <v>TRANSPORTE DE EQUIPAMENTO PESADO COM CAVALO MECÂNICO 6X2 COM PRANCHA REBAIXADA KG, EM VIA URBANA PAVIMENTADA, ADICIONAL PARA DMT EXCEDENTE A 30 KM. AF_01/2026</v>
          </cell>
          <cell r="D7787" t="str">
            <v>UNXKM</v>
          </cell>
          <cell r="E7787">
            <v>0</v>
          </cell>
        </row>
        <row r="7788">
          <cell r="B7788">
            <v>106614</v>
          </cell>
          <cell r="C7788" t="str">
            <v>TRANSPORTE DE EQUIPAMENTO PESADO COM CAVALO MECÂNICO 6X2 COM PRANCHA REBAIXADA KG, EM VIA URBANA PAVIMENTADA, DMT ATÉ 30 KM. AF_01/2026</v>
          </cell>
          <cell r="D7788" t="str">
            <v>UNXKM</v>
          </cell>
          <cell r="E7788">
            <v>0</v>
          </cell>
        </row>
        <row r="7789">
          <cell r="B7789">
            <v>106623</v>
          </cell>
          <cell r="C7789" t="str">
            <v>TRANSPORTE DE EQUIPAMENTO PESADO COM CAVALO MECÂNICO 6X2 COM PRANCHA RETA KG, EM VIA INTERNA (DENTRO DO CANTEIRO) EM LEITO NATURAL. AF_01/2026</v>
          </cell>
          <cell r="D7789" t="str">
            <v>UNXKM</v>
          </cell>
          <cell r="E7789">
            <v>0</v>
          </cell>
        </row>
        <row r="7790">
          <cell r="B7790">
            <v>106624</v>
          </cell>
          <cell r="C7790" t="str">
            <v>TRANSPORTE DE EQUIPAMENTO PESADO COM CAVALO MECÂNICO 6X2 COM PRANCHA RETA KG, EM VIA INTERNA (DENTRO DO CANTEIRO) EM REVESTIMENTO PRIMÁRIO. AF_01/2026</v>
          </cell>
          <cell r="D7790" t="str">
            <v>UNXKM</v>
          </cell>
          <cell r="E7790">
            <v>0</v>
          </cell>
        </row>
        <row r="7791">
          <cell r="B7791">
            <v>106625</v>
          </cell>
          <cell r="C7791" t="str">
            <v>TRANSPORTE DE EQUIPAMENTO PESADO COM CAVALO MECÂNICO 6X2 COM PRANCHA RETA KG, EM VIA INTERNA (DENTRO DO CANTEIRO) PAVIMENTADA. AF_01/2026</v>
          </cell>
          <cell r="D7791" t="str">
            <v>UNXKM</v>
          </cell>
          <cell r="E7791">
            <v>0</v>
          </cell>
        </row>
        <row r="7792">
          <cell r="B7792">
            <v>106619</v>
          </cell>
          <cell r="C7792" t="str">
            <v>TRANSPORTE DE EQUIPAMENTO PESADO COM CAVALO MECÂNICO 6X2 COM PRANCHA RETA KG, EM VIA URBANA EM LEITO NATURAL. AF_01/2026</v>
          </cell>
          <cell r="D7792" t="str">
            <v>UNXKM</v>
          </cell>
          <cell r="E7792">
            <v>0</v>
          </cell>
        </row>
        <row r="7793">
          <cell r="B7793">
            <v>106620</v>
          </cell>
          <cell r="C7793" t="str">
            <v>TRANSPORTE DE EQUIPAMENTO PESADO COM CAVALO MECÂNICO 6X2 COM PRANCHA RETA KG, EM VIA URBANA EM REVESTIMENTO PRIMÁRIO. AF_01/2026</v>
          </cell>
          <cell r="D7793" t="str">
            <v>UNXKM</v>
          </cell>
          <cell r="E7793">
            <v>0</v>
          </cell>
        </row>
        <row r="7794">
          <cell r="B7794">
            <v>106622</v>
          </cell>
          <cell r="C7794" t="str">
            <v>TRANSPORTE DE EQUIPAMENTO PESADO COM CAVALO MECÂNICO 6X2 COM PRANCHA RETA KG, EM VIA URBANA PAVIMENTADA, ADICIONAL PARA DMT EXCEDENTE A 30 KM. AF_01/2026</v>
          </cell>
          <cell r="D7794" t="str">
            <v>UNXKM</v>
          </cell>
          <cell r="E7794">
            <v>0</v>
          </cell>
        </row>
        <row r="7795">
          <cell r="B7795">
            <v>106621</v>
          </cell>
          <cell r="C7795" t="str">
            <v>TRANSPORTE DE EQUIPAMENTO PESADO COM CAVALO MECÂNICO 6X2 COM PRANCHA RETA KG, EM VIA URBANA PAVIMENTADA, DMT ATÉ 30 KM. AF_01/2026</v>
          </cell>
          <cell r="D7795" t="str">
            <v>UNXKM</v>
          </cell>
          <cell r="E7795">
            <v>0</v>
          </cell>
        </row>
        <row r="7796">
          <cell r="B7796">
            <v>103313</v>
          </cell>
          <cell r="C7796" t="str">
            <v>INSTALAÇÃO DE BALIZADOR METÁLICO COM LED, EM ALUMÍNIO COM DIFUSOR EM POLICARBONATO E DIMENSÕES 6,2 CM X30 CM, COM PINTURA ELETROSTÁTICA, SOBRE PISO DE CONCRETO EXISTENTE. AF_11/2021</v>
          </cell>
          <cell r="D7796" t="str">
            <v>UN</v>
          </cell>
          <cell r="E7796">
            <v>0</v>
          </cell>
        </row>
        <row r="7797">
          <cell r="B7797">
            <v>103309</v>
          </cell>
          <cell r="C7797" t="str">
            <v>INSTALAÇÃO DE BALIZADOR METÁLICO, MODELO OLEGÁRIO, EM TUBO DE AÇO GALVANIZADO ESPESSURA 3" E DIMENSÕES 9 CM X 78,5 CM, COM PINTURA ELETROSTÁTICA, SOBRE PISO DE CONCRETO EXISTENTE. AF_11/2021</v>
          </cell>
          <cell r="D7797" t="str">
            <v>UN</v>
          </cell>
          <cell r="E7797">
            <v>0</v>
          </cell>
        </row>
        <row r="7798">
          <cell r="B7798">
            <v>103312</v>
          </cell>
          <cell r="C7798" t="str">
            <v>INSTALAÇÃO DE BALIZADOR METÁLICO, MODELO OLEGÁRIO, EM TUBO DE AÇO GALVANIZADO ESPESSURA 3" E DIMENSÕES 9 CM X 78,5 CM, COM PINTURA ELETROSTÁTICA, SOBRE SOLO. AF_11/2021</v>
          </cell>
          <cell r="D7798" t="str">
            <v>UN</v>
          </cell>
          <cell r="E7798">
            <v>0</v>
          </cell>
        </row>
        <row r="7799">
          <cell r="B7799">
            <v>103296</v>
          </cell>
          <cell r="C7799" t="str">
            <v>INSTALAÇÃO DE BALIZADOR PRÉ-FABRICADO DE CONCRETO, DIMENSÕES 30 CM X 60 CM, SOBRE PISO DE CONCRETO EXISTENTE. AF_11/2021</v>
          </cell>
          <cell r="D7799" t="str">
            <v>UN</v>
          </cell>
          <cell r="E7799">
            <v>0</v>
          </cell>
        </row>
        <row r="7800">
          <cell r="B7800">
            <v>103300</v>
          </cell>
          <cell r="C7800" t="str">
            <v>INSTALAÇÃO DE BALIZADOR PRÉ-FABRICADO DE CONCRETO, DIMENSÕES 30 CM X 60 CM, SOBRE SOLO. AF_11/2021</v>
          </cell>
          <cell r="D7800" t="str">
            <v>UN</v>
          </cell>
          <cell r="E7800">
            <v>0</v>
          </cell>
        </row>
        <row r="7801">
          <cell r="B7801">
            <v>103301</v>
          </cell>
          <cell r="C7801" t="str">
            <v>INSTALAÇÃO DE BANCO CIRCULAR PRÉ-FABRICADO DE CONCRETO, DIMENSÕES 60 CM X 40 CM. AF_11/2021</v>
          </cell>
          <cell r="D7801" t="str">
            <v>UN</v>
          </cell>
          <cell r="E7801">
            <v>0</v>
          </cell>
        </row>
        <row r="7802">
          <cell r="B7802">
            <v>103304</v>
          </cell>
          <cell r="C7802" t="str">
            <v>INSTALAÇÃO DE BANCO METÁLICO COM ENCOSTO, 1,60 M DE COMPRIMENTO, EM TUBO DE AÇO CARBONO COM PINTURA ELETROSTÁTICA, SOBRE PISO DE CONCRETO EXISTENTE. AF_11/2021</v>
          </cell>
          <cell r="D7802" t="str">
            <v>UN</v>
          </cell>
          <cell r="E7802">
            <v>1262.75</v>
          </cell>
          <cell r="F7802">
            <v>0</v>
          </cell>
        </row>
        <row r="7803">
          <cell r="B7803">
            <v>103305</v>
          </cell>
          <cell r="C7803" t="str">
            <v>INSTALAÇÃO DE BANCO METÁLICO SEM ENCOSTO, EM TUBOS E CHAPAS DE AÇO CARBONO, PINTURA POR PROCESSO ELETROSTÁTICO, DIMENSÕES 49 CM X 157 CM X 34 CM, SOBRE PISO DE CONCRETO EXISTENTE. AF_11/2021</v>
          </cell>
          <cell r="D7803" t="str">
            <v>UN</v>
          </cell>
          <cell r="E7803">
            <v>0</v>
          </cell>
        </row>
        <row r="7804">
          <cell r="B7804">
            <v>103294</v>
          </cell>
          <cell r="C7804" t="str">
            <v>INSTALAÇÃO DE BANCO PRÉ-FABRICADO DE CONCRETO COM ENCOSTO, DIMENSÕES 180 CM X 64 CM X 89 CM, SOBRE PISO DE CONCRETO EXISTENTE. AF_11/2021</v>
          </cell>
          <cell r="D7804" t="str">
            <v>UN</v>
          </cell>
          <cell r="E7804">
            <v>0</v>
          </cell>
        </row>
        <row r="7805">
          <cell r="B7805">
            <v>103298</v>
          </cell>
          <cell r="C7805" t="str">
            <v>INSTALAÇÃO DE BANCO PRÉ-FABRICADO DE CONCRETO COM ENCOSTO, DIMENSÕES 180 CM X 64 CM X 89 CM, SOBRE SOLO. AF_11/2021</v>
          </cell>
          <cell r="D7805" t="str">
            <v>UN</v>
          </cell>
          <cell r="E7805">
            <v>0</v>
          </cell>
        </row>
        <row r="7806">
          <cell r="B7806">
            <v>103293</v>
          </cell>
          <cell r="C7806" t="str">
            <v>INSTALAÇÃO DE BANCO PRÉ-FABRICADO DE CONCRETO SEM ENCOSTO, DIMENSÕES 115 CM X 50 CM X 45 CM, SOBRE PISO DE CONCRETO EXISTENTE. AF_11/2021</v>
          </cell>
          <cell r="D7806" t="str">
            <v>UN</v>
          </cell>
          <cell r="E7806">
            <v>0</v>
          </cell>
        </row>
        <row r="7807">
          <cell r="B7807">
            <v>103297</v>
          </cell>
          <cell r="C7807" t="str">
            <v>INSTALAÇÃO DE BANCO PRÉ-FABRICADO DE CONCRETO SEM ENCOSTO, DIMENSÕES 115 CM X 50 CM X 45 CM, SOBRE SOLO. AF_11/2021</v>
          </cell>
          <cell r="D7807" t="str">
            <v>UN</v>
          </cell>
          <cell r="E7807">
            <v>0</v>
          </cell>
        </row>
        <row r="7808">
          <cell r="B7808">
            <v>103311</v>
          </cell>
          <cell r="C7808" t="str">
            <v>INSTALAÇÃO DE BICICLETÁRIO MODELO U INVERTIDO, DIMENSÕES 110 CM X 78 CM EM TUBO CIRCULAR DE AÇO Ø 2'' COM PINTURA ELETROSTÁTICA, FIXADO COM CONCRETO, SOBRE SOLO. AF_11/2021</v>
          </cell>
          <cell r="D7808" t="str">
            <v>UN</v>
          </cell>
          <cell r="E7808">
            <v>0</v>
          </cell>
        </row>
        <row r="7809">
          <cell r="B7809">
            <v>103306</v>
          </cell>
          <cell r="C7809" t="str">
            <v>INSTALAÇÃO DE BICICLETÁRIO MODELO U INVERTIDO, DIMENSÕES 82 CM X 78 CM EM TUBO CIRCULAR DE AÇO Ø 2'' COM PINTURA ELETROSTÁTICA, FIXADO COM CHUMBADOR MECÂNICO, SOBRE PISO DE CONCRETO EXISTENTE. AF_11/2021</v>
          </cell>
          <cell r="D7809" t="str">
            <v>UN</v>
          </cell>
          <cell r="E7809">
            <v>0</v>
          </cell>
        </row>
        <row r="7810">
          <cell r="B7810">
            <v>103308</v>
          </cell>
          <cell r="C7810" t="str">
            <v>INSTALAÇÃO DE BICICLETÁRIO MODELO U INVERTIDO, DIMENSÕES 82 CM X 78 CM EM TUBO CIRCULAR DE AÇO Ø 2'' COM PINTURA ELETROSTÁTICA, FIXADO COM CONCRETO, SOBRE PISO DE CONCRETO EXISTENTE. AF_11/2021</v>
          </cell>
          <cell r="D7810" t="str">
            <v>UN</v>
          </cell>
          <cell r="E7810">
            <v>0</v>
          </cell>
        </row>
        <row r="7811">
          <cell r="B7811">
            <v>103295</v>
          </cell>
          <cell r="C7811" t="str">
            <v>INSTALAÇÃO DE CONJUNTO COM MESA E QUATRO BANCOS PRÉ-FABRICADO DE CONCRETO, DIMENSÕES 90 CM X 95 CM (MESA) E 20 CM X 60 CM (BANCO), SOBRE PISO DE CONCRETO EXISTENTE. AF_11/2021</v>
          </cell>
          <cell r="D7811" t="str">
            <v>UN</v>
          </cell>
          <cell r="E7811">
            <v>0</v>
          </cell>
        </row>
        <row r="7812">
          <cell r="B7812">
            <v>103299</v>
          </cell>
          <cell r="C7812" t="str">
            <v>INSTALAÇÃO DE CONJUNTO COM MESA E QUATRO BANCOS PRÉ-FABRICADO DE CONCRETO, DIMENSÕES 90 CM X 95 CM (MESA) E 20 CM X 60 CM (BANCO), SOBRE SOLO. AF_11/2021</v>
          </cell>
          <cell r="D7812" t="str">
            <v>UN</v>
          </cell>
          <cell r="E7812">
            <v>0</v>
          </cell>
        </row>
        <row r="7813">
          <cell r="B7813">
            <v>103302</v>
          </cell>
          <cell r="C7813" t="str">
            <v>INSTALAÇÃO DE FLOREIRA CIRCULAR PRÉ-FABRICADO DE CONCRETO, DIMENSÕES 60 CM X 40 CM. AF_11/2021</v>
          </cell>
          <cell r="D7813" t="str">
            <v>UN</v>
          </cell>
          <cell r="E7813">
            <v>0</v>
          </cell>
        </row>
        <row r="7814">
          <cell r="B7814">
            <v>103307</v>
          </cell>
          <cell r="C7814" t="str">
            <v>INSTALAÇÃO DE LIXEIRA METÁLICA DUPLA, CAPACIDADE DE 60 L, EM TUBO DE AÇO CARBONO E CESTOS EM CHAPA DE AÇO COM PINTURA ELETROSTÁTICA, SOBRE PISO DE CONCRETO EXISTENTE. AF_11/2021</v>
          </cell>
          <cell r="D7814" t="str">
            <v>UN</v>
          </cell>
          <cell r="E7814">
            <v>1366.88</v>
          </cell>
          <cell r="F7814">
            <v>0</v>
          </cell>
        </row>
        <row r="7815">
          <cell r="B7815">
            <v>103310</v>
          </cell>
          <cell r="C7815" t="str">
            <v>INSTALAÇÃO DE LIXEIRA METÁLICA DUPLA, CAPACIDADE DE 60 L, EM TUBO DE AÇO CARBONO E CESTOS EM CHAPA DE AÇO COM PINTURA ELETROSTÁTICA, SOBRE SOLO. AF_11/2021</v>
          </cell>
          <cell r="D7815" t="str">
            <v>UN</v>
          </cell>
          <cell r="E7815">
            <v>1298.6199999999999</v>
          </cell>
          <cell r="F7815">
            <v>0</v>
          </cell>
        </row>
        <row r="7816">
          <cell r="B7816">
            <v>103303</v>
          </cell>
          <cell r="C7816" t="str">
            <v>INSTALAÇÃO DE LIXEIRA PRÉ-FABRICADA DE CONCRETO, VOLUME MÍNIMO DE 120 L. AF_11/2021</v>
          </cell>
          <cell r="D7816" t="str">
            <v>UN</v>
          </cell>
          <cell r="E7816">
            <v>0</v>
          </cell>
        </row>
        <row r="7817">
          <cell r="B7817">
            <v>103314</v>
          </cell>
          <cell r="C7817" t="str">
            <v>INSTALAÇÃO DE PERGOLADO DE MADEIRA, EM MAÇARANDUBA, ANGELIM OU EQUIVALENTE DA REGIÃO, FIXADO COM CONCRETO SOBRE PISO DE CONCRETO EXISTENTE. AF_11/2021</v>
          </cell>
          <cell r="D7817" t="str">
            <v>M2</v>
          </cell>
          <cell r="E7817">
            <v>328.39</v>
          </cell>
          <cell r="F7817">
            <v>0</v>
          </cell>
        </row>
        <row r="7818">
          <cell r="B7818">
            <v>103315</v>
          </cell>
          <cell r="C7818" t="str">
            <v>INSTALAÇÃO DE PERGOLADO DE MADEIRA, EM MAÇARANDUBA, ANGELIM OU EQUIVALENTE DA REGIÃO, FIXADO COM CONCRETO SOBRE SOLO. AF_11/2021</v>
          </cell>
          <cell r="D7818" t="str">
            <v>M2</v>
          </cell>
          <cell r="E7818">
            <v>317.16000000000003</v>
          </cell>
          <cell r="F7818">
            <v>0</v>
          </cell>
        </row>
        <row r="7819">
          <cell r="B7819">
            <v>105188</v>
          </cell>
          <cell r="C7819" t="str">
            <v>REVESTIMENTO DECORATIVO MONOCAMADA EXECUTADO COM EQUIPAMENTO DE PROJEÇÃO EM FACHADA DE UM EDIFÍCIO DE ALVENARIA ESTRUTURAL E ACABAMENTO CHAPISCADO/FLOCADO. AF_03/2024</v>
          </cell>
          <cell r="D7819" t="str">
            <v>M2</v>
          </cell>
          <cell r="E7819">
            <v>152.69</v>
          </cell>
          <cell r="F7819">
            <v>0</v>
          </cell>
        </row>
        <row r="7820">
          <cell r="B7820">
            <v>87841</v>
          </cell>
          <cell r="C7820" t="str">
            <v>REVESTIMENTO DECORATIVO MONOCAMADA EXECUTADO COM EQUIPAMENTO DE PROJEÇÃO EM FACHADA DE UM EDIFÍCIO DE ALVENARIA ESTRUTURAL E ACABAMENTO RASPADO. AF_03/2024</v>
          </cell>
          <cell r="D7820" t="str">
            <v>M2</v>
          </cell>
          <cell r="E7820">
            <v>138.79</v>
          </cell>
          <cell r="F7820">
            <v>0</v>
          </cell>
        </row>
        <row r="7821">
          <cell r="B7821">
            <v>87853</v>
          </cell>
          <cell r="C7821" t="str">
            <v>REVESTIMENTO DECORATIVO MONOCAMADA EXECUTADO COM EQUIPAMENTO DE PROJEÇÃO EM FACHADA DE UM EDIFÍCIO DE ALVENARIA ESTRUTURAL E ACABAMENTO TRAVERTINO. AF_03/2024</v>
          </cell>
          <cell r="D7821" t="str">
            <v>M2</v>
          </cell>
          <cell r="E7821">
            <v>155.4</v>
          </cell>
          <cell r="F7821">
            <v>0</v>
          </cell>
        </row>
        <row r="7822">
          <cell r="B7822">
            <v>105187</v>
          </cell>
          <cell r="C7822" t="str">
            <v>REVESTIMENTO DECORATIVO MONOCAMADA EXECUTADO COM EQUIPAMENTO DE PROJEÇÃO EM FACHADA DE UM EDIFÍCIO DE ESTRUTURA CONVENCIONAL E ACABAMENTO CHAPISCADO/FLOCADO. AF_03/2024</v>
          </cell>
          <cell r="D7822" t="str">
            <v>M2</v>
          </cell>
          <cell r="E7822">
            <v>207.79</v>
          </cell>
          <cell r="F7822">
            <v>0</v>
          </cell>
        </row>
        <row r="7823">
          <cell r="B7823">
            <v>87840</v>
          </cell>
          <cell r="C7823" t="str">
            <v>REVESTIMENTO DECORATIVO MONOCAMADA EXECUTADO COM EQUIPAMENTO DE PROJEÇÃO EM FACHADA DE UM EDIFÍCIO DE ESTRUTURA CONVENCIONAL E ACABAMENTO RASPADO. AF_03/2024</v>
          </cell>
          <cell r="D7823" t="str">
            <v>M2</v>
          </cell>
          <cell r="E7823">
            <v>193.88</v>
          </cell>
          <cell r="F7823">
            <v>0</v>
          </cell>
        </row>
        <row r="7824">
          <cell r="B7824">
            <v>87852</v>
          </cell>
          <cell r="C7824" t="str">
            <v>REVESTIMENTO DECORATIVO MONOCAMADA EXECUTADO COM EQUIPAMENTO DE PROJEÇÃO EM FACHADA DE UM EDIFÍCIO DE ESTRUTURA CONVENCIONAL E ACABAMENTO TRAVERTINO. AF_03/2024</v>
          </cell>
          <cell r="D7824" t="str">
            <v>M2</v>
          </cell>
          <cell r="E7824">
            <v>210.5</v>
          </cell>
          <cell r="F7824">
            <v>0</v>
          </cell>
        </row>
        <row r="7825">
          <cell r="B7825">
            <v>105186</v>
          </cell>
          <cell r="C7825" t="str">
            <v>REVESTIMENTO DECORATIVO MONOCAMADA EXECUTADO MANUALMENTE EM FACHADA DE UM EDIFÍCIO DE ALVENARIA ESTRUTURAL E ACABAMENTO CHAPISCADO/FLOCADO. AF_03/2024</v>
          </cell>
          <cell r="D7825" t="str">
            <v>M2</v>
          </cell>
          <cell r="E7825">
            <v>160.69999999999999</v>
          </cell>
          <cell r="F7825">
            <v>0</v>
          </cell>
        </row>
        <row r="7826">
          <cell r="B7826">
            <v>87839</v>
          </cell>
          <cell r="C7826" t="str">
            <v>REVESTIMENTO DECORATIVO MONOCAMADA EXECUTADO MANUALMENTE EM FACHADA DE UM EDIFÍCIO DE ALVENARIA ESTRUTURAL E ACABAMENTO RASPADO. AF_03/2024</v>
          </cell>
          <cell r="D7826" t="str">
            <v>M2</v>
          </cell>
          <cell r="E7826">
            <v>146.99</v>
          </cell>
          <cell r="F7826">
            <v>0</v>
          </cell>
        </row>
        <row r="7827">
          <cell r="B7827">
            <v>87851</v>
          </cell>
          <cell r="C7827" t="str">
            <v>REVESTIMENTO DECORATIVO MONOCAMADA EXECUTADO MANUALMENTE EM FACHADA DE UM EDIFÍCIO DE ALVENARIA ESTRUTURAL E ACABAMENTO TRAVERTINO. AF_03/2024</v>
          </cell>
          <cell r="D7827" t="str">
            <v>M2</v>
          </cell>
          <cell r="E7827">
            <v>164.34</v>
          </cell>
          <cell r="F7827">
            <v>0</v>
          </cell>
        </row>
        <row r="7828">
          <cell r="B7828">
            <v>105185</v>
          </cell>
          <cell r="C7828" t="str">
            <v>REVESTIMENTO DECORATIVO MONOCAMADA EXECUTADO MANUALMENTE EM FACHADA DE UM EDIFÍCIO DE ESTRUTURA CONVENCIONAL E ACABAMENTO CHAPISCADO/FLOCADO. AF_03/2024</v>
          </cell>
          <cell r="D7828" t="str">
            <v>M2</v>
          </cell>
          <cell r="E7828">
            <v>216.15</v>
          </cell>
          <cell r="F7828">
            <v>0</v>
          </cell>
        </row>
        <row r="7829">
          <cell r="B7829">
            <v>87838</v>
          </cell>
          <cell r="C7829" t="str">
            <v>REVESTIMENTO DECORATIVO MONOCAMADA EXECUTADO MANUALMENTE EM FACHADA DE UM EDIFÍCIO DE ESTRUTURA CONVENCIONAL E ACABAMENTO RASPADO. AF_03/2024</v>
          </cell>
          <cell r="D7829" t="str">
            <v>M2</v>
          </cell>
          <cell r="E7829">
            <v>202.51</v>
          </cell>
          <cell r="F7829">
            <v>0</v>
          </cell>
        </row>
        <row r="7830">
          <cell r="B7830">
            <v>87850</v>
          </cell>
          <cell r="C7830" t="str">
            <v>REVESTIMENTO DECORATIVO MONOCAMADA EXECUTADO MANUALMENTE EM FACHADA DE UM EDIFÍCIO DE ESTRUTURA CONVENCIONAL E ACABAMENTO TRAVERTINO. AF_03/2024</v>
          </cell>
          <cell r="D7830" t="str">
            <v>M2</v>
          </cell>
          <cell r="E7830">
            <v>219.86</v>
          </cell>
          <cell r="F7830">
            <v>0</v>
          </cell>
        </row>
        <row r="7831">
          <cell r="B7831">
            <v>105110</v>
          </cell>
          <cell r="C7831" t="str">
            <v>ASCENSÃO DE GRUA ASCENSIONAL. AF_03/2024</v>
          </cell>
          <cell r="D7831" t="str">
            <v>M</v>
          </cell>
          <cell r="E7831">
            <v>261.42</v>
          </cell>
          <cell r="F7831">
            <v>0</v>
          </cell>
        </row>
        <row r="7832">
          <cell r="B7832">
            <v>105105</v>
          </cell>
          <cell r="C7832" t="str">
            <v>ASCENSÃO DE MINI GRUA. AF_03/2024</v>
          </cell>
          <cell r="D7832" t="str">
            <v>M</v>
          </cell>
          <cell r="E7832">
            <v>85.21</v>
          </cell>
          <cell r="F7832">
            <v>0</v>
          </cell>
        </row>
        <row r="7833">
          <cell r="B7833">
            <v>105103</v>
          </cell>
          <cell r="C7833" t="str">
            <v>ASCENSÃO E DESCIDA DE ELEVADOR DE CREMALHEIRA. AF_03/2024</v>
          </cell>
          <cell r="D7833" t="str">
            <v>M</v>
          </cell>
          <cell r="E7833">
            <v>121.34</v>
          </cell>
          <cell r="F7833">
            <v>0</v>
          </cell>
        </row>
        <row r="7834">
          <cell r="B7834">
            <v>105112</v>
          </cell>
          <cell r="C7834" t="str">
            <v>ASCENSÃO E DESCIDA DE GRUA FIXA. AF_03/2024</v>
          </cell>
          <cell r="D7834" t="str">
            <v>M</v>
          </cell>
          <cell r="E7834">
            <v>218.3</v>
          </cell>
          <cell r="F7834">
            <v>0</v>
          </cell>
        </row>
        <row r="7835">
          <cell r="B7835">
            <v>105109</v>
          </cell>
          <cell r="C7835" t="str">
            <v>MONTAGEM E DESMONTAGEM DE GRUA ASCENSIONAL, UTILIZAÇÃO DE GUINDASTE AUTOPROPELIDO 90T. AF_03/2024</v>
          </cell>
          <cell r="D7835" t="str">
            <v>UN</v>
          </cell>
          <cell r="E7835">
            <v>0</v>
          </cell>
        </row>
        <row r="7836">
          <cell r="B7836">
            <v>105108</v>
          </cell>
          <cell r="C7836" t="str">
            <v>MONTAGEM E DESMONTAGEM DE GRUA ASCENSIONAL, UTILIZAÇÃO DE GUINDASTE DERRICK. AF_03/2024</v>
          </cell>
          <cell r="D7836" t="str">
            <v>UN</v>
          </cell>
          <cell r="E7836">
            <v>0</v>
          </cell>
        </row>
        <row r="7837">
          <cell r="B7837">
            <v>105104</v>
          </cell>
          <cell r="C7837" t="str">
            <v>MONTAGEM E DESMONTAGEM DE MINI GRUA. AF_03/2024</v>
          </cell>
          <cell r="D7837" t="str">
            <v>UN</v>
          </cell>
          <cell r="E7837">
            <v>5376.14</v>
          </cell>
          <cell r="F7837">
            <v>0</v>
          </cell>
        </row>
        <row r="7838">
          <cell r="B7838">
            <v>105107</v>
          </cell>
          <cell r="C7838" t="str">
            <v>MONTAGEM E DESMONTAGEM DE TRECHO INICIAL DE ELEVADOR DE CREMALHEIRA, CABINE DUPLA - EXCLUSO FUNDAÇÕES. AF_03/2024</v>
          </cell>
          <cell r="D7838" t="str">
            <v>UN</v>
          </cell>
          <cell r="E7838">
            <v>4078.76</v>
          </cell>
          <cell r="F7838">
            <v>0</v>
          </cell>
        </row>
        <row r="7839">
          <cell r="B7839">
            <v>105106</v>
          </cell>
          <cell r="C7839" t="str">
            <v>MONTAGEM E DESMONTAGEM DE TRECHO INICIAL DE ELEVADOR DE CREMALHEIRA, CABINE SIMPLES - EXCLUSO FUNDAÇÕES. AF_03/2024</v>
          </cell>
          <cell r="D7839" t="str">
            <v>UN</v>
          </cell>
          <cell r="E7839">
            <v>2762.28</v>
          </cell>
          <cell r="F7839">
            <v>0</v>
          </cell>
        </row>
        <row r="7840">
          <cell r="B7840">
            <v>105111</v>
          </cell>
          <cell r="C7840" t="str">
            <v>MONTAGEM E DESMONTAGEM DO TRECHO INICIAL DE GRUA FIXA (ALTURA LIVRE) - EXCLUSO FUNDAÇÕES. AF_03/2024</v>
          </cell>
          <cell r="D7840" t="str">
            <v>UN</v>
          </cell>
          <cell r="E7840">
            <v>19843.3</v>
          </cell>
          <cell r="F7840">
            <v>0</v>
          </cell>
        </row>
        <row r="7841">
          <cell r="B7841">
            <v>98520</v>
          </cell>
          <cell r="C7841" t="str">
            <v>APLICAÇÃO DE ADUBO EM SOLO. AF_07/2024</v>
          </cell>
          <cell r="D7841" t="str">
            <v>M2</v>
          </cell>
          <cell r="E7841">
            <v>6.98</v>
          </cell>
          <cell r="F7841">
            <v>0</v>
          </cell>
        </row>
        <row r="7842">
          <cell r="B7842">
            <v>98521</v>
          </cell>
          <cell r="C7842" t="str">
            <v>APLICAÇÃO DE CALCÁRIO PARA CORREÇÃO DO PH DO SOLO. AF_07/2024</v>
          </cell>
          <cell r="D7842" t="str">
            <v>M2</v>
          </cell>
          <cell r="E7842">
            <v>0.46</v>
          </cell>
          <cell r="F7842">
            <v>0</v>
          </cell>
        </row>
        <row r="7843">
          <cell r="B7843">
            <v>105521</v>
          </cell>
          <cell r="C7843" t="str">
            <v>ESPALHAMENTO DE TERRA VEGETAL PARA O PLANTIO. AF_07/2024</v>
          </cell>
          <cell r="D7843" t="str">
            <v>M2</v>
          </cell>
          <cell r="E7843">
            <v>4.8099999999999996</v>
          </cell>
          <cell r="F7843">
            <v>0</v>
          </cell>
        </row>
        <row r="7844">
          <cell r="B7844">
            <v>98509</v>
          </cell>
          <cell r="C7844" t="str">
            <v>PLANTIO DE ARBUSTO OU CERCA VIVA. AF_07/2024</v>
          </cell>
          <cell r="D7844" t="str">
            <v>UN</v>
          </cell>
          <cell r="E7844">
            <v>49.06</v>
          </cell>
          <cell r="F7844">
            <v>0</v>
          </cell>
        </row>
        <row r="7845">
          <cell r="B7845">
            <v>98507</v>
          </cell>
          <cell r="C7845" t="str">
            <v>PLANTIO DE ESPÉCIE VEGETAL, TIPO COMIGO-NINGUÉM-PODE OU EQUIVALENTE, COM ALTURA DE MUDA MAIOR QUE 0,50 M E MENOR OU IGUAL A 1,00 M. AF_07/2024</v>
          </cell>
          <cell r="D7845" t="str">
            <v>UN</v>
          </cell>
          <cell r="E7845">
            <v>0</v>
          </cell>
        </row>
        <row r="7846">
          <cell r="B7846">
            <v>98508</v>
          </cell>
          <cell r="C7846" t="str">
            <v>PLANTIO DE ESPÉCIE VEGETAL, TIPO COMIGO-NINGUÉM-PODE OU EQUIVALENTE, COM ALTURA DE MUDA MAIOR QUE 1,00 M. AF_07/2024</v>
          </cell>
          <cell r="D7846" t="str">
            <v>UN</v>
          </cell>
          <cell r="E7846">
            <v>0</v>
          </cell>
        </row>
        <row r="7847">
          <cell r="B7847">
            <v>98506</v>
          </cell>
          <cell r="C7847" t="str">
            <v>PLANTIO DE ESPÉCIE VEGETAL, TIPO COMIGO-NINGUÉM-PODE OU EQUIVALENTE, COM ALTURA DE MUDA MENOR OU IGUAL A 0,50 M. AF_07/2024</v>
          </cell>
          <cell r="D7847" t="str">
            <v>UN</v>
          </cell>
          <cell r="E7847">
            <v>0</v>
          </cell>
        </row>
        <row r="7848">
          <cell r="B7848">
            <v>98505</v>
          </cell>
          <cell r="C7848" t="str">
            <v>PLANTIO DE FORRAÇÃO. AF_07/2024</v>
          </cell>
          <cell r="D7848" t="str">
            <v>M2</v>
          </cell>
          <cell r="E7848">
            <v>75.53</v>
          </cell>
          <cell r="F7848">
            <v>0</v>
          </cell>
        </row>
        <row r="7849">
          <cell r="B7849">
            <v>98504</v>
          </cell>
          <cell r="C7849" t="str">
            <v>PLANTIO DE GRAMA BATATAIS EM PLACAS. AF_07/2024</v>
          </cell>
          <cell r="D7849" t="str">
            <v>M2</v>
          </cell>
          <cell r="E7849">
            <v>18.05</v>
          </cell>
          <cell r="F7849">
            <v>0</v>
          </cell>
        </row>
        <row r="7850">
          <cell r="B7850">
            <v>98503</v>
          </cell>
          <cell r="C7850" t="str">
            <v>PLANTIO DE GRAMA EM PAVIMENTO CONCREGRAMA. AF_07/2024</v>
          </cell>
          <cell r="D7850" t="str">
            <v>M2</v>
          </cell>
          <cell r="E7850">
            <v>27.41</v>
          </cell>
          <cell r="F7850">
            <v>0</v>
          </cell>
        </row>
        <row r="7851">
          <cell r="B7851">
            <v>103946</v>
          </cell>
          <cell r="C7851" t="str">
            <v>PLANTIO DE GRAMA ESMERALDA OU SÃO CARLOS OU CURITIBANA, EM PLACAS. AF_07/2024</v>
          </cell>
          <cell r="D7851" t="str">
            <v>M2</v>
          </cell>
          <cell r="E7851">
            <v>23.2</v>
          </cell>
          <cell r="F7851">
            <v>0</v>
          </cell>
        </row>
        <row r="7852">
          <cell r="B7852">
            <v>98517</v>
          </cell>
          <cell r="C7852" t="str">
            <v>PLANTIO DE PALMEIRA COM ALTURA DE MUDA MAIOR QUE 2,00 M E MENOR OU IGUAL A 4,00 M. AF_07/2024</v>
          </cell>
          <cell r="D7852" t="str">
            <v>UN</v>
          </cell>
          <cell r="E7852">
            <v>0</v>
          </cell>
        </row>
        <row r="7853">
          <cell r="B7853">
            <v>98518</v>
          </cell>
          <cell r="C7853" t="str">
            <v>PLANTIO DE PALMEIRA COM ALTURA DE MUDA MAIOR QUE 4,00 M . AF_07/2024</v>
          </cell>
          <cell r="D7853" t="str">
            <v>UN</v>
          </cell>
          <cell r="E7853">
            <v>0</v>
          </cell>
        </row>
        <row r="7854">
          <cell r="B7854">
            <v>98516</v>
          </cell>
          <cell r="C7854" t="str">
            <v>PLANTIO DE PALMEIRA COM ALTURA DE MUDA MENOR OU IGUAL A 2,00 M . AF_07/2024</v>
          </cell>
          <cell r="D7854" t="str">
            <v>UN</v>
          </cell>
          <cell r="E7854">
            <v>356.93</v>
          </cell>
          <cell r="F7854">
            <v>0</v>
          </cell>
        </row>
        <row r="7855">
          <cell r="B7855">
            <v>98514</v>
          </cell>
          <cell r="C7855" t="str">
            <v>PLANTIO DE ÁRVORE FRUTÍFERA COM ALTURA DE MUDA MAIOR QUE 2,00 M E MENOR OU IGUAL A 4,00 M. AF_07/2024</v>
          </cell>
          <cell r="D7855" t="str">
            <v>UN</v>
          </cell>
          <cell r="E7855">
            <v>0</v>
          </cell>
        </row>
        <row r="7856">
          <cell r="B7856">
            <v>98515</v>
          </cell>
          <cell r="C7856" t="str">
            <v>PLANTIO DE ÁRVORE FRUTÍFERA COM ALTURA DE MUDA MAIOR QUE 4,00 M. AF_07/2024</v>
          </cell>
          <cell r="D7856" t="str">
            <v>UN</v>
          </cell>
          <cell r="E7856">
            <v>0</v>
          </cell>
        </row>
        <row r="7857">
          <cell r="B7857">
            <v>98513</v>
          </cell>
          <cell r="C7857" t="str">
            <v>PLANTIO DE ÁRVORE FRUTÍFERA COM ALTURA DE MUDA MENOR OU IGUAL A 2,00 M. AF_07/2024</v>
          </cell>
          <cell r="D7857" t="str">
            <v>UN</v>
          </cell>
          <cell r="E7857">
            <v>0</v>
          </cell>
        </row>
        <row r="7858">
          <cell r="B7858">
            <v>98511</v>
          </cell>
          <cell r="C7858" t="str">
            <v>PLANTIO DE ÁRVORE ORNAMENTAL COM ALTURA DE MUDA MAIOR QUE 2,00 M E MENOR OU IGUAL A 4,00 M . AF_07/2024</v>
          </cell>
          <cell r="D7858" t="str">
            <v>UN</v>
          </cell>
          <cell r="E7858">
            <v>160.86000000000001</v>
          </cell>
          <cell r="F7858">
            <v>0</v>
          </cell>
        </row>
        <row r="7859">
          <cell r="B7859">
            <v>98512</v>
          </cell>
          <cell r="C7859" t="str">
            <v>PLANTIO DE ÁRVORE ORNAMENTAL COM ALTURA DE MUDA MAIOR QUE 4,00 M. AF_07/2024</v>
          </cell>
          <cell r="D7859" t="str">
            <v>UN</v>
          </cell>
          <cell r="E7859">
            <v>0</v>
          </cell>
        </row>
        <row r="7860">
          <cell r="B7860">
            <v>98510</v>
          </cell>
          <cell r="C7860" t="str">
            <v>PLANTIO DE ÁRVORE ORNAMENTAL COM ALTURA DE MUDA MENOR OU IGUAL A 2,00 M . AF_07/2024</v>
          </cell>
          <cell r="D7860" t="str">
            <v>UN</v>
          </cell>
          <cell r="E7860">
            <v>95.95</v>
          </cell>
          <cell r="F7860">
            <v>0</v>
          </cell>
        </row>
        <row r="7861">
          <cell r="B7861">
            <v>98519</v>
          </cell>
          <cell r="C7861" t="str">
            <v>REVOLVIMENTO E LIMPEZA MANUAL DE SOLO. AF_07/2024</v>
          </cell>
          <cell r="D7861" t="str">
            <v>M2</v>
          </cell>
          <cell r="E7861">
            <v>5.26</v>
          </cell>
          <cell r="F7861">
            <v>0</v>
          </cell>
        </row>
        <row r="7862">
          <cell r="B7862">
            <v>91599</v>
          </cell>
          <cell r="C7862" t="str">
            <v>ARMAÇÃO DO SISTEMA DE PAREDES DE CONCRETO, EXECUTADA COMO ARMADURA NEGATIVA DE LAJES, TELA L-159. AF_12/2024</v>
          </cell>
          <cell r="D7862" t="str">
            <v>KG</v>
          </cell>
          <cell r="E7862">
            <v>7.6</v>
          </cell>
          <cell r="F7862">
            <v>0</v>
          </cell>
        </row>
        <row r="7863">
          <cell r="B7863">
            <v>100065</v>
          </cell>
          <cell r="C7863" t="str">
            <v>ARMAÇÃO DO SISTEMA DE PAREDES DE CONCRETO, EXECUTADA COMO ARMADURA NEGATIVA DE LAJES, TELA L-196. AF_12/2024</v>
          </cell>
          <cell r="D7863" t="str">
            <v>KG</v>
          </cell>
          <cell r="E7863">
            <v>0</v>
          </cell>
        </row>
        <row r="7864">
          <cell r="B7864">
            <v>100069</v>
          </cell>
          <cell r="C7864" t="str">
            <v>ARMAÇÃO DO SISTEMA DE PAREDES DE CONCRETO, EXECUTADA COMO ARMADURA NEGATIVA DE LAJES, TELA T-138. AF_12/2024</v>
          </cell>
          <cell r="D7864" t="str">
            <v>KG</v>
          </cell>
          <cell r="E7864">
            <v>0</v>
          </cell>
        </row>
        <row r="7865">
          <cell r="B7865">
            <v>100063</v>
          </cell>
          <cell r="C7865" t="str">
            <v>ARMAÇÃO DO SISTEMA DE PAREDES DE CONCRETO, EXECUTADA COMO ARMADURA NEGATIVA DE LAJES, TELA T-159. AF_12/2024</v>
          </cell>
          <cell r="D7865" t="str">
            <v>KG</v>
          </cell>
          <cell r="E7865">
            <v>0</v>
          </cell>
        </row>
        <row r="7866">
          <cell r="B7866">
            <v>91597</v>
          </cell>
          <cell r="C7866" t="str">
            <v>ARMAÇÃO DO SISTEMA DE PAREDES DE CONCRETO, EXECUTADA COMO ARMADURA NEGATIVA DE LAJES, TELA T-196. AF_12/2024</v>
          </cell>
          <cell r="D7866" t="str">
            <v>KG</v>
          </cell>
          <cell r="E7866">
            <v>7.22</v>
          </cell>
          <cell r="F7866">
            <v>0</v>
          </cell>
        </row>
        <row r="7867">
          <cell r="B7867">
            <v>91598</v>
          </cell>
          <cell r="C7867" t="str">
            <v>ARMAÇÃO DO SISTEMA DE PAREDES DE CONCRETO, EXECUTADA COMO ARMADURA POSITIVA DE LAJES, TELA Q-113. AF_12/2024</v>
          </cell>
          <cell r="D7867" t="str">
            <v>KG</v>
          </cell>
          <cell r="E7867">
            <v>9.2799999999999994</v>
          </cell>
          <cell r="F7867">
            <v>0</v>
          </cell>
        </row>
        <row r="7868">
          <cell r="B7868">
            <v>91596</v>
          </cell>
          <cell r="C7868" t="str">
            <v>ARMAÇÃO DO SISTEMA DE PAREDES DE CONCRETO, EXECUTADA COMO ARMADURA POSITIVA DE LAJES, TELA Q-138. AF_12/2024</v>
          </cell>
          <cell r="D7868" t="str">
            <v>KG</v>
          </cell>
          <cell r="E7868">
            <v>9.52</v>
          </cell>
          <cell r="F7868">
            <v>0</v>
          </cell>
        </row>
        <row r="7869">
          <cell r="B7869">
            <v>100064</v>
          </cell>
          <cell r="C7869" t="str">
            <v>ARMAÇÃO DO SISTEMA DE PAREDES DE CONCRETO, EXECUTADA COMO ARMADURA POSITIVA DE LAJES, TELA Q-159. AF_12/2024</v>
          </cell>
          <cell r="D7869" t="str">
            <v>KG</v>
          </cell>
          <cell r="E7869">
            <v>9.44</v>
          </cell>
          <cell r="F7869">
            <v>0</v>
          </cell>
        </row>
        <row r="7870">
          <cell r="B7870">
            <v>100066</v>
          </cell>
          <cell r="C7870" t="str">
            <v>ARMAÇÃO DO SISTEMA DE PAREDES DE CONCRETO, EXECUTADA COMO ARMADURA POSITIVA DE LAJES, TELA Q-196. AF_12/2024</v>
          </cell>
          <cell r="D7870" t="str">
            <v>KG</v>
          </cell>
          <cell r="E7870">
            <v>9.43</v>
          </cell>
          <cell r="F7870">
            <v>0</v>
          </cell>
        </row>
        <row r="7871">
          <cell r="B7871">
            <v>91603</v>
          </cell>
          <cell r="C7871" t="str">
            <v>ARMAÇÃO DO SISTEMA DE PAREDES DE CONCRETO, EXECUTADA COMO REFORÇO, VERGALHÃO DE 10,0 MM DE DIÂMETRO. AF_12/2024</v>
          </cell>
          <cell r="D7871" t="str">
            <v>KG</v>
          </cell>
          <cell r="E7871">
            <v>8.41</v>
          </cell>
          <cell r="F7871">
            <v>0</v>
          </cell>
        </row>
        <row r="7872">
          <cell r="B7872">
            <v>100068</v>
          </cell>
          <cell r="C7872" t="str">
            <v>ARMAÇÃO DO SISTEMA DE PAREDES DE CONCRETO, EXECUTADA COMO REFORÇO, VERGALHÃO DE 12,5 MM DE DIÂMETRO. AF_12/2024</v>
          </cell>
          <cell r="D7872" t="str">
            <v>KG</v>
          </cell>
          <cell r="E7872">
            <v>7.2</v>
          </cell>
          <cell r="F7872">
            <v>0</v>
          </cell>
        </row>
        <row r="7873">
          <cell r="B7873">
            <v>100067</v>
          </cell>
          <cell r="C7873" t="str">
            <v>ARMAÇÃO DO SISTEMA DE PAREDES DE CONCRETO, EXECUTADA COMO REFORÇO, VERGALHÃO DE 5,0 MM DE DIÂMETRO. AF_12/2024</v>
          </cell>
          <cell r="D7873" t="str">
            <v>KG</v>
          </cell>
          <cell r="E7873">
            <v>10.96</v>
          </cell>
          <cell r="F7873">
            <v>0</v>
          </cell>
        </row>
        <row r="7874">
          <cell r="B7874">
            <v>91601</v>
          </cell>
          <cell r="C7874" t="str">
            <v>ARMAÇÃO DO SISTEMA DE PAREDES DE CONCRETO, EXECUTADA COMO REFORÇO, VERGALHÃO DE 6,3 MM DE DIÂMETRO. AF_12/2024</v>
          </cell>
          <cell r="D7874" t="str">
            <v>KG</v>
          </cell>
          <cell r="E7874">
            <v>10.88</v>
          </cell>
          <cell r="F7874">
            <v>0</v>
          </cell>
        </row>
        <row r="7875">
          <cell r="B7875">
            <v>91602</v>
          </cell>
          <cell r="C7875" t="str">
            <v>ARMAÇÃO DO SISTEMA DE PAREDES DE CONCRETO, EXECUTADA COMO REFORÇO, VERGALHÃO DE 8,0 MM DE DIÂMETRO. AF_12/2024</v>
          </cell>
          <cell r="D7875" t="str">
            <v>KG</v>
          </cell>
          <cell r="E7875">
            <v>9.7200000000000006</v>
          </cell>
          <cell r="F7875">
            <v>0</v>
          </cell>
        </row>
        <row r="7876">
          <cell r="B7876">
            <v>91593</v>
          </cell>
          <cell r="C7876" t="str">
            <v>ARMAÇÃO DO SISTEMA DE PAREDES DE CONCRETO, EXECUTADA EM PAREDES DE EDIFICAÇÕES MULTIFAMILIARES, TELA Q-138. AF_12/2024_PS</v>
          </cell>
          <cell r="D7876" t="str">
            <v>KG</v>
          </cell>
          <cell r="E7876">
            <v>9.61</v>
          </cell>
          <cell r="F7876">
            <v>0</v>
          </cell>
        </row>
        <row r="7877">
          <cell r="B7877">
            <v>105814</v>
          </cell>
          <cell r="C7877" t="str">
            <v>ARMAÇÃO DO SISTEMA DE PAREDES DE CONCRETO, EXECUTADA EM PAREDES DE EDIFICAÇÕES MULTIFAMILIARES, TELA Q-283. AF_12/2024_PS</v>
          </cell>
          <cell r="D7877" t="str">
            <v>KG</v>
          </cell>
          <cell r="E7877">
            <v>9.24</v>
          </cell>
          <cell r="F7877">
            <v>0</v>
          </cell>
        </row>
        <row r="7878">
          <cell r="B7878">
            <v>91594</v>
          </cell>
          <cell r="C7878" t="str">
            <v>ARMAÇÃO DO SISTEMA DE PAREDES DE CONCRETO, EXECUTADA EM PAREDES DE EDIFICAÇÕES UNIFAMILIARES OU MULTIFAMILIARES, TELA Q-92. AF_12/2024_PS</v>
          </cell>
          <cell r="D7878" t="str">
            <v>KG</v>
          </cell>
          <cell r="E7878">
            <v>9.6199999999999992</v>
          </cell>
          <cell r="F7878">
            <v>0</v>
          </cell>
        </row>
        <row r="7879">
          <cell r="B7879">
            <v>91595</v>
          </cell>
          <cell r="C7879" t="str">
            <v>ARMAÇÃO DO SISTEMA DE PAREDES DE CONCRETO, EXECUTADA EM PAREDES DE EDIFICAÇÕES UNIFAMILIARES, TELA Q-61. AF_12/2024_PS</v>
          </cell>
          <cell r="D7879" t="str">
            <v>KG</v>
          </cell>
          <cell r="E7879">
            <v>9.9600000000000009</v>
          </cell>
          <cell r="F7879">
            <v>0</v>
          </cell>
        </row>
        <row r="7880">
          <cell r="B7880">
            <v>105815</v>
          </cell>
          <cell r="C7880" t="str">
            <v>ARMAÇÃO DO SISTEMA DE PAREDES DE CONCRETO, EXECUTADA EM PAREDES DE EDIFICAÇÕES UNIFAMILIARES, TELA Q-75. AF_12/2024</v>
          </cell>
          <cell r="D7880" t="str">
            <v>KG</v>
          </cell>
          <cell r="E7880">
            <v>0</v>
          </cell>
        </row>
        <row r="7881">
          <cell r="B7881">
            <v>91600</v>
          </cell>
          <cell r="C7881" t="str">
            <v>ARMAÇÃO DO SISTEMA DE PAREDES DE CONCRETO, EXECUTADA EM PLATIBANDAS, TELA Q-92. AF_12/2024_PS</v>
          </cell>
          <cell r="D7881" t="str">
            <v>KG</v>
          </cell>
          <cell r="E7881">
            <v>11.08</v>
          </cell>
          <cell r="F7881">
            <v>0</v>
          </cell>
        </row>
        <row r="7882">
          <cell r="B7882">
            <v>99235</v>
          </cell>
          <cell r="C7882" t="str">
            <v>CONCRETAGEM DE EDIFICAÇÕES (PAREDES E LAJES) FEITAS COM SISTEMA DE FÔRMAS MANUSEÁVEIS, COM CONCRETO USINADO AUTOADENSÁVEL FCK 25 MPA - LANÇAMENTO E ACABAMENTO. AF_09/2024</v>
          </cell>
          <cell r="D7882" t="str">
            <v>M3</v>
          </cell>
          <cell r="E7882">
            <v>579.71</v>
          </cell>
          <cell r="F7882">
            <v>0</v>
          </cell>
        </row>
        <row r="7883">
          <cell r="B7883">
            <v>105539</v>
          </cell>
          <cell r="C7883" t="str">
            <v>CONCRETAGEM DE EDIFICAÇÕES (PAREDES E LAJES) FEITAS COM SISTEMA DE FÔRMAS MANUSEÁVEIS, COM CONCRETO USINADO AUTOADENSÁVEL REFORÇADO COM FIBRAS DE POLIPROPILENO, FCK 25 MPA - LANÇAMENTO E ACABAMENTO. AF_09/2024</v>
          </cell>
          <cell r="D7883" t="str">
            <v>M3</v>
          </cell>
          <cell r="E7883">
            <v>0</v>
          </cell>
        </row>
        <row r="7884">
          <cell r="B7884">
            <v>99439</v>
          </cell>
          <cell r="C7884" t="str">
            <v>CONCRETAGEM DE EDIFICAÇÕES (PAREDES E LAJES) FEITAS COM SISTEMA DE FÔRMAS MANUSEÁVEIS, COM CONCRETO USINADO BOMBEÁVEL FCK 25 MPA - LANÇAMENTO, ADENSAMENTO E ACABAMENTO. AF_09/2024</v>
          </cell>
          <cell r="D7884" t="str">
            <v>M3</v>
          </cell>
          <cell r="E7884">
            <v>643.19000000000005</v>
          </cell>
          <cell r="F7884">
            <v>0</v>
          </cell>
        </row>
        <row r="7885">
          <cell r="B7885">
            <v>105540</v>
          </cell>
          <cell r="C7885" t="str">
            <v>CONCRETAGEM DE ESCADAS EM EDIFICAÇÕES MULTIFAMILIARES FEITAS COM SISTEMA DE FÔRMAS MANUSEÁVEIS COM CONCRETO USINADO AUTOADENSÁVEL REFORÇADO COM FIBRAS DE POLIPROPILENO, FCK 25 MPA - LANÇAMENTO E ACABAMENTO. AF_09/2024</v>
          </cell>
          <cell r="D7885" t="str">
            <v>M3</v>
          </cell>
          <cell r="E7885">
            <v>0</v>
          </cell>
        </row>
        <row r="7886">
          <cell r="B7886">
            <v>103184</v>
          </cell>
          <cell r="C7886" t="str">
            <v>CONCRETAGEM DE ESCADAS EM EDIFICAÇÕES MULTIFAMILIARES FEITAS COM SISTEMA DE FÔRMAS MANUSEÁVEIS COM CONCRETO USINADO AUTOADENSÁVEL, FCK 25 MPA - LANÇAMENTO E ACABAMENTO. AF_09/2024</v>
          </cell>
          <cell r="D7886" t="str">
            <v>M3</v>
          </cell>
          <cell r="E7886">
            <v>607</v>
          </cell>
          <cell r="F7886">
            <v>0</v>
          </cell>
        </row>
        <row r="7887">
          <cell r="B7887">
            <v>103183</v>
          </cell>
          <cell r="C7887" t="str">
            <v>CONCRETAGEM DE ESCADAS EM EDIFICAÇÕES MULTIFAMILIARES FEITAS COM SISTEMA DE FÔRMAS MANUSEÁVEIS COM CONCRETO USINADO BOMBEÁVEL, FCK 25 MPA - LANÇAMENTO, ADENSAMENTO E ACABAMENTO. AF_09/2024</v>
          </cell>
          <cell r="D7887" t="str">
            <v>M3</v>
          </cell>
          <cell r="E7887">
            <v>739.23</v>
          </cell>
          <cell r="F7887">
            <v>0</v>
          </cell>
        </row>
        <row r="7888">
          <cell r="B7888">
            <v>99434</v>
          </cell>
          <cell r="C7888" t="str">
            <v>CONCRETAGEM DE LAJES EM EDIFICAÇÕES MULTIFAMILIARES FEITAS COM SISTEMA DE FÔRMAS MANUSEÁVEIS, COM CONCRETO USINADO BOMBEÁVEL FCK 25 MPA - LANÇAMENTO, ADENSAMENTO E ACABAMENTO. AF_09/2024</v>
          </cell>
          <cell r="D7888" t="str">
            <v>M3</v>
          </cell>
          <cell r="E7888">
            <v>655.36</v>
          </cell>
          <cell r="F7888">
            <v>0</v>
          </cell>
        </row>
        <row r="7889">
          <cell r="B7889">
            <v>99431</v>
          </cell>
          <cell r="C7889" t="str">
            <v>CONCRETAGEM DE LAJES EM EDIFICAÇÕES UNIFAMILIARES FEITAS COM SISTEMA DE FÔRMAS MANUSEÁVEIS, COM CONCRETO USINADO BOMBEÁVEL FCK 25 MPA - LANÇAMENTO, ADENSAMENTO E ACABAMENTO. AF_09/2024</v>
          </cell>
          <cell r="D7889" t="str">
            <v>M3</v>
          </cell>
          <cell r="E7889">
            <v>650.52</v>
          </cell>
          <cell r="F7889">
            <v>0</v>
          </cell>
        </row>
        <row r="7890">
          <cell r="B7890">
            <v>99435</v>
          </cell>
          <cell r="C7890" t="str">
            <v>CONCRETAGEM DE PAREDES EM EDIFICAÇÕES MULTIFAMILIARES FEITAS COM SISTEMA DE FÔRMAS MANUSEÁVEIS, COM CONCRETO USINADO BOMBEÁVEL FCK 25 MPA - LANÇAMENTO, ADENSAMENTO E ACABAMENTO. AF_09/2024</v>
          </cell>
          <cell r="D7890" t="str">
            <v>M3</v>
          </cell>
          <cell r="E7890">
            <v>638.77</v>
          </cell>
          <cell r="F7890">
            <v>0</v>
          </cell>
        </row>
        <row r="7891">
          <cell r="B7891">
            <v>99432</v>
          </cell>
          <cell r="C7891" t="str">
            <v>CONCRETAGEM DE PAREDES EM EDIFICAÇÕES UNIFAMILIARES FEITAS COM SISTEMA DE FÔRMAS MANUSEÁVEIS, COM CONCRETO USINADO BOMBEÁVEL FCK 25 MPA - LANÇAMENTO, ADENSAMENTO E ACABAMENTO. AF_09/2024</v>
          </cell>
          <cell r="D7891" t="str">
            <v>M3</v>
          </cell>
          <cell r="E7891">
            <v>635.29999999999995</v>
          </cell>
          <cell r="F7891">
            <v>0</v>
          </cell>
        </row>
        <row r="7892">
          <cell r="B7892">
            <v>99438</v>
          </cell>
          <cell r="C7892" t="str">
            <v>CONCRETAGEM DE PLATIBANDA EM EDIFICAÇÕES MULTIFAMILIARES FEITAS COM SISTEMA DE FÔRMAS MANUSEÁVEIS, COM CONCRETO USINADO AUTOADENSÁVEL FCK 25 MPA - LANÇAMENTO E ACABAMENTO. AF_09/2024</v>
          </cell>
          <cell r="D7892" t="str">
            <v>M3</v>
          </cell>
          <cell r="E7892">
            <v>627.36</v>
          </cell>
          <cell r="F7892">
            <v>0</v>
          </cell>
        </row>
        <row r="7893">
          <cell r="B7893">
            <v>105538</v>
          </cell>
          <cell r="C7893" t="str">
            <v>CONCRETAGEM DE PLATIBANDA EM EDIFICAÇÕES MULTIFAMILIARES FEITAS COM SISTEMA DE FÔRMAS MANUSEÁVEIS, COM CONCRETO USINADO AUTOADENSÁVEL REFORÇADO COM FIBRAS DE POLIPROPILENO, FCK 25 MPA - LANÇAMENTO E ACABAMENTO. AF_09/2024</v>
          </cell>
          <cell r="D7893" t="str">
            <v>M3</v>
          </cell>
          <cell r="E7893">
            <v>0</v>
          </cell>
        </row>
        <row r="7894">
          <cell r="B7894">
            <v>99436</v>
          </cell>
          <cell r="C7894" t="str">
            <v>CONCRETAGEM DE PLATIBANDA EM EDIFICAÇÕES MULTIFAMILIARES FEITAS COM SISTEMA DE FÔRMAS MANUSEÁVEIS, COM CONCRETO USINADO BOMBEÁVEL FCK 25 MPA - LANÇAMENTO, ADENSAMENTO E ACABAMENTO. AF_09/2024</v>
          </cell>
          <cell r="D7894" t="str">
            <v>M3</v>
          </cell>
          <cell r="E7894">
            <v>723.1</v>
          </cell>
          <cell r="F7894">
            <v>0</v>
          </cell>
        </row>
        <row r="7895">
          <cell r="B7895">
            <v>99437</v>
          </cell>
          <cell r="C7895" t="str">
            <v>CONCRETAGEM DE PLATIBANDA EM EDIFICAÇÕES UNIFAMILIARES FEITAS COM SISTEMA DE FÔRMAS MANUSEÁVEIS, COM CONCRETO USINADO AUTOADENSÁVEL FCK 25 MPA - LANÇAMENTO E ACABAMENTO. AF_09/2024</v>
          </cell>
          <cell r="D7895" t="str">
            <v>M3</v>
          </cell>
          <cell r="E7895">
            <v>618.37</v>
          </cell>
          <cell r="F7895">
            <v>0</v>
          </cell>
        </row>
        <row r="7896">
          <cell r="B7896">
            <v>105537</v>
          </cell>
          <cell r="C7896" t="str">
            <v>CONCRETAGEM DE PLATIBANDA EM EDIFICAÇÕES UNIFAMILIARES FEITAS COM SISTEMA DE FÔRMAS MANUSEÁVEIS, COM CONCRETO USINADO AUTOADENSÁVEL REFORÇADO COM FIBRAS DE POLIPROPILENO, FCK 25 MPA - LANÇAMENTO E ACABAMENTO. AF_09/2024</v>
          </cell>
          <cell r="D7896" t="str">
            <v>M3</v>
          </cell>
          <cell r="E7896">
            <v>0</v>
          </cell>
        </row>
        <row r="7897">
          <cell r="B7897">
            <v>99433</v>
          </cell>
          <cell r="C7897" t="str">
            <v>CONCRETAGEM DE PLATIBANDA EM EDIFICAÇÕES UNIFAMILIARES FEITAS COM SISTEMA DE FÔRMAS MANUSEÁVEIS, COM CONCRETO USINADO BOMBEÁVEL FCK 25 MPA - LANÇAMENTO, ADENSAMENTO E ACABAMENTO. AF_09/2024</v>
          </cell>
          <cell r="D7897" t="str">
            <v>M3</v>
          </cell>
          <cell r="E7897">
            <v>695.54</v>
          </cell>
          <cell r="F7897">
            <v>0</v>
          </cell>
        </row>
        <row r="7898">
          <cell r="B7898">
            <v>104422</v>
          </cell>
          <cell r="C7898" t="str">
            <v>ESTUCAMENTO DE DENSIDADE ALTA DE PANOS DE FACHADA DO SISTEMA DE PAREDES DE CONCRETO EM EDIFICAÇÕES DE MÚLTIPLOS PAVIMENTOS, PAVIMENTO TÉRREO, UTILIZAÇÃO DE ARGAMASSA COLANTE. AF_12/2024</v>
          </cell>
          <cell r="D7898" t="str">
            <v>M2</v>
          </cell>
          <cell r="E7898">
            <v>11.91</v>
          </cell>
          <cell r="F7898">
            <v>0</v>
          </cell>
        </row>
        <row r="7899">
          <cell r="B7899">
            <v>105824</v>
          </cell>
          <cell r="C7899" t="str">
            <v>ESTUCAMENTO DE DENSIDADE ALTA DE PANOS DE FACHADA DO SISTEMA DE PAREDES DE CONCRETO EM EDIFICAÇÕES DE MÚLTIPLOS PAVIMENTOS, PAVIMENTO TÉRREO, UTILIZAÇÃO DE ARGAMASSA POLIMÉRICA. AF_12/2024</v>
          </cell>
          <cell r="D7899" t="str">
            <v>M2</v>
          </cell>
          <cell r="E7899">
            <v>14.29</v>
          </cell>
          <cell r="F7899">
            <v>0</v>
          </cell>
        </row>
        <row r="7900">
          <cell r="B7900">
            <v>105825</v>
          </cell>
          <cell r="C7900" t="str">
            <v>ESTUCAMENTO DE DENSIDADE ALTA DE PANOS DE FACHADA DO SISTEMA DE PAREDES DE CONCRETO EM EDIFICAÇÕES DE MÚLTIPLOS PAVIMENTOS, PAVIMENTO TÉRREO, UTILIZAÇÃO DE ARGAMASSA TRAÇO 1:0,5:4,5 (CIM:CAL:AREIA). AF_12/2024</v>
          </cell>
          <cell r="D7900" t="str">
            <v>M2</v>
          </cell>
          <cell r="E7900">
            <v>8.24</v>
          </cell>
          <cell r="F7900">
            <v>0</v>
          </cell>
        </row>
        <row r="7901">
          <cell r="B7901">
            <v>104421</v>
          </cell>
          <cell r="C7901" t="str">
            <v>ESTUCAMENTO DE DENSIDADE ALTA DE PANOS DE FACHADA DO SISTEMA DE PAREDES DE CONCRETO EM EDIFICAÇÕES DE MÚLTIPLOS PAVIMENTOS, PAVIMENTOS SUPERIORES, UTILIZAÇÃO DE ARGAMASSA COLANTE. AF_12/2024</v>
          </cell>
          <cell r="D7901" t="str">
            <v>M2</v>
          </cell>
          <cell r="E7901">
            <v>18.670000000000002</v>
          </cell>
          <cell r="F7901">
            <v>0</v>
          </cell>
        </row>
        <row r="7902">
          <cell r="B7902">
            <v>105822</v>
          </cell>
          <cell r="C7902" t="str">
            <v>ESTUCAMENTO DE DENSIDADE ALTA DE PANOS DE FACHADA DO SISTEMA DE PAREDES DE CONCRETO EM EDIFICAÇÕES DE MÚLTIPLOS PAVIMENTOS, PAVIMENTOS SUPERIORES, UTILIZAÇÃO DE ARGAMASSA POLIMÉRICA. AF_12/2024</v>
          </cell>
          <cell r="D7902" t="str">
            <v>M2</v>
          </cell>
          <cell r="E7902">
            <v>21.05</v>
          </cell>
          <cell r="F7902">
            <v>0</v>
          </cell>
        </row>
        <row r="7903">
          <cell r="B7903">
            <v>105823</v>
          </cell>
          <cell r="C7903" t="str">
            <v>ESTUCAMENTO DE DENSIDADE ALTA DE PANOS DE FACHADA DO SISTEMA DE PAREDES DE CONCRETO EM EDIFICAÇÕES DE MÚLTIPLOS PAVIMENTOS, PAVIMENTOS SUPERIORES, UTILIZAÇÃO DE ARGAMASSA TRAÇO 1:0,5:4,5 (CIM:CAL:AREIA). AF_12/2024</v>
          </cell>
          <cell r="D7903" t="str">
            <v>M2</v>
          </cell>
          <cell r="E7903">
            <v>15</v>
          </cell>
          <cell r="F7903">
            <v>0</v>
          </cell>
        </row>
        <row r="7904">
          <cell r="B7904">
            <v>104423</v>
          </cell>
          <cell r="C7904" t="str">
            <v>ESTUCAMENTO DE DENSIDADE ALTA DE PANOS DE FACHADA DO SISTEMA DE PAREDES DE CONCRETO EM UNIDADES HABITACIONAIS DE DOIS PAVIMENTOS (SOBRADO), ACESSO COM ANDAIME FACHADEIRO, UTILIZAÇÃO DE ARGAMASSA COLANTE. AF_12/2024</v>
          </cell>
          <cell r="D7904" t="str">
            <v>M2</v>
          </cell>
          <cell r="E7904">
            <v>16.649999999999999</v>
          </cell>
          <cell r="F7904">
            <v>0</v>
          </cell>
        </row>
        <row r="7905">
          <cell r="B7905">
            <v>105826</v>
          </cell>
          <cell r="C7905" t="str">
            <v>ESTUCAMENTO DE DENSIDADE ALTA DE PANOS DE FACHADA DO SISTEMA DE PAREDES DE CONCRETO EM UNIDADES HABITACIONAIS DE DOIS PAVIMENTOS (SOBRADO), ACESSO COM ANDAIME FACHADEIRO, UTILIZAÇÃO DE ARGAMASSA POLIMÉRICA. AF_12/2024</v>
          </cell>
          <cell r="D7905" t="str">
            <v>M2</v>
          </cell>
          <cell r="E7905">
            <v>19.03</v>
          </cell>
          <cell r="F7905">
            <v>0</v>
          </cell>
        </row>
        <row r="7906">
          <cell r="B7906">
            <v>105827</v>
          </cell>
          <cell r="C7906" t="str">
            <v>ESTUCAMENTO DE DENSIDADE ALTA DE PANOS DE FACHADA DO SISTEMA DE PAREDES DE CONCRETO EM UNIDADES HABITACIONAIS DE DOIS PAVIMENTOS (SOBRADO), ACESSO COM ANDAIME FACHADEIRO, UTILIZAÇÃO DE ARGAMASSA TRAÇO 1:0,5:4,5 (CIM:CAL:AREIA). AF_12/2024</v>
          </cell>
          <cell r="D7906" t="str">
            <v>M2</v>
          </cell>
          <cell r="E7906">
            <v>12.98</v>
          </cell>
          <cell r="F7906">
            <v>0</v>
          </cell>
        </row>
        <row r="7907">
          <cell r="B7907">
            <v>104425</v>
          </cell>
          <cell r="C7907" t="str">
            <v>ESTUCAMENTO DE DENSIDADE ALTA DE PANOS DE FACHADA DO SISTEMA DE PAREDES DE CONCRETO EM UNIDADES HABITACIONAIS DE PAVIMENTO ÚNICO, UTILIZAÇÃO DE ARGAMASSA COLANTE. AF_12/2024</v>
          </cell>
          <cell r="D7907" t="str">
            <v>M2</v>
          </cell>
          <cell r="E7907">
            <v>9.86</v>
          </cell>
          <cell r="F7907">
            <v>0</v>
          </cell>
        </row>
        <row r="7908">
          <cell r="B7908">
            <v>105828</v>
          </cell>
          <cell r="C7908" t="str">
            <v>ESTUCAMENTO DE DENSIDADE ALTA DE PANOS DE FACHADA DO SISTEMA DE PAREDES DE CONCRETO EM UNIDADES HABITACIONAIS DE PAVIMENTO ÚNICO, UTILIZAÇÃO DE ARGAMASSA POLIMÉRICA. AF_12/2024</v>
          </cell>
          <cell r="D7908" t="str">
            <v>M2</v>
          </cell>
          <cell r="E7908">
            <v>12.24</v>
          </cell>
          <cell r="F7908">
            <v>0</v>
          </cell>
        </row>
        <row r="7909">
          <cell r="B7909">
            <v>105829</v>
          </cell>
          <cell r="C7909" t="str">
            <v>ESTUCAMENTO DE DENSIDADE ALTA DE PANOS DE FACHADA DO SISTEMA DE PAREDES DE CONCRETO EM UNIDADES HABITACIONAIS DE PAVIMENTO ÚNICO, UTILIZAÇÃO DE ARGAMASSA TRAÇO 1:0,5:4,5 (CIM:CAL:AREIA). AF_12/2024</v>
          </cell>
          <cell r="D7909" t="str">
            <v>M2</v>
          </cell>
          <cell r="E7909">
            <v>6.19</v>
          </cell>
          <cell r="F7909">
            <v>0</v>
          </cell>
        </row>
        <row r="7910">
          <cell r="B7910">
            <v>91525</v>
          </cell>
          <cell r="C7910" t="str">
            <v>ESTUCAMENTO DE DENSIDADE ALTA NAS FACES INTERNAS DE PAREDES DO SISTEMA DE PAREDES DE CONCRETO, EM AMBIENTES COM ÁREA ENTRE 5 M² E 10 M², UTILIZAÇÃO DE ARGAMASSA COLANTE. AF_12/2024</v>
          </cell>
          <cell r="D7910" t="str">
            <v>M2</v>
          </cell>
          <cell r="E7910">
            <v>8.49</v>
          </cell>
          <cell r="F7910">
            <v>0</v>
          </cell>
        </row>
        <row r="7911">
          <cell r="B7911">
            <v>105818</v>
          </cell>
          <cell r="C7911" t="str">
            <v>ESTUCAMENTO DE DENSIDADE ALTA NAS FACES INTERNAS DE PAREDES DO SISTEMA DE PAREDES DE CONCRETO, EM AMBIENTES COM ÁREA ENTRE 5 M² E 10 M², UTILIZAÇÃO DE ARGAMASSA POLIMÉRICA. AF_12/2024</v>
          </cell>
          <cell r="D7911" t="str">
            <v>M2</v>
          </cell>
          <cell r="E7911">
            <v>12.55</v>
          </cell>
          <cell r="F7911">
            <v>0</v>
          </cell>
        </row>
        <row r="7912">
          <cell r="B7912">
            <v>105819</v>
          </cell>
          <cell r="C7912" t="str">
            <v>ESTUCAMENTO DE DENSIDADE ALTA NAS FACES INTERNAS DE PAREDES DO SISTEMA DE PAREDES DE CONCRETO, EM AMBIENTES COM ÁREA ENTRE 5 M² E 10 M², UTILIZAÇÃO DE ARGAMASSA TRAÇO 1:1:6 (CIM:CAL:AREIA). AF_12/2024</v>
          </cell>
          <cell r="D7912" t="str">
            <v>M2</v>
          </cell>
          <cell r="E7912">
            <v>6.55</v>
          </cell>
          <cell r="F7912">
            <v>0</v>
          </cell>
        </row>
        <row r="7913">
          <cell r="B7913">
            <v>104414</v>
          </cell>
          <cell r="C7913" t="str">
            <v>ESTUCAMENTO DE DENSIDADE ALTA NAS FACES INTERNAS DE PAREDES DO SISTEMA DE PAREDES DE CONCRETO, EM AMBIENTES COM ÁREA MAIOR OU IGUAL A 10 M², UTILIZAÇÃO DE ARGAMASSA COLANTE. AF_12/2024</v>
          </cell>
          <cell r="D7913" t="str">
            <v>M2</v>
          </cell>
          <cell r="E7913">
            <v>7.43</v>
          </cell>
          <cell r="F7913">
            <v>0</v>
          </cell>
        </row>
        <row r="7914">
          <cell r="B7914">
            <v>105816</v>
          </cell>
          <cell r="C7914" t="str">
            <v>ESTUCAMENTO DE DENSIDADE ALTA NAS FACES INTERNAS DE PAREDES DO SISTEMA DE PAREDES DE CONCRETO, EM AMBIENTES COM ÁREA MAIOR OU IGUAL A 10 M², UTILIZAÇÃO DE ARGAMASSA POLIMÉRICA. AF_12/2024</v>
          </cell>
          <cell r="D7914" t="str">
            <v>M2</v>
          </cell>
          <cell r="E7914">
            <v>11.49</v>
          </cell>
          <cell r="F7914">
            <v>0</v>
          </cell>
        </row>
        <row r="7915">
          <cell r="B7915">
            <v>105817</v>
          </cell>
          <cell r="C7915" t="str">
            <v>ESTUCAMENTO DE DENSIDADE ALTA NAS FACES INTERNAS DE PAREDES DO SISTEMA DE PAREDES DE CONCRETO, EM AMBIENTES COM ÁREA MAIOR OU IGUAL A 10 M², UTILIZAÇÃO DE ARGAMASSA TRAÇO 1:1:6 (CIM:CAL:AREIA). AF_12/2024</v>
          </cell>
          <cell r="D7915" t="str">
            <v>M2</v>
          </cell>
          <cell r="E7915">
            <v>5.49</v>
          </cell>
          <cell r="F7915">
            <v>0</v>
          </cell>
        </row>
        <row r="7916">
          <cell r="B7916">
            <v>104415</v>
          </cell>
          <cell r="C7916" t="str">
            <v>ESTUCAMENTO DE DENSIDADE ALTA NAS FACES INTERNAS DE PAREDES DO SISTEMA DE PAREDES DE CONCRETO, EM AMBIENTES COM ÁREA MENOR OU IGUAL A 5 M², UTILIZAÇÃO DE ARGAMASSA COLANTE. AF_12/2024</v>
          </cell>
          <cell r="D7916" t="str">
            <v>M2</v>
          </cell>
          <cell r="E7916">
            <v>14.06</v>
          </cell>
          <cell r="F7916">
            <v>0</v>
          </cell>
        </row>
        <row r="7917">
          <cell r="B7917">
            <v>105820</v>
          </cell>
          <cell r="C7917" t="str">
            <v>ESTUCAMENTO DE DENSIDADE ALTA NAS FACES INTERNAS DE PAREDES DO SISTEMA DE PAREDES DE CONCRETO, EM AMBIENTES COM ÁREA MENOR OU IGUAL A 5 M², UTILIZAÇÃO DE ARGAMASSA POLIMÉRICA. AF_12/2024</v>
          </cell>
          <cell r="D7917" t="str">
            <v>M2</v>
          </cell>
          <cell r="E7917">
            <v>18.12</v>
          </cell>
          <cell r="F7917">
            <v>0</v>
          </cell>
        </row>
        <row r="7918">
          <cell r="B7918">
            <v>105821</v>
          </cell>
          <cell r="C7918" t="str">
            <v>ESTUCAMENTO DE DENSIDADE ALTA NAS FACES INTERNAS DE PAREDES DO SISTEMA DE PAREDES DE CONCRETO, EM AMBIENTES COM ÁREA MENOR OU IGUAL A 5 M², UTILIZAÇÃO DE ARGAMASSA TRAÇO 1:1:6 (CIM:CAL:AREIA). AF_12/2024</v>
          </cell>
          <cell r="D7918" t="str">
            <v>M2</v>
          </cell>
          <cell r="E7918">
            <v>12.12</v>
          </cell>
          <cell r="F7918">
            <v>0</v>
          </cell>
        </row>
        <row r="7919">
          <cell r="B7919">
            <v>104418</v>
          </cell>
          <cell r="C7919" t="str">
            <v>ESTUCAMENTO DE DENSIDADE BAIXA DE PANOS DE FACHADA DO SISTEMA DE PAREDES DE CONCRETO EM EDIFICAÇÕES DE MÚLTIPLOS PAVIMENTOS, PAVIMENTO TÉRREO, UTILIZAÇÃO DE ARGAMASSA COLANTE. AF_12/2024</v>
          </cell>
          <cell r="D7919" t="str">
            <v>M2</v>
          </cell>
          <cell r="E7919">
            <v>3.36</v>
          </cell>
          <cell r="F7919">
            <v>0</v>
          </cell>
        </row>
        <row r="7920">
          <cell r="B7920">
            <v>91515</v>
          </cell>
          <cell r="C7920" t="str">
            <v>ESTUCAMENTO DE DENSIDADE BAIXA DE PANOS DE FACHADA DO SISTEMA DE PAREDES DE CONCRETO EM EDIFICAÇÕES DE MÚLTIPLOS PAVIMENTOS, PAVIMENTOS SUPERIORES, UTILIZAÇÃO DE ARGAMASSA COLANTE. AF_12/2024</v>
          </cell>
          <cell r="D7920" t="str">
            <v>M2</v>
          </cell>
          <cell r="E7920">
            <v>6.18</v>
          </cell>
          <cell r="F7920">
            <v>0</v>
          </cell>
        </row>
        <row r="7921">
          <cell r="B7921">
            <v>104419</v>
          </cell>
          <cell r="C7921" t="str">
            <v>ESTUCAMENTO DE DENSIDADE BAIXA DE PANOS DE FACHADA DO SISTEMA DE PAREDES DE CONCRETO EM UNIDADES HABITACIONAIS DE DOIS PAVIMENTOS (SOBRADO), ACESSO COM ANDAIME FACHADEIRO, UTILIZAÇÃO DE ARGAMASSA COLANTE. AF_12/2024</v>
          </cell>
          <cell r="D7921" t="str">
            <v>M2</v>
          </cell>
          <cell r="E7921">
            <v>5.35</v>
          </cell>
          <cell r="F7921">
            <v>0</v>
          </cell>
        </row>
        <row r="7922">
          <cell r="B7922">
            <v>91519</v>
          </cell>
          <cell r="C7922" t="str">
            <v>ESTUCAMENTO DE DENSIDADE BAIXA DE PANOS DE FACHADA DO SISTEMA DE PAREDES DE CONCRETO EM UNIDADES HABITACIONAIS DE PAVIMENTO ÚNICO, UTILIZAÇÃO DE ARGAMASSA COLANTE. AF_12/2024</v>
          </cell>
          <cell r="D7922" t="str">
            <v>M2</v>
          </cell>
          <cell r="E7922">
            <v>2.56</v>
          </cell>
          <cell r="F7922">
            <v>0</v>
          </cell>
        </row>
        <row r="7923">
          <cell r="B7923">
            <v>91520</v>
          </cell>
          <cell r="C7923" t="str">
            <v>ESTUCAMENTO DE DENSIDADE BAIXA NAS FACES INTERNAS DE PAREDES DO SISTEMA DE PAREDES DE CONCRETO, EM AMBIENTES COM ÁREA ENTRE 5 M² E 10 M², UTILIZAÇÃO DE ARGAMASSA COLANTE. AF_12/2024</v>
          </cell>
          <cell r="D7923" t="str">
            <v>M2</v>
          </cell>
          <cell r="E7923">
            <v>2.6</v>
          </cell>
          <cell r="F7923">
            <v>0</v>
          </cell>
        </row>
        <row r="7924">
          <cell r="B7924">
            <v>104416</v>
          </cell>
          <cell r="C7924" t="str">
            <v>ESTUCAMENTO DE DENSIDADE BAIXA NAS FACES INTERNAS DE PAREDES DO SISTEMA DE PAREDES DE CONCRETO, EM AMBIENTES COM ÁREA MAIOR OU IGUAL A 10 M², UTILIZAÇÃO DE ARGAMASSA COLANTE. AF_12/2024</v>
          </cell>
          <cell r="D7924" t="str">
            <v>M2</v>
          </cell>
          <cell r="E7924">
            <v>2.15</v>
          </cell>
          <cell r="F7924">
            <v>0</v>
          </cell>
        </row>
        <row r="7925">
          <cell r="B7925">
            <v>104417</v>
          </cell>
          <cell r="C7925" t="str">
            <v>ESTUCAMENTO DE DENSIDADE BAIXA NAS FACES INTERNAS DE PAREDES DO SISTEMA DE PAREDES DE CONCRETO, EM AMBIENTES COM ÁREA MENOR OU IGUAL A 5 M², UTILIZAÇÃO DE ARGAMASSA COLANTE. AF_12/2024</v>
          </cell>
          <cell r="D7925" t="str">
            <v>M2</v>
          </cell>
          <cell r="E7925">
            <v>4.87</v>
          </cell>
          <cell r="F7925">
            <v>0</v>
          </cell>
        </row>
        <row r="7926">
          <cell r="B7926">
            <v>91522</v>
          </cell>
          <cell r="C7926" t="str">
            <v>ESTUCAMENTO PARA QUALQUER REVESTIMENTO, EM TETO DO SISTEMA DE PAREDES DE CONCRETO, EM AMBIENTES COM ÁREA ENTRE 5 M² E 10 M², UTILIZAÇÃO DE ARGAMASSA COLANTE. AF_12/2024</v>
          </cell>
          <cell r="D7926" t="str">
            <v>M2</v>
          </cell>
          <cell r="E7926">
            <v>4.38</v>
          </cell>
          <cell r="F7926">
            <v>0</v>
          </cell>
        </row>
        <row r="7927">
          <cell r="B7927">
            <v>104412</v>
          </cell>
          <cell r="C7927" t="str">
            <v>ESTUCAMENTO PARA QUALQUER REVESTIMENTO, EM TETO DO SISTEMA DE PAREDES DE CONCRETO, EM AMBIENTES COM ÁREA MAIOR OU IGUAL A 10 M², UTILIZAÇÃO DE ARGAMASSA COLANTE. AF_12/2024</v>
          </cell>
          <cell r="D7927" t="str">
            <v>M2</v>
          </cell>
          <cell r="E7927">
            <v>3.93</v>
          </cell>
          <cell r="F7927">
            <v>0</v>
          </cell>
        </row>
        <row r="7928">
          <cell r="B7928">
            <v>104413</v>
          </cell>
          <cell r="C7928" t="str">
            <v>ESTUCAMENTO PARA QUALQUER REVESTIMENTO, EM TETO DO SISTEMA DE PAREDES DE CONCRETO, EM AMBIENTES COM ÁREA MENOR OU IGUAL A 5 M², UTILIZAÇÃO DE ARGAMASSA COLANTE. AF_12/2024</v>
          </cell>
          <cell r="D7928" t="str">
            <v>M2</v>
          </cell>
          <cell r="E7928">
            <v>6.69</v>
          </cell>
          <cell r="F7928">
            <v>0</v>
          </cell>
        </row>
        <row r="7929">
          <cell r="B7929">
            <v>102569</v>
          </cell>
          <cell r="C7929" t="str">
            <v>FÔRMAS MANUSEÁVEIS DA ALUMÍNIO PARA PAREDES DE CONCRETO MOLDADAS IN LOCO, EM PLATIBANDA. AF_11/2024</v>
          </cell>
          <cell r="D7929" t="str">
            <v>M2</v>
          </cell>
          <cell r="E7929">
            <v>0</v>
          </cell>
        </row>
        <row r="7930">
          <cell r="B7930">
            <v>102574</v>
          </cell>
          <cell r="C7930" t="str">
            <v>FÔRMAS MANUSEÁVEIS DE ALUMÍNIO PARA PAREDES DE CONCRETO MOLDADAS IN LOCO, DE EDIFICAÇÕES DE MÚLTIPLOS PAVIMENTOS, EM LAJES. AF_11/2024</v>
          </cell>
          <cell r="D7930" t="str">
            <v>M2</v>
          </cell>
          <cell r="E7930">
            <v>0</v>
          </cell>
        </row>
        <row r="7931">
          <cell r="B7931">
            <v>102573</v>
          </cell>
          <cell r="C7931" t="str">
            <v>FÔRMAS MANUSEÁVEIS DE ALUMÍNIO PARA PAREDES DE CONCRETO MOLDADAS IN LOCO, DE EDIFICAÇÕES DE MÚLTIPLOS PAVIMENTOS, EM PAREDES. AF_11/2024</v>
          </cell>
          <cell r="D7931" t="str">
            <v>M2</v>
          </cell>
          <cell r="E7931">
            <v>0</v>
          </cell>
        </row>
        <row r="7932">
          <cell r="B7932">
            <v>102577</v>
          </cell>
          <cell r="C7932" t="str">
            <v>FÔRMAS MANUSEÁVEIS DE ALUMÍNIO PARA PAREDES DE CONCRETO MOLDADAS IN LOCO, DE EDIFICAÇÕES UNIFAMILIARES, EM LAJES. AF_11/2024</v>
          </cell>
          <cell r="D7932" t="str">
            <v>M2</v>
          </cell>
          <cell r="E7932">
            <v>0</v>
          </cell>
        </row>
        <row r="7933">
          <cell r="B7933">
            <v>102576</v>
          </cell>
          <cell r="C7933" t="str">
            <v>FÔRMAS MANUSEÁVEIS DE ALUMÍNIO PARA PAREDES DE CONCRETO MOLDADAS IN LOCO, DE EDIFICAÇÕES UNIFAMILIARES, EM PAREDES. AF_11/2024</v>
          </cell>
          <cell r="D7933" t="str">
            <v>M2</v>
          </cell>
          <cell r="E7933">
            <v>0</v>
          </cell>
        </row>
        <row r="7934">
          <cell r="B7934">
            <v>103083</v>
          </cell>
          <cell r="C7934" t="str">
            <v>FÔRMAS MANUSEÁVEIS DE PLÁSTICO ESTRUTURADO EM AÇO PARA PAREDES DE CONCRETO MOLDADAS IN LOCO, DE EDIFICAÇÕES DE MÚLTIPLOS PAVIMENTOS, EM LAJES. AF_11/2024</v>
          </cell>
          <cell r="D7934" t="str">
            <v>M2</v>
          </cell>
          <cell r="E7934">
            <v>0</v>
          </cell>
        </row>
        <row r="7935">
          <cell r="B7935">
            <v>103081</v>
          </cell>
          <cell r="C7935" t="str">
            <v>FÔRMAS MANUSEÁVEIS DE PLÁSTICO ESTRUTURADO EM AÇO PARA PAREDES DE CONCRETO MOLDADAS IN LOCO, DE EDIFICAÇÕES DE MÚLTIPLOS PAVIMENTOS, EM PLATIBANDA. AF_11/2024</v>
          </cell>
          <cell r="D7935" t="str">
            <v>M2</v>
          </cell>
          <cell r="E7935">
            <v>0</v>
          </cell>
        </row>
        <row r="7936">
          <cell r="B7936">
            <v>103082</v>
          </cell>
          <cell r="C7936" t="str">
            <v>FÔRMAS MANUSEÁVEIS DE PLÁSTICO ESTRUTURADO EM AÇO PARA PAREDES DE CONCRETO MOLDADAS IN LOCO, DE EDIFICAÇÕES MÚLTIPLOS PAVIMENTOS, EM PAREDES. AF_11/2024</v>
          </cell>
          <cell r="D7936" t="str">
            <v>M2</v>
          </cell>
          <cell r="E7936">
            <v>0</v>
          </cell>
        </row>
        <row r="7937">
          <cell r="B7937">
            <v>103086</v>
          </cell>
          <cell r="C7937" t="str">
            <v>FÔRMAS MANUSEÁVEIS DE PLÁSTICO ESTRUTURADO EM AÇO PARA PAREDES DE CONCRETO MOLDADAS IN LOCO, DE EDIFICAÇÕES UNIFAMILIARES, EM LAJES. AF_11/2024</v>
          </cell>
          <cell r="D7937" t="str">
            <v>M2</v>
          </cell>
          <cell r="E7937">
            <v>0</v>
          </cell>
        </row>
        <row r="7938">
          <cell r="B7938">
            <v>103085</v>
          </cell>
          <cell r="C7938" t="str">
            <v>FÔRMAS MANUSEÁVEIS DE PLÁSTICO ESTRUTURADO EM AÇO PARA PAREDES DE CONCRETO MOLDADAS IN LOCO, DE EDIFICAÇÕES UNIFAMILIARES, EM PAREDES. AF_11/2024</v>
          </cell>
          <cell r="D7938" t="str">
            <v>M2</v>
          </cell>
          <cell r="E7938">
            <v>0</v>
          </cell>
        </row>
        <row r="7939">
          <cell r="B7939">
            <v>104726</v>
          </cell>
          <cell r="C7939" t="str">
            <v>INSTALAÇÃO DE ISOLAMENTO COM LÃ DE PET EM PAREDE DRYWALL. AF_07/2023</v>
          </cell>
          <cell r="D7939" t="str">
            <v>M2</v>
          </cell>
          <cell r="E7939">
            <v>0</v>
          </cell>
        </row>
        <row r="7940">
          <cell r="B7940">
            <v>104725</v>
          </cell>
          <cell r="C7940" t="str">
            <v>INSTALAÇÃO DE ISOLAMENTO COM LÃ DE VIDRO EM PAREDE DRYWALL. AF_07/2023</v>
          </cell>
          <cell r="D7940" t="str">
            <v>M2</v>
          </cell>
          <cell r="E7940">
            <v>0</v>
          </cell>
        </row>
        <row r="7941">
          <cell r="B7941">
            <v>96374</v>
          </cell>
          <cell r="C7941" t="str">
            <v>INSTALAÇÃO DE REFORÇO DE MADEIRA EM PAREDE DRYWALL. AF_07/2023</v>
          </cell>
          <cell r="D7941" t="str">
            <v>M</v>
          </cell>
          <cell r="E7941">
            <v>36.93</v>
          </cell>
          <cell r="F7941">
            <v>0</v>
          </cell>
        </row>
        <row r="7942">
          <cell r="B7942">
            <v>96373</v>
          </cell>
          <cell r="C7942" t="str">
            <v>INSTALAÇÃO DE REFORÇO METÁLICO EM PAREDE DRYWALL. AF_07/2023</v>
          </cell>
          <cell r="D7942" t="str">
            <v>M</v>
          </cell>
          <cell r="E7942">
            <v>10.8</v>
          </cell>
          <cell r="F7942">
            <v>0</v>
          </cell>
        </row>
        <row r="7943">
          <cell r="B7943">
            <v>96368</v>
          </cell>
          <cell r="C7943" t="str">
            <v>PAREDE COM SISTEMA EM CHAPAS DE GESSO PARA DRYWALL, USO INTERNO COM DUAS FACES DUPLAS E ESTRUTURA METÁLICA COM GUIAS DUPLAS, SEM VÃOS. AF_07/2023_PS</v>
          </cell>
          <cell r="D7943" t="str">
            <v>M2</v>
          </cell>
          <cell r="E7943">
            <v>174.99</v>
          </cell>
          <cell r="F7943">
            <v>0</v>
          </cell>
        </row>
        <row r="7944">
          <cell r="B7944">
            <v>96364</v>
          </cell>
          <cell r="C7944" t="str">
            <v>PAREDE COM SISTEMA EM CHAPAS DE GESSO PARA DRYWALL, USO INTERNO COM UMA FACE SIMPLES E OUTRA FACE DUPLA E ESTRUTURA METÁLICA COM GUIAS DUPLAS, SEM VÃOS. AF_07/2023_PS</v>
          </cell>
          <cell r="D7944" t="str">
            <v>M2</v>
          </cell>
          <cell r="E7944">
            <v>147.22</v>
          </cell>
          <cell r="F7944">
            <v>0</v>
          </cell>
        </row>
        <row r="7945">
          <cell r="B7945">
            <v>96369</v>
          </cell>
          <cell r="C7945" t="str">
            <v>PAREDE COM SISTEMA EM CHAPAS DE GESSO PARA DRYWALL, USO INTERNO, COM DUAS FACES DUPLAS E ESTRUTURA METÁLICA COM GUIAS DUPLAS PARA PAREDES COM ÁREA LÍQUIDA MAIOR OU IGUAL A 6 M2, COM VÃOS. AF_07/2023_PS</v>
          </cell>
          <cell r="D7945" t="str">
            <v>M2</v>
          </cell>
          <cell r="E7945">
            <v>196.38</v>
          </cell>
          <cell r="F7945">
            <v>0</v>
          </cell>
        </row>
        <row r="7946">
          <cell r="B7946">
            <v>104723</v>
          </cell>
          <cell r="C7946" t="str">
            <v>PAREDE COM SISTEMA EM CHAPAS DE GESSO PARA DRYWALL, USO INTERNO, COM DUAS FACES DUPLAS E ESTRUTURA METÁLICA COM GUIAS DUPLAS PARA PAREDES COM ÁREA LÍQUIDA MENOR QUE 6 M2, COM VÃOS. AF_07/2023_PS</v>
          </cell>
          <cell r="D7946" t="str">
            <v>M2</v>
          </cell>
          <cell r="E7946">
            <v>234.91</v>
          </cell>
          <cell r="F7946">
            <v>0</v>
          </cell>
        </row>
        <row r="7947">
          <cell r="B7947">
            <v>96367</v>
          </cell>
          <cell r="C7947" t="str">
            <v>PAREDE COM SISTEMA EM CHAPAS DE GESSO PARA DRYWALL, USO INTERNO, COM DUAS FACES DUPLAS E ESTRUTURA METÁLICA COM GUIAS SIMPLES PARA PAREDES COM ÁREA LÍQUIDA MAIOR OU IGUAL A 6 M2, COM VÃOS. AF_07/2023_PS</v>
          </cell>
          <cell r="D7947" t="str">
            <v>M2</v>
          </cell>
          <cell r="E7947">
            <v>161.88</v>
          </cell>
          <cell r="F7947">
            <v>0</v>
          </cell>
        </row>
        <row r="7948">
          <cell r="B7948">
            <v>104722</v>
          </cell>
          <cell r="C7948" t="str">
            <v>PAREDE COM SISTEMA EM CHAPAS DE GESSO PARA DRYWALL, USO INTERNO, COM DUAS FACES DUPLAS E ESTRUTURA METÁLICA COM GUIAS SIMPLES PARA PAREDES COM ÁREA LÍQUIDA MENOR QUE 6 M2, COM VÃOS. AF_07/2023_PS</v>
          </cell>
          <cell r="D7948" t="str">
            <v>M2</v>
          </cell>
          <cell r="E7948">
            <v>184.81</v>
          </cell>
          <cell r="F7948">
            <v>0</v>
          </cell>
        </row>
        <row r="7949">
          <cell r="B7949">
            <v>96366</v>
          </cell>
          <cell r="C7949" t="str">
            <v>PAREDE COM SISTEMA EM CHAPAS DE GESSO PARA DRYWALL, USO INTERNO, COM DUAS FACES DUPLAS E ESTRUTURA METÁLICA COM GUIAS SIMPLES, SEM VÃOS. AF_07/2023_PS</v>
          </cell>
          <cell r="D7949" t="str">
            <v>M2</v>
          </cell>
          <cell r="E7949">
            <v>149.57</v>
          </cell>
          <cell r="F7949">
            <v>0</v>
          </cell>
        </row>
        <row r="7950">
          <cell r="B7950">
            <v>96361</v>
          </cell>
          <cell r="C7950" t="str">
            <v>PAREDE COM SISTEMA EM CHAPAS DE GESSO PARA DRYWALL, USO INTERNO, COM DUAS FACES SIMPLES E ESTRUTURA METÁLICA COM GUIAS DUPLAS PARA PAREDES COM ÁREA LÍQUIDA MAIOR OU IGUAL A 6 M2, COM VÃOS. AF_07/2023_PS</v>
          </cell>
          <cell r="D7950" t="str">
            <v>M2</v>
          </cell>
          <cell r="E7950">
            <v>139.26</v>
          </cell>
          <cell r="F7950">
            <v>0</v>
          </cell>
        </row>
        <row r="7951">
          <cell r="B7951">
            <v>104719</v>
          </cell>
          <cell r="C7951" t="str">
            <v>PAREDE COM SISTEMA EM CHAPAS DE GESSO PARA DRYWALL, USO INTERNO, COM DUAS FACES SIMPLES E ESTRUTURA METÁLICA COM GUIAS DUPLAS PARA PAREDES COM ÁREA LÍQUIDA MENOR QUE 6 M2, COM VÃOS. AF_07/2023_PS</v>
          </cell>
          <cell r="D7951" t="str">
            <v>M2</v>
          </cell>
          <cell r="E7951">
            <v>174.54</v>
          </cell>
          <cell r="F7951">
            <v>0</v>
          </cell>
        </row>
        <row r="7952">
          <cell r="B7952">
            <v>96360</v>
          </cell>
          <cell r="C7952" t="str">
            <v>PAREDE COM SISTEMA EM CHAPAS DE GESSO PARA DRYWALL, USO INTERNO, COM DUAS FACES SIMPLES E ESTRUTURA METÁLICA COM GUIAS DUPLAS, SEM VÃOS. AF_07/2023_PS</v>
          </cell>
          <cell r="D7952" t="str">
            <v>M2</v>
          </cell>
          <cell r="E7952">
            <v>119.48</v>
          </cell>
          <cell r="F7952">
            <v>0</v>
          </cell>
        </row>
        <row r="7953">
          <cell r="B7953">
            <v>96359</v>
          </cell>
          <cell r="C7953" t="str">
            <v>PAREDE COM SISTEMA EM CHAPAS DE GESSO PARA DRYWALL, USO INTERNO, COM DUAS FACES SIMPLES E ESTRUTURA METÁLICA COM GUIAS SIMPLES PARA PAREDES COM ÁREA LÍQUIDA MAIOR OU IGUAL A 6 M2, COM VÃOS. AF_07/2023_PS</v>
          </cell>
          <cell r="D7953" t="str">
            <v>M2</v>
          </cell>
          <cell r="E7953">
            <v>104.79</v>
          </cell>
          <cell r="F7953">
            <v>0</v>
          </cell>
        </row>
        <row r="7954">
          <cell r="B7954">
            <v>104718</v>
          </cell>
          <cell r="C7954" t="str">
            <v>PAREDE COM SISTEMA EM CHAPAS DE GESSO PARA DRYWALL, USO INTERNO, COM DUAS FACES SIMPLES E ESTRUTURA METÁLICA COM GUIAS SIMPLES PARA PAREDES COM ÁREA LÍQUIDA MENOR QUE 6 M2, COM VÃOS. AF_07/2023_PS</v>
          </cell>
          <cell r="D7954" t="str">
            <v>M2</v>
          </cell>
          <cell r="E7954">
            <v>124.45</v>
          </cell>
          <cell r="F7954">
            <v>0</v>
          </cell>
        </row>
        <row r="7955">
          <cell r="B7955">
            <v>96358</v>
          </cell>
          <cell r="C7955" t="str">
            <v>PAREDE COM SISTEMA EM CHAPAS DE GESSO PARA DRYWALL, USO INTERNO, COM DUAS FACES SIMPLES E ESTRUTURA METÁLICA COM GUIAS SIMPLES, SEM VÃOS. AF_07/2023_PS</v>
          </cell>
          <cell r="D7955" t="str">
            <v>M2</v>
          </cell>
          <cell r="E7955">
            <v>94.1</v>
          </cell>
          <cell r="F7955">
            <v>0</v>
          </cell>
        </row>
        <row r="7956">
          <cell r="B7956">
            <v>96371</v>
          </cell>
          <cell r="C7956" t="str">
            <v>PAREDE COM SISTEMA EM CHAPAS DE GESSO PARA DRYWALL, USO INTERNO, COM UMA FACE SIMPLES E ESTRUTURA METÁLICA COM GUIAS SIMPLES PARA PAREDES COM ÁREA LÍQUIDA MAIOR OU IGUAL A 6 M2, COM VÃOS. AF_07/2023_PS</v>
          </cell>
          <cell r="D7956" t="str">
            <v>M2</v>
          </cell>
          <cell r="E7956">
            <v>71.23</v>
          </cell>
          <cell r="F7956">
            <v>0</v>
          </cell>
        </row>
        <row r="7957">
          <cell r="B7957">
            <v>104724</v>
          </cell>
          <cell r="C7957" t="str">
            <v>PAREDE COM SISTEMA EM CHAPAS DE GESSO PARA DRYWALL, USO INTERNO, COM UMA FACE SIMPLES E ESTRUTURA METÁLICA COM GUIAS SIMPLES PARA PAREDES COM ÁREA LÍQUIDA MENOR QUE 6 M2, COM VÃOS. AF_07/2023_PS</v>
          </cell>
          <cell r="D7957" t="str">
            <v>M2</v>
          </cell>
          <cell r="E7957">
            <v>89.27</v>
          </cell>
          <cell r="F7957">
            <v>0</v>
          </cell>
        </row>
        <row r="7958">
          <cell r="B7958">
            <v>96370</v>
          </cell>
          <cell r="C7958" t="str">
            <v>PAREDE COM SISTEMA EM CHAPAS DE GESSO PARA DRYWALL, USO INTERNO, COM UMA FACE SIMPLES E ESTRUTURA METÁLICA COM GUIAS SIMPLES, SEM VÃOS. AF_07/2023_PS</v>
          </cell>
          <cell r="D7958" t="str">
            <v>M2</v>
          </cell>
          <cell r="E7958">
            <v>61.39</v>
          </cell>
          <cell r="F7958">
            <v>0</v>
          </cell>
        </row>
        <row r="7959">
          <cell r="B7959">
            <v>96365</v>
          </cell>
          <cell r="C7959" t="str">
            <v>PAREDE COM SISTEMA EM CHAPAS DE GESSO PARA DRYWALL, USO INTERNO, COM UMA FACE SIMPLES E OUTRA FACE DUPLA E ESTRUTURA METÁLICA COM GUIAS DUPLAS PARA PAREDES COM ÁREA LÍQUIDA MAIOR OU IGUAL A 6 M2, COM VÃOS. AF_07/2023_PS</v>
          </cell>
          <cell r="D7959" t="str">
            <v>M2</v>
          </cell>
          <cell r="E7959">
            <v>167.84</v>
          </cell>
          <cell r="F7959">
            <v>0</v>
          </cell>
        </row>
        <row r="7960">
          <cell r="B7960">
            <v>104721</v>
          </cell>
          <cell r="C7960" t="str">
            <v>PAREDE COM SISTEMA EM CHAPAS DE GESSO PARA DRYWALL, USO INTERNO, COM UMA FACE SIMPLES E OUTRA FACE DUPLA E ESTRUTURA METÁLICA COM GUIAS DUPLAS PARA PAREDES COM ÁREA LÍQUIDA MENOR QUE 6 M2, COM VÃOS. AF_07/2023_PS</v>
          </cell>
          <cell r="D7960" t="str">
            <v>M2</v>
          </cell>
          <cell r="E7960">
            <v>204.73</v>
          </cell>
          <cell r="F7960">
            <v>0</v>
          </cell>
        </row>
        <row r="7961">
          <cell r="B7961">
            <v>96363</v>
          </cell>
          <cell r="C7961" t="str">
            <v>PAREDE COM SISTEMA EM CHAPAS DE GESSO PARA DRYWALL, USO INTERNO, COM UMA FACE SIMPLES E OUTRA FACE DUPLA E ESTRUTURA METÁLICA COM GUIAS SIMPLES PARA PAREDES COM ÁREA LÍQUIDA MAIOR OU IGUAL A 6 M2, COM VÃOS. AF_07/2023_PS</v>
          </cell>
          <cell r="D7961" t="str">
            <v>M2</v>
          </cell>
          <cell r="E7961">
            <v>133.34</v>
          </cell>
          <cell r="F7961">
            <v>0</v>
          </cell>
        </row>
        <row r="7962">
          <cell r="B7962">
            <v>104720</v>
          </cell>
          <cell r="C7962" t="str">
            <v>PAREDE COM SISTEMA EM CHAPAS DE GESSO PARA DRYWALL, USO INTERNO, COM UMA FACE SIMPLES E OUTRA FACE DUPLA E ESTRUTURA METÁLICA COM GUIAS SIMPLES PARA PAREDES COM ÁREA LÍQUIDA MENOR QUE 6 M2, COM VÃOS. AF_07/2023_PS</v>
          </cell>
          <cell r="D7962" t="str">
            <v>M2</v>
          </cell>
          <cell r="E7962">
            <v>154.63</v>
          </cell>
          <cell r="F7962">
            <v>0</v>
          </cell>
        </row>
        <row r="7963">
          <cell r="B7963">
            <v>96362</v>
          </cell>
          <cell r="C7963" t="str">
            <v>PAREDE COM SISTEMA EM CHAPAS DE GESSO PARA DRYWALL, USO INTERNO, COM UMA FACE SIMPLES E OUTRA FACE DUPLA E ESTRUTURA METÁLICA COM GUIAS SIMPLES, SEM VÃOS. AF_07/2023_PS</v>
          </cell>
          <cell r="D7963" t="str">
            <v>M2</v>
          </cell>
          <cell r="E7963">
            <v>121.84</v>
          </cell>
          <cell r="F7963">
            <v>0</v>
          </cell>
        </row>
        <row r="7964">
          <cell r="B7964">
            <v>103191</v>
          </cell>
          <cell r="C7964" t="str">
            <v>INSTALAÇÃO DE ALONGADOR COM TRÊS ALTURAS, EM TUBO DE AÇO CARBONO - EQUIPAMENTO DE GINASTICA PARA ACADEMIA AO AR LIVRE / ACADEMIA DA TERCEIRA IDADE - ATI, INSTALADO SOBRE SOLO. AF_10/2021</v>
          </cell>
          <cell r="D7964" t="str">
            <v>UN</v>
          </cell>
          <cell r="E7964">
            <v>2400.8000000000002</v>
          </cell>
          <cell r="F7964">
            <v>0</v>
          </cell>
        </row>
        <row r="7965">
          <cell r="B7965">
            <v>103206</v>
          </cell>
          <cell r="C7965" t="str">
            <v>INSTALAÇÃO DE ALONGADOR COM TRÊS ALTURAS, EM TUBO DE AÇO CARBONO - EQUIPAMENTO DE GINÁSTICA PARA ACADEMIA AO AR LIVRE / ACADEMIA DA TERCEIRA IDADE - ATI, INSTALADO SOBRE PISO DE CONCRETO EXISTENTE. AF_10/2021</v>
          </cell>
          <cell r="D7965" t="str">
            <v>UN</v>
          </cell>
          <cell r="E7965">
            <v>2425.08</v>
          </cell>
          <cell r="F7965">
            <v>0</v>
          </cell>
        </row>
        <row r="7966">
          <cell r="B7966">
            <v>103211</v>
          </cell>
          <cell r="C7966" t="str">
            <v>INSTALAÇÃO DE BALANÇO DE 2 LUGARES COM ESTRUTURA DE MADEIRA TRATADA, INSTALADO SOBRE PISO DE CONCRETO EXISTENTE. AF_10/2021</v>
          </cell>
          <cell r="D7966" t="str">
            <v>UN</v>
          </cell>
          <cell r="E7966">
            <v>0</v>
          </cell>
        </row>
        <row r="7967">
          <cell r="B7967">
            <v>103196</v>
          </cell>
          <cell r="C7967" t="str">
            <v>INSTALAÇÃO DE BALANÇO DE 2 LUGARES COM ESTRUTURA DE MADEIRA TRATADA, INSTALADO SOBRE SOLO. AF_10/2021</v>
          </cell>
          <cell r="D7967" t="str">
            <v>UN</v>
          </cell>
          <cell r="E7967">
            <v>0</v>
          </cell>
        </row>
        <row r="7968">
          <cell r="B7968">
            <v>103212</v>
          </cell>
          <cell r="C7968" t="str">
            <v>INSTALAÇÃO DE BALANÇO DE 2 LUGARES COM ESTRUTURA METÁLICA EM TUBOS DE AÇO CARBONO, INSTALADO SOBRE PISO DE CONCRETO EXISTENTE. AF_10/2021</v>
          </cell>
          <cell r="D7968" t="str">
            <v>UN</v>
          </cell>
          <cell r="E7968">
            <v>0</v>
          </cell>
        </row>
        <row r="7969">
          <cell r="B7969">
            <v>103197</v>
          </cell>
          <cell r="C7969" t="str">
            <v>INSTALAÇÃO DE BALANÇO DE 2 LUGARES COM ESTRUTURA METÁLICA EM TUBOS DE AÇO CARBONO, INSTALADO SOBRE SOLO. AF_10/2021</v>
          </cell>
          <cell r="D7969" t="str">
            <v>UN</v>
          </cell>
          <cell r="E7969">
            <v>0</v>
          </cell>
        </row>
        <row r="7970">
          <cell r="B7970">
            <v>103217</v>
          </cell>
          <cell r="C7970" t="str">
            <v>INSTALAÇÃO DE CASINHA DE MADEIRA TRATADA COM RAMPA ESCALADA, ESCORREGADOR E ESCADA MARINHEIRO, INSTALADO SOBRE PISO DE CONCRETO EXISTENTE. AF_10/2021</v>
          </cell>
          <cell r="D7970" t="str">
            <v>UN</v>
          </cell>
          <cell r="E7970">
            <v>0</v>
          </cell>
        </row>
        <row r="7971">
          <cell r="B7971">
            <v>103202</v>
          </cell>
          <cell r="C7971" t="str">
            <v>INSTALAÇÃO DE CASINHA DE MADEIRA TRATADA COM RAMPA ESCALADA, ESCORREGADOR E ESCADA MARINHEIRO, INSTALADO SOBRE SOLO. AF_10/2021</v>
          </cell>
          <cell r="D7971" t="str">
            <v>UN</v>
          </cell>
          <cell r="E7971">
            <v>0</v>
          </cell>
        </row>
        <row r="7972">
          <cell r="B7972">
            <v>103215</v>
          </cell>
          <cell r="C7972" t="str">
            <v>INSTALAÇÃO DE ESCORREGADOR DE MADEIRA TRATADA, INSTALADO SOBRE PISO DE CONCRETO EXISTENTE. AF_10/2021</v>
          </cell>
          <cell r="D7972" t="str">
            <v>UN</v>
          </cell>
          <cell r="E7972">
            <v>0</v>
          </cell>
        </row>
        <row r="7973">
          <cell r="B7973">
            <v>103200</v>
          </cell>
          <cell r="C7973" t="str">
            <v>INSTALAÇÃO DE ESCORREGADOR DE MADEIRA TRATADA, INSTALADO SOBRE SOLO. AF_10/2021</v>
          </cell>
          <cell r="D7973" t="str">
            <v>UN</v>
          </cell>
          <cell r="E7973">
            <v>0</v>
          </cell>
        </row>
        <row r="7974">
          <cell r="B7974">
            <v>103216</v>
          </cell>
          <cell r="C7974" t="str">
            <v>INSTALAÇÃO DE ESCORREGADOR METÁLICO EM TUBOS E CHAPAS DE AÇO CARBONO, INSTALADO SOBRE PISO DE CONCRETO EXISTENTE. AF_10/2021</v>
          </cell>
          <cell r="D7974" t="str">
            <v>UN</v>
          </cell>
          <cell r="E7974">
            <v>0</v>
          </cell>
        </row>
        <row r="7975">
          <cell r="B7975">
            <v>103201</v>
          </cell>
          <cell r="C7975" t="str">
            <v>INSTALAÇÃO DE ESCORREGADOR METÁLICO EM TUBOS E CHAPAS DE AÇO CARBONO, INSTALADO SOBRE SOLO. AF_10/2021</v>
          </cell>
          <cell r="D7975" t="str">
            <v>UN</v>
          </cell>
          <cell r="E7975">
            <v>0</v>
          </cell>
        </row>
        <row r="7976">
          <cell r="B7976">
            <v>103185</v>
          </cell>
          <cell r="C7976" t="str">
            <v>INSTALAÇÃO DE ESQUI TRIPLO, EM TUBO DE AÇO CARBONO - EQUIPAMENTO DE GINÁSTICA PARA ACADEMIA AO AR LIVRE / ACADEMIA DA TERCEIRA IDADE - ATI, INSTALADO SOBRE PISO DE CONCRETO EXISTENTE. AF_10/2021</v>
          </cell>
          <cell r="D7976" t="str">
            <v>UN</v>
          </cell>
          <cell r="E7976">
            <v>6197.57</v>
          </cell>
          <cell r="F7976">
            <v>0</v>
          </cell>
        </row>
        <row r="7977">
          <cell r="B7977">
            <v>103218</v>
          </cell>
          <cell r="C7977" t="str">
            <v>INSTALAÇÃO DE GAIOLA LABIRINTO METÁLICA EM TUBOS DE AÇO CARBONO, INSTALADA SOBRE PISO DE CONCRETO EXISTENTE. AF_10/2021</v>
          </cell>
          <cell r="D7977" t="str">
            <v>UN</v>
          </cell>
          <cell r="E7977">
            <v>0</v>
          </cell>
        </row>
        <row r="7978">
          <cell r="B7978">
            <v>103203</v>
          </cell>
          <cell r="C7978" t="str">
            <v>INSTALAÇÃO DE GAIOLA LABIRINTO METÁLICA EM TUBOS DE AÇO CARBONO, INSTALADO SOBRE SOLO. AF_10/2021</v>
          </cell>
          <cell r="D7978" t="str">
            <v>UN</v>
          </cell>
          <cell r="E7978">
            <v>0</v>
          </cell>
        </row>
        <row r="7979">
          <cell r="B7979">
            <v>103213</v>
          </cell>
          <cell r="C7979" t="str">
            <v>INSTALAÇÃO DE GANGORRA SIMPLES DE MADEIRA TRATADA, INSTALADA SOBRE PISO DE CONCRETO EXISTENTE. AF_10/2021</v>
          </cell>
          <cell r="D7979" t="str">
            <v>UN</v>
          </cell>
          <cell r="E7979">
            <v>0</v>
          </cell>
        </row>
        <row r="7980">
          <cell r="B7980">
            <v>103198</v>
          </cell>
          <cell r="C7980" t="str">
            <v>INSTALAÇÃO DE GANGORRA SIMPLES DE MADEIRA TRATADA, INSTALADA SOBRE SOLO. AF_10/2021</v>
          </cell>
          <cell r="D7980" t="str">
            <v>UN</v>
          </cell>
          <cell r="E7980">
            <v>0</v>
          </cell>
        </row>
        <row r="7981">
          <cell r="B7981">
            <v>103214</v>
          </cell>
          <cell r="C7981" t="str">
            <v>INSTALAÇÃO DE GANGORRA SIMPLES METÁLICA EM TUBOS DE AÇO CARBONO, INSTALADA SOBRE PISO DE CONCRETO EXISTENTE. AF_10/2021</v>
          </cell>
          <cell r="D7981" t="str">
            <v>UN</v>
          </cell>
          <cell r="E7981">
            <v>0</v>
          </cell>
        </row>
        <row r="7982">
          <cell r="B7982">
            <v>103199</v>
          </cell>
          <cell r="C7982" t="str">
            <v>INSTALAÇÃO DE GANGORRA SIMPLES METÁLICA EM TUBOS DE AÇO CARBONO, INSTALADA SOBRE SOLO. AF_10/2021</v>
          </cell>
          <cell r="D7982" t="str">
            <v>UN</v>
          </cell>
          <cell r="E7982">
            <v>0</v>
          </cell>
        </row>
        <row r="7983">
          <cell r="B7983">
            <v>103219</v>
          </cell>
          <cell r="C7983" t="str">
            <v>INSTALAÇÃO DE GIRA-GIRA METÁLICO EM TUBOS DE AÇO CARBONO, INSTALADO SOBRE PISO DE CONCRETO EXISTENTE. AF_10/2021</v>
          </cell>
          <cell r="D7983" t="str">
            <v>UN</v>
          </cell>
          <cell r="E7983">
            <v>0</v>
          </cell>
        </row>
        <row r="7984">
          <cell r="B7984">
            <v>103204</v>
          </cell>
          <cell r="C7984" t="str">
            <v>INSTALAÇÃO DE GIRA-GIRA METÁLICO EM TUBOS DE AÇO CARBONO, INSTALADO SOBRE SOLO. AF_10/2021</v>
          </cell>
          <cell r="D7984" t="str">
            <v>UN</v>
          </cell>
          <cell r="E7984">
            <v>0</v>
          </cell>
        </row>
        <row r="7985">
          <cell r="B7985">
            <v>103186</v>
          </cell>
          <cell r="C7985" t="str">
            <v>INSTALAÇÃO DE MULTIEXERCITADOR COM SEIS FUNÇÕES, EM TUBO DE AÇO CARBONO - EQUIPAMENTO DE GINÁSTICA PARA ACADEMIA AO AR LIVRE / ACADEMIA DA TERCEIRA IDADE - ATI, INSTALADO SOBRE PISO DE CONCRETO EXISTENTE. AF_10/2021</v>
          </cell>
          <cell r="D7985" t="str">
            <v>UN</v>
          </cell>
          <cell r="E7985">
            <v>6504.88</v>
          </cell>
          <cell r="F7985">
            <v>0</v>
          </cell>
        </row>
        <row r="7986">
          <cell r="B7986">
            <v>103210</v>
          </cell>
          <cell r="C7986" t="str">
            <v>INSTALAÇÃO DE PLACA ORIENTATIVA SOBRE EXERCÍCIOS, 2,00M X 1,00M, EM TUBO DE AÇO CARBONO - PARA ACADEMIA AO AR LIVRE / ACADEMIA DA TERCEIRA IDADE - ATI, INSTALADO SOBRE PISO DE CONCRETO EXISTENTE. AF_10/2021</v>
          </cell>
          <cell r="D7986" t="str">
            <v>UN</v>
          </cell>
          <cell r="E7986">
            <v>2356.52</v>
          </cell>
          <cell r="F7986">
            <v>0</v>
          </cell>
        </row>
        <row r="7987">
          <cell r="B7987">
            <v>103195</v>
          </cell>
          <cell r="C7987" t="str">
            <v>INSTALAÇÃO DE PLACA ORIENTATIVA SOBRE EXERCÍCIOS, 2,00M X 1,00M, EM TUBO DE AÇO CARBONO - PARA ACADEMIA AO AR LIVRE / ACADEMIA DA TERCEIRA IDADE - ATI, INSTALADO SOBRE SOLO. AF_10/2021</v>
          </cell>
          <cell r="D7987" t="str">
            <v>UN</v>
          </cell>
          <cell r="E7987">
            <v>2216.64</v>
          </cell>
          <cell r="F7987">
            <v>0</v>
          </cell>
        </row>
        <row r="7988">
          <cell r="B7988">
            <v>103205</v>
          </cell>
          <cell r="C7988" t="str">
            <v>INSTALAÇÃO DE PRESSÃO DE PERNAS TRIPLO, EM TUBO DE AÇO CARBONO - EQUIPAMENTO DE GINÁSTICA PARA ACADEMIA AO AR LIVRE / ACADEMIA DA TERCEIRA IDADE - ATI, INSTALADO SOBRE PISO DE CONCRETO EXISTENTE. AF_10/2021</v>
          </cell>
          <cell r="D7988" t="str">
            <v>UN</v>
          </cell>
          <cell r="E7988">
            <v>4133.46</v>
          </cell>
          <cell r="F7988">
            <v>0</v>
          </cell>
        </row>
        <row r="7989">
          <cell r="B7989">
            <v>103190</v>
          </cell>
          <cell r="C7989" t="str">
            <v>INSTALAÇÃO DE PRESSÃO DE PERNAS TRIPLO, EM TUBO DE AÇO CARBONO - EQUIPAMENTO DE GINÁSTICA PARA ACADEMIA AO AR LIVRE / ACADEMIA DA TERCEIRA IDADE - ATI, INSTALADO SOBRE SOLO. AF_10/2021</v>
          </cell>
          <cell r="D7989" t="str">
            <v>UN</v>
          </cell>
          <cell r="E7989">
            <v>4109.18</v>
          </cell>
          <cell r="F7989">
            <v>0</v>
          </cell>
        </row>
        <row r="7990">
          <cell r="B7990">
            <v>103207</v>
          </cell>
          <cell r="C7990" t="str">
            <v>INSTALAÇÃO DE ROTAÇÃO DIAGONAL DUPLA, APARELHO TRIPLO, EM TUBO DE AÇO CARBONO - EQUIPAMENTO DE GINÁSTICA PARA ACADEMIA AO AR LIVRE / ACADEMIA DA TERCEIRA IDADE - ATI, INSTALADO SOBRE PISO DE CONCRETO EXISTENTE. AF_10/2021</v>
          </cell>
          <cell r="D7990" t="str">
            <v>UN</v>
          </cell>
          <cell r="E7990">
            <v>2578.7199999999998</v>
          </cell>
          <cell r="F7990">
            <v>0</v>
          </cell>
        </row>
        <row r="7991">
          <cell r="B7991">
            <v>103192</v>
          </cell>
          <cell r="C7991" t="str">
            <v>INSTALAÇÃO DE ROTAÇÃO DIAGONAL DUPLA, APARELHO TRIPLO, EM TUBO DE AÇO CARBONO - EQUIPAMENTO DE GINÁSTICA PARA ACADEMIA AO AR LIVRE / ACADEMIA DA TERCEIRA IDADE - ATI, INSTALADO SOBRE SOLO. AF_10/2021</v>
          </cell>
          <cell r="D7991" t="str">
            <v>UN</v>
          </cell>
          <cell r="E7991">
            <v>2554.44</v>
          </cell>
          <cell r="F7991">
            <v>0</v>
          </cell>
        </row>
        <row r="7992">
          <cell r="B7992">
            <v>103208</v>
          </cell>
          <cell r="C7992" t="str">
            <v>INSTALAÇÃO DE ROTAÇÃO VERTICAL DUPLO, EM TUBO DE ACO CARBONO - EQUIPAMENTO DE GINASTICA PARA ACADEMIA AO AR LIVRE / ACADEMIA DA TERCEIRA IDADE - ATI, INSTALADO SOBRE PISO DE CONCRETO EXISTENTE. AF_10/2021</v>
          </cell>
          <cell r="D7992" t="str">
            <v>UN</v>
          </cell>
          <cell r="E7992">
            <v>1997.45</v>
          </cell>
          <cell r="F7992">
            <v>0</v>
          </cell>
        </row>
        <row r="7993">
          <cell r="B7993">
            <v>103193</v>
          </cell>
          <cell r="C7993" t="str">
            <v>INSTALAÇÃO DE ROTAÇÃO VERTICAL DUPLO, EM TUBO DE AÇO CARBONO - EQUIPAMENTO DE GINÁSTICA PARA ACADEMIA AO AR LIVRE / ACADEMIA DA TERCEIRA IDADE - ATI, INSTALADO SOBRE SOLO. AF_10/2021</v>
          </cell>
          <cell r="D7993" t="str">
            <v>UN</v>
          </cell>
          <cell r="E7993">
            <v>1973.17</v>
          </cell>
          <cell r="F7993">
            <v>0</v>
          </cell>
        </row>
        <row r="7994">
          <cell r="B7994">
            <v>103187</v>
          </cell>
          <cell r="C7994" t="str">
            <v>INSTALAÇÃO DE SIMULADOR DE CAMINHADA TRIPLO, EM TUBO DE AÇO CARBONO - EQUIPAMENTO DE GINÁSTICA PARA ACADEMIA AO AR LIVRE / ACADEMIA DA TERCEIRA IDADE - ATI, INSTALADO SOBRE PISO DE CONCRETO EXISTENTE. AF_10/2021</v>
          </cell>
          <cell r="D7994" t="str">
            <v>UN</v>
          </cell>
          <cell r="E7994">
            <v>4907.1499999999996</v>
          </cell>
          <cell r="F7994">
            <v>0</v>
          </cell>
        </row>
        <row r="7995">
          <cell r="B7995">
            <v>103188</v>
          </cell>
          <cell r="C7995" t="str">
            <v>INSTALAÇÃO DE SIMULADOR DE CAVALGADA TRIPLO, EM TUBO DE AÇO CARBONO - EQUIPAMENTO DE GINÁSTICA PARA ACADEMIA AO AR LIVRE / ACADEMIA DA TERCEIRA IDADE - ATI, INSTALADO SOBRE PISO DE CONCRETO EXISTENTE. AF_10/2021</v>
          </cell>
          <cell r="D7995" t="str">
            <v>UN</v>
          </cell>
          <cell r="E7995">
            <v>5266.13</v>
          </cell>
          <cell r="F7995">
            <v>0</v>
          </cell>
        </row>
        <row r="7996">
          <cell r="B7996">
            <v>103189</v>
          </cell>
          <cell r="C7996" t="str">
            <v>INSTALAÇÃO DE SIMULADOR DE REMO INDIVIDUAL, EM TUBO DE AÇO CARBONO - EQUIPAMENTO DE GINÁSTICA PARA ACADEMIA AO AR LIVRE / ACADEMIA DA TERCEIRA IDADE - ATI, INSTALADO SOBRE PISO DE CONCRETO EXISTENTE. AF_10/2021</v>
          </cell>
          <cell r="D7996" t="str">
            <v>UN</v>
          </cell>
          <cell r="E7996">
            <v>2644.25</v>
          </cell>
          <cell r="F7996">
            <v>0</v>
          </cell>
        </row>
        <row r="7997">
          <cell r="B7997">
            <v>103209</v>
          </cell>
          <cell r="C7997" t="str">
            <v>INSTALAÇÃO DE SURF DUPLO, EM TUBO DE AÇO CARBONO - EQUIPAMENTO DE GINÁSTICA PARA ACADEMIA AO AR LIVRE / ACADEMIA DA TERCEIRA IDADE - ATI, INSTALADO SOBRE PISO DE CONCRETO EXISTENTE. AF_10/2021</v>
          </cell>
          <cell r="D7997" t="str">
            <v>UN</v>
          </cell>
          <cell r="E7997">
            <v>2855.42</v>
          </cell>
          <cell r="F7997">
            <v>0</v>
          </cell>
        </row>
        <row r="7998">
          <cell r="B7998">
            <v>103194</v>
          </cell>
          <cell r="C7998" t="str">
            <v>INSTALAÇÃO DE SURF DUPLO, EM TUBO DE AÇO CARBONO - EQUIPAMENTO DE GINÁSTICA PARA ACADEMIA AO AR LIVRE / ACADEMIA DA TERCEIRA IDADE - ATI, INSTALADO SOBRE SOLO. AF_10/2021</v>
          </cell>
          <cell r="D7998" t="str">
            <v>UN</v>
          </cell>
          <cell r="E7998">
            <v>2831.14</v>
          </cell>
          <cell r="F7998">
            <v>0</v>
          </cell>
        </row>
        <row r="7999">
          <cell r="B7999">
            <v>95001</v>
          </cell>
          <cell r="C7999" t="str">
            <v>EXECUÇÃO DE PASSEIO (CALÇADA) COM CONCRETO MOLDADO IN LOCO, FEITO EM OBRA, ACABAMENTO ESTAMPADO, ESPESSURA 6 CM, ARMADO. AF_08/2022</v>
          </cell>
          <cell r="D7999" t="str">
            <v>M2</v>
          </cell>
          <cell r="E7999">
            <v>0</v>
          </cell>
        </row>
        <row r="8000">
          <cell r="B8000">
            <v>95000</v>
          </cell>
          <cell r="C8000" t="str">
            <v>EXECUÇÃO DE PASSEIO (CALÇADA) COM CONCRETO MOLDADO IN LOCO, FEITO EM OBRA, ACABAMENTO ESTAMPADO, ESPESSURA 6 CM, NÃO ARMADO. AF_08/2022</v>
          </cell>
          <cell r="D8000" t="str">
            <v>M2</v>
          </cell>
          <cell r="E8000">
            <v>0</v>
          </cell>
        </row>
        <row r="8001">
          <cell r="B8001">
            <v>95005</v>
          </cell>
          <cell r="C8001" t="str">
            <v>EXECUÇÃO DE PASSEIO (CALÇADA) COM CONCRETO MOLDADO IN LOCO, FEITO EM OBRA, ACABAMENTO ESTAMPADO, ESPESSURA 8 CM, ARMADO. AF_08/2022</v>
          </cell>
          <cell r="D8001" t="str">
            <v>M2</v>
          </cell>
          <cell r="E8001">
            <v>0</v>
          </cell>
        </row>
        <row r="8002">
          <cell r="B8002">
            <v>95004</v>
          </cell>
          <cell r="C8002" t="str">
            <v>EXECUÇÃO DE PASSEIO (CALÇADA) COM CONCRETO MOLDADO IN LOCO, FEITO EM OBRA, ACABAMENTO ESTAMPADO, ESPESSURA 8 CM, NÃO ARMADO. AF_08/2022</v>
          </cell>
          <cell r="D8002" t="str">
            <v>M2</v>
          </cell>
          <cell r="E8002">
            <v>0</v>
          </cell>
        </row>
        <row r="8003">
          <cell r="B8003">
            <v>95003</v>
          </cell>
          <cell r="C8003" t="str">
            <v>EXECUÇÃO DE PASSEIO (CALÇADA) COM CONCRETO MOLDADO IN LOCO, USINADO, ACABAMENTO ESTAMPADO, ESPESSURA 6 CM, ARMADO. AF_08/2022</v>
          </cell>
          <cell r="D8003" t="str">
            <v>M2</v>
          </cell>
          <cell r="E8003">
            <v>0</v>
          </cell>
        </row>
        <row r="8004">
          <cell r="B8004">
            <v>95002</v>
          </cell>
          <cell r="C8004" t="str">
            <v>EXECUÇÃO DE PASSEIO (CALÇADA) COM CONCRETO MOLDADO IN LOCO, USINADO, ACABAMENTO ESTAMPADO, ESPESSURA 6 CM, NÃO ARMADO. AF_08/2022</v>
          </cell>
          <cell r="D8004" t="str">
            <v>M2</v>
          </cell>
          <cell r="E8004">
            <v>0</v>
          </cell>
        </row>
        <row r="8005">
          <cell r="B8005">
            <v>95007</v>
          </cell>
          <cell r="C8005" t="str">
            <v>EXECUÇÃO DE PASSEIO (CALÇADA) COM CONCRETO MOLDADO IN LOCO, USINADO, ACABAMENTO ESTAMPADO, ESPESSURA 8 CM, ARMADO. AF_08/2022</v>
          </cell>
          <cell r="D8005" t="str">
            <v>M2</v>
          </cell>
          <cell r="E8005">
            <v>0</v>
          </cell>
        </row>
        <row r="8006">
          <cell r="B8006">
            <v>95006</v>
          </cell>
          <cell r="C8006" t="str">
            <v>EXECUÇÃO DE PASSEIO (CALÇADA) COM CONCRETO MOLDADO IN LOCO, USINADO, ACABAMENTO ESTAMPADO, ESPESSURA 8 CM, NÃO ARMADO. AF_08/2022</v>
          </cell>
          <cell r="D8006" t="str">
            <v>M2</v>
          </cell>
          <cell r="E8006">
            <v>0</v>
          </cell>
        </row>
        <row r="8007">
          <cell r="B8007">
            <v>104313</v>
          </cell>
          <cell r="C8007" t="str">
            <v>EXECUÇÃO DE PASSEIO (CALÇADA) COM PLACAS DE CONCRETO PRÉ-FABRICADAS, ASSENTADAS COM ARGAMASSA, PLACAS DE 100 X 100 CM, NÃO ARMADO. AF_08/2022</v>
          </cell>
          <cell r="D8007" t="str">
            <v>M2</v>
          </cell>
          <cell r="E8007">
            <v>0</v>
          </cell>
        </row>
        <row r="8008">
          <cell r="B8008">
            <v>104312</v>
          </cell>
          <cell r="C8008" t="str">
            <v>EXECUÇÃO DE PASSEIO (CALÇADA) COM PLACAS DE CONCRETO PRÉ-FABRICADAS, ASSENTADAS COM ARGAMASSA, PLACAS DE 40 X 40 CM, NÃO ARMADO. AF_08/2022</v>
          </cell>
          <cell r="D8008" t="str">
            <v>M2</v>
          </cell>
          <cell r="E8008">
            <v>0</v>
          </cell>
        </row>
        <row r="8009">
          <cell r="B8009">
            <v>94992</v>
          </cell>
          <cell r="C8009" t="str">
            <v>EXECUÇÃO DE PASSEIO (CALÇADA) OU PISO DE CONCRETO COM CONCRETO MOLDADO IN LOCO, FEITO EM OBRA, ACABAMENTO CONVENCIONAL, ESPESSURA 6 CM, ARMADO. AF_08/2022</v>
          </cell>
          <cell r="D8009" t="str">
            <v>M2</v>
          </cell>
          <cell r="E8009">
            <v>77.53</v>
          </cell>
          <cell r="F8009">
            <v>0</v>
          </cell>
        </row>
        <row r="8010">
          <cell r="B8010">
            <v>94994</v>
          </cell>
          <cell r="C8010" t="str">
            <v>EXECUÇÃO DE PASSEIO (CALÇADA) OU PISO DE CONCRETO COM CONCRETO MOLDADO IN LOCO, FEITO EM OBRA, ACABAMENTO CONVENCIONAL, ESPESSURA 8 CM, ARMADO. AF_08/2022</v>
          </cell>
          <cell r="D8010" t="str">
            <v>M2</v>
          </cell>
          <cell r="E8010">
            <v>94.06</v>
          </cell>
          <cell r="F8010">
            <v>0</v>
          </cell>
        </row>
        <row r="8011">
          <cell r="B8011">
            <v>94990</v>
          </cell>
          <cell r="C8011" t="str">
            <v>EXECUÇÃO DE PASSEIO (CALÇADA) OU PISO DE CONCRETO COM CONCRETO MOLDADO IN LOCO, FEITO EM OBRA, ACABAMENTO CONVENCIONAL, NÃO ARMADO. AF_08/2022</v>
          </cell>
          <cell r="D8011" t="str">
            <v>M3</v>
          </cell>
          <cell r="E8011">
            <v>795</v>
          </cell>
          <cell r="F8011">
            <v>0</v>
          </cell>
        </row>
        <row r="8012">
          <cell r="B8012">
            <v>94991</v>
          </cell>
          <cell r="C8012" t="str">
            <v>EXECUÇÃO DE PASSEIO (CALÇADA) OU PISO DE CONCRETO COM CONCRETO MOLDADO IN LOCO, USINADO C20, ACABAMENTO CONVENCIONAL, NÃO ARMADO. AF_08/2022</v>
          </cell>
          <cell r="D8012" t="str">
            <v>M3</v>
          </cell>
          <cell r="E8012">
            <v>672.75</v>
          </cell>
          <cell r="F8012">
            <v>0</v>
          </cell>
        </row>
        <row r="8013">
          <cell r="B8013">
            <v>104626</v>
          </cell>
          <cell r="C8013" t="str">
            <v>EXECUÇÃO DE PASSEIO (CALÇADA) OU PISO DE CONCRETO COM CONCRETO MOLDADO IN LOCO, USINADO C25, ACABAMENTO CONVENCIONAL, NÃO ARMADO. AF_03/2023</v>
          </cell>
          <cell r="D8013" t="str">
            <v>M3</v>
          </cell>
          <cell r="E8013">
            <v>687.71</v>
          </cell>
          <cell r="F8013">
            <v>0</v>
          </cell>
        </row>
        <row r="8014">
          <cell r="B8014">
            <v>94993</v>
          </cell>
          <cell r="C8014" t="str">
            <v>EXECUÇÃO DE PASSEIO (CALÇADA) OU PISO DE CONCRETO COM CONCRETO MOLDADO IN LOCO, USINADO, ACABAMENTO CONVENCIONAL, ESPESSURA 6 CM, ARMADO. AF_08/2022</v>
          </cell>
          <cell r="D8014" t="str">
            <v>M2</v>
          </cell>
          <cell r="E8014">
            <v>70.19</v>
          </cell>
          <cell r="F8014">
            <v>0</v>
          </cell>
        </row>
        <row r="8015">
          <cell r="B8015">
            <v>94995</v>
          </cell>
          <cell r="C8015" t="str">
            <v>EXECUÇÃO DE PASSEIO (CALÇADA) OU PISO DE CONCRETO COM CONCRETO MOLDADO IN LOCO, USINADO, ACABAMENTO CONVENCIONAL, ESPESSURA 8 CM, ARMADO. AF_08/2022</v>
          </cell>
          <cell r="D8015" t="str">
            <v>M2</v>
          </cell>
          <cell r="E8015">
            <v>84.27</v>
          </cell>
          <cell r="F8015">
            <v>0</v>
          </cell>
        </row>
        <row r="8016">
          <cell r="B8016">
            <v>101169</v>
          </cell>
          <cell r="C8016" t="str">
            <v>EXECUÇÃO DE PAVIMENTO EM PARALELEPÍPEDOS, REJUNTAMENTO COM ARGAMASSA TRAÇO 1:3 (CIMENTO E AREIA). AF_05/2020</v>
          </cell>
          <cell r="D8016" t="str">
            <v>M2</v>
          </cell>
          <cell r="E8016">
            <v>153.78</v>
          </cell>
          <cell r="F8016">
            <v>0</v>
          </cell>
        </row>
        <row r="8017">
          <cell r="B8017">
            <v>104383</v>
          </cell>
          <cell r="C8017" t="str">
            <v>EXECUÇÃO DE PAVIMENTO EM PARALELEPÍPEDOS, REJUNTAMENTO COM PEDRISCO E EMULSÃO ASFÁLTICA. AF_05/2020</v>
          </cell>
          <cell r="D8017" t="str">
            <v>M2</v>
          </cell>
          <cell r="E8017">
            <v>0</v>
          </cell>
        </row>
        <row r="8018">
          <cell r="B8018">
            <v>101167</v>
          </cell>
          <cell r="C8018" t="str">
            <v>EXECUÇÃO DE PAVIMENTO EM PARALELEPÍPEDOS, REJUNTAMENTO COM PÓ DE PEDRA. AF_05/2020</v>
          </cell>
          <cell r="D8018" t="str">
            <v>M2</v>
          </cell>
          <cell r="E8018">
            <v>137.77000000000001</v>
          </cell>
          <cell r="F8018">
            <v>0</v>
          </cell>
        </row>
        <row r="8019">
          <cell r="B8019">
            <v>101172</v>
          </cell>
          <cell r="C8019" t="str">
            <v>EXECUÇÃO DE PAVIMENTO EM PEDRAS POLIÉDRICAS, REJUNTAMENTO COM ARGAMASSA TRAÇO 1:3 (CIMENTO E AREIA). AF_05/2020</v>
          </cell>
          <cell r="D8019" t="str">
            <v>M2</v>
          </cell>
          <cell r="E8019">
            <v>74.23</v>
          </cell>
          <cell r="F8019">
            <v>0</v>
          </cell>
        </row>
        <row r="8020">
          <cell r="B8020">
            <v>104384</v>
          </cell>
          <cell r="C8020" t="str">
            <v>EXECUÇÃO DE PAVIMENTO EM PEDRAS POLIÉDRICAS, REJUNTAMENTO COM PEDRISCO E EMULSÃO ASFÁLTICA. AF_05/2020</v>
          </cell>
          <cell r="D8020" t="str">
            <v>M2</v>
          </cell>
          <cell r="E8020">
            <v>0</v>
          </cell>
        </row>
        <row r="8021">
          <cell r="B8021">
            <v>101170</v>
          </cell>
          <cell r="C8021" t="str">
            <v>EXECUÇÃO DE PAVIMENTO EM PEDRAS POLIÉDRICAS, REJUNTAMENTO COM PÓ DE PEDRA. AF_05/2020</v>
          </cell>
          <cell r="D8021" t="str">
            <v>M2</v>
          </cell>
          <cell r="E8021">
            <v>47.36</v>
          </cell>
          <cell r="F8021">
            <v>0</v>
          </cell>
        </row>
        <row r="8022">
          <cell r="B8022">
            <v>104438</v>
          </cell>
          <cell r="C8022" t="str">
            <v>EXECUÇÃO DE PASSEIO COM PLACAS DE CONCRETO PERMEÁVEL (DRENANTE), PRÉ-FABRICADAS, DE 40 X 40 CM, ESPESSURA 6 CM. AF_10/2022</v>
          </cell>
          <cell r="D8022" t="str">
            <v>M2</v>
          </cell>
          <cell r="E8022">
            <v>0</v>
          </cell>
        </row>
        <row r="8023">
          <cell r="B8023">
            <v>92402</v>
          </cell>
          <cell r="C8023" t="str">
            <v>EXECUÇÃO DE PASSEIO EM PISO INTERTRAVADO, COM BLOCO 16 FACES DE 22 X 11 CM, ESPESSURA 6 CM. AF_10/2022</v>
          </cell>
          <cell r="D8023" t="str">
            <v>M2</v>
          </cell>
          <cell r="E8023">
            <v>103.08</v>
          </cell>
          <cell r="F8023">
            <v>0</v>
          </cell>
        </row>
        <row r="8024">
          <cell r="B8024">
            <v>104429</v>
          </cell>
          <cell r="C8024" t="str">
            <v>EXECUÇÃO DE PASSEIO EM PISO INTERTRAVADO, COM BLOCO DE CONCRETO PERMEÁVEL (DRENANTE) 16 FACES DE 22 X 11 CM, ESPESSURA 6 CM. AF_10/2022</v>
          </cell>
          <cell r="D8024" t="str">
            <v>M2</v>
          </cell>
          <cell r="E8024">
            <v>0</v>
          </cell>
        </row>
        <row r="8025">
          <cell r="B8025">
            <v>104426</v>
          </cell>
          <cell r="C8025" t="str">
            <v>EXECUÇÃO DE PASSEIO EM PISO INTERTRAVADO, COM BLOCO DE CONCRETO PERMEÁVEL RETANGULAR DE 20 X 10 CM, ESPESSURA 6 CM. AF_10/2022</v>
          </cell>
          <cell r="D8025" t="str">
            <v>M2</v>
          </cell>
          <cell r="E8025">
            <v>0</v>
          </cell>
        </row>
        <row r="8026">
          <cell r="B8026">
            <v>104436</v>
          </cell>
          <cell r="C8026" t="str">
            <v>EXECUÇÃO DE PASSEIO EM PISO INTERTRAVADO, COM BLOCO PODOTÁTIL (ALERTA OU DIRECIONAL) QUADRADO DE 20 X 20 CM, ESPESSURA 6 CM. AF_10/2022</v>
          </cell>
          <cell r="D8026" t="str">
            <v>M2</v>
          </cell>
          <cell r="E8026">
            <v>0</v>
          </cell>
        </row>
        <row r="8027">
          <cell r="B8027">
            <v>104434</v>
          </cell>
          <cell r="C8027" t="str">
            <v>EXECUÇÃO DE PASSEIO EM PISO INTERTRAVADO, COM BLOCO PODOTÁTIL (ALERTA OU DIRECIONAL) RETANGULAR DE 20 X 10 CM, ESPESSURA 6 CM. AF_10/2022</v>
          </cell>
          <cell r="D8027" t="str">
            <v>M2</v>
          </cell>
          <cell r="E8027">
            <v>0</v>
          </cell>
        </row>
        <row r="8028">
          <cell r="B8028">
            <v>104432</v>
          </cell>
          <cell r="C8028" t="str">
            <v>EXECUÇÃO DE PASSEIO EM PISO INTERTRAVADO, COM BLOCO RAQUETE 22 X 13,5 CM, ESPESSURA 6 CM. AF_10/2022</v>
          </cell>
          <cell r="D8028" t="str">
            <v>M2</v>
          </cell>
          <cell r="E8028">
            <v>130.54</v>
          </cell>
          <cell r="F8028">
            <v>0</v>
          </cell>
        </row>
        <row r="8029">
          <cell r="B8029">
            <v>93679</v>
          </cell>
          <cell r="C8029" t="str">
            <v>EXECUÇÃO DE PASSEIO EM PISO INTERTRAVADO, COM BLOCO RETANGULAR COLORIDO DE 20 X 10 CM, ESPESSURA 6 CM. AF_10/2022</v>
          </cell>
          <cell r="D8029" t="str">
            <v>M2</v>
          </cell>
          <cell r="E8029">
            <v>125.75</v>
          </cell>
          <cell r="F8029">
            <v>0</v>
          </cell>
        </row>
        <row r="8030">
          <cell r="B8030">
            <v>92396</v>
          </cell>
          <cell r="C8030" t="str">
            <v>EXECUÇÃO DE PASSEIO EM PISO INTERTRAVADO, COM BLOCO RETANGULAR COR NATURAL DE 20 X 10 CM, ESPESSURA 6 CM. AF_10/2022</v>
          </cell>
          <cell r="D8030" t="str">
            <v>M2</v>
          </cell>
          <cell r="E8030">
            <v>106.04</v>
          </cell>
          <cell r="F8030">
            <v>0</v>
          </cell>
        </row>
        <row r="8031">
          <cell r="B8031">
            <v>104439</v>
          </cell>
          <cell r="C8031" t="str">
            <v>EXECUÇÃO DE PAVIMENTO COM PLACAS DE CONCRETO PERMEÁVEL (DRENANTE), PRÉ-FABRICADAS, DE 40 X 40 CM, ESPESSURA 6 CM. AF_10/2022</v>
          </cell>
          <cell r="D8031" t="str">
            <v>M2</v>
          </cell>
          <cell r="E8031">
            <v>0</v>
          </cell>
        </row>
        <row r="8032">
          <cell r="B8032">
            <v>104440</v>
          </cell>
          <cell r="C8032" t="str">
            <v>EXECUÇÃO DE PAVIMENTO COM PLACAS DE CONCRETO PERMEÁVEL (DRENANTE), PRÉ-FABRICADAS, DE 40 X 40 CM, ESPESSURA 8 CM. AF_10/2022</v>
          </cell>
          <cell r="D8032" t="str">
            <v>M2</v>
          </cell>
          <cell r="E8032">
            <v>0</v>
          </cell>
        </row>
        <row r="8033">
          <cell r="B8033">
            <v>92406</v>
          </cell>
          <cell r="C8033" t="str">
            <v>EXECUÇÃO DE PAVIMENTO EM PISO INTERTRAVADO, COM BLOCO 16 FACES DE 22 X 11 CM, ESPESSURA 10 CM. AF_10/2022</v>
          </cell>
          <cell r="D8033" t="str">
            <v>M2</v>
          </cell>
          <cell r="E8033">
            <v>178.5</v>
          </cell>
          <cell r="F8033">
            <v>0</v>
          </cell>
        </row>
        <row r="8034">
          <cell r="B8034">
            <v>92403</v>
          </cell>
          <cell r="C8034" t="str">
            <v>EXECUÇÃO DE PAVIMENTO EM PISO INTERTRAVADO, COM BLOCO 16 FACES DE 22 X 11 CM, ESPESSURA 6 CM. AF_10/2022</v>
          </cell>
          <cell r="D8034" t="str">
            <v>M2</v>
          </cell>
          <cell r="E8034">
            <v>88.8</v>
          </cell>
          <cell r="F8034">
            <v>0</v>
          </cell>
        </row>
        <row r="8035">
          <cell r="B8035">
            <v>92404</v>
          </cell>
          <cell r="C8035" t="str">
            <v>EXECUÇÃO DE PAVIMENTO EM PISO INTERTRAVADO, COM BLOCO 16 FACES DE 22 X 11 CM, ESPESSURA 8 CM. AF_10/2022</v>
          </cell>
          <cell r="D8035" t="str">
            <v>M2</v>
          </cell>
          <cell r="E8035">
            <v>103.21</v>
          </cell>
          <cell r="F8035">
            <v>0</v>
          </cell>
        </row>
        <row r="8036">
          <cell r="B8036">
            <v>104430</v>
          </cell>
          <cell r="C8036" t="str">
            <v>EXECUÇÃO DE PAVIMENTO EM PISO INTERTRAVADO, COM BLOCO DE CONCRETO PERMEÁVEL (DRENANTE) 16 FACES DE 22 X 11 CM, ESPESSURA 6 CM. AF_10/2022</v>
          </cell>
          <cell r="D8036" t="str">
            <v>M2</v>
          </cell>
          <cell r="E8036">
            <v>0</v>
          </cell>
        </row>
        <row r="8037">
          <cell r="B8037">
            <v>104431</v>
          </cell>
          <cell r="C8037" t="str">
            <v>EXECUÇÃO DE PAVIMENTO EM PISO INTERTRAVADO, COM BLOCO DE CONCRETO PERMEÁVEL (DRENANTE) 16 FACES DE 22 X 11 CM, ESPESSURA 8 CM. AF_10/2022</v>
          </cell>
          <cell r="D8037" t="str">
            <v>M2</v>
          </cell>
          <cell r="E8037">
            <v>0</v>
          </cell>
        </row>
        <row r="8038">
          <cell r="B8038">
            <v>104427</v>
          </cell>
          <cell r="C8038" t="str">
            <v>EXECUÇÃO DE PAVIMENTO EM PISO INTERTRAVADO, COM BLOCO DE CONCRETO PERMEÁVEL (DRENANTE) RETANGULAR DE 20 X 10 CM, ESPESSURA 6 CM. AF_10/2022</v>
          </cell>
          <cell r="D8038" t="str">
            <v>M2</v>
          </cell>
          <cell r="E8038">
            <v>0</v>
          </cell>
        </row>
        <row r="8039">
          <cell r="B8039">
            <v>104428</v>
          </cell>
          <cell r="C8039" t="str">
            <v>EXECUÇÃO DE PAVIMENTO EM PISO INTERTRAVADO, COM BLOCO DE CONCRETO PERMEÁVEL (DRENANTE) RETANGULAR DE 20 X 10 CM, ESPESSURA 8 CM. AF_10/2022</v>
          </cell>
          <cell r="D8039" t="str">
            <v>M2</v>
          </cell>
          <cell r="E8039">
            <v>0</v>
          </cell>
        </row>
        <row r="8040">
          <cell r="B8040">
            <v>92391</v>
          </cell>
          <cell r="C8040" t="str">
            <v>EXECUÇÃO DE PAVIMENTO EM PISO INTERTRAVADO, COM BLOCO PISOGRAMA DE 35 X 15 CM, ESPESSURA 6 CM. AF_10/2022</v>
          </cell>
          <cell r="D8040" t="str">
            <v>M2</v>
          </cell>
          <cell r="E8040">
            <v>96.67</v>
          </cell>
          <cell r="F8040">
            <v>0</v>
          </cell>
        </row>
        <row r="8041">
          <cell r="B8041">
            <v>92392</v>
          </cell>
          <cell r="C8041" t="str">
            <v>EXECUÇÃO DE PAVIMENTO EM PISO INTERTRAVADO, COM BLOCO PISOGRAMA DE 35 X 15 CM, ESPESSURA 8 CM. AF_10/2022</v>
          </cell>
          <cell r="D8041" t="str">
            <v>M2</v>
          </cell>
          <cell r="E8041">
            <v>106</v>
          </cell>
          <cell r="F8041">
            <v>0</v>
          </cell>
        </row>
        <row r="8042">
          <cell r="B8042">
            <v>104437</v>
          </cell>
          <cell r="C8042" t="str">
            <v>EXECUÇÃO DE PAVIMENTO EM PISO INTERTRAVADO, COM BLOCO PODOTÁTIL (ALERTA OU DIRECIONAL) QUADRADO DE 20 X 20 CM, ESPESSURA 6 CM. AF_10/2022</v>
          </cell>
          <cell r="D8042" t="str">
            <v>M2</v>
          </cell>
          <cell r="E8042">
            <v>0</v>
          </cell>
        </row>
        <row r="8043">
          <cell r="B8043">
            <v>104435</v>
          </cell>
          <cell r="C8043" t="str">
            <v>EXECUÇÃO DE PAVIMENTO EM PISO INTERTRAVADO, COM BLOCO PODOTÁTIL (ALERTA OU DIRECIONAL) RETANGULAR DE 20 X 10 CM, ESPESSURA 6 CM. AF_10/2022</v>
          </cell>
          <cell r="D8043" t="str">
            <v>M2</v>
          </cell>
          <cell r="E8043">
            <v>0</v>
          </cell>
        </row>
        <row r="8044">
          <cell r="B8044">
            <v>104433</v>
          </cell>
          <cell r="C8044" t="str">
            <v>EXECUÇÃO DE PAVIMENTO EM PISO INTERTRAVADO, COM BLOCO RAQUETE 22 X 13,5 CM, ESPESSURA 6 CM. AF_10/2022</v>
          </cell>
          <cell r="D8044" t="str">
            <v>M2</v>
          </cell>
          <cell r="E8044">
            <v>114.54</v>
          </cell>
          <cell r="F8044">
            <v>0</v>
          </cell>
        </row>
        <row r="8045">
          <cell r="B8045">
            <v>93680</v>
          </cell>
          <cell r="C8045" t="str">
            <v>EXECUÇÃO DE PAVIMENTO EM PISO INTERTRAVADO, COM BLOCO RETANGULAR COLORIDO DE 20 X 10 CM, ESPESSURA 6 CM. AF_10/2022</v>
          </cell>
          <cell r="D8045" t="str">
            <v>M2</v>
          </cell>
          <cell r="E8045">
            <v>111.41</v>
          </cell>
          <cell r="F8045">
            <v>0</v>
          </cell>
        </row>
        <row r="8046">
          <cell r="B8046">
            <v>93681</v>
          </cell>
          <cell r="C8046" t="str">
            <v>EXECUÇÃO DE PAVIMENTO EM PISO INTERTRAVADO, COM BLOCO RETANGULAR COLORIDO DE 20 X 10 CM, ESPESSURA 8 CM. AF_10/2022</v>
          </cell>
          <cell r="D8046" t="str">
            <v>M2</v>
          </cell>
          <cell r="E8046">
            <v>133.5</v>
          </cell>
          <cell r="F8046">
            <v>0</v>
          </cell>
        </row>
        <row r="8047">
          <cell r="B8047">
            <v>92397</v>
          </cell>
          <cell r="C8047" t="str">
            <v>EXECUÇÃO DE PAVIMENTO EM PISO INTERTRAVADO, COM BLOCO RETANGULAR COR NATURAL DE 20 X 10 CM, ESPESSURA 6 CM. AF_10/2022</v>
          </cell>
          <cell r="D8047" t="str">
            <v>M2</v>
          </cell>
          <cell r="E8047">
            <v>92.19</v>
          </cell>
          <cell r="F8047">
            <v>0</v>
          </cell>
        </row>
        <row r="8048">
          <cell r="B8048">
            <v>92398</v>
          </cell>
          <cell r="C8048" t="str">
            <v>EXECUÇÃO DE PAVIMENTO EM PISO INTERTRAVADO, COM BLOCO RETANGULAR COR NATURAL DE 20 X 10 CM, ESPESSURA 8 CM. AF_10/2022</v>
          </cell>
          <cell r="D8048" t="str">
            <v>M2</v>
          </cell>
          <cell r="E8048">
            <v>106.61</v>
          </cell>
          <cell r="F8048">
            <v>0</v>
          </cell>
        </row>
        <row r="8049">
          <cell r="B8049">
            <v>92400</v>
          </cell>
          <cell r="C8049" t="str">
            <v>EXECUÇÃO DE PAVIMENTO EM PISO INTERTRAVADO, COM BLOCO RETANGULAR DE 20 X 10 CM, ESPESSURA 10 CM. AF_10/2022</v>
          </cell>
          <cell r="D8049" t="str">
            <v>M2</v>
          </cell>
          <cell r="E8049">
            <v>124.87</v>
          </cell>
          <cell r="F8049">
            <v>0</v>
          </cell>
        </row>
        <row r="8050">
          <cell r="B8050">
            <v>92395</v>
          </cell>
          <cell r="C8050" t="str">
            <v>EXECUÇÃO DE PAVIMENTO EM PISO INTERTRAVADO, COM BLOCO SEXTAVADO DE 25 X 25 CM, ESPESSURA 10 CM. AF_10/2022</v>
          </cell>
          <cell r="D8050" t="str">
            <v>M2</v>
          </cell>
          <cell r="E8050">
            <v>152.93</v>
          </cell>
          <cell r="F8050">
            <v>0</v>
          </cell>
        </row>
        <row r="8051">
          <cell r="B8051">
            <v>92393</v>
          </cell>
          <cell r="C8051" t="str">
            <v>EXECUÇÃO DE PAVIMENTO EM PISO INTERTRAVADO, COM BLOCO SEXTAVADO DE 25 X 25 CM, ESPESSURA 6 CM. AF_10/2022</v>
          </cell>
          <cell r="D8051" t="str">
            <v>M2</v>
          </cell>
          <cell r="E8051">
            <v>96.95</v>
          </cell>
          <cell r="F8051">
            <v>0</v>
          </cell>
        </row>
        <row r="8052">
          <cell r="B8052">
            <v>92394</v>
          </cell>
          <cell r="C8052" t="str">
            <v>EXECUÇÃO DE PAVIMENTO EM PISO INTERTRAVADO, COM BLOCO SEXTAVADO DE 25 X 25 CM, ESPESSURA 8 CM. AF_10/2022</v>
          </cell>
          <cell r="D8052" t="str">
            <v>M2</v>
          </cell>
          <cell r="E8052">
            <v>116.61</v>
          </cell>
          <cell r="F8052">
            <v>0</v>
          </cell>
        </row>
        <row r="8053">
          <cell r="B8053">
            <v>97115</v>
          </cell>
          <cell r="C8053" t="str">
            <v>APLICAÇÃO DE GRAXA EM BARRAS DE TRANSFERÊNCIA PARA EXECUÇÃO DE PAVIMENTO DE CONCRETO. AF_04/2022</v>
          </cell>
          <cell r="D8053" t="str">
            <v>KG</v>
          </cell>
          <cell r="E8053">
            <v>65.25</v>
          </cell>
          <cell r="F8053">
            <v>0</v>
          </cell>
        </row>
        <row r="8054">
          <cell r="B8054">
            <v>97113</v>
          </cell>
          <cell r="C8054" t="str">
            <v>APLICAÇÃO DE LONA PLÁSTICA PARA EXECUÇÃO DE PAVIMENTOS DE CONCRETO. AF_04/2022</v>
          </cell>
          <cell r="D8054" t="str">
            <v>M2</v>
          </cell>
          <cell r="E8054">
            <v>2.92</v>
          </cell>
          <cell r="F8054">
            <v>0</v>
          </cell>
        </row>
        <row r="8055">
          <cell r="B8055">
            <v>97120</v>
          </cell>
          <cell r="C8055" t="str">
            <v>BARRAS DE LIGAÇÃO, AÇO CA-50 DE 10 MM, PARA EXECUÇÃO DE PAVIMENTO DE CONCRETO - FORNECIMENTO E INSTALAÇÃO. AF_04/2022</v>
          </cell>
          <cell r="D8055" t="str">
            <v>KG</v>
          </cell>
          <cell r="E8055">
            <v>8.24</v>
          </cell>
          <cell r="F8055">
            <v>0</v>
          </cell>
        </row>
        <row r="8056">
          <cell r="B8056">
            <v>97116</v>
          </cell>
          <cell r="C8056" t="str">
            <v>BARRAS DE TRANSFERÊNCIA, AÇO CA-25 DE 16,0 MM, PARA EXECUÇÃO DE PAVIMENTO DE CONCRETO - FORNECIMENTO E INSTALAÇÃO. AF_04/2022</v>
          </cell>
          <cell r="D8056" t="str">
            <v>KG</v>
          </cell>
          <cell r="E8056">
            <v>23.01</v>
          </cell>
          <cell r="F8056">
            <v>0</v>
          </cell>
        </row>
        <row r="8057">
          <cell r="B8057">
            <v>97117</v>
          </cell>
          <cell r="C8057" t="str">
            <v>BARRAS DE TRANSFERÊNCIA, AÇO CA-25 DE 20,0 MM, PARA EXECUÇÃO DE PAVIMENTO DE CONCRETO - FORNECIMENTO E INSTALAÇÃO. AF_04/2022</v>
          </cell>
          <cell r="D8057" t="str">
            <v>KG</v>
          </cell>
          <cell r="E8057">
            <v>18.84</v>
          </cell>
          <cell r="F8057">
            <v>0</v>
          </cell>
        </row>
        <row r="8058">
          <cell r="B8058">
            <v>97118</v>
          </cell>
          <cell r="C8058" t="str">
            <v>BARRAS DE TRANSFERÊNCIA, AÇO CA-25 DE 25,0 MM, PARA EXECUÇÃO DE PAVIMENTO DE CONCRETO - FORNECIMENTO E INSTALAÇÃO. AF_04/2022</v>
          </cell>
          <cell r="D8058" t="str">
            <v>KG</v>
          </cell>
          <cell r="E8058">
            <v>14.95</v>
          </cell>
          <cell r="F8058">
            <v>0</v>
          </cell>
        </row>
        <row r="8059">
          <cell r="B8059">
            <v>97119</v>
          </cell>
          <cell r="C8059" t="str">
            <v>BARRAS DE TRANSFERÊNCIA, AÇO CA-25 DE 32,0 MM, PARA EXECUÇÃO DE PAVIMENTO DE CONCRETO - FORNECIMENTO E INSTALAÇÃO. AF_04/2022</v>
          </cell>
          <cell r="D8059" t="str">
            <v>KG</v>
          </cell>
          <cell r="E8059">
            <v>12.84</v>
          </cell>
          <cell r="F8059">
            <v>0</v>
          </cell>
        </row>
        <row r="8060">
          <cell r="B8060">
            <v>97114</v>
          </cell>
          <cell r="C8060" t="str">
            <v>EXECUÇÃO DE JUNTAS DE CONTRAÇÃO PARA PAVIMENTOS DE CONCRETO. AF_04/2022</v>
          </cell>
          <cell r="D8060" t="str">
            <v>M</v>
          </cell>
          <cell r="E8060">
            <v>0.51</v>
          </cell>
          <cell r="F8060">
            <v>0</v>
          </cell>
        </row>
        <row r="8061">
          <cell r="B8061">
            <v>97111</v>
          </cell>
          <cell r="C8061" t="str">
            <v>EXECUÇÃO DE PAVIMENTO DE CONCRETO ARMADO (PCA), FCK = 30 MPA, ESPESSURA DE 15,0 CM. AF_04/2022</v>
          </cell>
          <cell r="D8061" t="str">
            <v>M2</v>
          </cell>
          <cell r="E8061">
            <v>195.18</v>
          </cell>
          <cell r="F8061">
            <v>0</v>
          </cell>
        </row>
        <row r="8062">
          <cell r="B8062">
            <v>97112</v>
          </cell>
          <cell r="C8062" t="str">
            <v>EXECUÇÃO DE PAVIMENTO DE CONCRETO ARMADO (PCA), FCK = 30 MPA, ESPESSURA DE 17,5 CM. AF_04/2022</v>
          </cell>
          <cell r="D8062" t="str">
            <v>M2</v>
          </cell>
          <cell r="E8062">
            <v>202.26</v>
          </cell>
          <cell r="F8062">
            <v>0</v>
          </cell>
        </row>
        <row r="8063">
          <cell r="B8063">
            <v>103904</v>
          </cell>
          <cell r="C8063" t="str">
            <v>EXECUÇÃO DE PAVIMENTO DE CONCRETO SIMPLES (PCS), FCK = 35 MPA, ESPESSURA DE 15,0 CM. AF_04/2022</v>
          </cell>
          <cell r="D8063" t="str">
            <v>M2</v>
          </cell>
          <cell r="E8063">
            <v>121.26</v>
          </cell>
          <cell r="F8063">
            <v>0</v>
          </cell>
        </row>
        <row r="8064">
          <cell r="B8064">
            <v>103905</v>
          </cell>
          <cell r="C8064" t="str">
            <v>EXECUÇÃO DE PAVIMENTO DE CONCRETO SIMPLES (PCS), FCK = 35 MPA, ESPESSURA DE 16,0 CM. AF_04/2022</v>
          </cell>
          <cell r="D8064" t="str">
            <v>M2</v>
          </cell>
          <cell r="E8064">
            <v>127.95</v>
          </cell>
          <cell r="F8064">
            <v>0</v>
          </cell>
        </row>
        <row r="8065">
          <cell r="B8065">
            <v>103907</v>
          </cell>
          <cell r="C8065" t="str">
            <v>EXECUÇÃO DE PAVIMENTO DE CONCRETO SIMPLES (PCS), FCK = 35 MPA, ESPESSURA DE 17,5 CM. AF_04/2022</v>
          </cell>
          <cell r="D8065" t="str">
            <v>M2</v>
          </cell>
          <cell r="E8065">
            <v>133.85</v>
          </cell>
          <cell r="F8065">
            <v>0</v>
          </cell>
        </row>
        <row r="8066">
          <cell r="B8066">
            <v>103911</v>
          </cell>
          <cell r="C8066" t="str">
            <v>EXECUÇÃO DE PAVIMENTO DE CONCRETO SIMPLES (PCS), FCK = 35 MPA, ESPESSURA DE 25,0 CM. AF_04/2022</v>
          </cell>
          <cell r="D8066" t="str">
            <v>M2</v>
          </cell>
          <cell r="E8066">
            <v>193.57</v>
          </cell>
          <cell r="F8066">
            <v>0</v>
          </cell>
        </row>
        <row r="8067">
          <cell r="B8067">
            <v>97104</v>
          </cell>
          <cell r="C8067" t="str">
            <v>EXECUÇÃO DE PAVIMENTO DE CONCRETO SIMPLES (PCS), FCK = 40 MPA, ESPESSURA DE 15,0 CM. AF_04/2022</v>
          </cell>
          <cell r="D8067" t="str">
            <v>M2</v>
          </cell>
          <cell r="E8067">
            <v>124.5</v>
          </cell>
          <cell r="F8067">
            <v>0</v>
          </cell>
        </row>
        <row r="8068">
          <cell r="B8068">
            <v>103906</v>
          </cell>
          <cell r="C8068" t="str">
            <v>EXECUÇÃO DE PAVIMENTO DE CONCRETO SIMPLES (PCS), FCK = 40 MPA, ESPESSURA DE 16,0 CM. AF_04/2022</v>
          </cell>
          <cell r="D8068" t="str">
            <v>M2</v>
          </cell>
          <cell r="E8068">
            <v>159.36000000000001</v>
          </cell>
          <cell r="F8068">
            <v>0</v>
          </cell>
        </row>
        <row r="8069">
          <cell r="B8069">
            <v>97105</v>
          </cell>
          <cell r="C8069" t="str">
            <v>EXECUÇÃO DE PAVIMENTO DE CONCRETO SIMPLES (PCS), FCK = 40 MPA, ESPESSURA DE 17,5 CM. AF_04/2022</v>
          </cell>
          <cell r="D8069" t="str">
            <v>M2</v>
          </cell>
          <cell r="E8069">
            <v>140.43</v>
          </cell>
          <cell r="F8069">
            <v>0</v>
          </cell>
        </row>
        <row r="8070">
          <cell r="B8070">
            <v>97106</v>
          </cell>
          <cell r="C8070" t="str">
            <v>EXECUÇÃO DE PAVIMENTO DE CONCRETO SIMPLES (PCS), FCK = 40 MPA, ESPESSURA DE 20,0 CM. AF_04/2022</v>
          </cell>
          <cell r="D8070" t="str">
            <v>M2</v>
          </cell>
          <cell r="E8070">
            <v>155.29</v>
          </cell>
          <cell r="F8070">
            <v>0</v>
          </cell>
        </row>
        <row r="8071">
          <cell r="B8071">
            <v>97107</v>
          </cell>
          <cell r="C8071" t="str">
            <v>EXECUÇÃO DE PAVIMENTO DE CONCRETO SIMPLES (PCS), FCK = 40 MPA, ESPESSURA DE 22,5 CM. AF_04/2022</v>
          </cell>
          <cell r="D8071" t="str">
            <v>M2</v>
          </cell>
          <cell r="E8071">
            <v>176.21</v>
          </cell>
          <cell r="F8071">
            <v>0</v>
          </cell>
        </row>
        <row r="8072">
          <cell r="B8072">
            <v>97108</v>
          </cell>
          <cell r="C8072" t="str">
            <v>EXECUÇÃO DE PAVIMENTO DE CONCRETO SIMPLES (PCS), FCK = 40 MPA, ESPESSURA DE 25,0 CM. AF_04/2022</v>
          </cell>
          <cell r="D8072" t="str">
            <v>M2</v>
          </cell>
          <cell r="E8072">
            <v>198.97</v>
          </cell>
          <cell r="F8072">
            <v>0</v>
          </cell>
        </row>
        <row r="8073">
          <cell r="B8073">
            <v>97109</v>
          </cell>
          <cell r="C8073" t="str">
            <v>EXECUÇÃO DE PAVIMENTO DE CONCRETO SIMPLES (PCS), FCK = 40 MPA, ESPESSURA DE 27,5 CM. AF_04/2022</v>
          </cell>
          <cell r="D8073" t="str">
            <v>M2</v>
          </cell>
          <cell r="E8073">
            <v>219.25</v>
          </cell>
          <cell r="F8073">
            <v>0</v>
          </cell>
        </row>
        <row r="8074">
          <cell r="B8074">
            <v>103913</v>
          </cell>
          <cell r="C8074" t="str">
            <v>EXECUÇÃO DE PISO INDUSTRIAL DE CONCRETO ARMADO, FCK = 20 MPA, ESPESSURA DE 12,0 CM. AF_04/2022</v>
          </cell>
          <cell r="D8074" t="str">
            <v>M2</v>
          </cell>
          <cell r="E8074">
            <v>112.68</v>
          </cell>
          <cell r="F8074">
            <v>0</v>
          </cell>
        </row>
        <row r="8075">
          <cell r="B8075">
            <v>103914</v>
          </cell>
          <cell r="C8075" t="str">
            <v>EXECUÇÃO DE PISO INDUSTRIAL DE CONCRETO ARMADO, FCK = 20 MPA, ESPESSURA DE 14,0 CM. AF_04/2022</v>
          </cell>
          <cell r="D8075" t="str">
            <v>M2</v>
          </cell>
          <cell r="E8075">
            <v>130.55000000000001</v>
          </cell>
          <cell r="F8075">
            <v>0</v>
          </cell>
        </row>
        <row r="8076">
          <cell r="B8076">
            <v>103915</v>
          </cell>
          <cell r="C8076" t="str">
            <v>EXECUÇÃO DE PISO INDUSTRIAL DE CONCRETO ARMADO, FCK = 20 MPA, ESPESSURA DE 15,0 CM. AF_04/2022</v>
          </cell>
          <cell r="D8076" t="str">
            <v>M2</v>
          </cell>
          <cell r="E8076">
            <v>141.94999999999999</v>
          </cell>
          <cell r="F8076">
            <v>0</v>
          </cell>
        </row>
        <row r="8077">
          <cell r="B8077">
            <v>103916</v>
          </cell>
          <cell r="C8077" t="str">
            <v>EXECUÇÃO DE PISO INDUSTRIAL DE CONCRETO ARMADO, FCK = 20 MPA, ESPESSURA DE 18,0 CM. AF_04/2022</v>
          </cell>
          <cell r="D8077" t="str">
            <v>M2</v>
          </cell>
          <cell r="E8077">
            <v>162.35</v>
          </cell>
          <cell r="F8077">
            <v>0</v>
          </cell>
        </row>
        <row r="8078">
          <cell r="B8078">
            <v>103917</v>
          </cell>
          <cell r="C8078" t="str">
            <v>EXECUÇÃO DE PISO INDUSTRIAL DE CONCRETO ARMADO, FCK = 20 MPA, ESPESSURA DE 20,0 CM. AF_04/2022</v>
          </cell>
          <cell r="D8078" t="str">
            <v>M2</v>
          </cell>
          <cell r="E8078">
            <v>185.88</v>
          </cell>
          <cell r="F8078">
            <v>0</v>
          </cell>
        </row>
        <row r="8079">
          <cell r="B8079">
            <v>103918</v>
          </cell>
          <cell r="C8079" t="str">
            <v>EXECUÇÃO DE PISO INDUSTRIAL DE CONCRETO ARMADO, FCK = 20 MPA, ESPESSURA DE 22,0 CM. AF_04/2022</v>
          </cell>
          <cell r="D8079" t="str">
            <v>M2</v>
          </cell>
          <cell r="E8079">
            <v>196.86</v>
          </cell>
          <cell r="F8079">
            <v>0</v>
          </cell>
        </row>
        <row r="8080">
          <cell r="B8080">
            <v>103919</v>
          </cell>
          <cell r="C8080" t="str">
            <v>EXECUÇÃO DE PISO INDUSTRIAL REFORÇADO COM FIBRAS, FCK = 30 MPA, ESPESSURA DE 12,0 CM. AF_04/2022</v>
          </cell>
          <cell r="D8080" t="str">
            <v>M2</v>
          </cell>
          <cell r="E8080">
            <v>0</v>
          </cell>
        </row>
        <row r="8081">
          <cell r="B8081">
            <v>103920</v>
          </cell>
          <cell r="C8081" t="str">
            <v>EXECUÇÃO DE PISO INDUSTRIAL REFORÇADO COM FIBRAS, FCK = 30 MPA, ESPESSURA DE 14,0 CM. AF_04/2022</v>
          </cell>
          <cell r="D8081" t="str">
            <v>M2</v>
          </cell>
          <cell r="E8081">
            <v>0</v>
          </cell>
        </row>
        <row r="8082">
          <cell r="B8082">
            <v>103921</v>
          </cell>
          <cell r="C8082" t="str">
            <v>EXECUÇÃO DE PISO INDUSTRIAL REFORÇADO COM FIBRAS, FCK = 30 MPA, ESPESSURA DE 16,0 CM. AF_04/2022</v>
          </cell>
          <cell r="D8082" t="str">
            <v>M2</v>
          </cell>
          <cell r="E8082">
            <v>0</v>
          </cell>
        </row>
        <row r="8083">
          <cell r="B8083">
            <v>103922</v>
          </cell>
          <cell r="C8083" t="str">
            <v>EXECUÇÃO DE PISO INDUSTRIAL REFORÇADO COM FIBRAS, FCK = 30 MPA, ESPESSURA DE 18,0 CM. AF_04/2022</v>
          </cell>
          <cell r="D8083" t="str">
            <v>M2</v>
          </cell>
          <cell r="E8083">
            <v>0</v>
          </cell>
        </row>
        <row r="8084">
          <cell r="B8084">
            <v>103923</v>
          </cell>
          <cell r="C8084" t="str">
            <v>EXECUÇÃO DE PISO INDUSTRIAL REFORÇADO COM FIBRAS, FCK = 30 MPA, ESPESSURA DE 20,0 CM. AF_04/2022</v>
          </cell>
          <cell r="D8084" t="str">
            <v>M2</v>
          </cell>
          <cell r="E8084">
            <v>0</v>
          </cell>
        </row>
        <row r="8085">
          <cell r="B8085">
            <v>103908</v>
          </cell>
          <cell r="C8085" t="str">
            <v>EXECUÇÃO PAVIMENTO DE CONCRETO SIMPLES (PCS), FCK = 35 MPA, ESPESSURA DE 20,0 CM. AF_04/2022</v>
          </cell>
          <cell r="D8085" t="str">
            <v>M2</v>
          </cell>
          <cell r="E8085">
            <v>150.97</v>
          </cell>
          <cell r="F8085">
            <v>0</v>
          </cell>
        </row>
        <row r="8086">
          <cell r="B8086">
            <v>103909</v>
          </cell>
          <cell r="C8086" t="str">
            <v>EXECUÇÃO PAVIMENTO DE CONCRETO SIMPLES (PCS), FCK = 35 MPA, ESPESSURA DE 22,5 CM. AF_04/2022</v>
          </cell>
          <cell r="D8086" t="str">
            <v>M2</v>
          </cell>
          <cell r="E8086">
            <v>171.34</v>
          </cell>
          <cell r="F8086">
            <v>0</v>
          </cell>
        </row>
        <row r="8087">
          <cell r="B8087">
            <v>103912</v>
          </cell>
          <cell r="C8087" t="str">
            <v>EXECUÇÃO PAVIMENTO DE CONCRETO SIMPLES (PCS), FCK = 35 MPA, ESPESSURA DE 27,5 CM. AF_04/2022</v>
          </cell>
          <cell r="D8087" t="str">
            <v>M2</v>
          </cell>
          <cell r="E8087">
            <v>213.3</v>
          </cell>
          <cell r="F8087">
            <v>0</v>
          </cell>
        </row>
        <row r="8088">
          <cell r="B8088">
            <v>101979</v>
          </cell>
          <cell r="C8088" t="str">
            <v>CHAPIM (RUFO CAPA) EM AÇO GALVANIZADO, CORTE 33. AF_11/2020</v>
          </cell>
          <cell r="D8088" t="str">
            <v>M</v>
          </cell>
          <cell r="E8088">
            <v>40.270000000000003</v>
          </cell>
          <cell r="F8088">
            <v>0</v>
          </cell>
        </row>
        <row r="8089">
          <cell r="B8089">
            <v>101970</v>
          </cell>
          <cell r="C8089" t="str">
            <v>CHAPIM SOBRE MUROS LINEARES, EM CONCRETO PRÉ-MOLDADO, COMPRIMENTO DE ATÉ 6 M, ASSENTADO COM ARGAMASSA 1:6 COM ADITIVO. AF_11/2020</v>
          </cell>
          <cell r="D8089" t="str">
            <v>M</v>
          </cell>
          <cell r="E8089">
            <v>0</v>
          </cell>
        </row>
        <row r="8090">
          <cell r="B8090">
            <v>101972</v>
          </cell>
          <cell r="C8090" t="str">
            <v>CHAPIM SOBRE MUROS LINEARES, EM CONCRETO PRÉ-MOLDADO, COMPRIMENTO MAIOR QUE 6 M, ASSENTADO COM ARGAMASSA 1:6 COM ADITIVO. AF_11/2020</v>
          </cell>
          <cell r="D8090" t="str">
            <v>M</v>
          </cell>
          <cell r="E8090">
            <v>0</v>
          </cell>
        </row>
        <row r="8091">
          <cell r="B8091">
            <v>101966</v>
          </cell>
          <cell r="C8091" t="str">
            <v>CHAPIM SOBRE MUROS LINEARES, EM GRANITO OU MÁRMORE, L = 25 CM, ASSENTADO COM ARGAMASSA 1:6 COM ADITIVO. AF_11/2020</v>
          </cell>
          <cell r="D8091" t="str">
            <v>M</v>
          </cell>
          <cell r="E8091">
            <v>215.22</v>
          </cell>
          <cell r="F8091">
            <v>0</v>
          </cell>
        </row>
        <row r="8092">
          <cell r="B8092">
            <v>101976</v>
          </cell>
          <cell r="C8092" t="str">
            <v>CHAPIM SOBRE MUROS NÃO LINEARES, EM CONCRETO PRÉ-MOLDADO, COMPRIMENTO DE ATÉ 6 M, ASSENTADO COM ARGAMASSA 1:6 COM ADITIVO. AF_11/2020</v>
          </cell>
          <cell r="D8092" t="str">
            <v>M</v>
          </cell>
          <cell r="E8092">
            <v>0</v>
          </cell>
        </row>
        <row r="8093">
          <cell r="B8093">
            <v>101978</v>
          </cell>
          <cell r="C8093" t="str">
            <v>CHAPIM SOBRE MUROS NÃO LINEARES, EM CONCRETO PRÉ-MOLDADO, COMPRIMENTO MAIOR QUE 6 M, ASSENTADO COM ARGAMASSA 1:6 COM ADITIVO. AF_11/2020</v>
          </cell>
          <cell r="D8093" t="str">
            <v>M</v>
          </cell>
          <cell r="E8093">
            <v>0</v>
          </cell>
        </row>
        <row r="8094">
          <cell r="B8094">
            <v>101967</v>
          </cell>
          <cell r="C8094" t="str">
            <v>PEITORIL LINEAR EM CONCRETO PRÉ-MOLDADO, COMPRIMENTO DE ATÉ 2 M, ASSENTADO COM ARGAMASSA 1:6 COM ADITIVO. AF_11/2020</v>
          </cell>
          <cell r="D8094" t="str">
            <v>M</v>
          </cell>
          <cell r="E8094">
            <v>0</v>
          </cell>
        </row>
        <row r="8095">
          <cell r="B8095">
            <v>101968</v>
          </cell>
          <cell r="C8095" t="str">
            <v>PEITORIL LINEAR EM CONCRETO PRÉ-MOLDADO, COMPRIMENTO MAIOR QUE 2 M, ASSENTADO COM ARGAMASSA 1:6 COM ADITIVO. AF_11/2020</v>
          </cell>
          <cell r="D8095" t="str">
            <v>M</v>
          </cell>
          <cell r="E8095">
            <v>0</v>
          </cell>
        </row>
        <row r="8096">
          <cell r="B8096">
            <v>101965</v>
          </cell>
          <cell r="C8096" t="str">
            <v>PEITORIL LINEAR EM GRANITO OU MÁRMORE, L = 15CM, ASSENTADO COM ARGAMASSA 1:6 COM ADITIVO. AF_11/2020</v>
          </cell>
          <cell r="D8096" t="str">
            <v>M</v>
          </cell>
          <cell r="E8096">
            <v>172.2</v>
          </cell>
          <cell r="F8096">
            <v>0</v>
          </cell>
        </row>
        <row r="8097">
          <cell r="B8097">
            <v>104100</v>
          </cell>
          <cell r="C8097" t="str">
            <v>FACHADA CORTINA EM VIDRO NO SISTEMA STICK, CONSIDERANDO MODULAÇÃO DE 1,25 X 3,20 M, COM ABERTURA, ACABAMENTO ANODIZADO OU PINTADO - FORNECIMENTO E INSTALAÇÃO. AF_06/2022</v>
          </cell>
          <cell r="D8097" t="str">
            <v>M2</v>
          </cell>
          <cell r="E8097">
            <v>0</v>
          </cell>
        </row>
        <row r="8098">
          <cell r="B8098">
            <v>104099</v>
          </cell>
          <cell r="C8098" t="str">
            <v>FACHADA CORTINA EM VIDRO NO SISTEMA STICK, CONSIDERANDO MODULAÇÃO DE 1,25 X 3,20 M, SEM ABERTURA, ACABAMENTO ANODIZADO OU PINTADO - FORNECIMENTO E INSTALAÇÃO. AF_06/2022</v>
          </cell>
          <cell r="D8098" t="str">
            <v>M2</v>
          </cell>
          <cell r="E8098">
            <v>0</v>
          </cell>
        </row>
        <row r="8099">
          <cell r="B8099">
            <v>104102</v>
          </cell>
          <cell r="C8099" t="str">
            <v>FACHADA CORTINA EM VIDRO NO SISTEMA UNITIZADO, CONSIDERANDO MODULAÇÃO DE 1,25 X 3,20 M, COM ABERTURA, ACABAMENTO ANODIZADO OU PINTADO - FORNECIMENTO E INSTALAÇÃO. AF_06/2022</v>
          </cell>
          <cell r="D8099" t="str">
            <v>M2</v>
          </cell>
          <cell r="E8099">
            <v>0</v>
          </cell>
        </row>
        <row r="8100">
          <cell r="B8100">
            <v>104101</v>
          </cell>
          <cell r="C8100" t="str">
            <v>FACHADA CORTINA EM VIDRO NO SISTEMA UNITIZADO, CONSIDERANDO MODULAÇÃO DE 1,25 X 3,20 M, SEM ABERTURA, ACABAMENTO ANODIZADO OU PINTADO - FORNECIMENTO E INSTALAÇÃO. AF_06/2022</v>
          </cell>
          <cell r="D8100" t="str">
            <v>M2</v>
          </cell>
          <cell r="E8100">
            <v>0</v>
          </cell>
        </row>
        <row r="8101">
          <cell r="B8101">
            <v>104103</v>
          </cell>
          <cell r="C8101" t="str">
            <v>FACHADA EM VIDRO NO SISTEMA SPIDER GLASS, CONSIDERANDO MÓDULOS DE 2,00 X 2,50 M, FIXADO EM ESTRUTURA METÁLICA FORNECIMENTO E INSTALAÇÃO. AF_06/2022</v>
          </cell>
          <cell r="D8101" t="str">
            <v>M2</v>
          </cell>
          <cell r="E8101">
            <v>0</v>
          </cell>
        </row>
        <row r="8102">
          <cell r="B8102">
            <v>92123</v>
          </cell>
          <cell r="C8102" t="str">
            <v>ENSACAMENTO DE AREIA. AF_01/2026</v>
          </cell>
          <cell r="D8102" t="str">
            <v>M3</v>
          </cell>
          <cell r="E8102">
            <v>112.31</v>
          </cell>
          <cell r="F8102">
            <v>0</v>
          </cell>
        </row>
        <row r="8103">
          <cell r="B8103">
            <v>106665</v>
          </cell>
          <cell r="C8103" t="str">
            <v>PENEIRAMENTO DE AREIA COM PENEIRA ELÉTRICA. AF_01/2026</v>
          </cell>
          <cell r="D8103" t="str">
            <v>M3</v>
          </cell>
          <cell r="E8103">
            <v>0</v>
          </cell>
        </row>
        <row r="8104">
          <cell r="B8104">
            <v>92122</v>
          </cell>
          <cell r="C8104" t="str">
            <v>PENEIRAMENTO DE AREIA COM PENEIRA MANUAL. AF_01/2026</v>
          </cell>
          <cell r="D8104" t="str">
            <v>M3</v>
          </cell>
          <cell r="E8104">
            <v>101.72</v>
          </cell>
          <cell r="F8104">
            <v>0</v>
          </cell>
        </row>
        <row r="8105">
          <cell r="B8105">
            <v>103615</v>
          </cell>
          <cell r="C8105" t="str">
            <v>PERFURAÇÃO HORIZONTAL DIRECIONAL E INSTALAÇÃO DE TUBULAÇÃO PEAD 110 MM, EM SOLO DE 1ª CATEGORIA. AF_01/2022</v>
          </cell>
          <cell r="D8105" t="str">
            <v>M</v>
          </cell>
          <cell r="E8105">
            <v>0</v>
          </cell>
        </row>
        <row r="8106">
          <cell r="B8106">
            <v>103637</v>
          </cell>
          <cell r="C8106" t="str">
            <v>PERFURAÇÃO HORIZONTAL DIRECIONAL E INSTALAÇÃO DE TUBULAÇÃO PEAD 110 MM, EM SOLO DE 2ª CATEGORIA. AF_01/2022</v>
          </cell>
          <cell r="D8106" t="str">
            <v>M</v>
          </cell>
          <cell r="E8106">
            <v>0</v>
          </cell>
        </row>
        <row r="8107">
          <cell r="B8107">
            <v>103593</v>
          </cell>
          <cell r="C8107" t="str">
            <v>PERFURAÇÃO HORIZONTAL DIRECIONAL E INSTALAÇÃO DE TUBULAÇÃO PEAD 110 MM, EM SOLO MOLE. AF_01/2022</v>
          </cell>
          <cell r="D8107" t="str">
            <v>M</v>
          </cell>
          <cell r="E8107">
            <v>0</v>
          </cell>
        </row>
        <row r="8108">
          <cell r="B8108">
            <v>103616</v>
          </cell>
          <cell r="C8108" t="str">
            <v>PERFURAÇÃO HORIZONTAL DIRECIONAL E INSTALAÇÃO DE TUBULAÇÃO PEAD 160 MM, EM SOLO DE 1ª CATEGORIA. AF_01/2022</v>
          </cell>
          <cell r="D8108" t="str">
            <v>M</v>
          </cell>
          <cell r="E8108">
            <v>0</v>
          </cell>
        </row>
        <row r="8109">
          <cell r="B8109">
            <v>103638</v>
          </cell>
          <cell r="C8109" t="str">
            <v>PERFURAÇÃO HORIZONTAL DIRECIONAL E INSTALAÇÃO DE TUBULAÇÃO PEAD 160 MM, EM SOLO DE 2ª CATEGORIA. AF_01/2022</v>
          </cell>
          <cell r="D8109" t="str">
            <v>M</v>
          </cell>
          <cell r="E8109">
            <v>0</v>
          </cell>
        </row>
        <row r="8110">
          <cell r="B8110">
            <v>103594</v>
          </cell>
          <cell r="C8110" t="str">
            <v>PERFURAÇÃO HORIZONTAL DIRECIONAL E INSTALAÇÃO DE TUBULAÇÃO PEAD 160 MM, EM SOLO MOLE. AF_01/2022</v>
          </cell>
          <cell r="D8110" t="str">
            <v>M</v>
          </cell>
          <cell r="E8110">
            <v>0</v>
          </cell>
        </row>
        <row r="8111">
          <cell r="B8111">
            <v>103617</v>
          </cell>
          <cell r="C8111" t="str">
            <v>PERFURAÇÃO HORIZONTAL DIRECIONAL E INSTALAÇÃO DE TUBULAÇÃO PEAD 180 MM, EM SOLO DE 1ª CATEGORIA. AF_01/2022</v>
          </cell>
          <cell r="D8111" t="str">
            <v>M</v>
          </cell>
          <cell r="E8111">
            <v>0</v>
          </cell>
        </row>
        <row r="8112">
          <cell r="B8112">
            <v>103639</v>
          </cell>
          <cell r="C8112" t="str">
            <v>PERFURAÇÃO HORIZONTAL DIRECIONAL E INSTALAÇÃO DE TUBULAÇÃO PEAD 180 MM, EM SOLO DE 2ª CATEGORIA. AF_01/2022</v>
          </cell>
          <cell r="D8112" t="str">
            <v>M</v>
          </cell>
          <cell r="E8112">
            <v>0</v>
          </cell>
        </row>
        <row r="8113">
          <cell r="B8113">
            <v>103595</v>
          </cell>
          <cell r="C8113" t="str">
            <v>PERFURAÇÃO HORIZONTAL DIRECIONAL E INSTALAÇÃO DE TUBULAÇÃO PEAD 180 MM, EM SOLO MOLE. AF_01/2022</v>
          </cell>
          <cell r="D8113" t="str">
            <v>M</v>
          </cell>
          <cell r="E8113">
            <v>0</v>
          </cell>
        </row>
        <row r="8114">
          <cell r="B8114">
            <v>103609</v>
          </cell>
          <cell r="C8114" t="str">
            <v>PERFURAÇÃO HORIZONTAL DIRECIONAL E INSTALAÇÃO DE TUBULAÇÃO PEAD 20 MM, EM SOLO DE 1ª CATEGORIA. AF_01/2022</v>
          </cell>
          <cell r="D8114" t="str">
            <v>M</v>
          </cell>
          <cell r="E8114">
            <v>0</v>
          </cell>
        </row>
        <row r="8115">
          <cell r="B8115">
            <v>103631</v>
          </cell>
          <cell r="C8115" t="str">
            <v>PERFURAÇÃO HORIZONTAL DIRECIONAL E INSTALAÇÃO DE TUBULAÇÃO PEAD 20 MM, EM SOLO DE 2ª CATEGORIA. AF_01/2022</v>
          </cell>
          <cell r="D8115" t="str">
            <v>M</v>
          </cell>
          <cell r="E8115">
            <v>0</v>
          </cell>
        </row>
        <row r="8116">
          <cell r="B8116">
            <v>103587</v>
          </cell>
          <cell r="C8116" t="str">
            <v>PERFURAÇÃO HORIZONTAL DIRECIONAL E INSTALAÇÃO DE TUBULAÇÃO PEAD 20 MM, EM SOLO MOLE. AF_01/2022</v>
          </cell>
          <cell r="D8116" t="str">
            <v>M</v>
          </cell>
          <cell r="E8116">
            <v>0</v>
          </cell>
        </row>
        <row r="8117">
          <cell r="B8117">
            <v>103618</v>
          </cell>
          <cell r="C8117" t="str">
            <v>PERFURAÇÃO HORIZONTAL DIRECIONAL E INSTALAÇÃO DE TUBULAÇÃO PEAD 200 MM, EM SOLO DE 1ª CATEGORIA. AF_01/2022</v>
          </cell>
          <cell r="D8117" t="str">
            <v>M</v>
          </cell>
          <cell r="E8117">
            <v>0</v>
          </cell>
        </row>
        <row r="8118">
          <cell r="B8118">
            <v>103640</v>
          </cell>
          <cell r="C8118" t="str">
            <v>PERFURAÇÃO HORIZONTAL DIRECIONAL E INSTALAÇÃO DE TUBULAÇÃO PEAD 200 MM, EM SOLO DE 2ª CATEGORIA. AF_01/2022</v>
          </cell>
          <cell r="D8118" t="str">
            <v>M</v>
          </cell>
          <cell r="E8118">
            <v>0</v>
          </cell>
        </row>
        <row r="8119">
          <cell r="B8119">
            <v>103596</v>
          </cell>
          <cell r="C8119" t="str">
            <v>PERFURAÇÃO HORIZONTAL DIRECIONAL E INSTALAÇÃO DE TUBULAÇÃO PEAD 200 MM, EM SOLO MOLE. AF_01/2022</v>
          </cell>
          <cell r="D8119" t="str">
            <v>M</v>
          </cell>
          <cell r="E8119">
            <v>0</v>
          </cell>
        </row>
        <row r="8120">
          <cell r="B8120">
            <v>103619</v>
          </cell>
          <cell r="C8120" t="str">
            <v>PERFURAÇÃO HORIZONTAL DIRECIONAL E INSTALAÇÃO DE TUBULAÇÃO PEAD 225 MM, EM SOLO DE 1ª CATEGORIA. AF_01/2022</v>
          </cell>
          <cell r="D8120" t="str">
            <v>M</v>
          </cell>
          <cell r="E8120">
            <v>0</v>
          </cell>
        </row>
        <row r="8121">
          <cell r="B8121">
            <v>103641</v>
          </cell>
          <cell r="C8121" t="str">
            <v>PERFURAÇÃO HORIZONTAL DIRECIONAL E INSTALAÇÃO DE TUBULAÇÃO PEAD 225 MM, EM SOLO DE 2ª CATEGORIA. AF_01/2022</v>
          </cell>
          <cell r="D8121" t="str">
            <v>M</v>
          </cell>
          <cell r="E8121">
            <v>0</v>
          </cell>
        </row>
        <row r="8122">
          <cell r="B8122">
            <v>103597</v>
          </cell>
          <cell r="C8122" t="str">
            <v>PERFURAÇÃO HORIZONTAL DIRECIONAL E INSTALAÇÃO DE TUBULAÇÃO PEAD 225 MM, EM SOLO MOLE. AF_01/2022</v>
          </cell>
          <cell r="D8122" t="str">
            <v>M</v>
          </cell>
          <cell r="E8122">
            <v>0</v>
          </cell>
        </row>
        <row r="8123">
          <cell r="B8123">
            <v>103620</v>
          </cell>
          <cell r="C8123" t="str">
            <v>PERFURAÇÃO HORIZONTAL DIRECIONAL E INSTALAÇÃO DE TUBULAÇÃO PEAD 250 MM, EM SOLO DE 1ª CATEGORIA. AF_01/2022</v>
          </cell>
          <cell r="D8123" t="str">
            <v>M</v>
          </cell>
          <cell r="E8123">
            <v>0</v>
          </cell>
        </row>
        <row r="8124">
          <cell r="B8124">
            <v>103642</v>
          </cell>
          <cell r="C8124" t="str">
            <v>PERFURAÇÃO HORIZONTAL DIRECIONAL E INSTALAÇÃO DE TUBULAÇÃO PEAD 250 MM, EM SOLO DE 2ª CATEGORIA. AF_01/2022</v>
          </cell>
          <cell r="D8124" t="str">
            <v>M</v>
          </cell>
          <cell r="E8124">
            <v>0</v>
          </cell>
        </row>
        <row r="8125">
          <cell r="B8125">
            <v>103598</v>
          </cell>
          <cell r="C8125" t="str">
            <v>PERFURAÇÃO HORIZONTAL DIRECIONAL E INSTALAÇÃO DE TUBULAÇÃO PEAD 250 MM, EM SOLO MOLE. AF_01/2022</v>
          </cell>
          <cell r="D8125" t="str">
            <v>M</v>
          </cell>
          <cell r="E8125">
            <v>0</v>
          </cell>
        </row>
        <row r="8126">
          <cell r="B8126">
            <v>103621</v>
          </cell>
          <cell r="C8126" t="str">
            <v>PERFURAÇÃO HORIZONTAL DIRECIONAL E INSTALAÇÃO DE TUBULAÇÃO PEAD 280 MM, EM SOLO DE 1ª CATEGORIA. AF_01/2022</v>
          </cell>
          <cell r="D8126" t="str">
            <v>M</v>
          </cell>
          <cell r="E8126">
            <v>0</v>
          </cell>
        </row>
        <row r="8127">
          <cell r="B8127">
            <v>103643</v>
          </cell>
          <cell r="C8127" t="str">
            <v>PERFURAÇÃO HORIZONTAL DIRECIONAL E INSTALAÇÃO DE TUBULAÇÃO PEAD 280 MM, EM SOLO DE 2ª CATEGORIA. AF_01/2022</v>
          </cell>
          <cell r="D8127" t="str">
            <v>M</v>
          </cell>
          <cell r="E8127">
            <v>0</v>
          </cell>
        </row>
        <row r="8128">
          <cell r="B8128">
            <v>103599</v>
          </cell>
          <cell r="C8128" t="str">
            <v>PERFURAÇÃO HORIZONTAL DIRECIONAL E INSTALAÇÃO DE TUBULAÇÃO PEAD 280 MM, EM SOLO MOLE. AF_01/2022</v>
          </cell>
          <cell r="D8128" t="str">
            <v>M</v>
          </cell>
          <cell r="E8128">
            <v>0</v>
          </cell>
        </row>
        <row r="8129">
          <cell r="B8129">
            <v>103622</v>
          </cell>
          <cell r="C8129" t="str">
            <v>PERFURAÇÃO HORIZONTAL DIRECIONAL E INSTALAÇÃO DE TUBULAÇÃO PEAD 315 MM, EM SOLO DE 1ª CATEGORIA. AF_01/2022</v>
          </cell>
          <cell r="D8129" t="str">
            <v>M</v>
          </cell>
          <cell r="E8129">
            <v>0</v>
          </cell>
        </row>
        <row r="8130">
          <cell r="B8130">
            <v>103644</v>
          </cell>
          <cell r="C8130" t="str">
            <v>PERFURAÇÃO HORIZONTAL DIRECIONAL E INSTALAÇÃO DE TUBULAÇÃO PEAD 315 MM, EM SOLO DE 2ª CATEGORIA. AF_01/2022</v>
          </cell>
          <cell r="D8130" t="str">
            <v>M</v>
          </cell>
          <cell r="E8130">
            <v>0</v>
          </cell>
        </row>
        <row r="8131">
          <cell r="B8131">
            <v>103600</v>
          </cell>
          <cell r="C8131" t="str">
            <v>PERFURAÇÃO HORIZONTAL DIRECIONAL E INSTALAÇÃO DE TUBULAÇÃO PEAD 315 MM, EM SOLO MOLE. AF_01/2022</v>
          </cell>
          <cell r="D8131" t="str">
            <v>M</v>
          </cell>
          <cell r="E8131">
            <v>0</v>
          </cell>
        </row>
        <row r="8132">
          <cell r="B8132">
            <v>103610</v>
          </cell>
          <cell r="C8132" t="str">
            <v>PERFURAÇÃO HORIZONTAL DIRECIONAL E INSTALAÇÃO DE TUBULAÇÃO PEAD 32 MM, EM SOLO DE 1ª CATEGORIA. AF_01/2022</v>
          </cell>
          <cell r="D8132" t="str">
            <v>M</v>
          </cell>
          <cell r="E8132">
            <v>0</v>
          </cell>
        </row>
        <row r="8133">
          <cell r="B8133">
            <v>103632</v>
          </cell>
          <cell r="C8133" t="str">
            <v>PERFURAÇÃO HORIZONTAL DIRECIONAL E INSTALAÇÃO DE TUBULAÇÃO PEAD 32 MM, EM SOLO DE 2ª CATEGORIA. AF_01/2022</v>
          </cell>
          <cell r="D8133" t="str">
            <v>M</v>
          </cell>
          <cell r="E8133">
            <v>0</v>
          </cell>
        </row>
        <row r="8134">
          <cell r="B8134">
            <v>103588</v>
          </cell>
          <cell r="C8134" t="str">
            <v>PERFURAÇÃO HORIZONTAL DIRECIONAL E INSTALAÇÃO DE TUBULAÇÃO PEAD 32 MM, EM SOLO MOLE. AF_01/2022</v>
          </cell>
          <cell r="D8134" t="str">
            <v>M</v>
          </cell>
          <cell r="E8134">
            <v>0</v>
          </cell>
        </row>
        <row r="8135">
          <cell r="B8135">
            <v>103623</v>
          </cell>
          <cell r="C8135" t="str">
            <v>PERFURAÇÃO HORIZONTAL DIRECIONAL E INSTALAÇÃO DE TUBULAÇÃO PEAD 355 MM, EM SOLO DE 1ª CATEGORIA. AF_01/2022</v>
          </cell>
          <cell r="D8135" t="str">
            <v>M</v>
          </cell>
          <cell r="E8135">
            <v>0</v>
          </cell>
        </row>
        <row r="8136">
          <cell r="B8136">
            <v>103645</v>
          </cell>
          <cell r="C8136" t="str">
            <v>PERFURAÇÃO HORIZONTAL DIRECIONAL E INSTALAÇÃO DE TUBULAÇÃO PEAD 355 MM, EM SOLO DE 2ª CATEGORIA. AF_01/2022</v>
          </cell>
          <cell r="D8136" t="str">
            <v>M</v>
          </cell>
          <cell r="E8136">
            <v>0</v>
          </cell>
        </row>
        <row r="8137">
          <cell r="B8137">
            <v>103601</v>
          </cell>
          <cell r="C8137" t="str">
            <v>PERFURAÇÃO HORIZONTAL DIRECIONAL E INSTALAÇÃO DE TUBULAÇÃO PEAD 355 MM, EM SOLO MOLE. AF_01/2022</v>
          </cell>
          <cell r="D8137" t="str">
            <v>M</v>
          </cell>
          <cell r="E8137">
            <v>0</v>
          </cell>
        </row>
        <row r="8138">
          <cell r="B8138">
            <v>103624</v>
          </cell>
          <cell r="C8138" t="str">
            <v>PERFURAÇÃO HORIZONTAL DIRECIONAL E INSTALAÇÃO DE TUBULAÇÃO PEAD 400 MM, EM SOLO DE 1ª CATEGORIA. AF_01/2022</v>
          </cell>
          <cell r="D8138" t="str">
            <v>M</v>
          </cell>
          <cell r="E8138">
            <v>0</v>
          </cell>
        </row>
        <row r="8139">
          <cell r="B8139">
            <v>103646</v>
          </cell>
          <cell r="C8139" t="str">
            <v>PERFURAÇÃO HORIZONTAL DIRECIONAL E INSTALAÇÃO DE TUBULAÇÃO PEAD 400 MM, EM SOLO DE 2ª CATEGORIA. AF_01/2022</v>
          </cell>
          <cell r="D8139" t="str">
            <v>M</v>
          </cell>
          <cell r="E8139">
            <v>0</v>
          </cell>
        </row>
        <row r="8140">
          <cell r="B8140">
            <v>103602</v>
          </cell>
          <cell r="C8140" t="str">
            <v>PERFURAÇÃO HORIZONTAL DIRECIONAL E INSTALAÇÃO DE TUBULAÇÃO PEAD 400 MM, EM SOLO MOLE. AF_01/2022</v>
          </cell>
          <cell r="D8140" t="str">
            <v>M</v>
          </cell>
          <cell r="E8140">
            <v>0</v>
          </cell>
        </row>
        <row r="8141">
          <cell r="B8141">
            <v>103625</v>
          </cell>
          <cell r="C8141" t="str">
            <v>PERFURAÇÃO HORIZONTAL DIRECIONAL E INSTALAÇÃO DE TUBULAÇÃO PEAD 450 MM, EM SOLO DE 1ª CATEGORIA. AF_01/2022</v>
          </cell>
          <cell r="D8141" t="str">
            <v>M</v>
          </cell>
          <cell r="E8141">
            <v>0</v>
          </cell>
        </row>
        <row r="8142">
          <cell r="B8142">
            <v>103647</v>
          </cell>
          <cell r="C8142" t="str">
            <v>PERFURAÇÃO HORIZONTAL DIRECIONAL E INSTALAÇÃO DE TUBULAÇÃO PEAD 450 MM, EM SOLO DE 2ª CATEGORIA. AF_01/2022</v>
          </cell>
          <cell r="D8142" t="str">
            <v>M</v>
          </cell>
          <cell r="E8142">
            <v>0</v>
          </cell>
        </row>
        <row r="8143">
          <cell r="B8143">
            <v>103603</v>
          </cell>
          <cell r="C8143" t="str">
            <v>PERFURAÇÃO HORIZONTAL DIRECIONAL E INSTALAÇÃO DE TUBULAÇÃO PEAD 450 MM, EM SOLO MOLE. AF_01/2022</v>
          </cell>
          <cell r="D8143" t="str">
            <v>M</v>
          </cell>
          <cell r="E8143">
            <v>0</v>
          </cell>
        </row>
        <row r="8144">
          <cell r="B8144">
            <v>103611</v>
          </cell>
          <cell r="C8144" t="str">
            <v>PERFURAÇÃO HORIZONTAL DIRECIONAL E INSTALAÇÃO DE TUBULAÇÃO PEAD 50 MM, EM SOLO DE 1ª CATEGORIA. AF_01/2022</v>
          </cell>
          <cell r="D8144" t="str">
            <v>M</v>
          </cell>
          <cell r="E8144">
            <v>0</v>
          </cell>
        </row>
        <row r="8145">
          <cell r="B8145">
            <v>103633</v>
          </cell>
          <cell r="C8145" t="str">
            <v>PERFURAÇÃO HORIZONTAL DIRECIONAL E INSTALAÇÃO DE TUBULAÇÃO PEAD 50 MM, EM SOLO DE 2ª CATEGORIA. AF_01/2022</v>
          </cell>
          <cell r="D8145" t="str">
            <v>M</v>
          </cell>
          <cell r="E8145">
            <v>0</v>
          </cell>
        </row>
        <row r="8146">
          <cell r="B8146">
            <v>103589</v>
          </cell>
          <cell r="C8146" t="str">
            <v>PERFURAÇÃO HORIZONTAL DIRECIONAL E INSTALAÇÃO DE TUBULAÇÃO PEAD 50 MM, EM SOLO MOLE. AF_01/2022</v>
          </cell>
          <cell r="D8146" t="str">
            <v>M</v>
          </cell>
          <cell r="E8146">
            <v>0</v>
          </cell>
        </row>
        <row r="8147">
          <cell r="B8147">
            <v>103626</v>
          </cell>
          <cell r="C8147" t="str">
            <v>PERFURAÇÃO HORIZONTAL DIRECIONAL E INSTALAÇÃO DE TUBULAÇÃO PEAD 500 MM, EM SOLO DE 1ª CATEGORIA. AF_01/2022</v>
          </cell>
          <cell r="D8147" t="str">
            <v>M</v>
          </cell>
          <cell r="E8147">
            <v>0</v>
          </cell>
        </row>
        <row r="8148">
          <cell r="B8148">
            <v>103648</v>
          </cell>
          <cell r="C8148" t="str">
            <v>PERFURAÇÃO HORIZONTAL DIRECIONAL E INSTALAÇÃO DE TUBULAÇÃO PEAD 500 MM, EM SOLO DE 2ª CATEGORIA. AF_01/2022</v>
          </cell>
          <cell r="D8148" t="str">
            <v>M</v>
          </cell>
          <cell r="E8148">
            <v>0</v>
          </cell>
        </row>
        <row r="8149">
          <cell r="B8149">
            <v>103604</v>
          </cell>
          <cell r="C8149" t="str">
            <v>PERFURAÇÃO HORIZONTAL DIRECIONAL E INSTALAÇÃO DE TUBULAÇÃO PEAD 500 MM, EM SOLO MOLE. AF_01/2022</v>
          </cell>
          <cell r="D8149" t="str">
            <v>M</v>
          </cell>
          <cell r="E8149">
            <v>0</v>
          </cell>
        </row>
        <row r="8150">
          <cell r="B8150">
            <v>103627</v>
          </cell>
          <cell r="C8150" t="str">
            <v>PERFURAÇÃO HORIZONTAL DIRECIONAL E INSTALAÇÃO DE TUBULAÇÃO PEAD 560 MM, EM SOLO DE 1ª CATEGORIA. AF_01/2022</v>
          </cell>
          <cell r="D8150" t="str">
            <v>M</v>
          </cell>
          <cell r="E8150">
            <v>0</v>
          </cell>
        </row>
        <row r="8151">
          <cell r="B8151">
            <v>103649</v>
          </cell>
          <cell r="C8151" t="str">
            <v>PERFURAÇÃO HORIZONTAL DIRECIONAL E INSTALAÇÃO DE TUBULAÇÃO PEAD 560 MM, EM SOLO DE 2ª CATEGORIA. AF_01/2022</v>
          </cell>
          <cell r="D8151" t="str">
            <v>M</v>
          </cell>
          <cell r="E8151">
            <v>0</v>
          </cell>
        </row>
        <row r="8152">
          <cell r="B8152">
            <v>103605</v>
          </cell>
          <cell r="C8152" t="str">
            <v>PERFURAÇÃO HORIZONTAL DIRECIONAL E INSTALAÇÃO DE TUBULAÇÃO PEAD 560 MM, EM SOLO MOLE. AF_01/2022</v>
          </cell>
          <cell r="D8152" t="str">
            <v>M</v>
          </cell>
          <cell r="E8152">
            <v>0</v>
          </cell>
        </row>
        <row r="8153">
          <cell r="B8153">
            <v>103612</v>
          </cell>
          <cell r="C8153" t="str">
            <v>PERFURAÇÃO HORIZONTAL DIRECIONAL E INSTALAÇÃO DE TUBULAÇÃO PEAD 63 MM, EM SOLO DE 1ª CATEGORIA. AF_01/2022</v>
          </cell>
          <cell r="D8153" t="str">
            <v>M</v>
          </cell>
          <cell r="E8153">
            <v>0</v>
          </cell>
        </row>
        <row r="8154">
          <cell r="B8154">
            <v>103634</v>
          </cell>
          <cell r="C8154" t="str">
            <v>PERFURAÇÃO HORIZONTAL DIRECIONAL E INSTALAÇÃO DE TUBULAÇÃO PEAD 63 MM, EM SOLO DE 2ª CATEGORIA. AF_01/2022</v>
          </cell>
          <cell r="D8154" t="str">
            <v>M</v>
          </cell>
          <cell r="E8154">
            <v>0</v>
          </cell>
        </row>
        <row r="8155">
          <cell r="B8155">
            <v>103590</v>
          </cell>
          <cell r="C8155" t="str">
            <v>PERFURAÇÃO HORIZONTAL DIRECIONAL E INSTALAÇÃO DE TUBULAÇÃO PEAD 63 MM, EM SOLO MOLE. AF_01/2022</v>
          </cell>
          <cell r="D8155" t="str">
            <v>M</v>
          </cell>
          <cell r="E8155">
            <v>0</v>
          </cell>
        </row>
        <row r="8156">
          <cell r="B8156">
            <v>103628</v>
          </cell>
          <cell r="C8156" t="str">
            <v>PERFURAÇÃO HORIZONTAL DIRECIONAL E INSTALAÇÃO DE TUBULAÇÃO PEAD 630 MM, EM SOLO DE 1ª CATEGORIA. AF_01/2022</v>
          </cell>
          <cell r="D8156" t="str">
            <v>M</v>
          </cell>
          <cell r="E8156">
            <v>0</v>
          </cell>
        </row>
        <row r="8157">
          <cell r="B8157">
            <v>103650</v>
          </cell>
          <cell r="C8157" t="str">
            <v>PERFURAÇÃO HORIZONTAL DIRECIONAL E INSTALAÇÃO DE TUBULAÇÃO PEAD 630 MM, EM SOLO DE 2ª CATEGORIA. AF_01/2022</v>
          </cell>
          <cell r="D8157" t="str">
            <v>M</v>
          </cell>
          <cell r="E8157">
            <v>0</v>
          </cell>
        </row>
        <row r="8158">
          <cell r="B8158">
            <v>103606</v>
          </cell>
          <cell r="C8158" t="str">
            <v>PERFURAÇÃO HORIZONTAL DIRECIONAL E INSTALAÇÃO DE TUBULAÇÃO PEAD 630 MM, EM SOLO MOLE. AF_01/2022</v>
          </cell>
          <cell r="D8158" t="str">
            <v>M</v>
          </cell>
          <cell r="E8158">
            <v>0</v>
          </cell>
        </row>
        <row r="8159">
          <cell r="B8159">
            <v>103629</v>
          </cell>
          <cell r="C8159" t="str">
            <v>PERFURAÇÃO HORIZONTAL DIRECIONAL E INSTALAÇÃO DE TUBULAÇÃO PEAD 710 MM, EM SOLO DE 1ª CATEGORIA. AF_01/2022</v>
          </cell>
          <cell r="D8159" t="str">
            <v>M</v>
          </cell>
          <cell r="E8159">
            <v>0</v>
          </cell>
        </row>
        <row r="8160">
          <cell r="B8160">
            <v>103651</v>
          </cell>
          <cell r="C8160" t="str">
            <v>PERFURAÇÃO HORIZONTAL DIRECIONAL E INSTALAÇÃO DE TUBULAÇÃO PEAD 710 MM, EM SOLO DE 2ª CATEGORIA. AF_01/2022</v>
          </cell>
          <cell r="D8160" t="str">
            <v>M</v>
          </cell>
          <cell r="E8160">
            <v>0</v>
          </cell>
        </row>
        <row r="8161">
          <cell r="B8161">
            <v>103607</v>
          </cell>
          <cell r="C8161" t="str">
            <v>PERFURAÇÃO HORIZONTAL DIRECIONAL E INSTALAÇÃO DE TUBULAÇÃO PEAD 710 MM, EM SOLO MOLE. AF_01/2022</v>
          </cell>
          <cell r="D8161" t="str">
            <v>M</v>
          </cell>
          <cell r="E8161">
            <v>0</v>
          </cell>
        </row>
        <row r="8162">
          <cell r="B8162">
            <v>103613</v>
          </cell>
          <cell r="C8162" t="str">
            <v>PERFURAÇÃO HORIZONTAL DIRECIONAL E INSTALAÇÃO DE TUBULAÇÃO PEAD 75 MM, EM SOLO DE 1ª CATEGORIA. AF_01/2022</v>
          </cell>
          <cell r="D8162" t="str">
            <v>M</v>
          </cell>
          <cell r="E8162">
            <v>0</v>
          </cell>
        </row>
        <row r="8163">
          <cell r="B8163">
            <v>103635</v>
          </cell>
          <cell r="C8163" t="str">
            <v>PERFURAÇÃO HORIZONTAL DIRECIONAL E INSTALAÇÃO DE TUBULAÇÃO PEAD 75 MM, EM SOLO DE 2ª CATEGORIA. AF_01/2022</v>
          </cell>
          <cell r="D8163" t="str">
            <v>M</v>
          </cell>
          <cell r="E8163">
            <v>0</v>
          </cell>
        </row>
        <row r="8164">
          <cell r="B8164">
            <v>103591</v>
          </cell>
          <cell r="C8164" t="str">
            <v>PERFURAÇÃO HORIZONTAL DIRECIONAL E INSTALAÇÃO DE TUBULAÇÃO PEAD 75 MM, EM SOLO MOLE. AF_01/2022</v>
          </cell>
          <cell r="D8164" t="str">
            <v>M</v>
          </cell>
          <cell r="E8164">
            <v>0</v>
          </cell>
        </row>
        <row r="8165">
          <cell r="B8165">
            <v>103630</v>
          </cell>
          <cell r="C8165" t="str">
            <v>PERFURAÇÃO HORIZONTAL DIRECIONAL E INSTALAÇÃO DE TUBULAÇÃO PEAD 800 MM, EM SOLO DE 1ª CATEGORIA. AF_01/2022</v>
          </cell>
          <cell r="D8165" t="str">
            <v>M</v>
          </cell>
          <cell r="E8165">
            <v>0</v>
          </cell>
        </row>
        <row r="8166">
          <cell r="B8166">
            <v>103652</v>
          </cell>
          <cell r="C8166" t="str">
            <v>PERFURAÇÃO HORIZONTAL DIRECIONAL E INSTALAÇÃO DE TUBULAÇÃO PEAD 800 MM, EM SOLO DE 2ª CATEGORIA. AF_01/2022</v>
          </cell>
          <cell r="D8166" t="str">
            <v>M</v>
          </cell>
          <cell r="E8166">
            <v>0</v>
          </cell>
        </row>
        <row r="8167">
          <cell r="B8167">
            <v>103608</v>
          </cell>
          <cell r="C8167" t="str">
            <v>PERFURAÇÃO HORIZONTAL DIRECIONAL E INSTALAÇÃO DE TUBULAÇÃO PEAD 800 MM, EM SOLO MOLE. AF_01/2022</v>
          </cell>
          <cell r="D8167" t="str">
            <v>M</v>
          </cell>
          <cell r="E8167">
            <v>0</v>
          </cell>
        </row>
        <row r="8168">
          <cell r="B8168">
            <v>103614</v>
          </cell>
          <cell r="C8168" t="str">
            <v>PERFURAÇÃO HORIZONTAL DIRECIONAL E INSTALAÇÃO DE TUBULAÇÃO PEAD 90 MM, EM SOLO DE 1ª CATEGORIA. AF_01/2022</v>
          </cell>
          <cell r="D8168" t="str">
            <v>M</v>
          </cell>
          <cell r="E8168">
            <v>0</v>
          </cell>
        </row>
        <row r="8169">
          <cell r="B8169">
            <v>103636</v>
          </cell>
          <cell r="C8169" t="str">
            <v>PERFURAÇÃO HORIZONTAL DIRECIONAL E INSTALAÇÃO DE TUBULAÇÃO PEAD 90 MM, EM SOLO DE 2ª CATEGORIA. AF_01/2022</v>
          </cell>
          <cell r="D8169" t="str">
            <v>M</v>
          </cell>
          <cell r="E8169">
            <v>0</v>
          </cell>
        </row>
        <row r="8170">
          <cell r="B8170">
            <v>103592</v>
          </cell>
          <cell r="C8170" t="str">
            <v>PERFURAÇÃO HORIZONTAL DIRECIONAL E INSTALAÇÃO DE TUBULAÇÃO PEAD 90 MM, EM SOLO MOLE. AF_01/2022</v>
          </cell>
          <cell r="D8170" t="str">
            <v>M</v>
          </cell>
          <cell r="E8170">
            <v>0</v>
          </cell>
        </row>
        <row r="8171">
          <cell r="B8171">
            <v>88412</v>
          </cell>
          <cell r="C8171" t="str">
            <v>APLICAÇÃO MANUAL DE FUNDO SELADOR ACRÍLICO EM PANOS CEGOS DE FACHADA (SEM PRESENÇA DE VÃOS) DE EDIFÍCIOS DE MÚLTIPLOS PAVIMENTOS. AF_03/2024</v>
          </cell>
          <cell r="D8171" t="str">
            <v>M2</v>
          </cell>
          <cell r="E8171">
            <v>4.87</v>
          </cell>
          <cell r="F8171">
            <v>0</v>
          </cell>
        </row>
        <row r="8172">
          <cell r="B8172">
            <v>88411</v>
          </cell>
          <cell r="C8172" t="str">
            <v>APLICAÇÃO MANUAL DE FUNDO SELADOR ACRÍLICO EM PANOS COM PRESENÇA DE VÃOS DE EDIFÍCIOS DE MÚLTIPLOS PAVIMENTOS. AF_03/2024</v>
          </cell>
          <cell r="D8172" t="str">
            <v>M2</v>
          </cell>
          <cell r="E8172">
            <v>5.99</v>
          </cell>
          <cell r="F8172">
            <v>0</v>
          </cell>
        </row>
        <row r="8173">
          <cell r="B8173">
            <v>88415</v>
          </cell>
          <cell r="C8173" t="str">
            <v>APLICAÇÃO MANUAL DE FUNDO SELADOR ACRÍLICO EM PAREDES EXTERNAS DE CASAS. AF_03/2024</v>
          </cell>
          <cell r="D8173" t="str">
            <v>M2</v>
          </cell>
          <cell r="E8173">
            <v>6.07</v>
          </cell>
          <cell r="F8173">
            <v>0</v>
          </cell>
        </row>
        <row r="8174">
          <cell r="B8174">
            <v>88413</v>
          </cell>
          <cell r="C8174" t="str">
            <v>APLICAÇÃO MANUAL DE FUNDO SELADOR ACRÍLICO EM SUPERFÍCIES EXTERNAS DE SACADA DE EDIFÍCIOS DE MÚLTIPLOS PAVIMENTOS. AF_03/2024</v>
          </cell>
          <cell r="D8174" t="str">
            <v>M2</v>
          </cell>
          <cell r="E8174">
            <v>7.4</v>
          </cell>
          <cell r="F8174">
            <v>0</v>
          </cell>
        </row>
        <row r="8175">
          <cell r="B8175">
            <v>88414</v>
          </cell>
          <cell r="C8175" t="str">
            <v>APLICAÇÃO MANUAL DE FUNDO SELADOR ACRÍLICO EM SUPERFÍCIES INTERNAS DA SACADA DE EDIFÍCIOS DE MÚLTIPLOS PAVIMENTOS. AF_03/2024</v>
          </cell>
          <cell r="D8175" t="str">
            <v>M2</v>
          </cell>
          <cell r="E8175">
            <v>8.8000000000000007</v>
          </cell>
          <cell r="F8175">
            <v>0</v>
          </cell>
        </row>
        <row r="8176">
          <cell r="B8176">
            <v>96131</v>
          </cell>
          <cell r="C8176" t="str">
            <v>APLICAÇÃO MANUAL DE MASSA ACRÍLICA EM PANOS DE FACHADA COM PRESENÇA DE VÃOS, DE EDIFÍCIOS DE MÚLTIPLOS PAVIMENTOS, DUAS DEMÃOS. AF_03/2024</v>
          </cell>
          <cell r="D8176" t="str">
            <v>M2</v>
          </cell>
          <cell r="E8176">
            <v>34.369999999999997</v>
          </cell>
          <cell r="F8176">
            <v>0</v>
          </cell>
        </row>
        <row r="8177">
          <cell r="B8177">
            <v>96126</v>
          </cell>
          <cell r="C8177" t="str">
            <v>APLICAÇÃO MANUAL DE MASSA ACRÍLICA EM PANOS DE FACHADA COM PRESENÇA DE VÃOS, DE EDIFÍCIOS DE MÚLTIPLOS PAVIMENTOS, UMA DEMÃO. AF_03/2024</v>
          </cell>
          <cell r="D8177" t="str">
            <v>M2</v>
          </cell>
          <cell r="E8177">
            <v>21.96</v>
          </cell>
          <cell r="F8177">
            <v>0</v>
          </cell>
        </row>
        <row r="8178">
          <cell r="B8178">
            <v>96132</v>
          </cell>
          <cell r="C8178" t="str">
            <v>APLICAÇÃO MANUAL DE MASSA ACRÍLICA EM PANOS DE FACHADA SEM PRESENÇA DE VÃOS, DE EDIFÍCIOS DE MÚLTIPLOS PAVIMENTOS, DUAS DEMÃOS. AF_03/2024</v>
          </cell>
          <cell r="D8178" t="str">
            <v>M2</v>
          </cell>
          <cell r="E8178">
            <v>22.4</v>
          </cell>
          <cell r="F8178">
            <v>0</v>
          </cell>
        </row>
        <row r="8179">
          <cell r="B8179">
            <v>96127</v>
          </cell>
          <cell r="C8179" t="str">
            <v>APLICAÇÃO MANUAL DE MASSA ACRÍLICA EM PANOS DE FACHADA SEM PRESENÇA DE VÃOS, DE EDIFÍCIOS DE MÚLTIPLOS PAVIMENTOS, UMA DEMÃO. AF_03/2024</v>
          </cell>
          <cell r="D8179" t="str">
            <v>M2</v>
          </cell>
          <cell r="E8179">
            <v>13.93</v>
          </cell>
          <cell r="F8179">
            <v>0</v>
          </cell>
        </row>
        <row r="8180">
          <cell r="B8180">
            <v>96135</v>
          </cell>
          <cell r="C8180" t="str">
            <v>APLICAÇÃO MANUAL DE MASSA ACRÍLICA EM PAREDES EXTERNAS DE CASAS, DUAS DEMÃOS. AF_03/2024</v>
          </cell>
          <cell r="D8180" t="str">
            <v>M2</v>
          </cell>
          <cell r="E8180">
            <v>37.049999999999997</v>
          </cell>
          <cell r="F8180">
            <v>0</v>
          </cell>
        </row>
        <row r="8181">
          <cell r="B8181">
            <v>96130</v>
          </cell>
          <cell r="C8181" t="str">
            <v>APLICAÇÃO MANUAL DE MASSA ACRÍLICA EM PAREDES EXTERNAS DE CASAS, UMA DEMÃO. AF_03/2024</v>
          </cell>
          <cell r="D8181" t="str">
            <v>M2</v>
          </cell>
          <cell r="E8181">
            <v>23.84</v>
          </cell>
          <cell r="F8181">
            <v>0</v>
          </cell>
        </row>
        <row r="8182">
          <cell r="B8182">
            <v>96133</v>
          </cell>
          <cell r="C8182" t="str">
            <v>APLICAÇÃO MANUAL DE MASSA ACRÍLICA EM SUPERFÍCIES EXTERNAS DE SACADA DE EDIFÍCIOS DE MÚLTIPLOS PAVIMENTOS, DUAS DEMÃOS. AF_03/2024</v>
          </cell>
          <cell r="D8182" t="str">
            <v>M2</v>
          </cell>
          <cell r="E8182">
            <v>56.09</v>
          </cell>
          <cell r="F8182">
            <v>0</v>
          </cell>
        </row>
        <row r="8183">
          <cell r="B8183">
            <v>96128</v>
          </cell>
          <cell r="C8183" t="str">
            <v>APLICAÇÃO MANUAL DE MASSA ACRÍLICA EM SUPERFÍCIES EXTERNAS DE SACADA DE EDIFÍCIOS DE MÚLTIPLOS PAVIMENTOS, UMA DEMÃO. AF_03/2024</v>
          </cell>
          <cell r="D8183" t="str">
            <v>M2</v>
          </cell>
          <cell r="E8183">
            <v>36.869999999999997</v>
          </cell>
          <cell r="F8183">
            <v>0</v>
          </cell>
        </row>
        <row r="8184">
          <cell r="B8184">
            <v>96134</v>
          </cell>
          <cell r="C8184" t="str">
            <v>APLICAÇÃO MANUAL DE MASSA ACRÍLICA EM SUPERFÍCIES INTERNAS DE SACADA DE EDIFÍCIOS DE MÚLTIPLOS PAVIMENTOS, DUAS DEMÃOS. AF_03/2024</v>
          </cell>
          <cell r="D8184" t="str">
            <v>M2</v>
          </cell>
          <cell r="E8184">
            <v>66</v>
          </cell>
          <cell r="F8184">
            <v>0</v>
          </cell>
        </row>
        <row r="8185">
          <cell r="B8185">
            <v>96129</v>
          </cell>
          <cell r="C8185" t="str">
            <v>APLICAÇÃO MANUAL DE MASSA ACRÍLICA EM SUPERFÍCIES INTERNAS DE SACADA DE EDIFÍCIOS DE MÚLTIPLOS PAVIMENTOS, UMA DEMÃO. AF_03/2024</v>
          </cell>
          <cell r="D8185" t="str">
            <v>M2</v>
          </cell>
          <cell r="E8185">
            <v>43.31</v>
          </cell>
          <cell r="F8185">
            <v>0</v>
          </cell>
        </row>
        <row r="8186">
          <cell r="B8186">
            <v>88432</v>
          </cell>
          <cell r="C8186" t="str">
            <v>APLICAÇÃO MANUAL DE PINTURA COM TINTA TEXTURIZADA ACRÍLICA EM MOLDURAS DE EPS. AF_03/2024</v>
          </cell>
          <cell r="D8186" t="str">
            <v>M2</v>
          </cell>
          <cell r="E8186">
            <v>37.92</v>
          </cell>
          <cell r="F8186">
            <v>0</v>
          </cell>
        </row>
        <row r="8187">
          <cell r="B8187">
            <v>88426</v>
          </cell>
          <cell r="C8187" t="str">
            <v>APLICAÇÃO MANUAL DE PINTURA COM TINTA TEXTURIZADA ACRÍLICA EM PANOS CEGOS DE FACHADA (SEM PRESENÇA DE VÃOS) DE EDIFÍCIOS DE MÚLTIPLOS PAVIMENTOS, DUAS CORES. AF_03/2024</v>
          </cell>
          <cell r="D8187" t="str">
            <v>M2</v>
          </cell>
          <cell r="E8187">
            <v>23.01</v>
          </cell>
          <cell r="F8187">
            <v>0</v>
          </cell>
        </row>
        <row r="8188">
          <cell r="B8188">
            <v>88417</v>
          </cell>
          <cell r="C8188" t="str">
            <v>APLICAÇÃO MANUAL DE PINTURA COM TINTA TEXTURIZADA ACRÍLICA EM PANOS CEGOS DE FACHADA (SEM PRESENÇA DE VÃOS) DE EDIFÍCIOS DE MÚLTIPLOS PAVIMENTOS, UMA COR. AF_03/2024</v>
          </cell>
          <cell r="D8188" t="str">
            <v>M2</v>
          </cell>
          <cell r="E8188">
            <v>20.58</v>
          </cell>
          <cell r="F8188">
            <v>0</v>
          </cell>
        </row>
        <row r="8189">
          <cell r="B8189">
            <v>88424</v>
          </cell>
          <cell r="C8189" t="str">
            <v>APLICAÇÃO MANUAL DE PINTURA COM TINTA TEXTURIZADA ACRÍLICA EM PANOS COM PRESENÇA DE VÃOS DE EDIFÍCIOS DE MÚLTIPLOS PAVIMENTOS, DUAS CORES. AF_03/2024</v>
          </cell>
          <cell r="D8189" t="str">
            <v>M2</v>
          </cell>
          <cell r="E8189">
            <v>29.01</v>
          </cell>
          <cell r="F8189">
            <v>0</v>
          </cell>
        </row>
        <row r="8190">
          <cell r="B8190">
            <v>88416</v>
          </cell>
          <cell r="C8190" t="str">
            <v>APLICAÇÃO MANUAL DE PINTURA COM TINTA TEXTURIZADA ACRÍLICA EM PANOS COM PRESENÇA DE VÃOS DE EDIFÍCIOS DE MÚLTIPLOS PAVIMENTOS, UMA COR. AF_03/2024</v>
          </cell>
          <cell r="D8190" t="str">
            <v>M2</v>
          </cell>
          <cell r="E8190">
            <v>24.5</v>
          </cell>
          <cell r="F8190">
            <v>0</v>
          </cell>
        </row>
        <row r="8191">
          <cell r="B8191">
            <v>88431</v>
          </cell>
          <cell r="C8191" t="str">
            <v>APLICAÇÃO MANUAL DE PINTURA COM TINTA TEXTURIZADA ACRÍLICA EM PAREDES EXTERNAS DE CASAS, DUAS CORES. AF_03/2024</v>
          </cell>
          <cell r="D8191" t="str">
            <v>M2</v>
          </cell>
          <cell r="E8191">
            <v>29.65</v>
          </cell>
          <cell r="F8191">
            <v>0</v>
          </cell>
        </row>
        <row r="8192">
          <cell r="B8192">
            <v>88423</v>
          </cell>
          <cell r="C8192" t="str">
            <v>APLICAÇÃO MANUAL DE PINTURA COM TINTA TEXTURIZADA ACRÍLICA EM PAREDES EXTERNAS DE CASAS, UMA COR. AF_03/2024</v>
          </cell>
          <cell r="D8192" t="str">
            <v>M2</v>
          </cell>
          <cell r="E8192">
            <v>24.58</v>
          </cell>
          <cell r="F8192">
            <v>0</v>
          </cell>
        </row>
        <row r="8193">
          <cell r="B8193">
            <v>88428</v>
          </cell>
          <cell r="C8193" t="str">
            <v>APLICAÇÃO MANUAL DE PINTURA COM TINTA TEXTURIZADA ACRÍLICA EM SUPERFÍCIES EXTERNAS DE SACADA DE EDIFÍCIOS DE MÚLTIPLOS PAVIMENTOS, DUAS CORES. AF_03/2024</v>
          </cell>
          <cell r="D8193" t="str">
            <v>M2</v>
          </cell>
          <cell r="E8193">
            <v>37.19</v>
          </cell>
          <cell r="F8193">
            <v>0</v>
          </cell>
        </row>
        <row r="8194">
          <cell r="B8194">
            <v>88420</v>
          </cell>
          <cell r="C8194" t="str">
            <v>APLICAÇÃO MANUAL DE PINTURA COM TINTA TEXTURIZADA ACRÍLICA EM SUPERFÍCIES EXTERNAS DE SACADA DE EDIFÍCIOS DE MÚLTIPLOS PAVIMENTOS, UMA COR. AF_03/2024</v>
          </cell>
          <cell r="D8194" t="str">
            <v>M2</v>
          </cell>
          <cell r="E8194">
            <v>28.54</v>
          </cell>
          <cell r="F8194">
            <v>0</v>
          </cell>
        </row>
        <row r="8195">
          <cell r="B8195">
            <v>88429</v>
          </cell>
          <cell r="C8195" t="str">
            <v>APLICAÇÃO MANUAL DE PINTURA COM TINTA TEXTURIZADA ACRÍLICA EM SUPERFÍCIES INTERNAS DA SACADA DE EDIFÍCIOS DE MÚLTIPLOS PAVIMENTOS, DUAS CORES. AF_03/2024</v>
          </cell>
          <cell r="D8195" t="str">
            <v>M2</v>
          </cell>
          <cell r="E8195">
            <v>44.46</v>
          </cell>
          <cell r="F8195">
            <v>0</v>
          </cell>
        </row>
        <row r="8196">
          <cell r="B8196">
            <v>88421</v>
          </cell>
          <cell r="C8196" t="str">
            <v>APLICAÇÃO MANUAL DE PINTURA COM TINTA TEXTURIZADA ACRÍLICA EM SUPERFÍCIES INTERNAS DA SACADA DE EDIFÍCIOS DE MÚLTIPLOS PAVIMENTOS, UMA COR. AF_03/2024</v>
          </cell>
          <cell r="D8196" t="str">
            <v>M2</v>
          </cell>
          <cell r="E8196">
            <v>34.380000000000003</v>
          </cell>
          <cell r="F8196">
            <v>0</v>
          </cell>
        </row>
        <row r="8197">
          <cell r="B8197">
            <v>95622</v>
          </cell>
          <cell r="C8197" t="str">
            <v>APLICAÇÃO MANUAL DE TINTA LÁTEX ACRÍLICA EM PANOS COM PRESENÇA DE VÃOS DE EDIFÍCIOS DE MÚLTIPLOS PAVIMENTOS, DUAS DEMÃOS. AF_03/2024</v>
          </cell>
          <cell r="D8197" t="str">
            <v>M2</v>
          </cell>
          <cell r="E8197">
            <v>17.98</v>
          </cell>
          <cell r="F8197">
            <v>0</v>
          </cell>
        </row>
        <row r="8198">
          <cell r="B8198">
            <v>95623</v>
          </cell>
          <cell r="C8198" t="str">
            <v>APLICAÇÃO MANUAL DE TINTA LÁTEX ACRÍLICA EM PANOS SEM PRESENÇA DE VÃOS DE EDIFÍCIOS DE MÚLTIPLOS PAVIMENTOS, DUAS DEMÃOS. AF_03/2024</v>
          </cell>
          <cell r="D8198" t="str">
            <v>M2</v>
          </cell>
          <cell r="E8198">
            <v>12.41</v>
          </cell>
          <cell r="F8198">
            <v>0</v>
          </cell>
        </row>
        <row r="8199">
          <cell r="B8199">
            <v>95626</v>
          </cell>
          <cell r="C8199" t="str">
            <v>APLICAÇÃO MANUAL DE TINTA LÁTEX ACRÍLICA EM PAREDE EXTERNAS DE CASAS, DUAS DEMÃOS. AF_03/2024</v>
          </cell>
          <cell r="D8199" t="str">
            <v>M2</v>
          </cell>
          <cell r="E8199">
            <v>19.100000000000001</v>
          </cell>
          <cell r="F8199">
            <v>0</v>
          </cell>
        </row>
        <row r="8200">
          <cell r="B8200">
            <v>95624</v>
          </cell>
          <cell r="C8200" t="str">
            <v>APLICAÇÃO MANUAL DE TINTA LÁTEX ACRÍLICA EM SUPERFÍCIES EXTERNAS DE SACADA DE EDIFÍCIOS DE MÚLTIPLOS PAVIMENTOS, DUAS DEMÃOS. AF_03/2024</v>
          </cell>
          <cell r="D8200" t="str">
            <v>M2</v>
          </cell>
          <cell r="E8200">
            <v>27.63</v>
          </cell>
          <cell r="F8200">
            <v>0</v>
          </cell>
        </row>
        <row r="8201">
          <cell r="B8201">
            <v>95625</v>
          </cell>
          <cell r="C8201" t="str">
            <v>APLICAÇÃO MANUAL DE TINTA LÁTEX ACRÍLICA EM SUPERFÍCIES INTERNAS DE SACADA DE EDIFÍCIOS DE MÚLTIPLOS PAVIMENTOS, DUAS DEMÃOS. AF_03/2024</v>
          </cell>
          <cell r="D8201" t="str">
            <v>M2</v>
          </cell>
          <cell r="E8201">
            <v>32.630000000000003</v>
          </cell>
          <cell r="F8201">
            <v>0</v>
          </cell>
        </row>
        <row r="8202">
          <cell r="B8202">
            <v>88497</v>
          </cell>
          <cell r="C8202" t="str">
            <v>EMASSAMENTO COM MASSA LÁTEX, APLICAÇÃO EM PAREDE, DUAS DEMÃOS, LIXAMENTO MANUAL. AF_04/2023</v>
          </cell>
          <cell r="D8202" t="str">
            <v>M2</v>
          </cell>
          <cell r="E8202">
            <v>22.7</v>
          </cell>
          <cell r="F8202">
            <v>0</v>
          </cell>
        </row>
        <row r="8203">
          <cell r="B8203">
            <v>104648</v>
          </cell>
          <cell r="C8203" t="str">
            <v>EMASSAMENTO COM MASSA LÁTEX, APLICAÇÃO EM PAREDE, DUAS DEMÃOS, LIXAMENTO MECANIZADO. AF_04/2023</v>
          </cell>
          <cell r="D8203" t="str">
            <v>M2</v>
          </cell>
          <cell r="E8203">
            <v>0</v>
          </cell>
        </row>
        <row r="8204">
          <cell r="B8204">
            <v>88495</v>
          </cell>
          <cell r="C8204" t="str">
            <v>EMASSAMENTO COM MASSA LÁTEX, APLICAÇÃO EM PAREDE, UMA DEMÃO, LIXAMENTO MANUAL. AF_04/2023</v>
          </cell>
          <cell r="D8204" t="str">
            <v>M2</v>
          </cell>
          <cell r="E8204">
            <v>14.71</v>
          </cell>
          <cell r="F8204">
            <v>0</v>
          </cell>
        </row>
        <row r="8205">
          <cell r="B8205">
            <v>104646</v>
          </cell>
          <cell r="C8205" t="str">
            <v>EMASSAMENTO COM MASSA LÁTEX, APLICAÇÃO EM PAREDE, UMA DEMÃO, LIXAMENTO MECANIZADO. AF_04/2023</v>
          </cell>
          <cell r="D8205" t="str">
            <v>M2</v>
          </cell>
          <cell r="E8205">
            <v>0</v>
          </cell>
        </row>
        <row r="8206">
          <cell r="B8206">
            <v>88496</v>
          </cell>
          <cell r="C8206" t="str">
            <v>EMASSAMENTO COM MASSA LÁTEX, APLICAÇÃO EM TETO, DUAS DEMÃOS, LIXAMENTO MANUAL. AF_04/2023</v>
          </cell>
          <cell r="D8206" t="str">
            <v>M2</v>
          </cell>
          <cell r="E8206">
            <v>40.93</v>
          </cell>
          <cell r="F8206">
            <v>0</v>
          </cell>
        </row>
        <row r="8207">
          <cell r="B8207">
            <v>104647</v>
          </cell>
          <cell r="C8207" t="str">
            <v>EMASSAMENTO COM MASSA LÁTEX, APLICAÇÃO EM TETO, DUAS DEMÃOS, LIXAMENTO MECANIZADO. AF_04/2023</v>
          </cell>
          <cell r="D8207" t="str">
            <v>M2</v>
          </cell>
          <cell r="E8207">
            <v>0</v>
          </cell>
        </row>
        <row r="8208">
          <cell r="B8208">
            <v>88494</v>
          </cell>
          <cell r="C8208" t="str">
            <v>EMASSAMENTO COM MASSA LÁTEX, APLICAÇÃO EM TETO, UMA DEMÃO, LIXAMENTO MANUAL. AF_04/2023</v>
          </cell>
          <cell r="D8208" t="str">
            <v>M2</v>
          </cell>
          <cell r="E8208">
            <v>27.12</v>
          </cell>
          <cell r="F8208">
            <v>0</v>
          </cell>
        </row>
        <row r="8209">
          <cell r="B8209">
            <v>104645</v>
          </cell>
          <cell r="C8209" t="str">
            <v>EMASSAMENTO COM MASSA LÁTEX, APLICAÇÃO EM TETO, UMA DEMÃO, LIXAMENTO MECANIZADO. AF_04/2023</v>
          </cell>
          <cell r="D8209" t="str">
            <v>M2</v>
          </cell>
          <cell r="E8209">
            <v>0</v>
          </cell>
        </row>
        <row r="8210">
          <cell r="B8210">
            <v>88485</v>
          </cell>
          <cell r="C8210" t="str">
            <v>FUNDO SELADOR ACRÍLICO, APLICAÇÃO MANUAL EM PAREDE, UMA DEMÃO. AF_04/2023</v>
          </cell>
          <cell r="D8210" t="str">
            <v>M2</v>
          </cell>
          <cell r="E8210">
            <v>5.26</v>
          </cell>
          <cell r="F8210">
            <v>0</v>
          </cell>
        </row>
        <row r="8211">
          <cell r="B8211">
            <v>88484</v>
          </cell>
          <cell r="C8211" t="str">
            <v>FUNDO SELADOR ACRÍLICO, APLICAÇÃO MANUAL EM TETO, UMA DEMÃO. AF_04/2023</v>
          </cell>
          <cell r="D8211" t="str">
            <v>M2</v>
          </cell>
          <cell r="E8211">
            <v>6.51</v>
          </cell>
          <cell r="F8211">
            <v>0</v>
          </cell>
        </row>
        <row r="8212">
          <cell r="B8212">
            <v>104638</v>
          </cell>
          <cell r="C8212" t="str">
            <v>FUNDO SELADOR ACRÍLICO, APLICAÇÃO MECÂNICA EM PAREDE, UMA DEMÃO. AF_04/2023</v>
          </cell>
          <cell r="D8212" t="str">
            <v>M2</v>
          </cell>
          <cell r="E8212">
            <v>0</v>
          </cell>
        </row>
        <row r="8213">
          <cell r="B8213">
            <v>104637</v>
          </cell>
          <cell r="C8213" t="str">
            <v>FUNDO SELADOR ACRÍLICO, APLICAÇÃO MECÂNICA EM TETO, UMA DEMÃO. AF_04/2023</v>
          </cell>
          <cell r="D8213" t="str">
            <v>M2</v>
          </cell>
          <cell r="E8213">
            <v>0</v>
          </cell>
        </row>
        <row r="8214">
          <cell r="B8214">
            <v>104641</v>
          </cell>
          <cell r="C8214" t="str">
            <v>PINTURA LÁTEX ACRÍLICA ECONÔMICA, APLICAÇÃO MANUAL EM PAREDES, DUAS DEMÃOS. AF_04/2023</v>
          </cell>
          <cell r="D8214" t="str">
            <v>M2</v>
          </cell>
          <cell r="E8214">
            <v>11.54</v>
          </cell>
          <cell r="F8214">
            <v>0</v>
          </cell>
        </row>
        <row r="8215">
          <cell r="B8215">
            <v>104639</v>
          </cell>
          <cell r="C8215" t="str">
            <v>PINTURA LÁTEX ACRÍLICA ECONÔMICA, APLICAÇÃO MANUAL EM TETO, DUAS DEMÃOS. AF_04/2023</v>
          </cell>
          <cell r="D8215" t="str">
            <v>M2</v>
          </cell>
          <cell r="E8215">
            <v>14.6</v>
          </cell>
          <cell r="F8215">
            <v>0</v>
          </cell>
        </row>
        <row r="8216">
          <cell r="B8216">
            <v>104644</v>
          </cell>
          <cell r="C8216" t="str">
            <v>PINTURA LÁTEX ACRÍLICA ECONÔMICA, APLICAÇÃO MECÂNICA EM PAREDES, DUAS DEMÃOS. AF_04/2023</v>
          </cell>
          <cell r="D8216" t="str">
            <v>M2</v>
          </cell>
          <cell r="E8216">
            <v>0</v>
          </cell>
        </row>
        <row r="8217">
          <cell r="B8217">
            <v>104643</v>
          </cell>
          <cell r="C8217" t="str">
            <v>PINTURA LÁTEX ACRÍLICA ECONÔMICA, APLICAÇÃO MECÂNICA EM TETO, DUAS DEMÃOS. AF_04/2023</v>
          </cell>
          <cell r="D8217" t="str">
            <v>M2</v>
          </cell>
          <cell r="E8217">
            <v>0</v>
          </cell>
        </row>
        <row r="8218">
          <cell r="B8218">
            <v>88489</v>
          </cell>
          <cell r="C8218" t="str">
            <v>PINTURA LÁTEX ACRÍLICA PREMIUM, APLICAÇÃO MANUAL EM PAREDES, DUAS DEMÃOS. AF_04/2023</v>
          </cell>
          <cell r="D8218" t="str">
            <v>M2</v>
          </cell>
          <cell r="E8218">
            <v>15.46</v>
          </cell>
          <cell r="F8218">
            <v>0</v>
          </cell>
        </row>
        <row r="8219">
          <cell r="B8219">
            <v>88488</v>
          </cell>
          <cell r="C8219" t="str">
            <v>PINTURA LÁTEX ACRÍLICA PREMIUM, APLICAÇÃO MANUAL EM TETO, DUAS DEMÃOS. AF_04/2023</v>
          </cell>
          <cell r="D8219" t="str">
            <v>M2</v>
          </cell>
          <cell r="E8219">
            <v>18.52</v>
          </cell>
          <cell r="F8219">
            <v>0</v>
          </cell>
        </row>
        <row r="8220">
          <cell r="B8220">
            <v>104642</v>
          </cell>
          <cell r="C8220" t="str">
            <v>PINTURA LÁTEX ACRÍLICA STANDARD, APLICAÇÃO MANUAL EM PAREDES, DUAS DEMÃOS. AF_04/2023</v>
          </cell>
          <cell r="D8220" t="str">
            <v>M2</v>
          </cell>
          <cell r="E8220">
            <v>12.99</v>
          </cell>
          <cell r="F8220">
            <v>0</v>
          </cell>
        </row>
        <row r="8221">
          <cell r="B8221">
            <v>104640</v>
          </cell>
          <cell r="C8221" t="str">
            <v>PINTURA LÁTEX ACRÍLICA STANDARD, APLICAÇÃO MANUAL EM TETO, DUAS DEMÃOS. AF_04/2023</v>
          </cell>
          <cell r="D8221" t="str">
            <v>M2</v>
          </cell>
          <cell r="E8221">
            <v>16.05</v>
          </cell>
          <cell r="F8221">
            <v>0</v>
          </cell>
        </row>
        <row r="8222">
          <cell r="B8222">
            <v>95305</v>
          </cell>
          <cell r="C8222" t="str">
            <v>TEXTURA ACRÍLICA, APLICAÇÃO MANUAL EM PAREDE, UMA DEMÃO. AF_04/2023</v>
          </cell>
          <cell r="D8222" t="str">
            <v>M2</v>
          </cell>
          <cell r="E8222">
            <v>16.239999999999998</v>
          </cell>
          <cell r="F8222">
            <v>0</v>
          </cell>
        </row>
        <row r="8223">
          <cell r="B8223">
            <v>95306</v>
          </cell>
          <cell r="C8223" t="str">
            <v>TEXTURA ACRÍLICA, APLICAÇÃO MANUAL EM TETO, UMA DEMÃO. AF_04/2023</v>
          </cell>
          <cell r="D8223" t="str">
            <v>M2</v>
          </cell>
          <cell r="E8223">
            <v>19.11</v>
          </cell>
          <cell r="F8223">
            <v>0</v>
          </cell>
        </row>
        <row r="8224">
          <cell r="B8224">
            <v>102201</v>
          </cell>
          <cell r="C8224" t="str">
            <v>APLICAÇÃO MASSA ACRÍLICA PARA MADEIRA, PARA PINTURA COM TINTA DE ACABAMENTO (PIGMENTADA). AF_01/2021</v>
          </cell>
          <cell r="D8224" t="str">
            <v>M2</v>
          </cell>
          <cell r="E8224">
            <v>23.64</v>
          </cell>
          <cell r="F8224">
            <v>0</v>
          </cell>
        </row>
        <row r="8225">
          <cell r="B8225">
            <v>102200</v>
          </cell>
          <cell r="C8225" t="str">
            <v>APLICAÇÃO MASSA ALQUÍDICA PARA MADEIRA, PARA PINTURA COM TINTA DE ACABAMENTO (PIGMENTADA). AF_01/2021</v>
          </cell>
          <cell r="D8225" t="str">
            <v>M2</v>
          </cell>
          <cell r="E8225">
            <v>25.12</v>
          </cell>
          <cell r="F8225">
            <v>0</v>
          </cell>
        </row>
        <row r="8226">
          <cell r="B8226">
            <v>102202</v>
          </cell>
          <cell r="C8226" t="str">
            <v>APLICAÇÃO MASSA EPÓXI PARA MADEIRA, PARA PINTURA COM TINTA PU DE ACABAMENTO (PIGMENTADA). AF_01/2021</v>
          </cell>
          <cell r="D8226" t="str">
            <v>M2</v>
          </cell>
          <cell r="E8226">
            <v>58.67</v>
          </cell>
          <cell r="F8226">
            <v>0</v>
          </cell>
        </row>
        <row r="8227">
          <cell r="B8227">
            <v>102193</v>
          </cell>
          <cell r="C8227" t="str">
            <v>LIXAMENTO DE MADEIRA PARA APLICAÇÃO DE FUNDO OU PINTURA. AF_01/2021</v>
          </cell>
          <cell r="D8227" t="str">
            <v>M2</v>
          </cell>
          <cell r="E8227">
            <v>2.56</v>
          </cell>
          <cell r="F8227">
            <v>0</v>
          </cell>
        </row>
        <row r="8228">
          <cell r="B8228">
            <v>102194</v>
          </cell>
          <cell r="C8228" t="str">
            <v>LIXAMENTO DE MASSA PARA MADEIRA. AF_01/2021</v>
          </cell>
          <cell r="D8228" t="str">
            <v>M2</v>
          </cell>
          <cell r="E8228">
            <v>10.42</v>
          </cell>
          <cell r="F8228">
            <v>0</v>
          </cell>
        </row>
        <row r="8229">
          <cell r="B8229">
            <v>102198</v>
          </cell>
          <cell r="C8229" t="str">
            <v>PINTURA FUNDO NIVELADOR ACRÍLICO BRANCO EM MADEIRA. AF_01/2021</v>
          </cell>
          <cell r="D8229" t="str">
            <v>M2</v>
          </cell>
          <cell r="E8229">
            <v>0</v>
          </cell>
        </row>
        <row r="8230">
          <cell r="B8230">
            <v>102197</v>
          </cell>
          <cell r="C8230" t="str">
            <v>PINTURA FUNDO NIVELADOR ALQUÍDICO BRANCO EM MADEIRA. AF_01/2021</v>
          </cell>
          <cell r="D8230" t="str">
            <v>M2</v>
          </cell>
          <cell r="E8230">
            <v>31.25</v>
          </cell>
          <cell r="F8230">
            <v>0</v>
          </cell>
        </row>
        <row r="8231">
          <cell r="B8231">
            <v>102195</v>
          </cell>
          <cell r="C8231" t="str">
            <v>PINTURA FUNDO NIVELADOR ALQUÍDICO INCOLOR EM MADEIRA. AF_01/2021</v>
          </cell>
          <cell r="D8231" t="str">
            <v>M2</v>
          </cell>
          <cell r="E8231">
            <v>0</v>
          </cell>
        </row>
        <row r="8232">
          <cell r="B8232">
            <v>102199</v>
          </cell>
          <cell r="C8232" t="str">
            <v>PINTURA FUNDO NIVELADOR POLIURETÂNICO BRANCO EM MADEIRA. AF_01/2021</v>
          </cell>
          <cell r="D8232" t="str">
            <v>M2</v>
          </cell>
          <cell r="E8232">
            <v>0</v>
          </cell>
        </row>
        <row r="8233">
          <cell r="B8233">
            <v>102196</v>
          </cell>
          <cell r="C8233" t="str">
            <v>PINTURA FUNDO NIVELADOR POLIURETÂNICO INCOLOR EM MADEIRA. AF_01/2021</v>
          </cell>
          <cell r="D8233" t="str">
            <v>M2</v>
          </cell>
          <cell r="E8233">
            <v>0</v>
          </cell>
        </row>
        <row r="8234">
          <cell r="B8234">
            <v>102233</v>
          </cell>
          <cell r="C8234" t="str">
            <v>PINTURA IMUNIZANTE PARA MADEIRA, 1 DEMÃO. AF_01/2021</v>
          </cell>
          <cell r="D8234" t="str">
            <v>M2</v>
          </cell>
          <cell r="E8234">
            <v>12.85</v>
          </cell>
          <cell r="F8234">
            <v>0</v>
          </cell>
        </row>
        <row r="8235">
          <cell r="B8235">
            <v>102234</v>
          </cell>
          <cell r="C8235" t="str">
            <v>PINTURA IMUNIZANTE PARA MADEIRA, 2 DEMÃOS. AF_01/2021</v>
          </cell>
          <cell r="D8235" t="str">
            <v>M2</v>
          </cell>
          <cell r="E8235">
            <v>25.7</v>
          </cell>
          <cell r="F8235">
            <v>0</v>
          </cell>
        </row>
        <row r="8236">
          <cell r="B8236">
            <v>102207</v>
          </cell>
          <cell r="C8236" t="str">
            <v>PINTURA TINTA DE ACABAMENTO (PIGMENTADA) A ÓLEO EM MADEIRA, 1 DEMÃO. AF_01/2021</v>
          </cell>
          <cell r="D8236" t="str">
            <v>M2</v>
          </cell>
          <cell r="E8236">
            <v>10.79</v>
          </cell>
          <cell r="F8236">
            <v>0</v>
          </cell>
        </row>
        <row r="8237">
          <cell r="B8237">
            <v>102217</v>
          </cell>
          <cell r="C8237" t="str">
            <v>PINTURA TINTA DE ACABAMENTO (PIGMENTADA) A ÓLEO EM MADEIRA, 2 DEMÃOS. AF_01/2021</v>
          </cell>
          <cell r="D8237" t="str">
            <v>M2</v>
          </cell>
          <cell r="E8237">
            <v>21.6</v>
          </cell>
          <cell r="F8237">
            <v>0</v>
          </cell>
        </row>
        <row r="8238">
          <cell r="B8238">
            <v>102227</v>
          </cell>
          <cell r="C8238" t="str">
            <v>PINTURA TINTA DE ACABAMENTO (PIGMENTADA) A ÓLEO EM MADEIRA, 3 DEMÃOS. AF_01/2021</v>
          </cell>
          <cell r="D8238" t="str">
            <v>M2</v>
          </cell>
          <cell r="E8238">
            <v>32.42</v>
          </cell>
          <cell r="F8238">
            <v>0</v>
          </cell>
        </row>
        <row r="8239">
          <cell r="B8239">
            <v>102211</v>
          </cell>
          <cell r="C8239" t="str">
            <v>PINTURA TINTA DE ACABAMENTO (PIGMENTADA) ESMALTE BASE ÁGUA EM MADEIRA, 1 DEMÃO. AF_01/2021</v>
          </cell>
          <cell r="D8239" t="str">
            <v>M2</v>
          </cell>
          <cell r="E8239">
            <v>0</v>
          </cell>
        </row>
        <row r="8240">
          <cell r="B8240">
            <v>102221</v>
          </cell>
          <cell r="C8240" t="str">
            <v>PINTURA TINTA DE ACABAMENTO (PIGMENTADA) ESMALTE BASE ÁGUA EM MADEIRA, 2 DEMÃOS. AF_01/2021</v>
          </cell>
          <cell r="D8240" t="str">
            <v>M2</v>
          </cell>
          <cell r="E8240">
            <v>0</v>
          </cell>
        </row>
        <row r="8241">
          <cell r="B8241">
            <v>102231</v>
          </cell>
          <cell r="C8241" t="str">
            <v>PINTURA TINTA DE ACABAMENTO (PIGMENTADA) ESMALTE BASE ÁGUA EM MADEIRA, 3 DEMÃOS. AF_01/2021</v>
          </cell>
          <cell r="D8241" t="str">
            <v>M2</v>
          </cell>
          <cell r="E8241">
            <v>0</v>
          </cell>
        </row>
        <row r="8242">
          <cell r="B8242">
            <v>102209</v>
          </cell>
          <cell r="C8242" t="str">
            <v>PINTURA TINTA DE ACABAMENTO (PIGMENTADA) ESMALTE SINTÉTICO ACETINADO EM MADEIRA, 1 DEMÃO. AF_01/2021</v>
          </cell>
          <cell r="D8242" t="str">
            <v>M2</v>
          </cell>
          <cell r="E8242">
            <v>10.63</v>
          </cell>
          <cell r="F8242">
            <v>0</v>
          </cell>
        </row>
        <row r="8243">
          <cell r="B8243">
            <v>102219</v>
          </cell>
          <cell r="C8243" t="str">
            <v>PINTURA TINTA DE ACABAMENTO (PIGMENTADA) ESMALTE SINTÉTICO ACETINADO EM MADEIRA, 2 DEMÃOS. AF_01/2021</v>
          </cell>
          <cell r="D8243" t="str">
            <v>M2</v>
          </cell>
          <cell r="E8243">
            <v>21.27</v>
          </cell>
          <cell r="F8243">
            <v>0</v>
          </cell>
        </row>
        <row r="8244">
          <cell r="B8244">
            <v>102229</v>
          </cell>
          <cell r="C8244" t="str">
            <v>PINTURA TINTA DE ACABAMENTO (PIGMENTADA) ESMALTE SINTÉTICO ACETINADO EM MADEIRA, 3 DEMÃOS. AF_01/2021</v>
          </cell>
          <cell r="D8244" t="str">
            <v>M2</v>
          </cell>
          <cell r="E8244">
            <v>31.91</v>
          </cell>
          <cell r="F8244">
            <v>0</v>
          </cell>
        </row>
        <row r="8245">
          <cell r="B8245">
            <v>102210</v>
          </cell>
          <cell r="C8245" t="str">
            <v>PINTURA TINTA DE ACABAMENTO (PIGMENTADA) ESMALTE SINTÉTICO BRILHANTE EM MADEIRA, 1 DEMÃO. AF_01/2021</v>
          </cell>
          <cell r="D8245" t="str">
            <v>M2</v>
          </cell>
          <cell r="E8245">
            <v>10.15</v>
          </cell>
          <cell r="F8245">
            <v>0</v>
          </cell>
        </row>
        <row r="8246">
          <cell r="B8246">
            <v>102220</v>
          </cell>
          <cell r="C8246" t="str">
            <v>PINTURA TINTA DE ACABAMENTO (PIGMENTADA) ESMALTE SINTÉTICO BRILHANTE EM MADEIRA, 2 DEMÃOS. AF_01/2021</v>
          </cell>
          <cell r="D8246" t="str">
            <v>M2</v>
          </cell>
          <cell r="E8246">
            <v>20.32</v>
          </cell>
          <cell r="F8246">
            <v>0</v>
          </cell>
        </row>
        <row r="8247">
          <cell r="B8247">
            <v>102230</v>
          </cell>
          <cell r="C8247" t="str">
            <v>PINTURA TINTA DE ACABAMENTO (PIGMENTADA) ESMALTE SINTÉTICO BRILHANTE EM MADEIRA, 3 DEMÃOS. AF_01/2021</v>
          </cell>
          <cell r="D8247" t="str">
            <v>M2</v>
          </cell>
          <cell r="E8247">
            <v>30.5</v>
          </cell>
          <cell r="F8247">
            <v>0</v>
          </cell>
        </row>
        <row r="8248">
          <cell r="B8248">
            <v>102208</v>
          </cell>
          <cell r="C8248" t="str">
            <v>PINTURA TINTA DE ACABAMENTO (PIGMENTADA) ESMALTE SINTÉTICO FOSCO EM MADEIRA, 1 DEMÃO. AF_01/2021</v>
          </cell>
          <cell r="D8248" t="str">
            <v>M2</v>
          </cell>
          <cell r="E8248">
            <v>10.32</v>
          </cell>
          <cell r="F8248">
            <v>0</v>
          </cell>
        </row>
        <row r="8249">
          <cell r="B8249">
            <v>102218</v>
          </cell>
          <cell r="C8249" t="str">
            <v>PINTURA TINTA DE ACABAMENTO (PIGMENTADA) ESMALTE SINTÉTICO FOSCO EM MADEIRA, 2 DEMÃOS. AF_01/2021</v>
          </cell>
          <cell r="D8249" t="str">
            <v>M2</v>
          </cell>
          <cell r="E8249">
            <v>20.63</v>
          </cell>
          <cell r="F8249">
            <v>0</v>
          </cell>
        </row>
        <row r="8250">
          <cell r="B8250">
            <v>102228</v>
          </cell>
          <cell r="C8250" t="str">
            <v>PINTURA TINTA DE ACABAMENTO (PIGMENTADA) ESMALTE SINTÉTICO FOSCO EM MADEIRA, 3 DEMÃOS. AF_01/2021</v>
          </cell>
          <cell r="D8250" t="str">
            <v>M2</v>
          </cell>
          <cell r="E8250">
            <v>30.99</v>
          </cell>
          <cell r="F8250">
            <v>0</v>
          </cell>
        </row>
        <row r="8251">
          <cell r="B8251">
            <v>102212</v>
          </cell>
          <cell r="C8251" t="str">
            <v>PINTURA TINTA DE ACABAMENTO (PIGMENTADA) POLIURETÂNICA EM MADEIRA, 1 DEMÃO. AF_01/2021</v>
          </cell>
          <cell r="D8251" t="str">
            <v>M2</v>
          </cell>
          <cell r="E8251">
            <v>0</v>
          </cell>
        </row>
        <row r="8252">
          <cell r="B8252">
            <v>102222</v>
          </cell>
          <cell r="C8252" t="str">
            <v>PINTURA TINTA DE ACABAMENTO (PIGMENTADA) POLIURETÂNICA EM MADEIRA, 2 DEMÃOS. AF_01/2021</v>
          </cell>
          <cell r="D8252" t="str">
            <v>M2</v>
          </cell>
          <cell r="E8252">
            <v>0</v>
          </cell>
        </row>
        <row r="8253">
          <cell r="B8253">
            <v>102232</v>
          </cell>
          <cell r="C8253" t="str">
            <v>PINTURA TINTA DE ACABAMENTO (PIGMENTADA) POLIURETÂNICA EM MADEIRA, 3 DEMÃOS. AF_01/2021</v>
          </cell>
          <cell r="D8253" t="str">
            <v>M2</v>
          </cell>
          <cell r="E8253">
            <v>0</v>
          </cell>
        </row>
        <row r="8254">
          <cell r="B8254">
            <v>102203</v>
          </cell>
          <cell r="C8254" t="str">
            <v>PINTURA VERNIZ (INCOLOR) ALQUÍDICO EM MADEIRA, USO INTERNO E EXTERNO, 1 DEMÃO. AF_01/2021</v>
          </cell>
          <cell r="D8254" t="str">
            <v>M2</v>
          </cell>
          <cell r="E8254">
            <v>12.45</v>
          </cell>
          <cell r="F8254">
            <v>0</v>
          </cell>
        </row>
        <row r="8255">
          <cell r="B8255">
            <v>102213</v>
          </cell>
          <cell r="C8255" t="str">
            <v>PINTURA VERNIZ (INCOLOR) ALQUÍDICO EM MADEIRA, USO INTERNO E EXTERNO, 2 DEMÃOS. AF_01/2021</v>
          </cell>
          <cell r="D8255" t="str">
            <v>M2</v>
          </cell>
          <cell r="E8255">
            <v>24.93</v>
          </cell>
          <cell r="F8255">
            <v>0</v>
          </cell>
        </row>
        <row r="8256">
          <cell r="B8256">
            <v>102223</v>
          </cell>
          <cell r="C8256" t="str">
            <v>PINTURA VERNIZ (INCOLOR) ALQUÍDICO EM MADEIRA, USO INTERNO E EXTERNO, 3 DEMÃOS. AF_01/2021</v>
          </cell>
          <cell r="D8256" t="str">
            <v>M2</v>
          </cell>
          <cell r="E8256">
            <v>37.4</v>
          </cell>
          <cell r="F8256">
            <v>0</v>
          </cell>
        </row>
        <row r="8257">
          <cell r="B8257">
            <v>102204</v>
          </cell>
          <cell r="C8257" t="str">
            <v>PINTURA VERNIZ (INCOLOR) ALQUÍDICO EM MADEIRA, USO INTERNO, 1 DEMÃO. AF_01/2021</v>
          </cell>
          <cell r="D8257" t="str">
            <v>M2</v>
          </cell>
          <cell r="E8257">
            <v>12.8</v>
          </cell>
          <cell r="F8257">
            <v>0</v>
          </cell>
        </row>
        <row r="8258">
          <cell r="B8258">
            <v>102214</v>
          </cell>
          <cell r="C8258" t="str">
            <v>PINTURA VERNIZ (INCOLOR) ALQUÍDICO EM MADEIRA, USO INTERNO, 2 DEMÃOS. AF_01/2021</v>
          </cell>
          <cell r="D8258" t="str">
            <v>M2</v>
          </cell>
          <cell r="E8258">
            <v>25.6</v>
          </cell>
          <cell r="F8258">
            <v>0</v>
          </cell>
        </row>
        <row r="8259">
          <cell r="B8259">
            <v>102224</v>
          </cell>
          <cell r="C8259" t="str">
            <v>PINTURA VERNIZ (INCOLOR) ALQUÍDICO EM MADEIRA, USO INTERNO, 3 DEMÃOS. AF_01/2021</v>
          </cell>
          <cell r="D8259" t="str">
            <v>M2</v>
          </cell>
          <cell r="E8259">
            <v>38.4</v>
          </cell>
          <cell r="F8259">
            <v>0</v>
          </cell>
        </row>
        <row r="8260">
          <cell r="B8260">
            <v>102205</v>
          </cell>
          <cell r="C8260" t="str">
            <v>PINTURA VERNIZ (INCOLOR) POLIURETÂNICO (RESINA ALQUÍDICA MODIFICADA) EM MADEIRA, 1 DEMÃO. AF_01/2021</v>
          </cell>
          <cell r="D8260" t="str">
            <v>M2</v>
          </cell>
          <cell r="E8260">
            <v>11.71</v>
          </cell>
          <cell r="F8260">
            <v>0</v>
          </cell>
        </row>
        <row r="8261">
          <cell r="B8261">
            <v>102215</v>
          </cell>
          <cell r="C8261" t="str">
            <v>PINTURA VERNIZ (INCOLOR) POLIURETÂNICO (RESINA ALQUÍDICA MODIFICADA) EM MADEIRA, 2 DEMÃOS. AF_01/2021</v>
          </cell>
          <cell r="D8261" t="str">
            <v>M2</v>
          </cell>
          <cell r="E8261">
            <v>23.44</v>
          </cell>
          <cell r="F8261">
            <v>0</v>
          </cell>
        </row>
        <row r="8262">
          <cell r="B8262">
            <v>102225</v>
          </cell>
          <cell r="C8262" t="str">
            <v>PINTURA VERNIZ (INCOLOR) POLIURETÂNICO (RESINA ALQUÍDICA MODIFICADA) EM MADEIRA, 3 DEMÃOS. AF_01/2021</v>
          </cell>
          <cell r="D8262" t="str">
            <v>M2</v>
          </cell>
          <cell r="E8262">
            <v>35.17</v>
          </cell>
          <cell r="F8262">
            <v>0</v>
          </cell>
        </row>
        <row r="8263">
          <cell r="B8263">
            <v>102206</v>
          </cell>
          <cell r="C8263" t="str">
            <v>PINTURA VERNIZ (INCOLOR) POLIURETÂNICO (RESINA POLIURETÂNICA) EM MADEIRA, 1 DEMÃO. AF_01/2021</v>
          </cell>
          <cell r="D8263" t="str">
            <v>M2</v>
          </cell>
          <cell r="E8263">
            <v>0</v>
          </cell>
        </row>
        <row r="8264">
          <cell r="B8264">
            <v>102216</v>
          </cell>
          <cell r="C8264" t="str">
            <v>PINTURA VERNIZ (INCOLOR) POLIURETÂNICO (RESINA POLIURETÂNICA) EM MADEIRA, 2 DEMÃOS. AF_01/2021</v>
          </cell>
          <cell r="D8264" t="str">
            <v>M2</v>
          </cell>
          <cell r="E8264">
            <v>0</v>
          </cell>
        </row>
        <row r="8265">
          <cell r="B8265">
            <v>102226</v>
          </cell>
          <cell r="C8265" t="str">
            <v>PINTURA VERNIZ (INCOLOR) POLIURETÂNICO (RESINA POLIURETÂNICA) EM MADEIRA, 3 DEMÃOS. AF_01/2021</v>
          </cell>
          <cell r="D8265" t="str">
            <v>M2</v>
          </cell>
          <cell r="E8265">
            <v>0</v>
          </cell>
        </row>
        <row r="8266">
          <cell r="B8266">
            <v>100718</v>
          </cell>
          <cell r="C8266" t="str">
            <v>COLOCAÇÃO DE FITA PROTETORA PARA PINTURA. AF_01/2020</v>
          </cell>
          <cell r="D8266" t="str">
            <v>M</v>
          </cell>
          <cell r="E8266">
            <v>1.82</v>
          </cell>
          <cell r="F8266">
            <v>0</v>
          </cell>
        </row>
        <row r="8267">
          <cell r="B8267">
            <v>100716</v>
          </cell>
          <cell r="C8267" t="str">
            <v>JATEAMENTO ABRASIVO COM GRANALHA DE AÇO EM PERFIL METÁLICO EM FÁBRICA. AF_01/2020</v>
          </cell>
          <cell r="D8267" t="str">
            <v>M2</v>
          </cell>
          <cell r="E8267">
            <v>25.41</v>
          </cell>
          <cell r="F8267">
            <v>0</v>
          </cell>
        </row>
        <row r="8268">
          <cell r="B8268">
            <v>100717</v>
          </cell>
          <cell r="C8268" t="str">
            <v>LIXAMENTO MANUAL EM SUPERFÍCIES METÁLICAS EM OBRA. AF_01/2020</v>
          </cell>
          <cell r="D8268" t="str">
            <v>M2</v>
          </cell>
          <cell r="E8268">
            <v>12.39</v>
          </cell>
          <cell r="F8268">
            <v>0</v>
          </cell>
        </row>
        <row r="8269">
          <cell r="B8269">
            <v>100754</v>
          </cell>
          <cell r="C8269" t="str">
            <v>PINTURA COM TINTA ACRÍLICA DE ACABAMENTO APLICADA A ROLO OU PINCEL SOBRE SUPERFÍCIES METÁLICAS (EXCETO PERFIL) EXECUTADO EM OBRA (02 DEMÃOS). AF_01/2020</v>
          </cell>
          <cell r="D8269" t="str">
            <v>M2</v>
          </cell>
          <cell r="E8269">
            <v>37.950000000000003</v>
          </cell>
          <cell r="F8269">
            <v>0</v>
          </cell>
        </row>
        <row r="8270">
          <cell r="B8270">
            <v>100736</v>
          </cell>
          <cell r="C8270" t="str">
            <v>PINTURA COM TINTA ACRÍLICA DE ACABAMENTO APLICADA A ROLO OU PINCEL SOBRE SUPERFÍCIES METÁLICAS (EXCETO PERFIL) EXECUTADO EM OBRA (POR DEMÃO). AF_01/2020</v>
          </cell>
          <cell r="D8270" t="str">
            <v>M2</v>
          </cell>
          <cell r="E8270">
            <v>18.97</v>
          </cell>
          <cell r="F8270">
            <v>0</v>
          </cell>
        </row>
        <row r="8271">
          <cell r="B8271">
            <v>100753</v>
          </cell>
          <cell r="C8271" t="str">
            <v>PINTURA COM TINTA ACRÍLICA DE ACABAMENTO PULVERIZADA SOBRE SUPERFÍCIES METÁLICAS (EXCETO PERFIL) EXECUTADO EM OBRA (02 DEMÃOS). AF_01/2020_PE</v>
          </cell>
          <cell r="D8271" t="str">
            <v>M2</v>
          </cell>
          <cell r="E8271">
            <v>28.37</v>
          </cell>
          <cell r="F8271">
            <v>0</v>
          </cell>
        </row>
        <row r="8272">
          <cell r="B8272">
            <v>100735</v>
          </cell>
          <cell r="C8272" t="str">
            <v>PINTURA COM TINTA ACRÍLICA DE ACABAMENTO PULVERIZADA SOBRE SUPERFÍCIES METÁLICAS (EXCETO PERFIL) EXECUTADO EM OBRA (POR DEMÃO). AF_01/2020_PE</v>
          </cell>
          <cell r="D8272" t="str">
            <v>M2</v>
          </cell>
          <cell r="E8272">
            <v>14.18</v>
          </cell>
          <cell r="F8272">
            <v>0</v>
          </cell>
        </row>
        <row r="8273">
          <cell r="B8273">
            <v>100734</v>
          </cell>
          <cell r="C8273" t="str">
            <v>PINTURA COM TINTA ACRÍLICA DE FUNDO APLICADA A ROLO OU PINCEL SOBRE SUPERFÍCIES METÁLICAS (EXCETO PERFIL) EXECUTADO EM OBRA (POR DEMÃO). AF_01/2020</v>
          </cell>
          <cell r="D8273" t="str">
            <v>M2</v>
          </cell>
          <cell r="E8273">
            <v>20.49</v>
          </cell>
          <cell r="F8273">
            <v>0</v>
          </cell>
        </row>
        <row r="8274">
          <cell r="B8274">
            <v>100733</v>
          </cell>
          <cell r="C8274" t="str">
            <v>PINTURA COM TINTA ACRÍLICA DE FUNDO PULVERIZADA SOBRE SUPERFÍCIES METÁLICAS (EXCETO PERFIL) EXECUTADO EM OBRA (POR DEMÃO). AF_01/2020_PE</v>
          </cell>
          <cell r="D8274" t="str">
            <v>M2</v>
          </cell>
          <cell r="E8274">
            <v>16</v>
          </cell>
          <cell r="F8274">
            <v>0</v>
          </cell>
        </row>
        <row r="8275">
          <cell r="B8275">
            <v>100740</v>
          </cell>
          <cell r="C8275" t="str">
            <v>PINTURA COM TINTA ALQUÍDICA DE ACABAMENTO (ESMALTE SINTÉTICO ACETINADO) APLICADA A ROLO OU PINCEL SOBRE PERFIL METÁLICO EXECUTADO EM FÁBRICA (POR DEMÃO). AF_01/2020</v>
          </cell>
          <cell r="D8275" t="str">
            <v>M2</v>
          </cell>
          <cell r="E8275">
            <v>14.26</v>
          </cell>
          <cell r="F8275">
            <v>0</v>
          </cell>
        </row>
        <row r="8276">
          <cell r="B8276">
            <v>100758</v>
          </cell>
          <cell r="C8276" t="str">
            <v>PINTURA COM TINTA ALQUÍDICA DE ACABAMENTO (ESMALTE SINTÉTICO ACETINADO) APLICADA A ROLO OU PINCEL SOBRE SUPERFÍCIES METÁLICAS (EXCETO PERFIL) EXECUTADO EM OBRA (02 DEMÃOS). AF_01/2020</v>
          </cell>
          <cell r="D8276" t="str">
            <v>M2</v>
          </cell>
          <cell r="E8276">
            <v>63.54</v>
          </cell>
          <cell r="F8276">
            <v>0</v>
          </cell>
        </row>
        <row r="8277">
          <cell r="B8277">
            <v>100742</v>
          </cell>
          <cell r="C8277" t="str">
            <v>PINTURA COM TINTA ALQUÍDICA DE ACABAMENTO (ESMALTE SINTÉTICO ACETINADO) APLICADA A ROLO OU PINCEL SOBRE SUPERFÍCIES METÁLICAS (EXCETO PERFIL) EXECUTADO EM OBRA (POR DEMÃO). AF_01/2020</v>
          </cell>
          <cell r="D8277" t="str">
            <v>M2</v>
          </cell>
          <cell r="E8277">
            <v>31.75</v>
          </cell>
          <cell r="F8277">
            <v>0</v>
          </cell>
        </row>
        <row r="8278">
          <cell r="B8278">
            <v>100739</v>
          </cell>
          <cell r="C8278" t="str">
            <v>PINTURA COM TINTA ALQUÍDICA DE ACABAMENTO (ESMALTE SINTÉTICO ACETINADO) PULVERIZADA SOBRE PERFIL METÁLICO EXECUTADO EM FÁBRICA (POR DEMÃO). AF_01/2020_PE</v>
          </cell>
          <cell r="D8278" t="str">
            <v>M2</v>
          </cell>
          <cell r="E8278">
            <v>13.1</v>
          </cell>
          <cell r="F8278">
            <v>0</v>
          </cell>
        </row>
        <row r="8279">
          <cell r="B8279">
            <v>100757</v>
          </cell>
          <cell r="C8279" t="str">
            <v>PINTURA COM TINTA ALQUÍDICA DE ACABAMENTO (ESMALTE SINTÉTICO ACETINADO) PULVERIZADA SOBRE SUPERFÍCIES METÁLICAS (EXCETO PERFIL) EXECUTADO EM OBRA (02 DEMÃOS). AF_01/2020_PE</v>
          </cell>
          <cell r="D8279" t="str">
            <v>M2</v>
          </cell>
          <cell r="E8279">
            <v>62.23</v>
          </cell>
          <cell r="F8279">
            <v>0</v>
          </cell>
        </row>
        <row r="8280">
          <cell r="B8280">
            <v>100741</v>
          </cell>
          <cell r="C8280" t="str">
            <v>PINTURA COM TINTA ALQUÍDICA DE ACABAMENTO (ESMALTE SINTÉTICO ACETINADO) PULVERIZADA SOBRE SUPERFÍCIES METÁLICAS (EXCETO PERFIL) EXECUTADO EM OBRA (POR DEMÃO). AF_01/2020_PE</v>
          </cell>
          <cell r="D8280" t="str">
            <v>M2</v>
          </cell>
          <cell r="E8280">
            <v>31.12</v>
          </cell>
          <cell r="F8280">
            <v>0</v>
          </cell>
        </row>
        <row r="8281">
          <cell r="B8281">
            <v>100744</v>
          </cell>
          <cell r="C8281" t="str">
            <v>PINTURA COM TINTA ALQUÍDICA DE ACABAMENTO (ESMALTE SINTÉTICO BRILHANTE) APLICADA A ROLO OU PINCEL SOBRE PERFIL METÁLICO EXECUTADO EM FÁBRICA (POR DEMÃO). AF_01/2020</v>
          </cell>
          <cell r="D8281" t="str">
            <v>M2</v>
          </cell>
          <cell r="E8281">
            <v>14.07</v>
          </cell>
          <cell r="F8281">
            <v>0</v>
          </cell>
        </row>
        <row r="8282">
          <cell r="B8282">
            <v>100760</v>
          </cell>
          <cell r="C8282" t="str">
            <v>PINTURA COM TINTA ALQUÍDICA DE ACABAMENTO (ESMALTE SINTÉTICO BRILHANTE) APLICADA A ROLO OU PINCEL SOBRE SUPERFÍCIES METÁLICAS (EXCETO PERFIL) EXECUTADO EM OBRA (02 DEMÃOS). AF_01/2020</v>
          </cell>
          <cell r="D8282" t="str">
            <v>M2</v>
          </cell>
          <cell r="E8282">
            <v>63.16</v>
          </cell>
          <cell r="F8282">
            <v>0</v>
          </cell>
        </row>
        <row r="8283">
          <cell r="B8283">
            <v>100746</v>
          </cell>
          <cell r="C8283" t="str">
            <v>PINTURA COM TINTA ALQUÍDICA DE ACABAMENTO (ESMALTE SINTÉTICO BRILHANTE) APLICADA A ROLO OU PINCEL SOBRE SUPERFÍCIES METÁLICAS (EXCETO PERFIL) EXECUTADO EM OBRA (POR DEMÃO). AF_01/2020</v>
          </cell>
          <cell r="D8283" t="str">
            <v>M2</v>
          </cell>
          <cell r="E8283">
            <v>31.56</v>
          </cell>
          <cell r="F8283">
            <v>0</v>
          </cell>
        </row>
        <row r="8284">
          <cell r="B8284">
            <v>100743</v>
          </cell>
          <cell r="C8284" t="str">
            <v>PINTURA COM TINTA ALQUÍDICA DE ACABAMENTO (ESMALTE SINTÉTICO BRILHANTE) PULVERIZADA SOBRE PERFIL METÁLICO EXECUTADO EM FÁBRICA (POR DEMÃO). AF_01/2020_PE</v>
          </cell>
          <cell r="D8284" t="str">
            <v>M2</v>
          </cell>
          <cell r="E8284">
            <v>12.8</v>
          </cell>
          <cell r="F8284">
            <v>0</v>
          </cell>
        </row>
        <row r="8285">
          <cell r="B8285">
            <v>100759</v>
          </cell>
          <cell r="C8285" t="str">
            <v>PINTURA COM TINTA ALQUÍDICA DE ACABAMENTO (ESMALTE SINTÉTICO BRILHANTE) PULVERIZADA SOBRE SUPERFÍCIES METÁLICAS (EXCETO PERFIL) EXECUTADO EM OBRA (02 DEMÃOS). AF_01/2020_PE</v>
          </cell>
          <cell r="D8285" t="str">
            <v>M2</v>
          </cell>
          <cell r="E8285">
            <v>61.6</v>
          </cell>
          <cell r="F8285">
            <v>0</v>
          </cell>
        </row>
        <row r="8286">
          <cell r="B8286">
            <v>100745</v>
          </cell>
          <cell r="C8286" t="str">
            <v>PINTURA COM TINTA ALQUÍDICA DE ACABAMENTO (ESMALTE SINTÉTICO BRILHANTE) PULVERIZADA SOBRE SUPERFÍCIES METÁLICAS (EXCETO PERFIL) EXECUTADO EM OBRA (POR DEMÃO). AF_01/2020_PE</v>
          </cell>
          <cell r="D8286" t="str">
            <v>M2</v>
          </cell>
          <cell r="E8286">
            <v>30.8</v>
          </cell>
          <cell r="F8286">
            <v>0</v>
          </cell>
        </row>
        <row r="8287">
          <cell r="B8287">
            <v>100748</v>
          </cell>
          <cell r="C8287" t="str">
            <v>PINTURA COM TINTA ALQUÍDICA DE ACABAMENTO (ESMALTE SINTÉTICO FOSCO) APLICADA A ROLO OU PINCEL SOBRE PERFIL METÁLICO EXECUTADO EM FÁBRICA (POR DEMÃO). AF_01/2020</v>
          </cell>
          <cell r="D8287" t="str">
            <v>M2</v>
          </cell>
          <cell r="E8287">
            <v>14.15</v>
          </cell>
          <cell r="F8287">
            <v>0</v>
          </cell>
        </row>
        <row r="8288">
          <cell r="B8288">
            <v>100762</v>
          </cell>
          <cell r="C8288" t="str">
            <v>PINTURA COM TINTA ALQUÍDICA DE ACABAMENTO (ESMALTE SINTÉTICO FOSCO) APLICADA A ROLO OU PINCEL SOBRE SUPERFÍCIES METÁLICAS (EXCETO PERFIL) EXECUTADO EM OBRA (02 DEMÃOS). AF_01/2020</v>
          </cell>
          <cell r="D8288" t="str">
            <v>M2</v>
          </cell>
          <cell r="E8288">
            <v>63.32</v>
          </cell>
          <cell r="F8288">
            <v>0</v>
          </cell>
        </row>
        <row r="8289">
          <cell r="B8289">
            <v>100750</v>
          </cell>
          <cell r="C8289" t="str">
            <v>PINTURA COM TINTA ALQUÍDICA DE ACABAMENTO (ESMALTE SINTÉTICO FOSCO) APLICADA A ROLO OU PINCEL SOBRE SUPERFÍCIES METÁLICAS (EXCETO PERFIL) EXECUTADO EM OBRA (POR DEMÃO). AF_01/2020</v>
          </cell>
          <cell r="D8289" t="str">
            <v>M2</v>
          </cell>
          <cell r="E8289">
            <v>31.64</v>
          </cell>
          <cell r="F8289">
            <v>0</v>
          </cell>
        </row>
        <row r="8290">
          <cell r="B8290">
            <v>100747</v>
          </cell>
          <cell r="C8290" t="str">
            <v>PINTURA COM TINTA ALQUÍDICA DE ACABAMENTO (ESMALTE SINTÉTICO FOSCO) PULVERIZADA SOBRE PERFIL METÁLICO EXECUTADO EM FÁBRICA (POR DEMÃO). AF_01/2020_PE</v>
          </cell>
          <cell r="D8290" t="str">
            <v>M2</v>
          </cell>
          <cell r="E8290">
            <v>12.92</v>
          </cell>
          <cell r="F8290">
            <v>0</v>
          </cell>
        </row>
        <row r="8291">
          <cell r="B8291">
            <v>100761</v>
          </cell>
          <cell r="C8291" t="str">
            <v>PINTURA COM TINTA ALQUÍDICA DE ACABAMENTO (ESMALTE SINTÉTICO FOSCO) PULVERIZADA SOBRE SUPERFÍCIES METÁLICAS (EXCETO PERFIL) EXECUTADO EM OBRA (02 DEMÃOS). AF_01/2020_PE</v>
          </cell>
          <cell r="D8291" t="str">
            <v>M2</v>
          </cell>
          <cell r="E8291">
            <v>61.86</v>
          </cell>
          <cell r="F8291">
            <v>0</v>
          </cell>
        </row>
        <row r="8292">
          <cell r="B8292">
            <v>100749</v>
          </cell>
          <cell r="C8292" t="str">
            <v>PINTURA COM TINTA ALQUÍDICA DE ACABAMENTO (ESMALTE SINTÉTICO FOSCO) PULVERIZADA SOBRE SUPERFÍCIES METÁLICAS (EXCETO PERFIL) EXECUTADO EM OBRA (POR DEMÃO). AF_01/2020_PE</v>
          </cell>
          <cell r="D8292" t="str">
            <v>M2</v>
          </cell>
          <cell r="E8292">
            <v>30.93</v>
          </cell>
          <cell r="F8292">
            <v>0</v>
          </cell>
        </row>
        <row r="8293">
          <cell r="B8293">
            <v>100720</v>
          </cell>
          <cell r="C8293" t="str">
            <v>PINTURA COM TINTA ALQUÍDICA DE FUNDO (TIPO ZARCÃO) APLICADA A ROLO OU PINCEL SOBRE PERFIL METÁLICO EXECUTADO EM FÁBRICA (POR DEMÃO). AF_01/2020</v>
          </cell>
          <cell r="D8293" t="str">
            <v>M2</v>
          </cell>
          <cell r="E8293">
            <v>13.58</v>
          </cell>
          <cell r="F8293">
            <v>0</v>
          </cell>
        </row>
        <row r="8294">
          <cell r="B8294">
            <v>100722</v>
          </cell>
          <cell r="C8294" t="str">
            <v>PINTURA COM TINTA ALQUÍDICA DE FUNDO (TIPO ZARCÃO) APLICADA A ROLO OU PINCEL SOBRE SUPERFÍCIES METÁLICAS (EXCETO PERFIL) EXECUTADO EM OBRA (POR DEMÃO). AF_01/2020</v>
          </cell>
          <cell r="D8294" t="str">
            <v>M2</v>
          </cell>
          <cell r="E8294">
            <v>31.1</v>
          </cell>
          <cell r="F8294">
            <v>0</v>
          </cell>
        </row>
        <row r="8295">
          <cell r="B8295">
            <v>100719</v>
          </cell>
          <cell r="C8295" t="str">
            <v>PINTURA COM TINTA ALQUÍDICA DE FUNDO (TIPO ZARCÃO) PULVERIZADA SOBRE PERFIL METÁLICO EXECUTADO EM FÁBRICA (POR DEMÃO). AF_01/2020_PE</v>
          </cell>
          <cell r="D8295" t="str">
            <v>M2</v>
          </cell>
          <cell r="E8295">
            <v>13.29</v>
          </cell>
          <cell r="F8295">
            <v>0</v>
          </cell>
        </row>
        <row r="8296">
          <cell r="B8296">
            <v>100721</v>
          </cell>
          <cell r="C8296" t="str">
            <v>PINTURA COM TINTA ALQUÍDICA DE FUNDO (TIPO ZARCÃO) PULVERIZADA SOBRE SUPERFÍCIES METÁLICAS (EXCETO PERFIL) EXECUTADO EM OBRA (POR DEMÃO). AF_01/2020_PE</v>
          </cell>
          <cell r="D8296" t="str">
            <v>M2</v>
          </cell>
          <cell r="E8296">
            <v>31.56</v>
          </cell>
          <cell r="F8296">
            <v>0</v>
          </cell>
        </row>
        <row r="8297">
          <cell r="B8297">
            <v>100724</v>
          </cell>
          <cell r="C8297" t="str">
            <v>PINTURA COM TINTA ALQUÍDICA DE FUNDO E ACABAMENTO (ESMALTE SINTÉTICO GRAFITE) APLICADA A ROLO OU PINCEL SOBRE PERFIL METÁLICO EXECUTADO EM FÁBRICA (POR DEMÃO). AF_01/2020</v>
          </cell>
          <cell r="D8297" t="str">
            <v>M2</v>
          </cell>
          <cell r="E8297">
            <v>17.47</v>
          </cell>
          <cell r="F8297">
            <v>0</v>
          </cell>
        </row>
        <row r="8298">
          <cell r="B8298">
            <v>100726</v>
          </cell>
          <cell r="C8298" t="str">
            <v>PINTURA COM TINTA ALQUÍDICA DE FUNDO E ACABAMENTO (ESMALTE SINTÉTICO GRAFITE) APLICADA A ROLO OU PINCEL SOBRE SUPERFÍCIES METÁLICAS (EXCETO PERFIL) EXECUTADO EM OBRA (POR DEMÃO). AF_01/2020</v>
          </cell>
          <cell r="D8298" t="str">
            <v>M2</v>
          </cell>
          <cell r="E8298">
            <v>34.869999999999997</v>
          </cell>
          <cell r="F8298">
            <v>0</v>
          </cell>
        </row>
        <row r="8299">
          <cell r="B8299">
            <v>100723</v>
          </cell>
          <cell r="C8299" t="str">
            <v>PINTURA COM TINTA ALQUÍDICA DE FUNDO E ACABAMENTO (ESMALTE SINTÉTICO GRAFITE) PULVERIZADA SOBRE PERFIL METÁLICO EXECUTADO EM FÁBRICA (POR DEMÃO). AF_01/2020_PE</v>
          </cell>
          <cell r="D8299" t="str">
            <v>M2</v>
          </cell>
          <cell r="E8299">
            <v>14.26</v>
          </cell>
          <cell r="F8299">
            <v>0</v>
          </cell>
        </row>
        <row r="8300">
          <cell r="B8300">
            <v>100725</v>
          </cell>
          <cell r="C8300" t="str">
            <v>PINTURA COM TINTA ALQUÍDICA DE FUNDO E ACABAMENTO (ESMALTE SINTÉTICO GRAFITE) PULVERIZADA SOBRE SUPERFÍCIES METÁLICAS (EXCETO PERFIL) EXECUTADO EM OBRA (POR DEMÃO). AF_01/2020_PE</v>
          </cell>
          <cell r="D8300" t="str">
            <v>M2</v>
          </cell>
          <cell r="E8300">
            <v>31.88</v>
          </cell>
          <cell r="F8300">
            <v>0</v>
          </cell>
        </row>
        <row r="8301">
          <cell r="B8301">
            <v>100752</v>
          </cell>
          <cell r="C8301" t="str">
            <v>PINTURA COM TINTA EPOXÍDICA DE ACABAMENTO APLICADA A ROLO OU PINCEL SOBRE PERFIL METÁLICO EXECUTADO EM FÁBRICA (02 DEMÃOS). AF_01/2020</v>
          </cell>
          <cell r="D8301" t="str">
            <v>M2</v>
          </cell>
          <cell r="E8301">
            <v>57.97</v>
          </cell>
          <cell r="F8301">
            <v>0</v>
          </cell>
        </row>
        <row r="8302">
          <cell r="B8302">
            <v>100730</v>
          </cell>
          <cell r="C8302" t="str">
            <v>PINTURA COM TINTA EPOXÍDICA DE ACABAMENTO APLICADA A ROLO OU PINCEL SOBRE PERFIL METÁLICO EXECUTADO EM FÁBRICA (POR DEMÃO). AF_01/2020</v>
          </cell>
          <cell r="D8302" t="str">
            <v>M2</v>
          </cell>
          <cell r="E8302">
            <v>28.98</v>
          </cell>
          <cell r="F8302">
            <v>0</v>
          </cell>
        </row>
        <row r="8303">
          <cell r="B8303">
            <v>100751</v>
          </cell>
          <cell r="C8303" t="str">
            <v>PINTURA COM TINTA EPOXÍDICA DE ACABAMENTO PULVERIZADA SOBRE PERFIL METÁLICO EXECUTADO EM FÁBRICA (02 DEMÃOS). AF_01/2020_PE</v>
          </cell>
          <cell r="D8303" t="str">
            <v>M2</v>
          </cell>
          <cell r="E8303">
            <v>48.97</v>
          </cell>
          <cell r="F8303">
            <v>0</v>
          </cell>
        </row>
        <row r="8304">
          <cell r="B8304">
            <v>100729</v>
          </cell>
          <cell r="C8304" t="str">
            <v>PINTURA COM TINTA EPOXÍDICA DE ACABAMENTO PULVERIZADA SOBRE PERFIL METÁLICO EXECUTADO EM FÁBRICA (POR DEMÃO). AF_01/2020_PE</v>
          </cell>
          <cell r="D8304" t="str">
            <v>M2</v>
          </cell>
          <cell r="E8304">
            <v>24.48</v>
          </cell>
          <cell r="F8304">
            <v>0</v>
          </cell>
        </row>
        <row r="8305">
          <cell r="B8305">
            <v>100728</v>
          </cell>
          <cell r="C8305" t="str">
            <v>PINTURA COM TINTA EPOXÍDICA DE FUNDO APLICADA A ROLO OU PINCEL SOBRE PERFIL METÁLICO EXECUTADO EM FÁBRICA (POR DEMÃO). AF_01/2020</v>
          </cell>
          <cell r="D8305" t="str">
            <v>M2</v>
          </cell>
          <cell r="E8305">
            <v>29.45</v>
          </cell>
          <cell r="F8305">
            <v>0</v>
          </cell>
        </row>
        <row r="8306">
          <cell r="B8306">
            <v>100732</v>
          </cell>
          <cell r="C8306" t="str">
            <v>PINTURA COM TINTA EPOXÍDICA DE FUNDO E ACABAMENTO APLICADA A ROLO OU PINCEL SOBRE PERFIL METÁLICO EXECUTADO EM FÁBRICA (POR DEMÃO). AF_01/2020</v>
          </cell>
          <cell r="D8306" t="str">
            <v>M2</v>
          </cell>
          <cell r="E8306">
            <v>0</v>
          </cell>
        </row>
        <row r="8307">
          <cell r="B8307">
            <v>100731</v>
          </cell>
          <cell r="C8307" t="str">
            <v>PINTURA COM TINTA EPOXÍDICA DE FUNDO E ACABAMENTO PULVERIZADA SOBRE PERFIL METÁLICO EXECUTADO EM FÁBRICA (POR DEMÃO). AF_01/2020</v>
          </cell>
          <cell r="D8307" t="str">
            <v>M2</v>
          </cell>
          <cell r="E8307">
            <v>0</v>
          </cell>
        </row>
        <row r="8308">
          <cell r="B8308">
            <v>100727</v>
          </cell>
          <cell r="C8308" t="str">
            <v>PINTURA COM TINTA EPOXÍDICA DE FUNDO PULVERIZADA SOBRE PERFIL METÁLICO EXECUTADO EM FÁBRICA (POR DEMÃO). AF_01/2020_PE</v>
          </cell>
          <cell r="D8308" t="str">
            <v>M2</v>
          </cell>
          <cell r="E8308">
            <v>32.31</v>
          </cell>
          <cell r="F8308">
            <v>0</v>
          </cell>
        </row>
        <row r="8309">
          <cell r="B8309">
            <v>100756</v>
          </cell>
          <cell r="C8309" t="str">
            <v>PINTURA COM TINTA POLIURETÂNICA DE ACABAMENTO APLICADA A ROLO OU PINCEL SOBRE PERFIL METÁLICO EXECUTADO EM FÁBRICA (02 DEMÃOS). AF_01/2020</v>
          </cell>
          <cell r="D8309" t="str">
            <v>M2</v>
          </cell>
          <cell r="E8309">
            <v>0</v>
          </cell>
        </row>
        <row r="8310">
          <cell r="B8310">
            <v>100738</v>
          </cell>
          <cell r="C8310" t="str">
            <v>PINTURA COM TINTA POLIURETÂNICA DE ACABAMENTO APLICADA A ROLO OU PINCEL SOBRE PERFIL METÁLICO EXECUTADO EM FÁBRICA (POR DEMÃO). AF_01/2020</v>
          </cell>
          <cell r="D8310" t="str">
            <v>M2</v>
          </cell>
          <cell r="E8310">
            <v>0</v>
          </cell>
        </row>
        <row r="8311">
          <cell r="B8311">
            <v>100755</v>
          </cell>
          <cell r="C8311" t="str">
            <v>PINTURA COM TINTA POLIURETÂNICA DE ACABAMENTO PULVERIZADA SOBRE PERFIL METÁLICO EXECUTADO EM FÁBRICA (02 DEMÃOS). AF_01/2020</v>
          </cell>
          <cell r="D8311" t="str">
            <v>M2</v>
          </cell>
          <cell r="E8311">
            <v>0</v>
          </cell>
        </row>
        <row r="8312">
          <cell r="B8312">
            <v>100737</v>
          </cell>
          <cell r="C8312" t="str">
            <v>PINTURA COM TINTA POLIURETÂNICA DE ACABAMENTO PULVERIZADA SOBRE PERFIL METÁLICO EXECUTADO EM FÁBRICA (POR DEMÃO). AF_01/2020</v>
          </cell>
          <cell r="D8312" t="str">
            <v>M2</v>
          </cell>
          <cell r="E8312">
            <v>0</v>
          </cell>
        </row>
        <row r="8313">
          <cell r="B8313">
            <v>102499</v>
          </cell>
          <cell r="C8313" t="str">
            <v>ENCERAMENTO DE PISO EM MADEIRA. AF_05/2021</v>
          </cell>
          <cell r="D8313" t="str">
            <v>M2</v>
          </cell>
          <cell r="E8313">
            <v>4.28</v>
          </cell>
          <cell r="F8313">
            <v>0</v>
          </cell>
        </row>
        <row r="8314">
          <cell r="B8314">
            <v>102505</v>
          </cell>
          <cell r="C8314" t="str">
            <v>PINTURA DE DEMARCAÇÃO DE QUADRA POLIESPORTIVA COM BORRACHA CLORADA, E = 5 CM, APLICAÇÃO MANUAL. AF_05/2021</v>
          </cell>
          <cell r="D8314" t="str">
            <v>M</v>
          </cell>
          <cell r="E8314">
            <v>13.72</v>
          </cell>
          <cell r="F8314">
            <v>0</v>
          </cell>
        </row>
        <row r="8315">
          <cell r="B8315">
            <v>102504</v>
          </cell>
          <cell r="C8315" t="str">
            <v>PINTURA DE DEMARCAÇÃO DE QUADRA POLIESPORTIVA COM TINTA ACRÍLICA, E = 5 CM, APLICAÇÃO MANUAL. AF_05/2021</v>
          </cell>
          <cell r="D8315" t="str">
            <v>M</v>
          </cell>
          <cell r="E8315">
            <v>13.1</v>
          </cell>
          <cell r="F8315">
            <v>0</v>
          </cell>
        </row>
        <row r="8316">
          <cell r="B8316">
            <v>102506</v>
          </cell>
          <cell r="C8316" t="str">
            <v>PINTURA DE DEMARCAÇÃO DE QUADRA POLIESPORTIVA COM TINTA EPÓXI, E = 5 CM, APLICAÇÃO MANUAL. AF_05/2021</v>
          </cell>
          <cell r="D8316" t="str">
            <v>M</v>
          </cell>
          <cell r="E8316">
            <v>14.32</v>
          </cell>
          <cell r="F8316">
            <v>0</v>
          </cell>
        </row>
        <row r="8317">
          <cell r="B8317">
            <v>102500</v>
          </cell>
          <cell r="C8317" t="str">
            <v>PINTURA DE DEMARCAÇÃO DE VAGA COM TINTA ACRÍLICA, E = 10 CM, APLICAÇÃO MANUAL. AF_05/2021</v>
          </cell>
          <cell r="D8317" t="str">
            <v>M</v>
          </cell>
          <cell r="E8317">
            <v>5.72</v>
          </cell>
          <cell r="F8317">
            <v>0</v>
          </cell>
        </row>
        <row r="8318">
          <cell r="B8318">
            <v>102502</v>
          </cell>
          <cell r="C8318" t="str">
            <v>PINTURA DE DEMARCAÇÃO DE VAGA COM TINTA ACRÍLICA, E = 10 CM, APLICAÇÃO MECÂNICA COM DEMARCADORA A TRAÇÃO MANUAL. AF_05/2021</v>
          </cell>
          <cell r="D8318" t="str">
            <v>M</v>
          </cell>
          <cell r="E8318">
            <v>0</v>
          </cell>
        </row>
        <row r="8319">
          <cell r="B8319">
            <v>102507</v>
          </cell>
          <cell r="C8319" t="str">
            <v>PINTURA DE DEMARCAÇÃO DE VAGA COM TINTA EPÓXI, E = 10 CM, APLICAÇÃO MANUAL. AF_05/2021</v>
          </cell>
          <cell r="D8319" t="str">
            <v>M</v>
          </cell>
          <cell r="E8319">
            <v>8.14</v>
          </cell>
          <cell r="F8319">
            <v>0</v>
          </cell>
        </row>
        <row r="8320">
          <cell r="B8320">
            <v>102510</v>
          </cell>
          <cell r="C8320" t="str">
            <v>PINTURA DE EIXO VIÁRIO COM TINTA RETRORREFLETIVA A BASE DE RESINA ACRÍLICA COM MICROESFERAS DE VIDRO, E = 10 CM, APLICAÇÃO MECÂNICA COM DEMARCADORA A TRAÇÃO MANUAL. AF_05/2021</v>
          </cell>
          <cell r="D8320" t="str">
            <v>M</v>
          </cell>
          <cell r="E8320">
            <v>0</v>
          </cell>
        </row>
        <row r="8321">
          <cell r="B8321">
            <v>102512</v>
          </cell>
          <cell r="C8321" t="str">
            <v>PINTURA DE EIXO VIÁRIO SOBRE ASFALTO COM TINTA RETRORREFLETIVA A BASE DE RESINA ACRÍLICA COM MICROESFERAS DE VIDRO, E = 10 CM, APLICAÇÃO MECÂNICA COM DEMARCADORA AUTOPROPELIDA. AF_05/2021</v>
          </cell>
          <cell r="D8321" t="str">
            <v>M</v>
          </cell>
          <cell r="E8321">
            <v>7.72</v>
          </cell>
          <cell r="F8321">
            <v>0</v>
          </cell>
        </row>
        <row r="8322">
          <cell r="B8322">
            <v>102501</v>
          </cell>
          <cell r="C8322" t="str">
            <v>PINTURA DE FAIXA DE PEDESTRE OU ZEBRADA COM TINTA ACRÍLICA, E = 30 CM, APLICAÇÃO MANUAL. AF_05/2021</v>
          </cell>
          <cell r="D8322" t="str">
            <v>M2</v>
          </cell>
          <cell r="E8322">
            <v>31.56</v>
          </cell>
          <cell r="F8322">
            <v>0</v>
          </cell>
        </row>
        <row r="8323">
          <cell r="B8323">
            <v>102503</v>
          </cell>
          <cell r="C8323" t="str">
            <v>PINTURA DE FAIXA DE PEDESTRE OU ZEBRADA COM TINTA ACRÍLICA, E = 30 CM, APLICAÇÃO MECÂNICA COM DEMARCADORA A TRAÇÃO MANUAL. AF_05/2021</v>
          </cell>
          <cell r="D8323" t="str">
            <v>M2</v>
          </cell>
          <cell r="E8323">
            <v>0</v>
          </cell>
        </row>
        <row r="8324">
          <cell r="B8324">
            <v>102508</v>
          </cell>
          <cell r="C8324" t="str">
            <v>PINTURA DE FAIXA DE PEDESTRE OU ZEBRADA COM TINTA EPÓXI, E = 30 CM, APLICAÇÃO MANUAL. AF_05/2021</v>
          </cell>
          <cell r="D8324" t="str">
            <v>M2</v>
          </cell>
          <cell r="E8324">
            <v>56.23</v>
          </cell>
          <cell r="F8324">
            <v>0</v>
          </cell>
        </row>
        <row r="8325">
          <cell r="B8325">
            <v>102511</v>
          </cell>
          <cell r="C8325" t="str">
            <v>PINTURA DE FAIXA DE PEDESTRE OU ZEBRADA COM TINTA RETRORREFLETIVA A BASE DE RESINA ACRÍLICA COM MICROESFERAS DE VIDRO, E = 30 CM, APLICAÇÃO MECÂNICA COM DEMARCADORA A TRAÇÃO MANUAL. AF_05/2021</v>
          </cell>
          <cell r="D8325" t="str">
            <v>M2</v>
          </cell>
          <cell r="E8325">
            <v>0</v>
          </cell>
        </row>
        <row r="8326">
          <cell r="B8326">
            <v>102509</v>
          </cell>
          <cell r="C8326" t="str">
            <v>PINTURA DE FAIXA DE PEDESTRE OU ZEBRADA TINTA RETRORREFLETIVA A BASE DE RESINA ACRÍLICA COM MICROESFERAS DE VIDRO, E = 30 CM, APLICAÇÃO MANUAL. AF_05/2021</v>
          </cell>
          <cell r="D8326" t="str">
            <v>M2</v>
          </cell>
          <cell r="E8326">
            <v>41.14</v>
          </cell>
          <cell r="F8326">
            <v>0</v>
          </cell>
        </row>
        <row r="8327">
          <cell r="B8327">
            <v>102498</v>
          </cell>
          <cell r="C8327" t="str">
            <v>PINTURA DE MEIO-FIO COM TINTA BRANCA A BASE DE CAL (CAIAÇÃO). AF_05/2021</v>
          </cell>
          <cell r="D8327" t="str">
            <v>M</v>
          </cell>
          <cell r="E8327">
            <v>2.0699999999999998</v>
          </cell>
          <cell r="F8327">
            <v>0</v>
          </cell>
        </row>
        <row r="8328">
          <cell r="B8328">
            <v>102519</v>
          </cell>
          <cell r="C8328" t="str">
            <v>PINTURA DE NÚMEROS E LETRAS PARA SINALIZAÇÃO HORIZONTAL, ALTURA 100 MM, APLICADOR SPRAY E MOLDE PLÁSTICO. AF_05/2021</v>
          </cell>
          <cell r="D8328" t="str">
            <v>UN</v>
          </cell>
          <cell r="E8328">
            <v>0</v>
          </cell>
        </row>
        <row r="8329">
          <cell r="B8329">
            <v>102491</v>
          </cell>
          <cell r="C8329" t="str">
            <v>PINTURA DE PISO COM TINTA ACRÍLICA, APLICAÇÃO MANUAL, 2 DEMÃOS, INCLUSO FUNDO PREPARADOR. AF_05/2021</v>
          </cell>
          <cell r="D8329" t="str">
            <v>M2</v>
          </cell>
          <cell r="E8329">
            <v>25.63</v>
          </cell>
          <cell r="F8329">
            <v>0</v>
          </cell>
        </row>
        <row r="8330">
          <cell r="B8330">
            <v>102492</v>
          </cell>
          <cell r="C8330" t="str">
            <v>PINTURA DE PISO COM TINTA ACRÍLICA, APLICAÇÃO MANUAL, 3 DEMÃOS, INCLUSO FUNDO PREPARADOR. AF_05/2021</v>
          </cell>
          <cell r="D8330" t="str">
            <v>M2</v>
          </cell>
          <cell r="E8330">
            <v>32.56</v>
          </cell>
          <cell r="F8330">
            <v>0</v>
          </cell>
        </row>
        <row r="8331">
          <cell r="B8331">
            <v>102804</v>
          </cell>
          <cell r="C8331" t="str">
            <v>PINTURA DE PISO COM TINTA ACRÍLICA, APLICAÇÃO MECÂNICA, 2 DEMÃOS, INCLUSO FUNDO PREPARADOR. AF_05/2021</v>
          </cell>
          <cell r="D8331" t="str">
            <v>M2</v>
          </cell>
          <cell r="E8331">
            <v>0</v>
          </cell>
        </row>
        <row r="8332">
          <cell r="B8332">
            <v>102494</v>
          </cell>
          <cell r="C8332" t="str">
            <v>PINTURA DE PISO COM TINTA EPÓXI, APLICAÇÃO MANUAL, 2 DEMÃOS, INCLUSO PRIMER EPÓXI. AF_05/2021</v>
          </cell>
          <cell r="D8332" t="str">
            <v>M2</v>
          </cell>
          <cell r="E8332">
            <v>77.16</v>
          </cell>
          <cell r="F8332">
            <v>0</v>
          </cell>
        </row>
        <row r="8333">
          <cell r="B8333">
            <v>102805</v>
          </cell>
          <cell r="C8333" t="str">
            <v>PINTURA DE PISO COM TINTA EPÓXI, APLICAÇÃO MECÂNICA, 2 DEMÃOS. AF_05/2021</v>
          </cell>
          <cell r="D8333" t="str">
            <v>M2</v>
          </cell>
          <cell r="E8333">
            <v>0</v>
          </cell>
        </row>
        <row r="8334">
          <cell r="B8334">
            <v>102490</v>
          </cell>
          <cell r="C8334" t="str">
            <v>PINTURA DE PISO DE PEDRAS DECORATIVAS COM VERNIZ DE POLIURETANO FOSCO, APLICAÇÃO MANUAL, 3 DEMÃOS. AF_05/2021</v>
          </cell>
          <cell r="D8334" t="str">
            <v>M2</v>
          </cell>
          <cell r="E8334">
            <v>0</v>
          </cell>
        </row>
        <row r="8335">
          <cell r="B8335">
            <v>102496</v>
          </cell>
          <cell r="C8335" t="str">
            <v>PINTURA DE RODAPÉ COM TINTA EPÓXI, APLICAÇÃO MANUAL, 2 DEMÃOS, INCLUSÃO PRIMER EPÓXI. AF_05/2021</v>
          </cell>
          <cell r="D8335" t="str">
            <v>M</v>
          </cell>
          <cell r="E8335">
            <v>16.61</v>
          </cell>
          <cell r="F8335">
            <v>0</v>
          </cell>
        </row>
        <row r="8336">
          <cell r="B8336">
            <v>102497</v>
          </cell>
          <cell r="C8336" t="str">
            <v>PINTURA DE RODAPÉ EM PEDRA DECORATIVA COM VERNIZ DE POLIURETANO, APLICAÇÃO MANUAL, 3 DEMÃOS. AF_05/2021</v>
          </cell>
          <cell r="D8336" t="str">
            <v>M</v>
          </cell>
          <cell r="E8336">
            <v>6.18</v>
          </cell>
          <cell r="F8336">
            <v>0</v>
          </cell>
        </row>
        <row r="8337">
          <cell r="B8337">
            <v>102520</v>
          </cell>
          <cell r="C8337" t="str">
            <v>PINTURA DE SINALIZAÇÃO VERTICAL DE SEGURANÇA, FAIXAS AMARELA E PRETA, APLICAÇÃO MANUAL, 2 DEMÃOS. AF_05/2021</v>
          </cell>
          <cell r="D8337" t="str">
            <v>M2</v>
          </cell>
          <cell r="E8337">
            <v>106.06</v>
          </cell>
          <cell r="F8337">
            <v>0</v>
          </cell>
        </row>
        <row r="8338">
          <cell r="B8338">
            <v>102518</v>
          </cell>
          <cell r="C8338" t="str">
            <v>PINTURA DE SÍMBOLO "BICICLETA" COM TINTA ACRÍLICA, UTILIZAÇÃO DE MOLDE PLÁSTICO E APLICAÇÃO MECÂNICA, 150X60 CM. AF_05/2021</v>
          </cell>
          <cell r="D8338" t="str">
            <v>UN</v>
          </cell>
          <cell r="E8338">
            <v>0</v>
          </cell>
        </row>
        <row r="8339">
          <cell r="B8339">
            <v>102514</v>
          </cell>
          <cell r="C8339" t="str">
            <v>PINTURA DE SÍMBOLO "DEFICIENTE FÍSICO" COM TINTA ACRÍLICA, UTILIZAÇÃO DE MOLDE PLÁSTICO E APLICAÇÃO MECÂNICA, 120X120 CM. AF_05/2021</v>
          </cell>
          <cell r="D8339" t="str">
            <v>UN</v>
          </cell>
          <cell r="E8339">
            <v>0</v>
          </cell>
        </row>
        <row r="8340">
          <cell r="B8340">
            <v>102516</v>
          </cell>
          <cell r="C8340" t="str">
            <v>PINTURA DE SÍMBOLO "GESTANTE" COM TINTA ACRÍLICA, UTILIZAÇÃO DE MOLDE PLÁSTICO E APLICAÇÃO MECÂNICA, 120X120 CM. AF_05/2021</v>
          </cell>
          <cell r="D8340" t="str">
            <v>UN</v>
          </cell>
          <cell r="E8340">
            <v>0</v>
          </cell>
        </row>
        <row r="8341">
          <cell r="B8341">
            <v>102515</v>
          </cell>
          <cell r="C8341" t="str">
            <v>PINTURA DE SÍMBOLO "IDOSO" COM TINTA ACRÍLICA, UTILIZAÇÃO DE MOLDE PLÁSTICO E APLICAÇÃO MECÂNICA, 120X120 CM. AF_05/2021</v>
          </cell>
          <cell r="D8341" t="str">
            <v>UN</v>
          </cell>
          <cell r="E8341">
            <v>0</v>
          </cell>
        </row>
        <row r="8342">
          <cell r="B8342">
            <v>102517</v>
          </cell>
          <cell r="C8342" t="str">
            <v>PINTURA DE SÍMBOLO "PEDESTRE" COM TINTA ACRÍLICA, UTILIZAÇÃO DE MOLDE PLÁSTICO E APLICAÇÃO MECÂNICA, 130X90 CM. AF_05/2021</v>
          </cell>
          <cell r="D8342" t="str">
            <v>UN</v>
          </cell>
          <cell r="E8342">
            <v>0</v>
          </cell>
        </row>
        <row r="8343">
          <cell r="B8343">
            <v>102513</v>
          </cell>
          <cell r="C8343" t="str">
            <v>PINTURA DE SÍMBOLOS E TEXTOS COM TINTA ACRÍLICA, DEMARCAÇÃO COM FITA ADESIVA E APLICAÇÃO COM ROLO. AF_05/2021</v>
          </cell>
          <cell r="D8343" t="str">
            <v>M2</v>
          </cell>
          <cell r="E8343">
            <v>61.33</v>
          </cell>
          <cell r="F8343">
            <v>0</v>
          </cell>
        </row>
        <row r="8344">
          <cell r="B8344">
            <v>102489</v>
          </cell>
          <cell r="C8344" t="str">
            <v>PINTURA HIDROFUGANTE COM SILICONE, APLICAÇÃO MANUAL, 2 DEMÃOS. AF_05/2021</v>
          </cell>
          <cell r="D8344" t="str">
            <v>M2</v>
          </cell>
          <cell r="E8344">
            <v>31.38</v>
          </cell>
          <cell r="F8344">
            <v>0</v>
          </cell>
        </row>
        <row r="8345">
          <cell r="B8345">
            <v>102488</v>
          </cell>
          <cell r="C8345" t="str">
            <v>PREPARO DO PISO CIMENTADO PARA PINTURA - LIXAMENTO E LIMPEZA. AF_05/2021</v>
          </cell>
          <cell r="D8345" t="str">
            <v>M2</v>
          </cell>
          <cell r="E8345">
            <v>4.78</v>
          </cell>
          <cell r="F8345">
            <v>0</v>
          </cell>
        </row>
        <row r="8346">
          <cell r="B8346">
            <v>101730</v>
          </cell>
          <cell r="C8346" t="str">
            <v>ACABAMENTO PARA PISO EM TACO DE MADEIRA. AF_09/2020</v>
          </cell>
          <cell r="D8346" t="str">
            <v>M2</v>
          </cell>
          <cell r="E8346">
            <v>0</v>
          </cell>
        </row>
        <row r="8347">
          <cell r="B8347">
            <v>101746</v>
          </cell>
          <cell r="C8347" t="str">
            <v>ASSOALHO DE MADEIRA. AF_09/2020</v>
          </cell>
          <cell r="D8347" t="str">
            <v>M2</v>
          </cell>
          <cell r="E8347">
            <v>534.49</v>
          </cell>
          <cell r="F8347">
            <v>0</v>
          </cell>
        </row>
        <row r="8348">
          <cell r="B8348">
            <v>98679</v>
          </cell>
          <cell r="C8348" t="str">
            <v>PISO CIMENTADO, TRAÇO 1:3 (CIMENTO E AREIA), ACABAMENTO LISO, ESPESSURA 2,0 CM, PREPARO MECÂNICO DA ARGAMASSA. AF_09/2020</v>
          </cell>
          <cell r="D8348" t="str">
            <v>M2</v>
          </cell>
          <cell r="E8348">
            <v>40.840000000000003</v>
          </cell>
          <cell r="F8348">
            <v>0</v>
          </cell>
        </row>
        <row r="8349">
          <cell r="B8349">
            <v>98680</v>
          </cell>
          <cell r="C8349" t="str">
            <v>PISO CIMENTADO, TRAÇO 1:3 (CIMENTO E AREIA), ACABAMENTO LISO, ESPESSURA 3,0 CM, PREPARO MECÂNICO DA ARGAMASSA. AF_09/2020</v>
          </cell>
          <cell r="D8349" t="str">
            <v>M2</v>
          </cell>
          <cell r="E8349">
            <v>50.48</v>
          </cell>
          <cell r="F8349">
            <v>0</v>
          </cell>
        </row>
        <row r="8350">
          <cell r="B8350">
            <v>101749</v>
          </cell>
          <cell r="C8350" t="str">
            <v>PISO CIMENTADO, TRAÇO 1:3 (CIMENTO E AREIA), ACABAMENTO LISO, ESPESSURA 4,0 CM, PREPARO MECÂNICO DA ARGAMASSA. AF_09/2020</v>
          </cell>
          <cell r="D8350" t="str">
            <v>M2</v>
          </cell>
          <cell r="E8350">
            <v>58.36</v>
          </cell>
          <cell r="F8350">
            <v>0</v>
          </cell>
        </row>
        <row r="8351">
          <cell r="B8351">
            <v>98681</v>
          </cell>
          <cell r="C8351" t="str">
            <v>PISO CIMENTADO, TRAÇO 1:3 (CIMENTO E AREIA), ACABAMENTO RÚSTICO, ESPESSURA 2,0 CM, PREPARO MECÂNICO DA ARGAMASSA. AF_09/2020</v>
          </cell>
          <cell r="D8351" t="str">
            <v>M2</v>
          </cell>
          <cell r="E8351">
            <v>37.630000000000003</v>
          </cell>
          <cell r="F8351">
            <v>0</v>
          </cell>
        </row>
        <row r="8352">
          <cell r="B8352">
            <v>98682</v>
          </cell>
          <cell r="C8352" t="str">
            <v>PISO CIMENTADO, TRAÇO 1:3 (CIMENTO E AREIA), ACABAMENTO RÚSTICO, ESPESSURA 3,0 CM, PREPARO MECÂNICO DA ARGAMASSA. AF_09/2020</v>
          </cell>
          <cell r="D8352" t="str">
            <v>M2</v>
          </cell>
          <cell r="E8352">
            <v>47.27</v>
          </cell>
          <cell r="F8352">
            <v>0</v>
          </cell>
        </row>
        <row r="8353">
          <cell r="B8353">
            <v>101750</v>
          </cell>
          <cell r="C8353" t="str">
            <v>PISO CIMENTADO, TRAÇO 1:3 (CIMENTO E AREIA), ACABAMENTO RÚSTICO, ESPESSURA 4,0 CM, PREPARO MECÂNICO DA ARGAMASSA. AF_09/2020</v>
          </cell>
          <cell r="D8353" t="str">
            <v>M2</v>
          </cell>
          <cell r="E8353">
            <v>55.14</v>
          </cell>
          <cell r="F8353">
            <v>0</v>
          </cell>
        </row>
        <row r="8354">
          <cell r="B8354">
            <v>101737</v>
          </cell>
          <cell r="C8354" t="str">
            <v>PISO DE BORRACHA CANELADO, ESPESSURA 3,5MM, FIXADO COM ADESIVO ACRÍLICO. AF_09/2020</v>
          </cell>
          <cell r="D8354" t="str">
            <v>M2</v>
          </cell>
          <cell r="E8354">
            <v>136.35</v>
          </cell>
          <cell r="F8354">
            <v>0</v>
          </cell>
        </row>
        <row r="8355">
          <cell r="B8355">
            <v>101735</v>
          </cell>
          <cell r="C8355" t="str">
            <v>PISO DE BORRACHA ESPORTIVO, ESPESSURA 15MM, ASSENTADO COM ARGAMASSA. AF_09/2020</v>
          </cell>
          <cell r="D8355" t="str">
            <v>M2</v>
          </cell>
          <cell r="E8355">
            <v>424.6</v>
          </cell>
          <cell r="F8355">
            <v>0</v>
          </cell>
        </row>
        <row r="8356">
          <cell r="B8356">
            <v>101734</v>
          </cell>
          <cell r="C8356" t="str">
            <v>PISO DE BORRACHA PASTILHADO, ESPESSURA 15MM, ASSENTADO COM ARGAMASSA. AF_09/2020</v>
          </cell>
          <cell r="D8356" t="str">
            <v>M2</v>
          </cell>
          <cell r="E8356">
            <v>414.64</v>
          </cell>
          <cell r="F8356">
            <v>0</v>
          </cell>
        </row>
        <row r="8357">
          <cell r="B8357">
            <v>101736</v>
          </cell>
          <cell r="C8357" t="str">
            <v>PISO DE BORRACHA PASTILHADO, ESPESSURA 3,5MM, FIXADO COM ADESIVO ACRÍLICO. AF_09/2020</v>
          </cell>
          <cell r="D8357" t="str">
            <v>M2</v>
          </cell>
          <cell r="E8357">
            <v>116.64</v>
          </cell>
          <cell r="F8357">
            <v>0</v>
          </cell>
        </row>
        <row r="8358">
          <cell r="B8358">
            <v>101733</v>
          </cell>
          <cell r="C8358" t="str">
            <v>PISO DE BORRACHA PASTILHADO/FRISADO, ESPESSURA 7MM, ASSENTADO COM ARGAMASSA. AF_09/2020</v>
          </cell>
          <cell r="D8358" t="str">
            <v>M2</v>
          </cell>
          <cell r="E8358">
            <v>277.29000000000002</v>
          </cell>
          <cell r="F8358">
            <v>0</v>
          </cell>
        </row>
        <row r="8359">
          <cell r="B8359">
            <v>98678</v>
          </cell>
          <cell r="C8359" t="str">
            <v>PISO ELEVADO COM ESTRUTURA EM AÇO, COMPOSTO POR PEDESTAIS E LONGARINAS. AF_09/2020</v>
          </cell>
          <cell r="D8359" t="str">
            <v>M2</v>
          </cell>
          <cell r="E8359">
            <v>0</v>
          </cell>
        </row>
        <row r="8360">
          <cell r="B8360">
            <v>98677</v>
          </cell>
          <cell r="C8360" t="str">
            <v>PISO ELEVADO COM ESTRUTURA EM AÇO, COMPOSTO SOMENTE POR PEDESTAIS. AF_09/2020</v>
          </cell>
          <cell r="D8360" t="str">
            <v>M2</v>
          </cell>
          <cell r="E8360">
            <v>0</v>
          </cell>
        </row>
        <row r="8361">
          <cell r="B8361">
            <v>98676</v>
          </cell>
          <cell r="C8361" t="str">
            <v>PISO ELEVADO COM ESTRUTURA EM PLÁSTICO, COM REVESTIMENTO EM PORCELANATO. AF_09/2020</v>
          </cell>
          <cell r="D8361" t="str">
            <v>M2</v>
          </cell>
          <cell r="E8361">
            <v>0</v>
          </cell>
        </row>
        <row r="8362">
          <cell r="B8362">
            <v>98675</v>
          </cell>
          <cell r="C8362" t="str">
            <v>PISO ELEVADO COM ESTRUTURA EM PLÁSTICO, PARA RECEBER REVESTIMENTO TEXTIL. AF_09/2020</v>
          </cell>
          <cell r="D8362" t="str">
            <v>M2</v>
          </cell>
          <cell r="E8362">
            <v>0</v>
          </cell>
        </row>
        <row r="8363">
          <cell r="B8363">
            <v>101747</v>
          </cell>
          <cell r="C8363" t="str">
            <v>PISO EM CONCRETO 20 MPA PREPARO MECÂNICO, ESPESSURA 7CM. AF_09/2020</v>
          </cell>
          <cell r="D8363" t="str">
            <v>M2</v>
          </cell>
          <cell r="E8363">
            <v>73.7</v>
          </cell>
          <cell r="F8363">
            <v>0</v>
          </cell>
        </row>
        <row r="8364">
          <cell r="B8364">
            <v>104162</v>
          </cell>
          <cell r="C8364" t="str">
            <v>PISO EM GRANILITE, MARMORITE OU GRANITINA EM AMBIENTES INTERNOS, COM ESPESSURA DE 8 MM, INCLUSO MISTURA EM BETONEIRA, COLOCAÇÃO DAS JUNTAS, APLICAÇÃO DO PISO, 4 POLIMENTOS COM POLITRIZ, ESTUCAMENTO, SELADOR E CERA. AF_06/2022</v>
          </cell>
          <cell r="D8364" t="str">
            <v>M2</v>
          </cell>
          <cell r="E8364">
            <v>110.12</v>
          </cell>
          <cell r="F8364">
            <v>0</v>
          </cell>
        </row>
        <row r="8365">
          <cell r="B8365">
            <v>98671</v>
          </cell>
          <cell r="C8365" t="str">
            <v>PISO EM GRANITO APLICADO EM AMBIENTES INTERNOS. AF_09/2020</v>
          </cell>
          <cell r="D8365" t="str">
            <v>M2</v>
          </cell>
          <cell r="E8365">
            <v>473.44</v>
          </cell>
          <cell r="F8365">
            <v>0</v>
          </cell>
        </row>
        <row r="8366">
          <cell r="B8366">
            <v>101092</v>
          </cell>
          <cell r="C8366" t="str">
            <v>PISO EM GRANITO APLICADO EM CALÇADAS OU PISOS EXTERNOS. AF_05/2020</v>
          </cell>
          <cell r="D8366" t="str">
            <v>M2</v>
          </cell>
          <cell r="E8366">
            <v>488.44</v>
          </cell>
          <cell r="F8366">
            <v>0</v>
          </cell>
        </row>
        <row r="8367">
          <cell r="B8367">
            <v>101091</v>
          </cell>
          <cell r="C8367" t="str">
            <v>PISO EM LADRILHO HIDRÁULICO APLICADO EM AMBIENTES EXTERNOS. AF_05/2020</v>
          </cell>
          <cell r="D8367" t="str">
            <v>M2</v>
          </cell>
          <cell r="E8367">
            <v>197.11</v>
          </cell>
          <cell r="F8367">
            <v>0</v>
          </cell>
        </row>
        <row r="8368">
          <cell r="B8368">
            <v>101726</v>
          </cell>
          <cell r="C8368" t="str">
            <v>PISO EM LADRILHO HIDRÁULICO APLICADO EM AMBIENTES INTERNOS DE ÁREA ENTRE 5 E 15 M², INCLUSO APLICAÇÃO DE RESINA. AF_09/2020</v>
          </cell>
          <cell r="D8368" t="str">
            <v>M2</v>
          </cell>
          <cell r="E8368">
            <v>251.92</v>
          </cell>
          <cell r="F8368">
            <v>0</v>
          </cell>
        </row>
        <row r="8369">
          <cell r="B8369">
            <v>101725</v>
          </cell>
          <cell r="C8369" t="str">
            <v>PISO EM LADRILHO HIDRÁULICO APLICADO EM AMBIENTES INTERNOS DE ÁREA MENOR QUE 5 M², INCLUSO APLICAÇÃO DE RESINA. AF_09/2020</v>
          </cell>
          <cell r="D8369" t="str">
            <v>M2</v>
          </cell>
          <cell r="E8369">
            <v>374.71</v>
          </cell>
          <cell r="F8369">
            <v>0</v>
          </cell>
        </row>
        <row r="8370">
          <cell r="B8370">
            <v>98672</v>
          </cell>
          <cell r="C8370" t="str">
            <v>PISO EM MÁRMORE APLICADO EM AMBIENTES INTERNOS. AF_09/2020</v>
          </cell>
          <cell r="D8370" t="str">
            <v>M2</v>
          </cell>
          <cell r="E8370">
            <v>703.69</v>
          </cell>
          <cell r="F8370">
            <v>0</v>
          </cell>
        </row>
        <row r="8371">
          <cell r="B8371">
            <v>101093</v>
          </cell>
          <cell r="C8371" t="str">
            <v>PISO EM MÁRMORE APLICADO EM CALÇADAS OU PISOS EXTERNOS. AF_05/2020</v>
          </cell>
          <cell r="D8371" t="str">
            <v>M2</v>
          </cell>
          <cell r="E8371">
            <v>718.69</v>
          </cell>
          <cell r="F8371">
            <v>0</v>
          </cell>
        </row>
        <row r="8372">
          <cell r="B8372">
            <v>101732</v>
          </cell>
          <cell r="C8372" t="str">
            <v>PISO EM PEDRA ARDÓSIA ASSENTADO SOBRE ARGAMASSA 1:3 (CIMENTO E AREIA). AF_09/2020</v>
          </cell>
          <cell r="D8372" t="str">
            <v>M2</v>
          </cell>
          <cell r="E8372">
            <v>113.12</v>
          </cell>
          <cell r="F8372">
            <v>0</v>
          </cell>
        </row>
        <row r="8373">
          <cell r="B8373">
            <v>101731</v>
          </cell>
          <cell r="C8373" t="str">
            <v>PISO EM PEDRA ASSENTADO SOBRE ARGAMASSA 1:3 (CIMENTO E AREIA). AF_09/2020</v>
          </cell>
          <cell r="D8373" t="str">
            <v>M2</v>
          </cell>
          <cell r="E8373">
            <v>361.87</v>
          </cell>
          <cell r="F8373">
            <v>0</v>
          </cell>
        </row>
        <row r="8374">
          <cell r="B8374">
            <v>101090</v>
          </cell>
          <cell r="C8374" t="str">
            <v>PISO EM PEDRA PORTUGUESA ASSENTADO SOBRE ARGAMASSA SECA DE CIMENTO E AREIA, TRAÇO 1:3, REJUNTADO COM CIMENTO COMUM. AF_05/2020</v>
          </cell>
          <cell r="D8374" t="str">
            <v>M2</v>
          </cell>
          <cell r="E8374">
            <v>238.82</v>
          </cell>
          <cell r="F8374">
            <v>0</v>
          </cell>
        </row>
        <row r="8375">
          <cell r="B8375">
            <v>101751</v>
          </cell>
          <cell r="C8375" t="str">
            <v>PISO EM TACO DE MADEIRA 7X21CM, FIXADO COM COLA BASE DE PVA. AF_09/2020</v>
          </cell>
          <cell r="D8375" t="str">
            <v>M2</v>
          </cell>
          <cell r="E8375">
            <v>351.89</v>
          </cell>
          <cell r="F8375">
            <v>0</v>
          </cell>
        </row>
        <row r="8376">
          <cell r="B8376">
            <v>101729</v>
          </cell>
          <cell r="C8376" t="str">
            <v>PISO EM TACO DE MADEIRA 7X42CM, FIXADO COM COLA BASE DE PVA. AF_09/2020</v>
          </cell>
          <cell r="D8376" t="str">
            <v>M2</v>
          </cell>
          <cell r="E8376">
            <v>343.27</v>
          </cell>
          <cell r="F8376">
            <v>0</v>
          </cell>
        </row>
        <row r="8377">
          <cell r="B8377">
            <v>98683</v>
          </cell>
          <cell r="C8377" t="str">
            <v>PISO LAMINADO EM AMBIENTES INTERNOS. AF_09/2020</v>
          </cell>
          <cell r="D8377" t="str">
            <v>M2</v>
          </cell>
          <cell r="E8377">
            <v>0</v>
          </cell>
        </row>
        <row r="8378">
          <cell r="B8378">
            <v>101094</v>
          </cell>
          <cell r="C8378" t="str">
            <v>PISO PODOTÁTIL DE ALERTA OU DIRECIONAL, DE BORRACHA, ASSENTADO SOBRE ARGAMASSA. AF_05/2020</v>
          </cell>
          <cell r="D8378" t="str">
            <v>M</v>
          </cell>
          <cell r="E8378">
            <v>171.86</v>
          </cell>
          <cell r="F8378">
            <v>0</v>
          </cell>
        </row>
        <row r="8379">
          <cell r="B8379">
            <v>101095</v>
          </cell>
          <cell r="C8379" t="str">
            <v>PISO PODOTÁTIL, DIRECIONAL OU ALERTA, SOLIDARIZADO AO PISO EXISTENTE (ELEMENTOS DISCRETOS). AF_05/2020</v>
          </cell>
          <cell r="D8379" t="str">
            <v>M</v>
          </cell>
          <cell r="E8379">
            <v>0</v>
          </cell>
        </row>
        <row r="8380">
          <cell r="B8380">
            <v>101728</v>
          </cell>
          <cell r="C8380" t="str">
            <v>PISO VINÍLICO FLEXÍVEL EM MANTA, PADRÃO LISO, ESPESSURA 2 MM, FIXADO COM COLA. AF_09/2020</v>
          </cell>
          <cell r="D8380" t="str">
            <v>M2</v>
          </cell>
          <cell r="E8380">
            <v>0</v>
          </cell>
        </row>
        <row r="8381">
          <cell r="B8381">
            <v>101727</v>
          </cell>
          <cell r="C8381" t="str">
            <v>PISO VINÍLICO SEMI-FLEXÍVEL EM PLACAS, PADRÃO LISO, ESPESSURA 3,2 MM, FIXADO COM COLA. AF_09/2020</v>
          </cell>
          <cell r="D8381" t="str">
            <v>M2</v>
          </cell>
          <cell r="E8381">
            <v>198.31</v>
          </cell>
          <cell r="F8381">
            <v>0</v>
          </cell>
        </row>
        <row r="8382">
          <cell r="B8382">
            <v>101748</v>
          </cell>
          <cell r="C8382" t="str">
            <v>PREPARO DE CONTRAPISO COM POLITRIZ. AF_09/2020</v>
          </cell>
          <cell r="D8382" t="str">
            <v>M2</v>
          </cell>
          <cell r="E8382">
            <v>4.7699999999999996</v>
          </cell>
          <cell r="F8382">
            <v>0</v>
          </cell>
        </row>
        <row r="8383">
          <cell r="B8383">
            <v>101742</v>
          </cell>
          <cell r="C8383" t="str">
            <v>RODAPÉ BORRACHA LISO, ALTURA = 7CM, ESPESSURA = 2 MM, PARA ARGAMASSA. AF_09/2020</v>
          </cell>
          <cell r="D8383" t="str">
            <v>M</v>
          </cell>
          <cell r="E8383">
            <v>67.87</v>
          </cell>
          <cell r="F8383">
            <v>0</v>
          </cell>
        </row>
        <row r="8384">
          <cell r="B8384">
            <v>101740</v>
          </cell>
          <cell r="C8384" t="str">
            <v>RODAPÉ EM ARDÓSIA ALTURA 10CM. AF_09/2020</v>
          </cell>
          <cell r="D8384" t="str">
            <v>M</v>
          </cell>
          <cell r="E8384">
            <v>61.38</v>
          </cell>
          <cell r="F8384">
            <v>0</v>
          </cell>
        </row>
        <row r="8385">
          <cell r="B8385">
            <v>98685</v>
          </cell>
          <cell r="C8385" t="str">
            <v>RODAPÉ EM GRANITO, ALTURA 10 CM. AF_09/2020</v>
          </cell>
          <cell r="D8385" t="str">
            <v>M</v>
          </cell>
          <cell r="E8385">
            <v>87.16</v>
          </cell>
          <cell r="F8385">
            <v>0</v>
          </cell>
        </row>
        <row r="8386">
          <cell r="B8386">
            <v>98686</v>
          </cell>
          <cell r="C8386" t="str">
            <v>RODAPÉ EM LADRILHO HIDRÁULICO, ALTURA 7 CM. AF_09/2020</v>
          </cell>
          <cell r="D8386" t="str">
            <v>M</v>
          </cell>
          <cell r="E8386">
            <v>57.67</v>
          </cell>
          <cell r="F8386">
            <v>0</v>
          </cell>
        </row>
        <row r="8387">
          <cell r="B8387">
            <v>101739</v>
          </cell>
          <cell r="C8387" t="str">
            <v>RODAPÉ EM MADEIRA, ALTURA 7CM, FIXADO COM COLA E PARAFUSOS. AF_09/2020</v>
          </cell>
          <cell r="D8387" t="str">
            <v>M</v>
          </cell>
          <cell r="E8387">
            <v>50.62</v>
          </cell>
          <cell r="F8387">
            <v>0</v>
          </cell>
        </row>
        <row r="8388">
          <cell r="B8388">
            <v>101738</v>
          </cell>
          <cell r="C8388" t="str">
            <v>RODAPÉ EM MADEIRA, ALTURA 7CM, FIXADO COM COLA. AF_09/2020</v>
          </cell>
          <cell r="D8388" t="str">
            <v>M</v>
          </cell>
          <cell r="E8388">
            <v>47.39</v>
          </cell>
          <cell r="F8388">
            <v>0</v>
          </cell>
        </row>
        <row r="8389">
          <cell r="B8389">
            <v>101741</v>
          </cell>
          <cell r="C8389" t="str">
            <v>RODAPÉ EM MARMORITE, ALTURA 10CM. AF_09/2020</v>
          </cell>
          <cell r="D8389" t="str">
            <v>M</v>
          </cell>
          <cell r="E8389">
            <v>31.31</v>
          </cell>
          <cell r="F8389">
            <v>0</v>
          </cell>
        </row>
        <row r="8390">
          <cell r="B8390">
            <v>98697</v>
          </cell>
          <cell r="C8390" t="str">
            <v>RODAPÉ EM MÁRMORE, ALTURA 7 CM. AF_09/2020</v>
          </cell>
          <cell r="D8390" t="str">
            <v>M</v>
          </cell>
          <cell r="E8390">
            <v>83.64</v>
          </cell>
          <cell r="F8390">
            <v>0</v>
          </cell>
        </row>
        <row r="8391">
          <cell r="B8391">
            <v>98688</v>
          </cell>
          <cell r="C8391" t="str">
            <v>RODAPÉ EM POLIESTIRENO, ALTURA 5 CM. AF_09/2020</v>
          </cell>
          <cell r="D8391" t="str">
            <v>M</v>
          </cell>
          <cell r="E8391">
            <v>74.290000000000006</v>
          </cell>
          <cell r="F8391">
            <v>0</v>
          </cell>
        </row>
        <row r="8392">
          <cell r="B8392">
            <v>98687</v>
          </cell>
          <cell r="C8392" t="str">
            <v>RODAPÉ VINÍLICO FLEXÍVEL EM MANTA, ALTURA 10 CM. AF_09/2020</v>
          </cell>
          <cell r="D8392" t="str">
            <v>M</v>
          </cell>
          <cell r="E8392">
            <v>0</v>
          </cell>
        </row>
        <row r="8393">
          <cell r="B8393">
            <v>98689</v>
          </cell>
          <cell r="C8393" t="str">
            <v>SOLEIRA EM GRANITO, LARGURA 15 CM, ESPESSURA 2,0 CM. AF_09/2020</v>
          </cell>
          <cell r="D8393" t="str">
            <v>M</v>
          </cell>
          <cell r="E8393">
            <v>125.46</v>
          </cell>
          <cell r="F8393">
            <v>0</v>
          </cell>
        </row>
        <row r="8394">
          <cell r="B8394">
            <v>98695</v>
          </cell>
          <cell r="C8394" t="str">
            <v>SOLEIRA EM MÁRMORE, LARGURA 15 CM, ESPESSURA 2,0 CM. AF_09/2020</v>
          </cell>
          <cell r="D8394" t="str">
            <v>M</v>
          </cell>
          <cell r="E8394">
            <v>126.65</v>
          </cell>
          <cell r="F8394">
            <v>0</v>
          </cell>
        </row>
        <row r="8395">
          <cell r="B8395">
            <v>100606</v>
          </cell>
          <cell r="C8395" t="str">
            <v>ASSENTAMENTO DE POSTE DE CONCRETO COM COMPRIMENTO NOMINAL DE 10 M, CARGA NOMINAL DE 1000 DAN, ENGASTAMENTO BASE CONCRETADA COM 1 M DE CONCRETO E 0,6 M DE SOLO (NÃO INCLUI FORNECIMENTO). AF_04/2025</v>
          </cell>
          <cell r="D8395" t="str">
            <v>UN</v>
          </cell>
          <cell r="E8395">
            <v>1823.65</v>
          </cell>
          <cell r="F8395">
            <v>0</v>
          </cell>
        </row>
        <row r="8396">
          <cell r="B8396">
            <v>100604</v>
          </cell>
          <cell r="C8396" t="str">
            <v>ASSENTAMENTO DE POSTE DE CONCRETO COM COMPRIMENTO NOMINAL DE 10 M, CARGA NOMINAL DE 300 DAN, ENGASTAMENTO BASE CONCRETADA COM 1 M DE CONCRETO E 0,6 M DE SOLO (NÃO INCLUI FORNECIMENTO). AF_04/2025</v>
          </cell>
          <cell r="D8396" t="str">
            <v>UN</v>
          </cell>
          <cell r="E8396">
            <v>839.6</v>
          </cell>
          <cell r="F8396">
            <v>0</v>
          </cell>
        </row>
        <row r="8397">
          <cell r="B8397">
            <v>100605</v>
          </cell>
          <cell r="C8397" t="str">
            <v>ASSENTAMENTO DE POSTE DE CONCRETO COM COMPRIMENTO NOMINAL DE 10 M, CARGA NOMINAL DE 600 DAN, ENGASTAMENTO BASE CONCRETADA COM 1 M DE CONCRETO E 0,6 M DE SOLO (NÃO INCLUI FORNECIMENTO). AF_04/2025</v>
          </cell>
          <cell r="D8397" t="str">
            <v>UN</v>
          </cell>
          <cell r="E8397">
            <v>1244.45</v>
          </cell>
          <cell r="F8397">
            <v>0</v>
          </cell>
        </row>
        <row r="8398">
          <cell r="B8398">
            <v>100580</v>
          </cell>
          <cell r="C8398" t="str">
            <v>ASSENTAMENTO DE POSTE DE CONCRETO COM COMPRIMENTO NOMINAL DE 10 M, CARGA NOMINAL MAIOR QUE 1000 DAN, ENGASTAMENTO SIMPLES COM 1,6 M DE SOLO (NÃO INCLUI FORNECIMENTO). AF_04/2025</v>
          </cell>
          <cell r="D8398" t="str">
            <v>UN</v>
          </cell>
          <cell r="E8398">
            <v>801.03</v>
          </cell>
          <cell r="F8398">
            <v>0</v>
          </cell>
        </row>
        <row r="8399">
          <cell r="B8399">
            <v>100579</v>
          </cell>
          <cell r="C8399" t="str">
            <v>ASSENTAMENTO DE POSTE DE CONCRETO COM COMPRIMENTO NOMINAL DE 10 M, CARGA NOMINAL MENOR OU IGUAL A 1000 DAN, ENGASTAMENTO SIMPLES COM 1,6 M DE SOLO (NÃO INCLUI FORNECIMENTO). AF_04/2025</v>
          </cell>
          <cell r="D8399" t="str">
            <v>UN</v>
          </cell>
          <cell r="E8399">
            <v>733.98</v>
          </cell>
          <cell r="F8399">
            <v>0</v>
          </cell>
        </row>
        <row r="8400">
          <cell r="B8400">
            <v>100609</v>
          </cell>
          <cell r="C8400" t="str">
            <v>ASSENTAMENTO DE POSTE DE CONCRETO COM COMPRIMENTO NOMINAL DE 10,5 M, CARGA NOMINAL DE 1000 DAN, ENGASTAMENTO BASE CONCRETADA COM 1 M DE CONCRETO E 0,65 M DE SOLO (NÃO INCLUI FORNECIMENTO). AF_04/2025</v>
          </cell>
          <cell r="D8400" t="str">
            <v>UN</v>
          </cell>
          <cell r="E8400">
            <v>1861.29</v>
          </cell>
          <cell r="F8400">
            <v>0</v>
          </cell>
        </row>
        <row r="8401">
          <cell r="B8401">
            <v>100607</v>
          </cell>
          <cell r="C8401" t="str">
            <v>ASSENTAMENTO DE POSTE DE CONCRETO COM COMPRIMENTO NOMINAL DE 10,5 M, CARGA NOMINAL DE 300 DAN, ENGASTAMENTO BASE CONCRETADA COM 1 M DE CONCRETO E 0,65 M DE SOLO (NÃO INCLUI FORNECIMENTO). AF_04/2025</v>
          </cell>
          <cell r="D8401" t="str">
            <v>UN</v>
          </cell>
          <cell r="E8401">
            <v>861.25</v>
          </cell>
          <cell r="F8401">
            <v>0</v>
          </cell>
        </row>
        <row r="8402">
          <cell r="B8402">
            <v>100608</v>
          </cell>
          <cell r="C8402" t="str">
            <v>ASSENTAMENTO DE POSTE DE CONCRETO COM COMPRIMENTO NOMINAL DE 10,5 M, CARGA NOMINAL DE 600 DAN, ENGASTAMENTO BASE CONCRETADA COM 1 M DE CONCRETO E 0,65 M DE SOLO (NÃO INCLUI FORNECIMENTO). AF_04/2025</v>
          </cell>
          <cell r="D8402" t="str">
            <v>UN</v>
          </cell>
          <cell r="E8402">
            <v>1271.99</v>
          </cell>
          <cell r="F8402">
            <v>0</v>
          </cell>
        </row>
        <row r="8403">
          <cell r="B8403">
            <v>100582</v>
          </cell>
          <cell r="C8403" t="str">
            <v>ASSENTAMENTO DE POSTE DE CONCRETO COM COMPRIMENTO NOMINAL DE 10,5 M, CARGA NOMINAL MAIOR QUE 1000 DAN, ENGASTAMENTO SIMPLES COM 1,65 M DE SOLO (NÃO INCLUI FORNECIMENTO). AF_04/2025</v>
          </cell>
          <cell r="D8403" t="str">
            <v>UN</v>
          </cell>
          <cell r="E8403">
            <v>880.37</v>
          </cell>
          <cell r="F8403">
            <v>0</v>
          </cell>
        </row>
        <row r="8404">
          <cell r="B8404">
            <v>100581</v>
          </cell>
          <cell r="C8404" t="str">
            <v>ASSENTAMENTO DE POSTE DE CONCRETO COM COMPRIMENTO NOMINAL DE 10,5 M, CARGA NOMINAL MENOR OU IGUAL A 1000 DAN, ENGASTAMENTO SIMPLES COM 1,65 M DE SOLO (NÃO INCLUI FORNECIMENTO). AF_04/2025</v>
          </cell>
          <cell r="D8404" t="str">
            <v>UN</v>
          </cell>
          <cell r="E8404">
            <v>761.14</v>
          </cell>
          <cell r="F8404">
            <v>0</v>
          </cell>
        </row>
        <row r="8405">
          <cell r="B8405">
            <v>100613</v>
          </cell>
          <cell r="C8405" t="str">
            <v>ASSENTAMENTO DE POSTE DE CONCRETO COM COMPRIMENTO NOMINAL DE 11 M, CARGA NOMINAL DE 1000 DAN, ENGASTAMENTO BASE CONCRETADA COM 1 M DE CONCRETO E 0,7 M DE SOLO (NÃO INCLUI FORNECIMENTO). AF_04/2025</v>
          </cell>
          <cell r="D8405" t="str">
            <v>UN</v>
          </cell>
          <cell r="E8405">
            <v>1898.72</v>
          </cell>
          <cell r="F8405">
            <v>0</v>
          </cell>
        </row>
        <row r="8406">
          <cell r="B8406">
            <v>100610</v>
          </cell>
          <cell r="C8406" t="str">
            <v>ASSENTAMENTO DE POSTE DE CONCRETO COM COMPRIMENTO NOMINAL DE 11 M, CARGA NOMINAL DE 300 DAN, ENGASTAMENTO BASE CONCRETADA COM 1 M DE CONCRETO E 0,7 M DE SOLO (NÃO INCLUI FORNECIMENTO). AF_04/2025</v>
          </cell>
          <cell r="D8406" t="str">
            <v>UN</v>
          </cell>
          <cell r="E8406">
            <v>882.41</v>
          </cell>
          <cell r="F8406">
            <v>0</v>
          </cell>
        </row>
        <row r="8407">
          <cell r="B8407">
            <v>100611</v>
          </cell>
          <cell r="C8407" t="str">
            <v>ASSENTAMENTO DE POSTE DE CONCRETO COM COMPRIMENTO NOMINAL DE 11 M, CARGA NOMINAL DE 400 DAN, ENGASTAMENTO BASE CONCRETADA COM 1 M DE CONCRETO E 0,7 M DE SOLO (NÃO INCLUI FORNECIMENTO). AF_04/2025</v>
          </cell>
          <cell r="D8407" t="str">
            <v>UN</v>
          </cell>
          <cell r="E8407">
            <v>1067.5899999999999</v>
          </cell>
          <cell r="F8407">
            <v>0</v>
          </cell>
        </row>
        <row r="8408">
          <cell r="B8408">
            <v>100612</v>
          </cell>
          <cell r="C8408" t="str">
            <v>ASSENTAMENTO DE POSTE DE CONCRETO COM COMPRIMENTO NOMINAL DE 11 M, CARGA NOMINAL DE 600 DAN, ENGASTAMENTO BASE CONCRETADA COM 1 M DE CONCRETO E 0,7 M DE SOLO (NÃO INCLUI FORNECIMENTO). AF_04/2025</v>
          </cell>
          <cell r="D8408" t="str">
            <v>UN</v>
          </cell>
          <cell r="E8408">
            <v>1299.05</v>
          </cell>
          <cell r="F8408">
            <v>0</v>
          </cell>
        </row>
        <row r="8409">
          <cell r="B8409">
            <v>100584</v>
          </cell>
          <cell r="C8409" t="str">
            <v>ASSENTAMENTO DE POSTE DE CONCRETO COM COMPRIMENTO NOMINAL DE 11 M, CARGA NOMINAL MAIOR QUE 1000 DAN, ENGASTAMENTO SIMPLES COM 1,7 M DE SOLO (NÃO INCLUI FORNECIMENTO). AF_04/2025</v>
          </cell>
          <cell r="D8409" t="str">
            <v>UN</v>
          </cell>
          <cell r="E8409">
            <v>863</v>
          </cell>
          <cell r="F8409">
            <v>0</v>
          </cell>
        </row>
        <row r="8410">
          <cell r="B8410">
            <v>100583</v>
          </cell>
          <cell r="C8410" t="str">
            <v>ASSENTAMENTO DE POSTE DE CONCRETO COM COMPRIMENTO NOMINAL DE 11 M, CARGA NOMINAL MENOR OU IGUAL A 1000 DAN, ENGASTAMENTO SIMPLES COM 1,7 M DE SOLO (NÃO INCLUI FORNECIMENTO). AF_04/2025</v>
          </cell>
          <cell r="D8410" t="str">
            <v>UN</v>
          </cell>
          <cell r="E8410">
            <v>790.3</v>
          </cell>
          <cell r="F8410">
            <v>0</v>
          </cell>
        </row>
        <row r="8411">
          <cell r="B8411">
            <v>100616</v>
          </cell>
          <cell r="C8411" t="str">
            <v>ASSENTAMENTO DE POSTE DE CONCRETO COM COMPRIMENTO NOMINAL DE 12 M, CARGA NOMINAL DE 1000 DAN, ENGASTAMENTO BASE CONCRETADA COM 1 M DE CONCRETO E 0,8 M DE SOLO (NÃO INCLUI FORNECIMENTO). AF_04/2025</v>
          </cell>
          <cell r="D8411" t="str">
            <v>UN</v>
          </cell>
          <cell r="E8411">
            <v>1977.43</v>
          </cell>
          <cell r="F8411">
            <v>0</v>
          </cell>
        </row>
        <row r="8412">
          <cell r="B8412">
            <v>100614</v>
          </cell>
          <cell r="C8412" t="str">
            <v>ASSENTAMENTO DE POSTE DE CONCRETO COM COMPRIMENTO NOMINAL DE 12 M, CARGA NOMINAL DE 400 DAN, ENGASTAMENTO BASE CONCRETADA COM 1 M DE CONCRETO E 0,8 M DE SOLO (NÃO INCLUI FORNECIMENTO). AF_04/2025</v>
          </cell>
          <cell r="D8412" t="str">
            <v>UN</v>
          </cell>
          <cell r="E8412">
            <v>1115.1600000000001</v>
          </cell>
          <cell r="F8412">
            <v>0</v>
          </cell>
        </row>
        <row r="8413">
          <cell r="B8413">
            <v>100615</v>
          </cell>
          <cell r="C8413" t="str">
            <v>ASSENTAMENTO DE POSTE DE CONCRETO COM COMPRIMENTO NOMINAL DE 12 M, CARGA NOMINAL DE 600 DAN, ENGASTAMENTO BASE CONCRETADA COM 1 M DE CONCRETO E 0,8 M DE SOLO (NÃO INCLUI FORNECIMENTO). AF_04/2025</v>
          </cell>
          <cell r="D8413" t="str">
            <v>UN</v>
          </cell>
          <cell r="E8413">
            <v>1353.17</v>
          </cell>
          <cell r="F8413">
            <v>0</v>
          </cell>
        </row>
        <row r="8414">
          <cell r="B8414">
            <v>100586</v>
          </cell>
          <cell r="C8414" t="str">
            <v>ASSENTAMENTO DE POSTE DE CONCRETO COM COMPRIMENTO NOMINAL DE 12 M, CARGA NOMINAL MAIOR QUE 1000 DAN, ENGASTAMENTO SIMPLES COM 1,8 M DE SOLO (NÃO INCLUI FORNECIMENTO). AF_04/2025</v>
          </cell>
          <cell r="D8414" t="str">
            <v>UN</v>
          </cell>
          <cell r="E8414">
            <v>962.85</v>
          </cell>
          <cell r="F8414">
            <v>0</v>
          </cell>
        </row>
        <row r="8415">
          <cell r="B8415">
            <v>100585</v>
          </cell>
          <cell r="C8415" t="str">
            <v>ASSENTAMENTO DE POSTE DE CONCRETO COM COMPRIMENTO NOMINAL DE 12 M, CARGA NOMINAL MENOR OU IGUAL A 1000 DAN, ENGASTAMENTO SIMPLES COM 1,8 M DE SOLO (NÃO INCLUI FORNECIMENTO). AF_04/2025</v>
          </cell>
          <cell r="D8415" t="str">
            <v>UN</v>
          </cell>
          <cell r="E8415">
            <v>846.94</v>
          </cell>
          <cell r="F8415">
            <v>0</v>
          </cell>
        </row>
        <row r="8416">
          <cell r="B8416">
            <v>100618</v>
          </cell>
          <cell r="C8416" t="str">
            <v>ASSENTAMENTO DE POSTE DE CONCRETO COM COMPRIMENTO NOMINAL DE 13 M, CARGA NOMINAL DE 1000 DAN, ENGASTAMENTO BASE CONCRETADA COM 1 M DE CONCRETO E 0,9 M DE SOLO - SOMENTE INSTALAÇÃO, SEM FORNECIMENTO. AF_04/2025</v>
          </cell>
          <cell r="D8416" t="str">
            <v>UN</v>
          </cell>
          <cell r="E8416">
            <v>2057.5500000000002</v>
          </cell>
          <cell r="F8416">
            <v>0</v>
          </cell>
        </row>
        <row r="8417">
          <cell r="B8417">
            <v>100617</v>
          </cell>
          <cell r="C8417" t="str">
            <v>ASSENTAMENTO DE POSTE DE CONCRETO COM COMPRIMENTO NOMINAL DE 13 M, CARGA NOMINAL DE 600 DAN, ENGASTAMENTO BASE CONCRETADA COM 1 M DE CONCRETO E 0,9 M DE SOLO (NÃO INCLUI FORNECIMENTO). AF_04/2025</v>
          </cell>
          <cell r="D8417" t="str">
            <v>UN</v>
          </cell>
          <cell r="E8417">
            <v>1407.37</v>
          </cell>
          <cell r="F8417">
            <v>0</v>
          </cell>
        </row>
        <row r="8418">
          <cell r="B8418">
            <v>100588</v>
          </cell>
          <cell r="C8418" t="str">
            <v>ASSENTAMENTO DE POSTE DE CONCRETO COM COMPRIMENTO NOMINAL DE 13 M, CARGA NOMINAL MAIOR QUE 1000 DAN, ENGASTAMENTO SIMPLES COM 1,9 M DE SOLO (NÃO INCLUI FORNECIMENTO). AF_04/2025</v>
          </cell>
          <cell r="D8418" t="str">
            <v>UN</v>
          </cell>
          <cell r="E8418">
            <v>995.96</v>
          </cell>
          <cell r="F8418">
            <v>0</v>
          </cell>
        </row>
        <row r="8419">
          <cell r="B8419">
            <v>100587</v>
          </cell>
          <cell r="C8419" t="str">
            <v>ASSENTAMENTO DE POSTE DE CONCRETO COM COMPRIMENTO NOMINAL DE 13 M, CARGA NOMINAL MENOR OU IGUAL A 1000 DAN, ENGASTAMENTO SIMPLES COM 1,9 M DE SOLO (NÃO INCLUI FORNECIMENTO). AF_04/2025</v>
          </cell>
          <cell r="D8419" t="str">
            <v>UN</v>
          </cell>
          <cell r="E8419">
            <v>905.98</v>
          </cell>
          <cell r="F8419">
            <v>0</v>
          </cell>
        </row>
        <row r="8420">
          <cell r="B8420">
            <v>100590</v>
          </cell>
          <cell r="C8420" t="str">
            <v>ASSENTAMENTO DE POSTE DE CONCRETO COM COMPRIMENTO NOMINAL DE 13,5 M, CARGA NOMINAL MAIOR QUE 1000 DAN, ENGASTAMENTO SIMPLES COM 1,95 M DE SOLO (NÃO INCLUI FORNECIMENTO). AF_04/2025</v>
          </cell>
          <cell r="D8420" t="str">
            <v>UN</v>
          </cell>
          <cell r="E8420">
            <v>1086.1500000000001</v>
          </cell>
          <cell r="F8420">
            <v>0</v>
          </cell>
        </row>
        <row r="8421">
          <cell r="B8421">
            <v>100589</v>
          </cell>
          <cell r="C8421" t="str">
            <v>ASSENTAMENTO DE POSTE DE CONCRETO COM COMPRIMENTO NOMINAL DE 13,5 M, CARGA NOMINAL MENOR OU IGUAL A 1000 DAN, ENGASTAMENTO SIMPLES COM 1,95 M DE SOLO (NÃO INCLUI FORNECIMENTO). AF_04/2025</v>
          </cell>
          <cell r="D8421" t="str">
            <v>UN</v>
          </cell>
          <cell r="E8421">
            <v>996.3</v>
          </cell>
          <cell r="F8421">
            <v>0</v>
          </cell>
        </row>
        <row r="8422">
          <cell r="B8422">
            <v>100592</v>
          </cell>
          <cell r="C8422" t="str">
            <v>ASSENTAMENTO DE POSTE DE CONCRETO COM COMPRIMENTO NOMINAL DE 14 M, CARGA NOMINAL MAIOR QUE 1000 DAN, ENGASTAMENTO SIMPLES COM 2 M DE SOLO (NÃO INCLUI FORNECIMENTO). AF_04/2025</v>
          </cell>
          <cell r="D8422" t="str">
            <v>UN</v>
          </cell>
          <cell r="E8422">
            <v>1062.56</v>
          </cell>
          <cell r="F8422">
            <v>0</v>
          </cell>
        </row>
        <row r="8423">
          <cell r="B8423">
            <v>100591</v>
          </cell>
          <cell r="C8423" t="str">
            <v>ASSENTAMENTO DE POSTE DE CONCRETO COM COMPRIMENTO NOMINAL DE 14 M, CARGA NOMINAL MENOR OU IGUAL A 1000 DAN, ENGASTAMENTO SIMPLES COM 2 M DE SOLO (NÃO INCLUI FORNECIMENTO). AF_04/2025</v>
          </cell>
          <cell r="D8423" t="str">
            <v>UN</v>
          </cell>
          <cell r="E8423">
            <v>966.58</v>
          </cell>
          <cell r="F8423">
            <v>0</v>
          </cell>
        </row>
        <row r="8424">
          <cell r="B8424">
            <v>100594</v>
          </cell>
          <cell r="C8424" t="str">
            <v>ASSENTAMENTO DE POSTE DE CONCRETO COM COMPRIMENTO NOMINAL DE 15 M, CARGA NOMINAL MAIOR QUE 1000 DAN, ENGASTAMENTO SIMPLES COM 2,1 M DE SOLO (NÃO INCLUI FORNECIMENTO). AF_04/2025</v>
          </cell>
          <cell r="D8424" t="str">
            <v>UN</v>
          </cell>
          <cell r="E8424">
            <v>1176.8499999999999</v>
          </cell>
          <cell r="F8424">
            <v>0</v>
          </cell>
        </row>
        <row r="8425">
          <cell r="B8425">
            <v>100593</v>
          </cell>
          <cell r="C8425" t="str">
            <v>ASSENTAMENTO DE POSTE DE CONCRETO COM COMPRIMENTO NOMINAL DE 15 M, CARGA NOMINAL MENOR OU IGUAL A 1000 DAN, ENGASTAMENTO SIMPLES COM 2,1 M DE SOLO (NÃO INCLUI FORNECIMENTO). AF_04/2025</v>
          </cell>
          <cell r="D8425" t="str">
            <v>UN</v>
          </cell>
          <cell r="E8425">
            <v>1051.0999999999999</v>
          </cell>
          <cell r="F8425">
            <v>0</v>
          </cell>
        </row>
        <row r="8426">
          <cell r="B8426">
            <v>100596</v>
          </cell>
          <cell r="C8426" t="str">
            <v>ASSENTAMENTO DE POSTE DE CONCRETO COM COMPRIMENTO NOMINAL DE 18 M, CARGA NOMINAL MAIOR QUE 1000 DAN, ENGASTAMENTO SIMPLES COM 2,4 M DE SOLO (NÃO INCLUI FORNECIMENTO). AF_04/2025</v>
          </cell>
          <cell r="D8426" t="str">
            <v>UN</v>
          </cell>
          <cell r="E8426">
            <v>1410.17</v>
          </cell>
          <cell r="F8426">
            <v>0</v>
          </cell>
        </row>
        <row r="8427">
          <cell r="B8427">
            <v>100595</v>
          </cell>
          <cell r="C8427" t="str">
            <v>ASSENTAMENTO DE POSTE DE CONCRETO COM COMPRIMENTO NOMINAL DE 18 M, CARGA NOMINAL MENOR OU IGUAL A 1000 DAN, ENGASTAMENTO SIMPLES COM 2,4 M DE SOLO (NÃO INCLUI FORNECIMENTO). AF_04/2025</v>
          </cell>
          <cell r="D8427" t="str">
            <v>UN</v>
          </cell>
          <cell r="E8427">
            <v>1240.72</v>
          </cell>
          <cell r="F8427">
            <v>0</v>
          </cell>
        </row>
        <row r="8428">
          <cell r="B8428">
            <v>100598</v>
          </cell>
          <cell r="C8428" t="str">
            <v>ASSENTAMENTO DE POSTE DE CONCRETO COM COMPRIMENTO NOMINAL DE 20 M, CARGA NOMINAL MAIOR QUE 1000, ENGASTAMENTO SIMPLES COM 2,6 M DE SOLO (NÃO INCLUI FORNECIMENTO). AF_04/2025</v>
          </cell>
          <cell r="D8428" t="str">
            <v>UN</v>
          </cell>
          <cell r="E8428">
            <v>1565.01</v>
          </cell>
          <cell r="F8428">
            <v>0</v>
          </cell>
        </row>
        <row r="8429">
          <cell r="B8429">
            <v>100597</v>
          </cell>
          <cell r="C8429" t="str">
            <v>ASSENTAMENTO DE POSTE DE CONCRETO COM COMPRIMENTO NOMINAL DE 20 M, CARGA NOMINAL MENOR OU IGUAL A 1000 DAN, ENGASTAMENTO SIMPLES COM 2,6 M DE SOLO (NÃO INCLUI FORNECIMENTO). AF_04/2025</v>
          </cell>
          <cell r="D8429" t="str">
            <v>UN</v>
          </cell>
          <cell r="E8429">
            <v>1425.03</v>
          </cell>
          <cell r="F8429">
            <v>0</v>
          </cell>
        </row>
        <row r="8430">
          <cell r="B8430">
            <v>100603</v>
          </cell>
          <cell r="C8430" t="str">
            <v>ASSENTAMENTO DE POSTE DE CONCRETO COM COMPRIMENTO NOMINAL DE 9 M, CARGA NOMINAL DE 1000 DAN, ENGASTAMENTO BASE CONCRETADA COM 1 M DE CONCRETO E 0,5 M DE SOLO (NÃO INCLUI FORNECIMENTO). AF_04/2025</v>
          </cell>
          <cell r="D8430" t="str">
            <v>UN</v>
          </cell>
          <cell r="E8430">
            <v>1753.02</v>
          </cell>
          <cell r="F8430">
            <v>0</v>
          </cell>
        </row>
        <row r="8431">
          <cell r="B8431">
            <v>100599</v>
          </cell>
          <cell r="C8431" t="str">
            <v>ASSENTAMENTO DE POSTE DE CONCRETO COM COMPRIMENTO NOMINAL DE 9 M, CARGA NOMINAL DE 150 DAN, ENGASTAMENTO BASE CONCRETADA COM 1 M DE CONCRETO E 0,5 M DE SOLO (NÃO INCLUI FORNECIMENTO). AF_04/2025</v>
          </cell>
          <cell r="D8431" t="str">
            <v>UN</v>
          </cell>
          <cell r="E8431">
            <v>686.98</v>
          </cell>
          <cell r="F8431">
            <v>0</v>
          </cell>
        </row>
        <row r="8432">
          <cell r="B8432">
            <v>100600</v>
          </cell>
          <cell r="C8432" t="str">
            <v>ASSENTAMENTO DE POSTE DE CONCRETO COM COMPRIMENTO NOMINAL DE 9 M, CARGA NOMINAL DE 300 DAN, ENGASTAMENTO BASE CONCRETADA COM 1 M DE CONCRETO E 0,5 M DE SOLO (NÃO INCLUI FORNECIMENTO). AF_04/2025</v>
          </cell>
          <cell r="D8432" t="str">
            <v>UN</v>
          </cell>
          <cell r="E8432">
            <v>795.66</v>
          </cell>
          <cell r="F8432">
            <v>0</v>
          </cell>
        </row>
        <row r="8433">
          <cell r="B8433">
            <v>100601</v>
          </cell>
          <cell r="C8433" t="str">
            <v>ASSENTAMENTO DE POSTE DE CONCRETO COM COMPRIMENTO NOMINAL DE 9 M, CARGA NOMINAL DE 400 DAN, ENGASTAMENTO BASE CONCRETADA COM 1 M DE CONCRETO E 0,5 M DE SOLO (NÃO INCLUI FORNECIMENTO). AF_04/2025</v>
          </cell>
          <cell r="D8433" t="str">
            <v>UN</v>
          </cell>
          <cell r="E8433">
            <v>970.35</v>
          </cell>
          <cell r="F8433">
            <v>0</v>
          </cell>
        </row>
        <row r="8434">
          <cell r="B8434">
            <v>100602</v>
          </cell>
          <cell r="C8434" t="str">
            <v>ASSENTAMENTO DE POSTE DE CONCRETO COM COMPRIMENTO NOMINAL DE 9 M, CARGA NOMINAL DE 600 DAN, ENGASTAMENTO BASE CONCRETADA COM 1 M DE CONCRETO E 0,5 M DE SOLO (NÃO INCLUI FORNECIMENTO). AF_04/2025</v>
          </cell>
          <cell r="D8434" t="str">
            <v>UN</v>
          </cell>
          <cell r="E8434">
            <v>1188.72</v>
          </cell>
          <cell r="F8434">
            <v>0</v>
          </cell>
        </row>
        <row r="8435">
          <cell r="B8435">
            <v>100578</v>
          </cell>
          <cell r="C8435" t="str">
            <v>ASSENTAMENTO DE POSTE DE CONCRETO COM COMPRIMENTO NOMINAL DE 9 M, CARGA NOMINAL MENOR OU IGUAL A 1000 DAN, ENGASTAMENTO SIMPLES COM 1,5 M DE SOLO (NÃO INCLUI FORNECIMENTO). AF_04/2025</v>
          </cell>
          <cell r="D8435" t="str">
            <v>UN</v>
          </cell>
          <cell r="E8435">
            <v>679.42</v>
          </cell>
          <cell r="F8435">
            <v>0</v>
          </cell>
        </row>
        <row r="8436">
          <cell r="B8436">
            <v>105975</v>
          </cell>
          <cell r="C8436" t="str">
            <v>CORDOALHA DE ACO 7,9 (5/16) 7*2,64MM ZINCAGEM TIPO A E 13% DE IACS - FORNECIMENTO E INSTALAÇÃO. AF_04/2025</v>
          </cell>
          <cell r="D8436" t="str">
            <v>M</v>
          </cell>
          <cell r="E8436">
            <v>0</v>
          </cell>
        </row>
        <row r="8437">
          <cell r="B8437">
            <v>105976</v>
          </cell>
          <cell r="C8437" t="str">
            <v>CORDOALHA DE ACO 7,9 (5/16) 7*2,64MM ZINCAGEM TIPO B E 13% DE IACS - FORNECIMENTO E INSTALAÇÃO. AF_04/2025</v>
          </cell>
          <cell r="D8437" t="str">
            <v>M</v>
          </cell>
          <cell r="E8437">
            <v>0</v>
          </cell>
        </row>
        <row r="8438">
          <cell r="B8438">
            <v>105977</v>
          </cell>
          <cell r="C8438" t="str">
            <v>CORDOALHA DE ACO 9,5 (3/8) 7*3,05MM ZINCAGEM TIPO A E 13% DE IACS - FORNECIMENTO E INSTALAÇÃO. AF_04/2025</v>
          </cell>
          <cell r="D8438" t="str">
            <v>M</v>
          </cell>
          <cell r="E8438">
            <v>0</v>
          </cell>
        </row>
        <row r="8439">
          <cell r="B8439">
            <v>105978</v>
          </cell>
          <cell r="C8439" t="str">
            <v>CORDOALHA DE ACO 9,5(3/8) 7*3,05MM ZINCAGEM TIPO B E 13% DE IACS - FORNECIMENTO E INSTALAÇÃO. AF_04/2025</v>
          </cell>
          <cell r="D8439" t="str">
            <v>M</v>
          </cell>
          <cell r="E8439">
            <v>0</v>
          </cell>
        </row>
        <row r="8440">
          <cell r="B8440">
            <v>105970</v>
          </cell>
          <cell r="C8440" t="str">
            <v>ESTRUTURA DE ESTAIAMENTO PARA POSTES DE CONCRETO ANCORA CONCRETO - FORNECIMENTO E INSTALAÇÃO. AF_04/2025</v>
          </cell>
          <cell r="D8440" t="str">
            <v>UN</v>
          </cell>
          <cell r="E8440">
            <v>0</v>
          </cell>
        </row>
        <row r="8441">
          <cell r="B8441">
            <v>105972</v>
          </cell>
          <cell r="C8441" t="str">
            <v>ESTRUTURA DE ESTAIAMENTO PARA POSTES DE CONCRETO CRUZETA A POSTE M3 E B3 - FORNECIMENTO E INSTALAÇÃO. AF_04/2025</v>
          </cell>
          <cell r="D8441" t="str">
            <v>UN</v>
          </cell>
          <cell r="E8441">
            <v>0</v>
          </cell>
        </row>
        <row r="8442">
          <cell r="B8442">
            <v>105973</v>
          </cell>
          <cell r="C8442" t="str">
            <v>ESTRUTURA DE ESTAIAMENTO PARA POSTES DE CONCRETO CRUZETA A POSTE N3 - FORNECIMENTO E INSTALAÇÃO. AF_04/2025</v>
          </cell>
          <cell r="D8442" t="str">
            <v>UN</v>
          </cell>
          <cell r="E8442">
            <v>0</v>
          </cell>
        </row>
        <row r="8443">
          <cell r="B8443">
            <v>105974</v>
          </cell>
          <cell r="C8443" t="str">
            <v>ESTRUTURA DE ESTAIAMENTO PARA POSTES DE CONCRETO HTE - FORNECIMENTO E INSTALAÇÃO. AF_04/2025</v>
          </cell>
          <cell r="D8443" t="str">
            <v>UN</v>
          </cell>
          <cell r="E8443">
            <v>0</v>
          </cell>
        </row>
        <row r="8444">
          <cell r="B8444">
            <v>105971</v>
          </cell>
          <cell r="C8444" t="str">
            <v>ESTRUTURA DE ESTAIAMENTO PARA POSTES DE CONCRETO POSTE A POSTE - FORNECIMENTO E INSTALAÇÃO. AF_04/2025</v>
          </cell>
          <cell r="D8444" t="str">
            <v>UN</v>
          </cell>
          <cell r="E8444">
            <v>0</v>
          </cell>
        </row>
        <row r="8445">
          <cell r="B8445">
            <v>105967</v>
          </cell>
          <cell r="C8445" t="str">
            <v>POSTE DE AÇO CÔNICO CONTÍNUO CURVO DUPLO, ENGASTAMENTO SIMPLES COM 1 M DE SOLO, H=6M - FORNECIMENTO E INSTALAÇÃO. AF_04/2025</v>
          </cell>
          <cell r="D8445" t="str">
            <v>UN</v>
          </cell>
          <cell r="E8445">
            <v>0</v>
          </cell>
        </row>
        <row r="8446">
          <cell r="B8446">
            <v>105968</v>
          </cell>
          <cell r="C8446" t="str">
            <v>POSTE DE AÇO CÔNICO CONTÍNUO CURVO DUPLO, ENGASTAMENTO SIMPLES COM 1 M DE SOLO, H=7M - FORNECIMENTO E INSTALAÇÃO. AF_04/2025</v>
          </cell>
          <cell r="D8446" t="str">
            <v>UN</v>
          </cell>
          <cell r="E8446">
            <v>0</v>
          </cell>
        </row>
        <row r="8447">
          <cell r="B8447">
            <v>105969</v>
          </cell>
          <cell r="C8447" t="str">
            <v>POSTE DE AÇO CÔNICO CONTÍNUO CURVO DUPLO, ENGASTAMENTO SIMPLES COM 1 M DE SOLO, H=8M - FORNECIMENTO E INSTALAÇÃO. AF_04/2025</v>
          </cell>
          <cell r="D8447" t="str">
            <v>UN</v>
          </cell>
          <cell r="E8447">
            <v>0</v>
          </cell>
        </row>
        <row r="8448">
          <cell r="B8448">
            <v>100623</v>
          </cell>
          <cell r="C8448" t="str">
            <v>POSTE DE AÇO CÔNICO CONTÍNUO CURVO DUPLO, ENGASTAMENTO SIMPLES COM 1 M DE SOLO, H=9M - FORNECIMENTO E INSTALAÇÃO. AF_04/2025</v>
          </cell>
          <cell r="D8448" t="str">
            <v>UN</v>
          </cell>
          <cell r="E8448">
            <v>2479.62</v>
          </cell>
          <cell r="F8448">
            <v>0</v>
          </cell>
        </row>
        <row r="8449">
          <cell r="B8449">
            <v>105964</v>
          </cell>
          <cell r="C8449" t="str">
            <v>POSTE DE AÇO CÔNICO CONTÍNUO CURVO DUPLO, FLANGEADO, H=6M - FORNECIMENTO E INSTALAÇÃO. AF_04/2025</v>
          </cell>
          <cell r="D8449" t="str">
            <v>UN</v>
          </cell>
          <cell r="E8449">
            <v>0</v>
          </cell>
        </row>
        <row r="8450">
          <cell r="B8450">
            <v>105965</v>
          </cell>
          <cell r="C8450" t="str">
            <v>POSTE DE AÇO CÔNICO CONTÍNUO CURVO DUPLO, FLANGEADO, H=7M - FORNECIMENTO E INSTALAÇÃO. AF_04/2025</v>
          </cell>
          <cell r="D8450" t="str">
            <v>UN</v>
          </cell>
          <cell r="E8450">
            <v>0</v>
          </cell>
        </row>
        <row r="8451">
          <cell r="B8451">
            <v>105966</v>
          </cell>
          <cell r="C8451" t="str">
            <v>POSTE DE AÇO CÔNICO CONTÍNUO CURVO DUPLO, FLANGEADO, H=8M - FORNECIMENTO E INSTALAÇÃO. AF_04/2025</v>
          </cell>
          <cell r="D8451" t="str">
            <v>UN</v>
          </cell>
          <cell r="E8451">
            <v>0</v>
          </cell>
        </row>
        <row r="8452">
          <cell r="B8452">
            <v>100621</v>
          </cell>
          <cell r="C8452" t="str">
            <v>POSTE DE AÇO CÔNICO CONTÍNUO CURVO DUPLO, FLANGEADO, H=9M - FORNECIMENTO E INSTALAÇÃO. AF_04/2025</v>
          </cell>
          <cell r="D8452" t="str">
            <v>UN</v>
          </cell>
          <cell r="E8452">
            <v>2974.51</v>
          </cell>
          <cell r="F8452">
            <v>0</v>
          </cell>
        </row>
        <row r="8453">
          <cell r="B8453">
            <v>105960</v>
          </cell>
          <cell r="C8453" t="str">
            <v>POSTE DE AÇO CÔNICO CONTÍNUO CURVO SIMPLES, ENGASTAMENTO SIMPLES COM 0,5 M DE SOLO, H=5M - FORNECIMENTO E INSTALAÇÃO. AF_04/2025</v>
          </cell>
          <cell r="D8453" t="str">
            <v>UN</v>
          </cell>
          <cell r="E8453">
            <v>0</v>
          </cell>
        </row>
        <row r="8454">
          <cell r="B8454">
            <v>105961</v>
          </cell>
          <cell r="C8454" t="str">
            <v>POSTE DE AÇO CÔNICO CONTÍNUO CURVO SIMPLES, ENGASTAMENTO SIMPLES COM 1 M DE SOLO, H=6M - FORNECIMENTO E INSTALAÇÃO. AF_04/2025</v>
          </cell>
          <cell r="D8454" t="str">
            <v>UN</v>
          </cell>
          <cell r="E8454">
            <v>0</v>
          </cell>
        </row>
        <row r="8455">
          <cell r="B8455">
            <v>105962</v>
          </cell>
          <cell r="C8455" t="str">
            <v>POSTE DE AÇO CÔNICO CONTÍNUO CURVO SIMPLES, ENGASTAMENTO SIMPLES COM 1 M DE SOLO, H=7M - FORNECIMENTO E INSTALAÇÃO. AF_04/2025</v>
          </cell>
          <cell r="D8455" t="str">
            <v>UN</v>
          </cell>
          <cell r="E8455">
            <v>0</v>
          </cell>
        </row>
        <row r="8456">
          <cell r="B8456">
            <v>105963</v>
          </cell>
          <cell r="C8456" t="str">
            <v>POSTE DE AÇO CÔNICO CONTÍNUO CURVO SIMPLES, ENGASTAMENTO SIMPLES COM 1 M DE SOLO, H=8M - FORNECIMENTO E INSTALAÇÃO. AF_04/2025</v>
          </cell>
          <cell r="D8456" t="str">
            <v>UN</v>
          </cell>
          <cell r="E8456">
            <v>0</v>
          </cell>
        </row>
        <row r="8457">
          <cell r="B8457">
            <v>100622</v>
          </cell>
          <cell r="C8457" t="str">
            <v>POSTE DE AÇO CÔNICO CONTÍNUO CURVO SIMPLES, ENGASTAMENTO SIMPLES COM 1 M DE SOLO, H=9M - FORNECIMENTO E INSTALAÇÃO. AF_04/2025</v>
          </cell>
          <cell r="D8457" t="str">
            <v>UN</v>
          </cell>
          <cell r="E8457">
            <v>2411.5</v>
          </cell>
          <cell r="F8457">
            <v>0</v>
          </cell>
        </row>
        <row r="8458">
          <cell r="B8458">
            <v>105956</v>
          </cell>
          <cell r="C8458" t="str">
            <v>POSTE DE AÇO CÔNICO CONTÍNUO CURVO SIMPLES, FLANGEADO, H=5M - FORNECIMENTO E INSTALAÇÃO. AF_04/2025</v>
          </cell>
          <cell r="D8458" t="str">
            <v>UN</v>
          </cell>
          <cell r="E8458">
            <v>0</v>
          </cell>
        </row>
        <row r="8459">
          <cell r="B8459">
            <v>105957</v>
          </cell>
          <cell r="C8459" t="str">
            <v>POSTE DE AÇO CÔNICO CONTÍNUO CURVO SIMPLES, FLANGEADO, H=6M - FORNECIMENTO E INSTALAÇÃO. AF_04/2025</v>
          </cell>
          <cell r="D8459" t="str">
            <v>UN</v>
          </cell>
          <cell r="E8459">
            <v>0</v>
          </cell>
        </row>
        <row r="8460">
          <cell r="B8460">
            <v>105958</v>
          </cell>
          <cell r="C8460" t="str">
            <v>POSTE DE AÇO CÔNICO CONTÍNUO CURVO SIMPLES, FLANGEADO, H=7M - FORNECIMENTO E INSTALAÇÃO. AF_04/2025</v>
          </cell>
          <cell r="D8460" t="str">
            <v>UN</v>
          </cell>
          <cell r="E8460">
            <v>2070.4</v>
          </cell>
          <cell r="F8460">
            <v>0</v>
          </cell>
        </row>
        <row r="8461">
          <cell r="B8461">
            <v>105959</v>
          </cell>
          <cell r="C8461" t="str">
            <v>POSTE DE AÇO CÔNICO CONTÍNUO CURVO SIMPLES, FLANGEADO, H=8M - FORNECIMENTO E INSTALAÇÃO. AF_04/2025</v>
          </cell>
          <cell r="D8461" t="str">
            <v>UN</v>
          </cell>
          <cell r="E8461">
            <v>0</v>
          </cell>
        </row>
        <row r="8462">
          <cell r="B8462">
            <v>100620</v>
          </cell>
          <cell r="C8462" t="str">
            <v>POSTE DE AÇO CÔNICO CONTÍNUO CURVO SIMPLES, FLANGEADO, H=9M - FORNECIMENTO E INSTALAÇÃO. AF_04/2025</v>
          </cell>
          <cell r="D8462" t="str">
            <v>UN</v>
          </cell>
          <cell r="E8462">
            <v>2652.3</v>
          </cell>
          <cell r="F8462">
            <v>0</v>
          </cell>
        </row>
        <row r="8463">
          <cell r="B8463">
            <v>105951</v>
          </cell>
          <cell r="C8463" t="str">
            <v>POSTE DE AÇO CÔNICO CONTÍNUO RETO, ENGASTAMENTO SIMPLES COM 0,5 M DE SOLO, H=5M - FORNECIMENTO E INSTALAÇÃO. AF_04/2025</v>
          </cell>
          <cell r="D8463" t="str">
            <v>UN</v>
          </cell>
          <cell r="E8463">
            <v>0</v>
          </cell>
        </row>
        <row r="8464">
          <cell r="B8464">
            <v>105952</v>
          </cell>
          <cell r="C8464" t="str">
            <v>POSTE DE AÇO CÔNICO CONTÍNUO RETO, ENGASTAMENTO SIMPLES COM 1 M DE SOLO, H=6M - FORNECIMENTO E INSTALAÇÃO. AF_04/2025</v>
          </cell>
          <cell r="D8464" t="str">
            <v>UN</v>
          </cell>
          <cell r="E8464">
            <v>0</v>
          </cell>
        </row>
        <row r="8465">
          <cell r="B8465">
            <v>105953</v>
          </cell>
          <cell r="C8465" t="str">
            <v>POSTE DE AÇO CÔNICO CONTÍNUO RETO, ENGASTAMENTO SIMPLES COM 1 M DE SOLO, H=7M - FORNECIMENTO E INSTALAÇÃO. AF_04/2025</v>
          </cell>
          <cell r="D8465" t="str">
            <v>UN</v>
          </cell>
          <cell r="E8465">
            <v>1886.9</v>
          </cell>
          <cell r="F8465">
            <v>0</v>
          </cell>
        </row>
        <row r="8466">
          <cell r="B8466">
            <v>105954</v>
          </cell>
          <cell r="C8466" t="str">
            <v>POSTE DE AÇO CÔNICO CONTÍNUO RETO, ENGASTAMENTO SIMPLES COM 1 M DE SOLO, H=8M - FORNECIMENTO E INSTALAÇÃO. AF_04/2025</v>
          </cell>
          <cell r="D8466" t="str">
            <v>UN</v>
          </cell>
          <cell r="E8466">
            <v>0</v>
          </cell>
        </row>
        <row r="8467">
          <cell r="B8467">
            <v>105955</v>
          </cell>
          <cell r="C8467" t="str">
            <v>POSTE DE AÇO CÔNICO CONTÍNUO RETO, ENGASTAMENTO SIMPLES COM 1 M DE SOLO, H=9M - FORNECIMENTO E INSTALAÇÃO. AF_04/2025</v>
          </cell>
          <cell r="D8467" t="str">
            <v>UN</v>
          </cell>
          <cell r="E8467">
            <v>2501.15</v>
          </cell>
          <cell r="F8467">
            <v>0</v>
          </cell>
        </row>
        <row r="8468">
          <cell r="B8468">
            <v>105946</v>
          </cell>
          <cell r="C8468" t="str">
            <v>POSTE DE AÇO CÔNICO CONTÍNUO RETO, FLANGEADO, H=5M - FORNECIMENTO E INSTALAÇÃO. AF_04/2025</v>
          </cell>
          <cell r="D8468" t="str">
            <v>UN</v>
          </cell>
          <cell r="E8468">
            <v>0</v>
          </cell>
        </row>
        <row r="8469">
          <cell r="B8469">
            <v>105947</v>
          </cell>
          <cell r="C8469" t="str">
            <v>POSTE DE AÇO CÔNICO CONTÍNUO RETO, FLANGEADO, H=6M - FORNECIMENTO E INSTALAÇÃO. AF_04/2025</v>
          </cell>
          <cell r="D8469" t="str">
            <v>UN</v>
          </cell>
          <cell r="E8469">
            <v>0</v>
          </cell>
        </row>
        <row r="8470">
          <cell r="B8470">
            <v>105948</v>
          </cell>
          <cell r="C8470" t="str">
            <v>POSTE DE AÇO CÔNICO CONTÍNUO RETO, FLANGEADO, H=7M - FORNECIMENTO E INSTALAÇÃO. AF_04/2025</v>
          </cell>
          <cell r="D8470" t="str">
            <v>UN</v>
          </cell>
          <cell r="E8470">
            <v>0</v>
          </cell>
        </row>
        <row r="8471">
          <cell r="B8471">
            <v>105949</v>
          </cell>
          <cell r="C8471" t="str">
            <v>POSTE DE AÇO CÔNICO CONTÍNUO RETO, FLANGEADO, H=8M - FORNECIMENTO E INSTALAÇÃO. AF_04/2025</v>
          </cell>
          <cell r="D8471" t="str">
            <v>UN</v>
          </cell>
          <cell r="E8471">
            <v>0</v>
          </cell>
        </row>
        <row r="8472">
          <cell r="B8472">
            <v>105950</v>
          </cell>
          <cell r="C8472" t="str">
            <v>POSTE DE AÇO CÔNICO CONTÍNUO RETO, FLANGEADO, H=9M - FORNECIMENTO E INSTALAÇÃO. AF_04/2025</v>
          </cell>
          <cell r="D8472" t="str">
            <v>UN</v>
          </cell>
          <cell r="E8472">
            <v>0</v>
          </cell>
        </row>
        <row r="8473">
          <cell r="B8473">
            <v>100619</v>
          </cell>
          <cell r="C8473" t="str">
            <v>POSTE DECORATIVO PARA JARDIM EM AÇO TUBULAR, H = *2,5* M, SEM LUMINÁRIA - FORNECIMENTO E INSTALAÇÃO. AF_04/2025</v>
          </cell>
          <cell r="D8473" t="str">
            <v>UN</v>
          </cell>
          <cell r="E8473">
            <v>649.67999999999995</v>
          </cell>
          <cell r="F8473">
            <v>0</v>
          </cell>
        </row>
        <row r="8474">
          <cell r="B8474">
            <v>99283</v>
          </cell>
          <cell r="C8474" t="str">
            <v>ACRÉSCIMO PARA POÇO DE VISITA CIRCULAR PARA DRENAGEM, EM ALVENARIA COM TIJOLOS CERÂMICOS MACIÇOS, DIÂMETRO INTERNO = 0,8 M. AF_12/2020</v>
          </cell>
          <cell r="D8474" t="str">
            <v>M</v>
          </cell>
          <cell r="E8474">
            <v>1278.42</v>
          </cell>
          <cell r="F8474">
            <v>0</v>
          </cell>
        </row>
        <row r="8475">
          <cell r="B8475">
            <v>99293</v>
          </cell>
          <cell r="C8475" t="str">
            <v>ACRÉSCIMO PARA POÇO DE VISITA CIRCULAR PARA DRENAGEM, EM ALVENARIA COM TIJOLOS CERÂMICOS MACIÇOS, DIÂMETRO INTERNO = 1 M. AF_12/2020</v>
          </cell>
          <cell r="D8475" t="str">
            <v>M</v>
          </cell>
          <cell r="E8475">
            <v>1550.08</v>
          </cell>
          <cell r="F8475">
            <v>0</v>
          </cell>
        </row>
        <row r="8476">
          <cell r="B8476">
            <v>99243</v>
          </cell>
          <cell r="C8476" t="str">
            <v>ACRÉSCIMO PARA POÇO DE VISITA CIRCULAR PARA DRENAGEM, EM ALVENARIA COM TIJOLOS CERÂMICOS MACIÇOS, DIÂMETRO INTERNO = 1,2 M. AF_12/2020</v>
          </cell>
          <cell r="D8476" t="str">
            <v>M</v>
          </cell>
          <cell r="E8476">
            <v>1821.68</v>
          </cell>
          <cell r="F8476">
            <v>0</v>
          </cell>
        </row>
        <row r="8477">
          <cell r="B8477">
            <v>99249</v>
          </cell>
          <cell r="C8477" t="str">
            <v>ACRÉSCIMO PARA POÇO DE VISITA CIRCULAR PARA DRENAGEM, EM ALVENARIA COM TIJOLOS CERÂMICOS MACIÇOS, DIÂMETRO INTERNO = 1,5 M. AF_12/2020</v>
          </cell>
          <cell r="D8477" t="str">
            <v>M</v>
          </cell>
          <cell r="E8477">
            <v>2229.16</v>
          </cell>
          <cell r="F8477">
            <v>0</v>
          </cell>
        </row>
        <row r="8478">
          <cell r="B8478">
            <v>99278</v>
          </cell>
          <cell r="C8478" t="str">
            <v>ACRÉSCIMO PARA POÇO DE VISITA CIRCULAR PARA DRENAGEM, EM CONCRETO PRÉ-MOLDADO, DIÂMETRO INTERNO = 0,8 M. AF_12/2020</v>
          </cell>
          <cell r="D8478" t="str">
            <v>M</v>
          </cell>
          <cell r="E8478">
            <v>460.7</v>
          </cell>
          <cell r="F8478">
            <v>0</v>
          </cell>
        </row>
        <row r="8479">
          <cell r="B8479">
            <v>99288</v>
          </cell>
          <cell r="C8479" t="str">
            <v>ACRÉSCIMO PARA POÇO DE VISITA CIRCULAR PARA DRENAGEM, EM CONCRETO PRÉ-MOLDADO, DIÂMETRO INTERNO = 1 M. AF_12/2020</v>
          </cell>
          <cell r="D8479" t="str">
            <v>M</v>
          </cell>
          <cell r="E8479">
            <v>607.63</v>
          </cell>
          <cell r="F8479">
            <v>0</v>
          </cell>
        </row>
        <row r="8480">
          <cell r="B8480">
            <v>99240</v>
          </cell>
          <cell r="C8480" t="str">
            <v>ACRÉSCIMO PARA POÇO DE VISITA CIRCULAR PARA DRENAGEM, EM CONCRETO PRÉ-MOLDADO, DIÂMETRO INTERNO = 1,2 M. AF_12/2020</v>
          </cell>
          <cell r="D8480" t="str">
            <v>M</v>
          </cell>
          <cell r="E8480">
            <v>808.11</v>
          </cell>
          <cell r="F8480">
            <v>0</v>
          </cell>
        </row>
        <row r="8481">
          <cell r="B8481">
            <v>99246</v>
          </cell>
          <cell r="C8481" t="str">
            <v>ACRÉSCIMO PARA POÇO DE VISITA CIRCULAR PARA DRENAGEM, EM CONCRETO PRÉ-MOLDADO, DIÂMETRO INTERNO = 1,5 M. AF_12/2020</v>
          </cell>
          <cell r="D8481" t="str">
            <v>M</v>
          </cell>
          <cell r="E8481">
            <v>1107</v>
          </cell>
          <cell r="F8481">
            <v>0</v>
          </cell>
        </row>
        <row r="8482">
          <cell r="B8482">
            <v>97981</v>
          </cell>
          <cell r="C8482" t="str">
            <v>ACRÉSCIMO PARA POÇO DE VISITA CIRCULAR PARA ESGOTO, EM ALVENARIA COM TIJOLOS CERÂMICOS MACIÇOS, DIÂMETRO INTERNO = 0,8 M. AF_12/2020</v>
          </cell>
          <cell r="D8482" t="str">
            <v>M</v>
          </cell>
          <cell r="E8482">
            <v>1348.71</v>
          </cell>
          <cell r="F8482">
            <v>0</v>
          </cell>
        </row>
        <row r="8483">
          <cell r="B8483">
            <v>97985</v>
          </cell>
          <cell r="C8483" t="str">
            <v>ACRÉSCIMO PARA POÇO DE VISITA CIRCULAR PARA ESGOTO, EM ALVENARIA COM TIJOLOS CERÂMICOS MACIÇOS, DIÂMETRO INTERNO = 1 M. AF_12/2020</v>
          </cell>
          <cell r="D8483" t="str">
            <v>M</v>
          </cell>
          <cell r="E8483">
            <v>1629.56</v>
          </cell>
          <cell r="F8483">
            <v>0</v>
          </cell>
        </row>
        <row r="8484">
          <cell r="B8484">
            <v>97989</v>
          </cell>
          <cell r="C8484" t="str">
            <v>ACRÉSCIMO PARA POÇO DE VISITA CIRCULAR PARA ESGOTO, EM ALVENARIA COM TIJOLOS CERÂMICOS MACIÇOS, DIÂMETRO INTERNO = 1,2 M. AF_12/2020</v>
          </cell>
          <cell r="D8484" t="str">
            <v>M</v>
          </cell>
          <cell r="E8484">
            <v>1910.35</v>
          </cell>
          <cell r="F8484">
            <v>0</v>
          </cell>
        </row>
        <row r="8485">
          <cell r="B8485">
            <v>97993</v>
          </cell>
          <cell r="C8485" t="str">
            <v>ACRÉSCIMO PARA POÇO DE VISITA CIRCULAR PARA ESGOTO, EM ALVENARIA COM TIJOLOS CERÂMICOS MACIÇOS, DIÂMETRO INTERNO = 1,5 M. AF_12/2020</v>
          </cell>
          <cell r="D8485" t="str">
            <v>M</v>
          </cell>
          <cell r="E8485">
            <v>2331.63</v>
          </cell>
          <cell r="F8485">
            <v>0</v>
          </cell>
        </row>
        <row r="8486">
          <cell r="B8486">
            <v>98409</v>
          </cell>
          <cell r="C8486" t="str">
            <v>ACRÉSCIMO PARA POÇO DE VISITA CIRCULAR PARA ESGOTO, EM CONCRETO PRÉ-MOLDADO, DIÂMETRO INTERNO = 0,8 M. AF_12/2020</v>
          </cell>
          <cell r="D8486" t="str">
            <v>M</v>
          </cell>
          <cell r="E8486">
            <v>462.69</v>
          </cell>
          <cell r="F8486">
            <v>0</v>
          </cell>
        </row>
        <row r="8487">
          <cell r="B8487">
            <v>97983</v>
          </cell>
          <cell r="C8487" t="str">
            <v>ACRÉSCIMO PARA POÇO DE VISITA CIRCULAR PARA ESGOTO, EM CONCRETO PRÉ-MOLDADO, DIÂMETRO INTERNO = 1 M. AF_12/2020</v>
          </cell>
          <cell r="D8487" t="str">
            <v>M</v>
          </cell>
          <cell r="E8487">
            <v>610.24</v>
          </cell>
          <cell r="F8487">
            <v>0</v>
          </cell>
        </row>
        <row r="8488">
          <cell r="B8488">
            <v>97987</v>
          </cell>
          <cell r="C8488" t="str">
            <v>ACRÉSCIMO PARA POÇO DE VISITA CIRCULAR PARA ESGOTO, EM CONCRETO PRÉ-MOLDADO, DIÂMETRO INTERNO = 1,2 M. AF_12/2020</v>
          </cell>
          <cell r="D8488" t="str">
            <v>M</v>
          </cell>
          <cell r="E8488">
            <v>811.39</v>
          </cell>
          <cell r="F8488">
            <v>0</v>
          </cell>
        </row>
        <row r="8489">
          <cell r="B8489">
            <v>97991</v>
          </cell>
          <cell r="C8489" t="str">
            <v>ACRÉSCIMO PARA POÇO DE VISITA CIRCULAR PARA ESGOTO, EM CONCRETO PRÉ-MOLDADO, DIÂMETRO INTERNO = 1,5 M. AF_12/2020</v>
          </cell>
          <cell r="D8489" t="str">
            <v>M</v>
          </cell>
          <cell r="E8489">
            <v>1111.48</v>
          </cell>
          <cell r="F8489">
            <v>0</v>
          </cell>
        </row>
        <row r="8490">
          <cell r="B8490">
            <v>99241</v>
          </cell>
          <cell r="C8490" t="str">
            <v>ACRÉSCIMO PARA POÇO DE VISITA RETANGULAR PARA DRENAGEM, EM ALVENARIA COM BLOCOS DE CONCRETO, DIMENSÕES INTERNAS = 1,5X1,5 M. AF_12/2020</v>
          </cell>
          <cell r="D8490" t="str">
            <v>M</v>
          </cell>
          <cell r="E8490">
            <v>2061.5500000000002</v>
          </cell>
          <cell r="F8490">
            <v>0</v>
          </cell>
        </row>
        <row r="8491">
          <cell r="B8491">
            <v>99247</v>
          </cell>
          <cell r="C8491" t="str">
            <v>ACRÉSCIMO PARA POÇO DE VISITA RETANGULAR PARA DRENAGEM, EM ALVENARIA COM BLOCOS DE CONCRETO, DIMENSÕES INTERNAS = 1,5X2 M. AF_12/2020</v>
          </cell>
          <cell r="D8491" t="str">
            <v>M</v>
          </cell>
          <cell r="E8491">
            <v>2351.9899999999998</v>
          </cell>
          <cell r="F8491">
            <v>0</v>
          </cell>
        </row>
        <row r="8492">
          <cell r="B8492">
            <v>99263</v>
          </cell>
          <cell r="C8492" t="str">
            <v>ACRÉSCIMO PARA POÇO DE VISITA RETANGULAR PARA DRENAGEM, EM ALVENARIA COM BLOCOS DE CONCRETO, DIMENSÕES INTERNAS = 1,5X2,5 M. AF_12/2020</v>
          </cell>
          <cell r="D8492" t="str">
            <v>M</v>
          </cell>
          <cell r="E8492">
            <v>2642.48</v>
          </cell>
          <cell r="F8492">
            <v>0</v>
          </cell>
        </row>
        <row r="8493">
          <cell r="B8493">
            <v>99276</v>
          </cell>
          <cell r="C8493" t="str">
            <v>ACRÉSCIMO PARA POÇO DE VISITA RETANGULAR PARA DRENAGEM, EM ALVENARIA COM BLOCOS DE CONCRETO, DIMENSÕES INTERNAS = 1,5X3 M. AF_12/2020</v>
          </cell>
          <cell r="D8493" t="str">
            <v>M</v>
          </cell>
          <cell r="E8493">
            <v>2932.98</v>
          </cell>
          <cell r="F8493">
            <v>0</v>
          </cell>
        </row>
        <row r="8494">
          <cell r="B8494">
            <v>99291</v>
          </cell>
          <cell r="C8494" t="str">
            <v>ACRÉSCIMO PARA POÇO DE VISITA RETANGULAR PARA DRENAGEM, EM ALVENARIA COM BLOCOS DE CONCRETO, DIMENSÕES INTERNAS = 1,5X3,5 M. AF_12/2020</v>
          </cell>
          <cell r="D8494" t="str">
            <v>M</v>
          </cell>
          <cell r="E8494">
            <v>3223.4</v>
          </cell>
          <cell r="F8494">
            <v>0</v>
          </cell>
        </row>
        <row r="8495">
          <cell r="B8495">
            <v>99297</v>
          </cell>
          <cell r="C8495" t="str">
            <v>ACRÉSCIMO PARA POÇO DE VISITA RETANGULAR PARA DRENAGEM, EM ALVENARIA COM BLOCOS DE CONCRETO, DIMENSÕES INTERNAS = 1,5X4 M. AF_12/2020</v>
          </cell>
          <cell r="D8495" t="str">
            <v>M</v>
          </cell>
          <cell r="E8495">
            <v>3536.94</v>
          </cell>
          <cell r="F8495">
            <v>0</v>
          </cell>
        </row>
        <row r="8496">
          <cell r="B8496">
            <v>99254</v>
          </cell>
          <cell r="C8496" t="str">
            <v>ACRÉSCIMO PARA POÇO DE VISITA RETANGULAR PARA DRENAGEM, EM ALVENARIA COM BLOCOS DE CONCRETO, DIMENSÕES INTERNAS = 1X1 M. AF_12/2020</v>
          </cell>
          <cell r="D8496" t="str">
            <v>M</v>
          </cell>
          <cell r="E8496">
            <v>1480.59</v>
          </cell>
          <cell r="F8496">
            <v>0</v>
          </cell>
        </row>
        <row r="8497">
          <cell r="B8497">
            <v>99261</v>
          </cell>
          <cell r="C8497" t="str">
            <v>ACRÉSCIMO PARA POÇO DE VISITA RETANGULAR PARA DRENAGEM, EM ALVENARIA COM BLOCOS DE CONCRETO, DIMENSÕES INTERNAS = 1X1,5 M. AF_12/2020</v>
          </cell>
          <cell r="D8497" t="str">
            <v>M</v>
          </cell>
          <cell r="E8497">
            <v>1771.04</v>
          </cell>
          <cell r="F8497">
            <v>0</v>
          </cell>
        </row>
        <row r="8498">
          <cell r="B8498">
            <v>99266</v>
          </cell>
          <cell r="C8498" t="str">
            <v>ACRÉSCIMO PARA POÇO DE VISITA RETANGULAR PARA DRENAGEM, EM ALVENARIA COM BLOCOS DE CONCRETO, DIMENSÕES INTERNAS = 1X2 M. AF_12/2020</v>
          </cell>
          <cell r="D8498" t="str">
            <v>M</v>
          </cell>
          <cell r="E8498">
            <v>2061.5500000000002</v>
          </cell>
          <cell r="F8498">
            <v>0</v>
          </cell>
        </row>
        <row r="8499">
          <cell r="B8499">
            <v>99269</v>
          </cell>
          <cell r="C8499" t="str">
            <v>ACRÉSCIMO PARA POÇO DE VISITA RETANGULAR PARA DRENAGEM, EM ALVENARIA COM BLOCOS DE CONCRETO, DIMENSÕES INTERNAS = 1X2,5 M. AF_12/2020</v>
          </cell>
          <cell r="D8499" t="str">
            <v>M</v>
          </cell>
          <cell r="E8499">
            <v>2351.9899999999998</v>
          </cell>
          <cell r="F8499">
            <v>0</v>
          </cell>
        </row>
        <row r="8500">
          <cell r="B8500">
            <v>99277</v>
          </cell>
          <cell r="C8500" t="str">
            <v>ACRÉSCIMO PARA POÇO DE VISITA RETANGULAR PARA DRENAGEM, EM ALVENARIA COM BLOCOS DE CONCRETO, DIMENSÕES INTERNAS = 1X3 M. AF_12/2020</v>
          </cell>
          <cell r="D8500" t="str">
            <v>M</v>
          </cell>
          <cell r="E8500">
            <v>2642.48</v>
          </cell>
          <cell r="F8500">
            <v>0</v>
          </cell>
        </row>
        <row r="8501">
          <cell r="B8501">
            <v>99281</v>
          </cell>
          <cell r="C8501" t="str">
            <v>ACRÉSCIMO PARA POÇO DE VISITA RETANGULAR PARA DRENAGEM, EM ALVENARIA COM BLOCOS DE CONCRETO, DIMENSÕES INTERNAS = 1X3,5 M. AF_12/2020</v>
          </cell>
          <cell r="D8501" t="str">
            <v>M</v>
          </cell>
          <cell r="E8501">
            <v>2932.98</v>
          </cell>
          <cell r="F8501">
            <v>0</v>
          </cell>
        </row>
        <row r="8502">
          <cell r="B8502">
            <v>99289</v>
          </cell>
          <cell r="C8502" t="str">
            <v>ACRÉSCIMO PARA POÇO DE VISITA RETANGULAR PARA DRENAGEM, EM ALVENARIA COM BLOCOS DE CONCRETO, DIMENSÕES INTERNAS = 1X4 M. AF_12/2020</v>
          </cell>
          <cell r="D8502" t="str">
            <v>M</v>
          </cell>
          <cell r="E8502">
            <v>3223.4</v>
          </cell>
          <cell r="F8502">
            <v>0</v>
          </cell>
        </row>
        <row r="8503">
          <cell r="B8503">
            <v>99282</v>
          </cell>
          <cell r="C8503" t="str">
            <v>ACRÉSCIMO PARA POÇO DE VISITA RETANGULAR PARA DRENAGEM, EM ALVENARIA COM BLOCOS DE CONCRETO, DIMENSÕES INTERNAS = 2,5X2,5 M. AF_12/2020</v>
          </cell>
          <cell r="D8503" t="str">
            <v>M</v>
          </cell>
          <cell r="E8503">
            <v>3251.3</v>
          </cell>
          <cell r="F8503">
            <v>0</v>
          </cell>
        </row>
        <row r="8504">
          <cell r="B8504">
            <v>99296</v>
          </cell>
          <cell r="C8504" t="str">
            <v>ACRÉSCIMO PARA POÇO DE VISITA RETANGULAR PARA DRENAGEM, EM ALVENARIA COM BLOCOS DE CONCRETO, DIMENSÕES INTERNAS = 2,5X3 M. AF_12/2020</v>
          </cell>
          <cell r="D8504" t="str">
            <v>M</v>
          </cell>
          <cell r="E8504">
            <v>3541.75</v>
          </cell>
          <cell r="F8504">
            <v>0</v>
          </cell>
        </row>
        <row r="8505">
          <cell r="B8505">
            <v>99299</v>
          </cell>
          <cell r="C8505" t="str">
            <v>ACRÉSCIMO PARA POÇO DE VISITA RETANGULAR PARA DRENAGEM, EM ALVENARIA COM BLOCOS DE CONCRETO, DIMENSÕES INTERNAS = 2,5X3,5 M. AF_12/2020</v>
          </cell>
          <cell r="D8505" t="str">
            <v>M</v>
          </cell>
          <cell r="E8505">
            <v>3832.14</v>
          </cell>
          <cell r="F8505">
            <v>0</v>
          </cell>
        </row>
        <row r="8506">
          <cell r="B8506">
            <v>99302</v>
          </cell>
          <cell r="C8506" t="str">
            <v>ACRÉSCIMO PARA POÇO DE VISITA RETANGULAR PARA DRENAGEM, EM ALVENARIA COM BLOCOS DE CONCRETO, DIMENSÕES INTERNAS = 2,5X4 M. AF_12/2020</v>
          </cell>
          <cell r="D8506" t="str">
            <v>M</v>
          </cell>
          <cell r="E8506">
            <v>4127.38</v>
          </cell>
          <cell r="F8506">
            <v>0</v>
          </cell>
        </row>
        <row r="8507">
          <cell r="B8507">
            <v>99307</v>
          </cell>
          <cell r="C8507" t="str">
            <v>ACRÉSCIMO PARA POÇO DE VISITA RETANGULAR PARA DRENAGEM, EM ALVENARIA COM BLOCOS DE CONCRETO, DIMENSÕES INTERNAS = 2X2 M. AF_12/2020</v>
          </cell>
          <cell r="D8507" t="str">
            <v>M</v>
          </cell>
          <cell r="E8507">
            <v>2665.57</v>
          </cell>
          <cell r="F8507">
            <v>0</v>
          </cell>
        </row>
        <row r="8508">
          <cell r="B8508">
            <v>99317</v>
          </cell>
          <cell r="C8508" t="str">
            <v>ACRÉSCIMO PARA POÇO DE VISITA RETANGULAR PARA DRENAGEM, EM ALVENARIA COM BLOCOS DE CONCRETO, DIMENSÕES INTERNAS = 2X2,5 M. AF_12/2020</v>
          </cell>
          <cell r="D8508" t="str">
            <v>M</v>
          </cell>
          <cell r="E8508">
            <v>2956.02</v>
          </cell>
          <cell r="F8508">
            <v>0</v>
          </cell>
        </row>
        <row r="8509">
          <cell r="B8509">
            <v>99321</v>
          </cell>
          <cell r="C8509" t="str">
            <v>ACRÉSCIMO PARA POÇO DE VISITA RETANGULAR PARA DRENAGEM, EM ALVENARIA COM BLOCOS DE CONCRETO, DIMENSÕES INTERNAS = 2X3 M. AF_12/2020</v>
          </cell>
          <cell r="D8509" t="str">
            <v>M</v>
          </cell>
          <cell r="E8509">
            <v>3246.49</v>
          </cell>
          <cell r="F8509">
            <v>0</v>
          </cell>
        </row>
        <row r="8510">
          <cell r="B8510">
            <v>99323</v>
          </cell>
          <cell r="C8510" t="str">
            <v>ACRÉSCIMO PARA POÇO DE VISITA RETANGULAR PARA DRENAGEM, EM ALVENARIA COM BLOCOS DE CONCRETO, DIMENSÕES INTERNAS = 2X3,5 M. AF_12/2020</v>
          </cell>
          <cell r="D8510" t="str">
            <v>M</v>
          </cell>
          <cell r="E8510">
            <v>3536.94</v>
          </cell>
          <cell r="F8510">
            <v>0</v>
          </cell>
        </row>
        <row r="8511">
          <cell r="B8511">
            <v>99325</v>
          </cell>
          <cell r="C8511" t="str">
            <v>ACRÉSCIMO PARA POÇO DE VISITA RETANGULAR PARA DRENAGEM, EM ALVENARIA COM BLOCOS DE CONCRETO, DIMENSÕES INTERNAS = 2X4 M. AF_12/2020</v>
          </cell>
          <cell r="D8511" t="str">
            <v>M</v>
          </cell>
          <cell r="E8511">
            <v>3832.14</v>
          </cell>
          <cell r="F8511">
            <v>0</v>
          </cell>
        </row>
        <row r="8512">
          <cell r="B8512">
            <v>99311</v>
          </cell>
          <cell r="C8512" t="str">
            <v>ACRÉSCIMO PARA POÇO DE VISITA RETANGULAR PARA DRENAGEM, EM ALVENARIA COM BLOCOS DE CONCRETO, DIMENSÕES INTERNAS = 3,5X3,5 M. AF_12/2020</v>
          </cell>
          <cell r="D8512" t="str">
            <v>M</v>
          </cell>
          <cell r="E8512">
            <v>4422.71</v>
          </cell>
          <cell r="F8512">
            <v>0</v>
          </cell>
        </row>
        <row r="8513">
          <cell r="B8513">
            <v>99314</v>
          </cell>
          <cell r="C8513" t="str">
            <v>ACRÉSCIMO PARA POÇO DE VISITA RETANGULAR PARA DRENAGEM, EM ALVENARIA COM BLOCOS DE CONCRETO, DIMENSÕES INTERNAS = 3,5X4 M. AF_12/2020</v>
          </cell>
          <cell r="D8513" t="str">
            <v>M</v>
          </cell>
          <cell r="E8513">
            <v>4717.97</v>
          </cell>
          <cell r="F8513">
            <v>0</v>
          </cell>
        </row>
        <row r="8514">
          <cell r="B8514">
            <v>99304</v>
          </cell>
          <cell r="C8514" t="str">
            <v>ACRÉSCIMO PARA POÇO DE VISITA RETANGULAR PARA DRENAGEM, EM ALVENARIA COM BLOCOS DE CONCRETO, DIMENSÕES INTERNAS = 3X3 M. AF_12/2020</v>
          </cell>
          <cell r="D8514" t="str">
            <v>M</v>
          </cell>
          <cell r="E8514">
            <v>3836.95</v>
          </cell>
          <cell r="F8514">
            <v>0</v>
          </cell>
        </row>
        <row r="8515">
          <cell r="B8515">
            <v>99306</v>
          </cell>
          <cell r="C8515" t="str">
            <v>ACRÉSCIMO PARA POÇO DE VISITA RETANGULAR PARA DRENAGEM, EM ALVENARIA COM BLOCOS DE CONCRETO, DIMENSÕES INTERNAS = 3X3,5 M. AF_12/2020</v>
          </cell>
          <cell r="D8515" t="str">
            <v>M</v>
          </cell>
          <cell r="E8515">
            <v>4127.38</v>
          </cell>
          <cell r="F8515">
            <v>0</v>
          </cell>
        </row>
        <row r="8516">
          <cell r="B8516">
            <v>99309</v>
          </cell>
          <cell r="C8516" t="str">
            <v>ACRÉSCIMO PARA POÇO DE VISITA RETANGULAR PARA DRENAGEM, EM ALVENARIA COM BLOCOS DE CONCRETO, DIMENSÕES INTERNAS = 3X4 M. AF_12/2020</v>
          </cell>
          <cell r="D8516" t="str">
            <v>M</v>
          </cell>
          <cell r="E8516">
            <v>4422.71</v>
          </cell>
          <cell r="F8516">
            <v>0</v>
          </cell>
        </row>
        <row r="8517">
          <cell r="B8517">
            <v>99327</v>
          </cell>
          <cell r="C8517" t="str">
            <v>ACRÉSCIMO PARA POÇO DE VISITA RETANGULAR PARA DRENAGEM, EM ALVENARIA COM BLOCOS DE CONCRETO, DIMENSÕES INTERNAS = 4X4 M. AF_12/2020</v>
          </cell>
          <cell r="D8517" t="str">
            <v>M</v>
          </cell>
          <cell r="E8517">
            <v>4966.17</v>
          </cell>
          <cell r="F8517">
            <v>0</v>
          </cell>
        </row>
        <row r="8518">
          <cell r="B8518">
            <v>98009</v>
          </cell>
          <cell r="C8518" t="str">
            <v>ACRÉSCIMO PARA POÇO DE VISITA RETANGULAR PARA ESGOTO, EM ALVENARIA COM BLOCOS DE CONCRETO, DIMENSÕES INTERNAS = 1,5X1,5 M. AF_12/2020</v>
          </cell>
          <cell r="D8518" t="str">
            <v>M</v>
          </cell>
          <cell r="E8518">
            <v>2130.41</v>
          </cell>
          <cell r="F8518">
            <v>0</v>
          </cell>
        </row>
        <row r="8519">
          <cell r="B8519">
            <v>98011</v>
          </cell>
          <cell r="C8519" t="str">
            <v>ACRÉSCIMO PARA POÇO DE VISITA RETANGULAR PARA ESGOTO, EM ALVENARIA COM BLOCOS DE CONCRETO, DIMENSÕES INTERNAS = 1,5X2 M. AF_12/2020</v>
          </cell>
          <cell r="D8519" t="str">
            <v>M</v>
          </cell>
          <cell r="E8519">
            <v>2430.96</v>
          </cell>
          <cell r="F8519">
            <v>0</v>
          </cell>
        </row>
        <row r="8520">
          <cell r="B8520">
            <v>98013</v>
          </cell>
          <cell r="C8520" t="str">
            <v>ACRÉSCIMO PARA POÇO DE VISITA RETANGULAR PARA ESGOTO, EM ALVENARIA COM BLOCOS DE CONCRETO, DIMENSÕES INTERNAS = 1,5X2,5 M. AF_12/2020</v>
          </cell>
          <cell r="D8520" t="str">
            <v>M</v>
          </cell>
          <cell r="E8520">
            <v>2731.59</v>
          </cell>
          <cell r="F8520">
            <v>0</v>
          </cell>
        </row>
        <row r="8521">
          <cell r="B8521">
            <v>98015</v>
          </cell>
          <cell r="C8521" t="str">
            <v>ACRÉSCIMO PARA POÇO DE VISITA RETANGULAR PARA ESGOTO, EM ALVENARIA COM BLOCOS DE CONCRETO, DIMENSÕES INTERNAS = 1,5X3 M. AF_12/2020</v>
          </cell>
          <cell r="D8521" t="str">
            <v>M</v>
          </cell>
          <cell r="E8521">
            <v>3032.23</v>
          </cell>
          <cell r="F8521">
            <v>0</v>
          </cell>
        </row>
        <row r="8522">
          <cell r="B8522">
            <v>98017</v>
          </cell>
          <cell r="C8522" t="str">
            <v>ACRÉSCIMO PARA POÇO DE VISITA RETANGULAR PARA ESGOTO, EM ALVENARIA COM BLOCOS DE CONCRETO, DIMENSÕES INTERNAS = 1,5X3,5 M. AF_12/2020</v>
          </cell>
          <cell r="D8522" t="str">
            <v>M</v>
          </cell>
          <cell r="E8522">
            <v>3332.76</v>
          </cell>
          <cell r="F8522">
            <v>0</v>
          </cell>
        </row>
        <row r="8523">
          <cell r="B8523">
            <v>98019</v>
          </cell>
          <cell r="C8523" t="str">
            <v>ACRÉSCIMO PARA POÇO DE VISITA RETANGULAR PARA ESGOTO, EM ALVENARIA COM BLOCOS DE CONCRETO, DIMENSÕES INTERNAS = 1,5X4 M. AF_12/2020</v>
          </cell>
          <cell r="D8523" t="str">
            <v>M</v>
          </cell>
          <cell r="E8523">
            <v>3659.47</v>
          </cell>
          <cell r="F8523">
            <v>0</v>
          </cell>
        </row>
        <row r="8524">
          <cell r="B8524">
            <v>97995</v>
          </cell>
          <cell r="C8524" t="str">
            <v>ACRÉSCIMO PARA POÇO DE VISITA RETANGULAR PARA ESGOTO, EM ALVENARIA COM BLOCOS DE CONCRETO, DIMENSÕES INTERNAS = 1X1 M. AF_12/2020</v>
          </cell>
          <cell r="D8524" t="str">
            <v>M</v>
          </cell>
          <cell r="E8524">
            <v>1529.2</v>
          </cell>
          <cell r="F8524">
            <v>0</v>
          </cell>
        </row>
        <row r="8525">
          <cell r="B8525">
            <v>97997</v>
          </cell>
          <cell r="C8525" t="str">
            <v>ACRÉSCIMO PARA POÇO DE VISITA RETANGULAR PARA ESGOTO, EM ALVENARIA COM BLOCOS DE CONCRETO, DIMENSÕES INTERNAS = 1X1,5 M. AF_12/2020</v>
          </cell>
          <cell r="D8525" t="str">
            <v>M</v>
          </cell>
          <cell r="E8525">
            <v>1829.77</v>
          </cell>
          <cell r="F8525">
            <v>0</v>
          </cell>
        </row>
        <row r="8526">
          <cell r="B8526">
            <v>97999</v>
          </cell>
          <cell r="C8526" t="str">
            <v>ACRÉSCIMO PARA POÇO DE VISITA RETANGULAR PARA ESGOTO, EM ALVENARIA COM BLOCOS DE CONCRETO, DIMENSÕES INTERNAS = 1X2 M. AF_12/2020</v>
          </cell>
          <cell r="D8526" t="str">
            <v>M</v>
          </cell>
          <cell r="E8526">
            <v>2130.41</v>
          </cell>
          <cell r="F8526">
            <v>0</v>
          </cell>
        </row>
        <row r="8527">
          <cell r="B8527">
            <v>98001</v>
          </cell>
          <cell r="C8527" t="str">
            <v>ACRÉSCIMO PARA POÇO DE VISITA RETANGULAR PARA ESGOTO, EM ALVENARIA COM BLOCOS DE CONCRETO, DIMENSÕES INTERNAS = 1X2,5 M. AF_12/2020</v>
          </cell>
          <cell r="D8527" t="str">
            <v>M</v>
          </cell>
          <cell r="E8527">
            <v>2430.96</v>
          </cell>
          <cell r="F8527">
            <v>0</v>
          </cell>
        </row>
        <row r="8528">
          <cell r="B8528">
            <v>98003</v>
          </cell>
          <cell r="C8528" t="str">
            <v>ACRÉSCIMO PARA POÇO DE VISITA RETANGULAR PARA ESGOTO, EM ALVENARIA COM BLOCOS DE CONCRETO, DIMENSÕES INTERNAS = 1X3 M. AF_12/2020</v>
          </cell>
          <cell r="D8528" t="str">
            <v>M</v>
          </cell>
          <cell r="E8528">
            <v>2731.59</v>
          </cell>
          <cell r="F8528">
            <v>0</v>
          </cell>
        </row>
        <row r="8529">
          <cell r="B8529">
            <v>98005</v>
          </cell>
          <cell r="C8529" t="str">
            <v>ACRÉSCIMO PARA POÇO DE VISITA RETANGULAR PARA ESGOTO, EM ALVENARIA COM BLOCOS DE CONCRETO, DIMENSÕES INTERNAS = 1X3,5 M. AF_12/2020</v>
          </cell>
          <cell r="D8529" t="str">
            <v>M</v>
          </cell>
          <cell r="E8529">
            <v>3032.23</v>
          </cell>
          <cell r="F8529">
            <v>0</v>
          </cell>
        </row>
        <row r="8530">
          <cell r="B8530">
            <v>98007</v>
          </cell>
          <cell r="C8530" t="str">
            <v>ACRÉSCIMO PARA POÇO DE VISITA RETANGULAR PARA ESGOTO, EM ALVENARIA COM BLOCOS DE CONCRETO, DIMENSÕES INTERNAS = 1X4 M. AF_12/2020</v>
          </cell>
          <cell r="D8530" t="str">
            <v>M</v>
          </cell>
          <cell r="E8530">
            <v>3332.76</v>
          </cell>
          <cell r="F8530">
            <v>0</v>
          </cell>
        </row>
        <row r="8531">
          <cell r="B8531">
            <v>98031</v>
          </cell>
          <cell r="C8531" t="str">
            <v>ACRÉSCIMO PARA POÇO DE VISITA RETANGULAR PARA ESGOTO, EM ALVENARIA COM BLOCOS DE CONCRETO, DIMENSÕES INTERNAS = 2,5X2,5 M. AF_12/2020</v>
          </cell>
          <cell r="D8531" t="str">
            <v>M</v>
          </cell>
          <cell r="E8531">
            <v>3364.35</v>
          </cell>
          <cell r="F8531">
            <v>0</v>
          </cell>
        </row>
        <row r="8532">
          <cell r="B8532">
            <v>98033</v>
          </cell>
          <cell r="C8532" t="str">
            <v>ACRÉSCIMO PARA POÇO DE VISITA RETANGULAR PARA ESGOTO, EM ALVENARIA COM BLOCOS DE CONCRETO, DIMENSÕES INTERNAS = 2,5X3 M. AF_12/2020</v>
          </cell>
          <cell r="D8532" t="str">
            <v>M</v>
          </cell>
          <cell r="E8532">
            <v>3664.92</v>
          </cell>
          <cell r="F8532">
            <v>0</v>
          </cell>
        </row>
        <row r="8533">
          <cell r="B8533">
            <v>98035</v>
          </cell>
          <cell r="C8533" t="str">
            <v>ACRÉSCIMO PARA POÇO DE VISITA RETANGULAR PARA ESGOTO, EM ALVENARIA COM BLOCOS DE CONCRETO, DIMENSÕES INTERNAS = 2,5X3,5 M. AF_12/2020</v>
          </cell>
          <cell r="D8533" t="str">
            <v>M</v>
          </cell>
          <cell r="E8533">
            <v>3965.43</v>
          </cell>
          <cell r="F8533">
            <v>0</v>
          </cell>
        </row>
        <row r="8534">
          <cell r="B8534">
            <v>98037</v>
          </cell>
          <cell r="C8534" t="str">
            <v>ACRÉSCIMO PARA POÇO DE VISITA RETANGULAR PARA ESGOTO, EM ALVENARIA COM BLOCOS DE CONCRETO, DIMENSÕES INTERNAS = 2,5X4 M. AF_12/2020</v>
          </cell>
          <cell r="D8534" t="str">
            <v>M</v>
          </cell>
          <cell r="E8534">
            <v>4271.43</v>
          </cell>
          <cell r="F8534">
            <v>0</v>
          </cell>
        </row>
        <row r="8535">
          <cell r="B8535">
            <v>98021</v>
          </cell>
          <cell r="C8535" t="str">
            <v>ACRÉSCIMO PARA POÇO DE VISITA RETANGULAR PARA ESGOTO, EM ALVENARIA COM BLOCOS DE CONCRETO, DIMENSÕES INTERNAS = 2X2 M. AF_12/2020</v>
          </cell>
          <cell r="D8535" t="str">
            <v>M</v>
          </cell>
          <cell r="E8535">
            <v>2757.73</v>
          </cell>
          <cell r="F8535">
            <v>0</v>
          </cell>
        </row>
        <row r="8536">
          <cell r="B8536">
            <v>98023</v>
          </cell>
          <cell r="C8536" t="str">
            <v>ACRÉSCIMO PARA POÇO DE VISITA RETANGULAR PARA ESGOTO, EM ALVENARIA COM BLOCOS DE CONCRETO, DIMENSÕES INTERNAS = 2X2,5 M. AF_12/2020</v>
          </cell>
          <cell r="D8536" t="str">
            <v>M</v>
          </cell>
          <cell r="E8536">
            <v>3058.29</v>
          </cell>
          <cell r="F8536">
            <v>0</v>
          </cell>
        </row>
        <row r="8537">
          <cell r="B8537">
            <v>98025</v>
          </cell>
          <cell r="C8537" t="str">
            <v>ACRÉSCIMO PARA POÇO DE VISITA RETANGULAR PARA ESGOTO, EM ALVENARIA COM BLOCOS DE CONCRETO, DIMENSÕES INTERNAS = 2X3 M. AF_12/2020</v>
          </cell>
          <cell r="D8537" t="str">
            <v>M</v>
          </cell>
          <cell r="E8537">
            <v>3358.9</v>
          </cell>
          <cell r="F8537">
            <v>0</v>
          </cell>
        </row>
        <row r="8538">
          <cell r="B8538">
            <v>98027</v>
          </cell>
          <cell r="C8538" t="str">
            <v>ACRÉSCIMO PARA POÇO DE VISITA RETANGULAR PARA ESGOTO, EM ALVENARIA COM BLOCOS DE CONCRETO, DIMENSÕES INTERNAS = 2X3,5 M. AF_12/2020</v>
          </cell>
          <cell r="D8538" t="str">
            <v>M</v>
          </cell>
          <cell r="E8538">
            <v>3659.47</v>
          </cell>
          <cell r="F8538">
            <v>0</v>
          </cell>
        </row>
        <row r="8539">
          <cell r="B8539">
            <v>98029</v>
          </cell>
          <cell r="C8539" t="str">
            <v>ACRÉSCIMO PARA POÇO DE VISITA RETANGULAR PARA ESGOTO, EM ALVENARIA COM BLOCOS DE CONCRETO, DIMENSÕES INTERNAS = 2X4 M. AF_12/2020</v>
          </cell>
          <cell r="D8539" t="str">
            <v>M</v>
          </cell>
          <cell r="E8539">
            <v>3965.43</v>
          </cell>
          <cell r="F8539">
            <v>0</v>
          </cell>
        </row>
        <row r="8540">
          <cell r="B8540">
            <v>98045</v>
          </cell>
          <cell r="C8540" t="str">
            <v>ACRÉSCIMO PARA POÇO DE VISITA RETANGULAR PARA ESGOTO, EM ALVENARIA COM BLOCOS DE CONCRETO, DIMENSÕES INTERNAS = 3,5X3,5 M. AF_12/2020</v>
          </cell>
          <cell r="D8540" t="str">
            <v>M</v>
          </cell>
          <cell r="E8540">
            <v>4577.53</v>
          </cell>
          <cell r="F8540">
            <v>0</v>
          </cell>
        </row>
        <row r="8541">
          <cell r="B8541">
            <v>98047</v>
          </cell>
          <cell r="C8541" t="str">
            <v>ACRÉSCIMO PARA POÇO DE VISITA RETANGULAR PARA ESGOTO, EM ALVENARIA COM BLOCOS DE CONCRETO, DIMENSÕES INTERNAS = 3,5X4 M. AF_12/2020</v>
          </cell>
          <cell r="D8541" t="str">
            <v>M</v>
          </cell>
          <cell r="E8541">
            <v>4883.55</v>
          </cell>
          <cell r="F8541">
            <v>0</v>
          </cell>
        </row>
        <row r="8542">
          <cell r="B8542">
            <v>98039</v>
          </cell>
          <cell r="C8542" t="str">
            <v>ACRÉSCIMO PARA POÇO DE VISITA RETANGULAR PARA ESGOTO, EM ALVENARIA COM BLOCOS DE CONCRETO, DIMENSÕES INTERNAS = 3X3 M. AF_12/2020</v>
          </cell>
          <cell r="D8542" t="str">
            <v>M</v>
          </cell>
          <cell r="E8542">
            <v>3970.88</v>
          </cell>
          <cell r="F8542">
            <v>0</v>
          </cell>
        </row>
        <row r="8543">
          <cell r="B8543">
            <v>98041</v>
          </cell>
          <cell r="C8543" t="str">
            <v>ACRÉSCIMO PARA POÇO DE VISITA RETANGULAR PARA ESGOTO, EM ALVENARIA COM BLOCOS DE CONCRETO, DIMENSÕES INTERNAS = 3X3,5 M. AF_12/2020</v>
          </cell>
          <cell r="D8543" t="str">
            <v>M</v>
          </cell>
          <cell r="E8543">
            <v>4271.43</v>
          </cell>
          <cell r="F8543">
            <v>0</v>
          </cell>
        </row>
        <row r="8544">
          <cell r="B8544">
            <v>98043</v>
          </cell>
          <cell r="C8544" t="str">
            <v>ACRÉSCIMO PARA POÇO DE VISITA RETANGULAR PARA ESGOTO, EM ALVENARIA COM BLOCOS DE CONCRETO, DIMENSÕES INTERNAS = 3X4 M. AF_12/2020</v>
          </cell>
          <cell r="D8544" t="str">
            <v>M</v>
          </cell>
          <cell r="E8544">
            <v>4577.53</v>
          </cell>
          <cell r="F8544">
            <v>0</v>
          </cell>
        </row>
        <row r="8545">
          <cell r="B8545">
            <v>98049</v>
          </cell>
          <cell r="C8545" t="str">
            <v>ACRÉSCIMO PARA POÇO DE VISITA RETANGULAR PARA ESGOTO, EM ALVENARIA COM BLOCOS DE CONCRETO, DIMENSÕES INTERNAS = 4X4 M. AF_12/2020</v>
          </cell>
          <cell r="D8545" t="str">
            <v>M</v>
          </cell>
          <cell r="E8545">
            <v>5136.29</v>
          </cell>
          <cell r="F8545">
            <v>0</v>
          </cell>
        </row>
        <row r="8546">
          <cell r="B8546">
            <v>101809</v>
          </cell>
          <cell r="C8546" t="str">
            <v>BASE PARA POCO DE VISITA RETANGULAR PARA ESGOTO E DRENAGEM, EM CONCRETO ESTRUTURAL, DIMENSÕES INTERNAS DE 90X150 M, PROFUNDIDADE DE 1,25 M, EXCLUINDO TAMPÃO. AF_12/2020</v>
          </cell>
          <cell r="D8546" t="str">
            <v>UN</v>
          </cell>
          <cell r="E8546">
            <v>3041.09</v>
          </cell>
          <cell r="F8546">
            <v>0</v>
          </cell>
        </row>
        <row r="8547">
          <cell r="B8547">
            <v>99280</v>
          </cell>
          <cell r="C8547" t="str">
            <v>BASE PARA POÇO DE VISITA CIRCULAR PARA DRENAGEM, EM ALVENARIA COM TIJOLOS CERÂMICOS MACIÇOS, DIÂMETRO INTERNO = 0,80 M, PROFUNDIDADE = 1,40 M, EXCLUINDO TAMPÃO. AF_12/2020</v>
          </cell>
          <cell r="D8547" t="str">
            <v>UN</v>
          </cell>
          <cell r="E8547">
            <v>2193.64</v>
          </cell>
          <cell r="F8547">
            <v>0</v>
          </cell>
        </row>
        <row r="8548">
          <cell r="B8548">
            <v>99292</v>
          </cell>
          <cell r="C8548" t="str">
            <v>BASE PARA POÇO DE VISITA CIRCULAR PARA DRENAGEM, EM ALVENARIA COM TIJOLOS CERÂMICOS MACIÇOS, DIÂMETRO INTERNO = 1,0 M, PROFUNDIDADE = 1,40 M, EXCLUINDO TAMPÃO. AF_12/2020</v>
          </cell>
          <cell r="D8548" t="str">
            <v>UN</v>
          </cell>
          <cell r="E8548">
            <v>2698.65</v>
          </cell>
          <cell r="F8548">
            <v>0</v>
          </cell>
        </row>
        <row r="8549">
          <cell r="B8549">
            <v>99242</v>
          </cell>
          <cell r="C8549" t="str">
            <v>BASE PARA POÇO DE VISITA CIRCULAR PARA DRENAGEM, EM ALVENARIA COM TIJOLOS CERÂMICOS MACIÇOS, DIÂMETRO INTERNO = 1,2 M, PROFUNDIDADE = 1,40 M, EXCLUINDO TAMPÃO. AF_12/2020</v>
          </cell>
          <cell r="D8549" t="str">
            <v>UN</v>
          </cell>
          <cell r="E8549">
            <v>3198.18</v>
          </cell>
          <cell r="F8549">
            <v>0</v>
          </cell>
        </row>
        <row r="8550">
          <cell r="B8550">
            <v>99248</v>
          </cell>
          <cell r="C8550" t="str">
            <v>BASE PARA POÇO DE VISITA CIRCULAR PARA DRENAGEM, EM ALVENARIA COM TIJOLOS CERÂMICOS MACIÇOS, DIÂMETRO INTERNO = 1,50 M, PROFUNDIDADE = 1,40 M, EXCLUINDO TAMPÃO. AF_12/2020</v>
          </cell>
          <cell r="D8550" t="str">
            <v>UN</v>
          </cell>
          <cell r="E8550">
            <v>4073.73</v>
          </cell>
          <cell r="F8550">
            <v>0</v>
          </cell>
        </row>
        <row r="8551">
          <cell r="B8551">
            <v>99275</v>
          </cell>
          <cell r="C8551" t="str">
            <v>BASE PARA POÇO DE VISITA CIRCULAR PARA DRENAGEM, EM CONCRETO PRÉ-MOLDADO, DIÂMETRO INTERNO = 0,80 M, PROFUNDIDADE = 1,35 M, EXCLUINDO TAMPÃO. AF_12/2020</v>
          </cell>
          <cell r="D8551" t="str">
            <v>UN</v>
          </cell>
          <cell r="E8551">
            <v>1091.1300000000001</v>
          </cell>
          <cell r="F8551">
            <v>0</v>
          </cell>
        </row>
        <row r="8552">
          <cell r="B8552">
            <v>99285</v>
          </cell>
          <cell r="C8552" t="str">
            <v>BASE PARA POÇO DE VISITA CIRCULAR PARA DRENAGEM, EM CONCRETO PRÉ-MOLDADO, DIÂMETRO INTERNO = 1,0 M, PROFUNDIDADE = 1,35 M, EXCLUINDO TAMPÃO. AF_05/2018</v>
          </cell>
          <cell r="D8552" t="str">
            <v>UN</v>
          </cell>
          <cell r="E8552">
            <v>1461.19</v>
          </cell>
          <cell r="F8552">
            <v>0</v>
          </cell>
        </row>
        <row r="8553">
          <cell r="B8553">
            <v>102457</v>
          </cell>
          <cell r="C8553" t="str">
            <v>BASE PARA POÇO DE VISITA CIRCULAR PARA DRENAGEM, EM CONCRETO PRÉ-MOLDADO, DIÂMETRO INTERNO = 1,20 M, PROFUNDIDADE = 1,60 M, EXCLUINDO TAMPÃO. AF_05/2021</v>
          </cell>
          <cell r="D8553" t="str">
            <v>UN</v>
          </cell>
          <cell r="E8553">
            <v>1823.8</v>
          </cell>
          <cell r="F8553">
            <v>0</v>
          </cell>
        </row>
        <row r="8554">
          <cell r="B8554">
            <v>102142</v>
          </cell>
          <cell r="C8554" t="str">
            <v>BASE PARA POÇO DE VISITA CIRCULAR PARA DRENAGEM, EM CONCRETO PRÉ-MOLDADO, DIÂMETRO INTERNO = 1,50 M, PROFUNDIDADE = 1,35 M, EXCLUINDO TAMPÃO. AF_12/2020</v>
          </cell>
          <cell r="D8554" t="str">
            <v>UN</v>
          </cell>
          <cell r="E8554">
            <v>2868.27</v>
          </cell>
          <cell r="F8554">
            <v>0</v>
          </cell>
        </row>
        <row r="8555">
          <cell r="B8555">
            <v>97980</v>
          </cell>
          <cell r="C8555" t="str">
            <v>BASE PARA POÇO DE VISITA CIRCULAR PARA ESGOTO, EM ALVENARIA COM TIJOLOS CERÂMICOS MACIÇOS, DIÂMETRO INTERNO = 0,80 M, PROFUNDIDADE = 1,40 M, EXCLUINDO TAMPÃO. AF_12/2020</v>
          </cell>
          <cell r="D8555" t="str">
            <v>UN</v>
          </cell>
          <cell r="E8555">
            <v>2267.48</v>
          </cell>
          <cell r="F8555">
            <v>0</v>
          </cell>
        </row>
        <row r="8556">
          <cell r="B8556">
            <v>98405</v>
          </cell>
          <cell r="C8556" t="str">
            <v>BASE PARA POÇO DE VISITA CIRCULAR PARA ESGOTO, EM ALVENARIA COM TIJOLOS CERÂMICOS MACIÇOS, DIÂMETRO INTERNO = 1,0 M, PROFUNDIDADE = 1,40 M, EXCLUINDO TAMPÃO. AF_12/2020</v>
          </cell>
          <cell r="D8556" t="str">
            <v>UN</v>
          </cell>
          <cell r="E8556">
            <v>2782.85</v>
          </cell>
          <cell r="F8556">
            <v>0</v>
          </cell>
        </row>
        <row r="8557">
          <cell r="B8557">
            <v>97988</v>
          </cell>
          <cell r="C8557" t="str">
            <v>BASE PARA POÇO DE VISITA CIRCULAR PARA ESGOTO, EM ALVENARIA COM TIJOLOS CERÂMICOS MACIÇOS, DIÂMETRO INTERNO = 1,20 M, PROFUNDIDADE = 1,40 M, EXCLUINDO TAMPÃO. AF_12/2020</v>
          </cell>
          <cell r="D8557" t="str">
            <v>UN</v>
          </cell>
          <cell r="E8557">
            <v>3291.81</v>
          </cell>
          <cell r="F8557">
            <v>0</v>
          </cell>
        </row>
        <row r="8558">
          <cell r="B8558">
            <v>97992</v>
          </cell>
          <cell r="C8558" t="str">
            <v>BASE PARA POÇO DE VISITA CIRCULAR PARA ESGOTO, EM ALVENARIA COM TIJOLOS CERÂMICOS MACIÇOS, DIÂMETRO INTERNO = 1,50 M, PROFUNDIDADE = 1,40 M, EXCLUINDO TAMPÃO. AF_12/2020</v>
          </cell>
          <cell r="D8558" t="str">
            <v>UN</v>
          </cell>
          <cell r="E8558">
            <v>4186.7299999999996</v>
          </cell>
          <cell r="F8558">
            <v>0</v>
          </cell>
        </row>
        <row r="8559">
          <cell r="B8559">
            <v>97978</v>
          </cell>
          <cell r="C8559" t="str">
            <v>BASE PARA POÇO DE VISITA CIRCULAR PARA ESGOTO, EM CONCRETO PRÉ-MOLDADO, DIÂMETRO INTERNO = 0,80 M, PROFUNDIDADE = 1,35 M, EXCLUINDO TAMPÃO. AF_12/2020</v>
          </cell>
          <cell r="D8559" t="str">
            <v>UN</v>
          </cell>
          <cell r="E8559">
            <v>1099.3599999999999</v>
          </cell>
          <cell r="F8559">
            <v>0</v>
          </cell>
        </row>
        <row r="8560">
          <cell r="B8560">
            <v>98410</v>
          </cell>
          <cell r="C8560" t="str">
            <v>BASE PARA POÇO DE VISITA CIRCULAR PARA ESGOTO, EM CONCRETO PRÉ-MOLDADO, DIÂMETRO INTERNO = 1,0 M, PROFUNDIDADE = 1,35 M, EXCLUINDO TAMPÃO. AF_12/2020</v>
          </cell>
          <cell r="D8560" t="str">
            <v>UN</v>
          </cell>
          <cell r="E8560">
            <v>1383.88</v>
          </cell>
          <cell r="F8560">
            <v>0</v>
          </cell>
        </row>
        <row r="8561">
          <cell r="B8561">
            <v>102139</v>
          </cell>
          <cell r="C8561" t="str">
            <v>BASE PARA POÇO DE VISITA CIRCULAR PARA ESGOTO, EM CONCRETO PRÉ-MOLDADO, DIÂMETRO INTERNO = 1,20 M, PROFUNDIDADE = 1,60 M, EXCLUINDO TAMPÃO. AF_12/2020</v>
          </cell>
          <cell r="D8561" t="str">
            <v>UN</v>
          </cell>
          <cell r="E8561">
            <v>1892.57</v>
          </cell>
          <cell r="F8561">
            <v>0</v>
          </cell>
        </row>
        <row r="8562">
          <cell r="B8562">
            <v>102141</v>
          </cell>
          <cell r="C8562" t="str">
            <v>BASE PARA POÇO DE VISITA CIRCULAR PARA ESGOTO, EM CONCRETO PRÉ-MOLDADO, DIÂMETRO INTERNO = 1,50 M, PROFUNDIDADE = 1,35 M, EXCLUINDO TAMPÃO. AF_12/2020</v>
          </cell>
          <cell r="D8562" t="str">
            <v>UN</v>
          </cell>
          <cell r="E8562">
            <v>2905.42</v>
          </cell>
          <cell r="F8562">
            <v>0</v>
          </cell>
        </row>
        <row r="8563">
          <cell r="B8563">
            <v>99290</v>
          </cell>
          <cell r="C8563" t="str">
            <v>BASE PARA POÇO DE VISITA RETANGULAR PARA DRENAGEM, EM ALVENARIA COM BLOCOS DE CONCRETO, DIMENSÕES INTERNAS = 1,5X1,5 M, PROFUNDIDADE = 1,40 M, EXCLUINDO TAMPÃO. AF_12/2020</v>
          </cell>
          <cell r="D8563" t="str">
            <v>UN</v>
          </cell>
          <cell r="E8563">
            <v>4358.21</v>
          </cell>
          <cell r="F8563">
            <v>0</v>
          </cell>
        </row>
        <row r="8564">
          <cell r="B8564">
            <v>99244</v>
          </cell>
          <cell r="C8564" t="str">
            <v>BASE PARA POÇO DE VISITA RETANGULAR PARA DRENAGEM, EM ALVENARIA COM BLOCOS DE CONCRETO, DIMENSÕES INTERNAS = 1,5X2 M, PROFUNDIDADE = 1,40 M, EXCLUINDO TAMPÃO. AF_12/2020</v>
          </cell>
          <cell r="D8564" t="str">
            <v>UN</v>
          </cell>
          <cell r="E8564">
            <v>5310.82</v>
          </cell>
          <cell r="F8564">
            <v>0</v>
          </cell>
        </row>
        <row r="8565">
          <cell r="B8565">
            <v>99256</v>
          </cell>
          <cell r="C8565" t="str">
            <v>BASE PARA POÇO DE VISITA RETANGULAR PARA DRENAGEM, EM ALVENARIA COM BLOCOS DE CONCRETO, DIMENSÕES INTERNAS = 1,5X2,5 M, PROFUNDIDADE = 1,40 M, EXCLUINDO TAMPÃO. AF_12/2020</v>
          </cell>
          <cell r="D8565" t="str">
            <v>UN</v>
          </cell>
          <cell r="E8565">
            <v>6234.6</v>
          </cell>
          <cell r="F8565">
            <v>0</v>
          </cell>
        </row>
        <row r="8566">
          <cell r="B8566">
            <v>99271</v>
          </cell>
          <cell r="C8566" t="str">
            <v>BASE PARA POÇO DE VISITA RETANGULAR PARA DRENAGEM, EM ALVENARIA COM BLOCOS DE CONCRETO, DIMENSÕES INTERNAS = 1,5X3 M, PROFUNDIDADE = 1,40 M, EXCLUINDO TAMPÃO. AF_12/2020</v>
          </cell>
          <cell r="D8566" t="str">
            <v>UN</v>
          </cell>
          <cell r="E8566">
            <v>7158.31</v>
          </cell>
          <cell r="F8566">
            <v>0</v>
          </cell>
        </row>
        <row r="8567">
          <cell r="B8567">
            <v>99284</v>
          </cell>
          <cell r="C8567" t="str">
            <v>BASE PARA POÇO DE VISITA RETANGULAR PARA DRENAGEM, EM ALVENARIA COM BLOCOS DE CONCRETO, DIMENSÕES INTERNAS = 1,5X3,5 M, PROFUNDIDADE = 1,40 M, EXCLUINDO TAMPÃO. AF_12/2020</v>
          </cell>
          <cell r="D8567" t="str">
            <v>UN</v>
          </cell>
          <cell r="E8567">
            <v>8082.18</v>
          </cell>
          <cell r="F8567">
            <v>0</v>
          </cell>
        </row>
        <row r="8568">
          <cell r="B8568">
            <v>99294</v>
          </cell>
          <cell r="C8568" t="str">
            <v>BASE PARA POÇO DE VISITA RETANGULAR PARA DRENAGEM, EM ALVENARIA COM BLOCOS DE CONCRETO, DIMENSÕES INTERNAS = 1,5X4 M, PROFUNDIDADE = 1,40 M, EXCLUINDO TAMPÃO. AF_12/2020</v>
          </cell>
          <cell r="D8568" t="str">
            <v>UN</v>
          </cell>
          <cell r="E8568">
            <v>9005.92</v>
          </cell>
          <cell r="F8568">
            <v>0</v>
          </cell>
        </row>
        <row r="8569">
          <cell r="B8569">
            <v>99252</v>
          </cell>
          <cell r="C8569" t="str">
            <v>BASE PARA POÇO DE VISITA RETANGULAR PARA DRENAGEM, EM ALVENARIA COM BLOCOS DE CONCRETO, DIMENSÕES INTERNAS = 1X1 M, PROFUNDIDADE = 1,40 M, EXCLUINDO TAMPÃO. AF_12/2020</v>
          </cell>
          <cell r="D8569" t="str">
            <v>UN</v>
          </cell>
          <cell r="E8569">
            <v>2801.7</v>
          </cell>
          <cell r="F8569">
            <v>0</v>
          </cell>
        </row>
        <row r="8570">
          <cell r="B8570">
            <v>99259</v>
          </cell>
          <cell r="C8570" t="str">
            <v>BASE PARA POÇO DE VISITA RETANGULAR PARA DRENAGEM, EM ALVENARIA COM BLOCOS DE CONCRETO, DIMENSÕES INTERNAS = 1X1,5 M, PROFUNDIDADE = 1,40 M, EXCLUINDO TAMPÃO. AF_12/2020</v>
          </cell>
          <cell r="D8570" t="str">
            <v>UN</v>
          </cell>
          <cell r="E8570">
            <v>3539.58</v>
          </cell>
          <cell r="F8570">
            <v>0</v>
          </cell>
        </row>
        <row r="8571">
          <cell r="B8571">
            <v>99265</v>
          </cell>
          <cell r="C8571" t="str">
            <v>BASE PARA POÇO DE VISITA RETANGULAR PARA DRENAGEM, EM ALVENARIA COM BLOCOS DE CONCRETO, DIMENSÕES INTERNAS = 1X2 M, PROFUNDIDADE = 1,40 M, EXCLUINDO TAMPÃO. AF_12/2020</v>
          </cell>
          <cell r="D8571" t="str">
            <v>UN</v>
          </cell>
          <cell r="E8571">
            <v>4277.3599999999997</v>
          </cell>
          <cell r="F8571">
            <v>0</v>
          </cell>
        </row>
        <row r="8572">
          <cell r="B8572">
            <v>99267</v>
          </cell>
          <cell r="C8572" t="str">
            <v>BASE PARA POÇO DE VISITA RETANGULAR PARA DRENAGEM, EM ALVENARIA COM BLOCOS DE CONCRETO, DIMENSÕES INTERNAS = 1X2,5 M, PROFUNDIDADE = 1,40 M, EXCLUINDO TAMPÃO. AF_12/2020</v>
          </cell>
          <cell r="D8572" t="str">
            <v>UN</v>
          </cell>
          <cell r="E8572">
            <v>5015.2</v>
          </cell>
          <cell r="F8572">
            <v>0</v>
          </cell>
        </row>
        <row r="8573">
          <cell r="B8573">
            <v>99274</v>
          </cell>
          <cell r="C8573" t="str">
            <v>BASE PARA POÇO DE VISITA RETANGULAR PARA DRENAGEM, EM ALVENARIA COM BLOCOS DE CONCRETO, DIMENSÕES INTERNAS = 1X3 M, PROFUNDIDADE = 1,40 M, EXCLUINDO TAMPÃO. AF_12/2020</v>
          </cell>
          <cell r="D8573" t="str">
            <v>UN</v>
          </cell>
          <cell r="E8573">
            <v>5789.34</v>
          </cell>
          <cell r="F8573">
            <v>0</v>
          </cell>
        </row>
        <row r="8574">
          <cell r="B8574">
            <v>99279</v>
          </cell>
          <cell r="C8574" t="str">
            <v>BASE PARA POÇO DE VISITA RETANGULAR PARA DRENAGEM, EM ALVENARIA COM BLOCOS DE CONCRETO, DIMENSÕES INTERNAS = 1X3,5 M, PROFUNDIDADE = 1,40 M, EXCLUINDO TAMPÃO. AF_12/2020</v>
          </cell>
          <cell r="D8574" t="str">
            <v>UN</v>
          </cell>
          <cell r="E8574">
            <v>6531.74</v>
          </cell>
          <cell r="F8574">
            <v>0</v>
          </cell>
        </row>
        <row r="8575">
          <cell r="B8575">
            <v>99286</v>
          </cell>
          <cell r="C8575" t="str">
            <v>BASE PARA POÇO DE VISITA RETANGULAR PARA DRENAGEM, EM ALVENARIA COM BLOCOS DE CONCRETO, DIMENSÕES INTERNAS = 1X4 M, PROFUNDIDADE = 1,40 M, EXCLUINDO TAMPÃO. AF_12/2020</v>
          </cell>
          <cell r="D8575" t="str">
            <v>UN</v>
          </cell>
          <cell r="E8575">
            <v>7274.21</v>
          </cell>
          <cell r="F8575">
            <v>0</v>
          </cell>
        </row>
        <row r="8576">
          <cell r="B8576">
            <v>99326</v>
          </cell>
          <cell r="C8576" t="str">
            <v>BASE PARA POÇO DE VISITA RETANGULAR PARA DRENAGEM, EM ALVENARIA COM BLOCOS DE CONCRETO, DIMENSÕES INTERNAS = 2,5X2,5 M, PROFUNDIDADE = 1,40 M, EXCLUINDO TAMPÃO. AF_12/2020</v>
          </cell>
          <cell r="D8576" t="str">
            <v>UN</v>
          </cell>
          <cell r="E8576">
            <v>8822.0499999999993</v>
          </cell>
          <cell r="F8576">
            <v>0</v>
          </cell>
        </row>
        <row r="8577">
          <cell r="B8577">
            <v>99287</v>
          </cell>
          <cell r="C8577" t="str">
            <v>BASE PARA POÇO DE VISITA RETANGULAR PARA DRENAGEM, EM ALVENARIA COM BLOCOS DE CONCRETO, DIMENSÕES INTERNAS = 2,5X3 M, PROFUNDIDADE = 1,40 M, EXCLUINDO TAMPÃO. AF_12/2020</v>
          </cell>
          <cell r="D8577" t="str">
            <v>UN</v>
          </cell>
          <cell r="E8577">
            <v>10140.34</v>
          </cell>
          <cell r="F8577">
            <v>0</v>
          </cell>
        </row>
        <row r="8578">
          <cell r="B8578">
            <v>99298</v>
          </cell>
          <cell r="C8578" t="str">
            <v>BASE PARA POÇO DE VISITA RETANGULAR PARA DRENAGEM, EM ALVENARIA COM BLOCOS DE CONCRETO, DIMENSÕES INTERNAS = 2,5X3,5 M, PROFUNDIDADE = 1,40 M, EXCLUINDO TAMPÃO. AF_12/2020</v>
          </cell>
          <cell r="D8578" t="str">
            <v>UN</v>
          </cell>
          <cell r="E8578">
            <v>11458.63</v>
          </cell>
          <cell r="F8578">
            <v>0</v>
          </cell>
        </row>
        <row r="8579">
          <cell r="B8579">
            <v>99300</v>
          </cell>
          <cell r="C8579" t="str">
            <v>BASE PARA POÇO DE VISITA RETANGULAR PARA DRENAGEM, EM ALVENARIA COM BLOCOS DE CONCRETO, DIMENSÕES INTERNAS = 2,5X4 M, PROFUNDIDADE = 1,40 M, EXCLUINDO TAMPÃO. AF_12/2020</v>
          </cell>
          <cell r="D8579" t="str">
            <v>UN</v>
          </cell>
          <cell r="E8579">
            <v>12776.98</v>
          </cell>
          <cell r="F8579">
            <v>0</v>
          </cell>
        </row>
        <row r="8580">
          <cell r="B8580">
            <v>99301</v>
          </cell>
          <cell r="C8580" t="str">
            <v>BASE PARA POÇO DE VISITA RETANGULAR PARA DRENAGEM, EM ALVENARIA COM BLOCOS DE CONCRETO, DIMENSÕES INTERNAS = 2X2 M, PROFUNDIDADE = 1,40 M, EXCLUINDO TAMPÃO. AF_12/2020</v>
          </cell>
          <cell r="D8580" t="str">
            <v>UN</v>
          </cell>
          <cell r="E8580">
            <v>6403.48</v>
          </cell>
          <cell r="F8580">
            <v>0</v>
          </cell>
        </row>
        <row r="8581">
          <cell r="B8581">
            <v>99312</v>
          </cell>
          <cell r="C8581" t="str">
            <v>BASE PARA POÇO DE VISITA RETANGULAR PARA DRENAGEM, EM ALVENARIA COM BLOCOS DE CONCRETO, DIMENSÕES INTERNAS = 2X2,5 M, PROFUNDIDADE = 1,40 M, EXCLUINDO TAMPÃO. AF_12/2020</v>
          </cell>
          <cell r="D8581" t="str">
            <v>UN</v>
          </cell>
          <cell r="E8581">
            <v>7495.69</v>
          </cell>
          <cell r="F8581">
            <v>0</v>
          </cell>
        </row>
        <row r="8582">
          <cell r="B8582">
            <v>99320</v>
          </cell>
          <cell r="C8582" t="str">
            <v>BASE PARA POÇO DE VISITA RETANGULAR PARA DRENAGEM, EM ALVENARIA COM BLOCOS DE CONCRETO, DIMENSÕES INTERNAS = 2X3 M, PROFUNDIDADE = 1,40 M, EXCLUINDO TAMPÃO. AF_12/2020</v>
          </cell>
          <cell r="D8582" t="str">
            <v>UN</v>
          </cell>
          <cell r="E8582">
            <v>8651.65</v>
          </cell>
          <cell r="F8582">
            <v>0</v>
          </cell>
        </row>
        <row r="8583">
          <cell r="B8583">
            <v>99322</v>
          </cell>
          <cell r="C8583" t="str">
            <v>BASE PARA POÇO DE VISITA RETANGULAR PARA DRENAGEM, EM ALVENARIA COM BLOCOS DE CONCRETO, DIMENSÕES INTERNAS = 2X3,5 M, PROFUNDIDADE = 1,40 M, EXCLUINDO TAMPÃO. AF_12/2020</v>
          </cell>
          <cell r="D8583" t="str">
            <v>UN</v>
          </cell>
          <cell r="E8583">
            <v>9751.92</v>
          </cell>
          <cell r="F8583">
            <v>0</v>
          </cell>
        </row>
        <row r="8584">
          <cell r="B8584">
            <v>99324</v>
          </cell>
          <cell r="C8584" t="str">
            <v>BASE PARA POÇO DE VISITA RETANGULAR PARA DRENAGEM, EM ALVENARIA COM BLOCOS DE CONCRETO, DIMENSÕES INTERNAS = 2X4 M, PROFUNDIDADE = 1,40 M, EXCLUINDO TAMPÃO. AF_12/2020</v>
          </cell>
          <cell r="D8584" t="str">
            <v>UN</v>
          </cell>
          <cell r="E8584">
            <v>10852.21</v>
          </cell>
          <cell r="F8584">
            <v>0</v>
          </cell>
        </row>
        <row r="8585">
          <cell r="B8585">
            <v>99310</v>
          </cell>
          <cell r="C8585" t="str">
            <v>BASE PARA POÇO DE VISITA RETANGULAR PARA DRENAGEM, EM ALVENARIA COM BLOCOS DE CONCRETO, DIMENSÕES INTERNAS = 3,5X3,5 M, PROFUNDIDADE = 1,40 M, EXCLUINDO TAMPÃO. AF_12/2020</v>
          </cell>
          <cell r="D8585" t="str">
            <v>UN</v>
          </cell>
          <cell r="E8585">
            <v>14950.16</v>
          </cell>
          <cell r="F8585">
            <v>0</v>
          </cell>
        </row>
        <row r="8586">
          <cell r="B8586">
            <v>99313</v>
          </cell>
          <cell r="C8586" t="str">
            <v>BASE PARA POÇO DE VISITA RETANGULAR PARA DRENAGEM, EM ALVENARIA COM BLOCOS DE CONCRETO, DIMENSÕES INTERNAS = 3,5X4 M, PROFUNDIDADE = 1,40 M, EXCLUINDO TAMPÃO. AF_12/2020</v>
          </cell>
          <cell r="D8586" t="str">
            <v>UN</v>
          </cell>
          <cell r="E8586">
            <v>16653.009999999998</v>
          </cell>
          <cell r="F8586">
            <v>0</v>
          </cell>
        </row>
        <row r="8587">
          <cell r="B8587">
            <v>99303</v>
          </cell>
          <cell r="C8587" t="str">
            <v>BASE PARA POÇO DE VISITA RETANGULAR PARA DRENAGEM, EM ALVENARIA COM BLOCOS DE CONCRETO, DIMENSÕES INTERNAS = 3X3 M, PROFUNDIDADE = 1,40 M, EXCLUINDO TAMPÃO. AF_12/2020</v>
          </cell>
          <cell r="D8587" t="str">
            <v>UN</v>
          </cell>
          <cell r="E8587">
            <v>11693.71</v>
          </cell>
          <cell r="F8587">
            <v>0</v>
          </cell>
        </row>
        <row r="8588">
          <cell r="B8588">
            <v>99305</v>
          </cell>
          <cell r="C8588" t="str">
            <v>BASE PARA POÇO DE VISITA RETANGULAR PARA DRENAGEM, EM ALVENARIA COM BLOCOS DE CONCRETO, DIMENSÕES INTERNAS = 3X3,5 M, PROFUNDIDADE = 1,40 M, EXCLUINDO TAMPÃO. AF_12/2020</v>
          </cell>
          <cell r="D8588" t="str">
            <v>UN</v>
          </cell>
          <cell r="E8588">
            <v>13204.37</v>
          </cell>
          <cell r="F8588">
            <v>0</v>
          </cell>
        </row>
        <row r="8589">
          <cell r="B8589">
            <v>99308</v>
          </cell>
          <cell r="C8589" t="str">
            <v>BASE PARA POÇO DE VISITA RETANGULAR PARA DRENAGEM, EM ALVENARIA COM BLOCOS DE CONCRETO, DIMENSÕES INTERNAS = 3X4 M, PROFUNDIDADE = 1,40 M, EXCLUINDO TAMPÃO. AF_12/2020</v>
          </cell>
          <cell r="D8589" t="str">
            <v>UN</v>
          </cell>
          <cell r="E8589">
            <v>14715.03</v>
          </cell>
          <cell r="F8589">
            <v>0</v>
          </cell>
        </row>
        <row r="8590">
          <cell r="B8590">
            <v>99315</v>
          </cell>
          <cell r="C8590" t="str">
            <v>BASE PARA POÇO DE VISITA RETANGULAR PARA DRENAGEM, EM ALVENARIA COM BLOCOS DE CONCRETO, DIMENSÕES INTERNAS = 4X4 M, PROFUNDIDADE = 1,40 M, EXCLUINDO TAMPÃO. AF_12/2020</v>
          </cell>
          <cell r="D8590" t="str">
            <v>UN</v>
          </cell>
          <cell r="E8590">
            <v>18591.060000000001</v>
          </cell>
          <cell r="F8590">
            <v>0</v>
          </cell>
        </row>
        <row r="8591">
          <cell r="B8591">
            <v>98008</v>
          </cell>
          <cell r="C8591" t="str">
            <v>BASE PARA POÇO DE VISITA RETANGULAR PARA ESGOTO, EM ALVENARIA COM BLOCOS DE CONCRETO, DIMENSÕES INTERNAS = 1,5X1,5 M, PROFUNDIDADE = 1,45 M, EXCLUINDO TAMPÃO . AF_12/2020</v>
          </cell>
          <cell r="D8591" t="str">
            <v>UN</v>
          </cell>
          <cell r="E8591">
            <v>4450.41</v>
          </cell>
          <cell r="F8591">
            <v>0</v>
          </cell>
        </row>
        <row r="8592">
          <cell r="B8592">
            <v>98010</v>
          </cell>
          <cell r="C8592" t="str">
            <v>BASE PARA POÇO DE VISITA RETANGULAR PARA ESGOTO, EM ALVENARIA COM BLOCOS DE CONCRETO, DIMENSÕES INTERNAS = 1,5X2 M, PROFUNDIDADE = 1,40 M, EXCLUINDO TAMPÃO. AF_12/2020</v>
          </cell>
          <cell r="D8592" t="str">
            <v>UN</v>
          </cell>
          <cell r="E8592">
            <v>5423.32</v>
          </cell>
          <cell r="F8592">
            <v>0</v>
          </cell>
        </row>
        <row r="8593">
          <cell r="B8593">
            <v>98012</v>
          </cell>
          <cell r="C8593" t="str">
            <v>BASE PARA POÇO DE VISITA RETANGULAR PARA ESGOTO, EM ALVENARIA COM BLOCOS DE CONCRETO, DIMENSÕES INTERNAS = 1,5X2,5 M, PROFUNDIDADE = 1,40 M, EXCLUINDO TAMPÃO. AF_12/2020</v>
          </cell>
          <cell r="D8593" t="str">
            <v>UN</v>
          </cell>
          <cell r="E8593">
            <v>6367.38</v>
          </cell>
          <cell r="F8593">
            <v>0</v>
          </cell>
        </row>
        <row r="8594">
          <cell r="B8594">
            <v>98014</v>
          </cell>
          <cell r="C8594" t="str">
            <v>BASE PARA POÇO DE VISITA RETANGULAR PARA ESGOTO, EM ALVENARIA COM BLOCOS DE CONCRETO, DIMENSÕES INTERNAS = 1,5X3 M, PROFUNDIDADE = 1,40 M, EXCLUINDO TAMPÃO. AF_12/2020</v>
          </cell>
          <cell r="D8594" t="str">
            <v>UN</v>
          </cell>
          <cell r="E8594">
            <v>7311.37</v>
          </cell>
          <cell r="F8594">
            <v>0</v>
          </cell>
        </row>
        <row r="8595">
          <cell r="B8595">
            <v>98016</v>
          </cell>
          <cell r="C8595" t="str">
            <v>BASE PARA POÇO DE VISITA RETANGULAR PARA ESGOTO, EM ALVENARIA COM BLOCOS DE CONCRETO, DIMENSÕES INTERNAS = 1,5X3,5 M, PROFUNDIDADE = 1,40 M, EXCLUINDO TAMPÃO. AF_12/2020</v>
          </cell>
          <cell r="D8595" t="str">
            <v>UN</v>
          </cell>
          <cell r="E8595">
            <v>8255.5400000000009</v>
          </cell>
          <cell r="F8595">
            <v>0</v>
          </cell>
        </row>
        <row r="8596">
          <cell r="B8596">
            <v>98018</v>
          </cell>
          <cell r="C8596" t="str">
            <v>BASE PARA POÇO DE VISITA RETANGULAR PARA ESGOTO, EM ALVENARIA COM BLOCOS DE CONCRETO, DIMENSÕES INTERNAS = 1,5X4 M, PROFUNDIDADE = 1,40 M, EXCLUINDO TAMPÃO. AF_12/2020</v>
          </cell>
          <cell r="D8596" t="str">
            <v>UN</v>
          </cell>
          <cell r="E8596">
            <v>9199.56</v>
          </cell>
          <cell r="F8596">
            <v>0</v>
          </cell>
        </row>
        <row r="8597">
          <cell r="B8597">
            <v>97994</v>
          </cell>
          <cell r="C8597" t="str">
            <v>BASE PARA POÇO DE VISITA RETANGULAR PARA ESGOTO, EM ALVENARIA COM BLOCOS DE CONCRETO, DIMENSÕES INTERNAS = 1X1 M, PROFUNDIDADE = 1,40 M, EXCLUINDO TAMPÃO. AF_12/2020</v>
          </cell>
          <cell r="D8597" t="str">
            <v>UN</v>
          </cell>
          <cell r="E8597">
            <v>2860.34</v>
          </cell>
          <cell r="F8597">
            <v>0</v>
          </cell>
        </row>
        <row r="8598">
          <cell r="B8598">
            <v>97996</v>
          </cell>
          <cell r="C8598" t="str">
            <v>BASE PARA POÇO DE VISITA RETANGULAR PARA ESGOTO, EM ALVENARIA COM BLOCOS DE CONCRETO, DIMENSÕES INTERNAS = 1X1,5 M, PROFUNDIDADE = 1,40 M, EXCLUINDO TAMPÃO. AF_12/2020</v>
          </cell>
          <cell r="D8598" t="str">
            <v>UN</v>
          </cell>
          <cell r="E8598">
            <v>3614.41</v>
          </cell>
          <cell r="F8598">
            <v>0</v>
          </cell>
        </row>
        <row r="8599">
          <cell r="B8599">
            <v>98407</v>
          </cell>
          <cell r="C8599" t="str">
            <v>BASE PARA POÇO DE VISITA RETANGULAR PARA ESGOTO, EM ALVENARIA COM BLOCOS DE CONCRETO, DIMENSÕES INTERNAS = 1X2 M, PROFUNDIDADE = 1,40 M, EXCLUINDO TAMPÃO. AF_12/2020</v>
          </cell>
          <cell r="D8599" t="str">
            <v>UN</v>
          </cell>
          <cell r="E8599">
            <v>4368.3599999999997</v>
          </cell>
          <cell r="F8599">
            <v>0</v>
          </cell>
        </row>
        <row r="8600">
          <cell r="B8600">
            <v>98408</v>
          </cell>
          <cell r="C8600" t="str">
            <v>BASE PARA POÇO DE VISITA RETANGULAR PARA ESGOTO, EM ALVENARIA COM BLOCOS DE CONCRETO, DIMENSÕES INTERNAS = 1X2,5 M, PROFUNDIDADE = 1,40 M, EXCLUINDO TAMPÃO. AF_12/2020</v>
          </cell>
          <cell r="D8600" t="str">
            <v>UN</v>
          </cell>
          <cell r="E8600">
            <v>5122.3900000000003</v>
          </cell>
          <cell r="F8600">
            <v>0</v>
          </cell>
        </row>
        <row r="8601">
          <cell r="B8601">
            <v>98002</v>
          </cell>
          <cell r="C8601" t="str">
            <v>BASE PARA POÇO DE VISITA RETANGULAR PARA ESGOTO, EM ALVENARIA COM BLOCOS DE CONCRETO, DIMENSÕES INTERNAS = 1X3 M, PROFUNDIDADE = 1,40 M, EXCLUINDO TAMPÃO. AF_12/2020</v>
          </cell>
          <cell r="D8601" t="str">
            <v>UN</v>
          </cell>
          <cell r="E8601">
            <v>5912.71</v>
          </cell>
          <cell r="F8601">
            <v>0</v>
          </cell>
        </row>
        <row r="8602">
          <cell r="B8602">
            <v>98406</v>
          </cell>
          <cell r="C8602" t="str">
            <v>BASE PARA POÇO DE VISITA RETANGULAR PARA ESGOTO, EM ALVENARIA COM BLOCOS DE CONCRETO, DIMENSÕES INTERNAS = 1X3,5 M, PROFUNDIDADE = 1,40 M, EXCLUINDO TAMPÃO. AF_12/2020</v>
          </cell>
          <cell r="D8602" t="str">
            <v>UN</v>
          </cell>
          <cell r="E8602">
            <v>6671.29</v>
          </cell>
          <cell r="F8602">
            <v>0</v>
          </cell>
        </row>
        <row r="8603">
          <cell r="B8603">
            <v>98006</v>
          </cell>
          <cell r="C8603" t="str">
            <v>BASE PARA POÇO DE VISITA RETANGULAR PARA ESGOTO, EM ALVENARIA COM BLOCOS DE CONCRETO, DIMENSÕES INTERNAS = 1X4 M, PROFUNDIDADE = 1,40 M, EXCLUINDO TAMPÃO. AF_12/2020</v>
          </cell>
          <cell r="D8603" t="str">
            <v>UN</v>
          </cell>
          <cell r="E8603">
            <v>7429.94</v>
          </cell>
          <cell r="F8603">
            <v>0</v>
          </cell>
        </row>
        <row r="8604">
          <cell r="B8604">
            <v>98030</v>
          </cell>
          <cell r="C8604" t="str">
            <v>BASE PARA POÇO DE VISITA RETANGULAR PARA ESGOTO, EM ALVENARIA COM BLOCOS DE CONCRETO, DIMENSÕES INTERNAS = 2,5X2,5 M, PROFUNDIDADE = 1,40 M, EXCLUINDO TAMPÃO. AF_12/2020</v>
          </cell>
          <cell r="D8604" t="str">
            <v>UN</v>
          </cell>
          <cell r="E8604">
            <v>9013.0499999999993</v>
          </cell>
          <cell r="F8604">
            <v>0</v>
          </cell>
        </row>
        <row r="8605">
          <cell r="B8605">
            <v>98032</v>
          </cell>
          <cell r="C8605" t="str">
            <v>BASE PARA POÇO DE VISITA RETANGULAR PARA ESGOTO, EM ALVENARIA COM BLOCOS DE CONCRETO, DIMENSÕES INTERNAS = 2,5X3 M, PROFUNDIDADE = 1,40 M, EXCLUINDO TAMPÃO. AF_12/2020</v>
          </cell>
          <cell r="D8605" t="str">
            <v>UN</v>
          </cell>
          <cell r="E8605">
            <v>10360.98</v>
          </cell>
          <cell r="F8605">
            <v>0</v>
          </cell>
        </row>
        <row r="8606">
          <cell r="B8606">
            <v>98034</v>
          </cell>
          <cell r="C8606" t="str">
            <v>BASE PARA POÇO DE VISITA RETANGULAR PARA ESGOTO, EM ALVENARIA COM BLOCOS DE CONCRETO, DIMENSÕES INTERNAS = 2,5X3,5 M, PROFUNDIDADE = 1,40 M, EXCLUINDO TAMPÃO. AF_12/2020</v>
          </cell>
          <cell r="D8606" t="str">
            <v>UN</v>
          </cell>
          <cell r="E8606">
            <v>11708.92</v>
          </cell>
          <cell r="F8606">
            <v>0</v>
          </cell>
        </row>
        <row r="8607">
          <cell r="B8607">
            <v>98036</v>
          </cell>
          <cell r="C8607" t="str">
            <v>BASE PARA POÇO DE VISITA RETANGULAR PARA ESGOTO, EM ALVENARIA COM BLOCOS DE CONCRETO, DIMENSÕES INTERNAS = 2,5X4 M, PROFUNDIDADE = 1,40 M, EXCLUINDO TAMPÃO. AF_12/2020</v>
          </cell>
          <cell r="D8607" t="str">
            <v>UN</v>
          </cell>
          <cell r="E8607">
            <v>13056.91</v>
          </cell>
          <cell r="F8607">
            <v>0</v>
          </cell>
        </row>
        <row r="8608">
          <cell r="B8608">
            <v>98020</v>
          </cell>
          <cell r="C8608" t="str">
            <v>BASE PARA POÇO DE VISITA RETANGULAR PARA ESGOTO, EM ALVENARIA COM BLOCOS DE CONCRETO, DIMENSÕES INTERNAS = 2X2 M, PROFUNDIDADE = 1,40 M, EXCLUINDO TAMPÃO. AF_12/2020</v>
          </cell>
          <cell r="D8608" t="str">
            <v>UN</v>
          </cell>
          <cell r="E8608">
            <v>6540.52</v>
          </cell>
          <cell r="F8608">
            <v>0</v>
          </cell>
        </row>
        <row r="8609">
          <cell r="B8609">
            <v>98022</v>
          </cell>
          <cell r="C8609" t="str">
            <v>BASE PARA POÇO DE VISITA RETANGULAR PARA ESGOTO, EM ALVENARIA COM BLOCOS DE CONCRETO, DIMENSÕES INTERNAS = 2X2,5 M, PROFUNDIDADE = 1,40 M, EXCLUINDO TAMPÃO. AF_12/2020</v>
          </cell>
          <cell r="D8609" t="str">
            <v>UN</v>
          </cell>
          <cell r="E8609">
            <v>7656.62</v>
          </cell>
          <cell r="F8609">
            <v>0</v>
          </cell>
        </row>
        <row r="8610">
          <cell r="B8610">
            <v>98024</v>
          </cell>
          <cell r="C8610" t="str">
            <v>BASE PARA POÇO DE VISITA RETANGULAR PARA ESGOTO, EM ALVENARIA COM BLOCOS DE CONCRETO, DIMENSÕES INTERNAS = 2X3 M, PROFUNDIDADE = 1,40 M, EXCLUINDO TAMPÃO. AF_12/2020</v>
          </cell>
          <cell r="D8610" t="str">
            <v>UN</v>
          </cell>
          <cell r="E8610">
            <v>8836.49</v>
          </cell>
          <cell r="F8610">
            <v>0</v>
          </cell>
        </row>
        <row r="8611">
          <cell r="B8611">
            <v>98026</v>
          </cell>
          <cell r="C8611" t="str">
            <v>BASE PARA POÇO DE VISITA RETANGULAR PARA ESGOTO, EM ALVENARIA COM BLOCOS DE CONCRETO, DIMENSÕES INTERNAS = 2X3,5 M, PROFUNDIDADE = 1,40 M, EXCLUINDO TAMPÃO. AF_12/2020</v>
          </cell>
          <cell r="D8611" t="str">
            <v>UN</v>
          </cell>
          <cell r="E8611">
            <v>9960.65</v>
          </cell>
          <cell r="F8611">
            <v>0</v>
          </cell>
        </row>
        <row r="8612">
          <cell r="B8612">
            <v>98028</v>
          </cell>
          <cell r="C8612" t="str">
            <v>BASE PARA POÇO DE VISITA RETANGULAR PARA ESGOTO, EM ALVENARIA COM BLOCOS DE CONCRETO, DIMENSÕES INTERNAS = 2X4 M, PROFUNDIDADE = 1,40 M, EXCLUINDO TAMPÃO. AF_12/2020</v>
          </cell>
          <cell r="D8612" t="str">
            <v>UN</v>
          </cell>
          <cell r="E8612">
            <v>11084.85</v>
          </cell>
          <cell r="F8612">
            <v>0</v>
          </cell>
        </row>
        <row r="8613">
          <cell r="B8613">
            <v>98044</v>
          </cell>
          <cell r="C8613" t="str">
            <v>BASE PARA POÇO DE VISITA RETANGULAR PARA ESGOTO, EM ALVENARIA COM BLOCOS DE CONCRETO, DIMENSÕES INTERNAS = 3,5X3,5 M, PROFUNDIDADE = 1,40 M, EXCLUINDO TAMPÃO. AF_12/2020</v>
          </cell>
          <cell r="D8613" t="str">
            <v>UN</v>
          </cell>
          <cell r="E8613">
            <v>15279.72</v>
          </cell>
          <cell r="F8613">
            <v>0</v>
          </cell>
        </row>
        <row r="8614">
          <cell r="B8614">
            <v>98046</v>
          </cell>
          <cell r="C8614" t="str">
            <v>BASE PARA POÇO DE VISITA RETANGULAR PARA ESGOTO, EM ALVENARIA COM BLOCOS DE CONCRETO, DIMENSÕES INTERNAS = 3,5X4 M, PROFUNDIDADE = 1,40 M, EXCLUINDO TAMPÃO. AF_12/2020</v>
          </cell>
          <cell r="D8614" t="str">
            <v>UN</v>
          </cell>
          <cell r="E8614">
            <v>17020.849999999999</v>
          </cell>
          <cell r="F8614">
            <v>0</v>
          </cell>
        </row>
        <row r="8615">
          <cell r="B8615">
            <v>98038</v>
          </cell>
          <cell r="C8615" t="str">
            <v>BASE PARA POÇO DE VISITA RETANGULAR PARA ESGOTO, EM ALVENARIA COM BLOCOS DE CONCRETO, DIMENSÕES INTERNAS = 3X3 M, PROFUNDIDADE = 1,40 M, EXCLUINDO TAMPÃO. AF_12/2020</v>
          </cell>
          <cell r="D8615" t="str">
            <v>UN</v>
          </cell>
          <cell r="E8615">
            <v>11949.67</v>
          </cell>
          <cell r="F8615">
            <v>0</v>
          </cell>
        </row>
        <row r="8616">
          <cell r="B8616">
            <v>98040</v>
          </cell>
          <cell r="C8616" t="str">
            <v>BASE PARA POÇO DE VISITA RETANGULAR PARA ESGOTO, EM ALVENARIA COM BLOCOS DE CONCRETO, DIMENSÕES INTERNAS = 3X3,5 M, PROFUNDIDADE = 1,40 M, EXCLUINDO TAMPÃO. AF_12/2020</v>
          </cell>
          <cell r="D8616" t="str">
            <v>UN</v>
          </cell>
          <cell r="E8616">
            <v>13494.29</v>
          </cell>
          <cell r="F8616">
            <v>0</v>
          </cell>
        </row>
        <row r="8617">
          <cell r="B8617">
            <v>98042</v>
          </cell>
          <cell r="C8617" t="str">
            <v>BASE PARA POÇO DE VISITA RETANGULAR PARA ESGOTO, EM ALVENARIA COM BLOCOS DE CONCRETO, DIMENSÕES INTERNAS = 3X4 M, PROFUNDIDADE = 1,40 M, EXCLUINDO TAMPÃO. AF_12/2020</v>
          </cell>
          <cell r="D8617" t="str">
            <v>UN</v>
          </cell>
          <cell r="E8617">
            <v>15038.91</v>
          </cell>
          <cell r="F8617">
            <v>0</v>
          </cell>
        </row>
        <row r="8618">
          <cell r="B8618">
            <v>98048</v>
          </cell>
          <cell r="C8618" t="str">
            <v>BASE PARA POÇO DE VISITA RETANGULAR PARA ESGOTO, EM ALVENARIA COM BLOCOS DE CONCRETO, DIMENSÕES INTERNAS = 4X4 M, PROFUNDIDADE = 1,45 M, EXCLUINDO TAMPÃO. AF_12/2020</v>
          </cell>
          <cell r="D8618" t="str">
            <v>UN</v>
          </cell>
          <cell r="E8618">
            <v>19002.849999999999</v>
          </cell>
          <cell r="F8618">
            <v>0</v>
          </cell>
        </row>
        <row r="8619">
          <cell r="B8619">
            <v>97955</v>
          </cell>
          <cell r="C8619" t="str">
            <v>CAIXA COM GRELHA DUPLA RETANGULAR, EM ALVENARIA COM BLOCOS DE CONCRETO, DIMENSÕES INTERNAS: 0,5X2,2X1 M. AF_12/2020</v>
          </cell>
          <cell r="D8619" t="str">
            <v>UN</v>
          </cell>
          <cell r="E8619">
            <v>3354.63</v>
          </cell>
          <cell r="F8619">
            <v>0</v>
          </cell>
        </row>
        <row r="8620">
          <cell r="B8620">
            <v>97948</v>
          </cell>
          <cell r="C8620" t="str">
            <v>CAIXA COM GRELHA DUPLA RETANGULAR, EM ALVENARIA COM TIJOLOS CERÂMICOS MACIÇOS, DIMENSÕES INTERNAS: 0,5X2,2X1 M. AF_12/2020</v>
          </cell>
          <cell r="D8620" t="str">
            <v>UN</v>
          </cell>
          <cell r="E8620">
            <v>3693.01</v>
          </cell>
          <cell r="F8620">
            <v>0</v>
          </cell>
        </row>
        <row r="8621">
          <cell r="B8621">
            <v>97934</v>
          </cell>
          <cell r="C8621" t="str">
            <v>CAIXA COM GRELHA DUPLA RETANGULAR, EM CONCRETO PRÉ-MOLDADO, DIMENSÕES INTERNAS: 0,5X2,2X1,0 M. AF_12/2020</v>
          </cell>
          <cell r="D8621" t="str">
            <v>UN</v>
          </cell>
          <cell r="E8621">
            <v>2596.98</v>
          </cell>
          <cell r="F8621">
            <v>0</v>
          </cell>
        </row>
        <row r="8622">
          <cell r="B8622">
            <v>97953</v>
          </cell>
          <cell r="C8622" t="str">
            <v>CAIXA COM GRELHA SIMPLES RETANGULAR, EM ALVENARIA COM BLOCOS DE CONCRETO, DIMENSÕES INTERNAS: 0,5X1X1 M. AF_12/2020</v>
          </cell>
          <cell r="D8622" t="str">
            <v>UN</v>
          </cell>
          <cell r="E8622">
            <v>1581.7</v>
          </cell>
          <cell r="F8622">
            <v>0</v>
          </cell>
        </row>
        <row r="8623">
          <cell r="B8623">
            <v>97947</v>
          </cell>
          <cell r="C8623" t="str">
            <v>CAIXA COM GRELHA SIMPLES RETANGULAR, EM ALVENARIA COM TIJOLOS CERÂMICOS MACIÇOS, DIMENSÕES INTERNAS: 0,5X1X1 M. AF_12/2020</v>
          </cell>
          <cell r="D8623" t="str">
            <v>UN</v>
          </cell>
          <cell r="E8623">
            <v>2000.7</v>
          </cell>
          <cell r="F8623">
            <v>0</v>
          </cell>
        </row>
        <row r="8624">
          <cell r="B8624">
            <v>97933</v>
          </cell>
          <cell r="C8624" t="str">
            <v>CAIXA COM GRELHA SIMPLES RETANGULAR, EM CONCRETO PRÉ-MOLDADO, DIMENSÕES INTERNAS: 0,6X1,0X1,0 M. AF_12/2020</v>
          </cell>
          <cell r="D8624" t="str">
            <v>UN</v>
          </cell>
          <cell r="E8624">
            <v>1267.55</v>
          </cell>
          <cell r="F8624">
            <v>0</v>
          </cell>
        </row>
        <row r="8625">
          <cell r="B8625">
            <v>97961</v>
          </cell>
          <cell r="C8625" t="str">
            <v>CAIXA PARA BOCA DE LOBO COMBINADA COM GRELHA RETANGULAR, EM ALVENARIA COM BLOCOS DE CONCRETO, DIMENSÕES INTERNAS: 1,3X1X1,2 M. AF_12/2020</v>
          </cell>
          <cell r="D8625" t="str">
            <v>UN</v>
          </cell>
          <cell r="E8625">
            <v>2702</v>
          </cell>
          <cell r="F8625">
            <v>0</v>
          </cell>
        </row>
        <row r="8626">
          <cell r="B8626">
            <v>97951</v>
          </cell>
          <cell r="C8626" t="str">
            <v>CAIXA PARA BOCA DE LOBO COMBINADA COM GRELHA RETANGULAR, EM ALVENARIA COM TIJOLOS CERÂMICOS MACIÇOS, DIMENSÕES INTERNAS: 1,3X1X1,2 M. AF_12/2020</v>
          </cell>
          <cell r="D8626" t="str">
            <v>UN</v>
          </cell>
          <cell r="E8626">
            <v>3195.27</v>
          </cell>
          <cell r="F8626">
            <v>0</v>
          </cell>
        </row>
        <row r="8627">
          <cell r="B8627">
            <v>97973</v>
          </cell>
          <cell r="C8627" t="str">
            <v>CAIXA PARA BOCA DE LOBO DUPLA COMBINADA COM GRELHA RETANGULAR, EM ALVENARIA COM BLOCOS DE CONCRETO, DIMENSÕES INTERNAS: 1,3X2,2X1,2 M. AF_12/2020</v>
          </cell>
          <cell r="D8627" t="str">
            <v>UN</v>
          </cell>
          <cell r="E8627">
            <v>5020.51</v>
          </cell>
          <cell r="F8627">
            <v>0</v>
          </cell>
        </row>
        <row r="8628">
          <cell r="B8628">
            <v>97952</v>
          </cell>
          <cell r="C8628" t="str">
            <v>CAIXA PARA BOCA DE LOBO DUPLA COMBINADA COM GRELHA RETANGULAR, EM ALVENARIA COM TIJOLOS CERÂMICOS MACIÇOS, DIMENSÕES INTERNAS: 1,3X2,2X1,2 M. AF_12/2020</v>
          </cell>
          <cell r="D8628" t="str">
            <v>UN</v>
          </cell>
          <cell r="E8628">
            <v>5539.75</v>
          </cell>
          <cell r="F8628">
            <v>0</v>
          </cell>
        </row>
        <row r="8629">
          <cell r="B8629">
            <v>97957</v>
          </cell>
          <cell r="C8629" t="str">
            <v>CAIXA PARA BOCA DE LOBO DUPLA RETANGULAR, EM ALVENARIA COM BLOCOS DE CONCRETO, DIMENSÕES INTERNAS: 0,6X2,2X1,2 M. AF_12/2020</v>
          </cell>
          <cell r="D8629" t="str">
            <v>UN</v>
          </cell>
          <cell r="E8629">
            <v>2915.3</v>
          </cell>
          <cell r="F8629">
            <v>0</v>
          </cell>
        </row>
        <row r="8630">
          <cell r="B8630">
            <v>97950</v>
          </cell>
          <cell r="C8630" t="str">
            <v>CAIXA PARA BOCA DE LOBO DUPLA RETANGULAR, EM ALVENARIA COM TIJOLOS CERÂMICOS MACIÇOS, DIMENSÕES INTERNAS: 0,6X2,2X1,2 M. AF_12/2020</v>
          </cell>
          <cell r="D8630" t="str">
            <v>UN</v>
          </cell>
          <cell r="E8630">
            <v>3454.64</v>
          </cell>
          <cell r="F8630">
            <v>0</v>
          </cell>
        </row>
        <row r="8631">
          <cell r="B8631">
            <v>97936</v>
          </cell>
          <cell r="C8631" t="str">
            <v>CAIXA PARA BOCA DE LOBO DUPLA RETANGULAR, EM CONCRETO PRÉ-MOLDADO, DIMENSÕES INTERNAS: 0,6X2,2X1,2 M. AF_12/2020</v>
          </cell>
          <cell r="D8631" t="str">
            <v>UN</v>
          </cell>
          <cell r="E8631">
            <v>2124.48</v>
          </cell>
          <cell r="F8631">
            <v>0</v>
          </cell>
        </row>
        <row r="8632">
          <cell r="B8632">
            <v>97956</v>
          </cell>
          <cell r="C8632" t="str">
            <v>CAIXA PARA BOCA DE LOBO SIMPLES RETANGULAR, EM ALVENARIA COM BLOCOS DE CONCRETO, DIMENSÕES INTERNAS: 0,6X1X1,2 M. AF_12/2020</v>
          </cell>
          <cell r="D8632" t="str">
            <v>UN</v>
          </cell>
          <cell r="E8632">
            <v>1631.3</v>
          </cell>
          <cell r="F8632">
            <v>0</v>
          </cell>
        </row>
        <row r="8633">
          <cell r="B8633">
            <v>97949</v>
          </cell>
          <cell r="C8633" t="str">
            <v>CAIXA PARA BOCA DE LOBO SIMPLES RETANGULAR, EM ALVENARIA COM TIJOLOS CERÂMICOS MACIÇOS, DIMENSÕES INTERNAS: 0,6X1X1,2 M. AF_12/2020</v>
          </cell>
          <cell r="D8633" t="str">
            <v>UN</v>
          </cell>
          <cell r="E8633">
            <v>1964.55</v>
          </cell>
          <cell r="F8633">
            <v>0</v>
          </cell>
        </row>
        <row r="8634">
          <cell r="B8634">
            <v>97935</v>
          </cell>
          <cell r="C8634" t="str">
            <v>CAIXA PARA BOCA DE LOBO SIMPLES RETANGULAR, EM CONCRETO PRÉ-MOLDADO, DIMENSÕES INTERNAS: 0,6X1,0X1,2 M. AF_12/2020</v>
          </cell>
          <cell r="D8634" t="str">
            <v>UN</v>
          </cell>
          <cell r="E8634">
            <v>1015.1</v>
          </cell>
          <cell r="F8634">
            <v>0</v>
          </cell>
        </row>
        <row r="8635">
          <cell r="B8635">
            <v>99319</v>
          </cell>
          <cell r="C8635" t="str">
            <v>CHAMINÉ CIRCULAR PARA POÇO DE VISITA PARA DRENAGEM, EM ALVENARIA COM TIJOLOS CERÂMICOS MACIÇOS, DIÂMETRO INTERNO = 0,6 M. AF_12/2020</v>
          </cell>
          <cell r="D8635" t="str">
            <v>M</v>
          </cell>
          <cell r="E8635">
            <v>1014.15</v>
          </cell>
          <cell r="F8635">
            <v>0</v>
          </cell>
        </row>
        <row r="8636">
          <cell r="B8636">
            <v>99318</v>
          </cell>
          <cell r="C8636" t="str">
            <v>CHAMINÉ CIRCULAR PARA POÇO DE VISITA PARA DRENAGEM, EM CONCRETO PRÉ-MOLDADO, DIÂMETRO INTERNO = 0,6 M. AF_12/2020</v>
          </cell>
          <cell r="D8636" t="str">
            <v>M</v>
          </cell>
          <cell r="E8636">
            <v>337.23</v>
          </cell>
          <cell r="F8636">
            <v>0</v>
          </cell>
        </row>
        <row r="8637">
          <cell r="B8637">
            <v>98051</v>
          </cell>
          <cell r="C8637" t="str">
            <v>CHAMINÉ CIRCULAR PARA POÇO DE VISITA PARA ESGOTO, EM ALVENARIA COM TIJOLOS CERÂMICOS MACIÇOS, DIÂMETRO INTERNO = 0,6 M. AF_12/2020</v>
          </cell>
          <cell r="D8637" t="str">
            <v>M</v>
          </cell>
          <cell r="E8637">
            <v>1072.95</v>
          </cell>
          <cell r="F8637">
            <v>0</v>
          </cell>
        </row>
        <row r="8638">
          <cell r="B8638">
            <v>98050</v>
          </cell>
          <cell r="C8638" t="str">
            <v>CHAMINÉ CIRCULAR PARA POÇO DE VISITA PARA ESGOTO, EM CONCRETO PRÉ-MOLDADO, DIÂMETRO INTERNO = 0,6 M. AF_12/2020</v>
          </cell>
          <cell r="D8638" t="str">
            <v>M</v>
          </cell>
          <cell r="E8638">
            <v>338.12</v>
          </cell>
          <cell r="F8638">
            <v>0</v>
          </cell>
        </row>
        <row r="8639">
          <cell r="B8639">
            <v>99272</v>
          </cell>
          <cell r="C8639" t="str">
            <v>POÇO DE INSPEÇÃO CIRCULAR PARA DRENAGEM, EM ALVENARIA COM TIJOLOS CERÂMICOS MACIÇOS, DIÂMETRO INTERNO = 0,60 M, PROFUNDIDADE = 0,95 M, EXCLUINDO TAMPÃO. AF_12/2020</v>
          </cell>
          <cell r="D8639" t="str">
            <v>UN</v>
          </cell>
          <cell r="E8639">
            <v>1192.6600000000001</v>
          </cell>
          <cell r="F8639">
            <v>0</v>
          </cell>
        </row>
        <row r="8640">
          <cell r="B8640">
            <v>99273</v>
          </cell>
          <cell r="C8640" t="str">
            <v>POÇO DE INSPEÇÃO CIRCULAR PARA DRENAGEM, EM ALVENARIA COM TIJOLOS CERÂMICOS MACIÇOS, DIÂMETRO INTERNO = 0,60 M, PROFUNDIDADE = 1,45 M, EXCLUINDO TAMPÃO. AF_12/2020</v>
          </cell>
          <cell r="D8640" t="str">
            <v>UN</v>
          </cell>
          <cell r="E8640">
            <v>1704.86</v>
          </cell>
          <cell r="F8640">
            <v>0</v>
          </cell>
        </row>
        <row r="8641">
          <cell r="B8641">
            <v>99268</v>
          </cell>
          <cell r="C8641" t="str">
            <v>POÇO DE INSPEÇÃO CIRCULAR PARA DRENAGEM, EM CONCRETO PRÉ-MOLDADO, DIÂMETRO INTERNO = 0,60 M, PROFUNDIDADE = 0,90 M, EXCLUINDO TAMPÃO. AF_12/2020</v>
          </cell>
          <cell r="D8641" t="str">
            <v>UN</v>
          </cell>
          <cell r="E8641">
            <v>549.79999999999995</v>
          </cell>
          <cell r="F8641">
            <v>0</v>
          </cell>
        </row>
        <row r="8642">
          <cell r="B8642">
            <v>99270</v>
          </cell>
          <cell r="C8642" t="str">
            <v>POÇO DE INSPEÇÃO CIRCULAR PARA DRENAGEM, EM CONCRETO PRÉ-MOLDADO, DIÂMETRO INTERNO = 0,60 M, PROFUNDIDADE = 1,40 M, EXCLUINDO TAMPÃO. AF_12/2020</v>
          </cell>
          <cell r="D8642" t="str">
            <v>UN</v>
          </cell>
          <cell r="E8642">
            <v>722.4</v>
          </cell>
          <cell r="F8642">
            <v>0</v>
          </cell>
        </row>
        <row r="8643">
          <cell r="B8643">
            <v>97976</v>
          </cell>
          <cell r="C8643" t="str">
            <v>POÇO DE INSPEÇÃO CIRCULAR PARA ESGOTO, EM ALVENARIA COM TIJOLOS CERÂMICOS MACIÇOS, DIÂMETRO INTERNO = 0,60 M, PROFUNDIDADE = 0,95 M, EXCLUINDO TAMPÃO. AF_12/2020</v>
          </cell>
          <cell r="D8643" t="str">
            <v>UN</v>
          </cell>
          <cell r="E8643">
            <v>1234.81</v>
          </cell>
          <cell r="F8643">
            <v>0</v>
          </cell>
        </row>
        <row r="8644">
          <cell r="B8644">
            <v>97977</v>
          </cell>
          <cell r="C8644" t="str">
            <v>POÇO DE INSPEÇÃO CIRCULAR PARA ESGOTO, EM ALVENARIA COM TIJOLOS CERÂMICOS MACIÇOS, DIÂMETRO INTERNO = 0,60 M, PROFUNDIDADE = 1,45 M, EXCLUINDO TAMPÃO. AF_12/2020</v>
          </cell>
          <cell r="D8644" t="str">
            <v>UN</v>
          </cell>
          <cell r="E8644">
            <v>1779.57</v>
          </cell>
          <cell r="F8644">
            <v>0</v>
          </cell>
        </row>
        <row r="8645">
          <cell r="B8645">
            <v>97974</v>
          </cell>
          <cell r="C8645" t="str">
            <v>POÇO DE INSPEÇÃO CIRCULAR PARA ESGOTO, EM CONCRETO PRÉ-MOLDADO, DIÂMETRO INTERNO = 0,60 M, PROFUNDIDADE = 0,90 M, EXCLUINDO TAMPÃO. AF_12/2020</v>
          </cell>
          <cell r="D8645" t="str">
            <v>UN</v>
          </cell>
          <cell r="E8645">
            <v>554</v>
          </cell>
          <cell r="F8645">
            <v>0</v>
          </cell>
        </row>
        <row r="8646">
          <cell r="B8646">
            <v>97975</v>
          </cell>
          <cell r="C8646" t="str">
            <v>POÇO DE INSPEÇÃO CIRCULAR PARA ESGOTO, EM CONCRETO PRÉ-MOLDADO, DIÂMETRO INTERNO = 0,60 M, PROFUNDIDADE = 1,40 M, EXCLUINDO TAMPÃO. AF_12/2020</v>
          </cell>
          <cell r="D8646" t="str">
            <v>UN</v>
          </cell>
          <cell r="E8646">
            <v>727.3</v>
          </cell>
          <cell r="F8646">
            <v>0</v>
          </cell>
        </row>
        <row r="8647">
          <cell r="B8647">
            <v>101798</v>
          </cell>
          <cell r="C8647" t="str">
            <v>TAMPA PARA CAIXA TIPO R1, EM FERRO FUNDIDO, DIMENSÕES INTERNAS: 0,40 X 0,60 M - FORNECIMENTO E INSTALAÇÃO. AF_12/2020</v>
          </cell>
          <cell r="D8647" t="str">
            <v>UN</v>
          </cell>
          <cell r="E8647">
            <v>332.23</v>
          </cell>
          <cell r="F8647">
            <v>0</v>
          </cell>
        </row>
        <row r="8648">
          <cell r="B8648">
            <v>101799</v>
          </cell>
          <cell r="C8648" t="str">
            <v>TAMPA PARA CAIXA TIPO R2 E R3, EM FERRO FUNDIDO, DIMENSÕES INTERNAS: 0,55 X 1,10 M - FORNECIMENTO E INSTALAÇÃO. AF_12/2020</v>
          </cell>
          <cell r="D8648" t="str">
            <v>UN</v>
          </cell>
          <cell r="E8648">
            <v>786.82</v>
          </cell>
          <cell r="F8648">
            <v>0</v>
          </cell>
        </row>
        <row r="8649">
          <cell r="B8649">
            <v>102487</v>
          </cell>
          <cell r="C8649" t="str">
            <v>CONCRETO CICLÓPICO FCK = 15MPA, 30% PEDRA DE MÃO EM VOLUME REAL, INCLUSIVE LANÇAMENTO. AF_05/2021</v>
          </cell>
          <cell r="D8649" t="str">
            <v>M3</v>
          </cell>
          <cell r="E8649">
            <v>633.99</v>
          </cell>
          <cell r="F8649">
            <v>0</v>
          </cell>
        </row>
        <row r="8650">
          <cell r="B8650">
            <v>102486</v>
          </cell>
          <cell r="C8650" t="str">
            <v>CONCRETO FCK = 15MPA, TRAÇO 1:3,4:3,4 (EM MASSA SECA DE CIMENTO/ AREIA MÉDIA/ SEIXO ROLADO) - PREPARO MANUAL. AF_05/2021</v>
          </cell>
          <cell r="D8650" t="str">
            <v>M3</v>
          </cell>
          <cell r="E8650">
            <v>607.1</v>
          </cell>
          <cell r="F8650">
            <v>0</v>
          </cell>
        </row>
        <row r="8651">
          <cell r="B8651">
            <v>102474</v>
          </cell>
          <cell r="C8651" t="str">
            <v>CONCRETO FCK = 15MPA, TRAÇO 1:3,4:3,4 (EM MASSA SECA DE CIMENTO/ AREIA MÉDIA/ SEIXO ROLADO) - PREPARO MECÂNICO COM BETONEIRA 400 L. AF_05/2021</v>
          </cell>
          <cell r="D8651" t="str">
            <v>M3</v>
          </cell>
          <cell r="E8651">
            <v>532.86</v>
          </cell>
          <cell r="F8651">
            <v>0</v>
          </cell>
        </row>
        <row r="8652">
          <cell r="B8652">
            <v>102480</v>
          </cell>
          <cell r="C8652" t="str">
            <v>CONCRETO FCK = 15MPA, TRAÇO 1:3,4:3,4 (EM MASSA SECA DE CIMENTO/ AREIA MÉDIA/ SEIXO ROLADO) - PREPARO MECÂNICO COM BETONEIRA 600 L. AF_05/2021</v>
          </cell>
          <cell r="D8652" t="str">
            <v>M3</v>
          </cell>
          <cell r="E8652">
            <v>521.48</v>
          </cell>
          <cell r="F8652">
            <v>0</v>
          </cell>
        </row>
        <row r="8653">
          <cell r="B8653">
            <v>94975</v>
          </cell>
          <cell r="C8653" t="str">
            <v>CONCRETO FCK = 15MPA, TRAÇO 1:3,4:3,5 (EM MASSA SECA DE CIMENTO/ AREIA MÉDIA/ BRITA 1) - PREPARO MANUAL. AF_05/2021</v>
          </cell>
          <cell r="D8653" t="str">
            <v>M3</v>
          </cell>
          <cell r="E8653">
            <v>494.9</v>
          </cell>
          <cell r="F8653">
            <v>0</v>
          </cell>
        </row>
        <row r="8654">
          <cell r="B8654">
            <v>94963</v>
          </cell>
          <cell r="C8654" t="str">
            <v>CONCRETO FCK = 15MPA, TRAÇO 1:3,4:3,5 (EM MASSA SECA DE CIMENTO/ AREIA MÉDIA/ BRITA 1) - PREPARO MECÂNICO COM BETONEIRA 400 L. AF_05/2021</v>
          </cell>
          <cell r="D8654" t="str">
            <v>M3</v>
          </cell>
          <cell r="E8654">
            <v>420.79</v>
          </cell>
          <cell r="F8654">
            <v>0</v>
          </cell>
        </row>
        <row r="8655">
          <cell r="B8655">
            <v>94969</v>
          </cell>
          <cell r="C8655" t="str">
            <v>CONCRETO FCK = 15MPA, TRAÇO 1:3,4:3,5 (EM MASSA SECA DE CIMENTO/ AREIA MÉDIA/ BRITA 1) - PREPARO MECÂNICO COM BETONEIRA 600 L. AF_05/2021</v>
          </cell>
          <cell r="D8655" t="str">
            <v>M3</v>
          </cell>
          <cell r="E8655">
            <v>409.05</v>
          </cell>
          <cell r="F8655">
            <v>0</v>
          </cell>
        </row>
        <row r="8656">
          <cell r="B8656">
            <v>102475</v>
          </cell>
          <cell r="C8656" t="str">
            <v>CONCRETO FCK = 20MPA, TRAÇO 1:2,6:2,9 (EM MASSA SECA DE CIMENTO/ AREIA MÉDIA/ SEIXO ROLADO) - PREPARO MECÂNICO COM BETONEIRA 400 L. AF_05/2021</v>
          </cell>
          <cell r="D8656" t="str">
            <v>M3</v>
          </cell>
          <cell r="E8656">
            <v>579.02</v>
          </cell>
          <cell r="F8656">
            <v>0</v>
          </cell>
        </row>
        <row r="8657">
          <cell r="B8657">
            <v>102481</v>
          </cell>
          <cell r="C8657" t="str">
            <v>CONCRETO FCK = 20MPA, TRAÇO 1:2,6:2,9 (EM MASSA SECA DE CIMENTO/ AREIA MÉDIA/ SEIXO ROLADO) - PREPARO MECÂNICO COM BETONEIRA 600 L. AF_05/2021</v>
          </cell>
          <cell r="D8657" t="str">
            <v>M3</v>
          </cell>
          <cell r="E8657">
            <v>557.04999999999995</v>
          </cell>
          <cell r="F8657">
            <v>0</v>
          </cell>
        </row>
        <row r="8658">
          <cell r="B8658">
            <v>94964</v>
          </cell>
          <cell r="C8658" t="str">
            <v>CONCRETO FCK = 20MPA, TRAÇO 1:2,7:3 (EM MASSA SECA DE CIMENTO/ AREIA MÉDIA/ BRITA 1) - PREPARO MECÂNICO COM BETONEIRA 400 L. AF_05/2021</v>
          </cell>
          <cell r="D8658" t="str">
            <v>M3</v>
          </cell>
          <cell r="E8658">
            <v>461.87</v>
          </cell>
          <cell r="F8658">
            <v>0</v>
          </cell>
        </row>
        <row r="8659">
          <cell r="B8659">
            <v>94970</v>
          </cell>
          <cell r="C8659" t="str">
            <v>CONCRETO FCK = 20MPA, TRAÇO 1:2,7:3 (EM MASSA SECA DE CIMENTO/ AREIA MÉDIA/ BRITA 1) - PREPARO MECÂNICO COM BETONEIRA 600 L. AF_05/2021</v>
          </cell>
          <cell r="D8659" t="str">
            <v>M3</v>
          </cell>
          <cell r="E8659">
            <v>439.87</v>
          </cell>
          <cell r="F8659">
            <v>0</v>
          </cell>
        </row>
        <row r="8660">
          <cell r="B8660">
            <v>102476</v>
          </cell>
          <cell r="C8660" t="str">
            <v>CONCRETO FCK = 25MPA, TRAÇO 1:2,2:2,5 (EM MASSA SECA DE CIMENTO/ AREIA MÉDIA/ SEIXO ROLADO) - PREPARO MECÂNICO COM BETONEIRA 400 L. AF_05/2021</v>
          </cell>
          <cell r="D8660" t="str">
            <v>M3</v>
          </cell>
          <cell r="E8660">
            <v>588.41999999999996</v>
          </cell>
          <cell r="F8660">
            <v>0</v>
          </cell>
        </row>
        <row r="8661">
          <cell r="B8661">
            <v>102482</v>
          </cell>
          <cell r="C8661" t="str">
            <v>CONCRETO FCK = 25MPA, TRAÇO 1:2,2:2,5 (EM MASSA SECA DE CIMENTO/ AREIA MÉDIA/ SEIXO ROLADO) - PREPARO MECÂNICO COM BETONEIRA 600 L. AF_05/2021</v>
          </cell>
          <cell r="D8661" t="str">
            <v>M3</v>
          </cell>
          <cell r="E8661">
            <v>580.97</v>
          </cell>
          <cell r="F8661">
            <v>0</v>
          </cell>
        </row>
        <row r="8662">
          <cell r="B8662">
            <v>94965</v>
          </cell>
          <cell r="C8662" t="str">
            <v>CONCRETO FCK = 25MPA, TRAÇO 1:2,3:2,7 (EM MASSA SECA DE CIMENTO/ AREIA MÉDIA/ BRITA 1) - PREPARO MECÂNICO COM BETONEIRA 400 L. AF_05/2021</v>
          </cell>
          <cell r="D8662" t="str">
            <v>M3</v>
          </cell>
          <cell r="E8662">
            <v>474.27</v>
          </cell>
          <cell r="F8662">
            <v>0</v>
          </cell>
        </row>
        <row r="8663">
          <cell r="B8663">
            <v>94971</v>
          </cell>
          <cell r="C8663" t="str">
            <v>CONCRETO FCK = 25MPA, TRAÇO 1:2,3:2,7 (EM MASSA SECA DE CIMENTO/ AREIA MÉDIA/ BRITA 1) - PREPARO MECÂNICO COM BETONEIRA 600 L. AF_05/2021</v>
          </cell>
          <cell r="D8663" t="str">
            <v>M3</v>
          </cell>
          <cell r="E8663">
            <v>461.67</v>
          </cell>
          <cell r="F8663">
            <v>0</v>
          </cell>
        </row>
        <row r="8664">
          <cell r="B8664">
            <v>102477</v>
          </cell>
          <cell r="C8664" t="str">
            <v>CONCRETO FCK = 30MPA, TRAÇO 1:1,9:2,3 (EM MASSA SECA DE CIMENTO/ AREIA MÉDIA/ SEIXO ROLADO) - PREPARO MECÂNICO COM BETONEIRA 400 L. AF_05/2021</v>
          </cell>
          <cell r="D8664" t="str">
            <v>M3</v>
          </cell>
          <cell r="E8664">
            <v>625.41999999999996</v>
          </cell>
          <cell r="F8664">
            <v>0</v>
          </cell>
        </row>
        <row r="8665">
          <cell r="B8665">
            <v>102483</v>
          </cell>
          <cell r="C8665" t="str">
            <v>CONCRETO FCK = 30MPA, TRAÇO 1:1,9:2,3 (EM MASSA SECA DE CIMENTO/ AREIA MÉDIA/ SEIXO ROLADO) - PREPARO MECÂNICO COM BETONEIRA 600 L. AF_05/2021</v>
          </cell>
          <cell r="D8665" t="str">
            <v>M3</v>
          </cell>
          <cell r="E8665">
            <v>610.57000000000005</v>
          </cell>
          <cell r="F8665">
            <v>0</v>
          </cell>
        </row>
        <row r="8666">
          <cell r="B8666">
            <v>94966</v>
          </cell>
          <cell r="C8666" t="str">
            <v>CONCRETO FCK = 30MPA, TRAÇO 1:2,1:2,5 (EM MASSA SECA DE CIMENTO/ AREIA MÉDIA/ BRITA 1) - PREPARO MECÂNICO COM BETONEIRA 400 L. AF_05/2021</v>
          </cell>
          <cell r="D8666" t="str">
            <v>M3</v>
          </cell>
          <cell r="E8666">
            <v>489.21</v>
          </cell>
          <cell r="F8666">
            <v>0</v>
          </cell>
        </row>
        <row r="8667">
          <cell r="B8667">
            <v>94972</v>
          </cell>
          <cell r="C8667" t="str">
            <v>CONCRETO FCK = 30MPA, TRAÇO 1:2,1:2,5 (EM MASSA SECA DE CIMENTO/ AREIA MÉDIA/ BRITA 1) - PREPARO MECÂNICO COM BETONEIRA 600 L. AF_05/2021</v>
          </cell>
          <cell r="D8667" t="str">
            <v>M3</v>
          </cell>
          <cell r="E8667">
            <v>476.69</v>
          </cell>
          <cell r="F8667">
            <v>0</v>
          </cell>
        </row>
        <row r="8668">
          <cell r="B8668">
            <v>102478</v>
          </cell>
          <cell r="C8668" t="str">
            <v>CONCRETO FCK = 40MPA, TRAÇO 1:1,4:1,8 (EM MASSA SECA DE CIMENTO/ AREIA MÉDIA/ SEIXO ROLADO) - PREPARO MECÂNICO COM BETONEIRA 400 L. AF_05/2021</v>
          </cell>
          <cell r="D8668" t="str">
            <v>M3</v>
          </cell>
          <cell r="E8668">
            <v>668.88</v>
          </cell>
          <cell r="F8668">
            <v>0</v>
          </cell>
        </row>
        <row r="8669">
          <cell r="B8669">
            <v>102484</v>
          </cell>
          <cell r="C8669" t="str">
            <v>CONCRETO FCK = 40MPA, TRAÇO 1:1,4:1,8 (EM MASSA SECA DE CIMENTO/ AREIA MÉDIA/ SEIXO ROLADO) - PREPARO MECÂNICO COM BETONEIRA 600 L. AF_05/2021</v>
          </cell>
          <cell r="D8669" t="str">
            <v>M3</v>
          </cell>
          <cell r="E8669">
            <v>664.52</v>
          </cell>
          <cell r="F8669">
            <v>0</v>
          </cell>
        </row>
        <row r="8670">
          <cell r="B8670">
            <v>94967</v>
          </cell>
          <cell r="C8670" t="str">
            <v>CONCRETO FCK = 40MPA, TRAÇO 1:1,6:1,9 (EM MASSA SECA DE CIMENTO/ AREIA MÉDIA/ BRITA 1) - PREPARO MECÂNICO COM BETONEIRA 400 L. AF_05/2021</v>
          </cell>
          <cell r="D8670" t="str">
            <v>M3</v>
          </cell>
          <cell r="E8670">
            <v>557.55999999999995</v>
          </cell>
          <cell r="F8670">
            <v>0</v>
          </cell>
        </row>
        <row r="8671">
          <cell r="B8671">
            <v>94973</v>
          </cell>
          <cell r="C8671" t="str">
            <v>CONCRETO FCK = 40MPA, TRAÇO 1:1,6:1,9 (EM MASSA SECA DE CIMENTO/ AREIA MÉDIA/ BRITA 1) - PREPARO MECÂNICO COM BETONEIRA 600 L. AF_05/2021</v>
          </cell>
          <cell r="D8671" t="str">
            <v>M3</v>
          </cell>
          <cell r="E8671">
            <v>541.66</v>
          </cell>
          <cell r="F8671">
            <v>0</v>
          </cell>
        </row>
        <row r="8672">
          <cell r="B8672">
            <v>94974</v>
          </cell>
          <cell r="C8672" t="str">
            <v>CONCRETO MAGRO PARA LASTRO, TRAÇO 1:4,5:4,5 (EM MASSA SECA DE CIMENTO/ AREIA MÉDIA/ BRITA 1) - PREPARO MANUAL. AF_05/2021</v>
          </cell>
          <cell r="D8672" t="str">
            <v>M3</v>
          </cell>
          <cell r="E8672">
            <v>461.49</v>
          </cell>
          <cell r="F8672">
            <v>0</v>
          </cell>
        </row>
        <row r="8673">
          <cell r="B8673">
            <v>94962</v>
          </cell>
          <cell r="C8673" t="str">
            <v>CONCRETO MAGRO PARA LASTRO, TRAÇO 1:4,5:4,5 (EM MASSA SECA DE CIMENTO/ AREIA MÉDIA/ BRITA 1) - PREPARO MECÂNICO COM BETONEIRA 400 L. AF_05/2021</v>
          </cell>
          <cell r="D8673" t="str">
            <v>M3</v>
          </cell>
          <cell r="E8673">
            <v>382.59</v>
          </cell>
          <cell r="F8673">
            <v>0</v>
          </cell>
        </row>
        <row r="8674">
          <cell r="B8674">
            <v>94968</v>
          </cell>
          <cell r="C8674" t="str">
            <v>CONCRETO MAGRO PARA LASTRO, TRAÇO 1:4,5:4,5 (EM MASSA SECA DE CIMENTO/ AREIA MÉDIA/ BRITA 1) - PREPARO MECÂNICO COM BETONEIRA 600 L. AF_05/2021</v>
          </cell>
          <cell r="D8674" t="str">
            <v>M3</v>
          </cell>
          <cell r="E8674">
            <v>374.94</v>
          </cell>
          <cell r="F8674">
            <v>0</v>
          </cell>
        </row>
        <row r="8675">
          <cell r="B8675">
            <v>102485</v>
          </cell>
          <cell r="C8675" t="str">
            <v>CONCRETO MAGRO PARA LASTRO, TRAÇO 1:4,5:4,5 (EM MASSA SECA DE CIMENTO/ AREIA MÉDIA/ SEIXO ROLADO) - PREPARO MANUAL. AF_05/2021</v>
          </cell>
          <cell r="D8675" t="str">
            <v>M3</v>
          </cell>
          <cell r="E8675">
            <v>577.28</v>
          </cell>
          <cell r="F8675">
            <v>0</v>
          </cell>
        </row>
        <row r="8676">
          <cell r="B8676">
            <v>102473</v>
          </cell>
          <cell r="C8676" t="str">
            <v>CONCRETO MAGRO PARA LASTRO, TRAÇO 1:4,5:4,5 (EM MASSA SECA DE CIMENTO/ AREIA MÉDIA/ SEIXO ROLADO) - PREPARO MECÂNICO COM BETONEIRA 400 L. AF_05/2021</v>
          </cell>
          <cell r="D8676" t="str">
            <v>M3</v>
          </cell>
          <cell r="E8676">
            <v>496.92</v>
          </cell>
          <cell r="F8676">
            <v>0</v>
          </cell>
        </row>
        <row r="8677">
          <cell r="B8677">
            <v>102479</v>
          </cell>
          <cell r="C8677" t="str">
            <v>CONCRETO MAGRO PARA LASTRO, TRAÇO 1:4,5:4,5 (EM MASSA SECA DE CIMENTO/ AREIA MÉDIA/ SEIXO ROLADO) - PREPARO MECÂNICO COM BETONEIRA 600 L. AF_05/2021</v>
          </cell>
          <cell r="D8677" t="str">
            <v>M3</v>
          </cell>
          <cell r="E8677">
            <v>489.47</v>
          </cell>
          <cell r="F8677">
            <v>0</v>
          </cell>
        </row>
        <row r="8678">
          <cell r="B8678">
            <v>104835</v>
          </cell>
          <cell r="C8678" t="str">
            <v>ARGAMASSA DE ASSENTAMENTO DE ALVENARIA DE VEDAÇÃO E REVESTIMENTO INTERNO, TRAÇO EM VOLUME SECO 1:1:3:3,8 (CIMENTO:CAL:AREIA NATURAL MÉDIA:AREIA RECICLADA), COM USO DE AGREGADO RECICLADO MISTO (ARM) - PREPARO MANUAL. AF_11/2023</v>
          </cell>
          <cell r="D8678" t="str">
            <v>M3</v>
          </cell>
          <cell r="E8678">
            <v>0</v>
          </cell>
        </row>
        <row r="8679">
          <cell r="B8679">
            <v>104833</v>
          </cell>
          <cell r="C8679" t="str">
            <v>ARGAMASSA DE ASSENTAMENTO DE ALVENARIA DE VEDAÇÃO E REVESTIMENTO INTERNO, TRAÇO EM VOLUME SECO 1:1:3:3,8 (CIMENTO:CAL:AREIAS NATURAL MÉDIA: RECICLADA), COM USO DE AGREGADO RECICLADO CIMENTÍCIO OU DE CONCRETO (ARCI/ARCO) - PREPARO MANUAL. AF_11/2023</v>
          </cell>
          <cell r="D8679" t="str">
            <v>M3</v>
          </cell>
          <cell r="E8679">
            <v>0</v>
          </cell>
        </row>
        <row r="8680">
          <cell r="B8680">
            <v>104834</v>
          </cell>
          <cell r="C8680" t="str">
            <v>ARGAMASSA PARA ALVENARIA DE VEDAÇÃO E REVESTIMENTO INTERNO, TRAÇO EM VOLUME SECO 1:1:3:3,8 (CIMENTO:CAL:AREIA MÉDIA:AREIA RECICLADA), COM AGREGADO RECICLADO CIMENTÍCIO OU DE CONCRETO - PREPARO MECÂNICO COM MISTURADOR HORIZONTAL DE 600 KG. AF_11/2023</v>
          </cell>
          <cell r="D8680" t="str">
            <v>M3</v>
          </cell>
          <cell r="E8680">
            <v>0</v>
          </cell>
        </row>
        <row r="8681">
          <cell r="B8681">
            <v>104836</v>
          </cell>
          <cell r="C8681" t="str">
            <v>ARGAMASSA PARA ALVENARIA DE VEDAÇÃO E REVESTIMENTO INTERNO, TRAÇO EM VOLUME SECO 1:1:3:3,8 (CIMENTO:CAL:AREIA MÉDIA:AREIA RECICLADA), COM USO DE AGREGADO RECICLADO MISTO - PREPARO MECÂNICO COM MISTURADOR HORIZONTAL DE 600 KG. AF_11/2023</v>
          </cell>
          <cell r="D8681" t="str">
            <v>M3</v>
          </cell>
          <cell r="E8681">
            <v>0</v>
          </cell>
        </row>
        <row r="8682">
          <cell r="B8682">
            <v>104837</v>
          </cell>
          <cell r="C8682" t="str">
            <v>ARGAMASSA PARA CONTRAPISO, TRAÇO EM VOLUME SECO 1:2:2,5 (CIMENTO:AREIA NATURAL MÉDIA:AREIA RECICLADA), COM USO DE AGREGADO RECICLADO CIMENTÍCIO OU DE CONCRETO (ARCI/ARCO) - PREPARO MANUAL. AF_11/2023</v>
          </cell>
          <cell r="D8682" t="str">
            <v>M3</v>
          </cell>
          <cell r="E8682">
            <v>0</v>
          </cell>
        </row>
        <row r="8683">
          <cell r="B8683">
            <v>104838</v>
          </cell>
          <cell r="C8683" t="str">
            <v>ARGAMASSA PARA CONTRAPISO, TRAÇO EM VOLUME SECO 1:2:2,5 (CIMENTO:AREIA NATURAL MÉDIA:AREIA RECICLADA), COM USO DE AGREGADO RECICLADO CIMENTÍCIO OU DE CONCRETO (ARCI/ARCO) - PREPARO MECÂNICO COM MISTURADOR DE EIXO HORIZONTAL DE 600 KG. AF_11/2023</v>
          </cell>
          <cell r="D8683" t="str">
            <v>M3</v>
          </cell>
          <cell r="E8683">
            <v>0</v>
          </cell>
        </row>
        <row r="8684">
          <cell r="B8684">
            <v>104839</v>
          </cell>
          <cell r="C8684" t="str">
            <v>ARGAMASSA PARA CONTRAPISO, TRAÇO EM VOLUME SECO 1:2:2,5 (CIMENTO:AREIA NATURAL MÉDIA:AREIA RECICLADA), COM USO DE AGREGADO RECICLADO MISTO (ARM) - PREPARO MANUAL. AF_11/2023</v>
          </cell>
          <cell r="D8684" t="str">
            <v>M3</v>
          </cell>
          <cell r="E8684">
            <v>0</v>
          </cell>
        </row>
        <row r="8685">
          <cell r="B8685">
            <v>104840</v>
          </cell>
          <cell r="C8685" t="str">
            <v>ARGAMASSA PARA CONTRAPISO, TRAÇO EM VOLUME SECO 1:2:2,5 (CIMENTO:AREIA NATURAL MÉDIA:AREIA RECICLADA), COM USO DE AGREGADO RECICLADO MISTO (ARM) - PREPARO MECÂNICO COM MISTURADOR DE EIXO HORIZONTAL DE 600 KG. AF_11/2023</v>
          </cell>
          <cell r="D8685" t="str">
            <v>M3</v>
          </cell>
          <cell r="E8685">
            <v>0</v>
          </cell>
        </row>
        <row r="8686">
          <cell r="B8686">
            <v>104830</v>
          </cell>
          <cell r="C8686" t="str">
            <v>CONCRETO MAGRO PARA LASTRO, TRAÇO EM MASSA SECA 1:3,4:3,5 (CIMENTO:AREIA RECICLADA:BRITA 1 RECICLADA), COM USO DE AGREGADO RECICLADO CIMENTÍCIO OU DE CONCRETO (ARCI/ARCO) - PREPARO MANUAL. AF_11/2023</v>
          </cell>
          <cell r="D8686" t="str">
            <v>M3</v>
          </cell>
          <cell r="E8686">
            <v>0</v>
          </cell>
        </row>
        <row r="8687">
          <cell r="B8687">
            <v>104829</v>
          </cell>
          <cell r="C8687" t="str">
            <v>CONCRETO MAGRO PARA LASTRO, TRAÇO EM MASSA SECA 1:3,4:3,5 (CIMENTO:AREIA RECICLADA:BRITA 1 RECICLADA), COM USO DE AGREGADO RECICLADO CIMENTÍCIO OU DE CONCRETO (ARCI/ARCO) - PREPARO MECÂNICO COM BETONEIRA 600 L. AF_11/2023</v>
          </cell>
          <cell r="D8687" t="str">
            <v>M3</v>
          </cell>
          <cell r="E8687">
            <v>0</v>
          </cell>
        </row>
        <row r="8688">
          <cell r="B8688">
            <v>104832</v>
          </cell>
          <cell r="C8688" t="str">
            <v>CONCRETO MAGRO PARA LASTRO, TRAÇO EM MASSA SECA 1:3,4:3,5 (CIMENTO:AREIA RECICLADA:BRITA 1 RECICLADA), COM USO DE AGREGADO RECICLADO MISTO (ARM) - PREPARO MANUAL. AF_11/2023</v>
          </cell>
          <cell r="D8688" t="str">
            <v>M3</v>
          </cell>
          <cell r="E8688">
            <v>0</v>
          </cell>
        </row>
        <row r="8689">
          <cell r="B8689">
            <v>104831</v>
          </cell>
          <cell r="C8689" t="str">
            <v>CONCRETO MAGRO PARA LASTRO, TRAÇO EM MASSA SECA 1:3,4:3,5 (CIMENTO:AREIA RECICLADA:BRITA 1 RECICLADA), COM USO DE AGREGADO RECICLADO MISTO (ARM) - PREPARO MECÂNICO COM BETONEIRA 600 L. AF_11/2023</v>
          </cell>
          <cell r="D8689" t="str">
            <v>M3</v>
          </cell>
          <cell r="E8689">
            <v>0</v>
          </cell>
        </row>
        <row r="8690">
          <cell r="B8690">
            <v>103773</v>
          </cell>
          <cell r="C8690" t="str">
            <v>ASSENTO COM ENCOSTO PARA ARQUIBANCADA - FORNECIMENTO E INSTALAÇÃO. AF_03/2022</v>
          </cell>
          <cell r="D8690" t="str">
            <v>UN</v>
          </cell>
          <cell r="E8690">
            <v>0</v>
          </cell>
        </row>
        <row r="8691">
          <cell r="B8691">
            <v>103772</v>
          </cell>
          <cell r="C8691" t="str">
            <v>ASSENTO SEM ENCOSTO PARA ARQUIBANCADA - FORNECIMENTO E INSTALAÇÃO. AF_03/2022</v>
          </cell>
          <cell r="D8691" t="str">
            <v>UN</v>
          </cell>
          <cell r="E8691">
            <v>0</v>
          </cell>
        </row>
        <row r="8692">
          <cell r="B8692">
            <v>103768</v>
          </cell>
          <cell r="C8692" t="str">
            <v>PAR DE ESTRUTURAS PARA TABELA DE BASQUETE EM TRELIÇA METÁLICA AÉREA, EXCETO TABELA, ARO E REDE - FORNECIMENTO E INSTALAÇÃO. AF_03/2022</v>
          </cell>
          <cell r="D8692" t="str">
            <v>UN</v>
          </cell>
          <cell r="E8692">
            <v>0</v>
          </cell>
        </row>
        <row r="8693">
          <cell r="B8693">
            <v>103767</v>
          </cell>
          <cell r="C8693" t="str">
            <v>PAR DE ESTRUTURAS PARA TABELA DE BASQUETE EM TRELIÇA METÁLICA FIXADA NO PISO, EXCETO TABELA, ARO E REDE - FORNECIMENTO E INSTALAÇÃO. AF_03/2022</v>
          </cell>
          <cell r="D8693" t="str">
            <v>UN</v>
          </cell>
          <cell r="E8693">
            <v>0</v>
          </cell>
        </row>
        <row r="8694">
          <cell r="B8694">
            <v>103766</v>
          </cell>
          <cell r="C8694" t="str">
            <v>PAR DE ESTRUTURAS PARA TABELA DE BASQUETE METÁLICA TUBULAR CHUMBADA COM CONCRETO NO PISO, EXCETO TABELA, ARO E REDE - FORNECIMENTO E INSTALAÇÃO. AF_03/2022</v>
          </cell>
          <cell r="D8694" t="str">
            <v>UN</v>
          </cell>
          <cell r="E8694">
            <v>0</v>
          </cell>
        </row>
        <row r="8695">
          <cell r="B8695">
            <v>103765</v>
          </cell>
          <cell r="C8695" t="str">
            <v>PAR DE POSTES E REDE DE VÔLEI - FORNECIMENTO E INSTALAÇÃO. AF_03/2022</v>
          </cell>
          <cell r="D8695" t="str">
            <v>UN</v>
          </cell>
          <cell r="E8695">
            <v>0</v>
          </cell>
        </row>
        <row r="8696">
          <cell r="B8696">
            <v>103771</v>
          </cell>
          <cell r="C8696" t="str">
            <v>PAR DE TABELAS DE BASQUETE DE ACRÍLICO, COM AROS E REDES - FORNECIMENTO E INSTALAÇÃO. AF_03/2022</v>
          </cell>
          <cell r="D8696" t="str">
            <v>UN</v>
          </cell>
          <cell r="E8696">
            <v>0</v>
          </cell>
        </row>
        <row r="8697">
          <cell r="B8697">
            <v>103769</v>
          </cell>
          <cell r="C8697" t="str">
            <v>PAR DE TABELAS DE BASQUETE DE COMPENSADO NAVAL, COM AROS E REDES - FORNECIMENTO E INSTALAÇÃO. AF_03/2022</v>
          </cell>
          <cell r="D8697" t="str">
            <v>UN</v>
          </cell>
          <cell r="E8697">
            <v>3180.66</v>
          </cell>
          <cell r="F8697">
            <v>0</v>
          </cell>
        </row>
        <row r="8698">
          <cell r="B8698">
            <v>103770</v>
          </cell>
          <cell r="C8698" t="str">
            <v>PAR DE TABELAS DE BASQUETE DE VIDRO TEMPERADO, COM AROS E REDES - FORNECIMENTO E INSTALAÇÃO. AF_03/2022</v>
          </cell>
          <cell r="D8698" t="str">
            <v>UN</v>
          </cell>
          <cell r="E8698">
            <v>0</v>
          </cell>
        </row>
        <row r="8699">
          <cell r="B8699">
            <v>103764</v>
          </cell>
          <cell r="C8699" t="str">
            <v>PAR DE TRAVES E REDES DE FUTSAL - FORNECIMENTO E INSTALAÇÃO. AF_03/2022</v>
          </cell>
          <cell r="D8699" t="str">
            <v>UN</v>
          </cell>
          <cell r="E8699">
            <v>0</v>
          </cell>
        </row>
        <row r="8700">
          <cell r="B8700">
            <v>103780</v>
          </cell>
          <cell r="C8700" t="str">
            <v>PISO ASFÁLTICO PARA QUADRA POLIESPORTIVA - FORNECIMENTO E INSTALAÇÃO. AF_03/2022</v>
          </cell>
          <cell r="D8700" t="str">
            <v>M2</v>
          </cell>
          <cell r="E8700">
            <v>0</v>
          </cell>
        </row>
        <row r="8701">
          <cell r="B8701">
            <v>103781</v>
          </cell>
          <cell r="C8701" t="str">
            <v>PISO DE GRAMA SINTÉTICA PARA QUADRA POLIESPORTIVA - FORNECIMENTO E INSTALAÇÃO. AF_03/2022</v>
          </cell>
          <cell r="D8701" t="str">
            <v>M2</v>
          </cell>
          <cell r="E8701">
            <v>0</v>
          </cell>
        </row>
        <row r="8702">
          <cell r="B8702">
            <v>103779</v>
          </cell>
          <cell r="C8702" t="str">
            <v>PISO DE MADEIRA COM AMORTECEDORES DE BORRACHA PARA QUADRA POLIESPORTIVA - FORNECIMENTO E INSTALAÇÃO. AF_03/2022</v>
          </cell>
          <cell r="D8702" t="str">
            <v>M2</v>
          </cell>
          <cell r="E8702">
            <v>0</v>
          </cell>
        </row>
        <row r="8703">
          <cell r="B8703">
            <v>103778</v>
          </cell>
          <cell r="C8703" t="str">
            <v>PISO DE POLIURETANO PARA QUADRA POLIESPORTIVA - FORNECIMENTO E INSTALAÇÃO. AF_03/2022</v>
          </cell>
          <cell r="D8703" t="str">
            <v>M2</v>
          </cell>
          <cell r="E8703">
            <v>0</v>
          </cell>
        </row>
        <row r="8704">
          <cell r="B8704">
            <v>103924</v>
          </cell>
          <cell r="C8704" t="str">
            <v>PISO MODULAR DE POLIPROPILENO PARA QUADRA POLIESPORTIVA - FORNECIMENTO E INSTALAÇÃO. AF_03/2022</v>
          </cell>
          <cell r="D8704" t="str">
            <v>M2</v>
          </cell>
          <cell r="E8704">
            <v>0</v>
          </cell>
        </row>
        <row r="8705">
          <cell r="B8705">
            <v>103776</v>
          </cell>
          <cell r="C8705" t="str">
            <v>PISO MODULAR INTERNO DE POLIPROPILENO PARA QUADRA POLIESPORTIVA - FORNECIMENTO E INSTALAÇÃO. AF_03/2022</v>
          </cell>
          <cell r="D8705" t="str">
            <v>M2</v>
          </cell>
          <cell r="E8705">
            <v>0</v>
          </cell>
        </row>
        <row r="8706">
          <cell r="B8706">
            <v>103774</v>
          </cell>
          <cell r="C8706" t="str">
            <v>REDE DE PROTEÇÃO HORIZONTAL PARA QUADRA POLIESPORTIVA - FORNECIMENTO E INSTALAÇÃO. AF_03/2022</v>
          </cell>
          <cell r="D8706" t="str">
            <v>M2</v>
          </cell>
          <cell r="E8706">
            <v>0</v>
          </cell>
        </row>
        <row r="8707">
          <cell r="B8707">
            <v>103775</v>
          </cell>
          <cell r="C8707" t="str">
            <v>REDE DE PROTEÇÃO VERTICAL PARA QUADRA POLIESPORTIVA - FORNECIMENTO E INSTALAÇÃO. AF_03/2022</v>
          </cell>
          <cell r="D8707" t="str">
            <v>M2</v>
          </cell>
          <cell r="E8707">
            <v>0</v>
          </cell>
        </row>
        <row r="8708">
          <cell r="B8708">
            <v>106266</v>
          </cell>
          <cell r="C8708" t="str">
            <v>BORNE CONECTOR PARA CABOS DE 1,5 MM2, PARA QUADRO DE BOMBA - FORNECIMENTO E INSTALAÇÃO. AF_11/2025</v>
          </cell>
          <cell r="D8708" t="str">
            <v>UN</v>
          </cell>
          <cell r="E8708">
            <v>0</v>
          </cell>
        </row>
        <row r="8709">
          <cell r="B8709">
            <v>106270</v>
          </cell>
          <cell r="C8709" t="str">
            <v>BORNE CONECTOR PARA CABOS DE 10 MM2, PARA QUADRO DE BOMBA - FORNECIMENTO E INSTALAÇÃO. AF_11/2025</v>
          </cell>
          <cell r="D8709" t="str">
            <v>UN</v>
          </cell>
          <cell r="E8709">
            <v>0</v>
          </cell>
        </row>
        <row r="8710">
          <cell r="B8710">
            <v>106271</v>
          </cell>
          <cell r="C8710" t="str">
            <v>BORNE CONECTOR PARA CABOS DE 16 MM2, PARA QUADRO DE BOMBA - FORNECIMENTO E INSTALAÇÃO. AF_11/2025</v>
          </cell>
          <cell r="D8710" t="str">
            <v>UN</v>
          </cell>
          <cell r="E8710">
            <v>0</v>
          </cell>
        </row>
        <row r="8711">
          <cell r="B8711">
            <v>106267</v>
          </cell>
          <cell r="C8711" t="str">
            <v>BORNE CONECTOR PARA CABOS DE 2,5 MM2, PARA QUADRO DE BOMBA - FORNECIMENTO E INSTALAÇÃO. AF_11/2025</v>
          </cell>
          <cell r="D8711" t="str">
            <v>UN</v>
          </cell>
          <cell r="E8711">
            <v>0</v>
          </cell>
        </row>
        <row r="8712">
          <cell r="B8712">
            <v>106272</v>
          </cell>
          <cell r="C8712" t="str">
            <v>BORNE CONECTOR PARA CABOS DE 25 MM2, PARA QUADRO DE BOMBA - FORNECIMENTO E INSTALAÇÃO. AF_11/2025</v>
          </cell>
          <cell r="D8712" t="str">
            <v>UN</v>
          </cell>
          <cell r="E8712">
            <v>0</v>
          </cell>
        </row>
        <row r="8713">
          <cell r="B8713">
            <v>106268</v>
          </cell>
          <cell r="C8713" t="str">
            <v>BORNE CONECTOR PARA CABOS DE 4 MM2, PARA QUADRO DE BOMBA - FORNECIMENTO E INSTALAÇÃO. AF_11/2025</v>
          </cell>
          <cell r="D8713" t="str">
            <v>UN</v>
          </cell>
          <cell r="E8713">
            <v>0</v>
          </cell>
        </row>
        <row r="8714">
          <cell r="B8714">
            <v>106269</v>
          </cell>
          <cell r="C8714" t="str">
            <v>BORNE CONECTOR PARA CABOS DE 6 MM2, PARA QUADRO DE BOMBA - FORNECIMENTO E INSTALAÇÃO. AF_11/2025</v>
          </cell>
          <cell r="D8714" t="str">
            <v>UN</v>
          </cell>
          <cell r="E8714">
            <v>0</v>
          </cell>
        </row>
        <row r="8715">
          <cell r="B8715">
            <v>106279</v>
          </cell>
          <cell r="C8715" t="str">
            <v>BOTÃO DE EMERGÊNCIA TIPO COGUMELO, PARA QUADRO DE BOMBA - FORNECIMENTO E INSTALAÇÃO. AF_11/2025</v>
          </cell>
          <cell r="D8715" t="str">
            <v>UN</v>
          </cell>
          <cell r="E8715">
            <v>0</v>
          </cell>
        </row>
        <row r="8716">
          <cell r="B8716">
            <v>106280</v>
          </cell>
          <cell r="C8716" t="str">
            <v>BOTÃO LIGA/DESLIGA BOMBA VERDE E VERMELHO, PARA QUADRO DE BOMBA - FORNECIMENTO E INSTALAÇÃO. AF_11/2025</v>
          </cell>
          <cell r="D8716" t="str">
            <v>UN</v>
          </cell>
          <cell r="E8716">
            <v>0</v>
          </cell>
        </row>
        <row r="8717">
          <cell r="B8717">
            <v>106265</v>
          </cell>
          <cell r="C8717" t="str">
            <v>CANALETA, PARA QUADRO DE BOMBA - FORNECIMENTO E INSTALAÇÃO. AF_11/2025</v>
          </cell>
          <cell r="D8717" t="str">
            <v>M</v>
          </cell>
          <cell r="E8717">
            <v>0</v>
          </cell>
        </row>
        <row r="8718">
          <cell r="B8718">
            <v>106273</v>
          </cell>
          <cell r="C8718" t="str">
            <v>CHAVE COMUTADORA DE 3 POSIÇÕES DE 10 A, PARA QUADRO DE BOMBA - FORNECIMENTO E INSTALAÇÃO. AF_11/2025</v>
          </cell>
          <cell r="D8718" t="str">
            <v>UN</v>
          </cell>
          <cell r="E8718">
            <v>0</v>
          </cell>
        </row>
        <row r="8719">
          <cell r="B8719">
            <v>106274</v>
          </cell>
          <cell r="C8719" t="str">
            <v>CHAVE COMUTADORA DE 3 POSIÇÕES DE 20 A, PARA QUADRO DE BOMBA - FORNECIMENTO E INSTALAÇÃO. AF_11/2025</v>
          </cell>
          <cell r="D8719" t="str">
            <v>UN</v>
          </cell>
          <cell r="E8719">
            <v>0</v>
          </cell>
        </row>
        <row r="8720">
          <cell r="B8720">
            <v>106275</v>
          </cell>
          <cell r="C8720" t="str">
            <v>CHAVE COMUTADORA DE 3 POSIÇÕES DE 32A, PARA QUADRO DE BOMBA - FORNECIMENTO E INSTALAÇÃO. AF_11/2025</v>
          </cell>
          <cell r="D8720" t="str">
            <v>UN</v>
          </cell>
          <cell r="E8720">
            <v>0</v>
          </cell>
        </row>
        <row r="8721">
          <cell r="B8721">
            <v>106276</v>
          </cell>
          <cell r="C8721" t="str">
            <v>CHAVE COMUTADORA DE 3 POSIÇÕES DE 40 A, PARA QUADRO DE BOMBA - FORNECIMENTO E INSTALAÇÃO. AF_11/2025</v>
          </cell>
          <cell r="D8721" t="str">
            <v>UN</v>
          </cell>
          <cell r="E8721">
            <v>0</v>
          </cell>
        </row>
        <row r="8722">
          <cell r="B8722">
            <v>106277</v>
          </cell>
          <cell r="C8722" t="str">
            <v>CHAVE COMUTADORA DE 3 POSIÇÕES DE 63 A, PARA QUADRO DE BOMBA - FORNECIMENTO E INSTALAÇÃO. AF_11/2025</v>
          </cell>
          <cell r="D8722" t="str">
            <v>UN</v>
          </cell>
          <cell r="E8722">
            <v>0</v>
          </cell>
        </row>
        <row r="8723">
          <cell r="B8723">
            <v>106278</v>
          </cell>
          <cell r="C8723" t="str">
            <v>CHAVE COMUTADORA DE 3 POSIÇÕES DE 80 A, PARA QUADRO DE BOMBA - FORNECIMENTO E INSTALAÇÃO. AF_11/2025</v>
          </cell>
          <cell r="D8723" t="str">
            <v>UN</v>
          </cell>
          <cell r="E8723">
            <v>0</v>
          </cell>
        </row>
        <row r="8724">
          <cell r="B8724">
            <v>106295</v>
          </cell>
          <cell r="C8724" t="str">
            <v>CONTATOR TRIPOLAR, CORRENTE DE *22* A, TENSAO NOMINAL DE *500* V, CATEGORIA AC-2 E AC-3, PARA QUADRO DE BOMBA - FORNECIMENTO E INSTALAÇÃO. AF_11/2025</v>
          </cell>
          <cell r="D8724" t="str">
            <v>UN</v>
          </cell>
          <cell r="E8724">
            <v>213.32</v>
          </cell>
          <cell r="F8724">
            <v>0</v>
          </cell>
        </row>
        <row r="8725">
          <cell r="B8725">
            <v>106300</v>
          </cell>
          <cell r="C8725" t="str">
            <v>CONTATOR TRIPOLAR, CORRENTE DE *38* A, TENSAO NOMINAL DE *500* V, CATEGORIA AC-2 E AC-3, PARA QUADRO DE BOMBA - FORNECIMENTO E INSTALAÇÃO. AF_11/2025</v>
          </cell>
          <cell r="D8725" t="str">
            <v>UN</v>
          </cell>
          <cell r="E8725">
            <v>542.83000000000004</v>
          </cell>
          <cell r="F8725">
            <v>0</v>
          </cell>
        </row>
        <row r="8726">
          <cell r="B8726">
            <v>106293</v>
          </cell>
          <cell r="C8726" t="str">
            <v>CONTATOR TRIPOLAR, CORRENTE DE 12 A, TENSAO NOMINAL DE *500* V, CATEGORIA AC-2 E AC-3, PARA QUADRO DE BOMBA - FORNECIMENTO E INSTALAÇÃO. AF_11/2025</v>
          </cell>
          <cell r="D8726" t="str">
            <v>UN</v>
          </cell>
          <cell r="E8726">
            <v>164.33</v>
          </cell>
          <cell r="F8726">
            <v>0</v>
          </cell>
        </row>
        <row r="8727">
          <cell r="B8727">
            <v>106297</v>
          </cell>
          <cell r="C8727" t="str">
            <v>CONTATOR TRIPOLAR, CORRENTE DE 25 A, TENSAO NOMINAL DE *500* V, CATEGORIA AC-2 E AC-3, PARA QUADRO DE BOMBA - FORNECIMENTO E INSTALAÇÃO. AF_11/2025</v>
          </cell>
          <cell r="D8727" t="str">
            <v>UN</v>
          </cell>
          <cell r="E8727">
            <v>264.98</v>
          </cell>
          <cell r="F8727">
            <v>0</v>
          </cell>
        </row>
        <row r="8728">
          <cell r="B8728">
            <v>106298</v>
          </cell>
          <cell r="C8728" t="str">
            <v>CONTATOR TRIPOLAR, CORRENTE DE 32 A, TENSAO NOMINAL DE *500* V, CATEGORIA AC-2 E AC-3, PARA QUADRO DE BOMBA - FORNECIMENTO E INSTALAÇÃO. AF_11/2025</v>
          </cell>
          <cell r="D8728" t="str">
            <v>UN</v>
          </cell>
          <cell r="E8728">
            <v>403.72</v>
          </cell>
          <cell r="F8728">
            <v>0</v>
          </cell>
        </row>
        <row r="8729">
          <cell r="B8729">
            <v>106301</v>
          </cell>
          <cell r="C8729" t="str">
            <v>CONTATOR TRIPOLAR, CORRENTE DE 45 A, TENSAO NOMINAL DE *500* V, CATEGORIA AC-2 E AC-3, PARA QUADRO DE BOMBA - FORNECIMENTO E INSTALAÇÃO. AF_11/2025</v>
          </cell>
          <cell r="D8729" t="str">
            <v>UN</v>
          </cell>
          <cell r="E8729">
            <v>822.4</v>
          </cell>
          <cell r="F8729">
            <v>0</v>
          </cell>
        </row>
        <row r="8730">
          <cell r="B8730">
            <v>106292</v>
          </cell>
          <cell r="C8730" t="str">
            <v>CONTATOR TRIPOLAR, CORRENTE DE 9 A, TENSAO NOMINAL DE *500* V, CATEGORIA AC-2 E AC-3, PARA QUADRO DE BOMBA - FORNECIMENTO E INSTALAÇÃO. AF_11/2025</v>
          </cell>
          <cell r="D8730" t="str">
            <v>UN</v>
          </cell>
          <cell r="E8730">
            <v>156.84</v>
          </cell>
          <cell r="F8730">
            <v>0</v>
          </cell>
        </row>
        <row r="8731">
          <cell r="B8731">
            <v>106282</v>
          </cell>
          <cell r="C8731" t="str">
            <v>DISJUNTOR TERMOMAGNETICO PARA TRILHO DIN (IEC), TRIPOLAR, 10 A, PARA QUADRO DE BOMBA - FORNECIMENTO E INSTALAÇÃO. AF_11/2025</v>
          </cell>
          <cell r="D8731" t="str">
            <v>UN</v>
          </cell>
          <cell r="E8731">
            <v>83.97</v>
          </cell>
          <cell r="F8731">
            <v>0</v>
          </cell>
        </row>
        <row r="8732">
          <cell r="B8732">
            <v>106283</v>
          </cell>
          <cell r="C8732" t="str">
            <v>DISJUNTOR TERMOMAGNETICO PARA TRILHO DIN (IEC), TRIPOLAR, 16 A, PARA QUADRO DE BOMBA - FORNECIMENTO E INSTALAÇÃO. AF_11/2025</v>
          </cell>
          <cell r="D8732" t="str">
            <v>UN</v>
          </cell>
          <cell r="E8732">
            <v>83.97</v>
          </cell>
          <cell r="F8732">
            <v>0</v>
          </cell>
        </row>
        <row r="8733">
          <cell r="B8733">
            <v>106286</v>
          </cell>
          <cell r="C8733" t="str">
            <v>DISJUNTOR TERMOMAGNETICO PARA TRILHO DIN (IEC), TRIPOLAR, 20 A, PARA QUADRO DE BOMBA - FORNECIMENTO E INSTALAÇÃO. AF_11/2025</v>
          </cell>
          <cell r="D8733" t="str">
            <v>UN</v>
          </cell>
          <cell r="E8733">
            <v>98.92</v>
          </cell>
          <cell r="F8733">
            <v>0</v>
          </cell>
        </row>
        <row r="8734">
          <cell r="B8734">
            <v>106287</v>
          </cell>
          <cell r="C8734" t="str">
            <v>DISJUNTOR TERMOMAGNETICO PARA TRILHO DIN (IEC), TRIPOLAR, 25 A, PARA QUADRO DE BOMBA - FORNECIMENTO E INSTALAÇÃO. AF_11/2025</v>
          </cell>
          <cell r="D8734" t="str">
            <v>UN</v>
          </cell>
          <cell r="E8734">
            <v>123.26</v>
          </cell>
          <cell r="F8734">
            <v>0</v>
          </cell>
        </row>
        <row r="8735">
          <cell r="B8735">
            <v>106288</v>
          </cell>
          <cell r="C8735" t="str">
            <v>DISJUNTOR TERMOMAGNETICO PARA TRILHO DIN (IEC), TRIPOLAR, 32 A, PARA QUADRO DE BOMBA - FORNECIMENTO E INSTALAÇÃO. AF_11/2025</v>
          </cell>
          <cell r="D8735" t="str">
            <v>UN</v>
          </cell>
          <cell r="E8735">
            <v>154.71</v>
          </cell>
          <cell r="F8735">
            <v>0</v>
          </cell>
        </row>
        <row r="8736">
          <cell r="B8736">
            <v>106289</v>
          </cell>
          <cell r="C8736" t="str">
            <v>DISJUNTOR TERMOMAGNETICO PARA TRILHO DIN (IEC), TRIPOLAR, 40 A, PARA QUADRO DE BOMBA - FORNECIMENTO E INSTALAÇÃO. AF_11/2025</v>
          </cell>
          <cell r="D8736" t="str">
            <v>UN</v>
          </cell>
          <cell r="E8736">
            <v>215.28</v>
          </cell>
          <cell r="F8736">
            <v>0</v>
          </cell>
        </row>
        <row r="8737">
          <cell r="B8737">
            <v>106290</v>
          </cell>
          <cell r="C8737" t="str">
            <v>DISJUNTOR TERMOMAGNETICO PARA TRILHO DIN (IEC), TRIPOLAR, 50 A, PARA QUADRO DE BOMBA - FORNECIMENTO E INSTALAÇÃO. AF_11/2025</v>
          </cell>
          <cell r="D8737" t="str">
            <v>UN</v>
          </cell>
          <cell r="E8737">
            <v>306.95</v>
          </cell>
          <cell r="F8737">
            <v>0</v>
          </cell>
        </row>
        <row r="8738">
          <cell r="B8738">
            <v>106291</v>
          </cell>
          <cell r="C8738" t="str">
            <v>DISJUNTOR TERMOMAGNETICO PARA TRILHO DIN (IEC), TRIPOLAR, 63 A, PARA QUADRO DE BOMBA - FORNECIMENTO E INSTALAÇÃO. AF_11/2025</v>
          </cell>
          <cell r="D8738" t="str">
            <v>UN</v>
          </cell>
          <cell r="E8738">
            <v>457.44</v>
          </cell>
          <cell r="F8738">
            <v>0</v>
          </cell>
        </row>
        <row r="8739">
          <cell r="B8739">
            <v>102136</v>
          </cell>
          <cell r="C8739" t="str">
            <v>INSTALAÇÃO DE QUADRO ELÉTRICO PARA 1 BOMBA TRIFÁSICA ATÉ 25 CV CADA (NÃO INCLUI O FORNECIMENTO DO QUADRO). AF_11/2025</v>
          </cell>
          <cell r="D8739" t="str">
            <v>UN</v>
          </cell>
          <cell r="E8739">
            <v>193.41</v>
          </cell>
          <cell r="F8739">
            <v>0</v>
          </cell>
        </row>
        <row r="8740">
          <cell r="B8740">
            <v>106263</v>
          </cell>
          <cell r="C8740" t="str">
            <v>INSTALAÇÃO DE QUADRO ELÉTRICO PARA 2 BOMBAS TRIFÁSICAS ATÉ 25 CV CADA (NÃO INCLUI O FORNECIMENTO DO QUADRO). AF_11/2025</v>
          </cell>
          <cell r="D8740" t="str">
            <v>UN</v>
          </cell>
          <cell r="E8740">
            <v>254.52</v>
          </cell>
          <cell r="F8740">
            <v>0</v>
          </cell>
        </row>
        <row r="8741">
          <cell r="B8741">
            <v>106259</v>
          </cell>
          <cell r="C8741" t="str">
            <v>QUADRO ELÉTRICO PARA 1 BOMBA CENTRÍFUGA TRIFÁSICA 1,5 CV - FORNECIMENTO E INSTALAÇÃO. AF_11/2025</v>
          </cell>
          <cell r="D8741" t="str">
            <v>UN</v>
          </cell>
          <cell r="E8741">
            <v>0</v>
          </cell>
        </row>
        <row r="8742">
          <cell r="B8742">
            <v>106261</v>
          </cell>
          <cell r="C8742" t="str">
            <v>QUADRO ELÉTRICO PARA 1 BOMBA CENTRÍFUGA TRIFÁSICA 10 CV - FORNECIMENTO E INSTALAÇÃO. AF_11/2025</v>
          </cell>
          <cell r="D8742" t="str">
            <v>UN</v>
          </cell>
          <cell r="E8742">
            <v>0</v>
          </cell>
        </row>
        <row r="8743">
          <cell r="B8743">
            <v>106260</v>
          </cell>
          <cell r="C8743" t="str">
            <v>QUADRO ELÉTRICO PARA 1 BOMBA CENTRÍFUGA TRIFÁSICA 3 CV - FORNECIMENTO E INSTALAÇÃO. AF_11/2025</v>
          </cell>
          <cell r="D8743" t="str">
            <v>UN</v>
          </cell>
          <cell r="E8743">
            <v>0</v>
          </cell>
        </row>
        <row r="8744">
          <cell r="B8744">
            <v>102134</v>
          </cell>
          <cell r="C8744" t="str">
            <v>QUADRO ELÉTRICO PARA 2 BOMBAS CENTRÍFUGAS TRIFÁSICAS 1,5 CV CADA - FORNECIMENTO E INSTALAÇÃO. AF_11/2025</v>
          </cell>
          <cell r="D8744" t="str">
            <v>UN</v>
          </cell>
          <cell r="E8744">
            <v>0</v>
          </cell>
        </row>
        <row r="8745">
          <cell r="B8745">
            <v>106262</v>
          </cell>
          <cell r="C8745" t="str">
            <v>QUADRO ELÉTRICO PARA 2 BOMBAS CENTRÍFUGAS TRIFÁSICAS 10 CV CADA - FORNECIMENTO E INSTALAÇÃO. AF_11/2025</v>
          </cell>
          <cell r="D8745" t="str">
            <v>UN</v>
          </cell>
          <cell r="E8745">
            <v>0</v>
          </cell>
        </row>
        <row r="8746">
          <cell r="B8746">
            <v>102135</v>
          </cell>
          <cell r="C8746" t="str">
            <v>QUADRO ELÉTRICO PARA 2 BOMBAS CENTRÍFUGAS TRIFÁSICAS 3 CV CADA - FORNECIMENTO E INSTALAÇÃO. AF_11/2025</v>
          </cell>
          <cell r="D8746" t="str">
            <v>UN</v>
          </cell>
          <cell r="E8746">
            <v>0</v>
          </cell>
        </row>
        <row r="8747">
          <cell r="B8747">
            <v>106302</v>
          </cell>
          <cell r="C8747" t="str">
            <v>RELÉ ESTRELA TRIANGULO, PARA QUADRO DE BOMBA - FORNECIMENTO E INSTALAÇÃO. AF_11/2025</v>
          </cell>
          <cell r="D8747" t="str">
            <v>UN</v>
          </cell>
          <cell r="E8747">
            <v>0</v>
          </cell>
        </row>
        <row r="8748">
          <cell r="B8748">
            <v>106284</v>
          </cell>
          <cell r="C8748" t="str">
            <v>RELÉ FALTA DE FASE PARA ATUAR NO COMANDO DO CONTATOR, PARA QUADRO DE BOMBA - FORNECIMENTO E INSTALAÇÃO. AF_11/2025</v>
          </cell>
          <cell r="D8748" t="str">
            <v>UN</v>
          </cell>
          <cell r="E8748">
            <v>0</v>
          </cell>
        </row>
        <row r="8749">
          <cell r="B8749">
            <v>106285</v>
          </cell>
          <cell r="C8749" t="str">
            <v>RELÉ PARA REVEZAMENTO DE MOTORES, PARA QUADRO DE BOMBA - FORNECIMENTO E INSTALAÇÃO. AF_11/2025</v>
          </cell>
          <cell r="D8749" t="str">
            <v>UN</v>
          </cell>
          <cell r="E8749">
            <v>0</v>
          </cell>
        </row>
        <row r="8750">
          <cell r="B8750">
            <v>106296</v>
          </cell>
          <cell r="C8750" t="str">
            <v>RELÉ TÉRMICO 10 A 15 A PARA 220 V OU 7 A 10 A PARA 380 V, PARA QUADRO DE BOMBA - FORNECIMENTO E INSTALAÇÃO. AF_11/2025</v>
          </cell>
          <cell r="D8750" t="str">
            <v>UN</v>
          </cell>
          <cell r="E8750">
            <v>0</v>
          </cell>
        </row>
        <row r="8751">
          <cell r="B8751">
            <v>106299</v>
          </cell>
          <cell r="C8751" t="str">
            <v>RELÉ TÉRMICO 32 A 40 A PARA 220 V OU 22 A 32 A PARA 380 V, PARA QUADRO DE BOMBA - FORNECIMENTO E INSTALAÇÃO. AF_11/2025</v>
          </cell>
          <cell r="D8751" t="str">
            <v>UN</v>
          </cell>
          <cell r="E8751">
            <v>260.95999999999998</v>
          </cell>
          <cell r="F8751">
            <v>0</v>
          </cell>
        </row>
        <row r="8752">
          <cell r="B8752">
            <v>106294</v>
          </cell>
          <cell r="C8752" t="str">
            <v>RELÉ TÉRMICO 6 A 8 A PARA 220 V OU 4 A 6,3 A PARA 380 V, PARA QUADRO DE BOMBA - FORNECIMENTO E INSTALAÇÃO. AF_11/2025</v>
          </cell>
          <cell r="D8752" t="str">
            <v>UN</v>
          </cell>
          <cell r="E8752">
            <v>0</v>
          </cell>
        </row>
        <row r="8753">
          <cell r="B8753">
            <v>106281</v>
          </cell>
          <cell r="C8753" t="str">
            <v>SINALEIRO LED PARA INDICAÇÃO BOMBA, PARA QUADRO DE BOMBA - FORNECIMENTO E INSTALAÇÃO. AF_11/2025</v>
          </cell>
          <cell r="D8753" t="str">
            <v>UN</v>
          </cell>
          <cell r="E8753">
            <v>0</v>
          </cell>
        </row>
        <row r="8754">
          <cell r="B8754">
            <v>106264</v>
          </cell>
          <cell r="C8754" t="str">
            <v>TRILHO DIN, PARA QUADRO DE BOMBA - FORNECIMENTO E INSTALAÇÃO. AF_11/2025</v>
          </cell>
          <cell r="D8754" t="str">
            <v>M</v>
          </cell>
          <cell r="E8754">
            <v>0</v>
          </cell>
        </row>
        <row r="8755">
          <cell r="B8755">
            <v>97097</v>
          </cell>
          <cell r="C8755" t="str">
            <v>ACABAMENTO POLIDO PARA PISO DE CONCRETO ARMADO OU LAJE SOBRE SOLO DE ALTA RESISTÊNCIA. AF_09/2021</v>
          </cell>
          <cell r="D8755" t="str">
            <v>M2</v>
          </cell>
          <cell r="E8755">
            <v>36.299999999999997</v>
          </cell>
          <cell r="F8755">
            <v>0</v>
          </cell>
        </row>
        <row r="8756">
          <cell r="B8756">
            <v>97089</v>
          </cell>
          <cell r="C8756" t="str">
            <v>ARMAÇÃO PARA EXECUÇÃO DE RADIER, PISO DE CONCRETO OU LAJE SOBRE SOLO, COM USO DE TELA Q-113. AF_09/2021</v>
          </cell>
          <cell r="D8756" t="str">
            <v>KG</v>
          </cell>
          <cell r="E8756">
            <v>13.58</v>
          </cell>
          <cell r="F8756">
            <v>0</v>
          </cell>
        </row>
        <row r="8757">
          <cell r="B8757">
            <v>97090</v>
          </cell>
          <cell r="C8757" t="str">
            <v>ARMAÇÃO PARA EXECUÇÃO DE RADIER, PISO DE CONCRETO OU LAJE SOBRE SOLO, COM USO DE TELA Q-138. AF_09/2021</v>
          </cell>
          <cell r="D8757" t="str">
            <v>KG</v>
          </cell>
          <cell r="E8757">
            <v>13.23</v>
          </cell>
          <cell r="F8757">
            <v>0</v>
          </cell>
        </row>
        <row r="8758">
          <cell r="B8758">
            <v>97091</v>
          </cell>
          <cell r="C8758" t="str">
            <v>ARMAÇÃO PARA EXECUÇÃO DE RADIER, PISO DE CONCRETO OU LAJE SOBRE SOLO, COM USO DE TELA Q-159. AF_09/2021</v>
          </cell>
          <cell r="D8758" t="str">
            <v>KG</v>
          </cell>
          <cell r="E8758">
            <v>12.78</v>
          </cell>
          <cell r="F8758">
            <v>0</v>
          </cell>
        </row>
        <row r="8759">
          <cell r="B8759">
            <v>97092</v>
          </cell>
          <cell r="C8759" t="str">
            <v>ARMAÇÃO PARA EXECUÇÃO DE RADIER, PISO DE CONCRETO OU LAJE SOBRE SOLO, COM USO DE TELA Q-196. AF_09/2021</v>
          </cell>
          <cell r="D8759" t="str">
            <v>KG</v>
          </cell>
          <cell r="E8759">
            <v>12.28</v>
          </cell>
          <cell r="F8759">
            <v>0</v>
          </cell>
        </row>
        <row r="8760">
          <cell r="B8760">
            <v>103053</v>
          </cell>
          <cell r="C8760" t="str">
            <v>ARMAÇÃO PARA EXECUÇÃO DE RADIER, PISO DE CONCRETO OU LAJE SOBRE SOLO, COM USO DE TELA Q-246. AF_09/2021</v>
          </cell>
          <cell r="D8760" t="str">
            <v>KG</v>
          </cell>
          <cell r="E8760">
            <v>0</v>
          </cell>
        </row>
        <row r="8761">
          <cell r="B8761">
            <v>97093</v>
          </cell>
          <cell r="C8761" t="str">
            <v>ARMAÇÃO PARA EXECUÇÃO DE RADIER, PISO DE CONCRETO OU LAJE SOBRE SOLO, COM USO DE TELA Q-283. AF_09/2021</v>
          </cell>
          <cell r="D8761" t="str">
            <v>KG</v>
          </cell>
          <cell r="E8761">
            <v>11.45</v>
          </cell>
          <cell r="F8761">
            <v>0</v>
          </cell>
        </row>
        <row r="8762">
          <cell r="B8762">
            <v>103054</v>
          </cell>
          <cell r="C8762" t="str">
            <v>ARMAÇÃO PARA EXECUÇÃO DE RADIER, PISO DE CONCRETO OU LAJE SOBRE SOLO, COM USO DE TELA Q-396. AF_09/2021</v>
          </cell>
          <cell r="D8762" t="str">
            <v>KG</v>
          </cell>
          <cell r="E8762">
            <v>0</v>
          </cell>
        </row>
        <row r="8763">
          <cell r="B8763">
            <v>97088</v>
          </cell>
          <cell r="C8763" t="str">
            <v>ARMAÇÃO PARA EXECUÇÃO DE RADIER, PISO DE CONCRETO OU LAJE SOBRE SOLO, COM USO DE TELA Q-92. AF_09/2021</v>
          </cell>
          <cell r="D8763" t="str">
            <v>KG</v>
          </cell>
          <cell r="E8763">
            <v>14.92</v>
          </cell>
          <cell r="F8763">
            <v>0</v>
          </cell>
        </row>
        <row r="8764">
          <cell r="B8764">
            <v>97087</v>
          </cell>
          <cell r="C8764" t="str">
            <v>CAMADA SEPARADORA PARA EXECUÇÃO DE RADIER, PISO DE CONCRETO OU LAJE SOBRE SOLO, EM LONA PLÁSTICA. AF_09/2021</v>
          </cell>
          <cell r="D8764" t="str">
            <v>M2</v>
          </cell>
          <cell r="E8764">
            <v>3.02</v>
          </cell>
          <cell r="F8764">
            <v>0</v>
          </cell>
        </row>
        <row r="8765">
          <cell r="B8765">
            <v>97083</v>
          </cell>
          <cell r="C8765" t="str">
            <v>COMPACTAÇÃO MECÂNICA DE SOLO PARA EXECUÇÃO DE RADIER, PISO DE CONCRETO OU LAJE SOBRE SOLO, COM COMPACTADOR DE SOLOS A PERCUSSÃO. AF_09/2021</v>
          </cell>
          <cell r="D8765" t="str">
            <v>M2</v>
          </cell>
          <cell r="E8765">
            <v>4.57</v>
          </cell>
          <cell r="F8765">
            <v>0</v>
          </cell>
        </row>
        <row r="8766">
          <cell r="B8766">
            <v>97084</v>
          </cell>
          <cell r="C8766" t="str">
            <v>COMPACTAÇÃO MECÂNICA DE SOLO PARA EXECUÇÃO DE RADIER, PISO DE CONCRETO OU LAJE SOBRE SOLO, COM COMPACTADOR DE SOLOS TIPO PLACA VIBRATÓRIA. AF_09/2021</v>
          </cell>
          <cell r="D8766" t="str">
            <v>M2</v>
          </cell>
          <cell r="E8766">
            <v>0.96</v>
          </cell>
          <cell r="F8766">
            <v>0</v>
          </cell>
        </row>
        <row r="8767">
          <cell r="B8767">
            <v>97096</v>
          </cell>
          <cell r="C8767" t="str">
            <v>CONCRETAGEM DE RADIER, PISO DE CONCRETO OU LAJE SOBRE SOLO, FCK 30 MPA - LANÇAMENTO, ADENSAMENTO E ACABAMENTO. AF_09/2021</v>
          </cell>
          <cell r="D8767" t="str">
            <v>M3</v>
          </cell>
          <cell r="E8767">
            <v>552.29</v>
          </cell>
          <cell r="F8767">
            <v>0</v>
          </cell>
        </row>
        <row r="8768">
          <cell r="B8768">
            <v>97082</v>
          </cell>
          <cell r="C8768" t="str">
            <v>ESCAVAÇÃO MANUAL DE VIGA DE BORDA PARA RADIER. AF_09/2021</v>
          </cell>
          <cell r="D8768" t="str">
            <v>M3</v>
          </cell>
          <cell r="E8768">
            <v>90.45</v>
          </cell>
          <cell r="F8768">
            <v>0</v>
          </cell>
        </row>
        <row r="8769">
          <cell r="B8769">
            <v>103076</v>
          </cell>
          <cell r="C8769" t="str">
            <v>EXECUÇÃO DE LAJE SOBRE SOLO, ESPESSURA DE 10 CM, FCK = 30 MPA, COM USO DE FORMAS EM MADEIRA SERRADA. AF_09/2021</v>
          </cell>
          <cell r="D8769" t="str">
            <v>M2</v>
          </cell>
          <cell r="E8769">
            <v>142.13999999999999</v>
          </cell>
          <cell r="F8769">
            <v>0</v>
          </cell>
        </row>
        <row r="8770">
          <cell r="B8770">
            <v>103067</v>
          </cell>
          <cell r="C8770" t="str">
            <v>EXECUÇÃO DE LAJE SOBRE SOLO, ESPESSURA DE 10 CM, FCK = 30 MPA, COM USO DE FORMAS METÁLICAS. AF_09/2021</v>
          </cell>
          <cell r="D8770" t="str">
            <v>M2</v>
          </cell>
          <cell r="E8770">
            <v>0</v>
          </cell>
        </row>
        <row r="8771">
          <cell r="B8771">
            <v>103077</v>
          </cell>
          <cell r="C8771" t="str">
            <v>EXECUÇÃO DE LAJE SOBRE SOLO, ESPESSURA DE 15 CM, FCK = 30 MPA, COM USO DE FORMAS EM MADEIRA SERRADA. AF_09/2021</v>
          </cell>
          <cell r="D8771" t="str">
            <v>M2</v>
          </cell>
          <cell r="E8771">
            <v>182.46</v>
          </cell>
          <cell r="F8771">
            <v>0</v>
          </cell>
        </row>
        <row r="8772">
          <cell r="B8772">
            <v>103068</v>
          </cell>
          <cell r="C8772" t="str">
            <v>EXECUÇÃO DE LAJE SOBRE SOLO, ESPESSURA DE 15 CM, FCK = 30 MPA, COM USO DE FORMAS METÁLICAS. AF_09/2021</v>
          </cell>
          <cell r="D8772" t="str">
            <v>M2</v>
          </cell>
          <cell r="E8772">
            <v>0</v>
          </cell>
        </row>
        <row r="8773">
          <cell r="B8773">
            <v>103078</v>
          </cell>
          <cell r="C8773" t="str">
            <v>EXECUÇÃO DE LAJE SOBRE SOLO, ESPESSURA DE 20 CM, FCK = 30 MPA, COM USO DE FORMAS EM MADEIRA SERRADA. AF_09/2021</v>
          </cell>
          <cell r="D8773" t="str">
            <v>M2</v>
          </cell>
          <cell r="E8773">
            <v>219.65</v>
          </cell>
          <cell r="F8773">
            <v>0</v>
          </cell>
        </row>
        <row r="8774">
          <cell r="B8774">
            <v>103069</v>
          </cell>
          <cell r="C8774" t="str">
            <v>EXECUÇÃO DE LAJE SOBRE SOLO, ESPESSURA DE 20 CM, FCK = 30 MPA, COM USO DE FORMAS METÁLICAS. AF_09/2021</v>
          </cell>
          <cell r="D8774" t="str">
            <v>M2</v>
          </cell>
          <cell r="E8774">
            <v>0</v>
          </cell>
        </row>
        <row r="8775">
          <cell r="B8775">
            <v>103079</v>
          </cell>
          <cell r="C8775" t="str">
            <v>EXECUÇÃO DE LAJE SOBRE SOLO, ESPESSURA DE 25 CM, FCK = 30 MPA, COM USO DE FORMAS EM MADEIRA SERRADA. AF_09/2021</v>
          </cell>
          <cell r="D8775" t="str">
            <v>M2</v>
          </cell>
          <cell r="E8775">
            <v>262.61</v>
          </cell>
          <cell r="F8775">
            <v>0</v>
          </cell>
        </row>
        <row r="8776">
          <cell r="B8776">
            <v>103070</v>
          </cell>
          <cell r="C8776" t="str">
            <v>EXECUÇÃO DE LAJE SOBRE SOLO, ESPESSURA DE 25 CM, FCK = 30 MPA, COM USO DE FORMAS METÁLICAS. AF_09/2021</v>
          </cell>
          <cell r="D8776" t="str">
            <v>M2</v>
          </cell>
          <cell r="E8776">
            <v>0</v>
          </cell>
        </row>
        <row r="8777">
          <cell r="B8777">
            <v>103080</v>
          </cell>
          <cell r="C8777" t="str">
            <v>EXECUÇÃO DE LAJE SOBRE SOLO, ESPESSURA DE 30 CM, FCK = 30 MPA, COM USO DE FORMAS EM MADEIRA SERRADA. AF_09/2021</v>
          </cell>
          <cell r="D8777" t="str">
            <v>M2</v>
          </cell>
          <cell r="E8777">
            <v>319.8</v>
          </cell>
          <cell r="F8777">
            <v>0</v>
          </cell>
        </row>
        <row r="8778">
          <cell r="B8778">
            <v>103071</v>
          </cell>
          <cell r="C8778" t="str">
            <v>EXECUÇÃO DE LAJE SOBRE SOLO, ESPESSURA DE 30 CM, FCK = 30 MPA, COM USO DE FORMAS METÁLICAS. AF_09/2021</v>
          </cell>
          <cell r="D8778" t="str">
            <v>M2</v>
          </cell>
          <cell r="E8778">
            <v>0</v>
          </cell>
        </row>
        <row r="8779">
          <cell r="B8779">
            <v>103075</v>
          </cell>
          <cell r="C8779" t="str">
            <v>EXECUÇÃO DE PISO DE CONCRETO, COM ACABAMENTO SUPERFICIAL, ESPESSURA DE 15 CM, FCK = 30 MPA, COM USO DE FORMAS EM MADEIRA SERRADA. AF_09/2021</v>
          </cell>
          <cell r="D8779" t="str">
            <v>M2</v>
          </cell>
          <cell r="E8779">
            <v>198.74</v>
          </cell>
          <cell r="F8779">
            <v>0</v>
          </cell>
        </row>
        <row r="8780">
          <cell r="B8780">
            <v>103062</v>
          </cell>
          <cell r="C8780" t="str">
            <v>EXECUÇÃO DE PISO DE CONCRETO, COM ACABAMENTO SUPERFICIAL, ESPESSURA DE 15 CM, FCK = 30 MPA, COM USO DE FORMAS METÁLICAS. AF_09/2021</v>
          </cell>
          <cell r="D8780" t="str">
            <v>M2</v>
          </cell>
          <cell r="E8780">
            <v>0</v>
          </cell>
        </row>
        <row r="8781">
          <cell r="B8781">
            <v>103065</v>
          </cell>
          <cell r="C8781" t="str">
            <v>EXECUÇÃO DE PISO DE CONCRETO, COM ACABAMENTO SUPERFICIAL, ESPESSURA DE 20 CM, FCK = 30 MPA, COM USO DE FORMAS EM MADEIRA SERRADA. AF_09/2021</v>
          </cell>
          <cell r="D8781" t="str">
            <v>M2</v>
          </cell>
          <cell r="E8781">
            <v>0</v>
          </cell>
        </row>
        <row r="8782">
          <cell r="B8782">
            <v>103063</v>
          </cell>
          <cell r="C8782" t="str">
            <v>EXECUÇÃO DE PISO DE CONCRETO, COM ACABAMENTO SUPERFICIAL, ESPESSURA DE 20 CM, FCK = 30 MPA, COM USO DE FORMAS METÁLICAS. AF_09/2021</v>
          </cell>
          <cell r="D8782" t="str">
            <v>M2</v>
          </cell>
          <cell r="E8782">
            <v>0</v>
          </cell>
        </row>
        <row r="8783">
          <cell r="B8783">
            <v>103066</v>
          </cell>
          <cell r="C8783" t="str">
            <v>EXECUÇÃO DE PISO DE CONCRETO, COM ACABAMENTO SUPERFICIAL, ESPESSURA DE 25 CM, FCK = 30 MPA, COM USO DE FORMAS EM MADEIRA SERRADA. AF_09/2021</v>
          </cell>
          <cell r="D8783" t="str">
            <v>M2</v>
          </cell>
          <cell r="E8783">
            <v>0</v>
          </cell>
        </row>
        <row r="8784">
          <cell r="B8784">
            <v>103064</v>
          </cell>
          <cell r="C8784" t="str">
            <v>EXECUÇÃO DE PISO DE CONCRETO, COM ACABAMENTO SUPERFICIAL, ESPESSURA DE 25 CM, FCK = 30 MPA, COM USO DE FORMAS METÁLICAS. AF_09/2021</v>
          </cell>
          <cell r="D8784" t="str">
            <v>M2</v>
          </cell>
          <cell r="E8784">
            <v>0</v>
          </cell>
        </row>
        <row r="8785">
          <cell r="B8785">
            <v>103074</v>
          </cell>
          <cell r="C8785" t="str">
            <v>EXECUÇÃO DE PISO DE CONCRETO, SEM ACABAMENTO SUPERFICIAL, ESPESSURA DE 15 CM, FCK = 30 MPA, COM USO DE FORMAS EM MADEIRA SERRADA. AF_09/2021</v>
          </cell>
          <cell r="D8785" t="str">
            <v>M2</v>
          </cell>
          <cell r="E8785">
            <v>162.44</v>
          </cell>
          <cell r="F8785">
            <v>0</v>
          </cell>
        </row>
        <row r="8786">
          <cell r="B8786">
            <v>103057</v>
          </cell>
          <cell r="C8786" t="str">
            <v>EXECUÇÃO DE PISO DE CONCRETO, SEM ACABAMENTO SUPERFICIAL, ESPESSURA DE 15 CM, FCK = 30 MPA, COM USO DE FORMAS METÁLICAS. AF_09/2021</v>
          </cell>
          <cell r="D8786" t="str">
            <v>M2</v>
          </cell>
          <cell r="E8786">
            <v>0</v>
          </cell>
        </row>
        <row r="8787">
          <cell r="B8787">
            <v>103060</v>
          </cell>
          <cell r="C8787" t="str">
            <v>EXECUÇÃO DE PISO DE CONCRETO, SEM ACABAMENTO SUPERFICIAL, ESPESSURA DE 20 CM, FCK = 30 MPA, COM USO DE FORMAS EM MADEIRA SERRADA. AF_09/2021</v>
          </cell>
          <cell r="D8787" t="str">
            <v>M2</v>
          </cell>
          <cell r="E8787">
            <v>0</v>
          </cell>
        </row>
        <row r="8788">
          <cell r="B8788">
            <v>103058</v>
          </cell>
          <cell r="C8788" t="str">
            <v>EXECUÇÃO DE PISO DE CONCRETO, SEM ACABAMENTO SUPERFICIAL, ESPESSURA DE 20 CM, FCK = 30 MPA, COM USO DE FORMAS METÁLICAS. AF_09/2021</v>
          </cell>
          <cell r="D8788" t="str">
            <v>M2</v>
          </cell>
          <cell r="E8788">
            <v>0</v>
          </cell>
        </row>
        <row r="8789">
          <cell r="B8789">
            <v>103061</v>
          </cell>
          <cell r="C8789" t="str">
            <v>EXECUÇÃO DE PISO DE CONCRETO, SEM ACABAMENTO SUPERFICIAL, ESPESSURA DE 25 CM, FCK = 30 MPA, COM USO DE FORMAS EM MADEIRA SERRADA. AF_09/2021</v>
          </cell>
          <cell r="D8789" t="str">
            <v>M2</v>
          </cell>
          <cell r="E8789">
            <v>0</v>
          </cell>
        </row>
        <row r="8790">
          <cell r="B8790">
            <v>103059</v>
          </cell>
          <cell r="C8790" t="str">
            <v>EXECUÇÃO DE PISO DE CONCRETO, SEM ACABAMENTO SUPERFICIAL, ESPESSURA DE 25 CM, FCK = 30 MPA, COM USO DE FORMAS METÁLICAS. AF_09/2021</v>
          </cell>
          <cell r="D8790" t="str">
            <v>M2</v>
          </cell>
          <cell r="E8790">
            <v>0</v>
          </cell>
        </row>
        <row r="8791">
          <cell r="B8791">
            <v>97101</v>
          </cell>
          <cell r="C8791" t="str">
            <v>EXECUÇÃO DE RADIER, ESPESSURA DE 10 CM, FCK = 30 MPA, COM USO DE FORMAS EM MADEIRA SERRADA. AF_09/2021</v>
          </cell>
          <cell r="D8791" t="str">
            <v>M2</v>
          </cell>
          <cell r="E8791">
            <v>165.35</v>
          </cell>
          <cell r="F8791">
            <v>0</v>
          </cell>
        </row>
        <row r="8792">
          <cell r="B8792">
            <v>97098</v>
          </cell>
          <cell r="C8792" t="str">
            <v>EXECUÇÃO DE RADIER, ESPESSURA DE 10 CM, FCK = 30 MPA, COM USO DE FORMAS METÁLICAS. AF_09/2021</v>
          </cell>
          <cell r="D8792" t="str">
            <v>M2</v>
          </cell>
          <cell r="E8792">
            <v>0</v>
          </cell>
        </row>
        <row r="8793">
          <cell r="B8793">
            <v>97102</v>
          </cell>
          <cell r="C8793" t="str">
            <v>EXECUÇÃO DE RADIER, ESPESSURA DE 15 CM, FCK = 30 MPA, COM USO DE FORMAS EM MADEIRA SERRADA. AF_09/2021</v>
          </cell>
          <cell r="D8793" t="str">
            <v>M2</v>
          </cell>
          <cell r="E8793">
            <v>205.67</v>
          </cell>
          <cell r="F8793">
            <v>0</v>
          </cell>
        </row>
        <row r="8794">
          <cell r="B8794">
            <v>97099</v>
          </cell>
          <cell r="C8794" t="str">
            <v>EXECUÇÃO DE RADIER, ESPESSURA DE 15 CM, FCK = 30 MPA, COM USO DE FORMAS METÁLICAS. AF_09/2021</v>
          </cell>
          <cell r="D8794" t="str">
            <v>M2</v>
          </cell>
          <cell r="E8794">
            <v>0</v>
          </cell>
        </row>
        <row r="8795">
          <cell r="B8795">
            <v>97103</v>
          </cell>
          <cell r="C8795" t="str">
            <v>EXECUÇÃO DE RADIER, ESPESSURA DE 20 CM, FCK = 30 MPA, COM USO DE FORMAS EM MADEIRA SERRADA. AF_09/2021</v>
          </cell>
          <cell r="D8795" t="str">
            <v>M2</v>
          </cell>
          <cell r="E8795">
            <v>242.86</v>
          </cell>
          <cell r="F8795">
            <v>0</v>
          </cell>
        </row>
        <row r="8796">
          <cell r="B8796">
            <v>97100</v>
          </cell>
          <cell r="C8796" t="str">
            <v>EXECUÇÃO DE RADIER, ESPESSURA DE 20 CM, FCK = 30 MPA, COM USO DE FORMAS METÁLICAS. AF_09/2021</v>
          </cell>
          <cell r="D8796" t="str">
            <v>M2</v>
          </cell>
          <cell r="E8796">
            <v>0</v>
          </cell>
        </row>
        <row r="8797">
          <cell r="B8797">
            <v>103072</v>
          </cell>
          <cell r="C8797" t="str">
            <v>EXECUÇÃO DE RADIER, ESPESSURA DE 25 CM, FCK = 30 MPA, COM USO DE FORMAS EM MADEIRA SERRADA. AF_09/2021</v>
          </cell>
          <cell r="D8797" t="str">
            <v>M2</v>
          </cell>
          <cell r="E8797">
            <v>285.82</v>
          </cell>
          <cell r="F8797">
            <v>0</v>
          </cell>
        </row>
        <row r="8798">
          <cell r="B8798">
            <v>103055</v>
          </cell>
          <cell r="C8798" t="str">
            <v>EXECUÇÃO DE RADIER, ESPESSURA DE 25 CM, FCK = 30 MPA, COM USO DE FORMAS METÁLICAS. AF_09/2021</v>
          </cell>
          <cell r="D8798" t="str">
            <v>M2</v>
          </cell>
          <cell r="E8798">
            <v>0</v>
          </cell>
        </row>
        <row r="8799">
          <cell r="B8799">
            <v>103073</v>
          </cell>
          <cell r="C8799" t="str">
            <v>EXECUÇÃO DE RADIER, ESPESSURA DE 30 CM, FCK = 30 MPA, COM USO DE FORMAS EM MADEIRA SERRADA. AF_09/2021</v>
          </cell>
          <cell r="D8799" t="str">
            <v>M2</v>
          </cell>
          <cell r="E8799">
            <v>343.01</v>
          </cell>
          <cell r="F8799">
            <v>0</v>
          </cell>
        </row>
        <row r="8800">
          <cell r="B8800">
            <v>103056</v>
          </cell>
          <cell r="C8800" t="str">
            <v>EXECUÇÃO DE RADIER, ESPESSURA DE 30 CM, FCK = 30 MPA, COM USO DE FORMAS METÁLICAS. AF_09/2021</v>
          </cell>
          <cell r="D8800" t="str">
            <v>M2</v>
          </cell>
          <cell r="E8800">
            <v>0</v>
          </cell>
        </row>
        <row r="8801">
          <cell r="B8801">
            <v>97086</v>
          </cell>
          <cell r="C8801" t="str">
            <v>FABRICAÇÃO, MONTAGEM E DESMONTAGEM DE FORMA PARA RADIER, PISO DE CONCRETO OU LAJE SOBRE SOLO, EM MADEIRA SERRADA, 4 UTILIZAÇÕES. AF_09/2021</v>
          </cell>
          <cell r="D8801" t="str">
            <v>M2</v>
          </cell>
          <cell r="E8801">
            <v>168.59</v>
          </cell>
          <cell r="F8801">
            <v>0</v>
          </cell>
        </row>
        <row r="8802">
          <cell r="B8802">
            <v>97085</v>
          </cell>
          <cell r="C8802" t="str">
            <v>MONTAGEM E DESMONTAGEM DE FORMA PARA RADIER, PISO DE CONCRETO OU LAJE SOBRE SOLO, COM SISTEMA DE FORMAS MANUSEÁVEIS METÁLICAS. AF_09/2021</v>
          </cell>
          <cell r="D8802" t="str">
            <v>M2</v>
          </cell>
          <cell r="E8802">
            <v>0</v>
          </cell>
        </row>
        <row r="8803">
          <cell r="B8803">
            <v>104766</v>
          </cell>
          <cell r="C8803" t="str">
            <v>CHUMBAMENTO LINEAR EM ALVENARIA PARA ELETRODUTOS COM DIÂMETROS MENORES OU IGUAIS A 40 MM. AF_09/2023</v>
          </cell>
          <cell r="D8803" t="str">
            <v>M</v>
          </cell>
          <cell r="E8803">
            <v>22.73</v>
          </cell>
          <cell r="F8803">
            <v>0</v>
          </cell>
        </row>
        <row r="8804">
          <cell r="B8804">
            <v>90467</v>
          </cell>
          <cell r="C8804" t="str">
            <v>CHUMBAMENTO LINEAR EM ALVENARIA PARA RAMAIS/DISTRIBUIÇÃO DE INSTALAÇÕES HIDRÁULICAS COM DIÂMETROS MAIORES QUE 40 MM E MENORES OU IGUAIS A 75 MM. AF_09/2023</v>
          </cell>
          <cell r="D8804" t="str">
            <v>M</v>
          </cell>
          <cell r="E8804">
            <v>31.51</v>
          </cell>
          <cell r="F8804">
            <v>0</v>
          </cell>
        </row>
        <row r="8805">
          <cell r="B8805">
            <v>90466</v>
          </cell>
          <cell r="C8805" t="str">
            <v>CHUMBAMENTO LINEAR EM ALVENARIA PARA RAMAIS/DISTRIBUIÇÃO DE INSTALAÇÕES HIDRÁULICAS COM DIÂMETROS MENORES OU IGUAIS A 40 MM. AF_09/2023</v>
          </cell>
          <cell r="D8805" t="str">
            <v>M</v>
          </cell>
          <cell r="E8805">
            <v>21</v>
          </cell>
          <cell r="F8805">
            <v>0</v>
          </cell>
        </row>
        <row r="8806">
          <cell r="B8806">
            <v>90469</v>
          </cell>
          <cell r="C8806" t="str">
            <v>CHUMBAMENTO LINEAR EM CONTRAPISO PARA RAMAIS/DISTRIBUIÇÃO DE INSTALAÇÕES HIDRÁULICAS COM DIÂMETROS MAIORES QUE 40 MM E MENORES OU IGUAIS A 75 MM. AF_09/2023</v>
          </cell>
          <cell r="D8806" t="str">
            <v>M</v>
          </cell>
          <cell r="E8806">
            <v>14.52</v>
          </cell>
          <cell r="F8806">
            <v>0</v>
          </cell>
        </row>
        <row r="8807">
          <cell r="B8807">
            <v>90470</v>
          </cell>
          <cell r="C8807" t="str">
            <v>CHUMBAMENTO LINEAR EM CONTRAPISO PARA RAMAIS/DISTRIBUIÇÃO DE INSTALAÇÕES HIDRÁULICAS COM DIÂMETROS MAIORES QUE 75 MM E MENORES OU IGUAIS A 100 MM. AF_09/2023</v>
          </cell>
          <cell r="D8807" t="str">
            <v>M</v>
          </cell>
          <cell r="E8807">
            <v>19.059999999999999</v>
          </cell>
          <cell r="F8807">
            <v>0</v>
          </cell>
        </row>
        <row r="8808">
          <cell r="B8808">
            <v>90468</v>
          </cell>
          <cell r="C8808" t="str">
            <v>CHUMBAMENTO LINEAR EM CONTRAPISO PARA RAMAIS/DISTRIBUIÇÃO DE INSTALAÇÕES HIDRÁULICAS COM DIÂMETROS MENORES OU IGUAIS A 40 MM. AF_09/2023</v>
          </cell>
          <cell r="D8808" t="str">
            <v>M</v>
          </cell>
          <cell r="E8808">
            <v>9.59</v>
          </cell>
          <cell r="F8808">
            <v>0</v>
          </cell>
        </row>
        <row r="8809">
          <cell r="B8809">
            <v>91188</v>
          </cell>
          <cell r="C8809" t="str">
            <v>CHUMBAMENTO PONTUAL DE ABERTURA EM LAJE COM PASSAGEM DE 1 TUBO COM DIÂMETRO DE 50 MM. AF_09/2023</v>
          </cell>
          <cell r="D8809" t="str">
            <v>UN</v>
          </cell>
          <cell r="E8809">
            <v>17.260000000000002</v>
          </cell>
          <cell r="F8809">
            <v>0</v>
          </cell>
        </row>
        <row r="8810">
          <cell r="B8810">
            <v>91189</v>
          </cell>
          <cell r="C8810" t="str">
            <v>CHUMBAMENTO PONTUAL DE ABERTURA EM LAJE COM PASSAGEM DE 5 TUBOS COM DIÂMETROS DE 50 MM. AF_09/2023</v>
          </cell>
          <cell r="D8810" t="str">
            <v>UN</v>
          </cell>
          <cell r="E8810">
            <v>87.51</v>
          </cell>
          <cell r="F8810">
            <v>0</v>
          </cell>
        </row>
        <row r="8811">
          <cell r="B8811">
            <v>91192</v>
          </cell>
          <cell r="C8811" t="str">
            <v>CHUMBAMENTO PONTUAL EM PASSAGEM DE TUBO COM DIÂMETRO MAIOR QUE 75 MM E MENORES OU IGUAIS A 150 MM. AF_09/2023</v>
          </cell>
          <cell r="D8811" t="str">
            <v>UN</v>
          </cell>
          <cell r="E8811">
            <v>25.75</v>
          </cell>
          <cell r="F8811">
            <v>0</v>
          </cell>
        </row>
        <row r="8812">
          <cell r="B8812">
            <v>91190</v>
          </cell>
          <cell r="C8812" t="str">
            <v>CHUMBAMENTO PONTUAL EM PASSAGEM DE TUBO COM DIÂMETRO MENOR OU IGUAL A 40 MM. AF_09/2023</v>
          </cell>
          <cell r="D8812" t="str">
            <v>UN</v>
          </cell>
          <cell r="E8812">
            <v>13.7</v>
          </cell>
          <cell r="F8812">
            <v>0</v>
          </cell>
        </row>
        <row r="8813">
          <cell r="B8813">
            <v>91191</v>
          </cell>
          <cell r="C8813" t="str">
            <v>CHUMBAMENTO PONTUAL EM PASSAGEM DE TUBO COM DIÂMETROS ENTRE 40 MM E 75 MM. AF_09/2023</v>
          </cell>
          <cell r="D8813" t="str">
            <v>UN</v>
          </cell>
          <cell r="E8813">
            <v>18.010000000000002</v>
          </cell>
          <cell r="F8813">
            <v>0</v>
          </cell>
        </row>
        <row r="8814">
          <cell r="B8814">
            <v>95541</v>
          </cell>
          <cell r="C8814" t="str">
            <v>FIXAÇÃO DE DUTOS FLEXÍVEIS CIRCULARES, DIÂMETRO 109 MM OU 4", COM ABRAÇADEIRA METÁLICA FLEXÍVEL FIXADA DIRETAMENTE NA LAJE, SOMENTE MÃO DE OBRA. AF_09/2023</v>
          </cell>
          <cell r="D8814" t="str">
            <v>UN</v>
          </cell>
          <cell r="E8814">
            <v>35.94</v>
          </cell>
          <cell r="F8814">
            <v>0</v>
          </cell>
        </row>
        <row r="8815">
          <cell r="B8815">
            <v>96564</v>
          </cell>
          <cell r="C8815" t="str">
            <v>FIXAÇÃO DE DUTOS FLEXÍVEIS CIRCULARES, DIÂMETRO 109 MM OU 4", COM ABRAÇADEIRA METÁLICA FLEXÍVEL FIXADA DIRETAMENTE NA LAJE. AF_09/2023</v>
          </cell>
          <cell r="D8815" t="str">
            <v>M</v>
          </cell>
          <cell r="E8815">
            <v>0</v>
          </cell>
        </row>
        <row r="8816">
          <cell r="B8816">
            <v>104785</v>
          </cell>
          <cell r="C8816" t="str">
            <v>FIXAÇÃO DE ELETRODUTOS, DIÂMETROS MENORES OU IGUAIS A 40 MM, COM ABRAÇADEIRA METÁLICA RÍGIDA TIPO D COM PARAFUSO DE FIXAÇÃO 1 1/4", FIXADA DIRETAMENTE NA LAJE OU PAREDE. AF_09/2023</v>
          </cell>
          <cell r="D8816" t="str">
            <v>M</v>
          </cell>
          <cell r="E8816">
            <v>15.14</v>
          </cell>
          <cell r="F8816">
            <v>0</v>
          </cell>
        </row>
        <row r="8817">
          <cell r="B8817">
            <v>91166</v>
          </cell>
          <cell r="C8817" t="str">
            <v>FIXAÇÃO DE TUBOS HORIZONTAIS DE PEX OU MULTICAMADAS, DIÂMETROS IGUAIS OU INFERIORES A 40 MM, COM ABRAÇADEIRA PLÁSTICA FIXADA EM LAJE. AF_09/2023_PE</v>
          </cell>
          <cell r="D8817" t="str">
            <v>M</v>
          </cell>
          <cell r="E8817">
            <v>5.03</v>
          </cell>
          <cell r="F8817">
            <v>0</v>
          </cell>
        </row>
        <row r="8818">
          <cell r="B8818">
            <v>91167</v>
          </cell>
          <cell r="C8818" t="str">
            <v>FIXAÇÃO DE TUBOS HORIZONTAIS DE PPR DIÂMETROS MENORES OU IGUAIS A 40 MM COM ABRAÇADEIRA METÁLICA RÍGIDA TIPO U PERFIL 1 1/4", FIXADA EM PERFILADO EM LAJE. AF_09/2023_PS</v>
          </cell>
          <cell r="D8818" t="str">
            <v>M</v>
          </cell>
          <cell r="E8818">
            <v>13.09</v>
          </cell>
          <cell r="F8818">
            <v>0</v>
          </cell>
        </row>
        <row r="8819">
          <cell r="B8819">
            <v>91176</v>
          </cell>
          <cell r="C8819" t="str">
            <v>FIXAÇÃO DE TUBOS HORIZONTAIS DE PPR DIÂMETROS MENORES OU IGUAIS A 40 MM, COM ABRAÇADEIRA METÁLICA RÍGIDA TIPO D COM PARAFUSO DE FIXAÇÃO 1 1/4", FIXADA DIRETAMENTE NA LAJE OU PAREDE. AF_09/2023</v>
          </cell>
          <cell r="D8819" t="str">
            <v>M</v>
          </cell>
          <cell r="E8819">
            <v>20.34</v>
          </cell>
          <cell r="F8819">
            <v>0</v>
          </cell>
        </row>
        <row r="8820">
          <cell r="B8820">
            <v>91182</v>
          </cell>
          <cell r="C8820" t="str">
            <v>FIXAÇÃO DE TUBOS HORIZONTAIS DE PPR, DIÂMETROS MENORES OU IGUAIS A 40 MM, COM ABRAÇADEIRA METÁLICA FLEXÍVEL 18 MM, FIXADA DIRETAMENTE NA LAJE. AF_09/2023</v>
          </cell>
          <cell r="D8820" t="str">
            <v>M</v>
          </cell>
          <cell r="E8820">
            <v>34.58</v>
          </cell>
          <cell r="F8820">
            <v>0</v>
          </cell>
        </row>
        <row r="8821">
          <cell r="B8821">
            <v>91186</v>
          </cell>
          <cell r="C8821" t="str">
            <v>FIXAÇÃO DE TUBOS HORIZONTAIS DE PVC ÁGUA, PVC ESGOTO, PVC ÁGUA PLUVIAL, CPVC, PPR, COBRE OU AÇO, DIÂMETROS MAIORES QUE 40 MM E MENORES OU IGUAIS A 75 MM, COM ABRAÇADEIRA METÁLICA FLEXÍVEL 18 MM, FIXADA DIRETAMENTE NA LAJE. AF_09/2023</v>
          </cell>
          <cell r="D8821" t="str">
            <v>M</v>
          </cell>
          <cell r="E8821">
            <v>38.21</v>
          </cell>
          <cell r="F8821">
            <v>0</v>
          </cell>
        </row>
        <row r="8822">
          <cell r="B8822">
            <v>91171</v>
          </cell>
          <cell r="C8822" t="str">
            <v>FIXAÇÃO DE TUBOS HORIZONTAIS DE PVC ÁGUA, PVC ESGOTO, PVC ÁGUA PLUVIAL, CPVC, PPR, COBRE OU AÇO, DIÂMETROS MAIORES QUE 40 MM E MENORES OU IGUAIS A 75 MM, COM ABRAÇADEIRA METÁLICA RÍGIDA TIPO U PERFIL 2 1/2", FIXADA EM PERFILADO EM LAJE. AF_09/2023_PS</v>
          </cell>
          <cell r="D8822" t="str">
            <v>M</v>
          </cell>
          <cell r="E8822">
            <v>20.74</v>
          </cell>
          <cell r="F8822">
            <v>0</v>
          </cell>
        </row>
        <row r="8823">
          <cell r="B8823">
            <v>91187</v>
          </cell>
          <cell r="C8823" t="str">
            <v>FIXAÇÃO DE TUBOS HORIZONTAIS DE PVC ÁGUA, PVC ESGOTO, PVC ÁGUA PLUVIAL, CPVC, PPR, COBRE OU AÇO, DIÂMETROS MAIORES QUE 75 MM E MENORES OU IGUAIS A 100 MM, COM ABRAÇADEIRA METÁLICA FLEXÍVEL 18 MM, FIXADA DIRETAMENTE NA LAJE. AF_09/2023</v>
          </cell>
          <cell r="D8823" t="str">
            <v>M</v>
          </cell>
          <cell r="E8823">
            <v>34.479999999999997</v>
          </cell>
          <cell r="F8823">
            <v>0</v>
          </cell>
        </row>
        <row r="8824">
          <cell r="B8824">
            <v>91172</v>
          </cell>
          <cell r="C8824" t="str">
            <v>FIXAÇÃO DE TUBOS HORIZONTAIS DE PVC ÁGUA, PVC ESGOTO, PVC ÁGUA PLUVIAL, CPVC, PPR, COBRE OU AÇO, DIÂMETROS MAIORES QUE 75 MM E MENORES OU IGUAIS A 100 MM, COM ABRAÇADEIRA METÁLICA RÍGIDA TIPO U PERFIL 4", FIXADA EM PERFILADO EM LAJE. AF_09/2023_PS</v>
          </cell>
          <cell r="D8824" t="str">
            <v>M</v>
          </cell>
          <cell r="E8824">
            <v>23.78</v>
          </cell>
          <cell r="F8824">
            <v>0</v>
          </cell>
        </row>
        <row r="8825">
          <cell r="B8825">
            <v>91185</v>
          </cell>
          <cell r="C8825" t="str">
            <v>FIXAÇÃO DE TUBOS HORIZONTAIS DE PVC ÁGUA, PVC ESGOTO, PVC ÁGUA PLUVIAL, CPVC, PPR, COBRE OU AÇO, DIÂMETROS MENORES OU IGUAIS A 40 MM, COM ABRAÇADEIRA METÁLICA FLEXÍVEL 18 MM, FIXADA DIRETAMENTE NA LAJE. AF_09/2023</v>
          </cell>
          <cell r="D8825" t="str">
            <v>M</v>
          </cell>
          <cell r="E8825">
            <v>34.58</v>
          </cell>
          <cell r="F8825">
            <v>0</v>
          </cell>
        </row>
        <row r="8826">
          <cell r="B8826">
            <v>91170</v>
          </cell>
          <cell r="C8826" t="str">
            <v>FIXAÇÃO DE TUBOS HORIZONTAIS DE PVC ÁGUA, PVC ESGOTO, PVC ÁGUA PLUVIAL, CPVC, PPR, COBRE OU AÇO, DIÂMETROS MENORES OU IGUAIS A 40 MM, COM ABRAÇADEIRA METÁLICA RÍGIDA TIPO U PERFIL 1 1/4", FIXADA EM PERFILADO EM LAJE. AF_09/2023_PS</v>
          </cell>
          <cell r="D8826" t="str">
            <v>M</v>
          </cell>
          <cell r="E8826">
            <v>13.09</v>
          </cell>
          <cell r="F8826">
            <v>0</v>
          </cell>
        </row>
        <row r="8827">
          <cell r="B8827">
            <v>91180</v>
          </cell>
          <cell r="C8827" t="str">
            <v>FIXAÇÃO DE TUBOS HORIZONTAIS DE PVC ÁGUA/PVC ESGOTO/PVC PLUVIAL/CPVC/PPR/COBRE OU AÇO, DIÂMETROS MAIORES QUE 40 MM E MENORES OU IGUAIS A 75 MM, COM ABRAÇADEIRA TIPO D COM PARAFUSO DE FIXAÇÃO 2 1/2", FIXADA DIRETAMENTE NA LAJE OU PAREDE. AF_09/2023</v>
          </cell>
          <cell r="D8827" t="str">
            <v>M</v>
          </cell>
          <cell r="E8827">
            <v>27.26</v>
          </cell>
          <cell r="F8827">
            <v>0</v>
          </cell>
        </row>
        <row r="8828">
          <cell r="B8828">
            <v>91181</v>
          </cell>
          <cell r="C8828" t="str">
            <v>FIXAÇÃO DE TUBOS HORIZONTAIS DE PVC ÁGUA/PVC ESGOTO/PVC PLUVIAL/CPVC/PPR/COBRE OU AÇO, DIÂMETROS MAIORES QUE 75 MM E MENORES OU IGUAIS A 100 MM, COM ABRAÇADEIRA TIPO D COM PARAFUSO DE FIXAÇÃO 4", FIXADA DIRETAMENTE NA LAJE OU PAREDE. AF_09/2023</v>
          </cell>
          <cell r="D8828" t="str">
            <v>M</v>
          </cell>
          <cell r="E8828">
            <v>28.73</v>
          </cell>
          <cell r="F8828">
            <v>0</v>
          </cell>
        </row>
        <row r="8829">
          <cell r="B8829">
            <v>91179</v>
          </cell>
          <cell r="C8829" t="str">
            <v>FIXAÇÃO DE TUBOS HORIZONTAIS DE PVC ÁGUA/PVC ESGOTO/PVC PLUVIAL/CPVC/PPR/COBRE OU AÇO, DIÂMETROS MENORES OU IGUAIS A 40 MM, COM ABRAÇADEIRA METÁLICA RÍGIDA TIPO D COM PARAFUSO DE FIXAÇÃO 1 1/4", FIXADA DIRETAMENTE NA LAJE OU PAREDE. AF_09/2023</v>
          </cell>
          <cell r="D8829" t="str">
            <v>M</v>
          </cell>
          <cell r="E8829">
            <v>20.34</v>
          </cell>
          <cell r="F8829">
            <v>0</v>
          </cell>
        </row>
        <row r="8830">
          <cell r="B8830">
            <v>91174</v>
          </cell>
          <cell r="C8830" t="str">
            <v>FIXAÇÃO DE TUBOS VERTICAIS DE PVC ÁGUA, PVC ESGOTO, PVC ÁGUA PLUVIAL, CPVC, PPR, COBRE OU AÇO, DIÂMETROS MAIORES QUE 40 MM E MENORES OU IGUAIS A 75 MM, COM ABRAÇADEIRA METÁLICA RÍGIDA TIPO U PERFIL 2 1/2", FIXADA EM PERFILADO EM PAREDE. AF_09/2023_PS</v>
          </cell>
          <cell r="D8830" t="str">
            <v>M</v>
          </cell>
          <cell r="E8830">
            <v>8.2899999999999991</v>
          </cell>
          <cell r="F8830">
            <v>0</v>
          </cell>
        </row>
        <row r="8831">
          <cell r="B8831">
            <v>91175</v>
          </cell>
          <cell r="C8831" t="str">
            <v>FIXAÇÃO DE TUBOS VERTICAIS DE PVC ÁGUA, PVC ESGOTO, PVC ÁGUA PLUVIAL, CPVC, PPR, COBRE OU AÇO, DIÂMETROS MAIORES QUE 75 MM E MENORES OU IGUAIS A 100 MM, COM ABRAÇADEIRA METÁLICA RÍGIDA TIPO U PERFIL 4", FIXADA EM PERFILADO EM PAREDE. AF_09/2023_PS</v>
          </cell>
          <cell r="D8831" t="str">
            <v>M</v>
          </cell>
          <cell r="E8831">
            <v>12.83</v>
          </cell>
          <cell r="F8831">
            <v>0</v>
          </cell>
        </row>
        <row r="8832">
          <cell r="B8832">
            <v>91173</v>
          </cell>
          <cell r="C8832" t="str">
            <v>FIXAÇÃO DE TUBOS VERTICAIS DE PVC ÁGUA, PVC ESGOTO, PVC ÁGUA PLUVIAL, CPVC, PPR, COBRE OU AÇO, DIÂMETROS MENORES OU IGUAIS A 40 MM, COM ABRAÇADEIRA METÁLICA RÍGIDA TIPO U PERFIL 1 1/4", FIXADA EM PERFILADO EM PAREDE. AF_09/2023_PS</v>
          </cell>
          <cell r="D8832" t="str">
            <v>M</v>
          </cell>
          <cell r="E8832">
            <v>4.88</v>
          </cell>
          <cell r="F8832">
            <v>0</v>
          </cell>
        </row>
        <row r="8833">
          <cell r="B8833">
            <v>104759</v>
          </cell>
          <cell r="C8833" t="str">
            <v>FURO MANUAL EM ALVENARIA, PARA INSTALAÇÕES ELÉTRICAS, DIÂMETROS MAIORES QUE 40 MM E MENORES OU IGUAIS A 75 MM. AF_09/2023</v>
          </cell>
          <cell r="D8833" t="str">
            <v>UN</v>
          </cell>
          <cell r="E8833">
            <v>63.61</v>
          </cell>
          <cell r="F8833">
            <v>0</v>
          </cell>
        </row>
        <row r="8834">
          <cell r="B8834">
            <v>104760</v>
          </cell>
          <cell r="C8834" t="str">
            <v>FURO MANUAL EM ALVENARIA, PARA INSTALAÇÕES ELÉTRICAS, DIÂMETROS MAIORES QUE 75 MM E MENORES OU IGUAIS A 100 MM. AF_09/2023</v>
          </cell>
          <cell r="D8834" t="str">
            <v>UN</v>
          </cell>
          <cell r="E8834">
            <v>92.9</v>
          </cell>
          <cell r="F8834">
            <v>0</v>
          </cell>
        </row>
        <row r="8835">
          <cell r="B8835">
            <v>104758</v>
          </cell>
          <cell r="C8835" t="str">
            <v>FURO MANUAL EM ALVENARIA, PARA INSTALAÇÕES ELÉTRICAS, DIÂMETROS MENORES OU IGUAIS A 40 MM. AF_09/2023</v>
          </cell>
          <cell r="D8835" t="str">
            <v>UN</v>
          </cell>
          <cell r="E8835">
            <v>23.87</v>
          </cell>
          <cell r="F8835">
            <v>0</v>
          </cell>
        </row>
        <row r="8836">
          <cell r="B8836">
            <v>90437</v>
          </cell>
          <cell r="C8836" t="str">
            <v>FURO MANUAL EM ALVENARIA, PARA INSTALAÇÕES HIDRÁULICAS, DIÂMETROS MAIORES QUE 40 MM E MENORES OU IGUAIS A 75 MM. AF_09/2023</v>
          </cell>
          <cell r="D8836" t="str">
            <v>UN</v>
          </cell>
          <cell r="E8836">
            <v>58.04</v>
          </cell>
          <cell r="F8836">
            <v>0</v>
          </cell>
        </row>
        <row r="8837">
          <cell r="B8837">
            <v>90438</v>
          </cell>
          <cell r="C8837" t="str">
            <v>FURO MANUAL EM ALVENARIA, PARA INSTALAÇÕES HIDRÁULICAS, DIÂMETROS MAIORES QUE 75 MM E MENORES OU IGUAIS A 100 MM. AF_09/2023</v>
          </cell>
          <cell r="D8837" t="str">
            <v>UN</v>
          </cell>
          <cell r="E8837">
            <v>84.77</v>
          </cell>
          <cell r="F8837">
            <v>0</v>
          </cell>
        </row>
        <row r="8838">
          <cell r="B8838">
            <v>90436</v>
          </cell>
          <cell r="C8838" t="str">
            <v>FURO MANUAL EM ALVENARIA, PARA INSTALAÇÕES HIDRÁULICAS, DIÂMETROS MENORES OU IGUAIS A 40 MM. AF_09/2023</v>
          </cell>
          <cell r="D8838" t="str">
            <v>UN</v>
          </cell>
          <cell r="E8838">
            <v>21.77</v>
          </cell>
          <cell r="F8838">
            <v>0</v>
          </cell>
        </row>
        <row r="8839">
          <cell r="B8839">
            <v>104770</v>
          </cell>
          <cell r="C8839" t="str">
            <v>FURO MECANIZADO EM ALVENARIA, PARA INSTALAÇÕES ELÉTRICAS, DIÂMETROS MAIORES QUE 40 MM E MENORES OU IGUAIS A 75 MM. AF_09/2023</v>
          </cell>
          <cell r="D8839" t="str">
            <v>UN</v>
          </cell>
          <cell r="E8839">
            <v>2.69</v>
          </cell>
          <cell r="F8839">
            <v>0</v>
          </cell>
        </row>
        <row r="8840">
          <cell r="B8840">
            <v>104772</v>
          </cell>
          <cell r="C8840" t="str">
            <v>FURO MECANIZADO EM ALVENARIA, PARA INSTALAÇÕES ELÉTRICAS, DIÂMETROS MAIORES QUE 75 MM E MENORES OU IGUAIS A 100 MM. AF_09/2023</v>
          </cell>
          <cell r="D8840" t="str">
            <v>UN</v>
          </cell>
          <cell r="E8840">
            <v>3.94</v>
          </cell>
          <cell r="F8840">
            <v>0</v>
          </cell>
        </row>
        <row r="8841">
          <cell r="B8841">
            <v>104768</v>
          </cell>
          <cell r="C8841" t="str">
            <v>FURO MECANIZADO EM ALVENARIA, PARA INSTALAÇÕES ELÉTRICAS, DIÂMETROS MENORES OU IGUAIS A 40 MM. AF_09/2023</v>
          </cell>
          <cell r="D8841" t="str">
            <v>UN</v>
          </cell>
          <cell r="E8841">
            <v>1</v>
          </cell>
          <cell r="F8841">
            <v>0</v>
          </cell>
        </row>
        <row r="8842">
          <cell r="B8842">
            <v>104769</v>
          </cell>
          <cell r="C8842" t="str">
            <v>FURO MECANIZADO EM ALVENARIA, PARA INSTALAÇÕES HIDRÁULICAS, DIÂMETROS MAIORES QUE 40 MM E MENORES OU IGUAIS A 75 MM. AF_09/2023</v>
          </cell>
          <cell r="D8842" t="str">
            <v>UN</v>
          </cell>
          <cell r="E8842">
            <v>2.46</v>
          </cell>
          <cell r="F8842">
            <v>0</v>
          </cell>
        </row>
        <row r="8843">
          <cell r="B8843">
            <v>104771</v>
          </cell>
          <cell r="C8843" t="str">
            <v>FURO MECANIZADO EM ALVENARIA, PARA INSTALAÇÕES HIDRÁULICAS, DIÂMETROS MAIORES QUE 75 MM E MENORES OU IGUAIS A 100 MM. AF_09/2023</v>
          </cell>
          <cell r="D8843" t="str">
            <v>UN</v>
          </cell>
          <cell r="E8843">
            <v>3.6</v>
          </cell>
          <cell r="F8843">
            <v>0</v>
          </cell>
        </row>
        <row r="8844">
          <cell r="B8844">
            <v>104767</v>
          </cell>
          <cell r="C8844" t="str">
            <v>FURO MECANIZADO EM ALVENARIA, PARA INSTALAÇÕES HIDRÁULICAS, DIÂMETROS MENORES OU IGUAIS A 40 MM. AF_09/2023</v>
          </cell>
          <cell r="D8844" t="str">
            <v>UN</v>
          </cell>
          <cell r="E8844">
            <v>0.92</v>
          </cell>
          <cell r="F8844">
            <v>0</v>
          </cell>
        </row>
        <row r="8845">
          <cell r="B8845">
            <v>104762</v>
          </cell>
          <cell r="C8845" t="str">
            <v>FURO MECANIZADO EM CONCRETO, COM MARTELO DEMOLIDOR, PARA INSTALAÇÕES ELÉTRICAS, DIÂMETROS MAIORES QUE 40 MM E MENORES OU IGUAIS A 75 MM. AF_09/2023</v>
          </cell>
          <cell r="D8845" t="str">
            <v>UN</v>
          </cell>
          <cell r="E8845">
            <v>8.64</v>
          </cell>
          <cell r="F8845">
            <v>0</v>
          </cell>
        </row>
        <row r="8846">
          <cell r="B8846">
            <v>104763</v>
          </cell>
          <cell r="C8846" t="str">
            <v>FURO MECANIZADO EM CONCRETO, COM MARTELO DEMOLIDOR, PARA INSTALAÇÕES ELÉTRICAS, DIÂMETROS MAIORES QUE 75 MM E MENORES OU IGUAIS A 150 MM. AF_09/2023</v>
          </cell>
          <cell r="D8846" t="str">
            <v>UN</v>
          </cell>
          <cell r="E8846">
            <v>12.64</v>
          </cell>
          <cell r="F8846">
            <v>0</v>
          </cell>
        </row>
        <row r="8847">
          <cell r="B8847">
            <v>104761</v>
          </cell>
          <cell r="C8847" t="str">
            <v>FURO MECANIZADO EM CONCRETO, COM MARTELO DEMOLIDOR, PARA INSTALAÇÕES ELÉTRICAS, DIÂMETROS MENORES OU IGUAIS A 40 MM. AF_09/2023</v>
          </cell>
          <cell r="D8847" t="str">
            <v>UN</v>
          </cell>
          <cell r="E8847">
            <v>3.23</v>
          </cell>
          <cell r="F8847">
            <v>0</v>
          </cell>
        </row>
        <row r="8848">
          <cell r="B8848">
            <v>90440</v>
          </cell>
          <cell r="C8848" t="str">
            <v>FURO MECANIZADO EM CONCRETO, COM MARTELO DEMOLIDOR, PARA INSTALAÇÕES HIDRÁULICAS, DIÂMETROS MAIORES QUE 40 MM E MENORES OU IGUAIS A 75 MM. AF_09/2023</v>
          </cell>
          <cell r="D8848" t="str">
            <v>UN</v>
          </cell>
          <cell r="E8848">
            <v>8.42</v>
          </cell>
          <cell r="F8848">
            <v>0</v>
          </cell>
        </row>
        <row r="8849">
          <cell r="B8849">
            <v>90441</v>
          </cell>
          <cell r="C8849" t="str">
            <v>FURO MECANIZADO EM CONCRETO, COM MARTELO DEMOLIDOR, PARA INSTALAÇÕES HIDRÁULICAS, DIÂMETROS MAIORES QUE 75 MM E MENORES OU IGUAIS A 150 MM. AF_09/2023</v>
          </cell>
          <cell r="D8849" t="str">
            <v>UN</v>
          </cell>
          <cell r="E8849">
            <v>12.31</v>
          </cell>
          <cell r="F8849">
            <v>0</v>
          </cell>
        </row>
        <row r="8850">
          <cell r="B8850">
            <v>90439</v>
          </cell>
          <cell r="C8850" t="str">
            <v>FURO MECANIZADO EM CONCRETO, COM MARTELO DEMOLIDOR, PARA INSTALAÇÕES HIDRÁULICAS, DIÂMETROS MENORES OU IGUAIS A 40 MM. AF_09/2023</v>
          </cell>
          <cell r="D8850" t="str">
            <v>UN</v>
          </cell>
          <cell r="E8850">
            <v>3.15</v>
          </cell>
          <cell r="F8850">
            <v>0</v>
          </cell>
        </row>
        <row r="8851">
          <cell r="B8851">
            <v>104776</v>
          </cell>
          <cell r="C8851" t="str">
            <v>FURO MECANIZADO EM CONCRETO, COM PERFURATRIZ, PARA INSTALAÇÕES ELÉTRICAS, DIÂMETROS MAIORES QUE 40 MM E MENORES OU IGUAIS A 75 MM. AF_09/2023</v>
          </cell>
          <cell r="D8851" t="str">
            <v>UN</v>
          </cell>
          <cell r="E8851">
            <v>9.09</v>
          </cell>
          <cell r="F8851">
            <v>0</v>
          </cell>
        </row>
        <row r="8852">
          <cell r="B8852">
            <v>104778</v>
          </cell>
          <cell r="C8852" t="str">
            <v>FURO MECANIZADO EM CONCRETO, COM PERFURATRIZ, PARA INSTALAÇÕES ELÉTRICAS, DIÂMETROS MAIORES QUE 75 MM E MENORES OU IGUAIS A 150 MM. AF_09/2023</v>
          </cell>
          <cell r="D8852" t="str">
            <v>UN</v>
          </cell>
          <cell r="E8852">
            <v>13.26</v>
          </cell>
          <cell r="F8852">
            <v>0</v>
          </cell>
        </row>
        <row r="8853">
          <cell r="B8853">
            <v>104774</v>
          </cell>
          <cell r="C8853" t="str">
            <v>FURO MECANIZADO EM CONCRETO, COM PERFURATRIZ, PARA INSTALAÇÕES ELÉTRICAS, DIÂMETROS MENORES OU IGUAIS A 40 MM. AF_09/2023</v>
          </cell>
          <cell r="D8853" t="str">
            <v>UN</v>
          </cell>
          <cell r="E8853">
            <v>3.39</v>
          </cell>
          <cell r="F8853">
            <v>0</v>
          </cell>
        </row>
        <row r="8854">
          <cell r="B8854">
            <v>104775</v>
          </cell>
          <cell r="C8854" t="str">
            <v>FURO MECANIZADO EM CONCRETO, COM PERFURATRIZ, PARA INSTALAÇÕES HIDRÁULICAS, DIÂMETROS MAIORES QUE 40 MM E MENORES OU IGUAIS A 75 MM. AF_09/2023</v>
          </cell>
          <cell r="D8854" t="str">
            <v>UN</v>
          </cell>
          <cell r="E8854">
            <v>8.35</v>
          </cell>
          <cell r="F8854">
            <v>0</v>
          </cell>
        </row>
        <row r="8855">
          <cell r="B8855">
            <v>104777</v>
          </cell>
          <cell r="C8855" t="str">
            <v>FURO MECANIZADO EM CONCRETO, COM PERFURATRIZ, PARA INSTALAÇÕES HIDRÁULICAS, DIÂMETROS MAIORES QUE 75 MM E MENORES OU IGUAIS A 150 MM. AF_09/2023</v>
          </cell>
          <cell r="D8855" t="str">
            <v>UN</v>
          </cell>
          <cell r="E8855">
            <v>12.2</v>
          </cell>
          <cell r="F8855">
            <v>0</v>
          </cell>
        </row>
        <row r="8856">
          <cell r="B8856">
            <v>104773</v>
          </cell>
          <cell r="C8856" t="str">
            <v>FURO MECANIZADO EM CONCRETO, COM PERFURATRIZ, PARA INSTALAÇÕES HIDRÁULICAS, DIÂMETROS MENORES OU IGUAIS A 40 MM. AF_09/2023</v>
          </cell>
          <cell r="D8856" t="str">
            <v>UN</v>
          </cell>
          <cell r="E8856">
            <v>3.12</v>
          </cell>
          <cell r="F8856">
            <v>0</v>
          </cell>
        </row>
        <row r="8857">
          <cell r="B8857">
            <v>104782</v>
          </cell>
          <cell r="C8857" t="str">
            <v>PASSANTE TIPO PEÇA EM FÔRMA DE MADEIRA, FIXADO EM LAJE, PARA PASSAGEM DE NO MÁXIMO 5 TUBOS DE 50 MM DE DIÂMETRO. AF_09/2023</v>
          </cell>
          <cell r="D8857" t="str">
            <v>UN</v>
          </cell>
          <cell r="E8857">
            <v>57.3</v>
          </cell>
          <cell r="F8857">
            <v>0</v>
          </cell>
        </row>
        <row r="8858">
          <cell r="B8858">
            <v>90451</v>
          </cell>
          <cell r="C8858" t="str">
            <v>PASSANTE TIPO PEÇA EM POLIESTIRENO (ISOPOR), FIXADO EM LAJE, PARA ABERTURA PARA PASSAGEM DE 1 TUBO DE ATÉ 50 MM DE DIÂMETRO. AF_09/2023</v>
          </cell>
          <cell r="D8858" t="str">
            <v>UN</v>
          </cell>
          <cell r="E8858">
            <v>8.07</v>
          </cell>
          <cell r="F8858">
            <v>0</v>
          </cell>
        </row>
        <row r="8859">
          <cell r="B8859">
            <v>90452</v>
          </cell>
          <cell r="C8859" t="str">
            <v>PASSANTE TIPO PEÇA EM POLIESTIRENO (ISOPOR), FIXADO EM LAJE, PARA PASSAGEM DE NO MÁXIMO 5 TUBOS DE 50 MM DE DIÂMETRO. AF_09/2023</v>
          </cell>
          <cell r="D8859" t="str">
            <v>UN</v>
          </cell>
          <cell r="E8859">
            <v>26.38</v>
          </cell>
          <cell r="F8859">
            <v>0</v>
          </cell>
        </row>
        <row r="8860">
          <cell r="B8860">
            <v>90455</v>
          </cell>
          <cell r="C8860" t="str">
            <v>PASSANTE TIPO TUBO COM DIÂMETRO DE 100 MM, FIXADO EM LAJE, PARA PASSAGEM DE TUBULAÇÕES COM NO MÁXIMO 75 MM DE DIÂMETRO. AF_09/2023</v>
          </cell>
          <cell r="D8860" t="str">
            <v>UN</v>
          </cell>
          <cell r="E8860">
            <v>10.76</v>
          </cell>
          <cell r="F8860">
            <v>0</v>
          </cell>
        </row>
        <row r="8861">
          <cell r="B8861">
            <v>104784</v>
          </cell>
          <cell r="C8861" t="str">
            <v>PASSANTE TIPO TUBO COM DIÂMETRO DE 150 MM, FIXADO EM LAJE, PARA PASSAGEM DE TUBULAÇÕES COM NO MÁXIMO 100 MM DE DIÂMETRO. AF_09/2023</v>
          </cell>
          <cell r="D8861" t="str">
            <v>UN</v>
          </cell>
          <cell r="E8861">
            <v>18.100000000000001</v>
          </cell>
          <cell r="F8861">
            <v>0</v>
          </cell>
        </row>
        <row r="8862">
          <cell r="B8862">
            <v>90453</v>
          </cell>
          <cell r="C8862" t="str">
            <v>PASSANTE TIPO TUBO COM DIÂMETRO DE 40 MM, FIXADO EM LAJE, PARA PASSAGEM DE TUBULAÇÕES COM NO MÁXIMO 32 MM DE DIÂMETRO. AF_09/2023</v>
          </cell>
          <cell r="D8862" t="str">
            <v>UN</v>
          </cell>
          <cell r="E8862">
            <v>5.07</v>
          </cell>
          <cell r="F8862">
            <v>0</v>
          </cell>
        </row>
        <row r="8863">
          <cell r="B8863">
            <v>104783</v>
          </cell>
          <cell r="C8863" t="str">
            <v>PASSANTE TIPO TUBO COM DIÂMETRO DE 50 MM, FIXADO EM LAJE, PARA PASSAGEM DE TUBULAÇÕES COM NO MÁXIMO 40 MM DE DIÂMETRO. AF_09/2023</v>
          </cell>
          <cell r="D8863" t="str">
            <v>UN</v>
          </cell>
          <cell r="E8863">
            <v>6.43</v>
          </cell>
          <cell r="F8863">
            <v>0</v>
          </cell>
        </row>
        <row r="8864">
          <cell r="B8864">
            <v>90454</v>
          </cell>
          <cell r="C8864" t="str">
            <v>PASSANTE TIPO TUBO COM DIÂMETRO DE 75 MM, FIXADO EM LAJE, PARA PASSAGEM DE TUBULAÇÕES COM NO MÁXIMO 50 MM DE DIÂMETRO. AF_09/2023</v>
          </cell>
          <cell r="D8864" t="str">
            <v>UN</v>
          </cell>
          <cell r="E8864">
            <v>8.23</v>
          </cell>
          <cell r="F8864">
            <v>0</v>
          </cell>
        </row>
        <row r="8865">
          <cell r="B8865">
            <v>90459</v>
          </cell>
          <cell r="C8865" t="str">
            <v>QUEBRA EM ALVENARIA PARA INSTALAÇÃO DE ABRIGO PARA MANGUEIRAS (90X60 CM). AF_09/2023</v>
          </cell>
          <cell r="D8865" t="str">
            <v>UN</v>
          </cell>
          <cell r="E8865">
            <v>71.400000000000006</v>
          </cell>
          <cell r="F8865">
            <v>0</v>
          </cell>
        </row>
        <row r="8866">
          <cell r="B8866">
            <v>90456</v>
          </cell>
          <cell r="C8866" t="str">
            <v>QUEBRA EM ALVENARIA PARA INSTALAÇÃO DE CAIXA DE TOMADA (4X4 OU 4X2). AF_09/2023</v>
          </cell>
          <cell r="D8866" t="str">
            <v>UN</v>
          </cell>
          <cell r="E8866">
            <v>8.49</v>
          </cell>
          <cell r="F8866">
            <v>0</v>
          </cell>
        </row>
        <row r="8867">
          <cell r="B8867">
            <v>90458</v>
          </cell>
          <cell r="C8867" t="str">
            <v>QUEBRA EM ALVENARIA PARA INSTALAÇÃO DE QUADRO DISTRIBUIÇÃO GRANDE (76X40 CM). AF_09/2023</v>
          </cell>
          <cell r="D8867" t="str">
            <v>UN</v>
          </cell>
          <cell r="E8867">
            <v>55.29</v>
          </cell>
          <cell r="F8867">
            <v>0</v>
          </cell>
        </row>
        <row r="8868">
          <cell r="B8868">
            <v>90457</v>
          </cell>
          <cell r="C8868" t="str">
            <v>QUEBRA EM ALVENARIA PARA INSTALAÇÃO DE QUADRO DISTRIBUIÇÃO PEQUENO (19X25 CM). AF_09/2023</v>
          </cell>
          <cell r="D8868" t="str">
            <v>UN</v>
          </cell>
          <cell r="E8868">
            <v>19.38</v>
          </cell>
          <cell r="F8868">
            <v>0</v>
          </cell>
        </row>
        <row r="8869">
          <cell r="B8869">
            <v>90447</v>
          </cell>
          <cell r="C8869" t="str">
            <v>RASGO LINEAR MANUAL EM ALVENARIA, PARA ELETRODUTOS, DIÂMETROS MENORES OU IGUAIS A 40 MM. AF_09/2023</v>
          </cell>
          <cell r="D8869" t="str">
            <v>M</v>
          </cell>
          <cell r="E8869">
            <v>12.82</v>
          </cell>
          <cell r="F8869">
            <v>0</v>
          </cell>
        </row>
        <row r="8870">
          <cell r="B8870">
            <v>91222</v>
          </cell>
          <cell r="C8870" t="str">
            <v>RASGO LINEAR MANUAL EM ALVENARIA, PARA RAMAIS/ DISTRIBUIÇÃO DE INSTALAÇÕES HIDRÁULICAS, DIÂMETROS MAIORES QUE 40 MM E MENORES OU IGUAIS A 75 MM. AF_09/2023</v>
          </cell>
          <cell r="D8870" t="str">
            <v>M</v>
          </cell>
          <cell r="E8870">
            <v>12.99</v>
          </cell>
          <cell r="F8870">
            <v>0</v>
          </cell>
        </row>
        <row r="8871">
          <cell r="B8871">
            <v>90443</v>
          </cell>
          <cell r="C8871" t="str">
            <v>RASGO LINEAR MANUAL EM ALVENARIA, PARA RAMAIS/ DISTRIBUIÇÃO DE INSTALAÇÕES HIDRÁULICAS, DIÂMETROS MENORES OU IGUAIS A 40 MM. AF_09/2023</v>
          </cell>
          <cell r="D8871" t="str">
            <v>M</v>
          </cell>
          <cell r="E8871">
            <v>11.69</v>
          </cell>
          <cell r="F8871">
            <v>0</v>
          </cell>
        </row>
        <row r="8872">
          <cell r="B8872">
            <v>104780</v>
          </cell>
          <cell r="C8872" t="str">
            <v>RASGO LINEAR MECANIZADO EM ALVENARIA, PARA ELETRODUTOS, DIÂMETROS MENORES OU IGUAIS A 40 MM. AF_09/2023</v>
          </cell>
          <cell r="D8872" t="str">
            <v>M</v>
          </cell>
          <cell r="E8872">
            <v>8.2899999999999991</v>
          </cell>
          <cell r="F8872">
            <v>0</v>
          </cell>
        </row>
        <row r="8873">
          <cell r="B8873">
            <v>104781</v>
          </cell>
          <cell r="C8873" t="str">
            <v>RASGO LINEAR MECANIZADO EM ALVENARIA, PARA RAMAIS/ DISTRIBUIÇÃO DE INSTALAÇÕES HIDRÁULICAS, DIÂMETROS MAIORES QUE 40 MM E MENORES OU IGUAIS A 75 MM. AF_09/2023</v>
          </cell>
          <cell r="D8873" t="str">
            <v>M</v>
          </cell>
          <cell r="E8873">
            <v>9.52</v>
          </cell>
          <cell r="F8873">
            <v>0</v>
          </cell>
        </row>
        <row r="8874">
          <cell r="B8874">
            <v>104779</v>
          </cell>
          <cell r="C8874" t="str">
            <v>RASGO LINEAR MECANIZADO EM ALVENARIA, PARA RAMAIS/ DISTRIBUIÇÃO DE INSTALAÇÕES HIDRÁULICAS, DIÂMETROS MENORES OU IGUAIS A 40 MM. AF_09/2023</v>
          </cell>
          <cell r="D8874" t="str">
            <v>M</v>
          </cell>
          <cell r="E8874">
            <v>8.24</v>
          </cell>
          <cell r="F8874">
            <v>0</v>
          </cell>
        </row>
        <row r="8875">
          <cell r="B8875">
            <v>104787</v>
          </cell>
          <cell r="C8875" t="str">
            <v>RASGO LINEAR MECANIZADO EM CONCRETO, PARA RAMAIS/ DISTRIBUIÇÃO DE INSTALAÇÕES HIDRÁULICAS, DIÂMETROS MAIORES QUE 40 MM E MENORES OU IGUAIS A 75 MM. AF_09/2023</v>
          </cell>
          <cell r="D8875" t="str">
            <v>M</v>
          </cell>
          <cell r="E8875">
            <v>2.78</v>
          </cell>
          <cell r="F8875">
            <v>0</v>
          </cell>
        </row>
        <row r="8876">
          <cell r="B8876">
            <v>104788</v>
          </cell>
          <cell r="C8876" t="str">
            <v>RASGO LINEAR MECANIZADO EM CONCRETO, PARA RAMAIS/ DISTRIBUIÇÃO DE INSTALAÇÕES HIDRÁULICAS, DIÂMETROS MAIORES QUE 75 MM E MENORES OU IGUAIS A 100 MM. AF_09/2023</v>
          </cell>
          <cell r="D8876" t="str">
            <v>M</v>
          </cell>
          <cell r="E8876">
            <v>3.7</v>
          </cell>
          <cell r="F8876">
            <v>0</v>
          </cell>
        </row>
        <row r="8877">
          <cell r="B8877">
            <v>104786</v>
          </cell>
          <cell r="C8877" t="str">
            <v>RASGO LINEAR MECANIZADO EM CONCRETO, PARA RAMAIS/ DISTRIBUIÇÃO DE INSTALAÇÕES HIDRÁULICAS, DIÂMETROS MENORES OU IGUAIS A 40 MM. AF_09/2023</v>
          </cell>
          <cell r="D8877" t="str">
            <v>M</v>
          </cell>
          <cell r="E8877">
            <v>2.1</v>
          </cell>
          <cell r="F8877">
            <v>0</v>
          </cell>
        </row>
        <row r="8878">
          <cell r="B8878">
            <v>90445</v>
          </cell>
          <cell r="C8878" t="str">
            <v>RASGO LINEAR MECANIZADO EM CONTRAPISO, PARA RAMAIS/ DISTRIBUIÇÃO DE INSTALAÇÕES HIDRÁULICAS, DIÂMETROS MAIORES QUE 40 MM E MENORES OU IGUAIS A 75 MM. AF_09/2023_PS</v>
          </cell>
          <cell r="D8878" t="str">
            <v>M</v>
          </cell>
          <cell r="E8878">
            <v>13.85</v>
          </cell>
          <cell r="F8878">
            <v>0</v>
          </cell>
        </row>
        <row r="8879">
          <cell r="B8879">
            <v>90446</v>
          </cell>
          <cell r="C8879" t="str">
            <v>RASGO LINEAR MECANIZADO EM CONTRAPISO, PARA RAMAIS/ DISTRIBUIÇÃO DE INSTALAÇÕES HIDRÁULICAS, DIÂMETROS MAIORES QUE 75 MM E MENORES OU IGUAIS A 100 MM. AF_09/2023_PS</v>
          </cell>
          <cell r="D8879" t="str">
            <v>M</v>
          </cell>
          <cell r="E8879">
            <v>18.399999999999999</v>
          </cell>
          <cell r="F8879">
            <v>0</v>
          </cell>
        </row>
        <row r="8880">
          <cell r="B8880">
            <v>90444</v>
          </cell>
          <cell r="C8880" t="str">
            <v>RASGO LINEAR MECANIZADO EM CONTRAPISO, PARA RAMAIS/ DISTRIBUIÇÃO DE INSTALAÇÕES HIDRÁULICAS, DIÂMETROS MENORES OU IGUAIS A 40 MM. AF_09/2023_PS</v>
          </cell>
          <cell r="D8880" t="str">
            <v>M</v>
          </cell>
          <cell r="E8880">
            <v>10.44</v>
          </cell>
          <cell r="F8880">
            <v>0</v>
          </cell>
        </row>
        <row r="8881">
          <cell r="B8881">
            <v>104764</v>
          </cell>
          <cell r="C8881" t="str">
            <v>SUPORTE PARA 2 ELETRODUTOS, ESPAÇADO A CADA 80 CM, EM PERFILADO COM COMPRIMENTO DE 25 CM FIXADO EM LAJE, POR METRO DE ELETRODUTO FIXADO. AF_09/2023</v>
          </cell>
          <cell r="D8881" t="str">
            <v>M</v>
          </cell>
          <cell r="E8881">
            <v>25.25</v>
          </cell>
          <cell r="F8881">
            <v>0</v>
          </cell>
        </row>
        <row r="8882">
          <cell r="B8882">
            <v>90460</v>
          </cell>
          <cell r="C8882" t="str">
            <v>SUPORTE PARA 2 TUBOS HORIZONTAIS, ESPAÇADO A CADA 56 CM, EM PERFILADO COM COMPRIMENTO DE 25 CM FIXADO EM LAJE, POR METRO DE TUBULAÇÃO FIXADA. AF_09/2023</v>
          </cell>
          <cell r="D8882" t="str">
            <v>M</v>
          </cell>
          <cell r="E8882">
            <v>28.94</v>
          </cell>
          <cell r="F8882">
            <v>0</v>
          </cell>
        </row>
        <row r="8883">
          <cell r="B8883">
            <v>90462</v>
          </cell>
          <cell r="C8883" t="str">
            <v>SUPORTE PARA 2 TUBOS VERTICAIS, ESPAÇADO A CADA 150 CM, EM PERFILADO COM COMPRIMENTO DE 25 CM FIXADO EM PAREDE, POR METRO DE TUBULAÇÃO FIXADA. AF_09/2023</v>
          </cell>
          <cell r="D8883" t="str">
            <v>M</v>
          </cell>
          <cell r="E8883">
            <v>5.08</v>
          </cell>
          <cell r="F8883">
            <v>0</v>
          </cell>
        </row>
        <row r="8884">
          <cell r="B8884">
            <v>104765</v>
          </cell>
          <cell r="C8884" t="str">
            <v>SUPORTE PARA 4 ELETRODUTOS, ESPAÇADO A CADA 80 CM, EM PERFILADO COM COMPRIMENTO DE 42 CM FIXADO EM LAJE, POR METRO DE ELETRODUTO FIXADO. AF_09/2023</v>
          </cell>
          <cell r="D8884" t="str">
            <v>M</v>
          </cell>
          <cell r="E8884">
            <v>22.06</v>
          </cell>
          <cell r="F8884">
            <v>0</v>
          </cell>
        </row>
        <row r="8885">
          <cell r="B8885">
            <v>90461</v>
          </cell>
          <cell r="C8885" t="str">
            <v>SUPORTE PARA 4 TUBOS HORIZONTAIS, ESPAÇADO A CADA 56 CM, EM PERFILADO COM COMPRIMENTO DE 42 CM FIXADO EM LAJE, POR METRO DE TUBULAÇÃO FIXADA. AF_09/2023</v>
          </cell>
          <cell r="D8885" t="str">
            <v>M</v>
          </cell>
          <cell r="E8885">
            <v>23.26</v>
          </cell>
          <cell r="F8885">
            <v>0</v>
          </cell>
        </row>
        <row r="8886">
          <cell r="B8886">
            <v>90463</v>
          </cell>
          <cell r="C8886" t="str">
            <v>SUPORTE PARA 4 TUBOS VERTICAIS, ESPAÇADO A CADA 150 CM, EM PERFILADO COM COMPRIMENTO DE 42 CM FIXADO EM PAREDE, POR METRO DE TUBULAÇÃO FIXADA. AF_09/2023</v>
          </cell>
          <cell r="D8886" t="str">
            <v>M</v>
          </cell>
          <cell r="E8886">
            <v>4.53</v>
          </cell>
          <cell r="F8886">
            <v>0</v>
          </cell>
        </row>
        <row r="8887">
          <cell r="B8887">
            <v>96560</v>
          </cell>
          <cell r="C8887" t="str">
            <v>SUPORTE PARA DUTO EM CHAPA GALVANIZADA BITOLA 24, EM PERFILADO COM COMPRIMENTO DE 55 CM FIXADO EM LAJE, POR METRO DE DUTO FIXADO. AF_09/2023</v>
          </cell>
          <cell r="D8887" t="str">
            <v>M2</v>
          </cell>
          <cell r="E8887">
            <v>40.71</v>
          </cell>
          <cell r="F8887">
            <v>0</v>
          </cell>
        </row>
        <row r="8888">
          <cell r="B8888">
            <v>96559</v>
          </cell>
          <cell r="C8888" t="str">
            <v>SUPORTE PARA DUTO EM CHAPA GALVANIZADA BITOLA 26, EM PERFILADO COM COMPRIMENTO DE 35 CM FIXADO EM LAJE, POR METRO DE DUTO FIXADO. AF_09/2023</v>
          </cell>
          <cell r="D8888" t="str">
            <v>M2</v>
          </cell>
          <cell r="E8888">
            <v>40.130000000000003</v>
          </cell>
          <cell r="F8888">
            <v>0</v>
          </cell>
        </row>
        <row r="8889">
          <cell r="B8889">
            <v>96562</v>
          </cell>
          <cell r="C8889" t="str">
            <v>SUPORTE PARA ELETROCALHA LISA OU PERFURADA EM AÇO GALVANIZADO, LARGURA 400 MM, EM PERFILADO COM COMPRIMENTO DE 45 CM FIXADO EM LAJE, POR METRO DE ELETROCALHA FIXADA. AF_09/2023</v>
          </cell>
          <cell r="D8889" t="str">
            <v>M</v>
          </cell>
          <cell r="E8889">
            <v>64.31</v>
          </cell>
          <cell r="F8889">
            <v>0</v>
          </cell>
        </row>
        <row r="8890">
          <cell r="B8890">
            <v>96563</v>
          </cell>
          <cell r="C8890" t="str">
            <v>SUPORTE PARA ELETROCALHA LISA OU PERFURADA EM AÇO GALVANIZADO, LARGURA 800 MM, EM PERFILADO COM COMPRIMENTO DE 85 CM FIXADO EM LAJE, POR METRO DE ELETROCALHA FIXADA. AF_09/2023</v>
          </cell>
          <cell r="D8890" t="str">
            <v>M</v>
          </cell>
          <cell r="E8890">
            <v>69.8</v>
          </cell>
          <cell r="F8890">
            <v>0</v>
          </cell>
        </row>
        <row r="8891">
          <cell r="B8891">
            <v>102469</v>
          </cell>
          <cell r="C8891" t="str">
            <v>EXECUÇÃO DE IMPRIMAÇÃO IMPERMEABILIZANTE COM ASFALTO DILUÍDO CM-30, PARA O FECHAMENTO DE VALAS. AF_05/2021</v>
          </cell>
          <cell r="D8891" t="str">
            <v>M2</v>
          </cell>
          <cell r="E8891">
            <v>0</v>
          </cell>
        </row>
        <row r="8892">
          <cell r="B8892">
            <v>104388</v>
          </cell>
          <cell r="C8892" t="str">
            <v>EXECUÇÃO DE PINTURA DE LIGAÇÃO COM EMULSÃO ASFÁLTICA RR-2C, PARA O FECHAMENTO DE VALAS. AF_12/2020</v>
          </cell>
          <cell r="D8892" t="str">
            <v>M2</v>
          </cell>
          <cell r="E8892">
            <v>0</v>
          </cell>
        </row>
        <row r="8893">
          <cell r="B8893">
            <v>104387</v>
          </cell>
          <cell r="C8893" t="str">
            <v>EXECUÇÃO DE TAPA BURACO COM APLICAÇÃO DE CONCRETO ASFÁLTICO (AQUISIÇÃO EM USINA) E PINTURA DE LIGAÇÃO. AF_12/2020</v>
          </cell>
          <cell r="D8893" t="str">
            <v>M3</v>
          </cell>
          <cell r="E8893">
            <v>0</v>
          </cell>
        </row>
        <row r="8894">
          <cell r="B8894">
            <v>104364</v>
          </cell>
          <cell r="C8894" t="str">
            <v>EXECUÇÃO DE TAPA BURACO COM APLICAÇÃO DE CONCRETO ASFÁLTICO (USINAGEM PRÓPRIA) E PINTURA DE LIGAÇÃO. AF_12/2020</v>
          </cell>
          <cell r="D8894" t="str">
            <v>M3</v>
          </cell>
          <cell r="E8894">
            <v>0</v>
          </cell>
        </row>
        <row r="8895">
          <cell r="B8895">
            <v>102097</v>
          </cell>
          <cell r="C8895" t="str">
            <v>EXECUÇÃO DE TAPA BURACO COM APLICAÇÃO DE PRÉ MISTURADO A FRIO (AQUISIÇÃO EM USINA) E PINTURA DE LIGAÇÃO. AF_12/2020</v>
          </cell>
          <cell r="D8895" t="str">
            <v>M3</v>
          </cell>
          <cell r="E8895">
            <v>0</v>
          </cell>
        </row>
        <row r="8896">
          <cell r="B8896">
            <v>104365</v>
          </cell>
          <cell r="C8896" t="str">
            <v>EXECUÇÃO DE TAPA BURACO COM APLICAÇÃO DE PRÉ MISTURADO A FRIO (USINAGEM PRÓPRIA) E PINTURA DE LIGAÇÃO. AF_12/2020</v>
          </cell>
          <cell r="D8896" t="str">
            <v>M3</v>
          </cell>
          <cell r="E8896">
            <v>0</v>
          </cell>
        </row>
        <row r="8897">
          <cell r="B8897">
            <v>101870</v>
          </cell>
          <cell r="C8897" t="str">
            <v>REASSENTAMENTO DE BLOCOS 16 FACES PARA PISO INTERTRAVADO, ESPESSURA DE 10 CM, EM VIA/ESTACIONAMENTO, COM REAPROVEITAMENTO DOS BLOCOS 16 FACES - INCLUSO RETIRADA E COLOCAÇÃO DO MATERIAL. AF_12/2020</v>
          </cell>
          <cell r="D8897" t="str">
            <v>M2</v>
          </cell>
          <cell r="E8897">
            <v>51.57</v>
          </cell>
          <cell r="F8897">
            <v>0</v>
          </cell>
        </row>
        <row r="8898">
          <cell r="B8898">
            <v>101866</v>
          </cell>
          <cell r="C8898" t="str">
            <v>REASSENTAMENTO DE BLOCOS 16 FACES PARA PISO INTERTRAVADO, ESPESSURA DE 4 CM, EM CALÇADA, COM REAPROVEITAMENTO DOS BLOCOS 16 FACES - INCLUSO RETIRADA E COLOCAÇÃO DO MATERIAL. AF_12/2020</v>
          </cell>
          <cell r="D8898" t="str">
            <v>M2</v>
          </cell>
          <cell r="E8898">
            <v>43.38</v>
          </cell>
          <cell r="F8898">
            <v>0</v>
          </cell>
        </row>
        <row r="8899">
          <cell r="B8899">
            <v>101867</v>
          </cell>
          <cell r="C8899" t="str">
            <v>REASSENTAMENTO DE BLOCOS 16 FACES PARA PISO INTERTRAVADO, ESPESSURA DE 6 CM, EM CALÇADA, COM REAPROVEITAMENTO DOS BLOCOS 16 FACES - INCLUSO RETIRADA E COLOCAÇÃO DO MATERIAL. AF_12/2020</v>
          </cell>
          <cell r="D8899" t="str">
            <v>M2</v>
          </cell>
          <cell r="E8899">
            <v>49.69</v>
          </cell>
          <cell r="F8899">
            <v>0</v>
          </cell>
        </row>
        <row r="8900">
          <cell r="B8900">
            <v>101868</v>
          </cell>
          <cell r="C8900" t="str">
            <v>REASSENTAMENTO DE BLOCOS 16 FACES PARA PISO INTERTRAVADO, ESPESSURA DE 6 CM, EM VIA/ESTACIONAMENTO, COM REAPROVEITAMENTO DOS BLOCOS 16 FACES - INCLUSO RETIRADA E COLOCAÇÃO DO MATERIAL. AF_12/2020</v>
          </cell>
          <cell r="D8900" t="str">
            <v>M2</v>
          </cell>
          <cell r="E8900">
            <v>38.979999999999997</v>
          </cell>
          <cell r="F8900">
            <v>0</v>
          </cell>
        </row>
        <row r="8901">
          <cell r="B8901">
            <v>101869</v>
          </cell>
          <cell r="C8901" t="str">
            <v>REASSENTAMENTO DE BLOCOS 16 FACES PARA PISO INTERTRAVADO, ESPESSURA DE 8 CM, EM VIA/ESTACIONAMENTO, COM REAPROVEITAMENTO DOS BLOCOS 16 FACES - INCLUSO RETIRADA E COLOCAÇÃO DO MATERIAL. AF_12/2020</v>
          </cell>
          <cell r="D8901" t="str">
            <v>M2</v>
          </cell>
          <cell r="E8901">
            <v>45.27</v>
          </cell>
          <cell r="F8901">
            <v>0</v>
          </cell>
        </row>
        <row r="8902">
          <cell r="B8902">
            <v>101856</v>
          </cell>
          <cell r="C8902" t="str">
            <v>REASSENTAMENTO DE BLOCOS PISOGRAMA PARA PISO INTERTRAVADO, COM REAPROVEITAMENTO DOS BLOCOS PISOGRAMA - INCLUSO RETIRADA E COLOCAÇÃO DO MATERIAL. AF_12/2020</v>
          </cell>
          <cell r="D8902" t="str">
            <v>M2</v>
          </cell>
          <cell r="E8902">
            <v>35.1</v>
          </cell>
          <cell r="F8902">
            <v>0</v>
          </cell>
        </row>
        <row r="8903">
          <cell r="B8903">
            <v>101865</v>
          </cell>
          <cell r="C8903" t="str">
            <v>REASSENTAMENTO DE BLOCOS RETANGULAR PARA PISO INTERTRAVADO, ESPESSURA DE 10 CM, EM VIA/ESTACIONAMENTO, COM REAPROVEITAMENTO DOS BLOCOS RETANGULAR - INCLUSO RETIRADA E COLOCAÇÃO DO MATERIAL. AF_12/2020</v>
          </cell>
          <cell r="D8903" t="str">
            <v>M2</v>
          </cell>
          <cell r="E8903">
            <v>49.04</v>
          </cell>
          <cell r="F8903">
            <v>0</v>
          </cell>
        </row>
        <row r="8904">
          <cell r="B8904">
            <v>101861</v>
          </cell>
          <cell r="C8904" t="str">
            <v>REASSENTAMENTO DE BLOCOS RETANGULAR PARA PISO INTERTRAVADO, ESPESSURA DE 4 CM, EM CALÇADA, COM REAPROVEITAMENTO DOS BLOCOS RETANGULAR - INCLUSO RETIRADA E COLOCAÇÃO DO MATERIAL. AF_12/2020</v>
          </cell>
          <cell r="D8904" t="str">
            <v>M2</v>
          </cell>
          <cell r="E8904">
            <v>43.07</v>
          </cell>
          <cell r="F8904">
            <v>0</v>
          </cell>
        </row>
        <row r="8905">
          <cell r="B8905">
            <v>101862</v>
          </cell>
          <cell r="C8905" t="str">
            <v>REASSENTAMENTO DE BLOCOS RETANGULAR PARA PISO INTERTRAVADO, ESPESSURA DE 6 CM, EM CALÇADA, COM REAPROVEITAMENTO DOS BLOCOS RETANGULAR - INCLUSO RETIRADA E COLOCAÇÃO DO MATERIAL. AF_12/2020</v>
          </cell>
          <cell r="D8905" t="str">
            <v>M2</v>
          </cell>
          <cell r="E8905">
            <v>47.15</v>
          </cell>
          <cell r="F8905">
            <v>0</v>
          </cell>
        </row>
        <row r="8906">
          <cell r="B8906">
            <v>101863</v>
          </cell>
          <cell r="C8906" t="str">
            <v>REASSENTAMENTO DE BLOCOS RETANGULAR PARA PISO INTERTRAVADO, ESPESSURA DE 6 CM, EM VIA/ESTACIONAMENTO, COM REAPROVEITAMENTO DOS BLOCOS RETANGULAR - INCLUSO RETIRADA E COLOCAÇÃO DO MATERIAL. AF_12/2020</v>
          </cell>
          <cell r="D8906" t="str">
            <v>M2</v>
          </cell>
          <cell r="E8906">
            <v>36.450000000000003</v>
          </cell>
          <cell r="F8906">
            <v>0</v>
          </cell>
        </row>
        <row r="8907">
          <cell r="B8907">
            <v>101864</v>
          </cell>
          <cell r="C8907" t="str">
            <v>REASSENTAMENTO DE BLOCOS RETANGULAR PARA PISO INTERTRAVADO, ESPESSURA DE 8 CM, EM VIA/ESTACIONAMENTO, COM REAPROVEITAMENTO DOS BLOCOS RETANGULAR - INCLUSO RETIRADA E COLOCAÇÃO DO MATERIAL. AF_12/2020</v>
          </cell>
          <cell r="D8907" t="str">
            <v>M2</v>
          </cell>
          <cell r="E8907">
            <v>42.74</v>
          </cell>
          <cell r="F8907">
            <v>0</v>
          </cell>
        </row>
        <row r="8908">
          <cell r="B8908">
            <v>101860</v>
          </cell>
          <cell r="C8908" t="str">
            <v>REASSENTAMENTO DE BLOCOS SEXTAVADO PARA PISO INTERTRAVADO, ESPESSURA DE 10 CM, EM VIA/ESTACIONAMENTO, COM REAPROVEITAMENTO DOS BLOCOS SEXTAVADO - INCLUSO RETIRADA E COLOCAÇÃO DO MATERIAL. AF_12/2020</v>
          </cell>
          <cell r="D8908" t="str">
            <v>M2</v>
          </cell>
          <cell r="E8908">
            <v>46.19</v>
          </cell>
          <cell r="F8908">
            <v>0</v>
          </cell>
        </row>
        <row r="8909">
          <cell r="B8909">
            <v>101857</v>
          </cell>
          <cell r="C8909" t="str">
            <v>REASSENTAMENTO DE BLOCOS SEXTAVADO PARA PISO INTERTRAVADO, ESPESSURA DE 6 CM, EM CALÇADA, COM REAPROVEITAMENTO DOS BLOCOS SEXTAVADOS - INCLUSO RETIRADA E COLOCAÇÃO DO MATERIAL. AF_12/2020</v>
          </cell>
          <cell r="D8909" t="str">
            <v>M2</v>
          </cell>
          <cell r="E8909">
            <v>44.43</v>
          </cell>
          <cell r="F8909">
            <v>0</v>
          </cell>
        </row>
        <row r="8910">
          <cell r="B8910">
            <v>101858</v>
          </cell>
          <cell r="C8910" t="str">
            <v>REASSENTAMENTO DE BLOCOS SEXTAVADO PARA PISO INTERTRAVADO, ESPESSURA DE 6 CM, EM VIA/ESTACIONAMENTO, COM REAPROVEITAMENTO DOS BLOCOS SEXTAVADO - INCLUSO RETIRADA E COLOCAÇÃO DO MATERIAL. AF_12/2020</v>
          </cell>
          <cell r="D8910" t="str">
            <v>M2</v>
          </cell>
          <cell r="E8910">
            <v>35.89</v>
          </cell>
          <cell r="F8910">
            <v>0</v>
          </cell>
        </row>
        <row r="8911">
          <cell r="B8911">
            <v>101859</v>
          </cell>
          <cell r="C8911" t="str">
            <v>REASSENTAMENTO DE BLOCOS SEXTAVADO PARA PISO INTERTRAVADO, ESPESSURA DE 8 CM, EM VIA/ESTACIONAMENTO, COM REAPROVEITAMENTO DOS BLOCOS SEXTAVADO - INCLUSO RETIRADA E COLOCAÇÃO DO MATERIAL. AF_12/2020</v>
          </cell>
          <cell r="D8911" t="str">
            <v>M2</v>
          </cell>
          <cell r="E8911">
            <v>39.89</v>
          </cell>
          <cell r="F8911">
            <v>0</v>
          </cell>
        </row>
        <row r="8912">
          <cell r="B8912">
            <v>101852</v>
          </cell>
          <cell r="C8912" t="str">
            <v>REASSENTAMENTO DE PARALELEPÍPEDOS, REJUNTAMENTO COM ARGAMASSA, COM REAPROVEITAMENTO DOS PARALELEPÍPEDOS - INCLUSO RETIRADA E COLOCAÇÃO DO MATERIAL. AF_12/2020</v>
          </cell>
          <cell r="D8912" t="str">
            <v>M2</v>
          </cell>
          <cell r="E8912">
            <v>89.58</v>
          </cell>
          <cell r="F8912">
            <v>0</v>
          </cell>
        </row>
        <row r="8913">
          <cell r="B8913">
            <v>104385</v>
          </cell>
          <cell r="C8913" t="str">
            <v>REASSENTAMENTO DE PARALELEPÍPEDOS, REJUNTAMENTO COM PEDRISCO E EMULSÃO ASFÁLTICA, COM REAPROVEITAMENTO DOS PARALELEPÍPEDOS - INCLUSO RETIRADA E COLOCAÇÃO DO MATERIAL. AF_12/2020</v>
          </cell>
          <cell r="D8913" t="str">
            <v>M2</v>
          </cell>
          <cell r="E8913">
            <v>0</v>
          </cell>
        </row>
        <row r="8914">
          <cell r="B8914">
            <v>101850</v>
          </cell>
          <cell r="C8914" t="str">
            <v>REASSENTAMENTO DE PARALELEPÍPEDOS, REJUNTAMENTO COM PÓ DE PEDRA, COM REAPROVEITAMENTO DOS PARALELEPÍPEDOS - INCLUSO RETIRADA E COLOCAÇÃO DO MATERIAL. AF_12/2020</v>
          </cell>
          <cell r="D8914" t="str">
            <v>M2</v>
          </cell>
          <cell r="E8914">
            <v>73.64</v>
          </cell>
          <cell r="F8914">
            <v>0</v>
          </cell>
        </row>
        <row r="8915">
          <cell r="B8915">
            <v>101855</v>
          </cell>
          <cell r="C8915" t="str">
            <v>REASSENTAMENTO DE PEDRAS POLIÉDRICAS, REJUNTAMENTO COM ARGAMASSA, COM REAPROVEITAMENTO DAS PEDRAS POLIÉDRICAS - INCLUSO RETIRADA E COLOCAÇÃO DO MATERIAL. AF_12/2020</v>
          </cell>
          <cell r="D8915" t="str">
            <v>M2</v>
          </cell>
          <cell r="E8915">
            <v>90.66</v>
          </cell>
          <cell r="F8915">
            <v>0</v>
          </cell>
        </row>
        <row r="8916">
          <cell r="B8916">
            <v>104386</v>
          </cell>
          <cell r="C8916" t="str">
            <v>REASSENTAMENTO DE PEDRAS POLIÉDRICAS, REJUNTAMENTO COM PEDRISCO E EMULSÃO ASFÁLTICA, COM REAPROVEITAMENTO DAS PEDRAS POLIÉDRICAS - INCLUSO RETIRADA E COLOCAÇÃO DO MATERIAL. AF_12/2020</v>
          </cell>
          <cell r="D8916" t="str">
            <v>M2</v>
          </cell>
          <cell r="E8916">
            <v>0</v>
          </cell>
        </row>
        <row r="8917">
          <cell r="B8917">
            <v>101853</v>
          </cell>
          <cell r="C8917" t="str">
            <v>REASSENTAMENTO DE PEDRAS POLIÉDRICAS, REJUNTAMENTO COM PÓ DE PEDRA, COM REAPROVEITAMENTO DAS PEDRAS POLIÉDRICAS - INCLUSO RETIRADA E COLOCAÇÃO DO MATERIAL. AF_12/2020</v>
          </cell>
          <cell r="D8917" t="str">
            <v>M2</v>
          </cell>
          <cell r="E8917">
            <v>63.93</v>
          </cell>
          <cell r="F8917">
            <v>0</v>
          </cell>
        </row>
        <row r="8918">
          <cell r="B8918">
            <v>101849</v>
          </cell>
          <cell r="C8918" t="str">
            <v>RECOMPOSIÇÃO DE BASE E OU SUB-BASE PARA FECHAMENTO DE VALAS DE BRITA GRADUADA SIMPLES - INCLUSO RETIRADA E COLOCAÇÃO DO MATERIAL. AF_12/2020</v>
          </cell>
          <cell r="D8918" t="str">
            <v>M3</v>
          </cell>
          <cell r="E8918">
            <v>159.75</v>
          </cell>
          <cell r="F8918">
            <v>0</v>
          </cell>
        </row>
        <row r="8919">
          <cell r="B8919">
            <v>101841</v>
          </cell>
          <cell r="C8919" t="str">
            <v>RECOMPOSIÇÃO DE BASE E OU SUB-BASE PARA FECHAMENTO DE VALAS DE SOLO BRITA (40/60) - INCLUSO RETIRADA E COLOCAÇÃO DO MATERIAL. AF_12/2020</v>
          </cell>
          <cell r="D8919" t="str">
            <v>M3</v>
          </cell>
          <cell r="E8919">
            <v>95.61</v>
          </cell>
          <cell r="F8919">
            <v>0</v>
          </cell>
        </row>
        <row r="8920">
          <cell r="B8920">
            <v>101843</v>
          </cell>
          <cell r="C8920" t="str">
            <v>RECOMPOSIÇÃO DE BASE E OU SUB-BASE PARA FECHAMENTO DE VALAS DE SOLO BRITA (40/60) COM CIMENTO (TEOR DE 4%) - INCLUSO RETIRADA E COLOCAÇÃO DO MATERIAL. AF_12/2020</v>
          </cell>
          <cell r="D8920" t="str">
            <v>M3</v>
          </cell>
          <cell r="E8920">
            <v>155.36000000000001</v>
          </cell>
          <cell r="F8920">
            <v>0</v>
          </cell>
        </row>
        <row r="8921">
          <cell r="B8921">
            <v>101844</v>
          </cell>
          <cell r="C8921" t="str">
            <v>RECOMPOSIÇÃO DE BASE E OU SUB-BASE PARA FECHAMENTO DE VALAS DE SOLO BRITA (40/60) COM CIMENTO (TEOR DE 6%) - INCLUSO RETIRADA E COLOCAÇÃO DO MATERIAL. AF_12/2020</v>
          </cell>
          <cell r="D8921" t="str">
            <v>M3</v>
          </cell>
          <cell r="E8921">
            <v>183.32</v>
          </cell>
          <cell r="F8921">
            <v>0</v>
          </cell>
        </row>
        <row r="8922">
          <cell r="B8922">
            <v>101845</v>
          </cell>
          <cell r="C8922" t="str">
            <v>RECOMPOSIÇÃO DE BASE E OU SUB-BASE PARA FECHAMENTO DE VALAS DE SOLO BRITA (40/60) COM CIMENTO (TEOR DE 8%) - INCLUSO RETIRADA E COLOCAÇÃO DO MATERIAL. AF_12/2020</v>
          </cell>
          <cell r="D8922" t="str">
            <v>M3</v>
          </cell>
          <cell r="E8922">
            <v>210.89</v>
          </cell>
          <cell r="F8922">
            <v>0</v>
          </cell>
        </row>
        <row r="8923">
          <cell r="B8923">
            <v>101842</v>
          </cell>
          <cell r="C8923" t="str">
            <v>RECOMPOSIÇÃO DE BASE E OU SUB-BASE PARA FECHAMENTO DE VALAS DE SOLO BRITA (50/50) - INCLUSO RETIRADA E COLOCAÇÃO DO MATERIAL. AF_12/2020</v>
          </cell>
          <cell r="D8923" t="str">
            <v>M3</v>
          </cell>
          <cell r="E8923">
            <v>84.91</v>
          </cell>
          <cell r="F8923">
            <v>0</v>
          </cell>
        </row>
        <row r="8924">
          <cell r="B8924">
            <v>101846</v>
          </cell>
          <cell r="C8924" t="str">
            <v>RECOMPOSIÇÃO DE BASE E OU SUB-BASE PARA FECHAMENTO DE VALAS DE SOLO BRITA (50/50) COM CIMENTO (TEOR DE 4%) - INCLUSO RETIRADA E COLOCAÇÃO DO MATERIAL. AF_12/2020</v>
          </cell>
          <cell r="D8924" t="str">
            <v>M3</v>
          </cell>
          <cell r="E8924">
            <v>145.1</v>
          </cell>
          <cell r="F8924">
            <v>0</v>
          </cell>
        </row>
        <row r="8925">
          <cell r="B8925">
            <v>101847</v>
          </cell>
          <cell r="C8925" t="str">
            <v>RECOMPOSIÇÃO DE BASE E OU SUB-BASE PARA FECHAMENTO DE VALAS DE SOLO BRITA (50/50) COM CIMENTO (TEOR DE 6%) - INCLUSO RETIRADA E COLOCAÇÃO DO MATERIAL. AF_12/2020</v>
          </cell>
          <cell r="D8925" t="str">
            <v>M3</v>
          </cell>
          <cell r="E8925">
            <v>173.26</v>
          </cell>
          <cell r="F8925">
            <v>0</v>
          </cell>
        </row>
        <row r="8926">
          <cell r="B8926">
            <v>101848</v>
          </cell>
          <cell r="C8926" t="str">
            <v>RECOMPOSIÇÃO DE BASE E OU SUB-BASE PARA FECHAMENTO DE VALAS DE SOLO BRITA (50/50) COM CIMENTO (TEOR DE 8%) - INCLUSO RETIRADA E COLOCAÇÃO DO MATERIAL. AF_12/2020</v>
          </cell>
          <cell r="D8926" t="str">
            <v>M3</v>
          </cell>
          <cell r="E8926">
            <v>201.05</v>
          </cell>
          <cell r="F8926">
            <v>0</v>
          </cell>
        </row>
        <row r="8927">
          <cell r="B8927">
            <v>101839</v>
          </cell>
          <cell r="C8927" t="str">
            <v>RECOMPOSIÇÃO DE BASE E OU SUB-BASE PARA FECHAMENTO DE VALAS DE SOLO COM CIMENTO (TEOR DE 6%) - INCLUSO RETIRADA E COLOCAÇÃO DO MATERIAL. AF_12/2020</v>
          </cell>
          <cell r="D8927" t="str">
            <v>M3</v>
          </cell>
          <cell r="E8927">
            <v>122.98</v>
          </cell>
          <cell r="F8927">
            <v>0</v>
          </cell>
        </row>
        <row r="8928">
          <cell r="B8928">
            <v>101840</v>
          </cell>
          <cell r="C8928" t="str">
            <v>RECOMPOSIÇÃO DE BASE E OU SUB-BASE PARA FECHAMENTO DE VALAS DE SOLO COM CIMENTO (TEOR DE 8%) - INCLUSO RETIRADA E COLOCAÇÃO DO MATERIAL. AF_12/2020</v>
          </cell>
          <cell r="D8928" t="str">
            <v>M3</v>
          </cell>
          <cell r="E8928">
            <v>212.99</v>
          </cell>
          <cell r="F8928">
            <v>0</v>
          </cell>
        </row>
        <row r="8929">
          <cell r="B8929">
            <v>101837</v>
          </cell>
          <cell r="C8929" t="str">
            <v>RECOMPOSIÇÃO DE BASE E OU SUB-BASE PARA FECHAMENTO DE VALAS DE SOLO MELHORADO COM CIMENTO (TEOR DE 2%) - INCLUSO RETIRADA E COLOCAÇÃO DO MATERIAL. AF_12/2020</v>
          </cell>
          <cell r="D8929" t="str">
            <v>M3</v>
          </cell>
          <cell r="E8929">
            <v>63.7</v>
          </cell>
          <cell r="F8929">
            <v>0</v>
          </cell>
        </row>
        <row r="8930">
          <cell r="B8930">
            <v>101838</v>
          </cell>
          <cell r="C8930" t="str">
            <v>RECOMPOSIÇÃO DE BASE E OU SUB-BASE PARA FECHAMENTO DE VALAS DE SOLO MELHORADO COM CIMENTO (TEOR DE 4%) - INCLUSO RETIRADA E COLOCAÇÃO DO MATERIAL. AF_12/2020</v>
          </cell>
          <cell r="D8930" t="str">
            <v>M3</v>
          </cell>
          <cell r="E8930">
            <v>93.75</v>
          </cell>
          <cell r="F8930">
            <v>0</v>
          </cell>
        </row>
        <row r="8931">
          <cell r="B8931">
            <v>101836</v>
          </cell>
          <cell r="C8931" t="str">
            <v>RECOMPOSIÇÃO DE BASE E OU SUB-BASE PARA FECHAMENTO DE VALAS DE SOLOS DE COMPORTAMENTO LATERÍTICO (ARENOSO) - INCLUSO RETIRADA E COLOCAÇÃO DO MATERIAL. AF_12/2020</v>
          </cell>
          <cell r="D8931" t="str">
            <v>M3</v>
          </cell>
          <cell r="E8931">
            <v>31.43</v>
          </cell>
          <cell r="F8931">
            <v>0</v>
          </cell>
        </row>
        <row r="8932">
          <cell r="B8932">
            <v>101835</v>
          </cell>
          <cell r="C8932" t="str">
            <v>RECOMPOSIÇÃO DE BASE E OU SUB-BASE PARA REMENDO PROFUNDO DE BRITA GRADUADA SIMPLES - INCLUSO RETIRADA E COLOCAÇÃO DO MATERIAL. AF_12/2020</v>
          </cell>
          <cell r="D8932" t="str">
            <v>M3</v>
          </cell>
          <cell r="E8932">
            <v>302.88</v>
          </cell>
          <cell r="F8932">
            <v>0</v>
          </cell>
        </row>
        <row r="8933">
          <cell r="B8933">
            <v>101827</v>
          </cell>
          <cell r="C8933" t="str">
            <v>RECOMPOSIÇÃO DE BASE E OU SUB-BASE PARA REMENDO PROFUNDO DE SOLO BRITA (40/60) - INCLUSO RETIRADA E COLOCAÇÃO DO MATERIAL. AF_12/2020</v>
          </cell>
          <cell r="D8933" t="str">
            <v>M3</v>
          </cell>
          <cell r="E8933">
            <v>238.74</v>
          </cell>
          <cell r="F8933">
            <v>0</v>
          </cell>
        </row>
        <row r="8934">
          <cell r="B8934">
            <v>101829</v>
          </cell>
          <cell r="C8934" t="str">
            <v>RECOMPOSIÇÃO DE BASE E OU SUB-BASE PARA REMENDO PROFUNDO DE SOLO BRITA (40/60) COM CIMENTO (TEOR DE 4%) - INCLUSO RETIRADA E COLOCAÇÃO DO MATERIAL. AF_12/2020</v>
          </cell>
          <cell r="D8934" t="str">
            <v>M3</v>
          </cell>
          <cell r="E8934">
            <v>298.49</v>
          </cell>
          <cell r="F8934">
            <v>0</v>
          </cell>
        </row>
        <row r="8935">
          <cell r="B8935">
            <v>101830</v>
          </cell>
          <cell r="C8935" t="str">
            <v>RECOMPOSIÇÃO DE BASE E OU SUB-BASE PARA REMENDO PROFUNDO DE SOLO BRITA (40/60) COM CIMENTO (TEOR DE 6%) - INCLUSO RETIRADA E COLOCAÇÃO DO MATERIAL. AF_12/2020</v>
          </cell>
          <cell r="D8935" t="str">
            <v>M3</v>
          </cell>
          <cell r="E8935">
            <v>326.45</v>
          </cell>
          <cell r="F8935">
            <v>0</v>
          </cell>
        </row>
        <row r="8936">
          <cell r="B8936">
            <v>101831</v>
          </cell>
          <cell r="C8936" t="str">
            <v>RECOMPOSIÇÃO DE BASE E OU SUB-BASE PARA REMENDO PROFUNDO DE SOLO BRITA (40/60) COM CIMENTO (TEOR DE 8%) - INCLUSO RETIRADA E COLOCAÇÃO DO MATERIAL. AF_12/2020</v>
          </cell>
          <cell r="D8936" t="str">
            <v>M3</v>
          </cell>
          <cell r="E8936">
            <v>354.02</v>
          </cell>
          <cell r="F8936">
            <v>0</v>
          </cell>
        </row>
        <row r="8937">
          <cell r="B8937">
            <v>101828</v>
          </cell>
          <cell r="C8937" t="str">
            <v>RECOMPOSIÇÃO DE BASE E OU SUB-BASE PARA REMENDO PROFUNDO DE SOLO BRITA (50/50) - INCLUSO RETIRADA E COLOCAÇÃO DO MATERIAL. AF_12/2020</v>
          </cell>
          <cell r="D8937" t="str">
            <v>M3</v>
          </cell>
          <cell r="E8937">
            <v>228.04</v>
          </cell>
          <cell r="F8937">
            <v>0</v>
          </cell>
        </row>
        <row r="8938">
          <cell r="B8938">
            <v>101832</v>
          </cell>
          <cell r="C8938" t="str">
            <v>RECOMPOSIÇÃO DE BASE E OU SUB-BASE PARA REMENDO PROFUNDO DE SOLO BRITA (50/50) COM CIMENTO (TEOR DE 4%) - INCLUSO RETIRADA E COLOCAÇÃO DO MATERIAL. AF_12/2020</v>
          </cell>
          <cell r="D8938" t="str">
            <v>M3</v>
          </cell>
          <cell r="E8938">
            <v>288.23</v>
          </cell>
          <cell r="F8938">
            <v>0</v>
          </cell>
        </row>
        <row r="8939">
          <cell r="B8939">
            <v>101833</v>
          </cell>
          <cell r="C8939" t="str">
            <v>RECOMPOSIÇÃO DE BASE E OU SUB-BASE PARA REMENDO PROFUNDO DE SOLO BRITA (50/50) COM CIMENTO (TEOR DE 6%) - INCLUSO RETIRADA E COLOCAÇÃO DO MATERIAL. AF_12/2020</v>
          </cell>
          <cell r="D8939" t="str">
            <v>M3</v>
          </cell>
          <cell r="E8939">
            <v>316.39</v>
          </cell>
          <cell r="F8939">
            <v>0</v>
          </cell>
        </row>
        <row r="8940">
          <cell r="B8940">
            <v>101834</v>
          </cell>
          <cell r="C8940" t="str">
            <v>RECOMPOSIÇÃO DE BASE E OU SUB-BASE PARA REMENDO PROFUNDO DE SOLO BRITA (50/50) COM CIMENTO (TEOR DE 8%) - INCLUSO RETIRADA E COLOCAÇÃO DO MATERIAL. AF_12/2020</v>
          </cell>
          <cell r="D8940" t="str">
            <v>M3</v>
          </cell>
          <cell r="E8940">
            <v>344.18</v>
          </cell>
          <cell r="F8940">
            <v>0</v>
          </cell>
        </row>
        <row r="8941">
          <cell r="B8941">
            <v>101825</v>
          </cell>
          <cell r="C8941" t="str">
            <v>RECOMPOSIÇÃO DE BASE E OU SUB-BASE PARA REMENDO PROFUNDO DE SOLO COM CIMENTO (TEOR DE 6%) - INCLUSO RETIRADA E COLOCAÇÃO DO MATERIAL. AF_12/2020</v>
          </cell>
          <cell r="D8941" t="str">
            <v>M3</v>
          </cell>
          <cell r="E8941">
            <v>266.12</v>
          </cell>
          <cell r="F8941">
            <v>0</v>
          </cell>
        </row>
        <row r="8942">
          <cell r="B8942">
            <v>101826</v>
          </cell>
          <cell r="C8942" t="str">
            <v>RECOMPOSIÇÃO DE BASE E OU SUB-BASE PARA REMENDO PROFUNDO DE SOLO COM CIMENTO (TEOR DE 8%) - INCLUSO RETIRADA E COLOCAÇÃO DO MATERIAL. AF_12/2020</v>
          </cell>
          <cell r="D8942" t="str">
            <v>M3</v>
          </cell>
          <cell r="E8942">
            <v>294.97000000000003</v>
          </cell>
          <cell r="F8942">
            <v>0</v>
          </cell>
        </row>
        <row r="8943">
          <cell r="B8943">
            <v>101823</v>
          </cell>
          <cell r="C8943" t="str">
            <v>RECOMPOSIÇÃO DE BASE E OU SUB-BASE PARA REMENDO PROFUNDO DE SOLO MELHORADO COM CIMENTO (TEOR DE 2%) - INCLUSO RETIRADA E COLOCAÇÃO DO MATERIAL. AF_12/2020</v>
          </cell>
          <cell r="D8943" t="str">
            <v>M3</v>
          </cell>
          <cell r="E8943">
            <v>206.83</v>
          </cell>
          <cell r="F8943">
            <v>0</v>
          </cell>
        </row>
        <row r="8944">
          <cell r="B8944">
            <v>101824</v>
          </cell>
          <cell r="C8944" t="str">
            <v>RECOMPOSIÇÃO DE BASE E OU SUB-BASE PARA REMENDO PROFUNDO DE SOLO MELHORADO COM CIMENTO (TEOR DE 4%) - INCLUSO RETIRADA E COLOCAÇÃO DO MATERIAL. AF_12/2020</v>
          </cell>
          <cell r="D8944" t="str">
            <v>M3</v>
          </cell>
          <cell r="E8944">
            <v>236.88</v>
          </cell>
          <cell r="F8944">
            <v>0</v>
          </cell>
        </row>
        <row r="8945">
          <cell r="B8945">
            <v>101822</v>
          </cell>
          <cell r="C8945" t="str">
            <v>RECOMPOSIÇÃO DE BASE E OU SUB-BASE PARA REMENDO PROFUNDO DE SOLOS DE COMPORTAMENTO LATERÍTICO (ARENOSO) - INCLUSO RETIRADA E COLOCAÇÃO DO MATERIAL. AF_12/2020</v>
          </cell>
          <cell r="D8945" t="str">
            <v>M3</v>
          </cell>
          <cell r="E8945">
            <v>174.56</v>
          </cell>
          <cell r="F8945">
            <v>0</v>
          </cell>
        </row>
        <row r="8946">
          <cell r="B8946">
            <v>101819</v>
          </cell>
          <cell r="C8946" t="str">
            <v>RECOMPOSIÇÃO DE PAVIMENTO EM PARALELEPÍPEDOS, REJUNTAMENTO COM ARGAMASSA, COM REAPROVEITAMENTO DOS PARALELEPÍPEDOS, PARA O FECHAMENTO DE VALAS - INCLUSO RETIRADA E COLOCAÇÃO DO MATERIAL. AF_12/2020</v>
          </cell>
          <cell r="D8946" t="str">
            <v>M2</v>
          </cell>
          <cell r="E8946">
            <v>80.39</v>
          </cell>
          <cell r="F8946">
            <v>0</v>
          </cell>
        </row>
        <row r="8947">
          <cell r="B8947">
            <v>104370</v>
          </cell>
          <cell r="C8947" t="str">
            <v>RECOMPOSIÇÃO DE PAVIMENTO EM PARALELEPÍPEDOS, REJUNTAMENTO COM PEDRISCO E EMULSÃO ASFÁLTICA, COM REAPROVEITAMENTO DOS PARALELEPÍPEDOS, PARA O FECHAMENTO DE VALAS - INCLUSO RETIRADA E COLOCAÇÃO DO MATERIAL. AF_12/2020</v>
          </cell>
          <cell r="D8947" t="str">
            <v>M2</v>
          </cell>
          <cell r="E8947">
            <v>0</v>
          </cell>
        </row>
        <row r="8948">
          <cell r="B8948">
            <v>101817</v>
          </cell>
          <cell r="C8948" t="str">
            <v>RECOMPOSIÇÃO DE PAVIMENTO EM PARALELEPÍPEDOS, REJUNTAMENTO COM PÓ DE PEDRA, COM REAPROVEITAMENTO DOS PARALELEPÍPEDOS, PARA O FECHAMENTO DE VALAS - INCLUSO RETIRADA E COLOCAÇÃO DO MATERIAL. AF_12/2020</v>
          </cell>
          <cell r="D8948" t="str">
            <v>M2</v>
          </cell>
          <cell r="E8948">
            <v>64.599999999999994</v>
          </cell>
          <cell r="F8948">
            <v>0</v>
          </cell>
        </row>
        <row r="8949">
          <cell r="B8949">
            <v>101816</v>
          </cell>
          <cell r="C8949" t="str">
            <v>RECOMPOSIÇÃO DE PAVIMENTO EM PEDRAS POLIÉDRICAS, REJUNTAMENTO COM ARGAMASSA, COM REAPROVEITAMENTO DAS PEDRAS POLIÉDRICAS, PARA O FECHAMENTO DE VALAS - INCLUSO RETIRADA E COLOCAÇÃO DO MATERIAL. AF_12/2020</v>
          </cell>
          <cell r="D8949" t="str">
            <v>M2</v>
          </cell>
          <cell r="E8949">
            <v>83.51</v>
          </cell>
          <cell r="F8949">
            <v>0</v>
          </cell>
        </row>
        <row r="8950">
          <cell r="B8950">
            <v>104369</v>
          </cell>
          <cell r="C8950" t="str">
            <v>RECOMPOSIÇÃO DE PAVIMENTO EM PEDRAS POLIÉDRICAS, REJUNTAMENTO COM PEDRISCO E EMULSÃO ASFÁLTICA COM REAPROVEITAMENTO DAS PEDRAS POLIÉDRICAS, PARA O FECHAMENTO DE VALAS - INCLUSO RETIRADA E COLOCAÇÃO DO MATERIAL. AF_12/2020</v>
          </cell>
          <cell r="D8950" t="str">
            <v>M2</v>
          </cell>
          <cell r="E8950">
            <v>0</v>
          </cell>
        </row>
        <row r="8951">
          <cell r="B8951">
            <v>101820</v>
          </cell>
          <cell r="C8951" t="str">
            <v>RECOMPOSIÇÃO DE PAVIMENTO EM PISO INTERTRAVADO SEXTAVADO, COM REAPROVEITAMENTO DOS BLOCOS SEXTAVADO, PARA O FECHAMENTO DE VALAS - INCLUSO RETIRADA E COLOCAÇÃO DO MATERIAL. AF_12/2020</v>
          </cell>
          <cell r="D8951" t="str">
            <v>M2</v>
          </cell>
          <cell r="E8951">
            <v>57.45</v>
          </cell>
          <cell r="F8951">
            <v>0</v>
          </cell>
        </row>
        <row r="8952">
          <cell r="B8952">
            <v>102988</v>
          </cell>
          <cell r="C8952" t="str">
            <v>RECOMPOSIÇÃO DE PAVIMENTO EM PISO INTERTRAVADO, COM REAPROVEITAMENTO DOS BLOCOS INTERTRAVADOS, PARA FECHAMENTO DE VALAS - INCLUSO RETIRADA E COLOCAÇÃO DO MATERIAL. AF_12/2020</v>
          </cell>
          <cell r="D8952" t="str">
            <v>M2</v>
          </cell>
          <cell r="E8952">
            <v>77.48</v>
          </cell>
          <cell r="F8952">
            <v>0</v>
          </cell>
        </row>
        <row r="8953">
          <cell r="B8953">
            <v>101814</v>
          </cell>
          <cell r="C8953" t="str">
            <v>RECOMPOSIÇÃO DE PAVIMENTOS EM PEDRA POLIÉDRICA, REJUNTAMENTO COM PÓ DE PEDRA, COM REAPROVEITAMENTO DAS PEDRAS POLIÉDRICAS PARA O FECHAMENTO DE VALAS - INCLUSO RETIRADA E COLOCAÇÃO DO MATERIAL. AF_12/2020</v>
          </cell>
          <cell r="D8953" t="str">
            <v>M2</v>
          </cell>
          <cell r="E8953">
            <v>56.85</v>
          </cell>
          <cell r="F8953">
            <v>0</v>
          </cell>
        </row>
        <row r="8954">
          <cell r="B8954">
            <v>102098</v>
          </cell>
          <cell r="C8954" t="str">
            <v>RECOMPOSIÇÃO DE REVESTIMENTO EM CONCRETO ASFÁLTICO (AQUISIÇÃO EM USINA), PARA O FECHAMENTO DE VALAS - INCLUSO DEMOLIÇÃO DO PAVIMENTO. AF_12/2020</v>
          </cell>
          <cell r="D8954" t="str">
            <v>M3</v>
          </cell>
          <cell r="E8954">
            <v>2036.8</v>
          </cell>
          <cell r="F8954">
            <v>0</v>
          </cell>
        </row>
        <row r="8955">
          <cell r="B8955">
            <v>104366</v>
          </cell>
          <cell r="C8955" t="str">
            <v>RECOMPOSIÇÃO DE REVESTIMENTO EM CONCRETO ASFÁLTICO (USINAGEM PRÓPRIA), PARA O FECHAMENTO DE VALAS - INCLUSO DEMOLIÇÃO DO PAVIMENTO. AF_12/2020</v>
          </cell>
          <cell r="D8955" t="str">
            <v>M3</v>
          </cell>
          <cell r="E8955">
            <v>0</v>
          </cell>
        </row>
        <row r="8956">
          <cell r="B8956">
            <v>102099</v>
          </cell>
          <cell r="C8956" t="str">
            <v>RECOMPOSIÇÃO DE REVESTIMENTO EM PRÉ MISTURADO A FRIO (AQUISIÇÃO EM USINA), PARA FECHAMENTO DE VALAS - INCLUSO DEMOLIÇÃO DO PAVIMENTO. AF_12/2020</v>
          </cell>
          <cell r="D8956" t="str">
            <v>M3</v>
          </cell>
          <cell r="E8956">
            <v>0</v>
          </cell>
        </row>
        <row r="8957">
          <cell r="B8957">
            <v>104367</v>
          </cell>
          <cell r="C8957" t="str">
            <v>RECOMPOSIÇÃO DE REVESTIMENTO EM PRÉ MISTURADO A FRIO (USINAGEM PRÓPRIA), PARA FECHAMENTO DE VALAS - INCLUSO DEMOLIÇÃO DO PAVIMENTO. AF_12/2020</v>
          </cell>
          <cell r="D8957" t="str">
            <v>M3</v>
          </cell>
          <cell r="E8957">
            <v>0</v>
          </cell>
        </row>
        <row r="8958">
          <cell r="B8958">
            <v>92994</v>
          </cell>
          <cell r="C8958" t="str">
            <v>CABO DE COBRE FLEXÍVEL ISOLADO, 120 MM², ANTI-CHAMA 0,6/1,0 KV, PARA REDE ENTERRADA DE DISTRIBUIÇÃO DE ENERGIA ELÉTRICA - FORNECIMENTO E INSTALAÇÃO. AF_12/2021</v>
          </cell>
          <cell r="D8958" t="str">
            <v>M</v>
          </cell>
          <cell r="E8958">
            <v>141.55000000000001</v>
          </cell>
          <cell r="F8958">
            <v>0</v>
          </cell>
        </row>
        <row r="8959">
          <cell r="B8959">
            <v>92996</v>
          </cell>
          <cell r="C8959" t="str">
            <v>CABO DE COBRE FLEXÍVEL ISOLADO, 150 MM², ANTI-CHAMA 0,6/1,0 KV, PARA REDE ENTERRADA DE DISTRIBUIÇÃO DE ENERGIA ELÉTRICA - FORNECIMENTO E INSTALAÇÃO. AF_12/2021</v>
          </cell>
          <cell r="D8959" t="str">
            <v>M</v>
          </cell>
          <cell r="E8959">
            <v>171.15</v>
          </cell>
          <cell r="F8959">
            <v>0</v>
          </cell>
        </row>
        <row r="8960">
          <cell r="B8960">
            <v>92998</v>
          </cell>
          <cell r="C8960" t="str">
            <v>CABO DE COBRE FLEXÍVEL ISOLADO, 185 MM², ANTI-CHAMA 0,6/1,0 KV, PARA REDE ENTERRADA DE DISTRIBUIÇÃO DE ENERGIA ELÉTRICA - FORNECIMENTO E INSTALAÇÃO. AF_12/2021</v>
          </cell>
          <cell r="D8960" t="str">
            <v>M</v>
          </cell>
          <cell r="E8960">
            <v>209.56</v>
          </cell>
          <cell r="F8960">
            <v>0</v>
          </cell>
        </row>
        <row r="8961">
          <cell r="B8961">
            <v>93000</v>
          </cell>
          <cell r="C8961" t="str">
            <v>CABO DE COBRE FLEXÍVEL ISOLADO, 240 MM², ANTI-CHAMA 0,6/1,0 KV, PARA REDE ENTERRADA DE DISTRIBUIÇÃO DE ENERGIA ELÉTRICA - FORNECIMENTO E INSTALAÇÃO. AF_12/2021</v>
          </cell>
          <cell r="D8961" t="str">
            <v>M</v>
          </cell>
          <cell r="E8961">
            <v>277.04000000000002</v>
          </cell>
          <cell r="F8961">
            <v>0</v>
          </cell>
        </row>
        <row r="8962">
          <cell r="B8962">
            <v>92984</v>
          </cell>
          <cell r="C8962" t="str">
            <v>CABO DE COBRE FLEXÍVEL ISOLADO, 25 MM², ANTI-CHAMA 0,6/1,0 KV, PARA REDE ENTERRADA DE DISTRIBUIÇÃO DE ENERGIA ELÉTRICA - FORNECIMENTO E INSTALAÇÃO. AF_12/2021</v>
          </cell>
          <cell r="D8962" t="str">
            <v>M</v>
          </cell>
          <cell r="E8962">
            <v>31.06</v>
          </cell>
          <cell r="F8962">
            <v>0</v>
          </cell>
        </row>
        <row r="8963">
          <cell r="B8963">
            <v>93002</v>
          </cell>
          <cell r="C8963" t="str">
            <v>CABO DE COBRE FLEXÍVEL ISOLADO, 300 MM², ANTI-CHAMA 0,6/1,0 KV, PARA REDE ENTERRADA DE DISTRIBUIÇÃO DE ENERGIA ELÉTRICA - FORNECIMENTO E INSTALAÇÃO. AF_12/2021</v>
          </cell>
          <cell r="D8963" t="str">
            <v>M</v>
          </cell>
          <cell r="E8963">
            <v>357.73</v>
          </cell>
          <cell r="F8963">
            <v>0</v>
          </cell>
        </row>
        <row r="8964">
          <cell r="B8964">
            <v>92986</v>
          </cell>
          <cell r="C8964" t="str">
            <v>CABO DE COBRE FLEXÍVEL ISOLADO, 35 MM², ANTI-CHAMA 0,6/1,0 KV, PARA REDE ENTERRADA DE DISTRIBUIÇÃO DE ENERGIA ELÉTRICA - FORNECIMENTO E INSTALAÇÃO. AF_12/2021</v>
          </cell>
          <cell r="D8964" t="str">
            <v>M</v>
          </cell>
          <cell r="E8964">
            <v>42.58</v>
          </cell>
          <cell r="F8964">
            <v>0</v>
          </cell>
        </row>
        <row r="8965">
          <cell r="B8965">
            <v>92988</v>
          </cell>
          <cell r="C8965" t="str">
            <v>CABO DE COBRE FLEXÍVEL ISOLADO, 50 MM², ANTI-CHAMA 0,6/1,0 KV, PARA REDE ENTERRADA DE DISTRIBUIÇÃO DE ENERGIA ELÉTRICA - FORNECIMENTO E INSTALAÇÃO. AF_12/2021</v>
          </cell>
          <cell r="D8965" t="str">
            <v>M</v>
          </cell>
          <cell r="E8965">
            <v>61.36</v>
          </cell>
          <cell r="F8965">
            <v>0</v>
          </cell>
        </row>
        <row r="8966">
          <cell r="B8966">
            <v>92990</v>
          </cell>
          <cell r="C8966" t="str">
            <v>CABO DE COBRE FLEXÍVEL ISOLADO, 70 MM², ANTI-CHAMA 0,6/1,0 KV, PARA REDE ENTERRADA DE DISTRIBUIÇÃO DE ENERGIA ELÉTRICA - FORNECIMENTO E INSTALAÇÃO. AF_12/2021</v>
          </cell>
          <cell r="D8966" t="str">
            <v>M</v>
          </cell>
          <cell r="E8966">
            <v>84.6</v>
          </cell>
          <cell r="F8966">
            <v>0</v>
          </cell>
        </row>
        <row r="8967">
          <cell r="B8967">
            <v>92992</v>
          </cell>
          <cell r="C8967" t="str">
            <v>CABO DE COBRE FLEXÍVEL ISOLADO, 95 MM², ANTI-CHAMA 0,6/1,0 KV, PARA REDE ENTERRADA DE DISTRIBUIÇÃO DE ENERGIA ELÉTRICA - FORNECIMENTO E INSTALAÇÃO. AF_12/2021</v>
          </cell>
          <cell r="D8967" t="str">
            <v>M</v>
          </cell>
          <cell r="E8967">
            <v>109.19</v>
          </cell>
          <cell r="F8967">
            <v>0</v>
          </cell>
        </row>
        <row r="8968">
          <cell r="B8968">
            <v>103491</v>
          </cell>
          <cell r="C8968" t="str">
            <v>CONCRETAGEM COMO PROTEÇÃO MECÂNICA ADICIONAL NO REATERRO PARA REDE ENTERRADA DE DISTRIBUIÇÃO DE ENERGIA ELÉTRICA - FORNECIMENTO E INSTALAÇÃO. AF_12/2021</v>
          </cell>
          <cell r="D8968" t="str">
            <v>M3</v>
          </cell>
          <cell r="E8968">
            <v>670.94</v>
          </cell>
          <cell r="F8968">
            <v>0</v>
          </cell>
        </row>
        <row r="8969">
          <cell r="B8969">
            <v>93026</v>
          </cell>
          <cell r="C8969" t="str">
            <v>CURVA 90 GRAUS PARA ELETRODUTO, PVC, ROSCÁVEL, DN 110 MM (4"), PARA REDE ENTERRADA DE DISTRIBUIÇÃO DE ENERGIA ELÉTRICA - FORNECIMENTO E INSTALAÇÃO. AF_12/2021</v>
          </cell>
          <cell r="D8969" t="str">
            <v>UN</v>
          </cell>
          <cell r="E8969">
            <v>89.23</v>
          </cell>
          <cell r="F8969">
            <v>0</v>
          </cell>
        </row>
        <row r="8970">
          <cell r="B8970">
            <v>93018</v>
          </cell>
          <cell r="C8970" t="str">
            <v>CURVA 90 GRAUS PARA ELETRODUTO, PVC, ROSCÁVEL, DN 50 MM (1 1/2"), PARA REDE ENTERRADA DE DISTRIBUIÇÃO DE ENERGIA ELÉTRICA - FORNECIMENTO E INSTALAÇÃO. AF_12/2021</v>
          </cell>
          <cell r="D8970" t="str">
            <v>UN</v>
          </cell>
          <cell r="E8970">
            <v>31.26</v>
          </cell>
          <cell r="F8970">
            <v>0</v>
          </cell>
        </row>
        <row r="8971">
          <cell r="B8971">
            <v>93020</v>
          </cell>
          <cell r="C8971" t="str">
            <v>CURVA 90 GRAUS PARA ELETRODUTO, PVC, ROSCÁVEL, DN 60 MM (2"), PARA REDE ENTERRADA DE DISTRIBUIÇÃO DE ENERGIA ELÉTRICA - FORNECIMENTO E INSTALAÇÃO. AF_12/2021</v>
          </cell>
          <cell r="D8971" t="str">
            <v>UN</v>
          </cell>
          <cell r="E8971">
            <v>38.15</v>
          </cell>
          <cell r="F8971">
            <v>0</v>
          </cell>
        </row>
        <row r="8972">
          <cell r="B8972">
            <v>93022</v>
          </cell>
          <cell r="C8972" t="str">
            <v>CURVA 90 GRAUS PARA ELETRODUTO, PVC, ROSCÁVEL, DN 75 MM (2 1/2"), PARA REDE ENTERRADA DE DISTRIBUIÇÃO DE ENERGIA ELÉTRICA - FORNECIMENTO E INSTALAÇÃO. AF_12/2021</v>
          </cell>
          <cell r="D8972" t="str">
            <v>UN</v>
          </cell>
          <cell r="E8972">
            <v>55.82</v>
          </cell>
          <cell r="F8972">
            <v>0</v>
          </cell>
        </row>
        <row r="8973">
          <cell r="B8973">
            <v>93024</v>
          </cell>
          <cell r="C8973" t="str">
            <v>CURVA 90 GRAUS PARA ELETRODUTO, PVC, ROSCÁVEL, DN 85 MM (3"), PARA REDE ENTERRADA DE DISTRIBUIÇÃO DE ENERGIA ELÉTRICA - FORNECIMENTO E INSTALAÇÃO. AF_12/2021</v>
          </cell>
          <cell r="D8973" t="str">
            <v>UN</v>
          </cell>
          <cell r="E8973">
            <v>59.84</v>
          </cell>
          <cell r="F8973">
            <v>0</v>
          </cell>
        </row>
        <row r="8974">
          <cell r="B8974">
            <v>97670</v>
          </cell>
          <cell r="C8974" t="str">
            <v>ELETRODUTO FLEXÍVEL CORRUGADO, PEAD, DN 100 (4"), PARA REDE ENTERRADA DE DISTRIBUIÇÃO DE ENERGIA ELÉTRICA - FORNECIMENTO E INSTALAÇÃO. AF_12/2021</v>
          </cell>
          <cell r="D8974" t="str">
            <v>M</v>
          </cell>
          <cell r="E8974">
            <v>28.73</v>
          </cell>
          <cell r="F8974">
            <v>0</v>
          </cell>
        </row>
        <row r="8975">
          <cell r="B8975">
            <v>103486</v>
          </cell>
          <cell r="C8975" t="str">
            <v>ELETRODUTO FLEXÍVEL CORRUGADO, PEAD, DN 125 (5"), PARA REDE ENTERRADA DE DISTRIBUIÇÃO DE ENERGIA ELÉTRICA - FORNECIMENTO E INSTALAÇÃO. AF_12/2021</v>
          </cell>
          <cell r="D8975" t="str">
            <v>M</v>
          </cell>
          <cell r="E8975">
            <v>0</v>
          </cell>
        </row>
        <row r="8976">
          <cell r="B8976">
            <v>103487</v>
          </cell>
          <cell r="C8976" t="str">
            <v>ELETRODUTO FLEXÍVEL CORRUGADO, PEAD, DN 150 (6"), PARA REDE ENTERRADA DE DISTRIBUIÇÃO DE ENERGIA ELÉTRICA - FORNECIMENTO E INSTALAÇÃO. AF_12/2021</v>
          </cell>
          <cell r="D8976" t="str">
            <v>M</v>
          </cell>
          <cell r="E8976">
            <v>0</v>
          </cell>
        </row>
        <row r="8977">
          <cell r="B8977">
            <v>103488</v>
          </cell>
          <cell r="C8977" t="str">
            <v>ELETRODUTO FLEXÍVEL CORRUGADO, PEAD, DN 175 (7"), PARA REDE ENTERRADA DE DISTRIBUIÇÃO DE ENERGIA ELÉTRICA - FORNECIMENTO E INSTALAÇÃO. AF_12/2021</v>
          </cell>
          <cell r="D8977" t="str">
            <v>M</v>
          </cell>
          <cell r="E8977">
            <v>0</v>
          </cell>
        </row>
        <row r="8978">
          <cell r="B8978">
            <v>103489</v>
          </cell>
          <cell r="C8978" t="str">
            <v>ELETRODUTO FLEXÍVEL CORRUGADO, PEAD, DN 200 (8"), PARA REDE ENTERRADA DE DISTRIBUIÇÃO DE ENERGIA ELÉTRICA - FORNECIMENTO E INSTALAÇÃO. AF_12/2021</v>
          </cell>
          <cell r="D8978" t="str">
            <v>M</v>
          </cell>
          <cell r="E8978">
            <v>0</v>
          </cell>
        </row>
        <row r="8979">
          <cell r="B8979">
            <v>97667</v>
          </cell>
          <cell r="C8979" t="str">
            <v>ELETRODUTO FLEXÍVEL CORRUGADO, PEAD, DN 50 (1 1/2"), PARA REDE ENTERRADA DE DISTRIBUIÇÃO DE ENERGIA ELÉTRICA - FORNECIMENTO E INSTALAÇÃO. AF_12/2021</v>
          </cell>
          <cell r="D8979" t="str">
            <v>M</v>
          </cell>
          <cell r="E8979">
            <v>10.7</v>
          </cell>
          <cell r="F8979">
            <v>0</v>
          </cell>
        </row>
        <row r="8980">
          <cell r="B8980">
            <v>97668</v>
          </cell>
          <cell r="C8980" t="str">
            <v>ELETRODUTO FLEXÍVEL CORRUGADO, PEAD, DN 63 (2"), PARA REDE ENTERRADA DE DISTRIBUIÇÃO DE ENERGIA ELÉTRICA - FORNECIMENTO E INSTALAÇÃO. AF_12/2021</v>
          </cell>
          <cell r="D8980" t="str">
            <v>M</v>
          </cell>
          <cell r="E8980">
            <v>15.21</v>
          </cell>
          <cell r="F8980">
            <v>0</v>
          </cell>
        </row>
        <row r="8981">
          <cell r="B8981">
            <v>97669</v>
          </cell>
          <cell r="C8981" t="str">
            <v>ELETRODUTO FLEXÍVEL CORRUGADO, PEAD, DN 90 (3"), PARA REDE ENTERRADA DE DISTRIBUIÇÃO DE ENERGIA ELÉTRICA - FORNECIMENTO E INSTALAÇÃO. AF_12/2021</v>
          </cell>
          <cell r="D8981" t="str">
            <v>M</v>
          </cell>
          <cell r="E8981">
            <v>22.79</v>
          </cell>
          <cell r="F8981">
            <v>0</v>
          </cell>
        </row>
        <row r="8982">
          <cell r="B8982">
            <v>93012</v>
          </cell>
          <cell r="C8982" t="str">
            <v>ELETRODUTO RÍGIDO ROSCÁVEL, PVC, DN 110 MM (4"), PARA REDE ENTERRADA DE DISTRIBUIÇÃO DE ENERGIA ELÉTRICA - FORNECIMENTO E INSTALAÇÃO. AF_12/2021</v>
          </cell>
          <cell r="D8982" t="str">
            <v>M</v>
          </cell>
          <cell r="E8982">
            <v>67.75</v>
          </cell>
          <cell r="F8982">
            <v>0</v>
          </cell>
        </row>
        <row r="8983">
          <cell r="B8983">
            <v>93008</v>
          </cell>
          <cell r="C8983" t="str">
            <v>ELETRODUTO RÍGIDO ROSCÁVEL, PVC, DN 50 MM (1 1/2"), PARA REDE ENTERRADA DE DISTRIBUIÇÃO DE ENERGIA ELÉTRICA - FORNECIMENTO E INSTALAÇÃO. AF_12/2021</v>
          </cell>
          <cell r="D8983" t="str">
            <v>M</v>
          </cell>
          <cell r="E8983">
            <v>19.670000000000002</v>
          </cell>
          <cell r="F8983">
            <v>0</v>
          </cell>
        </row>
        <row r="8984">
          <cell r="B8984">
            <v>93009</v>
          </cell>
          <cell r="C8984" t="str">
            <v>ELETRODUTO RÍGIDO ROSCÁVEL, PVC, DN 60 MM (2"), PARA REDE ENTERRADA DE DISTRIBUIÇÃO DE ENERGIA ELÉTRICA - FORNECIMENTO E INSTALAÇÃO. AF_12/2021</v>
          </cell>
          <cell r="D8984" t="str">
            <v>M</v>
          </cell>
          <cell r="E8984">
            <v>27.86</v>
          </cell>
          <cell r="F8984">
            <v>0</v>
          </cell>
        </row>
        <row r="8985">
          <cell r="B8985">
            <v>93010</v>
          </cell>
          <cell r="C8985" t="str">
            <v>ELETRODUTO RÍGIDO ROSCÁVEL, PVC, DN 75 MM (2 1/2"), PARA REDE ENTERRADA DE DISTRIBUIÇÃO DE ENERGIA ELÉTRICA - FORNECIMENTO E INSTALAÇÃO. AF_12/2021</v>
          </cell>
          <cell r="D8985" t="str">
            <v>M</v>
          </cell>
          <cell r="E8985">
            <v>37.96</v>
          </cell>
          <cell r="F8985">
            <v>0</v>
          </cell>
        </row>
        <row r="8986">
          <cell r="B8986">
            <v>93011</v>
          </cell>
          <cell r="C8986" t="str">
            <v>ELETRODUTO RÍGIDO ROSCÁVEL, PVC, DN 85 MM (3"), PARA REDE ENTERRADA DE DISTRIBUIÇÃO DE ENERGIA ELÉTRICA - FORNECIMENTO E INSTALAÇÃO. AF_12/2021</v>
          </cell>
          <cell r="D8986" t="str">
            <v>M</v>
          </cell>
          <cell r="E8986">
            <v>45.83</v>
          </cell>
          <cell r="F8986">
            <v>0</v>
          </cell>
        </row>
        <row r="8987">
          <cell r="B8987">
            <v>103492</v>
          </cell>
          <cell r="C8987" t="str">
            <v>FITA DE SINALIZAÇÃO SUBTERRÂNEA PARA REDE ENTERRADA DE DISTRIBUIÇÃO DE ENERGIA ELÉTRICA - FORNECIMENTO E INSTALAÇÃO. AF_12/2021</v>
          </cell>
          <cell r="D8987" t="str">
            <v>M</v>
          </cell>
          <cell r="E8987">
            <v>0</v>
          </cell>
        </row>
        <row r="8988">
          <cell r="B8988">
            <v>93017</v>
          </cell>
          <cell r="C8988" t="str">
            <v>LUVA PARA ELETRODUTO, PVC, ROSCÁVEL, DN 110 MM (4"), PARA REDE ENTERRADA DE DISTRIBUIÇÃO DE ENERGIA ELÉTRICA - FORNECIMENTO E INSTALAÇÃO. AF_12/2021</v>
          </cell>
          <cell r="D8988" t="str">
            <v>UN</v>
          </cell>
          <cell r="E8988">
            <v>55.68</v>
          </cell>
          <cell r="F8988">
            <v>0</v>
          </cell>
        </row>
        <row r="8989">
          <cell r="B8989">
            <v>93013</v>
          </cell>
          <cell r="C8989" t="str">
            <v>LUVA PARA ELETRODUTO, PVC, ROSCÁVEL, DN 50 MM (1 1/2"), PARA REDE ENTERRADA DE DISTRIBUIÇÃO DE ENERGIA ELÉTRICA - FORNECIMENTO E INSTALAÇÃO. AF_12/2021</v>
          </cell>
          <cell r="D8989" t="str">
            <v>UN</v>
          </cell>
          <cell r="E8989">
            <v>20.64</v>
          </cell>
          <cell r="F8989">
            <v>0</v>
          </cell>
        </row>
        <row r="8990">
          <cell r="B8990">
            <v>93014</v>
          </cell>
          <cell r="C8990" t="str">
            <v>LUVA PARA ELETRODUTO, PVC, ROSCÁVEL, DN 60 MM (2"), PARA REDE ENTERRADA DE DISTRIBUIÇÃO DE ENERGIA ELÉTRICA - FORNECIMENTO E INSTALAÇÃO. AF_12/2021</v>
          </cell>
          <cell r="D8990" t="str">
            <v>UN</v>
          </cell>
          <cell r="E8990">
            <v>24.58</v>
          </cell>
          <cell r="F8990">
            <v>0</v>
          </cell>
        </row>
        <row r="8991">
          <cell r="B8991">
            <v>93015</v>
          </cell>
          <cell r="C8991" t="str">
            <v>LUVA PARA ELETRODUTO, PVC, ROSCÁVEL, DN 75 MM (2 1/2"), PARA REDE ENTERRADA DE DISTRIBUIÇÃO DE ENERGIA ELÉTRICA - FORNECIMENTO E INSTALAÇÃO. AF_12/2021</v>
          </cell>
          <cell r="D8991" t="str">
            <v>UN</v>
          </cell>
          <cell r="E8991">
            <v>33.72</v>
          </cell>
          <cell r="F8991">
            <v>0</v>
          </cell>
        </row>
        <row r="8992">
          <cell r="B8992">
            <v>93016</v>
          </cell>
          <cell r="C8992" t="str">
            <v>LUVA PARA ELETRODUTO, PVC, ROSCÁVEL, DN 85 MM (3"), PARA REDE ENTERRADA DE DISTRIBUIÇÃO DE ENERGIA ELÉTRICA - FORNECIMENTO E INSTALAÇÃO. AF_12/2021</v>
          </cell>
          <cell r="D8992" t="str">
            <v>UN</v>
          </cell>
          <cell r="E8992">
            <v>39.56</v>
          </cell>
          <cell r="F8992">
            <v>0</v>
          </cell>
        </row>
        <row r="8993">
          <cell r="B8993">
            <v>103490</v>
          </cell>
          <cell r="C8993" t="str">
            <v>PLACA DE CONCRETO PRÉ-MOLDADO COMO PROTEÇÃO MECÂNICA ADICIONAL NO REATERRO PARA REDE ENTERRADA DE DISTRIBUIÇÃO DE ENERGIA ELÉTRICA - FORNECIMENTO E INSTALAÇÃO. AF_12/2021</v>
          </cell>
          <cell r="D8993" t="str">
            <v>M3</v>
          </cell>
          <cell r="E8993">
            <v>3750.82</v>
          </cell>
          <cell r="F8993">
            <v>0</v>
          </cell>
        </row>
        <row r="8994">
          <cell r="B8994">
            <v>106082</v>
          </cell>
          <cell r="C8994" t="str">
            <v>BASTIDOR PARA BLOCO M10 - FORNECIMENTO E INSTALAÇÃO. AF_08/2025</v>
          </cell>
          <cell r="D8994" t="str">
            <v>UN</v>
          </cell>
          <cell r="E8994">
            <v>20.55</v>
          </cell>
          <cell r="F8994">
            <v>0</v>
          </cell>
        </row>
        <row r="8995">
          <cell r="B8995">
            <v>98306</v>
          </cell>
          <cell r="C8995" t="str">
            <v>BLOCO DE ENGATE RÁPIDO PARA BASTIDOR TIPO M10 - FORNECIMENTO E INSTALAÇÃO. AF_08/2025</v>
          </cell>
          <cell r="D8995" t="str">
            <v>UN</v>
          </cell>
          <cell r="E8995">
            <v>73.58</v>
          </cell>
          <cell r="F8995">
            <v>0</v>
          </cell>
        </row>
        <row r="8996">
          <cell r="B8996">
            <v>100553</v>
          </cell>
          <cell r="C8996" t="str">
            <v>CABO COAXIAL RG11 95% - FORNECIMENTO E INSTALAÇÃO. AF_08/2025</v>
          </cell>
          <cell r="D8996" t="str">
            <v>M</v>
          </cell>
          <cell r="E8996">
            <v>30.36</v>
          </cell>
          <cell r="F8996">
            <v>0</v>
          </cell>
        </row>
        <row r="8997">
          <cell r="B8997">
            <v>100554</v>
          </cell>
          <cell r="C8997" t="str">
            <v>CABO COAXIAL RG59 95% - FORNECIMENTO E INSTALAÇÃO. AF_08/2025</v>
          </cell>
          <cell r="D8997" t="str">
            <v>M</v>
          </cell>
          <cell r="E8997">
            <v>8.8000000000000007</v>
          </cell>
          <cell r="F8997">
            <v>0</v>
          </cell>
        </row>
        <row r="8998">
          <cell r="B8998">
            <v>98300</v>
          </cell>
          <cell r="C8998" t="str">
            <v>CABO COAXIAL RG6 95% - FORNECIMENTO E INSTALAÇÃO. AF_08/2025</v>
          </cell>
          <cell r="D8998" t="str">
            <v>M</v>
          </cell>
          <cell r="E8998">
            <v>8.8800000000000008</v>
          </cell>
          <cell r="F8998">
            <v>0</v>
          </cell>
        </row>
        <row r="8999">
          <cell r="B8999">
            <v>98295</v>
          </cell>
          <cell r="C8999" t="str">
            <v>CABO ELETRÔNICO CATEGORIA 5E, INSTALADO EM EDIFICAÇÃO INSTITUCIONAL - FORNECIMENTO E INSTALAÇÃO. AF_08/2025</v>
          </cell>
          <cell r="D8999" t="str">
            <v>M</v>
          </cell>
          <cell r="E8999">
            <v>7.06</v>
          </cell>
          <cell r="F8999">
            <v>0</v>
          </cell>
        </row>
        <row r="9000">
          <cell r="B9000">
            <v>98294</v>
          </cell>
          <cell r="C9000" t="str">
            <v>CABO ELETRÔNICO CATEGORIA 5E, INSTALADO EM EDIFICAÇÃO RESIDENCIAL - FORNECIMENTO E INSTALAÇÃO. AF_08/2025</v>
          </cell>
          <cell r="D9000" t="str">
            <v>M</v>
          </cell>
          <cell r="E9000">
            <v>10.15</v>
          </cell>
          <cell r="F9000">
            <v>0</v>
          </cell>
        </row>
        <row r="9001">
          <cell r="B9001">
            <v>98297</v>
          </cell>
          <cell r="C9001" t="str">
            <v>CABO ELETRÔNICO CATEGORIA 6, INSTALADO EM EDIFICAÇÃO INSTITUCIONAL - FORNECIMENTO E INSTALAÇÃO. AF_08/2025</v>
          </cell>
          <cell r="D9001" t="str">
            <v>M</v>
          </cell>
          <cell r="E9001">
            <v>9.9</v>
          </cell>
          <cell r="F9001">
            <v>0</v>
          </cell>
        </row>
        <row r="9002">
          <cell r="B9002">
            <v>98296</v>
          </cell>
          <cell r="C9002" t="str">
            <v>CABO ELETRÔNICO CATEGORIA 6, INSTALADO EM EDIFICAÇÃO RESIDENCIAL - FORNECIMENTO E INSTALAÇÃO. AF_08/2025</v>
          </cell>
          <cell r="D9002" t="str">
            <v>M</v>
          </cell>
          <cell r="E9002">
            <v>13.1</v>
          </cell>
          <cell r="F9002">
            <v>0</v>
          </cell>
        </row>
        <row r="9003">
          <cell r="B9003">
            <v>98299</v>
          </cell>
          <cell r="C9003" t="str">
            <v>CABO ELETRÔNICO CATEGORIA 6A, INSTALADO EM EDIFICAÇÃO INSTITUCIONAL - FORNECIMENTO E INSTALAÇÃO. AF_08/2025</v>
          </cell>
          <cell r="D9003" t="str">
            <v>M</v>
          </cell>
          <cell r="E9003">
            <v>24.96</v>
          </cell>
          <cell r="F9003">
            <v>0</v>
          </cell>
        </row>
        <row r="9004">
          <cell r="B9004">
            <v>98298</v>
          </cell>
          <cell r="C9004" t="str">
            <v>CABO ELETRÔNICO CATEGORIA 6A, INSTALADO EM EDIFICAÇÃO RESIDENCIAL - FORNECIMENTO E INSTALAÇÃO. AF_08/2025</v>
          </cell>
          <cell r="D9004" t="str">
            <v>M</v>
          </cell>
          <cell r="E9004">
            <v>28.16</v>
          </cell>
          <cell r="F9004">
            <v>0</v>
          </cell>
        </row>
        <row r="9005">
          <cell r="B9005">
            <v>98261</v>
          </cell>
          <cell r="C9005" t="str">
            <v>CABO TELEFÔNICO CCI-50 1 PAR, INSTALADO EM ENTRADA DE EDIFICAÇÃO - FORNECIMENTO E INSTALAÇÃO. AF_08/2025</v>
          </cell>
          <cell r="D9005" t="str">
            <v>M</v>
          </cell>
          <cell r="E9005">
            <v>4.66</v>
          </cell>
          <cell r="F9005">
            <v>0</v>
          </cell>
        </row>
        <row r="9006">
          <cell r="B9006">
            <v>98287</v>
          </cell>
          <cell r="C9006" t="str">
            <v>CABO TELEFÔNICO CCI-50 1 PAR, SEM BLINDAGEM, INSTALADO EM DISTRIBUIÇÃO DE EDIFICAÇÃO INSTITUCIONAL - FORNECIMENTO E INSTALAÇÃO. AF_08/2025</v>
          </cell>
          <cell r="D9006" t="str">
            <v>M</v>
          </cell>
          <cell r="E9006">
            <v>1.74</v>
          </cell>
          <cell r="F9006">
            <v>0</v>
          </cell>
        </row>
        <row r="9007">
          <cell r="B9007">
            <v>98280</v>
          </cell>
          <cell r="C9007" t="str">
            <v>CABO TELEFÔNICO CCI-50 1 PAR, SEM BLINDAGEM, INSTALADO EM DISTRIBUIÇÃO DE EDIFICAÇÃO RESIDENCIAL - FORNECIMENTO E INSTALAÇÃO. AF_08/2025</v>
          </cell>
          <cell r="D9007" t="str">
            <v>M</v>
          </cell>
          <cell r="E9007">
            <v>9.52</v>
          </cell>
          <cell r="F9007">
            <v>0</v>
          </cell>
        </row>
        <row r="9008">
          <cell r="B9008">
            <v>98288</v>
          </cell>
          <cell r="C9008" t="str">
            <v>CABO TELEFÔNICO CCI-50 2 PARES, SEM BLINDAGEM, INSTALADO EM DISTRIBUIÇÃO DE EDIFICAÇÃO INSTITUCIONAL - FORNECIMENTO E INSTALAÇÃO. AF_08/2025</v>
          </cell>
          <cell r="D9008" t="str">
            <v>M</v>
          </cell>
          <cell r="E9008">
            <v>2.68</v>
          </cell>
          <cell r="F9008">
            <v>0</v>
          </cell>
        </row>
        <row r="9009">
          <cell r="B9009">
            <v>98281</v>
          </cell>
          <cell r="C9009" t="str">
            <v>CABO TELEFÔNICO CCI-50 2 PARES, SEM BLINDAGEM, INSTALADO EM DISTRIBUIÇÃO DE EDIFICAÇÃO RESIDENCIAL - FORNECIMENTO E INSTALAÇÃO. AF_08/2025</v>
          </cell>
          <cell r="D9009" t="str">
            <v>M</v>
          </cell>
          <cell r="E9009">
            <v>10.47</v>
          </cell>
          <cell r="F9009">
            <v>0</v>
          </cell>
        </row>
        <row r="9010">
          <cell r="B9010">
            <v>98262</v>
          </cell>
          <cell r="C9010" t="str">
            <v>CABO TELEFÔNICO CCI-50 2 PARES, SEM BLINDAGEM, INSTALADO EM ENTRADA DE EDIFICAÇÃO - FORNECIMENTO E INSTALAÇÃO. AF_08/2025</v>
          </cell>
          <cell r="D9010" t="str">
            <v>M</v>
          </cell>
          <cell r="E9010">
            <v>5.59</v>
          </cell>
          <cell r="F9010">
            <v>0</v>
          </cell>
        </row>
        <row r="9011">
          <cell r="B9011">
            <v>98289</v>
          </cell>
          <cell r="C9011" t="str">
            <v>CABO TELEFÔNICO CCI-50 3 PARES, SEM BLINDAGEM, INSTALADO EM DISTRIBUIÇÃO DE EDIFICAÇÃO INSTITUCIONAL - FORNECIMENTO E INSTALAÇÃO. AF_08/2025</v>
          </cell>
          <cell r="D9011" t="str">
            <v>M</v>
          </cell>
          <cell r="E9011">
            <v>2.93</v>
          </cell>
          <cell r="F9011">
            <v>0</v>
          </cell>
        </row>
        <row r="9012">
          <cell r="B9012">
            <v>98282</v>
          </cell>
          <cell r="C9012" t="str">
            <v>CABO TELEFÔNICO CCI-50 3 PARES, SEM BLINDAGEM, INSTALADO EM DISTRIBUIÇÃO DE EDIFICAÇÃO RESIDENCIAL - FORNECIMENTO E INSTALAÇÃO. AF_08/2025</v>
          </cell>
          <cell r="D9012" t="str">
            <v>M</v>
          </cell>
          <cell r="E9012">
            <v>10.71</v>
          </cell>
          <cell r="F9012">
            <v>0</v>
          </cell>
        </row>
        <row r="9013">
          <cell r="B9013">
            <v>98263</v>
          </cell>
          <cell r="C9013" t="str">
            <v>CABO TELEFÔNICO CCI-50 3 PARES, SEM BLINDAGEM, INSTALADO EM ENTRADA DE EDIFICAÇÃO - FORNECIMENTO E INSTALAÇÃO. AF_08/2025</v>
          </cell>
          <cell r="D9013" t="str">
            <v>M</v>
          </cell>
          <cell r="E9013">
            <v>5.85</v>
          </cell>
          <cell r="F9013">
            <v>0</v>
          </cell>
        </row>
        <row r="9014">
          <cell r="B9014">
            <v>98290</v>
          </cell>
          <cell r="C9014" t="str">
            <v>CABO TELEFÔNICO CCI-50 4 PARES, SEM BLINDAGEM, INSTALADO EM DISTRIBUIÇÃO DE EDIFICAÇÃO INSTITUCIONAL - FORNECIMENTO E INSTALAÇÃO. AF_08/2025</v>
          </cell>
          <cell r="D9014" t="str">
            <v>M</v>
          </cell>
          <cell r="E9014">
            <v>3.93</v>
          </cell>
          <cell r="F9014">
            <v>0</v>
          </cell>
        </row>
        <row r="9015">
          <cell r="B9015">
            <v>98283</v>
          </cell>
          <cell r="C9015" t="str">
            <v>CABO TELEFÔNICO CCI-50 4 PARES, SEM BLINDAGEM, INSTALADO EM DISTRIBUIÇÃO DE EDIFICAÇÃO RESIDENCIAL - FORNECIMENTO E INSTALAÇÃO. AF_08/2025</v>
          </cell>
          <cell r="D9015" t="str">
            <v>M</v>
          </cell>
          <cell r="E9015">
            <v>11.72</v>
          </cell>
          <cell r="F9015">
            <v>0</v>
          </cell>
        </row>
        <row r="9016">
          <cell r="B9016">
            <v>98264</v>
          </cell>
          <cell r="C9016" t="str">
            <v>CABO TELEFÔNICO CCI-50 4 PARES, SEM BLINDAGEM, INSTALADO EM ENTRADA DE EDIFICAÇÃO - FORNECIMENTO E INSTALAÇÃO. AF_08/2025</v>
          </cell>
          <cell r="D9016" t="str">
            <v>M</v>
          </cell>
          <cell r="E9016">
            <v>6.85</v>
          </cell>
          <cell r="F9016">
            <v>0</v>
          </cell>
        </row>
        <row r="9017">
          <cell r="B9017">
            <v>98273</v>
          </cell>
          <cell r="C9017" t="str">
            <v>CABO TELEFÔNICO CCI-50 4 PARES, SEM BLINDAGEM, INSTALADO EM PRUMADA - FORNECIMENTO E INSTALAÇÃO. AF_08/2025</v>
          </cell>
          <cell r="D9017" t="str">
            <v>M</v>
          </cell>
          <cell r="E9017">
            <v>3.06</v>
          </cell>
          <cell r="F9017">
            <v>0</v>
          </cell>
        </row>
        <row r="9018">
          <cell r="B9018">
            <v>98291</v>
          </cell>
          <cell r="C9018" t="str">
            <v>CABO TELEFÔNICO CCI-50 5 PARES, SEM BLINDAGEM, INSTALADO EM DISTRIBUIÇÃO DE EDIFICAÇÃO INSTITUCIONAL - FORNECIMENTO E INSTALAÇÃO. AF_08/2025</v>
          </cell>
          <cell r="D9018" t="str">
            <v>M</v>
          </cell>
          <cell r="E9018">
            <v>4.58</v>
          </cell>
          <cell r="F9018">
            <v>0</v>
          </cell>
        </row>
        <row r="9019">
          <cell r="B9019">
            <v>98284</v>
          </cell>
          <cell r="C9019" t="str">
            <v>CABO TELEFÔNICO CCI-50 5 PARES, SEM BLINDAGEM, INSTALADO EM DISTRIBUIÇÃO DE EDIFICAÇÃO RESIDENCIAL - FORNECIMENTO E INSTALAÇÃO. AF_08/2025</v>
          </cell>
          <cell r="D9019" t="str">
            <v>M</v>
          </cell>
          <cell r="E9019">
            <v>12.37</v>
          </cell>
          <cell r="F9019">
            <v>0</v>
          </cell>
        </row>
        <row r="9020">
          <cell r="B9020">
            <v>98265</v>
          </cell>
          <cell r="C9020" t="str">
            <v>CABO TELEFÔNICO CCI-50 5 PARES, SEM BLINDAGEM, INSTALADO EM ENTRADA DE EDIFICAÇÃO - FORNECIMENTO E INSTALAÇÃO. AF_08/2025</v>
          </cell>
          <cell r="D9020" t="str">
            <v>M</v>
          </cell>
          <cell r="E9020">
            <v>7.5</v>
          </cell>
          <cell r="F9020">
            <v>0</v>
          </cell>
        </row>
        <row r="9021">
          <cell r="B9021">
            <v>98274</v>
          </cell>
          <cell r="C9021" t="str">
            <v>CABO TELEFÔNICO CCI-50 5 PARES, SEM BLINDAGEM, INSTALADO EM PRUMADA - FORNECIMENTO E INSTALAÇÃO. AF_08/2025</v>
          </cell>
          <cell r="D9021" t="str">
            <v>M</v>
          </cell>
          <cell r="E9021">
            <v>3.72</v>
          </cell>
          <cell r="F9021">
            <v>0</v>
          </cell>
        </row>
        <row r="9022">
          <cell r="B9022">
            <v>98292</v>
          </cell>
          <cell r="C9022" t="str">
            <v>CABO TELEFÔNICO CCI-50 6 PARES, SEM BLINDAGEM, INSTALADO EM DISTRIBUIÇÃO DE EDIFICAÇÃO INSTITUCIONAL - FORNECIMENTO E INSTALAÇÃO. AF_08/2025</v>
          </cell>
          <cell r="D9022" t="str">
            <v>M</v>
          </cell>
          <cell r="E9022">
            <v>5.49</v>
          </cell>
          <cell r="F9022">
            <v>0</v>
          </cell>
        </row>
        <row r="9023">
          <cell r="B9023">
            <v>98285</v>
          </cell>
          <cell r="C9023" t="str">
            <v>CABO TELEFÔNICO CCI-50 6 PARES, SEM BLINDAGEM, INSTALADO EM DISTRIBUIÇÃO DE EDIFICAÇÃO RESIDENCIAL - FORNECIMENTO E INSTALAÇÃO. AF_08/2025</v>
          </cell>
          <cell r="D9023" t="str">
            <v>M</v>
          </cell>
          <cell r="E9023">
            <v>13.27</v>
          </cell>
          <cell r="F9023">
            <v>0</v>
          </cell>
        </row>
        <row r="9024">
          <cell r="B9024">
            <v>98266</v>
          </cell>
          <cell r="C9024" t="str">
            <v>CABO TELEFÔNICO CCI-50 6 PARES, SEM BLINDAGEM, INSTALADO EM ENTRADA DE EDIFICAÇÃO - FORNECIMENTO E INSTALAÇÃO. AF_08/2025</v>
          </cell>
          <cell r="D9024" t="str">
            <v>M</v>
          </cell>
          <cell r="E9024">
            <v>8.4</v>
          </cell>
          <cell r="F9024">
            <v>0</v>
          </cell>
        </row>
        <row r="9025">
          <cell r="B9025">
            <v>98275</v>
          </cell>
          <cell r="C9025" t="str">
            <v>CABO TELEFÔNICO CCI-50 6 PARES, SEM BLINDAGEM, INSTALADO EM PRUMADA - FORNECIMENTO E INSTALAÇÃO. AF_08/2025</v>
          </cell>
          <cell r="D9025" t="str">
            <v>M</v>
          </cell>
          <cell r="E9025">
            <v>4.62</v>
          </cell>
          <cell r="F9025">
            <v>0</v>
          </cell>
        </row>
        <row r="9026">
          <cell r="B9026">
            <v>98293</v>
          </cell>
          <cell r="C9026" t="str">
            <v>CABO TELEFÔNICO CI-50 10 PARES INSTALADO EM DISTRIBUIÇÃO DE EDIFICAÇÃO INSTITUCIONAL - FORNECIMENTO E INSTALAÇÃO. AF_08/2025</v>
          </cell>
          <cell r="D9026" t="str">
            <v>M</v>
          </cell>
          <cell r="E9026">
            <v>10.08</v>
          </cell>
          <cell r="F9026">
            <v>0</v>
          </cell>
        </row>
        <row r="9027">
          <cell r="B9027">
            <v>98286</v>
          </cell>
          <cell r="C9027" t="str">
            <v>CABO TELEFÔNICO CI-50 10 PARES INSTALADO EM DISTRIBUIÇÃO DE EDIFICAÇÃO RESIDENCIAL - FORNECIMENTO E INSTALAÇÃO. AF_08/2025</v>
          </cell>
          <cell r="D9027" t="str">
            <v>M</v>
          </cell>
          <cell r="E9027">
            <v>17.87</v>
          </cell>
          <cell r="F9027">
            <v>0</v>
          </cell>
        </row>
        <row r="9028">
          <cell r="B9028">
            <v>98267</v>
          </cell>
          <cell r="C9028" t="str">
            <v>CABO TELEFÔNICO CI-50 10 PARES INSTALADO EM ENTRADA DE EDIFICAÇÃO - FORNECIMENTO E INSTALAÇÃO. AF_08/2025</v>
          </cell>
          <cell r="D9028" t="str">
            <v>M</v>
          </cell>
          <cell r="E9028">
            <v>13</v>
          </cell>
          <cell r="F9028">
            <v>0</v>
          </cell>
        </row>
        <row r="9029">
          <cell r="B9029">
            <v>98276</v>
          </cell>
          <cell r="C9029" t="str">
            <v>CABO TELEFÔNICO CI-50 10 PARES INSTALADO EM PRUMADA - FORNECIMENTO E INSTALAÇÃO. AF_08/2025</v>
          </cell>
          <cell r="D9029" t="str">
            <v>M</v>
          </cell>
          <cell r="E9029">
            <v>9.2100000000000009</v>
          </cell>
          <cell r="F9029">
            <v>0</v>
          </cell>
        </row>
        <row r="9030">
          <cell r="B9030">
            <v>98268</v>
          </cell>
          <cell r="C9030" t="str">
            <v>CABO TELEFÔNICO CI-50 20 PARES INSTALADO EM ENTRADA DE EDIFICAÇÃO - FORNECIMENTO E INSTALAÇÃO. AF_08/2025</v>
          </cell>
          <cell r="D9030" t="str">
            <v>M</v>
          </cell>
          <cell r="E9030">
            <v>20.29</v>
          </cell>
          <cell r="F9030">
            <v>0</v>
          </cell>
        </row>
        <row r="9031">
          <cell r="B9031">
            <v>98277</v>
          </cell>
          <cell r="C9031" t="str">
            <v>CABO TELEFÔNICO CI-50 20 PARES INSTALADO EM PRUMADA - FORNECIMENTO E INSTALAÇÃO. AF_08/2025</v>
          </cell>
          <cell r="D9031" t="str">
            <v>M</v>
          </cell>
          <cell r="E9031">
            <v>16.5</v>
          </cell>
          <cell r="F9031">
            <v>0</v>
          </cell>
        </row>
        <row r="9032">
          <cell r="B9032">
            <v>98272</v>
          </cell>
          <cell r="C9032" t="str">
            <v>CABO TELEFÔNICO CI-50 200 PARES INSTALADO EM ENTRADA DE EDIFICAÇÃO - FORNECIMENTO E INSTALAÇÃO. AF_08/2025</v>
          </cell>
          <cell r="D9032" t="str">
            <v>M</v>
          </cell>
          <cell r="E9032">
            <v>127.48</v>
          </cell>
          <cell r="F9032">
            <v>0</v>
          </cell>
        </row>
        <row r="9033">
          <cell r="B9033">
            <v>98269</v>
          </cell>
          <cell r="C9033" t="str">
            <v>CABO TELEFÔNICO CI-50 30 PARES INSTALADO EM ENTRADA DE EDIFICAÇÃO - FORNECIMENTO E INSTALAÇÃO. AF_08/2025</v>
          </cell>
          <cell r="D9033" t="str">
            <v>M</v>
          </cell>
          <cell r="E9033">
            <v>27.31</v>
          </cell>
          <cell r="F9033">
            <v>0</v>
          </cell>
        </row>
        <row r="9034">
          <cell r="B9034">
            <v>98278</v>
          </cell>
          <cell r="C9034" t="str">
            <v>CABO TELEFÔNICO CI-50 30 PARES INSTALADO EM PRUMADA - FORNECIMENTO E INSTALAÇÃO. AF_08/2025</v>
          </cell>
          <cell r="D9034" t="str">
            <v>M</v>
          </cell>
          <cell r="E9034">
            <v>23.52</v>
          </cell>
          <cell r="F9034">
            <v>0</v>
          </cell>
        </row>
        <row r="9035">
          <cell r="B9035">
            <v>98270</v>
          </cell>
          <cell r="C9035" t="str">
            <v>CABO TELEFÔNICO CI-50 50 PARES INSTALADO EM ENTRADA DE EDIFICAÇÃO - FORNECIMENTO E INSTALAÇÃO. AF_08/2025</v>
          </cell>
          <cell r="D9035" t="str">
            <v>M</v>
          </cell>
          <cell r="E9035">
            <v>40.5</v>
          </cell>
          <cell r="F9035">
            <v>0</v>
          </cell>
        </row>
        <row r="9036">
          <cell r="B9036">
            <v>98279</v>
          </cell>
          <cell r="C9036" t="str">
            <v>CABO TELEFÔNICO CI-50 50 PARES INSTALADO EM PRUMADA - FORNECIMENTO E INSTALAÇÃO. AF_08/2025</v>
          </cell>
          <cell r="D9036" t="str">
            <v>M</v>
          </cell>
          <cell r="E9036">
            <v>36.72</v>
          </cell>
          <cell r="F9036">
            <v>0</v>
          </cell>
        </row>
        <row r="9037">
          <cell r="B9037">
            <v>98271</v>
          </cell>
          <cell r="C9037" t="str">
            <v>CABO TELEFÔNICO CI-50 75 PARES INSTALADO EM ENTRADA DE EDIFICAÇÃO - FORNECIMENTO E INSTALAÇÃO. AF_08/2025</v>
          </cell>
          <cell r="D9037" t="str">
            <v>M</v>
          </cell>
          <cell r="E9037">
            <v>56.38</v>
          </cell>
          <cell r="F9037">
            <v>0</v>
          </cell>
        </row>
        <row r="9038">
          <cell r="B9038">
            <v>98400</v>
          </cell>
          <cell r="C9038" t="str">
            <v>CABO TELEFÔNICO CTP-APL-50 10 PARES INSTALADO EM ENTRADA DE EDIFICAÇÃO - FORNECIMENTO E INSTALAÇÃO. AF_08/2025</v>
          </cell>
          <cell r="D9038" t="str">
            <v>M</v>
          </cell>
          <cell r="E9038">
            <v>15.67</v>
          </cell>
          <cell r="F9038">
            <v>0</v>
          </cell>
        </row>
        <row r="9039">
          <cell r="B9039">
            <v>98401</v>
          </cell>
          <cell r="C9039" t="str">
            <v>CABO TELEFÔNICO CTP-APL-50 20 PARES INSTALADO EM ENTRADA DE EDIFICAÇÃO - FORNECIMENTO E INSTALAÇÃO. AF_08/2025</v>
          </cell>
          <cell r="D9039" t="str">
            <v>M</v>
          </cell>
          <cell r="E9039">
            <v>23.99</v>
          </cell>
          <cell r="F9039">
            <v>0</v>
          </cell>
        </row>
        <row r="9040">
          <cell r="B9040">
            <v>98402</v>
          </cell>
          <cell r="C9040" t="str">
            <v>CABO TELEFÔNICO CTP-APL-50 30 PARES INSTALADO EM ENTRADA DE EDIFICAÇÃO - FORNECIMENTO E INSTALAÇÃO. AF_08/2025</v>
          </cell>
          <cell r="D9040" t="str">
            <v>M</v>
          </cell>
          <cell r="E9040">
            <v>27.89</v>
          </cell>
          <cell r="F9040">
            <v>0</v>
          </cell>
        </row>
        <row r="9041">
          <cell r="B9041">
            <v>100556</v>
          </cell>
          <cell r="C9041" t="str">
            <v>CAIXA DE PASSAGEM PARA TELEFONE 15X15X10CM (SOBREPOR) - FORNECIMENTO E INSTALAÇÃO. AF_08/2025</v>
          </cell>
          <cell r="D9041" t="str">
            <v>UN</v>
          </cell>
          <cell r="E9041">
            <v>34.6</v>
          </cell>
          <cell r="F9041">
            <v>0</v>
          </cell>
        </row>
        <row r="9042">
          <cell r="B9042">
            <v>106083</v>
          </cell>
          <cell r="C9042" t="str">
            <v>CAIXA DE PASSAGEM PARA TELEFONE 20X20X10CM (SOBREPOR) - FORNECIMENTO E INSTALAÇÃO. AF_08/2025</v>
          </cell>
          <cell r="D9042" t="str">
            <v>UN</v>
          </cell>
          <cell r="E9042">
            <v>0</v>
          </cell>
        </row>
        <row r="9043">
          <cell r="B9043">
            <v>100557</v>
          </cell>
          <cell r="C9043" t="str">
            <v>CAIXA DE PASSAGEM PARA TELEFONE 80X80X15CM (SOBREPOR) - FORNECIMENTO E INSTALAÇÃO. AF_08/2025</v>
          </cell>
          <cell r="D9043" t="str">
            <v>UN</v>
          </cell>
          <cell r="E9043">
            <v>428.06</v>
          </cell>
          <cell r="F9043">
            <v>0</v>
          </cell>
        </row>
        <row r="9044">
          <cell r="B9044">
            <v>106088</v>
          </cell>
          <cell r="C9044" t="str">
            <v>CAIXA DE PISO DUPLA PARA 2 TOMADAS RJ45 E 2 TOMADAS ELÉTRICAS - FORNECIMENTO E INSTALAÇÃO. AF_08/2025</v>
          </cell>
          <cell r="D9044" t="str">
            <v>UN</v>
          </cell>
          <cell r="E9044">
            <v>0</v>
          </cell>
        </row>
        <row r="9045">
          <cell r="B9045">
            <v>106081</v>
          </cell>
          <cell r="C9045" t="str">
            <v>INTERFONE COLETIVO COM 16 MONOFONES, BIVOLT(INCLUI TAG'S) - FORNECIMENTO E INSTALAÇÃO. AF_08/2025</v>
          </cell>
          <cell r="D9045" t="str">
            <v>UN</v>
          </cell>
          <cell r="E9045">
            <v>0</v>
          </cell>
        </row>
        <row r="9046">
          <cell r="B9046">
            <v>106080</v>
          </cell>
          <cell r="C9046" t="str">
            <v>INTERFONE COLETIVO COM 16 MONOFONES, BIVOLT(NÃO INCLUI TAG'S) - FORNECIMENTO E INSTALAÇÃO. AF_08/2025</v>
          </cell>
          <cell r="D9046" t="str">
            <v>UN</v>
          </cell>
          <cell r="E9046">
            <v>0</v>
          </cell>
        </row>
        <row r="9047">
          <cell r="B9047">
            <v>98301</v>
          </cell>
          <cell r="C9047" t="str">
            <v>PATCH PANEL 24 PORTAS, CATEGORIA 5E - FORNECIMENTO E INSTALAÇÃO. AF_08/2025</v>
          </cell>
          <cell r="D9047" t="str">
            <v>UN</v>
          </cell>
          <cell r="E9047">
            <v>732.36</v>
          </cell>
          <cell r="F9047">
            <v>0</v>
          </cell>
        </row>
        <row r="9048">
          <cell r="B9048">
            <v>98302</v>
          </cell>
          <cell r="C9048" t="str">
            <v>PATCH PANEL 24 PORTAS, CATEGORIA 6 - FORNECIMENTO E INSTALAÇÃO. AF_08/2025</v>
          </cell>
          <cell r="D9048" t="str">
            <v>UN</v>
          </cell>
          <cell r="E9048">
            <v>1275.52</v>
          </cell>
          <cell r="F9048">
            <v>0</v>
          </cell>
        </row>
        <row r="9049">
          <cell r="B9049">
            <v>98593</v>
          </cell>
          <cell r="C9049" t="str">
            <v>PATCH PANEL 48 PORTAS, CATEGORIA 5E - FORNECIMENTO E INSTALAÇÃO. AF_08/2025</v>
          </cell>
          <cell r="D9049" t="str">
            <v>UN</v>
          </cell>
          <cell r="E9049">
            <v>2759.92</v>
          </cell>
          <cell r="F9049">
            <v>0</v>
          </cell>
        </row>
        <row r="9050">
          <cell r="B9050">
            <v>98304</v>
          </cell>
          <cell r="C9050" t="str">
            <v>PATCH PANEL 48 PORTAS, CATEGORIA 6 - FORNECIMENTO E INSTALAÇÃO. AF_08/2025</v>
          </cell>
          <cell r="D9050" t="str">
            <v>UN</v>
          </cell>
          <cell r="E9050">
            <v>3867.44</v>
          </cell>
          <cell r="F9050">
            <v>0</v>
          </cell>
        </row>
        <row r="9051">
          <cell r="B9051">
            <v>106079</v>
          </cell>
          <cell r="C9051" t="str">
            <v>PORTEIRO ELETRÔNICO/INTERFONE DE SOBREPOR, COM MONOFONE, BIVOLT - FORNECIMENTO E INSTALAÇÃO. AF_08/2025</v>
          </cell>
          <cell r="D9051" t="str">
            <v>UN</v>
          </cell>
          <cell r="E9051">
            <v>0</v>
          </cell>
        </row>
        <row r="9052">
          <cell r="B9052">
            <v>100561</v>
          </cell>
          <cell r="C9052" t="str">
            <v>QUADRO DE DISTRIBUICÃO PARA TELEFONE N.3, 40X40X12CM EM CHAPA METÁLICA, DE EMBUTIR, SEM ACESSÓRIOS, PADRÃO TELEBRAS - FORNECIMENTO E INSTALAÇÃO. AF_08/2025</v>
          </cell>
          <cell r="D9052" t="str">
            <v>UN</v>
          </cell>
          <cell r="E9052">
            <v>157.97</v>
          </cell>
          <cell r="F9052">
            <v>0</v>
          </cell>
        </row>
        <row r="9053">
          <cell r="B9053">
            <v>100562</v>
          </cell>
          <cell r="C9053" t="str">
            <v>QUADRO DE DISTRIBUICÃO PARA TELEFONE N.4, 60X60X12CM EM CHAPA METÁLICA, DE EMBUTIR, SEM ACESSÓRIOS, PADRÃO TELEBRAS - FORNECIMENTO E INSTALAÇÃO. AF_08/2025</v>
          </cell>
          <cell r="D9053" t="str">
            <v>UN</v>
          </cell>
          <cell r="E9053">
            <v>247.22</v>
          </cell>
          <cell r="F9053">
            <v>0</v>
          </cell>
        </row>
        <row r="9054">
          <cell r="B9054">
            <v>100560</v>
          </cell>
          <cell r="C9054" t="str">
            <v>QUADRO DE DISTRIBUIÇÃO PARA TELEFONE N.2, 20X20X12CM EM CHAPA METÁLICA, DE EMBUTIR, SEM ACESSÓRIOS, PADRÃO TELEBRAS - FORNECIMENTO E INSTALAÇÃO. AF_08/2025</v>
          </cell>
          <cell r="D9054" t="str">
            <v>UN</v>
          </cell>
          <cell r="E9054">
            <v>84.97</v>
          </cell>
          <cell r="F9054">
            <v>0</v>
          </cell>
        </row>
        <row r="9055">
          <cell r="B9055">
            <v>100563</v>
          </cell>
          <cell r="C9055" t="str">
            <v>QUADRO DE DISTRIBUIÇÃO PARA TELEFONE N.5, 80X80X12CM EM CHAPA METÁLICA, DE EMBUTIR, SEM ACESSÓRIOS, PADRÃO TELEBRAS - FORNECIMENTO E INSTALAÇÃO. AF_08/2025</v>
          </cell>
          <cell r="D9055" t="str">
            <v>UN</v>
          </cell>
          <cell r="E9055">
            <v>358.98</v>
          </cell>
          <cell r="F9055">
            <v>0</v>
          </cell>
        </row>
        <row r="9056">
          <cell r="B9056">
            <v>100555</v>
          </cell>
          <cell r="C9056" t="str">
            <v>RACK ABERTO EM COLUNA 44U PARA SERVIDOR - FORNECIMENTO E INSTALAÇÃO. AF_08/2025</v>
          </cell>
          <cell r="D9056" t="str">
            <v>UN</v>
          </cell>
          <cell r="E9056">
            <v>1362.08</v>
          </cell>
          <cell r="F9056">
            <v>0</v>
          </cell>
        </row>
        <row r="9057">
          <cell r="B9057">
            <v>106084</v>
          </cell>
          <cell r="C9057" t="str">
            <v>RACK DE PAREDE FECHADO DE 12 U EM CHAPA DE AÇO, 19", *570*MM - FORNECIMENTO E INSTALAÇÃO. AF_08/2025</v>
          </cell>
          <cell r="D9057" t="str">
            <v>UN</v>
          </cell>
          <cell r="E9057">
            <v>0</v>
          </cell>
        </row>
        <row r="9058">
          <cell r="B9058">
            <v>106087</v>
          </cell>
          <cell r="C9058" t="str">
            <v>RACK DE PISO FECHADO DE 20U EM CHAPA DE AÇO, 19", *670*MM - FORNECIMENTO E INSTALAÇÃO. AF_08/2025</v>
          </cell>
          <cell r="D9058" t="str">
            <v>UN</v>
          </cell>
          <cell r="E9058">
            <v>0</v>
          </cell>
        </row>
        <row r="9059">
          <cell r="B9059">
            <v>106085</v>
          </cell>
          <cell r="C9059" t="str">
            <v>RACK DE PISO FECHADO DE 24 U EM CHAPA DE AÇO, 19", *570*MM - FORNECIMENTO E INSTALAÇÃO. AF_08/2025</v>
          </cell>
          <cell r="D9059" t="str">
            <v>UN</v>
          </cell>
          <cell r="E9059">
            <v>0</v>
          </cell>
        </row>
        <row r="9060">
          <cell r="B9060">
            <v>106086</v>
          </cell>
          <cell r="C9060" t="str">
            <v>RACK DE PISO FECHADO DE 36 U EM CHAPA DE AÇO, 19", *570*MM - FORNECIMENTO E INSTALAÇÃO. AF_08/2025</v>
          </cell>
          <cell r="D9060" t="str">
            <v>UN</v>
          </cell>
          <cell r="E9060">
            <v>0</v>
          </cell>
        </row>
        <row r="9061">
          <cell r="B9061">
            <v>98305</v>
          </cell>
          <cell r="C9061" t="str">
            <v>RACK FECHADO 44U PARA SERVIDOR - FORNECIMENTO E INSTALAÇÃO. AF_08/2025</v>
          </cell>
          <cell r="D9061" t="str">
            <v>UN</v>
          </cell>
          <cell r="E9061">
            <v>2701.65</v>
          </cell>
          <cell r="F9061">
            <v>0</v>
          </cell>
        </row>
        <row r="9062">
          <cell r="B9062">
            <v>98307</v>
          </cell>
          <cell r="C9062" t="str">
            <v>TOMADA DE REDE RJ45 - FORNECIMENTO E INSTALAÇÃO. AF_08/2025</v>
          </cell>
          <cell r="D9062" t="str">
            <v>UN</v>
          </cell>
          <cell r="E9062">
            <v>69.34</v>
          </cell>
          <cell r="F9062">
            <v>0</v>
          </cell>
        </row>
        <row r="9063">
          <cell r="B9063">
            <v>98308</v>
          </cell>
          <cell r="C9063" t="str">
            <v>TOMADA PARA TELEFONE RJ11 - FORNECIMENTO E INSTALAÇÃO. AF_08/2025</v>
          </cell>
          <cell r="D9063" t="str">
            <v>UN</v>
          </cell>
          <cell r="E9063">
            <v>52.5</v>
          </cell>
          <cell r="F9063">
            <v>0</v>
          </cell>
        </row>
        <row r="9064">
          <cell r="B9064">
            <v>106077</v>
          </cell>
          <cell r="C9064" t="str">
            <v>TOMADA RJ45 CAT 6E (COMPLETA) - FORNECIMENTO E INSTALAÇÃO. AF_08/2025</v>
          </cell>
          <cell r="D9064" t="str">
            <v>UN</v>
          </cell>
          <cell r="E9064">
            <v>0</v>
          </cell>
        </row>
        <row r="9065">
          <cell r="B9065">
            <v>106078</v>
          </cell>
          <cell r="C9065" t="str">
            <v>TOMADA RJ45 CAT 6E (MÓDULO) - FORNECIMENTO E INSTALAÇÃO. AF_08/2025</v>
          </cell>
          <cell r="D9065" t="str">
            <v>UN</v>
          </cell>
          <cell r="E9065">
            <v>0</v>
          </cell>
        </row>
        <row r="9066">
          <cell r="B9066">
            <v>103401</v>
          </cell>
          <cell r="C9066" t="str">
            <v>ASSENTAMENTO DE CONEXÃO COM 2 ACESSOS, EM PEAD LISO PARA REDE DE ÁGUA OU ESGOTO, DIÂMETRO DE 110 MM, JUNTA SOLDADA (NÃO INCLUI O FORNECIMENTO E EXECUÇÃO DE SOLDA). AF_12/2021</v>
          </cell>
          <cell r="D9066" t="str">
            <v>UN</v>
          </cell>
          <cell r="E9066">
            <v>29.97</v>
          </cell>
          <cell r="F9066">
            <v>0</v>
          </cell>
        </row>
        <row r="9067">
          <cell r="B9067">
            <v>103402</v>
          </cell>
          <cell r="C9067" t="str">
            <v>ASSENTAMENTO DE CONEXÃO COM 2 ACESSOS, EM PEAD LISO PARA REDE DE ÁGUA OU ESGOTO, DIÂMETRO DE 160 MM, JUNTA SOLDADA (NÃO INCLUI O FORNECIMENTO E EXECUÇÃO DE SOLDA). AF_12/2021</v>
          </cell>
          <cell r="D9067" t="str">
            <v>UN</v>
          </cell>
          <cell r="E9067">
            <v>43.6</v>
          </cell>
          <cell r="F9067">
            <v>0</v>
          </cell>
        </row>
        <row r="9068">
          <cell r="B9068">
            <v>103403</v>
          </cell>
          <cell r="C9068" t="str">
            <v>ASSENTAMENTO DE CONEXÃO COM 2 ACESSOS, EM PEAD LISO PARA REDE DE ÁGUA OU ESGOTO, DIÂMETRO DE 180 MM, JUNTA SOLDADA (NÃO INCLUI O FORNECIMENTO E EXECUÇÃO DE SOLDA). AF_12/2021</v>
          </cell>
          <cell r="D9068" t="str">
            <v>UN</v>
          </cell>
          <cell r="E9068">
            <v>49.05</v>
          </cell>
          <cell r="F9068">
            <v>0</v>
          </cell>
        </row>
        <row r="9069">
          <cell r="B9069">
            <v>103397</v>
          </cell>
          <cell r="C9069" t="str">
            <v>ASSENTAMENTO DE CONEXÃO COM 2 ACESSOS, EM PEAD LISO PARA REDE DE ÁGUA OU ESGOTO, DIÂMETRO DE 20 MM, JUNTA SOLDADA (NÃO INCLUI O FORNECIMENTO E EXECUÇÃO DE SOLDA). AF_12/2021</v>
          </cell>
          <cell r="D9069" t="str">
            <v>UN</v>
          </cell>
          <cell r="E9069">
            <v>5.44</v>
          </cell>
          <cell r="F9069">
            <v>0</v>
          </cell>
        </row>
        <row r="9070">
          <cell r="B9070">
            <v>103404</v>
          </cell>
          <cell r="C9070" t="str">
            <v>ASSENTAMENTO DE CONEXÃO COM 2 ACESSOS, EM PEAD LISO PARA REDE DE ÁGUA OU ESGOTO, DIÂMETRO DE 200 MM, JUNTA SOLDADA (NÃO INCLUI O FORNECIMENTO E EXECUÇÃO DE SOLDA). AF_12/2021</v>
          </cell>
          <cell r="D9070" t="str">
            <v>UN</v>
          </cell>
          <cell r="E9070">
            <v>54.5</v>
          </cell>
          <cell r="F9070">
            <v>0</v>
          </cell>
        </row>
        <row r="9071">
          <cell r="B9071">
            <v>103405</v>
          </cell>
          <cell r="C9071" t="str">
            <v>ASSENTAMENTO DE CONEXÃO COM 2 ACESSOS, EM PEAD LISO PARA REDE DE ÁGUA OU ESGOTO, DIÂMETRO DE 225 MM, JUNTA SOLDADA (NÃO INCLUI O FORNECIMENTO E EXECUÇÃO DE SOLDA). AF_12/2021</v>
          </cell>
          <cell r="D9071" t="str">
            <v>UN</v>
          </cell>
          <cell r="E9071">
            <v>61.31</v>
          </cell>
          <cell r="F9071">
            <v>0</v>
          </cell>
        </row>
        <row r="9072">
          <cell r="B9072">
            <v>103406</v>
          </cell>
          <cell r="C9072" t="str">
            <v>ASSENTAMENTO DE CONEXÃO COM 2 ACESSOS, EM PEAD LISO PARA REDE DE ÁGUA OU ESGOTO, DIÂMETRO DE 250 MM, JUNTA SOLDADA (NÃO INCLUI O FORNECIMENTO E EXECUÇÃO DE SOLDA). AF_12/2021</v>
          </cell>
          <cell r="D9072" t="str">
            <v>UN</v>
          </cell>
          <cell r="E9072">
            <v>68.13</v>
          </cell>
          <cell r="F9072">
            <v>0</v>
          </cell>
        </row>
        <row r="9073">
          <cell r="B9073">
            <v>103407</v>
          </cell>
          <cell r="C9073" t="str">
            <v>ASSENTAMENTO DE CONEXÃO COM 2 ACESSOS, EM PEAD LISO PARA REDE DE ÁGUA OU ESGOTO, DIÂMETRO DE 280 MM, JUNTA SOLDADA (NÃO INCLUI O FORNECIMENTO E EXECUÇÃO DE SOLDA). AF_12/2021</v>
          </cell>
          <cell r="D9073" t="str">
            <v>UN</v>
          </cell>
          <cell r="E9073">
            <v>76.3</v>
          </cell>
          <cell r="F9073">
            <v>0</v>
          </cell>
        </row>
        <row r="9074">
          <cell r="B9074">
            <v>103408</v>
          </cell>
          <cell r="C9074" t="str">
            <v>ASSENTAMENTO DE CONEXÃO COM 2 ACESSOS, EM PEAD LISO PARA REDE DE ÁGUA OU ESGOTO, DIÂMETRO DE 315 MM, JUNTA SOLDADA (NÃO INCLUI O FORNECIMENTO E EXECUÇÃO DE SOLDA). AF_12/2021</v>
          </cell>
          <cell r="D9074" t="str">
            <v>UN</v>
          </cell>
          <cell r="E9074">
            <v>85.85</v>
          </cell>
          <cell r="F9074">
            <v>0</v>
          </cell>
        </row>
        <row r="9075">
          <cell r="B9075">
            <v>103398</v>
          </cell>
          <cell r="C9075" t="str">
            <v>ASSENTAMENTO DE CONEXÃO COM 2 ACESSOS, EM PEAD LISO PARA REDE DE ÁGUA OU ESGOTO, DIÂMETRO DE 32 MM, JUNTA SOLDADA (NÃO INCLUI O FORNECIMENTO E EXECUÇÃO DE SOLDA). AF_12/2021</v>
          </cell>
          <cell r="D9075" t="str">
            <v>UN</v>
          </cell>
          <cell r="E9075">
            <v>8.7100000000000009</v>
          </cell>
          <cell r="F9075">
            <v>0</v>
          </cell>
        </row>
        <row r="9076">
          <cell r="B9076">
            <v>103409</v>
          </cell>
          <cell r="C9076" t="str">
            <v>ASSENTAMENTO DE CONEXÃO COM 2 ACESSOS, EM PEAD LISO PARA REDE DE ÁGUA OU ESGOTO, DIÂMETRO DE 355 MM, JUNTA SOLDADA (NÃO INCLUI O FORNECIMENTO E EXECUÇÃO DE SOLDA). AF_12/2021</v>
          </cell>
          <cell r="D9076" t="str">
            <v>UN</v>
          </cell>
          <cell r="E9076">
            <v>96.74</v>
          </cell>
          <cell r="F9076">
            <v>0</v>
          </cell>
        </row>
        <row r="9077">
          <cell r="B9077">
            <v>103410</v>
          </cell>
          <cell r="C9077" t="str">
            <v>ASSENTAMENTO DE CONEXÃO COM 2 ACESSOS, EM PEAD LISO PARA REDE DE ÁGUA OU ESGOTO, DIÂMETRO DE 400 MM, JUNTA SOLDADA (NÃO INCLUI O FORNECIMENTO E EXECUÇÃO DE SOLDA). AF_12/2021</v>
          </cell>
          <cell r="D9077" t="str">
            <v>UN</v>
          </cell>
          <cell r="E9077">
            <v>109.01</v>
          </cell>
          <cell r="F9077">
            <v>0</v>
          </cell>
        </row>
        <row r="9078">
          <cell r="B9078">
            <v>103399</v>
          </cell>
          <cell r="C9078" t="str">
            <v>ASSENTAMENTO DE CONEXÃO COM 2 ACESSOS, EM PEAD LISO PARA REDE DE ÁGUA OU ESGOTO, DIÂMETRO DE 63 MM, JUNTA SOLDADA (NÃO INCLUI O FORNECIMENTO E EXECUÇÃO DE SOLDA). AF_12/2021</v>
          </cell>
          <cell r="D9078" t="str">
            <v>UN</v>
          </cell>
          <cell r="E9078">
            <v>17.16</v>
          </cell>
          <cell r="F9078">
            <v>0</v>
          </cell>
        </row>
        <row r="9079">
          <cell r="B9079">
            <v>103400</v>
          </cell>
          <cell r="C9079" t="str">
            <v>ASSENTAMENTO DE CONEXÃO COM 2 ACESSOS, EM PEAD LISO PARA REDE DE ÁGUA OU ESGOTO, DIÂMETRO DE 90 MM, JUNTA SOLDADA (NÃO INCLUI O FORNECIMENTO E EXECUÇÃO DE SOLDA). AF_12/2021</v>
          </cell>
          <cell r="D9079" t="str">
            <v>UN</v>
          </cell>
          <cell r="E9079">
            <v>24.52</v>
          </cell>
          <cell r="F9079">
            <v>0</v>
          </cell>
        </row>
        <row r="9080">
          <cell r="B9080">
            <v>103415</v>
          </cell>
          <cell r="C9080" t="str">
            <v>ASSENTAMENTO DE CONEXÃO COM 3 ACESSOS, EM PEAD LISO PARA REDE DE ÁGUA OU ESGOTO, DIÂMETRO DE 110 MM, JUNTA SOLDADA (NÃO INCLUI O FORNECIMENTO E EXECUÇÃO DE SOLDA). AF_12/2021</v>
          </cell>
          <cell r="D9080" t="str">
            <v>UN</v>
          </cell>
          <cell r="E9080">
            <v>59.95</v>
          </cell>
          <cell r="F9080">
            <v>0</v>
          </cell>
        </row>
        <row r="9081">
          <cell r="B9081">
            <v>103416</v>
          </cell>
          <cell r="C9081" t="str">
            <v>ASSENTAMENTO DE CONEXÃO COM 3 ACESSOS, EM PEAD LISO PARA REDE DE ÁGUA OU ESGOTO, DIÂMETRO DE 160 MM, JUNTA SOLDADA (NÃO INCLUI O FORNECIMENTO E EXECUÇÃO DE SOLDA). AF_12/2021</v>
          </cell>
          <cell r="D9081" t="str">
            <v>UN</v>
          </cell>
          <cell r="E9081">
            <v>87.21</v>
          </cell>
          <cell r="F9081">
            <v>0</v>
          </cell>
        </row>
        <row r="9082">
          <cell r="B9082">
            <v>103417</v>
          </cell>
          <cell r="C9082" t="str">
            <v>ASSENTAMENTO DE CONEXÃO COM 3 ACESSOS, EM PEAD LISO PARA REDE DE ÁGUA OU ESGOTO, DIÂMETRO DE 180 MM, JUNTA SOLDADA (NÃO INCLUI O FORNECIMENTO E EXECUÇÃO DE SOLDA). AF_12/2021</v>
          </cell>
          <cell r="D9082" t="str">
            <v>UN</v>
          </cell>
          <cell r="E9082">
            <v>98.11</v>
          </cell>
          <cell r="F9082">
            <v>0</v>
          </cell>
        </row>
        <row r="9083">
          <cell r="B9083">
            <v>103411</v>
          </cell>
          <cell r="C9083" t="str">
            <v>ASSENTAMENTO DE CONEXÃO COM 3 ACESSOS, EM PEAD LISO PARA REDE DE ÁGUA OU ESGOTO, DIÂMETRO DE 20 MM, JUNTA SOLDADA (NÃO INCLUI O FORNECIMENTO E EXECUÇÃO DE SOLDA). AF_12/2021</v>
          </cell>
          <cell r="D9083" t="str">
            <v>UN</v>
          </cell>
          <cell r="E9083">
            <v>10.89</v>
          </cell>
          <cell r="F9083">
            <v>0</v>
          </cell>
        </row>
        <row r="9084">
          <cell r="B9084">
            <v>103418</v>
          </cell>
          <cell r="C9084" t="str">
            <v>ASSENTAMENTO DE CONEXÃO COM 3 ACESSOS, EM PEAD LISO PARA REDE DE ÁGUA OU ESGOTO, DIÂMETRO DE 200 MM, JUNTA SOLDADA (NÃO INCLUI O FORNECIMENTO E EXECUÇÃO DE SOLDA). AF_12/2021</v>
          </cell>
          <cell r="D9084" t="str">
            <v>UN</v>
          </cell>
          <cell r="E9084">
            <v>109.01</v>
          </cell>
          <cell r="F9084">
            <v>0</v>
          </cell>
        </row>
        <row r="9085">
          <cell r="B9085">
            <v>103419</v>
          </cell>
          <cell r="C9085" t="str">
            <v>ASSENTAMENTO DE CONEXÃO COM 3 ACESSOS, EM PEAD LISO PARA REDE DE ÁGUA OU ESGOTO, DIÂMETRO DE 225 MM, JUNTA SOLDADA (NÃO INCLUI O FORNECIMENTO E EXECUÇÃO DE SOLDA). AF_12/2021</v>
          </cell>
          <cell r="D9085" t="str">
            <v>UN</v>
          </cell>
          <cell r="E9085">
            <v>122.64</v>
          </cell>
          <cell r="F9085">
            <v>0</v>
          </cell>
        </row>
        <row r="9086">
          <cell r="B9086">
            <v>103420</v>
          </cell>
          <cell r="C9086" t="str">
            <v>ASSENTAMENTO DE CONEXÃO COM 3 ACESSOS, EM PEAD LISO PARA REDE DE ÁGUA OU ESGOTO, DIÂMETRO DE 250 MM, JUNTA SOLDADA (NÃO INCLUI O FORNECIMENTO E EXECUÇÃO DE SOLDA). AF_12/2021</v>
          </cell>
          <cell r="D9086" t="str">
            <v>UN</v>
          </cell>
          <cell r="E9086">
            <v>136.26</v>
          </cell>
          <cell r="F9086">
            <v>0</v>
          </cell>
        </row>
        <row r="9087">
          <cell r="B9087">
            <v>103421</v>
          </cell>
          <cell r="C9087" t="str">
            <v>ASSENTAMENTO DE CONEXÃO COM 3 ACESSOS, EM PEAD LISO PARA REDE DE ÁGUA OU ESGOTO, DIÂMETRO DE 280 MM, JUNTA SOLDADA (NÃO INCLUI O FORNECIMENTO E EXECUÇÃO DE SOLDA). AF_12/2021</v>
          </cell>
          <cell r="D9087" t="str">
            <v>UN</v>
          </cell>
          <cell r="E9087">
            <v>152.61000000000001</v>
          </cell>
          <cell r="F9087">
            <v>0</v>
          </cell>
        </row>
        <row r="9088">
          <cell r="B9088">
            <v>103422</v>
          </cell>
          <cell r="C9088" t="str">
            <v>ASSENTAMENTO DE CONEXÃO COM 3 ACESSOS, EM PEAD LISO PARA REDE DE ÁGUA OU ESGOTO, DIÂMETRO DE 315 MM, JUNTA SOLDADA (NÃO INCLUI O FORNECIMENTO E EXECUÇÃO DE SOLDA). AF_12/2021</v>
          </cell>
          <cell r="D9088" t="str">
            <v>UN</v>
          </cell>
          <cell r="E9088">
            <v>171.69</v>
          </cell>
          <cell r="F9088">
            <v>0</v>
          </cell>
        </row>
        <row r="9089">
          <cell r="B9089">
            <v>103412</v>
          </cell>
          <cell r="C9089" t="str">
            <v>ASSENTAMENTO DE CONEXÃO COM 3 ACESSOS, EM PEAD LISO PARA REDE DE ÁGUA OU ESGOTO, DIÂMETRO DE 32 MM, JUNTA SOLDADA (NÃO INCLUI O FORNECIMENTO E EXECUÇÃO DE SOLDA). AF_12/2021</v>
          </cell>
          <cell r="D9089" t="str">
            <v>UN</v>
          </cell>
          <cell r="E9089">
            <v>17.43</v>
          </cell>
          <cell r="F9089">
            <v>0</v>
          </cell>
        </row>
        <row r="9090">
          <cell r="B9090">
            <v>103423</v>
          </cell>
          <cell r="C9090" t="str">
            <v>ASSENTAMENTO DE CONEXÃO COM 3 ACESSOS, EM PEAD LISO PARA REDE DE ÁGUA OU ESGOTO, DIÂMETRO DE 355 MM, JUNTA SOLDADA (NÃO INCLUI O FORNECIMENTO E EXECUÇÃO DE SOLDA). AF_12/2021</v>
          </cell>
          <cell r="D9090" t="str">
            <v>UN</v>
          </cell>
          <cell r="E9090">
            <v>193.5</v>
          </cell>
          <cell r="F9090">
            <v>0</v>
          </cell>
        </row>
        <row r="9091">
          <cell r="B9091">
            <v>103424</v>
          </cell>
          <cell r="C9091" t="str">
            <v>ASSENTAMENTO DE CONEXÃO COM 3 ACESSOS, EM PEAD LISO PARA REDE DE ÁGUA OU ESGOTO, DIÂMETRO DE 400 MM, JUNTA SOLDADA (NÃO INCLUI O FORNECIMENTO E EXECUÇÃO DE SOLDA). AF_12/2021</v>
          </cell>
          <cell r="D9091" t="str">
            <v>UN</v>
          </cell>
          <cell r="E9091">
            <v>218.02</v>
          </cell>
          <cell r="F9091">
            <v>0</v>
          </cell>
        </row>
        <row r="9092">
          <cell r="B9092">
            <v>103413</v>
          </cell>
          <cell r="C9092" t="str">
            <v>ASSENTAMENTO DE CONEXÃO COM 3 ACESSOS, EM PEAD LISO PARA REDE DE ÁGUA OU ESGOTO, DIÂMETRO DE 63 MM, JUNTA SOLDADA (NÃO INCLUI O FORNECIMENTO E EXECUÇÃO DE SOLDA). AF_12/2021</v>
          </cell>
          <cell r="D9092" t="str">
            <v>UN</v>
          </cell>
          <cell r="E9092">
            <v>34.33</v>
          </cell>
          <cell r="F9092">
            <v>0</v>
          </cell>
        </row>
        <row r="9093">
          <cell r="B9093">
            <v>103414</v>
          </cell>
          <cell r="C9093" t="str">
            <v>ASSENTAMENTO DE CONEXÃO COM 3 ACESSOS, EM PEAD LISO PARA REDE DE ÁGUA OU ESGOTO, DIÂMETRO DE 90 MM, JUNTA SOLDADA (NÃO INCLUI O FORNECIMENTO E EXECUÇÃO DE SOLDA). AF_12/2021</v>
          </cell>
          <cell r="D9093" t="str">
            <v>UN</v>
          </cell>
          <cell r="E9093">
            <v>49.05</v>
          </cell>
          <cell r="F9093">
            <v>0</v>
          </cell>
        </row>
        <row r="9094">
          <cell r="B9094">
            <v>103432</v>
          </cell>
          <cell r="C9094" t="str">
            <v>COTOVELO 45 GRAUS, EM PEAD LISO PARA REDE DE ÁGUA OU ESGOTO, DIÂMETRO DE 200 MM, JUNTA SOLDADA POR ELETROFUSÃO (NÃO INCLUI A EXECUÇÃO DE SOLDA). AF_12/2021</v>
          </cell>
          <cell r="D9094" t="str">
            <v>UN</v>
          </cell>
          <cell r="E9094">
            <v>1663.34</v>
          </cell>
          <cell r="F9094">
            <v>0</v>
          </cell>
        </row>
        <row r="9095">
          <cell r="B9095">
            <v>103430</v>
          </cell>
          <cell r="C9095" t="str">
            <v>COTOVELO 45 GRAUS, EM PEAD LISO PARA REDE DE ÁGUA OU ESGOTO, DIÂMETRO DE 32 MM, JUNTA SOLDADA POR ELETROFUSÃO (NÃO INCLUI A EXECUÇÃO DE SOLDA). AF_12/2021</v>
          </cell>
          <cell r="D9095" t="str">
            <v>UN</v>
          </cell>
          <cell r="E9095">
            <v>37.630000000000003</v>
          </cell>
          <cell r="F9095">
            <v>0</v>
          </cell>
        </row>
        <row r="9096">
          <cell r="B9096">
            <v>103431</v>
          </cell>
          <cell r="C9096" t="str">
            <v>COTOVELO 45 GRAUS, EM PEAD LISO PARA REDE DE ÁGUA OU ESGOTO, DIÂMETRO DE 63 MM, JUNTA SOLDADA POR ELETROFUSÃO (NÃO INCLUI A EXECUÇÃO DE SOLDA). AF_12/2021</v>
          </cell>
          <cell r="D9096" t="str">
            <v>UN</v>
          </cell>
          <cell r="E9096">
            <v>66.52</v>
          </cell>
          <cell r="F9096">
            <v>0</v>
          </cell>
        </row>
        <row r="9097">
          <cell r="B9097">
            <v>103433</v>
          </cell>
          <cell r="C9097" t="str">
            <v>COTOVELO 90 GRAUS, EM PEAD LISO PARA REDE DE ÁGUA OU ESGOTO, DIÂMETRO DE 20 MM, JUNTA SOLDADA POR ELETROFUSÃO (NÃO INCLUI A EXECUÇÃO DE SOLDA). AF_12/2021</v>
          </cell>
          <cell r="D9097" t="str">
            <v>UN</v>
          </cell>
          <cell r="E9097">
            <v>36.28</v>
          </cell>
          <cell r="F9097">
            <v>0</v>
          </cell>
        </row>
        <row r="9098">
          <cell r="B9098">
            <v>103434</v>
          </cell>
          <cell r="C9098" t="str">
            <v>COTOVELO 90 GRAUS, EM PEAD LISO PARA REDE DE ÁGUA OU ESGOTO, DIÂMETRO DE 32 MM, JUNTA SOLDADA POR ELETROFUSÃO (NÃO INCLUI A EXECUÇÃO DE SOLDA). AF_12/2021</v>
          </cell>
          <cell r="D9098" t="str">
            <v>UN</v>
          </cell>
          <cell r="E9098">
            <v>50.54</v>
          </cell>
          <cell r="F9098">
            <v>0</v>
          </cell>
        </row>
        <row r="9099">
          <cell r="B9099">
            <v>103435</v>
          </cell>
          <cell r="C9099" t="str">
            <v>COTOVELO 90 GRAUS, EM PEAD LISO PARA REDE DE ÁGUA OU ESGOTO, DIÂMETRO DE 63 MM, JUNTA SOLDADA POR ELETROFUSÃO (NÃO INCLUI A EXECUÇÃO DE SOLDA). AF_12/2021</v>
          </cell>
          <cell r="D9099" t="str">
            <v>UN</v>
          </cell>
          <cell r="E9099">
            <v>94.32</v>
          </cell>
          <cell r="F9099">
            <v>0</v>
          </cell>
        </row>
        <row r="9100">
          <cell r="B9100">
            <v>103436</v>
          </cell>
          <cell r="C9100" t="str">
            <v>COTOVELO 90 GRAUS, POLIETILENO DE ALTA DENSIDADE (PEAD) PARA REDE DE ÁGUA OU ESGOTO, DIÂMETRO DE 200 MM, JUNTA SOLDADA POR ELETROFUSÃO (NÃO INCLUI A EXECUÇÃO DE SOLDA). AF_12/2021</v>
          </cell>
          <cell r="D9100" t="str">
            <v>UN</v>
          </cell>
          <cell r="E9100">
            <v>2348.92</v>
          </cell>
          <cell r="F9100">
            <v>0</v>
          </cell>
        </row>
        <row r="9101">
          <cell r="B9101">
            <v>103482</v>
          </cell>
          <cell r="C9101" t="str">
            <v>EXECUÇÃO DE JUNTA SOLDADA POR ELETROFUSÃO, DE TUBO OU CONEXÃO EM PEAD LISO PARA REDE DE ÁGUA OU ESGOTO, DIÂMETRO DE 1000 MM (NÃO INCLUI O FORNECIMENTO DE TUBO E CONEXÃO). AF_12/2021</v>
          </cell>
          <cell r="D9101" t="str">
            <v>UN</v>
          </cell>
          <cell r="E9101">
            <v>0</v>
          </cell>
        </row>
        <row r="9102">
          <cell r="B9102">
            <v>103465</v>
          </cell>
          <cell r="C9102" t="str">
            <v>EXECUÇÃO DE JUNTA SOLDADA POR ELETROFUSÃO, DE TUBO OU CONEXÃO EM PEAD LISO PARA REDE DE ÁGUA OU ESGOTO, DIÂMETRO DE 110 MM (NÃO INCLUI O FORNECIMENTO DE TUBO E CONEXÃO). AF_12/2021</v>
          </cell>
          <cell r="D9102" t="str">
            <v>UN</v>
          </cell>
          <cell r="E9102">
            <v>0</v>
          </cell>
        </row>
        <row r="9103">
          <cell r="B9103">
            <v>103483</v>
          </cell>
          <cell r="C9103" t="str">
            <v>EXECUÇÃO DE JUNTA SOLDADA POR ELETROFUSÃO, DE TUBO OU CONEXÃO EM PEAD LISO PARA REDE DE ÁGUA OU ESGOTO, DIÂMETRO DE 1200 MM (NÃO INCLUI O FORNECIMENTO DE TUBO E CONEXÃO). AF_12/2021</v>
          </cell>
          <cell r="D9103" t="str">
            <v>UN</v>
          </cell>
          <cell r="E9103">
            <v>0</v>
          </cell>
        </row>
        <row r="9104">
          <cell r="B9104">
            <v>103484</v>
          </cell>
          <cell r="C9104" t="str">
            <v>EXECUÇÃO DE JUNTA SOLDADA POR ELETROFUSÃO, DE TUBO OU CONEXÃO EM PEAD LISO PARA REDE DE ÁGUA OU ESGOTO, DIÂMETRO DE 1400 MM (NÃO INCLUI O FORNECIMENTO DE TUBO E CONEXÃO). AF_12/2021</v>
          </cell>
          <cell r="D9104" t="str">
            <v>UN</v>
          </cell>
          <cell r="E9104">
            <v>0</v>
          </cell>
        </row>
        <row r="9105">
          <cell r="B9105">
            <v>103466</v>
          </cell>
          <cell r="C9105" t="str">
            <v>EXECUÇÃO DE JUNTA SOLDADA POR ELETROFUSÃO, DE TUBO OU CONEXÃO EM PEAD LISO PARA REDE DE ÁGUA OU ESGOTO, DIÂMETRO DE 160 MM (NÃO INCLUI O FORNECIMENTO DE TUBO E CONEXÃO). AF_12/2021</v>
          </cell>
          <cell r="D9105" t="str">
            <v>UN</v>
          </cell>
          <cell r="E9105">
            <v>0</v>
          </cell>
        </row>
        <row r="9106">
          <cell r="B9106">
            <v>103485</v>
          </cell>
          <cell r="C9106" t="str">
            <v>EXECUÇÃO DE JUNTA SOLDADA POR ELETROFUSÃO, DE TUBO OU CONEXÃO EM PEAD LISO PARA REDE DE ÁGUA OU ESGOTO, DIÂMETRO DE 1600 MM (NÃO INCLUI O FORNECIMENTO DE TUBO E CONEXÃO). AF_12/2021</v>
          </cell>
          <cell r="D9106" t="str">
            <v>UN</v>
          </cell>
          <cell r="E9106">
            <v>0</v>
          </cell>
        </row>
        <row r="9107">
          <cell r="B9107">
            <v>103467</v>
          </cell>
          <cell r="C9107" t="str">
            <v>EXECUÇÃO DE JUNTA SOLDADA POR ELETROFUSÃO, DE TUBO OU CONEXÃO EM PEAD LISO PARA REDE DE ÁGUA OU ESGOTO, DIÂMETRO DE 180 MM (NÃO INCLUI O FORNECIMENTO DE TUBO E CONEXÃO). AF_12/2021</v>
          </cell>
          <cell r="D9107" t="str">
            <v>UN</v>
          </cell>
          <cell r="E9107">
            <v>0</v>
          </cell>
        </row>
        <row r="9108">
          <cell r="B9108">
            <v>103461</v>
          </cell>
          <cell r="C9108" t="str">
            <v>EXECUÇÃO DE JUNTA SOLDADA POR ELETROFUSÃO, DE TUBO OU CONEXÃO EM PEAD LISO PARA REDE DE ÁGUA OU ESGOTO, DIÂMETRO DE 20 MM (NÃO INCLUI O FORNECIMENTO DE TUBO E CONEXÃO). AF_12/2021</v>
          </cell>
          <cell r="D9108" t="str">
            <v>UN</v>
          </cell>
          <cell r="E9108">
            <v>0</v>
          </cell>
        </row>
        <row r="9109">
          <cell r="B9109">
            <v>103468</v>
          </cell>
          <cell r="C9109" t="str">
            <v>EXECUÇÃO DE JUNTA SOLDADA POR ELETROFUSÃO, DE TUBO OU CONEXÃO EM PEAD LISO PARA REDE DE ÁGUA OU ESGOTO, DIÂMETRO DE 200 MM (NÃO INCLUI O FORNECIMENTO DE TUBO E CONEXÃO). AF_12/2021</v>
          </cell>
          <cell r="D9109" t="str">
            <v>UN</v>
          </cell>
          <cell r="E9109">
            <v>0</v>
          </cell>
        </row>
        <row r="9110">
          <cell r="B9110">
            <v>103469</v>
          </cell>
          <cell r="C9110" t="str">
            <v>EXECUÇÃO DE JUNTA SOLDADA POR ELETROFUSÃO, DE TUBO OU CONEXÃO EM PEAD LISO PARA REDE DE ÁGUA OU ESGOTO, DIÂMETRO DE 225 MM (NÃO INCLUI O FORNECIMENTO DE TUBO E CONEXÃO). AF_12/2021</v>
          </cell>
          <cell r="D9110" t="str">
            <v>UN</v>
          </cell>
          <cell r="E9110">
            <v>0</v>
          </cell>
        </row>
        <row r="9111">
          <cell r="B9111">
            <v>103470</v>
          </cell>
          <cell r="C9111" t="str">
            <v>EXECUÇÃO DE JUNTA SOLDADA POR ELETROFUSÃO, DE TUBO OU CONEXÃO EM PEAD LISO PARA REDE DE ÁGUA OU ESGOTO, DIÂMETRO DE 250 MM (NÃO INCLUI O FORNECIMENTO DE TUBO E CONEXÃO). AF_12/2021</v>
          </cell>
          <cell r="D9111" t="str">
            <v>UN</v>
          </cell>
          <cell r="E9111">
            <v>0</v>
          </cell>
        </row>
        <row r="9112">
          <cell r="B9112">
            <v>103471</v>
          </cell>
          <cell r="C9112" t="str">
            <v>EXECUÇÃO DE JUNTA SOLDADA POR ELETROFUSÃO, DE TUBO OU CONEXÃO EM PEAD LISO PARA REDE DE ÁGUA OU ESGOTO, DIÂMETRO DE 280 MM (NÃO INCLUI O FORNECIMENTO DE TUBO E CONEXÃO). AF_12/2021</v>
          </cell>
          <cell r="D9112" t="str">
            <v>UN</v>
          </cell>
          <cell r="E9112">
            <v>0</v>
          </cell>
        </row>
        <row r="9113">
          <cell r="B9113">
            <v>103472</v>
          </cell>
          <cell r="C9113" t="str">
            <v>EXECUÇÃO DE JUNTA SOLDADA POR ELETROFUSÃO, DE TUBO OU CONEXÃO EM PEAD LISO PARA REDE DE ÁGUA OU ESGOTO, DIÂMETRO DE 315 MM (NÃO INCLUI O FORNECIMENTO DE TUBO E CONEXÃO). AF_12/2021</v>
          </cell>
          <cell r="D9113" t="str">
            <v>UN</v>
          </cell>
          <cell r="E9113">
            <v>0</v>
          </cell>
        </row>
        <row r="9114">
          <cell r="B9114">
            <v>103462</v>
          </cell>
          <cell r="C9114" t="str">
            <v>EXECUÇÃO DE JUNTA SOLDADA POR ELETROFUSÃO, DE TUBO OU CONEXÃO EM PEAD LISO PARA REDE DE ÁGUA OU ESGOTO, DIÂMETRO DE 32 MM (NÃO INCLUI O FORNECIMENTO DE TUBO E CONEXÃO). AF_12/2021</v>
          </cell>
          <cell r="D9114" t="str">
            <v>UN</v>
          </cell>
          <cell r="E9114">
            <v>0</v>
          </cell>
        </row>
        <row r="9115">
          <cell r="B9115">
            <v>103473</v>
          </cell>
          <cell r="C9115" t="str">
            <v>EXECUÇÃO DE JUNTA SOLDADA POR ELETROFUSÃO, DE TUBO OU CONEXÃO EM PEAD LISO PARA REDE DE ÁGUA OU ESGOTO, DIÂMETRO DE 355 MM (NÃO INCLUI O FORNECIMENTO DE TUBO E CONEXÃO). AF_12/2021</v>
          </cell>
          <cell r="D9115" t="str">
            <v>UN</v>
          </cell>
          <cell r="E9115">
            <v>0</v>
          </cell>
        </row>
        <row r="9116">
          <cell r="B9116">
            <v>103474</v>
          </cell>
          <cell r="C9116" t="str">
            <v>EXECUÇÃO DE JUNTA SOLDADA POR ELETROFUSÃO, DE TUBO OU CONEXÃO EM PEAD LISO PARA REDE DE ÁGUA OU ESGOTO, DIÂMETRO DE 400 MM (NÃO INCLUI O FORNECIMENTO DE TUBO E CONEXÃO). AF_12/2021</v>
          </cell>
          <cell r="D9116" t="str">
            <v>UN</v>
          </cell>
          <cell r="E9116">
            <v>0</v>
          </cell>
        </row>
        <row r="9117">
          <cell r="B9117">
            <v>103475</v>
          </cell>
          <cell r="C9117" t="str">
            <v>EXECUÇÃO DE JUNTA SOLDADA POR ELETROFUSÃO, DE TUBO OU CONEXÃO EM PEAD LISO PARA REDE DE ÁGUA OU ESGOTO, DIÂMETRO DE 450 MM (NÃO INCLUI O FORNECIMENTO DE TUBO E CONEXÃO). AF_12/2021</v>
          </cell>
          <cell r="D9117" t="str">
            <v>UN</v>
          </cell>
          <cell r="E9117">
            <v>0</v>
          </cell>
        </row>
        <row r="9118">
          <cell r="B9118">
            <v>103476</v>
          </cell>
          <cell r="C9118" t="str">
            <v>EXECUÇÃO DE JUNTA SOLDADA POR ELETROFUSÃO, DE TUBO OU CONEXÃO EM PEAD LISO PARA REDE DE ÁGUA OU ESGOTO, DIÂMETRO DE 500 MM (NÃO INCLUI O FORNECIMENTO DE TUBO E CONEXÃO). AF_12/2021</v>
          </cell>
          <cell r="D9118" t="str">
            <v>UN</v>
          </cell>
          <cell r="E9118">
            <v>0</v>
          </cell>
        </row>
        <row r="9119">
          <cell r="B9119">
            <v>103477</v>
          </cell>
          <cell r="C9119" t="str">
            <v>EXECUÇÃO DE JUNTA SOLDADA POR ELETROFUSÃO, DE TUBO OU CONEXÃO EM PEAD LISO PARA REDE DE ÁGUA OU ESGOTO, DIÂMETRO DE 560 MM (NÃO INCLUI O FORNECIMENTO DE TUBO E CONEXÃO). AF_12/2021</v>
          </cell>
          <cell r="D9119" t="str">
            <v>UN</v>
          </cell>
          <cell r="E9119">
            <v>0</v>
          </cell>
        </row>
        <row r="9120">
          <cell r="B9120">
            <v>103463</v>
          </cell>
          <cell r="C9120" t="str">
            <v>EXECUÇÃO DE JUNTA SOLDADA POR ELETROFUSÃO, DE TUBO OU CONEXÃO EM PEAD LISO PARA REDE DE ÁGUA OU ESGOTO, DIÂMETRO DE 63 MM (NÃO INCLUI O FORNECIMENTO DE TUBO E CONEXÃO). AF_12/2021</v>
          </cell>
          <cell r="D9120" t="str">
            <v>UN</v>
          </cell>
          <cell r="E9120">
            <v>0</v>
          </cell>
        </row>
        <row r="9121">
          <cell r="B9121">
            <v>103478</v>
          </cell>
          <cell r="C9121" t="str">
            <v>EXECUÇÃO DE JUNTA SOLDADA POR ELETROFUSÃO, DE TUBO OU CONEXÃO EM PEAD LISO PARA REDE DE ÁGUA OU ESGOTO, DIÂMETRO DE 630 MM (NÃO INCLUI O FORNECIMENTO DE TUBO E CONEXÃO). AF_12/2021</v>
          </cell>
          <cell r="D9121" t="str">
            <v>UN</v>
          </cell>
          <cell r="E9121">
            <v>0</v>
          </cell>
        </row>
        <row r="9122">
          <cell r="B9122">
            <v>103479</v>
          </cell>
          <cell r="C9122" t="str">
            <v>EXECUÇÃO DE JUNTA SOLDADA POR ELETROFUSÃO, DE TUBO OU CONEXÃO EM PEAD LISO PARA REDE DE ÁGUA OU ESGOTO, DIÂMETRO DE 710 MM (NÃO INCLUI O FORNECIMENTO DE TUBO E CONEXÃO). AF_12/2021</v>
          </cell>
          <cell r="D9122" t="str">
            <v>UN</v>
          </cell>
          <cell r="E9122">
            <v>0</v>
          </cell>
        </row>
        <row r="9123">
          <cell r="B9123">
            <v>103480</v>
          </cell>
          <cell r="C9123" t="str">
            <v>EXECUÇÃO DE JUNTA SOLDADA POR ELETROFUSÃO, DE TUBO OU CONEXÃO EM PEAD LISO PARA REDE DE ÁGUA OU ESGOTO, DIÂMETRO DE 800 MM (NÃO INCLUI O FORNECIMENTO DE TUBO E CONEXÃO). AF_12/2021</v>
          </cell>
          <cell r="D9123" t="str">
            <v>UN</v>
          </cell>
          <cell r="E9123">
            <v>0</v>
          </cell>
        </row>
        <row r="9124">
          <cell r="B9124">
            <v>103464</v>
          </cell>
          <cell r="C9124" t="str">
            <v>EXECUÇÃO DE JUNTA SOLDADA POR ELETROFUSÃO, DE TUBO OU CONEXÃO EM PEAD LISO PARA REDE DE ÁGUA OU ESGOTO, DIÂMETRO DE 90 MM (NÃO INCLUI O FORNECIMENTO DE TUBO E CONEXÃO). AF_12/2021</v>
          </cell>
          <cell r="D9124" t="str">
            <v>UN</v>
          </cell>
          <cell r="E9124">
            <v>0</v>
          </cell>
        </row>
        <row r="9125">
          <cell r="B9125">
            <v>103481</v>
          </cell>
          <cell r="C9125" t="str">
            <v>EXECUÇÃO DE JUNTA SOLDADA POR ELETROFUSÃO, DE TUBO OU CONEXÃO EM PEAD LISO PARA REDE DE ÁGUA OU ESGOTO, DIÂMETRO DE 900 MM (NÃO INCLUI O FORNECIMENTO DE TUBO E CONEXÃO). AF_12/2021</v>
          </cell>
          <cell r="D9125" t="str">
            <v>UN</v>
          </cell>
          <cell r="E9125">
            <v>0</v>
          </cell>
        </row>
        <row r="9126">
          <cell r="B9126">
            <v>103459</v>
          </cell>
          <cell r="C9126" t="str">
            <v>EXECUÇÃO DE JUNTA SOLDADA POR TERMOFUSÃO, DE TUBO OU CONEXÃO EM PEAD LISO PARA REDE DE ÁGUA OU ESGOTO, DIÂMETRO DE 1000 MM (NÃO INCLUI O FORNECIMENTO DE TUBO E CONEXÃO). AF_12/2021</v>
          </cell>
          <cell r="D9126" t="str">
            <v>UN</v>
          </cell>
          <cell r="E9126">
            <v>0</v>
          </cell>
        </row>
        <row r="9127">
          <cell r="B9127">
            <v>103460</v>
          </cell>
          <cell r="C9127" t="str">
            <v>EXECUÇÃO DE JUNTA SOLDADA POR TERMOFUSÃO, DE TUBO OU CONEXÃO EM PEAD LISO PARA REDE DE ÁGUA OU ESGOTO, DIÂMETRO DE 1200 MM (NÃO INCLUI O FORNECIMENTO DE TUBO E CONEXÃO). AF_12/2021</v>
          </cell>
          <cell r="D9127" t="str">
            <v>UN</v>
          </cell>
          <cell r="E9127">
            <v>0</v>
          </cell>
        </row>
        <row r="9128">
          <cell r="B9128">
            <v>103443</v>
          </cell>
          <cell r="C9128" t="str">
            <v>EXECUÇÃO DE JUNTA SOLDADA POR TERMOFUSÃO, DE TUBO OU CONEXÃO EM PEAD LISO PARA REDE DE ÁGUA OU ESGOTO, DIÂMETRO DE 160 MM (NÃO INCLUI O FORNECIMENTO DE TUBO E CONEXÃO). AF_12/2021</v>
          </cell>
          <cell r="D9128" t="str">
            <v>UN</v>
          </cell>
          <cell r="E9128">
            <v>0</v>
          </cell>
        </row>
        <row r="9129">
          <cell r="B9129">
            <v>103444</v>
          </cell>
          <cell r="C9129" t="str">
            <v>EXECUÇÃO DE JUNTA SOLDADA POR TERMOFUSÃO, DE TUBO OU CONEXÃO EM PEAD LISO PARA REDE DE ÁGUA OU ESGOTO, DIÂMETRO DE 180 MM (NÃO INCLUI O FORNECIMENTO DE TUBO E CONEXÃO). AF_12/2021</v>
          </cell>
          <cell r="D9129" t="str">
            <v>UN</v>
          </cell>
          <cell r="E9129">
            <v>0</v>
          </cell>
        </row>
        <row r="9130">
          <cell r="B9130">
            <v>103445</v>
          </cell>
          <cell r="C9130" t="str">
            <v>EXECUÇÃO DE JUNTA SOLDADA POR TERMOFUSÃO, DE TUBO OU CONEXÃO EM PEAD LISO PARA REDE DE ÁGUA OU ESGOTO, DIÂMETRO DE 200 MM (NÃO INCLUI O FORNECIMENTO DE TUBO E CONEXÃO). AF_12/2021</v>
          </cell>
          <cell r="D9130" t="str">
            <v>UN</v>
          </cell>
          <cell r="E9130">
            <v>0</v>
          </cell>
        </row>
        <row r="9131">
          <cell r="B9131">
            <v>103446</v>
          </cell>
          <cell r="C9131" t="str">
            <v>EXECUÇÃO DE JUNTA SOLDADA POR TERMOFUSÃO, DE TUBO OU CONEXÃO EM PEAD LISO PARA REDE DE ÁGUA OU ESGOTO, DIÂMETRO DE 225 MM (NÃO INCLUI O FORNECIMENTO DE TUBO E CONEXÃO). AF_12/2021</v>
          </cell>
          <cell r="D9131" t="str">
            <v>UN</v>
          </cell>
          <cell r="E9131">
            <v>0</v>
          </cell>
        </row>
        <row r="9132">
          <cell r="B9132">
            <v>103447</v>
          </cell>
          <cell r="C9132" t="str">
            <v>EXECUÇÃO DE JUNTA SOLDADA POR TERMOFUSÃO, DE TUBO OU CONEXÃO EM PEAD LISO PARA REDE DE ÁGUA OU ESGOTO, DIÂMETRO DE 250 MM (NÃO INCLUI O FORNECIMENTO DE TUBO E CONEXÃO). AF_12/2021</v>
          </cell>
          <cell r="D9132" t="str">
            <v>UN</v>
          </cell>
          <cell r="E9132">
            <v>0</v>
          </cell>
        </row>
        <row r="9133">
          <cell r="B9133">
            <v>103448</v>
          </cell>
          <cell r="C9133" t="str">
            <v>EXECUÇÃO DE JUNTA SOLDADA POR TERMOFUSÃO, DE TUBO OU CONEXÃO EM PEAD LISO PARA REDE DE ÁGUA OU ESGOTO, DIÂMETRO DE 280 MM (NÃO INCLUI O FORNECIMENTO DE TUBO E CONEXÃO). AF_12/2021</v>
          </cell>
          <cell r="D9133" t="str">
            <v>UN</v>
          </cell>
          <cell r="E9133">
            <v>0</v>
          </cell>
        </row>
        <row r="9134">
          <cell r="B9134">
            <v>103449</v>
          </cell>
          <cell r="C9134" t="str">
            <v>EXECUÇÃO DE JUNTA SOLDADA POR TERMOFUSÃO, DE TUBO OU CONEXÃO EM PEAD LISO PARA REDE DE ÁGUA OU ESGOTO, DIÂMETRO DE 315 MM (NÃO INCLUI O FORNECIMENTO DE TUBO E CONEXÃO). AF_12/2021</v>
          </cell>
          <cell r="D9134" t="str">
            <v>UN</v>
          </cell>
          <cell r="E9134">
            <v>0</v>
          </cell>
        </row>
        <row r="9135">
          <cell r="B9135">
            <v>103450</v>
          </cell>
          <cell r="C9135" t="str">
            <v>EXECUÇÃO DE JUNTA SOLDADA POR TERMOFUSÃO, DE TUBO OU CONEXÃO EM PEAD LISO PARA REDE DE ÁGUA OU ESGOTO, DIÂMETRO DE 355 MM (NÃO INCLUI O FORNECIMENTO DE TUBO E CONEXÃO). AF_12/2021</v>
          </cell>
          <cell r="D9135" t="str">
            <v>UN</v>
          </cell>
          <cell r="E9135">
            <v>0</v>
          </cell>
        </row>
        <row r="9136">
          <cell r="B9136">
            <v>103451</v>
          </cell>
          <cell r="C9136" t="str">
            <v>EXECUÇÃO DE JUNTA SOLDADA POR TERMOFUSÃO, DE TUBO OU CONEXÃO EM PEAD LISO PARA REDE DE ÁGUA OU ESGOTO, DIÂMETRO DE 400 MM (NÃO INCLUI O FORNECIMENTO DE TUBO E CONEXÃO). AF_12/2021</v>
          </cell>
          <cell r="D9136" t="str">
            <v>UN</v>
          </cell>
          <cell r="E9136">
            <v>0</v>
          </cell>
        </row>
        <row r="9137">
          <cell r="B9137">
            <v>103452</v>
          </cell>
          <cell r="C9137" t="str">
            <v>EXECUÇÃO DE JUNTA SOLDADA POR TERMOFUSÃO, DE TUBO OU CONEXÃO EM PEAD LISO PARA REDE DE ÁGUA OU ESGOTO, DIÂMETRO DE 450 MM (NÃO INCLUI O FORNECIMENTO DE TUBO E CONEXÃO). AF_12/2021</v>
          </cell>
          <cell r="D9137" t="str">
            <v>UN</v>
          </cell>
          <cell r="E9137">
            <v>0</v>
          </cell>
        </row>
        <row r="9138">
          <cell r="B9138">
            <v>103453</v>
          </cell>
          <cell r="C9138" t="str">
            <v>EXECUÇÃO DE JUNTA SOLDADA POR TERMOFUSÃO, DE TUBO OU CONEXÃO EM PEAD LISO PARA REDE DE ÁGUA OU ESGOTO, DIÂMETRO DE 500 MM (NÃO INCLUI O FORNECIMENTO DE TUBO E CONEXÃO). AF_12/2021</v>
          </cell>
          <cell r="D9138" t="str">
            <v>UN</v>
          </cell>
          <cell r="E9138">
            <v>0</v>
          </cell>
        </row>
        <row r="9139">
          <cell r="B9139">
            <v>103454</v>
          </cell>
          <cell r="C9139" t="str">
            <v>EXECUÇÃO DE JUNTA SOLDADA POR TERMOFUSÃO, DE TUBO OU CONEXÃO EM PEAD LISO PARA REDE DE ÁGUA OU ESGOTO, DIÂMETRO DE 560 MM (NÃO INCLUI O FORNECIMENTO DE TUBO E CONEXÃO). AF_12/2021</v>
          </cell>
          <cell r="D9139" t="str">
            <v>UN</v>
          </cell>
          <cell r="E9139">
            <v>0</v>
          </cell>
        </row>
        <row r="9140">
          <cell r="B9140">
            <v>103455</v>
          </cell>
          <cell r="C9140" t="str">
            <v>EXECUÇÃO DE JUNTA SOLDADA POR TERMOFUSÃO, DE TUBO OU CONEXÃO EM PEAD LISO PARA REDE DE ÁGUA OU ESGOTO, DIÂMETRO DE 630 MM (NÃO INCLUI O FORNECIMENTO DE TUBO E CONEXÃO). AF_12/2021</v>
          </cell>
          <cell r="D9140" t="str">
            <v>UN</v>
          </cell>
          <cell r="E9140">
            <v>0</v>
          </cell>
        </row>
        <row r="9141">
          <cell r="B9141">
            <v>103456</v>
          </cell>
          <cell r="C9141" t="str">
            <v>EXECUÇÃO DE JUNTA SOLDADA POR TERMOFUSÃO, DE TUBO OU CONEXÃO EM PEAD LISO PARA REDE DE ÁGUA OU ESGOTO, DIÂMETRO DE 710 MM (NÃO INCLUI O FORNECIMENTO DE TUBO E CONEXÃO). AF_12/2021</v>
          </cell>
          <cell r="D9141" t="str">
            <v>UN</v>
          </cell>
          <cell r="E9141">
            <v>0</v>
          </cell>
        </row>
        <row r="9142">
          <cell r="B9142">
            <v>103457</v>
          </cell>
          <cell r="C9142" t="str">
            <v>EXECUÇÃO DE JUNTA SOLDADA POR TERMOFUSÃO, DE TUBO OU CONEXÃO EM PEAD LISO PARA REDE DE ÁGUA OU ESGOTO, DIÂMETRO DE 800 MM (NÃO INCLUI O FORNECIMENTO DE TUBO E CONEXÃO). AF_12/2021</v>
          </cell>
          <cell r="D9142" t="str">
            <v>UN</v>
          </cell>
          <cell r="E9142">
            <v>0</v>
          </cell>
        </row>
        <row r="9143">
          <cell r="B9143">
            <v>103458</v>
          </cell>
          <cell r="C9143" t="str">
            <v>EXECUÇÃO DE JUNTA SOLDADA POR TERMOFUSÃO, DE TUBO OU CONEXÃO EM PEAD LISO PARA REDE DE ÁGUA OU ESGOTO, DIÂMETRO DE 900 MM (NÃO INCLUI O FORNECIMENTO DE TUBO E CONEXÃO). AF_12/2021</v>
          </cell>
          <cell r="D9143" t="str">
            <v>UN</v>
          </cell>
          <cell r="E9143">
            <v>0</v>
          </cell>
        </row>
        <row r="9144">
          <cell r="B9144">
            <v>103425</v>
          </cell>
          <cell r="C9144" t="str">
            <v>LUVA, EM PEAD LISO PARA REDE DE ÁGUA OU ESGOTO, DIÂMETRO DE 20 MM, JUNTA SOLDADA POR ELETROFUSÃO (NÃO INCLUI A EXECUÇÃO DE SOLDA). AF_12/2021</v>
          </cell>
          <cell r="D9144" t="str">
            <v>UN</v>
          </cell>
          <cell r="E9144">
            <v>17.93</v>
          </cell>
          <cell r="F9144">
            <v>0</v>
          </cell>
        </row>
        <row r="9145">
          <cell r="B9145">
            <v>103428</v>
          </cell>
          <cell r="C9145" t="str">
            <v>LUVA, EM PEAD LISO PARA REDE DE ÁGUA OU ESGOTO, DIÂMETRO DE 200 MM, JUNTA SOLDADA POR ELETROFUSÃO (NÃO INCLUI A EXECUÇÃO DE SOLDA). AF_12/2021</v>
          </cell>
          <cell r="D9145" t="str">
            <v>UN</v>
          </cell>
          <cell r="E9145">
            <v>277.89</v>
          </cell>
          <cell r="F9145">
            <v>0</v>
          </cell>
        </row>
        <row r="9146">
          <cell r="B9146">
            <v>103426</v>
          </cell>
          <cell r="C9146" t="str">
            <v>LUVA, EM PEAD LISO PARA REDE DE ÁGUA OU ESGOTO, DIÂMETRO DE 32 MM, JUNTA SOLDADA POR ELETROFUSÃO (NÃO INCLUI A EXECUÇÃO DE SOLDA). AF_12/2021</v>
          </cell>
          <cell r="D9146" t="str">
            <v>UN</v>
          </cell>
          <cell r="E9146">
            <v>22.17</v>
          </cell>
          <cell r="F9146">
            <v>0</v>
          </cell>
        </row>
        <row r="9147">
          <cell r="B9147">
            <v>103429</v>
          </cell>
          <cell r="C9147" t="str">
            <v>LUVA, EM PEAD LISO PARA REDE DE ÁGUA OU ESGOTO, DIÂMETRO DE 400 MM, JUNTA SOLDADA POR ELETROFUSÃO (NÃO INCLUI A EXECUÇÃO DE SOLDA). AF_12/2021</v>
          </cell>
          <cell r="D9147" t="str">
            <v>UN</v>
          </cell>
          <cell r="E9147">
            <v>2933.9</v>
          </cell>
          <cell r="F9147">
            <v>0</v>
          </cell>
        </row>
        <row r="9148">
          <cell r="B9148">
            <v>103427</v>
          </cell>
          <cell r="C9148" t="str">
            <v>LUVA, EM PEAD LISO PARA REDE DE ÁGUA OU ESGOTO, DIÂMETRO DE 63 MM, JUNTA SOLDADA POR ELETROFUSÃO (NÃO INCLUI A EXECUÇÃO DE SOLDA). AF_12/2021</v>
          </cell>
          <cell r="D9148" t="str">
            <v>UN</v>
          </cell>
          <cell r="E9148">
            <v>44.33</v>
          </cell>
          <cell r="F9148">
            <v>0</v>
          </cell>
        </row>
        <row r="9149">
          <cell r="B9149">
            <v>103393</v>
          </cell>
          <cell r="C9149" t="str">
            <v>TUBO PEAD LISO PARA REDE DE ÁGUA OU ESGOTO, DIÂMETRO DE 1000 MM, JUNTA SOLDADA (NÃO INCLUI A EXECUÇÃO DE SOLDA) - FORNECIMENTO E ASSENTAMENTO. AF_12/2021</v>
          </cell>
          <cell r="D9149" t="str">
            <v>M</v>
          </cell>
          <cell r="E9149">
            <v>5473.4</v>
          </cell>
          <cell r="F9149">
            <v>0</v>
          </cell>
        </row>
        <row r="9150">
          <cell r="B9150">
            <v>103376</v>
          </cell>
          <cell r="C9150" t="str">
            <v>TUBO PEAD LISO PARA REDE DE ÁGUA OU ESGOTO, DIÂMETRO DE 110 MM, JUNTA SOLDADA (NÃO INCLUI A EXECUÇÃO DE SOLDA) - FORNECIMENTO E ASSENTAMENTO. AF_12/2021</v>
          </cell>
          <cell r="D9150" t="str">
            <v>M</v>
          </cell>
          <cell r="E9150">
            <v>134.44</v>
          </cell>
          <cell r="F9150">
            <v>0</v>
          </cell>
        </row>
        <row r="9151">
          <cell r="B9151">
            <v>104804</v>
          </cell>
          <cell r="C9151" t="str">
            <v>TUBO PEAD LISO PARA REDE DE ÁGUA OU ESGOTO, DIÂMETRO DE 1200 MM, JUNTA SOLDADA (NÃO INCLUI A EXECUÇÃO DE SOLDA) - FORNECIMENTO E ASSENTAMENTO. AF_12/2021</v>
          </cell>
          <cell r="D9151" t="str">
            <v>M</v>
          </cell>
          <cell r="E9151">
            <v>0</v>
          </cell>
        </row>
        <row r="9152">
          <cell r="B9152">
            <v>104805</v>
          </cell>
          <cell r="C9152" t="str">
            <v>TUBO PEAD LISO PARA REDE DE ÁGUA OU ESGOTO, DIÂMETRO DE 1400 MM, JUNTA SOLDADA (NÃO INCLUI A EXECUÇÃO DE SOLDA) - FORNECIMENTO E ASSENTAMENTO. AF_12/2021</v>
          </cell>
          <cell r="D9152" t="str">
            <v>M</v>
          </cell>
          <cell r="E9152">
            <v>0</v>
          </cell>
        </row>
        <row r="9153">
          <cell r="B9153">
            <v>103377</v>
          </cell>
          <cell r="C9153" t="str">
            <v>TUBO PEAD LISO PARA REDE DE ÁGUA OU ESGOTO, DIÂMETRO DE 160 MM, JUNTA SOLDADA (NÃO INCLUI A EXECUÇÃO DE SOLDA) - FORNECIMENTO E ASSENTAMENTO. AF_12/2021</v>
          </cell>
          <cell r="D9153" t="str">
            <v>M</v>
          </cell>
          <cell r="E9153">
            <v>287.39</v>
          </cell>
          <cell r="F9153">
            <v>0</v>
          </cell>
        </row>
        <row r="9154">
          <cell r="B9154">
            <v>104806</v>
          </cell>
          <cell r="C9154" t="str">
            <v>TUBO PEAD LISO PARA REDE DE ÁGUA OU ESGOTO, DIÂMETRO DE 1600 MM, JUNTA SOLDADA (NÃO INCLUI A EXECUÇÃO DE SOLDA) - FORNECIMENTO E ASSENTAMENTO. AF_12/2021</v>
          </cell>
          <cell r="D9154" t="str">
            <v>M</v>
          </cell>
          <cell r="E9154">
            <v>0</v>
          </cell>
        </row>
        <row r="9155">
          <cell r="B9155">
            <v>103378</v>
          </cell>
          <cell r="C9155" t="str">
            <v>TUBO PEAD LISO PARA REDE DE ÁGUA OU ESGOTO, DIÂMETRO DE 180 MM, JUNTA SOLDADA (NÃO INCLUI A EXECUÇÃO DE SOLDA) - FORNECIMENTO E ASSENTAMENTO. AF_12/2021</v>
          </cell>
          <cell r="D9155" t="str">
            <v>M</v>
          </cell>
          <cell r="E9155">
            <v>0</v>
          </cell>
        </row>
        <row r="9156">
          <cell r="B9156">
            <v>103372</v>
          </cell>
          <cell r="C9156" t="str">
            <v>TUBO PEAD LISO PARA REDE DE ÁGUA OU ESGOTO, DIÂMETRO DE 20 MM, JUNTA SOLDADA (NÃO INCLUI A EXECUÇÃO DE SOLDA) - FORNECIMENTO E ASSENTAMENTO. AF_12/2021</v>
          </cell>
          <cell r="D9156" t="str">
            <v>M</v>
          </cell>
          <cell r="E9156">
            <v>5.82</v>
          </cell>
          <cell r="F9156">
            <v>0</v>
          </cell>
        </row>
        <row r="9157">
          <cell r="B9157">
            <v>103379</v>
          </cell>
          <cell r="C9157" t="str">
            <v>TUBO PEAD LISO PARA REDE DE ÁGUA OU ESGOTO, DIÂMETRO DE 200 MM, JUNTA SOLDADA (NÃO INCLUI A EXECUÇÃO DE SOLDA) - FORNECIMENTO E ASSENTAMENTO. AF_12/2021</v>
          </cell>
          <cell r="D9157" t="str">
            <v>M</v>
          </cell>
          <cell r="E9157">
            <v>447.22</v>
          </cell>
          <cell r="F9157">
            <v>0</v>
          </cell>
        </row>
        <row r="9158">
          <cell r="B9158">
            <v>103380</v>
          </cell>
          <cell r="C9158" t="str">
            <v>TUBO PEAD LISO PARA REDE DE ÁGUA OU ESGOTO, DIÂMETRO DE 225 MM, JUNTA SOLDADA (NÃO INCLUI A EXECUÇÃO DE SOLDA) - FORNECIMENTO E ASSENTAMENTO. AF_12/2021</v>
          </cell>
          <cell r="D9158" t="str">
            <v>M</v>
          </cell>
          <cell r="E9158">
            <v>0</v>
          </cell>
        </row>
        <row r="9159">
          <cell r="B9159">
            <v>103381</v>
          </cell>
          <cell r="C9159" t="str">
            <v>TUBO PEAD LISO PARA REDE DE ÁGUA OU ESGOTO, DIÂMETRO DE 250 MM, JUNTA SOLDADA (NÃO INCLUI A EXECUÇÃO DE SOLDA) - FORNECIMENTO E ASSENTAMENTO. AF_12/2021</v>
          </cell>
          <cell r="D9159" t="str">
            <v>M</v>
          </cell>
          <cell r="E9159">
            <v>0</v>
          </cell>
        </row>
        <row r="9160">
          <cell r="B9160">
            <v>103382</v>
          </cell>
          <cell r="C9160" t="str">
            <v>TUBO PEAD LISO PARA REDE DE ÁGUA OU ESGOTO, DIÂMETRO DE 280 MM, JUNTA SOLDADA (NÃO INCLUI A EXECUÇÃO DE SOLDA) - FORNECIMENTO E ASSENTAMENTO. AF_12/2021</v>
          </cell>
          <cell r="D9160" t="str">
            <v>M</v>
          </cell>
          <cell r="E9160">
            <v>0</v>
          </cell>
        </row>
        <row r="9161">
          <cell r="B9161">
            <v>103383</v>
          </cell>
          <cell r="C9161" t="str">
            <v>TUBO PEAD LISO PARA REDE DE ÁGUA OU ESGOTO, DIÂMETRO DE 315 MM, JUNTA SOLDADA (NÃO INCLUI A EXECUÇÃO DE SOLDA) - FORNECIMENTO E ASSENTAMENTO. AF_12/2021</v>
          </cell>
          <cell r="D9161" t="str">
            <v>M</v>
          </cell>
          <cell r="E9161">
            <v>1095.03</v>
          </cell>
          <cell r="F9161">
            <v>0</v>
          </cell>
        </row>
        <row r="9162">
          <cell r="B9162">
            <v>103373</v>
          </cell>
          <cell r="C9162" t="str">
            <v>TUBO PEAD LISO PARA REDE DE ÁGUA OU ESGOTO, DIÂMETRO DE 32 MM, JUNTA SOLDADA (NÃO INCLUI A EXECUÇÃO DE SOLDA) - FORNECIMENTO E ASSENTAMENTO. AF_12/2021</v>
          </cell>
          <cell r="D9162" t="str">
            <v>M</v>
          </cell>
          <cell r="E9162">
            <v>11.38</v>
          </cell>
          <cell r="F9162">
            <v>0</v>
          </cell>
        </row>
        <row r="9163">
          <cell r="B9163">
            <v>103384</v>
          </cell>
          <cell r="C9163" t="str">
            <v>TUBO PEAD LISO PARA REDE DE ÁGUA OU ESGOTO, DIÂMETRO DE 355 MM, JUNTA SOLDADA (NÃO INCLUI A EXECUÇÃO DE SOLDA) - FORNECIMENTO E ASSENTAMENTO. AF_12/2021</v>
          </cell>
          <cell r="D9163" t="str">
            <v>M</v>
          </cell>
          <cell r="E9163">
            <v>0</v>
          </cell>
        </row>
        <row r="9164">
          <cell r="B9164">
            <v>103385</v>
          </cell>
          <cell r="C9164" t="str">
            <v>TUBO PEAD LISO PARA REDE DE ÁGUA OU ESGOTO, DIÂMETRO DE 400 MM, JUNTA SOLDADA (NÃO INCLUI A EXECUÇÃO DE SOLDA) - FORNECIMENTO E ASSENTAMENTO. AF_12/2021</v>
          </cell>
          <cell r="D9164" t="str">
            <v>M</v>
          </cell>
          <cell r="E9164">
            <v>1765.86</v>
          </cell>
          <cell r="F9164">
            <v>0</v>
          </cell>
        </row>
        <row r="9165">
          <cell r="B9165">
            <v>103386</v>
          </cell>
          <cell r="C9165" t="str">
            <v>TUBO PEAD LISO PARA REDE DE ÁGUA OU ESGOTO, DIÂMETRO DE 450 MM, JUNTA SOLDADA (NÃO INCLUI A EXECUÇÃO DE SOLDA) - FORNECIMENTO E ASSENTAMENTO. AF_12/2021</v>
          </cell>
          <cell r="D9165" t="str">
            <v>M</v>
          </cell>
          <cell r="E9165">
            <v>0</v>
          </cell>
        </row>
        <row r="9166">
          <cell r="B9166">
            <v>103387</v>
          </cell>
          <cell r="C9166" t="str">
            <v>TUBO PEAD LISO PARA REDE DE ÁGUA OU ESGOTO, DIÂMETRO DE 500 MM, JUNTA SOLDADA (NÃO INCLUI A EXECUÇÃO DE SOLDA) - FORNECIMENTO E ASSENTAMENTO. AF_12/2021</v>
          </cell>
          <cell r="D9166" t="str">
            <v>M</v>
          </cell>
          <cell r="E9166">
            <v>3097.59</v>
          </cell>
          <cell r="F9166">
            <v>0</v>
          </cell>
        </row>
        <row r="9167">
          <cell r="B9167">
            <v>103388</v>
          </cell>
          <cell r="C9167" t="str">
            <v>TUBO PEAD LISO PARA REDE DE ÁGUA OU ESGOTO, DIÂMETRO DE 560 MM, JUNTA SOLDADA (NÃO INCLUI A EXECUÇÃO DE SOLDA) - FORNECIMENTO E ASSENTAMENTO. AF_12/2021</v>
          </cell>
          <cell r="D9167" t="str">
            <v>M</v>
          </cell>
          <cell r="E9167">
            <v>0</v>
          </cell>
        </row>
        <row r="9168">
          <cell r="B9168">
            <v>103374</v>
          </cell>
          <cell r="C9168" t="str">
            <v>TUBO PEAD LISO PARA REDE DE ÁGUA OU ESGOTO, DIÂMETRO DE 63 MM, JUNTA SOLDADA (NÃO INCLUI A EXECUÇÃO DE SOLDA) - FORNECIMENTO E ASSENTAMENTO. AF_12/2021</v>
          </cell>
          <cell r="D9168" t="str">
            <v>M</v>
          </cell>
          <cell r="E9168">
            <v>0</v>
          </cell>
        </row>
        <row r="9169">
          <cell r="B9169">
            <v>103389</v>
          </cell>
          <cell r="C9169" t="str">
            <v>TUBO PEAD LISO PARA REDE DE ÁGUA OU ESGOTO, DIÂMETRO DE 630 MM, JUNTA SOLDADA (NÃO INCLUI A EXECUÇÃO DE SOLDA) - FORNECIMENTO E ASSENTAMENTO. AF_12/2021</v>
          </cell>
          <cell r="D9169" t="str">
            <v>M</v>
          </cell>
          <cell r="E9169">
            <v>4606.57</v>
          </cell>
          <cell r="F9169">
            <v>0</v>
          </cell>
        </row>
        <row r="9170">
          <cell r="B9170">
            <v>103390</v>
          </cell>
          <cell r="C9170" t="str">
            <v>TUBO PEAD LISO PARA REDE DE ÁGUA OU ESGOTO, DIÂMETRO DE 710 MM, JUNTA SOLDADA (NÃO INCLUI A EXECUÇÃO DE SOLDA) - FORNECIMENTO E ASSENTAMENTO. AF_12/2021</v>
          </cell>
          <cell r="D9170" t="str">
            <v>M</v>
          </cell>
          <cell r="E9170">
            <v>0</v>
          </cell>
        </row>
        <row r="9171">
          <cell r="B9171">
            <v>103391</v>
          </cell>
          <cell r="C9171" t="str">
            <v>TUBO PEAD LISO PARA REDE DE ÁGUA OU ESGOTO, DIÂMETRO DE 800 MM, JUNTA SOLDADA (NÃO INCLUI A EXECUÇÃO DE SOLDA) - FORNECIMENTO E ASSENTAMENTO. AF_12/2021</v>
          </cell>
          <cell r="D9171" t="str">
            <v>M</v>
          </cell>
          <cell r="E9171">
            <v>3037.43</v>
          </cell>
          <cell r="F9171">
            <v>0</v>
          </cell>
        </row>
        <row r="9172">
          <cell r="B9172">
            <v>103375</v>
          </cell>
          <cell r="C9172" t="str">
            <v>TUBO PEAD LISO PARA REDE DE ÁGUA OU ESGOTO, DIÂMETRO DE 90 MM, JUNTA SOLDADA (NÃO INCLUI A EXECUÇÃO DE SOLDA) - FORNECIMENTO E ASSENTAMENTO. AF_12/2021</v>
          </cell>
          <cell r="D9172" t="str">
            <v>M</v>
          </cell>
          <cell r="E9172">
            <v>0</v>
          </cell>
        </row>
        <row r="9173">
          <cell r="B9173">
            <v>103392</v>
          </cell>
          <cell r="C9173" t="str">
            <v>TUBO PEAD LISO PARA REDE DE ÁGUA OU ESGOTO, DIÂMETRO DE 900 MM, JUNTA SOLDADA (NÃO INCLUI A EXECUÇÃO DE SOLDA) - FORNECIMENTO E ASSENTAMENTO. AF_12/2021</v>
          </cell>
          <cell r="D9173" t="str">
            <v>M</v>
          </cell>
          <cell r="E9173">
            <v>4962.24</v>
          </cell>
          <cell r="F9173">
            <v>0</v>
          </cell>
        </row>
        <row r="9174">
          <cell r="B9174">
            <v>103440</v>
          </cell>
          <cell r="C9174" t="str">
            <v>TÊ DE SERVIÇO, EM PEAD LISO PARA REDE DE ÁGUA OU ESGOTO, DIÂMETRO DE 200 X 20 MM, JUNTA SOLDADA POR ELETROFUSÃO (NÃO INCLUI A EXECUÇÃO DE SOLDA). AF_12/2021</v>
          </cell>
          <cell r="D9174" t="str">
            <v>UN</v>
          </cell>
          <cell r="E9174">
            <v>449.83</v>
          </cell>
          <cell r="F9174">
            <v>0</v>
          </cell>
        </row>
        <row r="9175">
          <cell r="B9175">
            <v>103441</v>
          </cell>
          <cell r="C9175" t="str">
            <v>TÊ DE SERVIÇO, EM PEAD LISO PARA REDE DE ÁGUA OU ESGOTO, DIÂMETRO DE 200 X 32 MM, JUNTA SOLDADA POR ELETROFUSÃO (NÃO INCLUI A EXECUÇÃO DE SOLDA). AF_12/2021</v>
          </cell>
          <cell r="D9175" t="str">
            <v>UN</v>
          </cell>
          <cell r="E9175">
            <v>455.16</v>
          </cell>
          <cell r="F9175">
            <v>0</v>
          </cell>
        </row>
        <row r="9176">
          <cell r="B9176">
            <v>103442</v>
          </cell>
          <cell r="C9176" t="str">
            <v>TÊ DE SERVIÇO, EM PEAD LISO PARA REDE DE ÁGUA OU ESGOTO, DIÂMETRO DE 200 X 63 MM, JUNTA SOLDADA POR ELETROFUSÃO (NÃO INCLUI A EXECUÇÃO DE SOLDA). AF_12/2021</v>
          </cell>
          <cell r="D9176" t="str">
            <v>UN</v>
          </cell>
          <cell r="E9176">
            <v>583.80999999999995</v>
          </cell>
          <cell r="F9176">
            <v>0</v>
          </cell>
        </row>
        <row r="9177">
          <cell r="B9177">
            <v>103437</v>
          </cell>
          <cell r="C9177" t="str">
            <v>TÊ DE SERVIÇO, EM PEAD LISO PARA REDE DE ÁGUA OU ESGOTO, DIÂMETRO DE 63 X 20 MM, JUNTA SOLDADA POR ELETROFUSÃO (NÃO INCLUI A EXECUÇÃO DE SOLDA). AF_12/2021</v>
          </cell>
          <cell r="D9177" t="str">
            <v>UN</v>
          </cell>
          <cell r="E9177">
            <v>195.31</v>
          </cell>
          <cell r="F9177">
            <v>0</v>
          </cell>
        </row>
        <row r="9178">
          <cell r="B9178">
            <v>103438</v>
          </cell>
          <cell r="C9178" t="str">
            <v>TÊ DE SERVIÇO, EM PEAD LISO PARA REDE DE ÁGUA OU ESGOTO, DIÂMETRO DE 63 X 32 MM, JUNTA SOLDADA POR ELETROFUSÃO (NÃO INCLUI A EXECUÇÃO DE SOLDA). AF_12/2021</v>
          </cell>
          <cell r="D9178" t="str">
            <v>UN</v>
          </cell>
          <cell r="E9178">
            <v>195.31</v>
          </cell>
          <cell r="F9178">
            <v>0</v>
          </cell>
        </row>
        <row r="9179">
          <cell r="B9179">
            <v>103439</v>
          </cell>
          <cell r="C9179" t="str">
            <v>TÊ DE SERVIÇO, EM PEAD LISO PARA REDE DE ÁGUA OU ESGOTO, DIÂMETRO DE 63 X 63 MM, JUNTA SOLDADA POR ELETROFUSÃO (NÃO INCLUI A EXECUÇÃO DE SOLDA). AF_12/2021</v>
          </cell>
          <cell r="D9179" t="str">
            <v>UN</v>
          </cell>
          <cell r="E9179">
            <v>228.22</v>
          </cell>
          <cell r="F9179">
            <v>0</v>
          </cell>
        </row>
        <row r="9180">
          <cell r="B9180">
            <v>106122</v>
          </cell>
          <cell r="C9180" t="str">
            <v>REMOÇÃO DE ENTULHO CLASSE A (ALVENARIA, CONCRETO, ARGAMASSAS E CERÂMICOS) POR DUTO DE ENTULHO E ACONDICIONAMENTO FINAL EM CAÇAMBA ESTACIONÁRIA. EXCLUSO FRETE. AF_09/2025</v>
          </cell>
          <cell r="D9180" t="str">
            <v>M3</v>
          </cell>
          <cell r="E9180">
            <v>106.44</v>
          </cell>
          <cell r="F9180">
            <v>0</v>
          </cell>
        </row>
        <row r="9181">
          <cell r="B9181">
            <v>106131</v>
          </cell>
          <cell r="C9181" t="str">
            <v>REMOÇÃO DE ENTULHO CLASSE B (BALDES VAZIOS NÃO CONTAMINADOS DE 29 LITROS) TRANSPORTADAS POR CREMALHEIRA. ACONDICIONAMENTO FINAL EM BAIAS. EXCLUSO FRETE. AF_09/2025</v>
          </cell>
          <cell r="D9181" t="str">
            <v>M3</v>
          </cell>
          <cell r="E9181">
            <v>159.05000000000001</v>
          </cell>
          <cell r="F9181">
            <v>0</v>
          </cell>
        </row>
        <row r="9182">
          <cell r="B9182">
            <v>106127</v>
          </cell>
          <cell r="C9182" t="str">
            <v>REMOÇÃO DE ENTULHO CLASSE B (FRAGMENTOS DE MADEIRA) TRANSPORTADOS POR CREMALHEIRA. ACONDICIONAMENTO FINAL CAÇAMBA ESTACIONÁRIA. EXCLUSO FRETE. AF_09/2025</v>
          </cell>
          <cell r="D9182" t="str">
            <v>M3</v>
          </cell>
          <cell r="E9182">
            <v>143.19</v>
          </cell>
          <cell r="F9182">
            <v>0</v>
          </cell>
        </row>
        <row r="9183">
          <cell r="B9183">
            <v>106126</v>
          </cell>
          <cell r="C9183" t="str">
            <v>REMOÇÃO DE ENTULHO CLASSE B (FRAGMENTOS DE MADEIRA) TRANSPORTADOS POR GRUA. ACONDICIONAMENTO FINAL CAÇAMBA ESTACIONÁRIA. EXCLUSO FRETE. AF_09/2025</v>
          </cell>
          <cell r="D9183" t="str">
            <v>M3</v>
          </cell>
          <cell r="E9183">
            <v>63.25</v>
          </cell>
          <cell r="F9183">
            <v>0</v>
          </cell>
        </row>
        <row r="9184">
          <cell r="B9184">
            <v>106128</v>
          </cell>
          <cell r="C9184" t="str">
            <v>REMOÇÃO DE ENTULHO CLASSE B (FRAGMENTOS E RESÍDUOS DE GESSO) TRANSPORTADOS POR CREMALHEIRA. ACONDICIONAMENTO FINAL CAÇAMBA ESTACIONÁRIA. EXCLUSO FRETE. AF_09/2025</v>
          </cell>
          <cell r="D9184" t="str">
            <v>M3</v>
          </cell>
          <cell r="E9184">
            <v>235.56</v>
          </cell>
          <cell r="F9184">
            <v>0</v>
          </cell>
        </row>
        <row r="9185">
          <cell r="B9185">
            <v>106130</v>
          </cell>
          <cell r="C9185" t="str">
            <v>REMOÇÃO DE ENTULHO CLASSE B (LATAS OU BALDES VAZIOS NÃO CONTAMINADOS DE 18 LITROS) TRANSPORTADAS POR CREMALHEIRA. ACONDICIONAMENTO FINAL EM BAIAS. EXCLUSO FRETE. AF_09/2025</v>
          </cell>
          <cell r="D9185" t="str">
            <v>M3</v>
          </cell>
          <cell r="E9185">
            <v>180.13</v>
          </cell>
          <cell r="F9185">
            <v>0</v>
          </cell>
        </row>
        <row r="9186">
          <cell r="B9186">
            <v>106129</v>
          </cell>
          <cell r="C9186" t="str">
            <v>REMOÇÃO DE ENTULHO CLASSE B (PEÇAS MAIORES DE GESSO ACARTONADO) TRANSPORTADOS POR CREMALHEIRA. ACONDICIONAMENTO FINAL CAÇAMBA ESTACIONÁRIA. EXCLUSO FRETE. AF_09/2025</v>
          </cell>
          <cell r="D9186" t="str">
            <v>M3</v>
          </cell>
          <cell r="E9186">
            <v>94.69</v>
          </cell>
          <cell r="F9186">
            <v>0</v>
          </cell>
        </row>
        <row r="9187">
          <cell r="B9187">
            <v>106125</v>
          </cell>
          <cell r="C9187" t="str">
            <v>REMOÇÃO DE ENTULHO CLASSE B (PEÇAS MAIORES DE MADEIRA) TRANSPORTADOS POR CREMALHEIRA. ACONDICIONAMENTO FINAL EM CAIXA ROLL ON/ ROLL OFF. EXCLUSO FRETE. AF_09/2025</v>
          </cell>
          <cell r="D9187" t="str">
            <v>M3</v>
          </cell>
          <cell r="E9187">
            <v>73.2</v>
          </cell>
          <cell r="F9187">
            <v>0</v>
          </cell>
        </row>
        <row r="9188">
          <cell r="B9188">
            <v>106124</v>
          </cell>
          <cell r="C9188" t="str">
            <v>REMOÇÃO DE ENTULHO CLASSE B (PEÇAS MAIORES DE MADEIRA) TRANSPORTADOS POR GRUA. ACONDICIONAMENTO FINAL EM CAIXA ROLL ON/ ROLL OFF. EXCLUSO FRETE. AF_09/2025</v>
          </cell>
          <cell r="D9188" t="str">
            <v>M3</v>
          </cell>
          <cell r="E9188">
            <v>72.930000000000007</v>
          </cell>
          <cell r="F9188">
            <v>0</v>
          </cell>
        </row>
        <row r="9189">
          <cell r="B9189">
            <v>106123</v>
          </cell>
          <cell r="C9189" t="str">
            <v>REMOÇÃO DE ENTULHO CLASSE B (PLASTICO/ PAPEL/ METAL) ARMAZENADO INICIALMENTE EM BOMBONAS E ACONDICIONAMENTO FINAL EM ABRIGOS COBERTOS. EXCLUSO FRETE. AF_09/2025</v>
          </cell>
          <cell r="D9189" t="str">
            <v>M3</v>
          </cell>
          <cell r="E9189">
            <v>236.15</v>
          </cell>
          <cell r="F9189">
            <v>0</v>
          </cell>
        </row>
        <row r="9190">
          <cell r="B9190">
            <v>106445</v>
          </cell>
          <cell r="C9190" t="str">
            <v>RESERVATÓRIO DE CONCRETO PRÉ-FABRICADO, DIÂMETRO IGUAL A 2,5 M E ALTURA TOTAL IGUAL A 10,5 M - FORNECIMENTO E INSTALAÇÃO. AF_12/2025</v>
          </cell>
          <cell r="D9190" t="str">
            <v>UN</v>
          </cell>
          <cell r="E9190">
            <v>0</v>
          </cell>
        </row>
        <row r="9191">
          <cell r="B9191">
            <v>106446</v>
          </cell>
          <cell r="C9191" t="str">
            <v>RESERVATÓRIO DE CONCRETO PRÉ-FABRICADO, DIÂMETRO IGUAL A 2,5 M E ALTURA TOTAL IGUAL A 15,0 M - FORNECIMENTO E INSTALAÇÃO. AF_12/2025</v>
          </cell>
          <cell r="D9191" t="str">
            <v>UN</v>
          </cell>
          <cell r="E9191">
            <v>0</v>
          </cell>
        </row>
        <row r="9192">
          <cell r="B9192">
            <v>106447</v>
          </cell>
          <cell r="C9192" t="str">
            <v>RESERVATÓRIO DE CONCRETO PRÉ-FABRICADO, DIÂMETRO IGUAL A 2,5 M E ALTURA TOTAL IGUAL A 20,0 M - FORNECIMENTO E INSTALAÇÃO. AF_12/2025</v>
          </cell>
          <cell r="D9192" t="str">
            <v>UN</v>
          </cell>
          <cell r="E9192">
            <v>0</v>
          </cell>
        </row>
        <row r="9193">
          <cell r="B9193">
            <v>106448</v>
          </cell>
          <cell r="C9193" t="str">
            <v>RESERVATÓRIO DE CONCRETO PRÉ-FABRICADO, DIÂMETRO IGUAL A 2,5 M E ALTURA TOTAL IGUAL A 25,0 M - FORNECIMENTO E INSTALAÇÃO. AF_12/2025</v>
          </cell>
          <cell r="D9193" t="str">
            <v>UN</v>
          </cell>
          <cell r="E9193">
            <v>0</v>
          </cell>
        </row>
        <row r="9194">
          <cell r="B9194">
            <v>106449</v>
          </cell>
          <cell r="C9194" t="str">
            <v>RESERVATÓRIO DE CONCRETO PRÉ-FABRICADO, DIÂMETRO IGUAL A 2,5 M E ALTURA TOTAL IGUAL A 30,5 M - FORNECIMENTO E INSTALAÇÃO. AF_12/2025</v>
          </cell>
          <cell r="D9194" t="str">
            <v>UN</v>
          </cell>
          <cell r="E9194">
            <v>0</v>
          </cell>
        </row>
        <row r="9195">
          <cell r="B9195">
            <v>106455</v>
          </cell>
          <cell r="C9195" t="str">
            <v>RESERVATÓRIO DE CONCRETO PRÉ-FABRICADO, DIÂMETRO IGUAL A 2,5 M E ALTURA TOTAL MENOR OU IGUAL A 30,5 M - SOMENTE INSTALAÇÃO, SEM FORNECIMENTO. AF_12/2025</v>
          </cell>
          <cell r="D9195" t="str">
            <v>M</v>
          </cell>
          <cell r="E9195">
            <v>1215.31</v>
          </cell>
          <cell r="F9195">
            <v>0</v>
          </cell>
        </row>
        <row r="9196">
          <cell r="B9196">
            <v>106450</v>
          </cell>
          <cell r="C9196" t="str">
            <v>RESERVATÓRIO DE CONCRETO PRÉ-FABRICADO, DIÂMETRO IGUAL A 3,0 M E ALTURA TOTAL IGUAL A 10,5 M - FORNECIMENTO E INSTALAÇÃO. AF_12/2025</v>
          </cell>
          <cell r="D9196" t="str">
            <v>UN</v>
          </cell>
          <cell r="E9196">
            <v>0</v>
          </cell>
        </row>
        <row r="9197">
          <cell r="B9197">
            <v>106451</v>
          </cell>
          <cell r="C9197" t="str">
            <v>RESERVATÓRIO DE CONCRETO PRÉ-FABRICADO, DIÂMETRO IGUAL A 3,0 M E ALTURA TOTAL IGUAL A 15,0 M - FORNECIMENTO E INSTALAÇÃO. AF_12/2025</v>
          </cell>
          <cell r="D9197" t="str">
            <v>UN</v>
          </cell>
          <cell r="E9197">
            <v>0</v>
          </cell>
        </row>
        <row r="9198">
          <cell r="B9198">
            <v>106452</v>
          </cell>
          <cell r="C9198" t="str">
            <v>RESERVATÓRIO DE CONCRETO PRÉ-FABRICADO, DIÂMETRO IGUAL A 3,0 M E ALTURA TOTAL IGUAL A 20,0 M - FORNECIMENTO E INSTALAÇÃO. AF_12/2025</v>
          </cell>
          <cell r="D9198" t="str">
            <v>UN</v>
          </cell>
          <cell r="E9198">
            <v>0</v>
          </cell>
        </row>
        <row r="9199">
          <cell r="B9199">
            <v>106453</v>
          </cell>
          <cell r="C9199" t="str">
            <v>RESERVATÓRIO DE CONCRETO PRÉ-FABRICADO, DIÂMETRO IGUAL A 3,0 M E ALTURA TOTAL IGUAL A 25,0 M - FORNECIMENTO E INSTALAÇÃO. AF_12/2025</v>
          </cell>
          <cell r="D9199" t="str">
            <v>UN</v>
          </cell>
          <cell r="E9199">
            <v>0</v>
          </cell>
        </row>
        <row r="9200">
          <cell r="B9200">
            <v>106454</v>
          </cell>
          <cell r="C9200" t="str">
            <v>RESERVATÓRIO DE CONCRETO PRÉ-FABRICADO, DIÂMETRO IGUAL A 3,0 M E ALTURA TOTAL IGUAL A 30,5 M - FORNECIMENTO E INSTALAÇÃO. AF_12/2025</v>
          </cell>
          <cell r="D9200" t="str">
            <v>UN</v>
          </cell>
          <cell r="E9200">
            <v>0</v>
          </cell>
        </row>
        <row r="9201">
          <cell r="B9201">
            <v>106456</v>
          </cell>
          <cell r="C9201" t="str">
            <v>RESERVATÓRIO DE CONCRETO PRÉ-FABRICADO, DIÂMETRO IGUAL A 3,0 M E ALTURA TOTAL MENOR OU IGUAL A 30,5 M - SOMENTE INSTALAÇÃO, SEM FORNECIMENTO. AF_12/2025</v>
          </cell>
          <cell r="D9201" t="str">
            <v>M</v>
          </cell>
          <cell r="E9201">
            <v>1370.32</v>
          </cell>
          <cell r="F9201">
            <v>0</v>
          </cell>
        </row>
        <row r="9202">
          <cell r="B9202">
            <v>106426</v>
          </cell>
          <cell r="C9202" t="str">
            <v>RESERVATÓRIO METÁLICO, TIPO TAÇA COM COLUNA SECA E CAPACIDADE IGUAL A 10.000 L - FORNECIMENTO E INSTALAÇÃO. AF_12/2025</v>
          </cell>
          <cell r="D9202" t="str">
            <v>UN</v>
          </cell>
          <cell r="E9202">
            <v>0</v>
          </cell>
        </row>
        <row r="9203">
          <cell r="B9203">
            <v>106442</v>
          </cell>
          <cell r="C9203" t="str">
            <v>RESERVATÓRIO METÁLICO, TIPO TAÇA COM COLUNA SECA E CAPACIDADE IGUAL A 100.000 L - FORNECIMENTO E INSTALAÇÃO. AF_12/2025</v>
          </cell>
          <cell r="D9203" t="str">
            <v>UN</v>
          </cell>
          <cell r="E9203">
            <v>0</v>
          </cell>
        </row>
        <row r="9204">
          <cell r="B9204">
            <v>106427</v>
          </cell>
          <cell r="C9204" t="str">
            <v>RESERVATÓRIO METÁLICO, TIPO TAÇA COM COLUNA SECA E CAPACIDADE IGUAL A 15.000 L - FORNECIMENTO E INSTALAÇÃO. AF_12/2025</v>
          </cell>
          <cell r="D9204" t="str">
            <v>UN</v>
          </cell>
          <cell r="E9204">
            <v>0</v>
          </cell>
        </row>
        <row r="9205">
          <cell r="B9205">
            <v>106428</v>
          </cell>
          <cell r="C9205" t="str">
            <v>RESERVATÓRIO METÁLICO, TIPO TAÇA COM COLUNA SECA E CAPACIDADE IGUAL A 20.000 L - FORNECIMENTO E INSTALAÇÃO. AF_12/2025</v>
          </cell>
          <cell r="D9205" t="str">
            <v>UN</v>
          </cell>
          <cell r="E9205">
            <v>0</v>
          </cell>
        </row>
        <row r="9206">
          <cell r="B9206">
            <v>106429</v>
          </cell>
          <cell r="C9206" t="str">
            <v>RESERVATÓRIO METÁLICO, TIPO TAÇA COM COLUNA SECA E CAPACIDADE IGUAL A 30.000 L - FORNECIMENTO E INSTALAÇÃO. AF_12/2025</v>
          </cell>
          <cell r="D9206" t="str">
            <v>UN</v>
          </cell>
          <cell r="E9206">
            <v>0</v>
          </cell>
        </row>
        <row r="9207">
          <cell r="B9207">
            <v>106430</v>
          </cell>
          <cell r="C9207" t="str">
            <v>RESERVATÓRIO METÁLICO, TIPO TAÇA COM COLUNA SECA E CAPACIDADE IGUAL A 40.000 L - FORNECIMENTO E INSTALAÇÃO. AF_12/2025</v>
          </cell>
          <cell r="D9207" t="str">
            <v>UN</v>
          </cell>
          <cell r="E9207">
            <v>0</v>
          </cell>
        </row>
        <row r="9208">
          <cell r="B9208">
            <v>106425</v>
          </cell>
          <cell r="C9208" t="str">
            <v>RESERVATÓRIO METÁLICO, TIPO TAÇA COM COLUNA SECA E CAPACIDADE IGUAL A 5.000 L - FORNECIMENTO E INSTALAÇÃO. AF_12/2025</v>
          </cell>
          <cell r="D9208" t="str">
            <v>UN</v>
          </cell>
          <cell r="E9208">
            <v>0</v>
          </cell>
        </row>
        <row r="9209">
          <cell r="B9209">
            <v>106431</v>
          </cell>
          <cell r="C9209" t="str">
            <v>RESERVATÓRIO METÁLICO, TIPO TAÇA COM COLUNA SECA E CAPACIDADE IGUAL A 50.000 L - FORNECIMENTO E INSTALAÇÃO. AF_12/2025</v>
          </cell>
          <cell r="D9209" t="str">
            <v>UN</v>
          </cell>
          <cell r="E9209">
            <v>0</v>
          </cell>
        </row>
        <row r="9210">
          <cell r="B9210">
            <v>106441</v>
          </cell>
          <cell r="C9210" t="str">
            <v>RESERVATÓRIO METÁLICO, TIPO TAÇA COM COLUNA SECA E CAPACIDADE IGUAL A 75.000 L - FORNECIMENTO E INSTALAÇÃO. AF_12/2025</v>
          </cell>
          <cell r="D9210" t="str">
            <v>UN</v>
          </cell>
          <cell r="E9210">
            <v>0</v>
          </cell>
        </row>
        <row r="9211">
          <cell r="B9211">
            <v>106433</v>
          </cell>
          <cell r="C9211" t="str">
            <v>RESERVATÓRIO METÁLICO, TIPO TAÇA COM ÁGUA NA COLUNA E CAPACIDADE IGUAL A 10.000 L - FORNECIMENTO E INSTALAÇÃO. AF_12/2025</v>
          </cell>
          <cell r="D9211" t="str">
            <v>UN</v>
          </cell>
          <cell r="E9211">
            <v>0</v>
          </cell>
        </row>
        <row r="9212">
          <cell r="B9212">
            <v>106444</v>
          </cell>
          <cell r="C9212" t="str">
            <v>RESERVATÓRIO METÁLICO, TIPO TAÇA COM ÁGUA NA COLUNA E CAPACIDADE IGUAL A 100.000 L - FORNECIMENTO E INSTALAÇÃO. AF_12/2025</v>
          </cell>
          <cell r="D9212" t="str">
            <v>UN</v>
          </cell>
          <cell r="E9212">
            <v>0</v>
          </cell>
        </row>
        <row r="9213">
          <cell r="B9213">
            <v>106434</v>
          </cell>
          <cell r="C9213" t="str">
            <v>RESERVATÓRIO METÁLICO, TIPO TAÇA COM ÁGUA NA COLUNA E CAPACIDADE IGUAL A 15.000 L - FORNECIMENTO E INSTALAÇÃO. AF_12/2025</v>
          </cell>
          <cell r="D9213" t="str">
            <v>UN</v>
          </cell>
          <cell r="E9213">
            <v>0</v>
          </cell>
        </row>
        <row r="9214">
          <cell r="B9214">
            <v>106435</v>
          </cell>
          <cell r="C9214" t="str">
            <v>RESERVATÓRIO METÁLICO, TIPO TAÇA COM ÁGUA NA COLUNA E CAPACIDADE IGUAL A 20.000 L - FORNECIMENTO E INSTALAÇÃO. AF_12/2025</v>
          </cell>
          <cell r="D9214" t="str">
            <v>UN</v>
          </cell>
          <cell r="E9214">
            <v>0</v>
          </cell>
        </row>
        <row r="9215">
          <cell r="B9215">
            <v>106436</v>
          </cell>
          <cell r="C9215" t="str">
            <v>RESERVATÓRIO METÁLICO, TIPO TAÇA COM ÁGUA NA COLUNA E CAPACIDADE IGUAL A 30.000 L - FORNECIMENTO E INSTALAÇÃO. AF_12/2025</v>
          </cell>
          <cell r="D9215" t="str">
            <v>UN</v>
          </cell>
          <cell r="E9215">
            <v>0</v>
          </cell>
        </row>
        <row r="9216">
          <cell r="B9216">
            <v>106437</v>
          </cell>
          <cell r="C9216" t="str">
            <v>RESERVATÓRIO METÁLICO, TIPO TAÇA COM ÁGUA NA COLUNA E CAPACIDADE IGUAL A 40.000 L - FORNECIMENTO E INSTALAÇÃO. AF_12/2025</v>
          </cell>
          <cell r="D9216" t="str">
            <v>UN</v>
          </cell>
          <cell r="E9216">
            <v>0</v>
          </cell>
        </row>
        <row r="9217">
          <cell r="B9217">
            <v>106432</v>
          </cell>
          <cell r="C9217" t="str">
            <v>RESERVATÓRIO METÁLICO, TIPO TAÇA COM ÁGUA NA COLUNA E CAPACIDADE IGUAL A 5.000 L - FORNECIMENTO E INSTALAÇÃO. AF_12/2025</v>
          </cell>
          <cell r="D9217" t="str">
            <v>UN</v>
          </cell>
          <cell r="E9217">
            <v>0</v>
          </cell>
        </row>
        <row r="9218">
          <cell r="B9218">
            <v>106438</v>
          </cell>
          <cell r="C9218" t="str">
            <v>RESERVATÓRIO METÁLICO, TIPO TAÇA COM ÁGUA NA COLUNA E CAPACIDADE IGUAL A 50.000 L - FORNECIMENTO E INSTALAÇÃO. AF_12/2025</v>
          </cell>
          <cell r="D9218" t="str">
            <v>UN</v>
          </cell>
          <cell r="E9218">
            <v>0</v>
          </cell>
        </row>
        <row r="9219">
          <cell r="B9219">
            <v>106443</v>
          </cell>
          <cell r="C9219" t="str">
            <v>RESERVATÓRIO METÁLICO, TIPO TAÇA COM ÁGUA NA COLUNA E CAPACIDADE IGUAL A 75.000 L - FORNECIMENTO E INSTALAÇÃO. AF_12/2025</v>
          </cell>
          <cell r="D9219" t="str">
            <v>UN</v>
          </cell>
          <cell r="E9219">
            <v>0</v>
          </cell>
        </row>
        <row r="9220">
          <cell r="B9220">
            <v>106419</v>
          </cell>
          <cell r="C9220" t="str">
            <v>RESERVATÓRIO METÁLICO, TIPO TUBULAR E CAPACIDADE IGUAL A 10.000 L - FORNECIMENTO E INSTALAÇÃO. AF_12/2025</v>
          </cell>
          <cell r="D9220" t="str">
            <v>UN</v>
          </cell>
          <cell r="E9220">
            <v>0</v>
          </cell>
        </row>
        <row r="9221">
          <cell r="B9221">
            <v>106440</v>
          </cell>
          <cell r="C9221" t="str">
            <v>RESERVATÓRIO METÁLICO, TIPO TUBULAR E CAPACIDADE IGUAL A 100.000 L - FORNECIMENTO E INSTALAÇÃO. AF_12/2025</v>
          </cell>
          <cell r="D9221" t="str">
            <v>UN</v>
          </cell>
          <cell r="E9221">
            <v>0</v>
          </cell>
        </row>
        <row r="9222">
          <cell r="B9222">
            <v>106420</v>
          </cell>
          <cell r="C9222" t="str">
            <v>RESERVATÓRIO METÁLICO, TIPO TUBULAR E CAPACIDADE IGUAL A 15.000 L - FORNECIMENTO E INSTALAÇÃO. AF_12/2025</v>
          </cell>
          <cell r="D9222" t="str">
            <v>UN</v>
          </cell>
          <cell r="E9222">
            <v>0</v>
          </cell>
        </row>
        <row r="9223">
          <cell r="B9223">
            <v>106421</v>
          </cell>
          <cell r="C9223" t="str">
            <v>RESERVATÓRIO METÁLICO, TIPO TUBULAR E CAPACIDADE IGUAL A 20.000 L - FORNECIMENTO E INSTALAÇÃO. AF_12/2025</v>
          </cell>
          <cell r="D9223" t="str">
            <v>UN</v>
          </cell>
          <cell r="E9223">
            <v>0</v>
          </cell>
        </row>
        <row r="9224">
          <cell r="B9224">
            <v>106422</v>
          </cell>
          <cell r="C9224" t="str">
            <v>RESERVATÓRIO METÁLICO, TIPO TUBULAR E CAPACIDADE IGUAL A 30.000 L - FORNECIMENTO E INSTALAÇÃO. AF_12/2025</v>
          </cell>
          <cell r="D9224" t="str">
            <v>UN</v>
          </cell>
          <cell r="E9224">
            <v>0</v>
          </cell>
        </row>
        <row r="9225">
          <cell r="B9225">
            <v>106423</v>
          </cell>
          <cell r="C9225" t="str">
            <v>RESERVATÓRIO METÁLICO, TIPO TUBULAR E CAPACIDADE IGUAL A 40.000 L - FORNECIMENTO E INSTALAÇÃO. AF_12/2025</v>
          </cell>
          <cell r="D9225" t="str">
            <v>UN</v>
          </cell>
          <cell r="E9225">
            <v>0</v>
          </cell>
        </row>
        <row r="9226">
          <cell r="B9226">
            <v>106418</v>
          </cell>
          <cell r="C9226" t="str">
            <v>RESERVATÓRIO METÁLICO, TIPO TUBULAR E CAPACIDADE IGUAL A 5.000 L - FORNECIMENTO E INSTALAÇÃO. AF_12/2025</v>
          </cell>
          <cell r="D9226" t="str">
            <v>UN</v>
          </cell>
          <cell r="E9226">
            <v>0</v>
          </cell>
        </row>
        <row r="9227">
          <cell r="B9227">
            <v>106424</v>
          </cell>
          <cell r="C9227" t="str">
            <v>RESERVATÓRIO METÁLICO, TIPO TUBULAR E CAPACIDADE IGUAL A 50.000 L - FORNECIMENTO E INSTALAÇÃO. AF_12/2025</v>
          </cell>
          <cell r="D9227" t="str">
            <v>UN</v>
          </cell>
          <cell r="E9227">
            <v>0</v>
          </cell>
        </row>
        <row r="9228">
          <cell r="B9228">
            <v>106439</v>
          </cell>
          <cell r="C9228" t="str">
            <v>RESERVATÓRIO METÁLICO, TIPO TUBULAR E CAPACIDADE IGUAL A 75.000 L - FORNECIMENTO E INSTALAÇÃO. AF_12/2025</v>
          </cell>
          <cell r="D9228" t="str">
            <v>UN</v>
          </cell>
          <cell r="E9228">
            <v>0</v>
          </cell>
        </row>
        <row r="9229">
          <cell r="B9229">
            <v>88789</v>
          </cell>
          <cell r="C9229" t="str">
            <v>REVESTIMENTO CERÂMICO PARA PAREDES EXTERNAS EM PASTILHAS DE PORCELANA 2,5 X 2,5 CM (PLACAS DE 30 X 30 CM), ALINHADAS A PRUMO, APLICADO EM SUPERFÍCIES INTERNAS DE SACADA. AF_02/2023</v>
          </cell>
          <cell r="D9229" t="str">
            <v>M2</v>
          </cell>
          <cell r="E9229">
            <v>406.08</v>
          </cell>
          <cell r="F9229">
            <v>0</v>
          </cell>
        </row>
        <row r="9230">
          <cell r="B9230">
            <v>88788</v>
          </cell>
          <cell r="C9230" t="str">
            <v>REVESTIMENTO CERÂMICO PARA PAREDES EXTERNAS EM PASTILHAS DE PORCELANA 2,5 X 2,5 CM (PLACAS DE 30 X 30 CM), ALINHADAS A PRUMO. AF_02/2023</v>
          </cell>
          <cell r="D9230" t="str">
            <v>M2</v>
          </cell>
          <cell r="E9230">
            <v>339.31</v>
          </cell>
          <cell r="F9230">
            <v>0</v>
          </cell>
        </row>
        <row r="9231">
          <cell r="B9231">
            <v>87245</v>
          </cell>
          <cell r="C9231" t="str">
            <v>REVESTIMENTO CERÂMICO PARA PAREDES EXTERNAS EM PASTILHAS DE PORCELANA 5 X 5 CM (PLACAS DE 30 X 30 CM), ALINHADAS A PRUMO, APLICADO EM SUPERFÍCIES INTERNAS DE SACADA. AF_02/2023</v>
          </cell>
          <cell r="D9231" t="str">
            <v>M2</v>
          </cell>
          <cell r="E9231">
            <v>315.22000000000003</v>
          </cell>
          <cell r="F9231">
            <v>0</v>
          </cell>
        </row>
        <row r="9232">
          <cell r="B9232">
            <v>87244</v>
          </cell>
          <cell r="C9232" t="str">
            <v>REVESTIMENTO CERÂMICO PARA PAREDES EXTERNAS EM PASTILHAS DE PORCELANA 5 X 5 CM (PLACAS DE 30 X 30 CM), ALINHADAS A PRUMO. AF_02/2023</v>
          </cell>
          <cell r="D9232" t="str">
            <v>M2</v>
          </cell>
          <cell r="E9232">
            <v>263.83</v>
          </cell>
          <cell r="F9232">
            <v>0</v>
          </cell>
        </row>
        <row r="9233">
          <cell r="B9233">
            <v>104589</v>
          </cell>
          <cell r="C9233" t="str">
            <v>REVESTIMENTO CERÂMICO PARA PAREDES EXTERNAS, COM PLACAS TIPO GRÊS OU SEMIGRÊS, FORMATO MENOR OU IGUAL A 200 CM2, ALINHADAS A PRUMO, APLICADO EM SUPERFÍCIES INTERNAS DE SACADA. AF_02/2023</v>
          </cell>
          <cell r="D9233" t="str">
            <v>M2</v>
          </cell>
          <cell r="E9233">
            <v>264.01</v>
          </cell>
          <cell r="F9233">
            <v>0</v>
          </cell>
        </row>
        <row r="9234">
          <cell r="B9234">
            <v>104588</v>
          </cell>
          <cell r="C9234" t="str">
            <v>REVESTIMENTO CERÂMICO PARA PAREDES EXTERNAS, COM PLACAS TIPO GRÊS OU SEMIGRÊS, FORMATO MENOR OU IGUAL A 200 CM2, ALINHADAS A PRUMO. AF_02/2023</v>
          </cell>
          <cell r="D9234" t="str">
            <v>M2</v>
          </cell>
          <cell r="E9234">
            <v>221.53</v>
          </cell>
          <cell r="F9234">
            <v>0</v>
          </cell>
        </row>
        <row r="9235">
          <cell r="B9235">
            <v>104591</v>
          </cell>
          <cell r="C9235" t="str">
            <v>REVESTIMENTO CERÂMICO PARA PAREDES EXTERNAS, COM PLACAS TIPO GRÊS OU SEMIGRÊS, FORMATO MENOR OU IGUAL A 200 CM2, DISPOSTAS EM AMARRAÇÃO, APLICADO EM SUPERFÍCIES INTERNAS DE SACADA. AF_02/2023</v>
          </cell>
          <cell r="D9235" t="str">
            <v>M2</v>
          </cell>
          <cell r="E9235">
            <v>292.02</v>
          </cell>
          <cell r="F9235">
            <v>0</v>
          </cell>
        </row>
        <row r="9236">
          <cell r="B9236">
            <v>104590</v>
          </cell>
          <cell r="C9236" t="str">
            <v>REVESTIMENTO CERÂMICO PARA PAREDES EXTERNAS, COM PLACAS TIPO GRÊS OU SEMIGRÊS, FORMATO MENOR OU IGUAL A 200 CM2, DISPOSTAS EM AMARRAÇÃO. AF_02/2023</v>
          </cell>
          <cell r="D9236" t="str">
            <v>M2</v>
          </cell>
          <cell r="E9236">
            <v>246.88</v>
          </cell>
          <cell r="F9236">
            <v>0</v>
          </cell>
        </row>
        <row r="9237">
          <cell r="B9237">
            <v>87267</v>
          </cell>
          <cell r="C9237" t="str">
            <v>REVESTIMENTO CERÂMICO PARA PAREDES INTERNAS COM PLACAS TIPO ESMALTADA DE DIMENSÕES 20X20 CM APLICADAS A MEIA ALTURA DAS PAREDES. AF_02/2023_PE</v>
          </cell>
          <cell r="D9237" t="str">
            <v>M2</v>
          </cell>
          <cell r="E9237">
            <v>67.569999999999993</v>
          </cell>
          <cell r="F9237">
            <v>0</v>
          </cell>
        </row>
        <row r="9238">
          <cell r="B9238">
            <v>104614</v>
          </cell>
          <cell r="C9238" t="str">
            <v>REVESTIMENTO CERÂMICO PARA PAREDES INTERNAS COM PLACAS TIPO ESMALTADA DE DIMENSÕES 20X20 CM APLICADAS EM DIAGONAL, A MEIA ALTURA DAS PAREDES. AF_02/2023_PE</v>
          </cell>
          <cell r="D9238" t="str">
            <v>M2</v>
          </cell>
          <cell r="E9238">
            <v>73.84</v>
          </cell>
          <cell r="F9238">
            <v>0</v>
          </cell>
        </row>
        <row r="9239">
          <cell r="B9239">
            <v>104613</v>
          </cell>
          <cell r="C9239" t="str">
            <v>REVESTIMENTO CERÂMICO PARA PAREDES INTERNAS COM PLACAS TIPO ESMALTADA DE DIMENSÕES 20X20 CM APLICADAS EM DIAGONAL, NA ALTURA INTEIRA DAS PAREDES. AF_02/2023_PE</v>
          </cell>
          <cell r="D9239" t="str">
            <v>M2</v>
          </cell>
          <cell r="E9239">
            <v>65.25</v>
          </cell>
          <cell r="F9239">
            <v>0</v>
          </cell>
        </row>
        <row r="9240">
          <cell r="B9240">
            <v>87265</v>
          </cell>
          <cell r="C9240" t="str">
            <v>REVESTIMENTO CERÂMICO PARA PAREDES INTERNAS COM PLACAS TIPO ESMALTADA DE DIMENSÕES 20X20 CM APLICADAS NA ALTURA INTEIRA DAS PAREDES. AF_02/2023_PE</v>
          </cell>
          <cell r="D9240" t="str">
            <v>M2</v>
          </cell>
          <cell r="E9240">
            <v>60.95</v>
          </cell>
          <cell r="F9240">
            <v>0</v>
          </cell>
        </row>
        <row r="9241">
          <cell r="B9241">
            <v>87271</v>
          </cell>
          <cell r="C9241" t="str">
            <v>REVESTIMENTO CERÂMICO PARA PAREDES INTERNAS COM PLACAS TIPO ESMALTADA DE DIMENSÕES 25X35 CM APLICADAS A MEIA ALTURA DAS PAREDES. AF_02/2023_PE</v>
          </cell>
          <cell r="D9241" t="str">
            <v>M2</v>
          </cell>
          <cell r="E9241">
            <v>72.58</v>
          </cell>
          <cell r="F9241">
            <v>0</v>
          </cell>
        </row>
        <row r="9242">
          <cell r="B9242">
            <v>87269</v>
          </cell>
          <cell r="C9242" t="str">
            <v>REVESTIMENTO CERÂMICO PARA PAREDES INTERNAS COM PLACAS TIPO ESMALTADA DE DIMENSÕES 25X35 CM APLICADAS NA ALTURA INTEIRA DAS PAREDES. AF_02/2023_PE</v>
          </cell>
          <cell r="D9242" t="str">
            <v>M2</v>
          </cell>
          <cell r="E9242">
            <v>65.88</v>
          </cell>
          <cell r="F9242">
            <v>0</v>
          </cell>
        </row>
        <row r="9243">
          <cell r="B9243">
            <v>87275</v>
          </cell>
          <cell r="C9243" t="str">
            <v>REVESTIMENTO CERÂMICO PARA PAREDES INTERNAS COM PLACAS TIPO ESMALTADA DE DIMENSÕES 33X45 CM APLICADAS A MEIA ALTURA DAS PAREDES. AF_02/2023_PE</v>
          </cell>
          <cell r="D9243" t="str">
            <v>M2</v>
          </cell>
          <cell r="E9243">
            <v>78.28</v>
          </cell>
          <cell r="F9243">
            <v>0</v>
          </cell>
        </row>
        <row r="9244">
          <cell r="B9244">
            <v>87273</v>
          </cell>
          <cell r="C9244" t="str">
            <v>REVESTIMENTO CERÂMICO PARA PAREDES INTERNAS COM PLACAS TIPO ESMALTADA DE DIMENSÕES 33X45 CM APLICADAS NA ALTURA INTEIRA DAS PAREDES. AF_02/2023_PE</v>
          </cell>
          <cell r="D9244" t="str">
            <v>M2</v>
          </cell>
          <cell r="E9244">
            <v>69.459999999999994</v>
          </cell>
          <cell r="F9244">
            <v>0</v>
          </cell>
        </row>
        <row r="9245">
          <cell r="B9245">
            <v>104612</v>
          </cell>
          <cell r="C9245" t="str">
            <v>REVESTIMENTO CERÂMICO PARA PAREDES INTERNAS COM PLACAS TIPO ESMALTADA DE DIMENSÕES 60X60 CM APLICADAS A MEIA ALTURA DAS PAREDES. AF_02/2023_PE</v>
          </cell>
          <cell r="D9245" t="str">
            <v>M2</v>
          </cell>
          <cell r="E9245">
            <v>94.38</v>
          </cell>
          <cell r="F9245">
            <v>0</v>
          </cell>
        </row>
        <row r="9246">
          <cell r="B9246">
            <v>104611</v>
          </cell>
          <cell r="C9246" t="str">
            <v>REVESTIMENTO CERÂMICO PARA PAREDES INTERNAS COM PLACAS TIPO ESMALTADA DE DIMENSÕES 60X60 CM APLICADAS NA ALTURA INTEIRA DAS PAREDES. AF_02/2023_PE</v>
          </cell>
          <cell r="D9246" t="str">
            <v>M2</v>
          </cell>
          <cell r="E9246">
            <v>93.26</v>
          </cell>
          <cell r="F9246">
            <v>0</v>
          </cell>
        </row>
        <row r="9247">
          <cell r="B9247">
            <v>104618</v>
          </cell>
          <cell r="C9247" t="str">
            <v>REVESTIMENTO CERÂMICO PARA PAREDES INTERNAS COM PLACAS TIPO PASTILHA DE DIMENSÕES 2,5 X 2,5 CM (PLACAS DE 30 X 30 CM) CM APLICADAS A MEIA ALTURA DAS PAREDES. AF_02/2023</v>
          </cell>
          <cell r="D9247" t="str">
            <v>M2</v>
          </cell>
          <cell r="E9247">
            <v>351</v>
          </cell>
          <cell r="F9247">
            <v>0</v>
          </cell>
        </row>
        <row r="9248">
          <cell r="B9248">
            <v>104616</v>
          </cell>
          <cell r="C9248" t="str">
            <v>REVESTIMENTO CERÂMICO PARA PAREDES INTERNAS COM PLACAS TIPO PASTILHA DE DIMENSÕES 2,5 X 2,5 CM (PLACAS DE 30 X 30 CM) CM APLICADAS NA ALTURA INTEIRA DAS PAREDES. AF_02/2023</v>
          </cell>
          <cell r="D9248" t="str">
            <v>M2</v>
          </cell>
          <cell r="E9248">
            <v>337.5</v>
          </cell>
          <cell r="F9248">
            <v>0</v>
          </cell>
        </row>
        <row r="9249">
          <cell r="B9249">
            <v>104617</v>
          </cell>
          <cell r="C9249" t="str">
            <v>REVESTIMENTO CERÂMICO PARA PAREDES INTERNAS COM PLACAS TIPO PASTILHA DE DIMENSÕES 5 X 5 CM (PLACAS DE 30 X 30 CM) CM APLICADAS A MEIA ALTURA DAS PAREDES. AF_02/2023</v>
          </cell>
          <cell r="D9249" t="str">
            <v>M2</v>
          </cell>
          <cell r="E9249">
            <v>272.89999999999998</v>
          </cell>
          <cell r="F9249">
            <v>0</v>
          </cell>
        </row>
        <row r="9250">
          <cell r="B9250">
            <v>104615</v>
          </cell>
          <cell r="C9250" t="str">
            <v>REVESTIMENTO CERÂMICO PARA PAREDES INTERNAS COM PLACAS TIPO PASTILHA DE DIMENSÕES 5 X 5 CM (PLACAS DE 30 X 30 CM) CM APLICADAS NA ALTURA INTEIRA DAS PAREDES. AF_02/2023</v>
          </cell>
          <cell r="D9250" t="str">
            <v>M2</v>
          </cell>
          <cell r="E9250">
            <v>259.39999999999998</v>
          </cell>
          <cell r="F9250">
            <v>0</v>
          </cell>
        </row>
        <row r="9251">
          <cell r="B9251">
            <v>87247</v>
          </cell>
          <cell r="C9251" t="str">
            <v>REVESTIMENTO CERÂMICO PARA PISO COM PLACAS TIPO ESMALTADA DE DIMENSÕES 35X35 CM APLICADA EM AMBIENTES DE ÁREA ENTRE 5 M2 E 10 M2. AF_02/2023_PE</v>
          </cell>
          <cell r="D9251" t="str">
            <v>M2</v>
          </cell>
          <cell r="E9251">
            <v>60.25</v>
          </cell>
          <cell r="F9251">
            <v>0</v>
          </cell>
        </row>
        <row r="9252">
          <cell r="B9252">
            <v>87248</v>
          </cell>
          <cell r="C9252" t="str">
            <v>REVESTIMENTO CERÂMICO PARA PISO COM PLACAS TIPO ESMALTADA DE DIMENSÕES 35X35 CM APLICADA EM AMBIENTES DE ÁREA MAIOR QUE 10 M2. AF_02/2023_PE</v>
          </cell>
          <cell r="D9252" t="str">
            <v>M2</v>
          </cell>
          <cell r="E9252">
            <v>50.81</v>
          </cell>
          <cell r="F9252">
            <v>0</v>
          </cell>
        </row>
        <row r="9253">
          <cell r="B9253">
            <v>87246</v>
          </cell>
          <cell r="C9253" t="str">
            <v>REVESTIMENTO CERÂMICO PARA PISO COM PLACAS TIPO ESMALTADA DE DIMENSÕES 35X35 CM APLICADA EM AMBIENTES DE ÁREA MENOR QUE 5 M2. AF_02/2023_PE</v>
          </cell>
          <cell r="D9253" t="str">
            <v>M2</v>
          </cell>
          <cell r="E9253">
            <v>69.03</v>
          </cell>
          <cell r="F9253">
            <v>0</v>
          </cell>
        </row>
        <row r="9254">
          <cell r="B9254">
            <v>104601</v>
          </cell>
          <cell r="C9254" t="str">
            <v>REVESTIMENTO CERÂMICO PARA PISO COM PLACAS TIPO ESMALTADA DE DIMENSÕES 35X35 CM APLICADA EM DIAGONAL EM AMBIENTES DE ÁREA ENTRE 5 M² E 10 M². AF_02/2023_PE</v>
          </cell>
          <cell r="D9254" t="str">
            <v>M2</v>
          </cell>
          <cell r="E9254">
            <v>66.180000000000007</v>
          </cell>
          <cell r="F9254">
            <v>0</v>
          </cell>
        </row>
        <row r="9255">
          <cell r="B9255">
            <v>104603</v>
          </cell>
          <cell r="C9255" t="str">
            <v>REVESTIMENTO CERÂMICO PARA PISO COM PLACAS TIPO ESMALTADA DE DIMENSÕES 35X35 CM APLICADA EM DIAGONAL EM AMBIENTES DE ÁREA MAIOR QUE 10 M². AF_02/2023_PE</v>
          </cell>
          <cell r="D9255" t="str">
            <v>M2</v>
          </cell>
          <cell r="E9255">
            <v>53.77</v>
          </cell>
          <cell r="F9255">
            <v>0</v>
          </cell>
        </row>
        <row r="9256">
          <cell r="B9256">
            <v>104599</v>
          </cell>
          <cell r="C9256" t="str">
            <v>REVESTIMENTO CERÂMICO PARA PISO COM PLACAS TIPO ESMALTADA DE DIMENSÕES 35X35 CM APLICADA EM DIAGONAL EM AMBIENTES DE ÁREA MENOR QUE 5 M². AF_02/2023_PE</v>
          </cell>
          <cell r="D9256" t="str">
            <v>M2</v>
          </cell>
          <cell r="E9256">
            <v>84.72</v>
          </cell>
          <cell r="F9256">
            <v>0</v>
          </cell>
        </row>
        <row r="9257">
          <cell r="B9257">
            <v>87250</v>
          </cell>
          <cell r="C9257" t="str">
            <v>REVESTIMENTO CERÂMICO PARA PISO COM PLACAS TIPO ESMALTADA DE DIMENSÕES 45X45 CM APLICADA EM AMBIENTES DE ÁREA ENTRE 5 M2 E 10 M2. AF_02/2023_PE</v>
          </cell>
          <cell r="D9257" t="str">
            <v>M2</v>
          </cell>
          <cell r="E9257">
            <v>61.89</v>
          </cell>
          <cell r="F9257">
            <v>0</v>
          </cell>
        </row>
        <row r="9258">
          <cell r="B9258">
            <v>87251</v>
          </cell>
          <cell r="C9258" t="str">
            <v>REVESTIMENTO CERÂMICO PARA PISO COM PLACAS TIPO ESMALTADA DE DIMENSÕES 45X45 CM APLICADA EM AMBIENTES DE ÁREA MAIOR QUE 10 M2. AF_02/2023_PE</v>
          </cell>
          <cell r="D9258" t="str">
            <v>M2</v>
          </cell>
          <cell r="E9258">
            <v>51.16</v>
          </cell>
          <cell r="F9258">
            <v>0</v>
          </cell>
        </row>
        <row r="9259">
          <cell r="B9259">
            <v>87249</v>
          </cell>
          <cell r="C9259" t="str">
            <v>REVESTIMENTO CERÂMICO PARA PISO COM PLACAS TIPO ESMALTADA DE DIMENSÕES 45X45 CM APLICADA EM AMBIENTES DE ÁREA MENOR QUE 5 M2. AF_02/2023_PE</v>
          </cell>
          <cell r="D9259" t="str">
            <v>M2</v>
          </cell>
          <cell r="E9259">
            <v>74.77</v>
          </cell>
          <cell r="F9259">
            <v>0</v>
          </cell>
        </row>
        <row r="9260">
          <cell r="B9260">
            <v>104606</v>
          </cell>
          <cell r="C9260" t="str">
            <v>REVESTIMENTO CERÂMICO PARA PISO COM PLACAS TIPO ESMALTADA DE DIMENSÕES 45X45 CM APLICADA EM DIAGONAL EM AMBIENTES DE ÁREA ENTRE 5 M² E 10 M². AF_02/2023_PE</v>
          </cell>
          <cell r="D9260" t="str">
            <v>M2</v>
          </cell>
          <cell r="E9260">
            <v>71.290000000000006</v>
          </cell>
          <cell r="F9260">
            <v>0</v>
          </cell>
        </row>
        <row r="9261">
          <cell r="B9261">
            <v>104607</v>
          </cell>
          <cell r="C9261" t="str">
            <v>REVESTIMENTO CERÂMICO PARA PISO COM PLACAS TIPO ESMALTADA DE DIMENSÕES 45X45 CM APLICADA EM DIAGONAL EM AMBIENTES DE ÁREA MAIOR QUE 10 M². AF_02/2023_PE</v>
          </cell>
          <cell r="D9261" t="str">
            <v>M2</v>
          </cell>
          <cell r="E9261">
            <v>55.35</v>
          </cell>
          <cell r="F9261">
            <v>0</v>
          </cell>
        </row>
        <row r="9262">
          <cell r="B9262">
            <v>104605</v>
          </cell>
          <cell r="C9262" t="str">
            <v>REVESTIMENTO CERÂMICO PARA PISO COM PLACAS TIPO ESMALTADA DE DIMENSÕES 45X45 CM APLICADA EM DIAGONAL EM AMBIENTES DE ÁREA MENOR QUE 5 M². AF_02/2023_PE</v>
          </cell>
          <cell r="D9262" t="str">
            <v>M2</v>
          </cell>
          <cell r="E9262">
            <v>107.98</v>
          </cell>
          <cell r="F9262">
            <v>0</v>
          </cell>
        </row>
        <row r="9263">
          <cell r="B9263">
            <v>87256</v>
          </cell>
          <cell r="C9263" t="str">
            <v>REVESTIMENTO CERÂMICO PARA PISO COM PLACAS TIPO ESMALTADA DE DIMENSÕES 60X60 CM APLICADA EM AMBIENTES DE ÁREA ENTRE 5 M2 E 10 M2. AF_02/2023_PE</v>
          </cell>
          <cell r="D9263" t="str">
            <v>M2</v>
          </cell>
          <cell r="E9263">
            <v>72.06</v>
          </cell>
          <cell r="F9263">
            <v>0</v>
          </cell>
        </row>
        <row r="9264">
          <cell r="B9264">
            <v>87257</v>
          </cell>
          <cell r="C9264" t="str">
            <v>REVESTIMENTO CERÂMICO PARA PISO COM PLACAS TIPO ESMALTADA DE DIMENSÕES 60X60 CM APLICADA EM AMBIENTES DE ÁREA MAIOR QUE 10 M2. AF_02/2023_PE</v>
          </cell>
          <cell r="D9264" t="str">
            <v>M2</v>
          </cell>
          <cell r="E9264">
            <v>60.12</v>
          </cell>
          <cell r="F9264">
            <v>0</v>
          </cell>
        </row>
        <row r="9265">
          <cell r="B9265">
            <v>87255</v>
          </cell>
          <cell r="C9265" t="str">
            <v>REVESTIMENTO CERÂMICO PARA PISO COM PLACAS TIPO ESMALTADA DE DIMENSÕES 60X60 CM APLICADA EM AMBIENTES DE ÁREA MENOR QUE 5 M2. AF_02/2023_PE</v>
          </cell>
          <cell r="D9265" t="str">
            <v>M2</v>
          </cell>
          <cell r="E9265">
            <v>86.07</v>
          </cell>
          <cell r="F9265">
            <v>0</v>
          </cell>
        </row>
        <row r="9266">
          <cell r="B9266">
            <v>104594</v>
          </cell>
          <cell r="C9266" t="str">
            <v>REVESTIMENTO CERÂMICO PARA PISO COM PLACAS TIPO ESMALTADA DE DIMENSÕES 80X80 CM APLICADA EM AMBIENTES DE ÁREA ENTRE 5 M² E 10 M². AF_02/2023_PE</v>
          </cell>
          <cell r="D9266" t="str">
            <v>M2</v>
          </cell>
          <cell r="E9266">
            <v>74.540000000000006</v>
          </cell>
          <cell r="F9266">
            <v>0</v>
          </cell>
        </row>
        <row r="9267">
          <cell r="B9267">
            <v>104595</v>
          </cell>
          <cell r="C9267" t="str">
            <v>REVESTIMENTO CERÂMICO PARA PISO COM PLACAS TIPO ESMALTADA DE DIMENSÕES 80X80 CM APLICADA EM AMBIENTES DE ÁREA MAIOR QUE 10 M². AF_02/2023_PE</v>
          </cell>
          <cell r="D9267" t="str">
            <v>M2</v>
          </cell>
          <cell r="E9267">
            <v>60.66</v>
          </cell>
          <cell r="F9267">
            <v>0</v>
          </cell>
        </row>
        <row r="9268">
          <cell r="B9268">
            <v>104593</v>
          </cell>
          <cell r="C9268" t="str">
            <v>REVESTIMENTO CERÂMICO PARA PISO COM PLACAS TIPO ESMALTADA DE DIMENSÕES 80X80 CM APLICADA EM AMBIENTES DE ÁREA MENOR QUE 5 M². AF_02/2023_PE</v>
          </cell>
          <cell r="D9268" t="str">
            <v>M2</v>
          </cell>
          <cell r="E9268">
            <v>90.14</v>
          </cell>
          <cell r="F9268">
            <v>0</v>
          </cell>
        </row>
        <row r="9269">
          <cell r="B9269">
            <v>87262</v>
          </cell>
          <cell r="C9269" t="str">
            <v>REVESTIMENTO CERÂMICO PARA PISO COM PLACAS TIPO PORCELANATO DE DIMENSÕES 60X60 CM APLICADA EM AMBIENTES DE ÁREA ENTRE 5 M² E 10 M². AF_02/2023_PE</v>
          </cell>
          <cell r="D9269" t="str">
            <v>M2</v>
          </cell>
          <cell r="E9269">
            <v>121.33</v>
          </cell>
          <cell r="F9269">
            <v>0</v>
          </cell>
        </row>
        <row r="9270">
          <cell r="B9270">
            <v>87263</v>
          </cell>
          <cell r="C9270" t="str">
            <v>REVESTIMENTO CERÂMICO PARA PISO COM PLACAS TIPO PORCELANATO DE DIMENSÕES 60X60 CM APLICADA EM AMBIENTES DE ÁREA MAIOR QUE 10 M². AF_02/2023_PE</v>
          </cell>
          <cell r="D9270" t="str">
            <v>M2</v>
          </cell>
          <cell r="E9270">
            <v>108.99</v>
          </cell>
          <cell r="F9270">
            <v>0</v>
          </cell>
        </row>
        <row r="9271">
          <cell r="B9271">
            <v>87261</v>
          </cell>
          <cell r="C9271" t="str">
            <v>REVESTIMENTO CERÂMICO PARA PISO COM PLACAS TIPO PORCELANATO DE DIMENSÕES 60X60 CM APLICADA EM AMBIENTES DE ÁREA MENOR QUE 5 M². AF_02/2023_PE</v>
          </cell>
          <cell r="D9271" t="str">
            <v>M2</v>
          </cell>
          <cell r="E9271">
            <v>136.41</v>
          </cell>
          <cell r="F9271">
            <v>0</v>
          </cell>
        </row>
        <row r="9272">
          <cell r="B9272">
            <v>104597</v>
          </cell>
          <cell r="C9272" t="str">
            <v>REVESTIMENTO CERÂMICO PARA PISO COM PLACAS TIPO PORCELANATO DE DIMENSÕES 80X80 CM APLICADA EM AMBIENTES DE ÁREA ENTRE 5 M² E 10 M². AF_02/2023_PE</v>
          </cell>
          <cell r="D9272" t="str">
            <v>M2</v>
          </cell>
          <cell r="E9272">
            <v>124.14</v>
          </cell>
          <cell r="F9272">
            <v>0</v>
          </cell>
        </row>
        <row r="9273">
          <cell r="B9273">
            <v>104598</v>
          </cell>
          <cell r="C9273" t="str">
            <v>REVESTIMENTO CERÂMICO PARA PISO COM PLACAS TIPO PORCELANATO DE DIMENSÕES 80X80 CM APLICADA EM AMBIENTES DE ÁREA MAIOR QUE 10 M². AF_02/2023_PE</v>
          </cell>
          <cell r="D9273" t="str">
            <v>M2</v>
          </cell>
          <cell r="E9273">
            <v>109.62</v>
          </cell>
          <cell r="F9273">
            <v>0</v>
          </cell>
        </row>
        <row r="9274">
          <cell r="B9274">
            <v>104596</v>
          </cell>
          <cell r="C9274" t="str">
            <v>REVESTIMENTO CERÂMICO PARA PISO COM PLACAS TIPO PORCELANATO DE DIMENSÕES 80X80 CM APLICADA EM AMBIENTES DE ÁREA MENOR QUE 5 M². AF_02/2023_PE</v>
          </cell>
          <cell r="D9274" t="str">
            <v>M2</v>
          </cell>
          <cell r="E9274">
            <v>140.99</v>
          </cell>
          <cell r="F9274">
            <v>0</v>
          </cell>
        </row>
        <row r="9275">
          <cell r="B9275">
            <v>88648</v>
          </cell>
          <cell r="C9275" t="str">
            <v>RODAPÉ CERÂMICO DE 7CM DE ALTURA COM PLACAS TIPO ESMALTADA DE DIMENSÕES 35X35CM. AF_02/2023</v>
          </cell>
          <cell r="D9275" t="str">
            <v>M</v>
          </cell>
          <cell r="E9275">
            <v>7.87</v>
          </cell>
          <cell r="F9275">
            <v>0</v>
          </cell>
        </row>
        <row r="9276">
          <cell r="B9276">
            <v>88649</v>
          </cell>
          <cell r="C9276" t="str">
            <v>RODAPÉ CERÂMICO DE 7CM DE ALTURA COM PLACAS TIPO ESMALTADA DE DIMENSÕES 45X45CM. AF_02/2023</v>
          </cell>
          <cell r="D9276" t="str">
            <v>M</v>
          </cell>
          <cell r="E9276">
            <v>8.7899999999999991</v>
          </cell>
          <cell r="F9276">
            <v>0</v>
          </cell>
        </row>
        <row r="9277">
          <cell r="B9277">
            <v>88650</v>
          </cell>
          <cell r="C9277" t="str">
            <v>RODAPÉ CERÂMICO DE 7CM DE ALTURA COM PLACAS TIPO ESMALTADA DE DIMENSÕES 60X60CM. AF_02/2023</v>
          </cell>
          <cell r="D9277" t="str">
            <v>M</v>
          </cell>
          <cell r="E9277">
            <v>11.62</v>
          </cell>
          <cell r="F9277">
            <v>0</v>
          </cell>
        </row>
        <row r="9278">
          <cell r="B9278">
            <v>104619</v>
          </cell>
          <cell r="C9278" t="str">
            <v>RODAPÉ CERÂMICO DE 7CM DE ALTURA COM PLACAS TIPO ESMALTADA DE DIMENSÕES 80X80CM. AF_02/2023</v>
          </cell>
          <cell r="D9278" t="str">
            <v>M</v>
          </cell>
          <cell r="E9278">
            <v>13.62</v>
          </cell>
          <cell r="F9278">
            <v>0</v>
          </cell>
        </row>
        <row r="9279">
          <cell r="B9279">
            <v>103741</v>
          </cell>
          <cell r="C9279" t="str">
            <v>FORNECIMENTO E INSTALAÇÃO DE BALIZADOR SOBRE ASFALTO. AF_03/2022</v>
          </cell>
          <cell r="D9279" t="str">
            <v>UN</v>
          </cell>
          <cell r="E9279">
            <v>0</v>
          </cell>
        </row>
        <row r="9280">
          <cell r="B9280">
            <v>103755</v>
          </cell>
          <cell r="C9280" t="str">
            <v>FORNECIMENTO E INSTALAÇÃO DE BARREIRA DE CONCRETO PERFIL NEW JERSEY DUPLA - 1070 MM. AF_03/2022</v>
          </cell>
          <cell r="D9280" t="str">
            <v>M</v>
          </cell>
          <cell r="E9280">
            <v>0</v>
          </cell>
        </row>
        <row r="9281">
          <cell r="B9281">
            <v>103753</v>
          </cell>
          <cell r="C9281" t="str">
            <v>FORNECIMENTO E INSTALAÇÃO DE BARREIRA DE CONCRETO PERFIL NEW JERSEY DUPLA - 810 MM. AF_03/2022</v>
          </cell>
          <cell r="D9281" t="str">
            <v>M</v>
          </cell>
          <cell r="E9281">
            <v>0</v>
          </cell>
        </row>
        <row r="9282">
          <cell r="B9282">
            <v>103754</v>
          </cell>
          <cell r="C9282" t="str">
            <v>FORNECIMENTO E INSTALAÇÃO DE BARREIRA DE CONCRETO PERFIL NEW JERSEY SIMPLES - 1070 MM. AF_03/2022</v>
          </cell>
          <cell r="D9282" t="str">
            <v>M</v>
          </cell>
          <cell r="E9282">
            <v>0</v>
          </cell>
        </row>
        <row r="9283">
          <cell r="B9283">
            <v>103752</v>
          </cell>
          <cell r="C9283" t="str">
            <v>FORNECIMENTO E INSTALAÇÃO DE BARREIRA DE CONCRETO PERFIL NEW JERSEY SIMPLES - 810 MM. AF_03/2022</v>
          </cell>
          <cell r="D9283" t="str">
            <v>M</v>
          </cell>
          <cell r="E9283">
            <v>0</v>
          </cell>
        </row>
        <row r="9284">
          <cell r="B9284">
            <v>103759</v>
          </cell>
          <cell r="C9284" t="str">
            <v>FORNECIMENTO E INSTALAÇÃO DE BARREIRA DE CONCRETO PERFIL TIPO F DUPLA - 1070 MM. AF_03/2022</v>
          </cell>
          <cell r="D9284" t="str">
            <v>M</v>
          </cell>
          <cell r="E9284">
            <v>0</v>
          </cell>
        </row>
        <row r="9285">
          <cell r="B9285">
            <v>103757</v>
          </cell>
          <cell r="C9285" t="str">
            <v>FORNECIMENTO E INSTALAÇÃO DE BARREIRA DE CONCRETO PERFIL TIPO F DUPLA - 810 MM. AF_03/2022</v>
          </cell>
          <cell r="D9285" t="str">
            <v>M</v>
          </cell>
          <cell r="E9285">
            <v>0</v>
          </cell>
        </row>
        <row r="9286">
          <cell r="B9286">
            <v>103758</v>
          </cell>
          <cell r="C9286" t="str">
            <v>FORNECIMENTO E INSTALAÇÃO DE BARREIRA DE CONCRETO PERFIL TIPO F SIMPLES - 1070 MM. AF_03/2022</v>
          </cell>
          <cell r="D9286" t="str">
            <v>M</v>
          </cell>
          <cell r="E9286">
            <v>0</v>
          </cell>
        </row>
        <row r="9287">
          <cell r="B9287">
            <v>103756</v>
          </cell>
          <cell r="C9287" t="str">
            <v>FORNECIMENTO E INSTALAÇÃO DE BARREIRA DE CONCRETO PERFIL TIPO F SIMPLES - 810 MM. AF_03/2022</v>
          </cell>
          <cell r="D9287" t="str">
            <v>M</v>
          </cell>
          <cell r="E9287">
            <v>0</v>
          </cell>
        </row>
        <row r="9288">
          <cell r="B9288">
            <v>103734</v>
          </cell>
          <cell r="C9288" t="str">
            <v>FORNECIMENTO E INSTALAÇÃO DE BATE RODAS SOBRE ASFALTO. AF_03/2022</v>
          </cell>
          <cell r="D9288" t="str">
            <v>UN</v>
          </cell>
          <cell r="E9288">
            <v>0</v>
          </cell>
        </row>
        <row r="9289">
          <cell r="B9289">
            <v>103740</v>
          </cell>
          <cell r="C9289" t="str">
            <v>FORNECIMENTO E INSTALAÇÃO DE CALOTA SOBRE ASFALTO. AF_03/2022</v>
          </cell>
          <cell r="D9289" t="str">
            <v>UN</v>
          </cell>
          <cell r="E9289">
            <v>0</v>
          </cell>
        </row>
        <row r="9290">
          <cell r="B9290">
            <v>103747</v>
          </cell>
          <cell r="C9290" t="str">
            <v>FORNECIMENTO E INSTALAÇÃO DE DEFENSA METÁLICA MALEÁVEL DUPLA, SOBRE SOLO. AF_03/2022</v>
          </cell>
          <cell r="D9290" t="str">
            <v>M</v>
          </cell>
          <cell r="E9290">
            <v>0</v>
          </cell>
        </row>
        <row r="9291">
          <cell r="B9291">
            <v>103746</v>
          </cell>
          <cell r="C9291" t="str">
            <v>FORNECIMENTO E INSTALAÇÃO DE DEFENSA METÁLICA MALEÁVEL SIMPLES, SOBRE SOLO. AF_03/2022</v>
          </cell>
          <cell r="D9291" t="str">
            <v>M</v>
          </cell>
          <cell r="E9291">
            <v>0</v>
          </cell>
        </row>
        <row r="9292">
          <cell r="B9292">
            <v>103749</v>
          </cell>
          <cell r="C9292" t="str">
            <v>FORNECIMENTO E INSTALAÇÃO DE DEFENSA METÁLICA SEMI MALEÁVEL DUPLA, SOBRE SOLO. AF_03/2022</v>
          </cell>
          <cell r="D9292" t="str">
            <v>M</v>
          </cell>
          <cell r="E9292">
            <v>0</v>
          </cell>
        </row>
        <row r="9293">
          <cell r="B9293">
            <v>103744</v>
          </cell>
          <cell r="C9293" t="str">
            <v>FORNECIMENTO E INSTALAÇÃO DE DEFENSA METÁLICA SEMI MALEÁVEL SIMPLES (ANCORAGEM), SOBRE SOLO. AF_03/2022</v>
          </cell>
          <cell r="D9293" t="str">
            <v>M</v>
          </cell>
          <cell r="E9293">
            <v>0</v>
          </cell>
        </row>
        <row r="9294">
          <cell r="B9294">
            <v>103748</v>
          </cell>
          <cell r="C9294" t="str">
            <v>FORNECIMENTO E INSTALAÇÃO DE DEFENSA METÁLICA SEMI MALEÁVEL SIMPLES, SOBRE SOLO. AF_03/2022</v>
          </cell>
          <cell r="D9294" t="str">
            <v>M</v>
          </cell>
          <cell r="E9294">
            <v>0</v>
          </cell>
        </row>
        <row r="9295">
          <cell r="B9295">
            <v>103745</v>
          </cell>
          <cell r="C9295" t="str">
            <v>FORNECIMENTO E INSTALAÇÃO DE DEFENSA METÁLICA SEMI-MALEAVEL DUPLA (ANCORAGEM), SOBRE SOLO. AF_03/2022</v>
          </cell>
          <cell r="D9295" t="str">
            <v>M</v>
          </cell>
          <cell r="E9295">
            <v>0</v>
          </cell>
        </row>
        <row r="9296">
          <cell r="B9296">
            <v>103751</v>
          </cell>
          <cell r="C9296" t="str">
            <v>FORNECIMENTO E INSTALAÇÃO DE DEFENSA METÁLICA TRIPLA ONDA DUPLA, SOBRE SOLO. AF_03/2022</v>
          </cell>
          <cell r="D9296" t="str">
            <v>M</v>
          </cell>
          <cell r="E9296">
            <v>0</v>
          </cell>
        </row>
        <row r="9297">
          <cell r="B9297">
            <v>103750</v>
          </cell>
          <cell r="C9297" t="str">
            <v>FORNECIMENTO E INSTALAÇÃO DE DEFENSA METÁLICA TRIPLA ONDA SIMPLES, SOBRE SOLO. AF_03/2022</v>
          </cell>
          <cell r="D9297" t="str">
            <v>M</v>
          </cell>
          <cell r="E9297">
            <v>0</v>
          </cell>
        </row>
        <row r="9298">
          <cell r="B9298">
            <v>103735</v>
          </cell>
          <cell r="C9298" t="str">
            <v>FORNECIMENTO E INSTALAÇÃO DE LOMBADA SOBRE ASFALTO. AF_03/2022</v>
          </cell>
          <cell r="D9298" t="str">
            <v>UN</v>
          </cell>
          <cell r="E9298">
            <v>0</v>
          </cell>
        </row>
        <row r="9299">
          <cell r="B9299">
            <v>103738</v>
          </cell>
          <cell r="C9299" t="str">
            <v>FORNECIMENTO E INSTALAÇÃO DE PRISMA SOBRE ASFALTO. AF_03/2022</v>
          </cell>
          <cell r="D9299" t="str">
            <v>UN</v>
          </cell>
          <cell r="E9299">
            <v>0</v>
          </cell>
        </row>
        <row r="9300">
          <cell r="B9300">
            <v>103736</v>
          </cell>
          <cell r="C9300" t="str">
            <v>FORNECIMENTO E INSTALAÇÃO DE SEGREGADOR SOBRE ASFALTO. AF_03/2022</v>
          </cell>
          <cell r="D9300" t="str">
            <v>UN</v>
          </cell>
          <cell r="E9300">
            <v>0</v>
          </cell>
        </row>
        <row r="9301">
          <cell r="B9301">
            <v>103739</v>
          </cell>
          <cell r="C9301" t="str">
            <v>FORNECIMENTO E INSTALAÇÃO DE TACHA SOBRE ASFALTO. AF_03/2022</v>
          </cell>
          <cell r="D9301" t="str">
            <v>UN</v>
          </cell>
          <cell r="E9301">
            <v>0</v>
          </cell>
        </row>
        <row r="9302">
          <cell r="B9302">
            <v>103737</v>
          </cell>
          <cell r="C9302" t="str">
            <v>FORNECIMENTO E INSTALAÇÃO DE TACHÃO SOBRE ASFALTO. AF_03/2022</v>
          </cell>
          <cell r="D9302" t="str">
            <v>UN</v>
          </cell>
          <cell r="E9302">
            <v>0</v>
          </cell>
        </row>
        <row r="9303">
          <cell r="B9303">
            <v>103742</v>
          </cell>
          <cell r="C9303" t="str">
            <v>FORNECIMENTO E INSTALAÇÃO DE TERMINAL DE ANCORAGEM DE DEFENSA METÁLICA, EM BARREIRA DE CONCRETO. AF_03/2022</v>
          </cell>
          <cell r="D9303" t="str">
            <v>UN</v>
          </cell>
          <cell r="E9303">
            <v>0</v>
          </cell>
        </row>
        <row r="9304">
          <cell r="B9304">
            <v>103689</v>
          </cell>
          <cell r="C9304" t="str">
            <v>FORNECIMENTO E INSTALAÇÃO DE PLACA DE OBRA COM CHAPA GALVANIZADA E ESTRUTURA DE MADEIRA. AF_03/2022_PS</v>
          </cell>
          <cell r="D9304" t="str">
            <v>M2</v>
          </cell>
          <cell r="E9304">
            <v>474.44</v>
          </cell>
          <cell r="F9304">
            <v>0</v>
          </cell>
        </row>
        <row r="9305">
          <cell r="B9305">
            <v>103702</v>
          </cell>
          <cell r="C9305" t="str">
            <v>FORNECIMENTO E INSTALAÇÃO DE PLACA DE SINALIZAÇÃO EM CHAPA DE ALUMÍNIO EM SUPORTE DE CONCRETO. AF_03/2022</v>
          </cell>
          <cell r="D9305" t="str">
            <v>M2</v>
          </cell>
          <cell r="E9305">
            <v>0</v>
          </cell>
        </row>
        <row r="9306">
          <cell r="B9306">
            <v>103700</v>
          </cell>
          <cell r="C9306" t="str">
            <v>FORNECIMENTO E INSTALAÇÃO DE PLACA DE SINALIZAÇÃO EM CHAPA DE ALUMÍNIO EM SUPORTE DE MADEIRA. AF_03/2022</v>
          </cell>
          <cell r="D9306" t="str">
            <v>M2</v>
          </cell>
          <cell r="E9306">
            <v>0</v>
          </cell>
        </row>
        <row r="9307">
          <cell r="B9307">
            <v>103698</v>
          </cell>
          <cell r="C9307" t="str">
            <v>FORNECIMENTO E INSTALAÇÃO DE PLACA DE SINALIZAÇÃO EM CHAPA DE ALUMÍNIO EM SUPORTE METÁLICO. AF_03/2022</v>
          </cell>
          <cell r="D9307" t="str">
            <v>M2</v>
          </cell>
          <cell r="E9307">
            <v>0</v>
          </cell>
        </row>
        <row r="9308">
          <cell r="B9308">
            <v>103703</v>
          </cell>
          <cell r="C9308" t="str">
            <v>FORNECIMENTO E INSTALAÇÃO DE PLACA DE SINALIZAÇÃO EM CHAPA DE AÇO EM SUPORTE DE CONCRETO. AF_03/2022</v>
          </cell>
          <cell r="D9308" t="str">
            <v>M2</v>
          </cell>
          <cell r="E9308">
            <v>0</v>
          </cell>
        </row>
        <row r="9309">
          <cell r="B9309">
            <v>103701</v>
          </cell>
          <cell r="C9309" t="str">
            <v>FORNECIMENTO E INSTALAÇÃO DE PLACA DE SINALIZAÇÃO EM CHAPA DE AÇO EM SUPORTE DE MADEIRA. AF_03/2022</v>
          </cell>
          <cell r="D9309" t="str">
            <v>M2</v>
          </cell>
          <cell r="E9309">
            <v>0</v>
          </cell>
        </row>
        <row r="9310">
          <cell r="B9310">
            <v>103699</v>
          </cell>
          <cell r="C9310" t="str">
            <v>FORNECIMENTO E INSTALAÇÃO DE PLACA DE SINALIZAÇÃO EM CHAPA DE AÇO EM SUPORTE METÁLICO. AF_03/2022</v>
          </cell>
          <cell r="D9310" t="str">
            <v>M2</v>
          </cell>
          <cell r="E9310">
            <v>0</v>
          </cell>
        </row>
        <row r="9311">
          <cell r="B9311">
            <v>103704</v>
          </cell>
          <cell r="C9311" t="str">
            <v>FORNECIMENTO E INSTALAÇÃO DE PLACA DE SINALIZAÇÃO EM PÓRTICO E SEMI-PÓRTICO. AF_03/2022</v>
          </cell>
          <cell r="D9311" t="str">
            <v>M2</v>
          </cell>
          <cell r="E9311">
            <v>0</v>
          </cell>
        </row>
        <row r="9312">
          <cell r="B9312">
            <v>103706</v>
          </cell>
          <cell r="C9312" t="str">
            <v>FORNECIMENTO E INSTALAÇÃO DE PÓRTICO METÁLICO COM VÃO DE 10,3 M. AF_03/2022</v>
          </cell>
          <cell r="D9312" t="str">
            <v>UN</v>
          </cell>
          <cell r="E9312">
            <v>0</v>
          </cell>
        </row>
        <row r="9313">
          <cell r="B9313">
            <v>103707</v>
          </cell>
          <cell r="C9313" t="str">
            <v>FORNECIMENTO E INSTALAÇÃO DE PÓRTICO METÁLICO COM VÃO DE 11,4 M. AF_03/2022</v>
          </cell>
          <cell r="D9313" t="str">
            <v>UN</v>
          </cell>
          <cell r="E9313">
            <v>0</v>
          </cell>
        </row>
        <row r="9314">
          <cell r="B9314">
            <v>103708</v>
          </cell>
          <cell r="C9314" t="str">
            <v>FORNECIMENTO E INSTALAÇÃO DE PÓRTICO METÁLICO COM VÃO DE 12,5 M. AF_03/2022</v>
          </cell>
          <cell r="D9314" t="str">
            <v>UN</v>
          </cell>
          <cell r="E9314">
            <v>0</v>
          </cell>
        </row>
        <row r="9315">
          <cell r="B9315">
            <v>103709</v>
          </cell>
          <cell r="C9315" t="str">
            <v>FORNECIMENTO E INSTALAÇÃO DE PÓRTICO METÁLICO COM VÃO DE 13,6 M. AF_03/2022</v>
          </cell>
          <cell r="D9315" t="str">
            <v>UN</v>
          </cell>
          <cell r="E9315">
            <v>0</v>
          </cell>
        </row>
        <row r="9316">
          <cell r="B9316">
            <v>103710</v>
          </cell>
          <cell r="C9316" t="str">
            <v>FORNECIMENTO E INSTALAÇÃO DE PÓRTICO METÁLICO COM VÃO DE 14,8 M. AF_03/2022</v>
          </cell>
          <cell r="D9316" t="str">
            <v>UN</v>
          </cell>
          <cell r="E9316">
            <v>0</v>
          </cell>
        </row>
        <row r="9317">
          <cell r="B9317">
            <v>103711</v>
          </cell>
          <cell r="C9317" t="str">
            <v>FORNECIMENTO E INSTALAÇÃO DE PÓRTICO METÁLICO COM VÃO DE 15,9 M. AF_03/2022</v>
          </cell>
          <cell r="D9317" t="str">
            <v>UN</v>
          </cell>
          <cell r="E9317">
            <v>0</v>
          </cell>
        </row>
        <row r="9318">
          <cell r="B9318">
            <v>103712</v>
          </cell>
          <cell r="C9318" t="str">
            <v>FORNECIMENTO E INSTALAÇÃO DE PÓRTICO METÁLICO COM VÃO DE 17 M. AF_03/2022</v>
          </cell>
          <cell r="D9318" t="str">
            <v>UN</v>
          </cell>
          <cell r="E9318">
            <v>0</v>
          </cell>
        </row>
        <row r="9319">
          <cell r="B9319">
            <v>103713</v>
          </cell>
          <cell r="C9319" t="str">
            <v>FORNECIMENTO E INSTALAÇÃO DE PÓRTICO METÁLICO COM VÃO DE 18,1 M. AF_03/2022</v>
          </cell>
          <cell r="D9319" t="str">
            <v>UN</v>
          </cell>
          <cell r="E9319">
            <v>0</v>
          </cell>
        </row>
        <row r="9320">
          <cell r="B9320">
            <v>103714</v>
          </cell>
          <cell r="C9320" t="str">
            <v>FORNECIMENTO E INSTALAÇÃO DE PÓRTICO METÁLICO COM VÃO DE 19,2 M. AF_03/2022</v>
          </cell>
          <cell r="D9320" t="str">
            <v>UN</v>
          </cell>
          <cell r="E9320">
            <v>0</v>
          </cell>
        </row>
        <row r="9321">
          <cell r="B9321">
            <v>103715</v>
          </cell>
          <cell r="C9321" t="str">
            <v>FORNECIMENTO E INSTALAÇÃO DE PÓRTICO METÁLICO COM VÃO DE 20,3 M. AF_03/2022</v>
          </cell>
          <cell r="D9321" t="str">
            <v>UN</v>
          </cell>
          <cell r="E9321">
            <v>0</v>
          </cell>
        </row>
        <row r="9322">
          <cell r="B9322">
            <v>103716</v>
          </cell>
          <cell r="C9322" t="str">
            <v>FORNECIMENTO E INSTALAÇÃO DE PÓRTICO METÁLICO COM VÃO DE 21,5 M. AF_03/2022</v>
          </cell>
          <cell r="D9322" t="str">
            <v>UN</v>
          </cell>
          <cell r="E9322">
            <v>0</v>
          </cell>
        </row>
        <row r="9323">
          <cell r="B9323">
            <v>103717</v>
          </cell>
          <cell r="C9323" t="str">
            <v>FORNECIMENTO E INSTALAÇÃO DE PÓRTICO METÁLICO COM VÃO DE 22,6 M. AF_03/2022</v>
          </cell>
          <cell r="D9323" t="str">
            <v>UN</v>
          </cell>
          <cell r="E9323">
            <v>0</v>
          </cell>
        </row>
        <row r="9324">
          <cell r="B9324">
            <v>103718</v>
          </cell>
          <cell r="C9324" t="str">
            <v>FORNECIMENTO E INSTALAÇÃO DE PÓRTICO METÁLICO COM VÃO DE 23,7 M. AF_03/2022</v>
          </cell>
          <cell r="D9324" t="str">
            <v>UN</v>
          </cell>
          <cell r="E9324">
            <v>0</v>
          </cell>
        </row>
        <row r="9325">
          <cell r="B9325">
            <v>103719</v>
          </cell>
          <cell r="C9325" t="str">
            <v>FORNECIMENTO E INSTALAÇÃO DE PÓRTICO METÁLICO COM VÃO DE 24,8 M. AF_03/2022</v>
          </cell>
          <cell r="D9325" t="str">
            <v>UN</v>
          </cell>
          <cell r="E9325">
            <v>0</v>
          </cell>
        </row>
        <row r="9326">
          <cell r="B9326">
            <v>103720</v>
          </cell>
          <cell r="C9326" t="str">
            <v>FORNECIMENTO E INSTALAÇÃO DE PÓRTICO METÁLICO COM VÃO DE 26 M. AF_03/2022</v>
          </cell>
          <cell r="D9326" t="str">
            <v>UN</v>
          </cell>
          <cell r="E9326">
            <v>0</v>
          </cell>
        </row>
        <row r="9327">
          <cell r="B9327">
            <v>103721</v>
          </cell>
          <cell r="C9327" t="str">
            <v>FORNECIMENTO E INSTALAÇÃO DE PÓRTICO METÁLICO COM VÃO DE 27,1 M. AF_03/2022</v>
          </cell>
          <cell r="D9327" t="str">
            <v>UN</v>
          </cell>
          <cell r="E9327">
            <v>0</v>
          </cell>
        </row>
        <row r="9328">
          <cell r="B9328">
            <v>103705</v>
          </cell>
          <cell r="C9328" t="str">
            <v>FORNECIMENTO E INSTALAÇÃO DE PÓRTICO METÁLICO COM VÃO DE 9,2 M. AF_03/2022</v>
          </cell>
          <cell r="D9328" t="str">
            <v>UN</v>
          </cell>
          <cell r="E9328">
            <v>0</v>
          </cell>
        </row>
        <row r="9329">
          <cell r="B9329">
            <v>103722</v>
          </cell>
          <cell r="C9329" t="str">
            <v>FORNECIMENTO E INSTALAÇÃO DE SEMI PÓRTICO DUPLO METÁLICO COM VÃO DE 2,7 M. AF_03/2022</v>
          </cell>
          <cell r="D9329" t="str">
            <v>UN</v>
          </cell>
          <cell r="E9329">
            <v>0</v>
          </cell>
        </row>
        <row r="9330">
          <cell r="B9330">
            <v>103723</v>
          </cell>
          <cell r="C9330" t="str">
            <v>FORNECIMENTO E INSTALAÇÃO DE SEMI PÓRTICO DUPLO METÁLICO COM VÃO DE 3,8 M. AF_03/2022</v>
          </cell>
          <cell r="D9330" t="str">
            <v>UN</v>
          </cell>
          <cell r="E9330">
            <v>0</v>
          </cell>
        </row>
        <row r="9331">
          <cell r="B9331">
            <v>103724</v>
          </cell>
          <cell r="C9331" t="str">
            <v>FORNECIMENTO E INSTALAÇÃO DE SEMI PÓRTICO DUPLO METÁLICO COM VÃO DE 4,9 M. AF_03/2022</v>
          </cell>
          <cell r="D9331" t="str">
            <v>UN</v>
          </cell>
          <cell r="E9331">
            <v>0</v>
          </cell>
        </row>
        <row r="9332">
          <cell r="B9332">
            <v>103725</v>
          </cell>
          <cell r="C9332" t="str">
            <v>FORNECIMENTO E INSTALAÇÃO DE SEMI PÓRTICO DUPLO METÁLICO COM VÃO DE 6 M. AF_03/2022</v>
          </cell>
          <cell r="D9332" t="str">
            <v>UN</v>
          </cell>
          <cell r="E9332">
            <v>0</v>
          </cell>
        </row>
        <row r="9333">
          <cell r="B9333">
            <v>103726</v>
          </cell>
          <cell r="C9333" t="str">
            <v>FORNECIMENTO E INSTALAÇÃO DE SEMI PÓRTICO DUPLO METÁLICO COM VÃO DE 7,2 M. AF_03/2022</v>
          </cell>
          <cell r="D9333" t="str">
            <v>UN</v>
          </cell>
          <cell r="E9333">
            <v>0</v>
          </cell>
        </row>
        <row r="9334">
          <cell r="B9334">
            <v>103727</v>
          </cell>
          <cell r="C9334" t="str">
            <v>FORNECIMENTO E INSTALAÇÃO DE SEMI PÓRTICO DUPLO METÁLICO COM VÃO DE 8,3 M. AF_03/2022</v>
          </cell>
          <cell r="D9334" t="str">
            <v>UN</v>
          </cell>
          <cell r="E9334">
            <v>0</v>
          </cell>
        </row>
        <row r="9335">
          <cell r="B9335">
            <v>103728</v>
          </cell>
          <cell r="C9335" t="str">
            <v>FORNECIMENTO E INSTALAÇÃO DE SEMI PÓRTICO METÁLICO COM VÃO DE 2,7 M. AF_03/2022</v>
          </cell>
          <cell r="D9335" t="str">
            <v>UN</v>
          </cell>
          <cell r="E9335">
            <v>0</v>
          </cell>
        </row>
        <row r="9336">
          <cell r="B9336">
            <v>103729</v>
          </cell>
          <cell r="C9336" t="str">
            <v>FORNECIMENTO E INSTALAÇÃO DE SEMI PÓRTICO METÁLICO COM VÃO DE 3,8 M. AF_03/2022</v>
          </cell>
          <cell r="D9336" t="str">
            <v>UN</v>
          </cell>
          <cell r="E9336">
            <v>0</v>
          </cell>
        </row>
        <row r="9337">
          <cell r="B9337">
            <v>103730</v>
          </cell>
          <cell r="C9337" t="str">
            <v>FORNECIMENTO E INSTALAÇÃO DE SEMI PÓRTICO METÁLICO COM VÃO DE 4,9 M. AF_03/2022</v>
          </cell>
          <cell r="D9337" t="str">
            <v>UN</v>
          </cell>
          <cell r="E9337">
            <v>0</v>
          </cell>
        </row>
        <row r="9338">
          <cell r="B9338">
            <v>103731</v>
          </cell>
          <cell r="C9338" t="str">
            <v>FORNECIMENTO E INSTALAÇÃO DE SEMI PÓRTICO METÁLICO COM VÃO DE 6 M. AF_03/2022</v>
          </cell>
          <cell r="D9338" t="str">
            <v>UN</v>
          </cell>
          <cell r="E9338">
            <v>0</v>
          </cell>
        </row>
        <row r="9339">
          <cell r="B9339">
            <v>103732</v>
          </cell>
          <cell r="C9339" t="str">
            <v>FORNECIMENTO E INSTALAÇÃO DE SEMI PÓRTICO METÁLICO COM VÃO DE 7,2 M. AF_03/2022</v>
          </cell>
          <cell r="D9339" t="str">
            <v>UN</v>
          </cell>
          <cell r="E9339">
            <v>0</v>
          </cell>
        </row>
        <row r="9340">
          <cell r="B9340">
            <v>103733</v>
          </cell>
          <cell r="C9340" t="str">
            <v>FORNECIMENTO E INSTALAÇÃO DE SEMI PÓRTICO METÁLICO COM VÃO DE 8,3 M. AF_03/2022</v>
          </cell>
          <cell r="D9340" t="str">
            <v>UN</v>
          </cell>
          <cell r="E9340">
            <v>0</v>
          </cell>
        </row>
        <row r="9341">
          <cell r="B9341">
            <v>103696</v>
          </cell>
          <cell r="C9341" t="str">
            <v>FORNECIMENTO E INSTALAÇÃO DE SUPORTE DE MADEIRA PARA PLACAS DE SINALIZAÇÃO EM CONCRETO, COM H= DE 2,5 M E SEÇÃO DE 7,5 X 7,5 CM. AF_03/2022</v>
          </cell>
          <cell r="D9341" t="str">
            <v>UN</v>
          </cell>
          <cell r="E9341">
            <v>160.72999999999999</v>
          </cell>
          <cell r="F9341">
            <v>0</v>
          </cell>
        </row>
        <row r="9342">
          <cell r="B9342">
            <v>103697</v>
          </cell>
          <cell r="C9342" t="str">
            <v>FORNECIMENTO E INSTALAÇÃO DE SUPORTE DE MADEIRA PARA PLACAS DE SINALIZAÇÃO, EM BASE DE CONCRETO, COM H= DE 2,0 M E SEÇÃO DE 7,5 X 7,5 CM. AF_03/2022</v>
          </cell>
          <cell r="D9342" t="str">
            <v>UN</v>
          </cell>
          <cell r="E9342">
            <v>148.47999999999999</v>
          </cell>
          <cell r="F9342">
            <v>0</v>
          </cell>
        </row>
        <row r="9343">
          <cell r="B9343">
            <v>103695</v>
          </cell>
          <cell r="C9343" t="str">
            <v>FORNECIMENTO E INSTALAÇÃO DE SUPORTE DE MADEIRA PARA PLACAS DE SINALIZAÇÃO, EM SOLO, COM H= DE 2,0 M E SEÇÃO DE 7,5 X 7,5 CM. AF_03/2022</v>
          </cell>
          <cell r="D9343" t="str">
            <v>UN</v>
          </cell>
          <cell r="E9343">
            <v>109.71</v>
          </cell>
          <cell r="F9343">
            <v>0</v>
          </cell>
        </row>
        <row r="9344">
          <cell r="B9344">
            <v>103694</v>
          </cell>
          <cell r="C9344" t="str">
            <v>FORNECIMENTO E INSTALAÇÃO DE SUPORTE DE MADEIRA PARA PLACAS DE SINALIZAÇÃO, EM SOLO, COM H= DE 2,5 M E SEÇÃO DE 7,5 X 7,5 CM. AF_03/2022</v>
          </cell>
          <cell r="D9344" t="str">
            <v>UN</v>
          </cell>
          <cell r="E9344">
            <v>121.96</v>
          </cell>
          <cell r="F9344">
            <v>0</v>
          </cell>
        </row>
        <row r="9345">
          <cell r="B9345">
            <v>103690</v>
          </cell>
          <cell r="C9345" t="str">
            <v>FORNECIMENTO E INSTALAÇÃO DE SUPORTE METÁLICO GALVANIZADO PARA PLACAS DE SINALIZAÇÃO EM SOLO, COM H= DE 2,5 M E DIÂMETRO DE 2''. AF_03/2022</v>
          </cell>
          <cell r="D9345" t="str">
            <v>UN</v>
          </cell>
          <cell r="E9345">
            <v>0</v>
          </cell>
        </row>
        <row r="9346">
          <cell r="B9346">
            <v>103693</v>
          </cell>
          <cell r="C9346" t="str">
            <v>FORNECIMENTO E INSTALAÇÃO DE SUPORTE METÁLICO GALVANIZADO PARA PLACAS DE SINALIZAÇÃO, EM BASE DE CONCRETO, COM H= DE 2,0 M E DIÂMETRO DE 2''. AF_03/2022</v>
          </cell>
          <cell r="D9346" t="str">
            <v>UN</v>
          </cell>
          <cell r="E9346">
            <v>0</v>
          </cell>
        </row>
        <row r="9347">
          <cell r="B9347">
            <v>103692</v>
          </cell>
          <cell r="C9347" t="str">
            <v>FORNECIMENTO E INSTALAÇÃO DE SUPORTE METÁLICO GALVANIZADO PARA PLACAS DE SINALIZAÇÃO, EM BASE DE CONCRETO, COM H= DE 2,5 M E DIÂMETRO DE 2''. AF_03/2022</v>
          </cell>
          <cell r="D9347" t="str">
            <v>UN</v>
          </cell>
          <cell r="E9347">
            <v>0</v>
          </cell>
        </row>
        <row r="9348">
          <cell r="B9348">
            <v>103691</v>
          </cell>
          <cell r="C9348" t="str">
            <v>FORNECIMENTO E INSTALAÇÃO DE SUPORTE METÁLICO GALVANIZADO PARA PLACAS DE SINALIZAÇÃO, EM SOLO, COM H= DE 2,0 M E DIÂMETRO DE 2''. AF_03/2022</v>
          </cell>
          <cell r="D9348" t="str">
            <v>UN</v>
          </cell>
          <cell r="E9348">
            <v>0</v>
          </cell>
        </row>
        <row r="9349">
          <cell r="B9349">
            <v>96987</v>
          </cell>
          <cell r="C9349" t="str">
            <v>BASE METÁLICA PARA MASTRO 1 ½" PARA SPDA - FORNECIMENTO E INSTALAÇÃO. AF_08/2023</v>
          </cell>
          <cell r="D9349" t="str">
            <v>UN</v>
          </cell>
          <cell r="E9349">
            <v>156.88999999999999</v>
          </cell>
          <cell r="F9349">
            <v>0</v>
          </cell>
        </row>
        <row r="9350">
          <cell r="B9350">
            <v>96989</v>
          </cell>
          <cell r="C9350" t="str">
            <v>CAPTOR TIPO FRANKLIN PARA SPDA - FORNECIMENTO E INSTALAÇÃO. AF_08/2023</v>
          </cell>
          <cell r="D9350" t="str">
            <v>UN</v>
          </cell>
          <cell r="E9350">
            <v>150.63999999999999</v>
          </cell>
          <cell r="F9350">
            <v>0</v>
          </cell>
        </row>
        <row r="9351">
          <cell r="B9351">
            <v>104749</v>
          </cell>
          <cell r="C9351" t="str">
            <v>CONECTOR GRAMPO METÁLICO TIPO OLHAL, PARA SPDA, PARA HASTE DE ATERRAMENTO DE 3/4'' E CABOS DE 10 A 50 MM2 - FORNECIMENTO E INSTALAÇÃO. AF_08/2023</v>
          </cell>
          <cell r="D9351" t="str">
            <v>UN</v>
          </cell>
          <cell r="E9351">
            <v>25.52</v>
          </cell>
          <cell r="F9351">
            <v>0</v>
          </cell>
        </row>
        <row r="9352">
          <cell r="B9352">
            <v>104750</v>
          </cell>
          <cell r="C9352" t="str">
            <v>CONECTOR GRAMPO METÁLICO TIPO OLHAL, PARA SPDA, PARA HASTE DE ATERRAMENTO DE 5/8'' E CABOS DE 10 A 50 MM2 - FORNECIMENTO E INSTALAÇÃO. AF_08/2023</v>
          </cell>
          <cell r="D9352" t="str">
            <v>UN</v>
          </cell>
          <cell r="E9352">
            <v>21.42</v>
          </cell>
          <cell r="F9352">
            <v>0</v>
          </cell>
        </row>
        <row r="9353">
          <cell r="B9353">
            <v>104751</v>
          </cell>
          <cell r="C9353" t="str">
            <v>CONECTOR GRAMPO PARALELO METÁLICO, PARA SPDA, PARA CABOS DE 6 A 50 MM2 - FORNECIMENTO E INSTALAÇÃO. AF_08/2023</v>
          </cell>
          <cell r="D9353" t="str">
            <v>UN</v>
          </cell>
          <cell r="E9353">
            <v>28.45</v>
          </cell>
          <cell r="F9353">
            <v>0</v>
          </cell>
        </row>
        <row r="9354">
          <cell r="B9354">
            <v>104752</v>
          </cell>
          <cell r="C9354" t="str">
            <v>CONECTOR SPLIT-BOLT, PARA SPDA, PARA CABOS ATÉ 35 MM2 - FORNECIMENTO E INSTALAÇÃO. AF_08/2023</v>
          </cell>
          <cell r="D9354" t="str">
            <v>UN</v>
          </cell>
          <cell r="E9354">
            <v>25.46</v>
          </cell>
          <cell r="F9354">
            <v>0</v>
          </cell>
        </row>
        <row r="9355">
          <cell r="B9355">
            <v>104753</v>
          </cell>
          <cell r="C9355" t="str">
            <v>CONECTOR SPLIT-BOLT, PARA SPDA, PARA CABOS ATÉ 50 MM2 - FORNECIMENTO E INSTALAÇÃO. AF_08/2023</v>
          </cell>
          <cell r="D9355" t="str">
            <v>UN</v>
          </cell>
          <cell r="E9355">
            <v>29.78</v>
          </cell>
          <cell r="F9355">
            <v>0</v>
          </cell>
        </row>
        <row r="9356">
          <cell r="B9356">
            <v>104754</v>
          </cell>
          <cell r="C9356" t="str">
            <v>CONECTOR SPLIT-BOLT, PARA SPDA, PARA CABOS ATÉ 70 MM2 - FORNECIMENTO E INSTALAÇÃO. AF_08/2023</v>
          </cell>
          <cell r="D9356" t="str">
            <v>UN</v>
          </cell>
          <cell r="E9356">
            <v>37.19</v>
          </cell>
          <cell r="F9356">
            <v>0</v>
          </cell>
        </row>
        <row r="9357">
          <cell r="B9357">
            <v>104755</v>
          </cell>
          <cell r="C9357" t="str">
            <v>CONECTOR SPLIT-BOLT, PARA SPDA, PARA CABOS ATÉ 95 MM2 - FORNECIMENTO E INSTALAÇÃO. AF_08/2023</v>
          </cell>
          <cell r="D9357" t="str">
            <v>UN</v>
          </cell>
          <cell r="E9357">
            <v>48.67</v>
          </cell>
          <cell r="F9357">
            <v>0</v>
          </cell>
        </row>
        <row r="9358">
          <cell r="B9358">
            <v>96982</v>
          </cell>
          <cell r="C9358" t="str">
            <v>CONECTOR SPLIT-BOLT, PARA SPDA, PARA CABOS DE 16 A 70 MM2 - FORNECIMENTO E INSTALAÇÃO. AF_08/2023</v>
          </cell>
          <cell r="D9358" t="str">
            <v>UN</v>
          </cell>
          <cell r="E9358">
            <v>0</v>
          </cell>
        </row>
        <row r="9359">
          <cell r="B9359">
            <v>96993</v>
          </cell>
          <cell r="C9359" t="str">
            <v>CONJUNTO DE ESTAIAMENTO PARA MASTRO DE SPDA (COMPRIMENTO DOS ESTAIS = 12 M) - FORNECIMENTO E INSTALAÇÃO. AF_08/2023</v>
          </cell>
          <cell r="D9359" t="str">
            <v>UN</v>
          </cell>
          <cell r="E9359">
            <v>0</v>
          </cell>
        </row>
        <row r="9360">
          <cell r="B9360">
            <v>96990</v>
          </cell>
          <cell r="C9360" t="str">
            <v>CONJUNTO DE ESTAIAMENTO PARA MASTRO DE SPDA (COMPRIMENTO DOS ESTAIS = 2 M) - FORNECIMENTO E INSTALAÇÃO. AF_08/2023</v>
          </cell>
          <cell r="D9360" t="str">
            <v>UN</v>
          </cell>
          <cell r="E9360">
            <v>0</v>
          </cell>
        </row>
        <row r="9361">
          <cell r="B9361">
            <v>96991</v>
          </cell>
          <cell r="C9361" t="str">
            <v>CONJUNTO DE ESTAIAMENTO PARA MASTRO DE SPDA (COMPRIMENTO DOS ESTAIS = 4 M) - FORNECIMENTO E INSTALAÇÃO. AF_08/2023</v>
          </cell>
          <cell r="D9361" t="str">
            <v>UN</v>
          </cell>
          <cell r="E9361">
            <v>0</v>
          </cell>
        </row>
        <row r="9362">
          <cell r="B9362">
            <v>96992</v>
          </cell>
          <cell r="C9362" t="str">
            <v>CONJUNTO DE ESTAIAMENTO PARA MASTRO DE SPDA (COMPRIMENTO DOS ESTAIS = 8 M) - FORNECIMENTO E INSTALAÇÃO. AF_08/2023</v>
          </cell>
          <cell r="D9362" t="str">
            <v>UN</v>
          </cell>
          <cell r="E9362">
            <v>0</v>
          </cell>
        </row>
        <row r="9363">
          <cell r="B9363">
            <v>96994</v>
          </cell>
          <cell r="C9363" t="str">
            <v>CONJUNTO PARA-RAIOS TIPO FRANKLIN PARA SPDA (INCLUSO BASE METÁLICA, MASTRO COM 6 M, CAPTOR FRANKLIN E CONJUNTO DE ESTAIAMENTO COM 3 ESTAIS FLEXÍVEIS DE 4 M) - FORNECIMENTO E INSTALAÇÃO. AF_08/2023</v>
          </cell>
          <cell r="D9363" t="str">
            <v>UN</v>
          </cell>
          <cell r="E9363">
            <v>0</v>
          </cell>
        </row>
        <row r="9364">
          <cell r="B9364">
            <v>96973</v>
          </cell>
          <cell r="C9364" t="str">
            <v>CORDOALHA DE COBRE NU 35 MM², NÃO ENTERRADA, COM ISOLADOR - FORNECIMENTO E INSTALAÇÃO. AF_08/2023</v>
          </cell>
          <cell r="D9364" t="str">
            <v>M</v>
          </cell>
          <cell r="E9364">
            <v>84.41</v>
          </cell>
          <cell r="F9364">
            <v>0</v>
          </cell>
        </row>
        <row r="9365">
          <cell r="B9365">
            <v>104743</v>
          </cell>
          <cell r="C9365" t="str">
            <v>CORDOALHA DE COBRE NU 35 MM², NÃO ENTERRADA, COM PRESILHA - FORNECIMENTO E INSTALAÇÃO. AF_08/2023</v>
          </cell>
          <cell r="D9365" t="str">
            <v>M</v>
          </cell>
          <cell r="E9365">
            <v>0</v>
          </cell>
        </row>
        <row r="9366">
          <cell r="B9366">
            <v>96977</v>
          </cell>
          <cell r="C9366" t="str">
            <v>CORDOALHA DE COBRE NU 50 MM², ENTERRADA - FORNECIMENTO E INSTALAÇÃO. AF_08/2023</v>
          </cell>
          <cell r="D9366" t="str">
            <v>M</v>
          </cell>
          <cell r="E9366">
            <v>62.14</v>
          </cell>
          <cell r="F9366">
            <v>0</v>
          </cell>
        </row>
        <row r="9367">
          <cell r="B9367">
            <v>96974</v>
          </cell>
          <cell r="C9367" t="str">
            <v>CORDOALHA DE COBRE NU 50 MM², NÃO ENTERRADA, COM ISOLADOR - FORNECIMENTO E INSTALAÇÃO. AF_08/2023</v>
          </cell>
          <cell r="D9367" t="str">
            <v>M</v>
          </cell>
          <cell r="E9367">
            <v>107.74</v>
          </cell>
          <cell r="F9367">
            <v>0</v>
          </cell>
        </row>
        <row r="9368">
          <cell r="B9368">
            <v>104744</v>
          </cell>
          <cell r="C9368" t="str">
            <v>CORDOALHA DE COBRE NU 50 MM², NÃO ENTERRADA, COM PRESILHA - FORNECIMENTO E INSTALAÇÃO. AF_08/2023</v>
          </cell>
          <cell r="D9368" t="str">
            <v>M</v>
          </cell>
          <cell r="E9368">
            <v>0</v>
          </cell>
        </row>
        <row r="9369">
          <cell r="B9369">
            <v>96978</v>
          </cell>
          <cell r="C9369" t="str">
            <v>CORDOALHA DE COBRE NU 70 MM², ENTERRADA - FORNECIMENTO E INSTALAÇÃO. AF_08/2023</v>
          </cell>
          <cell r="D9369" t="str">
            <v>M</v>
          </cell>
          <cell r="E9369">
            <v>81.8</v>
          </cell>
          <cell r="F9369">
            <v>0</v>
          </cell>
        </row>
        <row r="9370">
          <cell r="B9370">
            <v>96975</v>
          </cell>
          <cell r="C9370" t="str">
            <v>CORDOALHA DE COBRE NU 70 MM², NÃO ENTERRADA, COM ISOLADOR - FORNECIMENTO E INSTALAÇÃO. AF_08/2023</v>
          </cell>
          <cell r="D9370" t="str">
            <v>M</v>
          </cell>
          <cell r="E9370">
            <v>132.1</v>
          </cell>
          <cell r="F9370">
            <v>0</v>
          </cell>
        </row>
        <row r="9371">
          <cell r="B9371">
            <v>104745</v>
          </cell>
          <cell r="C9371" t="str">
            <v>CORDOALHA DE COBRE NU 70 MM², NÃO ENTERRADA, COM PRESILHA - FORNECIMENTO E INSTALAÇÃO. AF_08/2023</v>
          </cell>
          <cell r="D9371" t="str">
            <v>M</v>
          </cell>
          <cell r="E9371">
            <v>0</v>
          </cell>
        </row>
        <row r="9372">
          <cell r="B9372">
            <v>96979</v>
          </cell>
          <cell r="C9372" t="str">
            <v>CORDOALHA DE COBRE NU 95 MM², ENTERRADA - FORNECIMENTO E INSTALAÇÃO. AF_08/2023</v>
          </cell>
          <cell r="D9372" t="str">
            <v>M</v>
          </cell>
          <cell r="E9372">
            <v>116.76</v>
          </cell>
          <cell r="F9372">
            <v>0</v>
          </cell>
        </row>
        <row r="9373">
          <cell r="B9373">
            <v>96976</v>
          </cell>
          <cell r="C9373" t="str">
            <v>CORDOALHA DE COBRE NU 95 MM², NÃO ENTERRADA, COM ISOLADOR - FORNECIMENTO E INSTALAÇÃO. AF_08/2023</v>
          </cell>
          <cell r="D9373" t="str">
            <v>M</v>
          </cell>
          <cell r="E9373">
            <v>171.34</v>
          </cell>
          <cell r="F9373">
            <v>0</v>
          </cell>
        </row>
        <row r="9374">
          <cell r="B9374">
            <v>96984</v>
          </cell>
          <cell r="C9374" t="str">
            <v>ELETRODUTO PVC RÍGIDO, DIÂMETRO 40MM, COM 3 METROS, PARA SPDA - FORNECIMENTO E INSTALAÇÃO. AF_08/2023</v>
          </cell>
          <cell r="D9374" t="str">
            <v>UN</v>
          </cell>
          <cell r="E9374">
            <v>75.150000000000006</v>
          </cell>
          <cell r="F9374">
            <v>0</v>
          </cell>
        </row>
        <row r="9375">
          <cell r="B9375">
            <v>96980</v>
          </cell>
          <cell r="C9375" t="str">
            <v>FITA DE ALUMÍNIO 70 MM² PARA SPDA - FORNECIMENTO E INSTALAÇÃO. AF_08/2023</v>
          </cell>
          <cell r="D9375" t="str">
            <v>M</v>
          </cell>
          <cell r="E9375">
            <v>0</v>
          </cell>
        </row>
        <row r="9376">
          <cell r="B9376">
            <v>96986</v>
          </cell>
          <cell r="C9376" t="str">
            <v>HASTE DE ATERRAMENTO, DIÂMETRO 3/4", COM 3 METROS - FORNECIMENTO E INSTALAÇÃO. AF_08/2023</v>
          </cell>
          <cell r="D9376" t="str">
            <v>UN</v>
          </cell>
          <cell r="E9376">
            <v>134.94</v>
          </cell>
          <cell r="F9376">
            <v>0</v>
          </cell>
        </row>
        <row r="9377">
          <cell r="B9377">
            <v>96985</v>
          </cell>
          <cell r="C9377" t="str">
            <v>HASTE DE ATERRAMENTO, DIÂMETRO 5/8", COM 3 METROS - FORNECIMENTO E INSTALAÇÃO. AF_08/2023</v>
          </cell>
          <cell r="D9377" t="str">
            <v>UN</v>
          </cell>
          <cell r="E9377">
            <v>90.09</v>
          </cell>
          <cell r="F9377">
            <v>0</v>
          </cell>
        </row>
        <row r="9378">
          <cell r="B9378">
            <v>96988</v>
          </cell>
          <cell r="C9378" t="str">
            <v>MASTRO 1 ½", COM 3 METROS, PARA SPDA - FORNECIMENTO E INSTALAÇÃO. AF_08/2023</v>
          </cell>
          <cell r="D9378" t="str">
            <v>UN</v>
          </cell>
          <cell r="E9378">
            <v>180.1</v>
          </cell>
          <cell r="F9378">
            <v>0</v>
          </cell>
        </row>
        <row r="9379">
          <cell r="B9379">
            <v>104746</v>
          </cell>
          <cell r="C9379" t="str">
            <v>MINI CAPTOR PARA SPDA - FORNECIMENTO E INSTALAÇÃO. AF_08/2023</v>
          </cell>
          <cell r="D9379" t="str">
            <v>UN</v>
          </cell>
          <cell r="E9379">
            <v>32.590000000000003</v>
          </cell>
          <cell r="F9379">
            <v>0</v>
          </cell>
        </row>
        <row r="9380">
          <cell r="B9380">
            <v>104747</v>
          </cell>
          <cell r="C9380" t="str">
            <v>PRESILHA PARA FIXAÇÃO DE CORDOALHA NÃO ENTERRADA PARA SPDA - FORNECIMENTO E INSTALAÇÃO. AF_08/2023</v>
          </cell>
          <cell r="D9380" t="str">
            <v>UN</v>
          </cell>
          <cell r="E9380">
            <v>0</v>
          </cell>
        </row>
        <row r="9381">
          <cell r="B9381">
            <v>96983</v>
          </cell>
          <cell r="C9381" t="str">
            <v>SOLDA EXOTÉRMICA PARA SPDA - FORNECIMENTO E INSTALAÇÃO. AF_08/2023</v>
          </cell>
          <cell r="D9381" t="str">
            <v>UN</v>
          </cell>
          <cell r="E9381">
            <v>0</v>
          </cell>
        </row>
        <row r="9382">
          <cell r="B9382">
            <v>104748</v>
          </cell>
          <cell r="C9382" t="str">
            <v>SUPORTE ISOLADOR 2 DESCIDAS PARA FIXAÇÃO DA CORDOALHA DE COBRE EM MASTRO 1 1/2" DE SPDA - FORNECIMENTO E INSTALAÇÃO. AF_08/2023</v>
          </cell>
          <cell r="D9382" t="str">
            <v>UN</v>
          </cell>
          <cell r="E9382">
            <v>0</v>
          </cell>
        </row>
        <row r="9383">
          <cell r="B9383">
            <v>98463</v>
          </cell>
          <cell r="C9383" t="str">
            <v>SUPORTE ISOLADOR PARA FIXAÇÃO DA CORDOALHA DE COBRE EM ALVENARIA OU CONCRETO - FORNECIMENTO E INSTALAÇÃO. AF_08/2023</v>
          </cell>
          <cell r="D9383" t="str">
            <v>UN</v>
          </cell>
          <cell r="E9383">
            <v>34.46</v>
          </cell>
          <cell r="F9383">
            <v>0</v>
          </cell>
        </row>
        <row r="9384">
          <cell r="B9384">
            <v>104827</v>
          </cell>
          <cell r="C9384" t="str">
            <v>INSTALAÇÃO E FORNECIMENTO DE PAINEL FIXO NA PAREDE COM TOMADAS E SAÍDAS PARA GASES MEDICINAIS. AF_11/2023</v>
          </cell>
          <cell r="D9384" t="str">
            <v>UN</v>
          </cell>
          <cell r="E9384">
            <v>0</v>
          </cell>
        </row>
        <row r="9385">
          <cell r="B9385">
            <v>104828</v>
          </cell>
          <cell r="C9385" t="str">
            <v>INSTALAÇÃO E FORNECIMENTO DE PAINEL SUSPENSO COM TOMADAS E SAÍDAS PARA GASES MEDICINAIS. AF_11/2023</v>
          </cell>
          <cell r="D9385" t="str">
            <v>UN</v>
          </cell>
          <cell r="E9385">
            <v>0</v>
          </cell>
        </row>
        <row r="9386">
          <cell r="B9386">
            <v>104824</v>
          </cell>
          <cell r="C9386" t="str">
            <v>INSTALAÇÃO E FORNECIMENTO DE POSTO PAREDE, INTERNO OU EXTERNO, PARA REDE DE GASES HOSPITALARES, COM VÁLVULA DE IMPACTO P/ESTANQUEIDADE, PRESSÃO MÁX. TRAB. 8,0 KGF/CM2, CONEXÕES, COM CANOPLA PLÁSTICA COM INDICAÇÃO DO TIPO DE GÁS, COMPLETO. AF_11/2023</v>
          </cell>
          <cell r="D9386" t="str">
            <v>UN</v>
          </cell>
          <cell r="E9386">
            <v>0</v>
          </cell>
        </row>
        <row r="9387">
          <cell r="B9387">
            <v>104826</v>
          </cell>
          <cell r="C9387" t="str">
            <v>INSTALAÇÃO E FORNECIMENTO DE RÉGUA DE INALOTERAPIA DE PAREDE PARA REDE DE GÁS COMPRIMIDO, COM 3 PONTOS DE CONSUMO DE GASES IDENTIFICADOS, EM PERFIL DE ALUMÍNIO, APROX. 40 CM, INCLUI VÁLVULA DE IMPACTO E CONEXÕES EM LATÃO, COMPLETO. AF_11/2023</v>
          </cell>
          <cell r="D9387" t="str">
            <v>UN</v>
          </cell>
          <cell r="E9387">
            <v>0</v>
          </cell>
        </row>
        <row r="9388">
          <cell r="B9388">
            <v>104825</v>
          </cell>
          <cell r="C9388" t="str">
            <v>INSTALAÇÃO E FORNECIMENTO DE RÉGUA DE INALOTERAPIA DE PAREDE PARA REDE DE GÁS OXIGÊNIO, COM 3 PONTOS DE CONSUMO DE GASES IDENTIFICADOS, EM PERFIL DE ALUMÍNIO ANODIZ., APROX. 40 CM, INCLUI VÁLVULA DE IMPACTO E CONEXÕES EM LATÃO, COMPLETO. AF_11/2023</v>
          </cell>
          <cell r="D9388" t="str">
            <v>UN</v>
          </cell>
          <cell r="E9388">
            <v>0</v>
          </cell>
        </row>
        <row r="9389">
          <cell r="B9389">
            <v>104993</v>
          </cell>
          <cell r="C9389" t="str">
            <v>CAIXA DE EMBUTIR EM AÇO GALVANIZADO PARA ABRIGO DE HIDRÔMETRO - FORNECIMENTO E INSTALAÇÃO (EXCLUSIVE HIDRÔMETRO). AF_03/2024</v>
          </cell>
          <cell r="D9389" t="str">
            <v>UN</v>
          </cell>
          <cell r="E9389">
            <v>0</v>
          </cell>
        </row>
        <row r="9390">
          <cell r="B9390">
            <v>104994</v>
          </cell>
          <cell r="C9390" t="str">
            <v>CAIXA DE EMBUTIR EM POLICARBONATO PARA ABRIGO DE HIDRÔMETRO - FORNECIMENTO E INSTALAÇÃO (EXCLUSIVE HIDRÔMETRO). AF_03/2024</v>
          </cell>
          <cell r="D9390" t="str">
            <v>UN</v>
          </cell>
          <cell r="E9390">
            <v>0</v>
          </cell>
        </row>
        <row r="9391">
          <cell r="B9391">
            <v>104995</v>
          </cell>
          <cell r="C9391" t="str">
            <v>CAIXA DE EMBUTIR EM POLIPROPILENO PARA ABRIGO DE HIDRÔMETRO - FORNECIMENTO E INSTALAÇÃO (EXCLUSIVE HIDRÔMETRO). AF_03/2024</v>
          </cell>
          <cell r="D9391" t="str">
            <v>UN</v>
          </cell>
          <cell r="E9391">
            <v>0</v>
          </cell>
        </row>
        <row r="9392">
          <cell r="B9392">
            <v>104996</v>
          </cell>
          <cell r="C9392" t="str">
            <v>CAIXA DE SOBREPOR EM AÇO GALVANIZADO PARA ABRIGO DE HIDRÔMETRO - FORNECIMENTO E INSTALAÇÃO (EXCLUSIVE HIDRÔMETRO). AF_03/2024</v>
          </cell>
          <cell r="D9392" t="str">
            <v>UN</v>
          </cell>
          <cell r="E9392">
            <v>0</v>
          </cell>
        </row>
        <row r="9393">
          <cell r="B9393">
            <v>95676</v>
          </cell>
          <cell r="C9393" t="str">
            <v>CAIXA EM CONCRETO PRÉ-MOLDADO PARA ABRIGO DE HIDRÔMETRO COM DN 20 MM - FORNECIMENTO E INSTALAÇÃO. AF_03/2024</v>
          </cell>
          <cell r="D9393" t="str">
            <v>UN</v>
          </cell>
          <cell r="E9393">
            <v>156.69999999999999</v>
          </cell>
          <cell r="F9393">
            <v>0</v>
          </cell>
        </row>
        <row r="9394">
          <cell r="B9394">
            <v>95677</v>
          </cell>
          <cell r="C9394" t="str">
            <v>CAIXA EM CONCRETO PRÉ-MOLDADO PARA ABRIGO DE HIDRÔMETRO COM DN 25 MM - FORNECIMENTO E INSTALAÇÃO (EXCLUSIVE HIDRÔMETRO). AF_03/2024</v>
          </cell>
          <cell r="D9394" t="str">
            <v>UN</v>
          </cell>
          <cell r="E9394">
            <v>0</v>
          </cell>
        </row>
        <row r="9395">
          <cell r="B9395">
            <v>105135</v>
          </cell>
          <cell r="C9395" t="str">
            <v>HIDRÔMETRO DN 1 1/2", 20 M³/H - FORNECIMENTO E INSTALAÇÃO. AF_03/2024</v>
          </cell>
          <cell r="D9395" t="str">
            <v>UN</v>
          </cell>
          <cell r="E9395">
            <v>966.07</v>
          </cell>
          <cell r="F9395">
            <v>0</v>
          </cell>
        </row>
        <row r="9396">
          <cell r="B9396">
            <v>104998</v>
          </cell>
          <cell r="C9396" t="str">
            <v>HIDRÔMETRO DN 1", 10 M³/H - FORNECIMENTO E INSTALAÇÃO. AF_03/2024</v>
          </cell>
          <cell r="D9396" t="str">
            <v>UN</v>
          </cell>
          <cell r="E9396">
            <v>595.78</v>
          </cell>
          <cell r="F9396">
            <v>0</v>
          </cell>
        </row>
        <row r="9397">
          <cell r="B9397">
            <v>104997</v>
          </cell>
          <cell r="C9397" t="str">
            <v>HIDRÔMETRO DN 1", 7 M³/H - FORNECIMENTO E INSTALAÇÃO. AF_03/2024</v>
          </cell>
          <cell r="D9397" t="str">
            <v>UN</v>
          </cell>
          <cell r="E9397">
            <v>449.15</v>
          </cell>
          <cell r="F9397">
            <v>0</v>
          </cell>
        </row>
        <row r="9398">
          <cell r="B9398">
            <v>95673</v>
          </cell>
          <cell r="C9398" t="str">
            <v>HIDRÔMETRO DN 1/2", 1,5 M3/H - FORNECIMENTO E INSTALAÇÃO. AF_03/2024</v>
          </cell>
          <cell r="D9398" t="str">
            <v>UN</v>
          </cell>
          <cell r="E9398">
            <v>136.83000000000001</v>
          </cell>
          <cell r="F9398">
            <v>0</v>
          </cell>
        </row>
        <row r="9399">
          <cell r="B9399">
            <v>95674</v>
          </cell>
          <cell r="C9399" t="str">
            <v>HIDRÔMETRO DN 1/2", 3,0 M3/H - FORNECIMENTO E INSTALAÇÃO. AF_03/2024</v>
          </cell>
          <cell r="D9399" t="str">
            <v>UN</v>
          </cell>
          <cell r="E9399">
            <v>144.54</v>
          </cell>
          <cell r="F9399">
            <v>0</v>
          </cell>
        </row>
        <row r="9400">
          <cell r="B9400">
            <v>104992</v>
          </cell>
          <cell r="C9400" t="str">
            <v>HIDRÔMETRO DN 2", 30 M³/H - FORNECIMENTO E INSTALAÇÃO. AF_03/2024</v>
          </cell>
          <cell r="D9400" t="str">
            <v>UN</v>
          </cell>
          <cell r="E9400">
            <v>1344.11</v>
          </cell>
          <cell r="F9400">
            <v>0</v>
          </cell>
        </row>
        <row r="9401">
          <cell r="B9401">
            <v>95675</v>
          </cell>
          <cell r="C9401" t="str">
            <v>HIDRÔMETRO DN 3/4", 5,0 M3/H - FORNECIMENTO E INSTALAÇÃO. AF_03/2024</v>
          </cell>
          <cell r="D9401" t="str">
            <v>UN</v>
          </cell>
          <cell r="E9401">
            <v>178.38</v>
          </cell>
          <cell r="F9401">
            <v>0</v>
          </cell>
        </row>
        <row r="9402">
          <cell r="B9402">
            <v>95648</v>
          </cell>
          <cell r="C9402" t="str">
            <v>KIT CAVALETE PARA MEDIÇÃO DE ÁGUA - ENTRADA INDIVIDUALIZADA, EM CPVC DN 28 MM (1"), PARA 1 MEDIDOR - FORNECIMENTO E INSTALAÇÃO (EXCLUSIVE HIDRÔMETRO). AF_03/2024</v>
          </cell>
          <cell r="D9402" t="str">
            <v>UN</v>
          </cell>
          <cell r="E9402">
            <v>608.97</v>
          </cell>
          <cell r="F9402">
            <v>0</v>
          </cell>
        </row>
        <row r="9403">
          <cell r="B9403">
            <v>95649</v>
          </cell>
          <cell r="C9403" t="str">
            <v>KIT CAVALETE PARA MEDIÇÃO DE ÁGUA - ENTRADA INDIVIDUALIZADA, EM CPVC DN 28 MM (1"), PARA 2 MEDIDORES - FORNECIMENTO E INSTALAÇÃO (EXCLUSIVE HIDRÔMETRO). AF_03/2024</v>
          </cell>
          <cell r="D9403" t="str">
            <v>UN</v>
          </cell>
          <cell r="E9403">
            <v>1049.82</v>
          </cell>
          <cell r="F9403">
            <v>0</v>
          </cell>
        </row>
        <row r="9404">
          <cell r="B9404">
            <v>95650</v>
          </cell>
          <cell r="C9404" t="str">
            <v>KIT CAVALETE PARA MEDIÇÃO DE ÁGUA - ENTRADA INDIVIDUALIZADA, EM CPVC DN 28 MM (1"), PARA 3 MEDIDORES - FORNECIMENTO E INSTALAÇÃO (EXCLUSIVE HIDRÔMETRO). AF_03/2024</v>
          </cell>
          <cell r="D9404" t="str">
            <v>UN</v>
          </cell>
          <cell r="E9404">
            <v>1534.23</v>
          </cell>
          <cell r="F9404">
            <v>0</v>
          </cell>
        </row>
        <row r="9405">
          <cell r="B9405">
            <v>95651</v>
          </cell>
          <cell r="C9405" t="str">
            <v>KIT CAVALETE PARA MEDIÇÃO DE ÁGUA - ENTRADA INDIVIDUALIZADA, EM CPVC DN 28 MM (1"), PARA 4 MEDIDORES - FORNECIMENTO E INSTALAÇÃO (EXCLUSIVE HIDRÔMETRO). AF_03/2024</v>
          </cell>
          <cell r="D9405" t="str">
            <v>UN</v>
          </cell>
          <cell r="E9405">
            <v>1992.38</v>
          </cell>
          <cell r="F9405">
            <v>0</v>
          </cell>
        </row>
        <row r="9406">
          <cell r="B9406">
            <v>95652</v>
          </cell>
          <cell r="C9406" t="str">
            <v>KIT CAVALETE PARA MEDIÇÃO DE ÁGUA - ENTRADA INDIVIDUALIZADA, EM CPVC DN 35 MM (1 1/4"), PARA 1 MEDIDOR - FORNECIMENTO E INSTALAÇÃO (EXCLUSIVE HIDRÔMETRO). AF_03/2024</v>
          </cell>
          <cell r="D9406" t="str">
            <v>UN</v>
          </cell>
          <cell r="E9406">
            <v>747.43</v>
          </cell>
          <cell r="F9406">
            <v>0</v>
          </cell>
        </row>
        <row r="9407">
          <cell r="B9407">
            <v>95653</v>
          </cell>
          <cell r="C9407" t="str">
            <v>KIT CAVALETE PARA MEDIÇÃO DE ÁGUA - ENTRADA INDIVIDUALIZADA, EM CPVC DN 35 MM (1 1/4"), PARA 2 MEDIDORES - FORNECIMENTO E INSTALAÇÃO (EXCLUSIVE HIDRÔMETRO). AF_03/2024</v>
          </cell>
          <cell r="D9407" t="str">
            <v>UN</v>
          </cell>
          <cell r="E9407">
            <v>1324.83</v>
          </cell>
          <cell r="F9407">
            <v>0</v>
          </cell>
        </row>
        <row r="9408">
          <cell r="B9408">
            <v>95654</v>
          </cell>
          <cell r="C9408" t="str">
            <v>KIT CAVALETE PARA MEDIÇÃO DE ÁGUA - ENTRADA INDIVIDUALIZADA, EM CPVC DN 35 MM (1 1/4"), PARA 3 MEDIDORES - FORNECIMENTO E INSTALAÇÃO (EXCLUSIVE HIDRÔMETRO). AF_03/2024</v>
          </cell>
          <cell r="D9408" t="str">
            <v>UN</v>
          </cell>
          <cell r="E9408">
            <v>1951.59</v>
          </cell>
          <cell r="F9408">
            <v>0</v>
          </cell>
        </row>
        <row r="9409">
          <cell r="B9409">
            <v>95655</v>
          </cell>
          <cell r="C9409" t="str">
            <v>KIT CAVALETE PARA MEDIÇÃO DE ÁGUA - ENTRADA INDIVIDUALIZADA, EM CPVC DN 35 MM (1 1/4"), PARA 4 MEDIDORES - FORNECIMENTO E INSTALAÇÃO (EXCLUSIVE HIDRÔMETRO). AF_03/2024</v>
          </cell>
          <cell r="D9409" t="str">
            <v>UN</v>
          </cell>
          <cell r="E9409">
            <v>2544.96</v>
          </cell>
          <cell r="F9409">
            <v>0</v>
          </cell>
        </row>
        <row r="9410">
          <cell r="B9410">
            <v>95657</v>
          </cell>
          <cell r="C9410" t="str">
            <v>KIT CAVALETE PARA MEDIÇÃO DE ÁGUA - ENTRADA INDIVIDUALIZADA, EM PPR PN20 DN 25 MM (3/4") PARA 1 MEDIDOR - FORNECIMENTO E INSTALAÇÃO (EXCLUSIVE HIDRÔMETRO). AF_03/2024</v>
          </cell>
          <cell r="D9410" t="str">
            <v>UN</v>
          </cell>
          <cell r="E9410">
            <v>377.04</v>
          </cell>
          <cell r="F9410">
            <v>0</v>
          </cell>
        </row>
        <row r="9411">
          <cell r="B9411">
            <v>95658</v>
          </cell>
          <cell r="C9411" t="str">
            <v>KIT CAVALETE PARA MEDIÇÃO DE ÁGUA - ENTRADA INDIVIDUALIZADA, EM PPR PN20 DN 25 MM (3/4") PARA 2 MEDIDORES - FORNECIMENTO E INSTALAÇÃO (EXCLUSIVE HIDRÔMETRO). AF_03/2024</v>
          </cell>
          <cell r="D9411" t="str">
            <v>UN</v>
          </cell>
          <cell r="E9411">
            <v>682.05</v>
          </cell>
          <cell r="F9411">
            <v>0</v>
          </cell>
        </row>
        <row r="9412">
          <cell r="B9412">
            <v>95659</v>
          </cell>
          <cell r="C9412" t="str">
            <v>KIT CAVALETE PARA MEDIÇÃO DE ÁGUA - ENTRADA INDIVIDUALIZADA, EM PPR PN20 DN 25 MM (3/4") PARA 3 MEDIDORES - FORNECIMENTO E INSTALAÇÃO (EXCLUSIVE HIDRÔMETRO). AF_03/2024</v>
          </cell>
          <cell r="D9412" t="str">
            <v>UN</v>
          </cell>
          <cell r="E9412">
            <v>1014.05</v>
          </cell>
          <cell r="F9412">
            <v>0</v>
          </cell>
        </row>
        <row r="9413">
          <cell r="B9413">
            <v>95660</v>
          </cell>
          <cell r="C9413" t="str">
            <v>KIT CAVALETE PARA MEDIÇÃO DE ÁGUA - ENTRADA INDIVIDUALIZADA, EM PPR PN20 DN 25 MM (3/4") PARA 4 MEDIDORES - FORNECIMENTO E INSTALAÇÃO (EXCLUSIVE HIDRÔMETRO). AF_03/2024</v>
          </cell>
          <cell r="D9413" t="str">
            <v>UN</v>
          </cell>
          <cell r="E9413">
            <v>1327.51</v>
          </cell>
          <cell r="F9413">
            <v>0</v>
          </cell>
        </row>
        <row r="9414">
          <cell r="B9414">
            <v>95661</v>
          </cell>
          <cell r="C9414" t="str">
            <v>KIT CAVALETE PARA MEDIÇÃO DE ÁGUA - ENTRADA INDIVIDUALIZADA, EM PPR PN20 DN 32 MM (1") PARA 1 MEDIDOR - FORNECIMENTO E INSTALAÇÃO (EXCLUSIVE HIDRÔMETRO). AF_03/2024</v>
          </cell>
          <cell r="D9414" t="str">
            <v>UN</v>
          </cell>
          <cell r="E9414">
            <v>459.15</v>
          </cell>
          <cell r="F9414">
            <v>0</v>
          </cell>
        </row>
        <row r="9415">
          <cell r="B9415">
            <v>95662</v>
          </cell>
          <cell r="C9415" t="str">
            <v>KIT CAVALETE PARA MEDIÇÃO DE ÁGUA - ENTRADA INDIVIDUALIZADA, EM PPR PN20 DN 32 MM (1") PARA 2 MEDIDORES - FORNECIMENTO E INSTALAÇÃO (EXCLUSIVE HIDRÔMETRO). AF_03/2024</v>
          </cell>
          <cell r="D9415" t="str">
            <v>UN</v>
          </cell>
          <cell r="E9415">
            <v>844.56</v>
          </cell>
          <cell r="F9415">
            <v>0</v>
          </cell>
        </row>
        <row r="9416">
          <cell r="B9416">
            <v>95663</v>
          </cell>
          <cell r="C9416" t="str">
            <v>KIT CAVALETE PARA MEDIÇÃO DE ÁGUA - ENTRADA INDIVIDUALIZADA, EM PPR PN20 DN 32 MM (1") PARA 3 MEDIDORES - FORNECIMENTO E INSTALAÇÃO (EXCLUSIVE HIDRÔMETRO). AF_03/2024</v>
          </cell>
          <cell r="D9416" t="str">
            <v>UN</v>
          </cell>
          <cell r="E9416">
            <v>1262.0899999999999</v>
          </cell>
          <cell r="F9416">
            <v>0</v>
          </cell>
        </row>
        <row r="9417">
          <cell r="B9417">
            <v>95664</v>
          </cell>
          <cell r="C9417" t="str">
            <v>KIT CAVALETE PARA MEDIÇÃO DE ÁGUA - ENTRADA INDIVIDUALIZADA, EM PPR PN20 DN 32 MM (1") PARA 4 MEDIDORES - FORNECIMENTO E INSTALAÇÃO (EXCLUSIVE HIDRÔMETRO). AF_03/2024</v>
          </cell>
          <cell r="D9417" t="str">
            <v>UN</v>
          </cell>
          <cell r="E9417">
            <v>1654.81</v>
          </cell>
          <cell r="F9417">
            <v>0</v>
          </cell>
        </row>
        <row r="9418">
          <cell r="B9418">
            <v>95665</v>
          </cell>
          <cell r="C9418" t="str">
            <v>KIT CAVALETE PARA MEDIÇÃO DE ÁGUA - ENTRADA INDIVIDUALIZADA, EM PPR PN25 DN 25 MM (3/4") PARA 1 MEDIDOR - FORNECIMENTO E INSTALAÇÃO (EXCLUSIVE HIDRÔMETRO). AF_03/2024</v>
          </cell>
          <cell r="D9418" t="str">
            <v>UN</v>
          </cell>
          <cell r="E9418">
            <v>417.41</v>
          </cell>
          <cell r="F9418">
            <v>0</v>
          </cell>
        </row>
        <row r="9419">
          <cell r="B9419">
            <v>95666</v>
          </cell>
          <cell r="C9419" t="str">
            <v>KIT CAVALETE PARA MEDIÇÃO DE ÁGUA - ENTRADA INDIVIDUALIZADA, EM PPR PN25 DN 25 MM (3/4") PARA 2 MEDIDORES - FORNECIMENTO E INSTALAÇÃO (EXCLUSIVE HIDRÔMETRO). AF_03/2024</v>
          </cell>
          <cell r="D9419" t="str">
            <v>UN</v>
          </cell>
          <cell r="E9419">
            <v>735.2</v>
          </cell>
          <cell r="F9419">
            <v>0</v>
          </cell>
        </row>
        <row r="9420">
          <cell r="B9420">
            <v>95667</v>
          </cell>
          <cell r="C9420" t="str">
            <v>KIT CAVALETE PARA MEDIÇÃO DE ÁGUA - ENTRADA INDIVIDUALIZADA, EM PPR PN25 DN 25 MM (3/4") PARA 3 MEDIDORES - FORNECIMENTO E INSTALAÇÃO (EXCLUSIVE HIDRÔMETRO). AF_03/2024</v>
          </cell>
          <cell r="D9420" t="str">
            <v>UN</v>
          </cell>
          <cell r="E9420">
            <v>1088.1099999999999</v>
          </cell>
          <cell r="F9420">
            <v>0</v>
          </cell>
        </row>
        <row r="9421">
          <cell r="B9421">
            <v>95668</v>
          </cell>
          <cell r="C9421" t="str">
            <v>KIT CAVALETE PARA MEDIÇÃO DE ÁGUA - ENTRADA INDIVIDUALIZADA, EM PPR PN25 DN 25 MM (3/4") PARA 4 MEDIDORES - FORNECIMENTO E INSTALAÇÃO (EXCLUSIVE HIDRÔMETRO). AF_03/2024</v>
          </cell>
          <cell r="D9421" t="str">
            <v>UN</v>
          </cell>
          <cell r="E9421">
            <v>1419.84</v>
          </cell>
          <cell r="F9421">
            <v>0</v>
          </cell>
        </row>
        <row r="9422">
          <cell r="B9422">
            <v>95669</v>
          </cell>
          <cell r="C9422" t="str">
            <v>KIT CAVALETE PARA MEDIÇÃO DE ÁGUA - ENTRADA INDIVIDUALIZADA, EM PPR PN25 DN 32 MM (1") PARA 1 MEDIDOR - FORNECIMENTO E INSTALAÇÃO (EXCLUSIVE HIDRÔMETRO). AF_03/2024</v>
          </cell>
          <cell r="D9422" t="str">
            <v>UN</v>
          </cell>
          <cell r="E9422">
            <v>495.42</v>
          </cell>
          <cell r="F9422">
            <v>0</v>
          </cell>
        </row>
        <row r="9423">
          <cell r="B9423">
            <v>95670</v>
          </cell>
          <cell r="C9423" t="str">
            <v>KIT CAVALETE PARA MEDIÇÃO DE ÁGUA - ENTRADA INDIVIDUALIZADA, EM PPR PN25 DN 32 MM (1") PARA 2 MEDIDORES - FORNECIMENTO E INSTALAÇÃO (EXCLUSIVE HIDRÔMETRO). AF_03/2024</v>
          </cell>
          <cell r="D9423" t="str">
            <v>UN</v>
          </cell>
          <cell r="E9423">
            <v>889.72</v>
          </cell>
          <cell r="F9423">
            <v>0</v>
          </cell>
        </row>
        <row r="9424">
          <cell r="B9424">
            <v>95671</v>
          </cell>
          <cell r="C9424" t="str">
            <v>KIT CAVALETE PARA MEDIÇÃO DE ÁGUA - ENTRADA INDIVIDUALIZADA, EM PPR PN25 DN 32 MM (1") PARA 3 MEDIDORES - FORNECIMENTO E INSTALAÇÃO (EXCLUSIVE HIDRÔMETRO). AF_03/2024</v>
          </cell>
          <cell r="D9424" t="str">
            <v>UN</v>
          </cell>
          <cell r="E9424">
            <v>1323.59</v>
          </cell>
          <cell r="F9424">
            <v>0</v>
          </cell>
        </row>
        <row r="9425">
          <cell r="B9425">
            <v>95672</v>
          </cell>
          <cell r="C9425" t="str">
            <v>KIT CAVALETE PARA MEDIÇÃO DE ÁGUA - ENTRADA INDIVIDUALIZADA, EM PPR PN25 DN 32 MM (1") PARA 4 MEDIDORES - FORNECIMENTO E INSTALAÇÃO (EXCLUSIVE HIDRÔMETRO). AF_03/2024</v>
          </cell>
          <cell r="D9425" t="str">
            <v>UN</v>
          </cell>
          <cell r="E9425">
            <v>1730.88</v>
          </cell>
          <cell r="F9425">
            <v>0</v>
          </cell>
        </row>
        <row r="9426">
          <cell r="B9426">
            <v>97741</v>
          </cell>
          <cell r="C9426" t="str">
            <v>KIT CAVALETE PARA MEDIÇÃO DE ÁGUA - ENTRADA INDIVIDUALIZADA, EM PVC 25 MM (3/4"), PARA 1 MEDIDOR - FORNECIMENTO E INSTALAÇÃO (EXCLUSIVE HIDRÔMETRO). AF_03/2024</v>
          </cell>
          <cell r="D9426" t="str">
            <v>UN</v>
          </cell>
          <cell r="E9426">
            <v>203.4</v>
          </cell>
          <cell r="F9426">
            <v>0</v>
          </cell>
        </row>
        <row r="9427">
          <cell r="B9427">
            <v>95641</v>
          </cell>
          <cell r="C9427" t="str">
            <v>KIT CAVALETE PARA MEDIÇÃO DE ÁGUA - ENTRADA INDIVIDUALIZADA, EM PVC 25 MM (3/4"), PARA 2 MEDIDORES - FORNECIMENTO E INSTALAÇÃO (EXCLUSIVE HIDRÔMETRO). AF_03/2024</v>
          </cell>
          <cell r="D9427" t="str">
            <v>UN</v>
          </cell>
          <cell r="E9427">
            <v>358.91</v>
          </cell>
          <cell r="F9427">
            <v>0</v>
          </cell>
        </row>
        <row r="9428">
          <cell r="B9428">
            <v>95642</v>
          </cell>
          <cell r="C9428" t="str">
            <v>KIT CAVALETE PARA MEDIÇÃO DE ÁGUA - ENTRADA INDIVIDUALIZADA, EM PVC 25 MM (3/4"), PARA 3 MEDIDORES - FORNECIMENTO E INSTALAÇÃO (EXCLUSIVE HIDRÔMETRO). AF_03/2024</v>
          </cell>
          <cell r="D9428" t="str">
            <v>UN</v>
          </cell>
          <cell r="E9428">
            <v>530.51</v>
          </cell>
          <cell r="F9428">
            <v>0</v>
          </cell>
        </row>
        <row r="9429">
          <cell r="B9429">
            <v>95643</v>
          </cell>
          <cell r="C9429" t="str">
            <v>KIT CAVALETE PARA MEDIÇÃO DE ÁGUA - ENTRADA INDIVIDUALIZADA, EM PVC 25 MM (3/4"), PARA 4 MEDIDORES - FORNECIMENTO E INSTALAÇÃO (EXCLUSIVE HIDRÔMETRO). AF_03/2024</v>
          </cell>
          <cell r="D9429" t="str">
            <v>UN</v>
          </cell>
          <cell r="E9429">
            <v>692.31</v>
          </cell>
          <cell r="F9429">
            <v>0</v>
          </cell>
        </row>
        <row r="9430">
          <cell r="B9430">
            <v>95644</v>
          </cell>
          <cell r="C9430" t="str">
            <v>KIT CAVALETE PARA MEDIÇÃO DE ÁGUA - ENTRADA INDIVIDUALIZADA, EM PVC 32 MM (1"), PARA 1 MEDIDOR - FORNECIMENTO E INSTALAÇÃO (EXCLUSIVE HIDRÔMETRO). AF_03/2024</v>
          </cell>
          <cell r="D9430" t="str">
            <v>UN</v>
          </cell>
          <cell r="E9430">
            <v>258.72000000000003</v>
          </cell>
          <cell r="F9430">
            <v>0</v>
          </cell>
        </row>
        <row r="9431">
          <cell r="B9431">
            <v>95645</v>
          </cell>
          <cell r="C9431" t="str">
            <v>KIT CAVALETE PARA MEDIÇÃO DE ÁGUA - ENTRADA INDIVIDUALIZADA, EM PVC 32 MM (1"), PARA 2 MEDIDORES - FORNECIMENTO E INSTALAÇÃO (EXCLUSIVE HIDRÔMETRO). AF_03/2024</v>
          </cell>
          <cell r="D9431" t="str">
            <v>UN</v>
          </cell>
          <cell r="E9431">
            <v>468.33</v>
          </cell>
          <cell r="F9431">
            <v>0</v>
          </cell>
        </row>
        <row r="9432">
          <cell r="B9432">
            <v>95646</v>
          </cell>
          <cell r="C9432" t="str">
            <v>KIT CAVALETE PARA MEDIÇÃO DE ÁGUA - ENTRADA INDIVIDUALIZADA, EM PVC 32 MM (1"), PARA 3 MEDIDORES - FORNECIMENTO E INSTALAÇÃO (EXCLUSIVE HIDRÔMETRO). AF_03/2024</v>
          </cell>
          <cell r="D9432" t="str">
            <v>UN</v>
          </cell>
          <cell r="E9432">
            <v>697.75</v>
          </cell>
          <cell r="F9432">
            <v>0</v>
          </cell>
        </row>
        <row r="9433">
          <cell r="B9433">
            <v>95647</v>
          </cell>
          <cell r="C9433" t="str">
            <v>KIT CAVALETE PARA MEDIÇÃO DE ÁGUA - ENTRADA INDIVIDUALIZADA, EM PVC 32 MM (1"), PARA 4 MEDIDORES - FORNECIMENTO E INSTALAÇÃO (EXCLUSIVE HIDRÔMETRO). AF_03/2024</v>
          </cell>
          <cell r="D9433" t="str">
            <v>UN</v>
          </cell>
          <cell r="E9433">
            <v>912.83</v>
          </cell>
          <cell r="F9433">
            <v>0</v>
          </cell>
        </row>
        <row r="9434">
          <cell r="B9434">
            <v>95636</v>
          </cell>
          <cell r="C9434" t="str">
            <v>KIT CAVALETE PARA MEDIÇÃO DE ÁGUA - ENTRADA PRINCIPAL, EM AÇO GALVANIZADO DN 25 MM (1") - FORNECIMENTO E INSTALAÇÃO (EXCLUSIVE HIDRÔMETRO). AF_03/2024</v>
          </cell>
          <cell r="D9434" t="str">
            <v>UN</v>
          </cell>
          <cell r="E9434">
            <v>466.95</v>
          </cell>
          <cell r="F9434">
            <v>0</v>
          </cell>
        </row>
        <row r="9435">
          <cell r="B9435">
            <v>95637</v>
          </cell>
          <cell r="C9435" t="str">
            <v>KIT CAVALETE PARA MEDIÇÃO DE ÁGUA - ENTRADA PRINCIPAL, EM AÇO GALVANIZADO DN 32 MM (1 1/4") - FORNECIMENTO E INSTALAÇÃO (EXCLUSIVE HIDRÔMETRO). AF_03/2024</v>
          </cell>
          <cell r="D9435" t="str">
            <v>UN</v>
          </cell>
          <cell r="E9435">
            <v>608.69000000000005</v>
          </cell>
          <cell r="F9435">
            <v>0</v>
          </cell>
        </row>
        <row r="9436">
          <cell r="B9436">
            <v>95638</v>
          </cell>
          <cell r="C9436" t="str">
            <v>KIT CAVALETE PARA MEDIÇÃO DE ÁGUA - ENTRADA PRINCIPAL, EM AÇO GALVANIZADO DN 40 MM (1 1/2") - FORNECIMENTO E INSTALAÇÃO (EXCLUSIVE HIDRÔMETRO). AF_03/2024</v>
          </cell>
          <cell r="D9436" t="str">
            <v>UN</v>
          </cell>
          <cell r="E9436">
            <v>747.01</v>
          </cell>
          <cell r="F9436">
            <v>0</v>
          </cell>
        </row>
        <row r="9437">
          <cell r="B9437">
            <v>95639</v>
          </cell>
          <cell r="C9437" t="str">
            <v>KIT CAVALETE PARA MEDIÇÃO DE ÁGUA - ENTRADA PRINCIPAL, EM AÇO GALVANIZADO DN 50 MM (2") - FORNECIMENTO E INSTALAÇÃO (EXCLUSIVE HIDRÔMETRO). AF_03/2024</v>
          </cell>
          <cell r="D9437" t="str">
            <v>UN</v>
          </cell>
          <cell r="E9437">
            <v>1005.86</v>
          </cell>
          <cell r="F9437">
            <v>0</v>
          </cell>
        </row>
        <row r="9438">
          <cell r="B9438">
            <v>95634</v>
          </cell>
          <cell r="C9438" t="str">
            <v>KIT CAVALETE PARA MEDIÇÃO DE ÁGUA - ENTRADA PRINCIPAL, EM PVC 20 MM (1/2") - FORNECIMENTO E INSTALAÇÃO (EXCLUSIVE HIDRÔMETRO). AF_03/2024</v>
          </cell>
          <cell r="D9438" t="str">
            <v>UN</v>
          </cell>
          <cell r="E9438">
            <v>259.01</v>
          </cell>
          <cell r="F9438">
            <v>0</v>
          </cell>
        </row>
        <row r="9439">
          <cell r="B9439">
            <v>95635</v>
          </cell>
          <cell r="C9439" t="str">
            <v>KIT CAVALETE PARA MEDIÇÃO DE ÁGUA - ENTRADA PRINCIPAL, EM PVC 25 MM (3/4") - FORNECIMENTO E INSTALAÇÃO (EXCLUSIVE HIDRÔMETRO). AF_03/2024</v>
          </cell>
          <cell r="D9439" t="str">
            <v>UN</v>
          </cell>
          <cell r="E9439">
            <v>274.32</v>
          </cell>
          <cell r="F9439">
            <v>0</v>
          </cell>
        </row>
        <row r="9440">
          <cell r="B9440">
            <v>98751</v>
          </cell>
          <cell r="C9440" t="str">
            <v>SOLDA DE TOPO EM CHAPA/PERFIL/TUBO DE AÇO CHANFRADO, ESPESSURA=1/2''. AF_06/2018</v>
          </cell>
          <cell r="D9440" t="str">
            <v>M</v>
          </cell>
          <cell r="E9440">
            <v>195.03</v>
          </cell>
          <cell r="F9440">
            <v>0</v>
          </cell>
        </row>
        <row r="9441">
          <cell r="B9441">
            <v>98746</v>
          </cell>
          <cell r="C9441" t="str">
            <v>SOLDA DE TOPO EM CHAPA/PERFIL/TUBO DE AÇO CHANFRADO, ESPESSURA=1/4''. AF_06/2018</v>
          </cell>
          <cell r="D9441" t="str">
            <v>M</v>
          </cell>
          <cell r="E9441">
            <v>94.53</v>
          </cell>
          <cell r="F9441">
            <v>0</v>
          </cell>
        </row>
        <row r="9442">
          <cell r="B9442">
            <v>98753</v>
          </cell>
          <cell r="C9442" t="str">
            <v>SOLDA DE TOPO EM CHAPA/PERFIL/TUBO DE AÇO CHANFRADO, ESPESSURA=3/4''. AF_06/2018</v>
          </cell>
          <cell r="D9442" t="str">
            <v>M</v>
          </cell>
          <cell r="E9442">
            <v>354.91</v>
          </cell>
          <cell r="F9442">
            <v>0</v>
          </cell>
        </row>
        <row r="9443">
          <cell r="B9443">
            <v>98750</v>
          </cell>
          <cell r="C9443" t="str">
            <v>SOLDA DE TOPO EM CHAPA/PERFIL/TUBO DE AÇO CHANFRADO, ESPESSURA=3/8''. AF_06/2018</v>
          </cell>
          <cell r="D9443" t="str">
            <v>M</v>
          </cell>
          <cell r="E9443">
            <v>135.88999999999999</v>
          </cell>
          <cell r="F9443">
            <v>0</v>
          </cell>
        </row>
        <row r="9444">
          <cell r="B9444">
            <v>98749</v>
          </cell>
          <cell r="C9444" t="str">
            <v>SOLDA DE TOPO EM CHAPA/PERFIL/TUBO DE AÇO CHANFRADO, ESPESSURA=5/16''. AF_06/2018</v>
          </cell>
          <cell r="D9444" t="str">
            <v>M</v>
          </cell>
          <cell r="E9444">
            <v>113.24</v>
          </cell>
          <cell r="F9444">
            <v>0</v>
          </cell>
        </row>
        <row r="9445">
          <cell r="B9445">
            <v>98752</v>
          </cell>
          <cell r="C9445" t="str">
            <v>SOLDA DE TOPO EM CHAPA/PERFIL/TUBO DE AÇO CHANFRADO, ESPESSURA=5/8''. AF_06/2018</v>
          </cell>
          <cell r="D9445" t="str">
            <v>M</v>
          </cell>
          <cell r="E9445">
            <v>266.27999999999997</v>
          </cell>
          <cell r="F9445">
            <v>0</v>
          </cell>
        </row>
        <row r="9446">
          <cell r="B9446">
            <v>98529</v>
          </cell>
          <cell r="C9446" t="str">
            <v>CORTE RASO E RECORTE DE ÁRVORE COM DIÂMETRO DE TRONCO MAIOR OU IGUAL A 0,20 M E MENOR QUE 0,40 M. AF_03/2024</v>
          </cell>
          <cell r="D9446" t="str">
            <v>UN</v>
          </cell>
          <cell r="E9446">
            <v>104.95</v>
          </cell>
          <cell r="F9446">
            <v>0</v>
          </cell>
        </row>
        <row r="9447">
          <cell r="B9447">
            <v>98530</v>
          </cell>
          <cell r="C9447" t="str">
            <v>CORTE RASO E RECORTE DE ÁRVORE COM DIÂMETRO DE TRONCO MAIOR OU IGUAL A 0,40 M E MENOR QUE 0,60 M. AF_03/2024</v>
          </cell>
          <cell r="D9447" t="str">
            <v>UN</v>
          </cell>
          <cell r="E9447">
            <v>206.02</v>
          </cell>
          <cell r="F9447">
            <v>0</v>
          </cell>
        </row>
        <row r="9448">
          <cell r="B9448">
            <v>98531</v>
          </cell>
          <cell r="C9448" t="str">
            <v>CORTE RASO E RECORTE DE ÁRVORE COM DIÂMETRO DE TRONCO MAIOR OU IGUAL A 0,60 M. AF_03/2024</v>
          </cell>
          <cell r="D9448" t="str">
            <v>UN</v>
          </cell>
          <cell r="E9448">
            <v>477.45</v>
          </cell>
          <cell r="F9448">
            <v>0</v>
          </cell>
        </row>
        <row r="9449">
          <cell r="B9449">
            <v>98524</v>
          </cell>
          <cell r="C9449" t="str">
            <v>LIMPEZA MANUAL DE VEGETAÇÃO EM TERRENO COM ENXADA. AF_03/2024</v>
          </cell>
          <cell r="D9449" t="str">
            <v>M2</v>
          </cell>
          <cell r="E9449">
            <v>6.64</v>
          </cell>
          <cell r="F9449">
            <v>0</v>
          </cell>
        </row>
        <row r="9450">
          <cell r="B9450">
            <v>98525</v>
          </cell>
          <cell r="C9450" t="str">
            <v>LIMPEZA MECANIZADA DE CAMADA VEGETAL, VEGETAÇÃO E PEQUENAS ÁRVORES (DIÂMETRO DE TRONCO MENOR QUE 0,20 M), COM TRATOR DE ESTEIRAS. AF_03/2024</v>
          </cell>
          <cell r="D9450" t="str">
            <v>M2</v>
          </cell>
          <cell r="E9450">
            <v>0.74</v>
          </cell>
          <cell r="F9450">
            <v>0</v>
          </cell>
        </row>
        <row r="9451">
          <cell r="B9451">
            <v>98533</v>
          </cell>
          <cell r="C9451" t="str">
            <v>PODA EM ALTURA DE ÁRVORE COM DIÂMETRO DE TRONCO MAIOR OU IGUAL A 0,20 M E MENOR QUE 0,40 M. AF_03/2024</v>
          </cell>
          <cell r="D9451" t="str">
            <v>UN</v>
          </cell>
          <cell r="E9451">
            <v>144.5</v>
          </cell>
          <cell r="F9451">
            <v>0</v>
          </cell>
        </row>
        <row r="9452">
          <cell r="B9452">
            <v>98534</v>
          </cell>
          <cell r="C9452" t="str">
            <v>PODA EM ALTURA DE ÁRVORE COM DIÂMETRO DE TRONCO MAIOR OU IGUAL A 0,40 M E MENOR QUE 0,60 M. AF_03/2024</v>
          </cell>
          <cell r="D9452" t="str">
            <v>UN</v>
          </cell>
          <cell r="E9452">
            <v>398.51</v>
          </cell>
          <cell r="F9452">
            <v>0</v>
          </cell>
        </row>
        <row r="9453">
          <cell r="B9453">
            <v>98535</v>
          </cell>
          <cell r="C9453" t="str">
            <v>PODA EM ALTURA DE ÁRVORE COM DIÂMETRO DE TRONCO MAIOR OU IGUAL A 0,60 M. AF_03/2024</v>
          </cell>
          <cell r="D9453" t="str">
            <v>UN</v>
          </cell>
          <cell r="E9453">
            <v>846.95</v>
          </cell>
          <cell r="F9453">
            <v>0</v>
          </cell>
        </row>
        <row r="9454">
          <cell r="B9454">
            <v>98532</v>
          </cell>
          <cell r="C9454" t="str">
            <v>PODA EM ALTURA DE ÁRVORE COM DIÂMETRO DE TRONCO MENOR QUE 0,20 M. AF_03/2024</v>
          </cell>
          <cell r="D9454" t="str">
            <v>UN</v>
          </cell>
          <cell r="E9454">
            <v>37.08</v>
          </cell>
          <cell r="F9454">
            <v>0</v>
          </cell>
        </row>
        <row r="9455">
          <cell r="B9455">
            <v>98526</v>
          </cell>
          <cell r="C9455" t="str">
            <v>REMOÇÃO DE RAÍZES REMANESCENTES DE TRONCO DE ÁRVORE COM DIÂMETRO MAIOR OU IGUAL A 0,20 M E MENOR QUE 0,40 M. AF_03/2024</v>
          </cell>
          <cell r="D9455" t="str">
            <v>UN</v>
          </cell>
          <cell r="E9455">
            <v>165.76</v>
          </cell>
          <cell r="F9455">
            <v>0</v>
          </cell>
        </row>
        <row r="9456">
          <cell r="B9456">
            <v>98527</v>
          </cell>
          <cell r="C9456" t="str">
            <v>REMOÇÃO DE RAÍZES REMANESCENTES DE TRONCO DE ÁRVORE COM DIÂMETRO MAIOR OU IGUAL A 0,40 M E MENOR QUE 0,60 M. AF_03/2024</v>
          </cell>
          <cell r="D9456" t="str">
            <v>UN</v>
          </cell>
          <cell r="E9456">
            <v>275.10000000000002</v>
          </cell>
          <cell r="F9456">
            <v>0</v>
          </cell>
        </row>
        <row r="9457">
          <cell r="B9457">
            <v>98528</v>
          </cell>
          <cell r="C9457" t="str">
            <v>REMOÇÃO DE RAÍZES REMANESCENTES DE TRONCO DE ÁRVORE COM DIÂMETRO MAIOR OU IGUAL A 0,60 M. AF_03/2024</v>
          </cell>
          <cell r="D9457" t="str">
            <v>UN</v>
          </cell>
          <cell r="E9457">
            <v>362.58</v>
          </cell>
          <cell r="F9457">
            <v>0</v>
          </cell>
        </row>
        <row r="9458">
          <cell r="B9458">
            <v>94232</v>
          </cell>
          <cell r="C9458" t="str">
            <v>AMARRAÇÃO DE TELHAS CERÂMICAS OU DE CONCRETO. AF_07/2019</v>
          </cell>
          <cell r="D9458" t="str">
            <v>UN</v>
          </cell>
          <cell r="E9458">
            <v>3.74</v>
          </cell>
          <cell r="F9458">
            <v>0</v>
          </cell>
        </row>
        <row r="9459">
          <cell r="B9459">
            <v>100434</v>
          </cell>
          <cell r="C9459" t="str">
            <v>CALHA DE BEIRAL, SEMICIRCULAR DE PVC, DIAMETRO 125 MM, INCLUINDO CABECEIRAS, EMENDAS, BOCAIS, SUPORTES E VEDAÇÕES, EXCLUINDO CONDUTORES, INCLUSO TRANSPORTE VERTICAL. AF_07/2019</v>
          </cell>
          <cell r="D9459" t="str">
            <v>M</v>
          </cell>
          <cell r="E9459">
            <v>195.53</v>
          </cell>
          <cell r="F9459">
            <v>0</v>
          </cell>
        </row>
        <row r="9460">
          <cell r="B9460">
            <v>94229</v>
          </cell>
          <cell r="C9460" t="str">
            <v>CALHA EM CHAPA DE AÇO GALVANIZADO NÚMERO 24, DESENVOLVIMENTO DE 100 CM, INCLUSO TRANSPORTE VERTICAL. AF_07/2019</v>
          </cell>
          <cell r="D9460" t="str">
            <v>M</v>
          </cell>
          <cell r="E9460">
            <v>174.85</v>
          </cell>
          <cell r="F9460">
            <v>0</v>
          </cell>
        </row>
        <row r="9461">
          <cell r="B9461">
            <v>94227</v>
          </cell>
          <cell r="C9461" t="str">
            <v>CALHA EM CHAPA DE AÇO GALVANIZADO NÚMERO 24, DESENVOLVIMENTO DE 33 CM, INCLUSO TRANSPORTE VERTICAL. AF_07/2019</v>
          </cell>
          <cell r="D9461" t="str">
            <v>M</v>
          </cell>
          <cell r="E9461">
            <v>66.180000000000007</v>
          </cell>
          <cell r="F9461">
            <v>0</v>
          </cell>
        </row>
        <row r="9462">
          <cell r="B9462">
            <v>94228</v>
          </cell>
          <cell r="C9462" t="str">
            <v>CALHA EM CHAPA DE AÇO GALVANIZADO NÚMERO 24, DESENVOLVIMENTO DE 50 CM, INCLUSO TRANSPORTE VERTICAL. AF_07/2019</v>
          </cell>
          <cell r="D9462" t="str">
            <v>M</v>
          </cell>
          <cell r="E9462">
            <v>90.88</v>
          </cell>
          <cell r="F9462">
            <v>0</v>
          </cell>
        </row>
        <row r="9463">
          <cell r="B9463">
            <v>94219</v>
          </cell>
          <cell r="C9463" t="str">
            <v>CUMEEIRA E ESPIGÃO PARA TELHA CERÂMICA EMBOÇADA COM ARGAMASSA TRAÇO 1:2:9 (CIMENTO, CAL E AREIA), PARA TELHADOS COM MAIS DE 2 ÁGUAS, INCLUSO TRANSPORTE VERTICAL. AF_07/2019</v>
          </cell>
          <cell r="D9463" t="str">
            <v>M</v>
          </cell>
          <cell r="E9463">
            <v>55.12</v>
          </cell>
          <cell r="F9463">
            <v>0</v>
          </cell>
        </row>
        <row r="9464">
          <cell r="B9464">
            <v>94220</v>
          </cell>
          <cell r="C9464" t="str">
            <v>CUMEEIRA E ESPIGÃO PARA TELHA DE CONCRETO EMBOÇADA COM ARGAMASSA TRAÇO 1:2:9 (CIMENTO, CAL E AREIA), PARA TELHADOS COM MAIS DE 2 ÁGUAS, INCLUSO TRANSPORTE VERTICAL. AF_07/2019</v>
          </cell>
          <cell r="D9464" t="str">
            <v>M</v>
          </cell>
          <cell r="E9464">
            <v>62.56</v>
          </cell>
          <cell r="F9464">
            <v>0</v>
          </cell>
        </row>
        <row r="9465">
          <cell r="B9465">
            <v>100326</v>
          </cell>
          <cell r="C9465" t="str">
            <v>CUMEEIRA NORMAL PARA TELHA TRAPEZOIDAL DE AÇO, E = 0,5 MM, INCLUSO ACESSÓRIOS DE FIXAÇÃO E IÇAMENTO. AF_07/2019</v>
          </cell>
          <cell r="D9465" t="str">
            <v>M</v>
          </cell>
          <cell r="E9465">
            <v>0</v>
          </cell>
        </row>
        <row r="9466">
          <cell r="B9466">
            <v>94221</v>
          </cell>
          <cell r="C9466" t="str">
            <v>CUMEEIRA PARA TELHA CERÂMICA EMBOÇADA COM ARGAMASSA TRAÇO 1:2:9 (CIMENTO, CAL E AREIA) PARA TELHADOS COM ATÉ 2 ÁGUAS, INCLUSO TRANSPORTE VERTICAL. AF_07/2019</v>
          </cell>
          <cell r="D9466" t="str">
            <v>M</v>
          </cell>
          <cell r="E9466">
            <v>45.77</v>
          </cell>
          <cell r="F9466">
            <v>0</v>
          </cell>
        </row>
        <row r="9467">
          <cell r="B9467">
            <v>94222</v>
          </cell>
          <cell r="C9467" t="str">
            <v>CUMEEIRA PARA TELHA DE CONCRETO EMBOÇADA COM ARGAMASSA TRAÇO 1:2:9 (CIMENTO, CAL E AREIA) PARA TELHADOS COM ATÉ 2 ÁGUAS, INCLUSO TRANSPORTE VERTICAL. AF_07/2019</v>
          </cell>
          <cell r="D9467" t="str">
            <v>M</v>
          </cell>
          <cell r="E9467">
            <v>53.21</v>
          </cell>
          <cell r="F9467">
            <v>0</v>
          </cell>
        </row>
        <row r="9468">
          <cell r="B9468">
            <v>94451</v>
          </cell>
          <cell r="C9468" t="str">
            <v>CUMEEIRA PARA TELHA DE FIBROCIMENTO ESTRUTURAL E = 6 MM, INCLUSO ACESSÓRIOS DE FIXAÇÃO E IÇAMENTO. AF_07/2019</v>
          </cell>
          <cell r="D9468" t="str">
            <v>M</v>
          </cell>
          <cell r="E9468">
            <v>84.63</v>
          </cell>
          <cell r="F9468">
            <v>0</v>
          </cell>
        </row>
        <row r="9469">
          <cell r="B9469">
            <v>94223</v>
          </cell>
          <cell r="C9469" t="str">
            <v>CUMEEIRA PARA TELHA DE FIBROCIMENTO ONDULADA E = 6 MM, INCLUSO ACESSÓRIOS DE FIXAÇÃO E IÇAMENTO. AF_07/2019</v>
          </cell>
          <cell r="D9469" t="str">
            <v>M</v>
          </cell>
          <cell r="E9469">
            <v>76.16</v>
          </cell>
          <cell r="F9469">
            <v>0</v>
          </cell>
        </row>
        <row r="9470">
          <cell r="B9470">
            <v>100325</v>
          </cell>
          <cell r="C9470" t="str">
            <v>CUMEEIRA SHED PARA TELHA ONDULADA DE FIBROCIMENTO, E = 6 MM, INCLUSO ACESSÓRIOS DE FIXAÇÃO E IÇAMENTO. AF_07/2019</v>
          </cell>
          <cell r="D9470" t="str">
            <v>M</v>
          </cell>
          <cell r="E9470">
            <v>81.83</v>
          </cell>
          <cell r="F9470">
            <v>0</v>
          </cell>
        </row>
        <row r="9471">
          <cell r="B9471">
            <v>94224</v>
          </cell>
          <cell r="C9471" t="str">
            <v>EMBOÇAMENTO COM ARGAMASSA TRAÇO 1:2:9 (CIMENTO, CAL E AREIA). AF_07/2019</v>
          </cell>
          <cell r="D9471" t="str">
            <v>M</v>
          </cell>
          <cell r="E9471">
            <v>34.090000000000003</v>
          </cell>
          <cell r="F9471">
            <v>0</v>
          </cell>
        </row>
        <row r="9472">
          <cell r="B9472">
            <v>102653</v>
          </cell>
          <cell r="C9472" t="str">
            <v>ISOLAMENTO TERMOACÚSTICO COM LÃ MINERAL NA SUBCOBERTURA, INCLUSO TRANSPORTE VERTICAL. AF_07/2019</v>
          </cell>
          <cell r="D9472" t="str">
            <v>M2</v>
          </cell>
          <cell r="E9472">
            <v>0</v>
          </cell>
        </row>
        <row r="9473">
          <cell r="B9473">
            <v>100330</v>
          </cell>
          <cell r="C9473" t="str">
            <v>RETIRADA E RECOLOCAÇÃO DE TELHA CERÂMICA CAPA-CANAL, COM ATÉ DUAS ÁGUAS, INCLUSO IÇAMENTO. AF_07/2019</v>
          </cell>
          <cell r="D9473" t="str">
            <v>M2</v>
          </cell>
          <cell r="E9473">
            <v>34.56</v>
          </cell>
          <cell r="F9473">
            <v>0</v>
          </cell>
        </row>
        <row r="9474">
          <cell r="B9474">
            <v>100331</v>
          </cell>
          <cell r="C9474" t="str">
            <v>RETIRADA E RECOLOCAÇÃO DE TELHA CERÂMICA CAPA-CANAL, COM MAIS DE DUAS ÁGUAS, INCLUSO IÇAMENTO. AF_07/2019</v>
          </cell>
          <cell r="D9474" t="str">
            <v>M2</v>
          </cell>
          <cell r="E9474">
            <v>42.65</v>
          </cell>
          <cell r="F9474">
            <v>0</v>
          </cell>
        </row>
        <row r="9475">
          <cell r="B9475">
            <v>100328</v>
          </cell>
          <cell r="C9475" t="str">
            <v>RETIRADA E RECOLOCAÇÃO DE TELHA CERÂMICA DE ENCAIXE, COM ATÉ DUAS ÁGUAS, INCLUSO IÇAMENTO. AF_07/2019</v>
          </cell>
          <cell r="D9475" t="str">
            <v>M2</v>
          </cell>
          <cell r="E9475">
            <v>25.45</v>
          </cell>
          <cell r="F9475">
            <v>0</v>
          </cell>
        </row>
        <row r="9476">
          <cell r="B9476">
            <v>100329</v>
          </cell>
          <cell r="C9476" t="str">
            <v>RETIRADA E RECOLOCAÇÃO DE TELHA CERÂMICA DE ENCAIXE, COM MAIS DE DUAS ÁGUAS, INCLUSO IÇAMENTO. AF_07/2019</v>
          </cell>
          <cell r="D9476" t="str">
            <v>M2</v>
          </cell>
          <cell r="E9476">
            <v>30.19</v>
          </cell>
          <cell r="F9476">
            <v>0</v>
          </cell>
        </row>
        <row r="9477">
          <cell r="B9477">
            <v>94231</v>
          </cell>
          <cell r="C9477" t="str">
            <v>RUFO EM CHAPA DE AÇO GALVANIZADO NÚMERO 24, CORTE DE 25 CM, INCLUSO TRANSPORTE VERTICAL. AF_07/2019</v>
          </cell>
          <cell r="D9477" t="str">
            <v>M</v>
          </cell>
          <cell r="E9477">
            <v>53.15</v>
          </cell>
          <cell r="F9477">
            <v>0</v>
          </cell>
        </row>
        <row r="9478">
          <cell r="B9478">
            <v>100435</v>
          </cell>
          <cell r="C9478" t="str">
            <v>RUFO EM FIBROCIMENTO PARA TELHA ONDULADA E = 6 MM, ABA DE 26 CM, INCLUSO TRANSPORTE VERTICAL, EXCETO CONTRARRUFO. AF_07/2019</v>
          </cell>
          <cell r="D9478" t="str">
            <v>M</v>
          </cell>
          <cell r="E9478">
            <v>59.23</v>
          </cell>
          <cell r="F9478">
            <v>0</v>
          </cell>
        </row>
        <row r="9479">
          <cell r="B9479">
            <v>100327</v>
          </cell>
          <cell r="C9479" t="str">
            <v>RUFO EXTERNO/INTERNO EM CHAPA DE AÇO GALVANIZADO NÚMERO 26, CORTE DE 33 CM, INCLUSO IÇAMENTO. AF_07/2019</v>
          </cell>
          <cell r="D9479" t="str">
            <v>M</v>
          </cell>
          <cell r="E9479">
            <v>61.04</v>
          </cell>
          <cell r="F9479">
            <v>0</v>
          </cell>
        </row>
        <row r="9480">
          <cell r="B9480">
            <v>94226</v>
          </cell>
          <cell r="C9480" t="str">
            <v>SUBCOBERTURA COM MANTA PLÁSTICA REVESTIDA POR PELÍCULA DE ALUMÍNO, INCLUSO TRANSPORTE VERTICAL. AF_07/2019</v>
          </cell>
          <cell r="D9480" t="str">
            <v>M2</v>
          </cell>
          <cell r="E9480">
            <v>24.6</v>
          </cell>
          <cell r="F9480">
            <v>0</v>
          </cell>
        </row>
        <row r="9481">
          <cell r="B9481">
            <v>94201</v>
          </cell>
          <cell r="C9481" t="str">
            <v>TELHAMENTO COM TELHA CERÂMICA CAPA-CANAL, TIPO COLONIAL, COM ATÉ 2 ÁGUAS, INCLUSO TRANSPORTE VERTICAL. AF_07/2019</v>
          </cell>
          <cell r="D9481" t="str">
            <v>M2</v>
          </cell>
          <cell r="E9481">
            <v>113.46</v>
          </cell>
          <cell r="F9481">
            <v>0</v>
          </cell>
        </row>
        <row r="9482">
          <cell r="B9482">
            <v>94204</v>
          </cell>
          <cell r="C9482" t="str">
            <v>TELHAMENTO COM TELHA CERÂMICA CAPA-CANAL, TIPO COLONIAL, COM MAIS DE 2 ÁGUAS, INCLUSO TRANSPORTE VERTICAL. AF_07/2019</v>
          </cell>
          <cell r="D9482" t="str">
            <v>M2</v>
          </cell>
          <cell r="E9482">
            <v>121.52</v>
          </cell>
          <cell r="F9482">
            <v>0</v>
          </cell>
        </row>
        <row r="9483">
          <cell r="B9483">
            <v>94447</v>
          </cell>
          <cell r="C9483" t="str">
            <v>TELHAMENTO COM TELHA CERÂMICA CAPA-CANAL, TIPO PAULISTA, COM ATÉ 2 ÁGUAS, INCLUSO TRANSPORTE VERTICAL. AF_07/2019</v>
          </cell>
          <cell r="D9483" t="str">
            <v>M2</v>
          </cell>
          <cell r="E9483">
            <v>113.46</v>
          </cell>
          <cell r="F9483">
            <v>0</v>
          </cell>
        </row>
        <row r="9484">
          <cell r="B9484">
            <v>94448</v>
          </cell>
          <cell r="C9484" t="str">
            <v>TELHAMENTO COM TELHA CERÂMICA CAPA-CANAL, TIPO PAULISTA, COM MAIS DE 2 ÁGUAS, INCLUSO TRANSPORTE VERTICAL. AF_07/2019</v>
          </cell>
          <cell r="D9484" t="str">
            <v>M2</v>
          </cell>
          <cell r="E9484">
            <v>121.52</v>
          </cell>
          <cell r="F9484">
            <v>0</v>
          </cell>
        </row>
        <row r="9485">
          <cell r="B9485">
            <v>94445</v>
          </cell>
          <cell r="C9485" t="str">
            <v>TELHAMENTO COM TELHA CERÂMICA CAPA-CANAL, TIPO PLAN, COM ATÉ 2 ÁGUAS, INCLUSO TRANSPORTE VERTICAL. AF_07/2019</v>
          </cell>
          <cell r="D9485" t="str">
            <v>M2</v>
          </cell>
          <cell r="E9485">
            <v>113.46</v>
          </cell>
          <cell r="F9485">
            <v>0</v>
          </cell>
        </row>
        <row r="9486">
          <cell r="B9486">
            <v>94446</v>
          </cell>
          <cell r="C9486" t="str">
            <v>TELHAMENTO COM TELHA CERÂMICA CAPA-CANAL, TIPO PLAN, COM MAIS DE 2 ÁGUAS, INCLUSO TRANSPORTE VERTICAL. AF_07/2019</v>
          </cell>
          <cell r="D9486" t="str">
            <v>M2</v>
          </cell>
          <cell r="E9486">
            <v>121.52</v>
          </cell>
          <cell r="F9486">
            <v>0</v>
          </cell>
        </row>
        <row r="9487">
          <cell r="B9487">
            <v>94440</v>
          </cell>
          <cell r="C9487" t="str">
            <v>TELHAMENTO COM TELHA CERÂMICA DE ENCAIXE, TIPO FRANCESA, COM ATÉ 2 ÁGUAS, INCLUSO TRANSPORTE VERTICAL. AF_07/2019</v>
          </cell>
          <cell r="D9487" t="str">
            <v>M2</v>
          </cell>
          <cell r="E9487">
            <v>80.760000000000005</v>
          </cell>
          <cell r="F9487">
            <v>0</v>
          </cell>
        </row>
        <row r="9488">
          <cell r="B9488">
            <v>94441</v>
          </cell>
          <cell r="C9488" t="str">
            <v>TELHAMENTO COM TELHA CERÂMICA DE ENCAIXE, TIPO FRANCESA, COM MAIS DE 2 ÁGUAS, INCLUSO TRANSPORTE VERTICAL. AF_07/2019</v>
          </cell>
          <cell r="D9488" t="str">
            <v>M2</v>
          </cell>
          <cell r="E9488">
            <v>85.49</v>
          </cell>
          <cell r="F9488">
            <v>0</v>
          </cell>
        </row>
        <row r="9489">
          <cell r="B9489">
            <v>94195</v>
          </cell>
          <cell r="C9489" t="str">
            <v>TELHAMENTO COM TELHA CERÂMICA DE ENCAIXE, TIPO PORTUGUESA, COM ATÉ 2 ÁGUAS, INCLUSO TRANSPORTE VERTICAL. AF_07/2019</v>
          </cell>
          <cell r="D9489" t="str">
            <v>M2</v>
          </cell>
          <cell r="E9489">
            <v>80.760000000000005</v>
          </cell>
          <cell r="F9489">
            <v>0</v>
          </cell>
        </row>
        <row r="9490">
          <cell r="B9490">
            <v>94198</v>
          </cell>
          <cell r="C9490" t="str">
            <v>TELHAMENTO COM TELHA CERÂMICA DE ENCAIXE, TIPO PORTUGUESA, COM MAIS DE 2 ÁGUAS, INCLUSO TRANSPORTE VERTICAL. AF_07/2019</v>
          </cell>
          <cell r="D9490" t="str">
            <v>M2</v>
          </cell>
          <cell r="E9490">
            <v>85.49</v>
          </cell>
          <cell r="F9490">
            <v>0</v>
          </cell>
        </row>
        <row r="9491">
          <cell r="B9491">
            <v>94442</v>
          </cell>
          <cell r="C9491" t="str">
            <v>TELHAMENTO COM TELHA CERÂMICA DE ENCAIXE, TIPO ROMANA, COM ATÉ 2 ÁGUAS, INCLUSO TRANSPORTE VERTICAL. AF_07/2019</v>
          </cell>
          <cell r="D9491" t="str">
            <v>M2</v>
          </cell>
          <cell r="E9491">
            <v>80.760000000000005</v>
          </cell>
          <cell r="F9491">
            <v>0</v>
          </cell>
        </row>
        <row r="9492">
          <cell r="B9492">
            <v>94443</v>
          </cell>
          <cell r="C9492" t="str">
            <v>TELHAMENTO COM TELHA CERÂMICA DE ENCAIXE, TIPO ROMANA, COM MAIS DE 2 ÁGUAS, INCLUSO TRANSPORTE VERTICAL. AF_07/2019</v>
          </cell>
          <cell r="D9492" t="str">
            <v>M2</v>
          </cell>
          <cell r="E9492">
            <v>85.49</v>
          </cell>
          <cell r="F9492">
            <v>0</v>
          </cell>
        </row>
        <row r="9493">
          <cell r="B9493">
            <v>94213</v>
          </cell>
          <cell r="C9493" t="str">
            <v>TELHAMENTO COM TELHA DE AÇO/ALUMÍNIO E = 0,5 MM, COM ATÉ 2 ÁGUAS, INCLUSO IÇAMENTO. AF_07/2019</v>
          </cell>
          <cell r="D9493" t="str">
            <v>M2</v>
          </cell>
          <cell r="E9493">
            <v>69.53</v>
          </cell>
          <cell r="F9493">
            <v>0</v>
          </cell>
        </row>
        <row r="9494">
          <cell r="B9494">
            <v>94189</v>
          </cell>
          <cell r="C9494" t="str">
            <v>TELHAMENTO COM TELHA DE CONCRETO DE ENCAIXE, COM ATÉ 2 ÁGUAS, INCLUSO TRANSPORTE VERTICAL. AF_07/2019</v>
          </cell>
          <cell r="D9494" t="str">
            <v>M2</v>
          </cell>
          <cell r="E9494">
            <v>43.36</v>
          </cell>
          <cell r="F9494">
            <v>0</v>
          </cell>
        </row>
        <row r="9495">
          <cell r="B9495">
            <v>94192</v>
          </cell>
          <cell r="C9495" t="str">
            <v>TELHAMENTO COM TELHA DE CONCRETO DE ENCAIXE, COM MAIS DE 2 ÁGUAS, INCLUSO TRANSPORTE VERTICAL. AF_07/2019</v>
          </cell>
          <cell r="D9495" t="str">
            <v>M2</v>
          </cell>
          <cell r="E9495">
            <v>46.94</v>
          </cell>
          <cell r="F9495">
            <v>0</v>
          </cell>
        </row>
        <row r="9496">
          <cell r="B9496">
            <v>94444</v>
          </cell>
          <cell r="C9496" t="str">
            <v>TELHAMENTO COM TELHA DE ENCAIXE, TIPO FRANCESA DE VIDRO, COM ATÉ 2 ÁGUAS, INCLUSO TRANSPORTE VERTICAL. AF_07/2019</v>
          </cell>
          <cell r="D9496" t="str">
            <v>M2</v>
          </cell>
          <cell r="E9496">
            <v>629.55999999999995</v>
          </cell>
          <cell r="F9496">
            <v>0</v>
          </cell>
        </row>
        <row r="9497">
          <cell r="B9497">
            <v>94218</v>
          </cell>
          <cell r="C9497" t="str">
            <v>TELHAMENTO COM TELHA ESTRUTURAL DE FIBROCIMENTO E= 8 MM, COM ATÉ 2 ÁGUAS, INCLUSO IÇAMENTO. AF_07/2019_PS</v>
          </cell>
          <cell r="D9497" t="str">
            <v>M2</v>
          </cell>
          <cell r="E9497">
            <v>113.16</v>
          </cell>
          <cell r="F9497">
            <v>0</v>
          </cell>
        </row>
        <row r="9498">
          <cell r="B9498">
            <v>94216</v>
          </cell>
          <cell r="C9498" t="str">
            <v>TELHAMENTO COM TELHA METÁLICA TERMOACÚSTICA E = 30 MM, COM ATÉ 2 ÁGUAS, INCLUSO IÇAMENTO. AF_07/2019</v>
          </cell>
          <cell r="D9498" t="str">
            <v>M2</v>
          </cell>
          <cell r="E9498">
            <v>193.57</v>
          </cell>
          <cell r="F9498">
            <v>0</v>
          </cell>
        </row>
        <row r="9499">
          <cell r="B9499">
            <v>94449</v>
          </cell>
          <cell r="C9499" t="str">
            <v>TELHAMENTO COM TELHA ONDULADA DE FIBRA DE VIDRO E = 0,6 MM, PARA TELHADO COM INCLINAÇÃO MAIOR QUE 10°, COM ATÉ 2 ÁGUAS, INCLUSO IÇAMENTO. AF_07/2019</v>
          </cell>
          <cell r="D9499" t="str">
            <v>M2</v>
          </cell>
          <cell r="E9499">
            <v>66.69</v>
          </cell>
          <cell r="F9499">
            <v>0</v>
          </cell>
        </row>
        <row r="9500">
          <cell r="B9500">
            <v>94210</v>
          </cell>
          <cell r="C9500" t="str">
            <v>TELHAMENTO COM TELHA ONDULADA DE FIBROCIMENTO E = 6 MM, COM RECOBRIMENTO LATERAL DE 1 1/4 DE ONDA PARA TELHADO COM INCLINAÇÃO MÁXIMA DE 10°, COM ATÉ 2 ÁGUAS, INCLUSO IÇAMENTO. AF_07/2019</v>
          </cell>
          <cell r="D9500" t="str">
            <v>M2</v>
          </cell>
          <cell r="E9500">
            <v>49.09</v>
          </cell>
          <cell r="F9500">
            <v>0</v>
          </cell>
        </row>
        <row r="9501">
          <cell r="B9501">
            <v>94207</v>
          </cell>
          <cell r="C9501" t="str">
            <v>TELHAMENTO COM TELHA ONDULADA DE FIBROCIMENTO E = 6 MM, COM RECOBRIMENTO LATERAL DE 1/4 DE ONDA PARA TELHADO COM INCLINAÇÃO MAIOR QUE 10°, COM ATÉ 2 ÁGUAS, INCLUSO IÇAMENTO. AF_07/2019</v>
          </cell>
          <cell r="D9501" t="str">
            <v>M2</v>
          </cell>
          <cell r="E9501">
            <v>46.12</v>
          </cell>
          <cell r="F9501">
            <v>0</v>
          </cell>
        </row>
        <row r="9502">
          <cell r="B9502">
            <v>102109</v>
          </cell>
          <cell r="C9502" t="str">
            <v>SUPORTE PARA TRANSFORMADOR EM POSTE DE CONCRETO CIRCULAR - FORNECIMENTO E INSTALAÇÃO. AF_12/2020</v>
          </cell>
          <cell r="D9502" t="str">
            <v>UN</v>
          </cell>
          <cell r="E9502">
            <v>67.5</v>
          </cell>
          <cell r="F9502">
            <v>0</v>
          </cell>
        </row>
        <row r="9503">
          <cell r="B9503">
            <v>102110</v>
          </cell>
          <cell r="C9503" t="str">
            <v>SUPORTE PARA TRANSFORMADOR EM POSTE DE CONCRETO DUPLO T - FORNECIMENTO E INSTALAÇÃO. AF_12/2020</v>
          </cell>
          <cell r="D9503" t="str">
            <v>UN</v>
          </cell>
          <cell r="E9503">
            <v>176.4</v>
          </cell>
          <cell r="F9503">
            <v>0</v>
          </cell>
        </row>
        <row r="9504">
          <cell r="B9504">
            <v>103656</v>
          </cell>
          <cell r="C9504" t="str">
            <v>TRANSFORMADOR DE DISTRIBUIÇÃO, 1000 KVA, TRIFÁSICO, 60 HZ, CLASSE 15 KV, IMERSO EM ÓLEO MINERAL, INSTALAÇÃO EM SOLO (NÃO INCLUSO ABRIGO) - FORNECIMENTO E INSTALAÇÃO. AF_02/2022</v>
          </cell>
          <cell r="D9504" t="str">
            <v>UN</v>
          </cell>
          <cell r="E9504">
            <v>126227.89</v>
          </cell>
          <cell r="F9504">
            <v>0</v>
          </cell>
        </row>
        <row r="9505">
          <cell r="B9505">
            <v>102105</v>
          </cell>
          <cell r="C9505" t="str">
            <v>TRANSFORMADOR DE DISTRIBUIÇÃO, 112,5 KVA, TRIFÁSICO, 60 HZ, CLASSE 15 KV, IMERSO EM ÓLEO MINERAL, INSTALAÇÃO EM POSTE (NÃO INCLUSO SUPORTE) - FORNECIMENTO E INSTALAÇÃO. AF_12/2020</v>
          </cell>
          <cell r="D9505" t="str">
            <v>UN</v>
          </cell>
          <cell r="E9505">
            <v>20144.310000000001</v>
          </cell>
          <cell r="F9505">
            <v>0</v>
          </cell>
        </row>
        <row r="9506">
          <cell r="B9506">
            <v>102106</v>
          </cell>
          <cell r="C9506" t="str">
            <v>TRANSFORMADOR DE DISTRIBUIÇÃO, 150 KVA, TRIFÁSICO, 60 HZ, CLASSE 15 KV, IMERSO EM ÓLEO MINERAL, INSTALAÇÃO EM POSTE (NÃO INCLUSO SUPORTE) - FORNECIMENTO E INSTALAÇÃO. AF_12/2020</v>
          </cell>
          <cell r="D9506" t="str">
            <v>UN</v>
          </cell>
          <cell r="E9506">
            <v>25211.94</v>
          </cell>
          <cell r="F9506">
            <v>0</v>
          </cell>
        </row>
        <row r="9507">
          <cell r="B9507">
            <v>102107</v>
          </cell>
          <cell r="C9507" t="str">
            <v>TRANSFORMADOR DE DISTRIBUIÇÃO, 225 KVA, TRIFÁSICO, 60 HZ, CLASSE 15 KV, IMERSO EM ÓLEO MINERAL, INSTALAÇÃO EM POSTE (NÃO INCLUSO SUPORTE) - FORNECIMENTO E INSTALAÇÃO. AF_12/2020</v>
          </cell>
          <cell r="D9507" t="str">
            <v>UN</v>
          </cell>
          <cell r="E9507">
            <v>35099.21</v>
          </cell>
          <cell r="F9507">
            <v>0</v>
          </cell>
        </row>
        <row r="9508">
          <cell r="B9508">
            <v>102102</v>
          </cell>
          <cell r="C9508" t="str">
            <v>TRANSFORMADOR DE DISTRIBUIÇÃO, 30 KVA, TRIFÁSICO, 60 HZ, CLASSE 15 KV, IMERSO EM ÓLEO MINERAL, INSTALAÇÃO EM POSTE (NÃO INCLUSO SUPORTE) - FORNECIMENTO E INSTALAÇÃO. AF_12/2020</v>
          </cell>
          <cell r="D9508" t="str">
            <v>UN</v>
          </cell>
          <cell r="E9508">
            <v>11566.44</v>
          </cell>
          <cell r="F9508">
            <v>0</v>
          </cell>
        </row>
        <row r="9509">
          <cell r="B9509">
            <v>102108</v>
          </cell>
          <cell r="C9509" t="str">
            <v>TRANSFORMADOR DE DISTRIBUIÇÃO, 300 KVA, TRIFÁSICO, 60 HZ, CLASSE 15 KV, IMERSO EM ÓLEO MINERAL, INSTALAÇÃO EM POSTE (NÃO INCLUSO SUPORTE) - FORNECIMENTO E INSTALAÇÃO. AF_12/2020</v>
          </cell>
          <cell r="D9509" t="str">
            <v>UN</v>
          </cell>
          <cell r="E9509">
            <v>40839.879999999997</v>
          </cell>
          <cell r="F9509">
            <v>0</v>
          </cell>
        </row>
        <row r="9510">
          <cell r="B9510">
            <v>102103</v>
          </cell>
          <cell r="C9510" t="str">
            <v>TRANSFORMADOR DE DISTRIBUIÇÃO, 45 KVA, TRIFÁSICO, 60 HZ, CLASSE 15 KV, IMERSO EM ÓLEO MINERAL, INSTALAÇÃO EM POSTE (NÃO INCLUSO SUPORTE) - FORNECIMENTO E INSTALAÇÃO. AF_12/2020</v>
          </cell>
          <cell r="D9510" t="str">
            <v>UN</v>
          </cell>
          <cell r="E9510">
            <v>12850.77</v>
          </cell>
          <cell r="F9510">
            <v>0</v>
          </cell>
        </row>
        <row r="9511">
          <cell r="B9511">
            <v>103654</v>
          </cell>
          <cell r="C9511" t="str">
            <v>TRANSFORMADOR DE DISTRIBUIÇÃO, 500KVA, TRIFÁSICO, 60 HZ, CLASSE 15 KV, IMERSO EM ÓLEO MINERAL, INSTALAÇÃO EM SOLO (NÃO INCLUSO ABRIGO) - FORNECIMENTO E INSTALAÇÃO. AF_02/2022</v>
          </cell>
          <cell r="D9511" t="str">
            <v>UN</v>
          </cell>
          <cell r="E9511">
            <v>65985.59</v>
          </cell>
          <cell r="F9511">
            <v>0</v>
          </cell>
        </row>
        <row r="9512">
          <cell r="B9512">
            <v>102104</v>
          </cell>
          <cell r="C9512" t="str">
            <v>TRANSFORMADOR DE DISTRIBUIÇÃO, 75 KVA, TRIFÁSICO, 60 HZ, CLASSE 15 KV, IMERSO EM ÓLEO MINERAL, INSTALAÇÃO EM POSTE (NÃO INCLUSO SUPORTE) - FORNECIMENTO E INSTALAÇÃO. AF_12/2020</v>
          </cell>
          <cell r="D9512" t="str">
            <v>UN</v>
          </cell>
          <cell r="E9512">
            <v>16427.849999999999</v>
          </cell>
          <cell r="F9512">
            <v>0</v>
          </cell>
        </row>
        <row r="9513">
          <cell r="B9513">
            <v>103655</v>
          </cell>
          <cell r="C9513" t="str">
            <v>TRANSFORMADOR DE DISTRIBUIÇÃO, 750 KVA, TRIFÁSICO, 60 HZ, CLASSE 15 KV, IMERSO EM ÓLEO MINERAL, INSTALAÇÃO EM SOLO (NÃO INCLUSO ABRIGO) - FORNECIMENTO E INSTALAÇÃO. AF_02/2022</v>
          </cell>
          <cell r="D9513" t="str">
            <v>UN</v>
          </cell>
          <cell r="E9513">
            <v>90338.85</v>
          </cell>
          <cell r="F9513">
            <v>0</v>
          </cell>
        </row>
        <row r="9514">
          <cell r="B9514">
            <v>105473</v>
          </cell>
          <cell r="C9514" t="str">
            <v>CARGA E DESCARGA COM CARRINHO PLATAFORMA, DE BANCADA DE MÁRMORE OU GRANITO PARA COZINHA/LAVATÓRIO OU MÁRMORE SINTÉTICO COM CUBA INTEGRADA, EM BALSA DE 1000 TONELADAS. AF_05/2024</v>
          </cell>
          <cell r="D9514" t="str">
            <v>T</v>
          </cell>
          <cell r="E9514">
            <v>0</v>
          </cell>
        </row>
        <row r="9515">
          <cell r="B9515">
            <v>105414</v>
          </cell>
          <cell r="C9515" t="str">
            <v>CARGA E DESCARGA COM CARRINHO PLATAFORMA, DE BANCADA DE MÁRMORE OU GRANITO PARA COZINHA/LAVATÓRIO OU MÁRMORE SINTÉTICO COM CUBA INTEGRADA, EM BALSA DE 1500 TONELADAS. AF_05/2024</v>
          </cell>
          <cell r="D9515" t="str">
            <v>T</v>
          </cell>
          <cell r="E9515">
            <v>0</v>
          </cell>
        </row>
        <row r="9516">
          <cell r="B9516">
            <v>105424</v>
          </cell>
          <cell r="C9516" t="str">
            <v>CARGA E DESCARGA COM CARRINHO PLATAFORMA, DE BANCADA DE MÁRMORE OU GRANITO PARA COZINHA/LAVATÓRIO OU MÁRMORE SINTÉTICO COM CUBA INTEGRADA, EM BALSA DE 2000 TONELADAS. AF_05/2024</v>
          </cell>
          <cell r="D9516" t="str">
            <v>T</v>
          </cell>
          <cell r="E9516">
            <v>0</v>
          </cell>
        </row>
        <row r="9517">
          <cell r="B9517">
            <v>105448</v>
          </cell>
          <cell r="C9517" t="str">
            <v>CARGA E DESCARGA COM CARRINHO PLATAFORMA, DE BANCADA DE MÁRMORE OU GRANITO PARA COZINHA/LAVATÓRIO OU MÁRMORE SINTÉTICO COM CUBA INTEGRADA, EM BALSA DE 600 TONELADAS. AF_05/2024</v>
          </cell>
          <cell r="D9517" t="str">
            <v>T</v>
          </cell>
          <cell r="E9517">
            <v>0</v>
          </cell>
        </row>
        <row r="9518">
          <cell r="B9518">
            <v>105409</v>
          </cell>
          <cell r="C9518" t="str">
            <v>CARGA E DESCARGA COM MANIPULADOR TELESCÓPICO, DE PÁLETE DE BACIA SANITÁRIA, CAIXA ACOPLADA, TANQUE OU PIA, EM BALSA DE 1000 TONELADAS. AF_05/2024</v>
          </cell>
          <cell r="D9518" t="str">
            <v>T</v>
          </cell>
          <cell r="E9518">
            <v>0</v>
          </cell>
        </row>
        <row r="9519">
          <cell r="B9519">
            <v>105415</v>
          </cell>
          <cell r="C9519" t="str">
            <v>CARGA E DESCARGA COM MANIPULADOR TELESCÓPICO, DE PÁLETE DE BACIA SANITÁRIA, CAIXA ACOPLADA, TANQUE OU PIA, EM BALSA DE 1500 TONELADAS. AF_05/2024</v>
          </cell>
          <cell r="D9519" t="str">
            <v>T</v>
          </cell>
          <cell r="E9519">
            <v>0</v>
          </cell>
        </row>
        <row r="9520">
          <cell r="B9520">
            <v>105487</v>
          </cell>
          <cell r="C9520" t="str">
            <v>CARGA E DESCARGA COM MANIPULADOR TELESCÓPICO, DE PÁLETE DE BACIA SANITÁRIA, CAIXA ACOPLADA, TANQUE OU PIA, EM BALSA DE 2000 TONELADAS. AF_05/2024</v>
          </cell>
          <cell r="D9520" t="str">
            <v>T</v>
          </cell>
          <cell r="E9520">
            <v>0</v>
          </cell>
        </row>
        <row r="9521">
          <cell r="B9521">
            <v>105451</v>
          </cell>
          <cell r="C9521" t="str">
            <v>CARGA E DESCARGA COM MANIPULADOR TELESCÓPICO, DE PÁLETE DE BACIA SANITÁRIA, CAIXA ACOPLADA, TANQUE OU PIA, EM BALSA DE 600 TONELADAS. AF_05/2024</v>
          </cell>
          <cell r="D9521" t="str">
            <v>T</v>
          </cell>
          <cell r="E9521">
            <v>0</v>
          </cell>
        </row>
        <row r="9522">
          <cell r="B9522">
            <v>105454</v>
          </cell>
          <cell r="C9522" t="str">
            <v>CARGA E DESCARGA COM MANIPULADOR TELESCÓPICO, DE PÁLETE DE BLOCOS VAZADOS DE CONCRETO OU CERÂMICO, EM BALSA DE 1000 TONELADAS. AF_05/2024</v>
          </cell>
          <cell r="D9522" t="str">
            <v>T</v>
          </cell>
          <cell r="E9522">
            <v>0</v>
          </cell>
        </row>
        <row r="9523">
          <cell r="B9523">
            <v>105411</v>
          </cell>
          <cell r="C9523" t="str">
            <v>CARGA E DESCARGA COM MANIPULADOR TELESCÓPICO, DE PÁLETE DE BLOCOS VAZADOS DE CONCRETO OU CERÂMICO, EM BALSA DE 1500 TONELADAS. AF_05/2024</v>
          </cell>
          <cell r="D9523" t="str">
            <v>T</v>
          </cell>
          <cell r="E9523">
            <v>0</v>
          </cell>
        </row>
        <row r="9524">
          <cell r="B9524">
            <v>105419</v>
          </cell>
          <cell r="C9524" t="str">
            <v>CARGA E DESCARGA COM MANIPULADOR TELESCÓPICO, DE PÁLETE DE BLOCOS VAZADOS DE CONCRETO OU CERÂMICO, EM BALSA DE 2000 TONELADAS. AF_05/2024</v>
          </cell>
          <cell r="D9524" t="str">
            <v>T</v>
          </cell>
          <cell r="E9524">
            <v>0</v>
          </cell>
        </row>
        <row r="9525">
          <cell r="B9525">
            <v>105443</v>
          </cell>
          <cell r="C9525" t="str">
            <v>CARGA E DESCARGA COM MANIPULADOR TELESCÓPICO, DE PÁLETE DE BLOCOS VAZADOS DE CONCRETO OU CERÂMICO, EM BALSA DE 600 TONELADAS. AF_05/2024</v>
          </cell>
          <cell r="D9525" t="str">
            <v>T</v>
          </cell>
          <cell r="E9525">
            <v>0</v>
          </cell>
        </row>
        <row r="9526">
          <cell r="B9526">
            <v>105455</v>
          </cell>
          <cell r="C9526" t="str">
            <v>CARGA E DESCARGA COM MANIPULADOR TELESCÓPICO, DE PÁLETE DE CAIXAS COM REVESTIMENTO CERÂMICO, EM BALSA DE 1000 TONELADAS. AF_05/2024</v>
          </cell>
          <cell r="D9526" t="str">
            <v>T</v>
          </cell>
          <cell r="E9526">
            <v>0</v>
          </cell>
        </row>
        <row r="9527">
          <cell r="B9527">
            <v>105412</v>
          </cell>
          <cell r="C9527" t="str">
            <v>CARGA E DESCARGA COM MANIPULADOR TELESCÓPICO, DE PÁLETE DE CAIXAS COM REVESTIMENTO CERÂMICO, EM BALSA DE 1500 TONELADAS. AF_05/2024</v>
          </cell>
          <cell r="D9527" t="str">
            <v>T</v>
          </cell>
          <cell r="E9527">
            <v>0</v>
          </cell>
        </row>
        <row r="9528">
          <cell r="B9528">
            <v>105420</v>
          </cell>
          <cell r="C9528" t="str">
            <v>CARGA E DESCARGA COM MANIPULADOR TELESCÓPICO, DE PÁLETE DE CAIXAS COM REVESTIMENTO CERÂMICO, EM BALSA DE 2000 TONELADAS. AF_05/2024</v>
          </cell>
          <cell r="D9528" t="str">
            <v>T</v>
          </cell>
          <cell r="E9528">
            <v>0</v>
          </cell>
        </row>
        <row r="9529">
          <cell r="B9529">
            <v>105444</v>
          </cell>
          <cell r="C9529" t="str">
            <v>CARGA E DESCARGA COM MANIPULADOR TELESCÓPICO, DE PÁLETE DE CAIXAS COM REVESTIMENTO CERÂMICO, EM BALSA DE 600 TONELADAS. AF_05/2024</v>
          </cell>
          <cell r="D9529" t="str">
            <v>T</v>
          </cell>
          <cell r="E9529">
            <v>0</v>
          </cell>
        </row>
        <row r="9530">
          <cell r="B9530">
            <v>105456</v>
          </cell>
          <cell r="C9530" t="str">
            <v>CARGA E DESCARGA COM MANIPULADOR TELESCÓPICO, DE PÁLETE DE LATAS 18 LITROS, EM BALSA DE 1000 TONELADAS. AF_05/2024</v>
          </cell>
          <cell r="D9530" t="str">
            <v>T</v>
          </cell>
          <cell r="E9530">
            <v>0</v>
          </cell>
        </row>
        <row r="9531">
          <cell r="B9531">
            <v>105478</v>
          </cell>
          <cell r="C9531" t="str">
            <v>CARGA E DESCARGA COM MANIPULADOR TELESCÓPICO, DE PÁLETE DE LATAS 18 LITROS, EM BALSA DE 1500 TONELADAS. AF_05/2024</v>
          </cell>
          <cell r="D9531" t="str">
            <v>T</v>
          </cell>
          <cell r="E9531">
            <v>0</v>
          </cell>
        </row>
        <row r="9532">
          <cell r="B9532">
            <v>105421</v>
          </cell>
          <cell r="C9532" t="str">
            <v>CARGA E DESCARGA COM MANIPULADOR TELESCÓPICO, DE PÁLETE DE LATAS 18 LITROS, EM BALSA DE 2000 TONELADAS. AF_05/2024</v>
          </cell>
          <cell r="D9532" t="str">
            <v>T</v>
          </cell>
          <cell r="E9532">
            <v>0</v>
          </cell>
        </row>
        <row r="9533">
          <cell r="B9533">
            <v>105445</v>
          </cell>
          <cell r="C9533" t="str">
            <v>CARGA E DESCARGA COM MANIPULADOR TELESCÓPICO, DE PÁLETE DE LATAS 18 LITROS, EM BALSA DE 600 TONELADAS. AF_05/2024</v>
          </cell>
          <cell r="D9533" t="str">
            <v>T</v>
          </cell>
          <cell r="E9533">
            <v>0</v>
          </cell>
        </row>
        <row r="9534">
          <cell r="B9534">
            <v>105453</v>
          </cell>
          <cell r="C9534" t="str">
            <v>CARGA E DESCARGA COM MANIPULADOR TELESCÓPICO, DE PÁLETE DE SACOS, EM BALSA DE 1000 TONELADAS. AF_05/2024</v>
          </cell>
          <cell r="D9534" t="str">
            <v>T</v>
          </cell>
          <cell r="E9534">
            <v>0</v>
          </cell>
        </row>
        <row r="9535">
          <cell r="B9535">
            <v>105497</v>
          </cell>
          <cell r="C9535" t="str">
            <v>CARGA E DESCARGA COM MANIPULADOR TELESCÓPICO, DE PÁLETE DE SACOS, EM BALSA DE 1500 TONELADAS. AF_05/2024</v>
          </cell>
          <cell r="D9535" t="str">
            <v>T</v>
          </cell>
          <cell r="E9535">
            <v>0</v>
          </cell>
        </row>
        <row r="9536">
          <cell r="B9536">
            <v>105418</v>
          </cell>
          <cell r="C9536" t="str">
            <v>CARGA E DESCARGA COM MANIPULADOR TELESCÓPICO, DE PÁLETE DE SACOS, EM BALSA DE 2000 TONELADAS. AF_05/2024</v>
          </cell>
          <cell r="D9536" t="str">
            <v>T</v>
          </cell>
          <cell r="E9536">
            <v>0</v>
          </cell>
        </row>
        <row r="9537">
          <cell r="B9537">
            <v>105442</v>
          </cell>
          <cell r="C9537" t="str">
            <v>CARGA E DESCARGA COM MANIPULADOR TELESCÓPICO, DE PÁLETE DE SACOS, EM BALSA DE 600 TONELADAS. AF_05/2024</v>
          </cell>
          <cell r="D9537" t="str">
            <v>T</v>
          </cell>
          <cell r="E9537">
            <v>0</v>
          </cell>
        </row>
        <row r="9538">
          <cell r="B9538">
            <v>105410</v>
          </cell>
          <cell r="C9538" t="str">
            <v>CARGA E DESCARGA COM MANIPULADOR TELESCÓPICO, DE PÁLETE DE TELHA DE CONCRETO OU CERÂMICA, EM BALSA DE 1000 TONELADAS. AF_05/2024</v>
          </cell>
          <cell r="D9538" t="str">
            <v>T</v>
          </cell>
          <cell r="E9538">
            <v>0</v>
          </cell>
        </row>
        <row r="9539">
          <cell r="B9539">
            <v>105416</v>
          </cell>
          <cell r="C9539" t="str">
            <v>CARGA E DESCARGA COM MANIPULADOR TELESCÓPICO, DE PÁLETE DE TELHA DE CONCRETO OU CERÂMICA, EM BALSA DE 1500 TONELADAS. AF_05/2024</v>
          </cell>
          <cell r="D9539" t="str">
            <v>T</v>
          </cell>
          <cell r="E9539">
            <v>0</v>
          </cell>
        </row>
        <row r="9540">
          <cell r="B9540">
            <v>105488</v>
          </cell>
          <cell r="C9540" t="str">
            <v>CARGA E DESCARGA COM MANIPULADOR TELESCÓPICO, DE PÁLETE DE TELHA DE CONCRETO OU CERÂMICA, EM BALSA DE 2000 TONELADAS. AF_05/2024</v>
          </cell>
          <cell r="D9540" t="str">
            <v>T</v>
          </cell>
          <cell r="E9540">
            <v>0</v>
          </cell>
        </row>
        <row r="9541">
          <cell r="B9541">
            <v>105452</v>
          </cell>
          <cell r="C9541" t="str">
            <v>CARGA E DESCARGA COM MANIPULADOR TELESCÓPICO, DE PÁLETE DE TELHA DE CONCRETO OU CERÂMICA, EM BALSA DE 600 TONELADAS. AF_05/2024</v>
          </cell>
          <cell r="D9541" t="str">
            <v>T</v>
          </cell>
          <cell r="E9541">
            <v>0</v>
          </cell>
        </row>
        <row r="9542">
          <cell r="B9542">
            <v>105475</v>
          </cell>
          <cell r="C9542" t="str">
            <v>CARGA E DESCARGA COM MANIPULADOR TELESCÓPICO, DE TELHAS TERMOACÚSTICAS, FIBROCIMENTO, AÇO ZINCADO, FIBROCIMENTO ESTRUTURAL, CANALETE 90 OU KALHETÃO, EM BALSA DE 1000 TONELADAS. AF_05/2024</v>
          </cell>
          <cell r="D9542" t="str">
            <v>T</v>
          </cell>
          <cell r="E9542">
            <v>0</v>
          </cell>
        </row>
        <row r="9543">
          <cell r="B9543">
            <v>105498</v>
          </cell>
          <cell r="C9543" t="str">
            <v>CARGA E DESCARGA COM MANIPULADOR TELESCÓPICO, DE TELHAS TERMOACÚSTICAS, FIBROCIMENTO, AÇO ZINCADO, FIBROCIMENTO ESTRUTURAL, CANALETE 90 OU KALHETÃO, EM BALSA DE 1500 TONELADAS. AF_05/2024</v>
          </cell>
          <cell r="D9543" t="str">
            <v>T</v>
          </cell>
          <cell r="E9543">
            <v>0</v>
          </cell>
        </row>
        <row r="9544">
          <cell r="B9544">
            <v>105486</v>
          </cell>
          <cell r="C9544" t="str">
            <v>CARGA E DESCARGA COM MANIPULADOR TELESCÓPICO, DE TELHAS TERMOACÚSTICAS, FIBROCIMENTO, AÇO ZINCADO, FIBROCIMENTO ESTRUTURAL, CANALETE 90 OU KALHETÃO, EM BALSA DE 2000 TONELADAS. AF_05/2024</v>
          </cell>
          <cell r="D9544" t="str">
            <v>T</v>
          </cell>
          <cell r="E9544">
            <v>0</v>
          </cell>
        </row>
        <row r="9545">
          <cell r="B9545">
            <v>105450</v>
          </cell>
          <cell r="C9545" t="str">
            <v>CARGA E DESCARGA COM MANIPULADOR TELESCÓPICO, DE TELHAS TERMOACÚSTICAS, FIBROCIMENTO, AÇO ZINCADO, FIBROCIMENTO ESTRUTURAL, CANALETE 90 OU KALHETÃO, EM BALSA DE 600 TONELADAS. AF_05/2024</v>
          </cell>
          <cell r="D9545" t="str">
            <v>T</v>
          </cell>
          <cell r="E9545">
            <v>0</v>
          </cell>
        </row>
        <row r="9546">
          <cell r="B9546">
            <v>105438</v>
          </cell>
          <cell r="C9546" t="str">
            <v>CARGA E DESCARGA DE BETONEIRA, COM CAMINHÃO CARROCERIA COM GUINDAUTO (MUNCK) 11,7 TM, EM BALSA DE 1000 TONELADAS. AF_05/2024</v>
          </cell>
          <cell r="D9546" t="str">
            <v>T</v>
          </cell>
          <cell r="E9546">
            <v>0</v>
          </cell>
        </row>
        <row r="9547">
          <cell r="B9547">
            <v>105463</v>
          </cell>
          <cell r="C9547" t="str">
            <v>CARGA E DESCARGA DE BETONEIRA, COM CAMINHÃO CARROCERIA COM GUINDAUTO (MUNCK) 11,7 TM, EM BALSA DE 1500 TONELADAS. AF_05/2024</v>
          </cell>
          <cell r="D9547" t="str">
            <v>T</v>
          </cell>
          <cell r="E9547">
            <v>0</v>
          </cell>
        </row>
        <row r="9548">
          <cell r="B9548">
            <v>105485</v>
          </cell>
          <cell r="C9548" t="str">
            <v>CARGA E DESCARGA DE BETONEIRA, COM CAMINHÃO CARROCERIA COM GUINDAUTO (MUNCK) 11,7 TM, EM BALSA DE 2000 TONELADAS. AF_05/2024</v>
          </cell>
          <cell r="D9548" t="str">
            <v>T</v>
          </cell>
          <cell r="E9548">
            <v>0</v>
          </cell>
        </row>
        <row r="9549">
          <cell r="B9549">
            <v>105428</v>
          </cell>
          <cell r="C9549" t="str">
            <v>CARGA E DESCARGA DE BETONEIRA, COM CAMINHÃO CARROCERIA COM GUINDAUTO (MUNCK) 11,7 TM, EM BALSA DE 600 TONELADAS. AF_05/2024</v>
          </cell>
          <cell r="D9549" t="str">
            <v>T</v>
          </cell>
          <cell r="E9549">
            <v>0</v>
          </cell>
        </row>
        <row r="9550">
          <cell r="B9550">
            <v>105426</v>
          </cell>
          <cell r="C9550" t="str">
            <v>CARGA E DESCARGA DE CAMINHÃO DE 10 M³, EM BALSA DE 1000 TONELADAS. AF_05/2024</v>
          </cell>
          <cell r="D9550" t="str">
            <v>T</v>
          </cell>
          <cell r="E9550">
            <v>0</v>
          </cell>
        </row>
        <row r="9551">
          <cell r="B9551">
            <v>105491</v>
          </cell>
          <cell r="C9551" t="str">
            <v>CARGA E DESCARGA DE CAMINHÃO DE 10 M³, EM BALSA DE 1500 TONELADAS. AF_05/2024</v>
          </cell>
          <cell r="D9551" t="str">
            <v>T</v>
          </cell>
          <cell r="E9551">
            <v>0</v>
          </cell>
        </row>
        <row r="9552">
          <cell r="B9552">
            <v>105495</v>
          </cell>
          <cell r="C9552" t="str">
            <v>CARGA E DESCARGA DE CAMINHÃO DE 10 M³, EM BALSA DE 2000 TONELADAS. AF_05/2024</v>
          </cell>
          <cell r="D9552" t="str">
            <v>T</v>
          </cell>
          <cell r="E9552">
            <v>0</v>
          </cell>
        </row>
        <row r="9553">
          <cell r="B9553">
            <v>105407</v>
          </cell>
          <cell r="C9553" t="str">
            <v>CARGA E DESCARGA DE CAMINHÃO DE 10 M³, EM BALSA DE 600 TONELADAS. AF_05/2024</v>
          </cell>
          <cell r="D9553" t="str">
            <v>T</v>
          </cell>
          <cell r="E9553">
            <v>0</v>
          </cell>
        </row>
        <row r="9554">
          <cell r="B9554">
            <v>105427</v>
          </cell>
          <cell r="C9554" t="str">
            <v>CARGA E DESCARGA DE CAMINHÃO DE 14 M³, EM BALSA DE 1000 TONELADAS. AF_05/2024</v>
          </cell>
          <cell r="D9554" t="str">
            <v>T</v>
          </cell>
          <cell r="E9554">
            <v>0</v>
          </cell>
        </row>
        <row r="9555">
          <cell r="B9555">
            <v>105492</v>
          </cell>
          <cell r="C9555" t="str">
            <v>CARGA E DESCARGA DE CAMINHÃO DE 14 M³, EM BALSA DE 1500 TONELADAS. AF_05/2024</v>
          </cell>
          <cell r="D9555" t="str">
            <v>T</v>
          </cell>
          <cell r="E9555">
            <v>0</v>
          </cell>
        </row>
        <row r="9556">
          <cell r="B9556">
            <v>105496</v>
          </cell>
          <cell r="C9556" t="str">
            <v>CARGA E DESCARGA DE CAMINHÃO DE 14 M³, EM BALSA DE 2000 TONELADAS. AF_05/2024</v>
          </cell>
          <cell r="D9556" t="str">
            <v>T</v>
          </cell>
          <cell r="E9556">
            <v>0</v>
          </cell>
        </row>
        <row r="9557">
          <cell r="B9557">
            <v>105425</v>
          </cell>
          <cell r="C9557" t="str">
            <v>CARGA E DESCARGA DE CAMINHÃO DE 14 M³, EM BALSA DE 600 TONELADAS. AF_05/2024</v>
          </cell>
          <cell r="D9557" t="str">
            <v>T</v>
          </cell>
          <cell r="E9557">
            <v>0</v>
          </cell>
        </row>
        <row r="9558">
          <cell r="B9558">
            <v>105477</v>
          </cell>
          <cell r="C9558" t="str">
            <v>CARGA E DESCARGA DE CAMINHÃO DE 6 M³, EM BALSA DE 1000 TONELADAS. AF_05/2024</v>
          </cell>
          <cell r="D9558" t="str">
            <v>T</v>
          </cell>
          <cell r="E9558">
            <v>0</v>
          </cell>
        </row>
        <row r="9559">
          <cell r="B9559">
            <v>105490</v>
          </cell>
          <cell r="C9559" t="str">
            <v>CARGA E DESCARGA DE CAMINHÃO DE 6 M³, EM BALSA DE 1500 TONELADAS. AF_05/2024</v>
          </cell>
          <cell r="D9559" t="str">
            <v>T</v>
          </cell>
          <cell r="E9559">
            <v>0</v>
          </cell>
        </row>
        <row r="9560">
          <cell r="B9560">
            <v>105494</v>
          </cell>
          <cell r="C9560" t="str">
            <v>CARGA E DESCARGA DE CAMINHÃO DE 6 M³, EM BALSA DE 2000 TONELADAS. AF_05/2024</v>
          </cell>
          <cell r="D9560" t="str">
            <v>T</v>
          </cell>
          <cell r="E9560">
            <v>0</v>
          </cell>
        </row>
        <row r="9561">
          <cell r="B9561">
            <v>105417</v>
          </cell>
          <cell r="C9561" t="str">
            <v>CARGA E DESCARGA DE CAMINHÃO DE 6 M³, EM BALSA DE 600 TONELADAS. AF_05/2024</v>
          </cell>
          <cell r="D9561" t="str">
            <v>T</v>
          </cell>
          <cell r="E9561">
            <v>0</v>
          </cell>
        </row>
        <row r="9562">
          <cell r="B9562">
            <v>105461</v>
          </cell>
          <cell r="C9562" t="str">
            <v>CARGA E DESCARGA DE PERFIL METÁLICO E VERGALHÕES DE AÇO E VERGALHÕES DE AÇO, COM CAMINHÃO CARROCERIA COM GUINDAUTO (MUNCK) 11,7 TM, EM BALSA DE 1500 TONELADAS. AF_05/2024</v>
          </cell>
          <cell r="D9562" t="str">
            <v>T</v>
          </cell>
          <cell r="E9562">
            <v>0</v>
          </cell>
        </row>
        <row r="9563">
          <cell r="B9563">
            <v>105436</v>
          </cell>
          <cell r="C9563" t="str">
            <v>CARGA E DESCARGA DE PERFIL METÁLICO E VERGALHÕES DE AÇO, COM CAMINHÃO CARROCERIA COM GUINDAUTO (MUNCK) 11,7 TM, EM BALSA DE 1000 TONELADAS. AF_05/2024</v>
          </cell>
          <cell r="D9563" t="str">
            <v>T</v>
          </cell>
          <cell r="E9563">
            <v>0</v>
          </cell>
        </row>
        <row r="9564">
          <cell r="B9564">
            <v>105483</v>
          </cell>
          <cell r="C9564" t="str">
            <v>CARGA E DESCARGA DE PERFIL METÁLICO E VERGALHÕES DE AÇO, COM CAMINHÃO CARROCERIA COM GUINDAUTO (MUNCK) 11,7 TM, EM BALSA DE 2000 TONELADAS. AF_05/2024</v>
          </cell>
          <cell r="D9564" t="str">
            <v>T</v>
          </cell>
          <cell r="E9564">
            <v>0</v>
          </cell>
        </row>
        <row r="9565">
          <cell r="B9565">
            <v>105505</v>
          </cell>
          <cell r="C9565" t="str">
            <v>CARGA E DESCARGA DE PERFIL METÁLICO E VERGALHÕES DE AÇO, COM CAMINHÃO CARROCERIA COM GUINDAUTO (MUNCK) 11,7 TM, EM BALSA DE 600 TONELADAS. AF_05/2024</v>
          </cell>
          <cell r="D9565" t="str">
            <v>T</v>
          </cell>
          <cell r="E9565">
            <v>0</v>
          </cell>
        </row>
        <row r="9566">
          <cell r="B9566">
            <v>105435</v>
          </cell>
          <cell r="C9566" t="str">
            <v>CARGA E DESCARGA DE POSTES DE CONCRETO, COM CAMINHÃO CARROCERIA COM GUINDAUTO (MUNCK) 11,7 TM, EM BALSA DE 1000 TONELADAS. AF_05/2024</v>
          </cell>
          <cell r="D9566" t="str">
            <v>T</v>
          </cell>
          <cell r="E9566">
            <v>0</v>
          </cell>
        </row>
        <row r="9567">
          <cell r="B9567">
            <v>105460</v>
          </cell>
          <cell r="C9567" t="str">
            <v>CARGA E DESCARGA DE POSTES DE CONCRETO, COM CAMINHÃO CARROCERIA COM GUINDAUTO (MUNCK) 11,7 TM, EM BALSA DE 1500 TONELADAS. AF_05/2024</v>
          </cell>
          <cell r="D9567" t="str">
            <v>T</v>
          </cell>
          <cell r="E9567">
            <v>0</v>
          </cell>
        </row>
        <row r="9568">
          <cell r="B9568">
            <v>105470</v>
          </cell>
          <cell r="C9568" t="str">
            <v>CARGA E DESCARGA DE POSTES DE CONCRETO, COM CAMINHÃO CARROCERIA COM GUINDAUTO (MUNCK) 11,7 TM, EM BALSA DE 2000 TONELADAS. AF_05/2024</v>
          </cell>
          <cell r="D9568" t="str">
            <v>T</v>
          </cell>
          <cell r="E9568">
            <v>0</v>
          </cell>
        </row>
        <row r="9569">
          <cell r="B9569">
            <v>105504</v>
          </cell>
          <cell r="C9569" t="str">
            <v>CARGA E DESCARGA DE POSTES DE CONCRETO, COM CAMINHÃO CARROCERIA COM GUINDAUTO (MUNCK) 11,7 TM, EM BALSA DE 600 TONELADAS. AF_05/2024</v>
          </cell>
          <cell r="D9569" t="str">
            <v>T</v>
          </cell>
          <cell r="E9569">
            <v>0</v>
          </cell>
        </row>
        <row r="9570">
          <cell r="B9570">
            <v>105476</v>
          </cell>
          <cell r="C9570" t="str">
            <v>CARGA E DESCARGA DE RETROESCAVADEIRA, EM BALSA DE 1000 TONELADAS. AF_05/2024</v>
          </cell>
          <cell r="D9570" t="str">
            <v>T</v>
          </cell>
          <cell r="E9570">
            <v>0</v>
          </cell>
        </row>
        <row r="9571">
          <cell r="B9571">
            <v>105471</v>
          </cell>
          <cell r="C9571" t="str">
            <v>CARGA E DESCARGA DE RETROESCAVADEIRA, EM BALSA DE 1500 TONELADAS. AF_05/2024</v>
          </cell>
          <cell r="D9571" t="str">
            <v>T</v>
          </cell>
          <cell r="E9571">
            <v>0</v>
          </cell>
        </row>
        <row r="9572">
          <cell r="B9572">
            <v>105493</v>
          </cell>
          <cell r="C9572" t="str">
            <v>CARGA E DESCARGA DE RETROESCAVADEIRA, EM BALSA DE 2000 TONELADAS. AF_05/2024</v>
          </cell>
          <cell r="D9572" t="str">
            <v>T</v>
          </cell>
          <cell r="E9572">
            <v>0</v>
          </cell>
        </row>
        <row r="9573">
          <cell r="B9573">
            <v>105482</v>
          </cell>
          <cell r="C9573" t="str">
            <v>CARGA E DESCARGA DE RETROESCAVADEIRA, EM BALSA DE 600 TONELADAS. AF_05/2024</v>
          </cell>
          <cell r="D9573" t="str">
            <v>T</v>
          </cell>
          <cell r="E9573">
            <v>0</v>
          </cell>
        </row>
        <row r="9574">
          <cell r="B9574">
            <v>105430</v>
          </cell>
          <cell r="C9574" t="str">
            <v>CARGA E DESCARGA DE SOLOS E MATERIAIS GRANULARES, COM CAMINHÃO DE 10 M³ E ESCAVADEIRA HIDRÁULICA, EM BALSA DE 1000 TONELADAS. AF_05/2024</v>
          </cell>
          <cell r="D9574" t="str">
            <v>T</v>
          </cell>
          <cell r="E9574">
            <v>0</v>
          </cell>
        </row>
        <row r="9575">
          <cell r="B9575">
            <v>105440</v>
          </cell>
          <cell r="C9575" t="str">
            <v>CARGA E DESCARGA DE SOLOS E MATERIAIS GRANULARES, COM CAMINHÃO DE 10 M³ E ESCAVADEIRA HIDRÁULICA, EM BALSA DE 1500 TONELADAS. AF_05/2024</v>
          </cell>
          <cell r="D9575" t="str">
            <v>T</v>
          </cell>
          <cell r="E9575">
            <v>0</v>
          </cell>
        </row>
        <row r="9576">
          <cell r="B9576">
            <v>105465</v>
          </cell>
          <cell r="C9576" t="str">
            <v>CARGA E DESCARGA DE SOLOS E MATERIAIS GRANULARES, COM CAMINHÃO DE 10 M³ E ESCAVADEIRA HIDRÁULICA, EM BALSA DE 2000 TONELADAS. AF_05/2024</v>
          </cell>
          <cell r="D9576" t="str">
            <v>T</v>
          </cell>
          <cell r="E9576">
            <v>0</v>
          </cell>
        </row>
        <row r="9577">
          <cell r="B9577">
            <v>105499</v>
          </cell>
          <cell r="C9577" t="str">
            <v>CARGA E DESCARGA DE SOLOS E MATERIAIS GRANULARES, COM CAMINHÃO DE 10 M³ E ESCAVADEIRA HIDRÁULICA, EM BALSA DE 600 TONELADAS. AF_05/2024</v>
          </cell>
          <cell r="D9577" t="str">
            <v>T</v>
          </cell>
          <cell r="E9577">
            <v>0</v>
          </cell>
        </row>
        <row r="9578">
          <cell r="B9578">
            <v>105431</v>
          </cell>
          <cell r="C9578" t="str">
            <v>CARGA E DESCARGA DE SOLOS E MATERIAIS GRANULARES, COM CAMINHÃO DE 14 M³ E ESCAVADEIRA HIDRÁULICA, EM BALSA DE 1000 TONELADAS. AF_05/2024</v>
          </cell>
          <cell r="D9578" t="str">
            <v>T</v>
          </cell>
          <cell r="E9578">
            <v>0</v>
          </cell>
        </row>
        <row r="9579">
          <cell r="B9579">
            <v>105441</v>
          </cell>
          <cell r="C9579" t="str">
            <v>CARGA E DESCARGA DE SOLOS E MATERIAIS GRANULARES, COM CAMINHÃO DE 14 M³ E ESCAVADEIRA HIDRÁULICA, EM BALSA DE 1500 TONELADAS. AF_05/2024</v>
          </cell>
          <cell r="D9579" t="str">
            <v>T</v>
          </cell>
          <cell r="E9579">
            <v>0</v>
          </cell>
        </row>
        <row r="9580">
          <cell r="B9580">
            <v>105466</v>
          </cell>
          <cell r="C9580" t="str">
            <v>CARGA E DESCARGA DE SOLOS E MATERIAIS GRANULARES, COM CAMINHÃO DE 14 M³ E ESCAVADEIRA HIDRÁULICA, EM BALSA DE 2000 TONELADAS. AF_05/2024</v>
          </cell>
          <cell r="D9580" t="str">
            <v>T</v>
          </cell>
          <cell r="E9580">
            <v>0</v>
          </cell>
        </row>
        <row r="9581">
          <cell r="B9581">
            <v>105500</v>
          </cell>
          <cell r="C9581" t="str">
            <v>CARGA E DESCARGA DE SOLOS E MATERIAIS GRANULARES, COM CAMINHÃO DE 14 M³ E ESCAVADEIRA HIDRÁULICA, EM BALSA DE 600 TONELADAS. AF_05/2024</v>
          </cell>
          <cell r="D9581" t="str">
            <v>T</v>
          </cell>
          <cell r="E9581">
            <v>0</v>
          </cell>
        </row>
        <row r="9582">
          <cell r="B9582">
            <v>105429</v>
          </cell>
          <cell r="C9582" t="str">
            <v>CARGA E DESCARGA DE SOLOS E MATERIAIS GRANULARES, COM CAMINHÃO DE 6 M³ E ESCAVADEIRA HIDRÁULICA, EM BALSA DE 1000 TONELADAS. AF_05/2024</v>
          </cell>
          <cell r="D9582" t="str">
            <v>T</v>
          </cell>
          <cell r="E9582">
            <v>0</v>
          </cell>
        </row>
        <row r="9583">
          <cell r="B9583">
            <v>105439</v>
          </cell>
          <cell r="C9583" t="str">
            <v>CARGA E DESCARGA DE SOLOS E MATERIAIS GRANULARES, COM CAMINHÃO DE 6 M³ E ESCAVADEIRA HIDRÁULICA, EM BALSA DE 1500 TONELADAS. AF_05/2024</v>
          </cell>
          <cell r="D9583" t="str">
            <v>T</v>
          </cell>
          <cell r="E9583">
            <v>0</v>
          </cell>
        </row>
        <row r="9584">
          <cell r="B9584">
            <v>105464</v>
          </cell>
          <cell r="C9584" t="str">
            <v>CARGA E DESCARGA DE SOLOS E MATERIAIS GRANULARES, COM CAMINHÃO DE 6 M³ E ESCAVADEIRA HIDRÁULICA, EM BALSA DE 2000 TONELADAS. AF_05/2024</v>
          </cell>
          <cell r="D9584" t="str">
            <v>T</v>
          </cell>
          <cell r="E9584">
            <v>0</v>
          </cell>
        </row>
        <row r="9585">
          <cell r="B9585">
            <v>105489</v>
          </cell>
          <cell r="C9585" t="str">
            <v>CARGA E DESCARGA DE SOLOS E MATERIAIS GRANULARES, COM CAMINHÃO DE 6 M³ E ESCAVADEIRA HIDRÁULICA, EM BALSA DE 600 TONELADAS. AF_05/2024</v>
          </cell>
          <cell r="D9585" t="str">
            <v>T</v>
          </cell>
          <cell r="E9585">
            <v>0</v>
          </cell>
        </row>
        <row r="9586">
          <cell r="B9586">
            <v>105437</v>
          </cell>
          <cell r="C9586" t="str">
            <v>CARGA E DESCARGA DE TELA DE AÇO, COM CAMINHÃO CARROCERIA COM GUINDAUTO (MUNCK) 11,7 TM, EM BALSA DE 1000 TONELADAS. AF_05/2024</v>
          </cell>
          <cell r="D9586" t="str">
            <v>T</v>
          </cell>
          <cell r="E9586">
            <v>0</v>
          </cell>
        </row>
        <row r="9587">
          <cell r="B9587">
            <v>105462</v>
          </cell>
          <cell r="C9587" t="str">
            <v>CARGA E DESCARGA DE TELA DE AÇO, COM CAMINHÃO CARROCERIA COM GUINDAUTO (MUNCK) 11,7 TM, EM BALSA DE 1500 TONELADAS. AF_05/2024</v>
          </cell>
          <cell r="D9587" t="str">
            <v>T</v>
          </cell>
          <cell r="E9587">
            <v>0</v>
          </cell>
        </row>
        <row r="9588">
          <cell r="B9588">
            <v>105484</v>
          </cell>
          <cell r="C9588" t="str">
            <v>CARGA E DESCARGA DE TELA DE AÇO, COM CAMINHÃO CARROCERIA COM GUINDAUTO (MUNCK) 11,7 TM, EM BALSA DE 2000 TONELADAS. AF_05/2024</v>
          </cell>
          <cell r="D9588" t="str">
            <v>T</v>
          </cell>
          <cell r="E9588">
            <v>0</v>
          </cell>
        </row>
        <row r="9589">
          <cell r="B9589">
            <v>105506</v>
          </cell>
          <cell r="C9589" t="str">
            <v>CARGA E DESCARGA DE TELA DE AÇO, COM CAMINHÃO CARROCERIA COM GUINDAUTO (MUNCK) 11,7 TM, EM BALSA DE 600 TONELADAS. AF_05/2024</v>
          </cell>
          <cell r="D9589" t="str">
            <v>T</v>
          </cell>
          <cell r="E9589">
            <v>0</v>
          </cell>
        </row>
        <row r="9590">
          <cell r="B9590">
            <v>105432</v>
          </cell>
          <cell r="C9590" t="str">
            <v>CARGA E DESCARGA DE TUBOS DE CONCRETO, COM CAMINHÃO CARROCERIA COM GUINDAUTO (MUNCK) 11,7 TM, EM BALSA DE 1000 TONELADAS. AF_05/2024</v>
          </cell>
          <cell r="D9590" t="str">
            <v>T</v>
          </cell>
          <cell r="E9590">
            <v>0</v>
          </cell>
        </row>
        <row r="9591">
          <cell r="B9591">
            <v>105457</v>
          </cell>
          <cell r="C9591" t="str">
            <v>CARGA E DESCARGA DE TUBOS DE CONCRETO, COM CAMINHÃO CARROCERIA COM GUINDAUTO (MUNCK) 11,7 TM, EM BALSA DE 1500 TONELADAS. AF_05/2024</v>
          </cell>
          <cell r="D9591" t="str">
            <v>T</v>
          </cell>
          <cell r="E9591">
            <v>0</v>
          </cell>
        </row>
        <row r="9592">
          <cell r="B9592">
            <v>105467</v>
          </cell>
          <cell r="C9592" t="str">
            <v>CARGA E DESCARGA DE TUBOS DE CONCRETO, COM CAMINHÃO CARROCERIA COM GUINDAUTO (MUNCK) 11,7 TM, EM BALSA DE 2000 TONELADAS. AF_05/2024</v>
          </cell>
          <cell r="D9592" t="str">
            <v>T</v>
          </cell>
          <cell r="E9592">
            <v>0</v>
          </cell>
        </row>
        <row r="9593">
          <cell r="B9593">
            <v>105501</v>
          </cell>
          <cell r="C9593" t="str">
            <v>CARGA E DESCARGA DE TUBOS DE CONCRETO, COM CAMINHÃO CARROCERIA COM GUINDAUTO (MUNCK) 11,7 TM, EM BALSA DE 600 TONELADAS. AF_05/2024</v>
          </cell>
          <cell r="D9593" t="str">
            <v>T</v>
          </cell>
          <cell r="E9593">
            <v>0</v>
          </cell>
        </row>
        <row r="9594">
          <cell r="B9594">
            <v>105433</v>
          </cell>
          <cell r="C9594" t="str">
            <v>CARGA E DESCARGA DE TUBOS METÁLICOS, COM CAMINHÃO CARROCERIA COM GUINDAUTO (MUNCK) 11,7 TM, EM BALSA DE 1000 TONELADAS. AF_05/2024</v>
          </cell>
          <cell r="D9594" t="str">
            <v>T</v>
          </cell>
          <cell r="E9594">
            <v>0</v>
          </cell>
        </row>
        <row r="9595">
          <cell r="B9595">
            <v>105458</v>
          </cell>
          <cell r="C9595" t="str">
            <v>CARGA E DESCARGA DE TUBOS METÁLICOS, COM CAMINHÃO CARROCERIA COM GUINDAUTO (MUNCK) 11,7 TM, EM BALSA DE 1500 TONELADAS. AF_05/2024</v>
          </cell>
          <cell r="D9595" t="str">
            <v>T</v>
          </cell>
          <cell r="E9595">
            <v>0</v>
          </cell>
        </row>
        <row r="9596">
          <cell r="B9596">
            <v>105468</v>
          </cell>
          <cell r="C9596" t="str">
            <v>CARGA E DESCARGA DE TUBOS METÁLICOS, COM CAMINHÃO CARROCERIA COM GUINDAUTO (MUNCK) 11,7 TM, EM BALSA DE 2000 TONELADAS. AF_05/2024</v>
          </cell>
          <cell r="D9596" t="str">
            <v>T</v>
          </cell>
          <cell r="E9596">
            <v>0</v>
          </cell>
        </row>
        <row r="9597">
          <cell r="B9597">
            <v>105502</v>
          </cell>
          <cell r="C9597" t="str">
            <v>CARGA E DESCARGA DE TUBOS METÁLICOS, COM CAMINHÃO CARROCERIA COM GUINDAUTO (MUNCK) 11,7 TM, EM BALSA DE 600 TONELADAS. AF_05/2024</v>
          </cell>
          <cell r="D9597" t="str">
            <v>T</v>
          </cell>
          <cell r="E9597">
            <v>0</v>
          </cell>
        </row>
        <row r="9598">
          <cell r="B9598">
            <v>105434</v>
          </cell>
          <cell r="C9598" t="str">
            <v>CARGA E DESCARGA DE TUBOS PLÁSTICOS, COM CAMINHÃO CARROCERIA COM GUINDAUTO (MUNCK) 11,7 TM, EM BALSA DE 1000 TONELADAS. AF_05/2024</v>
          </cell>
          <cell r="D9598" t="str">
            <v>T</v>
          </cell>
          <cell r="E9598">
            <v>0</v>
          </cell>
        </row>
        <row r="9599">
          <cell r="B9599">
            <v>105459</v>
          </cell>
          <cell r="C9599" t="str">
            <v>CARGA E DESCARGA DE TUBOS PLÁSTICOS, COM CAMINHÃO CARROCERIA COM GUINDAUTO (MUNCK) 11,7 TM, EM BALSA DE 1500 TONELADAS. AF_05/2024</v>
          </cell>
          <cell r="D9599" t="str">
            <v>T</v>
          </cell>
          <cell r="E9599">
            <v>0</v>
          </cell>
        </row>
        <row r="9600">
          <cell r="B9600">
            <v>105469</v>
          </cell>
          <cell r="C9600" t="str">
            <v>CARGA E DESCARGA DE TUBOS PLÁSTICOS, COM CAMINHÃO CARROCERIA COM GUINDAUTO (MUNCK) 11,7 TM, EM BALSA DE 2000 TONELADAS. AF_05/2024</v>
          </cell>
          <cell r="D9600" t="str">
            <v>T</v>
          </cell>
          <cell r="E9600">
            <v>0</v>
          </cell>
        </row>
        <row r="9601">
          <cell r="B9601">
            <v>105503</v>
          </cell>
          <cell r="C9601" t="str">
            <v>CARGA E DESCARGA DE TUBOS PLÁSTICOS, COM CAMINHÃO CARROCERIA COM GUINDAUTO (MUNCK) 11,7 TM, EM BALSA DE 600 TONELADAS. AF_05/2024</v>
          </cell>
          <cell r="D9601" t="str">
            <v>T</v>
          </cell>
          <cell r="E9601">
            <v>0</v>
          </cell>
        </row>
        <row r="9602">
          <cell r="B9602">
            <v>105472</v>
          </cell>
          <cell r="C9602" t="str">
            <v>CARGA E DESCARGA MANUAL, DE JANELA, KIT PORTA-PRONTA OU PORTA DE MADEIRA, PORTA DE AÇO E PORTA DE ALUMÍNIO, EM BALSA DE 1000 TONELADAS. AF_05/2024</v>
          </cell>
          <cell r="D9602" t="str">
            <v>T</v>
          </cell>
          <cell r="E9602">
            <v>0</v>
          </cell>
        </row>
        <row r="9603">
          <cell r="B9603">
            <v>105413</v>
          </cell>
          <cell r="C9603" t="str">
            <v>CARGA E DESCARGA MANUAL, DE JANELA, KIT PORTA-PRONTA OU PORTA DE MADEIRA, PORTA DE AÇO E PORTA DE ALUMÍNIO, EM BALSA DE 1500 TONELADAS. AF_05/2024</v>
          </cell>
          <cell r="D9603" t="str">
            <v>T</v>
          </cell>
          <cell r="E9603">
            <v>0</v>
          </cell>
        </row>
        <row r="9604">
          <cell r="B9604">
            <v>105423</v>
          </cell>
          <cell r="C9604" t="str">
            <v>CARGA E DESCARGA MANUAL, DE JANELA, KIT PORTA-PRONTA OU PORTA DE MADEIRA, PORTA DE AÇO E PORTA DE ALUMÍNIO, EM BALSA DE 2000 TONELADAS. AF_05/2024</v>
          </cell>
          <cell r="D9604" t="str">
            <v>T</v>
          </cell>
          <cell r="E9604">
            <v>0</v>
          </cell>
        </row>
        <row r="9605">
          <cell r="B9605">
            <v>105447</v>
          </cell>
          <cell r="C9605" t="str">
            <v>CARGA E DESCARGA MANUAL, DE JANELA, KIT PORTA-PRONTA OU PORTA DE MADEIRA, PORTA DE AÇO E PORTA DE ALUMÍNIO, EM BALSA DE 600 TONELADAS. AF_05/2024</v>
          </cell>
          <cell r="D9605" t="str">
            <v>T</v>
          </cell>
          <cell r="E9605">
            <v>0</v>
          </cell>
        </row>
        <row r="9606">
          <cell r="B9606">
            <v>105408</v>
          </cell>
          <cell r="C9606" t="str">
            <v>CARGA E DESCARGA MANUAL, DE PEÇAS DE MADEIRA (CAIBROS, TÁBUAS, RIPAS, VIGAS E COMPENSADOS), EM BALSA DE 1000 TONELADAS. AF_05/2024</v>
          </cell>
          <cell r="D9606" t="str">
            <v>T</v>
          </cell>
          <cell r="E9606">
            <v>0</v>
          </cell>
        </row>
        <row r="9607">
          <cell r="B9607">
            <v>105479</v>
          </cell>
          <cell r="C9607" t="str">
            <v>CARGA E DESCARGA MANUAL, DE PEÇAS DE MADEIRA (CAIBROS, TÁBUAS, RIPAS, VIGAS E COMPENSADOS), EM BALSA DE 1500 TONELADAS. AF_05/2024</v>
          </cell>
          <cell r="D9607" t="str">
            <v>T</v>
          </cell>
          <cell r="E9607">
            <v>0</v>
          </cell>
        </row>
        <row r="9608">
          <cell r="B9608">
            <v>105422</v>
          </cell>
          <cell r="C9608" t="str">
            <v>CARGA E DESCARGA MANUAL, DE PEÇAS DE MADEIRA (CAIBROS, TÁBUAS, RIPAS, VIGAS E COMPENSADOS), EM BALSA DE 2000 TONELADAS. AF_05/2024</v>
          </cell>
          <cell r="D9608" t="str">
            <v>T</v>
          </cell>
          <cell r="E9608">
            <v>0</v>
          </cell>
        </row>
        <row r="9609">
          <cell r="B9609">
            <v>105446</v>
          </cell>
          <cell r="C9609" t="str">
            <v>CARGA E DESCARGA MANUAL, DE PEÇAS DE MADEIRA (CAIBROS, TÁBUAS, RIPAS, VIGAS E COMPENSADOS), EM BALSA DE 600 TONELADAS. AF_05/2024</v>
          </cell>
          <cell r="D9609" t="str">
            <v>T</v>
          </cell>
          <cell r="E9609">
            <v>0</v>
          </cell>
        </row>
        <row r="9610">
          <cell r="B9610">
            <v>105474</v>
          </cell>
          <cell r="C9610" t="str">
            <v>CARGA E DESCARGA MANUAL, DE VIDRO, EM BALSA DE 1000 TONELADAS. AF_05/2024</v>
          </cell>
          <cell r="D9610" t="str">
            <v>T</v>
          </cell>
          <cell r="E9610">
            <v>0</v>
          </cell>
        </row>
        <row r="9611">
          <cell r="B9611">
            <v>105480</v>
          </cell>
          <cell r="C9611" t="str">
            <v>CARGA E DESCARGA MANUAL, DE VIDRO, EM BALSA DE 1500 TONELADAS. AF_05/2024</v>
          </cell>
          <cell r="D9611" t="str">
            <v>T</v>
          </cell>
          <cell r="E9611">
            <v>0</v>
          </cell>
        </row>
        <row r="9612">
          <cell r="B9612">
            <v>105481</v>
          </cell>
          <cell r="C9612" t="str">
            <v>CARGA E DESCARGA MANUAL, DE VIDRO, EM BALSA DE 2000 TONELADAS. AF_05/2024</v>
          </cell>
          <cell r="D9612" t="str">
            <v>T</v>
          </cell>
          <cell r="E9612">
            <v>0</v>
          </cell>
        </row>
        <row r="9613">
          <cell r="B9613">
            <v>105449</v>
          </cell>
          <cell r="C9613" t="str">
            <v>CARGA E DESCARGA MANUAL, DE VIDRO, EM BALSA DE 600 TONELADAS. AF_05/2024</v>
          </cell>
          <cell r="D9613" t="str">
            <v>T</v>
          </cell>
          <cell r="E9613">
            <v>0</v>
          </cell>
        </row>
        <row r="9614">
          <cell r="B9614">
            <v>105511</v>
          </cell>
          <cell r="C9614" t="str">
            <v>TRANSPORTE FLUVIAL COM CONJUNTO EMPURRADOR DE 250 HP E BALSA DE 200 A 600 TONELADAS, EM VIA NAVEGÁVEL NO SENTIDO A JUSANTE (DESCENDO O RIO). AF_05/2024</v>
          </cell>
          <cell r="D9614" t="str">
            <v>TXKM</v>
          </cell>
          <cell r="E9614">
            <v>0</v>
          </cell>
        </row>
        <row r="9615">
          <cell r="B9615">
            <v>105507</v>
          </cell>
          <cell r="C9615" t="str">
            <v>TRANSPORTE FLUVIAL COM CONJUNTO EMPURRADOR DE 250 HP E BALSA DE 200 A 600 TONELADAS, EM VIA NAVEGÁVEL NO SENTIDO A MONTANTE (SUBINDO O RIO). AF_05/2024</v>
          </cell>
          <cell r="D9615" t="str">
            <v>TXKM</v>
          </cell>
          <cell r="E9615">
            <v>0</v>
          </cell>
        </row>
        <row r="9616">
          <cell r="B9616">
            <v>105512</v>
          </cell>
          <cell r="C9616" t="str">
            <v>TRANSPORTE FLUVIAL COM CONJUNTO EMPURRADOR DE 315 HP E BALSA 600 A 1000 TONELADAS, EM VIA NAVEGÁVEL NO SENTIDO A JUSANTE (DESCENDO O RIO). AF_05/2024</v>
          </cell>
          <cell r="D9616" t="str">
            <v>TXKM</v>
          </cell>
          <cell r="E9616">
            <v>0</v>
          </cell>
        </row>
        <row r="9617">
          <cell r="B9617">
            <v>105508</v>
          </cell>
          <cell r="C9617" t="str">
            <v>TRANSPORTE FLUVIAL COM CONJUNTO EMPURRADOR DE 315 HP E BALSA 600 A 1000 TONELADAS, EM VIA NAVEGÁVEL NO SENTIDO A MONTANTE (SUBINDO O RIO). AF_05/2024</v>
          </cell>
          <cell r="D9617" t="str">
            <v>TXKM</v>
          </cell>
          <cell r="E9617">
            <v>0</v>
          </cell>
        </row>
        <row r="9618">
          <cell r="B9618">
            <v>105513</v>
          </cell>
          <cell r="C9618" t="str">
            <v>TRANSPORTE FLUVIAL COM CONJUNTO EMPURRADOR DE 475 HP E BALSA DE 1.000 A 1.500 TONELADAS, EM VIA NAVEGÁVEL NO SENTIDO A JUSANTE (DESCENDO O RIO). AF_05/2024</v>
          </cell>
          <cell r="D9618" t="str">
            <v>TXKM</v>
          </cell>
          <cell r="E9618">
            <v>0</v>
          </cell>
        </row>
        <row r="9619">
          <cell r="B9619">
            <v>105509</v>
          </cell>
          <cell r="C9619" t="str">
            <v>TRANSPORTE FLUVIAL COM CONJUNTO EMPURRADOR DE 475 HP E BALSA DE 1.000 A 1.500 TONELADAS, EM VIA NAVEGÁVEL NO SENTIDO A MONTANTE (SUBINDO O RIO). AF_05/2024</v>
          </cell>
          <cell r="D9619" t="str">
            <v>TXKM</v>
          </cell>
          <cell r="E9619">
            <v>0</v>
          </cell>
        </row>
        <row r="9620">
          <cell r="B9620">
            <v>105514</v>
          </cell>
          <cell r="C9620" t="str">
            <v>TRANSPORTE FLUVIAL COM CONJUNTO EMPURRADOR DE 600 HP E BALSA DE 1.500 A 2.000 TONELADAS, EM VIA NAVEGÁVEL NO SENTIDO A JUSANTE (DESCENDO O RIO). AF_05/2024</v>
          </cell>
          <cell r="D9620" t="str">
            <v>TXKM</v>
          </cell>
          <cell r="E9620">
            <v>0</v>
          </cell>
        </row>
        <row r="9621">
          <cell r="B9621">
            <v>105510</v>
          </cell>
          <cell r="C9621" t="str">
            <v>TRANSPORTE FLUVIAL COM CONJUNTO EMPURRADOR DE 600 HP E BALSA DE 1.500 A 2.000 TONELADAS, EM VIA NAVEGÁVEL NO SENTIDO A MONTANTE (SUBINDO O RIO). AF_05/2024</v>
          </cell>
          <cell r="D9621" t="str">
            <v>TXKM</v>
          </cell>
          <cell r="E9621">
            <v>0</v>
          </cell>
        </row>
        <row r="9622">
          <cell r="B9622">
            <v>100207</v>
          </cell>
          <cell r="C9622" t="str">
            <v>TRANSPORTE HORIZONTAL COM CARREGADEIRA, DE MASSA/ GRANEL (UNIDADE: M3XKM). AF_07/2019</v>
          </cell>
          <cell r="D9622" t="str">
            <v>M3XKM</v>
          </cell>
          <cell r="E9622">
            <v>587.33000000000004</v>
          </cell>
          <cell r="F9622">
            <v>0</v>
          </cell>
        </row>
        <row r="9623">
          <cell r="B9623">
            <v>100211</v>
          </cell>
          <cell r="C9623" t="str">
            <v>TRANSPORTE HORIZONTAL COM CARRINHO DE MÃO, DE BLOCOS CERÂMICOS FURADOS NA HORIZONTAL DE 9X19X19CM (UNIDADE: BLOCOXKM). AF_07/2019</v>
          </cell>
          <cell r="D9623" t="str">
            <v>UNXKM</v>
          </cell>
          <cell r="E9623">
            <v>10</v>
          </cell>
          <cell r="F9623">
            <v>0</v>
          </cell>
        </row>
        <row r="9624">
          <cell r="B9624">
            <v>100210</v>
          </cell>
          <cell r="C9624" t="str">
            <v>TRANSPORTE HORIZONTAL COM CARRINHO DE MÃO, DE BLOCOS VAZADOS DE CONCRETO OU CERÂMICO DE 19X19X39CM (UNIDADE: BLOCOXKM). AF_07/2019</v>
          </cell>
          <cell r="D9624" t="str">
            <v>UNXKM</v>
          </cell>
          <cell r="E9624">
            <v>25.93</v>
          </cell>
          <cell r="F9624">
            <v>0</v>
          </cell>
        </row>
        <row r="9625">
          <cell r="B9625">
            <v>100221</v>
          </cell>
          <cell r="C9625" t="str">
            <v>TRANSPORTE HORIZONTAL COM CARRINHO DE MÃO, DE CAIXA COM REVESTIMENTO CERÂMICO (UNIDADE: M2XKM). AF_07/2019</v>
          </cell>
          <cell r="D9625" t="str">
            <v>M2XKM</v>
          </cell>
          <cell r="E9625">
            <v>45.84</v>
          </cell>
          <cell r="F9625">
            <v>0</v>
          </cell>
        </row>
        <row r="9626">
          <cell r="B9626">
            <v>100203</v>
          </cell>
          <cell r="C9626" t="str">
            <v>TRANSPORTE HORIZONTAL COM CARRINHO DE MÃO, DE SACOS DE 20 KG (UNIDADE: KGXKM). AF_07/2019</v>
          </cell>
          <cell r="D9626" t="str">
            <v>KGXKM</v>
          </cell>
          <cell r="E9626">
            <v>1.6</v>
          </cell>
          <cell r="F9626">
            <v>0</v>
          </cell>
        </row>
        <row r="9627">
          <cell r="B9627">
            <v>100202</v>
          </cell>
          <cell r="C9627" t="str">
            <v>TRANSPORTE HORIZONTAL COM CARRINHO DE MÃO, DE SACOS DE 30 KG (UNIDADE: KGXKM). AF_07/2019</v>
          </cell>
          <cell r="D9627" t="str">
            <v>KGXKM</v>
          </cell>
          <cell r="E9627">
            <v>1.35</v>
          </cell>
          <cell r="F9627">
            <v>0</v>
          </cell>
        </row>
        <row r="9628">
          <cell r="B9628">
            <v>100201</v>
          </cell>
          <cell r="C9628" t="str">
            <v>TRANSPORTE HORIZONTAL COM CARRINHO DE MÃO, DE SACOS DE 50 KG (UNIDADE: KGXKM). AF_07/2019</v>
          </cell>
          <cell r="D9628" t="str">
            <v>KGXKM</v>
          </cell>
          <cell r="E9628">
            <v>1.1599999999999999</v>
          </cell>
          <cell r="F9628">
            <v>0</v>
          </cell>
        </row>
        <row r="9629">
          <cell r="B9629">
            <v>100216</v>
          </cell>
          <cell r="C9629" t="str">
            <v>TRANSPORTE HORIZONTAL COM CARRINHO MINI PÁLETES, DE BLOCOS CERÂMICOS FURADOS NA HORIZONTAL DE 9X19X19CM (UNIDADE: BLOCOXKM). AF_07/2019</v>
          </cell>
          <cell r="D9629" t="str">
            <v>UNXKM</v>
          </cell>
          <cell r="E9629">
            <v>1.4</v>
          </cell>
          <cell r="F9629">
            <v>0</v>
          </cell>
        </row>
        <row r="9630">
          <cell r="B9630">
            <v>100215</v>
          </cell>
          <cell r="C9630" t="str">
            <v>TRANSPORTE HORIZONTAL COM CARRINHO MINI PÁLETES, DE BLOCOS CERÂMICOS FURADOS NA VERTICAL DE 19X19X39CM (UNIDADE: BLOCOXKM). AF_07/2019</v>
          </cell>
          <cell r="D9630" t="str">
            <v>UNXKM</v>
          </cell>
          <cell r="E9630">
            <v>5.22</v>
          </cell>
          <cell r="F9630">
            <v>0</v>
          </cell>
        </row>
        <row r="9631">
          <cell r="B9631">
            <v>100214</v>
          </cell>
          <cell r="C9631" t="str">
            <v>TRANSPORTE HORIZONTAL COM CARRINHO MINI PÁLETES, DE BLOCOS VAZADOS DE CONCRETO DE 19X19X39CM (UNIDADE: BLOCOXKM). AF_07/2019</v>
          </cell>
          <cell r="D9631" t="str">
            <v>UNXKM</v>
          </cell>
          <cell r="E9631">
            <v>6.09</v>
          </cell>
          <cell r="F9631">
            <v>0</v>
          </cell>
        </row>
        <row r="9632">
          <cell r="B9632">
            <v>100223</v>
          </cell>
          <cell r="C9632" t="str">
            <v>TRANSPORTE HORIZONTAL COM CARRINHO MINI PÁLETES, DE CAIXA COM REVESTIMENTO CERÂMICO (UNIDADE: M2XKM). AF_07/2019</v>
          </cell>
          <cell r="D9632" t="str">
            <v>M2XKM</v>
          </cell>
          <cell r="E9632">
            <v>8.1199999999999992</v>
          </cell>
          <cell r="F9632">
            <v>0</v>
          </cell>
        </row>
        <row r="9633">
          <cell r="B9633">
            <v>100280</v>
          </cell>
          <cell r="C9633" t="str">
            <v>TRANSPORTE HORIZONTAL COM CARRINHO PLATAFORMA, DE BACIA SANITÁRIA, CAIXA ACOPLADA, TANQUE OU PIA (UNIDADE: UNIDXKM). AF_07/2019</v>
          </cell>
          <cell r="D9633" t="str">
            <v>UNXKM</v>
          </cell>
          <cell r="E9633">
            <v>26.65</v>
          </cell>
          <cell r="F9633">
            <v>0</v>
          </cell>
        </row>
        <row r="9634">
          <cell r="B9634">
            <v>100270</v>
          </cell>
          <cell r="C9634" t="str">
            <v>TRANSPORTE HORIZONTAL COM CARRINHO PLATAFORMA, DE BANCADA DE MÁRMORE OU GRANITO PARA COZINHA/LAVATÓRIO OU MÁRMORE SINTÉTICO COM CUBA INTEGRADA (UNIDADE: UNIDXKM). AF_07/2019</v>
          </cell>
          <cell r="D9634" t="str">
            <v>UNXKM</v>
          </cell>
          <cell r="E9634">
            <v>90.93</v>
          </cell>
          <cell r="F9634">
            <v>0</v>
          </cell>
        </row>
        <row r="9635">
          <cell r="B9635">
            <v>100286</v>
          </cell>
          <cell r="C9635" t="str">
            <v>TRANSPORTE HORIZONTAL COM CARRINHO PLATAFORMA, DE BARRAMENTO BLINDADO (UNIDADE: MXKM). AF_07/2019</v>
          </cell>
          <cell r="D9635" t="str">
            <v>MXKM</v>
          </cell>
          <cell r="E9635">
            <v>19.899999999999999</v>
          </cell>
          <cell r="F9635">
            <v>0</v>
          </cell>
        </row>
        <row r="9636">
          <cell r="B9636">
            <v>100213</v>
          </cell>
          <cell r="C9636" t="str">
            <v>TRANSPORTE HORIZONTAL COM CARRINHO PLATAFORMA, DE BLOCOS CERÂMICOS FURADOS NA HORIZONTAL DE 9X19X19CM (UNIDADE: BLOCOXKM). AF_07/2019</v>
          </cell>
          <cell r="D9636" t="str">
            <v>UNXKM</v>
          </cell>
          <cell r="E9636">
            <v>3.97</v>
          </cell>
          <cell r="F9636">
            <v>0</v>
          </cell>
        </row>
        <row r="9637">
          <cell r="B9637">
            <v>100212</v>
          </cell>
          <cell r="C9637" t="str">
            <v>TRANSPORTE HORIZONTAL COM CARRINHO PLATAFORMA, DE BLOCOS VAZADOS DE CONCRETO OU CERÂMICO DE 19X19X39CM (UNIDADE: BLOCOXKM). AF_07/2019</v>
          </cell>
          <cell r="D9637" t="str">
            <v>UNXKM</v>
          </cell>
          <cell r="E9637">
            <v>11.05</v>
          </cell>
          <cell r="F9637">
            <v>0</v>
          </cell>
        </row>
        <row r="9638">
          <cell r="B9638">
            <v>100222</v>
          </cell>
          <cell r="C9638" t="str">
            <v>TRANSPORTE HORIZONTAL COM CARRINHO PLATAFORMA, DE CAIXA COM REVESTIMENTO CERÂMICO (UNIDADE: M2XKM). AF_07/2019</v>
          </cell>
          <cell r="D9638" t="str">
            <v>M2XKM</v>
          </cell>
          <cell r="E9638">
            <v>17.36</v>
          </cell>
          <cell r="F9638">
            <v>0</v>
          </cell>
        </row>
        <row r="9639">
          <cell r="B9639">
            <v>100226</v>
          </cell>
          <cell r="C9639" t="str">
            <v>TRANSPORTE HORIZONTAL COM CARRINHO PLATAFORMA, DE LATA DE 18 LITROS (UNIDADE: LXKM). AF_07/2019</v>
          </cell>
          <cell r="D9639" t="str">
            <v>LXKM</v>
          </cell>
          <cell r="E9639">
            <v>0.99</v>
          </cell>
          <cell r="F9639">
            <v>0</v>
          </cell>
        </row>
        <row r="9640">
          <cell r="B9640">
            <v>100200</v>
          </cell>
          <cell r="C9640" t="str">
            <v>TRANSPORTE HORIZONTAL COM CARRINHO PLATAFORMA, DE SACOS DE 20 KG (UNIDADE: KGXKM). AF_07/2019</v>
          </cell>
          <cell r="D9640" t="str">
            <v>KGXKM</v>
          </cell>
          <cell r="E9640">
            <v>0.57999999999999996</v>
          </cell>
          <cell r="F9640">
            <v>0</v>
          </cell>
        </row>
        <row r="9641">
          <cell r="B9641">
            <v>100199</v>
          </cell>
          <cell r="C9641" t="str">
            <v>TRANSPORTE HORIZONTAL COM CARRINHO PLATAFORMA, DE SACOS DE 30 KG (UNIDADE: KGXKM). AF_07/2019</v>
          </cell>
          <cell r="D9641" t="str">
            <v>KGXKM</v>
          </cell>
          <cell r="E9641">
            <v>0.47</v>
          </cell>
          <cell r="F9641">
            <v>0</v>
          </cell>
        </row>
        <row r="9642">
          <cell r="B9642">
            <v>100198</v>
          </cell>
          <cell r="C9642" t="str">
            <v>TRANSPORTE HORIZONTAL COM CARRINHO PLATAFORMA, DE SACOS DE 50 KG (UNIDADE: KGXKM). AF_07/2019</v>
          </cell>
          <cell r="D9642" t="str">
            <v>KGXKM</v>
          </cell>
          <cell r="E9642">
            <v>0.39</v>
          </cell>
          <cell r="F9642">
            <v>0</v>
          </cell>
        </row>
        <row r="9643">
          <cell r="B9643">
            <v>100283</v>
          </cell>
          <cell r="C9643" t="str">
            <v>TRANSPORTE HORIZONTAL COM CARRINHO PLATAFORMA, DE TELHA DE CONCRETO OU CERÂMICA (UNIDADE: M2XKM). AF_07/2019</v>
          </cell>
          <cell r="D9643" t="str">
            <v>M2XKM</v>
          </cell>
          <cell r="E9643">
            <v>36.71</v>
          </cell>
          <cell r="F9643">
            <v>0</v>
          </cell>
        </row>
        <row r="9644">
          <cell r="B9644">
            <v>100227</v>
          </cell>
          <cell r="C9644" t="str">
            <v>TRANSPORTE HORIZONTAL COM CARRINHO RACIONAL, DE LATA DE 18 LITROS (UNIDADE: LXKM). AF_07/2019</v>
          </cell>
          <cell r="D9644" t="str">
            <v>LXKM</v>
          </cell>
          <cell r="E9644">
            <v>1.47</v>
          </cell>
          <cell r="F9644">
            <v>0</v>
          </cell>
        </row>
        <row r="9645">
          <cell r="B9645">
            <v>100205</v>
          </cell>
          <cell r="C9645" t="str">
            <v>TRANSPORTE HORIZONTAL COM JERICA DE 60 L, DE MASSA/ GRANEL (UNIDADE: M3XKM). AF_07/2019</v>
          </cell>
          <cell r="D9645" t="str">
            <v>M3XKM</v>
          </cell>
          <cell r="E9645">
            <v>2127.7399999999998</v>
          </cell>
          <cell r="F9645">
            <v>0</v>
          </cell>
        </row>
        <row r="9646">
          <cell r="B9646">
            <v>100206</v>
          </cell>
          <cell r="C9646" t="str">
            <v>TRANSPORTE HORIZONTAL COM JERICA DE 90 L, DE MASSA/ GRANEL (UNIDADE: M3XKM). AF_07/2019</v>
          </cell>
          <cell r="D9646" t="str">
            <v>M3XKM</v>
          </cell>
          <cell r="E9646">
            <v>1538</v>
          </cell>
          <cell r="F9646">
            <v>0</v>
          </cell>
        </row>
        <row r="9647">
          <cell r="B9647">
            <v>100281</v>
          </cell>
          <cell r="C9647" t="str">
            <v>TRANSPORTE HORIZONTAL COM MANIPULADOR TELESCÓPICO, DE BACIA SANITÁRIA, CAIXA ACOPLADA, TANQUE OU PIA (UNIDADE: UNIDXKM). AF_07/2019</v>
          </cell>
          <cell r="D9647" t="str">
            <v>UNXKM</v>
          </cell>
          <cell r="E9647">
            <v>4.62</v>
          </cell>
          <cell r="F9647">
            <v>0</v>
          </cell>
        </row>
        <row r="9648">
          <cell r="B9648">
            <v>100219</v>
          </cell>
          <cell r="C9648" t="str">
            <v>TRANSPORTE HORIZONTAL COM MANIPULADOR TELESCÓPICO, DE BLOCOS CERÂMICOS FURADOS NA HORIZONTAL DE 9X19X19CM (UNIDADE: BLOCOXKM). AF_07/2019</v>
          </cell>
          <cell r="D9648" t="str">
            <v>UNXKM</v>
          </cell>
          <cell r="E9648">
            <v>0.56999999999999995</v>
          </cell>
          <cell r="F9648">
            <v>0</v>
          </cell>
        </row>
        <row r="9649">
          <cell r="B9649">
            <v>100218</v>
          </cell>
          <cell r="C9649" t="str">
            <v>TRANSPORTE HORIZONTAL COM MANIPULADOR TELESCÓPICO, DE BLOCOS CERÂMICOS FURADOS NA VERTICAL DE 19X19X39CM (UNIDADE: BLOCOXKM). AF_07/2019</v>
          </cell>
          <cell r="D9649" t="str">
            <v>UNXKM</v>
          </cell>
          <cell r="E9649">
            <v>2.58</v>
          </cell>
          <cell r="F9649">
            <v>0</v>
          </cell>
        </row>
        <row r="9650">
          <cell r="B9650">
            <v>100217</v>
          </cell>
          <cell r="C9650" t="str">
            <v>TRANSPORTE HORIZONTAL COM MANIPULADOR TELESCÓPICO, DE BLOCOS VAZADOS DE CONCRETO DE 19X19X39CM (UNIDADE: BLOCOXKM). AF_07/2019</v>
          </cell>
          <cell r="D9650" t="str">
            <v>UNXKM</v>
          </cell>
          <cell r="E9650">
            <v>3.77</v>
          </cell>
          <cell r="F9650">
            <v>0</v>
          </cell>
        </row>
        <row r="9651">
          <cell r="B9651">
            <v>100224</v>
          </cell>
          <cell r="C9651" t="str">
            <v>TRANSPORTE HORIZONTAL COM MANIPULADOR TELESCÓPICO, DE CAIXA COM REVESTIMENTO CERÂMICO (UNIDADE: M2XKM). AF_07/2019</v>
          </cell>
          <cell r="D9651" t="str">
            <v>M2XKM</v>
          </cell>
          <cell r="E9651">
            <v>3.77</v>
          </cell>
          <cell r="F9651">
            <v>0</v>
          </cell>
        </row>
        <row r="9652">
          <cell r="B9652">
            <v>100228</v>
          </cell>
          <cell r="C9652" t="str">
            <v>TRANSPORTE HORIZONTAL COM MANIPULADOR TELESCÓPICO, DE LATA DE 18 LITROS (UNIDADE: LXKM). AF_07/2019</v>
          </cell>
          <cell r="D9652" t="str">
            <v>LXKM</v>
          </cell>
          <cell r="E9652">
            <v>0.37</v>
          </cell>
          <cell r="F9652">
            <v>0</v>
          </cell>
        </row>
        <row r="9653">
          <cell r="B9653">
            <v>100204</v>
          </cell>
          <cell r="C9653" t="str">
            <v>TRANSPORTE HORIZONTAL COM MANIPULADOR TELESCÓPICO, DE PÁLETE DE SACOS (UNIDADE: KGXKM). AF_07/2019</v>
          </cell>
          <cell r="D9653" t="str">
            <v>KGXKM</v>
          </cell>
          <cell r="E9653">
            <v>0.14000000000000001</v>
          </cell>
          <cell r="F9653">
            <v>0</v>
          </cell>
        </row>
        <row r="9654">
          <cell r="B9654">
            <v>100284</v>
          </cell>
          <cell r="C9654" t="str">
            <v>TRANSPORTE HORIZONTAL COM MANIPULADOR TELESCÓPICO, DE TELHA DE CONCRETO OU CERÂMICA (UNIDADE: M2XKM). AF_07/2019</v>
          </cell>
          <cell r="D9654" t="str">
            <v>M2XKM</v>
          </cell>
          <cell r="E9654">
            <v>13.52</v>
          </cell>
          <cell r="F9654">
            <v>0</v>
          </cell>
        </row>
        <row r="9655">
          <cell r="B9655">
            <v>100277</v>
          </cell>
          <cell r="C9655" t="str">
            <v>TRANSPORTE HORIZONTAL COM MANIPULADOR TELESCÓPICO, DE TELHAS TERMOACÚSTICAS, FIBROCIMENTO, AÇO ZINCADO, FIBROCIMENTO ESTRUTURAL, CANALETE 90 OU KALHETÃO (UNIDADE: M2XKM). AF_07/2019</v>
          </cell>
          <cell r="D9655" t="str">
            <v>M2XKM</v>
          </cell>
          <cell r="E9655">
            <v>2.41</v>
          </cell>
          <cell r="F9655">
            <v>0</v>
          </cell>
        </row>
        <row r="9656">
          <cell r="B9656">
            <v>100278</v>
          </cell>
          <cell r="C9656" t="str">
            <v>TRANSPORTE HORIZONTAL MANUAL, DE BACIA SANITÁRIA, CAIXA ACOPLADA, TANQUE OU PIA (UNIDADE: UNIDXKM). AF_07/2019</v>
          </cell>
          <cell r="D9656" t="str">
            <v>UNXKM</v>
          </cell>
          <cell r="E9656">
            <v>58.04</v>
          </cell>
          <cell r="F9656">
            <v>0</v>
          </cell>
        </row>
        <row r="9657">
          <cell r="B9657">
            <v>100268</v>
          </cell>
          <cell r="C9657" t="str">
            <v>TRANSPORTE HORIZONTAL MANUAL, DE BANCADA DE MÁRMORE OU GRANITO PARA COZINHA/LAVATÓRIO OU MÁRMORE SINTÉTICO COM CUBA INTEGRADA (UNIDADE: UNIDXKM). AF_07/2019</v>
          </cell>
          <cell r="D9657" t="str">
            <v>UNXKM</v>
          </cell>
          <cell r="E9657">
            <v>121.31</v>
          </cell>
          <cell r="F9657">
            <v>0</v>
          </cell>
        </row>
        <row r="9658">
          <cell r="B9658">
            <v>100285</v>
          </cell>
          <cell r="C9658" t="str">
            <v>TRANSPORTE HORIZONTAL MANUAL, DE BARRAMENTO BLINDADO (UNIDADE: MXKM). AF_07/2019</v>
          </cell>
          <cell r="D9658" t="str">
            <v>MXKM</v>
          </cell>
          <cell r="E9658">
            <v>61.06</v>
          </cell>
          <cell r="F9658">
            <v>0</v>
          </cell>
        </row>
        <row r="9659">
          <cell r="B9659">
            <v>100209</v>
          </cell>
          <cell r="C9659" t="str">
            <v>TRANSPORTE HORIZONTAL MANUAL, DE BLOCOS CERÂMICOS FURADOS NA HORIZONTAL DE 9X19X19CM (UNIDADE: BLOCOXKM). AF_07/2019</v>
          </cell>
          <cell r="D9659" t="str">
            <v>UNXKM</v>
          </cell>
          <cell r="E9659">
            <v>14.07</v>
          </cell>
          <cell r="F9659">
            <v>0</v>
          </cell>
        </row>
        <row r="9660">
          <cell r="B9660">
            <v>100208</v>
          </cell>
          <cell r="C9660" t="str">
            <v>TRANSPORTE HORIZONTAL MANUAL, DE BLOCOS VAZADOS DE CONCRETO OU CERÂMICO DE 19X19X39CM (UNIDADE: BLOCOXKM). AF_07/2019</v>
          </cell>
          <cell r="D9660" t="str">
            <v>UNXKM</v>
          </cell>
          <cell r="E9660">
            <v>28.15</v>
          </cell>
          <cell r="F9660">
            <v>0</v>
          </cell>
        </row>
        <row r="9661">
          <cell r="B9661">
            <v>100256</v>
          </cell>
          <cell r="C9661" t="str">
            <v>TRANSPORTE HORIZONTAL MANUAL, DE CAIBROS DE MADEIRA COM SEÇÃO TRANSVERSAL DE 7,5 X 6 CM E 6 X 8 CM (UNIDADE: MXKM). AF_07/2019</v>
          </cell>
          <cell r="D9661" t="str">
            <v>MXKM</v>
          </cell>
          <cell r="E9661">
            <v>12.89</v>
          </cell>
          <cell r="F9661">
            <v>0</v>
          </cell>
        </row>
        <row r="9662">
          <cell r="B9662">
            <v>100220</v>
          </cell>
          <cell r="C9662" t="str">
            <v>TRANSPORTE HORIZONTAL MANUAL, DE CAIXA COM REVESTIMENTO CERÂMICO (UNIDADE: M2XKM). AF_07/2019</v>
          </cell>
          <cell r="D9662" t="str">
            <v>M2XKM</v>
          </cell>
          <cell r="E9662">
            <v>40.43</v>
          </cell>
          <cell r="F9662">
            <v>0</v>
          </cell>
        </row>
        <row r="9663">
          <cell r="B9663">
            <v>100287</v>
          </cell>
          <cell r="C9663" t="str">
            <v>TRANSPORTE HORIZONTAL MANUAL, DE CALHA QUADRADA NÚMERO 24 - CORTE 33 (UNIDADE: MXKM). AF_07/2019</v>
          </cell>
          <cell r="D9663" t="str">
            <v>MXKM</v>
          </cell>
          <cell r="E9663">
            <v>19.05</v>
          </cell>
          <cell r="F9663">
            <v>0</v>
          </cell>
        </row>
        <row r="9664">
          <cell r="B9664">
            <v>100274</v>
          </cell>
          <cell r="C9664" t="str">
            <v>TRANSPORTE HORIZONTAL MANUAL, DE COMPENSADO DE MADEIRA (UNIDADE: M2XKM). AF_07/2019</v>
          </cell>
          <cell r="D9664" t="str">
            <v>M2XKM</v>
          </cell>
          <cell r="E9664">
            <v>40.46</v>
          </cell>
          <cell r="F9664">
            <v>0</v>
          </cell>
        </row>
        <row r="9665">
          <cell r="B9665">
            <v>100264</v>
          </cell>
          <cell r="C9665" t="str">
            <v>TRANSPORTE HORIZONTAL MANUAL, DE JANELA (UNIDADE: M2XKM). AF_07/2019</v>
          </cell>
          <cell r="D9665" t="str">
            <v>M2XKM</v>
          </cell>
          <cell r="E9665">
            <v>57.08</v>
          </cell>
          <cell r="F9665">
            <v>0</v>
          </cell>
        </row>
        <row r="9666">
          <cell r="B9666">
            <v>100225</v>
          </cell>
          <cell r="C9666" t="str">
            <v>TRANSPORTE HORIZONTAL MANUAL, DE LATA DE 18 LITROS (UNIDADE: LXKM). AF_07/2019</v>
          </cell>
          <cell r="D9666" t="str">
            <v>LXKM</v>
          </cell>
          <cell r="E9666">
            <v>3.17</v>
          </cell>
          <cell r="F9666">
            <v>0</v>
          </cell>
        </row>
        <row r="9667">
          <cell r="B9667">
            <v>100266</v>
          </cell>
          <cell r="C9667" t="str">
            <v>TRANSPORTE HORIZONTAL MANUAL, DE PORTA (UNIDADE: UNIDXKM). AF_07/2019</v>
          </cell>
          <cell r="D9667" t="str">
            <v>UNXKM</v>
          </cell>
          <cell r="E9667">
            <v>121.31</v>
          </cell>
          <cell r="F9667">
            <v>0</v>
          </cell>
        </row>
        <row r="9668">
          <cell r="B9668">
            <v>100257</v>
          </cell>
          <cell r="C9668" t="str">
            <v>TRANSPORTE HORIZONTAL MANUAL, DE RIPAS DE MADEIRA COM SEÇÃO TRANSVERSAL DE 1 X 5 CM E 2 X 5 CM (UNIDADE: MXKM). AF_07/2019</v>
          </cell>
          <cell r="D9668" t="str">
            <v>MXKM</v>
          </cell>
          <cell r="E9668">
            <v>7.74</v>
          </cell>
          <cell r="F9668">
            <v>0</v>
          </cell>
        </row>
        <row r="9669">
          <cell r="B9669">
            <v>100197</v>
          </cell>
          <cell r="C9669" t="str">
            <v>TRANSPORTE HORIZONTAL MANUAL, DE SACOS DE 20 KG (UNIDADE: KGXKM). AF_07/2019</v>
          </cell>
          <cell r="D9669" t="str">
            <v>KGXKM</v>
          </cell>
          <cell r="E9669">
            <v>2.85</v>
          </cell>
          <cell r="F9669">
            <v>0</v>
          </cell>
        </row>
        <row r="9670">
          <cell r="B9670">
            <v>100196</v>
          </cell>
          <cell r="C9670" t="str">
            <v>TRANSPORTE HORIZONTAL MANUAL, DE SACOS DE 30 KG (UNIDADE: KGXKM). AF_07/2019</v>
          </cell>
          <cell r="D9670" t="str">
            <v>KGXKM</v>
          </cell>
          <cell r="E9670">
            <v>1.9</v>
          </cell>
          <cell r="F9670">
            <v>0</v>
          </cell>
        </row>
        <row r="9671">
          <cell r="B9671">
            <v>100195</v>
          </cell>
          <cell r="C9671" t="str">
            <v>TRANSPORTE HORIZONTAL MANUAL, DE SACOS DE 50 KG (UNIDADE: KGXKM). AF_07/2019</v>
          </cell>
          <cell r="D9671" t="str">
            <v>KGXKM</v>
          </cell>
          <cell r="E9671">
            <v>1.1399999999999999</v>
          </cell>
          <cell r="F9671">
            <v>0</v>
          </cell>
        </row>
        <row r="9672">
          <cell r="B9672">
            <v>100273</v>
          </cell>
          <cell r="C9672" t="str">
            <v>TRANSPORTE HORIZONTAL MANUAL, DE TELA DE AÇO (UNIDADE: KGXKM). AF_07/2019</v>
          </cell>
          <cell r="D9672" t="str">
            <v>KGXKM</v>
          </cell>
          <cell r="E9672">
            <v>4.74</v>
          </cell>
          <cell r="F9672">
            <v>0</v>
          </cell>
        </row>
        <row r="9673">
          <cell r="B9673">
            <v>100282</v>
          </cell>
          <cell r="C9673" t="str">
            <v>TRANSPORTE HORIZONTAL MANUAL, DE TELHA DE CONCRETO OU CERÂMICA (UNIDADE: M2XKM). AF_07/2019</v>
          </cell>
          <cell r="D9673" t="str">
            <v>M2XKM</v>
          </cell>
          <cell r="E9673">
            <v>227.29</v>
          </cell>
          <cell r="F9673">
            <v>0</v>
          </cell>
        </row>
        <row r="9674">
          <cell r="B9674">
            <v>100276</v>
          </cell>
          <cell r="C9674" t="str">
            <v>TRANSPORTE HORIZONTAL MANUAL, DE TELHA DE FIBROCIMENTO OU TELHA ESTRUTURAL DE FIBROCIMENTO, CANALETE 90 OU KALHETÃO (UNIDADE: M2XKM). AF_07/2019</v>
          </cell>
          <cell r="D9674" t="str">
            <v>M2XKM</v>
          </cell>
          <cell r="E9674">
            <v>47.73</v>
          </cell>
          <cell r="F9674">
            <v>0</v>
          </cell>
        </row>
        <row r="9675">
          <cell r="B9675">
            <v>100275</v>
          </cell>
          <cell r="C9675" t="str">
            <v>TRANSPORTE HORIZONTAL MANUAL, DE TELHA TERMOACÚSTICA OU TELHA DE AÇO ZINCADO (UNIDADE: M2XKM). AF_07/2019</v>
          </cell>
          <cell r="D9675" t="str">
            <v>M2XKM</v>
          </cell>
          <cell r="E9675">
            <v>26.15</v>
          </cell>
          <cell r="F9675">
            <v>0</v>
          </cell>
        </row>
        <row r="9676">
          <cell r="B9676">
            <v>100254</v>
          </cell>
          <cell r="C9676" t="str">
            <v>TRANSPORTE HORIZONTAL MANUAL, DE TUBO DE AÇO CARBONO LEVE OU MÉDIO, PRETO OU GALVANIZADO, COM DIÂMETRO MAIOR QUE 125 MM E MENOR OU IGUAL A 150 MM (UNIDADE: MXKM). AF_07/2019</v>
          </cell>
          <cell r="D9676" t="str">
            <v>MXKM</v>
          </cell>
          <cell r="E9676">
            <v>57.17</v>
          </cell>
          <cell r="F9676">
            <v>0</v>
          </cell>
        </row>
        <row r="9677">
          <cell r="B9677">
            <v>100250</v>
          </cell>
          <cell r="C9677" t="str">
            <v>TRANSPORTE HORIZONTAL MANUAL, DE TUBO DE AÇO CARBONO LEVE OU MÉDIO, PRETO OU GALVANIZADO, COM DIÂMETRO MAIOR QUE 20 MM E MENOR OU IGUAL A 32 MM (UNIDADE: MXKM). AF_07/2019</v>
          </cell>
          <cell r="D9677" t="str">
            <v>MXKM</v>
          </cell>
          <cell r="E9677">
            <v>6.44</v>
          </cell>
          <cell r="F9677">
            <v>0</v>
          </cell>
        </row>
        <row r="9678">
          <cell r="B9678">
            <v>100251</v>
          </cell>
          <cell r="C9678" t="str">
            <v>TRANSPORTE HORIZONTAL MANUAL, DE TUBO DE AÇO CARBONO LEVE OU MÉDIO, PRETO OU GALVANIZADO, COM DIÂMETRO MAIOR QUE 32 MM E MENOR OU IGUAL A 65 MM (UNIDADE: MXKM). AF_07/2019</v>
          </cell>
          <cell r="D9678" t="str">
            <v>MXKM</v>
          </cell>
          <cell r="E9678">
            <v>19.05</v>
          </cell>
          <cell r="F9678">
            <v>0</v>
          </cell>
        </row>
        <row r="9679">
          <cell r="B9679">
            <v>100252</v>
          </cell>
          <cell r="C9679" t="str">
            <v>TRANSPORTE HORIZONTAL MANUAL, DE TUBO DE AÇO CARBONO LEVE OU MÉDIO, PRETO OU GALVANIZADO, COM DIÂMETRO MAIOR QUE 65 MM E MENOR OU IGUAL A 90 MM (UNIDADE: MXKM). AF_07/2019</v>
          </cell>
          <cell r="D9679" t="str">
            <v>MXKM</v>
          </cell>
          <cell r="E9679">
            <v>28.58</v>
          </cell>
          <cell r="F9679">
            <v>0</v>
          </cell>
        </row>
        <row r="9680">
          <cell r="B9680">
            <v>100253</v>
          </cell>
          <cell r="C9680" t="str">
            <v>TRANSPORTE HORIZONTAL MANUAL, DE TUBO DE AÇO CARBONO LEVE OU MÉDIO, PRETO OU GALVANIZADO, COM DIÂMETRO MAIOR QUE 90 MM E MENOR OU IGUAL A 125 MM (UNIDADE: MXKM). AF_07/2019</v>
          </cell>
          <cell r="D9680" t="str">
            <v>MXKM</v>
          </cell>
          <cell r="E9680">
            <v>38.11</v>
          </cell>
          <cell r="F9680">
            <v>0</v>
          </cell>
        </row>
        <row r="9681">
          <cell r="B9681">
            <v>100249</v>
          </cell>
          <cell r="C9681" t="str">
            <v>TRANSPORTE HORIZONTAL MANUAL, DE TUBO DE AÇO CARBONO LEVE OU MÉDIO, PRETO OU GALVANIZADO, COM DIÂMETRO MENOR OU IGUAL A 20 MM (UNIDADE: MXKM). AF_07/2019</v>
          </cell>
          <cell r="D9681" t="str">
            <v>MXKM</v>
          </cell>
          <cell r="E9681">
            <v>3.86</v>
          </cell>
          <cell r="F9681">
            <v>0</v>
          </cell>
        </row>
        <row r="9682">
          <cell r="B9682">
            <v>100244</v>
          </cell>
          <cell r="C9682" t="str">
            <v>TRANSPORTE HORIZONTAL MANUAL, DE TUBO DE COBRE - CLASSE E - COM DIÂMETRO MAIOR QUE 54 MM E MENOR OU IGUAL A 79 MM (UNIDADE: MXKM). AF_07/2019</v>
          </cell>
          <cell r="D9682" t="str">
            <v>MXKM</v>
          </cell>
          <cell r="E9682">
            <v>5.8</v>
          </cell>
          <cell r="F9682">
            <v>0</v>
          </cell>
        </row>
        <row r="9683">
          <cell r="B9683">
            <v>100245</v>
          </cell>
          <cell r="C9683" t="str">
            <v>TRANSPORTE HORIZONTAL MANUAL, DE TUBO DE COBRE - CLASSE E - COM DIÂMETRO MAIOR QUE 79 MM E MENOR OU IGUAL A 104 MM (UNIDADE: MXKM). AF_07/2019</v>
          </cell>
          <cell r="D9683" t="str">
            <v>MXKM</v>
          </cell>
          <cell r="E9683">
            <v>11.6</v>
          </cell>
          <cell r="F9683">
            <v>0</v>
          </cell>
        </row>
        <row r="9684">
          <cell r="B9684">
            <v>100243</v>
          </cell>
          <cell r="C9684" t="str">
            <v>TRANSPORTE HORIZONTAL MANUAL, DE TUBO DE COBRE - CLASSE E - COM DIÂMETRO MENOR OU IGUAL A 54 MM (UNIDADE: MXKM). AF_07/2019</v>
          </cell>
          <cell r="D9684" t="str">
            <v>MXKM</v>
          </cell>
          <cell r="E9684">
            <v>4.6399999999999997</v>
          </cell>
          <cell r="F9684">
            <v>0</v>
          </cell>
        </row>
        <row r="9685">
          <cell r="B9685">
            <v>100239</v>
          </cell>
          <cell r="C9685" t="str">
            <v>TRANSPORTE HORIZONTAL MANUAL, DE TUBO DE CPVC COM DIÂMETRO MAIOR QUE 73 MM E MENOR OU IGUAL A 89 MM (UNIDADE: MXKM). AF_07/2019</v>
          </cell>
          <cell r="D9685" t="str">
            <v>MXKM</v>
          </cell>
          <cell r="E9685">
            <v>9.67</v>
          </cell>
          <cell r="F9685">
            <v>0</v>
          </cell>
        </row>
        <row r="9686">
          <cell r="B9686">
            <v>100238</v>
          </cell>
          <cell r="C9686" t="str">
            <v>TRANSPORTE HORIZONTAL MANUAL, DE TUBO DE CPVC COM DIÂMETRO MENOR OU IGUAL A 73 MM (UNIDADE: MXKM). AF_07/2019</v>
          </cell>
          <cell r="D9686" t="str">
            <v>MXKM</v>
          </cell>
          <cell r="E9686">
            <v>7.74</v>
          </cell>
          <cell r="F9686">
            <v>0</v>
          </cell>
        </row>
        <row r="9687">
          <cell r="B9687">
            <v>100241</v>
          </cell>
          <cell r="C9687" t="str">
            <v>TRANSPORTE HORIZONTAL MANUAL, DE TUBO DE PPR - PN12 OU PN25 - COM DIÂMETRO MAIOR QUE 50 MM E MENOR OU IGUAL A 75 MM (UNIDADE: MXKM). AF_07/2019</v>
          </cell>
          <cell r="D9687" t="str">
            <v>MXKM</v>
          </cell>
          <cell r="E9687">
            <v>9.67</v>
          </cell>
          <cell r="F9687">
            <v>0</v>
          </cell>
        </row>
        <row r="9688">
          <cell r="B9688">
            <v>100242</v>
          </cell>
          <cell r="C9688" t="str">
            <v>TRANSPORTE HORIZONTAL MANUAL, DE TUBO DE PPR - PN12 OU PN25 - COM DIÂMETRO MAIOR QUE 75 MM E MENOR OU IGUAL A 110 MM (UNIDADE: MXKM). AF_07/2019</v>
          </cell>
          <cell r="D9688" t="str">
            <v>MXKM</v>
          </cell>
          <cell r="E9688">
            <v>28.58</v>
          </cell>
          <cell r="F9688">
            <v>0</v>
          </cell>
        </row>
        <row r="9689">
          <cell r="B9689">
            <v>100240</v>
          </cell>
          <cell r="C9689" t="str">
            <v>TRANSPORTE HORIZONTAL MANUAL, DE TUBO DE PPR - PN12 OU PN25 - COM DIÂMETRO MENOR OU IGUAL A 50 MM (UNIDADE: MXKM). AF_07/2019</v>
          </cell>
          <cell r="D9689" t="str">
            <v>MXKM</v>
          </cell>
          <cell r="E9689">
            <v>5.8</v>
          </cell>
          <cell r="F9689">
            <v>0</v>
          </cell>
        </row>
        <row r="9690">
          <cell r="B9690">
            <v>100237</v>
          </cell>
          <cell r="C9690" t="str">
            <v>TRANSPORTE HORIZONTAL MANUAL, DE TUBO DE PVC SOLDÁVEL COM DIÂMETRO MAIOR QUE 60 MM E MENOR OU IGUAL A 85 MM (UNIDADE: MXKM). AF_07/2019</v>
          </cell>
          <cell r="D9690" t="str">
            <v>MXKM</v>
          </cell>
          <cell r="E9690">
            <v>4.83</v>
          </cell>
          <cell r="F9690">
            <v>0</v>
          </cell>
        </row>
        <row r="9691">
          <cell r="B9691">
            <v>100236</v>
          </cell>
          <cell r="C9691" t="str">
            <v>TRANSPORTE HORIZONTAL MANUAL, DE TUBO DE PVC SOLDÁVEL COM DIÂMETRO MENOR OU IGUAL A 60 MM (UNIDADE: MXKM). AF_07/2019</v>
          </cell>
          <cell r="D9691" t="str">
            <v>MXKM</v>
          </cell>
          <cell r="E9691">
            <v>4.03</v>
          </cell>
          <cell r="F9691">
            <v>0</v>
          </cell>
        </row>
        <row r="9692">
          <cell r="B9692">
            <v>100248</v>
          </cell>
          <cell r="C9692" t="str">
            <v>TRANSPORTE HORIZONTAL MANUAL, DE TUBO DE PVC SÉRIE NORMAL - ESGOTO PREDIAL, OU REFORÇADO PARA ESGOTO OU ÁGUAS PLUVIAIS PREDIAL, COM DIÂMETRO MAIOR QUE 100 MM E MENOR OU IGUAL A 150 MM (UNIDADE: MXKM). AF_07/2019</v>
          </cell>
          <cell r="D9692" t="str">
            <v>MXKM</v>
          </cell>
          <cell r="E9692">
            <v>19.05</v>
          </cell>
          <cell r="F9692">
            <v>0</v>
          </cell>
        </row>
        <row r="9693">
          <cell r="B9693">
            <v>100247</v>
          </cell>
          <cell r="C9693" t="str">
            <v>TRANSPORTE HORIZONTAL MANUAL, DE TUBO DE PVC SÉRIE NORMAL - ESGOTO PREDIAL, OU REFORÇADO PARA ESGOTO OU ÁGUAS PLUVIAIS PREDIAL, COM DIÂMETRO MAIOR QUE 75 MM E MENOR OU IGUAL A 100 MM (UNIDADE: MXKM). AF_07/2019</v>
          </cell>
          <cell r="D9693" t="str">
            <v>MXKM</v>
          </cell>
          <cell r="E9693">
            <v>4.83</v>
          </cell>
          <cell r="F9693">
            <v>0</v>
          </cell>
        </row>
        <row r="9694">
          <cell r="B9694">
            <v>100246</v>
          </cell>
          <cell r="C9694" t="str">
            <v>TRANSPORTE HORIZONTAL MANUAL, DE TUBO DE PVC SÉRIE NORMAL - ESGOTO PREDIAL, OU REFORÇADO PARA ESGOTO OU ÁGUAS PLUVIAIS PREDIAL, COM DIÂMETRO MENOR OU IGUAL A 75 MM (UNIDADE: MXKM). AF_07/2019</v>
          </cell>
          <cell r="D9694" t="str">
            <v>MXKM</v>
          </cell>
          <cell r="E9694">
            <v>3.86</v>
          </cell>
          <cell r="F9694">
            <v>0</v>
          </cell>
        </row>
        <row r="9695">
          <cell r="B9695">
            <v>100255</v>
          </cell>
          <cell r="C9695" t="str">
            <v>TRANSPORTE HORIZONTAL MANUAL, DE TÁBUAS DE MADEIRA COM SEÇÃO TRANSVERSAL DE 2,5 X 25 CM E 2,5 X 30 CM (UNIDADE: MXKM). AF_07/2019</v>
          </cell>
          <cell r="D9695" t="str">
            <v>MXKM</v>
          </cell>
          <cell r="E9695">
            <v>19.34</v>
          </cell>
          <cell r="F9695">
            <v>0</v>
          </cell>
        </row>
        <row r="9696">
          <cell r="B9696">
            <v>100263</v>
          </cell>
          <cell r="C9696" t="str">
            <v>TRANSPORTE HORIZONTAL MANUAL, DE VERGALHÕES DE AÇO COM DIÂMETRO DE 10 MM; 12,5 MM; 16 MM; 20 MM; 25 MM OU 32 MM (UNIDADE: KGXKM). AF_07/2019</v>
          </cell>
          <cell r="D9696" t="str">
            <v>KGXKM</v>
          </cell>
          <cell r="E9696">
            <v>3.13</v>
          </cell>
          <cell r="F9696">
            <v>0</v>
          </cell>
        </row>
        <row r="9697">
          <cell r="B9697">
            <v>100260</v>
          </cell>
          <cell r="C9697" t="str">
            <v>TRANSPORTE HORIZONTAL MANUAL, DE VERGALHÕES DE AÇO COM DIÂMETRO DE 5 MM (UNIDADE: KGXKM). AF_07/2019</v>
          </cell>
          <cell r="D9697" t="str">
            <v>KGXKM</v>
          </cell>
          <cell r="E9697">
            <v>12.56</v>
          </cell>
          <cell r="F9697">
            <v>0</v>
          </cell>
        </row>
        <row r="9698">
          <cell r="B9698">
            <v>100261</v>
          </cell>
          <cell r="C9698" t="str">
            <v>TRANSPORTE HORIZONTAL MANUAL, DE VERGALHÕES DE AÇO COM DIÂMETRO DE 6,3 MM (UNIDADE: KGXKM). AF_07/2019</v>
          </cell>
          <cell r="D9698" t="str">
            <v>KGXKM</v>
          </cell>
          <cell r="E9698">
            <v>7.89</v>
          </cell>
          <cell r="F9698">
            <v>0</v>
          </cell>
        </row>
        <row r="9699">
          <cell r="B9699">
            <v>100262</v>
          </cell>
          <cell r="C9699" t="str">
            <v>TRANSPORTE HORIZONTAL MANUAL, DE VERGALHÕES DE AÇO COM DIÂMETRO DE 8 MM (UNIDADE: KGXKM). AF_07/2019</v>
          </cell>
          <cell r="D9699" t="str">
            <v>KGXKM</v>
          </cell>
          <cell r="E9699">
            <v>4.8899999999999997</v>
          </cell>
          <cell r="F9699">
            <v>0</v>
          </cell>
        </row>
        <row r="9700">
          <cell r="B9700">
            <v>100271</v>
          </cell>
          <cell r="C9700" t="str">
            <v>TRANSPORTE HORIZONTAL MANUAL, DE VIDRO (UNIDADE: M2XKM). AF_07/2019</v>
          </cell>
          <cell r="D9700" t="str">
            <v>M2XKM</v>
          </cell>
          <cell r="E9700">
            <v>90.98</v>
          </cell>
          <cell r="F9700">
            <v>0</v>
          </cell>
        </row>
        <row r="9701">
          <cell r="B9701">
            <v>100258</v>
          </cell>
          <cell r="C9701" t="str">
            <v>TRANSPORTE HORIZONTAL MANUAL, DE VIGAS DE MADEIRA COM SEÇÃO TRANSVERSAL DE 5 X 12 CM (UNIDADE: MXKM). AF_07/2019</v>
          </cell>
          <cell r="D9701" t="str">
            <v>MXKM</v>
          </cell>
          <cell r="E9701">
            <v>19.34</v>
          </cell>
          <cell r="F9701">
            <v>0</v>
          </cell>
        </row>
        <row r="9702">
          <cell r="B9702">
            <v>100259</v>
          </cell>
          <cell r="C9702" t="str">
            <v>TRANSPORTE HORIZONTAL MANUAL, DE VIGAS DE MADEIRA COM SEÇÃO TRANSVERSAL DE 6 X 16 CM (UNIDADE: MXKM). AF_07/2019</v>
          </cell>
          <cell r="D9702" t="str">
            <v>MXKM</v>
          </cell>
          <cell r="E9702">
            <v>38.11</v>
          </cell>
          <cell r="F9702">
            <v>0</v>
          </cell>
        </row>
        <row r="9703">
          <cell r="B9703">
            <v>100279</v>
          </cell>
          <cell r="C9703" t="str">
            <v>TRANSPORTE VERTICAL MANUAL, 1 PAVIMENTO, DE BACIA SANITÁRIA, CAIXA ACOPLADA, TANQUE OU PIA (UNIDADE: UNID). AF_07/2019</v>
          </cell>
          <cell r="D9703" t="str">
            <v>UN</v>
          </cell>
          <cell r="E9703">
            <v>1.1200000000000001</v>
          </cell>
          <cell r="F9703">
            <v>0</v>
          </cell>
        </row>
        <row r="9704">
          <cell r="B9704">
            <v>100233</v>
          </cell>
          <cell r="C9704" t="str">
            <v>TRANSPORTE VERTICAL MANUAL, 1 PAVIMENTO, DE BLOCOS CERÂMICOS FURADOS NA HORIZONTAL DE 9X19X19CM (UNIDADE: BLOCO). AF_07/2019</v>
          </cell>
          <cell r="D9704" t="str">
            <v>UN</v>
          </cell>
          <cell r="E9704">
            <v>0.26</v>
          </cell>
          <cell r="F9704">
            <v>0</v>
          </cell>
        </row>
        <row r="9705">
          <cell r="B9705">
            <v>100232</v>
          </cell>
          <cell r="C9705" t="str">
            <v>TRANSPORTE VERTICAL MANUAL, 1 PAVIMENTO, DE BLOCOS VAZADOS DE CONCRETO OU CERÂMICO DE 19X19X39CM (UNIDADE: BLOCO). AF_07/2019</v>
          </cell>
          <cell r="D9705" t="str">
            <v>UN</v>
          </cell>
          <cell r="E9705">
            <v>0.53</v>
          </cell>
          <cell r="F9705">
            <v>0</v>
          </cell>
        </row>
        <row r="9706">
          <cell r="B9706">
            <v>100234</v>
          </cell>
          <cell r="C9706" t="str">
            <v>TRANSPORTE VERTICAL MANUAL, 1 PAVIMENTO, DE CAIXA COM REVESTIMENTO CERÂMICO (UNIDADE: M2). AF_07/2019</v>
          </cell>
          <cell r="D9706" t="str">
            <v>M2</v>
          </cell>
          <cell r="E9706">
            <v>0.8</v>
          </cell>
          <cell r="F9706">
            <v>0</v>
          </cell>
        </row>
        <row r="9707">
          <cell r="B9707">
            <v>100265</v>
          </cell>
          <cell r="C9707" t="str">
            <v>TRANSPORTE VERTICAL MANUAL, 1 PAVIMENTO, DE JANELA (UNIDADE: M2). AF_07/2019</v>
          </cell>
          <cell r="D9707" t="str">
            <v>M2</v>
          </cell>
          <cell r="E9707">
            <v>1.19</v>
          </cell>
          <cell r="F9707">
            <v>0</v>
          </cell>
        </row>
        <row r="9708">
          <cell r="B9708">
            <v>100235</v>
          </cell>
          <cell r="C9708" t="str">
            <v>TRANSPORTE VERTICAL MANUAL, 1 PAVIMENTO, DE LATA DE 18 LITROS (UNIDADE: L). AF_07/2019</v>
          </cell>
          <cell r="D9708" t="str">
            <v>L</v>
          </cell>
          <cell r="E9708">
            <v>0.06</v>
          </cell>
          <cell r="F9708">
            <v>0</v>
          </cell>
        </row>
        <row r="9709">
          <cell r="B9709">
            <v>100267</v>
          </cell>
          <cell r="C9709" t="str">
            <v>TRANSPORTE VERTICAL MANUAL, 1 PAVIMENTO, DE PORTA (UNIDADE: UNID). AF_07/2019</v>
          </cell>
          <cell r="D9709" t="str">
            <v>UN</v>
          </cell>
          <cell r="E9709">
            <v>2.4</v>
          </cell>
          <cell r="F9709">
            <v>0</v>
          </cell>
        </row>
        <row r="9710">
          <cell r="B9710">
            <v>100231</v>
          </cell>
          <cell r="C9710" t="str">
            <v>TRANSPORTE VERTICAL MANUAL, 1 PAVIMENTO, DE SACOS DE 20 KG (UNIDADE: KG). AF_07/2019</v>
          </cell>
          <cell r="D9710" t="str">
            <v>KG</v>
          </cell>
          <cell r="E9710">
            <v>0.05</v>
          </cell>
          <cell r="F9710">
            <v>0</v>
          </cell>
        </row>
        <row r="9711">
          <cell r="B9711">
            <v>100230</v>
          </cell>
          <cell r="C9711" t="str">
            <v>TRANSPORTE VERTICAL MANUAL, 1 PAVIMENTO, DE SACOS DE 30 KG (UNIDADE: KG). AF_07/2019</v>
          </cell>
          <cell r="D9711" t="str">
            <v>KG</v>
          </cell>
          <cell r="E9711">
            <v>0.03</v>
          </cell>
          <cell r="F9711">
            <v>0</v>
          </cell>
        </row>
        <row r="9712">
          <cell r="B9712">
            <v>100229</v>
          </cell>
          <cell r="C9712" t="str">
            <v>TRANSPORTE VERTICAL MANUAL, 1 PAVIMENTO, DE SACOS DE 50 KG (UNIDADE: KG). AF_07/2019</v>
          </cell>
          <cell r="D9712" t="str">
            <v>KG</v>
          </cell>
          <cell r="E9712">
            <v>0.02</v>
          </cell>
          <cell r="F9712">
            <v>0</v>
          </cell>
        </row>
        <row r="9713">
          <cell r="B9713">
            <v>100272</v>
          </cell>
          <cell r="C9713" t="str">
            <v>TRANSPORTE VERTICAL MANUAL, 1 PAVIMENTO, DE VIDRO (UNIDADE: M2). AF_07/2019</v>
          </cell>
          <cell r="D9713" t="str">
            <v>M2</v>
          </cell>
          <cell r="E9713">
            <v>1.8</v>
          </cell>
          <cell r="F9713">
            <v>0</v>
          </cell>
        </row>
        <row r="9714">
          <cell r="B9714">
            <v>100269</v>
          </cell>
          <cell r="C9714" t="str">
            <v>TRANSPORTE VERTICAL, BANCADA DE MÁRMORE OU GRANITO PARA COZINHA/LAVATÓRIO OU MÁRMORE SINTÉTICO COM CUBA INTEGRADA, MANUAL, 1 PAVIMENTO, (UNIDADE: UNID). AF_07/2019</v>
          </cell>
          <cell r="D9714" t="str">
            <v>UN</v>
          </cell>
          <cell r="E9714">
            <v>2.4</v>
          </cell>
          <cell r="F9714">
            <v>0</v>
          </cell>
        </row>
        <row r="9715">
          <cell r="B9715">
            <v>100986</v>
          </cell>
          <cell r="C9715" t="str">
            <v>CARGA DE MISTURA ASFÁLTICA EM CAMINHÃO BASCULANTE 10 M³ (UNIDADE: M3). AF_07/2020</v>
          </cell>
          <cell r="D9715" t="str">
            <v>M3</v>
          </cell>
          <cell r="E9715">
            <v>9.74</v>
          </cell>
          <cell r="F9715">
            <v>0</v>
          </cell>
        </row>
        <row r="9716">
          <cell r="B9716">
            <v>101002</v>
          </cell>
          <cell r="C9716" t="str">
            <v>CARGA DE MISTURA ASFÁLTICA EM CAMINHÃO BASCULANTE 10 M³ (UNIDADE: T). AF_07/2020</v>
          </cell>
          <cell r="D9716" t="str">
            <v>T</v>
          </cell>
          <cell r="E9716">
            <v>6.47</v>
          </cell>
          <cell r="F9716">
            <v>0</v>
          </cell>
        </row>
        <row r="9717">
          <cell r="B9717">
            <v>100987</v>
          </cell>
          <cell r="C9717" t="str">
            <v>CARGA DE MISTURA ASFÁLTICA EM CAMINHÃO BASCULANTE 14 M³ (UNIDADE: M3). AF_07/2020</v>
          </cell>
          <cell r="D9717" t="str">
            <v>M3</v>
          </cell>
          <cell r="E9717">
            <v>10.99</v>
          </cell>
          <cell r="F9717">
            <v>0</v>
          </cell>
        </row>
        <row r="9718">
          <cell r="B9718">
            <v>101003</v>
          </cell>
          <cell r="C9718" t="str">
            <v>CARGA DE MISTURA ASFÁLTICA EM CAMINHÃO BASCULANTE 14 M³ (UNIDADE: T). AF_07/2020</v>
          </cell>
          <cell r="D9718" t="str">
            <v>T</v>
          </cell>
          <cell r="E9718">
            <v>7.31</v>
          </cell>
          <cell r="F9718">
            <v>0</v>
          </cell>
        </row>
        <row r="9719">
          <cell r="B9719">
            <v>100988</v>
          </cell>
          <cell r="C9719" t="str">
            <v>CARGA DE MISTURA ASFÁLTICA EM CAMINHÃO BASCULANTE 18 M³ (UNIDADE: M3). AF_07/2020</v>
          </cell>
          <cell r="D9719" t="str">
            <v>M3</v>
          </cell>
          <cell r="E9719">
            <v>11.6</v>
          </cell>
          <cell r="F9719">
            <v>0</v>
          </cell>
        </row>
        <row r="9720">
          <cell r="B9720">
            <v>101004</v>
          </cell>
          <cell r="C9720" t="str">
            <v>CARGA DE MISTURA ASFÁLTICA EM CAMINHÃO BASCULANTE 18 M³ (UNIDADE: T). AF_07/2020</v>
          </cell>
          <cell r="D9720" t="str">
            <v>T</v>
          </cell>
          <cell r="E9720">
            <v>7.73</v>
          </cell>
          <cell r="F9720">
            <v>0</v>
          </cell>
        </row>
        <row r="9721">
          <cell r="B9721">
            <v>100985</v>
          </cell>
          <cell r="C9721" t="str">
            <v>CARGA DE MISTURA ASFÁLTICA EM CAMINHÃO BASCULANTE 6 M³ (UNIDADE: M3). AF_07/2020</v>
          </cell>
          <cell r="D9721" t="str">
            <v>M3</v>
          </cell>
          <cell r="E9721">
            <v>8.25</v>
          </cell>
          <cell r="F9721">
            <v>0</v>
          </cell>
        </row>
        <row r="9722">
          <cell r="B9722">
            <v>101001</v>
          </cell>
          <cell r="C9722" t="str">
            <v>CARGA DE MISTURA ASFÁLTICA EM CAMINHÃO BASCULANTE 6 M³ (UNIDADE: T). AF_07/2020</v>
          </cell>
          <cell r="D9722" t="str">
            <v>T</v>
          </cell>
          <cell r="E9722">
            <v>5.5</v>
          </cell>
          <cell r="F9722">
            <v>0</v>
          </cell>
        </row>
        <row r="9723">
          <cell r="B9723">
            <v>101008</v>
          </cell>
          <cell r="C9723" t="str">
            <v>CARGA DE ÁGUA EM CAMINHÃO PIPA 10 M³. AF_07/2020</v>
          </cell>
          <cell r="D9723" t="str">
            <v>M3</v>
          </cell>
          <cell r="E9723">
            <v>5.84</v>
          </cell>
          <cell r="F9723">
            <v>0</v>
          </cell>
        </row>
        <row r="9724">
          <cell r="B9724">
            <v>101007</v>
          </cell>
          <cell r="C9724" t="str">
            <v>CARGA DE ÁGUA EM CAMINHÃO PIPA 6 M³. AF_07/2020</v>
          </cell>
          <cell r="D9724" t="str">
            <v>M3</v>
          </cell>
          <cell r="E9724">
            <v>5.8</v>
          </cell>
          <cell r="F9724">
            <v>0</v>
          </cell>
        </row>
        <row r="9725">
          <cell r="B9725">
            <v>100982</v>
          </cell>
          <cell r="C9725" t="str">
            <v>CARGA, MANOBRA E DESCARGA DE ENTULHO EM CAMINHÃO BASCULANTE 10 M³ - CARGA COM ESCAVADEIRA HIDRÁULICA (CAÇAMBA DE 0,80 M³ / 111 HP) E DESCARGA LIVRE (UNIDADE: M3). AF_07/2020</v>
          </cell>
          <cell r="D9725" t="str">
            <v>M3</v>
          </cell>
          <cell r="E9725">
            <v>9.8000000000000007</v>
          </cell>
          <cell r="F9725">
            <v>0</v>
          </cell>
        </row>
        <row r="9726">
          <cell r="B9726">
            <v>100998</v>
          </cell>
          <cell r="C9726" t="str">
            <v>CARGA, MANOBRA E DESCARGA DE ENTULHO EM CAMINHÃO BASCULANTE 10 M³ - CARGA COM ESCAVADEIRA HIDRÁULICA (CAÇAMBA DE 0,80 M³ / 111 HP) E DESCARGA LIVRE (UNIDADE: T). AF_07/2020</v>
          </cell>
          <cell r="D9726" t="str">
            <v>T</v>
          </cell>
          <cell r="E9726">
            <v>6.55</v>
          </cell>
          <cell r="F9726">
            <v>0</v>
          </cell>
        </row>
        <row r="9727">
          <cell r="B9727">
            <v>100983</v>
          </cell>
          <cell r="C9727" t="str">
            <v>CARGA, MANOBRA E DESCARGA DE ENTULHO EM CAMINHÃO BASCULANTE 14 M³ - CARGA COM ESCAVADEIRA HIDRÁULICA (CAÇAMBA DE 0,80 M³ / 111 HP) E DESCARGA LIVRE (UNIDADE: M3). AF_07/2020</v>
          </cell>
          <cell r="D9727" t="str">
            <v>M3</v>
          </cell>
          <cell r="E9727">
            <v>9.6999999999999993</v>
          </cell>
          <cell r="F9727">
            <v>0</v>
          </cell>
        </row>
        <row r="9728">
          <cell r="B9728">
            <v>100999</v>
          </cell>
          <cell r="C9728" t="str">
            <v>CARGA, MANOBRA E DESCARGA DE ENTULHO EM CAMINHÃO BASCULANTE 14 M³ - CARGA COM ESCAVADEIRA HIDRÁULICA (CAÇAMBA DE 0,80 M³ / 111 HP) E DESCARGA LIVRE (UNIDADE: T). AF_07/2020</v>
          </cell>
          <cell r="D9728" t="str">
            <v>T</v>
          </cell>
          <cell r="E9728">
            <v>6.5</v>
          </cell>
          <cell r="F9728">
            <v>0</v>
          </cell>
        </row>
        <row r="9729">
          <cell r="B9729">
            <v>100984</v>
          </cell>
          <cell r="C9729" t="str">
            <v>CARGA, MANOBRA E DESCARGA DE ENTULHO EM CAMINHÃO BASCULANTE 18 M³ - CARGA COM ESCAVADEIRA HIDRÁULICA (CAÇAMBA DE 0,80 M³ / 111 HP) E DESCARGA LIVRE (UNIDADE: M3). AF_07/2020</v>
          </cell>
          <cell r="D9729" t="str">
            <v>M3</v>
          </cell>
          <cell r="E9729">
            <v>9.4600000000000009</v>
          </cell>
          <cell r="F9729">
            <v>0</v>
          </cell>
        </row>
        <row r="9730">
          <cell r="B9730">
            <v>101000</v>
          </cell>
          <cell r="C9730" t="str">
            <v>CARGA, MANOBRA E DESCARGA DE ENTULHO EM CAMINHÃO BASCULANTE 18 M³ - CARGA COM ESCAVADEIRA HIDRÁULICA (CAÇAMBA DE 0,80 M³ / 111 HP) E DESCARGA LIVRE (UNIDADE: T). AF_07/2020</v>
          </cell>
          <cell r="D9730" t="str">
            <v>T</v>
          </cell>
          <cell r="E9730">
            <v>6.32</v>
          </cell>
          <cell r="F9730">
            <v>0</v>
          </cell>
        </row>
        <row r="9731">
          <cell r="B9731">
            <v>100981</v>
          </cell>
          <cell r="C9731" t="str">
            <v>CARGA, MANOBRA E DESCARGA DE ENTULHO EM CAMINHÃO BASCULANTE 6 M³ - CARGA COM ESCAVADEIRA HIDRÁULICA (CAÇAMBA DE 0,80 M³ / 111 HP) E DESCARGA LIVRE (UNIDADE: M3). AF_07/2020</v>
          </cell>
          <cell r="D9731" t="str">
            <v>M3</v>
          </cell>
          <cell r="E9731">
            <v>10.41</v>
          </cell>
          <cell r="F9731">
            <v>0</v>
          </cell>
        </row>
        <row r="9732">
          <cell r="B9732">
            <v>100997</v>
          </cell>
          <cell r="C9732" t="str">
            <v>CARGA, MANOBRA E DESCARGA DE ENTULHO EM CAMINHÃO BASCULANTE 6 M³ - CARGA COM ESCAVADEIRA HIDRÁULICA (CAÇAMBA DE 0,80 M³ / 111 HP) E DESCARGA LIVRE (UNIDADE: T). AF_07/2020</v>
          </cell>
          <cell r="D9732" t="str">
            <v>T</v>
          </cell>
          <cell r="E9732">
            <v>6.95</v>
          </cell>
          <cell r="F9732">
            <v>0</v>
          </cell>
        </row>
        <row r="9733">
          <cell r="B9733">
            <v>101010</v>
          </cell>
          <cell r="C9733" t="str">
            <v>CARGA, MANOBRA E DESCARGA DE PERFIL METÁLICO EM CAMINHÃO CARROCERIA COM GUINDAUTO (MUNCK) 11,7 TM. AF_07/2020</v>
          </cell>
          <cell r="D9733" t="str">
            <v>T</v>
          </cell>
          <cell r="E9733">
            <v>29.11</v>
          </cell>
          <cell r="F9733">
            <v>0</v>
          </cell>
        </row>
        <row r="9734">
          <cell r="B9734">
            <v>101009</v>
          </cell>
          <cell r="C9734" t="str">
            <v>CARGA, MANOBRA E DESCARGA DE POSTE DE CONCRETO EM CAMINHÃO CARROCERIA COM GUINDAUTO (MUNCK) 11,7 TM. AF_07/2020</v>
          </cell>
          <cell r="D9734" t="str">
            <v>T</v>
          </cell>
          <cell r="E9734">
            <v>46.23</v>
          </cell>
          <cell r="F9734">
            <v>0</v>
          </cell>
        </row>
        <row r="9735">
          <cell r="B9735">
            <v>100978</v>
          </cell>
          <cell r="C9735" t="str">
            <v>CARGA, MANOBRA E DESCARGA DE SOLOS E MATERIAIS GRANULARES EM CAMINHÃO BASCULANTE 10 M³ - CARGA COM ESCAVADEIRA HIDRÁULICA (CAÇAMBA DE 1,20 M³ / 155 HP) E DESCARGA LIVRE (UNIDADE: M3). AF_07/2020</v>
          </cell>
          <cell r="D9735" t="str">
            <v>M3</v>
          </cell>
          <cell r="E9735">
            <v>7.6</v>
          </cell>
          <cell r="F9735">
            <v>0</v>
          </cell>
        </row>
        <row r="9736">
          <cell r="B9736">
            <v>100994</v>
          </cell>
          <cell r="C9736" t="str">
            <v>CARGA, MANOBRA E DESCARGA DE SOLOS E MATERIAIS GRANULARES EM CAMINHÃO BASCULANTE 10 M³ - CARGA COM ESCAVADEIRA HIDRÁULICA (CAÇAMBA DE 1,20 M³ / 155 HP) E DESCARGA LIVRE (UNIDADE: T). AF_07/2020</v>
          </cell>
          <cell r="D9736" t="str">
            <v>T</v>
          </cell>
          <cell r="E9736">
            <v>5.05</v>
          </cell>
          <cell r="F9736">
            <v>0</v>
          </cell>
        </row>
        <row r="9737">
          <cell r="B9737">
            <v>100974</v>
          </cell>
          <cell r="C9737" t="str">
            <v>CARGA, MANOBRA E DESCARGA DE SOLOS E MATERIAIS GRANULARES EM CAMINHÃO BASCULANTE 10 M³ - CARGA COM PÁ CARREGADEIRA (CAÇAMBA DE 1,7 A 2,8 M³ / 128 HP) E DESCARGA LIVRE (UNIDADE: M3). AF_07/2020</v>
          </cell>
          <cell r="D9737" t="str">
            <v>M3</v>
          </cell>
          <cell r="E9737">
            <v>9.1199999999999992</v>
          </cell>
          <cell r="F9737">
            <v>0</v>
          </cell>
        </row>
        <row r="9738">
          <cell r="B9738">
            <v>100990</v>
          </cell>
          <cell r="C9738" t="str">
            <v>CARGA, MANOBRA E DESCARGA DE SOLOS E MATERIAIS GRANULARES EM CAMINHÃO BASCULANTE 10 M³ - CARGA COM PÁ CARREGADEIRA (CAÇAMBA DE 1,7 A 2,8 M³ / 128 HP) E DESCARGA LIVRE (UNIDADE: T). AF_07/2020</v>
          </cell>
          <cell r="D9738" t="str">
            <v>T</v>
          </cell>
          <cell r="E9738">
            <v>6.08</v>
          </cell>
          <cell r="F9738">
            <v>0</v>
          </cell>
        </row>
        <row r="9739">
          <cell r="B9739">
            <v>100979</v>
          </cell>
          <cell r="C9739" t="str">
            <v>CARGA, MANOBRA E DESCARGA DE SOLOS E MATERIAIS GRANULARES EM CAMINHÃO BASCULANTE 14 M³ - CARGA COM ESCAVADEIRA HIDRÁULICA (CAÇAMBA DE 1,20 M³ / 155 HP) E DESCARGA LIVRE (UNIDADE: M3). AF_07/2020</v>
          </cell>
          <cell r="D9739" t="str">
            <v>M3</v>
          </cell>
          <cell r="E9739">
            <v>7.18</v>
          </cell>
          <cell r="F9739">
            <v>0</v>
          </cell>
        </row>
        <row r="9740">
          <cell r="B9740">
            <v>100995</v>
          </cell>
          <cell r="C9740" t="str">
            <v>CARGA, MANOBRA E DESCARGA DE SOLOS E MATERIAIS GRANULARES EM CAMINHÃO BASCULANTE 14 M³ - CARGA COM ESCAVADEIRA HIDRÁULICA (CAÇAMBA DE 1,20 M³ / 155 HP) E DESCARGA LIVRE (UNIDADE: T). AF_07/2020</v>
          </cell>
          <cell r="D9740" t="str">
            <v>T</v>
          </cell>
          <cell r="E9740">
            <v>4.79</v>
          </cell>
          <cell r="F9740">
            <v>0</v>
          </cell>
        </row>
        <row r="9741">
          <cell r="B9741">
            <v>100975</v>
          </cell>
          <cell r="C9741" t="str">
            <v>CARGA, MANOBRA E DESCARGA DE SOLOS E MATERIAIS GRANULARES EM CAMINHÃO BASCULANTE 14 M³ - CARGA COM PÁ CARREGADEIRA (CAÇAMBA DE 1,7 A 2,8 M³ / 128 HP) E DESCARGA LIVRE (UNIDADE: M3). AF_07/2020</v>
          </cell>
          <cell r="D9741" t="str">
            <v>M3</v>
          </cell>
          <cell r="E9741">
            <v>9.06</v>
          </cell>
          <cell r="F9741">
            <v>0</v>
          </cell>
        </row>
        <row r="9742">
          <cell r="B9742">
            <v>100991</v>
          </cell>
          <cell r="C9742" t="str">
            <v>CARGA, MANOBRA E DESCARGA DE SOLOS E MATERIAIS GRANULARES EM CAMINHÃO BASCULANTE 14 M³ - CARGA COM PÁ CARREGADEIRA (CAÇAMBA DE 1,7 A 2,8 M³ / 128 HP) E DESCARGA LIVRE (UNIDADE: T). AF_07/2020</v>
          </cell>
          <cell r="D9742" t="str">
            <v>T</v>
          </cell>
          <cell r="E9742">
            <v>6.06</v>
          </cell>
          <cell r="F9742">
            <v>0</v>
          </cell>
        </row>
        <row r="9743">
          <cell r="B9743">
            <v>100980</v>
          </cell>
          <cell r="C9743" t="str">
            <v>CARGA, MANOBRA E DESCARGA DE SOLOS E MATERIAIS GRANULARES EM CAMINHÃO BASCULANTE 18 M³ - CARGA COM ESCAVADEIRA HIDRÁULICA (CAÇAMBA DE 1,20 M³ / 155 HP) E DESCARGA LIVRE (UNIDADE: M3). AF_07/2020</v>
          </cell>
          <cell r="D9743" t="str">
            <v>M3</v>
          </cell>
          <cell r="E9743">
            <v>6.77</v>
          </cell>
          <cell r="F9743">
            <v>0</v>
          </cell>
        </row>
        <row r="9744">
          <cell r="B9744">
            <v>100996</v>
          </cell>
          <cell r="C9744" t="str">
            <v>CARGA, MANOBRA E DESCARGA DE SOLOS E MATERIAIS GRANULARES EM CAMINHÃO BASCULANTE 18 M³ - CARGA COM ESCAVADEIRA HIDRÁULICA (CAÇAMBA DE 1,20 M³ / 155 HP) E DESCARGA LIVRE (UNIDADE: T). AF_07/2020</v>
          </cell>
          <cell r="D9744" t="str">
            <v>T</v>
          </cell>
          <cell r="E9744">
            <v>4.5</v>
          </cell>
          <cell r="F9744">
            <v>0</v>
          </cell>
        </row>
        <row r="9745">
          <cell r="B9745">
            <v>100976</v>
          </cell>
          <cell r="C9745" t="str">
            <v>CARGA, MANOBRA E DESCARGA DE SOLOS E MATERIAIS GRANULARES EM CAMINHÃO BASCULANTE 18 M³ - CARGA COM PÁ CARREGADEIRA (CAÇAMBA DE 1,7 A 2,8 M³ / 128 HP) E DESCARGA LIVRE (UNIDADE: M3). AF_07/2020</v>
          </cell>
          <cell r="D9745" t="str">
            <v>M3</v>
          </cell>
          <cell r="E9745">
            <v>8.85</v>
          </cell>
          <cell r="F9745">
            <v>0</v>
          </cell>
        </row>
        <row r="9746">
          <cell r="B9746">
            <v>100992</v>
          </cell>
          <cell r="C9746" t="str">
            <v>CARGA, MANOBRA E DESCARGA DE SOLOS E MATERIAIS GRANULARES EM CAMINHÃO BASCULANTE 18 M³ - CARGA COM PÁ CARREGADEIRA (CAÇAMBA DE 1,7 A 2,8 M³ / 128 HP) E DESCARGA LIVRE (UNIDADE: T). AF_07/2020</v>
          </cell>
          <cell r="D9746" t="str">
            <v>T</v>
          </cell>
          <cell r="E9746">
            <v>5.9</v>
          </cell>
          <cell r="F9746">
            <v>0</v>
          </cell>
        </row>
        <row r="9747">
          <cell r="B9747">
            <v>100977</v>
          </cell>
          <cell r="C9747" t="str">
            <v>CARGA, MANOBRA E DESCARGA DE SOLOS E MATERIAIS GRANULARES EM CAMINHÃO BASCULANTE 6 M³ - CARGA COM ESCAVADEIRA HIDRÁULICA (CAÇAMBA DE 1,20 M³ / 155 HP) E DESCARGA LIVRE (UNIDADE: M3). AF_07/2020</v>
          </cell>
          <cell r="D9747" t="str">
            <v>M3</v>
          </cell>
          <cell r="E9747">
            <v>8.57</v>
          </cell>
          <cell r="F9747">
            <v>0</v>
          </cell>
        </row>
        <row r="9748">
          <cell r="B9748">
            <v>100993</v>
          </cell>
          <cell r="C9748" t="str">
            <v>CARGA, MANOBRA E DESCARGA DE SOLOS E MATERIAIS GRANULARES EM CAMINHÃO BASCULANTE 6 M³ - CARGA COM ESCAVADEIRA HIDRÁULICA (CAÇAMBA DE 1,20 M³ / 155 HP) E DESCARGA LIVRE (UNIDADE: T). AF_07/2020</v>
          </cell>
          <cell r="D9748" t="str">
            <v>T</v>
          </cell>
          <cell r="E9748">
            <v>5.7</v>
          </cell>
          <cell r="F9748">
            <v>0</v>
          </cell>
        </row>
        <row r="9749">
          <cell r="B9749">
            <v>100973</v>
          </cell>
          <cell r="C9749" t="str">
            <v>CARGA, MANOBRA E DESCARGA DE SOLOS E MATERIAIS GRANULARES EM CAMINHÃO BASCULANTE 6 M³ - CARGA COM PÁ CARREGADEIRA (CAÇAMBA DE 1,7 A 2,8 M³ / 128 HP) E DESCARGA LIVRE (UNIDADE: M3). AF_07/2020</v>
          </cell>
          <cell r="D9749" t="str">
            <v>M3</v>
          </cell>
          <cell r="E9749">
            <v>9.6199999999999992</v>
          </cell>
          <cell r="F9749">
            <v>0</v>
          </cell>
        </row>
        <row r="9750">
          <cell r="B9750">
            <v>100989</v>
          </cell>
          <cell r="C9750" t="str">
            <v>CARGA, MANOBRA E DESCARGA DE SOLOS E MATERIAIS GRANULARES EM CAMINHÃO BASCULANTE 6 M³ - CARGA COM PÁ CARREGADEIRA (CAÇAMBA DE 1,7 A 2,8 M³ / 128 HP) E DESCARGA LIVRE (UNIDADE: T). AF_07/2020</v>
          </cell>
          <cell r="D9750" t="str">
            <v>T</v>
          </cell>
          <cell r="E9750">
            <v>6.41</v>
          </cell>
          <cell r="F9750">
            <v>0</v>
          </cell>
        </row>
        <row r="9751">
          <cell r="B9751">
            <v>101467</v>
          </cell>
          <cell r="C9751" t="str">
            <v>CARGA, MANOBRA E DESCARGA DE TUBOS DE CONCRETO, DN 1000 MM, EM CAMINHÃO CARROCERIA COM GUINDAUTO (MUNCK) 11,7 TM. AF_07/2020</v>
          </cell>
          <cell r="D9751" t="str">
            <v>T</v>
          </cell>
          <cell r="E9751">
            <v>20.58</v>
          </cell>
          <cell r="F9751">
            <v>0</v>
          </cell>
        </row>
        <row r="9752">
          <cell r="B9752">
            <v>101468</v>
          </cell>
          <cell r="C9752" t="str">
            <v>CARGA, MANOBRA E DESCARGA DE TUBOS DE CONCRETO, DN 1200 MM, EM CAMINHÃO CARROCERIA COM GUINDAUTO (MUNCK) 11,7 TM. AF_07/2020</v>
          </cell>
          <cell r="D9752" t="str">
            <v>T</v>
          </cell>
          <cell r="E9752">
            <v>18.82</v>
          </cell>
          <cell r="F9752">
            <v>0</v>
          </cell>
        </row>
        <row r="9753">
          <cell r="B9753">
            <v>101014</v>
          </cell>
          <cell r="C9753" t="str">
            <v>CARGA, MANOBRA E DESCARGA DE TUBOS DE CONCRETO, DN 400 MM, EM CAMINHÃO CARROCERIA COM GUINDAUTO (MUNCK) 11,7 TM. AF_07/2020</v>
          </cell>
          <cell r="D9753" t="str">
            <v>T</v>
          </cell>
          <cell r="E9753">
            <v>47.02</v>
          </cell>
          <cell r="F9753">
            <v>0</v>
          </cell>
        </row>
        <row r="9754">
          <cell r="B9754">
            <v>101015</v>
          </cell>
          <cell r="C9754" t="str">
            <v>CARGA, MANOBRA E DESCARGA DE TUBOS DE CONCRETO, DN 500 MM, EM CAMINHÃO CARROCERIA COM GUINDAUTO (MUNCK) 11,7 TM. AF_07/2020</v>
          </cell>
          <cell r="D9754" t="str">
            <v>T</v>
          </cell>
          <cell r="E9754">
            <v>38.619999999999997</v>
          </cell>
          <cell r="F9754">
            <v>0</v>
          </cell>
        </row>
        <row r="9755">
          <cell r="B9755">
            <v>101463</v>
          </cell>
          <cell r="C9755" t="str">
            <v>CARGA, MANOBRA E DESCARGA DE TUBOS DE CONCRETO, DN 600 MM, EM CAMINHÃO CARROCERIA COM GUINDAUTO (MUNCK) 11,7 TM. AF_07/2020</v>
          </cell>
          <cell r="D9755" t="str">
            <v>T</v>
          </cell>
          <cell r="E9755">
            <v>51.48</v>
          </cell>
          <cell r="F9755">
            <v>0</v>
          </cell>
        </row>
        <row r="9756">
          <cell r="B9756">
            <v>101464</v>
          </cell>
          <cell r="C9756" t="str">
            <v>CARGA, MANOBRA E DESCARGA DE TUBOS DE CONCRETO, DN 700 MM, EM CAMINHÃO CARROCERIA COM GUINDAUTO (MUNCK) 11,7 TM. AF_07/2020</v>
          </cell>
          <cell r="D9756" t="str">
            <v>T</v>
          </cell>
          <cell r="E9756">
            <v>39.53</v>
          </cell>
          <cell r="F9756">
            <v>0</v>
          </cell>
        </row>
        <row r="9757">
          <cell r="B9757">
            <v>101465</v>
          </cell>
          <cell r="C9757" t="str">
            <v>CARGA, MANOBRA E DESCARGA DE TUBOS DE CONCRETO, DN 800 MM, EM CAMINHÃO CARROCERIA COM GUINDAUTO (MUNCK) 11,7 TM. AF_07/2020</v>
          </cell>
          <cell r="D9757" t="str">
            <v>T</v>
          </cell>
          <cell r="E9757">
            <v>30.22</v>
          </cell>
          <cell r="F9757">
            <v>0</v>
          </cell>
        </row>
        <row r="9758">
          <cell r="B9758">
            <v>101466</v>
          </cell>
          <cell r="C9758" t="str">
            <v>CARGA, MANOBRA E DESCARGA DE TUBOS DE CONCRETO, DN 900 MM, EM CAMINHÃO CARROCERIA COM GUINDAUTO (MUNCK) 11,7 TM. AF_07/2020</v>
          </cell>
          <cell r="D9758" t="str">
            <v>T</v>
          </cell>
          <cell r="E9758">
            <v>24.59</v>
          </cell>
          <cell r="F9758">
            <v>0</v>
          </cell>
        </row>
        <row r="9759">
          <cell r="B9759">
            <v>101013</v>
          </cell>
          <cell r="C9759" t="str">
            <v>CARGA, MANOBRA E DESCARGA DE TUBOS DE CONCRETO, DN MENOR OU IGUAL A 300 MM, EM CAMINHÃO CARROCERIA COM GUINDAUTO (MUNCK) 11,7 TM. AF_07/2020</v>
          </cell>
          <cell r="D9759" t="str">
            <v>T</v>
          </cell>
          <cell r="E9759">
            <v>51.32</v>
          </cell>
          <cell r="F9759">
            <v>0</v>
          </cell>
        </row>
        <row r="9760">
          <cell r="B9760">
            <v>101477</v>
          </cell>
          <cell r="C9760" t="str">
            <v>CARGA, MANOBRA E DESCARGA DE TUBOS METÁLICOS, DN 1000 MM, EM CAMINHÃO CARROCERIA COM GUINDAUTO (MUNCK) 11,7 TM. AF_07/2020</v>
          </cell>
          <cell r="D9760" t="str">
            <v>T</v>
          </cell>
          <cell r="E9760">
            <v>14.91</v>
          </cell>
          <cell r="F9760">
            <v>0</v>
          </cell>
        </row>
        <row r="9761">
          <cell r="B9761">
            <v>101478</v>
          </cell>
          <cell r="C9761" t="str">
            <v>CARGA, MANOBRA E DESCARGA DE TUBOS METÁLICOS, DN 1200 MM, EM CAMINHÃO CARROCERIA COM GUINDAUTO (MUNCK) 11,7 TM. AF_07/2020</v>
          </cell>
          <cell r="D9761" t="str">
            <v>T</v>
          </cell>
          <cell r="E9761">
            <v>12.68</v>
          </cell>
          <cell r="F9761">
            <v>0</v>
          </cell>
        </row>
        <row r="9762">
          <cell r="B9762">
            <v>101017</v>
          </cell>
          <cell r="C9762" t="str">
            <v>CARGA, MANOBRA E DESCARGA DE TUBOS METÁLICOS, DN 200 MM, EM CAMINHÃO CARROCERIA COM GUINDAUTO (MUNCK) 11,7 TM. AF_07/2020</v>
          </cell>
          <cell r="D9762" t="str">
            <v>T</v>
          </cell>
          <cell r="E9762">
            <v>33.9</v>
          </cell>
          <cell r="F9762">
            <v>0</v>
          </cell>
        </row>
        <row r="9763">
          <cell r="B9763">
            <v>101018</v>
          </cell>
          <cell r="C9763" t="str">
            <v>CARGA, MANOBRA E DESCARGA DE TUBOS METÁLICOS, DN 250 MM, EM CAMINHÃO CARROCERIA COM GUINDAUTO (MUNCK) 11,7 TM. AF_07/2020</v>
          </cell>
          <cell r="D9763" t="str">
            <v>T</v>
          </cell>
          <cell r="E9763">
            <v>27.85</v>
          </cell>
          <cell r="F9763">
            <v>0</v>
          </cell>
        </row>
        <row r="9764">
          <cell r="B9764">
            <v>101469</v>
          </cell>
          <cell r="C9764" t="str">
            <v>CARGA, MANOBRA E DESCARGA DE TUBOS METÁLICOS, DN 300 MM, EM CAMINHÃO CARROCERIA COM GUINDAUTO (MUNCK) 11,7 TM. AF_07/2020</v>
          </cell>
          <cell r="D9764" t="str">
            <v>T</v>
          </cell>
          <cell r="E9764">
            <v>42.13</v>
          </cell>
          <cell r="F9764">
            <v>0</v>
          </cell>
        </row>
        <row r="9765">
          <cell r="B9765">
            <v>101470</v>
          </cell>
          <cell r="C9765" t="str">
            <v>CARGA, MANOBRA E DESCARGA DE TUBOS METÁLICOS, DN 350 MM, EM CAMINHÃO CARROCERIA COM GUINDAUTO (MUNCK) 11,7 TM. AF_07/2020</v>
          </cell>
          <cell r="D9765" t="str">
            <v>T</v>
          </cell>
          <cell r="E9765">
            <v>33.44</v>
          </cell>
          <cell r="F9765">
            <v>0</v>
          </cell>
        </row>
        <row r="9766">
          <cell r="B9766">
            <v>101471</v>
          </cell>
          <cell r="C9766" t="str">
            <v>CARGA, MANOBRA E DESCARGA DE TUBOS METÁLICOS, DN 400 MM, EM CAMINHÃO CARROCERIA COM GUINDAUTO (MUNCK) 11,7 TM. AF_07/2020</v>
          </cell>
          <cell r="D9766" t="str">
            <v>T</v>
          </cell>
          <cell r="E9766">
            <v>28.68</v>
          </cell>
          <cell r="F9766">
            <v>0</v>
          </cell>
        </row>
        <row r="9767">
          <cell r="B9767">
            <v>101472</v>
          </cell>
          <cell r="C9767" t="str">
            <v>CARGA, MANOBRA E DESCARGA DE TUBOS METÁLICOS, DN 500 MM, EM CAMINHÃO CARROCERIA COM GUINDAUTO (MUNCK) 11,7 TM. AF_07/2020</v>
          </cell>
          <cell r="D9767" t="str">
            <v>T</v>
          </cell>
          <cell r="E9767">
            <v>22.33</v>
          </cell>
          <cell r="F9767">
            <v>0</v>
          </cell>
        </row>
        <row r="9768">
          <cell r="B9768">
            <v>101473</v>
          </cell>
          <cell r="C9768" t="str">
            <v>CARGA, MANOBRA E DESCARGA DE TUBOS METÁLICOS, DN 600 MM, EM CAMINHÃO CARROCERIA COM GUINDAUTO (MUNCK) 11,7 TM. AF_07/2020</v>
          </cell>
          <cell r="D9768" t="str">
            <v>T</v>
          </cell>
          <cell r="E9768">
            <v>32.15</v>
          </cell>
          <cell r="F9768">
            <v>0</v>
          </cell>
        </row>
        <row r="9769">
          <cell r="B9769">
            <v>101474</v>
          </cell>
          <cell r="C9769" t="str">
            <v>CARGA, MANOBRA E DESCARGA DE TUBOS METÁLICOS, DN 700 MM, EM CAMINHÃO CARROCERIA COM GUINDAUTO (MUNCK) 11,7 TM. AF_07/2020</v>
          </cell>
          <cell r="D9769" t="str">
            <v>T</v>
          </cell>
          <cell r="E9769">
            <v>23</v>
          </cell>
          <cell r="F9769">
            <v>0</v>
          </cell>
        </row>
        <row r="9770">
          <cell r="B9770">
            <v>101475</v>
          </cell>
          <cell r="C9770" t="str">
            <v>CARGA, MANOBRA E DESCARGA DE TUBOS METÁLICOS, DN 800 MM, EM CAMINHÃO CARROCERIA COM GUINDAUTO (MUNCK) 11,7 TM. AF_07/2020</v>
          </cell>
          <cell r="D9770" t="str">
            <v>T</v>
          </cell>
          <cell r="E9770">
            <v>20.399999999999999</v>
          </cell>
          <cell r="F9770">
            <v>0</v>
          </cell>
        </row>
        <row r="9771">
          <cell r="B9771">
            <v>101476</v>
          </cell>
          <cell r="C9771" t="str">
            <v>CARGA, MANOBRA E DESCARGA DE TUBOS METÁLICOS, DN 900 MM, EM CAMINHÃO CARROCERIA COM GUINDAUTO (MUNCK) 11,7 TM. AF_07/2020</v>
          </cell>
          <cell r="D9771" t="str">
            <v>T</v>
          </cell>
          <cell r="E9771">
            <v>18.190000000000001</v>
          </cell>
          <cell r="F9771">
            <v>0</v>
          </cell>
        </row>
        <row r="9772">
          <cell r="B9772">
            <v>101016</v>
          </cell>
          <cell r="C9772" t="str">
            <v>CARGA, MANOBRA E DESCARGA DE TUBOS METÁLICOS, DN MENOR OU IGUAL A 150 MM, EM CAMINHÃO CARROCERIA COM GUINDAUTO (MUNCK) 11,7 TM. AF_07/2020</v>
          </cell>
          <cell r="D9772" t="str">
            <v>T</v>
          </cell>
          <cell r="E9772">
            <v>44.71</v>
          </cell>
          <cell r="F9772">
            <v>0</v>
          </cell>
        </row>
        <row r="9773">
          <cell r="B9773">
            <v>101487</v>
          </cell>
          <cell r="C9773" t="str">
            <v>CARGA, MANOBRA E DESCARGA DE TUBOS PLÁSTICOS, DN 1000 MM, EM CAMINHÃO CARROCERIA COM GUINDAUTO (MUNCK) 11,7 TM. AF_07/2020</v>
          </cell>
          <cell r="D9773" t="str">
            <v>T</v>
          </cell>
          <cell r="E9773">
            <v>110.75</v>
          </cell>
          <cell r="F9773">
            <v>0</v>
          </cell>
        </row>
        <row r="9774">
          <cell r="B9774">
            <v>101488</v>
          </cell>
          <cell r="C9774" t="str">
            <v>CARGA, MANOBRA E DESCARGA DE TUBOS PLÁSTICOS, DN 1200 MM, EM CAMINHÃO CARROCERIA COM GUINDAUTO (MUNCK) 11,7 TM. AF_07/2020</v>
          </cell>
          <cell r="D9774" t="str">
            <v>T</v>
          </cell>
          <cell r="E9774">
            <v>95.82</v>
          </cell>
          <cell r="F9774">
            <v>0</v>
          </cell>
        </row>
        <row r="9775">
          <cell r="B9775">
            <v>101480</v>
          </cell>
          <cell r="C9775" t="str">
            <v>CARGA, MANOBRA E DESCARGA DE TUBOS PLÁSTICOS, DN 250 MM, EM CAMINHÃO CARROCERIA COM GUINDAUTO (MUNCK) 11,7 TM. AF_07/2020</v>
          </cell>
          <cell r="D9775" t="str">
            <v>T</v>
          </cell>
          <cell r="E9775">
            <v>75.33</v>
          </cell>
          <cell r="F9775">
            <v>0</v>
          </cell>
        </row>
        <row r="9776">
          <cell r="B9776">
            <v>101481</v>
          </cell>
          <cell r="C9776" t="str">
            <v>CARGA, MANOBRA E DESCARGA DE TUBOS PLÁSTICOS, DN 300 MM, EM CAMINHÃO CARROCERIA COM GUINDAUTO (MUNCK) 11,7 TM. AF_07/2020</v>
          </cell>
          <cell r="D9776" t="str">
            <v>T</v>
          </cell>
          <cell r="E9776">
            <v>54.42</v>
          </cell>
          <cell r="F9776">
            <v>0</v>
          </cell>
        </row>
        <row r="9777">
          <cell r="B9777">
            <v>101482</v>
          </cell>
          <cell r="C9777" t="str">
            <v>CARGA, MANOBRA E DESCARGA DE TUBOS PLÁSTICOS, DN 400 MM, EM CAMINHÃO CARROCERIA COM GUINDAUTO (MUNCK) 11,7 TM. AF_07/2020</v>
          </cell>
          <cell r="D9777" t="str">
            <v>T</v>
          </cell>
          <cell r="E9777">
            <v>40.67</v>
          </cell>
          <cell r="F9777">
            <v>0</v>
          </cell>
        </row>
        <row r="9778">
          <cell r="B9778">
            <v>101483</v>
          </cell>
          <cell r="C9778" t="str">
            <v>CARGA, MANOBRA E DESCARGA DE TUBOS PLÁSTICOS, DN 500 MM, EM CAMINHÃO CARROCERIA COM GUINDAUTO (MUNCK) 11,7 TM. AF_07/2020</v>
          </cell>
          <cell r="D9778" t="str">
            <v>T</v>
          </cell>
          <cell r="E9778">
            <v>42.21</v>
          </cell>
          <cell r="F9778">
            <v>0</v>
          </cell>
        </row>
        <row r="9779">
          <cell r="B9779">
            <v>101484</v>
          </cell>
          <cell r="C9779" t="str">
            <v>CARGA, MANOBRA E DESCARGA DE TUBOS PLÁSTICOS, DN 600 MM, EM CAMINHÃO CARROCERIA COM GUINDAUTO (MUNCK) 11,7 TM. AF_07/2020</v>
          </cell>
          <cell r="D9779" t="str">
            <v>T</v>
          </cell>
          <cell r="E9779">
            <v>218.75</v>
          </cell>
          <cell r="F9779">
            <v>0</v>
          </cell>
        </row>
        <row r="9780">
          <cell r="B9780">
            <v>101485</v>
          </cell>
          <cell r="C9780" t="str">
            <v>CARGA, MANOBRA E DESCARGA DE TUBOS PLÁSTICOS, DN 750 MM, EM CAMINHÃO CARROCERIA COM GUINDAUTO (MUNCK) 11,7 TM. AF_07/2020</v>
          </cell>
          <cell r="D9780" t="str">
            <v>T</v>
          </cell>
          <cell r="E9780">
            <v>167.92</v>
          </cell>
          <cell r="F9780">
            <v>0</v>
          </cell>
        </row>
        <row r="9781">
          <cell r="B9781">
            <v>101486</v>
          </cell>
          <cell r="C9781" t="str">
            <v>CARGA, MANOBRA E DESCARGA DE TUBOS PLÁSTICOS, DN 900 MM, EM CAMINHÃO CARROCERIA COM GUINDAUTO (MUNCK) 11,7 TM. AF_07/2020</v>
          </cell>
          <cell r="D9781" t="str">
            <v>T</v>
          </cell>
          <cell r="E9781">
            <v>151.25</v>
          </cell>
          <cell r="F9781">
            <v>0</v>
          </cell>
        </row>
        <row r="9782">
          <cell r="B9782">
            <v>101006</v>
          </cell>
          <cell r="C9782" t="str">
            <v>CARGA, MANOBRA E DESCARGA DE ÁGUA EM CAMINHÃO PIPA 10 M³. AF_07/2020</v>
          </cell>
          <cell r="D9782" t="str">
            <v>M3</v>
          </cell>
          <cell r="E9782">
            <v>22.09</v>
          </cell>
          <cell r="F9782">
            <v>0</v>
          </cell>
        </row>
        <row r="9783">
          <cell r="B9783">
            <v>101005</v>
          </cell>
          <cell r="C9783" t="str">
            <v>CARGA, MANOBRA E DESCARGA DE ÁGUA EM CAMINHÃO PIPA 6 M³. AF_07/2020</v>
          </cell>
          <cell r="D9783" t="str">
            <v>M3</v>
          </cell>
          <cell r="E9783">
            <v>20</v>
          </cell>
          <cell r="F9783">
            <v>0</v>
          </cell>
        </row>
        <row r="9784">
          <cell r="B9784">
            <v>102568</v>
          </cell>
          <cell r="C9784" t="str">
            <v>CARGA, MANOBRA E DESCARGA MANUAL DE TUBOS PLÁSTICOS, DN 150 MM, EM CAMINHÃO CARROCERIA 9T. AF_06/2021</v>
          </cell>
          <cell r="D9784" t="str">
            <v>T</v>
          </cell>
          <cell r="E9784">
            <v>335.93</v>
          </cell>
          <cell r="F9784">
            <v>0</v>
          </cell>
        </row>
        <row r="9785">
          <cell r="B9785">
            <v>101479</v>
          </cell>
          <cell r="C9785" t="str">
            <v>CARGA, MANOBRA E DESCARGA MANUAL DE TUBOS PLÁSTICOS, DN 200 MM, EM CAMINHÃO CARROCERIA 9T. AF_07/2020</v>
          </cell>
          <cell r="D9785" t="str">
            <v>T</v>
          </cell>
          <cell r="E9785">
            <v>197.2</v>
          </cell>
          <cell r="F9785">
            <v>0</v>
          </cell>
        </row>
        <row r="9786">
          <cell r="B9786">
            <v>101019</v>
          </cell>
          <cell r="C9786" t="str">
            <v>CARGA, MANOBRA E DESCARGA MANUAL DE TUBOS PLÁSTICOS, DN MENOR OU IGUAL A 100 MM, EM CAMINHÃO CARROCERIA 9T. AF_07/2020</v>
          </cell>
          <cell r="D9786" t="str">
            <v>T</v>
          </cell>
          <cell r="E9786">
            <v>676.86</v>
          </cell>
          <cell r="F9786">
            <v>0</v>
          </cell>
        </row>
        <row r="9787">
          <cell r="B9787">
            <v>100938</v>
          </cell>
          <cell r="C9787" t="str">
            <v>TRANSPORTE COM CAMINHÃO BASCULANTE DE 10 M³, EM VIA INTERNA (DENTRO DO CANTEIRO - UNIDADE: M3XKM). AF_07/2020</v>
          </cell>
          <cell r="D9787" t="str">
            <v>M3XKM</v>
          </cell>
          <cell r="E9787">
            <v>8</v>
          </cell>
          <cell r="F9787">
            <v>0</v>
          </cell>
        </row>
        <row r="9788">
          <cell r="B9788">
            <v>100942</v>
          </cell>
          <cell r="C9788" t="str">
            <v>TRANSPORTE COM CAMINHÃO BASCULANTE DE 10 M³, EM VIA INTERNA A OBRA (UNIDADE: TXKM). AF_07/2020</v>
          </cell>
          <cell r="D9788" t="str">
            <v>TXKM</v>
          </cell>
          <cell r="E9788">
            <v>5.33</v>
          </cell>
          <cell r="F9788">
            <v>0</v>
          </cell>
        </row>
        <row r="9789">
          <cell r="B9789">
            <v>93588</v>
          </cell>
          <cell r="C9789" t="str">
            <v>TRANSPORTE COM CAMINHÃO BASCULANTE DE 10 M³, EM VIA URBANA EM LEITO NATURAL (UNIDADE: M3XKM). AF_07/2020</v>
          </cell>
          <cell r="D9789" t="str">
            <v>M3XKM</v>
          </cell>
          <cell r="E9789">
            <v>3.36</v>
          </cell>
          <cell r="F9789">
            <v>0</v>
          </cell>
        </row>
        <row r="9790">
          <cell r="B9790">
            <v>93594</v>
          </cell>
          <cell r="C9790" t="str">
            <v>TRANSPORTE COM CAMINHÃO BASCULANTE DE 10 M³, EM VIA URBANA EM LEITO NATURAL (UNIDADE: TXKM). AF_07/2020</v>
          </cell>
          <cell r="D9790" t="str">
            <v>TXKM</v>
          </cell>
          <cell r="E9790">
            <v>2.23</v>
          </cell>
          <cell r="F9790">
            <v>0</v>
          </cell>
        </row>
        <row r="9791">
          <cell r="B9791">
            <v>93589</v>
          </cell>
          <cell r="C9791" t="str">
            <v>TRANSPORTE COM CAMINHÃO BASCULANTE DE 10 M³, EM VIA URBANA EM REVESTIMENTO PRIMÁRIO (UNIDADE: M3XKM). AF_07/2020</v>
          </cell>
          <cell r="D9791" t="str">
            <v>M3XKM</v>
          </cell>
          <cell r="E9791">
            <v>2.88</v>
          </cell>
          <cell r="F9791">
            <v>0</v>
          </cell>
        </row>
        <row r="9792">
          <cell r="B9792">
            <v>93595</v>
          </cell>
          <cell r="C9792" t="str">
            <v>TRANSPORTE COM CAMINHÃO BASCULANTE DE 10 M³, EM VIA URBANA EM REVESTIMENTO PRIMÁRIO (UNIDADE: TXKM). AF_07/2020</v>
          </cell>
          <cell r="D9792" t="str">
            <v>TXKM</v>
          </cell>
          <cell r="E9792">
            <v>1.95</v>
          </cell>
          <cell r="F9792">
            <v>0</v>
          </cell>
        </row>
        <row r="9793">
          <cell r="B9793">
            <v>93590</v>
          </cell>
          <cell r="C9793" t="str">
            <v>TRANSPORTE COM CAMINHÃO BASCULANTE DE 10 M³, EM VIA URBANA PAVIMENTADA, ADICIONAL PARA DMT EXCEDENTE A 30 KM (UNIDADE: M3XKM). AF_07/2020</v>
          </cell>
          <cell r="D9793" t="str">
            <v>M3XKM</v>
          </cell>
          <cell r="E9793">
            <v>1.04</v>
          </cell>
          <cell r="F9793">
            <v>0</v>
          </cell>
        </row>
        <row r="9794">
          <cell r="B9794">
            <v>93596</v>
          </cell>
          <cell r="C9794" t="str">
            <v>TRANSPORTE COM CAMINHÃO BASCULANTE DE 10 M³, EM VIA URBANA PAVIMENTADA, ADICIONAL PARA DMT EXCEDENTE A 30 KM (UNIDADE: TXKM). AF_07/2020</v>
          </cell>
          <cell r="D9794" t="str">
            <v>TXKM</v>
          </cell>
          <cell r="E9794">
            <v>0.7</v>
          </cell>
          <cell r="F9794">
            <v>0</v>
          </cell>
        </row>
        <row r="9795">
          <cell r="B9795">
            <v>95875</v>
          </cell>
          <cell r="C9795" t="str">
            <v>TRANSPORTE COM CAMINHÃO BASCULANTE DE 10 M³, EM VIA URBANA PAVIMENTADA, DMT ATÉ 30 KM (UNIDADE: M3XKM). AF_07/2020</v>
          </cell>
          <cell r="D9795" t="str">
            <v>M3XKM</v>
          </cell>
          <cell r="E9795">
            <v>2.65</v>
          </cell>
          <cell r="F9795">
            <v>0</v>
          </cell>
        </row>
        <row r="9796">
          <cell r="B9796">
            <v>95878</v>
          </cell>
          <cell r="C9796" t="str">
            <v>TRANSPORTE COM CAMINHÃO BASCULANTE DE 10 M³, EM VIA URBANA PAVIMENTADA, DMT ATÉ 30 KM (UNIDADE: TXKM). AF_07/2020</v>
          </cell>
          <cell r="D9796" t="str">
            <v>TXKM</v>
          </cell>
          <cell r="E9796">
            <v>1.78</v>
          </cell>
          <cell r="F9796">
            <v>0</v>
          </cell>
        </row>
        <row r="9797">
          <cell r="B9797">
            <v>100943</v>
          </cell>
          <cell r="C9797" t="str">
            <v>TRANSPORTE COM CAMINHÃO BASCULANTE DE 14 M³, EM VIA INTERNA (DENTRO DO CANTEIRO - UNIDADE: TXKM). AF_07/2020</v>
          </cell>
          <cell r="D9797" t="str">
            <v>TXKM</v>
          </cell>
          <cell r="E9797">
            <v>4.58</v>
          </cell>
          <cell r="F9797">
            <v>0</v>
          </cell>
        </row>
        <row r="9798">
          <cell r="B9798">
            <v>100939</v>
          </cell>
          <cell r="C9798" t="str">
            <v>TRANSPORTE COM CAMINHÃO BASCULANTE DE 14 M³, EM VIA INTERNA (DENTRO DO CANTEIRO - UNIDADE:M3XKM). AF_07/2020</v>
          </cell>
          <cell r="D9798" t="str">
            <v>M3XKM</v>
          </cell>
          <cell r="E9798">
            <v>6.91</v>
          </cell>
          <cell r="F9798">
            <v>0</v>
          </cell>
        </row>
        <row r="9799">
          <cell r="B9799">
            <v>93591</v>
          </cell>
          <cell r="C9799" t="str">
            <v>TRANSPORTE COM CAMINHÃO BASCULANTE DE 14 M³, EM VIA URBANA EM LEITO NATURAL (UNIDADE: M3XKM). AF_07/2020</v>
          </cell>
          <cell r="D9799" t="str">
            <v>M3XKM</v>
          </cell>
          <cell r="E9799">
            <v>2.89</v>
          </cell>
          <cell r="F9799">
            <v>0</v>
          </cell>
        </row>
        <row r="9800">
          <cell r="B9800">
            <v>93597</v>
          </cell>
          <cell r="C9800" t="str">
            <v>TRANSPORTE COM CAMINHÃO BASCULANTE DE 14 M³, EM VIA URBANA EM LEITO NATURAL (UNIDADE: TXKM). AF_07/2020</v>
          </cell>
          <cell r="D9800" t="str">
            <v>TXKM</v>
          </cell>
          <cell r="E9800">
            <v>1.92</v>
          </cell>
          <cell r="F9800">
            <v>0</v>
          </cell>
        </row>
        <row r="9801">
          <cell r="B9801">
            <v>93592</v>
          </cell>
          <cell r="C9801" t="str">
            <v>TRANSPORTE COM CAMINHÃO BASCULANTE DE 14 M³, EM VIA URBANA EM REVESTIMENTO PRIMÁRIO (UNIDADE: M3XKM). AF_07/2020</v>
          </cell>
          <cell r="D9801" t="str">
            <v>M3XKM</v>
          </cell>
          <cell r="E9801">
            <v>2.5</v>
          </cell>
          <cell r="F9801">
            <v>0</v>
          </cell>
        </row>
        <row r="9802">
          <cell r="B9802">
            <v>93598</v>
          </cell>
          <cell r="C9802" t="str">
            <v>TRANSPORTE COM CAMINHÃO BASCULANTE DE 14 M³, EM VIA URBANA EM REVESTIMENTO PRIMÁRIO (UNIDADE: TXKM). AF_07/2020</v>
          </cell>
          <cell r="D9802" t="str">
            <v>TXKM</v>
          </cell>
          <cell r="E9802">
            <v>1.66</v>
          </cell>
          <cell r="F9802">
            <v>0</v>
          </cell>
        </row>
        <row r="9803">
          <cell r="B9803">
            <v>93593</v>
          </cell>
          <cell r="C9803" t="str">
            <v>TRANSPORTE COM CAMINHÃO BASCULANTE DE 14 M³, EM VIA URBANA PAVIMENTADA, ADICIONAL PARA DMT EXCEDENTE A 30 KM (UNIDADE: M3XKM). AF_07/2020</v>
          </cell>
          <cell r="D9803" t="str">
            <v>M3XKM</v>
          </cell>
          <cell r="E9803">
            <v>0.91</v>
          </cell>
          <cell r="F9803">
            <v>0</v>
          </cell>
        </row>
        <row r="9804">
          <cell r="B9804">
            <v>93599</v>
          </cell>
          <cell r="C9804" t="str">
            <v>TRANSPORTE COM CAMINHÃO BASCULANTE DE 14 M³, EM VIA URBANA PAVIMENTADA, ADICIONAL PARA DMT EXCEDENTE A 30 KM (UNIDADE: TXKM). AF_07/2020</v>
          </cell>
          <cell r="D9804" t="str">
            <v>TXKM</v>
          </cell>
          <cell r="E9804">
            <v>0.61</v>
          </cell>
          <cell r="F9804">
            <v>0</v>
          </cell>
        </row>
        <row r="9805">
          <cell r="B9805">
            <v>95876</v>
          </cell>
          <cell r="C9805" t="str">
            <v>TRANSPORTE COM CAMINHÃO BASCULANTE DE 14 M³, EM VIA URBANA PAVIMENTADA, DMT ATÉ 30 KM (UNIDADE: M3XKM). AF_07/2020</v>
          </cell>
          <cell r="D9805" t="str">
            <v>M3XKM</v>
          </cell>
          <cell r="E9805">
            <v>2.27</v>
          </cell>
          <cell r="F9805">
            <v>0</v>
          </cell>
        </row>
        <row r="9806">
          <cell r="B9806">
            <v>95879</v>
          </cell>
          <cell r="C9806" t="str">
            <v>TRANSPORTE COM CAMINHÃO BASCULANTE DE 14 M³, EM VIA URBANA PAVIMENTADA, DMT ATÉ 30 KM (UNIDADE: TXKM). AF_07/2020</v>
          </cell>
          <cell r="D9806" t="str">
            <v>TXKM</v>
          </cell>
          <cell r="E9806">
            <v>1.53</v>
          </cell>
          <cell r="F9806">
            <v>0</v>
          </cell>
        </row>
        <row r="9807">
          <cell r="B9807">
            <v>100940</v>
          </cell>
          <cell r="C9807" t="str">
            <v>TRANSPORTE COM CAMINHÃO BASCULANTE DE 18 M³, EM VIA INTERNA (DENTRO DO CANTEIRO - UNIDADE: M3XKM). AF_07/2020</v>
          </cell>
          <cell r="D9807" t="str">
            <v>M3XKM</v>
          </cell>
          <cell r="E9807">
            <v>5.89</v>
          </cell>
          <cell r="F9807">
            <v>0</v>
          </cell>
        </row>
        <row r="9808">
          <cell r="B9808">
            <v>100944</v>
          </cell>
          <cell r="C9808" t="str">
            <v>TRANSPORTE COM CAMINHÃO BASCULANTE DE 18 M³, EM VIA INTERNA (DENTRO DO CANTEIRO - UNIDADE: TXKM). AF_07/2020</v>
          </cell>
          <cell r="D9808" t="str">
            <v>TXKM</v>
          </cell>
          <cell r="E9808">
            <v>3.93</v>
          </cell>
          <cell r="F9808">
            <v>0</v>
          </cell>
        </row>
        <row r="9809">
          <cell r="B9809">
            <v>95425</v>
          </cell>
          <cell r="C9809" t="str">
            <v>TRANSPORTE COM CAMINHÃO BASCULANTE DE 18 M³, EM VIA URBANA EM LEITO NATURAL (UNIDADE: M3XKM). AF_07/2020</v>
          </cell>
          <cell r="D9809" t="str">
            <v>M3XKM</v>
          </cell>
          <cell r="E9809">
            <v>2.4500000000000002</v>
          </cell>
          <cell r="F9809">
            <v>0</v>
          </cell>
        </row>
        <row r="9810">
          <cell r="B9810">
            <v>95428</v>
          </cell>
          <cell r="C9810" t="str">
            <v>TRANSPORTE COM CAMINHÃO BASCULANTE DE 18 M³, EM VIA URBANA EM LEITO NATURAL (UNIDADE: TXKM). AF_07/2020</v>
          </cell>
          <cell r="D9810" t="str">
            <v>TXKM</v>
          </cell>
          <cell r="E9810">
            <v>1.65</v>
          </cell>
          <cell r="F9810">
            <v>0</v>
          </cell>
        </row>
        <row r="9811">
          <cell r="B9811">
            <v>95426</v>
          </cell>
          <cell r="C9811" t="str">
            <v>TRANSPORTE COM CAMINHÃO BASCULANTE DE 18 M³, EM VIA URBANA EM REVESTIMENTO PRIMÁRIO (UNIDADE: M3XKM). AF_07/2020</v>
          </cell>
          <cell r="D9811" t="str">
            <v>M3XKM</v>
          </cell>
          <cell r="E9811">
            <v>2.11</v>
          </cell>
          <cell r="F9811">
            <v>0</v>
          </cell>
        </row>
        <row r="9812">
          <cell r="B9812">
            <v>95429</v>
          </cell>
          <cell r="C9812" t="str">
            <v>TRANSPORTE COM CAMINHÃO BASCULANTE DE 18 M³, EM VIA URBANA EM REVESTIMENTO PRIMÁRIO (UNIDADE: TXKM). AF_07/2020</v>
          </cell>
          <cell r="D9812" t="str">
            <v>TXKM</v>
          </cell>
          <cell r="E9812">
            <v>1.43</v>
          </cell>
          <cell r="F9812">
            <v>0</v>
          </cell>
        </row>
        <row r="9813">
          <cell r="B9813">
            <v>95427</v>
          </cell>
          <cell r="C9813" t="str">
            <v>TRANSPORTE COM CAMINHÃO BASCULANTE DE 18 M³, EM VIA URBANA PAVIMENTADA, ADICIONAL PARA DMT EXCEDENTE A 30 KM (UNIDADE: M3XKM). AF_07/2020</v>
          </cell>
          <cell r="D9813" t="str">
            <v>M3XKM</v>
          </cell>
          <cell r="E9813">
            <v>0.8</v>
          </cell>
          <cell r="F9813">
            <v>0</v>
          </cell>
        </row>
        <row r="9814">
          <cell r="B9814">
            <v>95430</v>
          </cell>
          <cell r="C9814" t="str">
            <v>TRANSPORTE COM CAMINHÃO BASCULANTE DE 18 M³, EM VIA URBANA PAVIMENTADA, ADICIONAL PARA DMT EXCEDENTE A 30 KM (UNIDADE: TXKM). AF_07/2020</v>
          </cell>
          <cell r="D9814" t="str">
            <v>TXKM</v>
          </cell>
          <cell r="E9814">
            <v>0.5</v>
          </cell>
          <cell r="F9814">
            <v>0</v>
          </cell>
        </row>
        <row r="9815">
          <cell r="B9815">
            <v>95877</v>
          </cell>
          <cell r="C9815" t="str">
            <v>TRANSPORTE COM CAMINHÃO BASCULANTE DE 18 M³, EM VIA URBANA PAVIMENTADA, DMT ATÉ 30 KM (UNIDADE: M3XKM). AF_07/2020</v>
          </cell>
          <cell r="D9815" t="str">
            <v>M3XKM</v>
          </cell>
          <cell r="E9815">
            <v>1.94</v>
          </cell>
          <cell r="F9815">
            <v>0</v>
          </cell>
        </row>
        <row r="9816">
          <cell r="B9816">
            <v>95880</v>
          </cell>
          <cell r="C9816" t="str">
            <v>TRANSPORTE COM CAMINHÃO BASCULANTE DE 18 M³, EM VIA URBANA PAVIMENTADA, DMT ATÉ 30 KM (UNIDADE: TXKM). AF_07/2020</v>
          </cell>
          <cell r="D9816" t="str">
            <v>TXKM</v>
          </cell>
          <cell r="E9816">
            <v>1.3</v>
          </cell>
          <cell r="F9816">
            <v>0</v>
          </cell>
        </row>
        <row r="9817">
          <cell r="B9817">
            <v>100937</v>
          </cell>
          <cell r="C9817" t="str">
            <v>TRANSPORTE COM CAMINHÃO BASCULANTE DE 6 M³, EM VIA INTERNA (DENTRO DO CANTEIRO - UNIDADE: M3XKM). AF_07/2020</v>
          </cell>
          <cell r="D9817" t="str">
            <v>M3XKM</v>
          </cell>
          <cell r="E9817">
            <v>9.73</v>
          </cell>
          <cell r="F9817">
            <v>0</v>
          </cell>
        </row>
        <row r="9818">
          <cell r="B9818">
            <v>100941</v>
          </cell>
          <cell r="C9818" t="str">
            <v>TRANSPORTE COM CAMINHÃO BASCULANTE DE 6 M³, EM VIA INTERNA (DENTRO DO CANTEIRO - UNIDADE: TXKM). AF_07/2020</v>
          </cell>
          <cell r="D9818" t="str">
            <v>TXKM</v>
          </cell>
          <cell r="E9818">
            <v>6.48</v>
          </cell>
          <cell r="F9818">
            <v>0</v>
          </cell>
        </row>
        <row r="9819">
          <cell r="B9819">
            <v>97912</v>
          </cell>
          <cell r="C9819" t="str">
            <v>TRANSPORTE COM CAMINHÃO BASCULANTE DE 6 M³, EM VIA URBANA EM LEITO NATURAL (UNIDADE: M3XKM). AF_07/2020</v>
          </cell>
          <cell r="D9819" t="str">
            <v>M3XKM</v>
          </cell>
          <cell r="E9819">
            <v>4.08</v>
          </cell>
          <cell r="F9819">
            <v>0</v>
          </cell>
        </row>
        <row r="9820">
          <cell r="B9820">
            <v>97916</v>
          </cell>
          <cell r="C9820" t="str">
            <v>TRANSPORTE COM CAMINHÃO BASCULANTE DE 6 M³, EM VIA URBANA EM LEITO NATURAL (UNIDADE: TXKM). AF_07/2020</v>
          </cell>
          <cell r="D9820" t="str">
            <v>TXKM</v>
          </cell>
          <cell r="E9820">
            <v>2.72</v>
          </cell>
          <cell r="F9820">
            <v>0</v>
          </cell>
        </row>
        <row r="9821">
          <cell r="B9821">
            <v>97913</v>
          </cell>
          <cell r="C9821" t="str">
            <v>TRANSPORTE COM CAMINHÃO BASCULANTE DE 6 M³, EM VIA URBANA EM REVESTIMENTO PRIMÁRIO (UNIDADE: M3XKM). AF_07/2020</v>
          </cell>
          <cell r="D9821" t="str">
            <v>M3XKM</v>
          </cell>
          <cell r="E9821">
            <v>3.54</v>
          </cell>
          <cell r="F9821">
            <v>0</v>
          </cell>
        </row>
        <row r="9822">
          <cell r="B9822">
            <v>97917</v>
          </cell>
          <cell r="C9822" t="str">
            <v>TRANSPORTE COM CAMINHÃO BASCULANTE DE 6 M³, EM VIA URBANA EM REVESTIMENTO PRIMÁRIO (UNIDADE: TXKM). AF_07/2020</v>
          </cell>
          <cell r="D9822" t="str">
            <v>TXKM</v>
          </cell>
          <cell r="E9822">
            <v>2.35</v>
          </cell>
          <cell r="F9822">
            <v>0</v>
          </cell>
        </row>
        <row r="9823">
          <cell r="B9823">
            <v>97915</v>
          </cell>
          <cell r="C9823" t="str">
            <v>TRANSPORTE COM CAMINHÃO BASCULANTE DE 6 M³, EM VIA URBANA PAVIMENTADA, ADICIONAL PARA DMT EXCEDENTE A 30 KM (UNIDADE: M3XKM). AF_07/2020</v>
          </cell>
          <cell r="D9823" t="str">
            <v>M3XKM</v>
          </cell>
          <cell r="E9823">
            <v>1.3</v>
          </cell>
          <cell r="F9823">
            <v>0</v>
          </cell>
        </row>
        <row r="9824">
          <cell r="B9824">
            <v>97919</v>
          </cell>
          <cell r="C9824" t="str">
            <v>TRANSPORTE COM CAMINHÃO BASCULANTE DE 6 M³, EM VIA URBANA PAVIMENTADA, ADICIONAL PARA DMT EXCEDENTE A 30 KM (UNIDADE: TXKM). AF_07/2020</v>
          </cell>
          <cell r="D9824" t="str">
            <v>TXKM</v>
          </cell>
          <cell r="E9824">
            <v>0.86</v>
          </cell>
          <cell r="F9824">
            <v>0</v>
          </cell>
        </row>
        <row r="9825">
          <cell r="B9825">
            <v>97914</v>
          </cell>
          <cell r="C9825" t="str">
            <v>TRANSPORTE COM CAMINHÃO BASCULANTE DE 6 M³, EM VIA URBANA PAVIMENTADA, DMT ATÉ 30 KM (UNIDADE: M3XKM). AF_07/2020</v>
          </cell>
          <cell r="D9825" t="str">
            <v>M3XKM</v>
          </cell>
          <cell r="E9825">
            <v>3.24</v>
          </cell>
          <cell r="F9825">
            <v>0</v>
          </cell>
        </row>
        <row r="9826">
          <cell r="B9826">
            <v>97918</v>
          </cell>
          <cell r="C9826" t="str">
            <v>TRANSPORTE COM CAMINHÃO BASCULANTE DE 6 M³, EM VIA URBANA PAVIMENTADA, DMT ATÉ 30 KM (UNIDADE: TXKM). AF_07/2020</v>
          </cell>
          <cell r="D9826" t="str">
            <v>TXKM</v>
          </cell>
          <cell r="E9826">
            <v>2.17</v>
          </cell>
          <cell r="F9826">
            <v>0</v>
          </cell>
        </row>
        <row r="9827">
          <cell r="B9827">
            <v>100949</v>
          </cell>
          <cell r="C9827" t="str">
            <v>TRANSPORTE COM CAMINHÃO CARROCERIA 9T, EM VIA INTERNA (DENTRO DO CANTEIRO - UNIDADE: TXKM). AF_07/2020</v>
          </cell>
          <cell r="D9827" t="str">
            <v>TXKM</v>
          </cell>
          <cell r="E9827">
            <v>7.24</v>
          </cell>
          <cell r="F9827">
            <v>0</v>
          </cell>
        </row>
        <row r="9828">
          <cell r="B9828">
            <v>100945</v>
          </cell>
          <cell r="C9828" t="str">
            <v>TRANSPORTE COM CAMINHÃO CARROCERIA 9T, EM VIA URBANA EM LEITO NATURAL (UNIDADE: TXKM). AF_07/2020</v>
          </cell>
          <cell r="D9828" t="str">
            <v>TXKM</v>
          </cell>
          <cell r="E9828">
            <v>3.04</v>
          </cell>
          <cell r="F9828">
            <v>0</v>
          </cell>
        </row>
        <row r="9829">
          <cell r="B9829">
            <v>100946</v>
          </cell>
          <cell r="C9829" t="str">
            <v>TRANSPORTE COM CAMINHÃO CARROCERIA 9T, EM VIA URBANA EM REVESTIMENTO PRIMÁRIO (UNIDADE: TXKM). AF_07/2020</v>
          </cell>
          <cell r="D9829" t="str">
            <v>TXKM</v>
          </cell>
          <cell r="E9829">
            <v>2.62</v>
          </cell>
          <cell r="F9829">
            <v>0</v>
          </cell>
        </row>
        <row r="9830">
          <cell r="B9830">
            <v>100948</v>
          </cell>
          <cell r="C9830" t="str">
            <v>TRANSPORTE COM CAMINHÃO CARROCERIA 9T, EM VIA URBANA PAVIMENTADA, ADICIONAL PARA DMT EXCEDENTE A 30 KM (UNIDADE: TXKM). AF_07/2020</v>
          </cell>
          <cell r="D9830" t="str">
            <v>TXKM</v>
          </cell>
          <cell r="E9830">
            <v>0.96</v>
          </cell>
          <cell r="F9830">
            <v>0</v>
          </cell>
        </row>
        <row r="9831">
          <cell r="B9831">
            <v>100947</v>
          </cell>
          <cell r="C9831" t="str">
            <v>TRANSPORTE COM CAMINHÃO CARROCERIA 9T, EM VIA URBANA PAVIMENTADA, DMT ATÉ 30KM (UNIDADE: TXKM). AF_07/2020</v>
          </cell>
          <cell r="D9831" t="str">
            <v>TXKM</v>
          </cell>
          <cell r="E9831">
            <v>2.42</v>
          </cell>
          <cell r="F9831">
            <v>0</v>
          </cell>
        </row>
        <row r="9832">
          <cell r="B9832">
            <v>100954</v>
          </cell>
          <cell r="C9832" t="str">
            <v>TRANSPORTE COM CAMINHÃO CARROCERIA COM GUINDAUTO (MUNCK), MOMENTO MÁXIMO DE CARGA 11,7 TM, EM VIA INTERNA (DENTRO DO CANTEIRO - UNIDADE: TXKM). AF_07/2020</v>
          </cell>
          <cell r="D9832" t="str">
            <v>TXKM</v>
          </cell>
          <cell r="E9832">
            <v>9.1300000000000008</v>
          </cell>
          <cell r="F9832">
            <v>0</v>
          </cell>
        </row>
        <row r="9833">
          <cell r="B9833">
            <v>100950</v>
          </cell>
          <cell r="C9833" t="str">
            <v>TRANSPORTE COM CAMINHÃO CARROCERIA COM GUINDAUTO (MUNCK), MOMENTO MÁXIMO DE CARGA 11,7 TM, EM VIA URBANA EM LEITO NATURAL (UNIDADE: TXKM). AF_07/2020</v>
          </cell>
          <cell r="D9833" t="str">
            <v>TXKM</v>
          </cell>
          <cell r="E9833">
            <v>3.84</v>
          </cell>
          <cell r="F9833">
            <v>0</v>
          </cell>
        </row>
        <row r="9834">
          <cell r="B9834">
            <v>100951</v>
          </cell>
          <cell r="C9834" t="str">
            <v>TRANSPORTE COM CAMINHÃO CARROCERIA COM GUINDAUTO (MUNCK), MOMENTO MÁXIMO DE CARGA 11,7 TM, EM VIA URBANA EM REVESTIMENTO PRIMÁRIO (UNIDADE: TXKM). AF_07/2020</v>
          </cell>
          <cell r="D9834" t="str">
            <v>TXKM</v>
          </cell>
          <cell r="E9834">
            <v>3.31</v>
          </cell>
          <cell r="F9834">
            <v>0</v>
          </cell>
        </row>
        <row r="9835">
          <cell r="B9835">
            <v>100953</v>
          </cell>
          <cell r="C9835" t="str">
            <v>TRANSPORTE COM CAMINHÃO CARROCERIA COM GUINDAUTO (MUNCK), MOMENTO MÁXIMO DE CARGA 11,7 TM, EM VIA URBANA PAVIMENTADA, ADICIONAL PARA DMT EXCEDENTE A 30 KM (UNIDADE: TXKM). AF_07/2020</v>
          </cell>
          <cell r="D9835" t="str">
            <v>TXKM</v>
          </cell>
          <cell r="E9835">
            <v>1.21</v>
          </cell>
          <cell r="F9835">
            <v>0</v>
          </cell>
        </row>
        <row r="9836">
          <cell r="B9836">
            <v>100952</v>
          </cell>
          <cell r="C9836" t="str">
            <v>TRANSPORTE COM CAMINHÃO CARROCERIA COM GUINDAUTO (MUNCK), MOMENTO MÁXIMO DE CARGA 11,7 TM, EM VIA URBANA PAVIMENTADA, DMT ATÉ 30KM (UNIDADE: TXKM). AF_07/2020</v>
          </cell>
          <cell r="D9836" t="str">
            <v>TXKM</v>
          </cell>
          <cell r="E9836">
            <v>3.05</v>
          </cell>
          <cell r="F9836">
            <v>0</v>
          </cell>
        </row>
        <row r="9837">
          <cell r="B9837">
            <v>100964</v>
          </cell>
          <cell r="C9837" t="str">
            <v>TRANSPORTE COM CAMINHÃO PIPA DE 10 M³, EM VIA INTERNA (DENTRO DO CANTEIRO - UNIDADE: M3XKM). AF_07/2020</v>
          </cell>
          <cell r="D9837" t="str">
            <v>M3XKM</v>
          </cell>
          <cell r="E9837">
            <v>9.31</v>
          </cell>
          <cell r="F9837">
            <v>0</v>
          </cell>
        </row>
        <row r="9838">
          <cell r="B9838">
            <v>100960</v>
          </cell>
          <cell r="C9838" t="str">
            <v>TRANSPORTE COM CAMINHÃO PIPA DE 10 M³, EM VIA URBANA EM LEITO NATURAL (UNIDADE: M3XKM). AF_07/2020</v>
          </cell>
          <cell r="D9838" t="str">
            <v>M3XKM</v>
          </cell>
          <cell r="E9838">
            <v>3.88</v>
          </cell>
          <cell r="F9838">
            <v>0</v>
          </cell>
        </row>
        <row r="9839">
          <cell r="B9839">
            <v>100961</v>
          </cell>
          <cell r="C9839" t="str">
            <v>TRANSPORTE COM CAMINHÃO PIPA DE 10 M³, EM VIA URBANA EM REVESTIMENTO PRIMÁRIO (UNIDADE: M3XKM). AF_07/2020</v>
          </cell>
          <cell r="D9839" t="str">
            <v>M3XKM</v>
          </cell>
          <cell r="E9839">
            <v>3.36</v>
          </cell>
          <cell r="F9839">
            <v>0</v>
          </cell>
        </row>
        <row r="9840">
          <cell r="B9840">
            <v>100963</v>
          </cell>
          <cell r="C9840" t="str">
            <v>TRANSPORTE COM CAMINHÃO PIPA DE 10 M³, EM VIA URBANA PAVIMENTADA, ADICIONAL PARA DMT EXCEDENTE A 30 KM (UNIDADE: M3XKM). AF_07/2020</v>
          </cell>
          <cell r="D9840" t="str">
            <v>M3XKM</v>
          </cell>
          <cell r="E9840">
            <v>1.21</v>
          </cell>
          <cell r="F9840">
            <v>0</v>
          </cell>
        </row>
        <row r="9841">
          <cell r="B9841">
            <v>100962</v>
          </cell>
          <cell r="C9841" t="str">
            <v>TRANSPORTE COM CAMINHÃO PIPA DE 10 M³, EM VIA URBANA PAVIMENTADA, DMT ATÉ 30KM (UNIDADE: M3XKM). AF_07/2020</v>
          </cell>
          <cell r="D9841" t="str">
            <v>M3XKM</v>
          </cell>
          <cell r="E9841">
            <v>3.07</v>
          </cell>
          <cell r="F9841">
            <v>0</v>
          </cell>
        </row>
        <row r="9842">
          <cell r="B9842">
            <v>100959</v>
          </cell>
          <cell r="C9842" t="str">
            <v>TRANSPORTE COM CAMINHÃO PIPA DE 6 M³, EM VIA INTERNA (DENTRO DO CANTEIRO - UNIDADE: M3XKM). AF_07/2020</v>
          </cell>
          <cell r="D9842" t="str">
            <v>M3XKM</v>
          </cell>
          <cell r="E9842">
            <v>12.54</v>
          </cell>
          <cell r="F9842">
            <v>0</v>
          </cell>
        </row>
        <row r="9843">
          <cell r="B9843">
            <v>100955</v>
          </cell>
          <cell r="C9843" t="str">
            <v>TRANSPORTE COM CAMINHÃO PIPA DE 6 M³, EM VIA URBANA EM LEITO NATURAL (UNIDADE: M3XKM). AF_07/2020</v>
          </cell>
          <cell r="D9843" t="str">
            <v>M3XKM</v>
          </cell>
          <cell r="E9843">
            <v>5.26</v>
          </cell>
          <cell r="F9843">
            <v>0</v>
          </cell>
        </row>
        <row r="9844">
          <cell r="B9844">
            <v>100956</v>
          </cell>
          <cell r="C9844" t="str">
            <v>TRANSPORTE COM CAMINHÃO PIPA DE 6 M³, EM VIA URBANA EM REVESTIMENTO PRIMÁRIO (UNIDADE: M3XKM). AF_07/2020</v>
          </cell>
          <cell r="D9844" t="str">
            <v>M3XKM</v>
          </cell>
          <cell r="E9844">
            <v>4.5599999999999996</v>
          </cell>
          <cell r="F9844">
            <v>0</v>
          </cell>
        </row>
        <row r="9845">
          <cell r="B9845">
            <v>100958</v>
          </cell>
          <cell r="C9845" t="str">
            <v>TRANSPORTE COM CAMINHÃO PIPA DE 6 M³, EM VIA URBANA PAVIMENTADA, ADICIONAL PARA DMT EXCEDENTE A 30 KM (UNIDADE: M3XKM). AF_07/2020</v>
          </cell>
          <cell r="D9845" t="str">
            <v>M3XKM</v>
          </cell>
          <cell r="E9845">
            <v>1.68</v>
          </cell>
          <cell r="F9845">
            <v>0</v>
          </cell>
        </row>
        <row r="9846">
          <cell r="B9846">
            <v>100957</v>
          </cell>
          <cell r="C9846" t="str">
            <v>TRANSPORTE COM CAMINHÃO PIPA DE 6 M³, EM VIA URBANA PAVIMENTADA, DMT ATÉ 30KM (UNIDADE: M3XKM). AF_07/2020</v>
          </cell>
          <cell r="D9846" t="str">
            <v>M3XKM</v>
          </cell>
          <cell r="E9846">
            <v>4.17</v>
          </cell>
          <cell r="F9846">
            <v>0</v>
          </cell>
        </row>
        <row r="9847">
          <cell r="B9847">
            <v>100969</v>
          </cell>
          <cell r="C9847" t="str">
            <v>TRANSPORTE COM CAMINHÃO TANQUE DE TRANSPORTE DE MATERIAL ASFÁLTICO DE 20000 L, EM VIA URBANA EM LEITO NATURAL (UNIDADE: TXKM). AF_07/2020</v>
          </cell>
          <cell r="D9847" t="str">
            <v>TXKM</v>
          </cell>
          <cell r="E9847">
            <v>2.46</v>
          </cell>
          <cell r="F9847">
            <v>0</v>
          </cell>
        </row>
        <row r="9848">
          <cell r="B9848">
            <v>100970</v>
          </cell>
          <cell r="C9848" t="str">
            <v>TRANSPORTE COM CAMINHÃO TANQUE DE TRANSPORTE DE MATERIAL ASFÁLTICO DE 20000 L, EM VIA URBANA EM REVESTIMENTO PRIMÁRIO (UNIDADE: TXKM). AF_07/2020</v>
          </cell>
          <cell r="D9848" t="str">
            <v>TXKM</v>
          </cell>
          <cell r="E9848">
            <v>2.08</v>
          </cell>
          <cell r="F9848">
            <v>0</v>
          </cell>
        </row>
        <row r="9849">
          <cell r="B9849">
            <v>102333</v>
          </cell>
          <cell r="C9849" t="str">
            <v>TRANSPORTE COM CAMINHÃO TANQUE DE TRANSPORTE DE MATERIAL ASFÁLTICO DE 20000 L, EM VIA URBANA PAVIMENTADA, ADICIONAL PARA DMT EXCEDENTE A 30 KM (UNIDADE: TXKM). AF_07/2020</v>
          </cell>
          <cell r="D9849" t="str">
            <v>TXKM</v>
          </cell>
          <cell r="E9849">
            <v>0.78</v>
          </cell>
          <cell r="F9849">
            <v>0</v>
          </cell>
        </row>
        <row r="9850">
          <cell r="B9850">
            <v>102332</v>
          </cell>
          <cell r="C9850" t="str">
            <v>TRANSPORTE COM CAMINHÃO TANQUE DE TRANSPORTE DE MATERIAL ASFÁLTICO DE 20000 L, EM VIA URBANA PAVIMENTADA, DMT ATÉ 30KM (UNIDADE: TXKM). AF_07/2020</v>
          </cell>
          <cell r="D9850" t="str">
            <v>TXKM</v>
          </cell>
          <cell r="E9850">
            <v>1.94</v>
          </cell>
          <cell r="F9850">
            <v>0</v>
          </cell>
        </row>
        <row r="9851">
          <cell r="B9851">
            <v>100965</v>
          </cell>
          <cell r="C9851" t="str">
            <v>TRANSPORTE COM CAMINHÃO TANQUE DE TRANSPORTE DE MATERIAL ASFÁLTICO DE 30000 L, EM VIA URBANA EM LEITO NATURAL (UNIDADE: TXKM). AF_07/2020</v>
          </cell>
          <cell r="D9851" t="str">
            <v>TXKM</v>
          </cell>
          <cell r="E9851">
            <v>1.86</v>
          </cell>
          <cell r="F9851">
            <v>0</v>
          </cell>
        </row>
        <row r="9852">
          <cell r="B9852">
            <v>100966</v>
          </cell>
          <cell r="C9852" t="str">
            <v>TRANSPORTE COM CAMINHÃO TANQUE DE TRANSPORTE DE MATERIAL ASFÁLTICO DE 30000 L, EM VIA URBANA EM REVESTIMENTO PRIMÁRIO (UNIDADE: TXKM). AF_07/2020</v>
          </cell>
          <cell r="D9852" t="str">
            <v>TXKM</v>
          </cell>
          <cell r="E9852">
            <v>1.6</v>
          </cell>
          <cell r="F9852">
            <v>0</v>
          </cell>
        </row>
        <row r="9853">
          <cell r="B9853">
            <v>102331</v>
          </cell>
          <cell r="C9853" t="str">
            <v>TRANSPORTE COM CAMINHÃO TANQUE DE TRANSPORTE DE MATERIAL ASFÁLTICO DE 30000 L, EM VIA URBANA PAVIMENTADA, ADICIONAL PARA DMT EXCEDENTE A 30 KM (UNIDADE: TXKM). AF_07/2020</v>
          </cell>
          <cell r="D9853" t="str">
            <v>TXKM</v>
          </cell>
          <cell r="E9853">
            <v>0.57999999999999996</v>
          </cell>
          <cell r="F9853">
            <v>0</v>
          </cell>
        </row>
        <row r="9854">
          <cell r="B9854">
            <v>102330</v>
          </cell>
          <cell r="C9854" t="str">
            <v>TRANSPORTE COM CAMINHÃO TANQUE DE TRANSPORTE DE MATERIAL ASFÁLTICO DE 30000 L, EM VIA URBANA PAVIMENTADA, DMT ATÉ 30KM (UNIDADE: TXKM). AF_07/2020</v>
          </cell>
          <cell r="D9854" t="str">
            <v>TXKM</v>
          </cell>
          <cell r="E9854">
            <v>1.49</v>
          </cell>
          <cell r="F9854">
            <v>0</v>
          </cell>
        </row>
        <row r="9855">
          <cell r="B9855">
            <v>97804</v>
          </cell>
          <cell r="C9855" t="str">
            <v>PAVIMENTO COM TRATAMENTO SUPERFICIAL DUPLO, COM CAP 150/200 E ROLO COMPACTADOR DE PNEUS. AF_11/2025</v>
          </cell>
          <cell r="D9855" t="str">
            <v>M2</v>
          </cell>
          <cell r="E9855">
            <v>0</v>
          </cell>
        </row>
        <row r="9856">
          <cell r="B9856">
            <v>106306</v>
          </cell>
          <cell r="C9856" t="str">
            <v>PAVIMENTO COM TRATAMENTO SUPERFICIAL DUPLO, COM CAP 150/200 E ROLO COMPACTADOR TANDEM. AF_11/2025</v>
          </cell>
          <cell r="D9856" t="str">
            <v>M2</v>
          </cell>
          <cell r="E9856">
            <v>0</v>
          </cell>
        </row>
        <row r="9857">
          <cell r="B9857">
            <v>104389</v>
          </cell>
          <cell r="C9857" t="str">
            <v>PAVIMENTO COM TRATAMENTO SUPERFICIAL DUPLO, COM EMULSÃO ASFÁLTICA RR-2C E ROLO COMPACTADOR DE PNEUS. AF_11/2025</v>
          </cell>
          <cell r="D9857" t="str">
            <v>M2</v>
          </cell>
          <cell r="E9857">
            <v>0</v>
          </cell>
        </row>
        <row r="9858">
          <cell r="B9858">
            <v>106307</v>
          </cell>
          <cell r="C9858" t="str">
            <v>PAVIMENTO COM TRATAMENTO SUPERFICIAL DUPLO, COM EMULSÃO ASFÁLTICA RR-2C E ROLO COMPACTADOR TANDEM. AF_11/2025</v>
          </cell>
          <cell r="D9858" t="str">
            <v>M2</v>
          </cell>
          <cell r="E9858">
            <v>0</v>
          </cell>
        </row>
        <row r="9859">
          <cell r="B9859">
            <v>104378</v>
          </cell>
          <cell r="C9859" t="str">
            <v>PAVIMENTO COM TRATAMENTO SUPERFICIAL DUPLO, COM EMULSÃO ASFÁLTICA RR-2C, COM BANHO DILUÍDO E ROLO COMPACTADOR DE PNEUS. AF_11/2025</v>
          </cell>
          <cell r="D9859" t="str">
            <v>M2</v>
          </cell>
          <cell r="E9859">
            <v>0</v>
          </cell>
        </row>
        <row r="9860">
          <cell r="B9860">
            <v>106308</v>
          </cell>
          <cell r="C9860" t="str">
            <v>PAVIMENTO COM TRATAMENTO SUPERFICIAL DUPLO, COM EMULSÃO ASFÁLTICA RR-2C, COM BANHO DILUÍDO E ROLO COMPACTADOR TANDEM. AF_11/2025</v>
          </cell>
          <cell r="D9860" t="str">
            <v>M2</v>
          </cell>
          <cell r="E9860">
            <v>0</v>
          </cell>
        </row>
        <row r="9861">
          <cell r="B9861">
            <v>104379</v>
          </cell>
          <cell r="C9861" t="str">
            <v>PAVIMENTO COM TRATAMENTO SUPERFICIAL DUPLO, COM EMULSÃO ASFÁLTICA RR-2C, COM CAPA SELANTE E ROLO COMPACTADOR DE PNEUS. AF_11/2025</v>
          </cell>
          <cell r="D9861" t="str">
            <v>M2</v>
          </cell>
          <cell r="E9861">
            <v>0</v>
          </cell>
        </row>
        <row r="9862">
          <cell r="B9862">
            <v>106309</v>
          </cell>
          <cell r="C9862" t="str">
            <v>PAVIMENTO COM TRATAMENTO SUPERFICIAL DUPLO, COM EMULSÃO ASFÁLTICA RR-2C, COM CAPA SELANTE E ROLO COMPACTADOR TANDEM. AF_11/2025</v>
          </cell>
          <cell r="D9862" t="str">
            <v>M2</v>
          </cell>
          <cell r="E9862">
            <v>0</v>
          </cell>
        </row>
        <row r="9863">
          <cell r="B9863">
            <v>97801</v>
          </cell>
          <cell r="C9863" t="str">
            <v>PAVIMENTO COM TRATAMENTO SUPERFICIAL SIMPLES, COM CAP 150/200 E ROLO COMPACTADOR DE PNEUS. AF_11/2025</v>
          </cell>
          <cell r="D9863" t="str">
            <v>M2</v>
          </cell>
          <cell r="E9863">
            <v>0</v>
          </cell>
        </row>
        <row r="9864">
          <cell r="B9864">
            <v>106303</v>
          </cell>
          <cell r="C9864" t="str">
            <v>PAVIMENTO COM TRATAMENTO SUPERFICIAL SIMPLES, COM CAP 150/200 E ROLO COMPACTADOR TANDEM. AF_11/2025</v>
          </cell>
          <cell r="D9864" t="str">
            <v>M2</v>
          </cell>
          <cell r="E9864">
            <v>0</v>
          </cell>
        </row>
        <row r="9865">
          <cell r="B9865">
            <v>104376</v>
          </cell>
          <cell r="C9865" t="str">
            <v>PAVIMENTO COM TRATAMENTO SUPERFICIAL SIMPLES, COM EMULSÃO ASFÁLTICA RR-2C E ROLO COMPACTADOR DE PNEUS. AF_11/2025</v>
          </cell>
          <cell r="D9865" t="str">
            <v>M2</v>
          </cell>
          <cell r="E9865">
            <v>0</v>
          </cell>
        </row>
        <row r="9866">
          <cell r="B9866">
            <v>106304</v>
          </cell>
          <cell r="C9866" t="str">
            <v>PAVIMENTO COM TRATAMENTO SUPERFICIAL SIMPLES, COM EMULSÃO ASFÁLTICA RR-2C E ROLO COMPACTADOR TANDEM. AF_11/2025</v>
          </cell>
          <cell r="D9866" t="str">
            <v>M2</v>
          </cell>
          <cell r="E9866">
            <v>0</v>
          </cell>
        </row>
        <row r="9867">
          <cell r="B9867">
            <v>104377</v>
          </cell>
          <cell r="C9867" t="str">
            <v>PAVIMENTO COM TRATAMENTO SUPERFICIAL SIMPLES, COM EMULSÃO ASFÁLTICA RR-2C, COM BANHO DILUÍDO E ROLO COMPACTADOR DE PNEUS. AF_11/2025</v>
          </cell>
          <cell r="D9867" t="str">
            <v>M2</v>
          </cell>
          <cell r="E9867">
            <v>0</v>
          </cell>
        </row>
        <row r="9868">
          <cell r="B9868">
            <v>106305</v>
          </cell>
          <cell r="C9868" t="str">
            <v>PAVIMENTO COM TRATAMENTO SUPERFICIAL SIMPLES, COM EMULSÃO ASFÁLTICAA RR-2C, COM BANHO DILUÍDO E ROLO COMPACTADOR TANDEM. AF_11/2025</v>
          </cell>
          <cell r="D9868" t="str">
            <v>M2</v>
          </cell>
          <cell r="E9868">
            <v>0</v>
          </cell>
        </row>
        <row r="9869">
          <cell r="B9869">
            <v>97808</v>
          </cell>
          <cell r="C9869" t="str">
            <v>PAVIMENTO COM TRATAMENTO SUPERFICIAL TRIPLO, COM CAP 150/200 E ROLO COMPACTADOR DE PNEUS. AF_11/2025</v>
          </cell>
          <cell r="D9869" t="str">
            <v>M2</v>
          </cell>
          <cell r="E9869">
            <v>0</v>
          </cell>
        </row>
        <row r="9870">
          <cell r="B9870">
            <v>106310</v>
          </cell>
          <cell r="C9870" t="str">
            <v>PAVIMENTO COM TRATAMENTO SUPERFICIAL TRIPLO, COM CAP 150/200 E ROLO COMPACTADOR TANDEM. AF_11/2025</v>
          </cell>
          <cell r="D9870" t="str">
            <v>M2</v>
          </cell>
          <cell r="E9870">
            <v>0</v>
          </cell>
        </row>
        <row r="9871">
          <cell r="B9871">
            <v>104380</v>
          </cell>
          <cell r="C9871" t="str">
            <v>PAVIMENTO COM TRATAMENTO SUPERFICIAL TRIPLO, COM EMULSÃO ASFÁLTICA RR-2C E ROLO COMPACTADOR DE PNEUS. AF_11/2025</v>
          </cell>
          <cell r="D9871" t="str">
            <v>M2</v>
          </cell>
          <cell r="E9871">
            <v>0</v>
          </cell>
        </row>
        <row r="9872">
          <cell r="B9872">
            <v>106311</v>
          </cell>
          <cell r="C9872" t="str">
            <v>PAVIMENTO COM TRATAMENTO SUPERFICIAL TRIPLO, COM EMULSÃO ASFÁLTICA RR-2C E ROLO COMPACTADOR TANDEM. AF_11/2025</v>
          </cell>
          <cell r="D9872" t="str">
            <v>M2</v>
          </cell>
          <cell r="E9872">
            <v>0</v>
          </cell>
        </row>
        <row r="9873">
          <cell r="B9873">
            <v>104381</v>
          </cell>
          <cell r="C9873" t="str">
            <v>PAVIMENTO COM TRATAMENTO SUPERFICIAL TRIPLO, COM EMULSÃO ASFÁLTICA RR-2C, COM BANHO DILUÍDO E ROLO COMPACTADOR DE PNEUS. AF_11/2025</v>
          </cell>
          <cell r="D9873" t="str">
            <v>M2</v>
          </cell>
          <cell r="E9873">
            <v>0</v>
          </cell>
        </row>
        <row r="9874">
          <cell r="B9874">
            <v>106312</v>
          </cell>
          <cell r="C9874" t="str">
            <v>PAVIMENTO COM TRATAMENTO SUPERFICIAL TRIPLO, COM EMULSÃO ASFÁLTICA RR-2C, COM BANHO DILUÍDO E ROLO COMPACTADOR TANDEM. AF_11/2025</v>
          </cell>
          <cell r="D9874" t="str">
            <v>M2</v>
          </cell>
          <cell r="E9874">
            <v>0</v>
          </cell>
        </row>
        <row r="9875">
          <cell r="B9875">
            <v>104382</v>
          </cell>
          <cell r="C9875" t="str">
            <v>PAVIMENTO COM TRATAMENTO SUPERFICIAL TRIPLO, COM EMULSÃO ASFÁLTICA RR-2C, COM CAPA SELANTE E ROLO COMPACTADOR DE PNEUS. AF_11/2025</v>
          </cell>
          <cell r="D9875" t="str">
            <v>M2</v>
          </cell>
          <cell r="E9875">
            <v>0</v>
          </cell>
        </row>
        <row r="9876">
          <cell r="B9876">
            <v>106313</v>
          </cell>
          <cell r="C9876" t="str">
            <v>PAVIMENTO COM TRATAMENTO SUPERFICIAL TRIPLO, COM EMULSÃO ASFÁLTICA RR-2C, COM CAPA SELANTE E ROLO COMPACTADOR TANDEM. AF_11/2025</v>
          </cell>
          <cell r="D9876" t="str">
            <v>M2</v>
          </cell>
          <cell r="E9876">
            <v>0</v>
          </cell>
        </row>
        <row r="9877">
          <cell r="B9877">
            <v>103138</v>
          </cell>
          <cell r="C9877" t="str">
            <v>ASSENTAMENTO DE CONEXÃO COM 1 ACESSO, FERRO FUNDIDO PARA REDE DE ÁGUA, DN 100 MM, JUNTA FLANGEADA (NÃO INCLUI O FORNECIMENTO). AF_09/2021</v>
          </cell>
          <cell r="D9877" t="str">
            <v>UN</v>
          </cell>
          <cell r="E9877">
            <v>44.82</v>
          </cell>
          <cell r="F9877">
            <v>0</v>
          </cell>
        </row>
        <row r="9878">
          <cell r="B9878">
            <v>103151</v>
          </cell>
          <cell r="C9878" t="str">
            <v>ASSENTAMENTO DE CONEXÃO COM 1 ACESSO, FERRO FUNDIDO PARA REDE DE ÁGUA, DN 1000 MM, JUNTA FLANGEADA (NÃO INCLUI O FORNECIMENTO). AF_09/2021</v>
          </cell>
          <cell r="D9878" t="str">
            <v>UN</v>
          </cell>
          <cell r="E9878">
            <v>446.83</v>
          </cell>
          <cell r="F9878">
            <v>0</v>
          </cell>
        </row>
        <row r="9879">
          <cell r="B9879">
            <v>103152</v>
          </cell>
          <cell r="C9879" t="str">
            <v>ASSENTAMENTO DE CONEXÃO COM 1 ACESSO, FERRO FUNDIDO PARA REDE DE ÁGUA, DN 1200 MM, JUNTA FLANGEADA (NÃO INCLUI O FORNECIMENTO). AF_09/2021</v>
          </cell>
          <cell r="D9879" t="str">
            <v>UN</v>
          </cell>
          <cell r="E9879">
            <v>533.08000000000004</v>
          </cell>
          <cell r="F9879">
            <v>0</v>
          </cell>
        </row>
        <row r="9880">
          <cell r="B9880">
            <v>103139</v>
          </cell>
          <cell r="C9880" t="str">
            <v>ASSENTAMENTO DE CONEXÃO COM 1 ACESSO, FERRO FUNDIDO PARA REDE DE ÁGUA, DN 150 MM, JUNTA FLANGEADA (NÃO INCLUI O FORNECIMENTO). AF_09/2021</v>
          </cell>
          <cell r="D9880" t="str">
            <v>UN</v>
          </cell>
          <cell r="E9880">
            <v>59.5</v>
          </cell>
          <cell r="F9880">
            <v>0</v>
          </cell>
        </row>
        <row r="9881">
          <cell r="B9881">
            <v>103140</v>
          </cell>
          <cell r="C9881" t="str">
            <v>ASSENTAMENTO DE CONEXÃO COM 1 ACESSO, FERRO FUNDIDO PARA REDE DE ÁGUA, DN 200 MM, JUNTA FLANGEADA (NÃO INCLUI O FORNECIMENTO). AF_09/2021</v>
          </cell>
          <cell r="D9881" t="str">
            <v>UN</v>
          </cell>
          <cell r="E9881">
            <v>74.17</v>
          </cell>
          <cell r="F9881">
            <v>0</v>
          </cell>
        </row>
        <row r="9882">
          <cell r="B9882">
            <v>103141</v>
          </cell>
          <cell r="C9882" t="str">
            <v>ASSENTAMENTO DE CONEXÃO COM 1 ACESSO, FERRO FUNDIDO PARA REDE DE ÁGUA, DN 250 MM, JUNTA FLANGEADA (NÃO INCLUI O FORNECIMENTO). AF_09/2021</v>
          </cell>
          <cell r="D9882" t="str">
            <v>UN</v>
          </cell>
          <cell r="E9882">
            <v>116.42</v>
          </cell>
          <cell r="F9882">
            <v>0</v>
          </cell>
        </row>
        <row r="9883">
          <cell r="B9883">
            <v>103142</v>
          </cell>
          <cell r="C9883" t="str">
            <v>ASSENTAMENTO DE CONEXÃO COM 1 ACESSO, FERRO FUNDIDO PARA REDE DE ÁGUA, DN 300 MM, JUNTA FLANGEADA (NÃO INCLUI O FORNECIMENTO). AF_09/2021</v>
          </cell>
          <cell r="D9883" t="str">
            <v>UN</v>
          </cell>
          <cell r="E9883">
            <v>131.08000000000001</v>
          </cell>
          <cell r="F9883">
            <v>0</v>
          </cell>
        </row>
        <row r="9884">
          <cell r="B9884">
            <v>103143</v>
          </cell>
          <cell r="C9884" t="str">
            <v>ASSENTAMENTO DE CONEXÃO COM 1 ACESSO, FERRO FUNDIDO PARA REDE DE ÁGUA, DN 350 MM, JUNTA FLANGEADA (NÃO INCLUI O FORNECIMENTO). AF_09/2021</v>
          </cell>
          <cell r="D9884" t="str">
            <v>UN</v>
          </cell>
          <cell r="E9884">
            <v>173.33</v>
          </cell>
          <cell r="F9884">
            <v>0</v>
          </cell>
        </row>
        <row r="9885">
          <cell r="B9885">
            <v>103144</v>
          </cell>
          <cell r="C9885" t="str">
            <v>ASSENTAMENTO DE CONEXÃO COM 1 ACESSO, FERRO FUNDIDO PARA REDE DE ÁGUA, DN 400 MM, JUNTA FLANGEADA (NÃO INCLUI O FORNECIMENTO). AF_09/2021</v>
          </cell>
          <cell r="D9885" t="str">
            <v>UN</v>
          </cell>
          <cell r="E9885">
            <v>188.01</v>
          </cell>
          <cell r="F9885">
            <v>0</v>
          </cell>
        </row>
        <row r="9886">
          <cell r="B9886">
            <v>103145</v>
          </cell>
          <cell r="C9886" t="str">
            <v>ASSENTAMENTO DE CONEXÃO COM 1 ACESSO, FERRO FUNDIDO PARA REDE DE ÁGUA, DN 450 MM, JUNTA FLANGEADA (NÃO INCLUI O FORNECIMENTO). AF_09/2021</v>
          </cell>
          <cell r="D9886" t="str">
            <v>UN</v>
          </cell>
          <cell r="E9886">
            <v>230.27</v>
          </cell>
          <cell r="F9886">
            <v>0</v>
          </cell>
        </row>
        <row r="9887">
          <cell r="B9887">
            <v>103146</v>
          </cell>
          <cell r="C9887" t="str">
            <v>ASSENTAMENTO DE CONEXÃO COM 1 ACESSO, FERRO FUNDIDO PARA REDE DE ÁGUA, DN 500 MM, JUNTA FLANGEADA (NÃO INCLUI O FORNECIMENTO). AF_09/2021</v>
          </cell>
          <cell r="D9887" t="str">
            <v>UN</v>
          </cell>
          <cell r="E9887">
            <v>244.93</v>
          </cell>
          <cell r="F9887">
            <v>0</v>
          </cell>
        </row>
        <row r="9888">
          <cell r="B9888">
            <v>103147</v>
          </cell>
          <cell r="C9888" t="str">
            <v>ASSENTAMENTO DE CONEXÃO COM 1 ACESSO, FERRO FUNDIDO PARA REDE DE ÁGUA, DN 600 MM, JUNTA FLANGEADA (NÃO INCLUI O FORNECIMENTO). AF_09/2021</v>
          </cell>
          <cell r="D9888" t="str">
            <v>UN</v>
          </cell>
          <cell r="E9888">
            <v>274.27999999999997</v>
          </cell>
          <cell r="F9888">
            <v>0</v>
          </cell>
        </row>
        <row r="9889">
          <cell r="B9889">
            <v>103148</v>
          </cell>
          <cell r="C9889" t="str">
            <v>ASSENTAMENTO DE CONEXÃO COM 1 ACESSO, FERRO FUNDIDO PARA REDE DE ÁGUA, DN 700 MM, JUNTA FLANGEADA (NÃO INCLUI O FORNECIMENTO). AF_09/2021</v>
          </cell>
          <cell r="D9889" t="str">
            <v>UN</v>
          </cell>
          <cell r="E9889">
            <v>331.19</v>
          </cell>
          <cell r="F9889">
            <v>0</v>
          </cell>
        </row>
        <row r="9890">
          <cell r="B9890">
            <v>103137</v>
          </cell>
          <cell r="C9890" t="str">
            <v>ASSENTAMENTO DE CONEXÃO COM 1 ACESSO, FERRO FUNDIDO PARA REDE DE ÁGUA, DN 80 MM, JUNTA FLANGEADA (NÃO INCLUI O FORNECIMENTO). AF_09/2021</v>
          </cell>
          <cell r="D9890" t="str">
            <v>UN</v>
          </cell>
          <cell r="E9890">
            <v>38.950000000000003</v>
          </cell>
          <cell r="F9890">
            <v>0</v>
          </cell>
        </row>
        <row r="9891">
          <cell r="B9891">
            <v>103149</v>
          </cell>
          <cell r="C9891" t="str">
            <v>ASSENTAMENTO DE CONEXÃO COM 1 ACESSO, FERRO FUNDIDO PARA REDE DE ÁGUA, DN 800 MM, JUNTA FLANGEADA (NÃO INCLUI O FORNECIMENTO). AF_09/2021</v>
          </cell>
          <cell r="D9891" t="str">
            <v>UN</v>
          </cell>
          <cell r="E9891">
            <v>360.55</v>
          </cell>
          <cell r="F9891">
            <v>0</v>
          </cell>
        </row>
        <row r="9892">
          <cell r="B9892">
            <v>103150</v>
          </cell>
          <cell r="C9892" t="str">
            <v>ASSENTAMENTO DE CONEXÃO COM 1 ACESSO, FERRO FUNDIDO PARA REDE DE ÁGUA, DN 900 MM, JUNTA FLANGEADA (NÃO INCLUI O FORNECIMENTO). AF_09/2021</v>
          </cell>
          <cell r="D9892" t="str">
            <v>UN</v>
          </cell>
          <cell r="E9892">
            <v>417.42</v>
          </cell>
          <cell r="F9892">
            <v>0</v>
          </cell>
        </row>
        <row r="9893">
          <cell r="B9893">
            <v>103106</v>
          </cell>
          <cell r="C9893" t="str">
            <v>ASSENTAMENTO DE CONEXÃO COM 2 ACESSOS, FERRO FUNDIDO PARA REDE DE ÁGUA, DN 100 MM, JUNTA FLANGEADA (NÃO INCLUI O FORNECIMENTO). AF_09/2021</v>
          </cell>
          <cell r="D9893" t="str">
            <v>UN</v>
          </cell>
          <cell r="E9893">
            <v>69.69</v>
          </cell>
          <cell r="F9893">
            <v>0</v>
          </cell>
        </row>
        <row r="9894">
          <cell r="B9894">
            <v>103119</v>
          </cell>
          <cell r="C9894" t="str">
            <v>ASSENTAMENTO DE CONEXÃO COM 2 ACESSOS, FERRO FUNDIDO PARA REDE DE ÁGUA, DN 1000 MM, JUNTA FLANGEADA (NÃO INCLUI O FORNECIMENTO). AF_09/2021</v>
          </cell>
          <cell r="D9894" t="str">
            <v>UN</v>
          </cell>
          <cell r="E9894">
            <v>873.68</v>
          </cell>
          <cell r="F9894">
            <v>0</v>
          </cell>
        </row>
        <row r="9895">
          <cell r="B9895">
            <v>103120</v>
          </cell>
          <cell r="C9895" t="str">
            <v>ASSENTAMENTO DE CONEXÃO COM 2 ACESSOS, FERRO FUNDIDO PARA REDE DE ÁGUA, DN 1200 MM, JUNTA FLANGEADA (NÃO INCLUI O FORNECIMENTO). AF_09/2021</v>
          </cell>
          <cell r="D9895" t="str">
            <v>UN</v>
          </cell>
          <cell r="E9895">
            <v>1046.23</v>
          </cell>
          <cell r="F9895">
            <v>0</v>
          </cell>
        </row>
        <row r="9896">
          <cell r="B9896">
            <v>103107</v>
          </cell>
          <cell r="C9896" t="str">
            <v>ASSENTAMENTO DE CONEXÃO COM 2 ACESSOS, FERRO FUNDIDO PARA REDE DE ÁGUA, DN 150 MM, JUNTA FLANGEADA (NÃO INCLUI O FORNECIMENTO). AF_09/2021</v>
          </cell>
          <cell r="D9896" t="str">
            <v>UN</v>
          </cell>
          <cell r="E9896">
            <v>99.03</v>
          </cell>
          <cell r="F9896">
            <v>0</v>
          </cell>
        </row>
        <row r="9897">
          <cell r="B9897">
            <v>103108</v>
          </cell>
          <cell r="C9897" t="str">
            <v>ASSENTAMENTO DE CONEXÃO COM 2 ACESSOS, FERRO FUNDIDO PARA REDE DE ÁGUA, DN 200 MM, JUNTA FLANGEADA (NÃO INCLUI O FORNECIMENTO). AF_09/2021</v>
          </cell>
          <cell r="D9897" t="str">
            <v>UN</v>
          </cell>
          <cell r="E9897">
            <v>128.38</v>
          </cell>
          <cell r="F9897">
            <v>0</v>
          </cell>
        </row>
        <row r="9898">
          <cell r="B9898">
            <v>103109</v>
          </cell>
          <cell r="C9898" t="str">
            <v>ASSENTAMENTO DE CONEXÃO COM 2 ACESSOS, FERRO FUNDIDO PARA REDE DE ÁGUA, DN 250 MM, JUNTA FLANGEADA (NÃO INCLUI O FORNECIMENTO). AF_09/2021</v>
          </cell>
          <cell r="D9898" t="str">
            <v>UN</v>
          </cell>
          <cell r="E9898">
            <v>212.88</v>
          </cell>
          <cell r="F9898">
            <v>0</v>
          </cell>
        </row>
        <row r="9899">
          <cell r="B9899">
            <v>103110</v>
          </cell>
          <cell r="C9899" t="str">
            <v>ASSENTAMENTO DE CONEXÃO COM 2 ACESSOS, FERRO FUNDIDO PARA REDE DE ÁGUA, DN 300 MM, JUNTA FLANGEADA (NÃO INCLUI O FORNECIMENTO). AF_09/2021</v>
          </cell>
          <cell r="D9899" t="str">
            <v>UN</v>
          </cell>
          <cell r="E9899">
            <v>242.22</v>
          </cell>
          <cell r="F9899">
            <v>0</v>
          </cell>
        </row>
        <row r="9900">
          <cell r="B9900">
            <v>103111</v>
          </cell>
          <cell r="C9900" t="str">
            <v>ASSENTAMENTO DE CONEXÃO COM 2 ACESSOS, FERRO FUNDIDO PARA REDE DE ÁGUA, DN 350 MM, JUNTA FLANGEADA (NÃO INCLUI O FORNECIMENTO). AF_09/2021</v>
          </cell>
          <cell r="D9900" t="str">
            <v>UN</v>
          </cell>
          <cell r="E9900">
            <v>326.72000000000003</v>
          </cell>
          <cell r="F9900">
            <v>0</v>
          </cell>
        </row>
        <row r="9901">
          <cell r="B9901">
            <v>103112</v>
          </cell>
          <cell r="C9901" t="str">
            <v>ASSENTAMENTO DE CONEXÃO COM 2 ACESSOS, FERRO FUNDIDO PARA REDE DE ÁGUA, DN 400 MM, JUNTA FLANGEADA (NÃO INCLUI O FORNECIMENTO). AF_09/2021</v>
          </cell>
          <cell r="D9901" t="str">
            <v>UN</v>
          </cell>
          <cell r="E9901">
            <v>356.06</v>
          </cell>
          <cell r="F9901">
            <v>0</v>
          </cell>
        </row>
        <row r="9902">
          <cell r="B9902">
            <v>103113</v>
          </cell>
          <cell r="C9902" t="str">
            <v>ASSENTAMENTO DE CONEXÃO COM 2 ACESSOS, FERRO FUNDIDO PARA REDE DE ÁGUA, DN 450 MM, JUNTA FLANGEADA (NÃO INCLUI O FORNECIMENTO). AF_09/2021</v>
          </cell>
          <cell r="D9902" t="str">
            <v>UN</v>
          </cell>
          <cell r="E9902">
            <v>440.55</v>
          </cell>
          <cell r="F9902">
            <v>0</v>
          </cell>
        </row>
        <row r="9903">
          <cell r="B9903">
            <v>103114</v>
          </cell>
          <cell r="C9903" t="str">
            <v>ASSENTAMENTO DE CONEXÃO COM 2 ACESSOS, FERRO FUNDIDO PARA REDE DE ÁGUA, DN 500 MM, JUNTA FLANGEADA (NÃO INCLUI O FORNECIMENTO). AF_09/2021</v>
          </cell>
          <cell r="D9903" t="str">
            <v>UN</v>
          </cell>
          <cell r="E9903">
            <v>469.91</v>
          </cell>
          <cell r="F9903">
            <v>0</v>
          </cell>
        </row>
        <row r="9904">
          <cell r="B9904">
            <v>103115</v>
          </cell>
          <cell r="C9904" t="str">
            <v>ASSENTAMENTO DE CONEXÃO COM 2 ACESSOS, FERRO FUNDIDO PARA REDE DE ÁGUA, DN 600 MM, JUNTA FLANGEADA (NÃO INCLUI O FORNECIMENTO). AF_09/2021</v>
          </cell>
          <cell r="D9904" t="str">
            <v>UN</v>
          </cell>
          <cell r="E9904">
            <v>528.61</v>
          </cell>
          <cell r="F9904">
            <v>0</v>
          </cell>
        </row>
        <row r="9905">
          <cell r="B9905">
            <v>103116</v>
          </cell>
          <cell r="C9905" t="str">
            <v>ASSENTAMENTO DE CONEXÃO COM 2 ACESSOS, FERRO FUNDIDO PARA REDE DE ÁGUA, DN 700 MM, JUNTA FLANGEADA (NÃO INCLUI O FORNECIMENTO). AF_09/2021</v>
          </cell>
          <cell r="D9905" t="str">
            <v>UN</v>
          </cell>
          <cell r="E9905">
            <v>642.45000000000005</v>
          </cell>
          <cell r="F9905">
            <v>0</v>
          </cell>
        </row>
        <row r="9906">
          <cell r="B9906">
            <v>103105</v>
          </cell>
          <cell r="C9906" t="str">
            <v>ASSENTAMENTO DE CONEXÃO COM 2 ACESSOS, FERRO FUNDIDO PARA REDE DE ÁGUA, DN 80 MM, JUNTA FLANGEADA (NÃO INCLUI O FORNECIMENTO). AF_09/2021</v>
          </cell>
          <cell r="D9906" t="str">
            <v>UN</v>
          </cell>
          <cell r="E9906">
            <v>57.93</v>
          </cell>
          <cell r="F9906">
            <v>0</v>
          </cell>
        </row>
        <row r="9907">
          <cell r="B9907">
            <v>103117</v>
          </cell>
          <cell r="C9907" t="str">
            <v>ASSENTAMENTO DE CONEXÃO COM 2 ACESSOS, FERRO FUNDIDO PARA REDE DE ÁGUA, DN 800 MM, JUNTA FLANGEADA (NÃO INCLUI O FORNECIMENTO). AF_09/2021</v>
          </cell>
          <cell r="D9907" t="str">
            <v>UN</v>
          </cell>
          <cell r="E9907">
            <v>701.15</v>
          </cell>
          <cell r="F9907">
            <v>0</v>
          </cell>
        </row>
        <row r="9908">
          <cell r="B9908">
            <v>103118</v>
          </cell>
          <cell r="C9908" t="str">
            <v>ASSENTAMENTO DE CONEXÃO COM 2 ACESSOS, FERRO FUNDIDO PARA REDE DE ÁGUA, DN 900 MM, JUNTA FLANGEADA (NÃO INCLUI O FORNECIMENTO). AF_09/2021</v>
          </cell>
          <cell r="D9908" t="str">
            <v>UN</v>
          </cell>
          <cell r="E9908">
            <v>814.99</v>
          </cell>
          <cell r="F9908">
            <v>0</v>
          </cell>
        </row>
        <row r="9909">
          <cell r="B9909">
            <v>103122</v>
          </cell>
          <cell r="C9909" t="str">
            <v>ASSENTAMENTO DE CONEXÃO COM 3 ACESSOS, FERRO FUNDIDO PARA REDE DE ÁGUA, DN 100 MM, JUNTA FLANGEADA (NÃO INCLUI O FORNECIMENTO). AF_09/2021</v>
          </cell>
          <cell r="D9909" t="str">
            <v>UN</v>
          </cell>
          <cell r="E9909">
            <v>94.55</v>
          </cell>
          <cell r="F9909">
            <v>0</v>
          </cell>
        </row>
        <row r="9910">
          <cell r="B9910">
            <v>103135</v>
          </cell>
          <cell r="C9910" t="str">
            <v>ASSENTAMENTO DE CONEXÃO COM 3 ACESSOS, FERRO FUNDIDO PARA REDE DE ÁGUA, DN 1000 MM, JUNTA FLANGEADA (NÃO INCLUI O FORNECIMENTO). AF_09/2021</v>
          </cell>
          <cell r="D9910" t="str">
            <v>UN</v>
          </cell>
          <cell r="E9910">
            <v>1300.55</v>
          </cell>
          <cell r="F9910">
            <v>0</v>
          </cell>
        </row>
        <row r="9911">
          <cell r="B9911">
            <v>103136</v>
          </cell>
          <cell r="C9911" t="str">
            <v>ASSENTAMENTO DE CONEXÃO COM 3 ACESSOS, FERRO FUNDIDO PARA REDE DE ÁGUA, DN 1200 MM, JUNTA FLANGEADA (NÃO INCLUI O FORNECIMENTO). AF_09/2021</v>
          </cell>
          <cell r="D9911" t="str">
            <v>UN</v>
          </cell>
          <cell r="E9911">
            <v>1559.37</v>
          </cell>
          <cell r="F9911">
            <v>0</v>
          </cell>
        </row>
        <row r="9912">
          <cell r="B9912">
            <v>103123</v>
          </cell>
          <cell r="C9912" t="str">
            <v>ASSENTAMENTO DE CONEXÃO COM 3 ACESSOS, FERRO FUNDIDO PARA REDE DE ÁGUA, DN 150 MM, JUNTA FLANGEADA (NÃO INCLUI O FORNECIMENTO). AF_09/2021</v>
          </cell>
          <cell r="D9912" t="str">
            <v>UN</v>
          </cell>
          <cell r="E9912">
            <v>138.58000000000001</v>
          </cell>
          <cell r="F9912">
            <v>0</v>
          </cell>
        </row>
        <row r="9913">
          <cell r="B9913">
            <v>103124</v>
          </cell>
          <cell r="C9913" t="str">
            <v>ASSENTAMENTO DE CONEXÃO COM 3 ACESSOS, FERRO FUNDIDO PARA REDE DE ÁGUA, DN 200 MM, JUNTA FLANGEADA (NÃO INCLUI O FORNECIMENTO). AF_09/2021</v>
          </cell>
          <cell r="D9913" t="str">
            <v>UN</v>
          </cell>
          <cell r="E9913">
            <v>182.6</v>
          </cell>
          <cell r="F9913">
            <v>0</v>
          </cell>
        </row>
        <row r="9914">
          <cell r="B9914">
            <v>103125</v>
          </cell>
          <cell r="C9914" t="str">
            <v>ASSENTAMENTO DE CONEXÃO COM 3 ACESSOS, FERRO FUNDIDO PARA REDE DE ÁGUA, DN 250 MM, JUNTA FLANGEADA (NÃO INCLUI O FORNECIMENTO). AF_09/2021</v>
          </cell>
          <cell r="D9914" t="str">
            <v>UN</v>
          </cell>
          <cell r="E9914">
            <v>309.33999999999997</v>
          </cell>
          <cell r="F9914">
            <v>0</v>
          </cell>
        </row>
        <row r="9915">
          <cell r="B9915">
            <v>103126</v>
          </cell>
          <cell r="C9915" t="str">
            <v>ASSENTAMENTO DE CONEXÃO COM 3 ACESSOS, FERRO FUNDIDO PARA REDE DE ÁGUA, DN 300 MM, JUNTA FLANGEADA (NÃO INCLUI O FORNECIMENTO). AF_09/2021</v>
          </cell>
          <cell r="D9915" t="str">
            <v>UN</v>
          </cell>
          <cell r="E9915">
            <v>353.35</v>
          </cell>
          <cell r="F9915">
            <v>0</v>
          </cell>
        </row>
        <row r="9916">
          <cell r="B9916">
            <v>103127</v>
          </cell>
          <cell r="C9916" t="str">
            <v>ASSENTAMENTO DE CONEXÃO COM 3 ACESSOS, FERRO FUNDIDO PARA REDE DE ÁGUA, DN 350 MM, JUNTA FLANGEADA (NÃO INCLUI O FORNECIMENTO). AF_09/2021</v>
          </cell>
          <cell r="D9916" t="str">
            <v>UN</v>
          </cell>
          <cell r="E9916">
            <v>480.12</v>
          </cell>
          <cell r="F9916">
            <v>0</v>
          </cell>
        </row>
        <row r="9917">
          <cell r="B9917">
            <v>103128</v>
          </cell>
          <cell r="C9917" t="str">
            <v>ASSENTAMENTO DE CONEXÃO COM 3 ACESSOS, FERRO FUNDIDO PARA REDE DE ÁGUA, DN 400 MM, JUNTA FLANGEADA (NÃO INCLUI O FORNECIMENTO). AF_09/2021</v>
          </cell>
          <cell r="D9917" t="str">
            <v>UN</v>
          </cell>
          <cell r="E9917">
            <v>524.13</v>
          </cell>
          <cell r="F9917">
            <v>0</v>
          </cell>
        </row>
        <row r="9918">
          <cell r="B9918">
            <v>103129</v>
          </cell>
          <cell r="C9918" t="str">
            <v>ASSENTAMENTO DE CONEXÃO COM 3 ACESSOS, FERRO FUNDIDO PARA REDE DE ÁGUA, DN 450 MM, JUNTA FLANGEADA (NÃO INCLUI O FORNECIMENTO). AF_09/2021</v>
          </cell>
          <cell r="D9918" t="str">
            <v>UN</v>
          </cell>
          <cell r="E9918">
            <v>650.89</v>
          </cell>
          <cell r="F9918">
            <v>0</v>
          </cell>
        </row>
        <row r="9919">
          <cell r="B9919">
            <v>103130</v>
          </cell>
          <cell r="C9919" t="str">
            <v>ASSENTAMENTO DE CONEXÃO COM 3 ACESSOS, FERRO FUNDIDO PARA REDE DE ÁGUA, DN 500 MM, JUNTA FLANGEADA (NÃO INCLUI O FORNECIMENTO). AF_09/2021</v>
          </cell>
          <cell r="D9919" t="str">
            <v>UN</v>
          </cell>
          <cell r="E9919">
            <v>694.89</v>
          </cell>
          <cell r="F9919">
            <v>0</v>
          </cell>
        </row>
        <row r="9920">
          <cell r="B9920">
            <v>103131</v>
          </cell>
          <cell r="C9920" t="str">
            <v>ASSENTAMENTO DE CONEXÃO COM 3 ACESSOS, FERRO FUNDIDO PARA REDE DE ÁGUA, DN 600 MM, JUNTA FLANGEADA (NÃO INCLUI O FORNECIMENTO). AF_09/2021</v>
          </cell>
          <cell r="D9920" t="str">
            <v>UN</v>
          </cell>
          <cell r="E9920">
            <v>782.93</v>
          </cell>
          <cell r="F9920">
            <v>0</v>
          </cell>
        </row>
        <row r="9921">
          <cell r="B9921">
            <v>103132</v>
          </cell>
          <cell r="C9921" t="str">
            <v>ASSENTAMENTO DE CONEXÃO COM 3 ACESSOS, FERRO FUNDIDO PARA REDE DE ÁGUA, DN 700 MM, JUNTA FLANGEADA (NÃO INCLUI O FORNECIMENTO). AF_09/2021</v>
          </cell>
          <cell r="D9921" t="str">
            <v>UN</v>
          </cell>
          <cell r="E9921">
            <v>953.7</v>
          </cell>
          <cell r="F9921">
            <v>0</v>
          </cell>
        </row>
        <row r="9922">
          <cell r="B9922">
            <v>103121</v>
          </cell>
          <cell r="C9922" t="str">
            <v>ASSENTAMENTO DE CONEXÃO COM 3 ACESSOS, FERRO FUNDIDO PARA REDE DE ÁGUA, DN 80 MM, JUNTA FLANGEADA (NÃO INCLUI O FORNECIMENTO). AF_09/2021</v>
          </cell>
          <cell r="D9922" t="str">
            <v>UN</v>
          </cell>
          <cell r="E9922">
            <v>76.94</v>
          </cell>
          <cell r="F9922">
            <v>0</v>
          </cell>
        </row>
        <row r="9923">
          <cell r="B9923">
            <v>103133</v>
          </cell>
          <cell r="C9923" t="str">
            <v>ASSENTAMENTO DE CONEXÃO COM 3 ACESSOS, FERRO FUNDIDO PARA REDE DE ÁGUA, DN 800 MM, JUNTA FLANGEADA (NÃO INCLUI O FORNECIMENTO). AF_09/2021</v>
          </cell>
          <cell r="D9923" t="str">
            <v>UN</v>
          </cell>
          <cell r="E9923">
            <v>1041.74</v>
          </cell>
          <cell r="F9923">
            <v>0</v>
          </cell>
        </row>
        <row r="9924">
          <cell r="B9924">
            <v>103134</v>
          </cell>
          <cell r="C9924" t="str">
            <v>ASSENTAMENTO DE CONEXÃO COM 3 ACESSOS, FERRO FUNDIDO PARA REDE DE ÁGUA, DN 900 MM, JUNTA FLANGEADA (NÃO INCLUI O FORNECIMENTO). AF_09/2021</v>
          </cell>
          <cell r="D9924" t="str">
            <v>UN</v>
          </cell>
          <cell r="E9924">
            <v>1212.51</v>
          </cell>
          <cell r="F9924">
            <v>0</v>
          </cell>
        </row>
        <row r="9925">
          <cell r="B9925">
            <v>103090</v>
          </cell>
          <cell r="C9925" t="str">
            <v>ASSENTAMENTO DE TUBO DE FERRO FUNDIDO PARA REDE DE ÁGUA, DN 100 MM, JUNTA FLANGEADA (NÃO INCLUI O FORNECIMENTO). AF_09/2021</v>
          </cell>
          <cell r="D9925" t="str">
            <v>M</v>
          </cell>
          <cell r="E9925">
            <v>17.18</v>
          </cell>
          <cell r="F9925">
            <v>0</v>
          </cell>
        </row>
        <row r="9926">
          <cell r="B9926">
            <v>103103</v>
          </cell>
          <cell r="C9926" t="str">
            <v>ASSENTAMENTO DE TUBO DE FERRO FUNDIDO PARA REDE DE ÁGUA, DN 1000 MM, JUNTA FLANGEADA (NÃO INCLUI O FORNECIMENTO). AF_09/2021</v>
          </cell>
          <cell r="D9926" t="str">
            <v>M</v>
          </cell>
          <cell r="E9926">
            <v>171.06</v>
          </cell>
          <cell r="F9926">
            <v>0</v>
          </cell>
        </row>
        <row r="9927">
          <cell r="B9927">
            <v>103104</v>
          </cell>
          <cell r="C9927" t="str">
            <v>ASSENTAMENTO DE TUBO DE FERRO FUNDIDO PARA REDE DE ÁGUA, DN 1200 MM, JUNTA FLANGEADA (NÃO INCLUI O FORNECIMENTO). AF_09/2021</v>
          </cell>
          <cell r="D9927" t="str">
            <v>M</v>
          </cell>
          <cell r="E9927">
            <v>204.64</v>
          </cell>
          <cell r="F9927">
            <v>0</v>
          </cell>
        </row>
        <row r="9928">
          <cell r="B9928">
            <v>103091</v>
          </cell>
          <cell r="C9928" t="str">
            <v>ASSENTAMENTO DE TUBO DE FERRO FUNDIDO PARA REDE DE ÁGUA, DN 150 MM, JUNTA FLANGEADA (NÃO INCLUI O FORNECIMENTO). AF_09/2021</v>
          </cell>
          <cell r="D9928" t="str">
            <v>M</v>
          </cell>
          <cell r="E9928">
            <v>24.27</v>
          </cell>
          <cell r="F9928">
            <v>0</v>
          </cell>
        </row>
        <row r="9929">
          <cell r="B9929">
            <v>103092</v>
          </cell>
          <cell r="C9929" t="str">
            <v>ASSENTAMENTO DE TUBO DE FERRO FUNDIDO PARA REDE DE ÁGUA, DN 200 MM, JUNTA FLANGEADA (NÃO INCLUI O FORNECIMENTO). AF_09/2021</v>
          </cell>
          <cell r="D9929" t="str">
            <v>M</v>
          </cell>
          <cell r="E9929">
            <v>31.38</v>
          </cell>
          <cell r="F9929">
            <v>0</v>
          </cell>
        </row>
        <row r="9930">
          <cell r="B9930">
            <v>103093</v>
          </cell>
          <cell r="C9930" t="str">
            <v>ASSENTAMENTO DE TUBO DE FERRO FUNDIDO PARA REDE DE ÁGUA, DN 250 MM, JUNTA FLANGEADA (NÃO INCLUI O FORNECIMENTO). AF_09/2021</v>
          </cell>
          <cell r="D9930" t="str">
            <v>M</v>
          </cell>
          <cell r="E9930">
            <v>48</v>
          </cell>
          <cell r="F9930">
            <v>0</v>
          </cell>
        </row>
        <row r="9931">
          <cell r="B9931">
            <v>103094</v>
          </cell>
          <cell r="C9931" t="str">
            <v>ASSENTAMENTO DE TUBO DE FERRO FUNDIDO PARA REDE DE ÁGUA, DN 300 MM, JUNTA FLANGEADA (NÃO INCLUI O FORNECIMENTO). AF_09/2021</v>
          </cell>
          <cell r="D9931" t="str">
            <v>M</v>
          </cell>
          <cell r="E9931">
            <v>55.12</v>
          </cell>
          <cell r="F9931">
            <v>0</v>
          </cell>
        </row>
        <row r="9932">
          <cell r="B9932">
            <v>103095</v>
          </cell>
          <cell r="C9932" t="str">
            <v>ASSENTAMENTO DE TUBO DE FERRO FUNDIDO PARA REDE DE ÁGUA, DN 350 MM, JUNTA FLANGEADA (NÃO INCLUI O FORNECIMENTO). AF_09/2021</v>
          </cell>
          <cell r="D9932" t="str">
            <v>M</v>
          </cell>
          <cell r="E9932">
            <v>71.72</v>
          </cell>
          <cell r="F9932">
            <v>0</v>
          </cell>
        </row>
        <row r="9933">
          <cell r="B9933">
            <v>103096</v>
          </cell>
          <cell r="C9933" t="str">
            <v>ASSENTAMENTO DE TUBO DE FERRO FUNDIDO PARA REDE DE ÁGUA, DN 400 MM, JUNTA FLANGEADA (NÃO INCLUI O FORNECIMENTO). AF_09/2021</v>
          </cell>
          <cell r="D9933" t="str">
            <v>M</v>
          </cell>
          <cell r="E9933">
            <v>78.86</v>
          </cell>
          <cell r="F9933">
            <v>0</v>
          </cell>
        </row>
        <row r="9934">
          <cell r="B9934">
            <v>103097</v>
          </cell>
          <cell r="C9934" t="str">
            <v>ASSENTAMENTO DE TUBO DE FERRO FUNDIDO PARA REDE DE ÁGUA, DN 450 MM, JUNTA FLANGEADA (NÃO INCLUI O FORNECIMENTO). AF_09/2021</v>
          </cell>
          <cell r="D9934" t="str">
            <v>M</v>
          </cell>
          <cell r="E9934">
            <v>95.46</v>
          </cell>
          <cell r="F9934">
            <v>0</v>
          </cell>
        </row>
        <row r="9935">
          <cell r="B9935">
            <v>103098</v>
          </cell>
          <cell r="C9935" t="str">
            <v>ASSENTAMENTO DE TUBO DE FERRO FUNDIDO PARA REDE DE ÁGUA, DN 500 MM, JUNTA FLANGEADA (NÃO INCLUI O FORNECIMENTO). AF_09/2021</v>
          </cell>
          <cell r="D9935" t="str">
            <v>M</v>
          </cell>
          <cell r="E9935">
            <v>102.59</v>
          </cell>
          <cell r="F9935">
            <v>0</v>
          </cell>
        </row>
        <row r="9936">
          <cell r="B9936">
            <v>103099</v>
          </cell>
          <cell r="C9936" t="str">
            <v>ASSENTAMENTO DE TUBO DE FERRO FUNDIDO PARA REDE DE ÁGUA, DN 600 MM, JUNTA FLANGEADA (NÃO INCLUI O FORNECIMENTO). AF_09/2021</v>
          </cell>
          <cell r="D9936" t="str">
            <v>M</v>
          </cell>
          <cell r="E9936">
            <v>116.79</v>
          </cell>
          <cell r="F9936">
            <v>0</v>
          </cell>
        </row>
        <row r="9937">
          <cell r="B9937">
            <v>103100</v>
          </cell>
          <cell r="C9937" t="str">
            <v>ASSENTAMENTO DE TUBO DE FERRO FUNDIDO PARA REDE DE ÁGUA, DN 700 MM, JUNTA FLANGEADA (NÃO INCLUI O FORNECIMENTO). AF_09/2021</v>
          </cell>
          <cell r="D9937" t="str">
            <v>M</v>
          </cell>
          <cell r="E9937">
            <v>124.76</v>
          </cell>
          <cell r="F9937">
            <v>0</v>
          </cell>
        </row>
        <row r="9938">
          <cell r="B9938">
            <v>103089</v>
          </cell>
          <cell r="C9938" t="str">
            <v>ASSENTAMENTO DE TUBO DE FERRO FUNDIDO PARA REDE DE ÁGUA, DN 80 MM, JUNTA FLANGEADA (NÃO INCLUI O FORNECIMENTO). AF_09/2021</v>
          </cell>
          <cell r="D9938" t="str">
            <v>M</v>
          </cell>
          <cell r="E9938">
            <v>14.33</v>
          </cell>
          <cell r="F9938">
            <v>0</v>
          </cell>
        </row>
        <row r="9939">
          <cell r="B9939">
            <v>103101</v>
          </cell>
          <cell r="C9939" t="str">
            <v>ASSENTAMENTO DE TUBO DE FERRO FUNDIDO PARA REDE DE ÁGUA, DN 800 MM, JUNTA FLANGEADA (NÃO INCLUI O FORNECIMENTO). AF_09/2021</v>
          </cell>
          <cell r="D9939" t="str">
            <v>M</v>
          </cell>
          <cell r="E9939">
            <v>137.47999999999999</v>
          </cell>
          <cell r="F9939">
            <v>0</v>
          </cell>
        </row>
        <row r="9940">
          <cell r="B9940">
            <v>103102</v>
          </cell>
          <cell r="C9940" t="str">
            <v>ASSENTAMENTO DE TUBO DE FERRO FUNDIDO PARA REDE DE ÁGUA, DN 900 MM, JUNTA FLANGEADA (NÃO INCLUI O FORNECIMENTO). AF_09/2021</v>
          </cell>
          <cell r="D9940" t="str">
            <v>M</v>
          </cell>
          <cell r="E9940">
            <v>158.33000000000001</v>
          </cell>
          <cell r="F9940">
            <v>0</v>
          </cell>
        </row>
        <row r="9941">
          <cell r="B9941">
            <v>101112</v>
          </cell>
          <cell r="C9941" t="str">
            <v>ALARGAMENTO DE BASE DE TUBULÃO A CÉU ABERTO, ESCAVAÇÃO MANUAL, CONCRETO FEITO EM OBRA E LANÇADO COM JERICA. AF_05/2020</v>
          </cell>
          <cell r="D9941" t="str">
            <v>M3</v>
          </cell>
          <cell r="E9941">
            <v>1004</v>
          </cell>
          <cell r="F9941">
            <v>0</v>
          </cell>
        </row>
        <row r="9942">
          <cell r="B9942">
            <v>101113</v>
          </cell>
          <cell r="C9942" t="str">
            <v>ALARGAMENTO DE BASE DE TUBULÃO A CÉU ABERTO, ESCAVAÇÃO MANUAL, CONCRETO USINADO E LANÇADO COM BOMBA OU DIRETAMENTE DO CAMINHÃO (EXCLUSIVE BOMBEAMENTO). AF_05/2020</v>
          </cell>
          <cell r="D9942" t="str">
            <v>M3</v>
          </cell>
          <cell r="E9942">
            <v>963.27</v>
          </cell>
          <cell r="F9942">
            <v>0</v>
          </cell>
        </row>
        <row r="9943">
          <cell r="B9943">
            <v>101098</v>
          </cell>
          <cell r="C9943" t="str">
            <v>TUBULÃO A CÉU ABERTO, DIÂMETRO DO FUSTE DE 100CM, ESCAVAÇÃO MANUAL, SEM ALARGAMENTO DE BASE, CONCRETO FEITO EM OBRA E LANÇADO COM JERICA. AF_05/2020</v>
          </cell>
          <cell r="D9943" t="str">
            <v>M3</v>
          </cell>
          <cell r="E9943">
            <v>1212.81</v>
          </cell>
          <cell r="F9943">
            <v>0</v>
          </cell>
        </row>
        <row r="9944">
          <cell r="B9944">
            <v>101106</v>
          </cell>
          <cell r="C9944" t="str">
            <v>TUBULÃO A CÉU ABERTO, DIÂMETRO DO FUSTE DE 100CM, ESCAVAÇÃO MANUAL, SEM ALARGAMENTO DE BASE, CONCRETO USINADO E LANÇADO COM BOMBA OU DIRETAMENTE DO CAMINHÃO (EXCLUSIVE BOMBEAMENTO). AF_05/2020</v>
          </cell>
          <cell r="D9944" t="str">
            <v>M3</v>
          </cell>
          <cell r="E9944">
            <v>1169.8699999999999</v>
          </cell>
          <cell r="F9944">
            <v>0</v>
          </cell>
        </row>
        <row r="9945">
          <cell r="B9945">
            <v>101102</v>
          </cell>
          <cell r="C9945" t="str">
            <v>TUBULÃO A CÉU ABERTO, DIÂMETRO DO FUSTE DE 100CM, ESCAVAÇÃO MECÂNICA, SEM ALARGAMENTO DE BASE, CONCRETO FEITO EM OBRA E LANÇADO COM JERICA (EXCLUSIVE MOBILIZAÇÃO E DESMOBILIZAÇÃO). AF_05/2020</v>
          </cell>
          <cell r="D9945" t="str">
            <v>M3</v>
          </cell>
          <cell r="E9945">
            <v>858.74</v>
          </cell>
          <cell r="F9945">
            <v>0</v>
          </cell>
        </row>
        <row r="9946">
          <cell r="B9946">
            <v>101110</v>
          </cell>
          <cell r="C9946" t="str">
            <v>TUBULÃO A CÉU ABERTO, DIÂMETRO DO FUSTE DE 100CM, ESCAVAÇÃO MECÂNICA, SEM ALARGAMENTO DE BASE, CONCRETO USINADO E LANÇADO COM BOMBA OU DIRETAMENTE DO CAMINHÃO (EXCLUSIVE BOMBEAMENTO, MOBILIZAÇÃO E DESMOBILIZAÇÃO). AF_05/2020</v>
          </cell>
          <cell r="D9946" t="str">
            <v>M3</v>
          </cell>
          <cell r="E9946">
            <v>809.3</v>
          </cell>
          <cell r="F9946">
            <v>0</v>
          </cell>
        </row>
        <row r="9947">
          <cell r="B9947">
            <v>101099</v>
          </cell>
          <cell r="C9947" t="str">
            <v>TUBULÃO A CÉU ABERTO, DIÂMETRO DO FUSTE DE 120CM, ESCAVAÇÃO MANUAL, SEM ALARGAMENTO DE BASE, CONCRETO FEITO EM OBRA E LANÇADO COM JERICA. AF_05/2020</v>
          </cell>
          <cell r="D9947" t="str">
            <v>M3</v>
          </cell>
          <cell r="E9947">
            <v>1101.31</v>
          </cell>
          <cell r="F9947">
            <v>0</v>
          </cell>
        </row>
        <row r="9948">
          <cell r="B9948">
            <v>101107</v>
          </cell>
          <cell r="C9948" t="str">
            <v>TUBULÃO A CÉU ABERTO, DIÂMETRO DO FUSTE DE 120CM, ESCAVAÇÃO MANUAL, SEM ALARGAMENTO DE BASE, CONCRETO USINADO E LANÇADO COM BOMBA OU DIRETAMENTE DO CAMINHÃO (EXCLUSIVE BOMBEAMENTO). AF_05/2020</v>
          </cell>
          <cell r="D9948" t="str">
            <v>M3</v>
          </cell>
          <cell r="E9948">
            <v>1060.48</v>
          </cell>
          <cell r="F9948">
            <v>0</v>
          </cell>
        </row>
        <row r="9949">
          <cell r="B9949">
            <v>101103</v>
          </cell>
          <cell r="C9949" t="str">
            <v>TUBULÃO A CÉU ABERTO, DIÂMETRO DO FUSTE DE 120CM, ESCAVAÇÃO MECÂNICA, SEM ALARGAMENTO DE BASE, CONCRETO FEITO EM OBRA E LANÇADO COM JERICA (EXCLUSIVE MOBILIZAÇÃO E DESMOBILIZAÇÃO). AF_05/2020</v>
          </cell>
          <cell r="D9949" t="str">
            <v>M3</v>
          </cell>
          <cell r="E9949">
            <v>809.02</v>
          </cell>
          <cell r="F9949">
            <v>0</v>
          </cell>
        </row>
        <row r="9950">
          <cell r="B9950">
            <v>101111</v>
          </cell>
          <cell r="C9950" t="str">
            <v>TUBULÃO A CÉU ABERTO, DIÂMETRO DO FUSTE DE 120CM, ESCAVAÇÃO MECÂNICA, SEM ALARGAMENTO DE BASE, CONCRETO USINADO E LANÇADO COM BOMBA OU DIRETAMENTE DO CAMINHÃO (EXCLUSIVE BOMBEAMENTO, MOBILIZAÇÃO E DESMOBILIZAÇÃO). AF_05/2020</v>
          </cell>
          <cell r="D9950" t="str">
            <v>M3</v>
          </cell>
          <cell r="E9950">
            <v>762.57</v>
          </cell>
          <cell r="F9950">
            <v>0</v>
          </cell>
        </row>
        <row r="9951">
          <cell r="B9951">
            <v>101096</v>
          </cell>
          <cell r="C9951" t="str">
            <v>TUBULÃO A CÉU ABERTO, DIÂMETRO DO FUSTE DE 70CM, ESCAVAÇÃO MANUAL, SEM ALARGAMENTO DE BASE, CONCRETO FEITO EM OBRA E LANÇADO COM JERICA. AF_05/2020</v>
          </cell>
          <cell r="D9951" t="str">
            <v>M3</v>
          </cell>
          <cell r="E9951">
            <v>1434.41</v>
          </cell>
          <cell r="F9951">
            <v>0</v>
          </cell>
        </row>
        <row r="9952">
          <cell r="B9952">
            <v>101104</v>
          </cell>
          <cell r="C9952" t="str">
            <v>TUBULÃO A CÉU ABERTO, DIÂMETRO DO FUSTE DE 70CM, ESCAVAÇÃO MANUAL, SEM ALARGAMENTO DE BASE, CONCRETO USINADO E LANÇADO COM BOMBA OU DIRETAMENTE DO CAMINHÃO (EXCLUSIVE BOMBEAMENTO). AF_05/2020</v>
          </cell>
          <cell r="D9952" t="str">
            <v>M3</v>
          </cell>
          <cell r="E9952">
            <v>1388.13</v>
          </cell>
          <cell r="F9952">
            <v>0</v>
          </cell>
        </row>
        <row r="9953">
          <cell r="B9953">
            <v>101100</v>
          </cell>
          <cell r="C9953" t="str">
            <v>TUBULÃO A CÉU ABERTO, DIÂMETRO DO FUSTE DE 70CM, ESCAVAÇÃO MECÂNICA, SEM ALARGAMENTO DE BASE, CONCRETO FEITO EM OBRA E LANÇADO COM JERICA. AF_05/2020</v>
          </cell>
          <cell r="D9953" t="str">
            <v>M3</v>
          </cell>
          <cell r="E9953">
            <v>916.11</v>
          </cell>
          <cell r="F9953">
            <v>0</v>
          </cell>
        </row>
        <row r="9954">
          <cell r="B9954">
            <v>101108</v>
          </cell>
          <cell r="C9954" t="str">
            <v>TUBULÃO A CÉU ABERTO, DIÂMETRO DO FUSTE DE 70CM, ESCAVAÇÃO MECÂNICA, SEM ALARGAMENTO DE BASE, CONCRETO USINADO E LANÇADO COM BOMBA OU DIRETAMENTE DO CAMINHÃO (EXCLUSIVE BOMBEAMENTO, MOBILIZAÇÃO E DESMOBILIZAÇÃO). AF_05/2020</v>
          </cell>
          <cell r="D9954" t="str">
            <v>M3</v>
          </cell>
          <cell r="E9954">
            <v>862.03</v>
          </cell>
          <cell r="F9954">
            <v>0</v>
          </cell>
        </row>
        <row r="9955">
          <cell r="B9955">
            <v>101097</v>
          </cell>
          <cell r="C9955" t="str">
            <v>TUBULÃO A CÉU ABERTO, DIÂMETRO DO FUSTE DE 80CM, ESCAVAÇÃO MANUAL, SEM ALARGAMENTO DE BASE, CONCRETO FEITO EM OBRA E LANÇADO COM JERICA. AF_05/2020</v>
          </cell>
          <cell r="D9955" t="str">
            <v>M3</v>
          </cell>
          <cell r="E9955">
            <v>1339.45</v>
          </cell>
          <cell r="F9955">
            <v>0</v>
          </cell>
        </row>
        <row r="9956">
          <cell r="B9956">
            <v>101105</v>
          </cell>
          <cell r="C9956" t="str">
            <v>TUBULÃO A CÉU ABERTO, DIÂMETRO DO FUSTE DE 80CM, ESCAVAÇÃO MANUAL, SEM ALARGAMENTO DE BASE, CONCRETO USINADO E LANÇADO COM BOMBA OU DIRETAMENTE DO CAMINHÃO (EXCLUSIVE BOMBEAMENTO). AF_05/2020</v>
          </cell>
          <cell r="D9956" t="str">
            <v>M3</v>
          </cell>
          <cell r="E9956">
            <v>1294.24</v>
          </cell>
          <cell r="F9956">
            <v>0</v>
          </cell>
        </row>
        <row r="9957">
          <cell r="B9957">
            <v>101101</v>
          </cell>
          <cell r="C9957" t="str">
            <v>TUBULÃO A CÉU ABERTO, DIÂMETRO DO FUSTE DE 80CM, ESCAVAÇÃO MECÂNICA, SEM ALARGAMENTO DE BASE, CONCRETO FEITO EM OBRA E LANÇADO COM JERICA (EXCLUSIVE MOBILIZAÇÃO E DESMOBILIZAÇÃO). AF_05/2020</v>
          </cell>
          <cell r="D9957" t="str">
            <v>M3</v>
          </cell>
          <cell r="E9957">
            <v>890.29</v>
          </cell>
          <cell r="F9957">
            <v>0</v>
          </cell>
        </row>
        <row r="9958">
          <cell r="B9958">
            <v>101109</v>
          </cell>
          <cell r="C9958" t="str">
            <v>TUBULÃO A CÉU ABERTO, DIÂMETRO DO FUSTE DE 80CM, ESCAVAÇÃO MECÂNICA, SEM ALARGAMENTO DE BASE, CONCRETO USINADO E LANÇADO COM BOMBA OU DIRETAMENTE DO CAMINHÃO (EXCLUSIVE BOMBEAMENTO, MOBILIZAÇÃO E DESMOBILIZAÇÃO). AF_05/2020</v>
          </cell>
          <cell r="D9958" t="str">
            <v>M3</v>
          </cell>
          <cell r="E9958">
            <v>837.69</v>
          </cell>
          <cell r="F9958">
            <v>0</v>
          </cell>
        </row>
        <row r="9959">
          <cell r="B9959">
            <v>106209</v>
          </cell>
          <cell r="C9959" t="str">
            <v>ACOMPANHAMENTO TOPOGRAFICO PARA EXECUÇÃO DE TUNNEL LINER EM CHAPA GALVANIZADA. AF_10/2025</v>
          </cell>
          <cell r="D9959" t="str">
            <v>UN</v>
          </cell>
          <cell r="E9959">
            <v>0</v>
          </cell>
        </row>
        <row r="9960">
          <cell r="B9960">
            <v>106172</v>
          </cell>
          <cell r="C9960" t="str">
            <v>CHAPA GALVANIZADA COM OU SEM REVESTIMENTO EPÓXI, DIÂMETRO 1,4 M, ESPESSURA DE 2,2 MM, PARA TUNNEL LINER HORIZONTAL - FORNECIMENTO E INSTALAÇÃO. AF_10/2025</v>
          </cell>
          <cell r="D9960" t="str">
            <v>M</v>
          </cell>
          <cell r="E9960">
            <v>0</v>
          </cell>
        </row>
        <row r="9961">
          <cell r="B9961">
            <v>106173</v>
          </cell>
          <cell r="C9961" t="str">
            <v>CHAPA GALVANIZADA COM OU SEM REVESTIMENTO EPÓXI, DIÂMETRO 1,4 M, ESPESSURA DE 2,7 MM, PARA TUNNEL LINER HORIZONTAL - FORNECIMENTO E INSTALAÇÃO. AF_10/2025</v>
          </cell>
          <cell r="D9961" t="str">
            <v>M</v>
          </cell>
          <cell r="E9961">
            <v>0</v>
          </cell>
        </row>
        <row r="9962">
          <cell r="B9962">
            <v>106174</v>
          </cell>
          <cell r="C9962" t="str">
            <v>CHAPA GALVANIZADA COM OU SEM REVESTIMENTO EPÓXI, DIÂMETRO 1,6 M, ESPESSURA DE 2,2 MM, PARA TUNNEL LINER HORIZONTAL - FORNECIMENTO E INSTALAÇÃO. AF_10/2025</v>
          </cell>
          <cell r="D9962" t="str">
            <v>M</v>
          </cell>
          <cell r="E9962">
            <v>0</v>
          </cell>
        </row>
        <row r="9963">
          <cell r="B9963">
            <v>106175</v>
          </cell>
          <cell r="C9963" t="str">
            <v>CHAPA GALVANIZADA COM OU SEM REVESTIMENTO EPÓXI, DIÂMETRO 1,6 M, ESPESSURA DE 2,7 MM, PARA TUNNEL LINER HORIZONTAL - FORNECIMENTO E INSTALAÇÃO. AF_10/2025</v>
          </cell>
          <cell r="D9963" t="str">
            <v>M</v>
          </cell>
          <cell r="E9963">
            <v>0</v>
          </cell>
        </row>
        <row r="9964">
          <cell r="B9964">
            <v>106176</v>
          </cell>
          <cell r="C9964" t="str">
            <v>CHAPA GALVANIZADA COM OU SEM REVESTIMENTO EPÓXI, DIÂMETRO 1,8 M, ESPESSURA DE 2,2 MM, PARA TUNNEL LINER HORIZONTAL - FORNECIMENTO E INSTALAÇÃO. AF_10/2025</v>
          </cell>
          <cell r="D9964" t="str">
            <v>M</v>
          </cell>
          <cell r="E9964">
            <v>0</v>
          </cell>
        </row>
        <row r="9965">
          <cell r="B9965">
            <v>106177</v>
          </cell>
          <cell r="C9965" t="str">
            <v>CHAPA GALVANIZADA COM OU SEM REVESTIMENTO EPÓXI, DIÂMETRO 1,8 M, ESPESSURA DE 2,7 MM, PARA TUNNEL LINER HORIZONTAL - FORNECIMENTO E INSTALAÇÃO. AF_10/2025</v>
          </cell>
          <cell r="D9965" t="str">
            <v>M</v>
          </cell>
          <cell r="E9965">
            <v>0</v>
          </cell>
        </row>
        <row r="9966">
          <cell r="B9966">
            <v>106178</v>
          </cell>
          <cell r="C9966" t="str">
            <v>CHAPA GALVANIZADA COM OU SEM REVESTIMENTO EPÓXI, DIÂMETRO 1,8 M, ESPESSURA DE 3,4 MM, PARA TUNNEL LINER HORIZONTAL - FORNECIMENTO E INSTALAÇÃO. AF_10/2025</v>
          </cell>
          <cell r="D9966" t="str">
            <v>M</v>
          </cell>
          <cell r="E9966">
            <v>0</v>
          </cell>
        </row>
        <row r="9967">
          <cell r="B9967">
            <v>106179</v>
          </cell>
          <cell r="C9967" t="str">
            <v>CHAPA GALVANIZADA COM OU SEM REVESTIMENTO EPÓXI, DIÂMETRO 2 M, ESPESSURA DE 2,2 MM, PARA TUNNEL LINER HORIZONTAL - FORNECIMENTO E INSTALAÇÃO. AF_10/2025</v>
          </cell>
          <cell r="D9967" t="str">
            <v>M</v>
          </cell>
          <cell r="E9967">
            <v>0</v>
          </cell>
        </row>
        <row r="9968">
          <cell r="B9968">
            <v>106180</v>
          </cell>
          <cell r="C9968" t="str">
            <v>CHAPA GALVANIZADA COM OU SEM REVESTIMENTO EPÓXI, DIÂMETRO 2 M, ESPESSURA DE 2,7 MM, PARA TUNNEL LINER HORIZONTAL - FORNECIMENTO E INSTALAÇÃO. AF_10/2025</v>
          </cell>
          <cell r="D9968" t="str">
            <v>M</v>
          </cell>
          <cell r="E9968">
            <v>0</v>
          </cell>
        </row>
        <row r="9969">
          <cell r="B9969">
            <v>106181</v>
          </cell>
          <cell r="C9969" t="str">
            <v>CHAPA GALVANIZADA COM OU SEM REVESTIMENTO EPÓXI, DIÂMETRO 2 M, ESPESSURA DE 3,4 MM, PARA TUNNEL LINER HORIZONTAL - FORNECIMENTO E INSTALAÇÃO. AF_10/2025</v>
          </cell>
          <cell r="D9969" t="str">
            <v>M</v>
          </cell>
          <cell r="E9969">
            <v>0</v>
          </cell>
        </row>
        <row r="9970">
          <cell r="B9970">
            <v>106182</v>
          </cell>
          <cell r="C9970" t="str">
            <v>CHAPA GALVANIZADA COM OU SEM REVESTIMENTO EPÓXI, DIÂMETRO 2,2 M, ESPESSURA DE 2,2 MM, PARA TUNNEL LINER HORIZONTAL - FORNECIMENTO E INSTALAÇÃO. AF_10/2025</v>
          </cell>
          <cell r="D9970" t="str">
            <v>M</v>
          </cell>
          <cell r="E9970">
            <v>0</v>
          </cell>
        </row>
        <row r="9971">
          <cell r="B9971">
            <v>106183</v>
          </cell>
          <cell r="C9971" t="str">
            <v>CHAPA GALVANIZADA COM OU SEM REVESTIMENTO EPÓXI, DIÂMETRO 2,2 M, ESPESSURA DE 2,7 MM, PARA TUNNEL LINER HORIZONTAL - FORNECIMENTO E INSTALAÇÃO. AF_10/2025</v>
          </cell>
          <cell r="D9971" t="str">
            <v>M</v>
          </cell>
          <cell r="E9971">
            <v>0</v>
          </cell>
        </row>
        <row r="9972">
          <cell r="B9972">
            <v>106184</v>
          </cell>
          <cell r="C9972" t="str">
            <v>CHAPA GALVANIZADA COM OU SEM REVESTIMENTO EPÓXI, DIÂMETRO 2,2 M, ESPESSURA DE 3,4 MM, PARA TUNNEL LINER HORIZONTAL - FORNECIMENTO E INSTALAÇÃO. AF_10/2025</v>
          </cell>
          <cell r="D9972" t="str">
            <v>M</v>
          </cell>
          <cell r="E9972">
            <v>0</v>
          </cell>
        </row>
        <row r="9973">
          <cell r="B9973">
            <v>106185</v>
          </cell>
          <cell r="C9973" t="str">
            <v>CHAPA GALVANIZADA COM OU SEM REVESTIMENTO EPÓXI, DIÂMETRO 2,4 M, ESPESSURA DE 2,2 MM, PARA TUNNEL LINER HORIZONTAL - FORNECIMENTO E INSTALAÇÃO. AF_10/2025</v>
          </cell>
          <cell r="D9973" t="str">
            <v>M</v>
          </cell>
          <cell r="E9973">
            <v>0</v>
          </cell>
        </row>
        <row r="9974">
          <cell r="B9974">
            <v>106186</v>
          </cell>
          <cell r="C9974" t="str">
            <v>CHAPA GALVANIZADA COM OU SEM REVESTIMENTO EPÓXI, DIÂMETRO 2,4 M, ESPESSURA DE 2,7 MM, PARA TUNNEL LINER HORIZONTAL - FORNECIMENTO E INSTALAÇÃO. AF_10/2025</v>
          </cell>
          <cell r="D9974" t="str">
            <v>M</v>
          </cell>
          <cell r="E9974">
            <v>0</v>
          </cell>
        </row>
        <row r="9975">
          <cell r="B9975">
            <v>106187</v>
          </cell>
          <cell r="C9975" t="str">
            <v>CHAPA GALVANIZADA COM OU SEM REVESTIMENTO EPÓXI, DIÂMETRO 2,4 M, ESPESSURA DE 3,4 MM, PARA TUNNEL LINER HORIZONTAL - FORNECIMENTO E INSTALAÇÃO. AF_10/2025</v>
          </cell>
          <cell r="D9975" t="str">
            <v>M</v>
          </cell>
          <cell r="E9975">
            <v>0</v>
          </cell>
        </row>
        <row r="9976">
          <cell r="B9976">
            <v>106188</v>
          </cell>
          <cell r="C9976" t="str">
            <v>CHAPA GALVANIZADA COM OU SEM REVESTIMENTO EPÓXI, DIÂMETRO 2,4 M, ESPESSURA DE 3,9 MM, PARA TUNNEL LINER HORIZONTAL - FORNECIMENTO E INSTALAÇÃO. AF_10/2025</v>
          </cell>
          <cell r="D9976" t="str">
            <v>M</v>
          </cell>
          <cell r="E9976">
            <v>0</v>
          </cell>
        </row>
        <row r="9977">
          <cell r="B9977">
            <v>106189</v>
          </cell>
          <cell r="C9977" t="str">
            <v>CHAPA GALVANIZADA COM OU SEM REVESTIMENTO EPÓXI, DIÂMETRO 2,6 M, ESPESSURA DE 2,2 MM, PARA TUNNEL LINER HORIZONTAL - FORNECIMENTO E INSTALAÇÃO. AF_10/2025</v>
          </cell>
          <cell r="D9977" t="str">
            <v>M</v>
          </cell>
          <cell r="E9977">
            <v>0</v>
          </cell>
        </row>
        <row r="9978">
          <cell r="B9978">
            <v>106190</v>
          </cell>
          <cell r="C9978" t="str">
            <v>CHAPA GALVANIZADA COM OU SEM REVESTIMENTO EPÓXI, DIÂMETRO 2,6 M, ESPESSURA DE 2,7 MM, PARA TUNNEL LINER HORIZONTAL - FORNECIMENTO E INSTALAÇÃO. AF_10/2025</v>
          </cell>
          <cell r="D9978" t="str">
            <v>M</v>
          </cell>
          <cell r="E9978">
            <v>0</v>
          </cell>
        </row>
        <row r="9979">
          <cell r="B9979">
            <v>106191</v>
          </cell>
          <cell r="C9979" t="str">
            <v>CHAPA GALVANIZADA COM OU SEM REVESTIMENTO EPÓXI, DIÂMETRO 2,6 M, ESPESSURA DE 3,4 MM, PARA TUNNEL LINER HORIZONTAL - FORNECIMENTO E INSTALAÇÃO. AF_10/2025</v>
          </cell>
          <cell r="D9979" t="str">
            <v>M</v>
          </cell>
          <cell r="E9979">
            <v>0</v>
          </cell>
        </row>
        <row r="9980">
          <cell r="B9980">
            <v>106192</v>
          </cell>
          <cell r="C9980" t="str">
            <v>CHAPA GALVANIZADA COM OU SEM REVESTIMENTO EPÓXI, DIÂMETRO 2,6 M, ESPESSURA DE 3,9 MM, PARA TUNNEL LINER HORIZONTAL - FORNECIMENTO E INSTALAÇÃO. AF_10/2025</v>
          </cell>
          <cell r="D9980" t="str">
            <v>M</v>
          </cell>
          <cell r="E9980">
            <v>0</v>
          </cell>
        </row>
        <row r="9981">
          <cell r="B9981">
            <v>106193</v>
          </cell>
          <cell r="C9981" t="str">
            <v>CHAPA GALVANIZADA COM OU SEM REVESTIMENTO EPÓXI, DIÂMETRO 2,8 M, ESPESSURA DE 2,2 MM, PARA TUNNEL LINER HORIZONTAL - FORNECIMENTO E INSTALAÇÃO. AF_10/2025</v>
          </cell>
          <cell r="D9981" t="str">
            <v>M</v>
          </cell>
          <cell r="E9981">
            <v>0</v>
          </cell>
        </row>
        <row r="9982">
          <cell r="B9982">
            <v>106194</v>
          </cell>
          <cell r="C9982" t="str">
            <v>CHAPA GALVANIZADA COM OU SEM REVESTIMENTO EPÓXI, DIÂMETRO 2,8 M, ESPESSURA DE 2,7 MM, PARA TUNNEL LINER HORIZONTAL - FORNECIMENTO E INSTALAÇÃO. AF_10/2025</v>
          </cell>
          <cell r="D9982" t="str">
            <v>M</v>
          </cell>
          <cell r="E9982">
            <v>0</v>
          </cell>
        </row>
        <row r="9983">
          <cell r="B9983">
            <v>106195</v>
          </cell>
          <cell r="C9983" t="str">
            <v>CHAPA GALVANIZADA COM OU SEM REVESTIMENTO EPÓXI, DIÂMETRO 2,8 M, ESPESSURA DE 3,4 MM, PARA TUNNEL LINER HORIZONTAL - FORNECIMENTO E INSTALAÇÃO. AF_10/2025</v>
          </cell>
          <cell r="D9983" t="str">
            <v>M</v>
          </cell>
          <cell r="E9983">
            <v>0</v>
          </cell>
        </row>
        <row r="9984">
          <cell r="B9984">
            <v>106196</v>
          </cell>
          <cell r="C9984" t="str">
            <v>CHAPA GALVANIZADA COM OU SEM REVESTIMENTO EPÓXI, DIÂMETRO 2,8 M, ESPESSURA DE 3,9 MM, PARA TUNNEL LINER HORIZONTAL - FORNECIMENTO E INSTALAÇÃO. AF_10/2025</v>
          </cell>
          <cell r="D9984" t="str">
            <v>M</v>
          </cell>
          <cell r="E9984">
            <v>0</v>
          </cell>
        </row>
        <row r="9985">
          <cell r="B9985">
            <v>106197</v>
          </cell>
          <cell r="C9985" t="str">
            <v>CHAPA GALVANIZADA COM OU SEM REVESTIMENTO EPÓXI, DIÂMETRO 3 M, ESPESSURA DE 2,2 MM, PARA TUNNEL LINER HORIZONTAL - FORNECIMENTO E INSTALAÇÃO. AF_10/2025</v>
          </cell>
          <cell r="D9985" t="str">
            <v>M</v>
          </cell>
          <cell r="E9985">
            <v>0</v>
          </cell>
        </row>
        <row r="9986">
          <cell r="B9986">
            <v>106200</v>
          </cell>
          <cell r="C9986" t="str">
            <v>CHAPA GALVANIZADA COM OU SEM REVESTIMENTO EPÓXI, DIÂMETRO 3 M, ESPESSURA DE 2,7 MM, PARA TUNNEL LINER HORIZONTAL OU VERTICAL - FORNECIMENTO E INSTALAÇÃO. AF_10/2025</v>
          </cell>
          <cell r="D9986" t="str">
            <v>M</v>
          </cell>
          <cell r="E9986">
            <v>0</v>
          </cell>
        </row>
        <row r="9987">
          <cell r="B9987">
            <v>106198</v>
          </cell>
          <cell r="C9987" t="str">
            <v>CHAPA GALVANIZADA COM OU SEM REVESTIMENTO EPÓXI, DIÂMETRO 3 M, ESPESSURA DE 3,4 MM, PARA TUNNEL LINER HORIZONTAL - FORNECIMENTO E INSTALAÇÃO. AF_10/2025</v>
          </cell>
          <cell r="D9987" t="str">
            <v>M</v>
          </cell>
          <cell r="E9987">
            <v>0</v>
          </cell>
        </row>
        <row r="9988">
          <cell r="B9988">
            <v>106199</v>
          </cell>
          <cell r="C9988" t="str">
            <v>CHAPA GALVANIZADA COM OU SEM REVESTIMENTO EPÓXI, DIÂMETRO 3 M, ESPESSURA DE 3,9 MM, PARA TUNNEL LINER HORIZONTAL - FORNECIMENTO E INSTALAÇÃO. AF_10/2025</v>
          </cell>
          <cell r="D9988" t="str">
            <v>M</v>
          </cell>
          <cell r="E9988">
            <v>0</v>
          </cell>
        </row>
        <row r="9989">
          <cell r="B9989">
            <v>106201</v>
          </cell>
          <cell r="C9989" t="str">
            <v>CHAPA GALVANIZADA COM OU SEM REVESTIMENTO EPÓXI, DIÂMETRO 3,2 M, ESPESSURA DE 2,7 MM, PARA TUNNEL LINER VERTICAL - FORNECIMENTO E INSTALAÇÃO. AF_10/2025</v>
          </cell>
          <cell r="D9989" t="str">
            <v>M</v>
          </cell>
          <cell r="E9989">
            <v>0</v>
          </cell>
        </row>
        <row r="9990">
          <cell r="B9990">
            <v>106202</v>
          </cell>
          <cell r="C9990" t="str">
            <v>CHAPA GALVANIZADA COM OU SEM REVESTIMENTO EPÓXI, DIÂMETRO 3,4 M, ESPESSURA DE 2,7 MM, PARA TUNNEL LINER VERTICAL - FORNECIMENTO E INSTALAÇÃO. AF_10/2025</v>
          </cell>
          <cell r="D9990" t="str">
            <v>M</v>
          </cell>
          <cell r="E9990">
            <v>0</v>
          </cell>
        </row>
        <row r="9991">
          <cell r="B9991">
            <v>106203</v>
          </cell>
          <cell r="C9991" t="str">
            <v>CHAPA GALVANIZADA COM OU SEM REVESTIMENTO EPÓXI, DIÂMETRO 3,6 M, ESPESSURA DE 2,7 MM, PARA TUNNEL LINER VERTICAL - FORNECIMENTO E INSTALAÇÃO. AF_10/2025</v>
          </cell>
          <cell r="D9991" t="str">
            <v>M</v>
          </cell>
          <cell r="E9991">
            <v>0</v>
          </cell>
        </row>
        <row r="9992">
          <cell r="B9992">
            <v>106204</v>
          </cell>
          <cell r="C9992" t="str">
            <v>CHAPA GALVANIZADA COM OU SEM REVESTIMENTO EPÓXI, DIÂMETRO 3,8 M, ESPESSURA DE 2,7 MM, PARA TUNNEL LINER VERTICAL - FORNECIMENTO E INSTALAÇÃO. AF_10/2025</v>
          </cell>
          <cell r="D9992" t="str">
            <v>M</v>
          </cell>
          <cell r="E9992">
            <v>0</v>
          </cell>
        </row>
        <row r="9993">
          <cell r="B9993">
            <v>106205</v>
          </cell>
          <cell r="C9993" t="str">
            <v>ESCAVAÇÃO MANUAL DE TUNNEL LINER EM SOLO DE PRIMEIRA CATEGORIA. AF_10/2025</v>
          </cell>
          <cell r="D9993" t="str">
            <v>M3</v>
          </cell>
          <cell r="E9993">
            <v>151.22</v>
          </cell>
          <cell r="F9993">
            <v>0</v>
          </cell>
        </row>
        <row r="9994">
          <cell r="B9994">
            <v>106206</v>
          </cell>
          <cell r="C9994" t="str">
            <v>ESCAVAÇÃO MANUAL DE TUNNEL LINER EM SOLO DE SEGUNDA CATEGORIA. AF_10/2025</v>
          </cell>
          <cell r="D9994" t="str">
            <v>M3</v>
          </cell>
          <cell r="E9994">
            <v>172.92</v>
          </cell>
          <cell r="F9994">
            <v>0</v>
          </cell>
        </row>
        <row r="9995">
          <cell r="B9995">
            <v>106207</v>
          </cell>
          <cell r="C9995" t="str">
            <v>INJEÇÃO DE ARGAMASSA FLUIDA SOLO CIMENTO NA EXECUÇÃO DE TUNNEL LINER - EXCLUSIVE ARGAMASSA. AF_10/2025</v>
          </cell>
          <cell r="D9995" t="str">
            <v>M3</v>
          </cell>
          <cell r="E9995">
            <v>0</v>
          </cell>
        </row>
        <row r="9996">
          <cell r="B9996">
            <v>106208</v>
          </cell>
          <cell r="C9996" t="str">
            <v>VEDAÇÃO COM ESPUMA DURA OU PRODUTO SIMILAR NAS JUNTAS OU EMENDAS DAS CHAPAS DE TUNNEL LINER. AF_10/2025</v>
          </cell>
          <cell r="D9996" t="str">
            <v>M</v>
          </cell>
          <cell r="E9996">
            <v>0</v>
          </cell>
        </row>
        <row r="9997">
          <cell r="B9997">
            <v>96393</v>
          </cell>
          <cell r="C9997" t="str">
            <v>USINAGEM DE BRITA GRADUADA SIMPLES. AF_09/2025</v>
          </cell>
          <cell r="D9997" t="str">
            <v>M3</v>
          </cell>
          <cell r="E9997">
            <v>128.32</v>
          </cell>
          <cell r="F9997">
            <v>0</v>
          </cell>
        </row>
        <row r="9998">
          <cell r="B9998">
            <v>96394</v>
          </cell>
          <cell r="C9998" t="str">
            <v>USINAGEM DE BRITA GRADUADA TRATADA COM CIMENTO. AF_09/2025</v>
          </cell>
          <cell r="D9998" t="str">
            <v>M3</v>
          </cell>
          <cell r="E9998">
            <v>184.74</v>
          </cell>
          <cell r="F9998">
            <v>0</v>
          </cell>
        </row>
        <row r="9999">
          <cell r="B9999">
            <v>104363</v>
          </cell>
          <cell r="C9999" t="str">
            <v>USINAGEM DE CONCRETO ASFÁLTICO COM CAP 50/70 PARA CAMADA DE ROLAMENTO, PADRÃO DNIT FAIXA C, EM USINA DE ASFALTO GRAVIMÉTRICA DE 150 TON/H. AF_09/2025</v>
          </cell>
          <cell r="D9999" t="str">
            <v>T</v>
          </cell>
          <cell r="E9999">
            <v>0</v>
          </cell>
        </row>
        <row r="10000">
          <cell r="B10000">
            <v>104360</v>
          </cell>
          <cell r="C10000" t="str">
            <v>USINAGEM DE CONCRETO ASFÁLTICO COM CAP 50/70, PARA CAMADA DE BINDER, PADRÃO DNIT FAIXA B, EM USINA DE ASFALTO CONTÍNUA DE 140 TON/H. AF_09/2025</v>
          </cell>
          <cell r="D10000" t="str">
            <v>T</v>
          </cell>
          <cell r="E10000">
            <v>0</v>
          </cell>
        </row>
        <row r="10001">
          <cell r="B10001">
            <v>104358</v>
          </cell>
          <cell r="C10001" t="str">
            <v>USINAGEM DE CONCRETO ASFÁLTICO COM CAP 50/70, PARA CAMADA DE BINDER, PADRÃO DNIT FAIXA B, EM USINA DE ASFALTO CONTÍNUA DE 80 TON/H. AF_09/2025</v>
          </cell>
          <cell r="D10001" t="str">
            <v>T</v>
          </cell>
          <cell r="E10001">
            <v>0</v>
          </cell>
        </row>
        <row r="10002">
          <cell r="B10002">
            <v>104362</v>
          </cell>
          <cell r="C10002" t="str">
            <v>USINAGEM DE CONCRETO ASFÁLTICO COM CAP 50/70, PARA CAMADA DE BINDER, PADRÃO DNIT FAIXA B, EM USINA DE ASFALTO GRAVIMÉTRICA DE 150 TON/H. AF_09/2025</v>
          </cell>
          <cell r="D10002" t="str">
            <v>T</v>
          </cell>
          <cell r="E10002">
            <v>0</v>
          </cell>
        </row>
        <row r="10003">
          <cell r="B10003">
            <v>104361</v>
          </cell>
          <cell r="C10003" t="str">
            <v>USINAGEM DE CONCRETO ASFÁLTICO COM CAP 50/70, PARA CAMADA DE ROLAMENTO, PADRÃO DNIT FAIXA C, EM USINA DE ASFALTO CONTÍNUA DE 140 TON/H. AF_09/2025</v>
          </cell>
          <cell r="D10003" t="str">
            <v>T</v>
          </cell>
          <cell r="E10003">
            <v>0</v>
          </cell>
        </row>
        <row r="10004">
          <cell r="B10004">
            <v>104359</v>
          </cell>
          <cell r="C10004" t="str">
            <v>USINAGEM DE CONCRETO ASFÁLTICO COM CAP 50/70, PARA CAMADA DE ROLAMENTO, PADRÃO DNIT FAIXA C, EM USINA DE ASFALTO CONTÍNUA DE 80 TON/H. AF_09/2025</v>
          </cell>
          <cell r="D10004" t="str">
            <v>T</v>
          </cell>
          <cell r="E10004">
            <v>0</v>
          </cell>
        </row>
        <row r="10005">
          <cell r="B10005">
            <v>96395</v>
          </cell>
          <cell r="C10005" t="str">
            <v>USINAGEM DE CONCRETO PARA COMPACTAÇÃO COM ROLO. AF_09/2025</v>
          </cell>
          <cell r="D10005" t="str">
            <v>M3</v>
          </cell>
          <cell r="E10005">
            <v>264.31</v>
          </cell>
          <cell r="F10005">
            <v>0</v>
          </cell>
        </row>
        <row r="10006">
          <cell r="B10006">
            <v>106102</v>
          </cell>
          <cell r="C10006" t="str">
            <v>USINAGEM DE MICRORREVESTIMENTO, PADRÃO DNIT FAIXA 2. AF_09/2025</v>
          </cell>
          <cell r="D10006" t="str">
            <v>T</v>
          </cell>
          <cell r="E10006">
            <v>0</v>
          </cell>
        </row>
        <row r="10007">
          <cell r="B10007">
            <v>106103</v>
          </cell>
          <cell r="C10007" t="str">
            <v>USINAGEM DE MICRORREVESTIMENTO, PADRÃO DNIT FAIXA 3. AF_09/2025</v>
          </cell>
          <cell r="D10007" t="str">
            <v>T</v>
          </cell>
          <cell r="E10007">
            <v>0</v>
          </cell>
        </row>
        <row r="10008">
          <cell r="B10008">
            <v>104373</v>
          </cell>
          <cell r="C10008" t="str">
            <v>USINAGEM DE PRÉ MISTURADO A FRIO, PARA CAMADA DE BINDER, PADRÃO DNIT FAIXA B. AF_09/2025</v>
          </cell>
          <cell r="D10008" t="str">
            <v>T</v>
          </cell>
          <cell r="E10008">
            <v>0</v>
          </cell>
        </row>
        <row r="10009">
          <cell r="B10009">
            <v>104374</v>
          </cell>
          <cell r="C10009" t="str">
            <v>USINAGEM DE PRÉ MISTURADO A FRIO, PARA CAMADA DE ROLAMENTO, PADRÃO DNIT FAIXA C. AF_09/2025</v>
          </cell>
          <cell r="D10009" t="str">
            <v>T</v>
          </cell>
          <cell r="E10009">
            <v>0</v>
          </cell>
        </row>
        <row r="10010">
          <cell r="B10010">
            <v>105529</v>
          </cell>
          <cell r="C10010" t="str">
            <v>USINAGEM DE SOLO BRITA 40%-60% COM 4% DE CIMENTO, UTILIZANDO BRITA COMERCIAL. AF_09/2025</v>
          </cell>
          <cell r="D10010" t="str">
            <v>M3</v>
          </cell>
          <cell r="E10010">
            <v>159.88999999999999</v>
          </cell>
          <cell r="F10010">
            <v>0</v>
          </cell>
        </row>
        <row r="10011">
          <cell r="B10011">
            <v>105530</v>
          </cell>
          <cell r="C10011" t="str">
            <v>USINAGEM DE SOLO BRITA 40%-60% COM 6% DE CIMENTO, UTILIZANDO BRITA COMERCIAL. AF_09/2025</v>
          </cell>
          <cell r="D10011" t="str">
            <v>M3</v>
          </cell>
          <cell r="E10011">
            <v>186.06</v>
          </cell>
          <cell r="F10011">
            <v>0</v>
          </cell>
        </row>
        <row r="10012">
          <cell r="B10012">
            <v>105531</v>
          </cell>
          <cell r="C10012" t="str">
            <v>USINAGEM DE SOLO BRITA 40%-60% COM 8% DE CIMENTO, UTILIZANDO BRITA COMERCIAL. AF_09/2025</v>
          </cell>
          <cell r="D10012" t="str">
            <v>M3</v>
          </cell>
          <cell r="E10012">
            <v>212.23</v>
          </cell>
          <cell r="F10012">
            <v>0</v>
          </cell>
        </row>
        <row r="10013">
          <cell r="B10013">
            <v>105527</v>
          </cell>
          <cell r="C10013" t="str">
            <v>USINAGEM DE SOLO BRITA 40%-60%, UTILIZANDO BRITA COMERCIAL. AF_09/2025</v>
          </cell>
          <cell r="D10013" t="str">
            <v>M3</v>
          </cell>
          <cell r="E10013">
            <v>107.56</v>
          </cell>
          <cell r="F10013">
            <v>0</v>
          </cell>
        </row>
        <row r="10014">
          <cell r="B10014">
            <v>105532</v>
          </cell>
          <cell r="C10014" t="str">
            <v>USINAGEM DE SOLO BRITA 50%-50% COM 4% DE CIMENTO, UTILIZANDO BRITA COMERCIAL. AF_09/2025</v>
          </cell>
          <cell r="D10014" t="str">
            <v>M3</v>
          </cell>
          <cell r="E10014">
            <v>144.28</v>
          </cell>
          <cell r="F10014">
            <v>0</v>
          </cell>
        </row>
        <row r="10015">
          <cell r="B10015">
            <v>105533</v>
          </cell>
          <cell r="C10015" t="str">
            <v>USINAGEM DE SOLO BRITA 50%-50% COM 6% DE CIMENTO, UTILIZANDO BRITA COMERCIAL. AF_09/2025</v>
          </cell>
          <cell r="D10015" t="str">
            <v>M3</v>
          </cell>
          <cell r="E10015">
            <v>170.77</v>
          </cell>
          <cell r="F10015">
            <v>0</v>
          </cell>
        </row>
        <row r="10016">
          <cell r="B10016">
            <v>105534</v>
          </cell>
          <cell r="C10016" t="str">
            <v>USINAGEM DE SOLO BRITA 50%-50% COM 8% DE CIMENTO, UTILIZANDO BRITA COMERCIAL. AF_09/2025</v>
          </cell>
          <cell r="D10016" t="str">
            <v>M3</v>
          </cell>
          <cell r="E10016">
            <v>197.27</v>
          </cell>
          <cell r="F10016">
            <v>0</v>
          </cell>
        </row>
        <row r="10017">
          <cell r="B10017">
            <v>105528</v>
          </cell>
          <cell r="C10017" t="str">
            <v>USINAGEM DE SOLO BRITA 50%-50%, UTILIZANDO BRITA COMERCIAL. AF_09/2025</v>
          </cell>
          <cell r="D10017" t="str">
            <v>M3</v>
          </cell>
          <cell r="E10017">
            <v>91.3</v>
          </cell>
          <cell r="F10017">
            <v>0</v>
          </cell>
        </row>
        <row r="10018">
          <cell r="B10018">
            <v>105523</v>
          </cell>
          <cell r="C10018" t="str">
            <v>USINAGEM DE SOLO JAZIDA MELHORADO COM CIMENTO 2%. AF_09/2025</v>
          </cell>
          <cell r="D10018" t="str">
            <v>M3</v>
          </cell>
          <cell r="E10018">
            <v>38.090000000000003</v>
          </cell>
          <cell r="F10018">
            <v>0</v>
          </cell>
        </row>
        <row r="10019">
          <cell r="B10019">
            <v>105759</v>
          </cell>
          <cell r="C10019" t="str">
            <v>USINAGEM DE SOLO JAZIDA MELHORADO COM CIMENTO 3%. AF_09/2025</v>
          </cell>
          <cell r="D10019" t="str">
            <v>M3</v>
          </cell>
          <cell r="E10019">
            <v>52.15</v>
          </cell>
          <cell r="F10019">
            <v>0</v>
          </cell>
        </row>
        <row r="10020">
          <cell r="B10020">
            <v>105524</v>
          </cell>
          <cell r="C10020" t="str">
            <v>USINAGEM DE SOLO JAZIDA MELHORADO COM CIMENTO 4%. AF_09/2025</v>
          </cell>
          <cell r="D10020" t="str">
            <v>M3</v>
          </cell>
          <cell r="E10020">
            <v>66.209999999999994</v>
          </cell>
          <cell r="F10020">
            <v>0</v>
          </cell>
        </row>
        <row r="10021">
          <cell r="B10021">
            <v>105525</v>
          </cell>
          <cell r="C10021" t="str">
            <v>USINAGEM DE SOLO JAZIDA MELHORADO COM CIMENTO 6%. AF_09/2025</v>
          </cell>
          <cell r="D10021" t="str">
            <v>M3</v>
          </cell>
          <cell r="E10021">
            <v>94.33</v>
          </cell>
          <cell r="F10021">
            <v>0</v>
          </cell>
        </row>
        <row r="10022">
          <cell r="B10022">
            <v>105526</v>
          </cell>
          <cell r="C10022" t="str">
            <v>USINAGEM DE SOLO  JAZIDA MELHORADO COM CIMENTO 8%. AF_09/2025</v>
          </cell>
          <cell r="D10022" t="str">
            <v>M3</v>
          </cell>
          <cell r="E10022">
            <v>122.45</v>
          </cell>
          <cell r="F10022">
            <v>0</v>
          </cell>
        </row>
        <row r="10023">
          <cell r="B10023">
            <v>105034</v>
          </cell>
          <cell r="C10023" t="str">
            <v>CINTA DE AMARRAÇÃO DE ALVENARIA MOLDADA IN LOCO COM UTILIZAÇÃO DE BLOCOS CANALETA, ESPESSURA DE *10* CM. AF_03/2024</v>
          </cell>
          <cell r="D10023" t="str">
            <v>M</v>
          </cell>
          <cell r="E10023">
            <v>41.75</v>
          </cell>
          <cell r="F10023">
            <v>0</v>
          </cell>
        </row>
        <row r="10024">
          <cell r="B10024">
            <v>105033</v>
          </cell>
          <cell r="C10024" t="str">
            <v>CINTA DE AMARRAÇÃO DE ALVENARIA MOLDADA IN LOCO COM UTILIZAÇÃO DE BLOCOS CANALETA, ESPESSURA DE *15* CM. AF_03/2024</v>
          </cell>
          <cell r="D10024" t="str">
            <v>M</v>
          </cell>
          <cell r="E10024">
            <v>58.68</v>
          </cell>
          <cell r="F10024">
            <v>0</v>
          </cell>
        </row>
        <row r="10025">
          <cell r="B10025">
            <v>93205</v>
          </cell>
          <cell r="C10025" t="str">
            <v>CINTA DE AMARRAÇÃO DE ALVENARIA MOLDADA IN LOCO COM UTILIZAÇÃO DE BLOCOS CANALETA, ESPESSURA DE *20* CM. AF_03/2024</v>
          </cell>
          <cell r="D10025" t="str">
            <v>M</v>
          </cell>
          <cell r="E10025">
            <v>71.12</v>
          </cell>
          <cell r="F10025">
            <v>0</v>
          </cell>
        </row>
        <row r="10026">
          <cell r="B10026">
            <v>105032</v>
          </cell>
          <cell r="C10026" t="str">
            <v>CONTRAVERGA MOLDADA IN LOCO COM UTILIZAÇÃO DE BLOCOS CANALETA, ESPESSURA DE *10* CM. AF_03/2024</v>
          </cell>
          <cell r="D10026" t="str">
            <v>M</v>
          </cell>
          <cell r="E10026">
            <v>31.73</v>
          </cell>
          <cell r="F10026">
            <v>0</v>
          </cell>
        </row>
        <row r="10027">
          <cell r="B10027">
            <v>105031</v>
          </cell>
          <cell r="C10027" t="str">
            <v>CONTRAVERGA MOLDADA IN LOCO COM UTILIZAÇÃO DE BLOCOS CANALETA, ESPESSURA DE *15* CM. AF_03/2024</v>
          </cell>
          <cell r="D10027" t="str">
            <v>M</v>
          </cell>
          <cell r="E10027">
            <v>47.15</v>
          </cell>
          <cell r="F10027">
            <v>0</v>
          </cell>
        </row>
        <row r="10028">
          <cell r="B10028">
            <v>93199</v>
          </cell>
          <cell r="C10028" t="str">
            <v>CONTRAVERGA MOLDADA IN LOCO COM UTILIZAÇÃO DE BLOCOS CANALETA, ESPESSURA DE *20* CM. AF_03/2024</v>
          </cell>
          <cell r="D10028" t="str">
            <v>M</v>
          </cell>
          <cell r="E10028">
            <v>50.31</v>
          </cell>
          <cell r="F10028">
            <v>0</v>
          </cell>
        </row>
        <row r="10029">
          <cell r="B10029">
            <v>105030</v>
          </cell>
          <cell r="C10029" t="str">
            <v>CONTRAVERGA MOLDADA IN LOCO EM CONCRETO, ESPESSURA DE *10* CM. AF_03/2024</v>
          </cell>
          <cell r="D10029" t="str">
            <v>M</v>
          </cell>
          <cell r="E10029">
            <v>44.37</v>
          </cell>
          <cell r="F10029">
            <v>0</v>
          </cell>
        </row>
        <row r="10030">
          <cell r="B10030">
            <v>105029</v>
          </cell>
          <cell r="C10030" t="str">
            <v>CONTRAVERGA MOLDADA IN LOCO EM CONCRETO, ESPESSURA DE *15* CM. AF_03/2024</v>
          </cell>
          <cell r="D10030" t="str">
            <v>M</v>
          </cell>
          <cell r="E10030">
            <v>52.56</v>
          </cell>
          <cell r="F10030">
            <v>0</v>
          </cell>
        </row>
        <row r="10031">
          <cell r="B10031">
            <v>93197</v>
          </cell>
          <cell r="C10031" t="str">
            <v>CONTRAVERGA MOLDADA IN LOCO EM CONCRETO, ESPESSURA DE *20* CM. AF_03/2024</v>
          </cell>
          <cell r="D10031" t="str">
            <v>M</v>
          </cell>
          <cell r="E10031">
            <v>60.82</v>
          </cell>
          <cell r="F10031">
            <v>0</v>
          </cell>
        </row>
        <row r="10032">
          <cell r="B10032">
            <v>105040</v>
          </cell>
          <cell r="C10032" t="str">
            <v>CONTRAVERGA PRÉ-FABRICADA, ESPESSURA DE *10* CM. AF_03/2024</v>
          </cell>
          <cell r="D10032" t="str">
            <v>M</v>
          </cell>
          <cell r="E10032">
            <v>37.71</v>
          </cell>
          <cell r="F10032">
            <v>0</v>
          </cell>
        </row>
        <row r="10033">
          <cell r="B10033">
            <v>105039</v>
          </cell>
          <cell r="C10033" t="str">
            <v>CONTRAVERGA PRÉ-FABRICADA, ESPESSURA DE *15* CM. AF_03/2024</v>
          </cell>
          <cell r="D10033" t="str">
            <v>M</v>
          </cell>
          <cell r="E10033">
            <v>55.71</v>
          </cell>
          <cell r="F10033">
            <v>0</v>
          </cell>
        </row>
        <row r="10034">
          <cell r="B10034">
            <v>105038</v>
          </cell>
          <cell r="C10034" t="str">
            <v>CONTRAVERGA PRÉ-FABRICADA, ESPESSURA DE *20* CM. AF_03/2024</v>
          </cell>
          <cell r="D10034" t="str">
            <v>M</v>
          </cell>
          <cell r="E10034">
            <v>77.349999999999994</v>
          </cell>
          <cell r="F10034">
            <v>0</v>
          </cell>
        </row>
        <row r="10035">
          <cell r="B10035">
            <v>105028</v>
          </cell>
          <cell r="C10035" t="str">
            <v>CONTRAVERGA PRÉ-MOLDADA, ESPESSURA DE *10* CM. AF_03/2024</v>
          </cell>
          <cell r="D10035" t="str">
            <v>M</v>
          </cell>
          <cell r="E10035">
            <v>22.54</v>
          </cell>
          <cell r="F10035">
            <v>0</v>
          </cell>
        </row>
        <row r="10036">
          <cell r="B10036">
            <v>105027</v>
          </cell>
          <cell r="C10036" t="str">
            <v>CONTRAVERGA PRÉ-MOLDADA, ESPESSURA DE *15* CM. AF_03/2024</v>
          </cell>
          <cell r="D10036" t="str">
            <v>M</v>
          </cell>
          <cell r="E10036">
            <v>25.54</v>
          </cell>
          <cell r="F10036">
            <v>0</v>
          </cell>
        </row>
        <row r="10037">
          <cell r="B10037">
            <v>93194</v>
          </cell>
          <cell r="C10037" t="str">
            <v>CONTRAVERGA PRÉ-MOLDADA, ESPESSURA DE *20* CM. AF_03/2024</v>
          </cell>
          <cell r="D10037" t="str">
            <v>M</v>
          </cell>
          <cell r="E10037">
            <v>28.87</v>
          </cell>
          <cell r="F10037">
            <v>0</v>
          </cell>
        </row>
        <row r="10038">
          <cell r="B10038">
            <v>93200</v>
          </cell>
          <cell r="C10038" t="str">
            <v>FIXAÇÃO (ENCUNHAMENTO) DE ALVENARIA DE VEDAÇÃO COM ARGAMASSA APLICADA COM BISNAGA. AF_03/2024</v>
          </cell>
          <cell r="D10038" t="str">
            <v>M</v>
          </cell>
          <cell r="E10038">
            <v>14.36</v>
          </cell>
          <cell r="F10038">
            <v>0</v>
          </cell>
        </row>
        <row r="10039">
          <cell r="B10039">
            <v>93203</v>
          </cell>
          <cell r="C10039" t="str">
            <v>FIXAÇÃO (ENCUNHAMENTO) DE ALVENARIA DE VEDAÇÃO COM ESPUMA DE POLIURETANO EXPANSIVA. AF_03/2024</v>
          </cell>
          <cell r="D10039" t="str">
            <v>M</v>
          </cell>
          <cell r="E10039">
            <v>13.56</v>
          </cell>
          <cell r="F10039">
            <v>0</v>
          </cell>
        </row>
        <row r="10040">
          <cell r="B10040">
            <v>93202</v>
          </cell>
          <cell r="C10040" t="str">
            <v>FIXAÇÃO (ENCUNHAMENTO) DE ALVENARIA DE VEDAÇÃO COM TIJOLO MACIÇO. AF_03/2024</v>
          </cell>
          <cell r="D10040" t="str">
            <v>M</v>
          </cell>
          <cell r="E10040">
            <v>32.770000000000003</v>
          </cell>
          <cell r="F10040">
            <v>0</v>
          </cell>
        </row>
        <row r="10041">
          <cell r="B10041">
            <v>105026</v>
          </cell>
          <cell r="C10041" t="str">
            <v>VERGA MOLDADA IN LOCO COM UTILIZAÇÃO DE BLOCOS CANALETA, ESPESSURA DE *10* CM. AF_03/2024</v>
          </cell>
          <cell r="D10041" t="str">
            <v>M</v>
          </cell>
          <cell r="E10041">
            <v>42.59</v>
          </cell>
          <cell r="F10041">
            <v>0</v>
          </cell>
        </row>
        <row r="10042">
          <cell r="B10042">
            <v>105025</v>
          </cell>
          <cell r="C10042" t="str">
            <v>VERGA MOLDADA IN LOCO COM UTILIZAÇÃO DE BLOCOS CANALETA, ESPESSURA DE *15* CM. AF_03/2024</v>
          </cell>
          <cell r="D10042" t="str">
            <v>M</v>
          </cell>
          <cell r="E10042">
            <v>60.57</v>
          </cell>
          <cell r="F10042">
            <v>0</v>
          </cell>
        </row>
        <row r="10043">
          <cell r="B10043">
            <v>93191</v>
          </cell>
          <cell r="C10043" t="str">
            <v>VERGA MOLDADA IN LOCO COM UTILIZAÇÃO DE BLOCOS CANALETA, ESPESSURA DE *20* CM. AF_03/2024</v>
          </cell>
          <cell r="D10043" t="str">
            <v>M</v>
          </cell>
          <cell r="E10043">
            <v>73.53</v>
          </cell>
          <cell r="F10043">
            <v>0</v>
          </cell>
        </row>
        <row r="10044">
          <cell r="B10044">
            <v>105024</v>
          </cell>
          <cell r="C10044" t="str">
            <v>VERGA MOLDADA IN LOCO EM CONCRETO, ESPESSURA DE *10* CM. AF_03/2024</v>
          </cell>
          <cell r="D10044" t="str">
            <v>M</v>
          </cell>
          <cell r="E10044">
            <v>58.9</v>
          </cell>
          <cell r="F10044">
            <v>0</v>
          </cell>
        </row>
        <row r="10045">
          <cell r="B10045">
            <v>105023</v>
          </cell>
          <cell r="C10045" t="str">
            <v>VERGA MOLDADA IN LOCO EM CONCRETO, ESPESSURA DE *15* CM. AF_03/2024</v>
          </cell>
          <cell r="D10045" t="str">
            <v>M</v>
          </cell>
          <cell r="E10045">
            <v>71.819999999999993</v>
          </cell>
          <cell r="F10045">
            <v>0</v>
          </cell>
        </row>
        <row r="10046">
          <cell r="B10046">
            <v>93187</v>
          </cell>
          <cell r="C10046" t="str">
            <v>VERGA MOLDADA IN LOCO EM CONCRETO, ESPESSURA DE *20* CM. AF_03/2024</v>
          </cell>
          <cell r="D10046" t="str">
            <v>M</v>
          </cell>
          <cell r="E10046">
            <v>84.73</v>
          </cell>
          <cell r="F10046">
            <v>0</v>
          </cell>
        </row>
        <row r="10047">
          <cell r="B10047">
            <v>105037</v>
          </cell>
          <cell r="C10047" t="str">
            <v>VERGA PRÉ-FABRICADA COM ATÉ 1,5 M DE VÃO, ESPESSURA DE *10* CM. AF_03/2024</v>
          </cell>
          <cell r="D10047" t="str">
            <v>M</v>
          </cell>
          <cell r="E10047">
            <v>37.92</v>
          </cell>
          <cell r="F10047">
            <v>0</v>
          </cell>
        </row>
        <row r="10048">
          <cell r="B10048">
            <v>105036</v>
          </cell>
          <cell r="C10048" t="str">
            <v>VERGA PRÉ-FABRICADA COM ATÉ 1,5 M DE VÃO, ESPESSURA DE *15* CM. AF_03/2024</v>
          </cell>
          <cell r="D10048" t="str">
            <v>M</v>
          </cell>
          <cell r="E10048">
            <v>55.98</v>
          </cell>
          <cell r="F10048">
            <v>0</v>
          </cell>
        </row>
        <row r="10049">
          <cell r="B10049">
            <v>105035</v>
          </cell>
          <cell r="C10049" t="str">
            <v>VERGA PRÉ-FABRICADA COM ATÉ 1,5 M DE VÃO, ESPESSURA DE *20* CM. AF_03/2024</v>
          </cell>
          <cell r="D10049" t="str">
            <v>M</v>
          </cell>
          <cell r="E10049">
            <v>77.599999999999994</v>
          </cell>
          <cell r="F10049">
            <v>0</v>
          </cell>
        </row>
        <row r="10050">
          <cell r="B10050">
            <v>105022</v>
          </cell>
          <cell r="C10050" t="str">
            <v>VERGA PRÉ-MOLDADA COM ATÉ 1,5 M DE VÃO, ESPESSURA DE *10* CM. AF_03/2024</v>
          </cell>
          <cell r="D10050" t="str">
            <v>M</v>
          </cell>
          <cell r="E10050">
            <v>22.96</v>
          </cell>
          <cell r="F10050">
            <v>0</v>
          </cell>
        </row>
        <row r="10051">
          <cell r="B10051">
            <v>105021</v>
          </cell>
          <cell r="C10051" t="str">
            <v>VERGA PRÉ-MOLDADA COM ATÉ 1,5 M DE VÃO, ESPESSURA DE *15* CM. AF_03/2024</v>
          </cell>
          <cell r="D10051" t="str">
            <v>M</v>
          </cell>
          <cell r="E10051">
            <v>25.99</v>
          </cell>
          <cell r="F10051">
            <v>0</v>
          </cell>
        </row>
        <row r="10052">
          <cell r="B10052">
            <v>93184</v>
          </cell>
          <cell r="C10052" t="str">
            <v>VERGA PRÉ-MOLDADA COM ATÉ 1,5 M DE VÃO, ESPESSURA DE *20* CM. AF_03/2024</v>
          </cell>
          <cell r="D10052" t="str">
            <v>M</v>
          </cell>
          <cell r="E10052">
            <v>29.78</v>
          </cell>
          <cell r="F10052">
            <v>0</v>
          </cell>
        </row>
        <row r="10053">
          <cell r="B10053">
            <v>106317</v>
          </cell>
          <cell r="C10053" t="str">
            <v>BOX EM L DE CORRER, COM VIDRO TEMPERADO 8 MM, 90X90X190 CM, 2 FOLHAS FIXAS, 2 FOLHAS MÓVEIS, PERFIS E FERRAGENS EM ALUMÍNIO. AF_11/2025</v>
          </cell>
          <cell r="D10053" t="str">
            <v>M2</v>
          </cell>
          <cell r="E10053">
            <v>0</v>
          </cell>
        </row>
        <row r="10054">
          <cell r="B10054">
            <v>102237</v>
          </cell>
          <cell r="C10054" t="str">
            <v>BOX FRONTAL DE CORRER, COM VIDRO TEMPERADO 8 MM, 190X100CM, 1 FOLHA FIXA, 1 FOLHA MÓVEL, PERFIS E FERRAGENS EM ALUMÍNIO. AF_11/2025</v>
          </cell>
          <cell r="D10054" t="str">
            <v>M2</v>
          </cell>
          <cell r="E10054">
            <v>0</v>
          </cell>
        </row>
        <row r="10055">
          <cell r="B10055">
            <v>102149</v>
          </cell>
          <cell r="C10055" t="str">
            <v>ESPELHO CRISTAL, ESPESSURA 4 MM, ADERIDO COM ADESIVO FIXA ESPELHO E FITA DUPLA-FACE, COM MOLDURA DE MADEIRA APARAFUSADA NA PAREDE, COM ÁREA MAIOR QUE 1,0 M2. AF_11/2025</v>
          </cell>
          <cell r="D10055" t="str">
            <v>M2</v>
          </cell>
          <cell r="E10055">
            <v>0</v>
          </cell>
        </row>
        <row r="10056">
          <cell r="B10056">
            <v>102144</v>
          </cell>
          <cell r="C10056" t="str">
            <v>ESPELHO CRISTAL, ESPESSURA 4 MM, ADERIDO COM ADESIVO FIXA ESPELHO FITA DUPLA-FACE, COM MOLDURA DE MADEIRA APARAFUSADA NA PAREDE, COM ÁREA MENOR OU IGUAL A 1,0 M2. AF_11/2025</v>
          </cell>
          <cell r="D10056" t="str">
            <v>M2</v>
          </cell>
          <cell r="E10056">
            <v>0</v>
          </cell>
        </row>
        <row r="10057">
          <cell r="B10057">
            <v>102150</v>
          </cell>
          <cell r="C10057" t="str">
            <v>ESPELHO CRISTAL, ESPESSURA 4 MM, ADERIDO COM ADESIVO FIXA ESPELHO, COM MOLDURA DE MADEIRA APARAFUSADA NA PAREDE, COM ÁREA MAIOR QUE 1,0 M2. AF_11/2025</v>
          </cell>
          <cell r="D10057" t="str">
            <v>M2</v>
          </cell>
          <cell r="E10057">
            <v>0</v>
          </cell>
        </row>
        <row r="10058">
          <cell r="B10058">
            <v>102145</v>
          </cell>
          <cell r="C10058" t="str">
            <v>ESPELHO CRISTAL, ESPESSURA 4 MM, ADERIDO COM ADESIVO FIXA ESPELHO, COM MOLDURA DE MADEIRA APARAFUSADA NA PAREDE, COM ÁREA MENOR OU IGUAL A 1,0 M2. AF_11/2025</v>
          </cell>
          <cell r="D10058" t="str">
            <v>M2</v>
          </cell>
          <cell r="E10058">
            <v>0</v>
          </cell>
        </row>
        <row r="10059">
          <cell r="B10059">
            <v>102146</v>
          </cell>
          <cell r="C10059" t="str">
            <v>ESPELHO CRISTAL, ESPESSURA 4 MM, SEM MOLDURA, ADERIDO COM ADESIVO FIXA ESPELHO E FITA DUPLA-FACE. AF_11/2025</v>
          </cell>
          <cell r="D10059" t="str">
            <v>M2</v>
          </cell>
          <cell r="E10059">
            <v>0</v>
          </cell>
        </row>
        <row r="10060">
          <cell r="B10060">
            <v>102147</v>
          </cell>
          <cell r="C10060" t="str">
            <v>ESPELHO CRISTAL, ESPESSURA 4 MM, SEM MOLDURA, ADERIDO COM ADESIVO FIXA ESPELHO. AF_11/2025</v>
          </cell>
          <cell r="D10060" t="str">
            <v>M2</v>
          </cell>
          <cell r="E10060">
            <v>0</v>
          </cell>
        </row>
        <row r="10061">
          <cell r="B10061">
            <v>102148</v>
          </cell>
          <cell r="C10061" t="str">
            <v>ESPELHO CRISTAL, ESPESSURA 4 MM, SEM MOLDURA, APARAFUSADO COM BOTÃO DE ROSCA INTERNA, COM ÁREA MAIOR QUE 1,0 M2.. AF_11/2025</v>
          </cell>
          <cell r="D10061" t="str">
            <v>M2</v>
          </cell>
          <cell r="E10061">
            <v>0</v>
          </cell>
        </row>
        <row r="10062">
          <cell r="B10062">
            <v>102171</v>
          </cell>
          <cell r="C10062" t="str">
            <v>INSTALAÇÃO DE VIDRO ARAMADO, E = 6 MM, EM ESQUADRIA DE ALUMÍNIO OU PVC, FIXADO COM BAGUETE. AF_11/2025</v>
          </cell>
          <cell r="D10062" t="str">
            <v>M2</v>
          </cell>
          <cell r="E10062">
            <v>602.07000000000005</v>
          </cell>
          <cell r="F10062">
            <v>0</v>
          </cell>
        </row>
        <row r="10063">
          <cell r="B10063">
            <v>102172</v>
          </cell>
          <cell r="C10063" t="str">
            <v>INSTALAÇÃO DE VIDRO ARAMADO, E = 7 MM, EM ESQUADRIA DE ALUMÍNIO OU PVC, FIXADO COM BAGUETE. AF_11/2025</v>
          </cell>
          <cell r="D10063" t="str">
            <v>M2</v>
          </cell>
          <cell r="E10063">
            <v>589.08000000000004</v>
          </cell>
          <cell r="F10063">
            <v>0</v>
          </cell>
        </row>
        <row r="10064">
          <cell r="B10064">
            <v>102170</v>
          </cell>
          <cell r="C10064" t="str">
            <v>INSTALAÇÃO DE VIDRO IMPRESSO, E = 4 MM, EM ESQUADRIA DE ALUMÍNIO OU PVC, FIXADO COM BAGUETE. AF_11/2025</v>
          </cell>
          <cell r="D10064" t="str">
            <v>M2</v>
          </cell>
          <cell r="E10064">
            <v>314.37</v>
          </cell>
          <cell r="F10064">
            <v>0</v>
          </cell>
        </row>
        <row r="10065">
          <cell r="B10065">
            <v>102160</v>
          </cell>
          <cell r="C10065" t="str">
            <v>INSTALAÇÃO DE VIDRO IMPRESSO, E = 4 MM, EM ESQUADRIA DE MADEIRA, FIXADO COM BAGUETE. AF_11/2025</v>
          </cell>
          <cell r="D10065" t="str">
            <v>M2</v>
          </cell>
          <cell r="E10065">
            <v>207.24</v>
          </cell>
          <cell r="F10065">
            <v>0</v>
          </cell>
        </row>
        <row r="10066">
          <cell r="B10066">
            <v>106315</v>
          </cell>
          <cell r="C10066" t="str">
            <v>INSTALAÇÃO DE VIDRO LAMINADO, E = 12 MM (4+4+4), ENCAIXADO EM PERFIL U. AF_11/2025</v>
          </cell>
          <cell r="D10066" t="str">
            <v>M2</v>
          </cell>
          <cell r="E10066">
            <v>0</v>
          </cell>
        </row>
        <row r="10067">
          <cell r="B10067">
            <v>102174</v>
          </cell>
          <cell r="C10067" t="str">
            <v>INSTALAÇÃO DE VIDRO LAMINADO, E = 12 MM (4+4+4), FIXADO COM SILICONE ESTRUTURAL. AF_11/2025</v>
          </cell>
          <cell r="D10067" t="str">
            <v>M2</v>
          </cell>
          <cell r="E10067">
            <v>0</v>
          </cell>
        </row>
        <row r="10068">
          <cell r="B10068">
            <v>106316</v>
          </cell>
          <cell r="C10068" t="str">
            <v>INSTALAÇÃO DE VIDRO LAMINADO, E = 15 MM (5+5+5), ENCAIXADO EM PERFIL U. AF_11/2025</v>
          </cell>
          <cell r="D10068" t="str">
            <v>M2</v>
          </cell>
          <cell r="E10068">
            <v>0</v>
          </cell>
        </row>
        <row r="10069">
          <cell r="B10069">
            <v>102175</v>
          </cell>
          <cell r="C10069" t="str">
            <v>INSTALAÇÃO DE VIDRO LAMINADO, E = 15 MM (5+5+5), FIXADO COM SILICONE ESTRUTURAL. AF_11/2025</v>
          </cell>
          <cell r="D10069" t="str">
            <v>M2</v>
          </cell>
          <cell r="E10069">
            <v>0</v>
          </cell>
        </row>
        <row r="10070">
          <cell r="B10070">
            <v>106314</v>
          </cell>
          <cell r="C10070" t="str">
            <v>INSTALAÇÃO DE VIDRO LAMINADO, E = 8 MM (4+4), ENCAIXADO EM PERFIL U. AF_11/2025</v>
          </cell>
          <cell r="D10070" t="str">
            <v>M2</v>
          </cell>
          <cell r="E10070">
            <v>0</v>
          </cell>
        </row>
        <row r="10071">
          <cell r="B10071">
            <v>102173</v>
          </cell>
          <cell r="C10071" t="str">
            <v>INSTALAÇÃO DE VIDRO LAMINADO, E = 8 MM (4+4), FIXADO COM SILICONE ESTRUTURAL. AF_11/2025</v>
          </cell>
          <cell r="D10071" t="str">
            <v>M2</v>
          </cell>
          <cell r="E10071">
            <v>0</v>
          </cell>
        </row>
        <row r="10072">
          <cell r="B10072">
            <v>102163</v>
          </cell>
          <cell r="C10072" t="str">
            <v>INSTALAÇÃO DE VIDRO LISO FUMÊ, E = 4 MM, EM ESQUADRIA DE ALUMÍNIO OU PVC, FIXADO COM BAGUETE. AF_11/2025</v>
          </cell>
          <cell r="D10072" t="str">
            <v>M2</v>
          </cell>
          <cell r="E10072">
            <v>409.37</v>
          </cell>
          <cell r="F10072">
            <v>0</v>
          </cell>
        </row>
        <row r="10073">
          <cell r="B10073">
            <v>102153</v>
          </cell>
          <cell r="C10073" t="str">
            <v>INSTALAÇÃO DE VIDRO LISO FUMÊ, E = 4 MM, EM ESQUADRIA DE MADEIRA, FIXADO COM BAGUETE. AF_11/2025</v>
          </cell>
          <cell r="D10073" t="str">
            <v>M2</v>
          </cell>
          <cell r="E10073">
            <v>302.24</v>
          </cell>
          <cell r="F10073">
            <v>0</v>
          </cell>
        </row>
        <row r="10074">
          <cell r="B10074">
            <v>102165</v>
          </cell>
          <cell r="C10074" t="str">
            <v>INSTALAÇÃO DE VIDRO LISO FUMÊ, E = 5 MM, EM ESQUADRIA DE ALUMÍNIO OU PVC, FIXADO COM BAGUETE. AF_11/2025</v>
          </cell>
          <cell r="D10074" t="str">
            <v>M2</v>
          </cell>
          <cell r="E10074">
            <v>400.54</v>
          </cell>
          <cell r="F10074">
            <v>0</v>
          </cell>
        </row>
        <row r="10075">
          <cell r="B10075">
            <v>102155</v>
          </cell>
          <cell r="C10075" t="str">
            <v>INSTALAÇÃO DE VIDRO LISO FUMÊ, E = 5 MM, EM ESQUADRIA DE MADEIRA, FIXADO COM BAGUETE. AF_11/2025</v>
          </cell>
          <cell r="D10075" t="str">
            <v>M2</v>
          </cell>
          <cell r="E10075">
            <v>312.77</v>
          </cell>
          <cell r="F10075">
            <v>0</v>
          </cell>
        </row>
        <row r="10076">
          <cell r="B10076">
            <v>102167</v>
          </cell>
          <cell r="C10076" t="str">
            <v>INSTALAÇÃO DE VIDRO LISO FUMÊ, E = 6 MM, EM ESQUADRIA DE ALUMÍNIO OU PVC, FIXADO COM BAGUETE. AF_11/2025</v>
          </cell>
          <cell r="D10076" t="str">
            <v>M2</v>
          </cell>
          <cell r="E10076">
            <v>478.25</v>
          </cell>
          <cell r="F10076">
            <v>0</v>
          </cell>
        </row>
        <row r="10077">
          <cell r="B10077">
            <v>102157</v>
          </cell>
          <cell r="C10077" t="str">
            <v>INSTALAÇÃO DE VIDRO LISO FUMÊ, E = 6 MM, EM ESQUADRIA DE MADEIRA, FIXADO COM BAGUETE. AF_11/2025</v>
          </cell>
          <cell r="D10077" t="str">
            <v>M2</v>
          </cell>
          <cell r="E10077">
            <v>410.13</v>
          </cell>
          <cell r="F10077">
            <v>0</v>
          </cell>
        </row>
        <row r="10078">
          <cell r="B10078">
            <v>102169</v>
          </cell>
          <cell r="C10078" t="str">
            <v>INSTALAÇÃO DE VIDRO LISO INCOLOR, E = 10 MM, EM ESQUADRIA DE ALUMÍNIO OU PVC, FIXADO COM BAGUETE. AF_11/2025</v>
          </cell>
          <cell r="D10078" t="str">
            <v>M2</v>
          </cell>
          <cell r="E10078">
            <v>538.49</v>
          </cell>
          <cell r="F10078">
            <v>0</v>
          </cell>
        </row>
        <row r="10079">
          <cell r="B10079">
            <v>102159</v>
          </cell>
          <cell r="C10079" t="str">
            <v>INSTALAÇÃO DE VIDRO LISO INCOLOR, E = 10 MM, EM ESQUADRIA DE MADEIRA, FIXADO COM BAGUETE. AF_11/2025</v>
          </cell>
          <cell r="D10079" t="str">
            <v>M2</v>
          </cell>
          <cell r="E10079">
            <v>494.56</v>
          </cell>
          <cell r="F10079">
            <v>0</v>
          </cell>
        </row>
        <row r="10080">
          <cell r="B10080">
            <v>102161</v>
          </cell>
          <cell r="C10080" t="str">
            <v>INSTALAÇÃO DE VIDRO LISO INCOLOR, E = 3 MM, EM ESQUADRIA DE ALUMÍNIO OU PVC, FIXADO COM BAGUETE. AF_11/2025</v>
          </cell>
          <cell r="D10080" t="str">
            <v>M2</v>
          </cell>
          <cell r="E10080">
            <v>322.29000000000002</v>
          </cell>
          <cell r="F10080">
            <v>0</v>
          </cell>
        </row>
        <row r="10081">
          <cell r="B10081">
            <v>102151</v>
          </cell>
          <cell r="C10081" t="str">
            <v>INSTALAÇÃO DE VIDRO LISO INCOLOR, E = 3 MM, EM ESQUADRIA DE MADEIRA, FIXADO COM BAGUETE. AF_11/2025</v>
          </cell>
          <cell r="D10081" t="str">
            <v>M2</v>
          </cell>
          <cell r="E10081">
            <v>215.16</v>
          </cell>
          <cell r="F10081">
            <v>0</v>
          </cell>
        </row>
        <row r="10082">
          <cell r="B10082">
            <v>102162</v>
          </cell>
          <cell r="C10082" t="str">
            <v>INSTALAÇÃO DE VIDRO LISO INCOLOR, E = 4 MM, EM ESQUADRIA DE ALUMÍNIO OU PVC, FIXADO COM BAGUETE. AF_11/2025</v>
          </cell>
          <cell r="D10082" t="str">
            <v>M2</v>
          </cell>
          <cell r="E10082">
            <v>346.04</v>
          </cell>
          <cell r="F10082">
            <v>0</v>
          </cell>
        </row>
        <row r="10083">
          <cell r="B10083">
            <v>102152</v>
          </cell>
          <cell r="C10083" t="str">
            <v>INSTALAÇÃO DE VIDRO LISO INCOLOR, E = 4 MM, EM ESQUADRIA DE MADEIRA, FIXADO COM BAGUETE. AF_11/2025</v>
          </cell>
          <cell r="D10083" t="str">
            <v>M2</v>
          </cell>
          <cell r="E10083">
            <v>238.91</v>
          </cell>
          <cell r="F10083">
            <v>0</v>
          </cell>
        </row>
        <row r="10084">
          <cell r="B10084">
            <v>102164</v>
          </cell>
          <cell r="C10084" t="str">
            <v>INSTALAÇÃO DE VIDRO LISO INCOLOR, E = 5 MM, EM ESQUADRIA DE ALUMÍNIO OU PVC, FIXADO COM BAGUETE. AF_11/2025</v>
          </cell>
          <cell r="D10084" t="str">
            <v>M2</v>
          </cell>
          <cell r="E10084">
            <v>348.73</v>
          </cell>
          <cell r="F10084">
            <v>0</v>
          </cell>
        </row>
        <row r="10085">
          <cell r="B10085">
            <v>102154</v>
          </cell>
          <cell r="C10085" t="str">
            <v>INSTALAÇÃO DE VIDRO LISO INCOLOR, E = 5 MM, EM ESQUADRIA DE MADEIRA, FIXADO COM BAGUETE. AF_11/2025</v>
          </cell>
          <cell r="D10085" t="str">
            <v>M2</v>
          </cell>
          <cell r="E10085">
            <v>260.95999999999998</v>
          </cell>
          <cell r="F10085">
            <v>0</v>
          </cell>
        </row>
        <row r="10086">
          <cell r="B10086">
            <v>102166</v>
          </cell>
          <cell r="C10086" t="str">
            <v>INSTALAÇÃO DE VIDRO LISO INCOLOR, E = 6 MM, EM ESQUADRIA DE ALUMÍNIO OU PVC, FIXADO COM BAGUETE. AF_11/2025</v>
          </cell>
          <cell r="D10086" t="str">
            <v>M2</v>
          </cell>
          <cell r="E10086">
            <v>367.41</v>
          </cell>
          <cell r="F10086">
            <v>0</v>
          </cell>
        </row>
        <row r="10087">
          <cell r="B10087">
            <v>102156</v>
          </cell>
          <cell r="C10087" t="str">
            <v>INSTALAÇÃO DE VIDRO LISO INCOLOR, E = 6 MM, EM ESQUADRIA DE MADEIRA, FIXADO COM BAGUETE. AF_11/2025</v>
          </cell>
          <cell r="D10087" t="str">
            <v>M2</v>
          </cell>
          <cell r="E10087">
            <v>299.29000000000002</v>
          </cell>
          <cell r="F10087">
            <v>0</v>
          </cell>
        </row>
        <row r="10088">
          <cell r="B10088">
            <v>102168</v>
          </cell>
          <cell r="C10088" t="str">
            <v>INSTALAÇÃO DE VIDRO LISO INCOLOR, E = 8 MM, EM ESQUADRIA DE ALUMÍNIO OU PVC, FIXADO COM BAGUETE. AF_11/2025</v>
          </cell>
          <cell r="D10088" t="str">
            <v>M2</v>
          </cell>
          <cell r="E10088">
            <v>465.48</v>
          </cell>
          <cell r="F10088">
            <v>0</v>
          </cell>
        </row>
        <row r="10089">
          <cell r="B10089">
            <v>102158</v>
          </cell>
          <cell r="C10089" t="str">
            <v>INSTALAÇÃO DE VIDRO LISO INCOLOR, E = 8 MM, EM ESQUADRIA DE MADEIRA, FIXADO COM BAGUETE. AF_11/2025</v>
          </cell>
          <cell r="D10089" t="str">
            <v>M2</v>
          </cell>
          <cell r="E10089">
            <v>415.01</v>
          </cell>
          <cell r="F10089">
            <v>0</v>
          </cell>
        </row>
        <row r="10090">
          <cell r="B10090">
            <v>102181</v>
          </cell>
          <cell r="C10090" t="str">
            <v>INSTALAÇÃO DE VIDRO TEMPERADO, E = 10 MM, ENCAIXADO EM PERFIL U. AF_11/2025</v>
          </cell>
          <cell r="D10090" t="str">
            <v>M2</v>
          </cell>
          <cell r="E10090">
            <v>551.6</v>
          </cell>
          <cell r="F10090">
            <v>0</v>
          </cell>
        </row>
        <row r="10091">
          <cell r="B10091">
            <v>102179</v>
          </cell>
          <cell r="C10091" t="str">
            <v>INSTALAÇÃO DE VIDRO TEMPERADO, E = 6 MM, ENCAIXADO EM PERFIL U. AF_11/2025</v>
          </cell>
          <cell r="D10091" t="str">
            <v>M2</v>
          </cell>
          <cell r="E10091">
            <v>391.29</v>
          </cell>
          <cell r="F10091">
            <v>0</v>
          </cell>
        </row>
        <row r="10092">
          <cell r="B10092">
            <v>102180</v>
          </cell>
          <cell r="C10092" t="str">
            <v>INSTALAÇÃO DE VIDRO TEMPERADO, E = 8 MM, ENCAIXADO EM PERFIL U. AF_11/2025</v>
          </cell>
          <cell r="D10092" t="str">
            <v>M2</v>
          </cell>
          <cell r="E10092">
            <v>460.06</v>
          </cell>
          <cell r="F10092">
            <v>0</v>
          </cell>
        </row>
        <row r="10093">
          <cell r="B10093">
            <v>102189</v>
          </cell>
          <cell r="C10093" t="str">
            <v>JOGO DE FERRAGENS CROMADAS PARA PORTA DE VIDRO TEMPERADO, UMA FOLHA COMPOSTO DE DOBRADICAS SUPERIOR E INFERIOR, TRINCO, FECHADURA, CONTRA FECHADURA COM CAPUCHINHO SEM MOLA E PUXADOR. AF_11/2025</v>
          </cell>
          <cell r="D10093" t="str">
            <v>UN</v>
          </cell>
          <cell r="E10093">
            <v>291.54000000000002</v>
          </cell>
          <cell r="F10093">
            <v>0</v>
          </cell>
        </row>
        <row r="10094">
          <cell r="B10094">
            <v>102188</v>
          </cell>
          <cell r="C10094" t="str">
            <v>MOLA HIDRAULICA DE PISO PARA PORTA DE VIDRO TEMPERADO. AF_11/2025</v>
          </cell>
          <cell r="D10094" t="str">
            <v>UN</v>
          </cell>
          <cell r="E10094">
            <v>1102.5999999999999</v>
          </cell>
          <cell r="F10094">
            <v>0</v>
          </cell>
        </row>
        <row r="10095">
          <cell r="B10095">
            <v>106320</v>
          </cell>
          <cell r="C10095" t="str">
            <v>PORTA DE ABRIR COM MOLA HIDRÁULICA, EM VIDRO TEMPERADO, 120X210 CM, ESPESSURA 10 MM, INCLUSIVE ACESSÓRIOS. AF_11/2025</v>
          </cell>
          <cell r="D10095" t="str">
            <v>UN</v>
          </cell>
          <cell r="E10095">
            <v>2583.09</v>
          </cell>
          <cell r="F10095">
            <v>0</v>
          </cell>
        </row>
        <row r="10096">
          <cell r="B10096">
            <v>102185</v>
          </cell>
          <cell r="C10096" t="str">
            <v>PORTA DE ABRIR COM MOLA HIDRÁULICA, EM VIDRO TEMPERADO, 2 FOLHAS DE 90X210 CM, ESPESSURA DE 10 MM, INCLUSIVE ACESSÓRIOS. AF_11/2025</v>
          </cell>
          <cell r="D10096" t="str">
            <v>UN</v>
          </cell>
          <cell r="E10096">
            <v>4549.1400000000003</v>
          </cell>
          <cell r="F10096">
            <v>0</v>
          </cell>
        </row>
        <row r="10097">
          <cell r="B10097">
            <v>106318</v>
          </cell>
          <cell r="C10097" t="str">
            <v>PORTA DE ABRIR COM MOLA HIDRÁULICA, EM VIDRO TEMPERADO, 70X210 CM, ESPESSURA 10 MM, INCLUSIVE ACESSÓRIOS. AF_11/2025</v>
          </cell>
          <cell r="D10097" t="str">
            <v>UN</v>
          </cell>
          <cell r="E10097">
            <v>2056.65</v>
          </cell>
          <cell r="F10097">
            <v>0</v>
          </cell>
        </row>
        <row r="10098">
          <cell r="B10098">
            <v>106319</v>
          </cell>
          <cell r="C10098" t="str">
            <v>PORTA DE ABRIR COM MOLA HIDRÁULICA, EM VIDRO TEMPERADO, 80X210 CM, ESPESSURA 10 MM, INCLUSIVE ACESSÓRIOS. AF_11/2025</v>
          </cell>
          <cell r="D10098" t="str">
            <v>UN</v>
          </cell>
          <cell r="E10098">
            <v>2161.94</v>
          </cell>
          <cell r="F10098">
            <v>0</v>
          </cell>
        </row>
        <row r="10099">
          <cell r="B10099">
            <v>102184</v>
          </cell>
          <cell r="C10099" t="str">
            <v>PORTA DE ABRIR COM MOLA HIDRÁULICA, EM VIDRO TEMPERADO, 90X210 CM, ESPESSURA 10 MM, INCLUSIVE ACESSÓRIOS. AF_11/2025</v>
          </cell>
          <cell r="D10099" t="str">
            <v>UN</v>
          </cell>
          <cell r="E10099">
            <v>2267.2199999999998</v>
          </cell>
          <cell r="F10099">
            <v>0</v>
          </cell>
        </row>
        <row r="10100">
          <cell r="B10100">
            <v>102187</v>
          </cell>
          <cell r="C10100" t="str">
            <v>PORTA DE CORRER EM VIDRO TEMPERADO, 2 FOLHAS DE 90X210 CM, ESPESSURA 10 MM, INCLUSIVE ACESSÓRIOS. AF_11/2025</v>
          </cell>
          <cell r="D10100" t="str">
            <v>UN</v>
          </cell>
          <cell r="E10100">
            <v>0</v>
          </cell>
        </row>
        <row r="10101">
          <cell r="B10101">
            <v>102186</v>
          </cell>
          <cell r="C10101" t="str">
            <v>PORTA DE CORRER EM VIDRO TEMPERADO, 90X210 CM, ESPESSURA 10 MM, INCLUSIVE ACESSÓRIOS. AF_11/2025</v>
          </cell>
          <cell r="D10101" t="str">
            <v>UN</v>
          </cell>
          <cell r="E10101">
            <v>0</v>
          </cell>
        </row>
        <row r="10102">
          <cell r="B10102">
            <v>102183</v>
          </cell>
          <cell r="C10102" t="str">
            <v>PORTA PIVOTANTE DE VIDRO TEMPERADO, 2 FOLHAS DE 90X210 CM, ESPESSURA DE 10 MM, INCLUSIVE ACESSÓRIOS. AF_11/2025</v>
          </cell>
          <cell r="D10102" t="str">
            <v>UN</v>
          </cell>
          <cell r="E10102">
            <v>2213.2399999999998</v>
          </cell>
          <cell r="F10102">
            <v>0</v>
          </cell>
        </row>
        <row r="10103">
          <cell r="B10103">
            <v>102182</v>
          </cell>
          <cell r="C10103" t="str">
            <v>PORTA PIVOTANTE DE VIDRO TEMPERADO, 90X210 CM, ESPESSURA 10 MM, INCLUSIVE ACESSÓRIOS. AF_11/2025</v>
          </cell>
          <cell r="D10103" t="str">
            <v>UN</v>
          </cell>
          <cell r="E10103">
            <v>1192.05</v>
          </cell>
          <cell r="F10103">
            <v>0</v>
          </cell>
        </row>
        <row r="10104">
          <cell r="B10104">
            <v>102191</v>
          </cell>
          <cell r="C10104" t="str">
            <v>REMOÇÃO DE VIDRO LISO COMUM DE ESQUADRIA COM BAGUETE DE ALUMÍNIO OU PVC. AF_11/2025</v>
          </cell>
          <cell r="D10104" t="str">
            <v>M2</v>
          </cell>
          <cell r="E10104">
            <v>24.55</v>
          </cell>
          <cell r="F10104">
            <v>0</v>
          </cell>
        </row>
        <row r="10105">
          <cell r="B10105">
            <v>102190</v>
          </cell>
          <cell r="C10105" t="str">
            <v>REMOÇÃO DE VIDRO LISO COMUM DE ESQUADRIA COM BAGUETE DE MADEIRA. AF_11/2025</v>
          </cell>
          <cell r="D10105" t="str">
            <v>M2</v>
          </cell>
          <cell r="E10105">
            <v>22.67</v>
          </cell>
          <cell r="F10105">
            <v>0</v>
          </cell>
        </row>
        <row r="10106">
          <cell r="B10106">
            <v>102192</v>
          </cell>
          <cell r="C10106" t="str">
            <v>REMOÇÃO DE VIDRO TEMPERADO FIXADO EM PERFIL U. AF_11/2025</v>
          </cell>
          <cell r="D10106" t="str">
            <v>M2</v>
          </cell>
          <cell r="E10106">
            <v>21.68</v>
          </cell>
          <cell r="F10106">
            <v>0</v>
          </cell>
        </row>
        <row r="10107">
          <cell r="B10107">
            <v>89354</v>
          </cell>
          <cell r="C10107" t="str">
            <v>MISTURADOR MONOCOMANDO PARA CHUVEIRO, BASE BRUTA E ACABAMENTO CROMADO - FORNECIMENTO E INSTALAÇÃO. AF_08/2021</v>
          </cell>
          <cell r="D10107" t="str">
            <v>UN</v>
          </cell>
          <cell r="E10107">
            <v>496.98</v>
          </cell>
          <cell r="F10107">
            <v>0</v>
          </cell>
        </row>
        <row r="10108">
          <cell r="B10108">
            <v>103041</v>
          </cell>
          <cell r="C10108" t="str">
            <v>REGISTRO DE ESFERA, PVC, ROSCÁVEL, COM BORBOLETA, 1/2" - FORNECIMENTO E INSTALAÇÃO. AF_08/2021</v>
          </cell>
          <cell r="D10108" t="str">
            <v>UN</v>
          </cell>
          <cell r="E10108">
            <v>26.55</v>
          </cell>
          <cell r="F10108">
            <v>0</v>
          </cell>
        </row>
        <row r="10109">
          <cell r="B10109">
            <v>103042</v>
          </cell>
          <cell r="C10109" t="str">
            <v>REGISTRO DE ESFERA, PVC, ROSCÁVEL, COM BORBOLETA, 3/4" - FORNECIMENTO E INSTALAÇÃO. AF_08/2021</v>
          </cell>
          <cell r="D10109" t="str">
            <v>UN</v>
          </cell>
          <cell r="E10109">
            <v>33.1</v>
          </cell>
          <cell r="F10109">
            <v>0</v>
          </cell>
        </row>
        <row r="10110">
          <cell r="B10110">
            <v>103043</v>
          </cell>
          <cell r="C10110" t="str">
            <v>REGISTRO DE ESFERA, PVC, ROSCÁVEL, COM CABEÇA QUADRADA, 1/2" - FORNECIMENTO E INSTALAÇÃO. AF_08/2021</v>
          </cell>
          <cell r="D10110" t="str">
            <v>UN</v>
          </cell>
          <cell r="E10110">
            <v>30.52</v>
          </cell>
          <cell r="F10110">
            <v>0</v>
          </cell>
        </row>
        <row r="10111">
          <cell r="B10111">
            <v>103044</v>
          </cell>
          <cell r="C10111" t="str">
            <v>REGISTRO DE ESFERA, PVC, ROSCÁVEL, COM CABEÇA QUADRADA, 3/4" - FORNECIMENTO E INSTALAÇÃO. AF_08/2021</v>
          </cell>
          <cell r="D10111" t="str">
            <v>UN</v>
          </cell>
          <cell r="E10111">
            <v>41.36</v>
          </cell>
          <cell r="F10111">
            <v>0</v>
          </cell>
        </row>
        <row r="10112">
          <cell r="B10112">
            <v>103039</v>
          </cell>
          <cell r="C10112" t="str">
            <v>REGISTRO DE ESFERA, PVC, ROSCÁVEL, COM VOLANTE, 1 1/2" - FORNECIMENTO E INSTALAÇÃO. AF_08/2021</v>
          </cell>
          <cell r="D10112" t="str">
            <v>UN</v>
          </cell>
          <cell r="E10112">
            <v>91.7</v>
          </cell>
          <cell r="F10112">
            <v>0</v>
          </cell>
        </row>
        <row r="10113">
          <cell r="B10113">
            <v>103038</v>
          </cell>
          <cell r="C10113" t="str">
            <v>REGISTRO DE ESFERA, PVC, ROSCÁVEL, COM VOLANTE, 1 1/4" - FORNECIMENTO E INSTALAÇÃO. AF_08/2021</v>
          </cell>
          <cell r="D10113" t="str">
            <v>UN</v>
          </cell>
          <cell r="E10113">
            <v>83.73</v>
          </cell>
          <cell r="F10113">
            <v>0</v>
          </cell>
        </row>
        <row r="10114">
          <cell r="B10114">
            <v>103037</v>
          </cell>
          <cell r="C10114" t="str">
            <v>REGISTRO DE ESFERA, PVC, ROSCÁVEL, COM VOLANTE, 1" - FORNECIMENTO E INSTALAÇÃO. AF_08/2021</v>
          </cell>
          <cell r="D10114" t="str">
            <v>UN</v>
          </cell>
          <cell r="E10114">
            <v>62.5</v>
          </cell>
          <cell r="F10114">
            <v>0</v>
          </cell>
        </row>
        <row r="10115">
          <cell r="B10115">
            <v>103036</v>
          </cell>
          <cell r="C10115" t="str">
            <v>REGISTRO DE ESFERA, PVC, ROSCÁVEL, COM VOLANTE, 1/2" - FORNECIMENTO E INSTALAÇÃO. AF_08/2021</v>
          </cell>
          <cell r="D10115" t="str">
            <v>UN</v>
          </cell>
          <cell r="E10115">
            <v>31.68</v>
          </cell>
          <cell r="F10115">
            <v>0</v>
          </cell>
        </row>
        <row r="10116">
          <cell r="B10116">
            <v>103040</v>
          </cell>
          <cell r="C10116" t="str">
            <v>REGISTRO DE ESFERA, PVC, ROSCÁVEL, COM VOLANTE, 2" - FORNECIMENTO E INSTALAÇÃO. AF_08/2021</v>
          </cell>
          <cell r="D10116" t="str">
            <v>UN</v>
          </cell>
          <cell r="E10116">
            <v>135.63999999999999</v>
          </cell>
          <cell r="F10116">
            <v>0</v>
          </cell>
        </row>
        <row r="10117">
          <cell r="B10117">
            <v>90371</v>
          </cell>
          <cell r="C10117" t="str">
            <v>REGISTRO DE ESFERA, PVC, ROSCÁVEL, COM VOLANTE, 3/4" - FORNECIMENTO E INSTALAÇÃO. AF_08/2021</v>
          </cell>
          <cell r="D10117" t="str">
            <v>UN</v>
          </cell>
          <cell r="E10117">
            <v>39.729999999999997</v>
          </cell>
          <cell r="F10117">
            <v>0</v>
          </cell>
        </row>
        <row r="10118">
          <cell r="B10118">
            <v>103047</v>
          </cell>
          <cell r="C10118" t="str">
            <v>REGISTRO DE ESFERA, PVC, SOLDÁVEL, COM VOLANTE, DN 20 MM - FORNECIMENTO E INSTALAÇÃO. AF_08/2021</v>
          </cell>
          <cell r="D10118" t="str">
            <v>UN</v>
          </cell>
          <cell r="E10118">
            <v>32.22</v>
          </cell>
          <cell r="F10118">
            <v>0</v>
          </cell>
        </row>
        <row r="10119">
          <cell r="B10119">
            <v>94489</v>
          </cell>
          <cell r="C10119" t="str">
            <v>REGISTRO DE ESFERA, PVC, SOLDÁVEL, COM VOLANTE, DN 25 MM - FORNECIMENTO E INSTALAÇÃO. AF_08/2021</v>
          </cell>
          <cell r="D10119" t="str">
            <v>UN</v>
          </cell>
          <cell r="E10119">
            <v>39.270000000000003</v>
          </cell>
          <cell r="F10119">
            <v>0</v>
          </cell>
        </row>
        <row r="10120">
          <cell r="B10120">
            <v>94490</v>
          </cell>
          <cell r="C10120" t="str">
            <v>REGISTRO DE ESFERA, PVC, SOLDÁVEL, COM VOLANTE, DN 32 MM - FORNECIMENTO E INSTALAÇÃO. AF_08/2021</v>
          </cell>
          <cell r="D10120" t="str">
            <v>UN</v>
          </cell>
          <cell r="E10120">
            <v>58.05</v>
          </cell>
          <cell r="F10120">
            <v>0</v>
          </cell>
        </row>
        <row r="10121">
          <cell r="B10121">
            <v>94491</v>
          </cell>
          <cell r="C10121" t="str">
            <v>REGISTRO DE ESFERA, PVC, SOLDÁVEL, COM VOLANTE, DN 40 MM - FORNECIMENTO E INSTALAÇÃO. AF_08/2021</v>
          </cell>
          <cell r="D10121" t="str">
            <v>UN</v>
          </cell>
          <cell r="E10121">
            <v>78.88</v>
          </cell>
          <cell r="F10121">
            <v>0</v>
          </cell>
        </row>
        <row r="10122">
          <cell r="B10122">
            <v>94492</v>
          </cell>
          <cell r="C10122" t="str">
            <v>REGISTRO DE ESFERA, PVC, SOLDÁVEL, COM VOLANTE, DN 50 MM - FORNECIMENTO E INSTALAÇÃO. AF_08/2021</v>
          </cell>
          <cell r="D10122" t="str">
            <v>UN</v>
          </cell>
          <cell r="E10122">
            <v>81.099999999999994</v>
          </cell>
          <cell r="F10122">
            <v>0</v>
          </cell>
        </row>
        <row r="10123">
          <cell r="B10123">
            <v>94493</v>
          </cell>
          <cell r="C10123" t="str">
            <v>REGISTRO DE ESFERA, PVC, SOLDÁVEL, COM VOLANTE, DN 60 MM - FORNECIMENTO E INSTALAÇÃO. AF_08/2021</v>
          </cell>
          <cell r="D10123" t="str">
            <v>UN</v>
          </cell>
          <cell r="E10123">
            <v>147.84</v>
          </cell>
          <cell r="F10123">
            <v>0</v>
          </cell>
        </row>
        <row r="10124">
          <cell r="B10124">
            <v>94497</v>
          </cell>
          <cell r="C10124" t="str">
            <v>REGISTRO DE GAVETA BRUTO, LATÃO, ROSCÁVEL, 1 1/2" - FORNECIMENTO E INSTALAÇÃO. AF_08/2021</v>
          </cell>
          <cell r="D10124" t="str">
            <v>UN</v>
          </cell>
          <cell r="E10124">
            <v>94.06</v>
          </cell>
          <cell r="F10124">
            <v>0</v>
          </cell>
        </row>
        <row r="10125">
          <cell r="B10125">
            <v>94794</v>
          </cell>
          <cell r="C10125" t="str">
            <v>REGISTRO DE GAVETA BRUTO, LATÃO, ROSCÁVEL, 1 1/2", COM ACABAMENTO E CANOPLA CROMADOS - FORNECIMENTO E INSTALAÇÃO. AF_08/2021</v>
          </cell>
          <cell r="D10125" t="str">
            <v>UN</v>
          </cell>
          <cell r="E10125">
            <v>146.84</v>
          </cell>
          <cell r="F10125">
            <v>0</v>
          </cell>
        </row>
        <row r="10126">
          <cell r="B10126">
            <v>94496</v>
          </cell>
          <cell r="C10126" t="str">
            <v>REGISTRO DE GAVETA BRUTO, LATÃO, ROSCÁVEL, 1 1/4" - FORNECIMENTO E INSTALAÇÃO. AF_08/2021</v>
          </cell>
          <cell r="D10126" t="str">
            <v>UN</v>
          </cell>
          <cell r="E10126">
            <v>74.040000000000006</v>
          </cell>
          <cell r="F10126">
            <v>0</v>
          </cell>
        </row>
        <row r="10127">
          <cell r="B10127">
            <v>94793</v>
          </cell>
          <cell r="C10127" t="str">
            <v>REGISTRO DE GAVETA BRUTO, LATÃO, ROSCÁVEL, 1 1/4", COM ACABAMENTO E CANOPLA CROMADOS - FORNECIMENTO E INSTALAÇÃO. AF_08/2021</v>
          </cell>
          <cell r="D10127" t="str">
            <v>UN</v>
          </cell>
          <cell r="E10127">
            <v>137.09</v>
          </cell>
          <cell r="F10127">
            <v>0</v>
          </cell>
        </row>
        <row r="10128">
          <cell r="B10128">
            <v>94495</v>
          </cell>
          <cell r="C10128" t="str">
            <v>REGISTRO DE GAVETA BRUTO, LATÃO, ROSCÁVEL, 1" - FORNECIMENTO E INSTALAÇÃO. AF_08/2021</v>
          </cell>
          <cell r="D10128" t="str">
            <v>UN</v>
          </cell>
          <cell r="E10128">
            <v>54.35</v>
          </cell>
          <cell r="F10128">
            <v>0</v>
          </cell>
        </row>
        <row r="10129">
          <cell r="B10129">
            <v>94792</v>
          </cell>
          <cell r="C10129" t="str">
            <v>REGISTRO DE GAVETA BRUTO, LATÃO, ROSCÁVEL, 1", COM ACABAMENTO E CANOPLA CROMADOS - FORNECIMENTO E INSTALAÇÃO. AF_08/2021</v>
          </cell>
          <cell r="D10129" t="str">
            <v>UN</v>
          </cell>
          <cell r="E10129">
            <v>101.13</v>
          </cell>
          <cell r="F10129">
            <v>0</v>
          </cell>
        </row>
        <row r="10130">
          <cell r="B10130">
            <v>89352</v>
          </cell>
          <cell r="C10130" t="str">
            <v>REGISTRO DE GAVETA BRUTO, LATÃO, ROSCÁVEL, 1/2" - FORNECIMENTO E INSTALAÇÃO. AF_08/2021</v>
          </cell>
          <cell r="D10130" t="str">
            <v>UN</v>
          </cell>
          <cell r="E10130">
            <v>31.37</v>
          </cell>
          <cell r="F10130">
            <v>0</v>
          </cell>
        </row>
        <row r="10131">
          <cell r="B10131">
            <v>89986</v>
          </cell>
          <cell r="C10131" t="str">
            <v>REGISTRO DE GAVETA BRUTO, LATÃO, ROSCÁVEL, 1/2", COM ACABAMENTO E CANOPLA CROMADOS - FORNECIMENTO E INSTALAÇÃO. AF_08/2021</v>
          </cell>
          <cell r="D10131" t="str">
            <v>UN</v>
          </cell>
          <cell r="E10131">
            <v>72.849999999999994</v>
          </cell>
          <cell r="F10131">
            <v>0</v>
          </cell>
        </row>
        <row r="10132">
          <cell r="B10132">
            <v>94499</v>
          </cell>
          <cell r="C10132" t="str">
            <v>REGISTRO DE GAVETA BRUTO, LATÃO, ROSCÁVEL, 2 1/2" - FORNECIMENTO E INSTALAÇÃO. AF_08/2021</v>
          </cell>
          <cell r="D10132" t="str">
            <v>UN</v>
          </cell>
          <cell r="E10132">
            <v>248.92</v>
          </cell>
          <cell r="F10132">
            <v>0</v>
          </cell>
        </row>
        <row r="10133">
          <cell r="B10133">
            <v>94498</v>
          </cell>
          <cell r="C10133" t="str">
            <v>REGISTRO DE GAVETA BRUTO, LATÃO, ROSCÁVEL, 2" - FORNECIMENTO E INSTALAÇÃO. AF_08/2021</v>
          </cell>
          <cell r="D10133" t="str">
            <v>UN</v>
          </cell>
          <cell r="E10133">
            <v>129</v>
          </cell>
          <cell r="F10133">
            <v>0</v>
          </cell>
        </row>
        <row r="10134">
          <cell r="B10134">
            <v>94500</v>
          </cell>
          <cell r="C10134" t="str">
            <v>REGISTRO DE GAVETA BRUTO, LATÃO, ROSCÁVEL, 3" - FORNECIMENTO E INSTALAÇÃO. AF_08/2021</v>
          </cell>
          <cell r="D10134" t="str">
            <v>UN</v>
          </cell>
          <cell r="E10134">
            <v>302.77</v>
          </cell>
          <cell r="F10134">
            <v>0</v>
          </cell>
        </row>
        <row r="10135">
          <cell r="B10135">
            <v>89353</v>
          </cell>
          <cell r="C10135" t="str">
            <v>REGISTRO DE GAVETA BRUTO, LATÃO, ROSCÁVEL, 3/4" - FORNECIMENTO E INSTALAÇÃO. AF_08/2021</v>
          </cell>
          <cell r="D10135" t="str">
            <v>UN</v>
          </cell>
          <cell r="E10135">
            <v>35.630000000000003</v>
          </cell>
          <cell r="F10135">
            <v>0</v>
          </cell>
        </row>
        <row r="10136">
          <cell r="B10136">
            <v>89987</v>
          </cell>
          <cell r="C10136" t="str">
            <v>REGISTRO DE GAVETA BRUTO, LATÃO, ROSCÁVEL, 3/4", COM ACABAMENTO E CANOPLA CROMADOS - FORNECIMENTO E INSTALAÇÃO. AF_08/2021</v>
          </cell>
          <cell r="D10136" t="str">
            <v>UN</v>
          </cell>
          <cell r="E10136">
            <v>83.29</v>
          </cell>
          <cell r="F10136">
            <v>0</v>
          </cell>
        </row>
        <row r="10137">
          <cell r="B10137">
            <v>94501</v>
          </cell>
          <cell r="C10137" t="str">
            <v>REGISTRO DE GAVETA BRUTO, LATÃO, ROSCÁVEL, 4" - FORNECIMENTO E INSTALAÇÃO. AF_08/2021</v>
          </cell>
          <cell r="D10137" t="str">
            <v>UN</v>
          </cell>
          <cell r="E10137">
            <v>596.41</v>
          </cell>
          <cell r="F10137">
            <v>0</v>
          </cell>
        </row>
        <row r="10138">
          <cell r="B10138">
            <v>89349</v>
          </cell>
          <cell r="C10138" t="str">
            <v>REGISTRO DE PRESSÃO BRUTO, LATÃO, ROSCÁVEL, 1/2" - FORNECIMENTO E INSTALAÇÃO. AF_08/2021</v>
          </cell>
          <cell r="D10138" t="str">
            <v>UN</v>
          </cell>
          <cell r="E10138">
            <v>23.79</v>
          </cell>
          <cell r="F10138">
            <v>0</v>
          </cell>
        </row>
        <row r="10139">
          <cell r="B10139">
            <v>89984</v>
          </cell>
          <cell r="C10139" t="str">
            <v>REGISTRO DE PRESSÃO BRUTO, LATÃO, ROSCÁVEL, 1/2", COM ACABAMENTO E CANOPLA CROMADOS - FORNECIMENTO E INSTALAÇÃO. AF_08/2021</v>
          </cell>
          <cell r="D10139" t="str">
            <v>UN</v>
          </cell>
          <cell r="E10139">
            <v>74.59</v>
          </cell>
          <cell r="F10139">
            <v>0</v>
          </cell>
        </row>
        <row r="10140">
          <cell r="B10140">
            <v>89985</v>
          </cell>
          <cell r="C10140" t="str">
            <v>REGISTRO DE PRESSÃO BRUTO, LATÃO, ROSCÁVEL, 3/4", COM ACABAMENTO E CANOPLA CROMADOS - FORNECIMENTO E INSTALAÇÃO. AF_08/2021</v>
          </cell>
          <cell r="D10140" t="str">
            <v>UN</v>
          </cell>
          <cell r="E10140">
            <v>79.489999999999995</v>
          </cell>
          <cell r="F10140">
            <v>0</v>
          </cell>
        </row>
        <row r="10141">
          <cell r="B10141">
            <v>89351</v>
          </cell>
          <cell r="C10141" t="str">
            <v>REGISTRO DE PRESSÃO BRUTO, LATÃO, ROSCÁVEL, 3/4'' - FORNECIMENTO E INSTALAÇÃO. AF_08/2021</v>
          </cell>
          <cell r="D10141" t="str">
            <v>UN</v>
          </cell>
          <cell r="E10141">
            <v>30.2</v>
          </cell>
          <cell r="F10141">
            <v>0</v>
          </cell>
        </row>
        <row r="10142">
          <cell r="B10142">
            <v>103045</v>
          </cell>
          <cell r="C10142" t="str">
            <v>REGISTRO DE PRESSÃO, PVC, ROSCÁVEL, VOLANTE SIMPLES, 1/2" - FORNECIMENTO E INSTALAÇÃO. AF_08/2021</v>
          </cell>
          <cell r="D10142" t="str">
            <v>UN</v>
          </cell>
          <cell r="E10142">
            <v>13.51</v>
          </cell>
          <cell r="F10142">
            <v>0</v>
          </cell>
        </row>
        <row r="10143">
          <cell r="B10143">
            <v>103046</v>
          </cell>
          <cell r="C10143" t="str">
            <v>REGISTRO DE PRESSÃO, PVC, ROSCÁVEL, VOLANTE SIMPLES, 3/4" - FORNECIMENTO E INSTALAÇÃO. AF_08/2021</v>
          </cell>
          <cell r="D10143" t="str">
            <v>UN</v>
          </cell>
          <cell r="E10143">
            <v>31.44</v>
          </cell>
          <cell r="F10143">
            <v>0</v>
          </cell>
        </row>
        <row r="10144">
          <cell r="B10144">
            <v>103048</v>
          </cell>
          <cell r="C10144" t="str">
            <v>REGISTRO DE PRESSÃO, PVC, SOLDÁVEL, VOLANTE SIMPLES, DN 20 MM - FORNECIMENTO E INSTALAÇÃO. AF_08/2021</v>
          </cell>
          <cell r="D10144" t="str">
            <v>UN</v>
          </cell>
          <cell r="E10144">
            <v>24.33</v>
          </cell>
          <cell r="F10144">
            <v>0</v>
          </cell>
        </row>
        <row r="10145">
          <cell r="B10145">
            <v>103049</v>
          </cell>
          <cell r="C10145" t="str">
            <v>REGISTRO DE PRESSÃO, PVC, SOLDÁVEL, VOLANTE SIMPLES, DN 25 MM - FORNECIMENTO E INSTALAÇÃO. AF_08/2021</v>
          </cell>
          <cell r="D10145" t="str">
            <v>UN</v>
          </cell>
          <cell r="E10145">
            <v>26.14</v>
          </cell>
          <cell r="F10145">
            <v>0</v>
          </cell>
        </row>
        <row r="10146">
          <cell r="B10146">
            <v>103029</v>
          </cell>
          <cell r="C10146" t="str">
            <v>REGISTRO OU REGULADOR DE GÁS DE COZINHA - FORNECIMENTO E INSTALAÇÃO. AF_08/2021</v>
          </cell>
          <cell r="D10146" t="str">
            <v>UN</v>
          </cell>
          <cell r="E10146">
            <v>40.159999999999997</v>
          </cell>
          <cell r="F10146">
            <v>0</v>
          </cell>
        </row>
        <row r="10147">
          <cell r="B10147">
            <v>103019</v>
          </cell>
          <cell r="C10147" t="str">
            <v>REGISTRO OU VÁLVULA GLOBO ANGULAR EM LATÃO, PARA HIDRANTES EM INSTALAÇÃO PREDIAL DE INCÊNDIO, 45 GRAUS, 2 1/2" - FORNECIMENTO E INSTALAÇÃO. AF_08/2021</v>
          </cell>
          <cell r="D10147" t="str">
            <v>UN</v>
          </cell>
          <cell r="E10147">
            <v>364.53</v>
          </cell>
          <cell r="F10147">
            <v>0</v>
          </cell>
        </row>
        <row r="10148">
          <cell r="B10148">
            <v>103050</v>
          </cell>
          <cell r="C10148" t="str">
            <v>SUBSTITUIÇÃO DE REGISTRO OU VÁLVULA, ROSCÁVEL, DN 20 MM. AF_08/2021</v>
          </cell>
          <cell r="D10148" t="str">
            <v>UN</v>
          </cell>
          <cell r="E10148">
            <v>34.44</v>
          </cell>
          <cell r="F10148">
            <v>0</v>
          </cell>
        </row>
        <row r="10149">
          <cell r="B10149">
            <v>103051</v>
          </cell>
          <cell r="C10149" t="str">
            <v>SUBSTITUIÇÃO DE REGISTRO OU VÁLVULA, ROSCÁVEL, DN 25 MM. AF_08/2021</v>
          </cell>
          <cell r="D10149" t="str">
            <v>UN</v>
          </cell>
          <cell r="E10149">
            <v>41.65</v>
          </cell>
          <cell r="F10149">
            <v>0</v>
          </cell>
        </row>
        <row r="10150">
          <cell r="B10150">
            <v>103052</v>
          </cell>
          <cell r="C10150" t="str">
            <v>SUBSTITUIÇÃO DE REGISTRO OU VÁLVULA, ROSCÁVEL, DN 32 MM. AF_08/2021</v>
          </cell>
          <cell r="D10150" t="str">
            <v>UN</v>
          </cell>
          <cell r="E10150">
            <v>55.15</v>
          </cell>
          <cell r="F10150">
            <v>0</v>
          </cell>
        </row>
        <row r="10151">
          <cell r="B10151">
            <v>94799</v>
          </cell>
          <cell r="C10151" t="str">
            <v>TORNEIRA DE BOIA PARA CAIXA D'ÁGUA, ROSCÁVEL, 1 1/2" - FORNECIMENTO E INSTALAÇÃO. AF_08/2021</v>
          </cell>
          <cell r="D10151" t="str">
            <v>UN</v>
          </cell>
          <cell r="E10151">
            <v>249.25</v>
          </cell>
          <cell r="F10151">
            <v>0</v>
          </cell>
        </row>
        <row r="10152">
          <cell r="B10152">
            <v>94798</v>
          </cell>
          <cell r="C10152" t="str">
            <v>TORNEIRA DE BOIA PARA CAIXA D'ÁGUA, ROSCÁVEL, 1 1/4" - FORNECIMENTO E INSTALAÇÃO. AF_08/2021</v>
          </cell>
          <cell r="D10152" t="str">
            <v>UN</v>
          </cell>
          <cell r="E10152">
            <v>202.73</v>
          </cell>
          <cell r="F10152">
            <v>0</v>
          </cell>
        </row>
        <row r="10153">
          <cell r="B10153">
            <v>94797</v>
          </cell>
          <cell r="C10153" t="str">
            <v>TORNEIRA DE BOIA PARA CAIXA D'ÁGUA, ROSCÁVEL, 1" - FORNECIMENTO E INSTALAÇÃO. AF_08/2021</v>
          </cell>
          <cell r="D10153" t="str">
            <v>UN</v>
          </cell>
          <cell r="E10153">
            <v>122.85</v>
          </cell>
          <cell r="F10153">
            <v>0</v>
          </cell>
        </row>
        <row r="10154">
          <cell r="B10154">
            <v>94795</v>
          </cell>
          <cell r="C10154" t="str">
            <v>TORNEIRA DE BOIA PARA CAIXA D'ÁGUA, ROSCÁVEL, 1/2" - FORNECIMENTO E INSTALAÇÃO. AF_08/2021</v>
          </cell>
          <cell r="D10154" t="str">
            <v>UN</v>
          </cell>
          <cell r="E10154">
            <v>51.95</v>
          </cell>
          <cell r="F10154">
            <v>0</v>
          </cell>
        </row>
        <row r="10155">
          <cell r="B10155">
            <v>94800</v>
          </cell>
          <cell r="C10155" t="str">
            <v>TORNEIRA DE BOIA PARA CAIXA D'ÁGUA, ROSCÁVEL, 2" - FORNECIMENTO E INSTALAÇÃO. AF_08/2021</v>
          </cell>
          <cell r="D10155" t="str">
            <v>UN</v>
          </cell>
          <cell r="E10155">
            <v>320.06</v>
          </cell>
          <cell r="F10155">
            <v>0</v>
          </cell>
        </row>
        <row r="10156">
          <cell r="B10156">
            <v>94796</v>
          </cell>
          <cell r="C10156" t="str">
            <v>TORNEIRA DE BOIA PARA CAIXA D'ÁGUA, ROSCÁVEL, 3/4" - FORNECIMENTO E INSTALAÇÃO. AF_08/2021</v>
          </cell>
          <cell r="D10156" t="str">
            <v>UN</v>
          </cell>
          <cell r="E10156">
            <v>60.24</v>
          </cell>
          <cell r="F10156">
            <v>0</v>
          </cell>
        </row>
        <row r="10157">
          <cell r="B10157">
            <v>99635</v>
          </cell>
          <cell r="C10157" t="str">
            <v>VÁLVULA DE DESCARGA METÁLICA, BASE 1 1/2", ACABAMENTO METALICO CROMADO - FORNECIMENTO E INSTALAÇÃO. AF_08/2021</v>
          </cell>
          <cell r="D10157" t="str">
            <v>UN</v>
          </cell>
          <cell r="E10157">
            <v>453.2</v>
          </cell>
          <cell r="F10157">
            <v>0</v>
          </cell>
        </row>
        <row r="10158">
          <cell r="B10158">
            <v>103018</v>
          </cell>
          <cell r="C10158" t="str">
            <v>VÁLVULA DE DESCARGA METÁLICA, BASE 1 1/4", ACABAMENTO METALICO CROMADO - FORNECIMENTO E INSTALAÇÃO. AF_08/2021</v>
          </cell>
          <cell r="D10158" t="str">
            <v>UN</v>
          </cell>
          <cell r="E10158">
            <v>371.06</v>
          </cell>
          <cell r="F10158">
            <v>0</v>
          </cell>
        </row>
        <row r="10159">
          <cell r="B10159">
            <v>95252</v>
          </cell>
          <cell r="C10159" t="str">
            <v>VÁLVULA DE ESFERA BRUTA, BRONZE, ROSCÁVEL, 1 1/2'' - FORNECIMENTO E INSTALAÇÃO. AF_08/2021</v>
          </cell>
          <cell r="D10159" t="str">
            <v>UN</v>
          </cell>
          <cell r="E10159">
            <v>128.65</v>
          </cell>
          <cell r="F10159">
            <v>0</v>
          </cell>
        </row>
        <row r="10160">
          <cell r="B10160">
            <v>95251</v>
          </cell>
          <cell r="C10160" t="str">
            <v>VÁLVULA DE ESFERA BRUTA, BRONZE, ROSCÁVEL, 1 1/4'' - FORNECIMENTO E INSTALAÇÃO. AF_08/2021</v>
          </cell>
          <cell r="D10160" t="str">
            <v>UN</v>
          </cell>
          <cell r="E10160">
            <v>105.56</v>
          </cell>
          <cell r="F10160">
            <v>0</v>
          </cell>
        </row>
        <row r="10161">
          <cell r="B10161">
            <v>95250</v>
          </cell>
          <cell r="C10161" t="str">
            <v>VÁLVULA DE ESFERA BRUTA, BRONZE, ROSCÁVEL, 1'' - FORNECIMENTO E INSTALAÇÃO. AF_08/2021</v>
          </cell>
          <cell r="D10161" t="str">
            <v>UN</v>
          </cell>
          <cell r="E10161">
            <v>71.8</v>
          </cell>
          <cell r="F10161">
            <v>0</v>
          </cell>
        </row>
        <row r="10162">
          <cell r="B10162">
            <v>95248</v>
          </cell>
          <cell r="C10162" t="str">
            <v>VÁLVULA DE ESFERA BRUTA, BRONZE, ROSCÁVEL, 1/2" - FORNECIMENTO E INSTALAÇÃO. AF_08/2021</v>
          </cell>
          <cell r="D10162" t="str">
            <v>UN</v>
          </cell>
          <cell r="E10162">
            <v>44.34</v>
          </cell>
          <cell r="F10162">
            <v>0</v>
          </cell>
        </row>
        <row r="10163">
          <cell r="B10163">
            <v>95253</v>
          </cell>
          <cell r="C10163" t="str">
            <v>VÁLVULA DE ESFERA BRUTA, BRONZE, ROSCÁVEL, 2'' - FORNECIMENTO E INSTALAÇÃO. AF_08/2021</v>
          </cell>
          <cell r="D10163" t="str">
            <v>UN</v>
          </cell>
          <cell r="E10163">
            <v>193.46</v>
          </cell>
          <cell r="F10163">
            <v>0</v>
          </cell>
        </row>
        <row r="10164">
          <cell r="B10164">
            <v>95249</v>
          </cell>
          <cell r="C10164" t="str">
            <v>VÁLVULA DE ESFERA BRUTA, BRONZE, ROSCÁVEL, 3/4'' - FORNECIMENTO E INSTALAÇÃO. AF_08/2021</v>
          </cell>
          <cell r="D10164" t="str">
            <v>UN</v>
          </cell>
          <cell r="E10164">
            <v>53.19</v>
          </cell>
          <cell r="F10164">
            <v>0</v>
          </cell>
        </row>
        <row r="10165">
          <cell r="B10165">
            <v>99622</v>
          </cell>
          <cell r="C10165" t="str">
            <v>VÁLVULA DE RETENÇÃO HORIZONTAL, DE BRONZE, ROSCÁVEL, 1 1/2" - FORNECIMENTO E INSTALAÇÃO. AF_08/2021</v>
          </cell>
          <cell r="D10165" t="str">
            <v>UN</v>
          </cell>
          <cell r="E10165">
            <v>360.56</v>
          </cell>
          <cell r="F10165">
            <v>0</v>
          </cell>
        </row>
        <row r="10166">
          <cell r="B10166">
            <v>99621</v>
          </cell>
          <cell r="C10166" t="str">
            <v>VÁLVULA DE RETENÇÃO HORIZONTAL, DE BRONZE, ROSCÁVEL, 1 1/4" - FORNECIMENTO E INSTALAÇÃO. AF_08/2021</v>
          </cell>
          <cell r="D10166" t="str">
            <v>UN</v>
          </cell>
          <cell r="E10166">
            <v>320.16000000000003</v>
          </cell>
          <cell r="F10166">
            <v>0</v>
          </cell>
        </row>
        <row r="10167">
          <cell r="B10167">
            <v>99620</v>
          </cell>
          <cell r="C10167" t="str">
            <v>VÁLVULA DE RETENÇÃO HORIZONTAL, DE BRONZE, ROSCÁVEL, 1" - FORNECIMENTO E INSTALAÇÃO. AF_08/2021</v>
          </cell>
          <cell r="D10167" t="str">
            <v>UN</v>
          </cell>
          <cell r="E10167">
            <v>214.88</v>
          </cell>
          <cell r="F10167">
            <v>0</v>
          </cell>
        </row>
        <row r="10168">
          <cell r="B10168">
            <v>103008</v>
          </cell>
          <cell r="C10168" t="str">
            <v>VÁLVULA DE RETENÇÃO HORIZONTAL, DE BRONZE, ROSCÁVEL, 1/2" - FORNECIMENTO E INSTALAÇÃO. AF_08/2021</v>
          </cell>
          <cell r="D10168" t="str">
            <v>UN</v>
          </cell>
          <cell r="E10168">
            <v>129.11000000000001</v>
          </cell>
          <cell r="F10168">
            <v>0</v>
          </cell>
        </row>
        <row r="10169">
          <cell r="B10169">
            <v>99624</v>
          </cell>
          <cell r="C10169" t="str">
            <v>VÁLVULA DE RETENÇÃO HORIZONTAL, DE BRONZE, ROSCÁVEL, 2 1/2" - FORNECIMENTO E INSTALAÇÃO. AF_08/2021</v>
          </cell>
          <cell r="D10169" t="str">
            <v>UN</v>
          </cell>
          <cell r="E10169">
            <v>716.94</v>
          </cell>
          <cell r="F10169">
            <v>0</v>
          </cell>
        </row>
        <row r="10170">
          <cell r="B10170">
            <v>99623</v>
          </cell>
          <cell r="C10170" t="str">
            <v>VÁLVULA DE RETENÇÃO HORIZONTAL, DE BRONZE, ROSCÁVEL, 2" - FORNECIMENTO E INSTALAÇÃO. AF_08/2021</v>
          </cell>
          <cell r="D10170" t="str">
            <v>UN</v>
          </cell>
          <cell r="E10170">
            <v>502.99</v>
          </cell>
          <cell r="F10170">
            <v>0</v>
          </cell>
        </row>
        <row r="10171">
          <cell r="B10171">
            <v>99625</v>
          </cell>
          <cell r="C10171" t="str">
            <v>VÁLVULA DE RETENÇÃO HORIZONTAL, DE BRONZE, ROSCÁVEL, 3" - FORNECIMENTO E INSTALAÇÃO. AF_08/2021</v>
          </cell>
          <cell r="D10171" t="str">
            <v>UN</v>
          </cell>
          <cell r="E10171">
            <v>985.89</v>
          </cell>
          <cell r="F10171">
            <v>0</v>
          </cell>
        </row>
        <row r="10172">
          <cell r="B10172">
            <v>99619</v>
          </cell>
          <cell r="C10172" t="str">
            <v>VÁLVULA DE RETENÇÃO HORIZONTAL, DE BRONZE, ROSCÁVEL, 3/4" - FORNECIMENTO E INSTALAÇÃO. AF_08/2021</v>
          </cell>
          <cell r="D10172" t="str">
            <v>UN</v>
          </cell>
          <cell r="E10172">
            <v>158.16999999999999</v>
          </cell>
          <cell r="F10172">
            <v>0</v>
          </cell>
        </row>
        <row r="10173">
          <cell r="B10173">
            <v>99626</v>
          </cell>
          <cell r="C10173" t="str">
            <v>VÁLVULA DE RETENÇÃO HORIZONTAL, DE BRONZE, ROSCÁVEL, 4" - FORNECIMENTO E INSTALAÇÃO. AF_08/2021</v>
          </cell>
          <cell r="D10173" t="str">
            <v>UN</v>
          </cell>
          <cell r="E10173">
            <v>1517.18</v>
          </cell>
          <cell r="F10173">
            <v>0</v>
          </cell>
        </row>
        <row r="10174">
          <cell r="B10174">
            <v>99631</v>
          </cell>
          <cell r="C10174" t="str">
            <v>VÁLVULA DE RETENÇÃO VERTICAL, DE BRONZE, ROSCÁVEL, 1 1/2" - FORNECIMENTO E INSTALAÇÃO. AF_08/2021</v>
          </cell>
          <cell r="D10174" t="str">
            <v>UN</v>
          </cell>
          <cell r="E10174">
            <v>201.11</v>
          </cell>
          <cell r="F10174">
            <v>0</v>
          </cell>
        </row>
        <row r="10175">
          <cell r="B10175">
            <v>99630</v>
          </cell>
          <cell r="C10175" t="str">
            <v>VÁLVULA DE RETENÇÃO VERTICAL, DE BRONZE, ROSCÁVEL, 1 1/4" - FORNECIMENTO E INSTALAÇÃO. AF_08/2021</v>
          </cell>
          <cell r="D10175" t="str">
            <v>UN</v>
          </cell>
          <cell r="E10175">
            <v>172.62</v>
          </cell>
          <cell r="F10175">
            <v>0</v>
          </cell>
        </row>
        <row r="10176">
          <cell r="B10176">
            <v>99629</v>
          </cell>
          <cell r="C10176" t="str">
            <v>VÁLVULA DE RETENÇÃO VERTICAL, DE BRONZE, ROSCÁVEL, 1" - FORNECIMENTO E INSTALAÇÃO. AF_08/2021</v>
          </cell>
          <cell r="D10176" t="str">
            <v>UN</v>
          </cell>
          <cell r="E10176">
            <v>116.1</v>
          </cell>
          <cell r="F10176">
            <v>0</v>
          </cell>
        </row>
        <row r="10177">
          <cell r="B10177">
            <v>99627</v>
          </cell>
          <cell r="C10177" t="str">
            <v>VÁLVULA DE RETENÇÃO VERTICAL, DE BRONZE, ROSCÁVEL, 1/2" - FORNECIMENTO E INSTALAÇÃO. AF_08/2021</v>
          </cell>
          <cell r="D10177" t="str">
            <v>UN</v>
          </cell>
          <cell r="E10177">
            <v>95.45</v>
          </cell>
          <cell r="F10177">
            <v>0</v>
          </cell>
        </row>
        <row r="10178">
          <cell r="B10178">
            <v>103009</v>
          </cell>
          <cell r="C10178" t="str">
            <v>VÁLVULA DE RETENÇÃO VERTICAL, DE BRONZE, ROSCÁVEL, 2 1/2" - FORNECIMENTO E INSTALAÇÃO. AF_08/2021</v>
          </cell>
          <cell r="D10178" t="str">
            <v>UN</v>
          </cell>
          <cell r="E10178">
            <v>457.61</v>
          </cell>
          <cell r="F10178">
            <v>0</v>
          </cell>
        </row>
        <row r="10179">
          <cell r="B10179">
            <v>99632</v>
          </cell>
          <cell r="C10179" t="str">
            <v>VÁLVULA DE RETENÇÃO VERTICAL, DE BRONZE, ROSCÁVEL, 2" - FORNECIMENTO E INSTALAÇÃO. AF_08/2021</v>
          </cell>
          <cell r="D10179" t="str">
            <v>UN</v>
          </cell>
          <cell r="E10179">
            <v>289.77</v>
          </cell>
          <cell r="F10179">
            <v>0</v>
          </cell>
        </row>
        <row r="10180">
          <cell r="B10180">
            <v>99633</v>
          </cell>
          <cell r="C10180" t="str">
            <v>VÁLVULA DE RETENÇÃO VERTICAL, DE BRONZE, ROSCÁVEL, 3" - FORNECIMENTO E INSTALAÇÃO. AF_08/2021</v>
          </cell>
          <cell r="D10180" t="str">
            <v>UN</v>
          </cell>
          <cell r="E10180">
            <v>621.08000000000004</v>
          </cell>
          <cell r="F10180">
            <v>0</v>
          </cell>
        </row>
        <row r="10181">
          <cell r="B10181">
            <v>99628</v>
          </cell>
          <cell r="C10181" t="str">
            <v>VÁLVULA DE RETENÇÃO VERTICAL, DE BRONZE, ROSCÁVEL, 3/4" - FORNECIMENTO E INSTALAÇÃO. AF_08/2021</v>
          </cell>
          <cell r="D10181" t="str">
            <v>UN</v>
          </cell>
          <cell r="E10181">
            <v>104.34</v>
          </cell>
          <cell r="F10181">
            <v>0</v>
          </cell>
        </row>
        <row r="10182">
          <cell r="B10182">
            <v>99634</v>
          </cell>
          <cell r="C10182" t="str">
            <v>VÁLVULA DE RETENÇÃO VERTICAL, DE BRONZE, ROSCÁVEL, 4" - FORNECIMENTO E INSTALAÇÃO. AF_08/2021</v>
          </cell>
          <cell r="D10182" t="str">
            <v>UN</v>
          </cell>
          <cell r="E10182">
            <v>1058.18</v>
          </cell>
          <cell r="F10182">
            <v>0</v>
          </cell>
        </row>
        <row r="10183">
          <cell r="B10183">
            <v>103013</v>
          </cell>
          <cell r="C10183" t="str">
            <v>VÁLVULA DE RETENÇÃO, DE BRONZE, PÉ COM CRIVOS, ROSCÁVEL, 1 1/2" - FORNECIMENTO E INSTALAÇÃO. AF_08/2021</v>
          </cell>
          <cell r="D10183" t="str">
            <v>UN</v>
          </cell>
          <cell r="E10183">
            <v>185.52</v>
          </cell>
          <cell r="F10183">
            <v>0</v>
          </cell>
        </row>
        <row r="10184">
          <cell r="B10184">
            <v>103012</v>
          </cell>
          <cell r="C10184" t="str">
            <v>VÁLVULA DE RETENÇÃO, DE BRONZE, PÉ COM CRIVOS, ROSCÁVEL, 1 1/4" - FORNECIMENTO E INSTALAÇÃO. AF_08/2021</v>
          </cell>
          <cell r="D10184" t="str">
            <v>UN</v>
          </cell>
          <cell r="E10184">
            <v>172.21</v>
          </cell>
          <cell r="F10184">
            <v>0</v>
          </cell>
        </row>
        <row r="10185">
          <cell r="B10185">
            <v>103011</v>
          </cell>
          <cell r="C10185" t="str">
            <v>VÁLVULA DE RETENÇÃO, DE BRONZE, PÉ COM CRIVOS, ROSCÁVEL, 1" - FORNECIMENTO E INSTALAÇÃO. AF_08/2021</v>
          </cell>
          <cell r="D10185" t="str">
            <v>UN</v>
          </cell>
          <cell r="E10185">
            <v>109.26</v>
          </cell>
          <cell r="F10185">
            <v>0</v>
          </cell>
        </row>
        <row r="10186">
          <cell r="B10186">
            <v>103015</v>
          </cell>
          <cell r="C10186" t="str">
            <v>VÁLVULA DE RETENÇÃO, DE BRONZE, PÉ COM CRIVOS, ROSCÁVEL, 2 1/2" - FORNECIMENTO E INSTALAÇÃO. AF_08/2021</v>
          </cell>
          <cell r="D10186" t="str">
            <v>UN</v>
          </cell>
          <cell r="E10186">
            <v>492.61</v>
          </cell>
          <cell r="F10186">
            <v>0</v>
          </cell>
        </row>
        <row r="10187">
          <cell r="B10187">
            <v>103014</v>
          </cell>
          <cell r="C10187" t="str">
            <v>VÁLVULA DE RETENÇÃO, DE BRONZE, PÉ COM CRIVOS, ROSCÁVEL, 2" - FORNECIMENTO E INSTALAÇÃO. AF_08/2021</v>
          </cell>
          <cell r="D10187" t="str">
            <v>UN</v>
          </cell>
          <cell r="E10187">
            <v>278.83</v>
          </cell>
          <cell r="F10187">
            <v>0</v>
          </cell>
        </row>
        <row r="10188">
          <cell r="B10188">
            <v>103016</v>
          </cell>
          <cell r="C10188" t="str">
            <v>VÁLVULA DE RETENÇÃO, DE BRONZE, PÉ COM CRIVOS, ROSCÁVEL, 3" - FORNECIMENTO E INSTALAÇÃO. AF_08/2021</v>
          </cell>
          <cell r="D10188" t="str">
            <v>UN</v>
          </cell>
          <cell r="E10188">
            <v>673.31</v>
          </cell>
          <cell r="F10188">
            <v>0</v>
          </cell>
        </row>
        <row r="10189">
          <cell r="B10189">
            <v>103010</v>
          </cell>
          <cell r="C10189" t="str">
            <v>VÁLVULA DE RETENÇÃO, DE BRONZE, PÉ COM CRIVOS, ROSCÁVEL, 3/4" - FORNECIMENTO E INSTALAÇÃO. AF_08/2021</v>
          </cell>
          <cell r="D10189" t="str">
            <v>UN</v>
          </cell>
          <cell r="E10189">
            <v>97.92</v>
          </cell>
          <cell r="F10189">
            <v>0</v>
          </cell>
        </row>
        <row r="10190">
          <cell r="B10190">
            <v>103017</v>
          </cell>
          <cell r="C10190" t="str">
            <v>VÁLVULA DE RETENÇÃO, DE BRONZE, PÉ COM CRIVOS, ROSCÁVEL, 4" - FORNECIMENTO E INSTALAÇÃO. AF_08/2021</v>
          </cell>
          <cell r="D10190" t="str">
            <v>UN</v>
          </cell>
          <cell r="E10190">
            <v>1174.57</v>
          </cell>
          <cell r="F10190">
            <v>0</v>
          </cell>
        </row>
        <row r="10191">
          <cell r="B10191">
            <v>103033</v>
          </cell>
          <cell r="C10191" t="str">
            <v>VÁLVULA DE SEGURANÇA À TEMPERATURA, 1/2" - FORNECIMENTO E INSTALAÇÃO. AF_08/2021</v>
          </cell>
          <cell r="D10191" t="str">
            <v>UN</v>
          </cell>
          <cell r="E10191">
            <v>0</v>
          </cell>
        </row>
        <row r="10192">
          <cell r="B10192">
            <v>103032</v>
          </cell>
          <cell r="C10192" t="str">
            <v>VÁLVULA ESFERA PARA GÁS, 1" - FORNECIMENTO E INSTALAÇÃO. AF_08/2021</v>
          </cell>
          <cell r="D10192" t="str">
            <v>UN</v>
          </cell>
          <cell r="E10192">
            <v>0</v>
          </cell>
        </row>
        <row r="10193">
          <cell r="B10193">
            <v>103030</v>
          </cell>
          <cell r="C10193" t="str">
            <v>VÁLVULA ESFERA PARA GÁS, 1/2" - FORNECIMENTO E INSTALAÇÃO. AF_08/2021</v>
          </cell>
          <cell r="D10193" t="str">
            <v>UN</v>
          </cell>
          <cell r="E10193">
            <v>0</v>
          </cell>
        </row>
        <row r="10194">
          <cell r="B10194">
            <v>103031</v>
          </cell>
          <cell r="C10194" t="str">
            <v>VÁLVULA ESFERA PARA GÁS, 3/4" - FORNECIMENTO E INSTALAÇÃO. AF_08/2021</v>
          </cell>
          <cell r="D10194" t="str">
            <v>UN</v>
          </cell>
          <cell r="E10194">
            <v>0</v>
          </cell>
        </row>
        <row r="10195">
          <cell r="B10195">
            <v>103035</v>
          </cell>
          <cell r="C10195" t="str">
            <v>VÁLVULA ESTABILIZADORA DE VAZÃO/ AUTOFLOW, 1" - FORNECIMENTO E INSTALAÇÃO. AF_08/2021</v>
          </cell>
          <cell r="D10195" t="str">
            <v>UN</v>
          </cell>
          <cell r="E10195">
            <v>0</v>
          </cell>
        </row>
        <row r="10196">
          <cell r="B10196">
            <v>103034</v>
          </cell>
          <cell r="C10196" t="str">
            <v>VÁLVULA ESTABILIZADORA DE VAZÃO/ AUTOFLOW, 3/4" - FORNECIMENTO E INSTALAÇÃO. AF_08/2021</v>
          </cell>
          <cell r="D10196" t="str">
            <v>UN</v>
          </cell>
          <cell r="E10196">
            <v>0</v>
          </cell>
        </row>
        <row r="10197">
          <cell r="B10197">
            <v>103024</v>
          </cell>
          <cell r="C10197" t="str">
            <v>VÁLVULA REDUTORA DE PRESSÃO PARA SISTEMAS PREDIAIS, 1 1/2" - FORNECIMENTO E INSTALAÇÃO. AF_08/2021</v>
          </cell>
          <cell r="D10197" t="str">
            <v>UN</v>
          </cell>
          <cell r="E10197">
            <v>0</v>
          </cell>
        </row>
        <row r="10198">
          <cell r="B10198">
            <v>103023</v>
          </cell>
          <cell r="C10198" t="str">
            <v>VÁLVULA REDUTORA DE PRESSÃO PARA SISTEMAS PREDIAIS, 1 1/4" - FORNECIMENTO E INSTALAÇÃO. AF_08/2021</v>
          </cell>
          <cell r="D10198" t="str">
            <v>UN</v>
          </cell>
          <cell r="E10198">
            <v>0</v>
          </cell>
        </row>
        <row r="10199">
          <cell r="B10199">
            <v>103022</v>
          </cell>
          <cell r="C10199" t="str">
            <v>VÁLVULA REDUTORA DE PRESSÃO PARA SISTEMAS PREDIAIS, 1" - FORNECIMENTO E INSTALAÇÃO. AF_08/2021</v>
          </cell>
          <cell r="D10199" t="str">
            <v>UN</v>
          </cell>
          <cell r="E10199">
            <v>0</v>
          </cell>
        </row>
        <row r="10200">
          <cell r="B10200">
            <v>103020</v>
          </cell>
          <cell r="C10200" t="str">
            <v>VÁLVULA REDUTORA DE PRESSÃO PARA SISTEMAS PREDIAIS, 1/2" - FORNECIMENTO E INSTALAÇÃO. AF_08/2021</v>
          </cell>
          <cell r="D10200" t="str">
            <v>UN</v>
          </cell>
          <cell r="E10200">
            <v>0</v>
          </cell>
        </row>
        <row r="10201">
          <cell r="B10201">
            <v>103026</v>
          </cell>
          <cell r="C10201" t="str">
            <v>VÁLVULA REDUTORA DE PRESSÃO PARA SISTEMAS PREDIAIS, 2 1/2" - FORNECIMENTO E INSTALAÇÃO. AF_08/2021</v>
          </cell>
          <cell r="D10201" t="str">
            <v>UN</v>
          </cell>
          <cell r="E10201">
            <v>0</v>
          </cell>
        </row>
        <row r="10202">
          <cell r="B10202">
            <v>103025</v>
          </cell>
          <cell r="C10202" t="str">
            <v>VÁLVULA REDUTORA DE PRESSÃO PARA SISTEMAS PREDIAIS, 2" - FORNECIMENTO E INSTALAÇÃO. AF_08/2021</v>
          </cell>
          <cell r="D10202" t="str">
            <v>UN</v>
          </cell>
          <cell r="E10202">
            <v>0</v>
          </cell>
        </row>
        <row r="10203">
          <cell r="B10203">
            <v>103021</v>
          </cell>
          <cell r="C10203" t="str">
            <v>VÁLVULA REDUTORA DE PRESSÃO PARA SISTEMAS PREDIAIS, 3/4" - FORNECIMENTO E INSTALAÇÃO. AF_08/2021</v>
          </cell>
          <cell r="D10203" t="str">
            <v>UN</v>
          </cell>
          <cell r="E10203">
            <v>0</v>
          </cell>
        </row>
        <row r="10204">
          <cell r="B10204">
            <v>103027</v>
          </cell>
          <cell r="C10204" t="str">
            <v>VÁLVULA VENTOSA ELIMINADORA DE AR, PARA SISTEMAS PREDIAIS, 1/2" - FORNECIMENTO E INSTALAÇÃO. AF_08/2021</v>
          </cell>
          <cell r="D10204" t="str">
            <v>UN</v>
          </cell>
          <cell r="E10204">
            <v>0</v>
          </cell>
        </row>
        <row r="10205">
          <cell r="B10205">
            <v>103028</v>
          </cell>
          <cell r="C10205" t="str">
            <v>VÁLVULA VENTOSA ELIMINADORA DE AR, PARA SISTEMAS PREDIAIS, 3/4" - FORNECIMENTO E INSTALAÇÃO. AF_08/2021</v>
          </cell>
          <cell r="D10205" t="str">
            <v>UN</v>
          </cell>
          <cell r="E10205">
            <v>0</v>
          </cell>
        </row>
        <row r="10206">
          <cell r="B10206">
            <v>103563</v>
          </cell>
          <cell r="C10206" t="str">
            <v>JUNTA DE DESMONTAGEM TRAVADA AXIALMENTE DE FERRO FUNDIDO PARA REDE DE ÁGUA OU ESGOTO, DN 100 MM. AF_12/2021</v>
          </cell>
          <cell r="D10206" t="str">
            <v>UN</v>
          </cell>
          <cell r="E10206">
            <v>0</v>
          </cell>
        </row>
        <row r="10207">
          <cell r="B10207">
            <v>103564</v>
          </cell>
          <cell r="C10207" t="str">
            <v>JUNTA DE DESMONTAGEM TRAVADA AXIALMENTE DE FERRO FUNDIDO PARA REDE DE ÁGUA OU ESGOTO, DN 150 MM. AF_12/2021</v>
          </cell>
          <cell r="D10207" t="str">
            <v>UN</v>
          </cell>
          <cell r="E10207">
            <v>0</v>
          </cell>
        </row>
        <row r="10208">
          <cell r="B10208">
            <v>103565</v>
          </cell>
          <cell r="C10208" t="str">
            <v>JUNTA DE DESMONTAGEM TRAVADA AXIALMENTE DE FERRO FUNDIDO PARA REDE DE ÁGUA OU ESGOTO, DN 200 MM. AF_12/2021</v>
          </cell>
          <cell r="D10208" t="str">
            <v>UN</v>
          </cell>
          <cell r="E10208">
            <v>0</v>
          </cell>
        </row>
        <row r="10209">
          <cell r="B10209">
            <v>103566</v>
          </cell>
          <cell r="C10209" t="str">
            <v>JUNTA DE DESMONTAGEM TRAVADA AXIALMENTE DE FERRO FUNDIDO PARA REDE DE ÁGUA OU ESGOTO, DN 250 MM. AF_12/2021</v>
          </cell>
          <cell r="D10209" t="str">
            <v>UN</v>
          </cell>
          <cell r="E10209">
            <v>0</v>
          </cell>
        </row>
        <row r="10210">
          <cell r="B10210">
            <v>103567</v>
          </cell>
          <cell r="C10210" t="str">
            <v>JUNTA DE DESMONTAGEM TRAVADA AXIALMENTE DE FERRO FUNDIDO PARA REDE DE ÁGUA OU ESGOTO, DN 300 MM. AF_12/2021</v>
          </cell>
          <cell r="D10210" t="str">
            <v>UN</v>
          </cell>
          <cell r="E10210">
            <v>0</v>
          </cell>
        </row>
        <row r="10211">
          <cell r="B10211">
            <v>103568</v>
          </cell>
          <cell r="C10211" t="str">
            <v>JUNTA DE DESMONTAGEM TRAVADA AXIALMENTE DE FERRO FUNDIDO PARA REDE DE ÁGUA OU ESGOTO, DN 350 MM. AF_12/2021</v>
          </cell>
          <cell r="D10211" t="str">
            <v>UN</v>
          </cell>
          <cell r="E10211">
            <v>0</v>
          </cell>
        </row>
        <row r="10212">
          <cell r="B10212">
            <v>103569</v>
          </cell>
          <cell r="C10212" t="str">
            <v>JUNTA DE DESMONTAGEM TRAVADA AXIALMENTE DE FERRO FUNDIDO PARA REDE DE ÁGUA OU ESGOTO, DN 400 MM. AF_12/2021</v>
          </cell>
          <cell r="D10212" t="str">
            <v>UN</v>
          </cell>
          <cell r="E10212">
            <v>0</v>
          </cell>
        </row>
        <row r="10213">
          <cell r="B10213">
            <v>103570</v>
          </cell>
          <cell r="C10213" t="str">
            <v>JUNTA DE DESMONTAGEM TRAVADA AXIALMENTE DE FERRO FUNDIDO PARA REDE DE ÁGUA OU ESGOTO, DN 500 MM. AF_12/2021</v>
          </cell>
          <cell r="D10213" t="str">
            <v>UN</v>
          </cell>
          <cell r="E10213">
            <v>0</v>
          </cell>
        </row>
        <row r="10214">
          <cell r="B10214">
            <v>103571</v>
          </cell>
          <cell r="C10214" t="str">
            <v>JUNTA DE DESMONTAGEM TRAVADA AXIALMENTE DE FERRO FUNDIDO PARA REDE DE ÁGUA OU ESGOTO, DN 600 MM. AF_12/2021</v>
          </cell>
          <cell r="D10214" t="str">
            <v>UN</v>
          </cell>
          <cell r="E10214">
            <v>0</v>
          </cell>
        </row>
        <row r="10215">
          <cell r="B10215">
            <v>103562</v>
          </cell>
          <cell r="C10215" t="str">
            <v>JUNTA DE DESMONTAGEM TRAVADA AXIALMENTE DE FERRO FUNDIDO PARA REDE DE ÁGUA OU ESGOTO, DN 80 MM. AF_12/2021</v>
          </cell>
          <cell r="D10215" t="str">
            <v>UN</v>
          </cell>
          <cell r="E10215">
            <v>0</v>
          </cell>
        </row>
        <row r="10216">
          <cell r="B10216">
            <v>103573</v>
          </cell>
          <cell r="C10216" t="str">
            <v>JUNTA MECÂNICA (LUVA DE CORRER COM BOLSA JUNTA MECÂNICA) DE FERRO FUNDIDO PARA REDE DE ÁGUA OU ESGOTO, DN 100 MM. AF_12/2021</v>
          </cell>
          <cell r="D10216" t="str">
            <v>UN</v>
          </cell>
          <cell r="E10216">
            <v>0</v>
          </cell>
        </row>
        <row r="10217">
          <cell r="B10217">
            <v>103585</v>
          </cell>
          <cell r="C10217" t="str">
            <v>JUNTA MECÂNICA (LUVA DE CORRER COM BOLSA JUNTA MECÂNICA) DE FERRO FUNDIDO PARA REDE DE ÁGUA OU ESGOTO, DN 1000 MM. AF_12/2021</v>
          </cell>
          <cell r="D10217" t="str">
            <v>UN</v>
          </cell>
          <cell r="E10217">
            <v>0</v>
          </cell>
        </row>
        <row r="10218">
          <cell r="B10218">
            <v>103586</v>
          </cell>
          <cell r="C10218" t="str">
            <v>JUNTA MECÂNICA (LUVA DE CORRER COM BOLSA JUNTA MECÂNICA) DE FERRO FUNDIDO PARA REDE DE ÁGUA OU ESGOTO, DN 1200 MM. AF_12/2021</v>
          </cell>
          <cell r="D10218" t="str">
            <v>UN</v>
          </cell>
          <cell r="E10218">
            <v>0</v>
          </cell>
        </row>
        <row r="10219">
          <cell r="B10219">
            <v>103574</v>
          </cell>
          <cell r="C10219" t="str">
            <v>JUNTA MECÂNICA (LUVA DE CORRER COM BOLSA JUNTA MECÂNICA) DE FERRO FUNDIDO PARA REDE DE ÁGUA OU ESGOTO, DN 150 MM. AF_12/2021</v>
          </cell>
          <cell r="D10219" t="str">
            <v>UN</v>
          </cell>
          <cell r="E10219">
            <v>0</v>
          </cell>
        </row>
        <row r="10220">
          <cell r="B10220">
            <v>103575</v>
          </cell>
          <cell r="C10220" t="str">
            <v>JUNTA MECÂNICA (LUVA DE CORRER COM BOLSA JUNTA MECÂNICA) DE FERRO FUNDIDO PARA REDE DE ÁGUA OU ESGOTO, DN 200 MM. AF_12/2021</v>
          </cell>
          <cell r="D10220" t="str">
            <v>UN</v>
          </cell>
          <cell r="E10220">
            <v>0</v>
          </cell>
        </row>
        <row r="10221">
          <cell r="B10221">
            <v>103576</v>
          </cell>
          <cell r="C10221" t="str">
            <v>JUNTA MECÂNICA (LUVA DE CORRER COM BOLSA JUNTA MECÂNICA) DE FERRO FUNDIDO PARA REDE DE ÁGUA OU ESGOTO, DN 250 MM. AF_12/2021</v>
          </cell>
          <cell r="D10221" t="str">
            <v>UN</v>
          </cell>
          <cell r="E10221">
            <v>0</v>
          </cell>
        </row>
        <row r="10222">
          <cell r="B10222">
            <v>103577</v>
          </cell>
          <cell r="C10222" t="str">
            <v>JUNTA MECÂNICA (LUVA DE CORRER COM BOLSA JUNTA MECÂNICA) DE FERRO FUNDIDO PARA REDE DE ÁGUA OU ESGOTO, DN 300 MM. AF_12/2021</v>
          </cell>
          <cell r="D10222" t="str">
            <v>UN</v>
          </cell>
          <cell r="E10222">
            <v>0</v>
          </cell>
        </row>
        <row r="10223">
          <cell r="B10223">
            <v>103578</v>
          </cell>
          <cell r="C10223" t="str">
            <v>JUNTA MECÂNICA (LUVA DE CORRER COM BOLSA JUNTA MECÂNICA) DE FERRO FUNDIDO PARA REDE DE ÁGUA OU ESGOTO, DN 350 MM. AF_12/2021</v>
          </cell>
          <cell r="D10223" t="str">
            <v>UN</v>
          </cell>
          <cell r="E10223">
            <v>0</v>
          </cell>
        </row>
        <row r="10224">
          <cell r="B10224">
            <v>103579</v>
          </cell>
          <cell r="C10224" t="str">
            <v>JUNTA MECÂNICA (LUVA DE CORRER COM BOLSA JUNTA MECÂNICA) DE FERRO FUNDIDO PARA REDE DE ÁGUA OU ESGOTO, DN 400 MM. AF_12/2021</v>
          </cell>
          <cell r="D10224" t="str">
            <v>UN</v>
          </cell>
          <cell r="E10224">
            <v>0</v>
          </cell>
        </row>
        <row r="10225">
          <cell r="B10225">
            <v>103580</v>
          </cell>
          <cell r="C10225" t="str">
            <v>JUNTA MECÂNICA (LUVA DE CORRER COM BOLSA JUNTA MECÂNICA) DE FERRO FUNDIDO PARA REDE DE ÁGUA OU ESGOTO, DN 500 MM. AF_12/2021</v>
          </cell>
          <cell r="D10225" t="str">
            <v>UN</v>
          </cell>
          <cell r="E10225">
            <v>0</v>
          </cell>
        </row>
        <row r="10226">
          <cell r="B10226">
            <v>103581</v>
          </cell>
          <cell r="C10226" t="str">
            <v>JUNTA MECÂNICA (LUVA DE CORRER COM BOLSA JUNTA MECÂNICA) DE FERRO FUNDIDO PARA REDE DE ÁGUA OU ESGOTO, DN 600 MM. AF_12/2021</v>
          </cell>
          <cell r="D10226" t="str">
            <v>UN</v>
          </cell>
          <cell r="E10226">
            <v>0</v>
          </cell>
        </row>
        <row r="10227">
          <cell r="B10227">
            <v>103582</v>
          </cell>
          <cell r="C10227" t="str">
            <v>JUNTA MECÂNICA (LUVA DE CORRER COM BOLSA JUNTA MECÂNICA) DE FERRO FUNDIDO PARA REDE DE ÁGUA OU ESGOTO, DN 700 MM. AF_12/2021</v>
          </cell>
          <cell r="D10227" t="str">
            <v>UN</v>
          </cell>
          <cell r="E10227">
            <v>0</v>
          </cell>
        </row>
        <row r="10228">
          <cell r="B10228">
            <v>103572</v>
          </cell>
          <cell r="C10228" t="str">
            <v>JUNTA MECÂNICA (LUVA DE CORRER COM BOLSA JUNTA MECÂNICA) DE FERRO FUNDIDO PARA REDE DE ÁGUA OU ESGOTO, DN 80 MM. AF_12/2021</v>
          </cell>
          <cell r="D10228" t="str">
            <v>UN</v>
          </cell>
          <cell r="E10228">
            <v>0</v>
          </cell>
        </row>
        <row r="10229">
          <cell r="B10229">
            <v>103583</v>
          </cell>
          <cell r="C10229" t="str">
            <v>JUNTA MECÂNICA (LUVA DE CORRER COM BOLSA JUNTA MECÂNICA) DE FERRO FUNDIDO PARA REDE DE ÁGUA OU ESGOTO, DN 800 MM. AF_12/2021</v>
          </cell>
          <cell r="D10229" t="str">
            <v>UN</v>
          </cell>
          <cell r="E10229">
            <v>0</v>
          </cell>
        </row>
        <row r="10230">
          <cell r="B10230">
            <v>103584</v>
          </cell>
          <cell r="C10230" t="str">
            <v>JUNTA MECÂNICA (LUVA DE CORRER COM BOLSA JUNTA MECÂNICA) DE FERRO FUNDIDO PARA REDE DE ÁGUA OU ESGOTO, DN 900 MM. AF_12/2021</v>
          </cell>
          <cell r="D10230" t="str">
            <v>UN</v>
          </cell>
          <cell r="E10230">
            <v>0</v>
          </cell>
        </row>
        <row r="10231">
          <cell r="B10231">
            <v>103557</v>
          </cell>
          <cell r="C10231" t="str">
            <v>MEDIDOR DE VAZÃO ELETROMAGNÉTICO DE AÇO CARBONO PARA REDE DE ÁGUA OU ESGOTO, DN 100 MM, JUNTA FLANGEADA. AF_12/2021</v>
          </cell>
          <cell r="D10231" t="str">
            <v>UN</v>
          </cell>
          <cell r="E10231">
            <v>0</v>
          </cell>
        </row>
        <row r="10232">
          <cell r="B10232">
            <v>103558</v>
          </cell>
          <cell r="C10232" t="str">
            <v>MEDIDOR DE VAZÃO ELETROMAGNÉTICO DE AÇO CARBONO PARA REDE DE ÁGUA OU ESGOTO, DN 200 MM, JUNTA FLANGEADA. AF_12/2021</v>
          </cell>
          <cell r="D10232" t="str">
            <v>UN</v>
          </cell>
          <cell r="E10232">
            <v>0</v>
          </cell>
        </row>
        <row r="10233">
          <cell r="B10233">
            <v>103559</v>
          </cell>
          <cell r="C10233" t="str">
            <v>MEDIDOR DE VAZÃO ELETROMAGNÉTICO DE AÇO CARBONO PARA REDE DE ÁGUA OU ESGOTO, DN 300 MM, JUNTA FLANGEADA. AF_12/2021</v>
          </cell>
          <cell r="D10233" t="str">
            <v>UN</v>
          </cell>
          <cell r="E10233">
            <v>0</v>
          </cell>
        </row>
        <row r="10234">
          <cell r="B10234">
            <v>103560</v>
          </cell>
          <cell r="C10234" t="str">
            <v>MEDIDOR DE VAZÃO ELETROMAGNÉTICO DE AÇO CARBONO PARA REDE DE ÁGUA OU ESGOTO, DN 400 MM, JUNTA FLANGEADA. AF_12/2021</v>
          </cell>
          <cell r="D10234" t="str">
            <v>UN</v>
          </cell>
          <cell r="E10234">
            <v>0</v>
          </cell>
        </row>
        <row r="10235">
          <cell r="B10235">
            <v>103561</v>
          </cell>
          <cell r="C10235" t="str">
            <v>MEDIDOR DE VAZÃO ELETROMAGNÉTICO DE AÇO CARBONO PARA REDE DE ÁGUA OU ESGOTO, DN 500 MM, JUNTA FLANGEADA. AF_12/2021</v>
          </cell>
          <cell r="D10235" t="str">
            <v>UN</v>
          </cell>
          <cell r="E10235">
            <v>0</v>
          </cell>
        </row>
        <row r="10236">
          <cell r="B10236">
            <v>103529</v>
          </cell>
          <cell r="C10236" t="str">
            <v>REGISTRO DE GAVETA DE FERRO FUNDIDO PARA REDE DE ÁGUA OU ESGOTO, DN 100 MM, JUNTA FLANGEADA. AF_12/2021</v>
          </cell>
          <cell r="D10236" t="str">
            <v>UN</v>
          </cell>
          <cell r="E10236">
            <v>0</v>
          </cell>
        </row>
        <row r="10237">
          <cell r="B10237">
            <v>103530</v>
          </cell>
          <cell r="C10237" t="str">
            <v>REGISTRO DE GAVETA DE FERRO FUNDIDO PARA REDE DE ÁGUA OU ESGOTO, DN 150 MM, JUNTA FLANGEADA. AF_01/2021</v>
          </cell>
          <cell r="D10237" t="str">
            <v>UN</v>
          </cell>
          <cell r="E10237">
            <v>0</v>
          </cell>
        </row>
        <row r="10238">
          <cell r="B10238">
            <v>103531</v>
          </cell>
          <cell r="C10238" t="str">
            <v>REGISTRO DE GAVETA DE FERRO FUNDIDO PARA REDE DE ÁGUA OU ESGOTO, DN 200 MM, JUNTA FLANGEADA. AF_12/2021</v>
          </cell>
          <cell r="D10238" t="str">
            <v>UN</v>
          </cell>
          <cell r="E10238">
            <v>0</v>
          </cell>
        </row>
        <row r="10239">
          <cell r="B10239">
            <v>103532</v>
          </cell>
          <cell r="C10239" t="str">
            <v>REGISTRO DE GAVETA DE FERRO FUNDIDO PARA REDE DE ÁGUA OU ESGOTO, DN 250 MM, JUNTA FLANGEADA. AF_12/2021</v>
          </cell>
          <cell r="D10239" t="str">
            <v>UN</v>
          </cell>
          <cell r="E10239">
            <v>0</v>
          </cell>
        </row>
        <row r="10240">
          <cell r="B10240">
            <v>103533</v>
          </cell>
          <cell r="C10240" t="str">
            <v>REGISTRO DE GAVETA DE FERRO FUNDIDO PARA REDE DE ÁGUA OU ESGOTO, DN 300 MM, JUNTA FLANGEADA. AF_12/2021</v>
          </cell>
          <cell r="D10240" t="str">
            <v>UN</v>
          </cell>
          <cell r="E10240">
            <v>0</v>
          </cell>
        </row>
        <row r="10241">
          <cell r="B10241">
            <v>103534</v>
          </cell>
          <cell r="C10241" t="str">
            <v>REGISTRO DE GAVETA DE FERRO FUNDIDO PARA REDE DE ÁGUA OU ESGOTO, DN 350 MM, JUNTA FLANGEADA. AF_12/2021</v>
          </cell>
          <cell r="D10241" t="str">
            <v>UN</v>
          </cell>
          <cell r="E10241">
            <v>0</v>
          </cell>
        </row>
        <row r="10242">
          <cell r="B10242">
            <v>103535</v>
          </cell>
          <cell r="C10242" t="str">
            <v>REGISTRO DE GAVETA DE FERRO FUNDIDO PARA REDE DE ÁGUA OU ESGOTO, DN 400 MM, JUNTA FLANGEADA. AF_12/2021</v>
          </cell>
          <cell r="D10242" t="str">
            <v>UN</v>
          </cell>
          <cell r="E10242">
            <v>0</v>
          </cell>
        </row>
        <row r="10243">
          <cell r="B10243">
            <v>103527</v>
          </cell>
          <cell r="C10243" t="str">
            <v>REGISTRO DE GAVETA DE FERRO FUNDIDO PARA REDE DE ÁGUA OU ESGOTO, DN 50 MM, JUNTA FLANGEADA. AF_12/2021</v>
          </cell>
          <cell r="D10243" t="str">
            <v>UN</v>
          </cell>
          <cell r="E10243">
            <v>0</v>
          </cell>
        </row>
        <row r="10244">
          <cell r="B10244">
            <v>103536</v>
          </cell>
          <cell r="C10244" t="str">
            <v>REGISTRO DE GAVETA DE FERRO FUNDIDO PARA REDE DE ÁGUA OU ESGOTO, DN 500 MM, JUNTA FLANGEADA. AF_12/2021</v>
          </cell>
          <cell r="D10244" t="str">
            <v>UN</v>
          </cell>
          <cell r="E10244">
            <v>0</v>
          </cell>
        </row>
        <row r="10245">
          <cell r="B10245">
            <v>103528</v>
          </cell>
          <cell r="C10245" t="str">
            <v>REGISTRO DE GAVETA DE FERRO FUNDIDO PARA REDE DE ÁGUA OU ESGOTO, DN 80 MM, JUNTA FLANGEADA. AF_12/2021</v>
          </cell>
          <cell r="D10245" t="str">
            <v>UN</v>
          </cell>
          <cell r="E10245">
            <v>0</v>
          </cell>
        </row>
        <row r="10246">
          <cell r="B10246">
            <v>103541</v>
          </cell>
          <cell r="C10246" t="str">
            <v>VÁLVULA DE RETENÇÃO DE FERRO FUNDIDO PARA REDE DE ÁGUA OU ESGOTO, COM FLANGES, DN 200 MM, JUNTA FLANGEADA. AF_12/2021</v>
          </cell>
          <cell r="D10246" t="str">
            <v>UN</v>
          </cell>
          <cell r="E10246">
            <v>0</v>
          </cell>
        </row>
        <row r="10247">
          <cell r="B10247">
            <v>103539</v>
          </cell>
          <cell r="C10247" t="str">
            <v>VÁLVULA DE RETENÇÃO DE FERRO FUNDIDO PARA REDE DE ÁGUA OU ESGOTO, DN 100 MM, JUNTA FLANGEADA. AF_12/2021</v>
          </cell>
          <cell r="D10247" t="str">
            <v>UN</v>
          </cell>
          <cell r="E10247">
            <v>0</v>
          </cell>
        </row>
        <row r="10248">
          <cell r="B10248">
            <v>103540</v>
          </cell>
          <cell r="C10248" t="str">
            <v>VÁLVULA DE RETENÇÃO DE FERRO FUNDIDO PARA REDE DE ÁGUA OU ESGOTO, DN 150 MM, JUNTA FLANGEADA. AF_12/2021</v>
          </cell>
          <cell r="D10248" t="str">
            <v>UN</v>
          </cell>
          <cell r="E10248">
            <v>0</v>
          </cell>
        </row>
        <row r="10249">
          <cell r="B10249">
            <v>103542</v>
          </cell>
          <cell r="C10249" t="str">
            <v>VÁLVULA DE RETENÇÃO DE FERRO FUNDIDO PARA REDE DE ÁGUA OU ESGOTO, DN 250 MM, JUNTA FLANGEADA. AF_12/2021</v>
          </cell>
          <cell r="D10249" t="str">
            <v>UN</v>
          </cell>
          <cell r="E10249">
            <v>0</v>
          </cell>
        </row>
        <row r="10250">
          <cell r="B10250">
            <v>103543</v>
          </cell>
          <cell r="C10250" t="str">
            <v>VÁLVULA DE RETENÇÃO DE FERRO FUNDIDO PARA REDE DE ÁGUA OU ESGOTO, DN 300 MM, JUNTA FLANGEADA. AF_12/2021</v>
          </cell>
          <cell r="D10250" t="str">
            <v>UN</v>
          </cell>
          <cell r="E10250">
            <v>0</v>
          </cell>
        </row>
        <row r="10251">
          <cell r="B10251">
            <v>103544</v>
          </cell>
          <cell r="C10251" t="str">
            <v>VÁLVULA DE RETENÇÃO DE FERRO FUNDIDO PARA REDE DE ÁGUA OU ESGOTO, DN 350 MM, JUNTA FLANGEADA. AF_12/2021</v>
          </cell>
          <cell r="D10251" t="str">
            <v>UN</v>
          </cell>
          <cell r="E10251">
            <v>0</v>
          </cell>
        </row>
        <row r="10252">
          <cell r="B10252">
            <v>103545</v>
          </cell>
          <cell r="C10252" t="str">
            <v>VÁLVULA DE RETENÇÃO DE FERRO FUNDIDO PARA REDE DE ÁGUA OU ESGOTO, DN 400 MM, JUNTA FLANGEADA. AF_12/2021</v>
          </cell>
          <cell r="D10252" t="str">
            <v>UN</v>
          </cell>
          <cell r="E10252">
            <v>0</v>
          </cell>
        </row>
        <row r="10253">
          <cell r="B10253">
            <v>103537</v>
          </cell>
          <cell r="C10253" t="str">
            <v>VÁLVULA DE RETENÇÃO DE FERRO FUNDIDO PARA REDE DE ÁGUA OU ESGOTO, DN 50 MM, JUNTA FLANGEADA. AF_12/2021</v>
          </cell>
          <cell r="D10253" t="str">
            <v>UN</v>
          </cell>
          <cell r="E10253">
            <v>0</v>
          </cell>
        </row>
        <row r="10254">
          <cell r="B10254">
            <v>103546</v>
          </cell>
          <cell r="C10254" t="str">
            <v>VÁLVULA DE RETENÇÃO DE FERRO FUNDIDO PARA REDE DE ÁGUA OU ESGOTO, DN 500 MM, JUNTA FLANGEADA. AF_12/2021</v>
          </cell>
          <cell r="D10254" t="str">
            <v>UN</v>
          </cell>
          <cell r="E10254">
            <v>0</v>
          </cell>
        </row>
        <row r="10255">
          <cell r="B10255">
            <v>103538</v>
          </cell>
          <cell r="C10255" t="str">
            <v>VÁLVULA DE RETENÇÃO DE FERRO FUNDIDO PARA REDE DE ÁGUA OU ESGOTO, DN 80 MM, JUNTA FLANGEADA. AF_12/2021</v>
          </cell>
          <cell r="D10255" t="str">
            <v>UN</v>
          </cell>
          <cell r="E10255">
            <v>0</v>
          </cell>
        </row>
        <row r="10256">
          <cell r="B10256">
            <v>103549</v>
          </cell>
          <cell r="C10256" t="str">
            <v>VÁLVULA REDUTORA DE PRESSÃO DE FERRO FUNDIDO PARA REDE DE ÁGUA, DN 100 MM, JUNTA FLANGEADA. AF_12/2021</v>
          </cell>
          <cell r="D10256" t="str">
            <v>UN</v>
          </cell>
          <cell r="E10256">
            <v>0</v>
          </cell>
        </row>
        <row r="10257">
          <cell r="B10257">
            <v>103550</v>
          </cell>
          <cell r="C10257" t="str">
            <v>VÁLVULA REDUTORA DE PRESSÃO DE FERRO FUNDIDO PARA REDE DE ÁGUA, DN 150 MM, JUNTA FLANGEADA. AF_12/2021</v>
          </cell>
          <cell r="D10257" t="str">
            <v>UN</v>
          </cell>
          <cell r="E10257">
            <v>0</v>
          </cell>
        </row>
        <row r="10258">
          <cell r="B10258">
            <v>103551</v>
          </cell>
          <cell r="C10258" t="str">
            <v>VÁLVULA REDUTORA DE PRESSÃO DE FERRO FUNDIDO PARA REDE DE ÁGUA, DN 200 MM, JUNTA FLANGEADA. AF_12/2021</v>
          </cell>
          <cell r="D10258" t="str">
            <v>UN</v>
          </cell>
          <cell r="E10258">
            <v>0</v>
          </cell>
        </row>
        <row r="10259">
          <cell r="B10259">
            <v>103552</v>
          </cell>
          <cell r="C10259" t="str">
            <v>VÁLVULA REDUTORA DE PRESSÃO DE FERRO FUNDIDO PARA REDE DE ÁGUA, DN 250 MM, JUNTA FLANGEADA. AF_12/2021</v>
          </cell>
          <cell r="D10259" t="str">
            <v>UN</v>
          </cell>
          <cell r="E10259">
            <v>0</v>
          </cell>
        </row>
        <row r="10260">
          <cell r="B10260">
            <v>103553</v>
          </cell>
          <cell r="C10260" t="str">
            <v>VÁLVULA REDUTORA DE PRESSÃO DE FERRO FUNDIDO PARA REDE DE ÁGUA, DN 300 MM, JUNTA FLANGEADA. AF_12/2021</v>
          </cell>
          <cell r="D10260" t="str">
            <v>UN</v>
          </cell>
          <cell r="E10260">
            <v>0</v>
          </cell>
        </row>
        <row r="10261">
          <cell r="B10261">
            <v>103554</v>
          </cell>
          <cell r="C10261" t="str">
            <v>VÁLVULA REDUTORA DE PRESSÃO DE FERRO FUNDIDO PARA REDE DE ÁGUA, DN 350 MM, JUNTA FLANGEADA. AF_12/2021</v>
          </cell>
          <cell r="D10261" t="str">
            <v>UN</v>
          </cell>
          <cell r="E10261">
            <v>0</v>
          </cell>
        </row>
        <row r="10262">
          <cell r="B10262">
            <v>103555</v>
          </cell>
          <cell r="C10262" t="str">
            <v>VÁLVULA REDUTORA DE PRESSÃO DE FERRO FUNDIDO PARA REDE DE ÁGUA, DN 400 MM, JUNTA FLANGEADA. AF_12/2021</v>
          </cell>
          <cell r="D10262" t="str">
            <v>UN</v>
          </cell>
          <cell r="E10262">
            <v>0</v>
          </cell>
        </row>
        <row r="10263">
          <cell r="B10263">
            <v>103547</v>
          </cell>
          <cell r="C10263" t="str">
            <v>VÁLVULA REDUTORA DE PRESSÃO DE FERRO FUNDIDO PARA REDE DE ÁGUA, DN 50 MM, JUNTA FLANGEADA. AF_12/2021</v>
          </cell>
          <cell r="D10263" t="str">
            <v>UN</v>
          </cell>
          <cell r="E10263">
            <v>0</v>
          </cell>
        </row>
        <row r="10264">
          <cell r="B10264">
            <v>103556</v>
          </cell>
          <cell r="C10264" t="str">
            <v>VÁLVULA REDUTORA DE PRESSÃO DE FERRO FUNDIDO PARA REDE DE ÁGUA, DN 500 MM, JUNTA FLANGEADA. AF_12/2021</v>
          </cell>
          <cell r="D10264" t="str">
            <v>UN</v>
          </cell>
          <cell r="E10264">
            <v>0</v>
          </cell>
        </row>
        <row r="10265">
          <cell r="B10265">
            <v>103548</v>
          </cell>
          <cell r="C10265" t="str">
            <v>VÁLVULA REDUTORA DE PRESSÃO DE FERRO FUNDIDO PARA REDE DE ÁGUA, DN 80 MM, JUNTA FLANGEADA. AF_12/2021</v>
          </cell>
          <cell r="D10265" t="str">
            <v>UN</v>
          </cell>
          <cell r="E10265">
            <v>0</v>
          </cell>
        </row>
      </sheetData>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ow r="9">
          <cell r="A9" t="str">
            <v>A.02.000.070107</v>
          </cell>
          <cell r="B9" t="str">
            <v>Impressão colorida em papel sulfite A4</v>
          </cell>
          <cell r="C9" t="str">
            <v>UN</v>
          </cell>
          <cell r="D9">
            <v>2.13</v>
          </cell>
        </row>
        <row r="10">
          <cell r="A10" t="str">
            <v>A.02.000.070108</v>
          </cell>
          <cell r="B10" t="str">
            <v>Encadernação espiral até 100 folhas</v>
          </cell>
          <cell r="C10" t="str">
            <v>UN</v>
          </cell>
          <cell r="D10">
            <v>7.36</v>
          </cell>
        </row>
        <row r="11">
          <cell r="A11" t="str">
            <v>A.03.000.022111</v>
          </cell>
          <cell r="B11" t="str">
            <v>Taxa de mobilização e desmobilização de equipamentos para execução de estacas escavadas com injeção ou microestaca</v>
          </cell>
          <cell r="C11" t="str">
            <v>TX</v>
          </cell>
          <cell r="D11">
            <v>30410.47</v>
          </cell>
        </row>
        <row r="12">
          <cell r="A12" t="str">
            <v>A.04.000.098083</v>
          </cell>
          <cell r="B12" t="str">
            <v>Taxa de mobilização e desmobilização de equipamentos para execução de rebaixamento de lençol freático</v>
          </cell>
          <cell r="C12" t="str">
            <v>TX</v>
          </cell>
          <cell r="D12">
            <v>12920.98</v>
          </cell>
        </row>
        <row r="13">
          <cell r="A13" t="str">
            <v>A.04.000.098084</v>
          </cell>
          <cell r="B13" t="str">
            <v>Locação de conjunto de bombeamento a vácuo para rebaixamento de lençol freático, com até 50 ponteiras e potência até 15HP mínimo 30 dias</v>
          </cell>
          <cell r="C13" t="str">
            <v>CJxDI</v>
          </cell>
          <cell r="D13">
            <v>834.1</v>
          </cell>
        </row>
        <row r="14">
          <cell r="A14" t="str">
            <v>A.04.000.098085</v>
          </cell>
          <cell r="B14" t="str">
            <v>Ponteiras filtrantes até 5m de profundidades - instaladas</v>
          </cell>
          <cell r="C14" t="str">
            <v>UN</v>
          </cell>
          <cell r="D14">
            <v>619.80999999999995</v>
          </cell>
        </row>
        <row r="15">
          <cell r="A15" t="str">
            <v>A.05.000.020299</v>
          </cell>
          <cell r="B15" t="str">
            <v>Taxa de destinação de resíduo sólido em aterro, tipo inerte</v>
          </cell>
          <cell r="C15" t="str">
            <v>T</v>
          </cell>
          <cell r="D15">
            <v>47.81</v>
          </cell>
        </row>
        <row r="16">
          <cell r="A16" t="str">
            <v>A.05.000.020306</v>
          </cell>
          <cell r="B16" t="str">
            <v>Taxa de destinação de resíduo sólido em aterro, tipo solo/terra</v>
          </cell>
          <cell r="C16" t="str">
            <v>M3</v>
          </cell>
          <cell r="D16">
            <v>30.89</v>
          </cell>
        </row>
        <row r="17">
          <cell r="A17" t="str">
            <v>A.05.000.020307</v>
          </cell>
          <cell r="B17" t="str">
            <v>Taxa para descarte em aterro legalizado - tipo telhas cimento amianto</v>
          </cell>
          <cell r="C17" t="str">
            <v>T</v>
          </cell>
          <cell r="D17">
            <v>913.05</v>
          </cell>
        </row>
        <row r="18">
          <cell r="A18" t="str">
            <v>A.05.000.020358</v>
          </cell>
          <cell r="B18" t="str">
            <v>Remoção de entulho de obra, terra, alvenaria, concreto, argamassa, madeira, papel, plástico, metal, capacidade de 4m³</v>
          </cell>
          <cell r="C18" t="str">
            <v>M3</v>
          </cell>
          <cell r="D18">
            <v>98.52</v>
          </cell>
        </row>
        <row r="19">
          <cell r="A19" t="str">
            <v>A.05.000.020359</v>
          </cell>
          <cell r="B19" t="str">
            <v>Remoção de entulho de obra, material volumoso (mistura de alvenaria, terra, madeira, papel, plástico e metal), capacidade 4 m³</v>
          </cell>
          <cell r="C19" t="str">
            <v>M3</v>
          </cell>
          <cell r="D19">
            <v>118.19</v>
          </cell>
        </row>
        <row r="20">
          <cell r="A20" t="str">
            <v>A.05.000.020363</v>
          </cell>
          <cell r="B20" t="str">
            <v>Transporte de resíduo sólido em aterro, tipo telhas cimento amianto classe D</v>
          </cell>
          <cell r="C20" t="str">
            <v>T</v>
          </cell>
          <cell r="D20">
            <v>207.42</v>
          </cell>
        </row>
        <row r="21">
          <cell r="A21" t="str">
            <v>A.05.000.020998</v>
          </cell>
          <cell r="B21" t="str">
            <v>Remoção de entulho de obra, material rejeitado (mistura de vegetação, isopor, manta asfáltica, lã de vidro), capacidade 4 m³</v>
          </cell>
          <cell r="C21" t="str">
            <v>M3</v>
          </cell>
          <cell r="D21">
            <v>123.08</v>
          </cell>
        </row>
        <row r="22">
          <cell r="A22" t="str">
            <v>A.05.000.020999</v>
          </cell>
          <cell r="B22" t="str">
            <v>Remoção de entulho de obra, gesso, dry wall, capacidade 4 m³</v>
          </cell>
          <cell r="C22" t="str">
            <v>M3</v>
          </cell>
          <cell r="D22">
            <v>120.87</v>
          </cell>
        </row>
        <row r="23">
          <cell r="A23" t="str">
            <v>A.05.000.021093</v>
          </cell>
          <cell r="B23" t="str">
            <v>Locação de duto coletor de entulho</v>
          </cell>
          <cell r="C23" t="str">
            <v>MXMES</v>
          </cell>
          <cell r="D23">
            <v>94.43</v>
          </cell>
        </row>
        <row r="24">
          <cell r="A24" t="str">
            <v>A.05.000.027014</v>
          </cell>
          <cell r="B24" t="str">
            <v>Locação máquinas de solda MIG/MAC, modelo TRR 3410 marca Bambozzi ou equivalente, (100% ciclo), para arame sólido/tubular 0,8 até 1,6mm, trifásicos, 220/380/440 V</v>
          </cell>
          <cell r="C24" t="str">
            <v>UNDIA</v>
          </cell>
          <cell r="D24">
            <v>24.14</v>
          </cell>
        </row>
        <row r="25">
          <cell r="A25" t="str">
            <v>A.05.000.047592</v>
          </cell>
          <cell r="B25" t="str">
            <v>Gerador a diesel carenado 150/136 kVA, variação de + ou - 5%, 380/220 V ou 220/127 V, 85dB a 1,5m, completo; ref. GMG 150 da Heimer ou equivalente</v>
          </cell>
          <cell r="C25" t="str">
            <v>UN</v>
          </cell>
          <cell r="D25">
            <v>150540.10999999999</v>
          </cell>
        </row>
        <row r="26">
          <cell r="A26" t="str">
            <v>A.05.000.066595</v>
          </cell>
          <cell r="B26" t="str">
            <v>Locação de bomba submersível monofásica, diâmetro de 2´ ou 3´, potência de 0,5CV até 3CV</v>
          </cell>
          <cell r="C26" t="str">
            <v>H</v>
          </cell>
          <cell r="D26">
            <v>2.58</v>
          </cell>
        </row>
        <row r="27">
          <cell r="A27" t="str">
            <v>A.05.000.080110</v>
          </cell>
          <cell r="B27" t="str">
            <v>Balancim elétrico tipo plataforma de 3 m de comprimento, para transporte vertical, com cabo passante de 60m, com gancho, clips, sapatilhas, ponta de cabo, etc.</v>
          </cell>
          <cell r="C27" t="str">
            <v>UNMES</v>
          </cell>
          <cell r="D27">
            <v>2219.3200000000002</v>
          </cell>
        </row>
        <row r="28">
          <cell r="A28" t="str">
            <v>A.05.000.080359</v>
          </cell>
          <cell r="B28" t="str">
            <v>GPS com receptor L1-L2 / RTK com base</v>
          </cell>
          <cell r="C28" t="str">
            <v>H</v>
          </cell>
          <cell r="D28">
            <v>76.03</v>
          </cell>
        </row>
        <row r="29">
          <cell r="A29" t="str">
            <v>A.05.000.080373</v>
          </cell>
          <cell r="B29" t="str">
            <v>Plataforma articulada elétrica, autopropelida, com altura aproximada de 12,50m e capacidade para 227kg, ref. Z34/22 DC da Genie ou equivalente</v>
          </cell>
          <cell r="C29" t="str">
            <v>UNMES</v>
          </cell>
          <cell r="D29">
            <v>10063.15</v>
          </cell>
        </row>
        <row r="30">
          <cell r="A30" t="str">
            <v>A.05.000.080374</v>
          </cell>
          <cell r="B30" t="str">
            <v>Plataforma articulada à diesel, autopropelida, com altura aproximada de 20m e capacidade para 227kg, ref. 600 AJ da JLG, Z60/34 RT da Genie ou equivalente</v>
          </cell>
          <cell r="C30" t="str">
            <v>UNMES</v>
          </cell>
          <cell r="D30">
            <v>18255.63</v>
          </cell>
        </row>
        <row r="31">
          <cell r="A31" t="str">
            <v>A.06.000.027013</v>
          </cell>
          <cell r="B31" t="str">
            <v>Gás para soldagem tipo MIG, ref. Coogar 215 ou equivalente</v>
          </cell>
          <cell r="C31" t="str">
            <v>M3</v>
          </cell>
          <cell r="D31">
            <v>38.61</v>
          </cell>
        </row>
        <row r="32">
          <cell r="A32" t="str">
            <v>A.06.000.044680</v>
          </cell>
          <cell r="B32" t="str">
            <v>Óleo mineral para disjuntor e transformador</v>
          </cell>
          <cell r="C32" t="str">
            <v>L</v>
          </cell>
          <cell r="D32">
            <v>26.99</v>
          </cell>
        </row>
        <row r="33">
          <cell r="A33" t="str">
            <v>A.06.000.068502</v>
          </cell>
          <cell r="B33" t="str">
            <v>Cilindro de aço para gás GLP de 45kg com carga</v>
          </cell>
          <cell r="C33" t="str">
            <v>UN</v>
          </cell>
          <cell r="D33">
            <v>1076.3800000000001</v>
          </cell>
        </row>
        <row r="34">
          <cell r="A34" t="str">
            <v>A.06.000.068550</v>
          </cell>
          <cell r="B34" t="str">
            <v>Botijão de aço para gás GLP de 13kg com carga</v>
          </cell>
          <cell r="C34" t="str">
            <v>UN</v>
          </cell>
          <cell r="D34">
            <v>347.32</v>
          </cell>
        </row>
        <row r="35">
          <cell r="A35" t="str">
            <v>A.07.000.020350</v>
          </cell>
          <cell r="B35" t="str">
            <v>Taxa de mobilização e desmobilização de equipamentos para execução de sondagem rotativa</v>
          </cell>
          <cell r="C35" t="str">
            <v>TX</v>
          </cell>
          <cell r="D35">
            <v>6995.32</v>
          </cell>
        </row>
        <row r="36">
          <cell r="A36" t="str">
            <v>A.07.000.020459</v>
          </cell>
          <cell r="B36" t="str">
            <v>Taxa de mobilização e desmobilização de equipamentos para execução de levantamento topográfico 100km</v>
          </cell>
          <cell r="C36" t="str">
            <v>TX</v>
          </cell>
          <cell r="D36">
            <v>1150.83</v>
          </cell>
        </row>
        <row r="37">
          <cell r="A37" t="str">
            <v>A.07.000.020476</v>
          </cell>
          <cell r="B37" t="str">
            <v>Taxa de mobilização e desmobilização de equipamentos para execução de sondagem</v>
          </cell>
          <cell r="C37" t="str">
            <v>TX</v>
          </cell>
          <cell r="D37">
            <v>1342.33</v>
          </cell>
        </row>
        <row r="38">
          <cell r="A38" t="str">
            <v>A.07.000.020483</v>
          </cell>
          <cell r="B38" t="str">
            <v>Sondagem a percussão, inclusive as peças gráficas e relatórios pertinentes mínimo de 30m</v>
          </cell>
          <cell r="C38" t="str">
            <v>M</v>
          </cell>
          <cell r="D38">
            <v>91.32</v>
          </cell>
        </row>
        <row r="39">
          <cell r="A39" t="str">
            <v>A.07.000.020484</v>
          </cell>
          <cell r="B39" t="str">
            <v>Sondagem rotativa em solo, inclusive as peças gráficas e relatórios pertinentes mínimo 30m</v>
          </cell>
          <cell r="C39" t="str">
            <v>M</v>
          </cell>
          <cell r="D39">
            <v>412.79</v>
          </cell>
        </row>
        <row r="40">
          <cell r="A40" t="str">
            <v>A.07.000.020485</v>
          </cell>
          <cell r="B40" t="str">
            <v>Sondagem rotativa em rocha, inclusive as peças gráficas e relatórios pertinentes</v>
          </cell>
          <cell r="C40" t="str">
            <v>M</v>
          </cell>
          <cell r="D40">
            <v>653.01</v>
          </cell>
        </row>
        <row r="41">
          <cell r="A41" t="str">
            <v>A.07.000.020486</v>
          </cell>
          <cell r="B41" t="str">
            <v>Sondagem a trado, inclusive as peças gráficas e relatórios pertinentes (não considerar os ensaios de solo) mínimo 30m</v>
          </cell>
          <cell r="C41" t="str">
            <v>M</v>
          </cell>
          <cell r="D41">
            <v>104.58</v>
          </cell>
        </row>
        <row r="42">
          <cell r="A42" t="str">
            <v>A.07.000.020487</v>
          </cell>
          <cell r="B42" t="str">
            <v>Sondagem percussão com a utilização de torquímetro, inclusive peças gráficas e relatórios pertinentes mínimo 30m</v>
          </cell>
          <cell r="C42" t="str">
            <v>M</v>
          </cell>
          <cell r="D42">
            <v>101.61</v>
          </cell>
        </row>
        <row r="43">
          <cell r="A43" t="str">
            <v>A.08.000.020000</v>
          </cell>
          <cell r="B43" t="str">
            <v>Taxa de mobilização e desmobilização de equipamentos para execução de estaca pré-moldada</v>
          </cell>
          <cell r="C43" t="str">
            <v>TX</v>
          </cell>
          <cell r="D43">
            <v>29246.12</v>
          </cell>
        </row>
        <row r="44">
          <cell r="A44" t="str">
            <v>A.08.000.020001</v>
          </cell>
          <cell r="B44" t="str">
            <v>Estaca pré-moldada protendida cravada para 20t</v>
          </cell>
          <cell r="C44" t="str">
            <v>M</v>
          </cell>
          <cell r="D44">
            <v>77.88</v>
          </cell>
        </row>
        <row r="45">
          <cell r="A45" t="str">
            <v>A.08.000.020002</v>
          </cell>
          <cell r="B45" t="str">
            <v>Cravação de estaca pré-moldada protendida para 20t</v>
          </cell>
          <cell r="C45" t="str">
            <v>M</v>
          </cell>
          <cell r="D45">
            <v>97.64</v>
          </cell>
        </row>
        <row r="46">
          <cell r="A46" t="str">
            <v>A.08.000.020003</v>
          </cell>
          <cell r="B46" t="str">
            <v>Estaca pré-moldada protendida cravada para 30t</v>
          </cell>
          <cell r="C46" t="str">
            <v>M</v>
          </cell>
          <cell r="D46">
            <v>89.97</v>
          </cell>
        </row>
        <row r="47">
          <cell r="A47" t="str">
            <v>A.08.000.020004</v>
          </cell>
          <cell r="B47" t="str">
            <v>Cravação de estaca pré-moldada protendida para 30t</v>
          </cell>
          <cell r="C47" t="str">
            <v>M</v>
          </cell>
          <cell r="D47">
            <v>99.34</v>
          </cell>
        </row>
        <row r="48">
          <cell r="A48" t="str">
            <v>A.08.000.020005</v>
          </cell>
          <cell r="B48" t="str">
            <v>Estaca pré-moldada protendida cravada para 40t</v>
          </cell>
          <cell r="C48" t="str">
            <v>M</v>
          </cell>
          <cell r="D48">
            <v>98.25</v>
          </cell>
        </row>
        <row r="49">
          <cell r="A49" t="str">
            <v>A.08.000.020006</v>
          </cell>
          <cell r="B49" t="str">
            <v>Cravação de estaca pré-moldada protendida para 40t</v>
          </cell>
          <cell r="C49" t="str">
            <v>M</v>
          </cell>
          <cell r="D49">
            <v>99.47</v>
          </cell>
        </row>
        <row r="50">
          <cell r="A50" t="str">
            <v>A.08.000.020007</v>
          </cell>
          <cell r="B50" t="str">
            <v>Estaca pré-moldada protendida cravada para 50t</v>
          </cell>
          <cell r="C50" t="str">
            <v>M</v>
          </cell>
          <cell r="D50">
            <v>109.98</v>
          </cell>
        </row>
        <row r="51">
          <cell r="A51" t="str">
            <v>A.08.000.020008</v>
          </cell>
          <cell r="B51" t="str">
            <v>Cravação de estaca pré-moldada protendida para 50t</v>
          </cell>
          <cell r="C51" t="str">
            <v>M</v>
          </cell>
          <cell r="D51">
            <v>99.13</v>
          </cell>
        </row>
        <row r="52">
          <cell r="A52" t="str">
            <v>A.08.000.020009</v>
          </cell>
          <cell r="B52" t="str">
            <v>Estaca pré-moldada protendida cravada para 60t</v>
          </cell>
          <cell r="C52" t="str">
            <v>M</v>
          </cell>
          <cell r="D52">
            <v>139.15</v>
          </cell>
        </row>
        <row r="53">
          <cell r="A53" t="str">
            <v>A.08.000.020010</v>
          </cell>
          <cell r="B53" t="str">
            <v>Cravação de estaca pré-moldada protendida para 60t</v>
          </cell>
          <cell r="C53" t="str">
            <v>M</v>
          </cell>
          <cell r="D53">
            <v>100.84</v>
          </cell>
        </row>
        <row r="54">
          <cell r="A54" t="str">
            <v>A.08.000.020109</v>
          </cell>
          <cell r="B54" t="str">
            <v>Taxa de mobilização e desmobilização de equipamentos para execução de estaca escavada</v>
          </cell>
          <cell r="C54" t="str">
            <v>TX</v>
          </cell>
          <cell r="D54">
            <v>2552.3000000000002</v>
          </cell>
        </row>
        <row r="55">
          <cell r="A55" t="str">
            <v>A.08.000.020110</v>
          </cell>
          <cell r="B55" t="str">
            <v>Taxa de mobilização e desmobilização de equipamentos para execução de estaca tipo Strauss</v>
          </cell>
          <cell r="C55" t="str">
            <v>TX</v>
          </cell>
          <cell r="D55">
            <v>3099.83</v>
          </cell>
        </row>
        <row r="56">
          <cell r="A56" t="str">
            <v>A.08.000.020111</v>
          </cell>
          <cell r="B56" t="str">
            <v>Taxa de mobilização e desmobilização de equipamentos para execução de estaca tipo Raiz em solo</v>
          </cell>
          <cell r="C56" t="str">
            <v>TX</v>
          </cell>
          <cell r="D56">
            <v>32754.42</v>
          </cell>
        </row>
        <row r="57">
          <cell r="A57" t="str">
            <v>A.08.000.020112</v>
          </cell>
          <cell r="B57" t="str">
            <v>Taxa de mobilização e desmobilização de equipamentos para execução de tubulão escavado mecanicamente</v>
          </cell>
          <cell r="C57" t="str">
            <v>TX</v>
          </cell>
          <cell r="D57">
            <v>1897.51</v>
          </cell>
        </row>
        <row r="58">
          <cell r="A58" t="str">
            <v>A.08.000.020117</v>
          </cell>
          <cell r="B58" t="str">
            <v>Estaca tipo Strauss, diâmetro de 25 cm até 20 t</v>
          </cell>
          <cell r="C58" t="str">
            <v>M</v>
          </cell>
          <cell r="D58">
            <v>36.78</v>
          </cell>
        </row>
        <row r="59">
          <cell r="A59" t="str">
            <v>A.08.000.020118</v>
          </cell>
          <cell r="B59" t="str">
            <v>Estaca tipo Strauss, diâmetro de 32 cm até 30 t</v>
          </cell>
          <cell r="C59" t="str">
            <v>M</v>
          </cell>
          <cell r="D59">
            <v>44.32</v>
          </cell>
        </row>
        <row r="60">
          <cell r="A60" t="str">
            <v>A.08.000.020119</v>
          </cell>
          <cell r="B60" t="str">
            <v>Estaca tipo Strauss, diâmetro de 38 cm até 40 t</v>
          </cell>
          <cell r="C60" t="str">
            <v>M</v>
          </cell>
          <cell r="D60">
            <v>52.74</v>
          </cell>
        </row>
        <row r="61">
          <cell r="A61" t="str">
            <v>A.08.000.020129</v>
          </cell>
          <cell r="B61" t="str">
            <v>Perfil de ferro soldado ´I´ de 12´</v>
          </cell>
          <cell r="C61" t="str">
            <v>KG</v>
          </cell>
          <cell r="D61">
            <v>19.920000000000002</v>
          </cell>
        </row>
        <row r="62">
          <cell r="A62" t="str">
            <v>A.08.000.020130</v>
          </cell>
          <cell r="B62" t="str">
            <v>Abertura de fuste mecanizado diâmetro 50 cm</v>
          </cell>
          <cell r="C62" t="str">
            <v>M</v>
          </cell>
          <cell r="D62">
            <v>40.119999999999997</v>
          </cell>
        </row>
        <row r="63">
          <cell r="A63" t="str">
            <v>A.08.000.020131</v>
          </cell>
          <cell r="B63" t="str">
            <v>Abertura de fuste mecanizado diâmetro 60 cm</v>
          </cell>
          <cell r="C63" t="str">
            <v>M</v>
          </cell>
          <cell r="D63">
            <v>45.6</v>
          </cell>
        </row>
        <row r="64">
          <cell r="A64" t="str">
            <v>A.08.000.020132</v>
          </cell>
          <cell r="B64" t="str">
            <v>Abertura de fuste mecanizado diâmetro 80 cm</v>
          </cell>
          <cell r="C64" t="str">
            <v>M</v>
          </cell>
          <cell r="D64">
            <v>75.59</v>
          </cell>
        </row>
        <row r="65">
          <cell r="A65" t="str">
            <v>A.08.000.020137</v>
          </cell>
          <cell r="B65" t="str">
            <v>Taxa de mobilização e desmobilização de equipamentos para execução de estaca tipo hélice contínua em solo</v>
          </cell>
          <cell r="C65" t="str">
            <v>TX</v>
          </cell>
          <cell r="D65">
            <v>43530.57</v>
          </cell>
        </row>
        <row r="66">
          <cell r="A66" t="str">
            <v>A.08.000.020138</v>
          </cell>
          <cell r="B66" t="str">
            <v>Estaca tipo hélice contínua, diâmetro de 35 cm em solo</v>
          </cell>
          <cell r="C66" t="str">
            <v>M</v>
          </cell>
          <cell r="D66">
            <v>59.69</v>
          </cell>
        </row>
        <row r="67">
          <cell r="A67" t="str">
            <v>A.08.000.020139</v>
          </cell>
          <cell r="B67" t="str">
            <v>Estaca tipo hélice contínua, diâmetro de 60 cm em solo</v>
          </cell>
          <cell r="C67" t="str">
            <v>M</v>
          </cell>
          <cell r="D67">
            <v>96.41</v>
          </cell>
        </row>
        <row r="68">
          <cell r="A68" t="str">
            <v>A.08.000.020143</v>
          </cell>
          <cell r="B68" t="str">
            <v>Estaca tipo hélice contínua, diâmetro de 30 cm em solo</v>
          </cell>
          <cell r="C68" t="str">
            <v>M</v>
          </cell>
          <cell r="D68">
            <v>51.1</v>
          </cell>
        </row>
        <row r="69">
          <cell r="A69" t="str">
            <v>A.08.000.020144</v>
          </cell>
          <cell r="B69" t="str">
            <v>Estaca escavada mecanicamente, diâmetro de 25 cm até 20 t</v>
          </cell>
          <cell r="C69" t="str">
            <v>M</v>
          </cell>
          <cell r="D69">
            <v>17.27</v>
          </cell>
        </row>
        <row r="70">
          <cell r="A70" t="str">
            <v>A.08.000.020145</v>
          </cell>
          <cell r="B70" t="str">
            <v>Estaca escavada mecanicamente, diâmetro de 30 cm até 30 t</v>
          </cell>
          <cell r="C70" t="str">
            <v>M</v>
          </cell>
          <cell r="D70">
            <v>19.940000000000001</v>
          </cell>
        </row>
        <row r="71">
          <cell r="A71" t="str">
            <v>A.08.000.020146</v>
          </cell>
          <cell r="B71" t="str">
            <v>Estaca escavada mecanicamente, diâmetro de 35 cm até 40 t</v>
          </cell>
          <cell r="C71" t="str">
            <v>M</v>
          </cell>
          <cell r="D71">
            <v>23.52</v>
          </cell>
        </row>
        <row r="72">
          <cell r="A72" t="str">
            <v>A.08.000.020147</v>
          </cell>
          <cell r="B72" t="str">
            <v>Estaca escavada mecanicamente, diâmetro de 40 cm até 50 t</v>
          </cell>
          <cell r="C72" t="str">
            <v>M</v>
          </cell>
          <cell r="D72">
            <v>28.02</v>
          </cell>
        </row>
        <row r="73">
          <cell r="A73" t="str">
            <v>A.08.000.020150</v>
          </cell>
          <cell r="B73" t="str">
            <v>Estaca tipo hélice contínua, diâmetro de 25 cm em solo</v>
          </cell>
          <cell r="C73" t="str">
            <v>M</v>
          </cell>
          <cell r="D73">
            <v>40.21</v>
          </cell>
        </row>
        <row r="74">
          <cell r="A74" t="str">
            <v>A.08.000.020154</v>
          </cell>
          <cell r="B74" t="str">
            <v>Estaca tipo hélice contínua, diâmetro de 40 cm em solo</v>
          </cell>
          <cell r="C74" t="str">
            <v>M</v>
          </cell>
          <cell r="D74">
            <v>69.930000000000007</v>
          </cell>
        </row>
        <row r="75">
          <cell r="A75" t="str">
            <v>A.08.000.020161</v>
          </cell>
          <cell r="B75" t="str">
            <v>Estaca tipo hélice contínua, diâmetro de 50 cm em solo</v>
          </cell>
          <cell r="C75" t="str">
            <v>M</v>
          </cell>
          <cell r="D75">
            <v>85.1</v>
          </cell>
        </row>
        <row r="76">
          <cell r="A76" t="str">
            <v>A.08.000.020162</v>
          </cell>
          <cell r="B76" t="str">
            <v>Estaca tipo hélice contínua, diâmetro de 80 cm em solo</v>
          </cell>
          <cell r="C76" t="str">
            <v>M</v>
          </cell>
          <cell r="D76">
            <v>159.91999999999999</v>
          </cell>
        </row>
        <row r="77">
          <cell r="A77" t="str">
            <v>A.08.000.020216</v>
          </cell>
          <cell r="B77" t="str">
            <v>Estaca tipo Strauss, diâmetro de 45 cm até 60 t</v>
          </cell>
          <cell r="C77" t="str">
            <v>M</v>
          </cell>
          <cell r="D77">
            <v>76.34</v>
          </cell>
        </row>
        <row r="78">
          <cell r="A78" t="str">
            <v>A.08.000.020220</v>
          </cell>
          <cell r="B78" t="str">
            <v>Estaca tipo hélice contínua, diâmetro de 70 cm em solo</v>
          </cell>
          <cell r="C78" t="str">
            <v>M</v>
          </cell>
          <cell r="D78">
            <v>130.32</v>
          </cell>
        </row>
        <row r="79">
          <cell r="A79" t="str">
            <v>A.08.000.020251</v>
          </cell>
          <cell r="B79" t="str">
            <v>Taxa de mobilização e desmobilização de equipamentos para execução de estaca tipo Raiz em rocha</v>
          </cell>
          <cell r="C79" t="str">
            <v>TX</v>
          </cell>
          <cell r="D79">
            <v>32754.42</v>
          </cell>
        </row>
        <row r="80">
          <cell r="A80" t="str">
            <v>A.08.000.020260</v>
          </cell>
          <cell r="B80" t="str">
            <v>Estaca tipo Raiz, diâmetro 10cm para 10t, em solo</v>
          </cell>
          <cell r="C80" t="str">
            <v>M</v>
          </cell>
          <cell r="D80">
            <v>233.73</v>
          </cell>
        </row>
        <row r="81">
          <cell r="A81" t="str">
            <v>A.08.000.020261</v>
          </cell>
          <cell r="B81" t="str">
            <v>Estaca tipo Raiz, diâmetro 31cm para 100t, em solo</v>
          </cell>
          <cell r="C81" t="str">
            <v>M</v>
          </cell>
          <cell r="D81">
            <v>404.96</v>
          </cell>
        </row>
        <row r="82">
          <cell r="A82" t="str">
            <v>A.08.000.020262</v>
          </cell>
          <cell r="B82" t="str">
            <v>Estaca tipo Raiz, diâmetro 40cm para 130t, em solo</v>
          </cell>
          <cell r="C82" t="str">
            <v>M</v>
          </cell>
          <cell r="D82">
            <v>491.88</v>
          </cell>
        </row>
        <row r="83">
          <cell r="A83" t="str">
            <v>A.08.000.020263</v>
          </cell>
          <cell r="B83" t="str">
            <v>Estaca tipo Raiz, diâmetro 12cm para 15t, em solo</v>
          </cell>
          <cell r="C83" t="str">
            <v>M</v>
          </cell>
          <cell r="D83">
            <v>246.94</v>
          </cell>
        </row>
        <row r="84">
          <cell r="A84" t="str">
            <v>A.08.000.020265</v>
          </cell>
          <cell r="B84" t="str">
            <v>Estaca tipo Raiz, diâmetro 15cm para 25t, em solo</v>
          </cell>
          <cell r="C84" t="str">
            <v>M</v>
          </cell>
          <cell r="D84">
            <v>285.44</v>
          </cell>
        </row>
        <row r="85">
          <cell r="A85" t="str">
            <v>A.08.000.020266</v>
          </cell>
          <cell r="B85" t="str">
            <v>Estaca tipo Raiz, diâmetro 16cm para 35t, em solo</v>
          </cell>
          <cell r="C85" t="str">
            <v>M</v>
          </cell>
          <cell r="D85">
            <v>289.44</v>
          </cell>
        </row>
        <row r="86">
          <cell r="A86" t="str">
            <v>A.08.000.020267</v>
          </cell>
          <cell r="B86" t="str">
            <v>Estaca tipo Raiz, diâmetro 20cm para 50t, em solo</v>
          </cell>
          <cell r="C86" t="str">
            <v>M</v>
          </cell>
          <cell r="D86">
            <v>305.61</v>
          </cell>
        </row>
        <row r="87">
          <cell r="A87" t="str">
            <v>A.08.000.020268</v>
          </cell>
          <cell r="B87" t="str">
            <v>Estaca tipo Raiz, diâmetro 25cm para 80t, em solo</v>
          </cell>
          <cell r="C87" t="str">
            <v>M</v>
          </cell>
          <cell r="D87">
            <v>333.69</v>
          </cell>
        </row>
        <row r="88">
          <cell r="A88" t="str">
            <v>A.08.000.020271</v>
          </cell>
          <cell r="B88" t="str">
            <v>Estaca tipo Raiz, diâmetro de 45cm, sem armação, em solo</v>
          </cell>
          <cell r="C88" t="str">
            <v>M</v>
          </cell>
          <cell r="D88">
            <v>545.34</v>
          </cell>
        </row>
        <row r="89">
          <cell r="A89" t="str">
            <v>A.08.000.020272</v>
          </cell>
          <cell r="B89" t="str">
            <v>Estaca tipo Raiz, diâmetro de 31cm, sem armação, em rocha</v>
          </cell>
          <cell r="C89" t="str">
            <v>M</v>
          </cell>
          <cell r="D89">
            <v>1284.24</v>
          </cell>
        </row>
        <row r="90">
          <cell r="A90" t="str">
            <v>A.08.000.020273</v>
          </cell>
          <cell r="B90" t="str">
            <v>Estaca tipo Raiz, diâmetro de 41cm, sem armação, em rocha</v>
          </cell>
          <cell r="C90" t="str">
            <v>M</v>
          </cell>
          <cell r="D90">
            <v>1475.3</v>
          </cell>
        </row>
        <row r="91">
          <cell r="A91" t="str">
            <v>A.08.000.020274</v>
          </cell>
          <cell r="B91" t="str">
            <v>Estaca tipo Raiz, diâmetro de 45cm, sem armação, em rocha</v>
          </cell>
          <cell r="C91" t="str">
            <v>M</v>
          </cell>
          <cell r="D91">
            <v>1716.6</v>
          </cell>
        </row>
        <row r="92">
          <cell r="A92" t="str">
            <v>A.08.000.020276</v>
          </cell>
          <cell r="B92" t="str">
            <v>Injeção de argamassa de cimento e areia em estaca raiz - sem fornecimento de materiais</v>
          </cell>
          <cell r="C92" t="str">
            <v>M3</v>
          </cell>
          <cell r="D92">
            <v>669.02</v>
          </cell>
        </row>
        <row r="93">
          <cell r="A93" t="str">
            <v>A.08.000.022106</v>
          </cell>
          <cell r="B93" t="str">
            <v>Estaca escavada com injeção ou microestaca, diâmetro de 16 cm</v>
          </cell>
          <cell r="C93" t="str">
            <v>M</v>
          </cell>
          <cell r="D93">
            <v>322.19</v>
          </cell>
        </row>
        <row r="94">
          <cell r="A94" t="str">
            <v>A.08.000.022107</v>
          </cell>
          <cell r="B94" t="str">
            <v>Estaca escavada com injeção ou microestaca, diâmetro de 20 cm</v>
          </cell>
          <cell r="C94" t="str">
            <v>M</v>
          </cell>
          <cell r="D94">
            <v>370.31</v>
          </cell>
        </row>
        <row r="95">
          <cell r="A95" t="str">
            <v>A.08.000.022108</v>
          </cell>
          <cell r="B95" t="str">
            <v>Estaca escavada com injeção ou microestaca, diâmetro de 25 cm</v>
          </cell>
          <cell r="C95" t="str">
            <v>M</v>
          </cell>
          <cell r="D95">
            <v>396.29</v>
          </cell>
        </row>
        <row r="96">
          <cell r="A96" t="str">
            <v>A.09.000.020393</v>
          </cell>
          <cell r="B96" t="str">
            <v>Tubo de aço preto liso calandrado, para revestimento interno de poço profundo, diâmetro de 16" (406,40 mm), espessura de 3/16" (4,75 mm) com solda - fornecimento e aplicação</v>
          </cell>
          <cell r="C96" t="str">
            <v>M</v>
          </cell>
          <cell r="D96">
            <v>2805.99</v>
          </cell>
        </row>
        <row r="97">
          <cell r="A97" t="str">
            <v>A.09.000.020394</v>
          </cell>
          <cell r="B97" t="str">
            <v>Filtro espiralado em aço galvanizado simples (Standard) para poço profundo, diâmetro 6" (152,40 mm)</v>
          </cell>
          <cell r="C97" t="str">
            <v>M</v>
          </cell>
          <cell r="D97">
            <v>1297.0899999999999</v>
          </cell>
        </row>
        <row r="98">
          <cell r="A98" t="str">
            <v>A.09.000.020405</v>
          </cell>
          <cell r="B98" t="str">
            <v>Desinfecção de poço profundo</v>
          </cell>
          <cell r="C98" t="str">
            <v>UN</v>
          </cell>
          <cell r="D98">
            <v>3391.26</v>
          </cell>
        </row>
        <row r="99">
          <cell r="A99" t="str">
            <v>A.09.000.020406</v>
          </cell>
          <cell r="B99" t="str">
            <v>Cimentação de boca do poço profundo, entre perfuração de maior diâmetro (cimentação do espaço anular)</v>
          </cell>
          <cell r="C99" t="str">
            <v>M3</v>
          </cell>
          <cell r="D99">
            <v>3034.56</v>
          </cell>
        </row>
        <row r="100">
          <cell r="A100" t="str">
            <v>A.09.000.020408</v>
          </cell>
          <cell r="B100" t="str">
            <v>Ensaio de vazão (bombeamento) para poço profundo, com bomba submersa, conforme Norma ABNT NBR 12244</v>
          </cell>
          <cell r="C100" t="str">
            <v>H</v>
          </cell>
          <cell r="D100">
            <v>407.77</v>
          </cell>
        </row>
        <row r="101">
          <cell r="A101" t="str">
            <v>A.09.000.020411</v>
          </cell>
          <cell r="B101" t="str">
            <v>Filtro em aço galvanizado tipo NOLD para poço profundo, diâmetro 6" (150 mm) - fornecimento e aplicação</v>
          </cell>
          <cell r="C101" t="str">
            <v>M</v>
          </cell>
          <cell r="D101">
            <v>1123.7</v>
          </cell>
        </row>
        <row r="102">
          <cell r="A102" t="str">
            <v>A.09.000.020413</v>
          </cell>
          <cell r="B102" t="str">
            <v>Limpeza e desenvolvimento de poço profundo com ar ou bomba submersível</v>
          </cell>
          <cell r="C102" t="str">
            <v>H</v>
          </cell>
          <cell r="D102">
            <v>551.32000000000005</v>
          </cell>
        </row>
        <row r="103">
          <cell r="A103" t="str">
            <v>A.09.000.020414</v>
          </cell>
          <cell r="B103" t="str">
            <v>Perfuração rotativa para poço profundo em aluvião, arenito ou solos sedimentados em geral, diâmetro de 14" (350 mm)</v>
          </cell>
          <cell r="C103" t="str">
            <v>M</v>
          </cell>
          <cell r="D103">
            <v>1394.38</v>
          </cell>
        </row>
        <row r="104">
          <cell r="A104" t="str">
            <v>A.09.000.020415</v>
          </cell>
          <cell r="B104" t="str">
            <v>Perfuração rotativa para poço profundo em aluvião, arenito ou solos sedimentados em geral, diâmetro de 16" (400 mm)</v>
          </cell>
          <cell r="C104" t="str">
            <v>M</v>
          </cell>
          <cell r="D104">
            <v>1733.69</v>
          </cell>
        </row>
        <row r="105">
          <cell r="A105" t="str">
            <v>A.09.000.020416</v>
          </cell>
          <cell r="B105" t="str">
            <v>Perfuração rotativa para poço profundo em aluvião, arenito ou solos sedimentados em geral, diâmetro de 18" (450 mm)</v>
          </cell>
          <cell r="C105" t="str">
            <v>M</v>
          </cell>
          <cell r="D105">
            <v>2219.14</v>
          </cell>
        </row>
        <row r="106">
          <cell r="A106" t="str">
            <v>A.09.000.020417</v>
          </cell>
          <cell r="B106" t="str">
            <v>Perfuração rotativa para poço profundo em aluvião, arenito ou solos sedimentados em geral, diâmetro de 10" (250 mm)</v>
          </cell>
          <cell r="C106" t="str">
            <v>M</v>
          </cell>
          <cell r="D106">
            <v>517.99</v>
          </cell>
        </row>
        <row r="107">
          <cell r="A107" t="str">
            <v>A.09.000.020418</v>
          </cell>
          <cell r="B107" t="str">
            <v>Perfuração rotativa para poço profundo em aluvião, arenito ou solos sedimentados em geral, diâmetro de 12" (300 mm)</v>
          </cell>
          <cell r="C107" t="str">
            <v>M</v>
          </cell>
          <cell r="D107">
            <v>1288.52</v>
          </cell>
        </row>
        <row r="108">
          <cell r="A108" t="str">
            <v>A.09.000.020419</v>
          </cell>
          <cell r="B108" t="str">
            <v>Perfuração para poço profundo em rocha alterada (basalto alterado) em geral, diâmetro de 8" (200 mm)</v>
          </cell>
          <cell r="C108" t="str">
            <v>M</v>
          </cell>
          <cell r="D108">
            <v>380.44</v>
          </cell>
        </row>
        <row r="109">
          <cell r="A109" t="str">
            <v>A.09.000.020420</v>
          </cell>
          <cell r="B109" t="str">
            <v>Perfuração para poço profundo em rocha alterada (basalto alterado) em geral, diâmetro de 10" (250 mm)</v>
          </cell>
          <cell r="C109" t="str">
            <v>M</v>
          </cell>
          <cell r="D109">
            <v>495.41</v>
          </cell>
        </row>
        <row r="110">
          <cell r="A110" t="str">
            <v>A.09.000.020421</v>
          </cell>
          <cell r="B110" t="str">
            <v>Perfuração para poço profundo em rocha alterada (basalto alterado) em geral, diâmetro de 12" (300 mm)</v>
          </cell>
          <cell r="C110" t="str">
            <v>M</v>
          </cell>
          <cell r="D110">
            <v>591.66</v>
          </cell>
        </row>
        <row r="111">
          <cell r="A111" t="str">
            <v>A.09.000.020422</v>
          </cell>
          <cell r="B111" t="str">
            <v>Perfuração roto-pneumática para poço profundo em rocha sã (basalto), diâmetro de 6" (150 mm)</v>
          </cell>
          <cell r="C111" t="str">
            <v>M</v>
          </cell>
          <cell r="D111">
            <v>340.4</v>
          </cell>
        </row>
        <row r="112">
          <cell r="A112" t="str">
            <v>A.09.000.020423</v>
          </cell>
          <cell r="B112" t="str">
            <v>Perfuração roto-pneumática para poço profundo em rocha sã (basalto), diâmetro de 8" (200 mm)</v>
          </cell>
          <cell r="C112" t="str">
            <v>M</v>
          </cell>
          <cell r="D112">
            <v>562.33000000000004</v>
          </cell>
        </row>
        <row r="113">
          <cell r="A113" t="str">
            <v>A.09.000.020424</v>
          </cell>
          <cell r="B113" t="str">
            <v>Perfuração roto-pneumática para poço profundo em rocha sã (basalto), diâmetro de 10" (250 mm)</v>
          </cell>
          <cell r="C113" t="str">
            <v>M</v>
          </cell>
          <cell r="D113">
            <v>829.02</v>
          </cell>
        </row>
        <row r="114">
          <cell r="A114" t="str">
            <v>A.09.000.020428</v>
          </cell>
          <cell r="B114" t="str">
            <v>Taxa de mobilização e desmobilização de equipamentos para execução de bombeamento, limpeza, desenvolvimento e teste de vazão</v>
          </cell>
          <cell r="C114" t="str">
            <v>TX</v>
          </cell>
          <cell r="D114">
            <v>4162.97</v>
          </cell>
        </row>
        <row r="115">
          <cell r="A115" t="str">
            <v>A.09.000.020429</v>
          </cell>
          <cell r="B115" t="str">
            <v>Taxa de mobilização e desmobilização de equipamentos para execução de perfuração para poço profundo - profundidade até 200 m</v>
          </cell>
          <cell r="C115" t="str">
            <v>TX</v>
          </cell>
          <cell r="D115">
            <v>8405.0300000000007</v>
          </cell>
        </row>
        <row r="116">
          <cell r="A116" t="str">
            <v>A.09.000.020430</v>
          </cell>
          <cell r="B116" t="str">
            <v>Tubo em chapa de aço 3/16", diâmetro de 12", para revestimento interno de poço profundo - fornecimento e aplicação (tubo sanitário)</v>
          </cell>
          <cell r="C116" t="str">
            <v>M</v>
          </cell>
          <cell r="D116">
            <v>1920.63</v>
          </cell>
        </row>
        <row r="117">
          <cell r="A117" t="str">
            <v>A.09.000.020431</v>
          </cell>
          <cell r="B117" t="str">
            <v>Tubo em chapa de aço 3/16", diâmetro de 14", para revestimento interno de poço profundo - fornecimento e aplicação (tubo sanitário)</v>
          </cell>
          <cell r="C117" t="str">
            <v>M</v>
          </cell>
          <cell r="D117">
            <v>2188.08</v>
          </cell>
        </row>
        <row r="118">
          <cell r="A118" t="str">
            <v>A.09.000.020432</v>
          </cell>
          <cell r="B118" t="str">
            <v>Tubo em chapa de aço 3/16", diâmetro de 16", para revestimento interno de poço profundo - fornecimento e aplicação</v>
          </cell>
          <cell r="C118" t="str">
            <v>M</v>
          </cell>
          <cell r="D118">
            <v>2726.84</v>
          </cell>
        </row>
        <row r="119">
          <cell r="A119" t="str">
            <v>A.09.000.020433</v>
          </cell>
          <cell r="B119" t="str">
            <v>Tubo preto DIN 2440 para revestimento interno de poço profundo, diâmetro de 6" (150 mm) - fornecimento e aplicação</v>
          </cell>
          <cell r="C119" t="str">
            <v>M</v>
          </cell>
          <cell r="D119">
            <v>648.99</v>
          </cell>
        </row>
        <row r="120">
          <cell r="A120" t="str">
            <v>A.09.000.020434</v>
          </cell>
          <cell r="B120" t="str">
            <v>Tubo preto DIN 2440 para revestimento interno de poço profundo, diâmetro de 8" (200 mm) - fornecimento e aplicação</v>
          </cell>
          <cell r="C120" t="str">
            <v>M</v>
          </cell>
          <cell r="D120">
            <v>977.87</v>
          </cell>
        </row>
        <row r="121">
          <cell r="A121" t="str">
            <v>A.09.000.020442</v>
          </cell>
          <cell r="B121" t="str">
            <v>Perfuração rotativa para poço profundo em aluvião, arenito ou solos sedimentados em geral, diâmetro de 26" (650 mm)</v>
          </cell>
          <cell r="C121" t="str">
            <v>M</v>
          </cell>
          <cell r="D121">
            <v>3295.88</v>
          </cell>
        </row>
        <row r="122">
          <cell r="A122" t="str">
            <v>A.09.000.020443</v>
          </cell>
          <cell r="B122" t="str">
            <v>Perfuração roto-pneumática para poço profundo em rocha sã (basalto), diâmetro de 12" (300 mm)</v>
          </cell>
          <cell r="C122" t="str">
            <v>M</v>
          </cell>
          <cell r="D122">
            <v>2100.4899999999998</v>
          </cell>
        </row>
        <row r="123">
          <cell r="A123" t="str">
            <v>A.09.000.020444</v>
          </cell>
          <cell r="B123" t="str">
            <v>Perfuração rotativa para poço profundo em aluvião, arenito ou solos sedimentados em geral, diâmetro de 20" (500 mm)</v>
          </cell>
          <cell r="C123" t="str">
            <v>M</v>
          </cell>
          <cell r="D123">
            <v>2510.5</v>
          </cell>
        </row>
        <row r="124">
          <cell r="A124" t="str">
            <v>A.09.000.020445</v>
          </cell>
          <cell r="B124" t="str">
            <v>Perfuração roto-pneumática para poço profundo em rocha sã (basalto), diâmetro de 18" (450 mm)</v>
          </cell>
          <cell r="C124" t="str">
            <v>M</v>
          </cell>
          <cell r="D124">
            <v>3017.1</v>
          </cell>
        </row>
        <row r="125">
          <cell r="A125" t="str">
            <v>A.09.000.020447</v>
          </cell>
          <cell r="B125" t="str">
            <v>Filtro PVC geomecânico nervurado tipo Standard para poço profundo, diâmetro 6" (150 mm) - fornecimento e aplicação</v>
          </cell>
          <cell r="C125" t="str">
            <v>M</v>
          </cell>
          <cell r="D125">
            <v>498.26</v>
          </cell>
        </row>
        <row r="126">
          <cell r="A126" t="str">
            <v>A.09.000.020448</v>
          </cell>
          <cell r="B126" t="str">
            <v>Pré-filtro tipo Jacareí (pedrisco arestado tipo 1,5/3,0 mm) - fornecimento e aplicação</v>
          </cell>
          <cell r="C126" t="str">
            <v>M3</v>
          </cell>
          <cell r="D126">
            <v>2350.09</v>
          </cell>
        </row>
        <row r="127">
          <cell r="A127" t="str">
            <v>A.09.000.020449</v>
          </cell>
          <cell r="B127" t="str">
            <v>Tubo em PVC geomecânico nervurado tipo Standard, diâmetro 6" (150 mm) - fornecimento e aplicação</v>
          </cell>
          <cell r="C127" t="str">
            <v>M</v>
          </cell>
          <cell r="D127">
            <v>459.29</v>
          </cell>
        </row>
        <row r="128">
          <cell r="A128" t="str">
            <v>A.09.000.020452</v>
          </cell>
          <cell r="B128" t="str">
            <v>Filtro PVC geomecânico nervurado tipo reforçado para poço profundo, diâmetro 8" (200 mm) - fornecimento e aplicação</v>
          </cell>
          <cell r="C128" t="str">
            <v>M</v>
          </cell>
          <cell r="D128">
            <v>909.33</v>
          </cell>
        </row>
        <row r="129">
          <cell r="A129" t="str">
            <v>A.09.000.020453</v>
          </cell>
          <cell r="B129" t="str">
            <v>Tubo em PVC geomecânico nervurado tipo reforçado, diâmetro 8" (200 mm) - fornecimento e aplicação</v>
          </cell>
          <cell r="C129" t="str">
            <v>M</v>
          </cell>
          <cell r="D129">
            <v>856.79</v>
          </cell>
        </row>
        <row r="130">
          <cell r="A130" t="str">
            <v>A.09.000.020454</v>
          </cell>
          <cell r="B130" t="str">
            <v>Perfuração rotativa para poço profundo em rocha sã (basalto), diâmetro de 14" (350 mm)</v>
          </cell>
          <cell r="C130" t="str">
            <v>M</v>
          </cell>
          <cell r="D130">
            <v>7341.72</v>
          </cell>
        </row>
        <row r="131">
          <cell r="A131" t="str">
            <v>A.09.000.020473</v>
          </cell>
          <cell r="B131" t="str">
            <v>Taxa de mobilização e desmobilização de equipamentos para execução de perfuração para poço profundo - profundidade acima de 300 m</v>
          </cell>
          <cell r="C131" t="str">
            <v>TX</v>
          </cell>
          <cell r="D131">
            <v>13560.03</v>
          </cell>
        </row>
        <row r="132">
          <cell r="A132" t="str">
            <v>A.09.000.020478</v>
          </cell>
          <cell r="B132" t="str">
            <v>Taxa de mobilização e desmobilização de equipamentos para execução de perfuração para poço profundo - profundidade acima de 200 m e até 300 m</v>
          </cell>
          <cell r="C132" t="str">
            <v>TX</v>
          </cell>
          <cell r="D132">
            <v>13648.77</v>
          </cell>
        </row>
        <row r="133">
          <cell r="A133" t="str">
            <v>A.09.000.020496</v>
          </cell>
          <cell r="B133" t="str">
            <v>Perfuração rotativa para poço profundo em aluvião, arenito ou solos sedimentados em geral, diâmetro de 22" (550 mm)</v>
          </cell>
          <cell r="C133" t="str">
            <v>M</v>
          </cell>
          <cell r="D133">
            <v>2703.52</v>
          </cell>
        </row>
        <row r="134">
          <cell r="A134" t="str">
            <v>A.09.000.020497</v>
          </cell>
          <cell r="B134" t="str">
            <v>Perfuração roto-pneumática para poço profundo em rocha sã (basalto), diâmetro de 14" (350 mm)</v>
          </cell>
          <cell r="C134" t="str">
            <v>M</v>
          </cell>
          <cell r="D134">
            <v>2669.94</v>
          </cell>
        </row>
        <row r="135">
          <cell r="A135" t="str">
            <v>A.09.000.020500</v>
          </cell>
          <cell r="B135" t="str">
            <v>Tubo em chapa de aço 3/16", para revestimento da boca de poço profundo, diâmetro 20" (508 mm) - fornecimento e aplicação</v>
          </cell>
          <cell r="C135" t="str">
            <v>M</v>
          </cell>
          <cell r="D135">
            <v>2691.93</v>
          </cell>
        </row>
        <row r="136">
          <cell r="A136" t="str">
            <v>A.09.000.020506</v>
          </cell>
          <cell r="B136" t="str">
            <v>Licença de perfuração para poço profundo conforme Portaria DAEE nº 1.630 de 30/05/2017  e suas complementares 1.631 a 1.635 e Instrução Técnica DPO nº 10 de 30/05/2017 do DAEE</v>
          </cell>
          <cell r="C136" t="str">
            <v>UN</v>
          </cell>
          <cell r="D136">
            <v>4397.8100000000004</v>
          </cell>
        </row>
        <row r="137">
          <cell r="A137" t="str">
            <v>A.09.000.020507</v>
          </cell>
          <cell r="B137" t="str">
            <v>Outorga de direito de uso para poço profundo conforme Portaria DAEE nº 1.630 de 30/05/2017 e suas complementares 1.631 a 1.635 e Instrução Técnica DPO nº 10 de 30/05/2017 do DAEE</v>
          </cell>
          <cell r="C137" t="str">
            <v>UN</v>
          </cell>
          <cell r="D137">
            <v>4948.4399999999996</v>
          </cell>
        </row>
        <row r="138">
          <cell r="A138" t="str">
            <v>A.09.000.020897</v>
          </cell>
          <cell r="B138" t="str">
            <v>Perfuração rotativa para poço profundo em camadas de solos sedimentares, diâmetro de 8.1/2" (215,90 mm)</v>
          </cell>
          <cell r="C138" t="str">
            <v>M</v>
          </cell>
          <cell r="D138">
            <v>732.99</v>
          </cell>
        </row>
        <row r="139">
          <cell r="A139" t="str">
            <v>A.09.000.020898</v>
          </cell>
          <cell r="B139" t="str">
            <v>Tubo liso em aço galvanizado conforme norma ABNT NBR 5590, espessura de 1/4" (6,35 mm), diâmetro de 6" (152,40 mm), união solda - fornecimento e aplicação</v>
          </cell>
          <cell r="C139" t="str">
            <v>M</v>
          </cell>
          <cell r="D139">
            <v>831.54</v>
          </cell>
        </row>
        <row r="140">
          <cell r="A140" t="str">
            <v>A.09.000.020899</v>
          </cell>
          <cell r="B140" t="str">
            <v>Filtro espiralado em aço galvanizado tipo reforçado para poço profundo, diâmetro de 6" (152,40 mm) - fornecimento e aplicação</v>
          </cell>
          <cell r="C140" t="str">
            <v>M</v>
          </cell>
          <cell r="D140">
            <v>1571.97</v>
          </cell>
        </row>
        <row r="141">
          <cell r="A141" t="str">
            <v>A.09.000.020900</v>
          </cell>
          <cell r="B141" t="str">
            <v>Perfuração rotativa para poço profundo em solos e/ou rocha metassedimentar alterada em geral, diâmetro de 20" (508 mm)</v>
          </cell>
          <cell r="C141" t="str">
            <v>M</v>
          </cell>
          <cell r="D141">
            <v>391.47</v>
          </cell>
        </row>
        <row r="142">
          <cell r="A142" t="str">
            <v>A.09.000.020901</v>
          </cell>
          <cell r="B142" t="str">
            <v>Perfuração roto-pneumática para poço profundo em rocha metassedimentar em geral, diâmetro de 12.1/4" (311,15 mm)</v>
          </cell>
          <cell r="C142" t="str">
            <v>M</v>
          </cell>
          <cell r="D142">
            <v>1870.52</v>
          </cell>
        </row>
        <row r="143">
          <cell r="A143" t="str">
            <v>A.09.000.020902</v>
          </cell>
          <cell r="B143" t="str">
            <v>Tubo de aço preto, com costura (soldado), para revestimento interno de poço profundo, diâmetro de 6" (152,40 mm), espessura de 1/4" (6,35 mm) - fornecimento e aplicação</v>
          </cell>
          <cell r="C143" t="str">
            <v>M</v>
          </cell>
          <cell r="D143">
            <v>868.29</v>
          </cell>
        </row>
        <row r="144">
          <cell r="A144" t="str">
            <v>A.09.000.020925</v>
          </cell>
          <cell r="B144" t="str">
            <v>Filtro espiralado em aço inoxidável tipo reforçado para poço profundo, diâmetro de 6" (152,40 mm) - fornecimento e aplicação</v>
          </cell>
          <cell r="C144" t="str">
            <v>M</v>
          </cell>
          <cell r="D144">
            <v>2808.78</v>
          </cell>
        </row>
        <row r="145">
          <cell r="A145" t="str">
            <v>A.09.000.020926</v>
          </cell>
          <cell r="B145" t="str">
            <v>Centralizador de coluna para poço profundo, diâmetro de 4´ ou 6´ - fornecimento e aplicação</v>
          </cell>
          <cell r="C145" t="str">
            <v>UN</v>
          </cell>
          <cell r="D145">
            <v>352.65</v>
          </cell>
        </row>
        <row r="146">
          <cell r="A146" t="str">
            <v>A.09.000.020927</v>
          </cell>
          <cell r="B146" t="str">
            <v>Ensaio de vazão escalonado para poço profundo, conforme Norma ABNT NBR 12244</v>
          </cell>
          <cell r="C146" t="str">
            <v>H</v>
          </cell>
          <cell r="D146">
            <v>371.6</v>
          </cell>
        </row>
        <row r="147">
          <cell r="A147" t="str">
            <v>A.09.000.020928</v>
          </cell>
          <cell r="B147" t="str">
            <v>Ensaio de recuperação de nível para poço profundo, conforme Norma ABNT NBR 12244</v>
          </cell>
          <cell r="C147" t="str">
            <v>H</v>
          </cell>
          <cell r="D147">
            <v>349.24</v>
          </cell>
        </row>
        <row r="148">
          <cell r="A148" t="str">
            <v>A.09.000.020929</v>
          </cell>
          <cell r="B148" t="str">
            <v>Lacre do poço profundo (tampa), conforme Instrução Técnica DPO nº 10 de 30/05/2017 do DAEE - fornecimento e aplicação</v>
          </cell>
          <cell r="C148" t="str">
            <v>UN</v>
          </cell>
          <cell r="D148">
            <v>1150.01</v>
          </cell>
        </row>
        <row r="149">
          <cell r="A149" t="str">
            <v>A.09.000.020930</v>
          </cell>
          <cell r="B149" t="str">
            <v>Parecer técnico junto a CETESB conforme critérios específicos determinados na Instrução Técnica DPO nº 10 de 30/05/2017 do DAEE</v>
          </cell>
          <cell r="C149" t="str">
            <v>UN</v>
          </cell>
          <cell r="D149">
            <v>16190.81</v>
          </cell>
        </row>
        <row r="150">
          <cell r="A150" t="str">
            <v>A.09.000.090378</v>
          </cell>
          <cell r="B150" t="str">
            <v>Pré-filtro tipo Pérola (seixos selecionados tipo 1,0/2,0 mm) - fornecimento e aplicação</v>
          </cell>
          <cell r="C150" t="str">
            <v>M3</v>
          </cell>
          <cell r="D150">
            <v>1809.56</v>
          </cell>
        </row>
        <row r="151">
          <cell r="A151" t="str">
            <v>A.09.000.090380</v>
          </cell>
          <cell r="B151" t="str">
            <v>Perfilagem elétrica de poço profundo com perfil raio gama</v>
          </cell>
          <cell r="C151" t="str">
            <v>M</v>
          </cell>
          <cell r="D151">
            <v>216.01</v>
          </cell>
        </row>
        <row r="152">
          <cell r="A152" t="str">
            <v>A.09.000.090429</v>
          </cell>
          <cell r="B152" t="str">
            <v>Perfilagem ótica (filmagem / endoscopia) de poço profundo</v>
          </cell>
          <cell r="C152" t="str">
            <v>M</v>
          </cell>
          <cell r="D152">
            <v>92.06</v>
          </cell>
        </row>
        <row r="153">
          <cell r="A153" t="str">
            <v>A.10.000.012114</v>
          </cell>
          <cell r="B153" t="str">
            <v>Realimentador automático de 1', ref. fabricação Acqua Save ou equivalente</v>
          </cell>
          <cell r="C153" t="str">
            <v>UN</v>
          </cell>
          <cell r="D153">
            <v>453.86</v>
          </cell>
        </row>
        <row r="154">
          <cell r="A154" t="str">
            <v>A.10.000.012115</v>
          </cell>
          <cell r="B154" t="str">
            <v>Sifão ladrão em polietileno para extravasão, diâmetro de 100mm, ref. fabricação Acqua Save ou equivalente</v>
          </cell>
          <cell r="C154" t="str">
            <v>UN</v>
          </cell>
          <cell r="D154">
            <v>226.34</v>
          </cell>
        </row>
        <row r="155">
          <cell r="A155" t="str">
            <v>A.10.000.066607</v>
          </cell>
          <cell r="B155" t="str">
            <v>Peneira estática em poliéster reforçado de fibra de vidro (PRFV) com tela de aço inoxidável AISI 304, malha de 1,5 mm, vazão de 50 l/s; ref. PE-03 da SanecomFibra ou equivalente</v>
          </cell>
          <cell r="C155" t="str">
            <v>CJ</v>
          </cell>
          <cell r="D155">
            <v>23675.23</v>
          </cell>
        </row>
        <row r="156">
          <cell r="A156" t="str">
            <v>A.10.000.092000</v>
          </cell>
          <cell r="B156" t="str">
            <v>Análises químicas laboratoriais em amostra de efluente, conforme CONAMA 357 de 2005 - Artigos 10 e 15 (Água Doce - Classe II), exigências CETESB e para tratamento de fósforo e nitrogênio</v>
          </cell>
          <cell r="C156" t="str">
            <v>CJ</v>
          </cell>
          <cell r="D156">
            <v>8924.99</v>
          </cell>
        </row>
        <row r="157">
          <cell r="A157" t="str">
            <v>A.10.000.092001</v>
          </cell>
          <cell r="B157" t="str">
            <v>Análises químicas laboratoriais em amostra de efluente, conforme CONAMA 357 de 2005 (Água Doce - Classe II)</v>
          </cell>
          <cell r="C157" t="str">
            <v>CJ</v>
          </cell>
          <cell r="D157">
            <v>6448.08</v>
          </cell>
        </row>
        <row r="158">
          <cell r="A158" t="str">
            <v>A.10.000.092210</v>
          </cell>
          <cell r="B158" t="str">
            <v>Medidor vazão "Parshall" em fibra de vidro, garganta W= 3´ com régua medidora, conforme Norma ASTM D-1941, ref. SanecomFibra, Caldefiber, Werjen ou equivalente</v>
          </cell>
          <cell r="C158" t="str">
            <v>UN</v>
          </cell>
          <cell r="D158">
            <v>2958.93</v>
          </cell>
        </row>
        <row r="159">
          <cell r="A159" t="str">
            <v>A.11.000.020364</v>
          </cell>
          <cell r="B159" t="str">
            <v>Locação de escoramento tubular metálico (pontual ou em quadros)</v>
          </cell>
          <cell r="C159" t="str">
            <v>KGMES</v>
          </cell>
          <cell r="D159">
            <v>1.47</v>
          </cell>
        </row>
        <row r="160">
          <cell r="A160" t="str">
            <v>A.11.000.020376</v>
          </cell>
          <cell r="B160" t="str">
            <v>Locação de quadros metálicos para plataforma de proteção perimetral, com lateral inclinada de 45°, largura 2,05+0,80m (desenvolvida)</v>
          </cell>
          <cell r="C160" t="str">
            <v>UNMES</v>
          </cell>
          <cell r="D160">
            <v>41.31</v>
          </cell>
        </row>
        <row r="161">
          <cell r="A161" t="str">
            <v>A.12.000.021081</v>
          </cell>
          <cell r="B161" t="str">
            <v>Container guarita, módulo metálico aço galvanizado 2,00x2,30m ou 2,30x2,30m, vão livre, forro térmico, piso concreto, cimentado, madeira ou material equivalente</v>
          </cell>
          <cell r="C161" t="str">
            <v>UNMES</v>
          </cell>
          <cell r="D161">
            <v>951.57</v>
          </cell>
        </row>
        <row r="162">
          <cell r="A162" t="str">
            <v>A.12.000.021097</v>
          </cell>
          <cell r="B162" t="str">
            <v>Container alojamento, módulo metálico em aço galvanizado de 6,0x2,3x1,5m, vão livre, piso de concreto, cimentado, madeira ou material equivalente</v>
          </cell>
          <cell r="C162" t="str">
            <v>UNMES</v>
          </cell>
          <cell r="D162">
            <v>899.67</v>
          </cell>
        </row>
        <row r="163">
          <cell r="A163" t="str">
            <v>A.12.000.021098</v>
          </cell>
          <cell r="B163" t="str">
            <v>Container sanitário, módulo aço galvanizado, 2 vasos sanitários, 2 lavatórios/calha e 2 mictórios/calha, 4 pontos para chuveiro, piso impermeável e antiderrapante</v>
          </cell>
          <cell r="C163" t="str">
            <v>UNMES</v>
          </cell>
          <cell r="D163">
            <v>1348.87</v>
          </cell>
        </row>
        <row r="164">
          <cell r="A164" t="str">
            <v>A.12.000.021099</v>
          </cell>
          <cell r="B164" t="str">
            <v>Container depósito, módulo metálico em aço galvanizado de 6,0x2,3x2,5m, vão livre, piso de concreto, cimentado, madeira ou material equivalente</v>
          </cell>
          <cell r="C164" t="str">
            <v>UNMES</v>
          </cell>
          <cell r="D164">
            <v>888.63</v>
          </cell>
        </row>
        <row r="165">
          <cell r="A165" t="str">
            <v>A.12.000.021100</v>
          </cell>
          <cell r="B165" t="str">
            <v>Container escritório com WC, em aço galvanizado, piso compensado naval (escritório), 1 vaso sanitário, 1 lavatório, 1 ponto para chuveiro, piso impermeável e antiderrapante (WC)</v>
          </cell>
          <cell r="C165" t="str">
            <v>UNMES</v>
          </cell>
          <cell r="D165">
            <v>1408.98</v>
          </cell>
        </row>
        <row r="166">
          <cell r="A166" t="str">
            <v>A.13.000.020661</v>
          </cell>
          <cell r="B166" t="str">
            <v>Análise físico-química e bacteriológica da água para poço profundo, conforme portaria 888/2021, anexos I, IX e XII do Ministério da Saúde</v>
          </cell>
          <cell r="C166" t="str">
            <v>CJ</v>
          </cell>
          <cell r="D166">
            <v>3115.05</v>
          </cell>
        </row>
        <row r="167">
          <cell r="A167" t="str">
            <v>A.14.000.038042</v>
          </cell>
          <cell r="B167" t="str">
            <v>Saco em polipropileno para resíduos perigosos Classe D, tipo big bag capacidade 1.000kg</v>
          </cell>
          <cell r="C167" t="str">
            <v>UN</v>
          </cell>
          <cell r="D167">
            <v>66.87</v>
          </cell>
        </row>
        <row r="168">
          <cell r="A168" t="str">
            <v>A.14.000.038043</v>
          </cell>
          <cell r="B168" t="str">
            <v>Saco de ráfia - capacidade 50 kg - dimensões (60 x 90)cm</v>
          </cell>
          <cell r="C168" t="str">
            <v>UN</v>
          </cell>
          <cell r="D168">
            <v>3.01</v>
          </cell>
        </row>
        <row r="169">
          <cell r="A169" t="str">
            <v>A.14.000.081900</v>
          </cell>
          <cell r="B169" t="str">
            <v>Banheiro químico, modelo Standard, com limpeza 1 vez por semana e descarte conforme exigências da CETESB</v>
          </cell>
          <cell r="C169" t="str">
            <v>UNMES</v>
          </cell>
          <cell r="D169">
            <v>1249.3399999999999</v>
          </cell>
        </row>
        <row r="170">
          <cell r="A170" t="str">
            <v>B.01.000.010101</v>
          </cell>
          <cell r="B170" t="str">
            <v>Ajudante geral</v>
          </cell>
          <cell r="C170" t="str">
            <v>H</v>
          </cell>
          <cell r="D170">
            <v>9.9499999999999993</v>
          </cell>
        </row>
        <row r="171">
          <cell r="A171" t="str">
            <v>B.01.000.010106</v>
          </cell>
          <cell r="B171" t="str">
            <v>Azulejista</v>
          </cell>
          <cell r="C171" t="str">
            <v>H</v>
          </cell>
          <cell r="D171">
            <v>12.11</v>
          </cell>
        </row>
        <row r="172">
          <cell r="A172" t="str">
            <v>B.01.000.010109</v>
          </cell>
          <cell r="B172" t="str">
            <v>Esgoteiro/cavoqueiro</v>
          </cell>
          <cell r="C172" t="str">
            <v>H</v>
          </cell>
          <cell r="D172">
            <v>12.11</v>
          </cell>
        </row>
        <row r="173">
          <cell r="A173" t="str">
            <v>B.01.000.010111</v>
          </cell>
          <cell r="B173" t="str">
            <v>Carpinteiro</v>
          </cell>
          <cell r="C173" t="str">
            <v>H</v>
          </cell>
          <cell r="D173">
            <v>12.11</v>
          </cell>
        </row>
        <row r="174">
          <cell r="A174" t="str">
            <v>B.01.000.010112</v>
          </cell>
          <cell r="B174" t="str">
            <v>Ajudante de carpinteiro</v>
          </cell>
          <cell r="C174" t="str">
            <v>H</v>
          </cell>
          <cell r="D174">
            <v>9.9499999999999993</v>
          </cell>
        </row>
        <row r="175">
          <cell r="A175" t="str">
            <v>B.01.000.010115</v>
          </cell>
          <cell r="B175" t="str">
            <v>Eletricista</v>
          </cell>
          <cell r="C175" t="str">
            <v>H</v>
          </cell>
          <cell r="D175">
            <v>14.51</v>
          </cell>
        </row>
        <row r="176">
          <cell r="A176" t="str">
            <v>B.01.000.010116</v>
          </cell>
          <cell r="B176" t="str">
            <v>Ajudante eletricista</v>
          </cell>
          <cell r="C176" t="str">
            <v>H</v>
          </cell>
          <cell r="D176">
            <v>9.9499999999999993</v>
          </cell>
        </row>
        <row r="177">
          <cell r="A177" t="str">
            <v>B.01.000.010117</v>
          </cell>
          <cell r="B177" t="str">
            <v>Eletrotécnico montador</v>
          </cell>
          <cell r="C177" t="str">
            <v>H</v>
          </cell>
          <cell r="D177">
            <v>31.66</v>
          </cell>
        </row>
        <row r="178">
          <cell r="A178" t="str">
            <v>B.01.000.010118</v>
          </cell>
          <cell r="B178" t="str">
            <v>Encanador</v>
          </cell>
          <cell r="C178" t="str">
            <v>H</v>
          </cell>
          <cell r="D178">
            <v>14.51</v>
          </cell>
        </row>
        <row r="179">
          <cell r="A179" t="str">
            <v>B.01.000.010119</v>
          </cell>
          <cell r="B179" t="str">
            <v>Ajudante de encanador</v>
          </cell>
          <cell r="C179" t="str">
            <v>H</v>
          </cell>
          <cell r="D179">
            <v>9.9499999999999993</v>
          </cell>
        </row>
        <row r="180">
          <cell r="A180" t="str">
            <v>B.01.000.010121</v>
          </cell>
          <cell r="B180" t="str">
            <v>Ferreiro/armador</v>
          </cell>
          <cell r="C180" t="str">
            <v>H</v>
          </cell>
          <cell r="D180">
            <v>12.11</v>
          </cell>
        </row>
        <row r="181">
          <cell r="A181" t="str">
            <v>B.01.000.010122</v>
          </cell>
          <cell r="B181" t="str">
            <v>Ajudante de ferreiro</v>
          </cell>
          <cell r="C181" t="str">
            <v>H</v>
          </cell>
          <cell r="D181">
            <v>9.9499999999999993</v>
          </cell>
        </row>
        <row r="182">
          <cell r="A182" t="str">
            <v>B.01.000.010123</v>
          </cell>
          <cell r="B182" t="str">
            <v>Gesseiro</v>
          </cell>
          <cell r="C182" t="str">
            <v>H</v>
          </cell>
          <cell r="D182">
            <v>12.11</v>
          </cell>
        </row>
        <row r="183">
          <cell r="A183" t="str">
            <v>B.01.000.010124</v>
          </cell>
          <cell r="B183" t="str">
            <v>Graniteiro</v>
          </cell>
          <cell r="C183" t="str">
            <v>H</v>
          </cell>
          <cell r="D183">
            <v>14.51</v>
          </cell>
        </row>
        <row r="184">
          <cell r="A184" t="str">
            <v>B.01.000.010126</v>
          </cell>
          <cell r="B184" t="str">
            <v>Jardineiro</v>
          </cell>
          <cell r="C184" t="str">
            <v>H</v>
          </cell>
          <cell r="D184">
            <v>12.11</v>
          </cell>
        </row>
        <row r="185">
          <cell r="A185" t="str">
            <v>B.01.000.010130</v>
          </cell>
          <cell r="B185" t="str">
            <v>Marceneiro</v>
          </cell>
          <cell r="C185" t="str">
            <v>H</v>
          </cell>
          <cell r="D185">
            <v>18.48</v>
          </cell>
        </row>
        <row r="186">
          <cell r="A186" t="str">
            <v>B.01.000.010139</v>
          </cell>
          <cell r="B186" t="str">
            <v>Pedreiro</v>
          </cell>
          <cell r="C186" t="str">
            <v>H</v>
          </cell>
          <cell r="D186">
            <v>12.11</v>
          </cell>
        </row>
        <row r="187">
          <cell r="A187" t="str">
            <v>B.01.000.010140</v>
          </cell>
          <cell r="B187" t="str">
            <v>Pintor</v>
          </cell>
          <cell r="C187" t="str">
            <v>H</v>
          </cell>
          <cell r="D187">
            <v>14.51</v>
          </cell>
        </row>
        <row r="188">
          <cell r="A188" t="str">
            <v>B.01.000.010141</v>
          </cell>
          <cell r="B188" t="str">
            <v>Ajudante de pintor</v>
          </cell>
          <cell r="C188" t="str">
            <v>H</v>
          </cell>
          <cell r="D188">
            <v>9.9499999999999993</v>
          </cell>
        </row>
        <row r="189">
          <cell r="A189" t="str">
            <v>B.01.000.010142</v>
          </cell>
          <cell r="B189" t="str">
            <v>Poceiro</v>
          </cell>
          <cell r="C189" t="str">
            <v>H</v>
          </cell>
          <cell r="D189">
            <v>14.51</v>
          </cell>
        </row>
        <row r="190">
          <cell r="A190" t="str">
            <v>B.01.000.010143</v>
          </cell>
          <cell r="B190" t="str">
            <v>Operador</v>
          </cell>
          <cell r="C190" t="str">
            <v>H</v>
          </cell>
          <cell r="D190">
            <v>18.8</v>
          </cell>
        </row>
        <row r="191">
          <cell r="A191" t="str">
            <v>B.01.000.010144</v>
          </cell>
          <cell r="B191" t="str">
            <v>Serralheiro</v>
          </cell>
          <cell r="C191" t="str">
            <v>H</v>
          </cell>
          <cell r="D191">
            <v>15.8</v>
          </cell>
        </row>
        <row r="192">
          <cell r="A192" t="str">
            <v>B.01.000.010145</v>
          </cell>
          <cell r="B192" t="str">
            <v>Ajudante serralheiro</v>
          </cell>
          <cell r="C192" t="str">
            <v>H</v>
          </cell>
          <cell r="D192">
            <v>9.9499999999999993</v>
          </cell>
        </row>
        <row r="193">
          <cell r="A193" t="str">
            <v>B.01.000.010146</v>
          </cell>
          <cell r="B193" t="str">
            <v>Servente</v>
          </cell>
          <cell r="C193" t="str">
            <v>H</v>
          </cell>
          <cell r="D193">
            <v>9.9499999999999993</v>
          </cell>
        </row>
        <row r="194">
          <cell r="A194" t="str">
            <v>B.01.000.010148</v>
          </cell>
          <cell r="B194" t="str">
            <v>Soldador</v>
          </cell>
          <cell r="C194" t="str">
            <v>H</v>
          </cell>
          <cell r="D194">
            <v>14.51</v>
          </cell>
        </row>
        <row r="195">
          <cell r="A195" t="str">
            <v>B.01.000.010160</v>
          </cell>
          <cell r="B195" t="str">
            <v>Ajudante de topógrafo</v>
          </cell>
          <cell r="C195" t="str">
            <v>H</v>
          </cell>
          <cell r="D195">
            <v>9.9499999999999993</v>
          </cell>
        </row>
        <row r="196">
          <cell r="A196" t="str">
            <v>B.01.000.010185</v>
          </cell>
          <cell r="B196" t="str">
            <v>Topografo</v>
          </cell>
          <cell r="C196" t="str">
            <v>H</v>
          </cell>
          <cell r="D196">
            <v>20.92</v>
          </cell>
        </row>
        <row r="197">
          <cell r="A197" t="str">
            <v>B.01.000.010186</v>
          </cell>
          <cell r="B197" t="str">
            <v>Vidraceiro</v>
          </cell>
          <cell r="C197" t="str">
            <v>H</v>
          </cell>
          <cell r="D197">
            <v>14.51</v>
          </cell>
        </row>
        <row r="198">
          <cell r="A198" t="str">
            <v>B.01.000.010187</v>
          </cell>
          <cell r="B198" t="str">
            <v>Desenhista</v>
          </cell>
          <cell r="C198" t="str">
            <v>H</v>
          </cell>
          <cell r="D198">
            <v>18.649999999999999</v>
          </cell>
        </row>
        <row r="199">
          <cell r="A199" t="str">
            <v>B.01.000.010195</v>
          </cell>
          <cell r="B199" t="str">
            <v>Ajudante de esgoteiro</v>
          </cell>
          <cell r="C199" t="str">
            <v>H</v>
          </cell>
          <cell r="D199">
            <v>9.9499999999999993</v>
          </cell>
        </row>
        <row r="200">
          <cell r="A200" t="str">
            <v>B.01.000.010197</v>
          </cell>
          <cell r="B200" t="str">
            <v>Oficial de eletrificação</v>
          </cell>
          <cell r="C200" t="str">
            <v>H</v>
          </cell>
          <cell r="D200">
            <v>24.93</v>
          </cell>
        </row>
        <row r="201">
          <cell r="A201" t="str">
            <v>B.01.000.010198</v>
          </cell>
          <cell r="B201" t="str">
            <v>Técnico equipamentos informática</v>
          </cell>
          <cell r="C201" t="str">
            <v>H</v>
          </cell>
          <cell r="D201">
            <v>17.97</v>
          </cell>
        </row>
        <row r="202">
          <cell r="A202" t="str">
            <v>B.01.000.010506</v>
          </cell>
          <cell r="B202" t="str">
            <v>Montador</v>
          </cell>
          <cell r="C202" t="str">
            <v>H</v>
          </cell>
          <cell r="D202">
            <v>17.95</v>
          </cell>
        </row>
        <row r="203">
          <cell r="A203" t="str">
            <v>B.01.000.010507</v>
          </cell>
          <cell r="B203" t="str">
            <v>Montador eletromecânico</v>
          </cell>
          <cell r="C203" t="str">
            <v>H</v>
          </cell>
          <cell r="D203">
            <v>34.619999999999997</v>
          </cell>
        </row>
        <row r="204">
          <cell r="A204" t="str">
            <v>B.01.000.020112</v>
          </cell>
          <cell r="B204" t="str">
            <v>Coordenador de projetos</v>
          </cell>
          <cell r="C204" t="str">
            <v>H</v>
          </cell>
          <cell r="D204">
            <v>165.81</v>
          </cell>
        </row>
        <row r="205">
          <cell r="A205" t="str">
            <v>B.01.000.020113</v>
          </cell>
          <cell r="B205" t="str">
            <v>Arquiteto junior</v>
          </cell>
          <cell r="C205" t="str">
            <v>H</v>
          </cell>
          <cell r="D205">
            <v>55.36</v>
          </cell>
        </row>
        <row r="206">
          <cell r="A206" t="str">
            <v>B.01.000.020114</v>
          </cell>
          <cell r="B206" t="str">
            <v>Arquiteto senior</v>
          </cell>
          <cell r="C206" t="str">
            <v>H</v>
          </cell>
          <cell r="D206">
            <v>66.930000000000007</v>
          </cell>
        </row>
        <row r="207">
          <cell r="A207" t="str">
            <v>B.01.000.020115</v>
          </cell>
          <cell r="B207" t="str">
            <v>Engenheiro junior de civil</v>
          </cell>
          <cell r="C207" t="str">
            <v>H</v>
          </cell>
          <cell r="D207">
            <v>58.3</v>
          </cell>
        </row>
        <row r="208">
          <cell r="A208" t="str">
            <v>B.01.000.020116</v>
          </cell>
          <cell r="B208" t="str">
            <v>Engenheiro junior de elétrica</v>
          </cell>
          <cell r="C208" t="str">
            <v>H</v>
          </cell>
          <cell r="D208">
            <v>62.19</v>
          </cell>
        </row>
        <row r="209">
          <cell r="A209" t="str">
            <v>B.01.000.020117</v>
          </cell>
          <cell r="B209" t="str">
            <v>Engenheiro junior de mecânica</v>
          </cell>
          <cell r="C209" t="str">
            <v>H</v>
          </cell>
          <cell r="D209">
            <v>52.49</v>
          </cell>
        </row>
        <row r="210">
          <cell r="A210" t="str">
            <v>B.01.000.020118</v>
          </cell>
          <cell r="B210" t="str">
            <v>Engenheiro senior de civil</v>
          </cell>
          <cell r="C210" t="str">
            <v>H</v>
          </cell>
          <cell r="D210">
            <v>97.74</v>
          </cell>
        </row>
        <row r="211">
          <cell r="A211" t="str">
            <v>B.01.000.020119</v>
          </cell>
          <cell r="B211" t="str">
            <v>Engenheiro senior de elétrica</v>
          </cell>
          <cell r="C211" t="str">
            <v>H</v>
          </cell>
          <cell r="D211">
            <v>98.13</v>
          </cell>
        </row>
        <row r="212">
          <cell r="A212" t="str">
            <v>B.01.000.020120</v>
          </cell>
          <cell r="B212" t="str">
            <v>Engenheiro senior de mecânica</v>
          </cell>
          <cell r="C212" t="str">
            <v>H</v>
          </cell>
          <cell r="D212">
            <v>124.48</v>
          </cell>
        </row>
        <row r="213">
          <cell r="A213" t="str">
            <v>B.01.000.020121</v>
          </cell>
          <cell r="B213" t="str">
            <v>Projetista pleno - nível técnico</v>
          </cell>
          <cell r="C213" t="str">
            <v>H</v>
          </cell>
          <cell r="D213">
            <v>53.93</v>
          </cell>
        </row>
        <row r="214">
          <cell r="A214" t="str">
            <v>B.01.000.020122</v>
          </cell>
          <cell r="B214" t="str">
            <v>Desenhista pleno/cadista</v>
          </cell>
          <cell r="C214" t="str">
            <v>H</v>
          </cell>
          <cell r="D214">
            <v>24.97</v>
          </cell>
        </row>
        <row r="215">
          <cell r="A215" t="str">
            <v>B.02.000.020508</v>
          </cell>
          <cell r="B215" t="str">
            <v>Cimento CPII-E-32 (sacos de 50 kg)</v>
          </cell>
          <cell r="C215" t="str">
            <v>KG</v>
          </cell>
          <cell r="D215">
            <v>0.65</v>
          </cell>
        </row>
        <row r="216">
          <cell r="A216" t="str">
            <v>B.02.000.020509</v>
          </cell>
          <cell r="B216" t="str">
            <v>Cimento branco comum (sacos de 20 kg)</v>
          </cell>
          <cell r="C216" t="str">
            <v>KG</v>
          </cell>
          <cell r="D216">
            <v>2.81</v>
          </cell>
        </row>
        <row r="217">
          <cell r="A217" t="str">
            <v>B.02.000.020529</v>
          </cell>
          <cell r="B217" t="str">
            <v>Massa (só material) cor marfim, Classic Spray HD da Argamont ou equivalente</v>
          </cell>
          <cell r="C217" t="str">
            <v>KG</v>
          </cell>
          <cell r="D217">
            <v>2.4900000000000002</v>
          </cell>
        </row>
        <row r="218">
          <cell r="A218" t="str">
            <v>B.02.000.026680</v>
          </cell>
          <cell r="B218" t="str">
            <v>Adesivo estrutural à base de resina epoxi de alta viscosidade; ref. Tecbond TIX da Quartzolit ou equivalente</v>
          </cell>
          <cell r="C218" t="str">
            <v>KG</v>
          </cell>
          <cell r="D218">
            <v>44.86</v>
          </cell>
        </row>
        <row r="219">
          <cell r="A219" t="str">
            <v>B.02.000.028016</v>
          </cell>
          <cell r="B219" t="str">
            <v>Adesivo de alto desempenho (embalagem em balde de 18 kg); ref. Bianco Vedacit da Otto Baumgart, Biancola PVA da Ciplak ou equivalente</v>
          </cell>
          <cell r="C219" t="str">
            <v>KG</v>
          </cell>
          <cell r="D219">
            <v>16.52</v>
          </cell>
        </row>
        <row r="220">
          <cell r="A220" t="str">
            <v>B.02.000.034597</v>
          </cell>
          <cell r="B220" t="str">
            <v>Argamassa com resistência química, térmica e vibração, para áreas com altas temperaturas até 300°C, ref. Argamassa Kitchen ou equivalente</v>
          </cell>
          <cell r="C220" t="str">
            <v>KG</v>
          </cell>
          <cell r="D220">
            <v>33.229999999999997</v>
          </cell>
        </row>
        <row r="221">
          <cell r="A221" t="str">
            <v>B.02.000.037043</v>
          </cell>
          <cell r="B221" t="str">
            <v>Massa para vidro comum branca e/ou cinza</v>
          </cell>
          <cell r="C221" t="str">
            <v>KG</v>
          </cell>
          <cell r="D221">
            <v>7.26</v>
          </cell>
        </row>
        <row r="222">
          <cell r="A222" t="str">
            <v>B.02.000.037501</v>
          </cell>
          <cell r="B222" t="str">
            <v>Massa plástica para mármore e granito</v>
          </cell>
          <cell r="C222" t="str">
            <v>KG</v>
          </cell>
          <cell r="D222">
            <v>42.55</v>
          </cell>
        </row>
        <row r="223">
          <cell r="A223" t="str">
            <v>B.02.000.038504</v>
          </cell>
          <cell r="B223" t="str">
            <v>Argamassa polimérica do tipo Anchortec Anchormassa S2 da Fosroc, Denvertec 700 da Denver, ou equivalente</v>
          </cell>
          <cell r="C223" t="str">
            <v>KG</v>
          </cell>
          <cell r="D223">
            <v>4.3</v>
          </cell>
        </row>
        <row r="224">
          <cell r="A224" t="str">
            <v>B.02.000.039024</v>
          </cell>
          <cell r="B224" t="str">
            <v>Argamassa polimérica impermeabilizante, referência Sikatop 100, Tec Plus Top da Quartzolit Weber ou equivalente</v>
          </cell>
          <cell r="C224" t="str">
            <v>KG</v>
          </cell>
          <cell r="D224">
            <v>2.91</v>
          </cell>
        </row>
        <row r="225">
          <cell r="A225" t="str">
            <v>B.02.000.039026</v>
          </cell>
          <cell r="B225" t="str">
            <v>Impermeabilização em membrana à base de resina termoplástica e cimentos aditivados com reforço em tela poliéster; ref. Viaplus 5000 da Viapol ou equivalente</v>
          </cell>
          <cell r="C225" t="str">
            <v>KG</v>
          </cell>
          <cell r="D225">
            <v>11.41</v>
          </cell>
        </row>
        <row r="226">
          <cell r="A226" t="str">
            <v>B.02.000.039027</v>
          </cell>
          <cell r="B226" t="str">
            <v>Rejunte flexível cores diversas, para áreas interna e externa, pisos e paredes, juntas de 2 a 10 mm</v>
          </cell>
          <cell r="C226" t="str">
            <v>KG</v>
          </cell>
          <cell r="D226">
            <v>7.39</v>
          </cell>
        </row>
        <row r="227">
          <cell r="A227" t="str">
            <v>B.02.000.039028</v>
          </cell>
          <cell r="B227" t="str">
            <v>Rejunte antiácido bicomponente, à base de resina furânica, para rejuntamento de placas cerâmicas anticorrosivas, ref. comercial Resilit FN da Resinar, rejunte furânico da Gail ou equivalente</v>
          </cell>
          <cell r="C227" t="str">
            <v>KG</v>
          </cell>
          <cell r="D227">
            <v>36.03</v>
          </cell>
        </row>
        <row r="228">
          <cell r="A228" t="str">
            <v>B.02.000.039031</v>
          </cell>
          <cell r="B228" t="str">
            <v>Argamassa colante industrializada para assentamento, uso interno, tipo AC-I, conforme NBR 14081</v>
          </cell>
          <cell r="C228" t="str">
            <v>KG</v>
          </cell>
          <cell r="D228">
            <v>0.87</v>
          </cell>
        </row>
        <row r="229">
          <cell r="A229" t="str">
            <v>B.02.000.039032</v>
          </cell>
          <cell r="B229" t="str">
            <v>Argamassa colante industrializada flexível, para assentamento de placas cerâmicas em áreas internas e externas, tipo AC-II, conforme NBR 14081, ref. comercial Ligamax Gold Extra fabricante Eliane ou equivalente</v>
          </cell>
          <cell r="C229" t="str">
            <v>KG</v>
          </cell>
          <cell r="D229">
            <v>1.75</v>
          </cell>
        </row>
        <row r="230">
          <cell r="A230" t="str">
            <v>B.02.000.039033</v>
          </cell>
          <cell r="B230" t="str">
            <v>Argamassa industrializada colorida, para assentamento e rejuntamento de pastilhas cerâmicas, porcelana/vidro, bloco de vidro, interno e externo, e= 3 a 6 mm</v>
          </cell>
          <cell r="C230" t="str">
            <v>KG</v>
          </cell>
          <cell r="D230">
            <v>9.11</v>
          </cell>
        </row>
        <row r="231">
          <cell r="A231" t="str">
            <v>B.02.000.039041</v>
          </cell>
          <cell r="B231" t="str">
            <v>Rejunte sintético anticorrosivo tricomponente, à base de resina epóxi, para rejuntamento de placas cerâmicas antiácidas de uso industrial, ref. comercial Resilit E da Resinar, Rejunte Epóxi Anticorrosivo da Gail ou equivalente</v>
          </cell>
          <cell r="C231" t="str">
            <v>KG</v>
          </cell>
          <cell r="D231">
            <v>34.08</v>
          </cell>
        </row>
        <row r="232">
          <cell r="A232" t="str">
            <v>B.02.000.039042</v>
          </cell>
          <cell r="B232" t="str">
            <v>Argamassa química bicomponente, alta resistência química, térmicas e vibrações, Argamassa AC-III-E da Gail</v>
          </cell>
          <cell r="C232" t="str">
            <v>KG</v>
          </cell>
          <cell r="D232">
            <v>10.52</v>
          </cell>
        </row>
        <row r="233">
          <cell r="A233" t="str">
            <v>B.02.000.039043</v>
          </cell>
          <cell r="B233" t="str">
            <v>Rejunte anticorrosivo bicomponente, composto de cimentos especiais à base de bauxita, agregados e aditivos químicos não tóxico, resistente a altas temperaturas até 300°C, ref. Rejunte Aluminoso da Gail, Resilit Aluminoso da Resinar ou equivalente</v>
          </cell>
          <cell r="C233" t="str">
            <v>KG</v>
          </cell>
          <cell r="D233">
            <v>32.75</v>
          </cell>
        </row>
        <row r="234">
          <cell r="A234" t="str">
            <v>B.02.000.039044</v>
          </cell>
          <cell r="B234" t="str">
            <v>Argamassa colante industrializada; referência Gail Argamassa Industrial ou equivalente</v>
          </cell>
          <cell r="C234" t="str">
            <v>KG</v>
          </cell>
          <cell r="D234">
            <v>4.2</v>
          </cell>
        </row>
        <row r="235">
          <cell r="A235" t="str">
            <v>B.02.000.039055</v>
          </cell>
          <cell r="B235" t="str">
            <v>Massa para revestimento, ref. Multimassa pronta uso geral da Quartizolit ou equivalente - saco de 20 kg</v>
          </cell>
          <cell r="C235" t="str">
            <v>KG</v>
          </cell>
          <cell r="D235">
            <v>1.18</v>
          </cell>
        </row>
        <row r="236">
          <cell r="A236" t="str">
            <v>B.02.000.039056</v>
          </cell>
          <cell r="B236" t="str">
            <v>Argamassa colante industrializada, resistência química e térmicas, tipo AC-III. Ref. Argamassa Ligamax Gold Performance Branca da Eliane ou equivalente</v>
          </cell>
          <cell r="C236" t="str">
            <v>KG</v>
          </cell>
          <cell r="D236">
            <v>3.83</v>
          </cell>
        </row>
        <row r="237">
          <cell r="A237" t="str">
            <v>B.02.000.042229</v>
          </cell>
          <cell r="B237" t="str">
            <v>Adesivo estrutural bicomponente, à base de epóxi, ref. Cola Compound- Otto Baumgart ou equivalente</v>
          </cell>
          <cell r="C237" t="str">
            <v>KG</v>
          </cell>
          <cell r="D237">
            <v>63.2</v>
          </cell>
        </row>
        <row r="238">
          <cell r="A238" t="str">
            <v>B.02.000.092014</v>
          </cell>
          <cell r="B238" t="str">
            <v>Argamassa graute autonivelante, composto de cimento, areia de quartzo e aditivos especiais; ref. SikaGrout 250 da Sika, Pro Grauth V2 da Vedacit ou equivalente</v>
          </cell>
          <cell r="C238" t="str">
            <v>KG</v>
          </cell>
          <cell r="D238">
            <v>1.86</v>
          </cell>
        </row>
        <row r="239">
          <cell r="A239" t="str">
            <v>B.02.000.093344</v>
          </cell>
          <cell r="B239" t="str">
            <v>Rejunte flexível para porcelanato, aplicada em áreas internas e externas com junta até 3mm, ref. Rejunte Ligamax Gold Total da Eliane ou equivalente</v>
          </cell>
          <cell r="C239" t="str">
            <v>KG</v>
          </cell>
          <cell r="D239">
            <v>8.0500000000000007</v>
          </cell>
        </row>
        <row r="240">
          <cell r="A240" t="str">
            <v>B.03.000.020505</v>
          </cell>
          <cell r="B240" t="str">
            <v>Cal hidratada (saco de 20 kg)</v>
          </cell>
          <cell r="C240" t="str">
            <v>KG</v>
          </cell>
          <cell r="D240">
            <v>0.88</v>
          </cell>
        </row>
        <row r="241">
          <cell r="A241" t="str">
            <v>B.03.000.020580</v>
          </cell>
          <cell r="B241" t="str">
            <v>Gesso em pó ensacado para revestimento saco de 20 kg</v>
          </cell>
          <cell r="C241" t="str">
            <v>KG</v>
          </cell>
          <cell r="D241">
            <v>1.02</v>
          </cell>
        </row>
        <row r="242">
          <cell r="A242" t="str">
            <v>B.03.000.038003</v>
          </cell>
          <cell r="B242" t="str">
            <v>Cal para pintura (saco de 8 kg)</v>
          </cell>
          <cell r="C242" t="str">
            <v>KG</v>
          </cell>
          <cell r="D242">
            <v>2.29</v>
          </cell>
        </row>
        <row r="243">
          <cell r="A243" t="str">
            <v>B.04.000.020503</v>
          </cell>
          <cell r="B243" t="str">
            <v>Areia média lavada (a granel caçamba fechada)</v>
          </cell>
          <cell r="C243" t="str">
            <v>M3</v>
          </cell>
          <cell r="D243">
            <v>170</v>
          </cell>
        </row>
        <row r="244">
          <cell r="A244" t="str">
            <v>B.04.000.020504</v>
          </cell>
          <cell r="B244" t="str">
            <v>Areia grossa</v>
          </cell>
          <cell r="C244" t="str">
            <v>M3</v>
          </cell>
          <cell r="D244">
            <v>174.44</v>
          </cell>
        </row>
        <row r="245">
          <cell r="A245" t="str">
            <v>B.05.000.020513</v>
          </cell>
          <cell r="B245" t="str">
            <v>Pedra britada usinada n° 1 posto obra</v>
          </cell>
          <cell r="C245" t="str">
            <v>M3</v>
          </cell>
          <cell r="D245">
            <v>152.97</v>
          </cell>
        </row>
        <row r="246">
          <cell r="A246" t="str">
            <v>B.05.000.020514</v>
          </cell>
          <cell r="B246" t="str">
            <v>Pedra britada usinada n° 2 posto obra</v>
          </cell>
          <cell r="C246" t="str">
            <v>M3</v>
          </cell>
          <cell r="D246">
            <v>152.97</v>
          </cell>
        </row>
        <row r="247">
          <cell r="A247" t="str">
            <v>B.05.000.020515</v>
          </cell>
          <cell r="B247" t="str">
            <v>Pedra britada usinada n° 4 posto obra</v>
          </cell>
          <cell r="C247" t="str">
            <v>M3</v>
          </cell>
          <cell r="D247">
            <v>158.44999999999999</v>
          </cell>
        </row>
        <row r="248">
          <cell r="A248" t="str">
            <v>B.05.000.020516</v>
          </cell>
          <cell r="B248" t="str">
            <v>Brita graduada usinada posto obra</v>
          </cell>
          <cell r="C248" t="str">
            <v>M3</v>
          </cell>
          <cell r="D248">
            <v>184.84</v>
          </cell>
        </row>
        <row r="249">
          <cell r="A249" t="str">
            <v>B.05.000.020518</v>
          </cell>
          <cell r="B249" t="str">
            <v>Pedra britada nº médios 1.2.3 e 4 (a granel)</v>
          </cell>
          <cell r="C249" t="str">
            <v>M3</v>
          </cell>
          <cell r="D249">
            <v>154.13</v>
          </cell>
        </row>
        <row r="250">
          <cell r="A250" t="str">
            <v>B.05.000.020519</v>
          </cell>
          <cell r="B250" t="str">
            <v>Pedra britada usinada n° 3 posto obra</v>
          </cell>
          <cell r="C250" t="str">
            <v>M3</v>
          </cell>
          <cell r="D250">
            <v>152.97</v>
          </cell>
        </row>
        <row r="251">
          <cell r="A251" t="str">
            <v>B.05.000.020521</v>
          </cell>
          <cell r="B251" t="str">
            <v>Pedra de mão (rachão)</v>
          </cell>
          <cell r="C251" t="str">
            <v>M3</v>
          </cell>
          <cell r="D251">
            <v>177.76</v>
          </cell>
        </row>
        <row r="252">
          <cell r="A252" t="str">
            <v>B.05.000.020522</v>
          </cell>
          <cell r="B252" t="str">
            <v>Pedrisco</v>
          </cell>
          <cell r="C252" t="str">
            <v>M3</v>
          </cell>
          <cell r="D252">
            <v>178.9</v>
          </cell>
        </row>
        <row r="253">
          <cell r="A253" t="str">
            <v>B.05.000.020523</v>
          </cell>
          <cell r="B253" t="str">
            <v>Bica corrida posto obra</v>
          </cell>
          <cell r="C253" t="str">
            <v>M3</v>
          </cell>
          <cell r="D253">
            <v>163.09</v>
          </cell>
        </row>
        <row r="254">
          <cell r="A254" t="str">
            <v>B.05.000.020524</v>
          </cell>
          <cell r="B254" t="str">
            <v>Pó de pedra</v>
          </cell>
          <cell r="C254" t="str">
            <v>M3</v>
          </cell>
          <cell r="D254">
            <v>159.05000000000001</v>
          </cell>
        </row>
        <row r="255">
          <cell r="A255" t="str">
            <v>B.06.000.021510</v>
          </cell>
          <cell r="B255" t="str">
            <v>Aço CA-25 $MD bitolas</v>
          </cell>
          <cell r="C255" t="str">
            <v>KG</v>
          </cell>
          <cell r="D255">
            <v>7.11</v>
          </cell>
        </row>
        <row r="256">
          <cell r="A256" t="str">
            <v>B.06.000.021525</v>
          </cell>
          <cell r="B256" t="str">
            <v>Aço CA-50-A $MD bitolas</v>
          </cell>
          <cell r="C256" t="str">
            <v>KG</v>
          </cell>
          <cell r="D256">
            <v>6.21</v>
          </cell>
        </row>
        <row r="257">
          <cell r="A257" t="str">
            <v>B.06.000.021538</v>
          </cell>
          <cell r="B257" t="str">
            <v>Aço CA-60-B $MD bitolas</v>
          </cell>
          <cell r="C257" t="str">
            <v>KG</v>
          </cell>
          <cell r="D257">
            <v>6.51</v>
          </cell>
        </row>
        <row r="258">
          <cell r="A258" t="str">
            <v>B.06.000.021560</v>
          </cell>
          <cell r="B258" t="str">
            <v>Tela soldada, diversas bitolas</v>
          </cell>
          <cell r="C258" t="str">
            <v>KG</v>
          </cell>
          <cell r="D258">
            <v>7.55</v>
          </cell>
        </row>
        <row r="259">
          <cell r="A259" t="str">
            <v>B.06.000.042302</v>
          </cell>
          <cell r="B259" t="str">
            <v>Tela em aço soldada nervurada CA-60, Q-61, diâmetro do fio = 3,4mm, espaçamento da malha = 15x15cm - (0,97 kg/m²)</v>
          </cell>
          <cell r="C259" t="str">
            <v>M2</v>
          </cell>
          <cell r="D259">
            <v>7.63</v>
          </cell>
        </row>
        <row r="260">
          <cell r="A260" t="str">
            <v>B.07.000.024042</v>
          </cell>
          <cell r="B260" t="str">
            <v>Disco de corte 7´</v>
          </cell>
          <cell r="C260" t="str">
            <v>UN</v>
          </cell>
          <cell r="D260">
            <v>17.7</v>
          </cell>
        </row>
        <row r="261">
          <cell r="A261" t="str">
            <v>B.07.000.024090</v>
          </cell>
          <cell r="B261" t="str">
            <v>Fita adesiva textura antiderrapante fosforescente/fotoluminescente para pisos, degraus, rampas, corredores/saídas de emergência, etc, cor preta, p/áreas internas/externas, alto tráfego, largura 5 cm, ref. Safety Walk Neon da 3M ou equivalente</v>
          </cell>
          <cell r="C261" t="str">
            <v>M</v>
          </cell>
          <cell r="D261">
            <v>16.440000000000001</v>
          </cell>
        </row>
        <row r="262">
          <cell r="A262" t="str">
            <v>B.07.000.024091</v>
          </cell>
          <cell r="B262" t="str">
            <v>Faixa em policarbonato para sinalização, fotoluminescente amarela, adesivado com dupla face, para degraus, antiderrapante, comprimento 20cm, largura mínima de 3cm, ref. Andaluz ou equivalente</v>
          </cell>
          <cell r="C262" t="str">
            <v>UN</v>
          </cell>
          <cell r="D262">
            <v>3.42</v>
          </cell>
        </row>
        <row r="263">
          <cell r="A263" t="str">
            <v>B.07.000.024502</v>
          </cell>
          <cell r="B263" t="str">
            <v>Argila expandida n° 1 (tipo 2215 - dimensões 22 a 15 mm) - a granel</v>
          </cell>
          <cell r="C263" t="str">
            <v>M3</v>
          </cell>
          <cell r="D263">
            <v>663.33</v>
          </cell>
        </row>
        <row r="264">
          <cell r="A264" t="str">
            <v>B.07.000.026681</v>
          </cell>
          <cell r="B264" t="str">
            <v>Resina epóxi de baixa viscosidade para injeção de fissuras; ref. Techbond Injeção WT da Quartzolit ou equivalente</v>
          </cell>
          <cell r="C264" t="str">
            <v>KG</v>
          </cell>
          <cell r="D264">
            <v>152.03</v>
          </cell>
        </row>
        <row r="265">
          <cell r="A265" t="str">
            <v>B.07.000.038005</v>
          </cell>
          <cell r="B265" t="str">
            <v>Disco de desbaste 7´</v>
          </cell>
          <cell r="C265" t="str">
            <v>UN</v>
          </cell>
          <cell r="D265">
            <v>23.59</v>
          </cell>
        </row>
        <row r="266">
          <cell r="A266" t="str">
            <v>B.07.000.038098</v>
          </cell>
          <cell r="B266" t="str">
            <v>Lona plástica preta, espessura 150 micras, rolo de 4x100m, peso mínimo 36 kg</v>
          </cell>
          <cell r="C266" t="str">
            <v>M2</v>
          </cell>
          <cell r="D266">
            <v>1.38</v>
          </cell>
        </row>
        <row r="267">
          <cell r="A267" t="str">
            <v>B.07.000.049501</v>
          </cell>
          <cell r="B267" t="str">
            <v>Fita isolante de 20 m, ref. 3M Scoth 33MR ou equivalente - uso especial</v>
          </cell>
          <cell r="C267" t="str">
            <v>UN</v>
          </cell>
          <cell r="D267">
            <v>31.96</v>
          </cell>
        </row>
        <row r="268">
          <cell r="A268" t="str">
            <v>B.07.000.049753</v>
          </cell>
          <cell r="B268" t="str">
            <v>Luva isolante de borracha, acima de 5 até 10kV</v>
          </cell>
          <cell r="C268" t="str">
            <v>PAR</v>
          </cell>
          <cell r="D268">
            <v>466.94</v>
          </cell>
        </row>
        <row r="269">
          <cell r="A269" t="str">
            <v>B.07.000.049763</v>
          </cell>
          <cell r="B269" t="str">
            <v>Luva de couro para proteção de luva isolante</v>
          </cell>
          <cell r="C269" t="str">
            <v>PAR</v>
          </cell>
          <cell r="D269">
            <v>40.33</v>
          </cell>
        </row>
        <row r="270">
          <cell r="A270" t="str">
            <v>B.07.000.049764</v>
          </cell>
          <cell r="B270" t="str">
            <v>Porta luvas (caixa) em madeira com tampa</v>
          </cell>
          <cell r="C270" t="str">
            <v>UN</v>
          </cell>
          <cell r="D270">
            <v>73.819999999999993</v>
          </cell>
        </row>
        <row r="271">
          <cell r="A271" t="str">
            <v>B.07.000.049767</v>
          </cell>
          <cell r="B271" t="str">
            <v>Luva isolante de borracha, acima de 10 até 20kV</v>
          </cell>
          <cell r="C271" t="str">
            <v>PAR</v>
          </cell>
          <cell r="D271">
            <v>611.67999999999995</v>
          </cell>
        </row>
        <row r="272">
          <cell r="A272" t="str">
            <v>B.07.000.067021</v>
          </cell>
          <cell r="B272" t="str">
            <v>Mangueira plástica flexível 3/4´</v>
          </cell>
          <cell r="C272" t="str">
            <v>M</v>
          </cell>
          <cell r="D272">
            <v>6.75</v>
          </cell>
        </row>
        <row r="273">
          <cell r="A273" t="str">
            <v>B.07.000.069552</v>
          </cell>
          <cell r="B273" t="str">
            <v>Fita teflon de 18 mm</v>
          </cell>
          <cell r="C273" t="str">
            <v>M</v>
          </cell>
          <cell r="D273">
            <v>0.19</v>
          </cell>
        </row>
        <row r="274">
          <cell r="A274" t="str">
            <v>B.07.000.090631</v>
          </cell>
          <cell r="B274" t="str">
            <v>Fita adesiva antiderrapante para pisos e degraus, na cor preta, alto tráfego, com largura de 5cm, ref. Safety-WalkMR fabricação 3M ou equivalente</v>
          </cell>
          <cell r="C274" t="str">
            <v>M</v>
          </cell>
          <cell r="D274">
            <v>16.77</v>
          </cell>
        </row>
        <row r="275">
          <cell r="A275" t="str">
            <v>B.07.000.090806</v>
          </cell>
          <cell r="B275" t="str">
            <v>Escova de aço</v>
          </cell>
          <cell r="C275" t="str">
            <v>UN</v>
          </cell>
          <cell r="D275">
            <v>17.190000000000001</v>
          </cell>
        </row>
        <row r="276">
          <cell r="A276" t="str">
            <v>B.09.000.024006</v>
          </cell>
          <cell r="B276" t="str">
            <v>Cura química para superfície de concreto, membrana líquida branca; ref. Sika AntiSol Pav, Adi-Cura Pav10 da Aditibras, Pro Agente de Cura Pav da Vedacit, Emcoril Traffic da MC ou equivalente</v>
          </cell>
          <cell r="C276" t="str">
            <v>KG</v>
          </cell>
          <cell r="D276">
            <v>8.17</v>
          </cell>
        </row>
        <row r="277">
          <cell r="A277" t="str">
            <v>B.09.000.024069</v>
          </cell>
          <cell r="B277" t="str">
            <v>Aditivo hidrófugo de pega normal; ref. Vedacit, Sika 1 / Sika ou equivalente</v>
          </cell>
          <cell r="C277" t="str">
            <v>L</v>
          </cell>
          <cell r="D277">
            <v>5.99</v>
          </cell>
        </row>
        <row r="278">
          <cell r="A278" t="str">
            <v>B.09.000.028074</v>
          </cell>
          <cell r="B278" t="str">
            <v>Adesivo para poliuretano PA 02</v>
          </cell>
          <cell r="C278" t="str">
            <v>bg</v>
          </cell>
          <cell r="D278">
            <v>36.200000000000003</v>
          </cell>
        </row>
        <row r="279">
          <cell r="A279" t="str">
            <v>B.09.000.039023</v>
          </cell>
          <cell r="B279" t="str">
            <v>Adesivo/selador à base de emulsão acrílica, ref. Nitobond AR da Anchortec ou Rheomix 104 da BASF ou equivalente</v>
          </cell>
          <cell r="C279" t="str">
            <v>KG</v>
          </cell>
          <cell r="D279">
            <v>17.95</v>
          </cell>
        </row>
        <row r="280">
          <cell r="A280" t="str">
            <v>B.09.000.039024</v>
          </cell>
          <cell r="B280" t="str">
            <v>Adesivo (cola) para dispositivos de resina - 1 kg</v>
          </cell>
          <cell r="C280" t="str">
            <v>UN</v>
          </cell>
          <cell r="D280">
            <v>28.71</v>
          </cell>
        </row>
        <row r="281">
          <cell r="A281" t="str">
            <v>B.09.000.039074</v>
          </cell>
          <cell r="B281" t="str">
            <v>Cola de poliuretano PU</v>
          </cell>
          <cell r="C281" t="str">
            <v>KG</v>
          </cell>
          <cell r="D281">
            <v>25.84</v>
          </cell>
        </row>
        <row r="282">
          <cell r="A282" t="str">
            <v>B.09.000.039075</v>
          </cell>
          <cell r="B282" t="str">
            <v>Cola para chapas melamínicas</v>
          </cell>
          <cell r="C282" t="str">
            <v>KG</v>
          </cell>
          <cell r="D282">
            <v>71.09</v>
          </cell>
        </row>
        <row r="283">
          <cell r="A283" t="str">
            <v>B.09.000.039076</v>
          </cell>
          <cell r="B283" t="str">
            <v>Cola branca para piso, tacos madeira</v>
          </cell>
          <cell r="C283" t="str">
            <v>KG</v>
          </cell>
          <cell r="D283">
            <v>30.82</v>
          </cell>
        </row>
        <row r="284">
          <cell r="A284" t="str">
            <v>B.09.000.069513</v>
          </cell>
          <cell r="B284" t="str">
            <v>Adesivo para tubos PVC</v>
          </cell>
          <cell r="C284" t="str">
            <v>KG</v>
          </cell>
          <cell r="D284">
            <v>72.86</v>
          </cell>
        </row>
        <row r="285">
          <cell r="A285" t="str">
            <v>C.01.000.020235</v>
          </cell>
          <cell r="B285" t="str">
            <v>Furo em concreto armado com diâmetro de 1 1/4´</v>
          </cell>
          <cell r="C285" t="str">
            <v>M</v>
          </cell>
          <cell r="D285">
            <v>270.07</v>
          </cell>
        </row>
        <row r="286">
          <cell r="A286" t="str">
            <v>C.01.000.020236</v>
          </cell>
          <cell r="B286" t="str">
            <v>Furo em concreto armado com diâmetro de 1 1/2´</v>
          </cell>
          <cell r="C286" t="str">
            <v>M</v>
          </cell>
          <cell r="D286">
            <v>272.39999999999998</v>
          </cell>
        </row>
        <row r="287">
          <cell r="A287" t="str">
            <v>C.01.000.020237</v>
          </cell>
          <cell r="B287" t="str">
            <v>Furo em concreto armado com diâmetro de 2 1/4´</v>
          </cell>
          <cell r="C287" t="str">
            <v>M</v>
          </cell>
          <cell r="D287">
            <v>377.36</v>
          </cell>
        </row>
        <row r="288">
          <cell r="A288" t="str">
            <v>C.01.000.020256</v>
          </cell>
          <cell r="B288" t="str">
            <v>Furação com broca de vídea para até 10mm x 100mm em concreto armado, inclusive colagem da armadura com resina Epoxi (para até 8mm)</v>
          </cell>
          <cell r="C288" t="str">
            <v>UN</v>
          </cell>
          <cell r="D288">
            <v>13.6</v>
          </cell>
        </row>
        <row r="289">
          <cell r="A289" t="str">
            <v>C.01.000.020257</v>
          </cell>
          <cell r="B289" t="str">
            <v>Furação com broca de vídea para 16mm x 150mm em concreto armado, inclusive colagem da armadura com resina Epoxi (para 12,5mm)</v>
          </cell>
          <cell r="C289" t="str">
            <v>UN</v>
          </cell>
          <cell r="D289">
            <v>25.63</v>
          </cell>
        </row>
        <row r="290">
          <cell r="A290" t="str">
            <v>C.01.000.020258</v>
          </cell>
          <cell r="B290" t="str">
            <v>Furação com broca de vídea para 20mm x 150mm em concreto armado, inclusive colagem da armadura com resina Epoxi (para 16mm)</v>
          </cell>
          <cell r="C290" t="str">
            <v>UN</v>
          </cell>
          <cell r="D290">
            <v>27.79</v>
          </cell>
        </row>
        <row r="291">
          <cell r="A291" t="str">
            <v>C.01.000.020259</v>
          </cell>
          <cell r="B291" t="str">
            <v>Furação com broca de vídea para 12,5mm x 200mm em concreto armado, inclusive colagem da armadura com resina Epoxi (para 10mm)</v>
          </cell>
          <cell r="C291" t="str">
            <v>UN</v>
          </cell>
          <cell r="D291">
            <v>30.14</v>
          </cell>
        </row>
        <row r="292">
          <cell r="A292" t="str">
            <v>C.01.000.020260</v>
          </cell>
          <cell r="B292" t="str">
            <v>Furação com broca de vídea para 12,5mm x 100mm em concreto armado, inclusive colagem da armadura com resina Epoxi (para 10mm)</v>
          </cell>
          <cell r="C292" t="str">
            <v>UN</v>
          </cell>
          <cell r="D292">
            <v>15.81</v>
          </cell>
        </row>
        <row r="293">
          <cell r="A293" t="str">
            <v>C.01.000.020261</v>
          </cell>
          <cell r="B293" t="str">
            <v>Furação com broca de vídea para 16mm x 100mm em concreto armado, inclusive colagem da armadura com resina Epoxi (para 12,5mm)</v>
          </cell>
          <cell r="C293" t="str">
            <v>UN</v>
          </cell>
          <cell r="D293">
            <v>16.309999999999999</v>
          </cell>
        </row>
        <row r="294">
          <cell r="A294" t="str">
            <v>C.01.000.020263</v>
          </cell>
          <cell r="B294" t="str">
            <v>Furação com broca de vídea para até 10mm x 150mm em concreto armado, inclusive colagem da armadura com resina Epoxi (para até 8mm)</v>
          </cell>
          <cell r="C294" t="str">
            <v>UN</v>
          </cell>
          <cell r="D294">
            <v>21.13</v>
          </cell>
        </row>
        <row r="295">
          <cell r="A295" t="str">
            <v>C.01.000.020264</v>
          </cell>
          <cell r="B295" t="str">
            <v>Furação com broca de vídea para 12,5mm x 150mm em concreto armado, inclusive colagem da armadura com resina Epoxi (para 10mm)</v>
          </cell>
          <cell r="C295" t="str">
            <v>UN</v>
          </cell>
          <cell r="D295">
            <v>21.92</v>
          </cell>
        </row>
        <row r="296">
          <cell r="A296" t="str">
            <v>C.01.000.020265</v>
          </cell>
          <cell r="B296" t="str">
            <v>Furação com broca de vídea para até 10mm x 200mm em concreto armado, inclusive colagem da armadura com resina Epoxi (para 8mm)</v>
          </cell>
          <cell r="C296" t="str">
            <v>UN</v>
          </cell>
          <cell r="D296">
            <v>27.31</v>
          </cell>
        </row>
        <row r="297">
          <cell r="A297" t="str">
            <v>C.01.000.020266</v>
          </cell>
          <cell r="B297" t="str">
            <v>Furação com broca de vídea para 16mm x 200mm em concreto armado, inclusive colagem da armadura com resina Epoxi (para 12,5mm)</v>
          </cell>
          <cell r="C297" t="str">
            <v>UN</v>
          </cell>
          <cell r="D297">
            <v>31.4</v>
          </cell>
        </row>
        <row r="298">
          <cell r="A298" t="str">
            <v>C.01.000.020267</v>
          </cell>
          <cell r="B298" t="str">
            <v>Furação com broca de vídea para 20mm x 200mm em concreto armado, inclusive colagem da armadura com resina Epoxi (para 16mm)</v>
          </cell>
          <cell r="C298" t="str">
            <v>UN</v>
          </cell>
          <cell r="D298">
            <v>37.04</v>
          </cell>
        </row>
        <row r="299">
          <cell r="A299" t="str">
            <v>C.01.000.020317</v>
          </cell>
          <cell r="B299" t="str">
            <v>Locação de forma deslizante, Dint.= 5,50 a 6,00m, mão de obra especializada e direção técnica</v>
          </cell>
          <cell r="C299" t="str">
            <v>M</v>
          </cell>
          <cell r="D299">
            <v>12706.17</v>
          </cell>
        </row>
        <row r="300">
          <cell r="A300" t="str">
            <v>C.01.000.020318</v>
          </cell>
          <cell r="B300" t="str">
            <v>Locação de forma deslizante, Dint.= 3,50 a 4,00m, mão de obra especializada e direção técnica</v>
          </cell>
          <cell r="C300" t="str">
            <v>M</v>
          </cell>
          <cell r="D300">
            <v>7688.41</v>
          </cell>
        </row>
        <row r="301">
          <cell r="A301" t="str">
            <v>C.01.000.020560</v>
          </cell>
          <cell r="B301" t="str">
            <v>Furo em concreto armado com diâmetro de 2 1/2´</v>
          </cell>
          <cell r="C301" t="str">
            <v>M</v>
          </cell>
          <cell r="D301">
            <v>387.85</v>
          </cell>
        </row>
        <row r="302">
          <cell r="A302" t="str">
            <v>C.01.000.020592</v>
          </cell>
          <cell r="B302" t="str">
            <v>Furo em concreto armado de 1´</v>
          </cell>
          <cell r="C302" t="str">
            <v>M</v>
          </cell>
          <cell r="D302">
            <v>272.73</v>
          </cell>
        </row>
        <row r="303">
          <cell r="A303" t="str">
            <v>C.01.000.020593</v>
          </cell>
          <cell r="B303" t="str">
            <v>Furo em concreto armado de 3´</v>
          </cell>
          <cell r="C303" t="str">
            <v>M</v>
          </cell>
          <cell r="D303">
            <v>416.42</v>
          </cell>
        </row>
        <row r="304">
          <cell r="A304" t="str">
            <v>C.01.000.020594</v>
          </cell>
          <cell r="B304" t="str">
            <v>Furo em concreto armado de 5´</v>
          </cell>
          <cell r="C304" t="str">
            <v>M</v>
          </cell>
          <cell r="D304">
            <v>461.56</v>
          </cell>
        </row>
        <row r="305">
          <cell r="A305" t="str">
            <v>C.01.000.020692</v>
          </cell>
          <cell r="B305" t="str">
            <v>Taxa de mobilização e desmobilização de equipamentos para execução de corte em concreto armado</v>
          </cell>
          <cell r="C305" t="str">
            <v>TX</v>
          </cell>
          <cell r="D305">
            <v>421.15</v>
          </cell>
        </row>
        <row r="306">
          <cell r="A306" t="str">
            <v>C.01.000.024054</v>
          </cell>
          <cell r="B306" t="str">
            <v>Fibra de carbono para reforço estrutural de alta resisência 300 g/m², faixa de resistência a tração de 4.000 à 4900 Mpa; referência comercial Sika, Viapol ou equivalente</v>
          </cell>
          <cell r="C306" t="str">
            <v>M2</v>
          </cell>
          <cell r="D306">
            <v>130.55000000000001</v>
          </cell>
        </row>
        <row r="307">
          <cell r="A307" t="str">
            <v>C.01.000.090095</v>
          </cell>
          <cell r="B307" t="str">
            <v>Corte vertical em placa de concreto armado, espessura de 15cm</v>
          </cell>
          <cell r="C307" t="str">
            <v>M</v>
          </cell>
          <cell r="D307">
            <v>226.39</v>
          </cell>
        </row>
        <row r="308">
          <cell r="A308" t="str">
            <v>C.01.000.090640</v>
          </cell>
          <cell r="B308" t="str">
            <v>Taxa de mobilização e desmobilização de equipamentos para execução de perfuração em concreto, com broca diamantada ou vídea</v>
          </cell>
          <cell r="C308" t="str">
            <v>TX</v>
          </cell>
          <cell r="D308">
            <v>227.04</v>
          </cell>
        </row>
        <row r="309">
          <cell r="A309" t="str">
            <v>C.01.000.090647</v>
          </cell>
          <cell r="B309" t="str">
            <v>Furo em concreto armado de 2´</v>
          </cell>
          <cell r="C309" t="str">
            <v>M</v>
          </cell>
          <cell r="D309">
            <v>411.12</v>
          </cell>
        </row>
        <row r="310">
          <cell r="A310" t="str">
            <v>C.01.000.090648</v>
          </cell>
          <cell r="B310" t="str">
            <v>Furo em concreto armado de 4´</v>
          </cell>
          <cell r="C310" t="str">
            <v>M</v>
          </cell>
          <cell r="D310">
            <v>440.28</v>
          </cell>
        </row>
        <row r="311">
          <cell r="A311" t="str">
            <v>C.01.000.090649</v>
          </cell>
          <cell r="B311" t="str">
            <v>Furo em concreto armado de 6´</v>
          </cell>
          <cell r="C311" t="str">
            <v>M</v>
          </cell>
          <cell r="D311">
            <v>591.46</v>
          </cell>
        </row>
        <row r="312">
          <cell r="A312" t="str">
            <v>C.01.000.092024</v>
          </cell>
          <cell r="B312" t="str">
            <v>Corte de junta dilatação com serra disco diamantado na largura de 3 mm, profundidade de 3 cm, para piso de concreto ou alta resistência 3,0 mm x 3,0 cm</v>
          </cell>
          <cell r="C312" t="str">
            <v>M</v>
          </cell>
          <cell r="D312">
            <v>11.92</v>
          </cell>
        </row>
        <row r="313">
          <cell r="A313" t="str">
            <v>C.01.000.098199</v>
          </cell>
          <cell r="B313" t="str">
            <v>Mão de obra especializada, equipamento e ferramentas apropriadas para nivelamento de piso em concreto com desempeno de magnésio e acabadora de superfície</v>
          </cell>
          <cell r="C313" t="str">
            <v>M2</v>
          </cell>
          <cell r="D313">
            <v>16.170000000000002</v>
          </cell>
        </row>
        <row r="314">
          <cell r="A314" t="str">
            <v>C.02.000.020910</v>
          </cell>
          <cell r="B314" t="str">
            <v>Marco de concreto tronco pirâmide de 60x08x12cm, padrão INCRA</v>
          </cell>
          <cell r="C314" t="str">
            <v>UN</v>
          </cell>
          <cell r="D314">
            <v>112.46</v>
          </cell>
        </row>
        <row r="315">
          <cell r="A315" t="str">
            <v>C.02.000.035614</v>
          </cell>
          <cell r="B315" t="str">
            <v>Piso em placa de concreto permeável drenante, cinza natural, de acordo com a norma NBR 16416:2015; ref. Presto, Oterprem, Megadreno ou equivalente</v>
          </cell>
          <cell r="C315" t="str">
            <v>M2</v>
          </cell>
          <cell r="D315">
            <v>110.28</v>
          </cell>
        </row>
        <row r="316">
          <cell r="A316" t="str">
            <v>C.02.000.035615</v>
          </cell>
          <cell r="B316" t="str">
            <v>Piso em placa de concreto permeável drenante, cinza natural, de 40x40x8cm, de acordo com a norma NBR 16416:2015; ref. Glasser, Oterprem, Drenaltec, Geoblocos ou equivalente</v>
          </cell>
          <cell r="C316" t="str">
            <v>M2</v>
          </cell>
          <cell r="D316">
            <v>119.3</v>
          </cell>
        </row>
        <row r="317">
          <cell r="A317" t="str">
            <v>C.04.000.020530</v>
          </cell>
          <cell r="B317" t="str">
            <v>Concreto usinado fck= 15 MPa, slump 5 ± 1cm</v>
          </cell>
          <cell r="C317" t="str">
            <v>M3</v>
          </cell>
          <cell r="D317">
            <v>450.31</v>
          </cell>
        </row>
        <row r="318">
          <cell r="A318" t="str">
            <v>C.04.000.020531</v>
          </cell>
          <cell r="B318" t="str">
            <v>Concreto usinado fck= 30 MPa, fctm,k &gt; 4,2 MPa, slump 12 + 2 cm, A/C 0,50% + 2, cimento 320 kg/m³</v>
          </cell>
          <cell r="C318" t="str">
            <v>M3</v>
          </cell>
          <cell r="D318">
            <v>528.25</v>
          </cell>
        </row>
        <row r="319">
          <cell r="A319" t="str">
            <v>C.04.000.020535</v>
          </cell>
          <cell r="B319" t="str">
            <v>Concreto usinado fck= 20 MPa, slump 5 ± 1cm</v>
          </cell>
          <cell r="C319" t="str">
            <v>M3</v>
          </cell>
          <cell r="D319">
            <v>472.15</v>
          </cell>
        </row>
        <row r="320">
          <cell r="A320" t="str">
            <v>C.04.000.020536</v>
          </cell>
          <cell r="B320" t="str">
            <v>Concreto usinado fck= 25 MPa, slump 5 ± 1cm</v>
          </cell>
          <cell r="C320" t="str">
            <v>M3</v>
          </cell>
          <cell r="D320">
            <v>494.64</v>
          </cell>
        </row>
        <row r="321">
          <cell r="A321" t="str">
            <v>C.04.000.020542</v>
          </cell>
          <cell r="B321" t="str">
            <v>Concreto usinado fck= 35 MPa, slump 5 ± 1cm</v>
          </cell>
          <cell r="C321" t="str">
            <v>M3</v>
          </cell>
          <cell r="D321">
            <v>542.87</v>
          </cell>
        </row>
        <row r="322">
          <cell r="A322" t="str">
            <v>C.04.000.020544</v>
          </cell>
          <cell r="B322" t="str">
            <v>Concreto usinado fck= 30 MPa, slump 5 ± 1cm</v>
          </cell>
          <cell r="C322" t="str">
            <v>M3</v>
          </cell>
          <cell r="D322">
            <v>518.19000000000005</v>
          </cell>
        </row>
        <row r="323">
          <cell r="A323" t="str">
            <v>C.04.000.020546</v>
          </cell>
          <cell r="B323" t="str">
            <v>Concreto usinado bombeado fck= 40 MPa, slump 8 ± 1cm</v>
          </cell>
          <cell r="C323" t="str">
            <v>M3</v>
          </cell>
          <cell r="D323">
            <v>635.67999999999995</v>
          </cell>
        </row>
        <row r="324">
          <cell r="A324" t="str">
            <v>C.04.000.020551</v>
          </cell>
          <cell r="B324" t="str">
            <v>Concreto usinado fck= 40 MPa, slump 5 ± 1cm</v>
          </cell>
          <cell r="C324" t="str">
            <v>M3</v>
          </cell>
          <cell r="D324">
            <v>568.73</v>
          </cell>
        </row>
        <row r="325">
          <cell r="A325" t="str">
            <v>C.04.000.020553</v>
          </cell>
          <cell r="B325" t="str">
            <v>Concreto usinado bombeado fck= 20 MPa, slump 8 ± 1cm</v>
          </cell>
          <cell r="C325" t="str">
            <v>M3</v>
          </cell>
          <cell r="D325">
            <v>538.39</v>
          </cell>
        </row>
        <row r="326">
          <cell r="A326" t="str">
            <v>C.04.000.020554</v>
          </cell>
          <cell r="B326" t="str">
            <v>Concreto usinado bombeado fck= 25 MPa, slump 8 ± 1cm</v>
          </cell>
          <cell r="C326" t="str">
            <v>M3</v>
          </cell>
          <cell r="D326">
            <v>558.72</v>
          </cell>
        </row>
        <row r="327">
          <cell r="A327" t="str">
            <v>C.04.000.020556</v>
          </cell>
          <cell r="B327" t="str">
            <v>Concreto usinado bombeado fck= 35 MPa, slump 8 ± 1cm</v>
          </cell>
          <cell r="C327" t="str">
            <v>M3</v>
          </cell>
          <cell r="D327">
            <v>607.09</v>
          </cell>
        </row>
        <row r="328">
          <cell r="A328" t="str">
            <v>C.04.000.020559</v>
          </cell>
          <cell r="B328" t="str">
            <v>Concreto usinado bombeado fck= 30 MPa, slump 8 ± 1cm</v>
          </cell>
          <cell r="C328" t="str">
            <v>M3</v>
          </cell>
          <cell r="D328">
            <v>582.34</v>
          </cell>
        </row>
        <row r="329">
          <cell r="A329" t="str">
            <v>C.04.000.020560</v>
          </cell>
          <cell r="B329" t="str">
            <v>Concreto usinado fck= 30 MPa, pedrisco, slump 22cm ± 2cm</v>
          </cell>
          <cell r="C329" t="str">
            <v>M3</v>
          </cell>
          <cell r="D329">
            <v>556.77</v>
          </cell>
        </row>
        <row r="330">
          <cell r="A330" t="str">
            <v>C.04.000.020562</v>
          </cell>
          <cell r="B330" t="str">
            <v>Concreto usinado fck= 25 MPa para perfil extrudado, Slump 0 ± 1</v>
          </cell>
          <cell r="C330" t="str">
            <v>M3</v>
          </cell>
          <cell r="D330">
            <v>592.23</v>
          </cell>
        </row>
        <row r="331">
          <cell r="A331" t="str">
            <v>C.04.000.020563</v>
          </cell>
          <cell r="B331" t="str">
            <v>Concreto usinado 150kg cimento/m³</v>
          </cell>
          <cell r="C331" t="str">
            <v>M3</v>
          </cell>
          <cell r="D331">
            <v>652</v>
          </cell>
        </row>
        <row r="332">
          <cell r="A332" t="str">
            <v>C.04.000.020564</v>
          </cell>
          <cell r="B332" t="str">
            <v>Concreto usinado 200kg cimento/m³</v>
          </cell>
          <cell r="C332" t="str">
            <v>M3</v>
          </cell>
          <cell r="D332">
            <v>696</v>
          </cell>
        </row>
        <row r="333">
          <cell r="A333" t="str">
            <v>C.04.000.020565</v>
          </cell>
          <cell r="B333" t="str">
            <v>Concreto usinado 300kg cimento/m³</v>
          </cell>
          <cell r="C333" t="str">
            <v>M3</v>
          </cell>
          <cell r="D333">
            <v>580.12</v>
          </cell>
        </row>
        <row r="334">
          <cell r="A334" t="str">
            <v>C.04.000.020566</v>
          </cell>
          <cell r="B334" t="str">
            <v>Taxa para bombeamento de concreto</v>
          </cell>
          <cell r="C334" t="str">
            <v>M3</v>
          </cell>
          <cell r="D334">
            <v>62.73</v>
          </cell>
        </row>
        <row r="335">
          <cell r="A335" t="str">
            <v>C.04.000.022006</v>
          </cell>
          <cell r="B335" t="str">
            <v>Concreto celular, densidade 1200 kg/m³</v>
          </cell>
          <cell r="C335" t="str">
            <v>M3</v>
          </cell>
          <cell r="D335">
            <v>1151.7</v>
          </cell>
        </row>
        <row r="336">
          <cell r="A336" t="str">
            <v>C.06.000.022011</v>
          </cell>
          <cell r="B336" t="str">
            <v>Laje pré-fabricada unidirecional em viga treliçada/lajota em EPS LT 12 (8 + 4) - SC = 200kgf/m²</v>
          </cell>
          <cell r="C336" t="str">
            <v>M2</v>
          </cell>
          <cell r="D336">
            <v>68.31</v>
          </cell>
        </row>
        <row r="337">
          <cell r="A337" t="str">
            <v>C.06.000.022012</v>
          </cell>
          <cell r="B337" t="str">
            <v>Laje pré-fabricada unidirecional em viga treliçada/lajota em EPS LT 16 (12 + 4) - SC = 300kgf/m²</v>
          </cell>
          <cell r="C337" t="str">
            <v>M2</v>
          </cell>
          <cell r="D337">
            <v>87.44</v>
          </cell>
        </row>
        <row r="338">
          <cell r="A338" t="str">
            <v>C.06.000.022013</v>
          </cell>
          <cell r="B338" t="str">
            <v>Laje pré-fabricada unidirecional em viga treliçada/lajota em EPS LT 20 (16 + 4) - SC = 300kgf/m²</v>
          </cell>
          <cell r="C338" t="str">
            <v>M2</v>
          </cell>
          <cell r="D338">
            <v>122.79</v>
          </cell>
        </row>
        <row r="339">
          <cell r="A339" t="str">
            <v>C.06.000.022014</v>
          </cell>
          <cell r="B339" t="str">
            <v>Laje pré-fabricada unidirecional em viga treliçada/lajota em EPS LT 25 (20 + 5) - SC = 300kgf/m²</v>
          </cell>
          <cell r="C339" t="str">
            <v>M2</v>
          </cell>
          <cell r="D339">
            <v>135.66999999999999</v>
          </cell>
        </row>
        <row r="340">
          <cell r="A340" t="str">
            <v>C.06.000.022015</v>
          </cell>
          <cell r="B340" t="str">
            <v>Laje pré-fabricada unidirecional em viga treliçada/lajota em EPS LT 30 (25+ 5) - SC = 300kgf/m²</v>
          </cell>
          <cell r="C340" t="str">
            <v>M2</v>
          </cell>
          <cell r="D340">
            <v>142.76</v>
          </cell>
        </row>
        <row r="341">
          <cell r="A341" t="str">
            <v>C.06.000.022029</v>
          </cell>
          <cell r="B341" t="str">
            <v>Laje pré-fabricada mista vigota treliçada/lajota cerâmica - LT 24 (20+4); sobrecarga 200 kgf/m²</v>
          </cell>
          <cell r="C341" t="str">
            <v>M2</v>
          </cell>
          <cell r="D341">
            <v>91.28</v>
          </cell>
        </row>
        <row r="342">
          <cell r="A342" t="str">
            <v>C.06.000.022030</v>
          </cell>
          <cell r="B342" t="str">
            <v>Laje pré-fabricada mista vigota treliçada/lajota cerâmica - LT 30 (24+6); sobrecarga 200 kgf/m²</v>
          </cell>
          <cell r="C342" t="str">
            <v>M2</v>
          </cell>
          <cell r="D342">
            <v>112.21</v>
          </cell>
        </row>
        <row r="343">
          <cell r="A343" t="str">
            <v>C.06.000.022032</v>
          </cell>
          <cell r="B343" t="str">
            <v>Pré-laje em painel pré-fabricado treliçado, com EPS classe PI, H= 12 cm, sem capeamento; sobrecarga 200 kgf/m²</v>
          </cell>
          <cell r="C343" t="str">
            <v>M2</v>
          </cell>
          <cell r="D343">
            <v>84.61</v>
          </cell>
        </row>
        <row r="344">
          <cell r="A344" t="str">
            <v>C.06.000.022033</v>
          </cell>
          <cell r="B344" t="str">
            <v>Pré-laje em painel pré-fabricado treliçado, com EPS classe PI, H= 25 cm, sem capeamento; sobrecarga 200 kgf/m²</v>
          </cell>
          <cell r="C344" t="str">
            <v>M2</v>
          </cell>
          <cell r="D344">
            <v>183.52</v>
          </cell>
        </row>
        <row r="345">
          <cell r="A345" t="str">
            <v>C.06.000.022034</v>
          </cell>
          <cell r="B345" t="str">
            <v>Pré-laje em painel pré-fabricado treliçado, com EPS classe PI, H= 20 cm, sem capeamento; sobrecarga 200 kgf/m²</v>
          </cell>
          <cell r="C345" t="str">
            <v>M2</v>
          </cell>
          <cell r="D345">
            <v>110.49</v>
          </cell>
        </row>
        <row r="346">
          <cell r="A346" t="str">
            <v>C.06.000.022035</v>
          </cell>
          <cell r="B346" t="str">
            <v>Pré-laje em painel pré-fabricado treliçado, com EPS classe PI, H= 16 cm, sem capeamento; sobrecarga 200 kgf/m²</v>
          </cell>
          <cell r="C346" t="str">
            <v>M2</v>
          </cell>
          <cell r="D346">
            <v>98.92</v>
          </cell>
        </row>
        <row r="347">
          <cell r="A347" t="str">
            <v>C.06.000.022039</v>
          </cell>
          <cell r="B347" t="str">
            <v>Laje pré-fabricada mista vigota protendida/lajota cerâmica - LP 25 (20+5); sobrecarga 200kgf/m²</v>
          </cell>
          <cell r="C347" t="str">
            <v>M2</v>
          </cell>
          <cell r="D347">
            <v>126.84</v>
          </cell>
        </row>
        <row r="348">
          <cell r="A348" t="str">
            <v>C.06.000.022047</v>
          </cell>
          <cell r="B348" t="str">
            <v>Laje pré-fabricada mista vigota treliçada/lajota cerâmica - LT 12 (8+4); sobrecarga 200kgf/m²</v>
          </cell>
          <cell r="C348" t="str">
            <v>M2</v>
          </cell>
          <cell r="D348">
            <v>47.03</v>
          </cell>
        </row>
        <row r="349">
          <cell r="A349" t="str">
            <v>C.06.000.022048</v>
          </cell>
          <cell r="B349" t="str">
            <v>Laje pré-fabricada mista vigota treliçada/lajota cerâmica - LT 16 (12+4); sobrecarga 200 kgf/m²</v>
          </cell>
          <cell r="C349" t="str">
            <v>M2</v>
          </cell>
          <cell r="D349">
            <v>54.28</v>
          </cell>
        </row>
        <row r="350">
          <cell r="A350" t="str">
            <v>C.06.000.022049</v>
          </cell>
          <cell r="B350" t="str">
            <v>Laje pré-fabricada mista vigota treliçada/lajota cerâmica - LT 20 (16+4); sobrecarga 200 kgf/m²</v>
          </cell>
          <cell r="C350" t="str">
            <v>M2</v>
          </cell>
          <cell r="D350">
            <v>82.25</v>
          </cell>
        </row>
        <row r="351">
          <cell r="A351" t="str">
            <v>C.06.000.022050</v>
          </cell>
          <cell r="B351" t="str">
            <v>Laje pré-fabricada mista vigota protendida/lajota cerâmica - LP 12 (8+4); sobrecarga 200kgf/m²</v>
          </cell>
          <cell r="C351" t="str">
            <v>M2</v>
          </cell>
          <cell r="D351">
            <v>90.9</v>
          </cell>
        </row>
        <row r="352">
          <cell r="A352" t="str">
            <v>C.06.000.022051</v>
          </cell>
          <cell r="B352" t="str">
            <v>Laje pré-fabricada mista vigota protendida/lajota cerâmica - LP 16 (12+4); sobrecarga 200kgf/m²</v>
          </cell>
          <cell r="C352" t="str">
            <v>M2</v>
          </cell>
          <cell r="D352">
            <v>111.13</v>
          </cell>
        </row>
        <row r="353">
          <cell r="A353" t="str">
            <v>C.06.000.022052</v>
          </cell>
          <cell r="B353" t="str">
            <v>Laje pré-fabricada mista vigota protendida/lajota cerâmica - LP 20 (16+4); sobrecarga 200kgf/m²</v>
          </cell>
          <cell r="C353" t="str">
            <v>M2</v>
          </cell>
          <cell r="D353">
            <v>126.88</v>
          </cell>
        </row>
        <row r="354">
          <cell r="A354" t="str">
            <v>C.06.000.022061</v>
          </cell>
          <cell r="B354" t="str">
            <v>Pré-laje em painel pré-fabricado treliçado maciço; altura total, H= 12 cm, sobrecarga 200 kgf/m²</v>
          </cell>
          <cell r="C354" t="str">
            <v>M2</v>
          </cell>
          <cell r="D354">
            <v>85.04</v>
          </cell>
        </row>
        <row r="355">
          <cell r="A355" t="str">
            <v>C.06.000.022065</v>
          </cell>
          <cell r="B355" t="str">
            <v>Pré-laje em painel pré-fabricado treliçado maciço; altura total, H= 16 cm; sobrecarga 200 kgf/m²</v>
          </cell>
          <cell r="C355" t="str">
            <v>M2</v>
          </cell>
          <cell r="D355">
            <v>90.01</v>
          </cell>
        </row>
        <row r="356">
          <cell r="A356" t="str">
            <v>C.06.000.025011</v>
          </cell>
          <cell r="B356" t="str">
            <v>Capa para muro e/ou rufo pré-moldado em concreto de 14 x 50 x 18,5 cm, ref. mod. 75C da Neo Rex ou equivalente</v>
          </cell>
          <cell r="C356" t="str">
            <v>UN</v>
          </cell>
          <cell r="D356">
            <v>14.25</v>
          </cell>
        </row>
        <row r="357">
          <cell r="A357" t="str">
            <v>C.06.000.025012</v>
          </cell>
          <cell r="B357" t="str">
            <v>Capa para muro e/ou rufo pré-moldado em concreto de 20 x 50 x 26 cm, ref. mod. 75D da Neo Rex ou equivalente</v>
          </cell>
          <cell r="C357" t="str">
            <v>UN</v>
          </cell>
          <cell r="D357">
            <v>16.48</v>
          </cell>
        </row>
        <row r="358">
          <cell r="A358" t="str">
            <v>C.06.000.025013</v>
          </cell>
          <cell r="B358" t="str">
            <v>Capa para muro e/ou rufo pré-moldado em concreto, com pingadeira, de 24/25x50x29,5cm; ref. 75F da Neo Rex, AD-83 da Facital ou equivalente</v>
          </cell>
          <cell r="C358" t="str">
            <v>UN</v>
          </cell>
          <cell r="D358">
            <v>17.649999999999999</v>
          </cell>
        </row>
        <row r="359">
          <cell r="A359" t="str">
            <v>C.07.000.022510</v>
          </cell>
          <cell r="B359" t="str">
            <v>Bloco de concreto de vedação 9 x 19 x 39 cm, classe C (resistência &gt; ou = 3 Mpa)</v>
          </cell>
          <cell r="C359" t="str">
            <v>UN</v>
          </cell>
          <cell r="D359">
            <v>3.42</v>
          </cell>
        </row>
        <row r="360">
          <cell r="A360" t="str">
            <v>C.07.000.022522</v>
          </cell>
          <cell r="B360" t="str">
            <v>Bloco de concreto de vedação 14 x 19 x 39 cm, classe C (resistência &gt; ou = 3 Mpa)</v>
          </cell>
          <cell r="C360" t="str">
            <v>UN</v>
          </cell>
          <cell r="D360">
            <v>4.34</v>
          </cell>
        </row>
        <row r="361">
          <cell r="A361" t="str">
            <v>C.07.000.022523</v>
          </cell>
          <cell r="B361" t="str">
            <v>Bloco de concreto de vedação 19 x 19 x 39 cm, classe C (resistência &gt; ou = 3 Mpa)</v>
          </cell>
          <cell r="C361" t="str">
            <v>UN</v>
          </cell>
          <cell r="D361">
            <v>5.65</v>
          </cell>
        </row>
        <row r="362">
          <cell r="A362" t="str">
            <v>C.07.000.022537</v>
          </cell>
          <cell r="B362" t="str">
            <v>Bloco de concreto estrutural 14 x 19 x 39 cm, classe B (resistência &gt; ou = 4 Mpa)</v>
          </cell>
          <cell r="C362" t="str">
            <v>UN</v>
          </cell>
          <cell r="D362">
            <v>5.26</v>
          </cell>
        </row>
        <row r="363">
          <cell r="A363" t="str">
            <v>C.07.000.022538</v>
          </cell>
          <cell r="B363" t="str">
            <v>Bloco de concreto estrutural 19 x 19 x 39 cm, classe B (resistência &gt; ou = 4 Mpa)</v>
          </cell>
          <cell r="C363" t="str">
            <v>UN</v>
          </cell>
          <cell r="D363">
            <v>6.01</v>
          </cell>
        </row>
        <row r="364">
          <cell r="A364" t="str">
            <v>C.07.000.022539</v>
          </cell>
          <cell r="B364" t="str">
            <v>Bloco de concreto estrutural 14 x 19 x 39 cm, classe A (resistência &gt; ou = 8 Mpa)</v>
          </cell>
          <cell r="C364" t="str">
            <v>UN</v>
          </cell>
          <cell r="D364">
            <v>5.55</v>
          </cell>
        </row>
        <row r="365">
          <cell r="A365" t="str">
            <v>C.07.000.022540</v>
          </cell>
          <cell r="B365" t="str">
            <v>Bloco de concreto estrutural 19 x 19 x 39 cm, classe A (resistência &gt; ou = 8 Mpa)</v>
          </cell>
          <cell r="C365" t="str">
            <v>UN</v>
          </cell>
          <cell r="D365">
            <v>7.41</v>
          </cell>
        </row>
        <row r="366">
          <cell r="A366" t="str">
            <v>C.07.000.022577</v>
          </cell>
          <cell r="B366" t="str">
            <v>Bloco de concreto para piso drenante tipo pisograma, espessura de 10 cm; ref. Neo-Rex / Facital ou equivalente</v>
          </cell>
          <cell r="C366" t="str">
            <v>UN</v>
          </cell>
          <cell r="D366">
            <v>48.97</v>
          </cell>
        </row>
        <row r="367">
          <cell r="A367" t="str">
            <v>C.07.000.022579</v>
          </cell>
          <cell r="B367" t="str">
            <v>Elemento vazado em concreto, tipo veneziana por sobreposição de peças de 39 x 39 x 10 cm; ref. Neo Rex EV59A ou equivalente</v>
          </cell>
          <cell r="C367" t="str">
            <v>UN</v>
          </cell>
          <cell r="D367">
            <v>21.72</v>
          </cell>
        </row>
        <row r="368">
          <cell r="A368" t="str">
            <v>C.07.000.023005</v>
          </cell>
          <cell r="B368" t="str">
            <v>Grelha pré-moldada em concreto, com furos redondos 79,5 x 24,5 x 8 cm; ref. GRE88R da Neo Rex ou equivalente</v>
          </cell>
          <cell r="C368" t="str">
            <v>UN</v>
          </cell>
          <cell r="D368">
            <v>83.34</v>
          </cell>
        </row>
        <row r="369">
          <cell r="A369" t="str">
            <v>C.07.000.023016</v>
          </cell>
          <cell r="B369" t="str">
            <v>Elemento vazado em concreto, tipo quadriculado de 39 x 39 x 10 cm; ref. Neo-Rex 23A ou equivalente</v>
          </cell>
          <cell r="C369" t="str">
            <v>UN</v>
          </cell>
          <cell r="D369">
            <v>21.79</v>
          </cell>
        </row>
        <row r="370">
          <cell r="A370" t="str">
            <v>C.07.000.023042</v>
          </cell>
          <cell r="B370" t="str">
            <v>Banco em concreto pré-moldado, dimensões 150 x 45 x 45 cm, referência BVP150 da Neo Rex ou equivalente</v>
          </cell>
          <cell r="C370" t="str">
            <v>UN</v>
          </cell>
          <cell r="D370">
            <v>522.08000000000004</v>
          </cell>
        </row>
        <row r="371">
          <cell r="A371" t="str">
            <v>C.07.000.023049</v>
          </cell>
          <cell r="B371" t="str">
            <v>Banco em concreto pré-moldado com 1 assento, pés vazados, de 200 x 42 x 47cm, ref. BV200 da Neo Rex ou equivalente</v>
          </cell>
          <cell r="C371" t="str">
            <v>UN</v>
          </cell>
          <cell r="D371">
            <v>606.80999999999995</v>
          </cell>
        </row>
        <row r="372">
          <cell r="A372" t="str">
            <v>C.07.000.023055</v>
          </cell>
          <cell r="B372" t="str">
            <v>Banco em concreto pré-moldado, reto, sem encosto, com 3 pés, medindo aproximadamente 300 x 45 x 45 cm; ref. B-14 Lufran, B-5G Titan, B2-300 VGR ou equivalente</v>
          </cell>
          <cell r="C372" t="str">
            <v>UN</v>
          </cell>
          <cell r="D372">
            <v>804.31</v>
          </cell>
        </row>
        <row r="373">
          <cell r="A373" t="str">
            <v>C.07.000.027504</v>
          </cell>
          <cell r="B373" t="str">
            <v>Mourão de concreto 10x10x300cm, curvo com 8 furos</v>
          </cell>
          <cell r="C373" t="str">
            <v>UN</v>
          </cell>
          <cell r="D373">
            <v>77.319999999999993</v>
          </cell>
        </row>
        <row r="374">
          <cell r="A374" t="str">
            <v>C.07.000.027520</v>
          </cell>
          <cell r="B374" t="str">
            <v>Mourão de concreto 10x10x220cm, reto com furos a cada 20cm</v>
          </cell>
          <cell r="C374" t="str">
            <v>UN</v>
          </cell>
          <cell r="D374">
            <v>55.04</v>
          </cell>
        </row>
        <row r="375">
          <cell r="A375" t="str">
            <v>C.07.000.027540</v>
          </cell>
          <cell r="B375" t="str">
            <v>Mourão de concreto seção min. 10x10x300cm, 12 furos</v>
          </cell>
          <cell r="C375" t="str">
            <v>UN</v>
          </cell>
          <cell r="D375">
            <v>78.319999999999993</v>
          </cell>
        </row>
        <row r="376">
          <cell r="A376" t="str">
            <v>C.07.000.035580</v>
          </cell>
          <cell r="B376" t="str">
            <v>Piso de concreto intertravado, cor natural, tipos: raquete, retangular, sextavado e 16 faces, espessura 6 cm, 35 MPa</v>
          </cell>
          <cell r="C376" t="str">
            <v>M2</v>
          </cell>
          <cell r="D376">
            <v>73.08</v>
          </cell>
        </row>
        <row r="377">
          <cell r="A377" t="str">
            <v>C.07.000.035581</v>
          </cell>
          <cell r="B377" t="str">
            <v>Piso de concreto intertravado, tipos: raquete, retangular, sextavado e 16 faces, espessura 8 cm, 35 MPa</v>
          </cell>
          <cell r="C377" t="str">
            <v>M2</v>
          </cell>
          <cell r="D377">
            <v>81.92</v>
          </cell>
        </row>
        <row r="378">
          <cell r="A378" t="str">
            <v>C.07.000.035583</v>
          </cell>
          <cell r="B378" t="str">
            <v>Piso de concreto intertravado, colorido, tipos: raquete, retangular, sextavado e 16 faces, espessura 6 cm, 35 MPa</v>
          </cell>
          <cell r="C378" t="str">
            <v>M2</v>
          </cell>
          <cell r="D378">
            <v>83.49</v>
          </cell>
        </row>
        <row r="379">
          <cell r="A379" t="str">
            <v>C.07.000.035587</v>
          </cell>
          <cell r="B379" t="str">
            <v>Piso podotátil colorido intertravado, tipo alerta ou direcional, espessura de 6 cm; ref. Blocasa, Presto, Tatu ou equivalente</v>
          </cell>
          <cell r="C379" t="str">
            <v>M2</v>
          </cell>
          <cell r="D379">
            <v>115.9</v>
          </cell>
        </row>
        <row r="380">
          <cell r="A380" t="str">
            <v>C.09.000.022551</v>
          </cell>
          <cell r="B380" t="str">
            <v>Bloco de concreto celular autoclavado com espessura de 10 cm - Classe C25</v>
          </cell>
          <cell r="C380" t="str">
            <v>M2</v>
          </cell>
          <cell r="D380">
            <v>94.38</v>
          </cell>
        </row>
        <row r="381">
          <cell r="A381" t="str">
            <v>C.09.000.022552</v>
          </cell>
          <cell r="B381" t="str">
            <v>Bloco de concreto celular autoclavado com espessura de 12,5 cm - Classe C25</v>
          </cell>
          <cell r="C381" t="str">
            <v>M2</v>
          </cell>
          <cell r="D381">
            <v>110.02</v>
          </cell>
        </row>
        <row r="382">
          <cell r="A382" t="str">
            <v>C.09.000.022553</v>
          </cell>
          <cell r="B382" t="str">
            <v>Bloco de concreto celular autoclavado com espessura de 15 cm - Classe C25</v>
          </cell>
          <cell r="C382" t="str">
            <v>M2</v>
          </cell>
          <cell r="D382">
            <v>137.88</v>
          </cell>
        </row>
        <row r="383">
          <cell r="A383" t="str">
            <v>C.09.000.022554</v>
          </cell>
          <cell r="B383" t="str">
            <v>Bloco de concreto celular autoclavado com espessura de 20 cm - Classe C25</v>
          </cell>
          <cell r="C383" t="str">
            <v>M2</v>
          </cell>
          <cell r="D383">
            <v>171.98</v>
          </cell>
        </row>
        <row r="384">
          <cell r="A384" t="str">
            <v>C.10.000.028150</v>
          </cell>
          <cell r="B384" t="str">
            <v>Guia chapeu para boca de lobo, padrão PMSP</v>
          </cell>
          <cell r="C384" t="str">
            <v>UN</v>
          </cell>
          <cell r="D384">
            <v>58.11</v>
          </cell>
        </row>
        <row r="385">
          <cell r="A385" t="str">
            <v>C.10.000.028151</v>
          </cell>
          <cell r="B385" t="str">
            <v>Tampa de concreto para boca de lobo, padrão PMSP</v>
          </cell>
          <cell r="C385" t="str">
            <v>UN</v>
          </cell>
          <cell r="D385">
            <v>146.06</v>
          </cell>
        </row>
        <row r="386">
          <cell r="A386" t="str">
            <v>C.10.000.028153</v>
          </cell>
          <cell r="B386" t="str">
            <v>Bate-roda pré-fabricado em concreto aparente liso, com chumbador para fixação, cor natural - medidas: (13x17x180cm) ou (13x17x200cm)</v>
          </cell>
          <cell r="C386" t="str">
            <v>M</v>
          </cell>
          <cell r="D386">
            <v>66.540000000000006</v>
          </cell>
        </row>
        <row r="387">
          <cell r="A387" t="str">
            <v>C.10.000.032022</v>
          </cell>
          <cell r="B387" t="str">
            <v>Ladrilho hidráulico várias cores, exceto branco, cinza e preto, de 20x20x1,8cm, ref. fabricação Fulget, Artefatos cimentos Maria Estela Ltda ou Pisos Paulista ou equivalente</v>
          </cell>
          <cell r="C387" t="str">
            <v>M2</v>
          </cell>
          <cell r="D387">
            <v>80.69</v>
          </cell>
        </row>
        <row r="388">
          <cell r="A388" t="str">
            <v>C.10.000.036514</v>
          </cell>
          <cell r="B388" t="str">
            <v>Guia pré-moldada reta/curva, padrão PMSP 100, fck 25MPa</v>
          </cell>
          <cell r="C388" t="str">
            <v>M</v>
          </cell>
          <cell r="D388">
            <v>35.17</v>
          </cell>
        </row>
        <row r="389">
          <cell r="A389" t="str">
            <v>C.10.000.036525</v>
          </cell>
          <cell r="B389" t="str">
            <v>Guia pré-moldada curva, padrão PMSP 100, fck 25 MPa</v>
          </cell>
          <cell r="C389" t="str">
            <v>M</v>
          </cell>
          <cell r="D389">
            <v>38.229999999999997</v>
          </cell>
        </row>
        <row r="390">
          <cell r="A390" t="str">
            <v>C.10.000.091167</v>
          </cell>
          <cell r="B390" t="str">
            <v>Ladrilho hidráulico nas cores: branco, preto e cinza, espessura média 1,8cm; ref. fabricação Fulget ou equivalente</v>
          </cell>
          <cell r="C390" t="str">
            <v>M2</v>
          </cell>
          <cell r="D390">
            <v>110.93</v>
          </cell>
        </row>
        <row r="391">
          <cell r="A391" t="str">
            <v>D.01.000.035577</v>
          </cell>
          <cell r="B391" t="str">
            <v>Raspagem, calafetação de verniz a base de água, bi-componente com proteção, acabamento semibrilho; ref. Bona Traffic ou equivalente</v>
          </cell>
          <cell r="C391" t="str">
            <v>M2</v>
          </cell>
          <cell r="D391">
            <v>169.97</v>
          </cell>
        </row>
        <row r="392">
          <cell r="A392" t="str">
            <v>D.01.000.036007</v>
          </cell>
          <cell r="B392" t="str">
            <v>Colocação do soalho, inclusive fornecimento e acessórios para instalação</v>
          </cell>
          <cell r="C392" t="str">
            <v>M2</v>
          </cell>
          <cell r="D392">
            <v>129.52000000000001</v>
          </cell>
        </row>
        <row r="393">
          <cell r="A393" t="str">
            <v>D.02.000.020215</v>
          </cell>
          <cell r="B393" t="str">
            <v>Estronca de eucalipto com 10cm de diâmetro sem casca</v>
          </cell>
          <cell r="C393" t="str">
            <v>M</v>
          </cell>
          <cell r="D393">
            <v>24.93</v>
          </cell>
        </row>
        <row r="394">
          <cell r="A394" t="str">
            <v>D.02.000.020217</v>
          </cell>
          <cell r="B394" t="str">
            <v>Estronca de eucalipto-citriodora (mourão), com diâmetro de 200 a 250 mm - com casca</v>
          </cell>
          <cell r="C394" t="str">
            <v>M</v>
          </cell>
          <cell r="D394">
            <v>62.27</v>
          </cell>
        </row>
        <row r="395">
          <cell r="A395" t="str">
            <v>D.02.000.021001</v>
          </cell>
          <cell r="B395" t="str">
            <v>Caibro em cambará, cedrinho, eucalipto-citriodora, eucalipto-saligna, garapa, cupiúba, de 5,0 x 6,0cm</v>
          </cell>
          <cell r="C395" t="str">
            <v>M</v>
          </cell>
          <cell r="D395">
            <v>12.93</v>
          </cell>
        </row>
        <row r="396">
          <cell r="A396" t="str">
            <v>D.02.000.021005</v>
          </cell>
          <cell r="B396" t="str">
            <v>Madeira serrada em cambará, cedrinho, cumaru, eucalipto-citriodora, eucalipto-saligna, garapa, tuari, (viga de 6 x 12cm)</v>
          </cell>
          <cell r="C396" t="str">
            <v>M3</v>
          </cell>
          <cell r="D396">
            <v>3878.24</v>
          </cell>
        </row>
        <row r="397">
          <cell r="A397" t="str">
            <v>D.02.000.021009</v>
          </cell>
          <cell r="B397" t="str">
            <v>Pontalete de cedrinho de 75 mm x 75 mm - 3ª construção</v>
          </cell>
          <cell r="C397" t="str">
            <v>M</v>
          </cell>
          <cell r="D397">
            <v>22.14</v>
          </cell>
        </row>
        <row r="398">
          <cell r="A398" t="str">
            <v>D.02.000.021014</v>
          </cell>
          <cell r="B398" t="str">
            <v>Sarrafo de cedrinho 2,5 x 5 cm</v>
          </cell>
          <cell r="C398" t="str">
            <v>M</v>
          </cell>
          <cell r="D398">
            <v>3.55</v>
          </cell>
        </row>
        <row r="399">
          <cell r="A399" t="str">
            <v>D.02.000.021017</v>
          </cell>
          <cell r="B399" t="str">
            <v>Sarrafo de cedrinho 2,5 x 10 cm</v>
          </cell>
          <cell r="C399" t="str">
            <v>M</v>
          </cell>
          <cell r="D399">
            <v>7.74</v>
          </cell>
        </row>
        <row r="400">
          <cell r="A400" t="str">
            <v>D.02.000.021018</v>
          </cell>
          <cell r="B400" t="str">
            <v>Sarrafo de cedrinho bruto - 1´ x 3´</v>
          </cell>
          <cell r="C400" t="str">
            <v>M</v>
          </cell>
          <cell r="D400">
            <v>5.76</v>
          </cell>
        </row>
        <row r="401">
          <cell r="A401" t="str">
            <v>D.02.000.021021</v>
          </cell>
          <cell r="B401" t="str">
            <v>Tábua cedrinho 25 mm x 300 mm de 3ª</v>
          </cell>
          <cell r="C401" t="str">
            <v>M2</v>
          </cell>
          <cell r="D401">
            <v>110.92</v>
          </cell>
        </row>
        <row r="402">
          <cell r="A402" t="str">
            <v>D.02.000.021043</v>
          </cell>
          <cell r="B402" t="str">
            <v>Madeira de cedrinho - bruto</v>
          </cell>
          <cell r="C402" t="str">
            <v>M3</v>
          </cell>
          <cell r="D402">
            <v>4740.05</v>
          </cell>
        </row>
        <row r="403">
          <cell r="A403" t="str">
            <v>D.02.000.021052</v>
          </cell>
          <cell r="B403" t="str">
            <v>Estronca de eucalipto (mourão), com 15cm de diâmetro sem casca</v>
          </cell>
          <cell r="C403" t="str">
            <v>M</v>
          </cell>
          <cell r="D403">
            <v>41.64</v>
          </cell>
        </row>
        <row r="404">
          <cell r="A404" t="str">
            <v>D.02.000.021060</v>
          </cell>
          <cell r="B404" t="str">
            <v>Ripa em cambará, cedrinho, cupuíba, eucalipto-citriodora, eucalipto-saligna, garapa, itaúba, pinus-elioti, 12 mm x 50 mm</v>
          </cell>
          <cell r="C404" t="str">
            <v>M</v>
          </cell>
          <cell r="D404">
            <v>3.33</v>
          </cell>
        </row>
        <row r="405">
          <cell r="A405" t="str">
            <v>D.02.000.021066</v>
          </cell>
          <cell r="B405" t="str">
            <v>Sarrafo de cedrinho aparelhado 1 x 2´</v>
          </cell>
          <cell r="C405" t="str">
            <v>M</v>
          </cell>
          <cell r="D405">
            <v>4.1399999999999997</v>
          </cell>
        </row>
        <row r="406">
          <cell r="A406" t="str">
            <v>D.02.000.021071</v>
          </cell>
          <cell r="B406" t="str">
            <v>Chapa OSB (Oriented Strand Board) de 10mm (2,20 x 1,22)m</v>
          </cell>
          <cell r="C406" t="str">
            <v>UN</v>
          </cell>
          <cell r="D406">
            <v>103.92</v>
          </cell>
        </row>
        <row r="407">
          <cell r="A407" t="str">
            <v>D.02.000.021072</v>
          </cell>
          <cell r="B407" t="str">
            <v>Chapa OSB (Oriented Strand Board) de 12mm (2,20x1,22)m</v>
          </cell>
          <cell r="C407" t="str">
            <v>UN</v>
          </cell>
          <cell r="D407">
            <v>120.82</v>
          </cell>
        </row>
        <row r="408">
          <cell r="A408" t="str">
            <v>D.02.000.090166</v>
          </cell>
          <cell r="B408" t="str">
            <v>Tábua aparelhada em cambará, cedrinho, cupuíba, eucalipto-citriodora, eucalipto-saligna, garapa, pinus-elioti, itaúba, de 2,5 x 20,0 cm - testeira / tabeira</v>
          </cell>
          <cell r="C408" t="str">
            <v>M</v>
          </cell>
          <cell r="D408">
            <v>19.05</v>
          </cell>
        </row>
        <row r="409">
          <cell r="A409" t="str">
            <v>D.02.000.090635</v>
          </cell>
          <cell r="B409" t="str">
            <v>Madeira em cambará, cedrinho, eucalipto-citriodora, eucalipto-saligna, garapa, cupiúba, itaúba, de 5 x 20 cm - bruta</v>
          </cell>
          <cell r="C409" t="str">
            <v>M</v>
          </cell>
          <cell r="D409">
            <v>43.8</v>
          </cell>
        </row>
        <row r="410">
          <cell r="A410" t="str">
            <v>D.03.000.021030</v>
          </cell>
          <cell r="B410" t="str">
            <v>Chapa compensada cola PVA resinada de 6mm (2,20 x 1,10)m</v>
          </cell>
          <cell r="C410" t="str">
            <v>M2</v>
          </cell>
          <cell r="D410">
            <v>15.03</v>
          </cell>
        </row>
        <row r="411">
          <cell r="A411" t="str">
            <v>D.03.000.021031</v>
          </cell>
          <cell r="B411" t="str">
            <v>Chapa compensada cola resinada de 10mm (2,20 x 1,10)m</v>
          </cell>
          <cell r="C411" t="str">
            <v>M2</v>
          </cell>
          <cell r="D411">
            <v>23.79</v>
          </cell>
        </row>
        <row r="412">
          <cell r="A412" t="str">
            <v>D.03.000.021032</v>
          </cell>
          <cell r="B412" t="str">
            <v>Chapa compensada cola PVA resinada de 12mm (2,20 x 1,10)m</v>
          </cell>
          <cell r="C412" t="str">
            <v>M2</v>
          </cell>
          <cell r="D412">
            <v>28.49</v>
          </cell>
        </row>
        <row r="413">
          <cell r="A413" t="str">
            <v>D.03.000.021033</v>
          </cell>
          <cell r="B413" t="str">
            <v>Chapa compensada cola fenólica plastificada de 12mm (2,20 x 1,10)m</v>
          </cell>
          <cell r="C413" t="str">
            <v>M2</v>
          </cell>
          <cell r="D413">
            <v>39.46</v>
          </cell>
        </row>
        <row r="414">
          <cell r="A414" t="str">
            <v>D.03.000.021034</v>
          </cell>
          <cell r="B414" t="str">
            <v>Chapa compensada cola fenólica plastificada de 18mm (2,44 x 1,22)m</v>
          </cell>
          <cell r="C414" t="str">
            <v>M2</v>
          </cell>
          <cell r="D414">
            <v>56.82</v>
          </cell>
        </row>
        <row r="415">
          <cell r="A415" t="str">
            <v>D.03.000.021036</v>
          </cell>
          <cell r="B415" t="str">
            <v>Chapa compensado naval em virola, espessura de 25mm - (2,20 x 1,60)m</v>
          </cell>
          <cell r="C415" t="str">
            <v>M2</v>
          </cell>
          <cell r="D415">
            <v>116.36</v>
          </cell>
        </row>
        <row r="416">
          <cell r="A416" t="str">
            <v>D.03.000.021085</v>
          </cell>
          <cell r="B416" t="str">
            <v>Chapa compensada cola fenólica plastificada de 6mm (2,2 x 1,10)m</v>
          </cell>
          <cell r="C416" t="str">
            <v>M2</v>
          </cell>
          <cell r="D416">
            <v>34.380000000000003</v>
          </cell>
        </row>
        <row r="417">
          <cell r="A417" t="str">
            <v>D.03.000.021095</v>
          </cell>
          <cell r="B417" t="str">
            <v>Forma em polipropileno (cubeta) e acessórios para laje nervurada com dimensões variáveis - locação</v>
          </cell>
          <cell r="C417" t="str">
            <v>M3MES</v>
          </cell>
          <cell r="D417">
            <v>337.88</v>
          </cell>
        </row>
        <row r="418">
          <cell r="A418" t="str">
            <v>D.04.000.021076</v>
          </cell>
          <cell r="B418" t="str">
            <v>Tabua emparelhada em cambará, cedrinho, cupuíba, amesclão, eucalipto-citriodora, eucalipto-saligna, garapa, pinus-elioti, tauari, de 2,50 x 10cm</v>
          </cell>
          <cell r="C418" t="str">
            <v>M</v>
          </cell>
          <cell r="D418">
            <v>6.61</v>
          </cell>
        </row>
        <row r="419">
          <cell r="A419" t="str">
            <v>D.04.000.030003</v>
          </cell>
          <cell r="B419" t="str">
            <v>Porta lisa de correr suspensa em madeira Curupixá, freijo, com batente e trilho na parte superior</v>
          </cell>
          <cell r="C419" t="str">
            <v>M2</v>
          </cell>
          <cell r="D419">
            <v>433.15</v>
          </cell>
        </row>
        <row r="420">
          <cell r="A420" t="str">
            <v>D.04.000.030006</v>
          </cell>
          <cell r="B420" t="str">
            <v>Caixilho em madeira, tipo veneziana de correr</v>
          </cell>
          <cell r="C420" t="str">
            <v>M2</v>
          </cell>
          <cell r="D420">
            <v>900.39</v>
          </cell>
        </row>
        <row r="421">
          <cell r="A421" t="str">
            <v>D.04.000.030020</v>
          </cell>
          <cell r="B421" t="str">
            <v>Porta lisa de madeira, interna "PIM", para acabamento em pintura, 01 folha, desempenho intermediário para uso coletivo, tráfego regular 50.000 ciclos, padrão dimensional médio, com ferragens, completo - 80 x 210 cm</v>
          </cell>
          <cell r="C421" t="str">
            <v>UN</v>
          </cell>
          <cell r="D421">
            <v>624.34</v>
          </cell>
        </row>
        <row r="422">
          <cell r="A422" t="str">
            <v>D.04.000.030021</v>
          </cell>
          <cell r="B422" t="str">
            <v>Porta lisa de madeira, interna "PIM", para acabamento em pintura, 01 folha, desempenho superior para uso público, tráfego intenso de 100.000 ciclos, padrão dimensional médio/pesado, com ferragens, completo - 80 x 210 cm</v>
          </cell>
          <cell r="C422" t="str">
            <v>UN</v>
          </cell>
          <cell r="D422">
            <v>624.34</v>
          </cell>
        </row>
        <row r="423">
          <cell r="A423" t="str">
            <v>D.04.000.030022</v>
          </cell>
          <cell r="B423" t="str">
            <v>Porta lisa de madeira, interna "PIM", para acabamento em pintura, 01 folha, desempenho superior para uso público, tráfego intenso de 100.000 ciclos, padrão dimensional médio/pesado, com ferragens, completo - 90 x 210 cm</v>
          </cell>
          <cell r="C423" t="str">
            <v>UN</v>
          </cell>
          <cell r="D423">
            <v>641.89</v>
          </cell>
        </row>
        <row r="424">
          <cell r="A424" t="str">
            <v>D.04.000.030023</v>
          </cell>
          <cell r="B424" t="str">
            <v>Porta lisa de madeira, interna, resistente a umidade "PIM RU", para acabamento em pintura, 01 folha, desempenho superior para uso público, tráfego intenso de 100.000 ciclos, padrão dimensional médio/pesado, com ferragens, completo - 80 x 210 cm</v>
          </cell>
          <cell r="C424" t="str">
            <v>UN</v>
          </cell>
          <cell r="D424">
            <v>624.34</v>
          </cell>
        </row>
        <row r="425">
          <cell r="A425" t="str">
            <v>D.04.000.030024</v>
          </cell>
          <cell r="B425" t="str">
            <v>Porta lisa de madeira, interna "PIM RU", acab. revestida/pintura, 01 folha, de 35mm, p/divisória sanitária, desemp. superior, uso público, tráfego intenso 100.000 ciclos, padrão dimensional médio/pesado, c/ferragens, completo, 80 x 210 cm</v>
          </cell>
          <cell r="C425" t="str">
            <v>UN</v>
          </cell>
          <cell r="D425">
            <v>775.59</v>
          </cell>
        </row>
        <row r="426">
          <cell r="A426" t="str">
            <v>D.04.000.030025</v>
          </cell>
          <cell r="B426" t="str">
            <v>Porta lisa de madeira, interna, resistente a umidade "PIM RU", para  pintura, 01 folha, tipo acessível, desempenho superior,  uso público, tráfego intenso 100.000 ciclos, padrão dimensional médio/pesado, com ferragens, completo - 90 x 210 cm</v>
          </cell>
          <cell r="C426" t="str">
            <v>UN</v>
          </cell>
          <cell r="D426">
            <v>812.83</v>
          </cell>
        </row>
        <row r="427">
          <cell r="A427" t="str">
            <v>D.04.000.030026</v>
          </cell>
          <cell r="B427" t="str">
            <v>Porta lisa madeira, interna, resistente a umidade "PIM RU", para pintura, 01 folha, de correr/deslizante, tipo acessível, desempenho superior p/uso público, tráfego intenso 100.000 ciclos, padrão dimensional pesado, ferragem, completo 100x200cm</v>
          </cell>
          <cell r="C427" t="str">
            <v>UN</v>
          </cell>
          <cell r="D427">
            <v>908.56</v>
          </cell>
        </row>
        <row r="428">
          <cell r="A428" t="str">
            <v>D.04.000.030108</v>
          </cell>
          <cell r="B428" t="str">
            <v>Folha de porta lisa em madeira folheada e encabeçada, sob medida</v>
          </cell>
          <cell r="C428" t="str">
            <v>M2</v>
          </cell>
          <cell r="D428">
            <v>132.72999999999999</v>
          </cell>
        </row>
        <row r="429">
          <cell r="A429" t="str">
            <v>D.04.000.030112</v>
          </cell>
          <cell r="B429" t="str">
            <v>Folha de porta em madeira sarrafeada com película lisa para verniz 72x210cm</v>
          </cell>
          <cell r="C429" t="str">
            <v>UN</v>
          </cell>
          <cell r="D429">
            <v>240.36</v>
          </cell>
        </row>
        <row r="430">
          <cell r="A430" t="str">
            <v>D.04.000.030113</v>
          </cell>
          <cell r="B430" t="str">
            <v>Folha de porta em madeira sarrafeada com película lisa para verniz 82x210cm</v>
          </cell>
          <cell r="C430" t="str">
            <v>UN</v>
          </cell>
          <cell r="D430">
            <v>248.99</v>
          </cell>
        </row>
        <row r="431">
          <cell r="A431" t="str">
            <v>D.04.000.030114</v>
          </cell>
          <cell r="B431" t="str">
            <v>Folha de porta em madeira sarrafeada com película lisa para verniz 92x210cm</v>
          </cell>
          <cell r="C431" t="str">
            <v>UN</v>
          </cell>
          <cell r="D431">
            <v>281.72000000000003</v>
          </cell>
        </row>
        <row r="432">
          <cell r="A432" t="str">
            <v>D.04.000.030135</v>
          </cell>
          <cell r="B432" t="str">
            <v>Batente madeira itauba/garapeira/cedro/angelim 14 x 3,5 cm, vão 52 a 92 x 210 cm</v>
          </cell>
          <cell r="C432" t="str">
            <v>UN</v>
          </cell>
          <cell r="D432">
            <v>192.81</v>
          </cell>
        </row>
        <row r="433">
          <cell r="A433" t="str">
            <v>D.04.000.030137</v>
          </cell>
          <cell r="B433" t="str">
            <v>Batente madeira itauba/garapeira/cedro/angelim 14 x 3,5 cm, vão 122 x 210 cm</v>
          </cell>
          <cell r="C433" t="str">
            <v>UN</v>
          </cell>
          <cell r="D433">
            <v>329.56</v>
          </cell>
        </row>
        <row r="434">
          <cell r="A434" t="str">
            <v>D.04.000.030150</v>
          </cell>
          <cell r="B434" t="str">
            <v>Guarnição cedrinho de 210 x 100 x 1 x 5 cm</v>
          </cell>
          <cell r="C434" t="str">
            <v>UN</v>
          </cell>
          <cell r="D434">
            <v>34.200000000000003</v>
          </cell>
        </row>
        <row r="435">
          <cell r="A435" t="str">
            <v>D.04.000.030205</v>
          </cell>
          <cell r="B435" t="str">
            <v>Folha de madeira sarrafeada, revestida nas 2 faces com laminado liso 62x210cm</v>
          </cell>
          <cell r="C435" t="str">
            <v>UN</v>
          </cell>
          <cell r="D435">
            <v>951.29</v>
          </cell>
        </row>
        <row r="436">
          <cell r="A436" t="str">
            <v>D.04.000.030206</v>
          </cell>
          <cell r="B436" t="str">
            <v>Folha de madeira sarrafeada, revestida nas 2 faces com laminado liso 72x210cm</v>
          </cell>
          <cell r="C436" t="str">
            <v>UN</v>
          </cell>
          <cell r="D436">
            <v>1023.61</v>
          </cell>
        </row>
        <row r="437">
          <cell r="A437" t="str">
            <v>D.04.000.030207</v>
          </cell>
          <cell r="B437" t="str">
            <v>Folha de madeira sarrafeada, revestida nas 2 faces com laminado liso 82x210cm</v>
          </cell>
          <cell r="C437" t="str">
            <v>UN</v>
          </cell>
          <cell r="D437">
            <v>1131.99</v>
          </cell>
        </row>
        <row r="438">
          <cell r="A438" t="str">
            <v>D.04.000.030208</v>
          </cell>
          <cell r="B438" t="str">
            <v>Folha de madeira sarrafeada, revestida nas 2 faces com laminado liso 92x210cm</v>
          </cell>
          <cell r="C438" t="str">
            <v>UN</v>
          </cell>
          <cell r="D438">
            <v>1133.83</v>
          </cell>
        </row>
        <row r="439">
          <cell r="A439" t="str">
            <v>D.04.000.030209</v>
          </cell>
          <cell r="B439" t="str">
            <v>Folha de madeira sarrafeada, revestida nas 2 faces com laminado melamínico</v>
          </cell>
          <cell r="C439" t="str">
            <v>M2</v>
          </cell>
          <cell r="D439">
            <v>599.91</v>
          </cell>
        </row>
        <row r="440">
          <cell r="A440" t="str">
            <v>D.04.000.030221</v>
          </cell>
          <cell r="B440" t="str">
            <v>Folha de porta lisa em madeira sarrafeada para pintura 62x210cm</v>
          </cell>
          <cell r="C440" t="str">
            <v>UN</v>
          </cell>
          <cell r="D440">
            <v>237.69</v>
          </cell>
        </row>
        <row r="441">
          <cell r="A441" t="str">
            <v>D.04.000.030222</v>
          </cell>
          <cell r="B441" t="str">
            <v>Folha de porta lisa em madeira sarrafeada para pintura 72x210cm</v>
          </cell>
          <cell r="C441" t="str">
            <v>UN</v>
          </cell>
          <cell r="D441">
            <v>233.24</v>
          </cell>
        </row>
        <row r="442">
          <cell r="A442" t="str">
            <v>D.04.000.030223</v>
          </cell>
          <cell r="B442" t="str">
            <v>Folha de porta lisa em madeira sarrafeada para pintura 82x210cm</v>
          </cell>
          <cell r="C442" t="str">
            <v>UN</v>
          </cell>
          <cell r="D442">
            <v>239.73</v>
          </cell>
        </row>
        <row r="443">
          <cell r="A443" t="str">
            <v>D.04.000.030224</v>
          </cell>
          <cell r="B443" t="str">
            <v>Folha de porta lisa em madeira sarrafeada para pintura 92x210cm</v>
          </cell>
          <cell r="C443" t="str">
            <v>UN</v>
          </cell>
          <cell r="D443">
            <v>264.14999999999998</v>
          </cell>
        </row>
        <row r="444">
          <cell r="A444" t="str">
            <v>D.04.000.030225</v>
          </cell>
          <cell r="B444" t="str">
            <v>Folha de porta macho/fêmea sem emenda de 72x210cm</v>
          </cell>
          <cell r="C444" t="str">
            <v>UN</v>
          </cell>
          <cell r="D444">
            <v>1075.26</v>
          </cell>
        </row>
        <row r="445">
          <cell r="A445" t="str">
            <v>D.04.000.030226</v>
          </cell>
          <cell r="B445" t="str">
            <v>Folha de porta macho/fêmea sem emenda de 82x210cm</v>
          </cell>
          <cell r="C445" t="str">
            <v>UN</v>
          </cell>
          <cell r="D445">
            <v>1085.5999999999999</v>
          </cell>
        </row>
        <row r="446">
          <cell r="A446" t="str">
            <v>D.04.000.030227</v>
          </cell>
          <cell r="B446" t="str">
            <v>Folha de porta macho/fêmea sem emenda de 92x210cm</v>
          </cell>
          <cell r="C446" t="str">
            <v>UN</v>
          </cell>
          <cell r="D446">
            <v>1186.82</v>
          </cell>
        </row>
        <row r="447">
          <cell r="A447" t="str">
            <v>D.04.000.030228</v>
          </cell>
          <cell r="B447" t="str">
            <v>Folha de porta macho/fêmea sem emenda de 62x210cm</v>
          </cell>
          <cell r="C447" t="str">
            <v>UN</v>
          </cell>
          <cell r="D447">
            <v>1062.18</v>
          </cell>
        </row>
        <row r="448">
          <cell r="A448" t="str">
            <v>D.04.000.030274</v>
          </cell>
          <cell r="B448" t="str">
            <v>Folha de porta lisa em madeira para pintura de 110x210cm</v>
          </cell>
          <cell r="C448" t="str">
            <v>UN</v>
          </cell>
          <cell r="D448">
            <v>430.25</v>
          </cell>
        </row>
        <row r="449">
          <cell r="A449" t="str">
            <v>D.04.000.030360</v>
          </cell>
          <cell r="B449" t="str">
            <v>Chapa de laminado melamínico</v>
          </cell>
          <cell r="C449" t="str">
            <v>M2</v>
          </cell>
          <cell r="D449">
            <v>95</v>
          </cell>
        </row>
        <row r="450">
          <cell r="A450" t="str">
            <v>D.04.000.030366</v>
          </cell>
          <cell r="B450" t="str">
            <v>Sarrafo de cedrinho de 10 x 1,5 cm, aparelhada 3ª construção (para acabamento lateral de beiral)</v>
          </cell>
          <cell r="C450" t="str">
            <v>M</v>
          </cell>
          <cell r="D450">
            <v>12.45</v>
          </cell>
        </row>
        <row r="451">
          <cell r="A451" t="str">
            <v>D.04.000.030380</v>
          </cell>
          <cell r="B451" t="str">
            <v>Faixa/batedor de proteção em tábua de MDF, revestido com laminado melamínico, canto arredondado - 290x15mm</v>
          </cell>
          <cell r="C451" t="str">
            <v>M</v>
          </cell>
          <cell r="D451">
            <v>277.23</v>
          </cell>
        </row>
        <row r="452">
          <cell r="A452" t="str">
            <v>D.04.000.034041</v>
          </cell>
          <cell r="B452" t="str">
            <v>Tabua aparelhada de pinus macho-fêmea, de 1 x 10 cm - para forro</v>
          </cell>
          <cell r="C452" t="str">
            <v>M2</v>
          </cell>
          <cell r="D452">
            <v>38.14</v>
          </cell>
        </row>
        <row r="453">
          <cell r="A453" t="str">
            <v>D.04.000.035511</v>
          </cell>
          <cell r="B453" t="str">
            <v>Tabua aparelhada em cambará, cedrinho, cupuíba, eucalipto-citriodora, eucalipto-saligna, garapa, pinus-elioti, de 10 x 2 cm - macho/fêmea</v>
          </cell>
          <cell r="C453" t="str">
            <v>M2</v>
          </cell>
          <cell r="D453">
            <v>80.25</v>
          </cell>
        </row>
        <row r="454">
          <cell r="A454" t="str">
            <v>D.04.000.035551</v>
          </cell>
          <cell r="B454" t="str">
            <v>Taco de Ipê fixado com cola 10 x 40cm - material</v>
          </cell>
          <cell r="C454" t="str">
            <v>M2</v>
          </cell>
          <cell r="D454">
            <v>351.41</v>
          </cell>
        </row>
        <row r="455">
          <cell r="A455" t="str">
            <v>D.04.000.036006</v>
          </cell>
          <cell r="B455" t="str">
            <v>Soalho madeira aparelhada em cumaru, ipê, jatobá, tauari, garapa, angelim-pedra, de 20 x 2 cm</v>
          </cell>
          <cell r="C455" t="str">
            <v>M2</v>
          </cell>
          <cell r="D455">
            <v>547.72</v>
          </cell>
        </row>
        <row r="456">
          <cell r="A456" t="str">
            <v>D.04.000.036106</v>
          </cell>
          <cell r="B456" t="str">
            <v>Cordão meia cana de madeira aparelhada 1 x 1cm, em cumaru, ipê, jatobá, tauari, garapa, angelim-pedra</v>
          </cell>
          <cell r="C456" t="str">
            <v>M</v>
          </cell>
          <cell r="D456">
            <v>4.1100000000000003</v>
          </cell>
        </row>
        <row r="457">
          <cell r="A457" t="str">
            <v>D.04.000.098078</v>
          </cell>
          <cell r="B457" t="str">
            <v>Lousa em laminado melamínico, branco - linha comercial</v>
          </cell>
          <cell r="C457" t="str">
            <v>M2</v>
          </cell>
          <cell r="D457">
            <v>283.47000000000003</v>
          </cell>
        </row>
        <row r="458">
          <cell r="A458" t="str">
            <v>D.05.000.023507</v>
          </cell>
          <cell r="B458" t="str">
            <v>Divisória cega tipo naval; ref. Divilux 35 Fibraroc Formidur BPplus ou equivalente - instalado</v>
          </cell>
          <cell r="C458" t="str">
            <v>M2</v>
          </cell>
          <cell r="D458">
            <v>215.71</v>
          </cell>
        </row>
        <row r="459">
          <cell r="A459" t="str">
            <v>D.05.000.023509</v>
          </cell>
          <cell r="B459" t="str">
            <v>Divisória para sanitários, painéis em laminado melamínico estrutural, perfis em alumínio, inclusive ferragem - instalado</v>
          </cell>
          <cell r="C459" t="str">
            <v>M2</v>
          </cell>
          <cell r="D459">
            <v>820.17</v>
          </cell>
        </row>
        <row r="460">
          <cell r="A460" t="str">
            <v>D.05.000.023512</v>
          </cell>
          <cell r="B460" t="str">
            <v>Divisória painel/vidro/vidro, tipo naval; ref. Divilux 35 MSO, Eucaplac UV ou equivalente - instalado</v>
          </cell>
          <cell r="C460" t="str">
            <v>M2</v>
          </cell>
          <cell r="D460">
            <v>191.17</v>
          </cell>
        </row>
        <row r="461">
          <cell r="A461" t="str">
            <v>D.05.000.023585</v>
          </cell>
          <cell r="B461" t="str">
            <v>Divisória cega; ref. Divilux 35 MSO Eucaplac UV cega ou equivalente - instalado</v>
          </cell>
          <cell r="C461" t="str">
            <v>M2</v>
          </cell>
          <cell r="D461">
            <v>190.02</v>
          </cell>
        </row>
        <row r="462">
          <cell r="A462" t="str">
            <v>D.05.000.024618</v>
          </cell>
          <cell r="B462" t="str">
            <v>Divisória cega tipo piso/teto em laminado melamínico de baixa pressão, com coluna estrutural em alumínio extrudado - instalado</v>
          </cell>
          <cell r="C462" t="str">
            <v>M2</v>
          </cell>
          <cell r="D462">
            <v>1613.29</v>
          </cell>
        </row>
        <row r="463">
          <cell r="A463" t="str">
            <v>D.05.000.024619</v>
          </cell>
          <cell r="B463" t="str">
            <v>Divisória tipo piso/teto em vidro temperado simples de 6mm, com coluna estrutural em alumínio extrudado - instalado</v>
          </cell>
          <cell r="C463" t="str">
            <v>M2</v>
          </cell>
          <cell r="D463">
            <v>922.85</v>
          </cell>
        </row>
        <row r="464">
          <cell r="A464" t="str">
            <v>D.05.000.024620</v>
          </cell>
          <cell r="B464" t="str">
            <v>Divisória tipo piso/teto em vidro temperado duplo de 6mm e micro persianas, com coluna estrutural em alumínio extrudado - instalado</v>
          </cell>
          <cell r="C464" t="str">
            <v>M2</v>
          </cell>
          <cell r="D464">
            <v>1473.06</v>
          </cell>
        </row>
        <row r="465">
          <cell r="A465" t="str">
            <v>E.01.000.037530</v>
          </cell>
          <cell r="B465" t="str">
            <v>Pintura de acabamento em tinta esmalte sobre estrutura metálica</v>
          </cell>
          <cell r="C465" t="str">
            <v>KG</v>
          </cell>
          <cell r="D465">
            <v>4.5</v>
          </cell>
        </row>
        <row r="466">
          <cell r="A466" t="str">
            <v>E.01.000.037531</v>
          </cell>
          <cell r="B466" t="str">
            <v>Pintura de acabamento em tinta epóxi sobre estrutura metálica</v>
          </cell>
          <cell r="C466" t="str">
            <v>KG</v>
          </cell>
          <cell r="D466">
            <v>4.45</v>
          </cell>
        </row>
        <row r="467">
          <cell r="A467" t="str">
            <v>E.01.000.037532</v>
          </cell>
          <cell r="B467" t="str">
            <v>Tinta PU bi componente para estrutura metálica, cor branca, ref. Sherwin Williams ou equivalente</v>
          </cell>
          <cell r="C467" t="str">
            <v>L</v>
          </cell>
          <cell r="D467">
            <v>81.23</v>
          </cell>
        </row>
        <row r="468">
          <cell r="A468" t="str">
            <v>E.01.000.037533</v>
          </cell>
          <cell r="B468" t="str">
            <v>Fundo primer epoxi bicomponente, para pintura de ferro, alumínio, aço e galvanizado, ref. Sherwin Williams ou equivalente</v>
          </cell>
          <cell r="C468" t="str">
            <v>L</v>
          </cell>
          <cell r="D468">
            <v>114.8</v>
          </cell>
        </row>
        <row r="469">
          <cell r="A469" t="str">
            <v>E.02.000.026760</v>
          </cell>
          <cell r="B469" t="str">
            <v>Prego diversas bitolas (referência 18 x 27)</v>
          </cell>
          <cell r="C469" t="str">
            <v>KG</v>
          </cell>
          <cell r="D469">
            <v>10.42</v>
          </cell>
        </row>
        <row r="470">
          <cell r="A470" t="str">
            <v>E.02.000.027010</v>
          </cell>
          <cell r="B470" t="str">
            <v>Arame recozido nº 18 BWG</v>
          </cell>
          <cell r="C470" t="str">
            <v>KG</v>
          </cell>
          <cell r="D470">
            <v>12.68</v>
          </cell>
        </row>
        <row r="471">
          <cell r="A471" t="str">
            <v>E.02.000.027011</v>
          </cell>
          <cell r="B471" t="str">
            <v>Arame tipo MIG, diâmetro de 0,80 a 1,20 mm</v>
          </cell>
          <cell r="C471" t="str">
            <v>KG</v>
          </cell>
          <cell r="D471">
            <v>17.04</v>
          </cell>
        </row>
        <row r="472">
          <cell r="A472" t="str">
            <v>E.02.000.027018</v>
          </cell>
          <cell r="B472" t="str">
            <v>Arame farpado galvanizado fio Nº 16 BWG</v>
          </cell>
          <cell r="C472" t="str">
            <v>M</v>
          </cell>
          <cell r="D472">
            <v>0.77</v>
          </cell>
        </row>
        <row r="473">
          <cell r="A473" t="str">
            <v>E.02.000.027025</v>
          </cell>
          <cell r="B473" t="str">
            <v>Arame galvanizado nº 16 BWG</v>
          </cell>
          <cell r="C473" t="str">
            <v>KG</v>
          </cell>
          <cell r="D473">
            <v>15.3</v>
          </cell>
        </row>
        <row r="474">
          <cell r="A474" t="str">
            <v>E.02.000.090264</v>
          </cell>
          <cell r="B474" t="str">
            <v>Arame galvanizado nº 14 BWG</v>
          </cell>
          <cell r="C474" t="str">
            <v>KG</v>
          </cell>
          <cell r="D474">
            <v>13.65</v>
          </cell>
        </row>
        <row r="475">
          <cell r="A475" t="str">
            <v>E.03.000.026504</v>
          </cell>
          <cell r="B475" t="str">
            <v>Gancho de 1/4´ com porca e arruela, 550 mm</v>
          </cell>
          <cell r="C475" t="str">
            <v>UN</v>
          </cell>
          <cell r="D475">
            <v>3.11</v>
          </cell>
        </row>
        <row r="476">
          <cell r="A476" t="str">
            <v>E.03.000.026513</v>
          </cell>
          <cell r="B476" t="str">
            <v>Chumbador Fischer Bolt diâmetro = 1/2´ e comprimento = 4´</v>
          </cell>
          <cell r="C476" t="str">
            <v>UN</v>
          </cell>
          <cell r="D476">
            <v>3.99</v>
          </cell>
        </row>
        <row r="477">
          <cell r="A477" t="str">
            <v>E.03.000.026516</v>
          </cell>
          <cell r="B477" t="str">
            <v>Parafuso em latão com cabeça sextavada, com rosca mecânica de 3/8´ x 50mm</v>
          </cell>
          <cell r="C477" t="str">
            <v>UN</v>
          </cell>
          <cell r="D477">
            <v>7.69</v>
          </cell>
        </row>
        <row r="478">
          <cell r="A478" t="str">
            <v>E.03.000.026548</v>
          </cell>
          <cell r="B478" t="str">
            <v>Parafuso cabeça chata com bucha plástica de 8 mm - 5,5 x 50 mm</v>
          </cell>
          <cell r="C478" t="str">
            <v>UN</v>
          </cell>
          <cell r="D478">
            <v>0.44</v>
          </cell>
        </row>
        <row r="479">
          <cell r="A479" t="str">
            <v>E.03.000.026577</v>
          </cell>
          <cell r="B479" t="str">
            <v>Parafuso com rosca soberba 8 x 165mm</v>
          </cell>
          <cell r="C479" t="str">
            <v>UN</v>
          </cell>
          <cell r="D479">
            <v>1.51</v>
          </cell>
        </row>
        <row r="480">
          <cell r="A480" t="str">
            <v>E.03.000.026651</v>
          </cell>
          <cell r="B480" t="str">
            <v>Gaxeta EPDM ref. 1619 da Day Brasil ou equivalente</v>
          </cell>
          <cell r="C480" t="str">
            <v>M</v>
          </cell>
          <cell r="D480">
            <v>8.09</v>
          </cell>
        </row>
        <row r="481">
          <cell r="A481" t="str">
            <v>E.03.000.026652</v>
          </cell>
          <cell r="B481" t="str">
            <v>Gaxeta EPDM ref. 274 da Day Brasil ou equivalente</v>
          </cell>
          <cell r="C481" t="str">
            <v>M</v>
          </cell>
          <cell r="D481">
            <v>2.85</v>
          </cell>
        </row>
        <row r="482">
          <cell r="A482" t="str">
            <v>E.03.000.026653</v>
          </cell>
          <cell r="B482" t="str">
            <v>Parafuso auto-atarraxante/auto-brocante em aço médio carbono, com acabamento zincado brando, de 12 x 38 mm - com arruela de vedação</v>
          </cell>
          <cell r="C482" t="str">
            <v>UN</v>
          </cell>
          <cell r="D482">
            <v>0.28999999999999998</v>
          </cell>
        </row>
        <row r="483">
          <cell r="A483" t="str">
            <v>E.03.000.026709</v>
          </cell>
          <cell r="B483" t="str">
            <v>Grapa ferro para cantoneira 1´ x 1/8´ 1,19 kg/m</v>
          </cell>
          <cell r="C483" t="str">
            <v>UN</v>
          </cell>
          <cell r="D483">
            <v>5.29</v>
          </cell>
        </row>
        <row r="484">
          <cell r="A484" t="str">
            <v>E.03.000.026726</v>
          </cell>
          <cell r="B484" t="str">
            <v>Parafuso com arruela e bucha S8 de 4,8 x 50 mm, tipo panela</v>
          </cell>
          <cell r="C484" t="str">
            <v>UN</v>
          </cell>
          <cell r="D484">
            <v>0.73</v>
          </cell>
        </row>
        <row r="485">
          <cell r="A485" t="str">
            <v>E.03.000.026733</v>
          </cell>
          <cell r="B485" t="str">
            <v>Parafusos niquelados para sanitários</v>
          </cell>
          <cell r="C485" t="str">
            <v>UN</v>
          </cell>
          <cell r="D485">
            <v>7.95</v>
          </cell>
        </row>
        <row r="486">
          <cell r="A486" t="str">
            <v>E.03.000.026735</v>
          </cell>
          <cell r="B486" t="str">
            <v>Conjunto de fixação para lavatório (dois parafusos, duas buchas e quatro arruelas); ref. SP 7 01 da Deca ou equivalente</v>
          </cell>
          <cell r="C486" t="str">
            <v>CJ</v>
          </cell>
          <cell r="D486">
            <v>17.64</v>
          </cell>
        </row>
        <row r="487">
          <cell r="A487" t="str">
            <v>E.03.000.026771</v>
          </cell>
          <cell r="B487" t="str">
            <v>Rebites de ferro zincado n° 8, comprimento de 6,10 mm, diâmetro nominal de 3 mm</v>
          </cell>
          <cell r="C487" t="str">
            <v>KG</v>
          </cell>
          <cell r="D487">
            <v>43.32</v>
          </cell>
        </row>
        <row r="488">
          <cell r="A488" t="str">
            <v>E.03.000.049502</v>
          </cell>
          <cell r="B488" t="str">
            <v>Porca quadrada para parafuso M16</v>
          </cell>
          <cell r="C488" t="str">
            <v>UN</v>
          </cell>
          <cell r="D488">
            <v>2.71</v>
          </cell>
        </row>
        <row r="489">
          <cell r="A489" t="str">
            <v>E.03.000.049534</v>
          </cell>
          <cell r="B489" t="str">
            <v>Parafuso cabeça abaulada M16 x 45 mm</v>
          </cell>
          <cell r="C489" t="str">
            <v>UN</v>
          </cell>
          <cell r="D489">
            <v>6.3</v>
          </cell>
        </row>
        <row r="490">
          <cell r="A490" t="str">
            <v>E.03.000.049539</v>
          </cell>
          <cell r="B490" t="str">
            <v>Arruela quadrada de 50 mm com furo de 18 mm</v>
          </cell>
          <cell r="C490" t="str">
            <v>UN</v>
          </cell>
          <cell r="D490">
            <v>2.33</v>
          </cell>
        </row>
        <row r="491">
          <cell r="A491" t="str">
            <v>E.03.000.049540</v>
          </cell>
          <cell r="B491" t="str">
            <v>Arruela quadrada 100 x 100 x 5 mm com furo de 18 mm</v>
          </cell>
          <cell r="C491" t="str">
            <v>UN</v>
          </cell>
          <cell r="D491">
            <v>9.01</v>
          </cell>
        </row>
        <row r="492">
          <cell r="A492" t="str">
            <v>E.03.000.049550</v>
          </cell>
          <cell r="B492" t="str">
            <v>Parafuso cabeça quadrada M16 x 125 mm</v>
          </cell>
          <cell r="C492" t="str">
            <v>UN</v>
          </cell>
          <cell r="D492">
            <v>10.67</v>
          </cell>
        </row>
        <row r="493">
          <cell r="A493" t="str">
            <v>E.03.000.049551</v>
          </cell>
          <cell r="B493" t="str">
            <v>Parafuso cabeça abaulada M16 x 150 mm</v>
          </cell>
          <cell r="C493" t="str">
            <v>UN</v>
          </cell>
          <cell r="D493">
            <v>10.79</v>
          </cell>
        </row>
        <row r="494">
          <cell r="A494" t="str">
            <v>E.03.000.049552</v>
          </cell>
          <cell r="B494" t="str">
            <v>Parafuso cabeça quadrada M16 x 300 mm</v>
          </cell>
          <cell r="C494" t="str">
            <v>UN</v>
          </cell>
          <cell r="D494">
            <v>25.91</v>
          </cell>
        </row>
        <row r="495">
          <cell r="A495" t="str">
            <v>E.03.000.049553</v>
          </cell>
          <cell r="B495" t="str">
            <v>Parafuso rosca dupla M16 x 450 mm</v>
          </cell>
          <cell r="C495" t="str">
            <v>UN</v>
          </cell>
          <cell r="D495">
            <v>28.57</v>
          </cell>
        </row>
        <row r="496">
          <cell r="A496" t="str">
            <v>E.03.000.069519</v>
          </cell>
          <cell r="B496" t="str">
            <v>Conjunto de parafuso para fixação de tanque, cromado (quatro parafusos, quatro buchas e quatro arruelas); ref. FT 11.01 da Deca ou equivalente</v>
          </cell>
          <cell r="C496" t="str">
            <v>UN</v>
          </cell>
          <cell r="D496">
            <v>63.06</v>
          </cell>
        </row>
        <row r="497">
          <cell r="A497" t="str">
            <v>E.03.000.069568</v>
          </cell>
          <cell r="B497" t="str">
            <v>Parafuso e bucha de 8´ para fixação de louça sanitária</v>
          </cell>
          <cell r="C497" t="str">
            <v>PAR</v>
          </cell>
          <cell r="D497">
            <v>15.9</v>
          </cell>
        </row>
        <row r="498">
          <cell r="A498" t="str">
            <v>E.03.000.090616</v>
          </cell>
          <cell r="B498" t="str">
            <v>Parafuso sextavado em aço inoxidável de 1/4" x 1 1/4"; ref. SXRI1/4X1.1/4A2 da Belenus, TEL5329 da Termotécnica ou equivalente</v>
          </cell>
          <cell r="C498" t="str">
            <v>UN</v>
          </cell>
          <cell r="D498">
            <v>0.52</v>
          </cell>
        </row>
        <row r="499">
          <cell r="A499" t="str">
            <v>E.03.000.090617</v>
          </cell>
          <cell r="B499" t="str">
            <v>Arruela lisa em aço inoxidável de 1/4"; ref. 39136202 da Ciser, Inox 1/4" da Aciole, AL3/16A4 da Veppel ou equivalente</v>
          </cell>
          <cell r="C499" t="str">
            <v>UN</v>
          </cell>
          <cell r="D499">
            <v>0.3</v>
          </cell>
        </row>
        <row r="500">
          <cell r="A500" t="str">
            <v>E.03.000.090618</v>
          </cell>
          <cell r="B500" t="str">
            <v>Porca sextavada em aço inoxidável de 1/4";  ref. Inox 1/4" da Ciser, TEL5314 da Termotécnica, Inox 304 1/4" da Walsywa ou equivalente</v>
          </cell>
          <cell r="C500" t="str">
            <v>UN</v>
          </cell>
          <cell r="D500">
            <v>0.2</v>
          </cell>
        </row>
        <row r="501">
          <cell r="A501" t="str">
            <v>E.04.000.025014</v>
          </cell>
          <cell r="B501" t="str">
            <v>Fornecimento e montagem de estrutura metálica em aço USISAC41E / COSARCOR400E / CSNCOR420</v>
          </cell>
          <cell r="C501" t="str">
            <v>KG</v>
          </cell>
          <cell r="D501">
            <v>31.09</v>
          </cell>
        </row>
        <row r="502">
          <cell r="A502" t="str">
            <v>E.04.000.037502</v>
          </cell>
          <cell r="B502" t="str">
            <v>Fornecimento e montagem de estrutura em aço ASTM-A572 Grau 50, sem pintura</v>
          </cell>
          <cell r="C502" t="str">
            <v>KG</v>
          </cell>
          <cell r="D502">
            <v>31.13</v>
          </cell>
        </row>
        <row r="503">
          <cell r="A503" t="str">
            <v>E.04.000.037503</v>
          </cell>
          <cell r="B503" t="str">
            <v>Fornecimento e montagem de estrutura tubular em aço ASTM-A572 Grau 50, sem pintura</v>
          </cell>
          <cell r="C503" t="str">
            <v>KG</v>
          </cell>
          <cell r="D503">
            <v>32.840000000000003</v>
          </cell>
        </row>
        <row r="504">
          <cell r="A504" t="str">
            <v>E.04.000.037504</v>
          </cell>
          <cell r="B504" t="str">
            <v>Tubo metálico metalon, referência 60 x 60 x 3,75mm</v>
          </cell>
          <cell r="C504" t="str">
            <v>M</v>
          </cell>
          <cell r="D504">
            <v>65.22</v>
          </cell>
        </row>
        <row r="505">
          <cell r="A505" t="str">
            <v>E.04.000.037532</v>
          </cell>
          <cell r="B505" t="str">
            <v>Fornecimento e montagem de estrutura metálica em aço ASTM-A 36, sem pintura</v>
          </cell>
          <cell r="C505" t="str">
            <v>KG</v>
          </cell>
          <cell r="D505">
            <v>28.72</v>
          </cell>
        </row>
        <row r="506">
          <cell r="A506" t="str">
            <v>E.05.000.026198</v>
          </cell>
          <cell r="B506" t="str">
            <v>Chapa perfurada em aço SAE 1020, furos redondos de diâmetro 7,5 mm, área aberta 45%, e espessura de 1/8´, dimensão 2,0 x 1,0 m</v>
          </cell>
          <cell r="C506" t="str">
            <v>M2</v>
          </cell>
          <cell r="D506">
            <v>478.95</v>
          </cell>
        </row>
        <row r="507">
          <cell r="A507" t="str">
            <v>E.05.000.026615</v>
          </cell>
          <cell r="B507" t="str">
            <v>Cantoneira ferro 1´ x 1´ x 1/8´ - 1,19 kg/m</v>
          </cell>
          <cell r="C507" t="str">
            <v>M</v>
          </cell>
          <cell r="D507">
            <v>9.92</v>
          </cell>
        </row>
        <row r="508">
          <cell r="A508" t="str">
            <v>E.05.000.026662</v>
          </cell>
          <cell r="B508" t="str">
            <v>Chapa de aço ASTM A-36 de 1/4´</v>
          </cell>
          <cell r="C508" t="str">
            <v>KG</v>
          </cell>
          <cell r="D508">
            <v>9.4700000000000006</v>
          </cell>
        </row>
        <row r="509">
          <cell r="A509" t="str">
            <v>E.05.000.026678</v>
          </cell>
          <cell r="B509" t="str">
            <v>Ferro cantoneira abas iguais em aço carbono, de 1´ x 1´ x 1/8´</v>
          </cell>
          <cell r="C509" t="str">
            <v>KG</v>
          </cell>
          <cell r="D509">
            <v>8.34</v>
          </cell>
        </row>
        <row r="510">
          <cell r="A510" t="str">
            <v>E.05.000.026682</v>
          </cell>
          <cell r="B510" t="str">
            <v>Cantoneira em aço galvanizado de 1´ x 1/8´</v>
          </cell>
          <cell r="C510" t="str">
            <v>KG</v>
          </cell>
          <cell r="D510">
            <v>12.52</v>
          </cell>
        </row>
        <row r="511">
          <cell r="A511" t="str">
            <v>E.05.000.026702</v>
          </cell>
          <cell r="B511" t="str">
            <v>Insert maciço com furo inferior para ancoragem, carga de trabalho 3.000 kg; ref. TS24 da Trejor ou equivalente</v>
          </cell>
          <cell r="C511" t="str">
            <v>UN</v>
          </cell>
          <cell r="D511">
            <v>27.36</v>
          </cell>
        </row>
        <row r="512">
          <cell r="A512" t="str">
            <v>E.05.000.026703</v>
          </cell>
          <cell r="B512" t="str">
            <v>Içador, carga de trabalho 3.000 kg; ref. TI-24 fabricação Trejor ou equivalente</v>
          </cell>
          <cell r="C512" t="str">
            <v>UN</v>
          </cell>
          <cell r="D512">
            <v>1016.89</v>
          </cell>
        </row>
        <row r="513">
          <cell r="A513" t="str">
            <v>E.05.000.026704</v>
          </cell>
          <cell r="B513" t="str">
            <v>Chapa de ferro Nº 14</v>
          </cell>
          <cell r="C513" t="str">
            <v>KG</v>
          </cell>
          <cell r="D513">
            <v>9.5</v>
          </cell>
        </row>
        <row r="514">
          <cell r="A514" t="str">
            <v>E.05.000.026707</v>
          </cell>
          <cell r="B514" t="str">
            <v>Posicionador, carga de trabalho 3.000 kg, ref. TP24 fabricação Trejor ou equivalente</v>
          </cell>
          <cell r="C514" t="str">
            <v>UN</v>
          </cell>
          <cell r="D514">
            <v>55.02</v>
          </cell>
        </row>
        <row r="515">
          <cell r="A515" t="str">
            <v>E.06.000.021546</v>
          </cell>
          <cell r="B515" t="str">
            <v>Tela galvanizada para fixação de alvenaria, malha de 15x15mm e dimensão 6x50cm</v>
          </cell>
          <cell r="C515" t="str">
            <v>UN</v>
          </cell>
          <cell r="D515">
            <v>0.98</v>
          </cell>
        </row>
        <row r="516">
          <cell r="A516" t="str">
            <v>E.06.000.021547</v>
          </cell>
          <cell r="B516" t="str">
            <v>Tela galvanizada para fixação de alvenaria, malha de 15x15mm e dimensão 7,5x50cm</v>
          </cell>
          <cell r="C516" t="str">
            <v>UN</v>
          </cell>
          <cell r="D516">
            <v>1.1399999999999999</v>
          </cell>
        </row>
        <row r="517">
          <cell r="A517" t="str">
            <v>E.06.000.021548</v>
          </cell>
          <cell r="B517" t="str">
            <v>Tela galvanizada para fixação de alvenaria, malha de 15x15mm e dimensão 10,5x50cm</v>
          </cell>
          <cell r="C517" t="str">
            <v>UN</v>
          </cell>
          <cell r="D517">
            <v>1.61</v>
          </cell>
        </row>
        <row r="518">
          <cell r="A518" t="str">
            <v>E.06.000.021549</v>
          </cell>
          <cell r="B518" t="str">
            <v>Tela galvanizada para fixação de alvenaria, malha de 15x15mm e dimensão 12x50cm</v>
          </cell>
          <cell r="C518" t="str">
            <v>UN</v>
          </cell>
          <cell r="D518">
            <v>1.76</v>
          </cell>
        </row>
        <row r="519">
          <cell r="A519" t="str">
            <v>E.06.000.021550</v>
          </cell>
          <cell r="B519" t="str">
            <v>Tela galvanizada para fixação de alvenaria, malha de 15x15mm e dimensão 17x50cm</v>
          </cell>
          <cell r="C519" t="str">
            <v>UN</v>
          </cell>
          <cell r="D519">
            <v>2.77</v>
          </cell>
        </row>
        <row r="520">
          <cell r="A520" t="str">
            <v>E.06.000.021551</v>
          </cell>
          <cell r="B520" t="str">
            <v>Pino de aço liso com arruela  1/4" x 27 mm para tela galvanizada para fixação de alvenaria</v>
          </cell>
          <cell r="C520" t="str">
            <v>UN</v>
          </cell>
          <cell r="D520">
            <v>0.49</v>
          </cell>
        </row>
        <row r="521">
          <cell r="A521" t="str">
            <v>E.06.000.042847</v>
          </cell>
          <cell r="B521" t="str">
            <v>Clips de fixação para vergalhão em aço galvanizado diâmetro de 3/8´, ref. TEL 5238 ou equivalente</v>
          </cell>
          <cell r="C521" t="str">
            <v>UN</v>
          </cell>
          <cell r="D521">
            <v>2.78</v>
          </cell>
        </row>
        <row r="522">
          <cell r="A522" t="str">
            <v>E.06.000.065041</v>
          </cell>
          <cell r="B522" t="str">
            <v>Reservatório metálico cilíndrico horizontal, capacidade de 10.000 litros</v>
          </cell>
          <cell r="C522" t="str">
            <v>CJ</v>
          </cell>
          <cell r="D522">
            <v>13095.11</v>
          </cell>
        </row>
        <row r="523">
          <cell r="A523" t="str">
            <v>E.06.000.065042</v>
          </cell>
          <cell r="B523" t="str">
            <v>Reservatório metálico cilíndrico horizontal, capacidade de 5.000 litros</v>
          </cell>
          <cell r="C523" t="str">
            <v>CJ</v>
          </cell>
          <cell r="D523">
            <v>7118.73</v>
          </cell>
        </row>
        <row r="524">
          <cell r="A524" t="str">
            <v>E.06.000.065056</v>
          </cell>
          <cell r="B524" t="str">
            <v>Reservatório metálico cilíndrico horizontal, capacidade de 3.000 litros</v>
          </cell>
          <cell r="C524" t="str">
            <v>CJ</v>
          </cell>
          <cell r="D524">
            <v>5096.99</v>
          </cell>
        </row>
        <row r="525">
          <cell r="A525" t="str">
            <v>E.07.000.020121</v>
          </cell>
          <cell r="B525" t="str">
            <v>Trilho em alumínio simples</v>
          </cell>
          <cell r="C525" t="str">
            <v>M</v>
          </cell>
          <cell r="D525">
            <v>6.29</v>
          </cell>
        </row>
        <row r="526">
          <cell r="A526" t="str">
            <v>E.07.000.020122</v>
          </cell>
          <cell r="B526" t="str">
            <v>Perfil retangular em alumínio de 50x25x2mm</v>
          </cell>
          <cell r="C526" t="str">
            <v>M</v>
          </cell>
          <cell r="D526">
            <v>38.119999999999997</v>
          </cell>
        </row>
        <row r="527">
          <cell r="A527" t="str">
            <v>E.07.000.020127</v>
          </cell>
          <cell r="B527" t="str">
            <v>Perfil em alumínio anodizado natural, perfil qualquer</v>
          </cell>
          <cell r="C527" t="str">
            <v>KG</v>
          </cell>
          <cell r="D527">
            <v>46.88</v>
          </cell>
        </row>
        <row r="528">
          <cell r="A528" t="str">
            <v>E.07.000.026650</v>
          </cell>
          <cell r="B528" t="str">
            <v>Cantoneira em alumínio antiderrapante, dimensões 50 x 30 mm; referência comercial Artesana ou equivalente</v>
          </cell>
          <cell r="C528" t="str">
            <v>M</v>
          </cell>
          <cell r="D528">
            <v>38.729999999999997</v>
          </cell>
        </row>
        <row r="529">
          <cell r="A529" t="str">
            <v>E.07.000.026661</v>
          </cell>
          <cell r="B529" t="str">
            <v>Chapa lisa em alumínio 2000 x 1000 x 3 mm (16,20 kg/pc)</v>
          </cell>
          <cell r="C529" t="str">
            <v>KG</v>
          </cell>
          <cell r="D529">
            <v>46.37</v>
          </cell>
        </row>
        <row r="530">
          <cell r="A530" t="str">
            <v>E.07.000.026667</v>
          </cell>
          <cell r="B530" t="str">
            <v>Cantoneira sextavada em alumínio para placa cerâmica, acabamento natural; ref. Canto metal A3 ou equivalente</v>
          </cell>
          <cell r="C530" t="str">
            <v>M</v>
          </cell>
          <cell r="D530">
            <v>6.19</v>
          </cell>
        </row>
        <row r="531">
          <cell r="A531" t="str">
            <v>E.07.000.027632</v>
          </cell>
          <cell r="B531" t="str">
            <v>Gradil em alumínio natural com portão central de 2 folhas de 80cm cada - sob medida</v>
          </cell>
          <cell r="C531" t="str">
            <v>M2</v>
          </cell>
          <cell r="D531">
            <v>853.76</v>
          </cell>
        </row>
        <row r="532">
          <cell r="A532" t="str">
            <v>E.07.000.033503</v>
          </cell>
          <cell r="B532" t="str">
            <v>Cantoneira em alumínio ´Y´ para massa, espessura de 1,5mm, ref. R-78 da Pin-Can, M-1 da Canto Metal ou equivalente</v>
          </cell>
          <cell r="C532" t="str">
            <v>M</v>
          </cell>
          <cell r="D532">
            <v>8.36</v>
          </cell>
        </row>
        <row r="533">
          <cell r="A533" t="str">
            <v>E.07.000.090592</v>
          </cell>
          <cell r="B533" t="str">
            <v>Cinta de alumínio, diâmetro de 1/2´</v>
          </cell>
          <cell r="C533" t="str">
            <v>M</v>
          </cell>
          <cell r="D533">
            <v>1</v>
          </cell>
        </row>
        <row r="534">
          <cell r="A534" t="str">
            <v>E.07.000.093837</v>
          </cell>
          <cell r="B534" t="str">
            <v>Fita porosa de 25mm x 25 m</v>
          </cell>
          <cell r="C534" t="str">
            <v>UN</v>
          </cell>
          <cell r="D534">
            <v>27.92</v>
          </cell>
        </row>
        <row r="535">
          <cell r="A535" t="str">
            <v>E.08.000.021080</v>
          </cell>
          <cell r="B535" t="str">
            <v>Perfil em alumínio anodizado tipo U, abas iguais, de 9,53x9,53x1,58mm</v>
          </cell>
          <cell r="C535" t="str">
            <v>M</v>
          </cell>
          <cell r="D535">
            <v>5.0199999999999996</v>
          </cell>
        </row>
        <row r="536">
          <cell r="A536" t="str">
            <v>E.08.000.023605</v>
          </cell>
          <cell r="B536" t="str">
            <v>Forro modular metálico em aluzink, placas de 625x625mm, Tile Tegular perfurado - instalado</v>
          </cell>
          <cell r="C536" t="str">
            <v>M2</v>
          </cell>
          <cell r="D536">
            <v>434.69</v>
          </cell>
        </row>
        <row r="537">
          <cell r="A537" t="str">
            <v>E.08.000.025044</v>
          </cell>
          <cell r="B537" t="str">
            <v>Brise metálico curvo e móvel termoacustico, em chapa lisa de alumínio pré-pintada, preenchido com poliuretano expandido injetado, largura 335 mm, ref. Asa de avião da Refax, BSM335 da Sul Metal ou equivalente - instalado</v>
          </cell>
          <cell r="C537" t="str">
            <v>M2</v>
          </cell>
          <cell r="D537">
            <v>1085.2</v>
          </cell>
        </row>
        <row r="538">
          <cell r="A538" t="str">
            <v>E.08.000.025053</v>
          </cell>
          <cell r="B538" t="str">
            <v>Brise metálico curvo e móvel em chapa microperfurada de alumínio pré-pintada; ref. AS288 Retrátil da Refax, SM A300 da Sul Metais ou equivalente - instalado</v>
          </cell>
          <cell r="C538" t="str">
            <v>M2</v>
          </cell>
          <cell r="D538">
            <v>651.12</v>
          </cell>
        </row>
        <row r="539">
          <cell r="A539" t="str">
            <v>E.08.000.026210</v>
          </cell>
          <cell r="B539" t="str">
            <v>Placa de alumínio composto "ACM", espessura de 4 mm, acabamento em PVDF, uso externo/interno</v>
          </cell>
          <cell r="C539" t="str">
            <v>M2</v>
          </cell>
          <cell r="D539">
            <v>237.69</v>
          </cell>
        </row>
        <row r="540">
          <cell r="A540" t="str">
            <v>E.08.000.026211</v>
          </cell>
          <cell r="B540" t="str">
            <v>Placa de alumínio composto "ACM", espessura de 3 mm, acabamento em polieter (interno)</v>
          </cell>
          <cell r="C540" t="str">
            <v>M2</v>
          </cell>
          <cell r="D540">
            <v>95.48</v>
          </cell>
        </row>
        <row r="541">
          <cell r="A541" t="str">
            <v>E.08.000.030901</v>
          </cell>
          <cell r="B541" t="str">
            <v>Barra de proteção para lavatório tipo U, para pessoas com mobilidade reduzida, em tubo de alumínio com pintura de epóxi, medidas: 63x51cm ou 54x40cm</v>
          </cell>
          <cell r="C541" t="str">
            <v>UN</v>
          </cell>
          <cell r="D541">
            <v>401.99</v>
          </cell>
        </row>
        <row r="542">
          <cell r="A542" t="str">
            <v>E.08.000.090569</v>
          </cell>
          <cell r="B542" t="str">
            <v>Folha em alumínio corrugado 015 revestido em papel kraft</v>
          </cell>
          <cell r="C542" t="str">
            <v>M</v>
          </cell>
          <cell r="D542">
            <v>27.13</v>
          </cell>
        </row>
        <row r="543">
          <cell r="A543" t="str">
            <v>E.09.000.045602</v>
          </cell>
          <cell r="B543" t="str">
            <v>Caixa de derivação, embutida ou externa, de 2x30x60mm, para rodapé duplo</v>
          </cell>
          <cell r="C543" t="str">
            <v>UN</v>
          </cell>
          <cell r="D543">
            <v>47.66</v>
          </cell>
        </row>
        <row r="544">
          <cell r="A544" t="str">
            <v>E.09.000.090147</v>
          </cell>
          <cell r="B544" t="str">
            <v>Parafuso com arruela em aço galvanizado, para flange S16/80</v>
          </cell>
          <cell r="C544" t="str">
            <v>UN</v>
          </cell>
          <cell r="D544">
            <v>5.98</v>
          </cell>
        </row>
        <row r="545">
          <cell r="A545" t="str">
            <v>E.09.000.090150</v>
          </cell>
          <cell r="B545" t="str">
            <v>Parafuso com porca e arruela em aço galvanizado S20/90</v>
          </cell>
          <cell r="C545" t="str">
            <v>UN</v>
          </cell>
          <cell r="D545">
            <v>16.149999999999999</v>
          </cell>
        </row>
        <row r="546">
          <cell r="A546" t="str">
            <v>E.10.000.020343</v>
          </cell>
          <cell r="B546" t="str">
            <v>Tela galvanizada fio 24 BWG, malha hexagonal de 1/2´</v>
          </cell>
          <cell r="C546" t="str">
            <v>M2</v>
          </cell>
          <cell r="D546">
            <v>12.58</v>
          </cell>
        </row>
        <row r="547">
          <cell r="A547" t="str">
            <v>E.10.000.027017</v>
          </cell>
          <cell r="B547" t="str">
            <v>Gabião tipo caixa em tela metálica, revestido com galvanização com liga zinco/alumínio, malha hexagonal torção dupla 8x10cm, fio diâmetro 2,7mm, altura de 0,5m, independente do formato, conforme NBR 8964, ref. Maccaferri, Comep, Diprotec ou equivalente</v>
          </cell>
          <cell r="C547" t="str">
            <v>M3</v>
          </cell>
          <cell r="D547">
            <v>536.49</v>
          </cell>
        </row>
        <row r="548">
          <cell r="A548" t="str">
            <v>E.10.000.027018</v>
          </cell>
          <cell r="B548" t="str">
            <v>Gabião tipo caixa em tela metálica, revestido com galvanização com liga zinco/alumínio, malha hexagonal torção dupla 8x10cm, fio diâmetro 2,7mm, altura de 1,0m, independente do formato, conforme NBR 8964; ref. Maccaferri, Comep, Diprotec ou equivalente</v>
          </cell>
          <cell r="C548" t="str">
            <v>M3</v>
          </cell>
          <cell r="D548">
            <v>364.87</v>
          </cell>
        </row>
        <row r="549">
          <cell r="A549" t="str">
            <v>E.10.000.027511</v>
          </cell>
          <cell r="B549" t="str">
            <v>Tela de aço galvanizado, fio 10 BWG,  malha 2´ tipo alambrado</v>
          </cell>
          <cell r="C549" t="str">
            <v>M2</v>
          </cell>
          <cell r="D549">
            <v>63.79</v>
          </cell>
        </row>
        <row r="550">
          <cell r="A550" t="str">
            <v>E.10.000.027518</v>
          </cell>
          <cell r="B550" t="str">
            <v>Tela de aço galvanizado, fio 12BWG, malha 2´ tipo alambrado</v>
          </cell>
          <cell r="C550" t="str">
            <v>M2</v>
          </cell>
          <cell r="D550">
            <v>36.69</v>
          </cell>
        </row>
        <row r="551">
          <cell r="A551" t="str">
            <v>E.10.000.027521</v>
          </cell>
          <cell r="B551" t="str">
            <v>Tela em arame galvanizado, malha 2´, fio 22BWG, tipo galinheiro</v>
          </cell>
          <cell r="C551" t="str">
            <v>M2</v>
          </cell>
          <cell r="D551">
            <v>7.03</v>
          </cell>
        </row>
        <row r="552">
          <cell r="A552" t="str">
            <v>E.10.000.027526</v>
          </cell>
          <cell r="B552" t="str">
            <v>Tela ondulada de arame galvanizado, fio 10 BWG, malha 1´ artística</v>
          </cell>
          <cell r="C552" t="str">
            <v>M2</v>
          </cell>
          <cell r="D552">
            <v>101.01</v>
          </cell>
        </row>
        <row r="553">
          <cell r="A553" t="str">
            <v>E.10.000.027529</v>
          </cell>
          <cell r="B553" t="str">
            <v>Tela de alambrado em arame galvanizado, fio 16 BWG, malha 1´</v>
          </cell>
          <cell r="C553" t="str">
            <v>M2</v>
          </cell>
          <cell r="D553">
            <v>35.65</v>
          </cell>
        </row>
        <row r="554">
          <cell r="A554" t="str">
            <v>E.10.000.049565</v>
          </cell>
          <cell r="B554" t="str">
            <v>Cordoalha para estai de aço galvanizado 7 fios, diâmetro 3/8´ tipo SM, galvanização eletrolítica</v>
          </cell>
          <cell r="C554" t="str">
            <v>M</v>
          </cell>
          <cell r="D554">
            <v>13.49</v>
          </cell>
        </row>
        <row r="555">
          <cell r="A555" t="str">
            <v>E.10.000.049575</v>
          </cell>
          <cell r="B555" t="str">
            <v>Esticador para cabo de aço 5/16´ (8 mm) com terminal gancho-olhal</v>
          </cell>
          <cell r="C555" t="str">
            <v>UN</v>
          </cell>
          <cell r="D555">
            <v>22.4</v>
          </cell>
        </row>
        <row r="556">
          <cell r="A556" t="str">
            <v>E.10.000.090472</v>
          </cell>
          <cell r="B556" t="str">
            <v>Cabo de aço galvanizado com alma de aço, diâmetro 5/16´ (7,94mm)</v>
          </cell>
          <cell r="C556" t="str">
            <v>M</v>
          </cell>
          <cell r="D556">
            <v>9.2200000000000006</v>
          </cell>
        </row>
        <row r="557">
          <cell r="A557" t="str">
            <v>E.10.000.090476</v>
          </cell>
          <cell r="B557" t="str">
            <v>Cabo de aço galvanizado com alma de aço, diâmetro 3/16´ (4,76mm)</v>
          </cell>
          <cell r="C557" t="str">
            <v>M</v>
          </cell>
          <cell r="D557">
            <v>6.36</v>
          </cell>
        </row>
        <row r="558">
          <cell r="A558" t="str">
            <v>E.10.000.090477</v>
          </cell>
          <cell r="B558" t="str">
            <v>Cordoalha de aço galvanizado, diâmetro de 1/4´ (6,35mm), tipo HS, galvanização à fogo, classe A com 7 fios</v>
          </cell>
          <cell r="C558" t="str">
            <v>M</v>
          </cell>
          <cell r="D558">
            <v>7.52</v>
          </cell>
        </row>
        <row r="559">
          <cell r="A559" t="str">
            <v>E.10.000.092774</v>
          </cell>
          <cell r="B559" t="str">
            <v>Cabo de aço galvanizado com alma de aço, diâmetro 3/8´ (9,52mm)</v>
          </cell>
          <cell r="C559" t="str">
            <v>M</v>
          </cell>
          <cell r="D559">
            <v>13.36</v>
          </cell>
        </row>
        <row r="560">
          <cell r="A560" t="str">
            <v>E.14.000.036704</v>
          </cell>
          <cell r="B560" t="str">
            <v>Bicicletário modelo U invertido sem emendas nas curvas, em tubo circular de aço Ø 2", medidas de 82cm altura e 78cm largura, com acabamento em pintura eletrostática, fixação chumbado e/ou parafusado</v>
          </cell>
          <cell r="C560" t="str">
            <v>UN</v>
          </cell>
          <cell r="D560">
            <v>531.69000000000005</v>
          </cell>
        </row>
        <row r="561">
          <cell r="A561" t="str">
            <v>E.18.000.020159</v>
          </cell>
          <cell r="B561" t="str">
            <v>Barra de apoio lateral para lavatório, para pessoas com mobilidade reduzida, em tubo de aço inoxidável de 1.1/4´, comprimento 25 a 30 cm</v>
          </cell>
          <cell r="C561" t="str">
            <v>UN</v>
          </cell>
          <cell r="D561">
            <v>167.81</v>
          </cell>
        </row>
        <row r="562">
          <cell r="A562" t="str">
            <v>E.18.000.027519</v>
          </cell>
          <cell r="B562" t="str">
            <v>Barreira de proteção perimetral em aço inoxidável, AISI 430, dupla (clipada) instalado com 8 espiras, ref. Iron Wall, Master proteção, Incotela ou equivalente</v>
          </cell>
          <cell r="C562" t="str">
            <v>M</v>
          </cell>
          <cell r="D562">
            <v>46.11</v>
          </cell>
        </row>
        <row r="563">
          <cell r="A563" t="str">
            <v>E.18.000.027523</v>
          </cell>
          <cell r="B563" t="str">
            <v>Colocação de Ouriço, simples ou dupla, com 8 espiras - instalado</v>
          </cell>
          <cell r="C563" t="str">
            <v>M</v>
          </cell>
          <cell r="D563">
            <v>9.59</v>
          </cell>
        </row>
        <row r="564">
          <cell r="A564" t="str">
            <v>E.18.000.030900</v>
          </cell>
          <cell r="B564" t="str">
            <v>Barra de apoio em aço inoxidável AISI 304, diâmetro de 32 mm (1 1/4´), espessura 1,5 mm e comprimento 40 cm</v>
          </cell>
          <cell r="C564" t="str">
            <v>UN</v>
          </cell>
          <cell r="D564">
            <v>149.94999999999999</v>
          </cell>
        </row>
        <row r="565">
          <cell r="A565" t="str">
            <v>E.18.000.031010</v>
          </cell>
          <cell r="B565" t="str">
            <v>Barra de apoio, para pessoas com mobilidade reduzida, em tubo de aço inoxidável 1 1/2´, L= 500mm</v>
          </cell>
          <cell r="C565" t="str">
            <v>UN</v>
          </cell>
          <cell r="D565">
            <v>133.26</v>
          </cell>
        </row>
        <row r="566">
          <cell r="A566" t="str">
            <v>E.18.000.031011</v>
          </cell>
          <cell r="B566" t="str">
            <v>Barra de apoio, para pessoas com mobilidade reduzida, em tubo de aço inoxidável 1 1/2´, L= 800mm</v>
          </cell>
          <cell r="C566" t="str">
            <v>UN</v>
          </cell>
          <cell r="D566">
            <v>174.04</v>
          </cell>
        </row>
        <row r="567">
          <cell r="A567" t="str">
            <v>E.18.000.031013</v>
          </cell>
          <cell r="B567" t="str">
            <v>Barra de apoio, para pessoas com mobilidade reduzida, em tubo de aço inoxidável 1 1/2´, L= 800x800mm</v>
          </cell>
          <cell r="C567" t="str">
            <v>UN</v>
          </cell>
          <cell r="D567">
            <v>347.49</v>
          </cell>
        </row>
        <row r="568">
          <cell r="A568" t="str">
            <v>E.18.000.031109</v>
          </cell>
          <cell r="B568" t="str">
            <v>Corrimão em tubo redondo de aço inoxidável AISI 304 liga 18,8, diâmetro nominal de 1 1/2" (38,1mm), espessura de 1,5mm, acabamento escovado, sem arestas vivas, conforme NBR 9050, NBR 9077 E NBR 14718</v>
          </cell>
          <cell r="C568" t="str">
            <v>M</v>
          </cell>
          <cell r="D568">
            <v>571.14</v>
          </cell>
        </row>
        <row r="569">
          <cell r="A569" t="str">
            <v>E.18.000.031932</v>
          </cell>
          <cell r="B569" t="str">
            <v>Corrimão duplo em tubo de aço inoxidável com diâmetro de 1 1/2´ e montantes com diâmetro de 2´, acabamento aço inox 304 escovado, fixado com flange e canopla</v>
          </cell>
          <cell r="C569" t="str">
            <v>M</v>
          </cell>
          <cell r="D569">
            <v>684.76</v>
          </cell>
        </row>
        <row r="570">
          <cell r="A570" t="str">
            <v>E.18.000.031933</v>
          </cell>
          <cell r="B570" t="str">
            <v>Corrimão em tubo de aço inoxidável, diâmetro 1 1/2´ e montantes com diâmetro de 2´, acabamento em aço inox 304 escovado, fixado com flange e canopla</v>
          </cell>
          <cell r="C570" t="str">
            <v>M</v>
          </cell>
          <cell r="D570">
            <v>592.75</v>
          </cell>
        </row>
        <row r="571">
          <cell r="A571" t="str">
            <v>E.18.000.036519</v>
          </cell>
          <cell r="B571" t="str">
            <v>Revestimento em aço inoxidável AISI304, liga18,8 em chapa 20 com espessura de 1mm, acabamento escovado - instalado</v>
          </cell>
          <cell r="C571" t="str">
            <v>M2</v>
          </cell>
          <cell r="D571">
            <v>1485</v>
          </cell>
        </row>
        <row r="572">
          <cell r="A572" t="str">
            <v>E.18.000.039079</v>
          </cell>
          <cell r="B572" t="str">
            <v>Placa comemorativa em aço inoxidável escovado, medidas aproximadas de 50cm de largura e 70cm de altura, texto+desenho+parafuos</v>
          </cell>
          <cell r="C572" t="str">
            <v>UN</v>
          </cell>
          <cell r="D572">
            <v>2320.6799999999998</v>
          </cell>
        </row>
        <row r="573">
          <cell r="A573" t="str">
            <v>E.18.000.050496</v>
          </cell>
          <cell r="B573" t="str">
            <v>Mesa lateral em aço inoxidável com prateleira inferior, de 2100 x 700 x 850mm</v>
          </cell>
          <cell r="C573" t="str">
            <v>M</v>
          </cell>
          <cell r="D573">
            <v>2742.78</v>
          </cell>
        </row>
        <row r="574">
          <cell r="A574" t="str">
            <v>E.18.000.063554</v>
          </cell>
          <cell r="B574" t="str">
            <v>Abrigo simples em aço inoxidável escovado AISI-304/316, com suporte para mangueira 1 1/2", porta em vidro temperado, 60x90x17cm, ref. Firex, Gilfire, Rwinox ou equivalente</v>
          </cell>
          <cell r="C574" t="str">
            <v>UN</v>
          </cell>
          <cell r="D574">
            <v>2223.16</v>
          </cell>
        </row>
        <row r="575">
          <cell r="A575" t="str">
            <v>E.18.000.067524</v>
          </cell>
          <cell r="B575" t="str">
            <v>Captor pluvial equipado com mecanismo anti-vórtice, corpo em aço inoxidável, grelha em alumínio, DN= 50 mm; ref. linha EPAMS da Saint Gobain ou equivalente</v>
          </cell>
          <cell r="C575" t="str">
            <v>UN</v>
          </cell>
          <cell r="D575">
            <v>4151.55</v>
          </cell>
        </row>
        <row r="576">
          <cell r="A576" t="str">
            <v>E.18.000.067525</v>
          </cell>
          <cell r="B576" t="str">
            <v>Captor pluvial equipado com mecanismo anti-vórtice, corpo em aço inoxidável, grelha em alumínio, DN= 75 mm; ref. linha SMU EPAMS da Saint Gobain ou equivalente</v>
          </cell>
          <cell r="C576" t="str">
            <v>UN</v>
          </cell>
          <cell r="D576">
            <v>5215.74</v>
          </cell>
        </row>
        <row r="577">
          <cell r="A577" t="str">
            <v>E.19.000.025645</v>
          </cell>
          <cell r="B577" t="str">
            <v>Telha ondulada translúcida em polipropileno, 244x110cm, espessura 1,10mm, ref. 177 Esaf, Atco ou equivalente</v>
          </cell>
          <cell r="C577" t="str">
            <v>UN</v>
          </cell>
          <cell r="D577">
            <v>130.94</v>
          </cell>
        </row>
        <row r="578">
          <cell r="A578" t="str">
            <v>E.20.000.091554</v>
          </cell>
          <cell r="B578" t="str">
            <v>Brise metálico fixo em chapa lisa de Aluzinc pré-pintada, espessura de 0,6 mm, seção "U" dimensão 200x75mm; ref. Aerobrise 200 da Hunter Douglas, AB 200 da Refax, BSM-A200 da Sul Metais ou equivalente - instalado</v>
          </cell>
          <cell r="C578" t="str">
            <v>M2</v>
          </cell>
          <cell r="D578">
            <v>827.02</v>
          </cell>
        </row>
        <row r="579">
          <cell r="A579" t="str">
            <v>F.03.000.020570</v>
          </cell>
          <cell r="B579" t="str">
            <v>Massa asfáltica modificada por borracha de pneus reciclados, quente - SEM TRANSPORTE</v>
          </cell>
          <cell r="C579" t="str">
            <v>T</v>
          </cell>
          <cell r="D579">
            <v>672.17</v>
          </cell>
        </row>
        <row r="580">
          <cell r="A580" t="str">
            <v>F.03.000.020572</v>
          </cell>
          <cell r="B580" t="str">
            <v>Concreto asfáltico usinado à quente tipo CBUQ, faixa Dersa (faixa 4 ou 5) posto obra</v>
          </cell>
          <cell r="C580" t="str">
            <v>T</v>
          </cell>
          <cell r="D580">
            <v>590.98</v>
          </cell>
        </row>
        <row r="581">
          <cell r="A581" t="str">
            <v>F.03.000.020573</v>
          </cell>
          <cell r="B581" t="str">
            <v>Binder fechado, fornecimento posto obra</v>
          </cell>
          <cell r="C581" t="str">
            <v>T</v>
          </cell>
          <cell r="D581">
            <v>458.55</v>
          </cell>
        </row>
        <row r="582">
          <cell r="A582" t="str">
            <v>F.03.000.024023</v>
          </cell>
          <cell r="B582" t="str">
            <v>Manta asfáltica plastomérica com armadura filme de poliéster tipo III, espessura 4mm, face exposta em geotêxtil, Premium Geotêxtil da Viapol ou equivalente</v>
          </cell>
          <cell r="C582" t="str">
            <v>M2</v>
          </cell>
          <cell r="D582">
            <v>61.19</v>
          </cell>
        </row>
        <row r="583">
          <cell r="A583" t="str">
            <v>F.03.000.024031</v>
          </cell>
          <cell r="B583" t="str">
            <v>Papel betumado KRAFT</v>
          </cell>
          <cell r="C583" t="str">
            <v>M2</v>
          </cell>
          <cell r="D583">
            <v>4.99</v>
          </cell>
        </row>
        <row r="584">
          <cell r="A584" t="str">
            <v>F.03.000.024034</v>
          </cell>
          <cell r="B584" t="str">
            <v>Asfalto oxidado tipo II (NBR9910), ref. Denver asfalto OX ou 084 da Petrox ou equivalente</v>
          </cell>
          <cell r="C584" t="str">
            <v>KG</v>
          </cell>
          <cell r="D584">
            <v>13.99</v>
          </cell>
        </row>
        <row r="585">
          <cell r="A585" t="str">
            <v>F.03.000.024078</v>
          </cell>
          <cell r="B585" t="str">
            <v>Impermeabilização flexível à base polímeros acrílicos; ref. Denvercril Super / Igolflex / Vedapren / Viaflex branco ou equivalente</v>
          </cell>
          <cell r="C585" t="str">
            <v>KG</v>
          </cell>
          <cell r="D585">
            <v>16.989999999999998</v>
          </cell>
        </row>
        <row r="586">
          <cell r="A586" t="str">
            <v>F.03.000.024081</v>
          </cell>
          <cell r="B586" t="str">
            <v>Membrana de asfalto modificado com elastômeros cor preta, ref. Vedapren / Otto Baumgart, Denverpren SBS / Denver, Igolflex Preto / Sika ou equivalente</v>
          </cell>
          <cell r="C586" t="str">
            <v>KG</v>
          </cell>
          <cell r="D586">
            <v>19.77</v>
          </cell>
        </row>
        <row r="587">
          <cell r="A587" t="str">
            <v>F.03.000.024109</v>
          </cell>
          <cell r="B587" t="str">
            <v>Manta asfáltica com armadura filme de poliéster, tipo III-B, espessura de 3 mm, ref. Denvermanta III-B Denver Global, Torodin III-B Viapol, Premium Poliéster III-B Viapol ou equivalente</v>
          </cell>
          <cell r="C587" t="str">
            <v>M2</v>
          </cell>
          <cell r="D587">
            <v>50.96</v>
          </cell>
        </row>
        <row r="588">
          <cell r="A588" t="str">
            <v>F.03.000.024110</v>
          </cell>
          <cell r="B588" t="str">
            <v>Manta asfáltica com armadura filme de poliéster, tipo III-B, espessura de 4 mm, ref. Denvermanta III-B Denver Global, Torodin III-B Viapol, Premium Poliéster III-B Viapol ou equivalente</v>
          </cell>
          <cell r="C588" t="str">
            <v>M2</v>
          </cell>
          <cell r="D588">
            <v>58.06</v>
          </cell>
        </row>
        <row r="589">
          <cell r="A589" t="str">
            <v>F.03.000.024111</v>
          </cell>
          <cell r="B589" t="str">
            <v>Manta asfáltica tipo III-B, esp. 3mm, face exposta em geotêxtil, ref. Denvermanta Geotêxtil III-B -Denver Global, Torodin Geotêxtil III-B e Premium III-B Viapol ou equivalente</v>
          </cell>
          <cell r="C589" t="str">
            <v>M2</v>
          </cell>
          <cell r="D589">
            <v>54.49</v>
          </cell>
        </row>
        <row r="590">
          <cell r="A590" t="str">
            <v>F.03.000.024534</v>
          </cell>
          <cell r="B590" t="str">
            <v>Isolamento térmico em espuma elastomérica, espessura de 9 a 12 mm, para tubulação água quente e refrigeração, diâmetro de 1/4´ (cobre)</v>
          </cell>
          <cell r="C590" t="str">
            <v>M</v>
          </cell>
          <cell r="D590">
            <v>4.0599999999999996</v>
          </cell>
        </row>
        <row r="591">
          <cell r="A591" t="str">
            <v>F.03.000.024535</v>
          </cell>
          <cell r="B591" t="str">
            <v>Isolamento térmico em espuma elastomérica, espessura de 9 a 12 mm, para tubulação água quente e refrigeração, diâmetro de 5/8´ (cobre) ou 1/4´ (ferro)</v>
          </cell>
          <cell r="C591" t="str">
            <v>M</v>
          </cell>
          <cell r="D591">
            <v>5.53</v>
          </cell>
        </row>
        <row r="592">
          <cell r="A592" t="str">
            <v>F.03.000.024549</v>
          </cell>
          <cell r="B592" t="str">
            <v>Manta elastomérica para tubulação de água quente e refrigeração, espessura de 19 a 26 mm</v>
          </cell>
          <cell r="C592" t="str">
            <v>M2</v>
          </cell>
          <cell r="D592">
            <v>182.51</v>
          </cell>
        </row>
        <row r="593">
          <cell r="A593" t="str">
            <v>F.03.000.024550</v>
          </cell>
          <cell r="B593" t="str">
            <v>Isolamento térmico em espuma elastomérica, espessura de 19 a 26 mm, para tubulação de água quente e refrigeração, diâmetro de 3/8" (cobre) e 1/8" (ferro)</v>
          </cell>
          <cell r="C593" t="str">
            <v>M</v>
          </cell>
          <cell r="D593">
            <v>13.81</v>
          </cell>
        </row>
        <row r="594">
          <cell r="A594" t="str">
            <v>F.03.000.024551</v>
          </cell>
          <cell r="B594" t="str">
            <v>Isolamento térmico em espuma elastomérica, espessura de 19 a 26 mm, para tubulação de água quente e refrigeração, diâmetro de 3/4" (cobre) e 3/8" (ferro)</v>
          </cell>
          <cell r="C594" t="str">
            <v>M</v>
          </cell>
          <cell r="D594">
            <v>15.62</v>
          </cell>
        </row>
        <row r="595">
          <cell r="A595" t="str">
            <v>F.03.000.024702</v>
          </cell>
          <cell r="B595" t="str">
            <v>Asfalto betuminoso (CAP 85/100= CAP 7)(CAP 50/60= CAP 20)</v>
          </cell>
          <cell r="C595" t="str">
            <v>KG</v>
          </cell>
          <cell r="D595">
            <v>7.31</v>
          </cell>
        </row>
        <row r="596">
          <cell r="A596" t="str">
            <v>F.03.000.024704</v>
          </cell>
          <cell r="B596" t="str">
            <v>Emulsão RR-1-C</v>
          </cell>
          <cell r="C596" t="str">
            <v>KG</v>
          </cell>
          <cell r="D596">
            <v>4.51</v>
          </cell>
        </row>
        <row r="597">
          <cell r="A597" t="str">
            <v>F.03.000.024705</v>
          </cell>
          <cell r="B597" t="str">
            <v>Asfalto diluído CM-30</v>
          </cell>
          <cell r="C597" t="str">
            <v>KG</v>
          </cell>
          <cell r="D597">
            <v>7.66</v>
          </cell>
        </row>
        <row r="598">
          <cell r="A598" t="str">
            <v>F.03.000.039005</v>
          </cell>
          <cell r="B598" t="str">
            <v>Pintura impermeabilizante com asfalto oxidado e solventes orgânicos, ref. Viabit/Viapol, Neutrol/Otto Baumgart/IGOL55 Sika ou equivalente</v>
          </cell>
          <cell r="C598" t="str">
            <v>L</v>
          </cell>
          <cell r="D598">
            <v>20.85</v>
          </cell>
        </row>
        <row r="599">
          <cell r="A599" t="str">
            <v>F.04.000.025523</v>
          </cell>
          <cell r="B599" t="str">
            <v>Cumeeira para telha de poliester reforçado com fibra de vidro (PRFV), perfil trapezoidal 49 ou kalheta; ref. Coberfibras, Cersan, Fibratel Telhas, Doplast ou equivalente</v>
          </cell>
          <cell r="C599" t="str">
            <v>M</v>
          </cell>
          <cell r="D599">
            <v>133.22</v>
          </cell>
        </row>
        <row r="600">
          <cell r="A600" t="str">
            <v>F.04.000.025549</v>
          </cell>
          <cell r="B600" t="str">
            <v>Domo em acrílico fixado com perfil de alumínio, de 1,05 x 1,05 m ref. Alumecril, Domoplast ou equivalente - instalado</v>
          </cell>
          <cell r="C600" t="str">
            <v>UN</v>
          </cell>
          <cell r="D600">
            <v>996.47</v>
          </cell>
        </row>
        <row r="601">
          <cell r="A601" t="str">
            <v>F.04.000.025550</v>
          </cell>
          <cell r="B601" t="str">
            <v>Chapa em policarbonato alveolar bronze de 6 x 1050 x 6000 mm</v>
          </cell>
          <cell r="C601" t="str">
            <v>UN</v>
          </cell>
          <cell r="D601">
            <v>336.06</v>
          </cell>
        </row>
        <row r="602">
          <cell r="A602" t="str">
            <v>F.04.000.025600</v>
          </cell>
          <cell r="B602" t="str">
            <v>Chapa em policarbonato compacto, cor fumê/bronze, espessura de 6mm</v>
          </cell>
          <cell r="C602" t="str">
            <v>M2</v>
          </cell>
          <cell r="D602">
            <v>348.5</v>
          </cell>
        </row>
        <row r="603">
          <cell r="A603" t="str">
            <v>F.04.000.025601</v>
          </cell>
          <cell r="B603" t="str">
            <v>Chapa em policarbonato compacto, cor cristal, espessura de 6mm</v>
          </cell>
          <cell r="C603" t="str">
            <v>M2</v>
          </cell>
          <cell r="D603">
            <v>350.06</v>
          </cell>
        </row>
        <row r="604">
          <cell r="A604" t="str">
            <v>F.04.000.025602</v>
          </cell>
          <cell r="B604" t="str">
            <v>Chapa em policarbonato compacto, cor cristal, espessura de 10mm</v>
          </cell>
          <cell r="C604" t="str">
            <v>M2</v>
          </cell>
          <cell r="D604">
            <v>547.57000000000005</v>
          </cell>
        </row>
        <row r="605">
          <cell r="A605" t="str">
            <v>F.04.000.025608</v>
          </cell>
          <cell r="B605" t="str">
            <v>Telha de poliester reforçado com fibra de vidro (PRFV), perfil trapezoidal 49 ou kalheta, com espessura de 1,5mm; ref. Coberfibras, Cersan, Fibratel Telhas, Doplast ou equivalente</v>
          </cell>
          <cell r="C605" t="str">
            <v>M2</v>
          </cell>
          <cell r="D605">
            <v>85.88</v>
          </cell>
        </row>
        <row r="606">
          <cell r="A606" t="str">
            <v>F.04.000.025638</v>
          </cell>
          <cell r="B606" t="str">
            <v>Chapa em policarbonato alveolar bronze de 10 x 2100 x 6000 mm</v>
          </cell>
          <cell r="C606" t="str">
            <v>UN</v>
          </cell>
          <cell r="D606">
            <v>864.44</v>
          </cell>
        </row>
        <row r="607">
          <cell r="A607" t="str">
            <v>F.04.000.025642</v>
          </cell>
          <cell r="B607" t="str">
            <v>Chapa em policarbonato alveolar translúcido de 10 x 2100 x 6000 mm</v>
          </cell>
          <cell r="C607" t="str">
            <v>UN</v>
          </cell>
          <cell r="D607">
            <v>839.5</v>
          </cell>
        </row>
        <row r="608">
          <cell r="A608" t="str">
            <v>F.04.000.026505</v>
          </cell>
          <cell r="B608" t="str">
            <v>Calço plástico para telha ondulada, 18 mm</v>
          </cell>
          <cell r="C608" t="str">
            <v>UN</v>
          </cell>
          <cell r="D608">
            <v>1.36</v>
          </cell>
        </row>
        <row r="609">
          <cell r="A609" t="str">
            <v>F.04.000.026506</v>
          </cell>
          <cell r="B609" t="str">
            <v>Calço plástico para telha trapezoidal, 38 mm</v>
          </cell>
          <cell r="C609" t="str">
            <v>UN</v>
          </cell>
          <cell r="D609">
            <v>1.33</v>
          </cell>
        </row>
        <row r="610">
          <cell r="A610" t="str">
            <v>F.04.000.090497</v>
          </cell>
          <cell r="B610" t="str">
            <v>Chapa em policarbonato alveolar de 6mm</v>
          </cell>
          <cell r="C610" t="str">
            <v>M2</v>
          </cell>
          <cell r="D610">
            <v>55.72</v>
          </cell>
        </row>
        <row r="611">
          <cell r="A611" t="str">
            <v>F.07.000.022013</v>
          </cell>
          <cell r="B611" t="str">
            <v>Poliestireno expandido densidade 9 a 10 kg/m³ - P1 para enchimento</v>
          </cell>
          <cell r="C611" t="str">
            <v>M3</v>
          </cell>
          <cell r="D611">
            <v>393.45</v>
          </cell>
        </row>
        <row r="612">
          <cell r="A612" t="str">
            <v>F.07.000.022016</v>
          </cell>
          <cell r="B612" t="str">
            <v>EPS (poliestireno expandido) tipo 5F com densidade de 22,5 kg/m³, antichamas (tipo F), resistência a compressão de 104 KPa, deformação de 10%, em blocos</v>
          </cell>
          <cell r="C612" t="str">
            <v>M3</v>
          </cell>
          <cell r="D612">
            <v>1131.24</v>
          </cell>
        </row>
        <row r="613">
          <cell r="A613" t="str">
            <v>F.07.000.024075</v>
          </cell>
          <cell r="B613" t="str">
            <v>Manta de lã de vidro e/ou lã de rocha de 2´</v>
          </cell>
          <cell r="C613" t="str">
            <v>M2</v>
          </cell>
          <cell r="D613">
            <v>30.27</v>
          </cell>
        </row>
        <row r="614">
          <cell r="A614" t="str">
            <v>F.07.000.024507</v>
          </cell>
          <cell r="B614" t="str">
            <v>Poliestireno expandido P-III (isopor), densidade média de 14kg/m³, espessura de 10mm</v>
          </cell>
          <cell r="C614" t="str">
            <v>M2</v>
          </cell>
          <cell r="D614">
            <v>7.26</v>
          </cell>
        </row>
        <row r="615">
          <cell r="A615" t="str">
            <v>F.07.000.024513</v>
          </cell>
          <cell r="B615" t="str">
            <v>Poliestireno expandido P-III (isopor), densidade média de 14kg/m³, espessura de 20mm</v>
          </cell>
          <cell r="C615" t="str">
            <v>M2</v>
          </cell>
          <cell r="D615">
            <v>23.43</v>
          </cell>
        </row>
        <row r="616">
          <cell r="A616" t="str">
            <v>F.07.000.024536</v>
          </cell>
          <cell r="B616" t="str">
            <v>Isolamento térmico em espuma elastomérica, espessura de 9 a 12 mm, para tubulação água quente e refrigeração, diâmetro de 1/2´ (cobre)</v>
          </cell>
          <cell r="C616" t="str">
            <v>M</v>
          </cell>
          <cell r="D616">
            <v>5.03</v>
          </cell>
        </row>
        <row r="617">
          <cell r="A617" t="str">
            <v>F.07.000.024537</v>
          </cell>
          <cell r="B617" t="str">
            <v>Isolamento térmico em espuma elastomérica, espessura de 9 a 12 mm, para tubulação água quente e refrigeração, diâmetro de 1´ (cobre)</v>
          </cell>
          <cell r="C617" t="str">
            <v>M</v>
          </cell>
          <cell r="D617">
            <v>6.84</v>
          </cell>
        </row>
        <row r="618">
          <cell r="A618" t="str">
            <v>F.07.000.024538</v>
          </cell>
          <cell r="B618" t="str">
            <v>Isolamento térmico em espuma elastomérica, espessura de 19 a 26 mm, para tubulação água quente e refrigeração, diâmetro de 7/8´ (cobre) / 1/2´ (ferro)</v>
          </cell>
          <cell r="C618" t="str">
            <v>M</v>
          </cell>
          <cell r="D618">
            <v>17.21</v>
          </cell>
        </row>
        <row r="619">
          <cell r="A619" t="str">
            <v>F.07.000.024539</v>
          </cell>
          <cell r="B619" t="str">
            <v>Isolamento térmico em espuma elastomérica, espessura de 19 a 26 mm, para tubulação água quente e refrigeração, diâmetro de 1 1/8´ (cobre) / 3/4´ (ferro)</v>
          </cell>
          <cell r="C619" t="str">
            <v>M</v>
          </cell>
          <cell r="D619">
            <v>21.16</v>
          </cell>
        </row>
        <row r="620">
          <cell r="A620" t="str">
            <v>F.07.000.024540</v>
          </cell>
          <cell r="B620" t="str">
            <v>Isolamento térmico em espuma elastomérica, espessura de 19 a 26 mm, para tubulação água quente e refrigeração, diâmetro de 1 3/8´ (cobre) ou 1´ (ferro)</v>
          </cell>
          <cell r="C620" t="str">
            <v>M</v>
          </cell>
          <cell r="D620">
            <v>22.68</v>
          </cell>
        </row>
        <row r="621">
          <cell r="A621" t="str">
            <v>F.07.000.024541</v>
          </cell>
          <cell r="B621" t="str">
            <v>Isolamento térmico em espuma elastomérica, espessura de 19 a 26 mm, para tubulação água quente e refrigeração, diâmetro de 1 5/8´ (cobre) ou 1 1/4´ (ferro)</v>
          </cell>
          <cell r="C621" t="str">
            <v>M</v>
          </cell>
          <cell r="D621">
            <v>29.73</v>
          </cell>
        </row>
        <row r="622">
          <cell r="A622" t="str">
            <v>F.07.000.024542</v>
          </cell>
          <cell r="B622" t="str">
            <v>Isolamento térmico em espuma elastomérica, espessura de 19 a 26 mm, para tubulação água quente e refrigeração, diâmetro de 1 1/2´ (ferro)</v>
          </cell>
          <cell r="C622" t="str">
            <v>M</v>
          </cell>
          <cell r="D622">
            <v>30.51</v>
          </cell>
        </row>
        <row r="623">
          <cell r="A623" t="str">
            <v>F.07.000.024543</v>
          </cell>
          <cell r="B623" t="str">
            <v>Isolamento térmico em espuma elastomérica, espessura de 19 a 26 mm, para tubulação água quente e refrigeração, diâmetro de 2´ (ferro)</v>
          </cell>
          <cell r="C623" t="str">
            <v>M</v>
          </cell>
          <cell r="D623">
            <v>40.19</v>
          </cell>
        </row>
        <row r="624">
          <cell r="A624" t="str">
            <v>F.07.000.024544</v>
          </cell>
          <cell r="B624" t="str">
            <v>Isolamento térmico em espuma elastomérica, espessura de 19 a 26 mm, para tubulação água quente e refrigeração, diâmetro de 2 1/2´ (ferro)</v>
          </cell>
          <cell r="C624" t="str">
            <v>M</v>
          </cell>
          <cell r="D624">
            <v>53.6</v>
          </cell>
        </row>
        <row r="625">
          <cell r="A625" t="str">
            <v>F.07.000.024545</v>
          </cell>
          <cell r="B625" t="str">
            <v>Isolamento térmico em espuma elastomérica, espessura de 19 a 26 mm, para tubulação água quente e refrigeração, diâmetro de 3 1/2´ (cobre) / 3´ (ferro)</v>
          </cell>
          <cell r="C625" t="str">
            <v>M</v>
          </cell>
          <cell r="D625">
            <v>55.87</v>
          </cell>
        </row>
        <row r="626">
          <cell r="A626" t="str">
            <v>F.07.000.024546</v>
          </cell>
          <cell r="B626" t="str">
            <v>Isolamento térmico em espuma elastomérica, espessura de 19 a 26 mm, para tubulação água quente e refrigeração, diâmetro de 4´ (ferro)</v>
          </cell>
          <cell r="C626" t="str">
            <v>M</v>
          </cell>
          <cell r="D626">
            <v>100.15</v>
          </cell>
        </row>
        <row r="627">
          <cell r="A627" t="str">
            <v>F.07.000.024547</v>
          </cell>
          <cell r="B627" t="str">
            <v>Isolamento térmico em espuma elastomérica, espessura de 19 a 26 mm, para tubulação água quente e refrigeração, diâmetro de 5´ (ferro)</v>
          </cell>
          <cell r="C627" t="str">
            <v>M</v>
          </cell>
          <cell r="D627">
            <v>113.38</v>
          </cell>
        </row>
        <row r="628">
          <cell r="A628" t="str">
            <v>F.07.000.024548</v>
          </cell>
          <cell r="B628" t="str">
            <v>Isolamento térmico em espuma elastomérica, espessura de 19 a 26 mm, para tubulação água quente e refrigeração, diâmetro de 6´ (ferro)</v>
          </cell>
          <cell r="C628" t="str">
            <v>M</v>
          </cell>
          <cell r="D628">
            <v>143.87</v>
          </cell>
        </row>
        <row r="629">
          <cell r="A629" t="str">
            <v>F.07.000.024551</v>
          </cell>
          <cell r="B629" t="str">
            <v>Manta em fibra cerâmica aluminizada, espessura de 38 mm, densidade 96 kg/m³, comprimento de fibra (médio) 100mm, para isolamento térmico de duto de pressurização</v>
          </cell>
          <cell r="C629" t="str">
            <v>M2</v>
          </cell>
          <cell r="D629">
            <v>65.540000000000006</v>
          </cell>
        </row>
        <row r="630">
          <cell r="A630" t="str">
            <v>F.07.000.024571</v>
          </cell>
          <cell r="B630" t="str">
            <v>Manta de lã de vidro e/ou lã de rocha de 1´</v>
          </cell>
          <cell r="C630" t="str">
            <v>M2</v>
          </cell>
          <cell r="D630">
            <v>18.04</v>
          </cell>
        </row>
        <row r="631">
          <cell r="A631" t="str">
            <v>F.08.000.020301</v>
          </cell>
          <cell r="B631" t="str">
            <v>Placa neoprene fretado para apoio, medidas aproximadas de 20x20x2cm chapa 4mm / 60x45x7cm chapa 6mm - Dm³</v>
          </cell>
          <cell r="C631" t="str">
            <v>DM3</v>
          </cell>
          <cell r="D631">
            <v>203.26</v>
          </cell>
        </row>
        <row r="632">
          <cell r="A632" t="str">
            <v>F.08.000.024103</v>
          </cell>
          <cell r="B632" t="str">
            <v>Mastique silicone Silix 567; referência comercial Rhodia / Dow Corning 791 ou equivalente</v>
          </cell>
          <cell r="C632" t="str">
            <v>bg</v>
          </cell>
          <cell r="D632">
            <v>43.95</v>
          </cell>
        </row>
        <row r="633">
          <cell r="A633" t="str">
            <v>F.08.000.024104</v>
          </cell>
          <cell r="B633" t="str">
            <v>Película adesiva jateada liso fosco ou listra branca para vidros - uso interno</v>
          </cell>
          <cell r="C633" t="str">
            <v>M2</v>
          </cell>
          <cell r="D633">
            <v>17.95</v>
          </cell>
        </row>
        <row r="634">
          <cell r="A634" t="str">
            <v>F.08.000.028059</v>
          </cell>
          <cell r="B634" t="str">
            <v>Perfil de acabamento com borracha termoplástica vulcanizada de embutir, para junta dilatação piso-piso, fixação em perfis de alumínio, ref. GFTW100V/GFT100x2" da CS Brasil ou equivalente</v>
          </cell>
          <cell r="C634" t="str">
            <v>M</v>
          </cell>
          <cell r="D634">
            <v>232.34</v>
          </cell>
        </row>
        <row r="635">
          <cell r="A635" t="str">
            <v>F.08.000.028060</v>
          </cell>
          <cell r="B635" t="str">
            <v>Perfil de acabamento com borracha santoprene de embutir, para junta de dilatação, piso-parede, fixação em perfis de alumínio, ref. Cosimo Cataldo ou equivalente</v>
          </cell>
          <cell r="C635" t="str">
            <v>M</v>
          </cell>
          <cell r="D635">
            <v>275.88</v>
          </cell>
        </row>
        <row r="636">
          <cell r="A636" t="str">
            <v>F.08.000.028061</v>
          </cell>
          <cell r="B636" t="str">
            <v>Perfil de acabamento com borracha santoprene de embutir, para junta dilatação parede-parede ou forro-forro, fixação em perfis de alumínio, ref. Cosimo Cataldo ou equivalente</v>
          </cell>
          <cell r="C636" t="str">
            <v>M</v>
          </cell>
          <cell r="D636">
            <v>108.82</v>
          </cell>
        </row>
        <row r="637">
          <cell r="A637" t="str">
            <v>F.08.000.028062</v>
          </cell>
          <cell r="B637" t="str">
            <v>Perfil de acabamento com borracha santoprene de embutir, para junta dilatação parede-parede ou forro-forro-canto, fixação em perfis de alumínio, ref. Cosimo Cataldo ou equivalente</v>
          </cell>
          <cell r="C637" t="str">
            <v>M</v>
          </cell>
          <cell r="D637">
            <v>102.86</v>
          </cell>
        </row>
        <row r="638">
          <cell r="A638" t="str">
            <v>F.08.000.028065</v>
          </cell>
          <cell r="B638" t="str">
            <v>Mastique elástico poliuretano para juntas; referência comercial Vedaflex da Otto Baumgart, Sikaflex 1A da Sika ou equivalente</v>
          </cell>
          <cell r="C638" t="str">
            <v>bg</v>
          </cell>
          <cell r="D638">
            <v>47.02</v>
          </cell>
        </row>
        <row r="639">
          <cell r="A639" t="str">
            <v>F.08.000.033572</v>
          </cell>
          <cell r="B639" t="str">
            <v>Friso para junta de dilatação em revestimento granito lavado tipo Fulget</v>
          </cell>
          <cell r="C639" t="str">
            <v>M</v>
          </cell>
          <cell r="D639">
            <v>10.81</v>
          </cell>
        </row>
        <row r="640">
          <cell r="A640" t="str">
            <v>F.08.000.036004</v>
          </cell>
          <cell r="B640" t="str">
            <v>Junta estrutural, UT10VMA Uniontech / JJ1015M Jeene</v>
          </cell>
          <cell r="C640" t="str">
            <v>M</v>
          </cell>
          <cell r="D640">
            <v>131.19</v>
          </cell>
        </row>
        <row r="641">
          <cell r="A641" t="str">
            <v>F.08.000.036005</v>
          </cell>
          <cell r="B641" t="str">
            <v>Junta estrutural, UT20VMA Uniontech / JJ2027M Jeene</v>
          </cell>
          <cell r="C641" t="str">
            <v>M</v>
          </cell>
          <cell r="D641">
            <v>399.7</v>
          </cell>
        </row>
        <row r="642">
          <cell r="A642" t="str">
            <v>F.08.000.036018</v>
          </cell>
          <cell r="B642" t="str">
            <v>Junta UT25OAE Uniontech / JJ2540VV Jeene, labios poliméricos</v>
          </cell>
          <cell r="C642" t="str">
            <v>M</v>
          </cell>
          <cell r="D642">
            <v>901.93</v>
          </cell>
        </row>
        <row r="643">
          <cell r="A643" t="str">
            <v>F.08.000.036019</v>
          </cell>
          <cell r="B643" t="str">
            <v>Junta UT35OAE Uniontech / JJ3550VV Jeene, labios poliméricos</v>
          </cell>
          <cell r="C643" t="str">
            <v>M</v>
          </cell>
          <cell r="D643">
            <v>1215.8399999999999</v>
          </cell>
        </row>
        <row r="644">
          <cell r="A644" t="str">
            <v>F.08.000.036025</v>
          </cell>
          <cell r="B644" t="str">
            <v>Perfilado termoplast em PVC; ref. Vedacit O-12/Sika O-12 ou equivalente</v>
          </cell>
          <cell r="C644" t="str">
            <v>M</v>
          </cell>
          <cell r="D644">
            <v>45.36</v>
          </cell>
        </row>
        <row r="645">
          <cell r="A645" t="str">
            <v>F.08.000.036027</v>
          </cell>
          <cell r="B645" t="str">
            <v>Perfilado termoplast em PVC; ref. Vedacit O-22/Sika O-22 ou equivalente</v>
          </cell>
          <cell r="C645" t="str">
            <v>M</v>
          </cell>
          <cell r="D645">
            <v>92.42</v>
          </cell>
        </row>
        <row r="646">
          <cell r="A646" t="str">
            <v>F.08.000.036063</v>
          </cell>
          <cell r="B646" t="str">
            <v>Juntas latão 3/4´x 1/8´</v>
          </cell>
          <cell r="C646" t="str">
            <v>M</v>
          </cell>
          <cell r="D646">
            <v>64.91</v>
          </cell>
        </row>
        <row r="647">
          <cell r="A647" t="str">
            <v>F.08.000.062020</v>
          </cell>
          <cell r="B647" t="str">
            <v>Tarugo de polietileno D=10mm delimitador da junta de dilatação</v>
          </cell>
          <cell r="C647" t="str">
            <v>M</v>
          </cell>
          <cell r="D647">
            <v>0.55000000000000004</v>
          </cell>
        </row>
        <row r="648">
          <cell r="A648" t="str">
            <v>F.08.000.062026</v>
          </cell>
          <cell r="B648" t="str">
            <v>Guia de polietileno Tarucel, diâmetro de 15 mm</v>
          </cell>
          <cell r="C648" t="str">
            <v>M</v>
          </cell>
          <cell r="D648">
            <v>0.54</v>
          </cell>
        </row>
        <row r="649">
          <cell r="A649" t="str">
            <v>F.09.000.024029</v>
          </cell>
          <cell r="B649" t="str">
            <v>Manta geotêxtil com resistência à tração longitudinal de 31kN/m e transversal de 27kN/m, ref. linha Bidim RT ou equivalente</v>
          </cell>
          <cell r="C649" t="str">
            <v>M2</v>
          </cell>
          <cell r="D649">
            <v>19.100000000000001</v>
          </cell>
        </row>
        <row r="650">
          <cell r="A650" t="str">
            <v>F.09.000.024049</v>
          </cell>
          <cell r="B650" t="str">
            <v>Manta geotêxtil com resistência à tração longitudinal de 16kN/m e transversal de 14kN/m, ref. linha Bidim RT ou equivalente</v>
          </cell>
          <cell r="C650" t="str">
            <v>M2</v>
          </cell>
          <cell r="D650">
            <v>9.64</v>
          </cell>
        </row>
        <row r="651">
          <cell r="A651" t="str">
            <v>F.09.000.024080</v>
          </cell>
          <cell r="B651" t="str">
            <v>Manta geotêxtil com resistência à tração longitudinal de 10kN/m e transversal de 9kN/m, ref. linha Bidim RT ou equivalente</v>
          </cell>
          <cell r="C651" t="str">
            <v>M2</v>
          </cell>
          <cell r="D651">
            <v>7.03</v>
          </cell>
        </row>
        <row r="652">
          <cell r="A652" t="str">
            <v>F.09.000.092628</v>
          </cell>
          <cell r="B652" t="str">
            <v>Tela de juta (aniagem)</v>
          </cell>
          <cell r="C652" t="str">
            <v>M2</v>
          </cell>
          <cell r="D652">
            <v>6.99</v>
          </cell>
        </row>
        <row r="653">
          <cell r="A653" t="str">
            <v>F.10.000.023573</v>
          </cell>
          <cell r="B653" t="str">
            <v>Forro termoacústico em lã de vidro com acabamento plástico; e= 20 mm, densidade 60 kg/m³, com estrutura de sustentação; ref. Forrovid K-60 ou equivalente - instalado</v>
          </cell>
          <cell r="C653" t="str">
            <v>M2</v>
          </cell>
          <cell r="D653">
            <v>122.54</v>
          </cell>
        </row>
        <row r="654">
          <cell r="A654" t="str">
            <v>F.10.000.024058</v>
          </cell>
          <cell r="B654" t="str">
            <v>Lâmina refletiva revestida 2 faces em alumínio, dupla malha de reforço resina termoplástica, alta densidade, laminação c/filme entre camadas, cl. A, norma ABNT NBR15567, espes. 0,20mm; ref. Duralfoil Multi 2 de Gib do Brasil ou equivalente</v>
          </cell>
          <cell r="C654" t="str">
            <v>M2</v>
          </cell>
          <cell r="D654">
            <v>12.12</v>
          </cell>
        </row>
        <row r="655">
          <cell r="A655" t="str">
            <v>F.10.000.024520</v>
          </cell>
          <cell r="B655" t="str">
            <v>Espuma flexível poliuretano poliéter, auto extinguível, superfície em cunhas anecóicas ou ondulado, natural grafite, e=50mm, densidade 28 até 35kg/m³; ref. Sonique Wave 50/10 Vibrasom, Sinus PLus da Isopur ou equivalente</v>
          </cell>
          <cell r="C655" t="str">
            <v>M2</v>
          </cell>
          <cell r="D655">
            <v>163.49</v>
          </cell>
        </row>
        <row r="656">
          <cell r="A656" t="str">
            <v>F.11.000.025601</v>
          </cell>
          <cell r="B656" t="str">
            <v>Telha em fibra vegetal, ondulada de 3mm; ref. Onduline, Fibroflex ou equivalente</v>
          </cell>
          <cell r="C656" t="str">
            <v>M2</v>
          </cell>
          <cell r="D656">
            <v>46.56</v>
          </cell>
        </row>
        <row r="657">
          <cell r="A657" t="str">
            <v>F.11.000.025602</v>
          </cell>
          <cell r="B657" t="str">
            <v>Cumeeira em fibra vegetal, lisa de 3mm; ref. Onduline, Fibroflex ou equivalente</v>
          </cell>
          <cell r="C657" t="str">
            <v>UN</v>
          </cell>
          <cell r="D657">
            <v>77.95</v>
          </cell>
        </row>
        <row r="658">
          <cell r="A658" t="str">
            <v>F.12.000.024008</v>
          </cell>
          <cell r="B658" t="str">
            <v>Fita autoadesiva em poliester de 5 cm, para trincas, ref. Fitafix ou equivalente</v>
          </cell>
          <cell r="C658" t="str">
            <v>M</v>
          </cell>
          <cell r="D658">
            <v>4.43</v>
          </cell>
        </row>
        <row r="659">
          <cell r="A659" t="str">
            <v>F.12.000.024026</v>
          </cell>
          <cell r="B659" t="str">
            <v>Selante endurecedor à base de polímeros siliconados, ref. Otto baugart, Masterkure HD 200WB da Basf ou equivalente</v>
          </cell>
          <cell r="C659" t="str">
            <v>L</v>
          </cell>
          <cell r="D659">
            <v>13.29</v>
          </cell>
        </row>
        <row r="660">
          <cell r="A660" t="str">
            <v>F.12.000.024027</v>
          </cell>
          <cell r="B660" t="str">
            <v>Controlador de retração de concreto; ref. Redutrac da Concrefiber, Eucon Conex CR da Viapol, Dry D1 N.G. da Chimica Edile ou equivalente</v>
          </cell>
          <cell r="C660" t="str">
            <v>KG</v>
          </cell>
          <cell r="D660">
            <v>7.51</v>
          </cell>
        </row>
        <row r="661">
          <cell r="A661" t="str">
            <v>F.12.000.024102</v>
          </cell>
          <cell r="B661" t="str">
            <v>Geomembrana em polietileno PEAD, lisa em ambas as faces com espessura de 1 mm</v>
          </cell>
          <cell r="C661" t="str">
            <v>M2</v>
          </cell>
          <cell r="D661">
            <v>26.89</v>
          </cell>
        </row>
        <row r="662">
          <cell r="A662" t="str">
            <v>F.12.000.028008</v>
          </cell>
          <cell r="B662" t="str">
            <v>Desmoldante para formas</v>
          </cell>
          <cell r="C662" t="str">
            <v>L</v>
          </cell>
          <cell r="D662">
            <v>14.74</v>
          </cell>
        </row>
        <row r="663">
          <cell r="A663" t="str">
            <v>F.12.000.028069</v>
          </cell>
          <cell r="B663" t="str">
            <v>Selante elástico de alto desempenho à base de poliuretano para uso geral; ref. Nitoseal PU30 da Fosroc, PU30 Construção da Quartzolit ou equivalente</v>
          </cell>
          <cell r="C663" t="str">
            <v>bg</v>
          </cell>
          <cell r="D663">
            <v>45.52</v>
          </cell>
        </row>
        <row r="664">
          <cell r="A664" t="str">
            <v>F.12.000.028075</v>
          </cell>
          <cell r="B664" t="str">
            <v>Cola de contato para espuma elastomérica, isolamento térmico (uso adesivo industrial), ref. Armaflex 520 ou equivalente</v>
          </cell>
          <cell r="C664" t="str">
            <v>L</v>
          </cell>
          <cell r="D664">
            <v>149.4</v>
          </cell>
        </row>
        <row r="665">
          <cell r="A665" t="str">
            <v>F.12.000.091473</v>
          </cell>
          <cell r="B665" t="str">
            <v>Serviço soldagem geomembrana alta densidade PEAD</v>
          </cell>
          <cell r="C665" t="str">
            <v>M2</v>
          </cell>
          <cell r="D665">
            <v>2.41</v>
          </cell>
        </row>
        <row r="666">
          <cell r="A666" t="str">
            <v>F.13.000.025534</v>
          </cell>
          <cell r="B666" t="str">
            <v>Telha ondulada em CRFS (2,13x1,10m) de 8mm</v>
          </cell>
          <cell r="C666" t="str">
            <v>M2</v>
          </cell>
          <cell r="D666">
            <v>49.76</v>
          </cell>
        </row>
        <row r="667">
          <cell r="A667" t="str">
            <v>F.13.000.025535</v>
          </cell>
          <cell r="B667" t="str">
            <v>Cumeeira universal CRFS 0,06, (1,10), perfil ondulado</v>
          </cell>
          <cell r="C667" t="str">
            <v>UN</v>
          </cell>
          <cell r="D667">
            <v>60.66</v>
          </cell>
        </row>
        <row r="668">
          <cell r="A668" t="str">
            <v>F.13.000.025538</v>
          </cell>
          <cell r="B668" t="str">
            <v>Telha tipo Kalheta 44cm CRFS (3,0 x 0,472m)</v>
          </cell>
          <cell r="C668" t="str">
            <v>M2</v>
          </cell>
          <cell r="D668">
            <v>128.63999999999999</v>
          </cell>
        </row>
        <row r="669">
          <cell r="A669" t="str">
            <v>F.13.000.025539</v>
          </cell>
          <cell r="B669" t="str">
            <v>Rufo em CRFS 0,08, Tod.1,10m, perfil ondulado</v>
          </cell>
          <cell r="C669" t="str">
            <v>M</v>
          </cell>
          <cell r="D669">
            <v>55.47</v>
          </cell>
        </row>
        <row r="670">
          <cell r="A670" t="str">
            <v>F.13.000.025542</v>
          </cell>
          <cell r="B670" t="str">
            <v>Cumeeira normal em CRFS, perfil ondulado (1,10m)</v>
          </cell>
          <cell r="C670" t="str">
            <v>UN</v>
          </cell>
          <cell r="D670">
            <v>64.94</v>
          </cell>
        </row>
        <row r="671">
          <cell r="A671" t="str">
            <v>F.13.000.025545</v>
          </cell>
          <cell r="B671" t="str">
            <v>Telha ondulada em CRFS (2,13x1,10m) de 6mm</v>
          </cell>
          <cell r="C671" t="str">
            <v>M2</v>
          </cell>
          <cell r="D671">
            <v>31.66</v>
          </cell>
        </row>
        <row r="672">
          <cell r="A672" t="str">
            <v>F.13.000.025551</v>
          </cell>
          <cell r="B672" t="str">
            <v>Cumeeira normal em CRFS, perfil Kalheta 44 (0,608m)</v>
          </cell>
          <cell r="C672" t="str">
            <v>UN</v>
          </cell>
          <cell r="D672">
            <v>40.94</v>
          </cell>
        </row>
        <row r="673">
          <cell r="A673" t="str">
            <v>F.13.000.025552</v>
          </cell>
          <cell r="B673" t="str">
            <v>Telha modulada (onda 50) em CRFS (2,30 x 0,605m)</v>
          </cell>
          <cell r="C673" t="str">
            <v>M2</v>
          </cell>
          <cell r="D673">
            <v>137.15</v>
          </cell>
        </row>
        <row r="674">
          <cell r="A674" t="str">
            <v>F.13.000.025555</v>
          </cell>
          <cell r="B674" t="str">
            <v>Cumeeira normal em CRFS, perfil modulada/onda 50(0,6m)</v>
          </cell>
          <cell r="C674" t="str">
            <v>UN</v>
          </cell>
          <cell r="D674">
            <v>67.459999999999994</v>
          </cell>
        </row>
        <row r="675">
          <cell r="A675" t="str">
            <v>F.13.000.025564</v>
          </cell>
          <cell r="B675" t="str">
            <v>Espigão normal CRFS perfil modulada/onda 50(1,22m)</v>
          </cell>
          <cell r="C675" t="str">
            <v>UN</v>
          </cell>
          <cell r="D675">
            <v>100.85</v>
          </cell>
        </row>
        <row r="676">
          <cell r="A676" t="str">
            <v>F.13.000.026001</v>
          </cell>
          <cell r="B676" t="str">
            <v>Espigão universal em CRFS perfil ondulado (1,80m)</v>
          </cell>
          <cell r="C676" t="str">
            <v>UN</v>
          </cell>
          <cell r="D676">
            <v>61.31</v>
          </cell>
        </row>
        <row r="677">
          <cell r="A677" t="str">
            <v>F.14.000.025516</v>
          </cell>
          <cell r="B677" t="str">
            <v>Telha em chapa de aço galvalume pré-pintada, perfil trapezoidal, espessura de 0,50mm; ref. LR-40 da Perfilor, RT-40 da Regional, MBP-40 da Grupo MBP, GA-40 da Galvisteel, Santo André Distribuidora ou equivalente</v>
          </cell>
          <cell r="C677" t="str">
            <v>M2</v>
          </cell>
          <cell r="D677">
            <v>69.61</v>
          </cell>
        </row>
        <row r="678">
          <cell r="A678" t="str">
            <v>F.14.000.025529</v>
          </cell>
          <cell r="B678" t="str">
            <v>Cumeeira em chapa de aço galvalume pré-pintada, perfil trapezoidal, espessura de 0,50mm; ref. LR-40 da Perfilor, RT-40 da Regional, MBP-40 do Grupo MBP ou equivalente</v>
          </cell>
          <cell r="C678" t="str">
            <v>M</v>
          </cell>
          <cell r="D678">
            <v>61.82</v>
          </cell>
        </row>
        <row r="679">
          <cell r="A679" t="str">
            <v>F.14.000.025531</v>
          </cell>
          <cell r="B679" t="str">
            <v>Cumeeira em chapa de aço galvalume pré-pintada, perfil ondulado, espessura de 0,50mm; ref. LR-17 da Perfilor, RT-17 da Regional, MBP-17,5 do Grupo MBP, GA-17 da Galvisteel ou equivalente</v>
          </cell>
          <cell r="C679" t="str">
            <v>M</v>
          </cell>
          <cell r="D679">
            <v>61.56</v>
          </cell>
        </row>
        <row r="680">
          <cell r="A680" t="str">
            <v>F.14.000.025532</v>
          </cell>
          <cell r="B680" t="str">
            <v>Telha em chapa de aço galvanizado, grau B, 260g/m², perfil trapezoidal, esp.0,80mm, h=120mm, autoportante; ref. A120 da Santo André Distribuidora ou equivalente</v>
          </cell>
          <cell r="C680" t="str">
            <v>M2</v>
          </cell>
          <cell r="D680">
            <v>94.42</v>
          </cell>
        </row>
        <row r="681">
          <cell r="A681" t="str">
            <v>F.14.000.025563</v>
          </cell>
          <cell r="B681" t="str">
            <v>Telha sanduíche chapa de aço galvalume, pré-pintada, perfil trapezoidal, esp. 0,50mm, miolo poliestireno expandido classe F2, espessura de 30mm; ref. Regional classe.F, Grupo MBP, Galvisteel, Santo André Distribuidora ou equivalente</v>
          </cell>
          <cell r="C681" t="str">
            <v>M2</v>
          </cell>
          <cell r="D681">
            <v>116.22</v>
          </cell>
        </row>
        <row r="682">
          <cell r="A682" t="str">
            <v>F.14.000.025576</v>
          </cell>
          <cell r="B682" t="str">
            <v>Telha em chapa de aço galvalume pré-pintada, perfil trapezoidal, espessura de 0,80mm; ref. LR-100N da Perfilor, RT-100 da Regional, MBP-100 da Grupo MBP, GA-100 da Galvisteel ou equivalente</v>
          </cell>
          <cell r="C682" t="str">
            <v>M2</v>
          </cell>
          <cell r="D682">
            <v>130.37</v>
          </cell>
        </row>
        <row r="683">
          <cell r="A683" t="str">
            <v>F.14.000.025580</v>
          </cell>
          <cell r="B683" t="str">
            <v>Telha em chapa de aço galvalume pré-pintada, perfil ondulado, espessura de 0,50mm; ref. LR-17 da Perfilor, RT-17 da Regional, MBP-17,5 da grupo MBP, GA-17 da Galvisteel, OND-17 da Santo André distribuidora ou equivalente</v>
          </cell>
          <cell r="C683" t="str">
            <v>M2</v>
          </cell>
          <cell r="D683">
            <v>70.12</v>
          </cell>
        </row>
        <row r="684">
          <cell r="A684" t="str">
            <v>F.14.000.025581</v>
          </cell>
          <cell r="B684" t="str">
            <v>Telha em chapa de aço galvalume pré-pintada, perfil ondulado, espessura de 0,80mm; ref. LR-17 Calandrada da Perfilor, RT 17 calandrada da Grupo MBP, OND-17 da Santo André Distribuidora ou equivalente</v>
          </cell>
          <cell r="C684" t="str">
            <v>M2</v>
          </cell>
          <cell r="D684">
            <v>138.4</v>
          </cell>
        </row>
        <row r="685">
          <cell r="A685" t="str">
            <v>F.14.000.068001</v>
          </cell>
          <cell r="B685" t="str">
            <v>Calha em chapa galvanizada 26 desenvolvimento 0,33 m</v>
          </cell>
          <cell r="C685" t="str">
            <v>M</v>
          </cell>
          <cell r="D685">
            <v>33.130000000000003</v>
          </cell>
        </row>
        <row r="686">
          <cell r="A686" t="str">
            <v>F.14.000.068002</v>
          </cell>
          <cell r="B686" t="str">
            <v>Calha em chapa galvanizada 26 desenvolvimento 0,50 m</v>
          </cell>
          <cell r="C686" t="str">
            <v>M</v>
          </cell>
          <cell r="D686">
            <v>48.97</v>
          </cell>
        </row>
        <row r="687">
          <cell r="A687" t="str">
            <v>F.14.000.068025</v>
          </cell>
          <cell r="B687" t="str">
            <v>Calha em chapa galvanizada 24 desenvolvimento 0,33 m</v>
          </cell>
          <cell r="C687" t="str">
            <v>M</v>
          </cell>
          <cell r="D687">
            <v>45.38</v>
          </cell>
        </row>
        <row r="688">
          <cell r="A688" t="str">
            <v>F.14.000.068026</v>
          </cell>
          <cell r="B688" t="str">
            <v>Calha em chapa galvanizada 24 desenvolvimento 0,50 m</v>
          </cell>
          <cell r="C688" t="str">
            <v>M</v>
          </cell>
          <cell r="D688">
            <v>68.63</v>
          </cell>
        </row>
        <row r="689">
          <cell r="A689" t="str">
            <v>F.14.000.068027</v>
          </cell>
          <cell r="B689" t="str">
            <v>Calha em chapa galvanizada 24 desenvolvimento 1,00 m</v>
          </cell>
          <cell r="C689" t="str">
            <v>M</v>
          </cell>
          <cell r="D689">
            <v>126.62</v>
          </cell>
        </row>
        <row r="690">
          <cell r="A690" t="str">
            <v>F.14.000.092046</v>
          </cell>
          <cell r="B690" t="str">
            <v>Telha sanduíche chapa de aço galvalume pré-pintada, perfil trapezoidal, h= 25mm para face inferior e superior, esp. 0,50mm, miolo lã de rocha FRS 32 de 50mm, para montar; ref. Perfilor, Grupo MBP, Santo André Distribuidora ou equivalente</v>
          </cell>
          <cell r="C690" t="str">
            <v>M2</v>
          </cell>
          <cell r="D690">
            <v>158.54</v>
          </cell>
        </row>
        <row r="691">
          <cell r="A691" t="str">
            <v>F.14.000.092047</v>
          </cell>
          <cell r="B691" t="str">
            <v>Telha sanduíche chapa de aço galvalume pré pintada, perfil trapezoidal, h= 40mm para face inferior e superior, esp. 0,50mm, miolo poliisocianurato (PIR), densidade mín. 30kg/m³ de 30mm, montada; ref. Perfilor, Regional, GrupMBP, Galvisteel ou equivalente</v>
          </cell>
          <cell r="C691" t="str">
            <v>M2</v>
          </cell>
          <cell r="D691">
            <v>170.48</v>
          </cell>
        </row>
        <row r="692">
          <cell r="A692" t="str">
            <v>G.01.000.022500</v>
          </cell>
          <cell r="B692" t="str">
            <v>Elemento vazado em cerâmica, tipo quadriculado de 18x18x7cm</v>
          </cell>
          <cell r="C692" t="str">
            <v>UN</v>
          </cell>
          <cell r="D692">
            <v>5.0599999999999996</v>
          </cell>
        </row>
        <row r="693">
          <cell r="A693" t="str">
            <v>G.01.000.022514</v>
          </cell>
          <cell r="B693" t="str">
            <v>Tijolo especial maciço para alvenaria a vista</v>
          </cell>
          <cell r="C693" t="str">
            <v>UN</v>
          </cell>
          <cell r="D693">
            <v>1.57</v>
          </cell>
        </row>
        <row r="694">
          <cell r="A694" t="str">
            <v>G.01.000.022515</v>
          </cell>
          <cell r="B694" t="str">
            <v>Tijolo comum maciço</v>
          </cell>
          <cell r="C694" t="str">
            <v>UN</v>
          </cell>
          <cell r="D694">
            <v>0.69</v>
          </cell>
        </row>
        <row r="695">
          <cell r="A695" t="str">
            <v>G.01.000.022516</v>
          </cell>
          <cell r="B695" t="str">
            <v>Tijolo cerâmico furado "baianinho" de 10 x 19 x 19 cm</v>
          </cell>
          <cell r="C695" t="str">
            <v>UN</v>
          </cell>
          <cell r="D695">
            <v>1.31</v>
          </cell>
        </row>
        <row r="696">
          <cell r="A696" t="str">
            <v>G.01.000.022536</v>
          </cell>
          <cell r="B696" t="str">
            <v>Tijolo laminado 5,5 x 11 x 23,5 cm</v>
          </cell>
          <cell r="C696" t="str">
            <v>UN</v>
          </cell>
          <cell r="D696">
            <v>3.95</v>
          </cell>
        </row>
        <row r="697">
          <cell r="A697" t="str">
            <v>G.01.000.022541</v>
          </cell>
          <cell r="B697" t="str">
            <v>Bloco cerâmico para vedação 9 x 19 x 39 cm</v>
          </cell>
          <cell r="C697" t="str">
            <v>UN</v>
          </cell>
          <cell r="D697">
            <v>2.86</v>
          </cell>
        </row>
        <row r="698">
          <cell r="A698" t="str">
            <v>G.01.000.022542</v>
          </cell>
          <cell r="B698" t="str">
            <v>Bloco cerâmico para vedação 14 x 19 x 39 cm</v>
          </cell>
          <cell r="C698" t="str">
            <v>UN</v>
          </cell>
          <cell r="D698">
            <v>3.27</v>
          </cell>
        </row>
        <row r="699">
          <cell r="A699" t="str">
            <v>G.01.000.022543</v>
          </cell>
          <cell r="B699" t="str">
            <v>Bloco cerâmico para vedação 19 x 19 x 39 cm</v>
          </cell>
          <cell r="C699" t="str">
            <v>UN</v>
          </cell>
          <cell r="D699">
            <v>4</v>
          </cell>
        </row>
        <row r="700">
          <cell r="A700" t="str">
            <v>G.01.000.022544</v>
          </cell>
          <cell r="B700" t="str">
            <v>Bloco cerâmico estrutural 14 x 19 x 39 cm</v>
          </cell>
          <cell r="C700" t="str">
            <v>UN</v>
          </cell>
          <cell r="D700">
            <v>3.22</v>
          </cell>
        </row>
        <row r="701">
          <cell r="A701" t="str">
            <v>G.01.000.022545</v>
          </cell>
          <cell r="B701" t="str">
            <v>Bloco cerâmico estrutural 19 x 19 x 39 cm</v>
          </cell>
          <cell r="C701" t="str">
            <v>UN</v>
          </cell>
          <cell r="D701">
            <v>4.2699999999999996</v>
          </cell>
        </row>
        <row r="702">
          <cell r="A702" t="str">
            <v>G.01.000.025501</v>
          </cell>
          <cell r="B702" t="str">
            <v>Telha de barro tipo francesa</v>
          </cell>
          <cell r="C702" t="str">
            <v>UN</v>
          </cell>
          <cell r="D702">
            <v>3.92</v>
          </cell>
        </row>
        <row r="703">
          <cell r="A703" t="str">
            <v>G.01.000.025508</v>
          </cell>
          <cell r="B703" t="str">
            <v>Telha de barro tipo plan</v>
          </cell>
          <cell r="C703" t="str">
            <v>UN</v>
          </cell>
          <cell r="D703">
            <v>3.89</v>
          </cell>
        </row>
        <row r="704">
          <cell r="A704" t="str">
            <v>G.01.000.025533</v>
          </cell>
          <cell r="B704" t="str">
            <v>Telha de barro tipo italiana</v>
          </cell>
          <cell r="C704" t="str">
            <v>UN</v>
          </cell>
          <cell r="D704">
            <v>2.9</v>
          </cell>
        </row>
        <row r="705">
          <cell r="A705" t="str">
            <v>G.01.000.025536</v>
          </cell>
          <cell r="B705" t="str">
            <v>Telha de barro tipo romana</v>
          </cell>
          <cell r="C705" t="str">
            <v>UN</v>
          </cell>
          <cell r="D705">
            <v>2.21</v>
          </cell>
        </row>
        <row r="706">
          <cell r="A706" t="str">
            <v>G.01.000.025537</v>
          </cell>
          <cell r="B706" t="str">
            <v>Cumeeira para telhas tipo universal</v>
          </cell>
          <cell r="C706" t="str">
            <v>UN</v>
          </cell>
          <cell r="D706">
            <v>3.75</v>
          </cell>
        </row>
        <row r="707">
          <cell r="A707" t="str">
            <v>G.01.000.025639</v>
          </cell>
          <cell r="B707" t="str">
            <v>Final de espigão de barro - (terminal de cumeeira)</v>
          </cell>
          <cell r="C707" t="str">
            <v>UN</v>
          </cell>
          <cell r="D707">
            <v>41.79</v>
          </cell>
        </row>
        <row r="708">
          <cell r="A708" t="str">
            <v>G.01.000.026042</v>
          </cell>
          <cell r="B708" t="str">
            <v>Telhas cerâmica, tipo colonial paulista (capa e canal)</v>
          </cell>
          <cell r="C708" t="str">
            <v>UN</v>
          </cell>
          <cell r="D708">
            <v>3.27</v>
          </cell>
        </row>
        <row r="709">
          <cell r="A709" t="str">
            <v>G.02.000.022584</v>
          </cell>
          <cell r="B709" t="str">
            <v>Pastilha de porcelana, esmaltada ou natural, para uso em paredes e fachadas internas/externas, formato 2,5x5 cm, diversas cores; referência M6249 Cerâmica Atlas ou equivalente</v>
          </cell>
          <cell r="C709" t="str">
            <v>M2</v>
          </cell>
          <cell r="D709">
            <v>240.67</v>
          </cell>
        </row>
        <row r="710">
          <cell r="A710" t="str">
            <v>G.02.000.022585</v>
          </cell>
          <cell r="B710" t="str">
            <v>Placa cerâmica extrudada para uso vertical (paredes e fachadas), com garras cônicas, espessura entre 9 e 10 mm, ref. linha Natural da Gail, linha Piscina e Cor e linha Industrial Premium da Cerâmica São Luiz ou equivalente</v>
          </cell>
          <cell r="C710" t="str">
            <v>M2</v>
          </cell>
          <cell r="D710">
            <v>113.81</v>
          </cell>
        </row>
        <row r="711">
          <cell r="A711" t="str">
            <v>G.02.000.023000</v>
          </cell>
          <cell r="B711" t="str">
            <v>Ladrilho hidráulico antiderrapante, tipo rampa, várias cores, de 30x30cm; ref. Ivaí, Mosaico Amazonas ou equivalente</v>
          </cell>
          <cell r="C711" t="str">
            <v>M2</v>
          </cell>
          <cell r="D711">
            <v>94.42</v>
          </cell>
        </row>
        <row r="712">
          <cell r="A712" t="str">
            <v>G.02.000.023001</v>
          </cell>
          <cell r="B712" t="str">
            <v>Porcelanato esmaltado tipo antiderrapante, indicado para áreas externas, grupo de absorção BIa; referência comercial Eliane, Itagres, Elizabeth, Cecrisa ou equivalente</v>
          </cell>
          <cell r="C712" t="str">
            <v>M2</v>
          </cell>
          <cell r="D712">
            <v>80.12</v>
          </cell>
        </row>
        <row r="713">
          <cell r="A713" t="str">
            <v>G.02.000.023003</v>
          </cell>
          <cell r="B713" t="str">
            <v>Porcelanato esmaltado polido, com acabamento retificado, indicado para áreas internas e ambientes com tráfego médio, grupo de absorção BIa; referência comercial Eliane, Cecrisa-Portinari ou equivalente</v>
          </cell>
          <cell r="C713" t="str">
            <v>M2</v>
          </cell>
          <cell r="D713">
            <v>124.64</v>
          </cell>
        </row>
        <row r="714">
          <cell r="A714" t="str">
            <v>G.02.000.023005</v>
          </cell>
          <cell r="B714" t="str">
            <v>Placa cerâmica esmaltada para parede ou fachada, de 7,5x7,5cm, monocromática; ref. Guaíba OBD da Atlas, Prisma branco da Portobello ou equivalente</v>
          </cell>
          <cell r="C714" t="str">
            <v>M2</v>
          </cell>
          <cell r="D714">
            <v>115.68</v>
          </cell>
        </row>
        <row r="715">
          <cell r="A715" t="str">
            <v>G.02.000.023006</v>
          </cell>
          <cell r="B715" t="str">
            <v>Placa cerâmica esmaltada para parede ou fachada, de 10x10 cm, monocromática, diversas cores; ref. linha esmaltado ou brilhante da Tecnogres, Ibérica White da Strufaldi ou equivalente</v>
          </cell>
          <cell r="C715" t="str">
            <v>M2</v>
          </cell>
          <cell r="D715">
            <v>95.97</v>
          </cell>
        </row>
        <row r="716">
          <cell r="A716" t="str">
            <v>G.02.000.023007</v>
          </cell>
          <cell r="B716" t="str">
            <v>Placa cerâmica esmaltada para parede, ambientes internos, tipo monoporosa; ref. linha Diamante da Eliane, branco acetinado da Artens ou equivalente</v>
          </cell>
          <cell r="C716" t="str">
            <v>M2</v>
          </cell>
          <cell r="D716">
            <v>73.069999999999993</v>
          </cell>
        </row>
        <row r="717">
          <cell r="A717" t="str">
            <v>G.02.000.023008</v>
          </cell>
          <cell r="B717" t="str">
            <v>Placa cerâmica esmaltada para parede, de 15x15cm, tipo monocolor, diversas cores; ref. White/azul da Geral, bold cobalto/branco da Pierini ou equivalente</v>
          </cell>
          <cell r="C717" t="str">
            <v>M2</v>
          </cell>
          <cell r="D717">
            <v>61.89</v>
          </cell>
        </row>
        <row r="718">
          <cell r="A718" t="str">
            <v>G.02.000.023009</v>
          </cell>
          <cell r="B718" t="str">
            <v>Placa cerâmica esmaltada para parede, de 20x20cm, tipo monocolor, diversas cores, borda bold, grupo BIIa; ref. Branco liso/Quarter da Pierini, Eliane ou equivalente</v>
          </cell>
          <cell r="C718" t="str">
            <v>M2</v>
          </cell>
          <cell r="D718">
            <v>74.97</v>
          </cell>
        </row>
        <row r="719">
          <cell r="A719" t="str">
            <v>G.02.000.023017</v>
          </cell>
          <cell r="B719" t="str">
            <v>Placa cerâmica extrudada resistente a altas temperaturas, para pisos indústrias e cozinhas profissionais, alta resistência química e mecânica, espessura mínima 13 mm; ref. Gail, Cerâmica São Luiz ou equivalente</v>
          </cell>
          <cell r="C719" t="str">
            <v>M2</v>
          </cell>
          <cell r="D719">
            <v>124.48</v>
          </cell>
        </row>
        <row r="720">
          <cell r="A720" t="str">
            <v>G.02.000.023018</v>
          </cell>
          <cell r="B720" t="str">
            <v>Rodapé em placa cerâmica extrudada, resistente a altas temperaturas, para pisos industriais e cozinhas profissionais, alta resistência química e mecânica, altura de 10 cm; ref. Gail, Cerâmica São Luiz ou equivalente</v>
          </cell>
          <cell r="C720" t="str">
            <v>M</v>
          </cell>
          <cell r="D720">
            <v>39.24</v>
          </cell>
        </row>
        <row r="721">
          <cell r="A721" t="str">
            <v>G.02.000.032004</v>
          </cell>
          <cell r="B721" t="str">
            <v>Ladrilho hidráulico para portadores de deficiência física/visual, várias cores; ref. Mosaicos Amazonas, Pisos Paulista, Mosaicos Bernardi ou equivalente</v>
          </cell>
          <cell r="C721" t="str">
            <v>M2</v>
          </cell>
          <cell r="D721">
            <v>127.28</v>
          </cell>
        </row>
        <row r="722">
          <cell r="A722" t="str">
            <v>G.02.000.032009</v>
          </cell>
          <cell r="B722" t="str">
            <v>Ladrilho hidráulico para portadores de deficiência física/visual 25x25x2,5cm; ref. Mosaicos Amazonas, Pisos Paulista, Mosaicos Bernardi ou equivalente</v>
          </cell>
          <cell r="C722" t="str">
            <v>M2</v>
          </cell>
          <cell r="D722">
            <v>86.87</v>
          </cell>
        </row>
        <row r="723">
          <cell r="A723" t="str">
            <v>G.02.000.034499</v>
          </cell>
          <cell r="B723" t="str">
            <v>Placa cerâmica extrudada para piso industrial, de alta resistência química e mecânica, nas dimensões 300 x 300 x 9 mm; referência Gail ou equivalente</v>
          </cell>
          <cell r="C723" t="str">
            <v>M2</v>
          </cell>
          <cell r="D723">
            <v>167.94</v>
          </cell>
        </row>
        <row r="724">
          <cell r="A724" t="str">
            <v>G.02.000.034523</v>
          </cell>
          <cell r="B724" t="str">
            <v>Placa cerâmica esmaltada antiderrapante, área interna com saída para o exterior, grupo de absorção BIIa, classe de abrasão PEI-5, resistência química A; ref. Biancogres, Incepa, Elizabeth ou equivalente</v>
          </cell>
          <cell r="C724" t="str">
            <v>M2</v>
          </cell>
          <cell r="D724">
            <v>98.52</v>
          </cell>
        </row>
        <row r="725">
          <cell r="A725" t="str">
            <v>G.02.000.034525</v>
          </cell>
          <cell r="B725" t="str">
            <v>Placa cerâmica esmaltada para área interna, grupo de absorção BIIb, classe de abrasão PEI-5, resistência química B; ref. Neve/Malta/Bariloche da Formigres, Rotocolor da Angra, Navona da Savane ou equivalente</v>
          </cell>
          <cell r="C725" t="str">
            <v>M2</v>
          </cell>
          <cell r="D725">
            <v>27.49</v>
          </cell>
        </row>
        <row r="726">
          <cell r="A726" t="str">
            <v>G.02.000.034532</v>
          </cell>
          <cell r="B726" t="str">
            <v>Placa cerâmica esmaltada tipo rústica para área interna com saída para o exterior, grupo de absorção BIIb, classe de abrasão PEI-5, resistência química B; ref. Enduro/HD/Tróia da Fornigres ou equivalente</v>
          </cell>
          <cell r="C726" t="str">
            <v>M2</v>
          </cell>
          <cell r="D726">
            <v>25.16</v>
          </cell>
        </row>
        <row r="727">
          <cell r="A727" t="str">
            <v>G.02.000.034534</v>
          </cell>
          <cell r="B727" t="str">
            <v>Pastilha de porcelana, esmaltada ou natural, para uso em paredes e fachadas internas/externas, formato 5x5 cm, diversas cores, ref. comercial  linhas Metalo B2140 da Cerâmica Atlas ou equivalente</v>
          </cell>
          <cell r="C727" t="str">
            <v>M2</v>
          </cell>
          <cell r="D727">
            <v>144.80000000000001</v>
          </cell>
        </row>
        <row r="728">
          <cell r="A728" t="str">
            <v>G.02.000.034535</v>
          </cell>
          <cell r="B728" t="str">
            <v>Pastilha de porcelana, esmaltada ou natural, para uso em paredes e fachadas internas/externas, formato 2,5x2,5 cm, diversas cores, ref. M6249 / SR8306 / SG8424 / SG8443 da Cerâmica Atlas ou equivalente</v>
          </cell>
          <cell r="C728" t="str">
            <v>M2</v>
          </cell>
          <cell r="D728">
            <v>145.91999999999999</v>
          </cell>
        </row>
        <row r="729">
          <cell r="A729" t="str">
            <v>G.02.000.034536</v>
          </cell>
          <cell r="B729" t="str">
            <v>Placa cerâmica extrudada para piso industrial, de alta resistência química e mecânica, com espessura de 9 a 10 mm; ref. Gail, Cerâmica São Luiz ou equivalente</v>
          </cell>
          <cell r="C729" t="str">
            <v>M2</v>
          </cell>
          <cell r="D729">
            <v>107.1</v>
          </cell>
        </row>
        <row r="730">
          <cell r="A730" t="str">
            <v>G.02.000.034537</v>
          </cell>
          <cell r="B730" t="str">
            <v>Placa cerâmica extrudada para piso industrial, de alta resistência química e mecânica, com espessura de 13 a 14 mm; ref. Gail, Cerâmica São Luiz ou equivalente</v>
          </cell>
          <cell r="C730" t="str">
            <v>M2</v>
          </cell>
          <cell r="D730">
            <v>124.48</v>
          </cell>
        </row>
        <row r="731">
          <cell r="A731" t="str">
            <v>G.02.000.034538</v>
          </cell>
          <cell r="B731" t="str">
            <v>Rodapé em placa cerâmica extrudada para piso industrial, de alta resistência química e mecânica, com altura de 10 cm, topo boleado; ref. Gail, Cerâmica São Luiz ou equivalente</v>
          </cell>
          <cell r="C731" t="str">
            <v>M</v>
          </cell>
          <cell r="D731">
            <v>38.22</v>
          </cell>
        </row>
        <row r="732">
          <cell r="A732" t="str">
            <v>G.02.000.034545</v>
          </cell>
          <cell r="B732" t="str">
            <v>Placa cerâmica esmaltada PEI-4 para área interna com saída para o exterior, grupo de absorção BIIb; ref. Classic Avelã da Savane, Artens ou equivalente</v>
          </cell>
          <cell r="C732" t="str">
            <v>M2</v>
          </cell>
          <cell r="D732">
            <v>29.71</v>
          </cell>
        </row>
        <row r="733">
          <cell r="A733" t="str">
            <v>G.02.000.034583</v>
          </cell>
          <cell r="B733" t="str">
            <v>Porcelanato técnico não esmaltado tipo antiderrapante, com acabamento retificado, resistente ao escorregamento, indicado para ambientes externos, grupo de absorção BIa, ref. comercial Eliane, Elizabeth, Portinari ou equivalente</v>
          </cell>
          <cell r="C733" t="str">
            <v>M2</v>
          </cell>
          <cell r="D733">
            <v>120.49</v>
          </cell>
        </row>
        <row r="734">
          <cell r="A734" t="str">
            <v>G.02.000.034585</v>
          </cell>
          <cell r="B734" t="str">
            <v>Porcelanato esmaltado tipo acetinado, indicado para áreas internas e ambientes com acesso ao exterior, com acabamento tradicional, grupo de absorção BIa; ref. comercial Eliane, Elizabeth, Cecrisa-Portinari ou equivalente</v>
          </cell>
          <cell r="C734" t="str">
            <v>M2</v>
          </cell>
          <cell r="D734">
            <v>86.39</v>
          </cell>
        </row>
        <row r="735">
          <cell r="A735" t="str">
            <v>G.02.000.034590</v>
          </cell>
          <cell r="B735" t="str">
            <v>Porcelanato técnico natural, com acabamento retificado, indicado para áreas internas e ambientes com acesso ao exterior, grupo de absorção BIa; ref. Eliane, Incepa ou equivalente</v>
          </cell>
          <cell r="C735" t="str">
            <v>M2</v>
          </cell>
          <cell r="D735">
            <v>121.16</v>
          </cell>
        </row>
        <row r="736">
          <cell r="A736" t="str">
            <v>G.02.000.034592</v>
          </cell>
          <cell r="B736" t="str">
            <v>Porcelanato técnico polido, indicado para ambientes internos e de médio tráfego, grupo de absorção BIa; referência comercial Eliane, Incepa, Cecrisa-Portinari ou equivalente</v>
          </cell>
          <cell r="C736" t="str">
            <v>M2</v>
          </cell>
          <cell r="D736">
            <v>167.77</v>
          </cell>
        </row>
        <row r="737">
          <cell r="A737" t="str">
            <v>H.01.000.021198</v>
          </cell>
          <cell r="B737" t="str">
            <v>Barra antipânico para porta dupla com travamentos horizontal e vertical completa, com maçaneta tipo alavanca e chave, para vãos de 1,40 a 1,60 m</v>
          </cell>
          <cell r="C737" t="str">
            <v>CJ</v>
          </cell>
          <cell r="D737">
            <v>1233.4100000000001</v>
          </cell>
        </row>
        <row r="738">
          <cell r="A738" t="str">
            <v>H.01.000.021199</v>
          </cell>
          <cell r="B738" t="str">
            <v>Barra antipânico para porta dupla com travamentos horizontal e vertical completa, com maçaneta tipo alavanca e chave, para vãos de 1,70 a 2,60 m</v>
          </cell>
          <cell r="C738" t="str">
            <v>CJ</v>
          </cell>
          <cell r="D738">
            <v>1323.94</v>
          </cell>
        </row>
        <row r="739">
          <cell r="A739" t="str">
            <v>H.01.000.021229</v>
          </cell>
          <cell r="B739" t="str">
            <v>Porta corta-fogo classe P.120 de 80 x 210 cm, chapa de aço, com uma folha de abrir, completa, sem barra antipânico</v>
          </cell>
          <cell r="C739" t="str">
            <v>UN</v>
          </cell>
          <cell r="D739">
            <v>2455.98</v>
          </cell>
        </row>
        <row r="740">
          <cell r="A740" t="str">
            <v>H.01.000.021234</v>
          </cell>
          <cell r="B740" t="str">
            <v>Porta corta-fogo classe P.90, em aço galvanizada, com barra antipânico numa face e maçaneta na outra, completa; ref. Authentic ou equivalente</v>
          </cell>
          <cell r="C740" t="str">
            <v>M2</v>
          </cell>
          <cell r="D740">
            <v>1141.54</v>
          </cell>
        </row>
        <row r="741">
          <cell r="A741" t="str">
            <v>H.01.000.021403</v>
          </cell>
          <cell r="B741" t="str">
            <v>Porta corta-fogo classe P.120 de 90 x 210 cm, chapa de aço, com uma folha de abrir, completa, sem barra anti-pânico</v>
          </cell>
          <cell r="C741" t="str">
            <v>UN</v>
          </cell>
          <cell r="D741">
            <v>2450.11</v>
          </cell>
        </row>
        <row r="742">
          <cell r="A742" t="str">
            <v>H.01.000.031213</v>
          </cell>
          <cell r="B742" t="str">
            <v>Porta corta-fogo classe P.90 de 90 x 210 cm, completa, com maçaneta tipo alavanca e batentes (NBR 11742)</v>
          </cell>
          <cell r="C742" t="str">
            <v>UN</v>
          </cell>
          <cell r="D742">
            <v>1400.49</v>
          </cell>
        </row>
        <row r="743">
          <cell r="A743" t="str">
            <v>H.01.000.031233</v>
          </cell>
          <cell r="B743" t="str">
            <v>Porta corta-fogo classe P.90 de 100 x 210 cm, completa, com maçaneta tipo alavanca e batentes (NBR 11742)</v>
          </cell>
          <cell r="C743" t="str">
            <v>UN</v>
          </cell>
          <cell r="D743">
            <v>1509.17</v>
          </cell>
        </row>
        <row r="744">
          <cell r="A744" t="str">
            <v>H.01.000.031674</v>
          </cell>
          <cell r="B744" t="str">
            <v>Barra antipânico de sobrepor, com maçaneta e chave, com travamento horizontal, para porta em vidro de 1 folha</v>
          </cell>
          <cell r="C744" t="str">
            <v>CJ</v>
          </cell>
          <cell r="D744">
            <v>472.59</v>
          </cell>
        </row>
        <row r="745">
          <cell r="A745" t="str">
            <v>H.01.000.031919</v>
          </cell>
          <cell r="B745" t="str">
            <v>Barra antipânico de sobrepor, com maçaneta e chave, com travamento vertical, para porta em vidro de 2 folhas</v>
          </cell>
          <cell r="C745" t="str">
            <v>CJ</v>
          </cell>
          <cell r="D745">
            <v>1196.93</v>
          </cell>
        </row>
        <row r="746">
          <cell r="A746" t="str">
            <v>H.02.000.030107</v>
          </cell>
          <cell r="B746" t="str">
            <v>Folha de porta veneziana maciça sob medida</v>
          </cell>
          <cell r="C746" t="str">
            <v>M2</v>
          </cell>
          <cell r="D746">
            <v>1201.98</v>
          </cell>
        </row>
        <row r="747">
          <cell r="A747" t="str">
            <v>H.02.000.065547</v>
          </cell>
          <cell r="B747" t="str">
            <v>Armário sob medida compensado, revestido folheado madeira (mogno, freijó, imbuia, marfim, cerejeira) dobradiça em aço, puxadores, trinco com chave profundidade até 50cm</v>
          </cell>
          <cell r="C747" t="str">
            <v>M2</v>
          </cell>
          <cell r="D747">
            <v>2179.79</v>
          </cell>
        </row>
        <row r="748">
          <cell r="A748" t="str">
            <v>H.02.000.065548</v>
          </cell>
          <cell r="B748" t="str">
            <v>Armário sob medida compensado, revestido laminado melamínico texturizado, várias cores (post forming) dobradiça em aço, puxadores, trinco com chave, profundidade até 50 cm</v>
          </cell>
          <cell r="C748" t="str">
            <v>M2</v>
          </cell>
          <cell r="D748">
            <v>2031.33</v>
          </cell>
        </row>
        <row r="749">
          <cell r="A749" t="str">
            <v>H.02.000.090738</v>
          </cell>
          <cell r="B749" t="str">
            <v>Folha de porta em madeira para receber vidro, com montantes em imbuia</v>
          </cell>
          <cell r="C749" t="str">
            <v>M2</v>
          </cell>
          <cell r="D749">
            <v>482.05</v>
          </cell>
        </row>
        <row r="750">
          <cell r="A750" t="str">
            <v>H.02.000.090741</v>
          </cell>
          <cell r="B750" t="str">
            <v>Caixilho de madeira maxim-ar</v>
          </cell>
          <cell r="C750" t="str">
            <v>M2</v>
          </cell>
          <cell r="D750">
            <v>1008.9</v>
          </cell>
        </row>
        <row r="751">
          <cell r="A751" t="str">
            <v>H.02.000.090797</v>
          </cell>
          <cell r="B751" t="str">
            <v>Instalação de visor (vidro branco de 3mm) de 20x30cm, em porta de madeira</v>
          </cell>
          <cell r="C751" t="str">
            <v>UN</v>
          </cell>
          <cell r="D751">
            <v>325.32</v>
          </cell>
        </row>
        <row r="752">
          <cell r="A752" t="str">
            <v>H.02.000.090798</v>
          </cell>
          <cell r="B752" t="str">
            <v>Prateleira sob medida em compensado, revestido nas 2 faces com laminado fenólico melamínico, e= 20 mm, L= 45 cm, C= 1,20 m - instalado</v>
          </cell>
          <cell r="C752" t="str">
            <v>M2</v>
          </cell>
          <cell r="D752">
            <v>649.53</v>
          </cell>
        </row>
        <row r="753">
          <cell r="A753" t="str">
            <v>H.02.000.090801</v>
          </cell>
          <cell r="B753" t="str">
            <v>Armário tipo prateleira revestido em laminado fenólico melamínico, espessura 20mm - instalado</v>
          </cell>
          <cell r="C753" t="str">
            <v>M2</v>
          </cell>
          <cell r="D753">
            <v>2302.7399999999998</v>
          </cell>
        </row>
        <row r="754">
          <cell r="A754" t="str">
            <v>H.02.000.090802</v>
          </cell>
          <cell r="B754" t="str">
            <v>Tampo compensado, espessura de 25 mm, largura de 60 cm, revestimento na face superior em laminado fenólico melamínico - instalado</v>
          </cell>
          <cell r="C754" t="str">
            <v>M</v>
          </cell>
          <cell r="D754">
            <v>539.39</v>
          </cell>
        </row>
        <row r="755">
          <cell r="A755" t="str">
            <v>H.02.000.090916</v>
          </cell>
          <cell r="B755" t="str">
            <v>Armário/gabinete embutido em MDF sob medida, revestido em laminado melamínico, com portas, prateleiras e ferragens - instalado</v>
          </cell>
          <cell r="C755" t="str">
            <v>M2</v>
          </cell>
          <cell r="D755">
            <v>2708.47</v>
          </cell>
        </row>
        <row r="756">
          <cell r="A756" t="str">
            <v>H.03.000.026208</v>
          </cell>
          <cell r="B756" t="str">
            <v>Chapa perfurada em aço SAE 1020, furos redondos de diâmetro 25mm, área aberta de 57%, espessura 1/4´ - inclusive sondagem</v>
          </cell>
          <cell r="C756" t="str">
            <v>M2</v>
          </cell>
          <cell r="D756">
            <v>750.11</v>
          </cell>
        </row>
        <row r="757">
          <cell r="A757" t="str">
            <v>H.03.000.027541</v>
          </cell>
          <cell r="B757" t="str">
            <v>Portão tipo basculante com contrapeso, em chapa metálica 14 calandrada, estruturado com perfis metálicos, uma folha, de 3,30 x 7,20 m, completo, sem motor</v>
          </cell>
          <cell r="C757" t="str">
            <v>M2</v>
          </cell>
          <cell r="D757">
            <v>1049.69</v>
          </cell>
        </row>
        <row r="758">
          <cell r="A758" t="str">
            <v>H.03.000.027618</v>
          </cell>
          <cell r="B758" t="str">
            <v>Porta de ferro acústica, espessura de 80mm, batente tripla vedação 185mm, com fechadura e maçaneta, pintura eletrostática cor a definir</v>
          </cell>
          <cell r="C758" t="str">
            <v>M2</v>
          </cell>
          <cell r="D758">
            <v>6753.73</v>
          </cell>
        </row>
        <row r="759">
          <cell r="A759" t="str">
            <v>H.03.000.030355</v>
          </cell>
          <cell r="B759" t="str">
            <v>Porta veneziana completa para abrigo em chapa</v>
          </cell>
          <cell r="C759" t="str">
            <v>M2</v>
          </cell>
          <cell r="D759">
            <v>1550.99</v>
          </cell>
        </row>
        <row r="760">
          <cell r="A760" t="str">
            <v>H.03.000.031045</v>
          </cell>
          <cell r="B760" t="str">
            <v>Porta ferro de abrir para receber vidro, sob medida</v>
          </cell>
          <cell r="C760" t="str">
            <v>M2</v>
          </cell>
          <cell r="D760">
            <v>964.71</v>
          </cell>
        </row>
        <row r="761">
          <cell r="A761" t="str">
            <v>H.03.000.031126</v>
          </cell>
          <cell r="B761" t="str">
            <v>Fechamento em chapa perfurada de 1,2mm, furos quadrados 4x4mm, com requadro cantoneira em aço carbono, sob medida</v>
          </cell>
          <cell r="C761" t="str">
            <v>M2</v>
          </cell>
          <cell r="D761">
            <v>1081.74</v>
          </cell>
        </row>
        <row r="762">
          <cell r="A762" t="str">
            <v>H.03.000.031205</v>
          </cell>
          <cell r="B762" t="str">
            <v>Veneziana de ferro com folhas fixas e de correr sem grade, com 6 folhas; referência comercial JVB 62.51.301-2/62.51.304-7 Belfort da Sasazaki ou equivalente - linha comercial</v>
          </cell>
          <cell r="C762" t="str">
            <v>M2</v>
          </cell>
          <cell r="D762">
            <v>376.54</v>
          </cell>
        </row>
        <row r="763">
          <cell r="A763" t="str">
            <v>H.03.000.031206</v>
          </cell>
          <cell r="B763" t="str">
            <v>Porta de ferro veneziana de abrir 217 x 87 cm, 1 folha, ref. Belfort da Sasazaki ou equivalente - linha comercial</v>
          </cell>
          <cell r="C763" t="str">
            <v>M2</v>
          </cell>
          <cell r="D763">
            <v>311.35000000000002</v>
          </cell>
        </row>
        <row r="764">
          <cell r="A764" t="str">
            <v>H.03.000.031222</v>
          </cell>
          <cell r="B764" t="str">
            <v>Porta em chapa n° 14 com batente</v>
          </cell>
          <cell r="C764" t="str">
            <v>M2</v>
          </cell>
          <cell r="D764">
            <v>940.21</v>
          </cell>
        </row>
        <row r="765">
          <cell r="A765" t="str">
            <v>H.03.000.031225</v>
          </cell>
          <cell r="B765" t="str">
            <v>Porta/portão correr em chapa cega dupla, sobmedida</v>
          </cell>
          <cell r="C765" t="str">
            <v>M2</v>
          </cell>
          <cell r="D765">
            <v>1263.72</v>
          </cell>
        </row>
        <row r="766">
          <cell r="A766" t="str">
            <v>H.03.000.031241</v>
          </cell>
          <cell r="B766" t="str">
            <v>Caixilho de correr em chapa de ferro dobrado, com subdivisão, sob medida</v>
          </cell>
          <cell r="C766" t="str">
            <v>M2</v>
          </cell>
          <cell r="D766">
            <v>905.74</v>
          </cell>
        </row>
        <row r="767">
          <cell r="A767" t="str">
            <v>H.03.000.031244</v>
          </cell>
          <cell r="B767" t="str">
            <v>Caixilho em ferro, tipo basculante, perfil em ´T´ e ´L´ com espessura de 1/8´, sob medida</v>
          </cell>
          <cell r="C767" t="str">
            <v>M2</v>
          </cell>
          <cell r="D767">
            <v>1495.01</v>
          </cell>
        </row>
        <row r="768">
          <cell r="A768" t="str">
            <v>H.03.000.031245</v>
          </cell>
          <cell r="B768" t="str">
            <v>Caixilho em perfis de chapa dobrada, com espessura de 1/8´, baguetes em chapa de aço 14, para fixação de vidros, sob medida</v>
          </cell>
          <cell r="C768" t="str">
            <v>M2</v>
          </cell>
          <cell r="D768">
            <v>536.62</v>
          </cell>
        </row>
        <row r="769">
          <cell r="A769" t="str">
            <v>H.03.000.031262</v>
          </cell>
          <cell r="B769" t="str">
            <v>Porta ferro de abrir para receber vidro, parte inferior chapeada sob medida</v>
          </cell>
          <cell r="C769" t="str">
            <v>M2</v>
          </cell>
          <cell r="D769">
            <v>816.78</v>
          </cell>
        </row>
        <row r="770">
          <cell r="A770" t="str">
            <v>H.03.000.031266</v>
          </cell>
          <cell r="B770" t="str">
            <v>Grade de proteção para caixilhos</v>
          </cell>
          <cell r="C770" t="str">
            <v>M2</v>
          </cell>
          <cell r="D770">
            <v>1466.99</v>
          </cell>
        </row>
        <row r="771">
          <cell r="A771" t="str">
            <v>H.03.000.031273</v>
          </cell>
          <cell r="B771" t="str">
            <v>Fechamento em chapa metálica expandida EXP-12D com requadro em cantoneira</v>
          </cell>
          <cell r="C771" t="str">
            <v>M2</v>
          </cell>
          <cell r="D771">
            <v>777.99</v>
          </cell>
        </row>
        <row r="772">
          <cell r="A772" t="str">
            <v>H.03.000.031274</v>
          </cell>
          <cell r="B772" t="str">
            <v>Grade de proteção em barra chata soldada 1 1/2´x1/4´, com requadro em chapa dobrada</v>
          </cell>
          <cell r="C772" t="str">
            <v>M2</v>
          </cell>
          <cell r="D772">
            <v>1705.02</v>
          </cell>
        </row>
        <row r="773">
          <cell r="A773" t="str">
            <v>H.03.000.031275</v>
          </cell>
          <cell r="B773" t="str">
            <v>Portinhola de correr em chapa de aço 1/4´, para "passa pacote", completa</v>
          </cell>
          <cell r="C773" t="str">
            <v>M2</v>
          </cell>
          <cell r="D773">
            <v>1949.92</v>
          </cell>
        </row>
        <row r="774">
          <cell r="A774" t="str">
            <v>H.03.000.031276</v>
          </cell>
          <cell r="B774" t="str">
            <v>Portinhola de abrir, dupla, em chapa de aço 10, para "passa pacote", completa sob medida</v>
          </cell>
          <cell r="C774" t="str">
            <v>M2</v>
          </cell>
          <cell r="D774">
            <v>1382.26</v>
          </cell>
        </row>
        <row r="775">
          <cell r="A775" t="str">
            <v>H.03.000.031284</v>
          </cell>
          <cell r="B775" t="str">
            <v>Grade média em aço carbono com espaçamento de 2cm, com barra chata 1´ x 3/8´</v>
          </cell>
          <cell r="C775" t="str">
            <v>M2</v>
          </cell>
          <cell r="D775">
            <v>3472.47</v>
          </cell>
        </row>
        <row r="776">
          <cell r="A776" t="str">
            <v>H.03.000.031296</v>
          </cell>
          <cell r="B776" t="str">
            <v>Portão tipo gradil 1 ou 2 folhas, com ou sem bandeira, sob medida</v>
          </cell>
          <cell r="C776" t="str">
            <v>M2</v>
          </cell>
          <cell r="D776">
            <v>858.82</v>
          </cell>
        </row>
        <row r="777">
          <cell r="A777" t="str">
            <v>H.03.000.031627</v>
          </cell>
          <cell r="B777" t="str">
            <v>Porta de abrir em chapa dupla 14 com visor, batente envolvente, completa</v>
          </cell>
          <cell r="C777" t="str">
            <v>M2</v>
          </cell>
          <cell r="D777">
            <v>1716.03</v>
          </cell>
        </row>
        <row r="778">
          <cell r="A778" t="str">
            <v>H.03.000.067564</v>
          </cell>
          <cell r="B778" t="str">
            <v>Grelha arvoreira em ferro fundido nodular</v>
          </cell>
          <cell r="C778" t="str">
            <v>M2</v>
          </cell>
          <cell r="D778">
            <v>1525.79</v>
          </cell>
        </row>
        <row r="779">
          <cell r="A779" t="str">
            <v>H.03.000.068037</v>
          </cell>
          <cell r="B779" t="str">
            <v>Fechamento em chapa de aço 14 MSG perfurada com diâmetro de 12,7 mm, com requadro em chapa dobrada</v>
          </cell>
          <cell r="C779" t="str">
            <v>M2</v>
          </cell>
          <cell r="D779">
            <v>987.57</v>
          </cell>
        </row>
        <row r="780">
          <cell r="A780" t="str">
            <v>H.03.000.090241</v>
          </cell>
          <cell r="B780" t="str">
            <v>Caixilho em ferro com ventilação permanente, perfil de ferro tipo ´T´ de 1´ x 1/8´ - sob medida</v>
          </cell>
          <cell r="C780" t="str">
            <v>M2</v>
          </cell>
          <cell r="D780">
            <v>603.54999999999995</v>
          </cell>
        </row>
        <row r="781">
          <cell r="A781" t="str">
            <v>H.03.000.090904</v>
          </cell>
          <cell r="B781" t="str">
            <v>Caixilho em ferro veneziana em perfis ´L´ e ´T´ com espessura de 1/8´ - sob medida</v>
          </cell>
          <cell r="C781" t="str">
            <v>M2</v>
          </cell>
          <cell r="D781">
            <v>803.87</v>
          </cell>
        </row>
        <row r="782">
          <cell r="A782" t="str">
            <v>H.03.000.090911</v>
          </cell>
          <cell r="B782" t="str">
            <v>Tela em aço galvanizado, malha ondulada artística de 1´, fio 12 com requadro de perfil de ferro em ´L´ de 1´ x 1´ x 1/8´ - (3,40 x 1,30 m)</v>
          </cell>
          <cell r="C782" t="str">
            <v>M2</v>
          </cell>
          <cell r="D782">
            <v>92.06</v>
          </cell>
        </row>
        <row r="783">
          <cell r="A783" t="str">
            <v>H.04.000.026223</v>
          </cell>
          <cell r="B783" t="str">
            <v>Portão de abrir 2 folhas, com tela ondulada galvanizada, malha 2´ e fio 10BWG, cantoneira 5/8x1/8, esquadro tubular de 100x50mm, aço SAE 1008/1010 galvanizado</v>
          </cell>
          <cell r="C783" t="str">
            <v>M2</v>
          </cell>
          <cell r="D783">
            <v>1406.04</v>
          </cell>
        </row>
        <row r="784">
          <cell r="A784" t="str">
            <v>H.04.000.026229</v>
          </cell>
          <cell r="B784" t="str">
            <v>Porta de enrolar automatizada, em chapa aço galvanizado 20 perfil articulada raiada, meia cana com micro perfurações, tipo transvision, inclusive coluna</v>
          </cell>
          <cell r="C784" t="str">
            <v>M2</v>
          </cell>
          <cell r="D784">
            <v>674.55</v>
          </cell>
        </row>
        <row r="785">
          <cell r="A785" t="str">
            <v>H.04.000.026233</v>
          </cell>
          <cell r="B785" t="str">
            <v>Guarda-corpo em tubo de aço galvanizado, diâmetro de 1 1/2´ para receber vidro</v>
          </cell>
          <cell r="C785" t="str">
            <v>M</v>
          </cell>
          <cell r="D785">
            <v>631.71</v>
          </cell>
        </row>
        <row r="786">
          <cell r="A786" t="str">
            <v>H.04.000.026666</v>
          </cell>
          <cell r="B786" t="str">
            <v>Tampa em chapa xadrez galvanizada a fogo antiderrapante, espessura 1/4´ 50kg/m² com cantoneira 1´ x 1´ x 1/8´</v>
          </cell>
          <cell r="C786" t="str">
            <v>M2</v>
          </cell>
          <cell r="D786">
            <v>1341.78</v>
          </cell>
        </row>
        <row r="787">
          <cell r="A787" t="str">
            <v>H.04.000.027501</v>
          </cell>
          <cell r="B787" t="str">
            <v>Alambrado em tela de aço galvanizado malha 2´, com montantes metálicos</v>
          </cell>
          <cell r="C787" t="str">
            <v>M2</v>
          </cell>
          <cell r="D787">
            <v>238.03</v>
          </cell>
        </row>
        <row r="788">
          <cell r="A788" t="str">
            <v>H.04.000.027517</v>
          </cell>
          <cell r="B788" t="str">
            <v>Alambrado de segurança em aço galvanizado malha 1´, fio 12BWG, com montantes verticais aço carbono SAE 1008/1010 e arame farpado, completo</v>
          </cell>
          <cell r="C788" t="str">
            <v>M2</v>
          </cell>
          <cell r="D788">
            <v>220.89</v>
          </cell>
        </row>
        <row r="789">
          <cell r="A789" t="str">
            <v>H.04.000.027524</v>
          </cell>
          <cell r="B789" t="str">
            <v>Caixilho fixo em tela galvanizada, revestida com poliamida, malha 10mm</v>
          </cell>
          <cell r="C789" t="str">
            <v>M2</v>
          </cell>
          <cell r="D789">
            <v>1093.77</v>
          </cell>
        </row>
        <row r="790">
          <cell r="A790" t="str">
            <v>H.04.000.027530</v>
          </cell>
          <cell r="B790" t="str">
            <v>Alambrado em tela de aço galvanizado malha 2´, montantes metálicos extremo superior duplo e arame farpado, acima de 4m de altura; ref. São Luiz ou Alambre ou equivalente - instalado</v>
          </cell>
          <cell r="C790" t="str">
            <v>M2</v>
          </cell>
          <cell r="D790">
            <v>330.25</v>
          </cell>
        </row>
        <row r="791">
          <cell r="A791" t="str">
            <v>H.04.000.031006</v>
          </cell>
          <cell r="B791" t="str">
            <v>Corrimão tubular em aço galvanizado, diâmetro de 1 1/2´</v>
          </cell>
          <cell r="C791" t="str">
            <v>M</v>
          </cell>
          <cell r="D791">
            <v>215.84</v>
          </cell>
        </row>
        <row r="792">
          <cell r="A792" t="str">
            <v>H.04.000.031007</v>
          </cell>
          <cell r="B792" t="str">
            <v>Corrimão tubular em aço galvanizado, diâmetro de 2´</v>
          </cell>
          <cell r="C792" t="str">
            <v>M</v>
          </cell>
          <cell r="D792">
            <v>256.11</v>
          </cell>
        </row>
        <row r="793">
          <cell r="A793" t="str">
            <v>H.04.000.031030</v>
          </cell>
          <cell r="B793" t="str">
            <v>Porta de enrolar manual em chapa de aço galvanizado 22 perfil articulada raiada, meia cana cega ou vazada</v>
          </cell>
          <cell r="C793" t="str">
            <v>M2</v>
          </cell>
          <cell r="D793">
            <v>288.86</v>
          </cell>
        </row>
        <row r="794">
          <cell r="A794" t="str">
            <v>H.04.000.031111</v>
          </cell>
          <cell r="B794" t="str">
            <v>Mão de obra especializada para instalação de veneziana industrial em aço galvanizado com aletas em resina reforçada de fibra de vidro</v>
          </cell>
          <cell r="C794" t="str">
            <v>M2</v>
          </cell>
          <cell r="D794">
            <v>45.53</v>
          </cell>
        </row>
        <row r="795">
          <cell r="A795" t="str">
            <v>H.04.000.031134</v>
          </cell>
          <cell r="B795" t="str">
            <v>Gradil rígido modular em aço 2" - H=1,10m, C=1,65m, padrão ET-SV-14 da CET-SP</v>
          </cell>
          <cell r="C795" t="str">
            <v>UN</v>
          </cell>
          <cell r="D795">
            <v>548.74</v>
          </cell>
        </row>
        <row r="796">
          <cell r="A796" t="str">
            <v>H.04.000.031224</v>
          </cell>
          <cell r="B796" t="str">
            <v>Porta/portão correr tela ondulada em aço galvanizado, sobmedida</v>
          </cell>
          <cell r="C796" t="str">
            <v>M2</v>
          </cell>
          <cell r="D796">
            <v>696.91</v>
          </cell>
        </row>
        <row r="797">
          <cell r="A797" t="str">
            <v>H.04.000.031249</v>
          </cell>
          <cell r="B797" t="str">
            <v>Porta em ferro galvanizado de correr, para vidro 2 folhas, completa, sob medida</v>
          </cell>
          <cell r="C797" t="str">
            <v>M2</v>
          </cell>
          <cell r="D797">
            <v>1373.78</v>
          </cell>
        </row>
        <row r="798">
          <cell r="A798" t="str">
            <v>H.04.000.031269</v>
          </cell>
          <cell r="B798" t="str">
            <v>Caixilho fixo em tela de aço galvanizada, tipo ondulada com malha 1/2´, fio 12, com requadro cantoneira de aço carbono, sob medida</v>
          </cell>
          <cell r="C798" t="str">
            <v>M2</v>
          </cell>
          <cell r="D798">
            <v>646.41</v>
          </cell>
        </row>
        <row r="799">
          <cell r="A799" t="str">
            <v>H.04.000.031270</v>
          </cell>
          <cell r="B799" t="str">
            <v>Caixilho removível em tela de aço galvanizada, tipo ondulada com malha 1´, fio 12, com requadro tubular de aço carbono de 2´, sob medida</v>
          </cell>
          <cell r="C799" t="str">
            <v>M2</v>
          </cell>
          <cell r="D799">
            <v>871.72</v>
          </cell>
        </row>
        <row r="800">
          <cell r="A800" t="str">
            <v>H.04.000.031272</v>
          </cell>
          <cell r="B800" t="str">
            <v>Porta de abrir em tela de aço galvanizado, ondulada de 1´ fio 12, sob medida</v>
          </cell>
          <cell r="C800" t="str">
            <v>M2</v>
          </cell>
          <cell r="D800">
            <v>1254.8</v>
          </cell>
        </row>
        <row r="801">
          <cell r="A801" t="str">
            <v>H.04.000.031282</v>
          </cell>
          <cell r="B801" t="str">
            <v>Caixilho para vidro á prova de bala em aço SAE1010/1020</v>
          </cell>
          <cell r="C801" t="str">
            <v>M2</v>
          </cell>
          <cell r="D801">
            <v>2132.5300000000002</v>
          </cell>
        </row>
        <row r="802">
          <cell r="A802" t="str">
            <v>H.04.000.031312</v>
          </cell>
          <cell r="B802" t="str">
            <v>Batente reto de chapa #16 dobrada em aço galvanizado</v>
          </cell>
          <cell r="C802" t="str">
            <v>M</v>
          </cell>
          <cell r="D802">
            <v>226.69</v>
          </cell>
        </row>
        <row r="803">
          <cell r="A803" t="str">
            <v>H.04.000.031352</v>
          </cell>
          <cell r="B803" t="str">
            <v>Guarda-corpo em tubo de aço galvanizado, diâmetro de 1 1/2´ com tela ondulada artística</v>
          </cell>
          <cell r="C803" t="str">
            <v>M</v>
          </cell>
          <cell r="D803">
            <v>801.66</v>
          </cell>
        </row>
        <row r="804">
          <cell r="A804" t="str">
            <v>H.04.000.031374</v>
          </cell>
          <cell r="B804" t="str">
            <v>Escada marinheiro galvanizada com guarda-corpo</v>
          </cell>
          <cell r="C804" t="str">
            <v>M</v>
          </cell>
          <cell r="D804">
            <v>1348.99</v>
          </cell>
        </row>
        <row r="805">
          <cell r="A805" t="str">
            <v>H.04.000.031375</v>
          </cell>
          <cell r="B805" t="str">
            <v>Escada marinheiro galvanizada</v>
          </cell>
          <cell r="C805" t="str">
            <v>M</v>
          </cell>
          <cell r="D805">
            <v>830.25</v>
          </cell>
        </row>
        <row r="806">
          <cell r="A806" t="str">
            <v>H.04.000.031390</v>
          </cell>
          <cell r="B806" t="str">
            <v>Tampa para alçapão em chapa de aço galvanizada de 14, com porta cadeado</v>
          </cell>
          <cell r="C806" t="str">
            <v>UN</v>
          </cell>
          <cell r="D806">
            <v>844.62</v>
          </cell>
        </row>
        <row r="807">
          <cell r="A807" t="str">
            <v>H.04.000.031395</v>
          </cell>
          <cell r="B807" t="str">
            <v>Portão 2 folhas tubular diâmetro 3´, com tela em aço galvanizado 2´, altura acima 3,0m, completo; ref. São Luiz, Alambre e Pruden Art ou equivalente</v>
          </cell>
          <cell r="C807" t="str">
            <v>M2</v>
          </cell>
          <cell r="D807">
            <v>821.52</v>
          </cell>
        </row>
        <row r="808">
          <cell r="A808" t="str">
            <v>H.04.000.031616</v>
          </cell>
          <cell r="B808" t="str">
            <v>Portão pivotante/abrir aço galvanizado de 65x132mm, pintura eletrostática, 1 folha, medida 2200x1000mm, dimensão 100x2100mm, incluso Pilares</v>
          </cell>
          <cell r="C808" t="str">
            <v>UN</v>
          </cell>
          <cell r="D808">
            <v>2497.19</v>
          </cell>
        </row>
        <row r="809">
          <cell r="A809" t="str">
            <v>H.04.000.031617</v>
          </cell>
          <cell r="B809" t="str">
            <v>Portão pivotante/abrir aço galvanizado de 65x132mm, pintura eletrostática, 2 folhas, medida 2200x3600mm, dimensão 1600x2100mm, incluso requadro e pilares</v>
          </cell>
          <cell r="C809" t="str">
            <v>UN</v>
          </cell>
          <cell r="D809">
            <v>6154.69</v>
          </cell>
        </row>
        <row r="810">
          <cell r="A810" t="str">
            <v>H.04.000.031618</v>
          </cell>
          <cell r="B810" t="str">
            <v>Gradil em aço galvanizado eletrofundido de 1718x1650mm e pintura eletrostática, 65x132mm e barra portante 25x2mm</v>
          </cell>
          <cell r="C810" t="str">
            <v>UN</v>
          </cell>
          <cell r="D810">
            <v>640.62</v>
          </cell>
        </row>
        <row r="811">
          <cell r="A811" t="str">
            <v>H.04.000.031619</v>
          </cell>
          <cell r="B811" t="str">
            <v>Montante para gradil em aço galvanizado eletrofundido, pintura eletrostática, chato, dimensões 2120 x 76 x 8 mm</v>
          </cell>
          <cell r="C811" t="str">
            <v>UN</v>
          </cell>
          <cell r="D811">
            <v>281.13</v>
          </cell>
        </row>
        <row r="812">
          <cell r="A812" t="str">
            <v>H.04.000.031621</v>
          </cell>
          <cell r="B812" t="str">
            <v>Portão deslizante/correr em aço galvanizado de 65x132mm, pintura eletrostática, inclusive requadros e pilares, dimensão 1600x2100mm</v>
          </cell>
          <cell r="C812" t="str">
            <v>UN</v>
          </cell>
          <cell r="D812">
            <v>3427.78</v>
          </cell>
        </row>
        <row r="813">
          <cell r="A813" t="str">
            <v>H.04.000.031633</v>
          </cell>
          <cell r="B813" t="str">
            <v>Porta de enrolar em chapa de aço galvanizado, perfil meia-cana Tansvizion de 22, automatizada, com controle remoto, pintura eletrostática - instalada</v>
          </cell>
          <cell r="C813" t="str">
            <v>M2</v>
          </cell>
          <cell r="D813">
            <v>682.96</v>
          </cell>
        </row>
        <row r="814">
          <cell r="A814" t="str">
            <v>H.04.000.091169</v>
          </cell>
          <cell r="B814" t="str">
            <v>Portão 1 ou 2 folhas tubular com tela de arame galvanizado, completo até 2,50m</v>
          </cell>
          <cell r="C814" t="str">
            <v>M2</v>
          </cell>
          <cell r="D814">
            <v>978.18</v>
          </cell>
        </row>
        <row r="815">
          <cell r="A815" t="str">
            <v>H.04.000.091170</v>
          </cell>
          <cell r="B815" t="str">
            <v>Alambrado de segurança em aço galvanizado malha 2´, fio 10, com montantes verticais em tubos de aço carbono SAE 1008/1010 e arame farpado completo</v>
          </cell>
          <cell r="C815" t="str">
            <v>M2</v>
          </cell>
          <cell r="D815">
            <v>238.41</v>
          </cell>
        </row>
        <row r="816">
          <cell r="A816" t="str">
            <v>H.04.000.091532</v>
          </cell>
          <cell r="B816" t="str">
            <v>Portão com 2 folhas, tubular em tela de aço galvanizado, para alambrado, com altura acima de 2,50m</v>
          </cell>
          <cell r="C816" t="str">
            <v>M2</v>
          </cell>
          <cell r="D816">
            <v>780.67</v>
          </cell>
        </row>
        <row r="817">
          <cell r="A817" t="str">
            <v>H.04.000.091533</v>
          </cell>
          <cell r="B817" t="str">
            <v>Alambrado de segurança em aço galvanizado malha 2´, com montantes verticais em tubos de aço carbono SAE 1008/1010 e arame farpado, acima de 4,00 m de altura</v>
          </cell>
          <cell r="C817" t="str">
            <v>M2</v>
          </cell>
          <cell r="D817">
            <v>248.96</v>
          </cell>
        </row>
        <row r="818">
          <cell r="A818" t="str">
            <v>H.04.000.092647</v>
          </cell>
          <cell r="B818" t="str">
            <v>Grade para forro eletrofundida em aço carbono SAE 1010/1020, malha 25x100mm, barra 25x2mm, galvanizado à fogo; ref. Metalgrade, Gradesteel, Arol Metálica, Metálica Design ou equivalente</v>
          </cell>
          <cell r="C818" t="str">
            <v>M2</v>
          </cell>
          <cell r="D818">
            <v>680.47</v>
          </cell>
        </row>
        <row r="819">
          <cell r="A819" t="str">
            <v>H.04.000.092773</v>
          </cell>
          <cell r="B819" t="str">
            <v>Grade para piso eletrofundida em aço carbono SAE 1010/1020 antiderrapante, galvanizado à fogo, malha 30x100mm, barra chata 40x2mm e redonda, diâmetro 5mm; ref. Metalgrade, Gradesteel, Arol Metálica, Metálica Design ou equivalente</v>
          </cell>
          <cell r="C819" t="str">
            <v>M2</v>
          </cell>
          <cell r="D819">
            <v>826.7</v>
          </cell>
        </row>
        <row r="820">
          <cell r="A820" t="str">
            <v>H.05.000.027629</v>
          </cell>
          <cell r="B820" t="str">
            <v>Caixilho em alumínio anodizado natural fixo, linha Cittá da Alcoa ou equivalente</v>
          </cell>
          <cell r="C820" t="str">
            <v>M2</v>
          </cell>
          <cell r="D820">
            <v>929.42</v>
          </cell>
        </row>
        <row r="821">
          <cell r="A821" t="str">
            <v>H.05.000.027630</v>
          </cell>
          <cell r="B821" t="str">
            <v>Caixilho em alumínio anodizado natural maxim-ar; ref. linha Cittá da Alcoa ou equivalente</v>
          </cell>
          <cell r="C821" t="str">
            <v>M2</v>
          </cell>
          <cell r="D821">
            <v>986.06</v>
          </cell>
        </row>
        <row r="822">
          <cell r="A822" t="str">
            <v>H.05.000.027631</v>
          </cell>
          <cell r="B822" t="str">
            <v>Caixilho em alumínio anodizado natural para pele de vidro; ref. linha Cittá da Alcoa ou equivalente</v>
          </cell>
          <cell r="C822" t="str">
            <v>M2</v>
          </cell>
          <cell r="D822">
            <v>1374.81</v>
          </cell>
        </row>
        <row r="823">
          <cell r="A823" t="str">
            <v>H.05.000.027635</v>
          </cell>
          <cell r="B823" t="str">
            <v>Caixilho fixo em alumínio anodizado, nas cores bronze/preto, linha 30 - sem vidro</v>
          </cell>
          <cell r="C823" t="str">
            <v>M2</v>
          </cell>
          <cell r="D823">
            <v>1010.71</v>
          </cell>
        </row>
        <row r="824">
          <cell r="A824" t="str">
            <v>H.05.000.027636</v>
          </cell>
          <cell r="B824" t="str">
            <v>Caixilho basculante em alumínio anodizado, nas cores bronze/preto, linha 30 - sem vidro</v>
          </cell>
          <cell r="C824" t="str">
            <v>M2</v>
          </cell>
          <cell r="D824">
            <v>1135.7</v>
          </cell>
        </row>
        <row r="825">
          <cell r="A825" t="str">
            <v>H.05.000.027637</v>
          </cell>
          <cell r="B825" t="str">
            <v>Caixilho maxim-ar em alumínio anodizado, nas cores bronze/preto, linha 30 - sem vidro</v>
          </cell>
          <cell r="C825" t="str">
            <v>M2</v>
          </cell>
          <cell r="D825">
            <v>1206.6600000000001</v>
          </cell>
        </row>
        <row r="826">
          <cell r="A826" t="str">
            <v>H.05.000.027638</v>
          </cell>
          <cell r="B826" t="str">
            <v>Caixilho de correr em alumínio anodizado, nas cores bronze/preto, linha 30 - sem vidro</v>
          </cell>
          <cell r="C826" t="str">
            <v>M2</v>
          </cell>
          <cell r="D826">
            <v>1149.0899999999999</v>
          </cell>
        </row>
        <row r="827">
          <cell r="A827" t="str">
            <v>H.05.000.027639</v>
          </cell>
          <cell r="B827" t="str">
            <v>Porta de abrir em alumínio anodizado, nas cores bronze/preto, linha 30 - sem vidro</v>
          </cell>
          <cell r="C827" t="str">
            <v>M2</v>
          </cell>
          <cell r="D827">
            <v>1004.29</v>
          </cell>
        </row>
        <row r="828">
          <cell r="A828" t="str">
            <v>H.05.000.027640</v>
          </cell>
          <cell r="B828" t="str">
            <v>Porta de correr em alumínio anodizado, nas cores bronze/preto, linha 30 - sem vidro</v>
          </cell>
          <cell r="C828" t="str">
            <v>M2</v>
          </cell>
          <cell r="D828">
            <v>947.18</v>
          </cell>
        </row>
        <row r="829">
          <cell r="A829" t="str">
            <v>H.05.000.027641</v>
          </cell>
          <cell r="B829" t="str">
            <v>Porta de abrir tipo veneziana em alumínio anodizado, nas cores bronze/preto, linha 30 - sem vidro</v>
          </cell>
          <cell r="C829" t="str">
            <v>M2</v>
          </cell>
          <cell r="D829">
            <v>919.52</v>
          </cell>
        </row>
        <row r="830">
          <cell r="A830" t="str">
            <v>H.05.000.027642</v>
          </cell>
          <cell r="B830" t="str">
            <v>Portinhola de correr em alumínio anodizado linha 30, tipo veneziana, nas cores bronze/preto</v>
          </cell>
          <cell r="C830" t="str">
            <v>M2</v>
          </cell>
          <cell r="D830">
            <v>1327.95</v>
          </cell>
        </row>
        <row r="831">
          <cell r="A831" t="str">
            <v>H.05.000.027644</v>
          </cell>
          <cell r="B831" t="str">
            <v>Porta de abrir em alumínio com pintura eletrostática branca, sob medida, instalada - sem vidro</v>
          </cell>
          <cell r="C831" t="str">
            <v>M2</v>
          </cell>
          <cell r="D831">
            <v>1407.93</v>
          </cell>
        </row>
        <row r="832">
          <cell r="A832" t="str">
            <v>H.05.000.027645</v>
          </cell>
          <cell r="B832" t="str">
            <v>Porta de abrir em alumínio tipo lambri branco, sob medida - sem vidro; ref. comercial project MGM ou equivalente</v>
          </cell>
          <cell r="C832" t="str">
            <v>M2</v>
          </cell>
          <cell r="D832">
            <v>1340.98</v>
          </cell>
        </row>
        <row r="833">
          <cell r="A833" t="str">
            <v>H.05.000.027646</v>
          </cell>
          <cell r="B833" t="str">
            <v>Porta de correr em alumínio tipo lambri branco, trilho na parte superior, sob medida</v>
          </cell>
          <cell r="C833" t="str">
            <v>M2</v>
          </cell>
          <cell r="D833">
            <v>976.45</v>
          </cell>
        </row>
        <row r="834">
          <cell r="A834" t="str">
            <v>H.05.000.030403</v>
          </cell>
          <cell r="B834" t="str">
            <v>Caixilho fixo em alumínio com pintura eletrostática branca, sob medida, instalado - sem vidros</v>
          </cell>
          <cell r="C834" t="str">
            <v>M2</v>
          </cell>
          <cell r="D834">
            <v>865.15</v>
          </cell>
        </row>
        <row r="835">
          <cell r="A835" t="str">
            <v>H.05.000.030415</v>
          </cell>
          <cell r="B835" t="str">
            <v>Caixilho fixo tipo veneziana em alumínio anodizado branco, linha 25 - sob medida</v>
          </cell>
          <cell r="C835" t="str">
            <v>M2</v>
          </cell>
          <cell r="D835">
            <v>1442.27</v>
          </cell>
        </row>
        <row r="836">
          <cell r="A836" t="str">
            <v>H.05.000.031002</v>
          </cell>
          <cell r="B836" t="str">
            <v>Caixilho em alumínio anodizado fosco L 25 de correr, sob medida</v>
          </cell>
          <cell r="C836" t="str">
            <v>M2</v>
          </cell>
          <cell r="D836">
            <v>808.92</v>
          </cell>
        </row>
        <row r="837">
          <cell r="A837" t="str">
            <v>H.05.000.031015</v>
          </cell>
          <cell r="B837" t="str">
            <v>Barra de proteção tipo U, para pessoas com mobilidade reduzida, em tubo de alumínio, L= 250 x 250mm, acabamento com pintura epóxi, conforme NBR9050</v>
          </cell>
          <cell r="C837" t="str">
            <v>UN</v>
          </cell>
          <cell r="D837">
            <v>243.69</v>
          </cell>
        </row>
        <row r="838">
          <cell r="A838" t="str">
            <v>H.05.000.031101</v>
          </cell>
          <cell r="B838" t="str">
            <v>Caixilho em alumínio tipo basculante com vidro, linha comercial</v>
          </cell>
          <cell r="C838" t="str">
            <v>M2</v>
          </cell>
          <cell r="D838">
            <v>364.63</v>
          </cell>
        </row>
        <row r="839">
          <cell r="A839" t="str">
            <v>H.05.000.031102</v>
          </cell>
          <cell r="B839" t="str">
            <v>Caixilho em alumínio tipo maxim-ar com vidro, linha comercial</v>
          </cell>
          <cell r="C839" t="str">
            <v>M2</v>
          </cell>
          <cell r="D839">
            <v>438.22</v>
          </cell>
        </row>
        <row r="840">
          <cell r="A840" t="str">
            <v>H.05.000.031103</v>
          </cell>
          <cell r="B840" t="str">
            <v>Caixilho em alumínio tipo correr com vidro, linha comercial</v>
          </cell>
          <cell r="C840" t="str">
            <v>M2</v>
          </cell>
          <cell r="D840">
            <v>253.36</v>
          </cell>
        </row>
        <row r="841">
          <cell r="A841" t="str">
            <v>H.05.000.031104</v>
          </cell>
          <cell r="B841" t="str">
            <v>Caixilho em alumínio tipo veneziana com vidro, linha comercial</v>
          </cell>
          <cell r="C841" t="str">
            <v>M2</v>
          </cell>
          <cell r="D841">
            <v>365.18</v>
          </cell>
        </row>
        <row r="842">
          <cell r="A842" t="str">
            <v>H.05.000.031105</v>
          </cell>
          <cell r="B842" t="str">
            <v>Porta entrada de abrir em alumínio anodizado natural, com divisão horizontal com vidro e veneziana - linha 25 comercial</v>
          </cell>
          <cell r="C842" t="str">
            <v>M2</v>
          </cell>
          <cell r="D842">
            <v>408.2</v>
          </cell>
        </row>
        <row r="843">
          <cell r="A843" t="str">
            <v>H.05.000.031107</v>
          </cell>
          <cell r="B843" t="str">
            <v>Porta tipo veneziana de abrir em alumínio, linha comercial</v>
          </cell>
          <cell r="C843" t="str">
            <v>M2</v>
          </cell>
          <cell r="D843">
            <v>380.3</v>
          </cell>
        </row>
        <row r="844">
          <cell r="A844" t="str">
            <v>H.05.000.031108</v>
          </cell>
          <cell r="B844" t="str">
            <v>Portinhola em alumínio anodizado, tipo veneziana de abrir e batente, inclusive ferragens, linha comercial</v>
          </cell>
          <cell r="C844" t="str">
            <v>M2</v>
          </cell>
          <cell r="D844">
            <v>529.63</v>
          </cell>
        </row>
        <row r="845">
          <cell r="A845" t="str">
            <v>H.05.000.031109</v>
          </cell>
          <cell r="B845" t="str">
            <v>Veneziana industrial em alumínio com aletas em fiber-glass, ref. Comovent ou equivalente</v>
          </cell>
          <cell r="C845" t="str">
            <v>M2</v>
          </cell>
          <cell r="D845">
            <v>456.89</v>
          </cell>
        </row>
        <row r="846">
          <cell r="A846" t="str">
            <v>H.05.000.031120</v>
          </cell>
          <cell r="B846" t="str">
            <v>Porta em alumínio anodizado fosco L 30, tipo veneziana de giro, completa com batente e ferragem, sob medida com referência 90 cm x 185 cm</v>
          </cell>
          <cell r="C846" t="str">
            <v>M2</v>
          </cell>
          <cell r="D846">
            <v>1068.27</v>
          </cell>
        </row>
        <row r="847">
          <cell r="A847" t="str">
            <v>H.05.000.031127</v>
          </cell>
          <cell r="B847" t="str">
            <v>Porta de entrada em alumínio anodizado fosco L 30 de correr, completa com batente e ferragem, sob medida</v>
          </cell>
          <cell r="C847" t="str">
            <v>M2</v>
          </cell>
          <cell r="D847">
            <v>1032.74</v>
          </cell>
        </row>
        <row r="848">
          <cell r="A848" t="str">
            <v>H.05.000.031128</v>
          </cell>
          <cell r="B848" t="str">
            <v>Porta de entrada em alumínio anodizado fosco L 30, 01 folha de giro, completa com batente e ferragem, sob medida</v>
          </cell>
          <cell r="C848" t="str">
            <v>M2</v>
          </cell>
          <cell r="D848">
            <v>932.77</v>
          </cell>
        </row>
        <row r="849">
          <cell r="A849" t="str">
            <v>H.05.000.031153</v>
          </cell>
          <cell r="B849" t="str">
            <v>Caixilho em alumínio anodizado fosco L 25 basculante, sob medida</v>
          </cell>
          <cell r="C849" t="str">
            <v>M2</v>
          </cell>
          <cell r="D849">
            <v>1228.0899999999999</v>
          </cell>
        </row>
        <row r="850">
          <cell r="A850" t="str">
            <v>H.05.000.031154</v>
          </cell>
          <cell r="B850" t="str">
            <v>Caixilho guilhotina em alumínio anodizado natural, sob medida, instalado - sem vidros</v>
          </cell>
          <cell r="C850" t="str">
            <v>M2</v>
          </cell>
          <cell r="D850">
            <v>1199.6500000000001</v>
          </cell>
        </row>
        <row r="851">
          <cell r="A851" t="str">
            <v>H.05.000.031155</v>
          </cell>
          <cell r="B851" t="str">
            <v>Caixilho em alumínio anodizado fosco L 25 fixo, sob medida</v>
          </cell>
          <cell r="C851" t="str">
            <v>M2</v>
          </cell>
          <cell r="D851">
            <v>863.25</v>
          </cell>
        </row>
        <row r="852">
          <cell r="A852" t="str">
            <v>H.05.000.031156</v>
          </cell>
          <cell r="B852" t="str">
            <v>Caixilho em alumínio anodizado fosco L 25 maxim-ar, sob medida</v>
          </cell>
          <cell r="C852" t="str">
            <v>M2</v>
          </cell>
          <cell r="D852">
            <v>941.85</v>
          </cell>
        </row>
        <row r="853">
          <cell r="A853" t="str">
            <v>H.05.000.032419</v>
          </cell>
          <cell r="B853" t="str">
            <v>Porta de correr em alumínio tipo veneziana e vidro liso, linha 25, branca, folhas móveis, vidro liso; ref. Magnum da Atlântica Esquadrias, Premium da Lux Esquadrias, AJ Esquadrias ou equivalente - linha comercial</v>
          </cell>
          <cell r="C853" t="str">
            <v>M2</v>
          </cell>
          <cell r="D853">
            <v>707.96</v>
          </cell>
        </row>
        <row r="854">
          <cell r="A854" t="str">
            <v>H.05.000.032421</v>
          </cell>
          <cell r="B854" t="str">
            <v>Porta tipo veneziana de abrir em alumínio, cor branca, com pintura eletrostática a pó; ref. Sasazaki, Ebel, Brimak ou equivalente, linha comercial</v>
          </cell>
          <cell r="C854" t="str">
            <v>M2</v>
          </cell>
          <cell r="D854">
            <v>557.04</v>
          </cell>
        </row>
        <row r="855">
          <cell r="A855" t="str">
            <v>H.05.000.032422</v>
          </cell>
          <cell r="B855" t="str">
            <v>Caixilho em alumínio tipo maxim-ar com vidro liso ou mini boreal, cor branco; ref. Sasazaki, Ebel, Gravia, Atlântica ou equivalente, linha comercial</v>
          </cell>
          <cell r="C855" t="str">
            <v>M2</v>
          </cell>
          <cell r="D855">
            <v>1357.22</v>
          </cell>
        </row>
        <row r="856">
          <cell r="A856" t="str">
            <v>H.05.000.032426</v>
          </cell>
          <cell r="B856" t="str">
            <v>Caixilho em alumínio tipo basculante com vidro mini boreal, cor branco; referência comercial Sasazaki, Gravia, Atlantica ou equivalente - linha comercial</v>
          </cell>
          <cell r="C856" t="str">
            <v>M2</v>
          </cell>
          <cell r="D856">
            <v>1018.25</v>
          </cell>
        </row>
        <row r="857">
          <cell r="A857" t="str">
            <v>H.05.000.032427</v>
          </cell>
          <cell r="B857" t="str">
            <v>Caixilho em alumínio de correr com vidro, cor branco; referência comercial Sasazaki, Ebel, Brimak, Atlantica ou equivalente - linha comercial</v>
          </cell>
          <cell r="C857" t="str">
            <v>M2</v>
          </cell>
          <cell r="D857">
            <v>680.56</v>
          </cell>
        </row>
        <row r="858">
          <cell r="A858" t="str">
            <v>H.05.000.032437</v>
          </cell>
          <cell r="B858" t="str">
            <v>Caixilho em alumínio basculante, com pintura eletrostática branca, sob medida</v>
          </cell>
          <cell r="C858" t="str">
            <v>M2</v>
          </cell>
          <cell r="D858">
            <v>933.95</v>
          </cell>
        </row>
        <row r="859">
          <cell r="A859" t="str">
            <v>H.05.000.032439</v>
          </cell>
          <cell r="B859" t="str">
            <v>Caixilho em alumínio maxim-ar com pintura eletrostática, cor branco, sob medida</v>
          </cell>
          <cell r="C859" t="str">
            <v>M2</v>
          </cell>
          <cell r="D859">
            <v>923.67</v>
          </cell>
        </row>
        <row r="860">
          <cell r="A860" t="str">
            <v>H.05.000.067522</v>
          </cell>
          <cell r="B860" t="str">
            <v>Grelha em alumínio fundido com requadro, 20x100 / 20x50cm, ref. Vila Rica ou equivalente</v>
          </cell>
          <cell r="C860" t="str">
            <v>M2</v>
          </cell>
          <cell r="D860">
            <v>1374.96</v>
          </cell>
        </row>
        <row r="861">
          <cell r="A861" t="str">
            <v>H.05.000.067526</v>
          </cell>
          <cell r="B861" t="str">
            <v>Canaleta com grelha em alumínio, largura de 80 mm, ref. SP80 linha Sekapiso da Sekapiso, Aminox ou equivalente</v>
          </cell>
          <cell r="C861" t="str">
            <v>M</v>
          </cell>
          <cell r="D861">
            <v>330.16</v>
          </cell>
        </row>
        <row r="862">
          <cell r="A862" t="str">
            <v>H.05.000.067536</v>
          </cell>
          <cell r="B862" t="str">
            <v>Canaleta com grelha em alumínio, largura de 46 mm, saída central, vertical ou horizontal, para tubo de 40 mm ou 50 mm; ref. SP46 linha Sekabox da Sekapiso, Aminox ou equivalente</v>
          </cell>
          <cell r="C862" t="str">
            <v>M</v>
          </cell>
          <cell r="D862">
            <v>214.06</v>
          </cell>
        </row>
        <row r="863">
          <cell r="A863" t="str">
            <v>H.05.000.067537</v>
          </cell>
          <cell r="B863" t="str">
            <v>Canaleta com grelha removível em alumínio, saída central ou vertical, de 46 x 52 mm, grelha abre e fecha de 46 x 1000 mm; ref. SP46 linha Abreseka da Sekapiso ou equivalente</v>
          </cell>
          <cell r="C863" t="str">
            <v>M</v>
          </cell>
          <cell r="D863">
            <v>320.47000000000003</v>
          </cell>
        </row>
        <row r="864">
          <cell r="A864" t="str">
            <v>H.05.000.090632</v>
          </cell>
          <cell r="B864" t="str">
            <v>Caixilho em alumínio anodizado fosco L 25, tipo veneziana, sob medida</v>
          </cell>
          <cell r="C864" t="str">
            <v>M2</v>
          </cell>
          <cell r="D864">
            <v>1302.47</v>
          </cell>
        </row>
        <row r="865">
          <cell r="A865" t="str">
            <v>H.05.000.090633</v>
          </cell>
          <cell r="B865" t="str">
            <v>Portinhola em alumínio anodizado fosco L16, tipo veneziana de abrir para abrigo, completa, com batente e ferragens, sob medida</v>
          </cell>
          <cell r="C865" t="str">
            <v>M2</v>
          </cell>
          <cell r="D865">
            <v>740.12</v>
          </cell>
        </row>
        <row r="866">
          <cell r="A866" t="str">
            <v>H.05.000.090686</v>
          </cell>
          <cell r="B866" t="str">
            <v>Barra de apoio reta, para pessoas com mobilidade reduzida, em tubo de alumínio, L= 800mm, com flanges, acabamento pintura epóxi, conforme norma NBR 9050</v>
          </cell>
          <cell r="C866" t="str">
            <v>UN</v>
          </cell>
          <cell r="D866">
            <v>145.46</v>
          </cell>
        </row>
        <row r="867">
          <cell r="A867" t="str">
            <v>H.05.000.090687</v>
          </cell>
          <cell r="B867" t="str">
            <v>Barra de apoio em ângulo 90°, para pessoas com mobilidade reduzida, em tubo de alumínio, L= 800x800mm, acabamento com pintura epóxi, conforme norma NBR9050</v>
          </cell>
          <cell r="C867" t="str">
            <v>UN</v>
          </cell>
          <cell r="D867">
            <v>323</v>
          </cell>
        </row>
        <row r="868">
          <cell r="A868" t="str">
            <v>H.06.000.031110</v>
          </cell>
          <cell r="B868" t="str">
            <v>Veneziana industrial em aço galvanizado com aletas em resina reforçada de fibra de vidro</v>
          </cell>
          <cell r="C868" t="str">
            <v>M2</v>
          </cell>
          <cell r="D868">
            <v>246.39</v>
          </cell>
        </row>
        <row r="869">
          <cell r="A869" t="str">
            <v>H.06.000.031640</v>
          </cell>
          <cell r="B869" t="str">
            <v>Caixilho de correr com requadro em PVC, 2 folhas móveis, vidro-simples e liso de 3 a 4mm, persiana manual integrada; ref. Brimak, Eurosystem, Belle Acoustique, Marframe ou equivalente</v>
          </cell>
          <cell r="C869" t="str">
            <v>M2</v>
          </cell>
          <cell r="D869">
            <v>2511.81</v>
          </cell>
        </row>
        <row r="870">
          <cell r="A870" t="str">
            <v>H.06.000.037103</v>
          </cell>
          <cell r="B870" t="str">
            <v>Placa de poliester insaturado com fibra vidro de 3 mm</v>
          </cell>
          <cell r="C870" t="str">
            <v>M2</v>
          </cell>
          <cell r="D870">
            <v>100.44</v>
          </cell>
        </row>
        <row r="871">
          <cell r="A871" t="str">
            <v>H.07.000.037004</v>
          </cell>
          <cell r="B871" t="str">
            <v>Vidro temperado serigrafado de 8 mm incolor - material</v>
          </cell>
          <cell r="C871" t="str">
            <v>M2</v>
          </cell>
          <cell r="D871">
            <v>440.56</v>
          </cell>
        </row>
        <row r="872">
          <cell r="A872" t="str">
            <v>H.07.000.037008</v>
          </cell>
          <cell r="B872" t="str">
            <v>Vidro liso laminado incolor de 10 mm - material</v>
          </cell>
          <cell r="C872" t="str">
            <v>M2</v>
          </cell>
          <cell r="D872">
            <v>346.57</v>
          </cell>
        </row>
        <row r="873">
          <cell r="A873" t="str">
            <v>H.07.000.037011</v>
          </cell>
          <cell r="B873" t="str">
            <v>Espelho comum com espessura de 3mm, com moldura em perfil de alumínio de 1cm, fundo em chapa compensada com 3 mm de espessura</v>
          </cell>
          <cell r="C873" t="str">
            <v>M2</v>
          </cell>
          <cell r="D873">
            <v>943.67</v>
          </cell>
        </row>
        <row r="874">
          <cell r="A874" t="str">
            <v>H.07.000.037013</v>
          </cell>
          <cell r="B874" t="str">
            <v>Vidro liso laminado colorido de 10 mm - material</v>
          </cell>
          <cell r="C874" t="str">
            <v>M2</v>
          </cell>
          <cell r="D874">
            <v>503.85</v>
          </cell>
        </row>
        <row r="875">
          <cell r="A875" t="str">
            <v>H.07.000.037026</v>
          </cell>
          <cell r="B875" t="str">
            <v>Espelho em vidro cristal liso, espessura de 4 mm, sobre superfície plana, peças aproximadamente 0,5 a 4,12 m²</v>
          </cell>
          <cell r="C875" t="str">
            <v>M2</v>
          </cell>
          <cell r="D875">
            <v>531.64</v>
          </cell>
        </row>
        <row r="876">
          <cell r="A876" t="str">
            <v>H.07.000.037028</v>
          </cell>
          <cell r="B876" t="str">
            <v>Vidro liso laminado colorido de 8 mm - material</v>
          </cell>
          <cell r="C876" t="str">
            <v>M2</v>
          </cell>
          <cell r="D876">
            <v>421.97</v>
          </cell>
        </row>
        <row r="877">
          <cell r="A877" t="str">
            <v>H.07.000.037033</v>
          </cell>
          <cell r="B877" t="str">
            <v>Vidro multilaminado de alta segurança (blindado) em policarbonato, com certificação Retex; ref. NIJ III da Fanavid ou equivalente - material</v>
          </cell>
          <cell r="C877" t="str">
            <v>M2</v>
          </cell>
          <cell r="D877">
            <v>6059.76</v>
          </cell>
        </row>
        <row r="878">
          <cell r="A878" t="str">
            <v>H.07.000.037040</v>
          </cell>
          <cell r="B878" t="str">
            <v>Vidro liso laminado, com filme polivinil butiral (PVB), incolor de 8 mm - material</v>
          </cell>
          <cell r="C878" t="str">
            <v>M2</v>
          </cell>
          <cell r="D878">
            <v>212.34</v>
          </cell>
        </row>
        <row r="879">
          <cell r="A879" t="str">
            <v>H.07.000.037042</v>
          </cell>
          <cell r="B879" t="str">
            <v>Vidro fantasia de 3/4 mm - material</v>
          </cell>
          <cell r="C879" t="str">
            <v>M2</v>
          </cell>
          <cell r="D879">
            <v>189</v>
          </cell>
        </row>
        <row r="880">
          <cell r="A880" t="str">
            <v>H.07.000.037047</v>
          </cell>
          <cell r="B880" t="str">
            <v>Vidro liso incolor laminado e temperado, espessura de 16 mm (8+8); ref. Personal ou equivalente - material</v>
          </cell>
          <cell r="C880" t="str">
            <v>M2</v>
          </cell>
          <cell r="D880">
            <v>968.39</v>
          </cell>
        </row>
        <row r="881">
          <cell r="A881" t="str">
            <v>H.07.000.037048</v>
          </cell>
          <cell r="B881" t="str">
            <v>Vidro temperado neutro verde de 10 mm - material</v>
          </cell>
          <cell r="C881" t="str">
            <v>M2</v>
          </cell>
          <cell r="D881">
            <v>555.72</v>
          </cell>
        </row>
        <row r="882">
          <cell r="A882" t="str">
            <v>H.07.000.037073</v>
          </cell>
          <cell r="B882" t="str">
            <v>Vidros float monolíticos de aparência verde, com espessura de 6 mm - material</v>
          </cell>
          <cell r="C882" t="str">
            <v>M2</v>
          </cell>
          <cell r="D882">
            <v>176.75</v>
          </cell>
        </row>
        <row r="883">
          <cell r="A883" t="str">
            <v>H.07.000.037074</v>
          </cell>
          <cell r="B883" t="str">
            <v>Vidro liso laminado incolor de 6 mm - material</v>
          </cell>
          <cell r="C883" t="str">
            <v>M2</v>
          </cell>
          <cell r="D883">
            <v>171.03</v>
          </cell>
        </row>
        <row r="884">
          <cell r="A884" t="str">
            <v>H.07.000.037079</v>
          </cell>
          <cell r="B884" t="str">
            <v>Vidro liso laminado colorido de 6 mm - material</v>
          </cell>
          <cell r="C884" t="str">
            <v>M2</v>
          </cell>
          <cell r="D884">
            <v>372.05</v>
          </cell>
        </row>
        <row r="885">
          <cell r="A885" t="str">
            <v>H.07.000.037080</v>
          </cell>
          <cell r="B885" t="str">
            <v>Vidro liso laminado leitoso de 6 mm - material</v>
          </cell>
          <cell r="C885" t="str">
            <v>M2</v>
          </cell>
          <cell r="D885">
            <v>405.85</v>
          </cell>
        </row>
        <row r="886">
          <cell r="A886" t="str">
            <v>H.07.000.037081</v>
          </cell>
          <cell r="B886" t="str">
            <v>Vidro liso transparente de 3 mm - material</v>
          </cell>
          <cell r="C886" t="str">
            <v>M2</v>
          </cell>
          <cell r="D886">
            <v>74.790000000000006</v>
          </cell>
        </row>
        <row r="887">
          <cell r="A887" t="str">
            <v>H.07.000.037082</v>
          </cell>
          <cell r="B887" t="str">
            <v>Vidro liso transparente de 4 mm - material</v>
          </cell>
          <cell r="C887" t="str">
            <v>M2</v>
          </cell>
          <cell r="D887">
            <v>98.29</v>
          </cell>
        </row>
        <row r="888">
          <cell r="A888" t="str">
            <v>H.07.000.037083</v>
          </cell>
          <cell r="B888" t="str">
            <v>Vidro liso transparente de 5 mm - material</v>
          </cell>
          <cell r="C888" t="str">
            <v>M2</v>
          </cell>
          <cell r="D888">
            <v>123.23</v>
          </cell>
        </row>
        <row r="889">
          <cell r="A889" t="str">
            <v>H.07.000.037084</v>
          </cell>
          <cell r="B889" t="str">
            <v>Vidro liso transparente de 6 mm - material</v>
          </cell>
          <cell r="C889" t="str">
            <v>M2</v>
          </cell>
          <cell r="D889">
            <v>132.41</v>
          </cell>
        </row>
        <row r="890">
          <cell r="A890" t="str">
            <v>H.07.000.037086</v>
          </cell>
          <cell r="B890" t="str">
            <v>Vidro temperado cinza ou bronze 6 mm - material</v>
          </cell>
          <cell r="C890" t="str">
            <v>M2</v>
          </cell>
          <cell r="D890">
            <v>223.91</v>
          </cell>
        </row>
        <row r="891">
          <cell r="A891" t="str">
            <v>H.07.000.037087</v>
          </cell>
          <cell r="B891" t="str">
            <v>Vidro temperado cinza ou bronze 8 mm - material</v>
          </cell>
          <cell r="C891" t="str">
            <v>M2</v>
          </cell>
          <cell r="D891">
            <v>312.76</v>
          </cell>
        </row>
        <row r="892">
          <cell r="A892" t="str">
            <v>H.07.000.037088</v>
          </cell>
          <cell r="B892" t="str">
            <v>Vidro temperado incolor 10 mm - material</v>
          </cell>
          <cell r="C892" t="str">
            <v>M2</v>
          </cell>
          <cell r="D892">
            <v>216.52</v>
          </cell>
        </row>
        <row r="893">
          <cell r="A893" t="str">
            <v>H.07.000.037089</v>
          </cell>
          <cell r="B893" t="str">
            <v>Vidro temperado incolor 6 mm - material</v>
          </cell>
          <cell r="C893" t="str">
            <v>M2</v>
          </cell>
          <cell r="D893">
            <v>168.51</v>
          </cell>
        </row>
        <row r="894">
          <cell r="A894" t="str">
            <v>H.07.000.037090</v>
          </cell>
          <cell r="B894" t="str">
            <v>Vidro temperado incolor 8 mm - material</v>
          </cell>
          <cell r="C894" t="str">
            <v>M2</v>
          </cell>
          <cell r="D894">
            <v>193.36</v>
          </cell>
        </row>
        <row r="895">
          <cell r="A895" t="str">
            <v>H.07.000.037095</v>
          </cell>
          <cell r="B895" t="str">
            <v>Vidro temperado cinza ou bronze 10 mm - material</v>
          </cell>
          <cell r="C895" t="str">
            <v>M2</v>
          </cell>
          <cell r="D895">
            <v>458.27</v>
          </cell>
        </row>
        <row r="896">
          <cell r="A896" t="str">
            <v>H.07.000.037098</v>
          </cell>
          <cell r="B896" t="str">
            <v>Vidro laminado temperado incolor de 8mm - material</v>
          </cell>
          <cell r="C896" t="str">
            <v>M2</v>
          </cell>
          <cell r="D896">
            <v>305.60000000000002</v>
          </cell>
        </row>
        <row r="897">
          <cell r="A897" t="str">
            <v>H.07.000.037099</v>
          </cell>
          <cell r="B897" t="str">
            <v>Vidro multilaminado de alta segurança, com proteção balística de nível III, com espessura final de 51 a 70 mm, com certificação Retex; ref. Inovaglass, Blindare, Grupo Fort ou equivalente - instalado</v>
          </cell>
          <cell r="C897" t="str">
            <v>M2</v>
          </cell>
          <cell r="D897">
            <v>4221.6499999999996</v>
          </cell>
        </row>
        <row r="898">
          <cell r="A898" t="str">
            <v>H.08.000.010001</v>
          </cell>
          <cell r="B898" t="str">
            <v>Veda porta/veda fresta em alumínio branco para porta 90cm, com borracha vedante e parafuso de instalação; ref. comercial Reisam, Stamaco, Reall, Novo Horizonte ou equivalente</v>
          </cell>
          <cell r="C898" t="str">
            <v>M</v>
          </cell>
          <cell r="D898">
            <v>33.5</v>
          </cell>
        </row>
        <row r="899">
          <cell r="A899" t="str">
            <v>H.08.000.031218</v>
          </cell>
          <cell r="B899" t="str">
            <v>Fechadura tipo alavanca com chave para porta corta-fogo, cilindro para acionamento com chave; ref. PHT05 da Dorma, 5124 Sobrano, 09.164-065-PPT La Fonte ou equivalente</v>
          </cell>
          <cell r="C899" t="str">
            <v>UN</v>
          </cell>
          <cell r="D899">
            <v>483.19</v>
          </cell>
        </row>
        <row r="900">
          <cell r="A900" t="str">
            <v>H.08.000.031221</v>
          </cell>
          <cell r="B900" t="str">
            <v>Barra antipânico para porta, de sobrepor de um lado da folha e do outro lado cega</v>
          </cell>
          <cell r="C900" t="str">
            <v>UN</v>
          </cell>
          <cell r="D900">
            <v>1106.1099999999999</v>
          </cell>
        </row>
        <row r="901">
          <cell r="A901" t="str">
            <v>H.08.000.031223</v>
          </cell>
          <cell r="B901" t="str">
            <v>Barra antipânico de sobrepor de um lado da folha da porta e do outro lado maçaneta, tipo alavanca, com acionamento livre</v>
          </cell>
          <cell r="C901" t="str">
            <v>CJ</v>
          </cell>
          <cell r="D901">
            <v>896.85</v>
          </cell>
        </row>
        <row r="902">
          <cell r="A902" t="str">
            <v>H.08.000.031614</v>
          </cell>
          <cell r="B902" t="str">
            <v>Porta cadeado zincado, ref. 81114 89mm ZI da Aliança ou equivalente</v>
          </cell>
          <cell r="C902" t="str">
            <v>CJ</v>
          </cell>
          <cell r="D902">
            <v>9.1</v>
          </cell>
        </row>
        <row r="903">
          <cell r="A903" t="str">
            <v>H.08.000.031637</v>
          </cell>
          <cell r="B903" t="str">
            <v>Maçaneta tipo alavanca e cilindro para acionamento com chave, acabamento na cor prata</v>
          </cell>
          <cell r="C903" t="str">
            <v>UN</v>
          </cell>
          <cell r="D903">
            <v>205.53</v>
          </cell>
        </row>
        <row r="904">
          <cell r="A904" t="str">
            <v>H.08.000.031641</v>
          </cell>
          <cell r="B904" t="str">
            <v>Pivô superior lateral, para porta em vidro temperado, ref. SM-1001 fabricação Dorma ou equivalente</v>
          </cell>
          <cell r="C904" t="str">
            <v>UN</v>
          </cell>
          <cell r="D904">
            <v>72.69</v>
          </cell>
        </row>
        <row r="905">
          <cell r="A905" t="str">
            <v>H.08.000.031642</v>
          </cell>
          <cell r="B905" t="str">
            <v>Mancal inferior com rolamento, para porta em vidro temperado, ref. SM 1002 fabricação Dorma, 1013 Santa Marina ou equivalente</v>
          </cell>
          <cell r="C905" t="str">
            <v>UN</v>
          </cell>
          <cell r="D905">
            <v>89.42</v>
          </cell>
        </row>
        <row r="906">
          <cell r="A906" t="str">
            <v>H.08.000.031644</v>
          </cell>
          <cell r="B906" t="str">
            <v>Dobradiça vai-vem de 3" em aço com mola, acabamento cromado; ref. 255/3 da Page, 403  da Arouca ou equivalente</v>
          </cell>
          <cell r="C906" t="str">
            <v>CJ</v>
          </cell>
          <cell r="D906">
            <v>228.1</v>
          </cell>
        </row>
        <row r="907">
          <cell r="A907" t="str">
            <v>H.08.000.031645</v>
          </cell>
          <cell r="B907" t="str">
            <v>Dobradiça em latão cromado de 3 1/2" x 3"; ref. Dob 90 3 1/2" x 3" LT S/P CR da La Fonte, 3500 da União Mundial ou equivalente</v>
          </cell>
          <cell r="C907" t="str">
            <v>UN</v>
          </cell>
          <cell r="D907">
            <v>78.92</v>
          </cell>
        </row>
        <row r="908">
          <cell r="A908" t="str">
            <v>H.08.000.031646</v>
          </cell>
          <cell r="B908" t="str">
            <v>Dobradiça inferior para vidro temperado, ref. SM1010 fabricação Dorma, 1103 Santa Marina ou equivalente</v>
          </cell>
          <cell r="C908" t="str">
            <v>UN</v>
          </cell>
          <cell r="D908">
            <v>105.08</v>
          </cell>
        </row>
        <row r="909">
          <cell r="A909" t="str">
            <v>H.08.000.031647</v>
          </cell>
          <cell r="B909" t="str">
            <v>Dobradiça superior para vidro temperado; referência comercial 1101S Santa Marina, Dorma ou equivalente</v>
          </cell>
          <cell r="C909" t="str">
            <v>UN</v>
          </cell>
          <cell r="D909">
            <v>71.55</v>
          </cell>
        </row>
        <row r="910">
          <cell r="A910" t="str">
            <v>H.08.000.031650</v>
          </cell>
          <cell r="B910" t="str">
            <v>Fechadura de centro com cilindro, para porta externa em vidro temperado, ref. SM 1050-E linha Glas da Dorma ou equivalente</v>
          </cell>
          <cell r="C910" t="str">
            <v>UN</v>
          </cell>
          <cell r="D910">
            <v>217.04</v>
          </cell>
        </row>
        <row r="911">
          <cell r="A911" t="str">
            <v>H.08.000.031653</v>
          </cell>
          <cell r="B911" t="str">
            <v>Suporte duplo para vidro temperado fixado em alvenaria, ref. SM1092 fabricação Dorma, 1306 Santa Marina ou equivalente</v>
          </cell>
          <cell r="C911" t="str">
            <v>UN</v>
          </cell>
          <cell r="D911">
            <v>174.52</v>
          </cell>
        </row>
        <row r="912">
          <cell r="A912" t="str">
            <v>H.08.000.031656</v>
          </cell>
          <cell r="B912" t="str">
            <v>Contra fechadura de centro, para porta de vidro temperado; ref. SM1051/S1051E1 linha Glas da Dorma ou equivalente</v>
          </cell>
          <cell r="C912" t="str">
            <v>UN</v>
          </cell>
          <cell r="D912">
            <v>190.87</v>
          </cell>
        </row>
        <row r="913">
          <cell r="A913" t="str">
            <v>H.08.000.031658</v>
          </cell>
          <cell r="B913" t="str">
            <v>Puxador duplo para porta de madeira, alumínio ou vidro, ref. Dorma Manet de 350mm da Dorma ou equivalente</v>
          </cell>
          <cell r="C913" t="str">
            <v>UN</v>
          </cell>
          <cell r="D913">
            <v>507.65</v>
          </cell>
        </row>
        <row r="914">
          <cell r="A914" t="str">
            <v>H.08.000.031672</v>
          </cell>
          <cell r="B914" t="str">
            <v>Trinco para piso, ref. SM1060 da Dorma, 3240 da Glasspeças, 1519 da Santa Marina ou equivalente</v>
          </cell>
          <cell r="C914" t="str">
            <v>UN</v>
          </cell>
          <cell r="D914">
            <v>48.9</v>
          </cell>
        </row>
        <row r="915">
          <cell r="A915" t="str">
            <v>H.08.000.031679</v>
          </cell>
          <cell r="B915" t="str">
            <v>Roldana RO65 Plus, para porta de correr de 60kg - 15mm</v>
          </cell>
          <cell r="C915" t="str">
            <v>UN</v>
          </cell>
          <cell r="D915">
            <v>48.77</v>
          </cell>
        </row>
        <row r="916">
          <cell r="A916" t="str">
            <v>H.08.000.031687</v>
          </cell>
          <cell r="B916" t="str">
            <v>Fecho de embutir de alavanca, com 20 cm, em latão cromado; ref. 1011 / 20 FC da Arouca ou equivalente</v>
          </cell>
          <cell r="C916" t="str">
            <v>UN</v>
          </cell>
          <cell r="D916">
            <v>50.98</v>
          </cell>
        </row>
        <row r="917">
          <cell r="A917" t="str">
            <v>H.08.000.031688</v>
          </cell>
          <cell r="B917" t="str">
            <v>Fecho tipo ´unho´ de 10 cm em latão cromado de embutir</v>
          </cell>
          <cell r="C917" t="str">
            <v>UN</v>
          </cell>
          <cell r="D917">
            <v>52.46</v>
          </cell>
        </row>
        <row r="918">
          <cell r="A918" t="str">
            <v>H.08.000.031697</v>
          </cell>
          <cell r="B918" t="str">
            <v>Visor tipo olho mágico com ângulo de visualização de 200°; ref. Vonder ou equivalente</v>
          </cell>
          <cell r="C918" t="str">
            <v>UN</v>
          </cell>
          <cell r="D918">
            <v>29.96</v>
          </cell>
        </row>
        <row r="919">
          <cell r="A919" t="str">
            <v>H.08.000.031698</v>
          </cell>
          <cell r="B919" t="str">
            <v>Ferragem adicional para porta de divisória, vão simples - instalado</v>
          </cell>
          <cell r="C919" t="str">
            <v>UN</v>
          </cell>
          <cell r="D919">
            <v>320.19</v>
          </cell>
        </row>
        <row r="920">
          <cell r="A920" t="str">
            <v>H.08.000.031699</v>
          </cell>
          <cell r="B920" t="str">
            <v>Ferragem adicional para porta de divisória, vão duplo - instalado</v>
          </cell>
          <cell r="C920" t="str">
            <v>UN</v>
          </cell>
          <cell r="D920">
            <v>418.75</v>
          </cell>
        </row>
        <row r="921">
          <cell r="A921" t="str">
            <v>H.08.000.031701</v>
          </cell>
          <cell r="B921" t="str">
            <v>Dobradiça de aço cromado de 3 1/2", para portas de até 21 kg, ref. União Mundial ou equivalente - (embalagem com 3 dobradiças)</v>
          </cell>
          <cell r="C921" t="str">
            <v>CJ</v>
          </cell>
          <cell r="D921">
            <v>28.22</v>
          </cell>
        </row>
        <row r="922">
          <cell r="A922" t="str">
            <v>H.08.000.031712</v>
          </cell>
          <cell r="B922" t="str">
            <v>Puxador duplo tubular em aço inoxidável, com duas fixações, dimensões 300mm entre furos, ref. Dorma ou equivalente</v>
          </cell>
          <cell r="C922" t="str">
            <v>UN</v>
          </cell>
          <cell r="D922">
            <v>166.31</v>
          </cell>
        </row>
        <row r="923">
          <cell r="A923" t="str">
            <v>H.08.000.031715</v>
          </cell>
          <cell r="B923" t="str">
            <v>Ferragem completa para porta de box de WC tipo livre/ocupado; ref. 1515/136 Arouca, 719 AZ CR La Fonte, 801 AZ CR 35mm Lockwell ou equivalente</v>
          </cell>
          <cell r="C923" t="str">
            <v>UN</v>
          </cell>
          <cell r="D923">
            <v>166.78</v>
          </cell>
        </row>
        <row r="924">
          <cell r="A924" t="str">
            <v>H.08.000.031718</v>
          </cell>
          <cell r="B924" t="str">
            <v>Cadeado alta segurança 16 pinos, ref. CRT 70 mm da Papaiz ou equivalente</v>
          </cell>
          <cell r="C924" t="str">
            <v>UN</v>
          </cell>
          <cell r="D924">
            <v>198.68</v>
          </cell>
        </row>
        <row r="925">
          <cell r="A925" t="str">
            <v>H.08.000.031719</v>
          </cell>
          <cell r="B925" t="str">
            <v>Cadeado com haste de aço, 35/36 mm, ref. CR35 da Papaiz, E35 da Pado ou equivalente</v>
          </cell>
          <cell r="C925" t="str">
            <v>UN</v>
          </cell>
          <cell r="D925">
            <v>32.090000000000003</v>
          </cell>
        </row>
        <row r="926">
          <cell r="A926" t="str">
            <v>H.08.000.031722</v>
          </cell>
          <cell r="B926" t="str">
            <v>Cadeado com haste de aço, 60 mm, ref. CR60 da Papaiz, E60 da Pado ou equivalente</v>
          </cell>
          <cell r="C926" t="str">
            <v>UN</v>
          </cell>
          <cell r="D926">
            <v>73.900000000000006</v>
          </cell>
        </row>
        <row r="927">
          <cell r="A927" t="str">
            <v>H.08.000.031723</v>
          </cell>
          <cell r="B927" t="str">
            <v>Cadeado com haste de aço, 25/27 mm, ref. CR25 da Papaiz, E27 da Pado ou equivalente</v>
          </cell>
          <cell r="C927" t="str">
            <v>UN</v>
          </cell>
          <cell r="D927">
            <v>19.48</v>
          </cell>
        </row>
        <row r="928">
          <cell r="A928" t="str">
            <v>H.08.000.031726</v>
          </cell>
          <cell r="B928" t="str">
            <v>Mola de piso para porta com largura até 1,10m e esforço até 120kg, ref. BTS 75 V fabricação Dorma ou equivalente</v>
          </cell>
          <cell r="C928" t="str">
            <v>UN</v>
          </cell>
          <cell r="D928">
            <v>1021.82</v>
          </cell>
        </row>
        <row r="929">
          <cell r="A929" t="str">
            <v>H.08.000.031728</v>
          </cell>
          <cell r="B929" t="str">
            <v>Cadeado com haste de aço, 50 mm, ref. CR50 da Papaiz; E50 da Pado ou equivalente</v>
          </cell>
          <cell r="C929" t="str">
            <v>UN</v>
          </cell>
          <cell r="D929">
            <v>48.79</v>
          </cell>
        </row>
        <row r="930">
          <cell r="A930" t="str">
            <v>H.08.000.031734</v>
          </cell>
          <cell r="B930" t="str">
            <v>Dobradiça em latão cromado reforçada com anéis de 3 1/2" x 3", ref. La Fonte Dob 85 3 1/2" x 3" LT S/P CR, 3635 da União Mundial ou equivalente</v>
          </cell>
          <cell r="C930" t="str">
            <v>UN</v>
          </cell>
          <cell r="D930">
            <v>98.06</v>
          </cell>
        </row>
        <row r="931">
          <cell r="A931" t="str">
            <v>H.08.000.031740</v>
          </cell>
          <cell r="B931" t="str">
            <v>Dobradiça em aço inoxidável escovado com anéis, de 3" x 2 1/2", para portas de até 25 kg, ref. Dobradiça 395 da La Fonte ou equivalente</v>
          </cell>
          <cell r="C931" t="str">
            <v>UN</v>
          </cell>
          <cell r="D931">
            <v>42.93</v>
          </cell>
        </row>
        <row r="932">
          <cell r="A932" t="str">
            <v>H.08.000.031764</v>
          </cell>
          <cell r="B932" t="str">
            <v>Equipamento automatizador de portas deslizantes para folha dupla, ref. ES200 EASY da Dorma ou equivalente</v>
          </cell>
          <cell r="C932" t="str">
            <v>UN</v>
          </cell>
          <cell r="D932">
            <v>13714.26</v>
          </cell>
        </row>
        <row r="933">
          <cell r="A933" t="str">
            <v>H.08.000.031765</v>
          </cell>
          <cell r="B933" t="str">
            <v>Equipamento automatizador telescópico unilateral de portas deslizantes para folha dupla, ref. ES 200 T da Dorma ou equivalente</v>
          </cell>
          <cell r="C933" t="str">
            <v>UN</v>
          </cell>
          <cell r="D933">
            <v>15819.49</v>
          </cell>
        </row>
        <row r="934">
          <cell r="A934" t="str">
            <v>H.08.000.035003</v>
          </cell>
          <cell r="B934" t="str">
            <v>Fechadura completa com maçaneta tipo alavanca, para porta externa de 1 folha; ref. 725.01/40CR da Pado, Papaiz ou equivalente</v>
          </cell>
          <cell r="C934" t="str">
            <v>CJ</v>
          </cell>
          <cell r="D934">
            <v>167.5</v>
          </cell>
        </row>
        <row r="935">
          <cell r="A935" t="str">
            <v>H.08.000.035004</v>
          </cell>
          <cell r="B935" t="str">
            <v>Ferragem completa com maçaneta tipo alavanca, com miolo tipo gorges, para porta interna com 1 folha; referência 721/01 CR da Pado, 402526/40 da Arouca ou equivalente</v>
          </cell>
          <cell r="C935" t="str">
            <v>CJ</v>
          </cell>
          <cell r="D935">
            <v>115.36</v>
          </cell>
        </row>
        <row r="936">
          <cell r="A936" t="str">
            <v>H.08.000.035009</v>
          </cell>
          <cell r="B936" t="str">
            <v>Fechadura eletroímã para capacidade de atraque de 150kgf</v>
          </cell>
          <cell r="C936" t="str">
            <v>UN</v>
          </cell>
          <cell r="D936">
            <v>315.3</v>
          </cell>
        </row>
        <row r="937">
          <cell r="A937" t="str">
            <v>H.08.000.035010</v>
          </cell>
          <cell r="B937" t="str">
            <v>Fechadura elétrica de sobrepor e fonte, para portas ou portões de metal ou madeira, ref. C-90 dupla da HDL; fonte com botão, ref. TRA-400 da HDL ou equivalente</v>
          </cell>
          <cell r="C937" t="str">
            <v>CJ</v>
          </cell>
          <cell r="D937">
            <v>484.08</v>
          </cell>
        </row>
        <row r="938">
          <cell r="A938" t="str">
            <v>H.08.000.035011</v>
          </cell>
          <cell r="B938" t="str">
            <v>Mola aérea para porta com esforço acima de 50kg até 60kg, ref. MA 200 potência 3 fabricação Dorma, linha 770 POT2 fabricação Disafe ou equivalente</v>
          </cell>
          <cell r="C938" t="str">
            <v>UN</v>
          </cell>
          <cell r="D938">
            <v>320.48</v>
          </cell>
        </row>
        <row r="939">
          <cell r="A939" t="str">
            <v>H.08.000.035012</v>
          </cell>
          <cell r="B939" t="str">
            <v>Mola aérea para porta com esforço acima de 60kg até 80kg, ref. MA 200 potência 4 fabricação Dorma, linha 770POT2 fabricação Disafe ou equivalente</v>
          </cell>
          <cell r="C939" t="str">
            <v>UN</v>
          </cell>
          <cell r="D939">
            <v>341.19</v>
          </cell>
        </row>
        <row r="940">
          <cell r="A940" t="str">
            <v>H.08.000.035013</v>
          </cell>
          <cell r="B940" t="str">
            <v>Mola aérea hidráulica com calha deslizante, para porta com largura até 1,60mm, com esforço de 81 até 250kg, ref. TS 93B / TS 93 System da Dorma, linha 6825 fabricação Disafe ou equivalente</v>
          </cell>
          <cell r="C940" t="str">
            <v>UN</v>
          </cell>
          <cell r="D940">
            <v>3527.53</v>
          </cell>
        </row>
        <row r="941">
          <cell r="A941" t="str">
            <v>H.08.000.035019</v>
          </cell>
          <cell r="B941" t="str">
            <v>Fechadura com maçaneta tipo alavanca em aço inoxidável e rozeta, ref. Victória Ecoinox 882 IXE externa da Pado ou equivalente</v>
          </cell>
          <cell r="C941" t="str">
            <v>UN</v>
          </cell>
          <cell r="D941">
            <v>237.2</v>
          </cell>
        </row>
        <row r="942">
          <cell r="A942" t="str">
            <v>H.09.000.031168</v>
          </cell>
          <cell r="B942" t="str">
            <v>Porta de segurança de correr suspensa em grade com aço SAE 1045, com brete superior, diâmetro de 1´, completa, sem têmpera e revenimento</v>
          </cell>
          <cell r="C942" t="str">
            <v>M2</v>
          </cell>
          <cell r="D942">
            <v>3213.87</v>
          </cell>
        </row>
        <row r="943">
          <cell r="A943" t="str">
            <v>H.09.000.031181</v>
          </cell>
          <cell r="B943" t="str">
            <v>Brete para instalação lateral em porta chapa/grade de segurança</v>
          </cell>
          <cell r="C943" t="str">
            <v>CJ</v>
          </cell>
          <cell r="D943">
            <v>3980.59</v>
          </cell>
        </row>
        <row r="944">
          <cell r="A944" t="str">
            <v>H.09.000.031253</v>
          </cell>
          <cell r="B944" t="str">
            <v>Grade de segurança em aço SAE 1045, diâmetro de 1´, com têmpera e revenimento</v>
          </cell>
          <cell r="C944" t="str">
            <v>M2</v>
          </cell>
          <cell r="D944">
            <v>2454.5700000000002</v>
          </cell>
        </row>
        <row r="945">
          <cell r="A945" t="str">
            <v>H.09.000.031254</v>
          </cell>
          <cell r="B945" t="str">
            <v>Grade de segurança para janela em aço SAE 1045, diâmetro 1´, com têmpera e revenimento</v>
          </cell>
          <cell r="C945" t="str">
            <v>M2</v>
          </cell>
          <cell r="D945">
            <v>2477.1799999999998</v>
          </cell>
        </row>
        <row r="946">
          <cell r="A946" t="str">
            <v>H.09.000.031255</v>
          </cell>
          <cell r="B946" t="str">
            <v>Porta de segurança de abrir em grade aço SAE 1045, diâmetro de 1´, completa - com têmpera e revenimento</v>
          </cell>
          <cell r="C946" t="str">
            <v>M2</v>
          </cell>
          <cell r="D946">
            <v>3057.5</v>
          </cell>
        </row>
        <row r="947">
          <cell r="A947" t="str">
            <v>H.09.000.031256</v>
          </cell>
          <cell r="B947" t="str">
            <v>Porta de segurança de abrir grade em aço SAE 1045 chapeada, diâmetro de 1´, completa, com têmpera e revenimento</v>
          </cell>
          <cell r="C947" t="str">
            <v>M2</v>
          </cell>
          <cell r="D947">
            <v>4327.47</v>
          </cell>
        </row>
        <row r="948">
          <cell r="A948" t="str">
            <v>H.09.000.031257</v>
          </cell>
          <cell r="B948" t="str">
            <v>Porta de segurança especial de abrir com grade em aço SAE 1045, diâmetro de 1´, completa, com têmpera e revenimento</v>
          </cell>
          <cell r="C948" t="str">
            <v>M2</v>
          </cell>
          <cell r="D948">
            <v>3312.32</v>
          </cell>
        </row>
        <row r="949">
          <cell r="A949" t="str">
            <v>H.09.000.031258</v>
          </cell>
          <cell r="B949" t="str">
            <v>Portão de abrir para muralha em aço SAE 1045 chapeada, diâmetro de 1´, completa - com têmpera e revenimento</v>
          </cell>
          <cell r="C949" t="str">
            <v>M2</v>
          </cell>
          <cell r="D949">
            <v>4428.6899999999996</v>
          </cell>
        </row>
        <row r="950">
          <cell r="A950" t="str">
            <v>H.09.000.031260</v>
          </cell>
          <cell r="B950" t="str">
            <v>Grade de segurança em aço SAE 1045 chapeada, diâmetro de 1´, com têmpera e revenimento</v>
          </cell>
          <cell r="C950" t="str">
            <v>M2</v>
          </cell>
          <cell r="D950">
            <v>3675.88</v>
          </cell>
        </row>
        <row r="951">
          <cell r="A951" t="str">
            <v>H.09.000.031329</v>
          </cell>
          <cell r="B951" t="str">
            <v>Batente em chapa de aço SAE 1010/1020, espessura de 3/16´, para obras de segurança</v>
          </cell>
          <cell r="C951" t="str">
            <v>M</v>
          </cell>
          <cell r="D951">
            <v>324.13</v>
          </cell>
        </row>
        <row r="952">
          <cell r="A952" t="str">
            <v>H.09.000.031341</v>
          </cell>
          <cell r="B952" t="str">
            <v>Ferrolho de segurança de 1,20 m, DN= 1´, para adaptação em portas de celas, embutido em caixa externamente</v>
          </cell>
          <cell r="C952" t="str">
            <v>UN</v>
          </cell>
          <cell r="D952">
            <v>1056.18</v>
          </cell>
        </row>
        <row r="953">
          <cell r="A953" t="str">
            <v>H.09.000.031361</v>
          </cell>
          <cell r="B953" t="str">
            <v>Grade de segurança em aço SAE 1045, diâmetro de 1´ - sem têmpera e revenimento - instalado</v>
          </cell>
          <cell r="C953" t="str">
            <v>M2</v>
          </cell>
          <cell r="D953">
            <v>1892.09</v>
          </cell>
        </row>
        <row r="954">
          <cell r="A954" t="str">
            <v>H.09.000.031362</v>
          </cell>
          <cell r="B954" t="str">
            <v>Grade de segurança para janela em aço SAE 1045, diâmetro 1´ - sem têmpera e revenimento - instalado</v>
          </cell>
          <cell r="C954" t="str">
            <v>M2</v>
          </cell>
          <cell r="D954">
            <v>2029.4</v>
          </cell>
        </row>
        <row r="955">
          <cell r="A955" t="str">
            <v>H.09.000.031363</v>
          </cell>
          <cell r="B955" t="str">
            <v>Porta de segurança de abrir em grade aço SAE 1045, diâmetro de 1´, sem completa - sem têmpera e revenimento</v>
          </cell>
          <cell r="C955" t="str">
            <v>M2</v>
          </cell>
          <cell r="D955">
            <v>2478.12</v>
          </cell>
        </row>
        <row r="956">
          <cell r="A956" t="str">
            <v>H.09.000.031364</v>
          </cell>
          <cell r="B956" t="str">
            <v>Porta de segurança de abrir grade em aço SAE 1045 chapeada, diâmetro de 1´, completa - sem têmpera e revenimento</v>
          </cell>
          <cell r="C956" t="str">
            <v>M2</v>
          </cell>
          <cell r="D956">
            <v>3733.78</v>
          </cell>
        </row>
        <row r="957">
          <cell r="A957" t="str">
            <v>H.09.000.031368</v>
          </cell>
          <cell r="B957" t="str">
            <v>Porta de segurança especial de abrir com grade em aço SAE 1045, diâmetro de 1´, completa - sem têmpera e revenimento</v>
          </cell>
          <cell r="C957" t="str">
            <v>M2</v>
          </cell>
          <cell r="D957">
            <v>2986.35</v>
          </cell>
        </row>
        <row r="958">
          <cell r="A958" t="str">
            <v>H.09.000.031369</v>
          </cell>
          <cell r="B958" t="str">
            <v>Portão de abrir para muralha em aço SAE 1045 chapeada, diâmetro de 1´, completa - sem têmpera e revenimento</v>
          </cell>
          <cell r="C958" t="str">
            <v>M2</v>
          </cell>
          <cell r="D958">
            <v>3779.68</v>
          </cell>
        </row>
        <row r="959">
          <cell r="A959" t="str">
            <v>H.09.000.031370</v>
          </cell>
          <cell r="B959" t="str">
            <v>Grade de segurança em aço SAE 1045 chapeada, diâmetro de 1´ - sem têmpera e revenimento - instalado</v>
          </cell>
          <cell r="C959" t="str">
            <v>M2</v>
          </cell>
          <cell r="D959">
            <v>3074.11</v>
          </cell>
        </row>
        <row r="960">
          <cell r="A960" t="str">
            <v>H.09.000.031613</v>
          </cell>
          <cell r="B960" t="str">
            <v>Ferrolho de segurança de 7/8´ para adaptação em portas de celas, com porta cadeado e suporte de fixação</v>
          </cell>
          <cell r="C960" t="str">
            <v>UN</v>
          </cell>
          <cell r="D960">
            <v>425.63</v>
          </cell>
        </row>
        <row r="961">
          <cell r="A961" t="str">
            <v>H.09.000.031622</v>
          </cell>
          <cell r="B961" t="str">
            <v>Caixilho de segurança em aço SAE 1010/1020 tipo fixo e de correr (0,70x0,80m), para receber vidro, com bandeira tipo veneziana (0,375x0,80m)</v>
          </cell>
          <cell r="C961" t="str">
            <v>M2</v>
          </cell>
          <cell r="D961">
            <v>1735.2</v>
          </cell>
        </row>
        <row r="962">
          <cell r="A962" t="str">
            <v>H.09.000.031623</v>
          </cell>
          <cell r="B962" t="str">
            <v>Guichê de segurança em grade com aço SAE 1045, diâmetro de 1´, com têmpera e revenimento</v>
          </cell>
          <cell r="C962" t="str">
            <v>M2</v>
          </cell>
          <cell r="D962">
            <v>2815.67</v>
          </cell>
        </row>
        <row r="963">
          <cell r="A963" t="str">
            <v>H.09.000.031625</v>
          </cell>
          <cell r="B963" t="str">
            <v>Guichê de segurança em grade com aço SAE 1045, diâmetro de 1´, sem têmpera e revenimento</v>
          </cell>
          <cell r="C963" t="str">
            <v>M2</v>
          </cell>
          <cell r="D963">
            <v>2306.8000000000002</v>
          </cell>
        </row>
        <row r="964">
          <cell r="A964" t="str">
            <v>H.09.000.031626</v>
          </cell>
          <cell r="B964" t="str">
            <v>Brete para instalação superior em porta chapa/grade de segurança</v>
          </cell>
          <cell r="C964" t="str">
            <v>CJ</v>
          </cell>
          <cell r="D964">
            <v>4354.8</v>
          </cell>
        </row>
        <row r="965">
          <cell r="A965" t="str">
            <v>H.09.000.031628</v>
          </cell>
          <cell r="B965" t="str">
            <v>Porta de segurança de correr em grade de aço SAE 1045, com brete lateral, diâmetro de 1´, completa, com têmpera e revenimento</v>
          </cell>
          <cell r="C965" t="str">
            <v>M2</v>
          </cell>
          <cell r="D965">
            <v>2691.27</v>
          </cell>
        </row>
        <row r="966">
          <cell r="A966" t="str">
            <v>H.09.000.031629</v>
          </cell>
          <cell r="B966" t="str">
            <v>Porta de segurança de correr suspensa em grade de aço SAE 1045, chapeada, diâmetro de 1´, completa, com têmpera e revenimento</v>
          </cell>
          <cell r="C966" t="str">
            <v>M2</v>
          </cell>
          <cell r="D966">
            <v>4564.43</v>
          </cell>
        </row>
        <row r="967">
          <cell r="A967" t="str">
            <v>H.09.000.031631</v>
          </cell>
          <cell r="B967" t="str">
            <v>Porta de segurança de correr/deslizante, em grade com aço SAE 1045, diâmetro de 1´, completa, sem têmpera e revenimento</v>
          </cell>
          <cell r="C967" t="str">
            <v>M2</v>
          </cell>
          <cell r="D967">
            <v>3537.32</v>
          </cell>
        </row>
        <row r="968">
          <cell r="A968" t="str">
            <v>H.09.000.031907</v>
          </cell>
          <cell r="B968" t="str">
            <v>Porta de segurança de correr suspensa em grade em aço SAE 1045, chapeada, diâmetro de 1´, com brete vertical, completa - sem têmpera e revenimento</v>
          </cell>
          <cell r="C968" t="str">
            <v>M2</v>
          </cell>
          <cell r="D968">
            <v>4250.1499999999996</v>
          </cell>
        </row>
        <row r="969">
          <cell r="A969" t="str">
            <v>H.12.000.031610</v>
          </cell>
          <cell r="B969" t="str">
            <v>Dobradiça tipo gonzo em aço SAE 1045, diâmetro de 1 1/2´ com abas de 2´ x 3/8´</v>
          </cell>
          <cell r="C969" t="str">
            <v>UN</v>
          </cell>
          <cell r="D969">
            <v>168.12</v>
          </cell>
        </row>
        <row r="970">
          <cell r="A970" t="str">
            <v>H.13.000.069501</v>
          </cell>
          <cell r="B970" t="str">
            <v>Solda 50/50</v>
          </cell>
          <cell r="C970" t="str">
            <v>KG</v>
          </cell>
          <cell r="D970">
            <v>229.75</v>
          </cell>
        </row>
        <row r="971">
          <cell r="A971" t="str">
            <v>H.13.000.069502</v>
          </cell>
          <cell r="B971" t="str">
            <v>Pasta para soldar</v>
          </cell>
          <cell r="C971" t="str">
            <v>KG</v>
          </cell>
          <cell r="D971">
            <v>74.489999999999995</v>
          </cell>
        </row>
        <row r="972">
          <cell r="A972" t="str">
            <v>H.13.000.069565</v>
          </cell>
          <cell r="B972" t="str">
            <v>Solda eletrolítica tipo Smaw-AWS 6013 eletrodos esp. 2,5/3,25/4,0mm; ref. ESAB, LINCOLN, WELD ou equivalente</v>
          </cell>
          <cell r="C972" t="str">
            <v>KG</v>
          </cell>
          <cell r="D972">
            <v>53.43</v>
          </cell>
        </row>
        <row r="973">
          <cell r="A973" t="str">
            <v>I.01.000.025057</v>
          </cell>
          <cell r="B973" t="str">
            <v>Painel Wall com miolo de madeira contraplacado por lâminas de madeira e externamente por chapas em CRFS, para piso, ref. Eternit ou equivalente</v>
          </cell>
          <cell r="C973" t="str">
            <v>M2</v>
          </cell>
          <cell r="D973">
            <v>157.15</v>
          </cell>
        </row>
        <row r="974">
          <cell r="A974" t="str">
            <v>I.01.000.030105</v>
          </cell>
          <cell r="B974" t="str">
            <v>Porta em laminado melamínico estrutural Alcoplac, TS-10 (fórmica maciça) - 62 x 180cm, com dobradiça e fechadura</v>
          </cell>
          <cell r="C974" t="str">
            <v>UN</v>
          </cell>
          <cell r="D974">
            <v>1296.6099999999999</v>
          </cell>
        </row>
        <row r="975">
          <cell r="A975" t="str">
            <v>I.05.000.021057</v>
          </cell>
          <cell r="B975" t="str">
            <v>Placa cimentícia impermeabilizada com espessura de 12mm, placa de 1,20 x 2,40m; ref. Brasilit ou equivalente</v>
          </cell>
          <cell r="C975" t="str">
            <v>M2</v>
          </cell>
          <cell r="D975">
            <v>65.209999999999994</v>
          </cell>
        </row>
        <row r="976">
          <cell r="A976" t="str">
            <v>I.05.000.021080</v>
          </cell>
          <cell r="B976" t="str">
            <v>Placa cimentícia em CRFS impermeabilizada, espessura 6 mm, dimensões 1,20 x 2,00m, ref. Eternit, Brasilit ou equivalente</v>
          </cell>
          <cell r="C976" t="str">
            <v>UN</v>
          </cell>
          <cell r="D976">
            <v>80.94</v>
          </cell>
        </row>
        <row r="977">
          <cell r="A977" t="str">
            <v>I.06.000.022566</v>
          </cell>
          <cell r="B977" t="str">
            <v>Veneziana de vidro tipo ´CAPELINHA´ 20 x 10 x 10 cm</v>
          </cell>
          <cell r="C977" t="str">
            <v>UN</v>
          </cell>
          <cell r="D977">
            <v>42.13</v>
          </cell>
        </row>
        <row r="978">
          <cell r="A978" t="str">
            <v>I.06.000.022567</v>
          </cell>
          <cell r="B978" t="str">
            <v>Veneziana de vidro ´IBRAVIR´ 20 x 20 x 6 cm</v>
          </cell>
          <cell r="C978" t="str">
            <v>UN</v>
          </cell>
          <cell r="D978">
            <v>39.369999999999997</v>
          </cell>
        </row>
        <row r="979">
          <cell r="A979" t="str">
            <v>I.06.000.025561</v>
          </cell>
          <cell r="B979" t="str">
            <v>Telha de vidro tipo ´FRANCESA´</v>
          </cell>
          <cell r="C979" t="str">
            <v>UN</v>
          </cell>
          <cell r="D979">
            <v>70.77</v>
          </cell>
        </row>
        <row r="980">
          <cell r="A980" t="str">
            <v>I.06.000.025562</v>
          </cell>
          <cell r="B980" t="str">
            <v>Telha de vidro tipo ´PAULISTA´</v>
          </cell>
          <cell r="C980" t="str">
            <v>UN</v>
          </cell>
          <cell r="D980">
            <v>70.77</v>
          </cell>
        </row>
        <row r="981">
          <cell r="A981" t="str">
            <v>J.01.000.038012</v>
          </cell>
          <cell r="B981" t="str">
            <v>Lixa para ferro e metais Norton N° 80, ou equivalente</v>
          </cell>
          <cell r="C981" t="str">
            <v>UN</v>
          </cell>
          <cell r="D981">
            <v>3.34</v>
          </cell>
        </row>
        <row r="982">
          <cell r="A982" t="str">
            <v>J.01.000.038040</v>
          </cell>
          <cell r="B982" t="str">
            <v>Lixa d´água, ref. Norton n° 80, Aquaflex ou equivalente</v>
          </cell>
          <cell r="C982" t="str">
            <v>UN</v>
          </cell>
          <cell r="D982">
            <v>2.17</v>
          </cell>
        </row>
        <row r="983">
          <cell r="A983" t="str">
            <v>J.02.000.024007</v>
          </cell>
          <cell r="B983" t="str">
            <v>Emulsão acrílica para vedação de trincas, ref. Selatrinca Suvinil ou  equivalente</v>
          </cell>
          <cell r="C983" t="str">
            <v>L</v>
          </cell>
          <cell r="D983">
            <v>156.34</v>
          </cell>
        </row>
        <row r="984">
          <cell r="A984" t="str">
            <v>J.02.000.024028</v>
          </cell>
          <cell r="B984" t="str">
            <v>Hidrorepelente a base de silano-siloxano oligomérico disperso em solvente; ref. Silicone da Sika, Acquella Original da Otto Baumgart, Fuseprotec Silicone da Viapol ou equivalente</v>
          </cell>
          <cell r="C984" t="str">
            <v>L</v>
          </cell>
          <cell r="D984">
            <v>65.02</v>
          </cell>
        </row>
        <row r="985">
          <cell r="A985" t="str">
            <v>J.02.000.024030</v>
          </cell>
          <cell r="B985" t="str">
            <v>Hidrorepelente a base de silano-siloxano oligomérico disperso em água, ref. Acqua da Denver, Repele água da Quartzolit ou equivalente</v>
          </cell>
          <cell r="C985" t="str">
            <v>L</v>
          </cell>
          <cell r="D985">
            <v>26.69</v>
          </cell>
        </row>
        <row r="986">
          <cell r="A986" t="str">
            <v>J.02.000.024047</v>
          </cell>
          <cell r="B986" t="str">
            <v>Líquido imunizante para madeira pentox (Montana); ref. Penetrol Cupim (Otto Baungart) ou equivalente</v>
          </cell>
          <cell r="C986" t="str">
            <v>L</v>
          </cell>
          <cell r="D986">
            <v>36.31</v>
          </cell>
        </row>
        <row r="987">
          <cell r="A987" t="str">
            <v>J.02.000.024076</v>
          </cell>
          <cell r="B987" t="str">
            <v>Resina 100% acrílica plastificante, Hiper 409 da NS Brasil ou equivalente</v>
          </cell>
          <cell r="C987" t="str">
            <v>L</v>
          </cell>
          <cell r="D987">
            <v>78.62</v>
          </cell>
        </row>
        <row r="988">
          <cell r="A988" t="str">
            <v>J.02.000.024147</v>
          </cell>
          <cell r="B988" t="str">
            <v>Resina acrílica para piso granilite</v>
          </cell>
          <cell r="C988" t="str">
            <v>L</v>
          </cell>
          <cell r="D988">
            <v>38.58</v>
          </cell>
        </row>
        <row r="989">
          <cell r="A989" t="str">
            <v>J.02.000.024148</v>
          </cell>
          <cell r="B989" t="str">
            <v>Resina epóxi para piso granilite</v>
          </cell>
          <cell r="C989" t="str">
            <v>L</v>
          </cell>
          <cell r="D989">
            <v>87.25</v>
          </cell>
        </row>
        <row r="990">
          <cell r="A990" t="str">
            <v>J.02.000.028057</v>
          </cell>
          <cell r="B990" t="str">
            <v>Selador para tinta epóxi</v>
          </cell>
          <cell r="C990" t="str">
            <v>L</v>
          </cell>
          <cell r="D990">
            <v>104.79</v>
          </cell>
        </row>
        <row r="991">
          <cell r="A991" t="str">
            <v>J.02.000.028058</v>
          </cell>
          <cell r="B991" t="str">
            <v>Tinta esmalte Premium, base água, brilhante/acetinado, várias cores, pintura interna/externa, ref. Coralit Zero da Coral, Futura Premium, Suvinil Premium, Metalatex Eco, Sherwin Williams, ou equivalente</v>
          </cell>
          <cell r="C991" t="str">
            <v>L</v>
          </cell>
          <cell r="D991">
            <v>39.44</v>
          </cell>
        </row>
        <row r="992">
          <cell r="A992" t="str">
            <v>J.02.000.037501</v>
          </cell>
          <cell r="B992" t="str">
            <v>Primer base resina sintética com cromato de zinco 2 demãos; referência comercial Maza alta performance, Vedacit Pro Anticorrosivo ZN ou equivalente</v>
          </cell>
          <cell r="C992" t="str">
            <v>L</v>
          </cell>
          <cell r="D992">
            <v>105.66</v>
          </cell>
        </row>
        <row r="993">
          <cell r="A993" t="str">
            <v>J.02.000.037503</v>
          </cell>
          <cell r="B993" t="str">
            <v>Revestimento texturizado acrílico com microagregado, uso interno/externo em várias corres; ref. Permalit Textura Domus da Ibratin ou equivalente</v>
          </cell>
          <cell r="C993" t="str">
            <v>KG</v>
          </cell>
          <cell r="D993">
            <v>9.16</v>
          </cell>
        </row>
        <row r="994">
          <cell r="A994" t="str">
            <v>J.02.000.037505</v>
          </cell>
          <cell r="B994" t="str">
            <v>Textura acrílica sem agregados minerais, cor branca; referência comercial Texturatto suave da Suvinil ou equivalente, para uso interno ou externo</v>
          </cell>
          <cell r="C994" t="str">
            <v>KG</v>
          </cell>
          <cell r="D994">
            <v>8.52</v>
          </cell>
        </row>
        <row r="995">
          <cell r="A995" t="str">
            <v>J.02.000.037506</v>
          </cell>
          <cell r="B995" t="str">
            <v>Tinta base borracha clorada, ref. Anklor TR da Tintas Ancora, Globaltrafic 611 da Global Tintas, Perfortrafic código 25020 da Tintas Perfortex ou equivalente</v>
          </cell>
          <cell r="C995" t="str">
            <v>L</v>
          </cell>
          <cell r="D995">
            <v>63.96</v>
          </cell>
        </row>
        <row r="996">
          <cell r="A996" t="str">
            <v>J.02.000.037508</v>
          </cell>
          <cell r="B996" t="str">
            <v>Resina epóxi com alcatrão de hulha; ref. Denvercoat Epóxi Alcatrão da Denver, Compound Coal Tar Epóxi, Duropoxy alcatrão especial ou equivalente</v>
          </cell>
          <cell r="C996" t="str">
            <v>KG</v>
          </cell>
          <cell r="D996">
            <v>58.87</v>
          </cell>
        </row>
        <row r="997">
          <cell r="A997" t="str">
            <v>J.02.000.037510</v>
          </cell>
          <cell r="B997" t="str">
            <v>Massa corrida de base acrílica; ref. Massa Acrílica (Suvinil/Glasurit), Massa FC (Fusecolor), Massa Especial para fachada (Retinco) ou equivalente</v>
          </cell>
          <cell r="C997" t="str">
            <v>L</v>
          </cell>
          <cell r="D997">
            <v>12.1</v>
          </cell>
        </row>
        <row r="998">
          <cell r="A998" t="str">
            <v>J.02.000.037513</v>
          </cell>
          <cell r="B998" t="str">
            <v>Tinta latex, acabamento fosco aveludado, ref. coral 3 em 1 da Coral, rende e cobre muito da Suvinil ou equivalente</v>
          </cell>
          <cell r="C998" t="str">
            <v>L</v>
          </cell>
          <cell r="D998">
            <v>17.32</v>
          </cell>
        </row>
        <row r="999">
          <cell r="A999" t="str">
            <v>J.02.000.037517</v>
          </cell>
          <cell r="B999" t="str">
            <v>Tinta acrílica para pisos, ref. Novacor Piso Liso-amarelo (Globo/Novacor), Suvinil Poliesportiva da Glasurit, Metalatex Acrílico com Quartzo da Sherwin Williams ou equivalente</v>
          </cell>
          <cell r="C999" t="str">
            <v>L</v>
          </cell>
          <cell r="D999">
            <v>17.53</v>
          </cell>
        </row>
        <row r="1000">
          <cell r="A1000" t="str">
            <v>J.02.000.037518</v>
          </cell>
          <cell r="B1000" t="str">
            <v>Selador para tinta acrílica Coral, Suvinil ou equivalente</v>
          </cell>
          <cell r="C1000" t="str">
            <v>L</v>
          </cell>
          <cell r="D1000">
            <v>14.15</v>
          </cell>
        </row>
        <row r="1001">
          <cell r="A1001" t="str">
            <v>J.02.000.037528</v>
          </cell>
          <cell r="B1001" t="str">
            <v>Tinta acrílica para sinalização visual de pisos, com acabamento fosco, várias cores, ref. Interlight da Indutil ou equivalente</v>
          </cell>
          <cell r="C1001" t="str">
            <v>L</v>
          </cell>
          <cell r="D1001">
            <v>29.68</v>
          </cell>
        </row>
        <row r="1002">
          <cell r="A1002" t="str">
            <v>J.02.000.037539</v>
          </cell>
          <cell r="B1002" t="str">
            <v>Verniz fungicida Stain, para madeiras; ref. Osmocolor Montana / Verniz Satin Suvinil ou equivalente</v>
          </cell>
          <cell r="C1002" t="str">
            <v>L</v>
          </cell>
          <cell r="D1002">
            <v>54.38</v>
          </cell>
        </row>
        <row r="1003">
          <cell r="A1003" t="str">
            <v>J.02.000.037542</v>
          </cell>
          <cell r="B1003" t="str">
            <v>Tinta 100% acrílica acabamento fosco acetinado, Coral, Suvinil 100% Acrílico (Glasurit), Sherwin Willian, Metalatex (Fusecolor) ou equivalente</v>
          </cell>
          <cell r="C1003" t="str">
            <v>L</v>
          </cell>
          <cell r="D1003">
            <v>33.35</v>
          </cell>
        </row>
        <row r="1004">
          <cell r="A1004" t="str">
            <v>J.02.000.037545</v>
          </cell>
          <cell r="B1004" t="str">
            <v>Tinta à base de resina epoxi; ref. Esmalte Wandepoxy Coral, Interseal 670 HS Internacional ou equivalente</v>
          </cell>
          <cell r="C1004" t="str">
            <v>L</v>
          </cell>
          <cell r="D1004">
            <v>137.99</v>
          </cell>
        </row>
        <row r="1005">
          <cell r="A1005" t="str">
            <v>J.02.000.037548</v>
          </cell>
          <cell r="B1005" t="str">
            <v>Verniz incolor antipichação, ref. Graffitiguard da Anchortec, Antgraf Eco verniz da Ant Graf ou equivalente</v>
          </cell>
          <cell r="C1005" t="str">
            <v>L</v>
          </cell>
          <cell r="D1005">
            <v>116.54</v>
          </cell>
        </row>
        <row r="1006">
          <cell r="A1006" t="str">
            <v>J.02.000.037549</v>
          </cell>
          <cell r="B1006" t="str">
            <v>Microesferas de vidro Extra Premix (tipo I-B); ref. Vimaster ou equivalente</v>
          </cell>
          <cell r="C1006" t="str">
            <v>KG</v>
          </cell>
          <cell r="D1006">
            <v>11.69</v>
          </cell>
        </row>
        <row r="1007">
          <cell r="A1007" t="str">
            <v>J.02.000.037602</v>
          </cell>
          <cell r="B1007" t="str">
            <v>Proteção passiva contra incêndio com tinta intumescente, com tempo requerido de resistência ao fogo TRRF = 60 min - aplicação em painéis de gesso acartonado</v>
          </cell>
          <cell r="C1007" t="str">
            <v>M2</v>
          </cell>
          <cell r="D1007">
            <v>258.02999999999997</v>
          </cell>
        </row>
        <row r="1008">
          <cell r="A1008" t="str">
            <v>J.02.000.037603</v>
          </cell>
          <cell r="B1008" t="str">
            <v>Proteção passiva contra incêndio com tinta intumescente, com tempo requerido de resistência ao fogo TRRF = 120 min - aplicação em painéis de gesso acartonado</v>
          </cell>
          <cell r="C1008" t="str">
            <v>M2</v>
          </cell>
          <cell r="D1008">
            <v>511.6</v>
          </cell>
        </row>
        <row r="1009">
          <cell r="A1009" t="str">
            <v>J.02.000.037605</v>
          </cell>
          <cell r="B1009" t="str">
            <v>Tinta intumescente para aplicação em estrutura metálica; ref. Brasifire da Brasilux, Maza, Firecoat da Polidura, Renner ou equivalente</v>
          </cell>
          <cell r="C1009" t="str">
            <v>L</v>
          </cell>
          <cell r="D1009">
            <v>132.21</v>
          </cell>
        </row>
        <row r="1010">
          <cell r="A1010" t="str">
            <v>J.02.000.038000</v>
          </cell>
          <cell r="B1010" t="str">
            <v>Fundo preparador base água, para madeira e metais; ref. Fundo preparador Coralit Balance da Coral, Metalatex Eco fundo antiferrugem da Sherwin Williams, Fundo preparador da Suvinil ou equivalente</v>
          </cell>
          <cell r="C1010" t="str">
            <v>L</v>
          </cell>
          <cell r="D1010">
            <v>41.61</v>
          </cell>
        </row>
        <row r="1011">
          <cell r="A1011" t="str">
            <v>J.02.000.038001</v>
          </cell>
          <cell r="B1011" t="str">
            <v>Diluente aguarrás mineral; ref. Suvinil, Luksnova, Coral ou equivalente</v>
          </cell>
          <cell r="C1011" t="str">
            <v>L</v>
          </cell>
          <cell r="D1011">
            <v>20.71</v>
          </cell>
        </row>
        <row r="1012">
          <cell r="A1012" t="str">
            <v>J.02.000.038006</v>
          </cell>
          <cell r="B1012" t="str">
            <v>Fundo sintético branco para superfície galvanizada, alumínio; ref. Coral fundo para galvanização ou equivalente</v>
          </cell>
          <cell r="C1012" t="str">
            <v>L</v>
          </cell>
          <cell r="D1012">
            <v>49.71</v>
          </cell>
        </row>
        <row r="1013">
          <cell r="A1013" t="str">
            <v>J.02.000.038008</v>
          </cell>
          <cell r="B1013" t="str">
            <v>Tinta acrílica antimofo acetinado fosco; ref. Metalatex antimofo (Sherwin Williams) ou equivalente</v>
          </cell>
          <cell r="C1013" t="str">
            <v>L</v>
          </cell>
          <cell r="D1013">
            <v>49.61</v>
          </cell>
        </row>
        <row r="1014">
          <cell r="A1014" t="str">
            <v>J.02.000.038017</v>
          </cell>
          <cell r="B1014" t="str">
            <v>Massa corrida PVA; ref. Massa Corrida Suvinil, Massa Corrida Coral, Metalatex da Sherwin Willians ou equivalente</v>
          </cell>
          <cell r="C1014" t="str">
            <v>L</v>
          </cell>
          <cell r="D1014">
            <v>6.25</v>
          </cell>
        </row>
        <row r="1015">
          <cell r="A1015" t="str">
            <v>J.02.000.038028</v>
          </cell>
          <cell r="B1015" t="str">
            <v>Zarcão, ref. Zarcoral fabricação Coral - Zarcão Internacional ou equivalente</v>
          </cell>
          <cell r="C1015" t="str">
            <v>L</v>
          </cell>
          <cell r="D1015">
            <v>43.86</v>
          </cell>
        </row>
        <row r="1016">
          <cell r="A1016" t="str">
            <v>J.02.000.038029</v>
          </cell>
          <cell r="B1016" t="str">
            <v>Removedor de tinta, ref. Pintoff da Coral ou equivalente</v>
          </cell>
          <cell r="C1016" t="str">
            <v>L</v>
          </cell>
          <cell r="D1016">
            <v>47.33</v>
          </cell>
        </row>
        <row r="1017">
          <cell r="A1017" t="str">
            <v>J.02.000.038038</v>
          </cell>
          <cell r="B1017" t="str">
            <v>Pigmento para argamassa tipo Pó Xadrez, ref. amarelo Novacor, Globo ou equivalente</v>
          </cell>
          <cell r="C1017" t="str">
            <v>KG</v>
          </cell>
          <cell r="D1017">
            <v>51.17</v>
          </cell>
        </row>
        <row r="1018">
          <cell r="A1018" t="str">
            <v>J.02.000.038050</v>
          </cell>
          <cell r="B1018" t="str">
            <v>Verniz comum a base de poliuretano; referência comercial Verniz SW Marítimo brilhante (Sherwin Willians), Suvinil Verniz Copal (Glasurit), Sparlak Copal (Akzo/Ypiranga) ou equivalente</v>
          </cell>
          <cell r="C1018" t="str">
            <v>L</v>
          </cell>
          <cell r="D1018">
            <v>35.65</v>
          </cell>
        </row>
        <row r="1019">
          <cell r="A1019" t="str">
            <v>J.02.000.038052</v>
          </cell>
          <cell r="B1019" t="str">
            <v>Verniz acrílico base água, ref. Denverniz Acqua (Denver), Durocryl A (Wolf Hacker), Nitoprimer AW (Fosroc) ou equivalente</v>
          </cell>
          <cell r="C1019" t="str">
            <v>L</v>
          </cell>
          <cell r="D1019">
            <v>25.89</v>
          </cell>
        </row>
        <row r="1020">
          <cell r="A1020" t="str">
            <v>J.02.000.038054</v>
          </cell>
          <cell r="B1020" t="str">
            <v>Verniz acrílico base solvente, Dekguard BS/FS, (Fosroc), Durocryl S (Wolf Hacker), Denverniz SB/SF (Denver) ou equivalente</v>
          </cell>
          <cell r="C1020" t="str">
            <v>L</v>
          </cell>
          <cell r="D1020">
            <v>58.73</v>
          </cell>
        </row>
        <row r="1021">
          <cell r="A1021" t="str">
            <v>J.02.000.038058</v>
          </cell>
          <cell r="B1021" t="str">
            <v>Impermeabilizante acrílico, ref. Suviflex ou equivalente</v>
          </cell>
          <cell r="C1021" t="str">
            <v>L</v>
          </cell>
          <cell r="D1021">
            <v>20.45</v>
          </cell>
        </row>
        <row r="1022">
          <cell r="A1022" t="str">
            <v>J.02.000.038060</v>
          </cell>
          <cell r="B1022" t="str">
            <v>Thinner, ref. Natrielli ou equivalente</v>
          </cell>
          <cell r="C1022" t="str">
            <v>L</v>
          </cell>
          <cell r="D1022">
            <v>23.44</v>
          </cell>
        </row>
        <row r="1023">
          <cell r="A1023" t="str">
            <v>J.02.000.038061</v>
          </cell>
          <cell r="B1023" t="str">
            <v>Líquido de fundo (fundo preparador)</v>
          </cell>
          <cell r="C1023" t="str">
            <v>L</v>
          </cell>
          <cell r="D1023">
            <v>28.32</v>
          </cell>
        </row>
        <row r="1024">
          <cell r="A1024" t="str">
            <v>J.02.000.090805</v>
          </cell>
          <cell r="B1024" t="str">
            <v>Tinta esmalte especial para lousa, cor verde, acabamento fosco, ref. Coralit Esmalte Sintético (Coral), Suvinil Esmalte Sintético, ou equivalente</v>
          </cell>
          <cell r="C1024" t="str">
            <v>L</v>
          </cell>
          <cell r="D1024">
            <v>45.85</v>
          </cell>
        </row>
        <row r="1025">
          <cell r="A1025" t="str">
            <v>K.01.000.023500</v>
          </cell>
          <cell r="B1025" t="str">
            <v>Divisória em granilite frontal, maciça ou revestida, e= 4,0cm - instalado</v>
          </cell>
          <cell r="C1025" t="str">
            <v>M2</v>
          </cell>
          <cell r="D1025">
            <v>295.79000000000002</v>
          </cell>
        </row>
        <row r="1026">
          <cell r="A1026" t="str">
            <v>K.01.000.023501</v>
          </cell>
          <cell r="B1026" t="str">
            <v>Divisória em granilite maciça ou revestida, e= 3,0cm - instalado</v>
          </cell>
          <cell r="C1026" t="str">
            <v>M2</v>
          </cell>
          <cell r="D1026">
            <v>272.45</v>
          </cell>
        </row>
        <row r="1027">
          <cell r="A1027" t="str">
            <v>K.01.000.033001</v>
          </cell>
          <cell r="B1027" t="str">
            <v>Estucamento e polimento piso/patamar em granilite</v>
          </cell>
          <cell r="C1027" t="str">
            <v>M2</v>
          </cell>
          <cell r="D1027">
            <v>56.13</v>
          </cell>
        </row>
        <row r="1028">
          <cell r="A1028" t="str">
            <v>K.01.000.033002</v>
          </cell>
          <cell r="B1028" t="str">
            <v>Estucamento e polimento degrau (piso e espelho) em granilite</v>
          </cell>
          <cell r="C1028" t="str">
            <v>M</v>
          </cell>
          <cell r="D1028">
            <v>57.86</v>
          </cell>
        </row>
        <row r="1029">
          <cell r="A1029" t="str">
            <v>K.01.000.033004</v>
          </cell>
          <cell r="B1029" t="str">
            <v>Estucamento e polimento de rodapé em granilite</v>
          </cell>
          <cell r="C1029" t="str">
            <v>M</v>
          </cell>
          <cell r="D1029">
            <v>57.82</v>
          </cell>
        </row>
        <row r="1030">
          <cell r="A1030" t="str">
            <v>K.01.000.033011</v>
          </cell>
          <cell r="B1030" t="str">
            <v>Soleira em granilite cinza ou verde, polido com espessura mínima de 8mm fornecimento e aplicação média</v>
          </cell>
          <cell r="C1030" t="str">
            <v>M</v>
          </cell>
          <cell r="D1030">
            <v>57.05</v>
          </cell>
        </row>
        <row r="1031">
          <cell r="A1031" t="str">
            <v>K.01.000.033015</v>
          </cell>
          <cell r="B1031" t="str">
            <v>Piso em granilite cinza ou verde, polido, espessura mínimo de 8mm fornecimento e aplicação média</v>
          </cell>
          <cell r="C1031" t="str">
            <v>M2</v>
          </cell>
          <cell r="D1031">
            <v>93.1</v>
          </cell>
        </row>
        <row r="1032">
          <cell r="A1032" t="str">
            <v>K.01.000.033017</v>
          </cell>
          <cell r="B1032" t="str">
            <v>Soleira para piso alta resistência (&gt;40MPa), moldado no local, tráfego médio (8mm) ou pesado (12mm), largura até 30cm aplicado média</v>
          </cell>
          <cell r="C1032" t="str">
            <v>M</v>
          </cell>
          <cell r="D1032">
            <v>43.97</v>
          </cell>
        </row>
        <row r="1033">
          <cell r="A1033" t="str">
            <v>K.01.000.035031</v>
          </cell>
          <cell r="B1033" t="str">
            <v>Degrau em granilite, cinza ou verde, polido, com espessura mínima de 8mm fornecimento e aplicação média</v>
          </cell>
          <cell r="C1033" t="str">
            <v>M</v>
          </cell>
          <cell r="D1033">
            <v>95.25</v>
          </cell>
        </row>
        <row r="1034">
          <cell r="A1034" t="str">
            <v>K.01.000.035531</v>
          </cell>
          <cell r="B1034" t="str">
            <v>Placa granilite de 3 cm</v>
          </cell>
          <cell r="C1034" t="str">
            <v>M2</v>
          </cell>
          <cell r="D1034">
            <v>278.32</v>
          </cell>
        </row>
        <row r="1035">
          <cell r="A1035" t="str">
            <v>K.01.000.035534</v>
          </cell>
          <cell r="B1035" t="str">
            <v>Piso alta resistência (&gt;40MPa), moldado no local, tráfego pesado com espessura de 12mm aplicado</v>
          </cell>
          <cell r="C1035" t="str">
            <v>M2</v>
          </cell>
          <cell r="D1035">
            <v>89.4</v>
          </cell>
        </row>
        <row r="1036">
          <cell r="A1036" t="str">
            <v>K.01.000.035535</v>
          </cell>
          <cell r="B1036" t="str">
            <v>Degrau para piso alta resistência (&gt;40 MPa), moldado no local, tráfego médio, espessura de 8 mm aplicado</v>
          </cell>
          <cell r="C1036" t="str">
            <v>M</v>
          </cell>
          <cell r="D1036">
            <v>102.84</v>
          </cell>
        </row>
        <row r="1037">
          <cell r="A1037" t="str">
            <v>K.01.000.035536</v>
          </cell>
          <cell r="B1037" t="str">
            <v>Degrau para piso alta resistência (&gt;40 MPa), moldado no local, tráfego médio, espessura de 12 mm aplicado</v>
          </cell>
          <cell r="C1037" t="str">
            <v>M</v>
          </cell>
          <cell r="D1037">
            <v>94.49</v>
          </cell>
        </row>
        <row r="1038">
          <cell r="A1038" t="str">
            <v>K.01.000.036042</v>
          </cell>
          <cell r="B1038" t="str">
            <v>Rodapé em granilite tipo meia cana, cor cinza ou verde, polido, até 10cm fornecimento e aplicação média</v>
          </cell>
          <cell r="C1038" t="str">
            <v>M</v>
          </cell>
          <cell r="D1038">
            <v>53.71</v>
          </cell>
        </row>
        <row r="1039">
          <cell r="A1039" t="str">
            <v>K.01.000.036140</v>
          </cell>
          <cell r="B1039" t="str">
            <v>Rodapé para piso alta resistência (&gt;40MPa), moldado no local, tráfego médio (8mm) ou tráfego pesado (12mm) aplicado média</v>
          </cell>
          <cell r="C1039" t="str">
            <v>M</v>
          </cell>
          <cell r="D1039">
            <v>45.82</v>
          </cell>
        </row>
        <row r="1040">
          <cell r="A1040" t="str">
            <v>K.01.000.036512</v>
          </cell>
          <cell r="B1040" t="str">
            <v>Polimento piso fundido no local alta resistência</v>
          </cell>
          <cell r="C1040" t="str">
            <v>M2</v>
          </cell>
          <cell r="D1040">
            <v>49.47</v>
          </cell>
        </row>
        <row r="1041">
          <cell r="A1041" t="str">
            <v>K.02.000.023504</v>
          </cell>
          <cell r="B1041" t="str">
            <v>Divisória placa granito cinza andorinha; dimensões 1,0x2,0 m, com espessura de 3 cm; (fixada piso e parede) - instalado</v>
          </cell>
          <cell r="C1041" t="str">
            <v>M2</v>
          </cell>
          <cell r="D1041">
            <v>1195.93</v>
          </cell>
        </row>
        <row r="1042">
          <cell r="A1042" t="str">
            <v>K.02.000.023555</v>
          </cell>
          <cell r="B1042" t="str">
            <v>Divisória em mármore branco, dimensões 1,0x2,0 m, com espessura de 3 cm; (fixada piso e parede) - instalado</v>
          </cell>
          <cell r="C1042" t="str">
            <v>M2</v>
          </cell>
          <cell r="D1042">
            <v>1148.6600000000001</v>
          </cell>
        </row>
        <row r="1043">
          <cell r="A1043" t="str">
            <v>K.02.000.032502</v>
          </cell>
          <cell r="B1043" t="str">
            <v>Tampo (com frontão) em granito, com espessura de 2 cm, com furo para 1 cuba simples, nas cores Andorinha, cinza Corumbá, Santa Cecília, verde Ubatuba, acabamento polido</v>
          </cell>
          <cell r="C1043" t="str">
            <v>M2</v>
          </cell>
          <cell r="D1043">
            <v>918.4</v>
          </cell>
        </row>
        <row r="1044">
          <cell r="A1044" t="str">
            <v>K.02.000.032503</v>
          </cell>
          <cell r="B1044" t="str">
            <v>Revestimento em granito em placas de 40 x 40 cm, com espessura de 2 cm, nas cores cinza Andorinha, cinza Corumbá, Santa Cecília, verde Ubatuba ou branco Dallas, acabamento polido - material</v>
          </cell>
          <cell r="C1044" t="str">
            <v>M2</v>
          </cell>
          <cell r="D1044">
            <v>417.73</v>
          </cell>
        </row>
        <row r="1045">
          <cell r="A1045" t="str">
            <v>K.02.000.032504</v>
          </cell>
          <cell r="B1045" t="str">
            <v>Degrau e espelho em granito (piso 30 cm e espelho 20 cm), com espessura de 2 cm, nas cores cinza Andorinha, cinza Corumbá, Santa Cecília, verde Ubatuba ou branco Dallas, acabamento polido - material</v>
          </cell>
          <cell r="C1045" t="str">
            <v>M</v>
          </cell>
          <cell r="D1045">
            <v>366.43</v>
          </cell>
        </row>
        <row r="1046">
          <cell r="A1046" t="str">
            <v>K.02.000.032508</v>
          </cell>
          <cell r="B1046" t="str">
            <v>Peitoril e/ou soleira em granito boleado, com espessura de 2 cm e largura de 20 cm, nas cores cinza Andorinha, cinza Corumbá, Santa Cecília, verde Ubatuba ou branco Dallas, acabamento polido - material</v>
          </cell>
          <cell r="C1046" t="str">
            <v>M</v>
          </cell>
          <cell r="D1046">
            <v>151.86000000000001</v>
          </cell>
        </row>
        <row r="1047">
          <cell r="A1047" t="str">
            <v>K.02.000.032509</v>
          </cell>
          <cell r="B1047" t="str">
            <v>Peitoril e/ou soleira em granito boleado, com espessura de 2 cm e largura de 21 até 30 cm, nas cores cinza Andorinha, cinza Corumbá, Santa Cecília, verde Ubatuba ou branco Dallas, acabamento polido - material</v>
          </cell>
          <cell r="C1047" t="str">
            <v>M</v>
          </cell>
          <cell r="D1047">
            <v>177.09</v>
          </cell>
        </row>
        <row r="1048">
          <cell r="A1048" t="str">
            <v>K.02.000.032516</v>
          </cell>
          <cell r="B1048" t="str">
            <v>Rodapé em granito, espessura de 2 cm e altura de 7 cm, nas cores cinza Andorinha, cinza Corumbá, Santa Cecília, verde Ubatuba ou branco Dallas, acabamento polido - material</v>
          </cell>
          <cell r="C1048" t="str">
            <v>M</v>
          </cell>
          <cell r="D1048">
            <v>72.14</v>
          </cell>
        </row>
        <row r="1049">
          <cell r="A1049" t="str">
            <v>K.02.000.032517</v>
          </cell>
          <cell r="B1049" t="str">
            <v>Rodapé em granito, espessura de 2 cm e altura entre 7,1 a 10 cm, nas cores cinza Andorinha, cinza Corumbá, Santa Cecília, verde Ubatuba ou branco Dallas, acabamento polido - material</v>
          </cell>
          <cell r="C1049" t="str">
            <v>M</v>
          </cell>
          <cell r="D1049">
            <v>85.16</v>
          </cell>
        </row>
        <row r="1050">
          <cell r="A1050" t="str">
            <v>K.02.000.033012</v>
          </cell>
          <cell r="B1050" t="str">
            <v>Piso em granilite, placas pré-moldadas de 40 x 40 cm, inclusive assentamento, polimento, enceramento e rejunte</v>
          </cell>
          <cell r="C1050" t="str">
            <v>M2</v>
          </cell>
          <cell r="D1050">
            <v>253.31</v>
          </cell>
        </row>
        <row r="1051">
          <cell r="A1051" t="str">
            <v>K.02.000.033570</v>
          </cell>
          <cell r="B1051" t="str">
            <v>Revestimento em granito lavado tipo Fulget tradicional ou natural em faixas até 40 cm; ref. Fulget da Grani Torre ou equivalente</v>
          </cell>
          <cell r="C1051" t="str">
            <v>M</v>
          </cell>
          <cell r="D1051">
            <v>82.21</v>
          </cell>
        </row>
        <row r="1052">
          <cell r="A1052" t="str">
            <v>K.02.000.033571</v>
          </cell>
          <cell r="B1052" t="str">
            <v>Revestimento em granito lavado tipo Fulget tradicional ou natural em panos, ref. Fulget da Grani Torre ou equivalente</v>
          </cell>
          <cell r="C1052" t="str">
            <v>M2</v>
          </cell>
          <cell r="D1052">
            <v>198.51</v>
          </cell>
        </row>
        <row r="1053">
          <cell r="A1053" t="str">
            <v>K.02.000.035033</v>
          </cell>
          <cell r="B1053" t="str">
            <v>Degrau em mármore travertino nacional com espessura de 2 cm, piso 30 cm e espelho 20 cm</v>
          </cell>
          <cell r="C1053" t="str">
            <v>M</v>
          </cell>
          <cell r="D1053">
            <v>459.53</v>
          </cell>
        </row>
        <row r="1054">
          <cell r="A1054" t="str">
            <v>K.02.000.035036</v>
          </cell>
          <cell r="B1054" t="str">
            <v>Degrau e espelho em mármore branco com espessura de 2 cm, piso 30 cm e espelho 20 cm</v>
          </cell>
          <cell r="C1054" t="str">
            <v>M</v>
          </cell>
          <cell r="D1054">
            <v>408.49</v>
          </cell>
        </row>
        <row r="1055">
          <cell r="A1055" t="str">
            <v>K.02.000.035072</v>
          </cell>
          <cell r="B1055" t="str">
            <v>Mármore travertino nacional com espessura de 2 cm</v>
          </cell>
          <cell r="C1055" t="str">
            <v>M2</v>
          </cell>
          <cell r="D1055">
            <v>888.46</v>
          </cell>
        </row>
        <row r="1056">
          <cell r="A1056" t="str">
            <v>K.02.000.035073</v>
          </cell>
          <cell r="B1056" t="str">
            <v>Mármore branco com espessura de 3 cm</v>
          </cell>
          <cell r="C1056" t="str">
            <v>M2</v>
          </cell>
          <cell r="D1056">
            <v>997.96</v>
          </cell>
        </row>
        <row r="1057">
          <cell r="A1057" t="str">
            <v>K.02.000.035075</v>
          </cell>
          <cell r="B1057" t="str">
            <v>Mármore travertino nacional com espessura de 3 cm</v>
          </cell>
          <cell r="C1057" t="str">
            <v>M2</v>
          </cell>
          <cell r="D1057">
            <v>1001.96</v>
          </cell>
        </row>
        <row r="1058">
          <cell r="A1058" t="str">
            <v>K.02.000.035076</v>
          </cell>
          <cell r="B1058" t="str">
            <v>Mármore branco com espessura de 2 cm</v>
          </cell>
          <cell r="C1058" t="str">
            <v>M2</v>
          </cell>
          <cell r="D1058">
            <v>852.21</v>
          </cell>
        </row>
        <row r="1059">
          <cell r="A1059" t="str">
            <v>K.02.000.065652</v>
          </cell>
          <cell r="B1059" t="str">
            <v>Tampo (com frontão) para pia em mármore Espírito Santo; com espessura de 3 cm; dimensão de 0,60x1,50m; furo para 1 cuba simples - instalado</v>
          </cell>
          <cell r="C1059" t="str">
            <v>M2</v>
          </cell>
          <cell r="D1059">
            <v>1836.51</v>
          </cell>
        </row>
        <row r="1060">
          <cell r="A1060" t="str">
            <v>K.03.000.032508</v>
          </cell>
          <cell r="B1060" t="str">
            <v>Peitoril e/ou soleira em pedra ardósia cinza, com espessura de 2 cm e largura até 20 cm - material</v>
          </cell>
          <cell r="C1060" t="str">
            <v>M</v>
          </cell>
          <cell r="D1060">
            <v>79.08</v>
          </cell>
        </row>
        <row r="1061">
          <cell r="A1061" t="str">
            <v>K.03.000.032517</v>
          </cell>
          <cell r="B1061" t="str">
            <v>Ardósia cinza de 40 x 40cm e espessura de 1 cm - material</v>
          </cell>
          <cell r="C1061" t="str">
            <v>M2</v>
          </cell>
          <cell r="D1061">
            <v>47.3</v>
          </cell>
        </row>
        <row r="1062">
          <cell r="A1062" t="str">
            <v>K.03.000.032519</v>
          </cell>
          <cell r="B1062" t="str">
            <v>Rodapé em ardósia cinza com altura de 7 cm, espessura 1 cm - material</v>
          </cell>
          <cell r="C1062" t="str">
            <v>M</v>
          </cell>
          <cell r="D1062">
            <v>14.92</v>
          </cell>
        </row>
        <row r="1063">
          <cell r="A1063" t="str">
            <v>K.03.000.035055</v>
          </cell>
          <cell r="B1063" t="str">
            <v>Pedra em mosaico português 2 cores - instalado</v>
          </cell>
          <cell r="C1063" t="str">
            <v>M2</v>
          </cell>
          <cell r="D1063">
            <v>379.56</v>
          </cell>
        </row>
        <row r="1064">
          <cell r="A1064" t="str">
            <v>K.03.000.035060</v>
          </cell>
          <cell r="B1064" t="str">
            <v>Pedra miracema de 11,5 x 23 cm, com espessura de 10 a 15 mm</v>
          </cell>
          <cell r="C1064" t="str">
            <v>M2</v>
          </cell>
          <cell r="D1064">
            <v>58.17</v>
          </cell>
        </row>
        <row r="1065">
          <cell r="A1065" t="str">
            <v>K.03.000.035061</v>
          </cell>
          <cell r="B1065" t="str">
            <v>Pedra mineira comum irregular (chapa) para revestimento</v>
          </cell>
          <cell r="C1065" t="str">
            <v>M2</v>
          </cell>
          <cell r="D1065">
            <v>228.27</v>
          </cell>
        </row>
        <row r="1066">
          <cell r="A1066" t="str">
            <v>K.03.000.036138</v>
          </cell>
          <cell r="B1066" t="str">
            <v>Rodapé em pedra mineira simples com altura de 10 cm</v>
          </cell>
          <cell r="C1066" t="str">
            <v>M</v>
          </cell>
          <cell r="D1066">
            <v>52.18</v>
          </cell>
        </row>
        <row r="1067">
          <cell r="A1067" t="str">
            <v>K.03.000.036505</v>
          </cell>
          <cell r="B1067" t="str">
            <v>Paralelepípedo só material</v>
          </cell>
          <cell r="C1067" t="str">
            <v>UN</v>
          </cell>
          <cell r="D1067">
            <v>8.8699999999999992</v>
          </cell>
        </row>
        <row r="1068">
          <cell r="A1068" t="str">
            <v>L.01.000.023105</v>
          </cell>
          <cell r="B1068" t="str">
            <v>Forro em fibra mineral em placas acústicas removíveis, NRC 0.70 / SRA 0.65-0.80 / CAC 30a 31dB; ref. Brillianto ou New Sandila da Owa ou equivalente - instalado</v>
          </cell>
          <cell r="C1068" t="str">
            <v>M2</v>
          </cell>
          <cell r="D1068">
            <v>359.22</v>
          </cell>
        </row>
        <row r="1069">
          <cell r="A1069" t="str">
            <v>L.01.000.023531</v>
          </cell>
          <cell r="B1069" t="str">
            <v>Divisória em placas de gesso acartonado, resistência ao fogo 30 minutos, espessura 73/48mm - 1ST 12,5 + 1ST 12,5 - instalado</v>
          </cell>
          <cell r="C1069" t="str">
            <v>M2</v>
          </cell>
          <cell r="D1069">
            <v>159.74</v>
          </cell>
        </row>
        <row r="1070">
          <cell r="A1070" t="str">
            <v>L.01.000.023533</v>
          </cell>
          <cell r="B1070" t="str">
            <v>Divisória em placas de gesso acartonado, resistência ao fogo 30 minutos, espessura 73/48mm - 1ST 12,5 + 1ST 12,5 - com lã mineral - instalado</v>
          </cell>
          <cell r="C1070" t="str">
            <v>M2</v>
          </cell>
          <cell r="D1070">
            <v>173.62</v>
          </cell>
        </row>
        <row r="1071">
          <cell r="A1071" t="str">
            <v>L.01.000.023534</v>
          </cell>
          <cell r="B1071" t="str">
            <v>Divisória em placas de gesso acartonado, resistência ao fogo 30 minutos, espessura 100/70mm - 1ST 15 + 1ST 15 - com lã mineral - instalado</v>
          </cell>
          <cell r="C1071" t="str">
            <v>M2</v>
          </cell>
          <cell r="D1071">
            <v>221.1</v>
          </cell>
        </row>
        <row r="1072">
          <cell r="A1072" t="str">
            <v>L.01.000.023535</v>
          </cell>
          <cell r="B1072" t="str">
            <v>Divisória em placas de gesso acartonado, resistência ao fogo 30 minutos, espessura 100/70mm - 1ST 15 + 1ST 15 - instalado</v>
          </cell>
          <cell r="C1072" t="str">
            <v>M2</v>
          </cell>
          <cell r="D1072">
            <v>171.17</v>
          </cell>
        </row>
        <row r="1073">
          <cell r="A1073" t="str">
            <v>L.01.000.023560</v>
          </cell>
          <cell r="B1073" t="str">
            <v>Divisória em placas de gesso acartonado, resistência ao fogo 30 minutos, espessura 100/70mm - 1RU 15 + 1RU 15 - instalado</v>
          </cell>
          <cell r="C1073" t="str">
            <v>M2</v>
          </cell>
          <cell r="D1073">
            <v>249.79</v>
          </cell>
        </row>
        <row r="1074">
          <cell r="A1074" t="str">
            <v>L.01.000.023564</v>
          </cell>
          <cell r="B1074" t="str">
            <v>Divisória em placas duplas de gesso acartonado, resistência ao fogo 60 minutos, espessura 120/70mm - 2ST 12,5 + 2ST 12,5 - com lã mineral - instalado</v>
          </cell>
          <cell r="C1074" t="str">
            <v>M2</v>
          </cell>
          <cell r="D1074">
            <v>262.82</v>
          </cell>
        </row>
        <row r="1075">
          <cell r="A1075" t="str">
            <v>L.01.000.023587</v>
          </cell>
          <cell r="B1075" t="str">
            <v>Divisória em placas de gesso acartonado, resistência ao fogo 60 minutos, espessura 120/90mm - 1RF 15 + 1RF 15 - com lã mineral - instalado</v>
          </cell>
          <cell r="C1075" t="str">
            <v>M2</v>
          </cell>
          <cell r="D1075">
            <v>222.27</v>
          </cell>
        </row>
        <row r="1076">
          <cell r="A1076" t="str">
            <v>L.01.000.023606</v>
          </cell>
          <cell r="B1076" t="str">
            <v>Forro em painéis de gesso acartonado removível, acabamento liso com película rígida de PVC, placas 625x625mm/625x1250mm, espessura de 9,5mm; ref. Gyprex liso Placo ou equivalente - instalado</v>
          </cell>
          <cell r="C1076" t="str">
            <v>M2</v>
          </cell>
          <cell r="D1076">
            <v>105.2</v>
          </cell>
        </row>
        <row r="1077">
          <cell r="A1077" t="str">
            <v>L.01.000.023630</v>
          </cell>
          <cell r="B1077" t="str">
            <v>Divisória em placas duplas de gesso acartonado, resistência ao fogo 120 minutos, espessura 130/70mm - 2RF 15 + 2RF 15 - instalado</v>
          </cell>
          <cell r="C1077" t="str">
            <v>M2</v>
          </cell>
          <cell r="D1077">
            <v>284.14</v>
          </cell>
        </row>
        <row r="1078">
          <cell r="A1078" t="str">
            <v>L.01.000.023631</v>
          </cell>
          <cell r="B1078" t="str">
            <v>Divisória em placas duplas de gesso acartonado, resistência ao fogo 60 minutos, espessura 120/70mm - 2ST 12,5 + 2RU 12,5 - instalado</v>
          </cell>
          <cell r="C1078" t="str">
            <v>M2</v>
          </cell>
          <cell r="D1078">
            <v>299.67</v>
          </cell>
        </row>
        <row r="1079">
          <cell r="A1079" t="str">
            <v>L.01.000.023632</v>
          </cell>
          <cell r="B1079" t="str">
            <v>Divisória em placas duplas de gesso acartonado, resistência ao fogo 60 minutos, espessura 120/70mm - 2RU 12,5 + 2RU 12,5 - instalado</v>
          </cell>
          <cell r="C1079" t="str">
            <v>M2</v>
          </cell>
          <cell r="D1079">
            <v>293.56</v>
          </cell>
        </row>
        <row r="1080">
          <cell r="A1080" t="str">
            <v>L.01.000.023633</v>
          </cell>
          <cell r="B1080" t="str">
            <v>Divisória em placas duplas de gesso acartonado, resistência ao fogo 60 minutos, espessura 98/48mm - 2ST 12,5 + 2ST 12,5 - com lã mineral - instalado</v>
          </cell>
          <cell r="C1080" t="str">
            <v>M2</v>
          </cell>
          <cell r="D1080">
            <v>254.67</v>
          </cell>
        </row>
        <row r="1081">
          <cell r="A1081" t="str">
            <v>L.01.000.023634</v>
          </cell>
          <cell r="B1081" t="str">
            <v>Divisória em placas duplas de gesso acartonado, resistência ao fogo 60 minutos, espessura 98/48mm - 2RU 12,5 + 2RU 12,5 - com lã mineral - instalado</v>
          </cell>
          <cell r="C1081" t="str">
            <v>M2</v>
          </cell>
          <cell r="D1081">
            <v>293.93</v>
          </cell>
        </row>
        <row r="1082">
          <cell r="A1082" t="str">
            <v>L.01.000.023635</v>
          </cell>
          <cell r="B1082" t="str">
            <v>Divisória em placas duplas de gesso acartonado, resistência ao fogo 60 minutos, espessura 98/48mm - 2ST 12,5 + 2RU 12,5 - com lã mineral - instalado</v>
          </cell>
          <cell r="C1082" t="str">
            <v>M2</v>
          </cell>
          <cell r="D1082">
            <v>257.60000000000002</v>
          </cell>
        </row>
        <row r="1083">
          <cell r="A1083" t="str">
            <v>L.01.000.034019</v>
          </cell>
          <cell r="B1083" t="str">
            <v>Moldura gesso simples, espessura até 6,0cm - instalada</v>
          </cell>
          <cell r="C1083" t="str">
            <v>M</v>
          </cell>
          <cell r="D1083">
            <v>25.9</v>
          </cell>
        </row>
        <row r="1084">
          <cell r="A1084" t="str">
            <v>L.01.000.034021</v>
          </cell>
          <cell r="B1084" t="str">
            <v>Forro em painel de gesso acartonado, tipo standard, espessura 12,5mm, estrutura em aço galvanizado; ref. Gypsum FGE, Placostil F530 ou equivalente - instalado</v>
          </cell>
          <cell r="C1084" t="str">
            <v>M2</v>
          </cell>
          <cell r="D1084">
            <v>127.87</v>
          </cell>
        </row>
        <row r="1085">
          <cell r="A1085" t="str">
            <v>L.01.000.034024</v>
          </cell>
          <cell r="B1085" t="str">
            <v>Forro em placa de gesso liso(Standard), espessura 12,5mm, fixado e estruturado - instalado</v>
          </cell>
          <cell r="C1085" t="str">
            <v>M2</v>
          </cell>
          <cell r="D1085">
            <v>157.08000000000001</v>
          </cell>
        </row>
        <row r="1086">
          <cell r="A1086" t="str">
            <v>M.02.000.036114</v>
          </cell>
          <cell r="B1086" t="str">
            <v>Furação de piso elevado telescópico em chapa de aço</v>
          </cell>
          <cell r="C1086" t="str">
            <v>UN</v>
          </cell>
          <cell r="D1086">
            <v>56.98</v>
          </cell>
        </row>
        <row r="1087">
          <cell r="A1087" t="str">
            <v>M.02.000.036115</v>
          </cell>
          <cell r="B1087" t="str">
            <v>Fornecimento e instalação de piso elevado tipo telescópico em chapa de aço, sem revestimento</v>
          </cell>
          <cell r="C1087" t="str">
            <v>M2</v>
          </cell>
          <cell r="D1087">
            <v>333.78</v>
          </cell>
        </row>
        <row r="1088">
          <cell r="A1088" t="str">
            <v>M.02.000.036118</v>
          </cell>
          <cell r="B1088" t="str">
            <v>Piso elevado de concreto, placas 60x60cm, em sistema de apoio, pedestais em PVC, resistência 7 KN/m², espes. aproximada 4cm, altura 15cm, antiderrapante; ref. C40-600-PV Concreto linha Sílica da Dacapo, Piso Concrestiell ou equivalente - instalado</v>
          </cell>
          <cell r="C1088" t="str">
            <v>M2</v>
          </cell>
          <cell r="D1088">
            <v>514.49</v>
          </cell>
        </row>
        <row r="1089">
          <cell r="A1089" t="str">
            <v>M.02.000.036140</v>
          </cell>
          <cell r="B1089" t="str">
            <v>Piso epóxi multilayer 4mm, acabamento semi brilhante com característica antiderrapante, em áreas internas; ref. Miaki, Ecosytem Multilayer, Concrecor E250 ou equivalente</v>
          </cell>
          <cell r="C1089" t="str">
            <v>M2</v>
          </cell>
          <cell r="D1089">
            <v>156.66999999999999</v>
          </cell>
        </row>
        <row r="1090">
          <cell r="A1090" t="str">
            <v>M.02.000.036143</v>
          </cell>
          <cell r="B1090" t="str">
            <v>Rodapé abaulado, com argamassa epoxi, altura entre 5 a 10cm</v>
          </cell>
          <cell r="C1090" t="str">
            <v>M</v>
          </cell>
          <cell r="D1090">
            <v>100.92</v>
          </cell>
        </row>
        <row r="1091">
          <cell r="A1091" t="str">
            <v>M.02.000.036144</v>
          </cell>
          <cell r="B1091" t="str">
            <v>Taxa de mobilização e desmobilização de equipe e equipamentos para execução de piso epóxi</v>
          </cell>
          <cell r="C1091" t="str">
            <v>TX</v>
          </cell>
          <cell r="D1091">
            <v>1924.5</v>
          </cell>
        </row>
        <row r="1092">
          <cell r="A1092" t="str">
            <v>M.03.000.020450</v>
          </cell>
          <cell r="B1092" t="str">
            <v>Limpeza fossa séptica</v>
          </cell>
          <cell r="C1092" t="str">
            <v>M3</v>
          </cell>
          <cell r="D1092">
            <v>198.53</v>
          </cell>
        </row>
        <row r="1093">
          <cell r="A1093" t="str">
            <v>M.04.000.022593</v>
          </cell>
          <cell r="B1093" t="str">
            <v>Piso sintético de borracha ou PVC colorido, podotátil alerta/direcional, em placas 25x25cm, espessura total 7 a 12mm; ref. Daud, Andaluz ou equivalente</v>
          </cell>
          <cell r="C1093" t="str">
            <v>M2</v>
          </cell>
          <cell r="D1093">
            <v>405.91</v>
          </cell>
        </row>
        <row r="1094">
          <cell r="A1094" t="str">
            <v>M.04.000.023609</v>
          </cell>
          <cell r="B1094" t="str">
            <v>Forro em fibra mineral acústico removível, em placas de 625 x 1250 mm, com atenuação sonora mínima de 28 dB, coeficiente de absorção sonora (NRC) de 0,85; ref. Forro Thermatex Thermofon da AMF, Humancare da OWA ou equivalente - instalado</v>
          </cell>
          <cell r="C1094" t="str">
            <v>M2</v>
          </cell>
          <cell r="D1094">
            <v>326.83999999999997</v>
          </cell>
        </row>
        <row r="1095">
          <cell r="A1095" t="str">
            <v>M.04.000.023650</v>
          </cell>
          <cell r="B1095" t="str">
            <v>Forro metálico removível tipo colmeia, paineis de 625 x 625 mm, modulação das células de 125 x 125 mm, ref. CELL T15 da Hunter Douglas ou equivalente - instalado</v>
          </cell>
          <cell r="C1095" t="str">
            <v>M2</v>
          </cell>
          <cell r="D1095">
            <v>875.01</v>
          </cell>
        </row>
        <row r="1096">
          <cell r="A1096" t="str">
            <v>M.04.000.024096</v>
          </cell>
          <cell r="B1096" t="str">
            <v>Placa para sinalização tátil em braile (início ou final), para corrimão, com o verso auto-aderente, conforme NBR 9050-2015</v>
          </cell>
          <cell r="C1096" t="str">
            <v>UN</v>
          </cell>
          <cell r="D1096">
            <v>10.72</v>
          </cell>
        </row>
        <row r="1097">
          <cell r="A1097" t="str">
            <v>M.04.000.024097</v>
          </cell>
          <cell r="B1097" t="str">
            <v>Placa para sinalização tátil em braile (pavimento), para corrimão, com o verso auto-aderente, conforme NBR 9050-2015</v>
          </cell>
          <cell r="C1097" t="str">
            <v>UN</v>
          </cell>
          <cell r="D1097">
            <v>10.95</v>
          </cell>
        </row>
        <row r="1098">
          <cell r="A1098" t="str">
            <v>M.04.000.024522</v>
          </cell>
          <cell r="B1098" t="str">
            <v>Isolamento térmico em polietileno expandido para tubulação água quente e refrigeração, espessura de 5mm, diâmetro de 15mm; ref. Elumaflex, Polipex ou equivalente</v>
          </cell>
          <cell r="C1098" t="str">
            <v>M</v>
          </cell>
          <cell r="D1098">
            <v>1.83</v>
          </cell>
        </row>
        <row r="1099">
          <cell r="A1099" t="str">
            <v>M.04.000.024523</v>
          </cell>
          <cell r="B1099" t="str">
            <v>Isolamento térmico em polietileno expandido para tubulação água quente e refrigeração, espessura de 5mm, diâmetro de 22mm; ref. Elumaflex, Polipex ou equivalente</v>
          </cell>
          <cell r="C1099" t="str">
            <v>M</v>
          </cell>
          <cell r="D1099">
            <v>2.64</v>
          </cell>
        </row>
        <row r="1100">
          <cell r="A1100" t="str">
            <v>M.04.000.024524</v>
          </cell>
          <cell r="B1100" t="str">
            <v>Isolamento térmico em polietileno expandido para tubulação água quente e refrigeração, espessura de 5mm, diâmetro de 28mm; ref. Elumaflex, Polipex ou equivalente</v>
          </cell>
          <cell r="C1100" t="str">
            <v>M</v>
          </cell>
          <cell r="D1100">
            <v>3.15</v>
          </cell>
        </row>
        <row r="1101">
          <cell r="A1101" t="str">
            <v>M.04.000.024525</v>
          </cell>
          <cell r="B1101" t="str">
            <v>Isolamento térmico em polietileno expandido para tubulação água quente e refrigeração, espessura de 10mm, diâmetro de 35mm; ref. Elumaflex, Polipex ou equivalente</v>
          </cell>
          <cell r="C1101" t="str">
            <v>M</v>
          </cell>
          <cell r="D1101">
            <v>4.12</v>
          </cell>
        </row>
        <row r="1102">
          <cell r="A1102" t="str">
            <v>M.04.000.024526</v>
          </cell>
          <cell r="B1102" t="str">
            <v>Isolamento térmico em polietileno expandido para tubulação água quente e refrigeração, espessura de 10mm, diâmetro de 42mm; ref. Elumaflex, Polipex ou equivalente</v>
          </cell>
          <cell r="C1102" t="str">
            <v>M</v>
          </cell>
          <cell r="D1102">
            <v>5.0199999999999996</v>
          </cell>
        </row>
        <row r="1103">
          <cell r="A1103" t="str">
            <v>M.04.000.024527</v>
          </cell>
          <cell r="B1103" t="str">
            <v>Isolamento térmico em polietileno expandido para tubulação água quente e refrigeração, espessura de 10mm, diâmetro de 54mm; ref. Elumaflex, Polipex ou equivalente</v>
          </cell>
          <cell r="C1103" t="str">
            <v>M</v>
          </cell>
          <cell r="D1103">
            <v>9.77</v>
          </cell>
        </row>
        <row r="1104">
          <cell r="A1104" t="str">
            <v>M.04.000.024618</v>
          </cell>
          <cell r="B1104" t="str">
            <v>Placa acústica em espuma semirrígida na cor cinza, com uma camada de manta HD, espessura de 50mm e dimensões 500x500mm, ref. Sonex Illtec Bloc 50/35 da OWA ou equivalente</v>
          </cell>
          <cell r="C1104" t="str">
            <v>M2</v>
          </cell>
          <cell r="D1104">
            <v>1397.54</v>
          </cell>
        </row>
        <row r="1105">
          <cell r="A1105" t="str">
            <v>M.04.000.024621</v>
          </cell>
          <cell r="B1105" t="str">
            <v>Placa acústica incombustível em espuma semirrígida na cor cinza, com superfície em cunhas anecóicas - instalado</v>
          </cell>
          <cell r="C1105" t="str">
            <v>M2</v>
          </cell>
          <cell r="D1105">
            <v>704.91</v>
          </cell>
        </row>
        <row r="1106">
          <cell r="A1106" t="str">
            <v>M.04.000.030368</v>
          </cell>
          <cell r="B1106" t="str">
            <v>Cantoneira de sobrepor em PVC, dimensões (40x40x2,8)mm - 90º; referência comercial TEC-029 da Tecnoperfil ou equivalente</v>
          </cell>
          <cell r="C1106" t="str">
            <v>M</v>
          </cell>
          <cell r="D1106">
            <v>52.15</v>
          </cell>
        </row>
        <row r="1107">
          <cell r="A1107" t="str">
            <v>M.04.000.030375</v>
          </cell>
          <cell r="B1107" t="str">
            <v>Canto externo de acabamento em PVC, perfil de 1,0 x 3,0 cm, ref. TEC 183 da Tecnoperfil ou equivalente - barra de 2,70 m</v>
          </cell>
          <cell r="C1107" t="str">
            <v>M</v>
          </cell>
          <cell r="D1107">
            <v>11.95</v>
          </cell>
        </row>
        <row r="1108">
          <cell r="A1108" t="str">
            <v>M.04.000.030376</v>
          </cell>
          <cell r="B1108" t="str">
            <v>Corrimão, bate-maca ou protetor de parede em PVC, com altura de 140mm, barras de 4,0m, nas azul ou marfim, ref. TEC 026N da Tecnoperfil ou equivalente</v>
          </cell>
          <cell r="C1108" t="str">
            <v>M</v>
          </cell>
          <cell r="D1108">
            <v>254.12</v>
          </cell>
        </row>
        <row r="1109">
          <cell r="A1109" t="str">
            <v>M.04.000.030377</v>
          </cell>
          <cell r="B1109" t="str">
            <v>Protetor de parede ou bate-maca em PVC flexível, com altura de 150mm, nas cores amarelo, branco ou preto, rolo de 25m; ref. TEC 913N da Tecnoperfil ou equivalente</v>
          </cell>
          <cell r="C1109" t="str">
            <v>M</v>
          </cell>
          <cell r="D1109">
            <v>115.36</v>
          </cell>
        </row>
        <row r="1110">
          <cell r="A1110" t="str">
            <v>M.04.000.030378</v>
          </cell>
          <cell r="B1110" t="str">
            <v>Bate-maca ou protetor curvo de parede em PVC, com altura de 198mm, nas cores branco, bege azul escuro, barra de 4m, ref. TEC 198 N da Tecnoperfil ou equivalente</v>
          </cell>
          <cell r="C1110" t="str">
            <v>M</v>
          </cell>
          <cell r="D1110">
            <v>92.39</v>
          </cell>
        </row>
        <row r="1111">
          <cell r="A1111" t="str">
            <v>M.04.000.030379</v>
          </cell>
          <cell r="B1111" t="str">
            <v>Bate-maca ou protetor de parede em PVC, com altura de 200mm, barra de 4m, ref. TEC 200 da Tecnoperfil ou equivalente</v>
          </cell>
          <cell r="C1111" t="str">
            <v>M</v>
          </cell>
          <cell r="D1111">
            <v>117.16</v>
          </cell>
        </row>
        <row r="1112">
          <cell r="A1112" t="str">
            <v>M.04.000.030380</v>
          </cell>
          <cell r="B1112" t="str">
            <v>Faixa protetora em vinil de alto impacto para paredes, altura de 400mm, várias cores, com tratamento antibacteriano, antifungo, antimofo, retardante de chama e resistente a impacto, ref. Cosimo Cataldo, Enterprises Arquitetura ou equivalente</v>
          </cell>
          <cell r="C1112" t="str">
            <v>M</v>
          </cell>
          <cell r="D1112">
            <v>58.57</v>
          </cell>
        </row>
        <row r="1113">
          <cell r="A1113" t="str">
            <v>M.04.000.030382</v>
          </cell>
          <cell r="B1113" t="str">
            <v>Cantoneira autoadesiva em vinil de alto impacto, aba 2cm a 3,8cm, espessura 2mm, ângulo 90º, cor branca; ref. Enterprises Arquitetura, Cosimo Cataldo ou equivalente</v>
          </cell>
          <cell r="C1113" t="str">
            <v>M</v>
          </cell>
          <cell r="D1113">
            <v>77.25</v>
          </cell>
        </row>
        <row r="1114">
          <cell r="A1114" t="str">
            <v>M.04.000.032533</v>
          </cell>
          <cell r="B1114" t="str">
            <v>Rodapé em poliestireno com altura de 7 cm, cor branca, linha Primer/BR, ref. 451 RP/BR da Revitech, 451 RP/BR da Santa Luzia ou equivalente</v>
          </cell>
          <cell r="C1114" t="str">
            <v>M</v>
          </cell>
          <cell r="D1114">
            <v>35.46</v>
          </cell>
        </row>
        <row r="1115">
          <cell r="A1115" t="str">
            <v>M.04.000.033070</v>
          </cell>
          <cell r="B1115" t="str">
            <v>Bate rodas/limitador em resina, sem refletivo, com pino de fixação, conforme NBR 14636; ref. comercial Safepark ou equivalente</v>
          </cell>
          <cell r="C1115" t="str">
            <v>UN</v>
          </cell>
          <cell r="D1115">
            <v>114.28</v>
          </cell>
        </row>
        <row r="1116">
          <cell r="A1116" t="str">
            <v>M.04.000.033508</v>
          </cell>
          <cell r="B1116" t="str">
            <v>Piso de borracha sintética preta, ref. Daud ou equivalente - colado</v>
          </cell>
          <cell r="C1116" t="str">
            <v>M2</v>
          </cell>
          <cell r="D1116">
            <v>86.25</v>
          </cell>
        </row>
        <row r="1117">
          <cell r="A1117" t="str">
            <v>M.04.000.033510</v>
          </cell>
          <cell r="B1117" t="str">
            <v>Rodapé de borracha sintética preta, altura até 7 cm, ref. Le Corp, Daud ou equivalente - colado</v>
          </cell>
          <cell r="C1117" t="str">
            <v>M</v>
          </cell>
          <cell r="D1117">
            <v>20.88</v>
          </cell>
        </row>
        <row r="1118">
          <cell r="A1118" t="str">
            <v>M.04.000.033511</v>
          </cell>
          <cell r="B1118" t="str">
            <v>Degrau (piso e espelho) de borracha sintética preta de 4 mm, ref. Le Corp, Daud ou equivalente - colado</v>
          </cell>
          <cell r="C1118" t="str">
            <v>M</v>
          </cell>
          <cell r="D1118">
            <v>205.64</v>
          </cell>
        </row>
        <row r="1119">
          <cell r="A1119" t="str">
            <v>M.04.000.033516</v>
          </cell>
          <cell r="B1119" t="str">
            <v>Grama sintética decorativa, com altura da grama: 20 a 32 mm, fio, polietileno (PE); ref. Playgrama, Hatcarpet, SLC ou equivalente - instalada</v>
          </cell>
          <cell r="C1119" t="str">
            <v>M2</v>
          </cell>
          <cell r="D1119">
            <v>99.46</v>
          </cell>
        </row>
        <row r="1120">
          <cell r="A1120" t="str">
            <v>M.04.000.033526</v>
          </cell>
          <cell r="B1120" t="str">
            <v>Rodapé em poliestireno de sobrepor, altura de 8 cm; ref. linha Blend da Tarkett ou equivalente</v>
          </cell>
          <cell r="C1120" t="str">
            <v>M</v>
          </cell>
          <cell r="D1120">
            <v>51.87</v>
          </cell>
        </row>
        <row r="1121">
          <cell r="A1121" t="str">
            <v>M.04.000.033529</v>
          </cell>
          <cell r="B1121" t="str">
            <v>Piso vinílico autoportante com espessura de 4 mm, com impermeabilização acrílica, em placas de 609,6 x 609,6mm; ref. linha Square, coleção Set da Tarkett ou equivalente</v>
          </cell>
          <cell r="C1121" t="str">
            <v>M2</v>
          </cell>
          <cell r="D1121">
            <v>354.9</v>
          </cell>
        </row>
        <row r="1122">
          <cell r="A1122" t="str">
            <v>M.04.000.033534</v>
          </cell>
          <cell r="B1122" t="str">
            <v>Piso vinílico autoportante acústico com e=4,5 mm, classe III A; ref. linha Square Acoustic da Tarkett ou equivalente</v>
          </cell>
          <cell r="C1122" t="str">
            <v>M2</v>
          </cell>
          <cell r="D1122">
            <v>426.37</v>
          </cell>
        </row>
        <row r="1123">
          <cell r="A1123" t="str">
            <v>M.04.000.033535</v>
          </cell>
          <cell r="B1123" t="str">
            <v>Rodapé flexível em resinas de PVC de 5cm, espessura de 2mm, curvo/plano; ref. Tarkett ou equivalente</v>
          </cell>
          <cell r="C1123" t="str">
            <v>M</v>
          </cell>
          <cell r="D1123">
            <v>8.7100000000000009</v>
          </cell>
        </row>
        <row r="1124">
          <cell r="A1124" t="str">
            <v>M.04.000.033536</v>
          </cell>
          <cell r="B1124" t="str">
            <v>Rodapé flexível em resinas de PVC de 7,5cm, espessura de 2mm, curvo/plano; ref. Tarkett ou equivalente</v>
          </cell>
          <cell r="C1124" t="str">
            <v>M</v>
          </cell>
          <cell r="D1124">
            <v>14.55</v>
          </cell>
        </row>
        <row r="1125">
          <cell r="A1125" t="str">
            <v>M.04.000.033537</v>
          </cell>
          <cell r="B1125" t="str">
            <v>Rodapé hospitalar flexível em resinas de PVC de 7,5cm, espessura de 2mm, nível/sobrepor; ref. Tarkett ou equivalente</v>
          </cell>
          <cell r="C1125" t="str">
            <v>M</v>
          </cell>
          <cell r="D1125">
            <v>28.61</v>
          </cell>
        </row>
        <row r="1126">
          <cell r="A1126" t="str">
            <v>M.04.000.033539</v>
          </cell>
          <cell r="B1126" t="str">
            <v>Testeira flexível em resinas de PVC para arremate de degrau, espessura de 2,0 mm; ref. Tarkett ou equivalente</v>
          </cell>
          <cell r="C1126" t="str">
            <v>M</v>
          </cell>
          <cell r="D1126">
            <v>28.38</v>
          </cell>
        </row>
        <row r="1127">
          <cell r="A1127" t="str">
            <v>M.04.000.033540</v>
          </cell>
          <cell r="B1127" t="str">
            <v>Revestimento vinílico em placas de 305x305mm, classe II A, com e= 2,0 mm; ref. Paviflex Natural da Tarkett ou equivalente</v>
          </cell>
          <cell r="C1127" t="str">
            <v>M2</v>
          </cell>
          <cell r="D1127">
            <v>112.42</v>
          </cell>
        </row>
        <row r="1128">
          <cell r="A1128" t="str">
            <v>M.04.000.033541</v>
          </cell>
          <cell r="B1128" t="str">
            <v>Revestimento vinílico em placas de 30 x 30 cm, classe II A, com e= 3,2 mm; ref. Paviflex Natural da Tarkett ou equivalente</v>
          </cell>
          <cell r="C1128" t="str">
            <v>M2</v>
          </cell>
          <cell r="D1128">
            <v>199.55</v>
          </cell>
        </row>
        <row r="1129">
          <cell r="A1129" t="str">
            <v>M.04.000.033542</v>
          </cell>
          <cell r="B1129" t="str">
            <v>Piso vinílico em manta heterogênea com e= 2mm; ref. Decode Warm Medium Grey, Ligth Grey da Tarkett ou equivalente</v>
          </cell>
          <cell r="C1129" t="str">
            <v>M2</v>
          </cell>
          <cell r="D1129">
            <v>224.95</v>
          </cell>
        </row>
        <row r="1130">
          <cell r="A1130" t="str">
            <v>M.04.000.033543</v>
          </cell>
          <cell r="B1130" t="str">
            <v>Piso vinílico flexível em manta homogênea com e= 2mm, classe II A; ref. linha IQ Optima da Tarkett ou equivalente</v>
          </cell>
          <cell r="C1130" t="str">
            <v>M2</v>
          </cell>
          <cell r="D1130">
            <v>309.16000000000003</v>
          </cell>
        </row>
        <row r="1131">
          <cell r="A1131" t="str">
            <v>M.04.000.033544</v>
          </cell>
          <cell r="B1131" t="str">
            <v>Piso vinílico flexível em régua heterogênea com e= 3mm, classe II A; ref. linha Ambienta da Tarkett ou equivalente</v>
          </cell>
          <cell r="C1131" t="str">
            <v>M2</v>
          </cell>
          <cell r="D1131">
            <v>205.33</v>
          </cell>
        </row>
        <row r="1132">
          <cell r="A1132" t="str">
            <v>M.04.000.033545</v>
          </cell>
          <cell r="B1132" t="str">
            <v>Piso vinílico antiestático, espessura de 5 mm, classe II A; ref. linha Hercules Olimpo da Belgotex ou equivalente</v>
          </cell>
          <cell r="C1132" t="str">
            <v>M2</v>
          </cell>
          <cell r="D1132">
            <v>238.57</v>
          </cell>
        </row>
        <row r="1133">
          <cell r="A1133" t="str">
            <v>M.04.000.034017</v>
          </cell>
          <cell r="B1133" t="str">
            <v>Forro modular removível em PVC, em placas de 618 x 1243mm, espessura 10 mm, montado com estrutura de sustentação; ref. Vipal, Plasbil, Precon ou equivalente - instalado</v>
          </cell>
          <cell r="C1133" t="str">
            <v>M2</v>
          </cell>
          <cell r="D1133">
            <v>115.1</v>
          </cell>
        </row>
        <row r="1134">
          <cell r="A1134" t="str">
            <v>M.04.000.034020</v>
          </cell>
          <cell r="B1134" t="str">
            <v>Placas em lã de vidro microperfurado, revestida em PVC tipo Forrovid, para reparos em forro existente</v>
          </cell>
          <cell r="C1134" t="str">
            <v>M2</v>
          </cell>
          <cell r="D1134">
            <v>69.930000000000007</v>
          </cell>
        </row>
        <row r="1135">
          <cell r="A1135" t="str">
            <v>M.04.000.034027</v>
          </cell>
          <cell r="B1135" t="str">
            <v>Forro em lâmina PVC, frisada, largura 100/200mm (média); com estrutura de sustentação colocado; ref. Tigre, Multiplast, Petrol, Medabil, Anflo ou equivalente - instalado</v>
          </cell>
          <cell r="C1135" t="str">
            <v>M2</v>
          </cell>
          <cell r="D1135">
            <v>102.93</v>
          </cell>
        </row>
        <row r="1136">
          <cell r="A1136" t="str">
            <v>M.04.000.034035</v>
          </cell>
          <cell r="B1136" t="str">
            <v>Forro em painel de fibra mineral NRC 0.50 - CAC 35, acabamento em pintura vinílica, 625x1250mm, com estrutura de sustentação; ref. Armstrong Ceilings Encore ou equivalmente - instalado</v>
          </cell>
          <cell r="C1136" t="str">
            <v>M2</v>
          </cell>
          <cell r="D1136">
            <v>178.83</v>
          </cell>
        </row>
        <row r="1137">
          <cell r="A1137" t="str">
            <v>M.04.000.035525</v>
          </cell>
          <cell r="B1137" t="str">
            <v>Carpete tráfego intenso, comercial, bouclê, filamento nylon, altura de 6,0mm; ref. Astral Beaulieu, Chronos 22 oz Shaw ou equivalente - instalado</v>
          </cell>
          <cell r="C1137" t="str">
            <v>M2</v>
          </cell>
          <cell r="D1137">
            <v>202.02</v>
          </cell>
        </row>
        <row r="1138">
          <cell r="A1138" t="str">
            <v>M.04.000.035526</v>
          </cell>
          <cell r="B1138" t="str">
            <v>Carpete tráfego moderado, comercial, bouclê, filamento polipropileno, com altura de 5,4 a 8mm; ref. Essex Beauliex, Champion Inybra, Project  Meller ou equivalente - instalado</v>
          </cell>
          <cell r="C1138" t="str">
            <v>M2</v>
          </cell>
          <cell r="D1138">
            <v>159.66</v>
          </cell>
        </row>
        <row r="1139">
          <cell r="A1139" t="str">
            <v>M.04.000.035531</v>
          </cell>
          <cell r="B1139" t="str">
            <v>Revestimento vinílico, espessura total 2mm, em manta 2m, uso comercial pesado 23/34/43, reação ao fogo II-A,  antiderrapante, resistência à abrasão EM ISO 10581 - tipo I, tratamento anti-bacteriano incorporado, tratamento PUR da Beaulieu ou equivalente</v>
          </cell>
          <cell r="C1139" t="str">
            <v>M2</v>
          </cell>
          <cell r="D1139">
            <v>227.94</v>
          </cell>
        </row>
        <row r="1140">
          <cell r="A1140" t="str">
            <v>M.04.000.035583</v>
          </cell>
          <cell r="B1140" t="str">
            <v>Piso sintético de borracha ou PVC colorido, podotátil alerta/direcional, em placas 25x25cm, espessura total 5mm; ref. Daud, Andaluz ou equivalente</v>
          </cell>
          <cell r="C1140" t="str">
            <v>M2</v>
          </cell>
          <cell r="D1140">
            <v>170.57</v>
          </cell>
        </row>
        <row r="1141">
          <cell r="A1141" t="str">
            <v>M.04.000.036047</v>
          </cell>
          <cell r="B1141" t="str">
            <v>Rodapé de cordão em poliamida (nylon) ou em polipropileno - instalado</v>
          </cell>
          <cell r="C1141" t="str">
            <v>M</v>
          </cell>
          <cell r="D1141">
            <v>11.15</v>
          </cell>
        </row>
        <row r="1142">
          <cell r="A1142" t="str">
            <v>M.04.000.036135</v>
          </cell>
          <cell r="B1142" t="str">
            <v>Revestimento laminado melamínico dissipativo texturizado ou liso, e=2mm, placa 60x60cm, várias cores, ref. Formipiso ou equivalente - instalado</v>
          </cell>
          <cell r="C1142" t="str">
            <v>M2</v>
          </cell>
          <cell r="D1142">
            <v>750.68</v>
          </cell>
        </row>
        <row r="1143">
          <cell r="A1143" t="str">
            <v>M.04.000.065082</v>
          </cell>
          <cell r="B1143" t="str">
            <v>Reservatório em polietileno de alta densidade (cisterna), antioxidante e proteção anti UV, capacidade de 5.000 litros, com acessórios, ref. Acqualimp ou equivalente</v>
          </cell>
          <cell r="C1143" t="str">
            <v>UN</v>
          </cell>
          <cell r="D1143">
            <v>7000.71</v>
          </cell>
        </row>
        <row r="1144">
          <cell r="A1144" t="str">
            <v>M.04.000.065083</v>
          </cell>
          <cell r="B1144" t="str">
            <v>Reservatório em polietileno de alta densidade (cisterna), antioxidante e proteção anti UV, capacidade de 10.000 litros, com acessório; ref. Acqualimp, Amanco ou equivalente</v>
          </cell>
          <cell r="C1144" t="str">
            <v>UN</v>
          </cell>
          <cell r="D1144">
            <v>15031.75</v>
          </cell>
        </row>
        <row r="1145">
          <cell r="A1145" t="str">
            <v>M.04.000.092626</v>
          </cell>
          <cell r="B1145" t="str">
            <v>Plástico bolha, diâmetro de 1,00 a 2,00 cm - rolo de (1,00 x 100 ou 1,30 x 100) metros, ref. Syroplat ou equivalente</v>
          </cell>
          <cell r="C1145" t="str">
            <v>M2</v>
          </cell>
          <cell r="D1145">
            <v>0.53</v>
          </cell>
        </row>
        <row r="1146">
          <cell r="A1146" t="str">
            <v>M.04.000.092845</v>
          </cell>
          <cell r="B1146" t="str">
            <v>Película de controle solar refletiva para vidros, na cor prata; referência Window Film Silver 35 da 3M ou equivalente - instalado</v>
          </cell>
          <cell r="C1146" t="str">
            <v>M2</v>
          </cell>
          <cell r="D1146">
            <v>79.989999999999995</v>
          </cell>
        </row>
        <row r="1147">
          <cell r="A1147" t="str">
            <v>N.01.000.038507</v>
          </cell>
          <cell r="B1147" t="str">
            <v>Grama tipo batatais em placas (caminhão cap.400m²)</v>
          </cell>
          <cell r="C1147" t="str">
            <v>M2</v>
          </cell>
          <cell r="D1147">
            <v>7.9</v>
          </cell>
        </row>
        <row r="1148">
          <cell r="A1148" t="str">
            <v>N.01.000.038508</v>
          </cell>
          <cell r="B1148" t="str">
            <v>Forração Hera Inglesa, min. 18 mudas/m² - h= 0,15m</v>
          </cell>
          <cell r="C1148" t="str">
            <v>UN</v>
          </cell>
          <cell r="D1148">
            <v>2.16</v>
          </cell>
        </row>
        <row r="1149">
          <cell r="A1149" t="str">
            <v>N.01.000.038510</v>
          </cell>
          <cell r="B1149" t="str">
            <v>Terra vegetal orgânica adubada</v>
          </cell>
          <cell r="C1149" t="str">
            <v>M3</v>
          </cell>
          <cell r="D1149">
            <v>289.86</v>
          </cell>
        </row>
        <row r="1150">
          <cell r="A1150" t="str">
            <v>N.01.000.038511</v>
          </cell>
          <cell r="B1150" t="str">
            <v>Terra vegetal orgânica comum</v>
          </cell>
          <cell r="C1150" t="str">
            <v>M3</v>
          </cell>
          <cell r="D1150">
            <v>184.22</v>
          </cell>
        </row>
        <row r="1151">
          <cell r="A1151" t="str">
            <v>N.01.000.038513</v>
          </cell>
          <cell r="B1151" t="str">
            <v>Grama tipo Esmeralda em placas</v>
          </cell>
          <cell r="C1151" t="str">
            <v>M2</v>
          </cell>
          <cell r="D1151">
            <v>11.99</v>
          </cell>
        </row>
        <row r="1152">
          <cell r="A1152" t="str">
            <v>N.01.000.038516</v>
          </cell>
          <cell r="B1152" t="str">
            <v>Arbusto alamanda h= 0,60 a 0,80 m</v>
          </cell>
          <cell r="C1152" t="str">
            <v>UN</v>
          </cell>
          <cell r="D1152">
            <v>28.44</v>
          </cell>
        </row>
        <row r="1153">
          <cell r="A1153" t="str">
            <v>N.01.000.038605</v>
          </cell>
          <cell r="B1153" t="str">
            <v>Árvore ornamental tipo Ipê Amarelo - h= 2,00m</v>
          </cell>
          <cell r="C1153" t="str">
            <v>UN</v>
          </cell>
          <cell r="D1153">
            <v>103.38</v>
          </cell>
        </row>
        <row r="1154">
          <cell r="A1154" t="str">
            <v>N.01.000.038610</v>
          </cell>
          <cell r="B1154" t="str">
            <v>Grama tipo São Carlos em placas</v>
          </cell>
          <cell r="C1154" t="str">
            <v>M2</v>
          </cell>
          <cell r="D1154">
            <v>16.43</v>
          </cell>
        </row>
        <row r="1155">
          <cell r="A1155" t="str">
            <v>N.01.000.038613</v>
          </cell>
          <cell r="B1155" t="str">
            <v>Árvore ornamental tipo Areca Bambu - h= 2,00m</v>
          </cell>
          <cell r="C1155" t="str">
            <v>UN</v>
          </cell>
          <cell r="D1155">
            <v>187.79</v>
          </cell>
        </row>
        <row r="1156">
          <cell r="A1156" t="str">
            <v>N.01.000.038621</v>
          </cell>
          <cell r="B1156" t="str">
            <v>Arbusto Curculigo h= 0,60 a 0,80 m</v>
          </cell>
          <cell r="C1156" t="str">
            <v>UN</v>
          </cell>
          <cell r="D1156">
            <v>36.29</v>
          </cell>
        </row>
        <row r="1157">
          <cell r="A1157" t="str">
            <v>N.01.000.038624</v>
          </cell>
          <cell r="B1157" t="str">
            <v>Árvore ornamental tipo Manacá-da-serra - h= 2,00m</v>
          </cell>
          <cell r="C1157" t="str">
            <v>UN</v>
          </cell>
          <cell r="D1157">
            <v>47.92</v>
          </cell>
        </row>
        <row r="1158">
          <cell r="A1158" t="str">
            <v>N.01.000.038628</v>
          </cell>
          <cell r="B1158" t="str">
            <v>Árvore ornamental tipo Pata de Vaca - h= 2,00m</v>
          </cell>
          <cell r="C1158" t="str">
            <v>UN</v>
          </cell>
          <cell r="D1158">
            <v>61.95</v>
          </cell>
        </row>
        <row r="1159">
          <cell r="A1159" t="str">
            <v>N.01.000.038632</v>
          </cell>
          <cell r="B1159" t="str">
            <v>Forração Lírio Amarelo, min.18 mudas/m² - h= 0,50m</v>
          </cell>
          <cell r="C1159" t="str">
            <v>UN</v>
          </cell>
          <cell r="D1159">
            <v>5.61</v>
          </cell>
        </row>
        <row r="1160">
          <cell r="A1160" t="str">
            <v>N.01.000.038639</v>
          </cell>
          <cell r="B1160" t="str">
            <v>Arbusto Moréia - h= 0,50 m</v>
          </cell>
          <cell r="C1160" t="str">
            <v>UN</v>
          </cell>
          <cell r="D1160">
            <v>18.13</v>
          </cell>
        </row>
        <row r="1161">
          <cell r="A1161" t="str">
            <v>N.01.000.038642</v>
          </cell>
          <cell r="B1161" t="str">
            <v>Arbusto Azaléia - h= 0,60 a 0,80 m</v>
          </cell>
          <cell r="C1161" t="str">
            <v>UN</v>
          </cell>
          <cell r="D1161">
            <v>32.46</v>
          </cell>
        </row>
        <row r="1162">
          <cell r="A1162" t="str">
            <v>N.01.000.038648</v>
          </cell>
          <cell r="B1162" t="str">
            <v>Forração com clorofito, mínimo 20 mudas/m² - h= 0,15m</v>
          </cell>
          <cell r="C1162" t="str">
            <v>UN</v>
          </cell>
          <cell r="D1162">
            <v>1.96</v>
          </cell>
        </row>
        <row r="1163">
          <cell r="A1163" t="str">
            <v>N.01.000.038712</v>
          </cell>
          <cell r="B1163" t="str">
            <v>Árvore tipo Aroeira salsa (Shinus molle) - h= 2,00m</v>
          </cell>
          <cell r="C1163" t="str">
            <v>UN</v>
          </cell>
          <cell r="D1163">
            <v>92.37</v>
          </cell>
        </row>
        <row r="1164">
          <cell r="A1164" t="str">
            <v>N.01.000.039154</v>
          </cell>
          <cell r="B1164" t="str">
            <v>Árvore do tipo Coqueiro Jerivá (Syagrus romanzoffiana) - h= 4,00m</v>
          </cell>
          <cell r="C1164" t="str">
            <v>UN</v>
          </cell>
          <cell r="D1164">
            <v>360.65</v>
          </cell>
        </row>
        <row r="1165">
          <cell r="A1165" t="str">
            <v>N.01.000.039164</v>
          </cell>
          <cell r="B1165" t="str">
            <v>Árvore do tipo Falso barbatimão (Cassia leptophylla) - h= 2,00m</v>
          </cell>
          <cell r="C1165" t="str">
            <v>UN</v>
          </cell>
          <cell r="D1165">
            <v>307.22000000000003</v>
          </cell>
        </row>
        <row r="1166">
          <cell r="A1166" t="str">
            <v>N.02.000.091652</v>
          </cell>
          <cell r="B1166" t="str">
            <v>Mini centro de atividades em madeira rústica, ref. Mundo Mágico ou equivalente</v>
          </cell>
          <cell r="C1166" t="str">
            <v>CJ</v>
          </cell>
          <cell r="D1166">
            <v>5564.97</v>
          </cell>
        </row>
        <row r="1167">
          <cell r="A1167" t="str">
            <v>N.02.000.091653</v>
          </cell>
          <cell r="B1167" t="str">
            <v>Balanço duplo em madeira rústica, ref. Mundo Mágico ou equivalente</v>
          </cell>
          <cell r="C1167" t="str">
            <v>CJ</v>
          </cell>
          <cell r="D1167">
            <v>2856.37</v>
          </cell>
        </row>
        <row r="1168">
          <cell r="A1168" t="str">
            <v>N.02.000.091654</v>
          </cell>
          <cell r="B1168" t="str">
            <v>Gangorra dupla em madeira rústica, ref. Mundo Mágico ou equivalente</v>
          </cell>
          <cell r="C1168" t="str">
            <v>CJ</v>
          </cell>
          <cell r="D1168">
            <v>1664.49</v>
          </cell>
        </row>
        <row r="1169">
          <cell r="A1169" t="str">
            <v>N.02.000.091656</v>
          </cell>
          <cell r="B1169" t="str">
            <v>Gira-gira em ferro com assento de madeira (8 lugares), ref. Mundo Mágico ou equivalente</v>
          </cell>
          <cell r="C1169" t="str">
            <v>CJ</v>
          </cell>
          <cell r="D1169">
            <v>3805.95</v>
          </cell>
        </row>
        <row r="1170">
          <cell r="A1170" t="str">
            <v>N.03.000.050471</v>
          </cell>
          <cell r="B1170" t="str">
            <v>Assento (banco) articulado para banho, em liga de alumínio com pintura epóxi, de 700 x 450 mm, conforme norma NBR9050</v>
          </cell>
          <cell r="C1170" t="str">
            <v>UN</v>
          </cell>
          <cell r="D1170">
            <v>966.85</v>
          </cell>
        </row>
        <row r="1171">
          <cell r="A1171" t="str">
            <v>N.03.000.050494</v>
          </cell>
          <cell r="B1171" t="str">
            <v>Banco de madeira tipos cavalinho ou tamanduá, com réguas em madeira envernizada de 1,60m e pés em ferro fundido pintado</v>
          </cell>
          <cell r="C1171" t="str">
            <v>UN</v>
          </cell>
          <cell r="D1171">
            <v>848.65</v>
          </cell>
        </row>
        <row r="1172">
          <cell r="A1172" t="str">
            <v>N.03.000.065537</v>
          </cell>
          <cell r="B1172" t="str">
            <v>Tanque simples em granito sintético; ref. T60 Marsinty ou equivalente</v>
          </cell>
          <cell r="C1172" t="str">
            <v>UN</v>
          </cell>
          <cell r="D1172">
            <v>206</v>
          </cell>
        </row>
        <row r="1173">
          <cell r="A1173" t="str">
            <v>N.03.000.065539</v>
          </cell>
          <cell r="B1173" t="str">
            <v>Armário plástico para lavatório embutir/sobrepor; referência modelo A43 fabricação Astra ou equivalente</v>
          </cell>
          <cell r="C1173" t="str">
            <v>UN</v>
          </cell>
          <cell r="D1173">
            <v>104.67</v>
          </cell>
        </row>
        <row r="1174">
          <cell r="A1174" t="str">
            <v>N.03.000.094235</v>
          </cell>
          <cell r="B1174" t="str">
            <v>Superfície sólido mineral para bancadas, saias e frontões, não poroso e homogêneo composto de resina acrílica e minerais naturais; ref. Corian da Dupont ou equivalente</v>
          </cell>
          <cell r="C1174" t="str">
            <v>M2</v>
          </cell>
          <cell r="D1174">
            <v>2831.56</v>
          </cell>
        </row>
        <row r="1175">
          <cell r="A1175" t="str">
            <v>N.04.000.020300</v>
          </cell>
          <cell r="B1175" t="str">
            <v>Placa de sinalização em PVC fotoluminescente (200x200mmx2mm), com indicação de equipamentos de alarme, detecção e extinção de incêndio, ref. E001.01B da ADVcomm, E2 da Net Placa, 17388 da TAG Sinalização ou equivalente</v>
          </cell>
          <cell r="C1175" t="str">
            <v>UN</v>
          </cell>
          <cell r="D1175">
            <v>15.66</v>
          </cell>
        </row>
        <row r="1176">
          <cell r="A1176" t="str">
            <v>N.04.000.020301</v>
          </cell>
          <cell r="B1176" t="str">
            <v>Placa de sinalização em PVC fotoluminescente (150x150x2mm), com indicação de equipamentos de combate à incêndio; ref. E005.01A da ADVcomm, E5 da Perfect Vision, E7MH da Net Placa ou equivalente</v>
          </cell>
          <cell r="C1176" t="str">
            <v>UN</v>
          </cell>
          <cell r="D1176">
            <v>11.48</v>
          </cell>
        </row>
        <row r="1177">
          <cell r="A1177" t="str">
            <v>N.04.000.020302</v>
          </cell>
          <cell r="B1177" t="str">
            <v>Placa de sinalização em PVC fotoluminescente (240x120x2mm), indicação de rota de evacuação e saída de emergência; ref. S2 da Net Placa, 3670 da TAG Sinalização, S2 da Perfect Vision ou equivalente</v>
          </cell>
          <cell r="C1177" t="str">
            <v>UN</v>
          </cell>
          <cell r="D1177">
            <v>19.88</v>
          </cell>
        </row>
        <row r="1178">
          <cell r="A1178" t="str">
            <v>N.04.000.020303</v>
          </cell>
          <cell r="B1178" t="str">
            <v>Placa de sinalização em PVC fotoluminescente (145x145x2mm) /  (200x100x2mm), com identificação de pavimentos, ref. S017.01 da ADVcomm, 6076 da Tag Sinalização, S17 da Net Placa ou equivalente</v>
          </cell>
          <cell r="C1178" t="str">
            <v>UN</v>
          </cell>
          <cell r="D1178">
            <v>12.25</v>
          </cell>
        </row>
        <row r="1179">
          <cell r="A1179" t="str">
            <v>N.04.000.020304</v>
          </cell>
          <cell r="B1179" t="str">
            <v>Placa de sinalização em PVC, com indicação de alerta, (150x200x2mm); ref. A00511C da ADVcomm, 590 da TAG Sinalização, A1 da Perfect Vision ou equivalente</v>
          </cell>
          <cell r="C1179" t="str">
            <v>UN</v>
          </cell>
          <cell r="D1179">
            <v>24.33</v>
          </cell>
        </row>
        <row r="1180">
          <cell r="A1180" t="str">
            <v>N.04.000.020305</v>
          </cell>
          <cell r="B1180" t="str">
            <v>Placa de sinalização em PVC, com indicação de proibição normativa, (150x200x2mm); ref. P00111C da ADVcomm, 639 da TAG Sinalização, P4 da Net Placa ou equivalente</v>
          </cell>
          <cell r="C1180" t="str">
            <v>UN</v>
          </cell>
          <cell r="D1180">
            <v>9</v>
          </cell>
        </row>
        <row r="1181">
          <cell r="A1181" t="str">
            <v>N.04.000.020357</v>
          </cell>
          <cell r="B1181" t="str">
            <v>Placa para identificação da obra, em chapa de aço n° 18, galvanizado com tratamento anticorrosivo padrão</v>
          </cell>
          <cell r="C1181" t="str">
            <v>M2</v>
          </cell>
          <cell r="D1181">
            <v>736.87</v>
          </cell>
        </row>
        <row r="1182">
          <cell r="A1182" t="str">
            <v>N.04.000.020359</v>
          </cell>
          <cell r="B1182" t="str">
            <v>Placa de sinalização tátill em poliestireno "PS", na cor cinza claro e alto relevo em braile preto, nas dimensões de 80x50x3mm, para sinalização de pavimentos, conforme Norma NBR 9050</v>
          </cell>
          <cell r="C1182" t="str">
            <v>UN</v>
          </cell>
          <cell r="D1182">
            <v>27.95</v>
          </cell>
        </row>
        <row r="1183">
          <cell r="A1183" t="str">
            <v>N.04.000.037601</v>
          </cell>
          <cell r="B1183" t="str">
            <v>Matriz símbolo PSAI, poliestireno alto impacto, para vaga de estacionamento de pessoas com mobilidade reduzida, de acordo com a norma  NBR 9050</v>
          </cell>
          <cell r="C1183" t="str">
            <v>UN</v>
          </cell>
          <cell r="D1183">
            <v>268.05</v>
          </cell>
        </row>
        <row r="1184">
          <cell r="A1184" t="str">
            <v>N.04.000.039071</v>
          </cell>
          <cell r="B1184" t="str">
            <v>Placa de identificação em PVC, com texto em vinil e espessura de 2mm</v>
          </cell>
          <cell r="C1184" t="str">
            <v>M2</v>
          </cell>
          <cell r="D1184">
            <v>247.07</v>
          </cell>
        </row>
        <row r="1185">
          <cell r="A1185" t="str">
            <v>N.04.000.039085</v>
          </cell>
          <cell r="B1185" t="str">
            <v>Placa com sinalização indicativa de 7 x 25 cm, em acrílico cristal ou colorido, com espessura de 2 mm, com texto em vinílico adesivo</v>
          </cell>
          <cell r="C1185" t="str">
            <v>M2</v>
          </cell>
          <cell r="D1185">
            <v>1689.81</v>
          </cell>
        </row>
        <row r="1186">
          <cell r="A1186" t="str">
            <v>N.04.000.039112</v>
          </cell>
          <cell r="B1186" t="str">
            <v>Placa de identificação em alumínio para WC, com desenho universal de acessibilidade</v>
          </cell>
          <cell r="C1186" t="str">
            <v>UN</v>
          </cell>
          <cell r="D1186">
            <v>32.4</v>
          </cell>
        </row>
        <row r="1187">
          <cell r="A1187" t="str">
            <v>N.04.000.039114</v>
          </cell>
          <cell r="B1187" t="str">
            <v>Banner em lona com impressão digitalmente, com bainha reforçada e ilhoses</v>
          </cell>
          <cell r="C1187" t="str">
            <v>M2</v>
          </cell>
          <cell r="D1187">
            <v>120.51</v>
          </cell>
        </row>
        <row r="1188">
          <cell r="A1188" t="str">
            <v>N.04.000.039115</v>
          </cell>
          <cell r="B1188" t="str">
            <v>Requadro em metalon para banner em lona impresso</v>
          </cell>
          <cell r="C1188" t="str">
            <v>M</v>
          </cell>
          <cell r="D1188">
            <v>320.63</v>
          </cell>
        </row>
        <row r="1189">
          <cell r="A1189" t="str">
            <v>N.04.000.091435</v>
          </cell>
          <cell r="B1189" t="str">
            <v>Pictograma autoadesivo em policarbonato resistente para piso, de 80 cm x 120 cm, para área de resgate; ref. referência comercial Andaluz Acessibilidade, Escolha Certa, Advann Comunicação, Digimetta, Efeito Publicidade ou equivalente</v>
          </cell>
          <cell r="C1189" t="str">
            <v>UN</v>
          </cell>
          <cell r="D1189">
            <v>212.24</v>
          </cell>
        </row>
        <row r="1190">
          <cell r="A1190" t="str">
            <v>N.05.000.036719</v>
          </cell>
          <cell r="B1190" t="str">
            <v>Trave oficial para futebol de salão completa</v>
          </cell>
          <cell r="C1190" t="str">
            <v>UN</v>
          </cell>
          <cell r="D1190">
            <v>1985.06</v>
          </cell>
        </row>
        <row r="1191">
          <cell r="A1191" t="str">
            <v>N.05.000.036720</v>
          </cell>
          <cell r="B1191" t="str">
            <v>Rede para futebol de salão, em náilon, fio 2</v>
          </cell>
          <cell r="C1191" t="str">
            <v>UN</v>
          </cell>
          <cell r="D1191">
            <v>99.94</v>
          </cell>
        </row>
        <row r="1192">
          <cell r="A1192" t="str">
            <v>N.06.000.050297</v>
          </cell>
          <cell r="B1192" t="str">
            <v>Coifa em aço inoxidável com filtro e exaustor axial - área até 3,00 m²</v>
          </cell>
          <cell r="C1192" t="str">
            <v>M2</v>
          </cell>
          <cell r="D1192">
            <v>10615.42</v>
          </cell>
        </row>
        <row r="1193">
          <cell r="A1193" t="str">
            <v>N.06.000.050298</v>
          </cell>
          <cell r="B1193" t="str">
            <v>Coifa em aço inoxidável com filtro e exaustor axial - área de 3,01 até 7,50 m²</v>
          </cell>
          <cell r="C1193" t="str">
            <v>M2</v>
          </cell>
          <cell r="D1193">
            <v>8859.23</v>
          </cell>
        </row>
        <row r="1194">
          <cell r="A1194" t="str">
            <v>N.06.000.050299</v>
          </cell>
          <cell r="B1194" t="str">
            <v>Coifa em aço inoxidável com filtro e exaustor axial - área de 7,51 até 16,00 m²</v>
          </cell>
          <cell r="C1194" t="str">
            <v>M2</v>
          </cell>
          <cell r="D1194">
            <v>4549.53</v>
          </cell>
        </row>
        <row r="1195">
          <cell r="A1195" t="str">
            <v>N.07.000.000008</v>
          </cell>
          <cell r="B1195" t="str">
            <v>Segregador refletivo em resina sintética (bate rodas) de 48x17x9cm; ref. comercial ICD vias, LMC tintas, Sinalmax ou equivalente</v>
          </cell>
          <cell r="C1195" t="str">
            <v>UN</v>
          </cell>
          <cell r="D1195">
            <v>100.67</v>
          </cell>
        </row>
        <row r="1196">
          <cell r="A1196" t="str">
            <v>N.07.000.000009</v>
          </cell>
          <cell r="B1196" t="str">
            <v>Abraçadeira em aço galvanizado com parafusos e porcas para placas de sinalização</v>
          </cell>
          <cell r="C1196" t="str">
            <v>UN</v>
          </cell>
          <cell r="D1196">
            <v>25.5</v>
          </cell>
        </row>
        <row r="1197">
          <cell r="A1197" t="str">
            <v>N.07.000.000010</v>
          </cell>
          <cell r="B1197" t="str">
            <v>Placa regulamentação, advertência, educativa, orientação turística/serviços, ch.aço tipo NB 1010/1020, e= 1,25 mm, bitola 18, ou e= 1,50 mm, bitola 16 - ABNT NBR 11904, área até 2,0 m², refletiva com película IA/IA - ABNT NBR 14644</v>
          </cell>
          <cell r="C1197" t="str">
            <v>M2</v>
          </cell>
          <cell r="D1197">
            <v>1518.14</v>
          </cell>
        </row>
        <row r="1198">
          <cell r="A1198" t="str">
            <v>N.07.000.000011</v>
          </cell>
          <cell r="B1198" t="str">
            <v>Placa de regulamentação, advertência, educativa, de orientação turística e serviços, ch. aço tipo NB 1010/1020, e=1,25mm, bitola 18, ou e=1,50mm, bitola 16 - ABNT NBR 11904, área até 2,0 m², refletiva com película III/III - ABNT NBR 14644</v>
          </cell>
          <cell r="C1198" t="str">
            <v>M2</v>
          </cell>
          <cell r="D1198">
            <v>1586.08</v>
          </cell>
        </row>
        <row r="1199">
          <cell r="A1199" t="str">
            <v>N.07.000.000012</v>
          </cell>
          <cell r="B1199" t="str">
            <v>Placa de regulamentação, advertência, educativa, de orientação turística e de serviços, ch. alumínio liga 5052, tempera H-34, e= 2,0 mm, área até 2,0 m², totalmente refletiva com película IA/IA - ABNT NBR 14644</v>
          </cell>
          <cell r="C1199" t="str">
            <v>M2</v>
          </cell>
          <cell r="D1199">
            <v>1718.79</v>
          </cell>
        </row>
        <row r="1200">
          <cell r="A1200" t="str">
            <v>N.07.000.000013</v>
          </cell>
          <cell r="B1200" t="str">
            <v>Placa de regulamentação, advertência, educativa, de orientação turística e de serviços, em chapa de alumínio liga 5052, tempera H-34, esp. 2,0 mm, área até 2,0 m², totalmente refletiva com película III/III - ABNT NBR 14644</v>
          </cell>
          <cell r="C1200" t="str">
            <v>M2</v>
          </cell>
          <cell r="D1200">
            <v>1777.17</v>
          </cell>
        </row>
        <row r="1201">
          <cell r="A1201" t="str">
            <v>N.07.000.000014</v>
          </cell>
          <cell r="B1201" t="str">
            <v>Placa de regulamentação, advertência, educativa, de orientação turística e de serviços, em chapa de alumínio liga 5052, tempera H-34, esp. 2,0 mm, área maior que 2,0 m², modulada, totalmente refletiva com película III/III - ABNT NBR 14644</v>
          </cell>
          <cell r="C1201" t="str">
            <v>M2</v>
          </cell>
          <cell r="D1201">
            <v>2094.62</v>
          </cell>
        </row>
        <row r="1202">
          <cell r="A1202" t="str">
            <v>N.07.000.000015</v>
          </cell>
          <cell r="B1202" t="str">
            <v>Placa de regulamentação, advertência, educativa, de orientação turística e de serviços, em ACM - alumínio composto - ABNT-NBR-16179, área até 2,0 m², totalmente refletiva com película IA/IA - ABNT NBR 14644</v>
          </cell>
          <cell r="C1202" t="str">
            <v>M2</v>
          </cell>
          <cell r="D1202">
            <v>1738.24</v>
          </cell>
        </row>
        <row r="1203">
          <cell r="A1203" t="str">
            <v>N.07.000.000016</v>
          </cell>
          <cell r="B1203" t="str">
            <v>Placa de regulamentação, advertência, educativa, de orientação turística e de serviços, em ACM - alumínio composto - ABNT-NBR-16179, área até 2,0 m², totalmente refletiva com película III/III - ABNT NBR 14644</v>
          </cell>
          <cell r="C1203" t="str">
            <v>M2</v>
          </cell>
          <cell r="D1203">
            <v>1658.77</v>
          </cell>
        </row>
        <row r="1204">
          <cell r="A1204" t="str">
            <v>N.07.000.000017</v>
          </cell>
          <cell r="B1204" t="str">
            <v>Placa de regulamentação, advertência, educativa, de orientação turística e de serviços, em ACM - alumínio composto - ABNT-NBR-16179, área maior que 2,0 m², modulada, totalmente refletiva com película III/III - ABNT NBR 14644</v>
          </cell>
          <cell r="C1204" t="str">
            <v>M2</v>
          </cell>
          <cell r="D1204">
            <v>1888.43</v>
          </cell>
        </row>
        <row r="1205">
          <cell r="A1205" t="str">
            <v>N.07.000.000018</v>
          </cell>
          <cell r="B1205" t="str">
            <v>Execução de sinalização horizontal com aplicação tinta a base de resina acrílica emulsionada em água, ABNT NBR 13699</v>
          </cell>
          <cell r="C1205" t="str">
            <v>M2</v>
          </cell>
          <cell r="D1205">
            <v>47.81</v>
          </cell>
        </row>
        <row r="1206">
          <cell r="A1206" t="str">
            <v>N.07.000.000019</v>
          </cell>
          <cell r="B1206" t="str">
            <v>Execução de sinalização horizontal com aplicação de massa termoplástica à quente pelo método de extrusão na espessura de 3,0 mm, para faixas, ABNT NBR 13132 e NBR 15402</v>
          </cell>
          <cell r="C1206" t="str">
            <v>M2</v>
          </cell>
          <cell r="D1206">
            <v>134.44</v>
          </cell>
        </row>
        <row r="1207">
          <cell r="A1207" t="str">
            <v>N.07.000.000020</v>
          </cell>
          <cell r="B1207" t="str">
            <v>Execução de sinalização horizontal com aplicação de massa termoplástica à quente pelo método de extrusão na espessura de 3,0 mm, para legendas, ABNT NBR 13132  e NBR 15402</v>
          </cell>
          <cell r="C1207" t="str">
            <v>M2</v>
          </cell>
          <cell r="D1207">
            <v>141.66999999999999</v>
          </cell>
        </row>
        <row r="1208">
          <cell r="A1208" t="str">
            <v>N.07.000.000021</v>
          </cell>
          <cell r="B1208" t="str">
            <v>Execução de sinalização horizontal com aplicação de massa termoplástica à quente pelo método de aspersão, na espessura de 1,5 mm, para faixas, ABNT NBR 13159 e NBR 15402</v>
          </cell>
          <cell r="C1208" t="str">
            <v>M2</v>
          </cell>
          <cell r="D1208">
            <v>91.24</v>
          </cell>
        </row>
        <row r="1209">
          <cell r="A1209" t="str">
            <v>N.07.000.000022</v>
          </cell>
          <cell r="B1209" t="str">
            <v>Execução de sinalização horizontal com aplicação de laminado elastoplástico retrorefletivo e antiderrapante pré formado em diversas cores para símbolos e letras, ABNT NBR 15741</v>
          </cell>
          <cell r="C1209" t="str">
            <v>M2</v>
          </cell>
          <cell r="D1209">
            <v>250.77</v>
          </cell>
        </row>
        <row r="1210">
          <cell r="A1210" t="str">
            <v>N.07.000.000023</v>
          </cell>
          <cell r="B1210" t="str">
            <v>Execução de sinalização horizontal com aplicação de termoplástico de alto relevo, ABNT NBR 15543</v>
          </cell>
          <cell r="C1210" t="str">
            <v>M2</v>
          </cell>
          <cell r="D1210">
            <v>285.31</v>
          </cell>
        </row>
        <row r="1211">
          <cell r="A1211" t="str">
            <v>N.07.000.000024</v>
          </cell>
          <cell r="B1211" t="str">
            <v>Execução de sinalização horizontal com aplicação de plástico a frio manual a base de resinas metacrílicas reativas para faixas, ABNT NBR 15870</v>
          </cell>
          <cell r="C1211" t="str">
            <v>M2</v>
          </cell>
          <cell r="D1211">
            <v>257.52999999999997</v>
          </cell>
        </row>
        <row r="1212">
          <cell r="A1212" t="str">
            <v>N.07.000.000025</v>
          </cell>
          <cell r="B1212" t="str">
            <v>Remoção de sinalização horizontal existente pelo processo manual ou mecânico, ABNT NBR 15405</v>
          </cell>
          <cell r="C1212" t="str">
            <v>M2</v>
          </cell>
          <cell r="D1212">
            <v>97.73</v>
          </cell>
        </row>
        <row r="1213">
          <cell r="A1213" t="str">
            <v>N.07.000.000026</v>
          </cell>
          <cell r="B1213" t="str">
            <v>Limpeza, pré marcação e pré pintura de solo</v>
          </cell>
          <cell r="C1213" t="str">
            <v>M2</v>
          </cell>
          <cell r="D1213">
            <v>81.03</v>
          </cell>
        </row>
        <row r="1214">
          <cell r="A1214" t="str">
            <v>O.01.000.067503</v>
          </cell>
          <cell r="B1214" t="str">
            <v>Caixa de gordura em PVC, com tampa, cesto de limpeza, 2 entradas de 75mm, 1 entrada de 50mm, 1 saída de 100mm, completo; ref. Tigre ou equivalente - capacidade de 19 litros</v>
          </cell>
          <cell r="C1214" t="str">
            <v>UN</v>
          </cell>
          <cell r="D1214">
            <v>382.22</v>
          </cell>
        </row>
        <row r="1215">
          <cell r="A1215" t="str">
            <v>O.01.000.960000</v>
          </cell>
          <cell r="B1215" t="str">
            <v>Caixa de gordura em concreto com tampa, modelo G1 (para 1 pia), volume 18 litros; ref. Concrebox ou equivamente</v>
          </cell>
          <cell r="C1215" t="str">
            <v>UN</v>
          </cell>
          <cell r="D1215">
            <v>83.98</v>
          </cell>
        </row>
        <row r="1216">
          <cell r="A1216" t="str">
            <v>O.02.000.062501</v>
          </cell>
          <cell r="B1216" t="str">
            <v>Tubo de PVC rígido soldável marrom, DN= 20mm (1/2´)</v>
          </cell>
          <cell r="C1216" t="str">
            <v>M</v>
          </cell>
          <cell r="D1216">
            <v>3.76</v>
          </cell>
        </row>
        <row r="1217">
          <cell r="A1217" t="str">
            <v>O.02.000.062502</v>
          </cell>
          <cell r="B1217" t="str">
            <v>Tubo de PVC rígido soldável marrom, DN= 25mm (3/4´)</v>
          </cell>
          <cell r="C1217" t="str">
            <v>M</v>
          </cell>
          <cell r="D1217">
            <v>3.64</v>
          </cell>
        </row>
        <row r="1218">
          <cell r="A1218" t="str">
            <v>O.02.000.062503</v>
          </cell>
          <cell r="B1218" t="str">
            <v>Tubo de PVC rígido soldável marrom, DN= 32mm (1´)</v>
          </cell>
          <cell r="C1218" t="str">
            <v>M</v>
          </cell>
          <cell r="D1218">
            <v>8.7200000000000006</v>
          </cell>
        </row>
        <row r="1219">
          <cell r="A1219" t="str">
            <v>O.02.000.062504</v>
          </cell>
          <cell r="B1219" t="str">
            <v>Tubo de PVC rígido soldável marrom, DN= 40mm (1 1/4´)</v>
          </cell>
          <cell r="C1219" t="str">
            <v>M</v>
          </cell>
          <cell r="D1219">
            <v>15.28</v>
          </cell>
        </row>
        <row r="1220">
          <cell r="A1220" t="str">
            <v>O.02.000.062505</v>
          </cell>
          <cell r="B1220" t="str">
            <v>Tubo de PVC rígido soldável marrom, DN= 50mm (1 1/2´)</v>
          </cell>
          <cell r="C1220" t="str">
            <v>M</v>
          </cell>
          <cell r="D1220">
            <v>14.01</v>
          </cell>
        </row>
        <row r="1221">
          <cell r="A1221" t="str">
            <v>O.02.000.062506</v>
          </cell>
          <cell r="B1221" t="str">
            <v>Tubo de PVC rígido soldável marrom, DN= 60mm (2´)</v>
          </cell>
          <cell r="C1221" t="str">
            <v>M</v>
          </cell>
          <cell r="D1221">
            <v>30.58</v>
          </cell>
        </row>
        <row r="1222">
          <cell r="A1222" t="str">
            <v>O.02.000.062507</v>
          </cell>
          <cell r="B1222" t="str">
            <v>Tubo de PVC rígido soldável marrom, DN= 75mm (2 1/2´)</v>
          </cell>
          <cell r="C1222" t="str">
            <v>M</v>
          </cell>
          <cell r="D1222">
            <v>47.26</v>
          </cell>
        </row>
        <row r="1223">
          <cell r="A1223" t="str">
            <v>O.02.000.062508</v>
          </cell>
          <cell r="B1223" t="str">
            <v>Tubo de PVC rígido soldável marrom, DN= 85mm (3´)</v>
          </cell>
          <cell r="C1223" t="str">
            <v>M</v>
          </cell>
          <cell r="D1223">
            <v>62.17</v>
          </cell>
        </row>
        <row r="1224">
          <cell r="A1224" t="str">
            <v>O.02.000.062509</v>
          </cell>
          <cell r="B1224" t="str">
            <v>Tubo de PVC rígido soldável marrom, DN= 110mm (4´)</v>
          </cell>
          <cell r="C1224" t="str">
            <v>M</v>
          </cell>
          <cell r="D1224">
            <v>99.86</v>
          </cell>
        </row>
        <row r="1225">
          <cell r="A1225" t="str">
            <v>O.02.000.062512</v>
          </cell>
          <cell r="B1225" t="str">
            <v>Tubo de PVC rígido DEFoFo, DN= 200mm (DE= 222mm), ref. Vinilfer ou equivalente</v>
          </cell>
          <cell r="C1225" t="str">
            <v>M</v>
          </cell>
          <cell r="D1225">
            <v>234.54</v>
          </cell>
        </row>
        <row r="1226">
          <cell r="A1226" t="str">
            <v>O.02.000.062513</v>
          </cell>
          <cell r="B1226" t="str">
            <v>Tubo de PVC rígido DEFoFo, DN= 250mm (DE= 274mm), ref. Vinilfer ou equivalente</v>
          </cell>
          <cell r="C1226" t="str">
            <v>M</v>
          </cell>
          <cell r="D1226">
            <v>375.77</v>
          </cell>
        </row>
        <row r="1227">
          <cell r="A1227" t="str">
            <v>O.02.000.062514</v>
          </cell>
          <cell r="B1227" t="str">
            <v>Tubo de PVC rígido DEFoFo, DN= 300mm (DE= 326mm), ref. Vinilfer ou equivalente</v>
          </cell>
          <cell r="C1227" t="str">
            <v>M</v>
          </cell>
          <cell r="D1227">
            <v>486.32</v>
          </cell>
        </row>
        <row r="1228">
          <cell r="A1228" t="str">
            <v>O.02.000.062515</v>
          </cell>
          <cell r="B1228" t="str">
            <v>Tubo de PVC rígido tipo Coletor Esgoto, DN= 400 mm, junta elástica</v>
          </cell>
          <cell r="C1228" t="str">
            <v>M</v>
          </cell>
          <cell r="D1228">
            <v>396.83</v>
          </cell>
        </row>
        <row r="1229">
          <cell r="A1229" t="str">
            <v>O.02.000.062530</v>
          </cell>
          <cell r="B1229" t="str">
            <v>Tubo de PVC rígido branco, pontas lisas, soldável, série normal, DN 40mm</v>
          </cell>
          <cell r="C1229" t="str">
            <v>M</v>
          </cell>
          <cell r="D1229">
            <v>6.75</v>
          </cell>
        </row>
        <row r="1230">
          <cell r="A1230" t="str">
            <v>O.02.000.062531</v>
          </cell>
          <cell r="B1230" t="str">
            <v>Tubo de PVC rígido branco PxB com virola, linha esgoto série normal, DN= 50mm</v>
          </cell>
          <cell r="C1230" t="str">
            <v>M</v>
          </cell>
          <cell r="D1230">
            <v>9.9499999999999993</v>
          </cell>
        </row>
        <row r="1231">
          <cell r="A1231" t="str">
            <v>O.02.000.062532</v>
          </cell>
          <cell r="B1231" t="str">
            <v>Tubo de PVC rígido branco PxB com virola, linha esgoto série normal, DN= 75mm</v>
          </cell>
          <cell r="C1231" t="str">
            <v>M</v>
          </cell>
          <cell r="D1231">
            <v>15.46</v>
          </cell>
        </row>
        <row r="1232">
          <cell r="A1232" t="str">
            <v>O.02.000.062533</v>
          </cell>
          <cell r="B1232" t="str">
            <v>Tubo de PVC rígido branco PxB com virola, linha esgoto série normal, DN= 100mm</v>
          </cell>
          <cell r="C1232" t="str">
            <v>M</v>
          </cell>
          <cell r="D1232">
            <v>14.51</v>
          </cell>
        </row>
        <row r="1233">
          <cell r="A1233" t="str">
            <v>O.02.000.062534</v>
          </cell>
          <cell r="B1233" t="str">
            <v>Tubo de PVC para esgoto 150mm</v>
          </cell>
          <cell r="C1233" t="str">
            <v>M</v>
          </cell>
          <cell r="D1233">
            <v>32.79</v>
          </cell>
        </row>
        <row r="1234">
          <cell r="A1234" t="str">
            <v>O.02.000.062549</v>
          </cell>
          <cell r="B1234" t="str">
            <v>Tubo descarga em PVC de 1 1/2´ longo</v>
          </cell>
          <cell r="C1234" t="str">
            <v>UN</v>
          </cell>
          <cell r="D1234">
            <v>24.21</v>
          </cell>
        </row>
        <row r="1235">
          <cell r="A1235" t="str">
            <v>O.02.000.062554</v>
          </cell>
          <cell r="B1235" t="str">
            <v>Tubo de PVC rígido, pontas lisas, soldável, linha esgoto série reforçada ´R´, DN= 40mm</v>
          </cell>
          <cell r="C1235" t="str">
            <v>M</v>
          </cell>
          <cell r="D1235">
            <v>12.74</v>
          </cell>
        </row>
        <row r="1236">
          <cell r="A1236" t="str">
            <v>O.02.000.062558</v>
          </cell>
          <cell r="B1236" t="str">
            <v>Tubo de PVC rígido PxB com virola, linha esgoto série reforçada ´R´, DN= 50mm</v>
          </cell>
          <cell r="C1236" t="str">
            <v>M</v>
          </cell>
          <cell r="D1236">
            <v>16.02</v>
          </cell>
        </row>
        <row r="1237">
          <cell r="A1237" t="str">
            <v>O.02.000.062560</v>
          </cell>
          <cell r="B1237" t="str">
            <v>Tubo de PVC rígido PxB com virola, linha esgoto série reforçada ´R´, DN= 75mm</v>
          </cell>
          <cell r="C1237" t="str">
            <v>M</v>
          </cell>
          <cell r="D1237">
            <v>27.51</v>
          </cell>
        </row>
        <row r="1238">
          <cell r="A1238" t="str">
            <v>O.02.000.062561</v>
          </cell>
          <cell r="B1238" t="str">
            <v>Tubo de PVC rígido PxB com virola, linha esgoto série reforçada ´R´, DN= 100mm</v>
          </cell>
          <cell r="C1238" t="str">
            <v>M</v>
          </cell>
          <cell r="D1238">
            <v>41.17</v>
          </cell>
        </row>
        <row r="1239">
          <cell r="A1239" t="str">
            <v>O.02.000.062562</v>
          </cell>
          <cell r="B1239" t="str">
            <v>Tubo de PVC rígido PxB com virola, linha esgoto série reforçada ´R´, DN= 150mm</v>
          </cell>
          <cell r="C1239" t="str">
            <v>M</v>
          </cell>
          <cell r="D1239">
            <v>81.69</v>
          </cell>
        </row>
        <row r="1240">
          <cell r="A1240" t="str">
            <v>O.02.000.062570</v>
          </cell>
          <cell r="B1240" t="str">
            <v>Tubo de PVC rígido PBA, classe 15, DN= 50mm</v>
          </cell>
          <cell r="C1240" t="str">
            <v>M</v>
          </cell>
          <cell r="D1240">
            <v>26.1</v>
          </cell>
        </row>
        <row r="1241">
          <cell r="A1241" t="str">
            <v>O.02.000.062571</v>
          </cell>
          <cell r="B1241" t="str">
            <v>Tubo de PVC rígido PBA, classe 15, DN= 75mm</v>
          </cell>
          <cell r="C1241" t="str">
            <v>M</v>
          </cell>
          <cell r="D1241">
            <v>50.18</v>
          </cell>
        </row>
        <row r="1242">
          <cell r="A1242" t="str">
            <v>O.02.000.062572</v>
          </cell>
          <cell r="B1242" t="str">
            <v>Tubo de PVC rígido PBA, classe 15, DN= 100mm</v>
          </cell>
          <cell r="C1242" t="str">
            <v>M</v>
          </cell>
          <cell r="D1242">
            <v>94.91</v>
          </cell>
        </row>
        <row r="1243">
          <cell r="A1243" t="str">
            <v>O.02.000.062581</v>
          </cell>
          <cell r="B1243" t="str">
            <v>Tubo de PVC rígido tipo Coletor Esgoto, DN= 100mm</v>
          </cell>
          <cell r="C1243" t="str">
            <v>M</v>
          </cell>
          <cell r="D1243">
            <v>26.62</v>
          </cell>
        </row>
        <row r="1244">
          <cell r="A1244" t="str">
            <v>O.02.000.062583</v>
          </cell>
          <cell r="B1244" t="str">
            <v>Tubo de PVC rígido tipo Coletor Esgoto, DN= 150mm</v>
          </cell>
          <cell r="C1244" t="str">
            <v>M</v>
          </cell>
          <cell r="D1244">
            <v>53.77</v>
          </cell>
        </row>
        <row r="1245">
          <cell r="A1245" t="str">
            <v>O.02.000.062584</v>
          </cell>
          <cell r="B1245" t="str">
            <v>Tubo de PVC rígido tipo Coletor Esgoto, DN= 200mm</v>
          </cell>
          <cell r="C1245" t="str">
            <v>M</v>
          </cell>
          <cell r="D1245">
            <v>85.43</v>
          </cell>
        </row>
        <row r="1246">
          <cell r="A1246" t="str">
            <v>O.02.000.062585</v>
          </cell>
          <cell r="B1246" t="str">
            <v>Tubo de PVC rígido tipo Coletor Esgoto, DN= 250mm</v>
          </cell>
          <cell r="C1246" t="str">
            <v>M</v>
          </cell>
          <cell r="D1246">
            <v>149.49</v>
          </cell>
        </row>
        <row r="1247">
          <cell r="A1247" t="str">
            <v>O.02.000.062586</v>
          </cell>
          <cell r="B1247" t="str">
            <v>Tubo de PVC rígido tipo Coletor Esgoto, DN= 300mm</v>
          </cell>
          <cell r="C1247" t="str">
            <v>M</v>
          </cell>
          <cell r="D1247">
            <v>224.52</v>
          </cell>
        </row>
        <row r="1248">
          <cell r="A1248" t="str">
            <v>O.02.000.062591</v>
          </cell>
          <cell r="B1248" t="str">
            <v>Caixa de areia em PVC de 100 mm, ref. Tigre ou equivalente</v>
          </cell>
          <cell r="C1248" t="str">
            <v>UN</v>
          </cell>
          <cell r="D1248">
            <v>487.42</v>
          </cell>
        </row>
        <row r="1249">
          <cell r="A1249" t="str">
            <v>O.02.000.063513</v>
          </cell>
          <cell r="B1249" t="str">
            <v>Registro de pressão PVC soldável DN= 25mm (3/4´)</v>
          </cell>
          <cell r="C1249" t="str">
            <v>UN</v>
          </cell>
          <cell r="D1249">
            <v>12.36</v>
          </cell>
        </row>
        <row r="1250">
          <cell r="A1250" t="str">
            <v>O.02.000.064510</v>
          </cell>
          <cell r="B1250" t="str">
            <v>Sifão de PVC rígido tipo copo 1´ x 1 1/2´, com tubo de ligação ajustável; ref. Akros 43.003-2 ou equivalente</v>
          </cell>
          <cell r="C1250" t="str">
            <v>UN</v>
          </cell>
          <cell r="D1250">
            <v>8.2100000000000009</v>
          </cell>
        </row>
        <row r="1251">
          <cell r="A1251" t="str">
            <v>O.02.000.065572</v>
          </cell>
          <cell r="B1251" t="str">
            <v>Válvula para lavatório em PVC- ref. Astra ou equivalente</v>
          </cell>
          <cell r="C1251" t="str">
            <v>UN</v>
          </cell>
          <cell r="D1251">
            <v>7.81</v>
          </cell>
        </row>
        <row r="1252">
          <cell r="A1252" t="str">
            <v>O.02.000.067501</v>
          </cell>
          <cell r="B1252" t="str">
            <v>Caixa sifonada em PVC rígido de 150 x 150 x 50 mm</v>
          </cell>
          <cell r="C1252" t="str">
            <v>UN</v>
          </cell>
          <cell r="D1252">
            <v>39.229999999999997</v>
          </cell>
        </row>
        <row r="1253">
          <cell r="A1253" t="str">
            <v>O.02.000.067509</v>
          </cell>
          <cell r="B1253" t="str">
            <v>Caixa sifonada em PVC rígido de 250 x 230 x 75 mm, com tampa cega</v>
          </cell>
          <cell r="C1253" t="str">
            <v>UN</v>
          </cell>
          <cell r="D1253">
            <v>116.16</v>
          </cell>
        </row>
        <row r="1254">
          <cell r="A1254" t="str">
            <v>O.02.000.067510</v>
          </cell>
          <cell r="B1254" t="str">
            <v>Ralo seco em PVC rígido de 100 x 40 mm</v>
          </cell>
          <cell r="C1254" t="str">
            <v>UN</v>
          </cell>
          <cell r="D1254">
            <v>11.74</v>
          </cell>
        </row>
        <row r="1255">
          <cell r="A1255" t="str">
            <v>O.02.000.067512</v>
          </cell>
          <cell r="B1255" t="str">
            <v>Caixa sifonada em PVC rígido de 100 x 150 x 50 mm</v>
          </cell>
          <cell r="C1255" t="str">
            <v>UN</v>
          </cell>
          <cell r="D1255">
            <v>31.01</v>
          </cell>
        </row>
        <row r="1256">
          <cell r="A1256" t="str">
            <v>O.02.000.067514</v>
          </cell>
          <cell r="B1256" t="str">
            <v>Caixa sifonada em PVC rígido de 250 x 172 x 50 mm, com tampa cega</v>
          </cell>
          <cell r="C1256" t="str">
            <v>UN</v>
          </cell>
          <cell r="D1256">
            <v>83.63</v>
          </cell>
        </row>
        <row r="1257">
          <cell r="A1257" t="str">
            <v>O.02.000.067527</v>
          </cell>
          <cell r="B1257" t="str">
            <v>Caixa sifonada em PVC rígido de 100 x 100 x 50 mm</v>
          </cell>
          <cell r="C1257" t="str">
            <v>UN</v>
          </cell>
          <cell r="D1257">
            <v>16.190000000000001</v>
          </cell>
        </row>
        <row r="1258">
          <cell r="A1258" t="str">
            <v>O.02.000.069514</v>
          </cell>
          <cell r="B1258" t="str">
            <v>Solução limpadora para PVC</v>
          </cell>
          <cell r="C1258" t="str">
            <v>L</v>
          </cell>
          <cell r="D1258">
            <v>50.22</v>
          </cell>
        </row>
        <row r="1259">
          <cell r="A1259" t="str">
            <v>O.02.000.069520</v>
          </cell>
          <cell r="B1259" t="str">
            <v>Condutor circular em PVC 88mm, ref. Aquapluv-AP da Tigre ou equivalente</v>
          </cell>
          <cell r="C1259" t="str">
            <v>M</v>
          </cell>
          <cell r="D1259">
            <v>55.63</v>
          </cell>
        </row>
        <row r="1260">
          <cell r="A1260" t="str">
            <v>O.02.000.069521</v>
          </cell>
          <cell r="B1260" t="str">
            <v>Calha em PVC (policloreto de vinila) de 125mm; ref. Aquapluv AP da Tigre ou equivalente</v>
          </cell>
          <cell r="C1260" t="str">
            <v>M</v>
          </cell>
          <cell r="D1260">
            <v>80.72</v>
          </cell>
        </row>
        <row r="1261">
          <cell r="A1261" t="str">
            <v>O.02.000.090596</v>
          </cell>
          <cell r="B1261" t="str">
            <v>Tubo de PVC rígido DEFoFo, DN= 150mm (DE= 170mm); ref. Vinilfer ou equivalente</v>
          </cell>
          <cell r="C1261" t="str">
            <v>M</v>
          </cell>
          <cell r="D1261">
            <v>136.1</v>
          </cell>
        </row>
        <row r="1262">
          <cell r="A1262" t="str">
            <v>O.02.000.090600</v>
          </cell>
          <cell r="B1262" t="str">
            <v>Bengala em PVC rígido para o ramal de entrada, diâmetro de 32 mm, padrão Eletropaulo; ref. Coflex ou equivalente</v>
          </cell>
          <cell r="C1262" t="str">
            <v>UN</v>
          </cell>
          <cell r="D1262">
            <v>39</v>
          </cell>
        </row>
        <row r="1263">
          <cell r="A1263" t="str">
            <v>O.02.000.090637</v>
          </cell>
          <cell r="B1263" t="str">
            <v>Tubo de PVC rígido DEFoFo, DN= 100mm (DE= 118mm); ref. Vinilfer ou equivalente</v>
          </cell>
          <cell r="C1263" t="str">
            <v>M</v>
          </cell>
          <cell r="D1263">
            <v>74.14</v>
          </cell>
        </row>
        <row r="1264">
          <cell r="A1264" t="str">
            <v>O.02.000.090829</v>
          </cell>
          <cell r="B1264" t="str">
            <v>Caixa sifonada em PVC rígido de 150 x 185 x 75 mm; ref. Tigre ou equivalente</v>
          </cell>
          <cell r="C1264" t="str">
            <v>UN</v>
          </cell>
          <cell r="D1264">
            <v>46.95</v>
          </cell>
        </row>
        <row r="1265">
          <cell r="A1265" t="str">
            <v>O.03.000.061340</v>
          </cell>
          <cell r="B1265" t="str">
            <v>Tubo em polietileno de alta densidade PEAD PE 100 SDR17, DE 160 mm, PN-10, soldado</v>
          </cell>
          <cell r="C1265" t="str">
            <v>M</v>
          </cell>
          <cell r="D1265">
            <v>99.38</v>
          </cell>
        </row>
        <row r="1266">
          <cell r="A1266" t="str">
            <v>O.03.000.061341</v>
          </cell>
          <cell r="B1266" t="str">
            <v>Tubo em polietileno de alta densidade PEAD PE 100 SDR17, DE 200 mm, PN-10, soldado</v>
          </cell>
          <cell r="C1266" t="str">
            <v>M</v>
          </cell>
          <cell r="D1266">
            <v>166.29</v>
          </cell>
        </row>
        <row r="1267">
          <cell r="A1267" t="str">
            <v>O.03.000.061342</v>
          </cell>
          <cell r="B1267" t="str">
            <v>Tubo em polietileno de alta densidade PEAD PE 100 SDR17, DE 225 mm, PN-10, soldado</v>
          </cell>
          <cell r="C1267" t="str">
            <v>M</v>
          </cell>
          <cell r="D1267">
            <v>194.36</v>
          </cell>
        </row>
        <row r="1268">
          <cell r="A1268" t="str">
            <v>O.03.000.062681</v>
          </cell>
          <cell r="B1268" t="str">
            <v>Duto corrugado para dreno tipo Kananet, DN= 3´</v>
          </cell>
          <cell r="C1268" t="str">
            <v>M</v>
          </cell>
          <cell r="D1268">
            <v>8.6</v>
          </cell>
        </row>
        <row r="1269">
          <cell r="A1269" t="str">
            <v>O.03.000.062682</v>
          </cell>
          <cell r="B1269" t="str">
            <v>Duto corrugado para dreno tipo Kananet, DN= 4´</v>
          </cell>
          <cell r="C1269" t="str">
            <v>M</v>
          </cell>
          <cell r="D1269">
            <v>11.89</v>
          </cell>
        </row>
        <row r="1270">
          <cell r="A1270" t="str">
            <v>O.03.000.062683</v>
          </cell>
          <cell r="B1270" t="str">
            <v>Duto corrugado para dreno tipo Kananet, DN= 2 1/2´</v>
          </cell>
          <cell r="C1270" t="str">
            <v>M</v>
          </cell>
          <cell r="D1270">
            <v>7.58</v>
          </cell>
        </row>
        <row r="1271">
          <cell r="A1271" t="str">
            <v>O.03.000.062684</v>
          </cell>
          <cell r="B1271" t="str">
            <v>Duto corrugado para dreno tipo Kananet, DN= 6´</v>
          </cell>
          <cell r="C1271" t="str">
            <v>M</v>
          </cell>
          <cell r="D1271">
            <v>23.25</v>
          </cell>
        </row>
        <row r="1272">
          <cell r="A1272" t="str">
            <v>O.03.000.062686</v>
          </cell>
          <cell r="B1272" t="str">
            <v>Duto corrugado para dreno tipo Kananet, DN= 8´</v>
          </cell>
          <cell r="C1272" t="str">
            <v>M</v>
          </cell>
          <cell r="D1272">
            <v>34.81</v>
          </cell>
        </row>
        <row r="1273">
          <cell r="A1273" t="str">
            <v>O.03.000.062690</v>
          </cell>
          <cell r="B1273" t="str">
            <v>Tubo em polietileno de alta densidade corrugado para drenagem, ponta/bolsa/anel de vedação, SN4, DN/DI = 250 mm, ref. KNTS da Kanaflex, Tigre ADS ou equivalente</v>
          </cell>
          <cell r="C1273" t="str">
            <v>M</v>
          </cell>
          <cell r="D1273">
            <v>80.56</v>
          </cell>
        </row>
        <row r="1274">
          <cell r="A1274" t="str">
            <v>O.03.000.062691</v>
          </cell>
          <cell r="B1274" t="str">
            <v>Tubo em polietileno de alta densidade corrugado para drenagem, ponta/bolsa/anel de vedação, SN4, DN/DI = 300 mm, ref. KNTS da Kanaflex, Tigre ADS ou equivalente</v>
          </cell>
          <cell r="C1274" t="str">
            <v>M</v>
          </cell>
          <cell r="D1274">
            <v>109.58</v>
          </cell>
        </row>
        <row r="1275">
          <cell r="A1275" t="str">
            <v>O.03.000.062692</v>
          </cell>
          <cell r="B1275" t="str">
            <v>Tubo em polietileno de alta densidade corrugado para drenagem, ponta/bolsa/anel de vedação, SN4, DN/DI = 400 mm, ref. KNTS da Kanaflex, Tigre ADS ou equivalente</v>
          </cell>
          <cell r="C1275" t="str">
            <v>M</v>
          </cell>
          <cell r="D1275">
            <v>188.64</v>
          </cell>
        </row>
        <row r="1276">
          <cell r="A1276" t="str">
            <v>O.03.000.062693</v>
          </cell>
          <cell r="B1276" t="str">
            <v>Tubo em polietileno de alta densidade corrugado para drenagem, ponta/bolsa/anel de vedação, SN4, DN/DI = 500 mm, ref. KNTS da Kanaflex, Tigre ADS ou equivalente</v>
          </cell>
          <cell r="C1276" t="str">
            <v>M</v>
          </cell>
          <cell r="D1276">
            <v>315.91000000000003</v>
          </cell>
        </row>
        <row r="1277">
          <cell r="A1277" t="str">
            <v>O.03.000.062694</v>
          </cell>
          <cell r="B1277" t="str">
            <v>Tubo em polietileno de alta densidade corrugado para drenagem, ponta/bolsa/anel de vedação, SN4, DN/DI = 600 mm, ref. KNTS da Kanaflex, Tigre ADS ou equivalente</v>
          </cell>
          <cell r="C1277" t="str">
            <v>M</v>
          </cell>
          <cell r="D1277">
            <v>414.21</v>
          </cell>
        </row>
        <row r="1278">
          <cell r="A1278" t="str">
            <v>O.03.000.062695</v>
          </cell>
          <cell r="B1278" t="str">
            <v>Tubo em polietileno de alta densidade corrugado para drenagem, ponta/bolsa/anel de vedação, SN4, DN/DI = 800 mm, ref. KNTS da Kanaflex, Tigre ADS ou equivalente</v>
          </cell>
          <cell r="C1278" t="str">
            <v>M</v>
          </cell>
          <cell r="D1278">
            <v>668.03</v>
          </cell>
        </row>
        <row r="1279">
          <cell r="A1279" t="str">
            <v>O.03.000.062696</v>
          </cell>
          <cell r="B1279" t="str">
            <v>Tubo em polietileno de alta densidade corrugado para drenagem, ponta/bolsa/anel de vedação, SN4, DN/DI = 1000 mm, ref. KNTS da Kanaflex, Tigre ADS ou equivalente</v>
          </cell>
          <cell r="C1279" t="str">
            <v>M</v>
          </cell>
          <cell r="D1279">
            <v>954.7</v>
          </cell>
        </row>
        <row r="1280">
          <cell r="A1280" t="str">
            <v>O.03.000.062697</v>
          </cell>
          <cell r="B1280" t="str">
            <v>Tubo em polietileno de alta densidade corrugado para drenagem, ponta/bolsa/anel de vedação, SN4, DN/DI = 1200 mm, ref. KNTS da Kanaflex, Tigre ADS ou equivalente</v>
          </cell>
          <cell r="C1280" t="str">
            <v>M</v>
          </cell>
          <cell r="D1280">
            <v>1319.89</v>
          </cell>
        </row>
        <row r="1281">
          <cell r="A1281" t="str">
            <v>O.04.000.020472</v>
          </cell>
          <cell r="B1281" t="str">
            <v>Tubo em aço carbono preto sem costura, SCH 40 DN= 6´</v>
          </cell>
          <cell r="C1281" t="str">
            <v>M</v>
          </cell>
          <cell r="D1281">
            <v>438.26</v>
          </cell>
        </row>
        <row r="1282">
          <cell r="A1282" t="str">
            <v>O.04.000.021101</v>
          </cell>
          <cell r="B1282" t="str">
            <v>Tubo de aço carbono preto sem costura, SCH 40 DN= 3´</v>
          </cell>
          <cell r="C1282" t="str">
            <v>M</v>
          </cell>
          <cell r="D1282">
            <v>180.59</v>
          </cell>
        </row>
        <row r="1283">
          <cell r="A1283" t="str">
            <v>O.04.000.021102</v>
          </cell>
          <cell r="B1283" t="str">
            <v>Tubo de aço carbono preto sem costura, SCH 40 DN= 8´</v>
          </cell>
          <cell r="C1283" t="str">
            <v>M</v>
          </cell>
          <cell r="D1283">
            <v>669.95</v>
          </cell>
        </row>
        <row r="1284">
          <cell r="A1284" t="str">
            <v>O.04.000.021105</v>
          </cell>
          <cell r="B1284" t="str">
            <v>Tubo em aço carbono preto sem costura SCH 40 DN= 1 1/2´</v>
          </cell>
          <cell r="C1284" t="str">
            <v>M</v>
          </cell>
          <cell r="D1284">
            <v>73.64</v>
          </cell>
        </row>
        <row r="1285">
          <cell r="A1285" t="str">
            <v>O.04.000.021106</v>
          </cell>
          <cell r="B1285" t="str">
            <v>Tubo de aço carbono preto sem costura SCH 40 DN= 2 1/2´</v>
          </cell>
          <cell r="C1285" t="str">
            <v>M</v>
          </cell>
          <cell r="D1285">
            <v>147.44</v>
          </cell>
        </row>
        <row r="1286">
          <cell r="A1286" t="str">
            <v>O.04.000.021107</v>
          </cell>
          <cell r="B1286" t="str">
            <v>Tubo de aço carbono preto sem costura SCH 40 DN= 4´</v>
          </cell>
          <cell r="C1286" t="str">
            <v>M</v>
          </cell>
          <cell r="D1286">
            <v>254.18</v>
          </cell>
        </row>
        <row r="1287">
          <cell r="A1287" t="str">
            <v>O.04.000.021126</v>
          </cell>
          <cell r="B1287" t="str">
            <v>Tubo de aço carbono preto sem costura SCH 40 DN= 5´</v>
          </cell>
          <cell r="C1287" t="str">
            <v>M</v>
          </cell>
          <cell r="D1287">
            <v>343.24</v>
          </cell>
        </row>
        <row r="1288">
          <cell r="A1288" t="str">
            <v>O.04.000.021127</v>
          </cell>
          <cell r="B1288" t="str">
            <v>Tubo de aço carbono preto sem costura SCH 40 DN= 2´</v>
          </cell>
          <cell r="C1288" t="str">
            <v>M</v>
          </cell>
          <cell r="D1288">
            <v>92.72</v>
          </cell>
        </row>
        <row r="1289">
          <cell r="A1289" t="str">
            <v>O.04.000.021128</v>
          </cell>
          <cell r="B1289" t="str">
            <v>Tubo de aço carbono preto sem costura SCH 40 DN= 1 1/4´</v>
          </cell>
          <cell r="C1289" t="str">
            <v>M</v>
          </cell>
          <cell r="D1289">
            <v>71.27</v>
          </cell>
        </row>
        <row r="1290">
          <cell r="A1290" t="str">
            <v>O.04.000.021129</v>
          </cell>
          <cell r="B1290" t="str">
            <v>Tubo de aço carbono preto sem costura SCH-40 DN= 1´</v>
          </cell>
          <cell r="C1290" t="str">
            <v>M</v>
          </cell>
          <cell r="D1290">
            <v>50.43</v>
          </cell>
        </row>
        <row r="1291">
          <cell r="A1291" t="str">
            <v>O.04.000.021134</v>
          </cell>
          <cell r="B1291" t="str">
            <v>Tubo de aço carbono preto sem costura, SCH 40 DN= 3 1/2´</v>
          </cell>
          <cell r="C1291" t="str">
            <v>M</v>
          </cell>
          <cell r="D1291">
            <v>215.41</v>
          </cell>
        </row>
        <row r="1292">
          <cell r="A1292" t="str">
            <v>O.04.000.021308</v>
          </cell>
          <cell r="B1292" t="str">
            <v>Tubo de aço carbono preto com costura, SCH 40 DN= 10´</v>
          </cell>
          <cell r="C1292" t="str">
            <v>M</v>
          </cell>
          <cell r="D1292">
            <v>673.21</v>
          </cell>
        </row>
        <row r="1293">
          <cell r="A1293" t="str">
            <v>O.04.000.021309</v>
          </cell>
          <cell r="B1293" t="str">
            <v>Tubo de aço carbono preto com costura, SCH 40 DN= 12´</v>
          </cell>
          <cell r="C1293" t="str">
            <v>M</v>
          </cell>
          <cell r="D1293">
            <v>901.94</v>
          </cell>
        </row>
        <row r="1294">
          <cell r="A1294" t="str">
            <v>O.04.000.064079</v>
          </cell>
          <cell r="B1294" t="str">
            <v>Válvula de esfera em aço carbono fundido, esfera em aço inoxidável, passagem plena, extremidades rosqueáveis, classe 300lbs para vapor, 600lbs para água, óleo e gás, DN= 1.1/4"</v>
          </cell>
          <cell r="C1294" t="str">
            <v>UN</v>
          </cell>
          <cell r="D1294">
            <v>260.45999999999998</v>
          </cell>
        </row>
        <row r="1295">
          <cell r="A1295" t="str">
            <v>O.04.000.064080</v>
          </cell>
          <cell r="B1295" t="str">
            <v>Válvula de esfera em aço carbono fundido, esfera em aço inoxidável, passagem plena, extremidades rosqueáveis, classe 300lbs para vapor, 600lbs para água, óleo e gás, DN= 1/2"</v>
          </cell>
          <cell r="C1295" t="str">
            <v>UN</v>
          </cell>
          <cell r="D1295">
            <v>94.6</v>
          </cell>
        </row>
        <row r="1296">
          <cell r="A1296" t="str">
            <v>O.04.000.064081</v>
          </cell>
          <cell r="B1296" t="str">
            <v>Válvula de esfera em aço carbono fundido, esfera em aço inoxidável, passagem plena, extremidades rosqueáveis, classe 300lbs para vapor, 600lbs para água, óleo e gás, DN= 3/4"</v>
          </cell>
          <cell r="C1296" t="str">
            <v>UN</v>
          </cell>
          <cell r="D1296">
            <v>128.77000000000001</v>
          </cell>
        </row>
        <row r="1297">
          <cell r="A1297" t="str">
            <v>O.04.000.064082</v>
          </cell>
          <cell r="B1297" t="str">
            <v>Válvula de esfera em aço carbono fundido, esfera em aço inoxidável, passagem plena, extremidades rosqueáveis, classe 300lbs para vapor, 600lbs para água, óleo e gás, DN= 1"</v>
          </cell>
          <cell r="C1297" t="str">
            <v>UN</v>
          </cell>
          <cell r="D1297">
            <v>190.05</v>
          </cell>
        </row>
        <row r="1298">
          <cell r="A1298" t="str">
            <v>O.04.000.064096</v>
          </cell>
          <cell r="B1298" t="str">
            <v>Válvula globo em aço carbono forjado, extremidades rosqueáveis; haste, disco, anel e junta em aço inoxidável, DN= 3/4', classe 800lbs para vapor; 2000lbs para água óleo e gás</v>
          </cell>
          <cell r="C1298" t="str">
            <v>UN</v>
          </cell>
          <cell r="D1298">
            <v>417.32</v>
          </cell>
        </row>
        <row r="1299">
          <cell r="A1299" t="str">
            <v>O.04.000.064097</v>
          </cell>
          <cell r="B1299" t="str">
            <v>Válvula globo em aço carbono forjado, extremidades rosqueáveis; haste, disco, anel e junta em aço inoxidável, DN= 1', classe 800lbs para vapor; 200lbs para água óleo e gás</v>
          </cell>
          <cell r="C1299" t="str">
            <v>UN</v>
          </cell>
          <cell r="D1299">
            <v>525.29</v>
          </cell>
        </row>
        <row r="1300">
          <cell r="A1300" t="str">
            <v>O.04.000.064098</v>
          </cell>
          <cell r="B1300" t="str">
            <v>Válvula globo em aço carbono forjado, extremidades rosqueáveis; haste, disco, anel e junta em aço inoxidável, DN=1 1/2', classe 800lbs para vapor; 200lbs para água óleo e gás</v>
          </cell>
          <cell r="C1300" t="str">
            <v>UN</v>
          </cell>
          <cell r="D1300">
            <v>1039.25</v>
          </cell>
        </row>
        <row r="1301">
          <cell r="A1301" t="str">
            <v>O.04.000.064099</v>
          </cell>
          <cell r="B1301" t="str">
            <v>Válvula globo em aço carbono forjado, extremidades rosqueáveis; haste, disco, anel e junta em aço inoxidável, DN= 2', classe 800lbs para vapor; 200lbs para água óleo e gás</v>
          </cell>
          <cell r="C1301" t="str">
            <v>UN</v>
          </cell>
          <cell r="D1301">
            <v>1343.13</v>
          </cell>
        </row>
        <row r="1302">
          <cell r="A1302" t="str">
            <v>O.04.000.064164</v>
          </cell>
          <cell r="B1302" t="str">
            <v>Chave de fluxo tipo palheta, para líquidos, com conexão tipo macho diâmetro 1´, ref. AT2011 da Contech ou equivalente</v>
          </cell>
          <cell r="C1302" t="str">
            <v>UN</v>
          </cell>
          <cell r="D1302">
            <v>128.22999999999999</v>
          </cell>
        </row>
        <row r="1303">
          <cell r="A1303" t="str">
            <v>O.04.000.064608</v>
          </cell>
          <cell r="B1303" t="str">
            <v>Chave de fluxo de água com retardo eletrônico de 0 a 100 segundos, para tubulações com diâmetros de 1" a 6", funcionamento por palheta, conexão BSP</v>
          </cell>
          <cell r="C1303" t="str">
            <v>UN</v>
          </cell>
          <cell r="D1303">
            <v>463.02</v>
          </cell>
        </row>
        <row r="1304">
          <cell r="A1304" t="str">
            <v>O.04.000.068502</v>
          </cell>
          <cell r="B1304" t="str">
            <v>CAP (tampão) em aço SCH 80, diâmetro de 3/4" soldável para tamponamento de tubulação</v>
          </cell>
          <cell r="C1304" t="str">
            <v>UN</v>
          </cell>
          <cell r="D1304">
            <v>11.3</v>
          </cell>
        </row>
        <row r="1305">
          <cell r="A1305" t="str">
            <v>O.04.000.068508</v>
          </cell>
          <cell r="B1305" t="str">
            <v>Válvula de esfera monobloco em aço carbono, diâmetro de 1/2", com passagem plena e rosca BSP</v>
          </cell>
          <cell r="C1305" t="str">
            <v>UN</v>
          </cell>
          <cell r="D1305">
            <v>84.05</v>
          </cell>
        </row>
        <row r="1306">
          <cell r="A1306" t="str">
            <v>O.04.000.068509</v>
          </cell>
          <cell r="B1306" t="str">
            <v>Tê em aço SCH 80, diâmetro de 1/2", soldável</v>
          </cell>
          <cell r="C1306" t="str">
            <v>UN</v>
          </cell>
          <cell r="D1306">
            <v>22.5</v>
          </cell>
        </row>
        <row r="1307">
          <cell r="A1307" t="str">
            <v>O.04.000.068541</v>
          </cell>
          <cell r="B1307" t="str">
            <v>Manômetro em aço carbono, com mostrador de 4´, escalas: 0-4 , 0-7 / 0-10 / 0-17 / 0-21 / 0-28 kg/cm²</v>
          </cell>
          <cell r="C1307" t="str">
            <v>UN</v>
          </cell>
          <cell r="D1307">
            <v>244.79</v>
          </cell>
        </row>
        <row r="1308">
          <cell r="A1308" t="str">
            <v>O.04.000.068542</v>
          </cell>
          <cell r="B1308" t="str">
            <v>Filtro Y em aço carbono, classe 150 libras, diâmetro nominal 4', conexões flangeadas 150, tela 1,2mm em aço inoxidável, referência 34C da Spirax Sarco ou equivalente</v>
          </cell>
          <cell r="C1308" t="str">
            <v>UN</v>
          </cell>
          <cell r="D1308">
            <v>4173.6400000000003</v>
          </cell>
        </row>
        <row r="1309">
          <cell r="A1309" t="str">
            <v>O.04.000.092866</v>
          </cell>
          <cell r="B1309" t="str">
            <v>Curva 90° em ferro fundido com flange, classe PN-10, DN= 50mm</v>
          </cell>
          <cell r="C1309" t="str">
            <v>UN</v>
          </cell>
          <cell r="D1309">
            <v>243.26</v>
          </cell>
        </row>
        <row r="1310">
          <cell r="A1310" t="str">
            <v>O.05.000.026519</v>
          </cell>
          <cell r="B1310" t="str">
            <v>Ventosa em ferro dúctil, simples rosqueada, classe PN-25, DN= 3/4´</v>
          </cell>
          <cell r="C1310" t="str">
            <v>UN</v>
          </cell>
          <cell r="D1310">
            <v>1138.75</v>
          </cell>
        </row>
        <row r="1311">
          <cell r="A1311" t="str">
            <v>O.05.000.026520</v>
          </cell>
          <cell r="B1311" t="str">
            <v>Ventosa em ferro dúctil , tríplice função, flangeada, classe PN-10, DN= 50mm</v>
          </cell>
          <cell r="C1311" t="str">
            <v>UN</v>
          </cell>
          <cell r="D1311">
            <v>2894.19</v>
          </cell>
        </row>
        <row r="1312">
          <cell r="A1312" t="str">
            <v>O.05.000.036504</v>
          </cell>
          <cell r="B1312" t="str">
            <v>Tampão em ferro fundido, com tampa articulada, diâmetro de 900mm, classe D400; referência Afer, Alea, JM, EBF ou equivalente</v>
          </cell>
          <cell r="C1312" t="str">
            <v>UN</v>
          </cell>
          <cell r="D1312">
            <v>1784.54</v>
          </cell>
        </row>
        <row r="1313">
          <cell r="A1313" t="str">
            <v>O.05.000.036507</v>
          </cell>
          <cell r="B1313" t="str">
            <v>Tampão em ferro dúctil de Ø 600mm, classe 125 (ruptura &gt;125 kN), conforme NBR 10160/2005</v>
          </cell>
          <cell r="C1313" t="str">
            <v>UN</v>
          </cell>
          <cell r="D1313">
            <v>396.68</v>
          </cell>
        </row>
        <row r="1314">
          <cell r="A1314" t="str">
            <v>O.05.000.036508</v>
          </cell>
          <cell r="B1314" t="str">
            <v>Tampão em ferro dúctil de Ø 600mm, classe 300 (ruptura &gt;300 kN), conforme NBR 10160/2005</v>
          </cell>
          <cell r="C1314" t="str">
            <v>UN</v>
          </cell>
          <cell r="D1314">
            <v>450.39</v>
          </cell>
        </row>
        <row r="1315">
          <cell r="A1315" t="str">
            <v>O.05.000.036521</v>
          </cell>
          <cell r="B1315" t="str">
            <v>Tampão em ferro dúctil de Ø 600mm, classe 400 (ruptura &gt;400 kN), conforme NBR 10160/2005</v>
          </cell>
          <cell r="C1315" t="str">
            <v>UN</v>
          </cell>
          <cell r="D1315">
            <v>582.26</v>
          </cell>
        </row>
        <row r="1316">
          <cell r="A1316" t="str">
            <v>O.05.000.036522</v>
          </cell>
          <cell r="B1316" t="str">
            <v>Tampão ferro dúctil de 400 x 400 mm, classe 125 (ruptura &gt; 125 kN), conforme NBR 10160/2005</v>
          </cell>
          <cell r="C1316" t="str">
            <v>UN</v>
          </cell>
          <cell r="D1316">
            <v>187.22</v>
          </cell>
        </row>
        <row r="1317">
          <cell r="A1317" t="str">
            <v>O.05.000.036524</v>
          </cell>
          <cell r="B1317" t="str">
            <v>Tampão ferro dúctil de 500 x 500 mm, classe 125 (ruptura &gt; 125 kN), para tráfego leve, conforme NBR 10160/2005</v>
          </cell>
          <cell r="C1317" t="str">
            <v>UN</v>
          </cell>
          <cell r="D1317">
            <v>322.60000000000002</v>
          </cell>
        </row>
        <row r="1318">
          <cell r="A1318" t="str">
            <v>O.05.000.036527</v>
          </cell>
          <cell r="B1318" t="str">
            <v>Tampão ferro dúctil de 600 x 600 mm, classe 125 (ruptura &gt; 125 kN), para tráfego leve, conforme NBR 10160/2005</v>
          </cell>
          <cell r="C1318" t="str">
            <v>UN</v>
          </cell>
          <cell r="D1318">
            <v>405.28</v>
          </cell>
        </row>
        <row r="1319">
          <cell r="A1319" t="str">
            <v>O.05.000.043699</v>
          </cell>
          <cell r="B1319" t="str">
            <v>Punho de manobra de alavanca retrátil sem bloqueio kirk, com articulador de acionamento e biela; ref. GV-A03D+GV-A02+biela da Senner, NP9022+NP9108-NP9112 da American Fuse, PR+AR+TD100 da Dreyffus Pel ou equivalente</v>
          </cell>
          <cell r="C1319" t="str">
            <v>UN</v>
          </cell>
          <cell r="D1319">
            <v>666.24</v>
          </cell>
        </row>
        <row r="1320">
          <cell r="A1320" t="str">
            <v>O.05.000.061004</v>
          </cell>
          <cell r="B1320" t="str">
            <v>Tubo em ferro fundido de 150mm, para esgoto, ref. PB SME linha predial da Saint-gobain ou equivalente</v>
          </cell>
          <cell r="C1320" t="str">
            <v>M</v>
          </cell>
          <cell r="D1320">
            <v>451.31</v>
          </cell>
        </row>
        <row r="1321">
          <cell r="A1321" t="str">
            <v>O.05.000.061015</v>
          </cell>
          <cell r="B1321" t="str">
            <v>Tubo em ferro fundido com PxP, TCLA, DN= 100mm sem juntas e conexões, ref. Barbara ou equivalente</v>
          </cell>
          <cell r="C1321" t="str">
            <v>M</v>
          </cell>
          <cell r="D1321">
            <v>618.66999999999996</v>
          </cell>
        </row>
        <row r="1322">
          <cell r="A1322" t="str">
            <v>O.05.000.061016</v>
          </cell>
          <cell r="B1322" t="str">
            <v>Tubo em ferro fundido com PxP, TCLA, DN= 200mm, sem juntas e conexões, ref. Barbara ou equivalente</v>
          </cell>
          <cell r="C1322" t="str">
            <v>M</v>
          </cell>
          <cell r="D1322">
            <v>798.06</v>
          </cell>
        </row>
        <row r="1323">
          <cell r="A1323" t="str">
            <v>O.05.000.061017</v>
          </cell>
          <cell r="B1323" t="str">
            <v>Flange avulso em ferro fundido classe PN-10, DN= 100mm, ref. Barbara ou equivalente</v>
          </cell>
          <cell r="C1323" t="str">
            <v>UN</v>
          </cell>
          <cell r="D1323">
            <v>193.94</v>
          </cell>
        </row>
        <row r="1324">
          <cell r="A1324" t="str">
            <v>O.05.000.061018</v>
          </cell>
          <cell r="B1324" t="str">
            <v>Flange avulso em ferro fundido classe PN-10, DN= 200mm, ref. Barbara ou equivalente</v>
          </cell>
          <cell r="C1324" t="str">
            <v>UN</v>
          </cell>
          <cell r="D1324">
            <v>337.57</v>
          </cell>
        </row>
        <row r="1325">
          <cell r="A1325" t="str">
            <v>O.05.000.061019</v>
          </cell>
          <cell r="B1325" t="str">
            <v>Curva de 90° em ferro fundido com flanges, classe PN-10, DN= 100mm</v>
          </cell>
          <cell r="C1325" t="str">
            <v>UN</v>
          </cell>
          <cell r="D1325">
            <v>371.12</v>
          </cell>
        </row>
        <row r="1326">
          <cell r="A1326" t="str">
            <v>O.05.000.061020</v>
          </cell>
          <cell r="B1326" t="str">
            <v>Tubo em ferro fundido de 150mm, classe k-7 JGS, ref. Barbara ou equivalente</v>
          </cell>
          <cell r="C1326" t="str">
            <v>M</v>
          </cell>
          <cell r="D1326">
            <v>545.58000000000004</v>
          </cell>
        </row>
        <row r="1327">
          <cell r="A1327" t="str">
            <v>O.05.000.061021</v>
          </cell>
          <cell r="B1327" t="str">
            <v>Tubo em ferro fundido de 200mm, classe k-7 JGS, ref. Barbara ou equivalente</v>
          </cell>
          <cell r="C1327" t="str">
            <v>M</v>
          </cell>
          <cell r="D1327">
            <v>636.53</v>
          </cell>
        </row>
        <row r="1328">
          <cell r="A1328" t="str">
            <v>O.05.000.061022</v>
          </cell>
          <cell r="B1328" t="str">
            <v>Tubo em ferro fundido de 250mm, classe k-7 JGS, ref. Barbara ou equivalente</v>
          </cell>
          <cell r="C1328" t="str">
            <v>M</v>
          </cell>
          <cell r="D1328">
            <v>818.78</v>
          </cell>
        </row>
        <row r="1329">
          <cell r="A1329" t="str">
            <v>O.05.000.061023</v>
          </cell>
          <cell r="B1329" t="str">
            <v>Tubo em ferro fundido de 350mm, classe k-7 JGS, ref. Barbara ou equivalente</v>
          </cell>
          <cell r="C1329" t="str">
            <v>M</v>
          </cell>
          <cell r="D1329">
            <v>1227.49</v>
          </cell>
        </row>
        <row r="1330">
          <cell r="A1330" t="str">
            <v>O.05.000.061026</v>
          </cell>
          <cell r="B1330" t="str">
            <v>Tubo em ferro fundido com PxP, TCLA, DN= 80mm sem juntas e conexões, ref. Barbará ou equivalente</v>
          </cell>
          <cell r="C1330" t="str">
            <v>M</v>
          </cell>
          <cell r="D1330">
            <v>692.18</v>
          </cell>
        </row>
        <row r="1331">
          <cell r="A1331" t="str">
            <v>O.05.000.061027</v>
          </cell>
          <cell r="B1331" t="str">
            <v>Tubo em ferro fundido com PxP, TCLA, DN= 150mm sem juntas e conexões, ref. Barbará ou equivalente</v>
          </cell>
          <cell r="C1331" t="str">
            <v>M</v>
          </cell>
          <cell r="D1331">
            <v>666.79</v>
          </cell>
        </row>
        <row r="1332">
          <cell r="A1332" t="str">
            <v>O.05.000.061028</v>
          </cell>
          <cell r="B1332" t="str">
            <v>Tubo em ferro fundido com PxP, TCLA, DN= 250mm sem juntas e conexões, ref. Barbará ou equivalente</v>
          </cell>
          <cell r="C1332" t="str">
            <v>M</v>
          </cell>
          <cell r="D1332">
            <v>1074.81</v>
          </cell>
        </row>
        <row r="1333">
          <cell r="A1333" t="str">
            <v>O.05.000.061030</v>
          </cell>
          <cell r="B1333" t="str">
            <v>Tubo em ferro fundido com PxP, TCLA, DN= 300mm sem juntas e conexões, ref. Barbará ou equivalente</v>
          </cell>
          <cell r="C1333" t="str">
            <v>M</v>
          </cell>
          <cell r="D1333">
            <v>1229.7</v>
          </cell>
        </row>
        <row r="1334">
          <cell r="A1334" t="str">
            <v>O.05.000.061033</v>
          </cell>
          <cell r="B1334" t="str">
            <v>Flange avulso em ferro fundido classe PN-10, DN= 80mm, ref. Barbara ou equivalente</v>
          </cell>
          <cell r="C1334" t="str">
            <v>UN</v>
          </cell>
          <cell r="D1334">
            <v>147.87</v>
          </cell>
        </row>
        <row r="1335">
          <cell r="A1335" t="str">
            <v>O.05.000.061034</v>
          </cell>
          <cell r="B1335" t="str">
            <v>Flange avulso em ferro fundido classe PN-10, DN= 150mm, ref. Barbará ou equivalente</v>
          </cell>
          <cell r="C1335" t="str">
            <v>UN</v>
          </cell>
          <cell r="D1335">
            <v>257.77</v>
          </cell>
        </row>
        <row r="1336">
          <cell r="A1336" t="str">
            <v>O.05.000.061035</v>
          </cell>
          <cell r="B1336" t="str">
            <v>Flange avulso em ferro fundido classe PN-10, DN= 250mm, ref. Barbará ou equivalente</v>
          </cell>
          <cell r="C1336" t="str">
            <v>UN</v>
          </cell>
          <cell r="D1336">
            <v>482.24</v>
          </cell>
        </row>
        <row r="1337">
          <cell r="A1337" t="str">
            <v>O.05.000.061036</v>
          </cell>
          <cell r="B1337" t="str">
            <v>Flange avulso em ferro fundido classe PN-10, DN= 300mm, ref. Barbará ou equivalente</v>
          </cell>
          <cell r="C1337" t="str">
            <v>UN</v>
          </cell>
          <cell r="D1337">
            <v>646.14</v>
          </cell>
        </row>
        <row r="1338">
          <cell r="A1338" t="str">
            <v>O.05.000.061041</v>
          </cell>
          <cell r="B1338" t="str">
            <v>Tubo em ferro fundido de 200mm, classe k-9 JGS, ref. Barbará ou equivalente</v>
          </cell>
          <cell r="C1338" t="str">
            <v>M</v>
          </cell>
          <cell r="D1338">
            <v>717.45</v>
          </cell>
        </row>
        <row r="1339">
          <cell r="A1339" t="str">
            <v>O.05.000.061048</v>
          </cell>
          <cell r="B1339" t="str">
            <v>Curva de 90° em ferro fundido com flanges, classe PN-10, DN= 80mm</v>
          </cell>
          <cell r="C1339" t="str">
            <v>UN</v>
          </cell>
          <cell r="D1339">
            <v>271.52999999999997</v>
          </cell>
        </row>
        <row r="1340">
          <cell r="A1340" t="str">
            <v>O.05.000.061049</v>
          </cell>
          <cell r="B1340" t="str">
            <v>Curva de 90° em ferro fundido com flanges, classe PN-10, DN= 150mm</v>
          </cell>
          <cell r="C1340" t="str">
            <v>UN</v>
          </cell>
          <cell r="D1340">
            <v>615.04</v>
          </cell>
        </row>
        <row r="1341">
          <cell r="A1341" t="str">
            <v>O.05.000.061073</v>
          </cell>
          <cell r="B1341" t="str">
            <v>Te em ferro fundido com flanges, classe PN-10, DN= 80mm com derivação 80x80mm, ref. Barbará ou equivalente</v>
          </cell>
          <cell r="C1341" t="str">
            <v>UN</v>
          </cell>
          <cell r="D1341">
            <v>494.26</v>
          </cell>
        </row>
        <row r="1342">
          <cell r="A1342" t="str">
            <v>O.05.000.061074</v>
          </cell>
          <cell r="B1342" t="str">
            <v>Te em ferro fundido com flanges, classe PN-10, DN= 100mm com derivação 100x80mm, ref. Barbará ou equivalente</v>
          </cell>
          <cell r="C1342" t="str">
            <v>UN</v>
          </cell>
          <cell r="D1342">
            <v>584.11</v>
          </cell>
        </row>
        <row r="1343">
          <cell r="A1343" t="str">
            <v>O.05.000.061076</v>
          </cell>
          <cell r="B1343" t="str">
            <v>Te em ferro fundido com flanges, classe PN-10, DN= 150mm com derivação 150x150mm, ref. Barbará ou equivalente</v>
          </cell>
          <cell r="C1343" t="str">
            <v>UN</v>
          </cell>
          <cell r="D1343">
            <v>912.25</v>
          </cell>
        </row>
        <row r="1344">
          <cell r="A1344" t="str">
            <v>O.05.000.061101</v>
          </cell>
          <cell r="B1344" t="str">
            <v>Tubo em ferro fundido de 150mm, classe k-9 JGS, ref. Barbará ou equivalente</v>
          </cell>
          <cell r="C1344" t="str">
            <v>M</v>
          </cell>
          <cell r="D1344">
            <v>588.16999999999996</v>
          </cell>
        </row>
        <row r="1345">
          <cell r="A1345" t="str">
            <v>O.05.000.061102</v>
          </cell>
          <cell r="B1345" t="str">
            <v>Tubo em ferro fundido de 300mm, classe k-9 JGS, ref. Barbará ou equivalente</v>
          </cell>
          <cell r="C1345" t="str">
            <v>M</v>
          </cell>
          <cell r="D1345">
            <v>1085.02</v>
          </cell>
        </row>
        <row r="1346">
          <cell r="A1346" t="str">
            <v>O.05.000.061107</v>
          </cell>
          <cell r="B1346" t="str">
            <v>Tubo em ferro fundido de 300mm, classe k-7 JGS, ref. Barbará ou equivalente</v>
          </cell>
          <cell r="C1346" t="str">
            <v>M</v>
          </cell>
          <cell r="D1346">
            <v>984.7</v>
          </cell>
        </row>
        <row r="1347">
          <cell r="A1347" t="str">
            <v>O.05.000.061108</v>
          </cell>
          <cell r="B1347" t="str">
            <v>Tubo em ferro fundido de 100mm, classe K-9 JGS, ref. Barbará ou equivalente</v>
          </cell>
          <cell r="C1347" t="str">
            <v>M</v>
          </cell>
          <cell r="D1347">
            <v>498.55</v>
          </cell>
        </row>
        <row r="1348">
          <cell r="A1348" t="str">
            <v>O.05.000.061109</v>
          </cell>
          <cell r="B1348" t="str">
            <v>Tubo em ferro fundido de 80mm, classe k-9 JGS, ref. Barbará ou equivalente</v>
          </cell>
          <cell r="C1348" t="str">
            <v>M</v>
          </cell>
          <cell r="D1348">
            <v>485.35</v>
          </cell>
        </row>
        <row r="1349">
          <cell r="A1349" t="str">
            <v>O.05.000.061110</v>
          </cell>
          <cell r="B1349" t="str">
            <v>Tubo em ferro fundido de 250mm, classe k-9 JGS, ref. Barbará ou equivalente</v>
          </cell>
          <cell r="C1349" t="str">
            <v>M</v>
          </cell>
          <cell r="D1349">
            <v>902.85</v>
          </cell>
        </row>
        <row r="1350">
          <cell r="A1350" t="str">
            <v>O.05.000.061111</v>
          </cell>
          <cell r="B1350" t="str">
            <v>Tubo em ferro fundido de 350mm, classe k-9 JGS, ref. Barbará ou equivalente</v>
          </cell>
          <cell r="C1350" t="str">
            <v>M</v>
          </cell>
          <cell r="D1350">
            <v>1408.8</v>
          </cell>
        </row>
        <row r="1351">
          <cell r="A1351" t="str">
            <v>O.05.000.061117</v>
          </cell>
          <cell r="B1351" t="str">
            <v>Tubo em ferro fundido de 100 mm, predial para esgoto e pluvial, ref. TPSMU 300237 da Saint Gobain ou equivalente</v>
          </cell>
          <cell r="C1351" t="str">
            <v>M</v>
          </cell>
          <cell r="D1351">
            <v>268.86</v>
          </cell>
        </row>
        <row r="1352">
          <cell r="A1352" t="str">
            <v>O.05.000.061118</v>
          </cell>
          <cell r="B1352" t="str">
            <v>Tubo em ferro fundido de 150 mm, predial para esgoto e pluvial, ref. TPSMU 300332 da Saint Gobain ou equivalente</v>
          </cell>
          <cell r="C1352" t="str">
            <v>M</v>
          </cell>
          <cell r="D1352">
            <v>365.7</v>
          </cell>
        </row>
        <row r="1353">
          <cell r="A1353" t="str">
            <v>O.05.000.061119</v>
          </cell>
          <cell r="B1353" t="str">
            <v>Junta rapid de união em aço inoxidável com parafuso, para tubo em ferro fundido, DN= 100 mm; ref. JR SMUI 300497 da Saint Gobain ou equivalente</v>
          </cell>
          <cell r="C1353" t="str">
            <v>UN</v>
          </cell>
          <cell r="D1353">
            <v>94.74</v>
          </cell>
        </row>
        <row r="1354">
          <cell r="A1354" t="str">
            <v>O.05.000.061120</v>
          </cell>
          <cell r="B1354" t="str">
            <v>Junta rapid de união em aço inoxidável com parafuso, para tubo em ferro fundido, DN= 150 mm; ref. JR SMUI 300505 da Saint Gobain ou equivalente</v>
          </cell>
          <cell r="C1354" t="str">
            <v>UN</v>
          </cell>
          <cell r="D1354">
            <v>150.31</v>
          </cell>
        </row>
        <row r="1355">
          <cell r="A1355" t="str">
            <v>O.05.000.061121</v>
          </cell>
          <cell r="B1355" t="str">
            <v>Conjunto de ancoragem para tubo em ferro fundido predial SMU, DN= 100 mm, ref. CASMU 300071 da Saint Gobain ou equivalente</v>
          </cell>
          <cell r="C1355" t="str">
            <v>UN</v>
          </cell>
          <cell r="D1355">
            <v>952.05</v>
          </cell>
        </row>
        <row r="1356">
          <cell r="A1356" t="str">
            <v>O.05.000.061122</v>
          </cell>
          <cell r="B1356" t="str">
            <v>Tubo em ferro fundido de 50 mm, predial para esgoto e pluvial, ref. TPSMU 300128 da Saint Gobain ou equivalente</v>
          </cell>
          <cell r="C1356" t="str">
            <v>M</v>
          </cell>
          <cell r="D1356">
            <v>172.03</v>
          </cell>
        </row>
        <row r="1357">
          <cell r="A1357" t="str">
            <v>O.05.000.061123</v>
          </cell>
          <cell r="B1357" t="str">
            <v>Tubo em ferro fundido de 75 mm, predial para esgoto e pluvial, ref. TPSMU 300172 da Saint Gobain ou equivalente</v>
          </cell>
          <cell r="C1357" t="str">
            <v>M</v>
          </cell>
          <cell r="D1357">
            <v>254.53</v>
          </cell>
        </row>
        <row r="1358">
          <cell r="A1358" t="str">
            <v>O.05.000.061124</v>
          </cell>
          <cell r="B1358" t="str">
            <v>Tubo em ferro fundido de 200 mm, predial para esgoto e pluvial, ref. TPSMU 300374 da Saint Gobain ou equivalente</v>
          </cell>
          <cell r="C1358" t="str">
            <v>M</v>
          </cell>
          <cell r="D1358">
            <v>632.36</v>
          </cell>
        </row>
        <row r="1359">
          <cell r="A1359" t="str">
            <v>O.05.000.061125</v>
          </cell>
          <cell r="B1359" t="str">
            <v>Junta rapid de união em aço inoxidável com parafuso, para tubo em ferro fundido, DN= 50 mm; ref. JR SMUI 300489 da Saint Gobain ou equivalente</v>
          </cell>
          <cell r="C1359" t="str">
            <v>UN</v>
          </cell>
          <cell r="D1359">
            <v>64.55</v>
          </cell>
        </row>
        <row r="1360">
          <cell r="A1360" t="str">
            <v>O.05.000.061126</v>
          </cell>
          <cell r="B1360" t="str">
            <v>Junta rapid de união em aço inoxidável com parafuso, para tubo em ferro fundido, DN= 75 mm; ref. JR SMUI 300493 da Saint Gobain ou equivalente</v>
          </cell>
          <cell r="C1360" t="str">
            <v>UN</v>
          </cell>
          <cell r="D1360">
            <v>74.22</v>
          </cell>
        </row>
        <row r="1361">
          <cell r="A1361" t="str">
            <v>O.05.000.061127</v>
          </cell>
          <cell r="B1361" t="str">
            <v>Junta rapid de união em aço inoxidável com parafuso, para tubo em ferro fundido, DN= 200 mm; ref. JR SMUI 300509 da Saint Gobain ou equivalente</v>
          </cell>
          <cell r="C1361" t="str">
            <v>UN</v>
          </cell>
          <cell r="D1361">
            <v>213.03</v>
          </cell>
        </row>
        <row r="1362">
          <cell r="A1362" t="str">
            <v>O.05.000.061128</v>
          </cell>
          <cell r="B1362" t="str">
            <v>Conjunto de ancoragem para tubo em ferro fundido predial SMU, DN= 50 mm, ref. CASMU 300065 da Saint Gobain ou equivalente</v>
          </cell>
          <cell r="C1362" t="str">
            <v>CJ</v>
          </cell>
          <cell r="D1362">
            <v>980.82</v>
          </cell>
        </row>
        <row r="1363">
          <cell r="A1363" t="str">
            <v>O.05.000.061129</v>
          </cell>
          <cell r="B1363" t="str">
            <v>Conjunto de ancoragem para tubo em ferro fundido predial SMU, DN= 75 mm, ref. CASMU 300068 da Saint Gobain ou equivalente</v>
          </cell>
          <cell r="C1363" t="str">
            <v>CJ</v>
          </cell>
          <cell r="D1363">
            <v>1030.51</v>
          </cell>
        </row>
        <row r="1364">
          <cell r="A1364" t="str">
            <v>O.05.000.061130</v>
          </cell>
          <cell r="B1364" t="str">
            <v>Conjunto de ancoragem para tubo em ferro fundido predial SMU, DN= 150 mm, ref. CASMU 300076 da Saint Gobain ou equivalente</v>
          </cell>
          <cell r="C1364" t="str">
            <v>CJ</v>
          </cell>
          <cell r="D1364">
            <v>1228.1099999999999</v>
          </cell>
        </row>
        <row r="1365">
          <cell r="A1365" t="str">
            <v>O.05.000.061131</v>
          </cell>
          <cell r="B1365" t="str">
            <v>Conjunto de ancoragem para tubo em ferro fundido predial SMU, DN= 200 mm, ref. CASMU 300080 da Saint Gobain ou equivalente</v>
          </cell>
          <cell r="C1365" t="str">
            <v>CJ</v>
          </cell>
          <cell r="D1365">
            <v>1919.88</v>
          </cell>
        </row>
        <row r="1366">
          <cell r="A1366" t="str">
            <v>O.05.000.061133</v>
          </cell>
          <cell r="B1366" t="str">
            <v>Joelho 45° em ferro fundido, linha predial tradicional, DN= 50 mm, ref. J45SBB 315912 Saint-Gobain ou equivalente</v>
          </cell>
          <cell r="C1366" t="str">
            <v>UN</v>
          </cell>
          <cell r="D1366">
            <v>87.69</v>
          </cell>
        </row>
        <row r="1367">
          <cell r="A1367" t="str">
            <v>O.05.000.061134</v>
          </cell>
          <cell r="B1367" t="str">
            <v>Joelho 45° em ferro fundido, linha predial tradicional, DN= 75 mm  ref. J45SBB 315913 Saint-Gobain ou equivalente</v>
          </cell>
          <cell r="C1367" t="str">
            <v>UN</v>
          </cell>
          <cell r="D1367">
            <v>126.11</v>
          </cell>
        </row>
        <row r="1368">
          <cell r="A1368" t="str">
            <v>O.05.000.061135</v>
          </cell>
          <cell r="B1368" t="str">
            <v>Joelho 45° em ferro fundido, linha predial tradicional, DN= 100 mm  ref. J45SBB 315914 Saint-Gobain ou equivalente</v>
          </cell>
          <cell r="C1368" t="str">
            <v>UN</v>
          </cell>
          <cell r="D1368">
            <v>138.29</v>
          </cell>
        </row>
        <row r="1369">
          <cell r="A1369" t="str">
            <v>O.05.000.061136</v>
          </cell>
          <cell r="B1369" t="str">
            <v>Joelho 45° em ferro fundido, linha predial tradicional, DN= 150 mm, ref. J45SBB 315915 Saint-Gobain ou equivalente</v>
          </cell>
          <cell r="C1369" t="str">
            <v>UN</v>
          </cell>
          <cell r="D1369">
            <v>246.4</v>
          </cell>
        </row>
        <row r="1370">
          <cell r="A1370" t="str">
            <v>O.05.000.061137</v>
          </cell>
          <cell r="B1370" t="str">
            <v>Joelho 87° 30' em ferro fundido, linha predial tradicional, DN= 50 mm, ref. J87SBB 315916 Saint-Gobain ou equivalente</v>
          </cell>
          <cell r="C1370" t="str">
            <v>UN</v>
          </cell>
          <cell r="D1370">
            <v>120.19</v>
          </cell>
        </row>
        <row r="1371">
          <cell r="A1371" t="str">
            <v>O.05.000.061138</v>
          </cell>
          <cell r="B1371" t="str">
            <v>Joelho 87° 30' em ferro fundido, linha predial tradicional, DN= 75 mm, ref. J87SBB 315919 Saint-Gobain ou equivalente</v>
          </cell>
          <cell r="C1371" t="str">
            <v>UN</v>
          </cell>
          <cell r="D1371">
            <v>175.24</v>
          </cell>
        </row>
        <row r="1372">
          <cell r="A1372" t="str">
            <v>O.05.000.061139</v>
          </cell>
          <cell r="B1372" t="str">
            <v>Joelho 87° 30' em ferro fundido, linha predial tradicional, DN= 100 mm, ref. J87SBB 315920 Saint-Gobain ou equivalente</v>
          </cell>
          <cell r="C1372" t="str">
            <v>UN</v>
          </cell>
          <cell r="D1372">
            <v>220.72</v>
          </cell>
        </row>
        <row r="1373">
          <cell r="A1373" t="str">
            <v>O.05.000.061140</v>
          </cell>
          <cell r="B1373" t="str">
            <v>Joelho 87° 30' em ferro fundido, linha predial tradicional, DN= 150 mm, ref. J87SBB 315921 Saint-Gobain ou equivalente</v>
          </cell>
          <cell r="C1373" t="str">
            <v>UN</v>
          </cell>
          <cell r="D1373">
            <v>375.64</v>
          </cell>
        </row>
        <row r="1374">
          <cell r="A1374" t="str">
            <v>O.05.000.061141</v>
          </cell>
          <cell r="B1374" t="str">
            <v>Luva bolsa/bolsa em ferro fundido, linha predial tradicional, DN= 50 mm, ref. LBBSBB 315937 Saint-Gobain ou equivalente</v>
          </cell>
          <cell r="C1374" t="str">
            <v>UN</v>
          </cell>
          <cell r="D1374">
            <v>82.85</v>
          </cell>
        </row>
        <row r="1375">
          <cell r="A1375" t="str">
            <v>O.05.000.061142</v>
          </cell>
          <cell r="B1375" t="str">
            <v>Luva bolsa/bolsa em ferro fundido, linha predial tradicional, DN= 75 mm, ref. LBBSBB 315938 Saint-Gobain ou equivalente</v>
          </cell>
          <cell r="C1375" t="str">
            <v>UN</v>
          </cell>
          <cell r="D1375">
            <v>89.97</v>
          </cell>
        </row>
        <row r="1376">
          <cell r="A1376" t="str">
            <v>O.05.000.061143</v>
          </cell>
          <cell r="B1376" t="str">
            <v>Luva bolsa/bolsa em ferro fundido, linha predial tradicional, DN= 100 mm, ref. LBBSBB 315939 Saint-Gobain ou equivalente</v>
          </cell>
          <cell r="C1376" t="str">
            <v>UN</v>
          </cell>
          <cell r="D1376">
            <v>122.38</v>
          </cell>
        </row>
        <row r="1377">
          <cell r="A1377" t="str">
            <v>O.05.000.061144</v>
          </cell>
          <cell r="B1377" t="str">
            <v>Luva bolsa/bolsa em ferro fundido, linha predial tradicional, DN= 150 mm, ref. LBBSBB 315940 Saint-Gobain ou equivalente</v>
          </cell>
          <cell r="C1377" t="str">
            <v>UN</v>
          </cell>
          <cell r="D1377">
            <v>170.69</v>
          </cell>
        </row>
        <row r="1378">
          <cell r="A1378" t="str">
            <v>O.05.000.061145</v>
          </cell>
          <cell r="B1378" t="str">
            <v>Placa cega em ferro fundido, linha predial tradicional, DN= 75 mm, ref. PCSBB 315942 Saint-Gobain ou equivalente</v>
          </cell>
          <cell r="C1378" t="str">
            <v>UN</v>
          </cell>
          <cell r="D1378">
            <v>64.16</v>
          </cell>
        </row>
        <row r="1379">
          <cell r="A1379" t="str">
            <v>O.05.000.061146</v>
          </cell>
          <cell r="B1379" t="str">
            <v>Placa cega em ferro fundido, linha predial tradicional, DN= 100 mm, ref. PCSBB 315943 Saint-Gobain ou equivalente</v>
          </cell>
          <cell r="C1379" t="str">
            <v>UN</v>
          </cell>
          <cell r="D1379">
            <v>86.85</v>
          </cell>
        </row>
        <row r="1380">
          <cell r="A1380" t="str">
            <v>O.05.000.061147</v>
          </cell>
          <cell r="B1380" t="str">
            <v>Junção 45° em ferro fundido, linha predial tradicional, DN= 50x50 mm  ref. YSBB 315923 Saint-Gobain ou equivalente</v>
          </cell>
          <cell r="C1380" t="str">
            <v>UN</v>
          </cell>
          <cell r="D1380">
            <v>147.79</v>
          </cell>
        </row>
        <row r="1381">
          <cell r="A1381" t="str">
            <v>O.05.000.061148</v>
          </cell>
          <cell r="B1381" t="str">
            <v>Junção 45° em ferro fundido, linha predial tradicional, DN= 75x50 mm  ref. YSBB 315924 Saint-Gobain ou equivalente</v>
          </cell>
          <cell r="C1381" t="str">
            <v>UN</v>
          </cell>
          <cell r="D1381">
            <v>184.72</v>
          </cell>
        </row>
        <row r="1382">
          <cell r="A1382" t="str">
            <v>O.05.000.061149</v>
          </cell>
          <cell r="B1382" t="str">
            <v>Junção 45° em ferro fundido, linha predial tradicional, DN= 75x75 mm  ref. YSBB 315925 Saint-Gobain ou equivalente</v>
          </cell>
          <cell r="C1382" t="str">
            <v>UN</v>
          </cell>
          <cell r="D1382">
            <v>200.66</v>
          </cell>
        </row>
        <row r="1383">
          <cell r="A1383" t="str">
            <v>O.05.000.061150</v>
          </cell>
          <cell r="B1383" t="str">
            <v>Junção 45° em ferro fundido, linha predial tradicional, DN= 100x50 mm  ref. YSBB 315926 Saint-Gobain ou equivalente</v>
          </cell>
          <cell r="C1383" t="str">
            <v>UN</v>
          </cell>
          <cell r="D1383">
            <v>218.32</v>
          </cell>
        </row>
        <row r="1384">
          <cell r="A1384" t="str">
            <v>O.05.000.061151</v>
          </cell>
          <cell r="B1384" t="str">
            <v>Junção 45° em ferro fundido, linha predial tradicional, DN= 100x75 mm  ref. YSBB 315927 Saint-Gobain ou equivalente</v>
          </cell>
          <cell r="C1384" t="str">
            <v>UN</v>
          </cell>
          <cell r="D1384">
            <v>249.65</v>
          </cell>
        </row>
        <row r="1385">
          <cell r="A1385" t="str">
            <v>O.05.000.061152</v>
          </cell>
          <cell r="B1385" t="str">
            <v>Junção 45° em ferro fundido, linha predial tradicional, DN= 100x100 mm  ref. YSBB 315928 Saint-Gobain ou equivalente</v>
          </cell>
          <cell r="C1385" t="str">
            <v>UN</v>
          </cell>
          <cell r="D1385">
            <v>262.31</v>
          </cell>
        </row>
        <row r="1386">
          <cell r="A1386" t="str">
            <v>O.05.000.061153</v>
          </cell>
          <cell r="B1386" t="str">
            <v>Junção 45° em ferro fundido, linha predial tradicional, DN= 150x100 mm  ref. YSBB 315930 Saint-Gobain ou equivalente</v>
          </cell>
          <cell r="C1386" t="str">
            <v>UN</v>
          </cell>
          <cell r="D1386">
            <v>371.4</v>
          </cell>
        </row>
        <row r="1387">
          <cell r="A1387" t="str">
            <v>O.05.000.061154</v>
          </cell>
          <cell r="B1387" t="str">
            <v>Junção dupla 45° em ferro fundido, linha predial tradicional, DN= 100 mm  ref. YDSBB 315932 Saint-Gobain ou equivalente</v>
          </cell>
          <cell r="C1387" t="str">
            <v>UN</v>
          </cell>
          <cell r="D1387">
            <v>295.69</v>
          </cell>
        </row>
        <row r="1388">
          <cell r="A1388" t="str">
            <v>O.05.000.061155</v>
          </cell>
          <cell r="B1388" t="str">
            <v>Te sanitário 87° 30' em ferro fundido, linha predial tradicional, DN= 50x50 mm, ref. TS87SBB 315953 Saint-Gobain ou equivalente</v>
          </cell>
          <cell r="C1388" t="str">
            <v>UN</v>
          </cell>
          <cell r="D1388">
            <v>148.79</v>
          </cell>
        </row>
        <row r="1389">
          <cell r="A1389" t="str">
            <v>O.05.000.061156</v>
          </cell>
          <cell r="B1389" t="str">
            <v>Te sanitário 87° 30' em ferro fundido, linha predial tradicional, DN= 75x50 mm, ref. TS87SBB 315954 Saint-Gobain ou equivalente</v>
          </cell>
          <cell r="C1389" t="str">
            <v>UN</v>
          </cell>
          <cell r="D1389">
            <v>186.34</v>
          </cell>
        </row>
        <row r="1390">
          <cell r="A1390" t="str">
            <v>O.05.000.061157</v>
          </cell>
          <cell r="B1390" t="str">
            <v>Te sanitário 87° 30' em ferro fundido, linha predial tradicional, DN= 75x75 mm, ref. TS87SBB 315955 Saint-Gobain ou equivalente</v>
          </cell>
          <cell r="C1390" t="str">
            <v>UN</v>
          </cell>
          <cell r="D1390">
            <v>218.33</v>
          </cell>
        </row>
        <row r="1391">
          <cell r="A1391" t="str">
            <v>O.05.000.061158</v>
          </cell>
          <cell r="B1391" t="str">
            <v>Te sanitário 87° 30' em ferro fundido, linha predial tradicional, DN= 100x50 mm, ref. TS87SBB 315956 Saint-Gobain ou equivalente</v>
          </cell>
          <cell r="C1391" t="str">
            <v>UN</v>
          </cell>
          <cell r="D1391">
            <v>231.81</v>
          </cell>
        </row>
        <row r="1392">
          <cell r="A1392" t="str">
            <v>O.05.000.061159</v>
          </cell>
          <cell r="B1392" t="str">
            <v>Te sanitário 87° 30' em ferro fundido, linha predial tradicional, DN= 100x75 mm, ref. TS87SBB 315957 Saint-Gobain ou equivalente</v>
          </cell>
          <cell r="C1392" t="str">
            <v>UN</v>
          </cell>
          <cell r="D1392">
            <v>237.01</v>
          </cell>
        </row>
        <row r="1393">
          <cell r="A1393" t="str">
            <v>O.05.000.061160</v>
          </cell>
          <cell r="B1393" t="str">
            <v>Te sanitário 87° 30' em ferro fundido, linha predial tradicional, DN= 100x100 mm, ref. TS87SBB 315958 Saint-Gobain ou equivalente</v>
          </cell>
          <cell r="C1393" t="str">
            <v>UN</v>
          </cell>
          <cell r="D1393">
            <v>293.91000000000003</v>
          </cell>
        </row>
        <row r="1394">
          <cell r="A1394" t="str">
            <v>O.05.000.061161</v>
          </cell>
          <cell r="B1394" t="str">
            <v>Bucha de redução em ferro fundido, linha predial tradicional, DN= 75x50 mm, ref. BRSBB 315906 Saint-Gobain ou equivalente</v>
          </cell>
          <cell r="C1394" t="str">
            <v>UN</v>
          </cell>
          <cell r="D1394">
            <v>56.9</v>
          </cell>
        </row>
        <row r="1395">
          <cell r="A1395" t="str">
            <v>O.05.000.061162</v>
          </cell>
          <cell r="B1395" t="str">
            <v>Bucha de redução em ferro fundido, linha predial tradicional, DN= 100x75 mm, ref. BRSBB 315907 Saint-Gobain ou equivalente</v>
          </cell>
          <cell r="C1395" t="str">
            <v>UN</v>
          </cell>
          <cell r="D1395">
            <v>65.290000000000006</v>
          </cell>
        </row>
        <row r="1396">
          <cell r="A1396" t="str">
            <v>O.05.000.061163</v>
          </cell>
          <cell r="B1396" t="str">
            <v>Bucha de redução em ferro fundido, linha predial tradicional, DN= 150x100 mm, ref. BRSBB 315908 Saint-Gobain ou equivalente</v>
          </cell>
          <cell r="C1396" t="str">
            <v>UN</v>
          </cell>
          <cell r="D1396">
            <v>163.96</v>
          </cell>
        </row>
        <row r="1397">
          <cell r="A1397" t="str">
            <v>O.05.000.061164</v>
          </cell>
          <cell r="B1397" t="str">
            <v>Joelho 87° em ferro fundido, linha predial SMU, DN= 100 mm, ref. J88SMU 300246 Saint-Gobain ou equivalente</v>
          </cell>
          <cell r="C1397" t="str">
            <v>UN</v>
          </cell>
          <cell r="D1397">
            <v>183.27</v>
          </cell>
        </row>
        <row r="1398">
          <cell r="A1398" t="str">
            <v>O.05.000.061165</v>
          </cell>
          <cell r="B1398" t="str">
            <v>Joelho 87° em ferro fundido, linha predial SMU, DN= 150 mm, ref. J88SMU 300338 Saint-Gobain ou equivalente</v>
          </cell>
          <cell r="C1398" t="str">
            <v>UN</v>
          </cell>
          <cell r="D1398">
            <v>240.65</v>
          </cell>
        </row>
        <row r="1399">
          <cell r="A1399" t="str">
            <v>O.05.000.061166</v>
          </cell>
          <cell r="B1399" t="str">
            <v>Junção 45° em ferro fundido, linha predial SMU, DN= 50x50 mm  ref. YSMU 300169 Saint-Gobain ou equivalente</v>
          </cell>
          <cell r="C1399" t="str">
            <v>UN</v>
          </cell>
          <cell r="D1399">
            <v>134.25</v>
          </cell>
        </row>
        <row r="1400">
          <cell r="A1400" t="str">
            <v>O.05.000.061167</v>
          </cell>
          <cell r="B1400" t="str">
            <v>Junção 45° em ferro fundido, linha predial SMU, DN= 75x50 mm  ref. YSMU 300195 Saint-Gobain ou equivalente</v>
          </cell>
          <cell r="C1400" t="str">
            <v>UN</v>
          </cell>
          <cell r="D1400">
            <v>205.57</v>
          </cell>
        </row>
        <row r="1401">
          <cell r="A1401" t="str">
            <v>O.05.000.061168</v>
          </cell>
          <cell r="B1401" t="str">
            <v>Junção 45° em ferro fundido, linha predial SMU, DN= 100x75 mm  ref. YSMU 300268 Saint-Gobain ou equivalente</v>
          </cell>
          <cell r="C1401" t="str">
            <v>UN</v>
          </cell>
          <cell r="D1401">
            <v>295.2</v>
          </cell>
        </row>
        <row r="1402">
          <cell r="A1402" t="str">
            <v>O.05.000.061169</v>
          </cell>
          <cell r="B1402" t="str">
            <v>Junção 45º em ferro fundido, predial SMU, DN = 100 x 100 mm, ref. YSMU 300298 da Saint Gobain ou equivalente</v>
          </cell>
          <cell r="C1402" t="str">
            <v>UN</v>
          </cell>
          <cell r="D1402">
            <v>339.96</v>
          </cell>
        </row>
        <row r="1403">
          <cell r="A1403" t="str">
            <v>O.05.000.061170</v>
          </cell>
          <cell r="B1403" t="str">
            <v>Junção 45º em ferro fundido, predial SMU, DN = 150 x 150 mm, ref. YSMU 300370 da Saint Gobain ou equivalente</v>
          </cell>
          <cell r="C1403" t="str">
            <v>UN</v>
          </cell>
          <cell r="D1403">
            <v>943.39</v>
          </cell>
        </row>
        <row r="1404">
          <cell r="A1404" t="str">
            <v>O.05.000.061172</v>
          </cell>
          <cell r="B1404" t="str">
            <v>Joelho 45° em ferro fundido, linha predial SMU, DN= 125 mm ref. J45SMU 300312 da Saint Gobain ou equivalente</v>
          </cell>
          <cell r="C1404" t="str">
            <v>UN</v>
          </cell>
          <cell r="D1404">
            <v>271.54000000000002</v>
          </cell>
        </row>
        <row r="1405">
          <cell r="A1405" t="str">
            <v>O.05.000.061173</v>
          </cell>
          <cell r="B1405" t="str">
            <v>Joelho 45º em ferro fundido, predial SMU, DN=150mm, ref. J45SMU 300340 da Saint Gobain ou equivalente</v>
          </cell>
          <cell r="C1405" t="str">
            <v>UN</v>
          </cell>
          <cell r="D1405">
            <v>289.25</v>
          </cell>
        </row>
        <row r="1406">
          <cell r="A1406" t="str">
            <v>O.05.000.061174</v>
          </cell>
          <cell r="B1406" t="str">
            <v>Tê de visita em ferro fundido linha predial SMU, DN= 125 mm, ref. TVSMU 300322 da Saint Gobain ou equivalente</v>
          </cell>
          <cell r="C1406" t="str">
            <v>UN</v>
          </cell>
          <cell r="D1406">
            <v>1172.53</v>
          </cell>
        </row>
        <row r="1407">
          <cell r="A1407" t="str">
            <v>O.05.000.061175</v>
          </cell>
          <cell r="B1407" t="str">
            <v>Conjunto de ancoragem para tubo em ferro fundido predial SMU, DN= 125 mm, ref. CASMU 300073 da Saint Gobain ou equivalente</v>
          </cell>
          <cell r="C1407" t="str">
            <v>CJ</v>
          </cell>
          <cell r="D1407">
            <v>990.43</v>
          </cell>
        </row>
        <row r="1408">
          <cell r="A1408" t="str">
            <v>O.05.000.061176</v>
          </cell>
          <cell r="B1408" t="str">
            <v>Junta rapid de união aço inox, linha predial SMU, DN= 125mm e anel de vedação nitrílico ou EPDM, ref. JRSMUI da Saint Gobain ou equivalente</v>
          </cell>
          <cell r="C1408" t="str">
            <v>UN</v>
          </cell>
          <cell r="D1408">
            <v>121.93</v>
          </cell>
        </row>
        <row r="1409">
          <cell r="A1409" t="str">
            <v>O.05.000.061177</v>
          </cell>
          <cell r="B1409" t="str">
            <v>Abraçadeira dentada para travamento em aço inoxidável com parafuso aço zincado para tubo ferro fundido predial ADSMU DN 125mm da Saint Gobain ou equivalente</v>
          </cell>
          <cell r="C1409" t="str">
            <v>UN</v>
          </cell>
          <cell r="D1409">
            <v>606.9</v>
          </cell>
        </row>
        <row r="1410">
          <cell r="A1410" t="str">
            <v>O.05.000.061178</v>
          </cell>
          <cell r="B1410" t="str">
            <v>Abraçadeira dentada para travamento em aço inoxidável para tubo de ferro fundido predial ADSMU 300005 - DN = 150 mm</v>
          </cell>
          <cell r="C1410" t="str">
            <v>UN</v>
          </cell>
          <cell r="D1410">
            <v>828.65</v>
          </cell>
        </row>
        <row r="1411">
          <cell r="A1411" t="str">
            <v>O.05.000.061179</v>
          </cell>
          <cell r="B1411" t="str">
            <v>Redução excêntrica em ferro fundido, predial SMU, DN = 125 x 100 mm, ref. RESMU 300286 da Saint Gobain ou equivalente</v>
          </cell>
          <cell r="C1411" t="str">
            <v>UN</v>
          </cell>
          <cell r="D1411">
            <v>236.6</v>
          </cell>
        </row>
        <row r="1412">
          <cell r="A1412" t="str">
            <v>O.05.000.061180</v>
          </cell>
          <cell r="B1412" t="str">
            <v>Redução excêntrica em ferro fundido, predial SMU, DN = 150 x 75 mm, ref. RESMU 300219 da Saint Gobain ou equivalente</v>
          </cell>
          <cell r="C1412" t="str">
            <v>UN</v>
          </cell>
          <cell r="D1412">
            <v>501.55</v>
          </cell>
        </row>
        <row r="1413">
          <cell r="A1413" t="str">
            <v>O.05.000.061181</v>
          </cell>
          <cell r="B1413" t="str">
            <v>Redução excêntrica em ferro fundido, predial SMU, DN = 150 x 125 mm, ref. RESMU 300324 da Saint Gobain ou equivalente</v>
          </cell>
          <cell r="C1413" t="str">
            <v>UN</v>
          </cell>
          <cell r="D1413">
            <v>549.35</v>
          </cell>
        </row>
        <row r="1414">
          <cell r="A1414" t="str">
            <v>O.05.000.061182</v>
          </cell>
          <cell r="B1414" t="str">
            <v>Redução excêntrica em ferro fundido, predial SMU, DN = 200 x 125 mm, ref. RESMU 300326 da Saint Gobain ou equivalente</v>
          </cell>
          <cell r="C1414" t="str">
            <v>UN</v>
          </cell>
          <cell r="D1414">
            <v>569.09</v>
          </cell>
        </row>
        <row r="1415">
          <cell r="A1415" t="str">
            <v>O.05.000.061183</v>
          </cell>
          <cell r="B1415" t="str">
            <v>Tubo em ferro fundido com ponta e ponta, predial SMU - esgoto e pluvial - DN= 125 mm, ref. TPSMU 300306 da Saint Gobain ou equivalente</v>
          </cell>
          <cell r="C1415" t="str">
            <v>M</v>
          </cell>
          <cell r="D1415">
            <v>356.83</v>
          </cell>
        </row>
        <row r="1416">
          <cell r="A1416" t="str">
            <v>O.05.000.061184</v>
          </cell>
          <cell r="B1416" t="str">
            <v>Redução excêntrica em ferro fundido, predial SMU, DN = 200 x 150 mm, ref. RESMU 300362 da Saint Gobain ou equivalente</v>
          </cell>
          <cell r="C1416" t="str">
            <v>UN</v>
          </cell>
          <cell r="D1416">
            <v>611.58000000000004</v>
          </cell>
        </row>
        <row r="1417">
          <cell r="A1417" t="str">
            <v>O.05.000.061185</v>
          </cell>
          <cell r="B1417" t="str">
            <v>Flange avulso em ferro fundido classe PN-10, DN= 50mm, ref. Barbara ou equivalente</v>
          </cell>
          <cell r="C1417" t="str">
            <v>UN</v>
          </cell>
          <cell r="D1417">
            <v>118.13</v>
          </cell>
        </row>
        <row r="1418">
          <cell r="A1418" t="str">
            <v>O.05.000.061186</v>
          </cell>
          <cell r="B1418" t="str">
            <v>Joelho 88° em ferro fundido, linha predial SMU, DN= 200 mm, ref. J88SMU 300380 Saint-Gobain ou equivalente</v>
          </cell>
          <cell r="C1418" t="str">
            <v>UN</v>
          </cell>
          <cell r="D1418">
            <v>399.27</v>
          </cell>
        </row>
        <row r="1419">
          <cell r="A1419" t="str">
            <v>O.05.000.061187</v>
          </cell>
          <cell r="B1419" t="str">
            <v>Junção 45° em ferro fundido, linha predial YSMU, DN= 125x100 mm  ref. YSMU 300319 Saint-Gobain ou equivalente</v>
          </cell>
          <cell r="C1419" t="str">
            <v>UN</v>
          </cell>
          <cell r="D1419">
            <v>560.92999999999995</v>
          </cell>
        </row>
        <row r="1420">
          <cell r="A1420" t="str">
            <v>O.05.000.061188</v>
          </cell>
          <cell r="B1420" t="str">
            <v>Joelho 45° em ferro fundido, linha predial SMU, DN= 200 mm  ref. J45SMU 300382 da Saint Gobain ou equivalente</v>
          </cell>
          <cell r="C1420" t="str">
            <v>UN</v>
          </cell>
          <cell r="D1420">
            <v>601.13</v>
          </cell>
        </row>
        <row r="1421">
          <cell r="A1421" t="str">
            <v>O.05.000.061189</v>
          </cell>
          <cell r="B1421" t="str">
            <v>Junção 45° em ferro fundido, linha predial YSMU, DN= 150x100 mm  ref. YSMU 300350 Saint-Gobain ou equivalente</v>
          </cell>
          <cell r="C1421" t="str">
            <v>UN</v>
          </cell>
          <cell r="D1421">
            <v>789.22</v>
          </cell>
        </row>
        <row r="1422">
          <cell r="A1422" t="str">
            <v>O.05.000.061190</v>
          </cell>
          <cell r="B1422" t="str">
            <v>Tampão simples em ferro fundido, predial SMU, DN = 150mm, ref. TPS SMU 300336 da Saint Gobain ou equivalente</v>
          </cell>
          <cell r="C1422" t="str">
            <v>UN</v>
          </cell>
          <cell r="D1422">
            <v>259.56</v>
          </cell>
        </row>
        <row r="1423">
          <cell r="A1423" t="str">
            <v>O.05.000.061192</v>
          </cell>
          <cell r="B1423" t="str">
            <v>Tampão simples em ferro fundido, predial SMU, DN = 200 mm, ref. TPSSMU MU20B1SC da Saint Gobain ou equivalente</v>
          </cell>
          <cell r="C1423" t="str">
            <v>UN</v>
          </cell>
          <cell r="D1423">
            <v>549.41999999999996</v>
          </cell>
        </row>
        <row r="1424">
          <cell r="A1424" t="str">
            <v>O.05.000.061195</v>
          </cell>
          <cell r="B1424" t="str">
            <v>Redução excêntrica em ferro fundido, predial (RE SMU) DN= 125 x 75 mm, ref. J88SMU 300216 Saint-Gobain ou equivalente</v>
          </cell>
          <cell r="C1424" t="str">
            <v>UN</v>
          </cell>
          <cell r="D1424">
            <v>238.87</v>
          </cell>
        </row>
        <row r="1425">
          <cell r="A1425" t="str">
            <v>O.05.000.061196</v>
          </cell>
          <cell r="B1425" t="str">
            <v>Junção 45° em ferro fundido, linha predial YSMU, DN= 200x100 mm  ref. YSMU 300388 Saint-Gobain ou equivalente</v>
          </cell>
          <cell r="C1425" t="str">
            <v>UN</v>
          </cell>
          <cell r="D1425">
            <v>1113.55</v>
          </cell>
        </row>
        <row r="1426">
          <cell r="A1426" t="str">
            <v>O.05.000.061197</v>
          </cell>
          <cell r="B1426" t="str">
            <v>Junção 45° em ferro fundido, linha predial YSMU, DN= 200x200 mm  ref. YSMU 300409 Saint-Gobain ou equivalente</v>
          </cell>
          <cell r="C1426" t="str">
            <v>UN</v>
          </cell>
          <cell r="D1426">
            <v>3354.55</v>
          </cell>
        </row>
        <row r="1427">
          <cell r="A1427" t="str">
            <v>O.05.000.061198</v>
          </cell>
          <cell r="B1427" t="str">
            <v>Tê de visita em ferro fundido linha predial SMU, DN= 150 mm, ref. TVSMU 300358 da Saint Gobain ou equivalente</v>
          </cell>
          <cell r="C1427" t="str">
            <v>UN</v>
          </cell>
          <cell r="D1427">
            <v>1482.67</v>
          </cell>
        </row>
        <row r="1428">
          <cell r="A1428" t="str">
            <v>O.05.000.061199</v>
          </cell>
          <cell r="B1428" t="str">
            <v>Tê de visita em ferro fundido linha predial SMU, DN= 200 mm, ref. TVSMU 300398 da Saint Gobain ou equivalente</v>
          </cell>
          <cell r="C1428" t="str">
            <v>UN</v>
          </cell>
          <cell r="D1428">
            <v>3104.63</v>
          </cell>
        </row>
        <row r="1429">
          <cell r="A1429" t="str">
            <v>O.05.000.061401</v>
          </cell>
          <cell r="B1429" t="str">
            <v>Redução em ferro fundido concêntrica com flange, classe PN-10, DN= 100 x 80 mm, ref. Barbara ou equivalente</v>
          </cell>
          <cell r="C1429" t="str">
            <v>UN</v>
          </cell>
          <cell r="D1429">
            <v>355.65</v>
          </cell>
        </row>
        <row r="1430">
          <cell r="A1430" t="str">
            <v>O.05.000.061402</v>
          </cell>
          <cell r="B1430" t="str">
            <v>Redução em ferro fundido concêntrica com flange, classe PN-10, DN= 150 x 80 mm, ref. Barbará ou equivalente</v>
          </cell>
          <cell r="C1430" t="str">
            <v>UN</v>
          </cell>
          <cell r="D1430">
            <v>628.04</v>
          </cell>
        </row>
        <row r="1431">
          <cell r="A1431" t="str">
            <v>O.05.000.061403</v>
          </cell>
          <cell r="B1431" t="str">
            <v>Redução em ferro fundido concêntrica com flange, classe PN-10, DN= 200 x 150 mm, ref. Barbará ou equivalente</v>
          </cell>
          <cell r="C1431" t="str">
            <v>UN</v>
          </cell>
          <cell r="D1431">
            <v>736.07</v>
          </cell>
        </row>
        <row r="1432">
          <cell r="A1432" t="str">
            <v>O.05.000.061404</v>
          </cell>
          <cell r="B1432" t="str">
            <v>Redução em ferro fundido concêntrica com flange, classe PN-10, DN= 250 x 200 mm, ref. Barbará ou equivalente</v>
          </cell>
          <cell r="C1432" t="str">
            <v>UN</v>
          </cell>
          <cell r="D1432">
            <v>1168.19</v>
          </cell>
        </row>
        <row r="1433">
          <cell r="A1433" t="str">
            <v>O.05.000.062010</v>
          </cell>
          <cell r="B1433" t="str">
            <v>Redução em ferro fundido excêntrica com flange, classe PN-10, DN= 100 x 80 mm, ref. Barbara ou equivalente</v>
          </cell>
          <cell r="C1433" t="str">
            <v>UN</v>
          </cell>
          <cell r="D1433">
            <v>389.44</v>
          </cell>
        </row>
        <row r="1434">
          <cell r="A1434" t="str">
            <v>O.05.000.062011</v>
          </cell>
          <cell r="B1434" t="str">
            <v>Redução em ferro fundido excêntrica com flange, classe PN-10, DN= 150 x 80 mm, ref. Barbará ou equivalente</v>
          </cell>
          <cell r="C1434" t="str">
            <v>UN</v>
          </cell>
          <cell r="D1434">
            <v>514.01</v>
          </cell>
        </row>
        <row r="1435">
          <cell r="A1435" t="str">
            <v>O.05.000.062012</v>
          </cell>
          <cell r="B1435" t="str">
            <v>Redução em ferro fundido excêntrica com flange, classe PN-10, DN= 200 x 150 mm, ref. Barbará ou equivalente</v>
          </cell>
          <cell r="C1435" t="str">
            <v>UN</v>
          </cell>
          <cell r="D1435">
            <v>825.19</v>
          </cell>
        </row>
        <row r="1436">
          <cell r="A1436" t="str">
            <v>O.05.000.062013</v>
          </cell>
          <cell r="B1436" t="str">
            <v>Redução em ferro fundido excêntrica com flange, classe PN-10, DN= 250 x 200 mm, ref. Barbará ou equivalente</v>
          </cell>
          <cell r="C1436" t="str">
            <v>UN</v>
          </cell>
          <cell r="D1436">
            <v>1331.23</v>
          </cell>
        </row>
        <row r="1437">
          <cell r="A1437" t="str">
            <v>O.05.000.062027</v>
          </cell>
          <cell r="B1437" t="str">
            <v>Redução concêntrica em ferro fundido com flange, classe PN-10, DN= 80x50mm</v>
          </cell>
          <cell r="C1437" t="str">
            <v>UN</v>
          </cell>
          <cell r="D1437">
            <v>297.36</v>
          </cell>
        </row>
        <row r="1438">
          <cell r="A1438" t="str">
            <v>O.05.000.062400</v>
          </cell>
          <cell r="B1438" t="str">
            <v>Joelho 45° em ferro fundido, SMU (J45SMU) DN= 50 mm</v>
          </cell>
          <cell r="C1438" t="str">
            <v>UN</v>
          </cell>
          <cell r="D1438">
            <v>104.63</v>
          </cell>
        </row>
        <row r="1439">
          <cell r="A1439" t="str">
            <v>O.05.000.062401</v>
          </cell>
          <cell r="B1439" t="str">
            <v>Joelho 45° em ferro fundido, SMU (J45SMU) DN= 75 mm</v>
          </cell>
          <cell r="C1439" t="str">
            <v>UN</v>
          </cell>
          <cell r="D1439">
            <v>146.04</v>
          </cell>
        </row>
        <row r="1440">
          <cell r="A1440" t="str">
            <v>O.05.000.062402</v>
          </cell>
          <cell r="B1440" t="str">
            <v>Joelho 45° em ferro fundido, SMU (J45SMU) DN= 100 mm</v>
          </cell>
          <cell r="C1440" t="str">
            <v>UN</v>
          </cell>
          <cell r="D1440">
            <v>156.44999999999999</v>
          </cell>
        </row>
        <row r="1441">
          <cell r="A1441" t="str">
            <v>O.05.000.062403</v>
          </cell>
          <cell r="B1441" t="str">
            <v>Redução excêntrica em ferro fundido, predial (RE SMU) DN= 75 x 50 mm</v>
          </cell>
          <cell r="C1441" t="str">
            <v>UN</v>
          </cell>
          <cell r="D1441">
            <v>137.87</v>
          </cell>
        </row>
        <row r="1442">
          <cell r="A1442" t="str">
            <v>O.05.000.062404</v>
          </cell>
          <cell r="B1442" t="str">
            <v>Redução excêntrica em ferro fundido, predial (RE SMU) DN= 100 x 75 mm</v>
          </cell>
          <cell r="C1442" t="str">
            <v>UN</v>
          </cell>
          <cell r="D1442">
            <v>208.72</v>
          </cell>
        </row>
        <row r="1443">
          <cell r="A1443" t="str">
            <v>O.05.000.062405</v>
          </cell>
          <cell r="B1443" t="str">
            <v>Joelho 88° em ferro fundido SMU (J88 SMU) DN= 50 mm</v>
          </cell>
          <cell r="C1443" t="str">
            <v>UN</v>
          </cell>
          <cell r="D1443">
            <v>175.32</v>
          </cell>
        </row>
        <row r="1444">
          <cell r="A1444" t="str">
            <v>O.05.000.062406</v>
          </cell>
          <cell r="B1444" t="str">
            <v>Junção 45° em ferro fundido SMU (Y SMU) DN= 75 x 75 mm</v>
          </cell>
          <cell r="C1444" t="str">
            <v>UN</v>
          </cell>
          <cell r="D1444">
            <v>246.15</v>
          </cell>
        </row>
        <row r="1445">
          <cell r="A1445" t="str">
            <v>O.05.000.062407</v>
          </cell>
          <cell r="B1445" t="str">
            <v>Te de visita em ferro fundido SMU (TV SMU) DN= 75 mm</v>
          </cell>
          <cell r="C1445" t="str">
            <v>UN</v>
          </cell>
          <cell r="D1445">
            <v>471.88</v>
          </cell>
        </row>
        <row r="1446">
          <cell r="A1446" t="str">
            <v>O.05.000.062408</v>
          </cell>
          <cell r="B1446" t="str">
            <v>Abraçadeira dentada para travamento em ferro fundido, predial SMU DN= 50 mm</v>
          </cell>
          <cell r="C1446" t="str">
            <v>UN</v>
          </cell>
          <cell r="D1446">
            <v>211.82</v>
          </cell>
        </row>
        <row r="1447">
          <cell r="A1447" t="str">
            <v>O.05.000.062409</v>
          </cell>
          <cell r="B1447" t="str">
            <v>Redução excêntrica em ferro fundido, linha predial SMU, DN= 150 x 100 mm, ref. RESMU 300288 da Saint-Gobain ou equivalente</v>
          </cell>
          <cell r="C1447" t="str">
            <v>UN</v>
          </cell>
          <cell r="D1447">
            <v>516.82000000000005</v>
          </cell>
        </row>
        <row r="1448">
          <cell r="A1448" t="str">
            <v>O.05.000.062410</v>
          </cell>
          <cell r="B1448" t="str">
            <v>Joelho 88° em ferro fundido SMU (J88 SMU) - DN= 75 mm</v>
          </cell>
          <cell r="C1448" t="str">
            <v>UN</v>
          </cell>
          <cell r="D1448">
            <v>177.06</v>
          </cell>
        </row>
        <row r="1449">
          <cell r="A1449" t="str">
            <v>O.05.000.062411</v>
          </cell>
          <cell r="B1449" t="str">
            <v>Tê de visita em ferro fundido linha predial SMU, DN= 100 mm, ref. TVSMU 300276 da Saint-Gobain ou equivalente</v>
          </cell>
          <cell r="C1449" t="str">
            <v>UN</v>
          </cell>
          <cell r="D1449">
            <v>880.6</v>
          </cell>
        </row>
        <row r="1450">
          <cell r="A1450" t="str">
            <v>O.05.000.062412</v>
          </cell>
          <cell r="B1450" t="str">
            <v>Abraçadeira dentada para travamento, linha predial SMU, DN= 75 mm, ref. AD SMU da Saint-Gobain ou equivalente</v>
          </cell>
          <cell r="C1450" t="str">
            <v>UN</v>
          </cell>
          <cell r="D1450">
            <v>239.97</v>
          </cell>
        </row>
        <row r="1451">
          <cell r="A1451" t="str">
            <v>O.05.000.062413</v>
          </cell>
          <cell r="B1451" t="str">
            <v>Abraçadeira dentada para travamento, linha predial SMU, DN= 100 mm, ref. AD SMU da Saint-Gobain ou equivalente</v>
          </cell>
          <cell r="C1451" t="str">
            <v>UN</v>
          </cell>
          <cell r="D1451">
            <v>504.29</v>
          </cell>
        </row>
        <row r="1452">
          <cell r="A1452" t="str">
            <v>O.05.000.062414</v>
          </cell>
          <cell r="B1452" t="str">
            <v>Tubo em ferro fundido com ponta e ponta, predial SMU - esgoto e pluvial - DN= 250 mm, ref. TPSMU 300411 da Saint Gobain ou equivalente</v>
          </cell>
          <cell r="C1452" t="str">
            <v>M</v>
          </cell>
          <cell r="D1452">
            <v>1025.31</v>
          </cell>
        </row>
        <row r="1453">
          <cell r="A1453" t="str">
            <v>O.05.000.062415</v>
          </cell>
          <cell r="B1453" t="str">
            <v>Redução excêntrica em ferro fundido, predial (RE SMU) DN= 250 x 200 mm, ref. J88SMU 300402 Saint-Gobain ou equivalente</v>
          </cell>
          <cell r="C1453" t="str">
            <v>UN</v>
          </cell>
          <cell r="D1453">
            <v>1418.81</v>
          </cell>
        </row>
        <row r="1454">
          <cell r="A1454" t="str">
            <v>O.05.000.062416</v>
          </cell>
          <cell r="B1454" t="str">
            <v>Junta CV de união em aço inoxidável, DN= 250mm "JCVSMUI", para linha predial SMU, ref. ZA91J25A da Saint Cobain ou equivalente</v>
          </cell>
          <cell r="C1454" t="str">
            <v>UN</v>
          </cell>
          <cell r="D1454">
            <v>623.34</v>
          </cell>
        </row>
        <row r="1455">
          <cell r="A1455" t="str">
            <v>O.05.000.063501</v>
          </cell>
          <cell r="B1455" t="str">
            <v>Válvula de gaveta em ferro fundido, haste ascendente com flange, classe 125 lb, DN= 2´</v>
          </cell>
          <cell r="C1455" t="str">
            <v>UN</v>
          </cell>
          <cell r="D1455">
            <v>1365.98</v>
          </cell>
        </row>
        <row r="1456">
          <cell r="A1456" t="str">
            <v>O.05.000.063502</v>
          </cell>
          <cell r="B1456" t="str">
            <v>Válvula de retenção em ferro fundido, nodular ASTM A-536 Gr. 65-45-12, tipo portinhola dupla e vedação em Buna-N, DN= 6´</v>
          </cell>
          <cell r="C1456" t="str">
            <v>UN</v>
          </cell>
          <cell r="D1456">
            <v>1274.8900000000001</v>
          </cell>
        </row>
        <row r="1457">
          <cell r="A1457" t="str">
            <v>O.05.000.063503</v>
          </cell>
          <cell r="B1457" t="str">
            <v>Válvula de retenção tipo portinhola simples em ferro fundido, flangeada, DN= 6´</v>
          </cell>
          <cell r="C1457" t="str">
            <v>UN</v>
          </cell>
          <cell r="D1457">
            <v>3365.84</v>
          </cell>
        </row>
        <row r="1458">
          <cell r="A1458" t="str">
            <v>O.05.000.063505</v>
          </cell>
          <cell r="B1458" t="str">
            <v>Hidrômetro tipo Woltmann em ferro fundido de 100mm (4´), flangeado inclusive acessórios de fixação</v>
          </cell>
          <cell r="C1458" t="str">
            <v>UN</v>
          </cell>
          <cell r="D1458">
            <v>3339.59</v>
          </cell>
        </row>
        <row r="1459">
          <cell r="A1459" t="str">
            <v>O.05.000.063516</v>
          </cell>
          <cell r="B1459" t="str">
            <v>Hidrômetro tipo Woltmann em ferro fundido de 50mm (2´), flangeado inclusive acessórios de fixação</v>
          </cell>
          <cell r="C1459" t="str">
            <v>UN</v>
          </cell>
          <cell r="D1459">
            <v>1879.86</v>
          </cell>
        </row>
        <row r="1460">
          <cell r="A1460" t="str">
            <v>O.05.000.063517</v>
          </cell>
          <cell r="B1460" t="str">
            <v>Filtro tipo cesto, corpo em ferro fundido para hidrômetro de 50mm (2´), flangeado</v>
          </cell>
          <cell r="C1460" t="str">
            <v>UN</v>
          </cell>
          <cell r="D1460">
            <v>2471.08</v>
          </cell>
        </row>
        <row r="1461">
          <cell r="A1461" t="str">
            <v>O.05.000.064007</v>
          </cell>
          <cell r="B1461" t="str">
            <v>Válvula de gaveta em ferro fundido com bolsa, DN= 150mm, acionamento com volante</v>
          </cell>
          <cell r="C1461" t="str">
            <v>UN</v>
          </cell>
          <cell r="D1461">
            <v>1733.04</v>
          </cell>
        </row>
        <row r="1462">
          <cell r="A1462" t="str">
            <v>O.05.000.064008</v>
          </cell>
          <cell r="B1462" t="str">
            <v>Válvula de gaveta em ferro fundido com bolsa, DN= 200mm, acionamento com volante</v>
          </cell>
          <cell r="C1462" t="str">
            <v>UN</v>
          </cell>
          <cell r="D1462">
            <v>2961.06</v>
          </cell>
        </row>
        <row r="1463">
          <cell r="A1463" t="str">
            <v>O.05.000.064009</v>
          </cell>
          <cell r="B1463" t="str">
            <v>Válvula de retenção em ferro fundido, tipo portinhola simples e vedação em Buna-N, DN= 4´</v>
          </cell>
          <cell r="C1463" t="str">
            <v>UN</v>
          </cell>
          <cell r="D1463">
            <v>900.87</v>
          </cell>
        </row>
        <row r="1464">
          <cell r="A1464" t="str">
            <v>O.05.000.064012</v>
          </cell>
          <cell r="B1464" t="str">
            <v>Válvula de retenção em ferro fundido, nodular ASTM A-536 Gr. 65-45-12, tipo portinhola dupla e vedação em Buna-N, DN= 4´</v>
          </cell>
          <cell r="C1464" t="str">
            <v>UN</v>
          </cell>
          <cell r="D1464">
            <v>774.88</v>
          </cell>
        </row>
        <row r="1465">
          <cell r="A1465" t="str">
            <v>O.05.000.064026</v>
          </cell>
          <cell r="B1465" t="str">
            <v>Válvula de retenção em pé com crivo, flangeada, em ferro fundido, DN= 6´</v>
          </cell>
          <cell r="C1465" t="str">
            <v>UN</v>
          </cell>
          <cell r="D1465">
            <v>2180.08</v>
          </cell>
        </row>
        <row r="1466">
          <cell r="A1466" t="str">
            <v>O.05.000.064049</v>
          </cell>
          <cell r="B1466" t="str">
            <v>Válvula de gaveta em ferro dúctil com flange, classe PN-10, DN= 200 mm, com corpo curto e volante, ref. Barbará ou equivalente</v>
          </cell>
          <cell r="C1466" t="str">
            <v>UN</v>
          </cell>
          <cell r="D1466">
            <v>3010.86</v>
          </cell>
        </row>
        <row r="1467">
          <cell r="A1467" t="str">
            <v>O.05.000.064052</v>
          </cell>
          <cell r="B1467" t="str">
            <v>Válvula de segurança em ferro fundido rosqueada, com pressão de ajuste de 6,1 até 10 kg/cm², DN= 3/4´; ref. SV 17 da Spirax Sarco ou equivalente</v>
          </cell>
          <cell r="C1467" t="str">
            <v>UN</v>
          </cell>
          <cell r="D1467">
            <v>3367.63</v>
          </cell>
        </row>
        <row r="1468">
          <cell r="A1468" t="str">
            <v>O.05.000.064053</v>
          </cell>
          <cell r="B1468" t="str">
            <v>Válvula de segurança em ferro fundido rosqueada, com pressão de ajuste de 0,40 até 0,75 kg/cm², DN= 2´; ref. SV 17 da Spirax Sarco ou equivalente</v>
          </cell>
          <cell r="C1468" t="str">
            <v>UN</v>
          </cell>
          <cell r="D1468">
            <v>6721.54</v>
          </cell>
        </row>
        <row r="1469">
          <cell r="A1469" t="str">
            <v>O.05.000.064126</v>
          </cell>
          <cell r="B1469" t="str">
            <v>Válvula automática em ferro dúctil/fundido nodular, controle de nível máxima, DN= 50 mm, classe PN 10; ref. VA-121-F da Bermad e flane da Valloy ou equivalente</v>
          </cell>
          <cell r="C1469" t="str">
            <v>UN</v>
          </cell>
          <cell r="D1469">
            <v>1208.99</v>
          </cell>
        </row>
        <row r="1470">
          <cell r="A1470" t="str">
            <v>O.05.000.064127</v>
          </cell>
          <cell r="B1470" t="str">
            <v>Válvula automática em ferro dúctil/fundido nodular, controle de nível máxima com solenoide, DN= 50mm, classe PN 10, ref. VA145 FE da Bermad, com flane da Vallay, ou equivalente</v>
          </cell>
          <cell r="C1470" t="str">
            <v>UN</v>
          </cell>
          <cell r="D1470">
            <v>1602.38</v>
          </cell>
        </row>
        <row r="1471">
          <cell r="A1471" t="str">
            <v>O.05.000.064128</v>
          </cell>
          <cell r="B1471" t="str">
            <v>Válvula automática em ferro dúctil/fundido nodular, controle de nível máxima com solenoide, DN= 100mm, classe PN 10, ref. VA145 FE da Bermad, com flante da Valloy ou equivalente</v>
          </cell>
          <cell r="C1471" t="str">
            <v>UN</v>
          </cell>
          <cell r="D1471">
            <v>2365.4</v>
          </cell>
        </row>
        <row r="1472">
          <cell r="A1472" t="str">
            <v>O.05.000.064129</v>
          </cell>
          <cell r="B1472" t="str">
            <v>Válvula de gaveta em ferro fundido com bolsa, DN= 100mm</v>
          </cell>
          <cell r="C1472" t="str">
            <v>UN</v>
          </cell>
          <cell r="D1472">
            <v>1053.46</v>
          </cell>
        </row>
        <row r="1473">
          <cell r="A1473" t="str">
            <v>O.05.000.064132</v>
          </cell>
          <cell r="B1473" t="str">
            <v>Válvula de gaveta em ferro dúctil com flange, classe PN-10, DN= 300 mm, com corpo curto e volante, ref. Barbará ou equivalente</v>
          </cell>
          <cell r="C1473" t="str">
            <v>UN</v>
          </cell>
          <cell r="D1473">
            <v>7092.37</v>
          </cell>
        </row>
        <row r="1474">
          <cell r="A1474" t="str">
            <v>O.05.000.064133</v>
          </cell>
          <cell r="B1474" t="str">
            <v>Válvula de gaveta em ferro dúctil com flange, classe PN-10, DN= 100 mm, com corpo curto e volante, ref. Barbará ou equivalente</v>
          </cell>
          <cell r="C1474" t="str">
            <v>UN</v>
          </cell>
          <cell r="D1474">
            <v>1162.1400000000001</v>
          </cell>
        </row>
        <row r="1475">
          <cell r="A1475" t="str">
            <v>O.05.000.064134</v>
          </cell>
          <cell r="B1475" t="str">
            <v>Válvula de gaveta em ferro dúctil com flange, classe PN-10, DN= 150 mm, com corpo curto e volante, ref. Barbará ou equivalente</v>
          </cell>
          <cell r="C1475" t="str">
            <v>UN</v>
          </cell>
          <cell r="D1475">
            <v>1855.09</v>
          </cell>
        </row>
        <row r="1476">
          <cell r="A1476" t="str">
            <v>O.05.000.064175</v>
          </cell>
          <cell r="B1476" t="str">
            <v>Visor de fluxo com janela simples, corpo em ferro fundido ou aço carbono, DN = 1´</v>
          </cell>
          <cell r="C1476" t="str">
            <v>UN</v>
          </cell>
          <cell r="D1476">
            <v>907.54</v>
          </cell>
        </row>
        <row r="1477">
          <cell r="A1477" t="str">
            <v>O.05.000.064198</v>
          </cell>
          <cell r="B1477" t="str">
            <v>Válvula de esfera em aço carbono fundido, passagem plena, extremidades rosqueáveis, classe 300lbs para vapor saturado, DN 2"; ref. VMR Spirax Sarc ou equivalente</v>
          </cell>
          <cell r="C1477" t="str">
            <v>UN</v>
          </cell>
          <cell r="D1477">
            <v>546.65</v>
          </cell>
        </row>
        <row r="1478">
          <cell r="A1478" t="str">
            <v>O.05.000.064204</v>
          </cell>
          <cell r="B1478" t="str">
            <v>Válvula de governo (retenção e alarme) completa, corpo em ferro fundido, extremidades flangeadas, classe 125 lbs, DN=4´</v>
          </cell>
          <cell r="C1478" t="str">
            <v>UN</v>
          </cell>
          <cell r="D1478">
            <v>6452.21</v>
          </cell>
        </row>
        <row r="1479">
          <cell r="A1479" t="str">
            <v>O.05.000.064205</v>
          </cell>
          <cell r="B1479" t="str">
            <v>Válvula de gaveta, corpo em ferro fundido, extremidades flangeadas, haste ascendente, classe 125lbs, DN=4´</v>
          </cell>
          <cell r="C1479" t="str">
            <v>UN</v>
          </cell>
          <cell r="D1479">
            <v>2091.6999999999998</v>
          </cell>
        </row>
        <row r="1480">
          <cell r="A1480" t="str">
            <v>O.05.000.064206</v>
          </cell>
          <cell r="B1480" t="str">
            <v>Válvula de gaveta, corpo em ferro fundido, extremidades flangeadas, haste ascendente, classe 125lbs, DN=6´</v>
          </cell>
          <cell r="C1480" t="str">
            <v>UN</v>
          </cell>
          <cell r="D1480">
            <v>3319.76</v>
          </cell>
        </row>
        <row r="1481">
          <cell r="A1481" t="str">
            <v>O.05.000.064207</v>
          </cell>
          <cell r="B1481" t="str">
            <v>Válvula de retenção vertical, corpo em ferro fundido, extremidades flangeadas, classe 125lbs, DN=4´</v>
          </cell>
          <cell r="C1481" t="str">
            <v>UN</v>
          </cell>
          <cell r="D1481">
            <v>2190.23</v>
          </cell>
        </row>
        <row r="1482">
          <cell r="A1482" t="str">
            <v>O.05.000.064213</v>
          </cell>
          <cell r="B1482" t="str">
            <v>Válvula dupla em latão cromado, para bancada de laboratório, uso em GLP, bico para mangueira, de 1/4´ a 1/2´, ref. PV120 Pecinox, JV109 Juval, ou equivalente</v>
          </cell>
          <cell r="C1482" t="str">
            <v>UN</v>
          </cell>
          <cell r="D1482">
            <v>307.27999999999997</v>
          </cell>
        </row>
        <row r="1483">
          <cell r="A1483" t="str">
            <v>O.05.000.064214</v>
          </cell>
          <cell r="B1483" t="str">
            <v>Válvula latão cromado, para cuba de laboratório, bico arejado/escalonado e nuca alta giratória, para mangueira, ref. PV-140 Pecinox, JV203 Juval, ou equivalente</v>
          </cell>
          <cell r="C1483" t="str">
            <v>UN</v>
          </cell>
          <cell r="D1483">
            <v>491.01</v>
          </cell>
        </row>
        <row r="1484">
          <cell r="A1484" t="str">
            <v>O.05.000.066226</v>
          </cell>
          <cell r="B1484" t="str">
            <v>Conjunto motor-bomba (centrífuga), potência 50cv, monoestágio, Hman= 61 a 81 mca, Q= 170 a 80 m³/h, ref. modelo Norm Bloc TH-65-200 Thebe, ou equivalente</v>
          </cell>
          <cell r="C1484" t="str">
            <v>UN</v>
          </cell>
          <cell r="D1484">
            <v>29679.07</v>
          </cell>
        </row>
        <row r="1485">
          <cell r="A1485" t="str">
            <v>O.05.000.067502</v>
          </cell>
          <cell r="B1485" t="str">
            <v>Ralo seco em ferro fundido de 100 x 165 x 50 mm</v>
          </cell>
          <cell r="C1485" t="str">
            <v>UN</v>
          </cell>
          <cell r="D1485">
            <v>124.89</v>
          </cell>
        </row>
        <row r="1486">
          <cell r="A1486" t="str">
            <v>O.05.000.067517</v>
          </cell>
          <cell r="B1486" t="str">
            <v>Grelha com malha quadriculada e requadro, em ferro fundido nodular classe 250/300, de 50x100x5cm; ref. Fuminas, Afer Industrial ou equivalente</v>
          </cell>
          <cell r="C1486" t="str">
            <v>UN</v>
          </cell>
          <cell r="D1486">
            <v>710.77</v>
          </cell>
        </row>
        <row r="1487">
          <cell r="A1487" t="str">
            <v>O.05.000.067521</v>
          </cell>
          <cell r="B1487" t="str">
            <v>Ralo sifonado em ferro fundido de 150 x 240 x 75 mm</v>
          </cell>
          <cell r="C1487" t="str">
            <v>UN</v>
          </cell>
          <cell r="D1487">
            <v>393.16</v>
          </cell>
        </row>
        <row r="1488">
          <cell r="A1488" t="str">
            <v>O.05.000.067535</v>
          </cell>
          <cell r="B1488" t="str">
            <v>Plug em ferro fundido para ralo de 2´</v>
          </cell>
          <cell r="C1488" t="str">
            <v>UN</v>
          </cell>
          <cell r="D1488">
            <v>33.97</v>
          </cell>
        </row>
        <row r="1489">
          <cell r="A1489" t="str">
            <v>O.05.000.067543</v>
          </cell>
          <cell r="B1489" t="str">
            <v>Grelha em ferro fundido com requadro de 30 x 100 cm - 20 kg/m</v>
          </cell>
          <cell r="C1489" t="str">
            <v>UN</v>
          </cell>
          <cell r="D1489">
            <v>366.63</v>
          </cell>
        </row>
        <row r="1490">
          <cell r="A1490" t="str">
            <v>O.05.000.067548</v>
          </cell>
          <cell r="B1490" t="str">
            <v>Grelha metálica de 150 x 150 mm, para caixa sifonada ou ralo, ref. Metal Vila ou equivalente</v>
          </cell>
          <cell r="C1490" t="str">
            <v>UN</v>
          </cell>
          <cell r="D1490">
            <v>28.34</v>
          </cell>
        </row>
        <row r="1491">
          <cell r="A1491" t="str">
            <v>O.05.000.067549</v>
          </cell>
          <cell r="B1491" t="str">
            <v>Grelha metálica de 100 x 100 mm, para caixa sifonada ou ralo, ref. Metal Vila ou equivalente</v>
          </cell>
          <cell r="C1491" t="str">
            <v>UN</v>
          </cell>
          <cell r="D1491">
            <v>22.89</v>
          </cell>
        </row>
        <row r="1492">
          <cell r="A1492" t="str">
            <v>O.05.000.068510</v>
          </cell>
          <cell r="B1492" t="str">
            <v>Pig tail ou chicote flexível revestimento em borracha sintética resistente, DN= 7/16´ x 1,00 m</v>
          </cell>
          <cell r="C1492" t="str">
            <v>UN</v>
          </cell>
          <cell r="D1492">
            <v>24.44</v>
          </cell>
        </row>
        <row r="1493">
          <cell r="A1493" t="str">
            <v>O.05.000.068533</v>
          </cell>
          <cell r="B1493" t="str">
            <v>Filtro ´Y´ ferro fundido, rosca, 125 lbs vapor, 2´; ref. Spirax Sarco ou equivalente</v>
          </cell>
          <cell r="C1493" t="str">
            <v>UN</v>
          </cell>
          <cell r="D1493">
            <v>489.15</v>
          </cell>
        </row>
        <row r="1494">
          <cell r="A1494" t="str">
            <v>O.05.000.069512</v>
          </cell>
          <cell r="B1494" t="str">
            <v>Registro automático de entrada (RAU) em ferro dúctil com flange tipo ABNT ou ISO, classe PN-10, DN= 3", haste em aço inoxidável AISI410</v>
          </cell>
          <cell r="C1494" t="str">
            <v>UN</v>
          </cell>
          <cell r="D1494">
            <v>2022.16</v>
          </cell>
        </row>
        <row r="1495">
          <cell r="A1495" t="str">
            <v>O.05.000.090133</v>
          </cell>
          <cell r="B1495" t="str">
            <v>Tampão ferro fundido com tampa articulada, de 400 x 600 mm, classe 15 (ruptura &gt; 1500 kg); ref. TA-40AR da Afer, TF-40 da Fuminas ou equivalente</v>
          </cell>
          <cell r="C1495" t="str">
            <v>UN</v>
          </cell>
          <cell r="D1495">
            <v>346.22</v>
          </cell>
        </row>
        <row r="1496">
          <cell r="A1496" t="str">
            <v>O.05.000.090427</v>
          </cell>
          <cell r="B1496" t="str">
            <v>Grelha hemisférica em ferro fundido de 4´</v>
          </cell>
          <cell r="C1496" t="str">
            <v>UN</v>
          </cell>
          <cell r="D1496">
            <v>14.49</v>
          </cell>
        </row>
        <row r="1497">
          <cell r="A1497" t="str">
            <v>O.05.000.090496</v>
          </cell>
          <cell r="B1497" t="str">
            <v>Grelha hemisférica em ferro fundido de 3´</v>
          </cell>
          <cell r="C1497" t="str">
            <v>UN</v>
          </cell>
          <cell r="D1497">
            <v>10.88</v>
          </cell>
        </row>
        <row r="1498">
          <cell r="A1498" t="str">
            <v>O.05.000.091139</v>
          </cell>
          <cell r="B1498" t="str">
            <v>Grelha hemisférica em ferro fundido de 2´</v>
          </cell>
          <cell r="C1498" t="str">
            <v>UN</v>
          </cell>
          <cell r="D1498">
            <v>7.24</v>
          </cell>
        </row>
        <row r="1499">
          <cell r="A1499" t="str">
            <v>O.05.000.091171</v>
          </cell>
          <cell r="B1499" t="str">
            <v>Grelha hemisférica em ferro fundido de 6´</v>
          </cell>
          <cell r="C1499" t="str">
            <v>UN</v>
          </cell>
          <cell r="D1499">
            <v>31.9</v>
          </cell>
        </row>
        <row r="1500">
          <cell r="A1500" t="str">
            <v>O.05.000.092863</v>
          </cell>
          <cell r="B1500" t="str">
            <v>Válvula de gaveta em ferro dúctil com flange, classe PN-10, DN= 80 mm, com corpo curto e volante, ref. Barbará ou equivalente</v>
          </cell>
          <cell r="C1500" t="str">
            <v>UN</v>
          </cell>
          <cell r="D1500">
            <v>941.26</v>
          </cell>
        </row>
        <row r="1501">
          <cell r="A1501" t="str">
            <v>O.06.000.060501</v>
          </cell>
          <cell r="B1501" t="str">
            <v>Tubo galvanizado, DN= 1/2´ DIN 2440 classe média</v>
          </cell>
          <cell r="C1501" t="str">
            <v>M</v>
          </cell>
          <cell r="D1501">
            <v>21.66</v>
          </cell>
        </row>
        <row r="1502">
          <cell r="A1502" t="str">
            <v>O.06.000.060502</v>
          </cell>
          <cell r="B1502" t="str">
            <v>Tubo galvanizado, DN= 3/4´ DIN 2440 classe média</v>
          </cell>
          <cell r="C1502" t="str">
            <v>M</v>
          </cell>
          <cell r="D1502">
            <v>24.4</v>
          </cell>
        </row>
        <row r="1503">
          <cell r="A1503" t="str">
            <v>O.06.000.060503</v>
          </cell>
          <cell r="B1503" t="str">
            <v>Tubo galvanizado, DN= 1´ DIN 2440 classe média</v>
          </cell>
          <cell r="C1503" t="str">
            <v>M</v>
          </cell>
          <cell r="D1503">
            <v>35.94</v>
          </cell>
        </row>
        <row r="1504">
          <cell r="A1504" t="str">
            <v>O.06.000.060504</v>
          </cell>
          <cell r="B1504" t="str">
            <v>Tubo galvanizado, DN= 1 1/4´ DIN 2440 classe média</v>
          </cell>
          <cell r="C1504" t="str">
            <v>M</v>
          </cell>
          <cell r="D1504">
            <v>46.54</v>
          </cell>
        </row>
        <row r="1505">
          <cell r="A1505" t="str">
            <v>O.06.000.060505</v>
          </cell>
          <cell r="B1505" t="str">
            <v>Tubo galvanizado, DN= 1 1/2´ DIN 2440 classe média</v>
          </cell>
          <cell r="C1505" t="str">
            <v>M</v>
          </cell>
          <cell r="D1505">
            <v>55.71</v>
          </cell>
        </row>
        <row r="1506">
          <cell r="A1506" t="str">
            <v>O.06.000.060506</v>
          </cell>
          <cell r="B1506" t="str">
            <v>Tubo galvanizado, DN= 2´ DIN 2440 classe média</v>
          </cell>
          <cell r="C1506" t="str">
            <v>M</v>
          </cell>
          <cell r="D1506">
            <v>75.06</v>
          </cell>
        </row>
        <row r="1507">
          <cell r="A1507" t="str">
            <v>O.06.000.060507</v>
          </cell>
          <cell r="B1507" t="str">
            <v>Tubo galvanizado, DN= 2 1/2´ DIN 2440 classe média</v>
          </cell>
          <cell r="C1507" t="str">
            <v>M</v>
          </cell>
          <cell r="D1507">
            <v>95.96</v>
          </cell>
        </row>
        <row r="1508">
          <cell r="A1508" t="str">
            <v>O.06.000.060508</v>
          </cell>
          <cell r="B1508" t="str">
            <v>Tubo galvanizado, DN= 3´ DIN 2440 classe média</v>
          </cell>
          <cell r="C1508" t="str">
            <v>M</v>
          </cell>
          <cell r="D1508">
            <v>114.71</v>
          </cell>
        </row>
        <row r="1509">
          <cell r="A1509" t="str">
            <v>O.06.000.060509</v>
          </cell>
          <cell r="B1509" t="str">
            <v>Tubo galvanizado, DN= 4´ DIN 2440 classe média</v>
          </cell>
          <cell r="C1509" t="str">
            <v>M</v>
          </cell>
          <cell r="D1509">
            <v>170.54</v>
          </cell>
        </row>
        <row r="1510">
          <cell r="A1510" t="str">
            <v>O.06.000.060511</v>
          </cell>
          <cell r="B1510" t="str">
            <v>Tubo galvanizado, DN= 6´ DIN 2440 classe média</v>
          </cell>
          <cell r="C1510" t="str">
            <v>M</v>
          </cell>
          <cell r="D1510">
            <v>307.75</v>
          </cell>
        </row>
        <row r="1511">
          <cell r="A1511" t="str">
            <v>O.06.000.060702</v>
          </cell>
          <cell r="B1511" t="str">
            <v>Tubo em aço galvanizado 2´ SCH 40, sem costura</v>
          </cell>
          <cell r="C1511" t="str">
            <v>M</v>
          </cell>
          <cell r="D1511">
            <v>109.87</v>
          </cell>
        </row>
        <row r="1512">
          <cell r="A1512" t="str">
            <v>O.06.000.060705</v>
          </cell>
          <cell r="B1512" t="str">
            <v>Tubo em aço galvanizado 1 1/2´ SCH 40, sem costura</v>
          </cell>
          <cell r="C1512" t="str">
            <v>M</v>
          </cell>
          <cell r="D1512">
            <v>93.18</v>
          </cell>
        </row>
        <row r="1513">
          <cell r="A1513" t="str">
            <v>O.06.000.060750</v>
          </cell>
          <cell r="B1513" t="str">
            <v>Tubo em aço galvanizado 1/2´ SCH 80, sem costura</v>
          </cell>
          <cell r="C1513" t="str">
            <v>M</v>
          </cell>
          <cell r="D1513">
            <v>58.24</v>
          </cell>
        </row>
        <row r="1514">
          <cell r="A1514" t="str">
            <v>O.06.000.060751</v>
          </cell>
          <cell r="B1514" t="str">
            <v>Tubo em aço galvanizado 3/4´ SCH 80, sem costura</v>
          </cell>
          <cell r="C1514" t="str">
            <v>M</v>
          </cell>
          <cell r="D1514">
            <v>80.739999999999995</v>
          </cell>
        </row>
        <row r="1515">
          <cell r="A1515" t="str">
            <v>O.06.000.060801</v>
          </cell>
          <cell r="B1515" t="str">
            <v>Tubo em aço galvanizado 4´ SCH 40, sem costura</v>
          </cell>
          <cell r="C1515" t="str">
            <v>M</v>
          </cell>
          <cell r="D1515">
            <v>306.25</v>
          </cell>
        </row>
        <row r="1516">
          <cell r="A1516" t="str">
            <v>O.06.000.060802</v>
          </cell>
          <cell r="B1516" t="str">
            <v>Tubo em aço galvanizado 3/4´ SCH 40, sem costura</v>
          </cell>
          <cell r="C1516" t="str">
            <v>M</v>
          </cell>
          <cell r="D1516">
            <v>55.2</v>
          </cell>
        </row>
        <row r="1517">
          <cell r="A1517" t="str">
            <v>O.06.000.060803</v>
          </cell>
          <cell r="B1517" t="str">
            <v>Tubo em aço galvanizado 1´ SCH 40, sem costura</v>
          </cell>
          <cell r="C1517" t="str">
            <v>M</v>
          </cell>
          <cell r="D1517">
            <v>61.42</v>
          </cell>
        </row>
        <row r="1518">
          <cell r="A1518" t="str">
            <v>O.06.000.060804</v>
          </cell>
          <cell r="B1518" t="str">
            <v>Tubo em aço galvanizado 1 1/4´ SCH 40, sem costura</v>
          </cell>
          <cell r="C1518" t="str">
            <v>M</v>
          </cell>
          <cell r="D1518">
            <v>86.32</v>
          </cell>
        </row>
        <row r="1519">
          <cell r="A1519" t="str">
            <v>O.06.000.060805</v>
          </cell>
          <cell r="B1519" t="str">
            <v>Tubo em aço galvanizado 2 1/2´ SCH 40, sem costura</v>
          </cell>
          <cell r="C1519" t="str">
            <v>M</v>
          </cell>
          <cell r="D1519">
            <v>174.77</v>
          </cell>
        </row>
        <row r="1520">
          <cell r="A1520" t="str">
            <v>O.06.000.060806</v>
          </cell>
          <cell r="B1520" t="str">
            <v>Tubo em aço galvanizado 3´ SCH 40, sem costura</v>
          </cell>
          <cell r="C1520" t="str">
            <v>M</v>
          </cell>
          <cell r="D1520">
            <v>221.18</v>
          </cell>
        </row>
        <row r="1521">
          <cell r="A1521" t="str">
            <v>O.06.000.060808</v>
          </cell>
          <cell r="B1521" t="str">
            <v>Tubo em aço galvanizado 1/2´ SCH 40, sem costura</v>
          </cell>
          <cell r="C1521" t="str">
            <v>M</v>
          </cell>
          <cell r="D1521">
            <v>42.76</v>
          </cell>
        </row>
        <row r="1522">
          <cell r="A1522" t="str">
            <v>O.06.000.060809</v>
          </cell>
          <cell r="B1522" t="str">
            <v>Tubo em aço galvanizado 6´ SCH 40, sem costura</v>
          </cell>
          <cell r="C1522" t="str">
            <v>M</v>
          </cell>
          <cell r="D1522">
            <v>524.52</v>
          </cell>
        </row>
        <row r="1523">
          <cell r="A1523" t="str">
            <v>O.07.000.061330</v>
          </cell>
          <cell r="B1523" t="str">
            <v>Válvula de esfera monobloco em latão fundido/forjado, passagem plena, acionamento com alavanca, DN= 4"</v>
          </cell>
          <cell r="C1523" t="str">
            <v>UN</v>
          </cell>
          <cell r="D1523">
            <v>1244.23</v>
          </cell>
        </row>
        <row r="1524">
          <cell r="A1524" t="str">
            <v>O.07.000.063530</v>
          </cell>
          <cell r="B1524" t="str">
            <v>Registro regulador de vazão para chuveiros e duchas 1/2´; ref. 00142206 da Docol linha Docolmatic ou equivalente</v>
          </cell>
          <cell r="C1524" t="str">
            <v>UN</v>
          </cell>
          <cell r="D1524">
            <v>87.48</v>
          </cell>
        </row>
        <row r="1525">
          <cell r="A1525" t="str">
            <v>O.07.000.063531</v>
          </cell>
          <cell r="B1525" t="str">
            <v>Registro de pressão amarelo 3/4´, sem canopla; ref. Deca ou equivalente</v>
          </cell>
          <cell r="C1525" t="str">
            <v>UN</v>
          </cell>
          <cell r="D1525">
            <v>68.040000000000006</v>
          </cell>
        </row>
        <row r="1526">
          <cell r="A1526" t="str">
            <v>O.07.000.063532</v>
          </cell>
          <cell r="B1526" t="str">
            <v>Registro de pressão cromado com canopla 1/2´</v>
          </cell>
          <cell r="C1526" t="str">
            <v>UN</v>
          </cell>
          <cell r="D1526">
            <v>59.48</v>
          </cell>
        </row>
        <row r="1527">
          <cell r="A1527" t="str">
            <v>O.07.000.063533</v>
          </cell>
          <cell r="B1527" t="str">
            <v>Registro de pressão cromado com canopla 3/4´; ref. 4416202+canopla 4900.C39 Deca, 1416 e acabamento BE Forusi ou equivalente</v>
          </cell>
          <cell r="C1527" t="str">
            <v>UN</v>
          </cell>
          <cell r="D1527">
            <v>46.47</v>
          </cell>
        </row>
        <row r="1528">
          <cell r="A1528" t="str">
            <v>O.07.000.063535</v>
          </cell>
          <cell r="B1528" t="str">
            <v>Registro regulador de vazão para torneiras, misturadores, bidês e outros de 1/2´ cromado; ref. 13010006 Docol linha Docolmatic ou equivalente</v>
          </cell>
          <cell r="C1528" t="str">
            <v>UN</v>
          </cell>
          <cell r="D1528">
            <v>93.94</v>
          </cell>
        </row>
        <row r="1529">
          <cell r="A1529" t="str">
            <v>O.07.000.063545</v>
          </cell>
          <cell r="B1529" t="str">
            <v>Registro de gaveta cromado com canopla 1/2´</v>
          </cell>
          <cell r="C1529" t="str">
            <v>UN</v>
          </cell>
          <cell r="D1529">
            <v>57.16</v>
          </cell>
        </row>
        <row r="1530">
          <cell r="A1530" t="str">
            <v>O.07.000.063546</v>
          </cell>
          <cell r="B1530" t="str">
            <v>Registro de gaveta cromado com canopla 3/4´</v>
          </cell>
          <cell r="C1530" t="str">
            <v>UN</v>
          </cell>
          <cell r="D1530">
            <v>44.37</v>
          </cell>
        </row>
        <row r="1531">
          <cell r="A1531" t="str">
            <v>O.07.000.063547</v>
          </cell>
          <cell r="B1531" t="str">
            <v>Registro de gaveta cromado com canopla 1´</v>
          </cell>
          <cell r="C1531" t="str">
            <v>UN</v>
          </cell>
          <cell r="D1531">
            <v>87.28</v>
          </cell>
        </row>
        <row r="1532">
          <cell r="A1532" t="str">
            <v>O.07.000.063548</v>
          </cell>
          <cell r="B1532" t="str">
            <v>Registro de gaveta cromado com canopla 1 1/4´</v>
          </cell>
          <cell r="C1532" t="str">
            <v>UN</v>
          </cell>
          <cell r="D1532">
            <v>136.62</v>
          </cell>
        </row>
        <row r="1533">
          <cell r="A1533" t="str">
            <v>O.07.000.063549</v>
          </cell>
          <cell r="B1533" t="str">
            <v>Registro de gaveta cromado com canopla 1 1/2´</v>
          </cell>
          <cell r="C1533" t="str">
            <v>UN</v>
          </cell>
          <cell r="D1533">
            <v>171.49</v>
          </cell>
        </row>
        <row r="1534">
          <cell r="A1534" t="str">
            <v>O.07.000.063560</v>
          </cell>
          <cell r="B1534" t="str">
            <v>Registro de gaveta amarelo 1/2´</v>
          </cell>
          <cell r="C1534" t="str">
            <v>UN</v>
          </cell>
          <cell r="D1534">
            <v>42.73</v>
          </cell>
        </row>
        <row r="1535">
          <cell r="A1535" t="str">
            <v>O.07.000.063561</v>
          </cell>
          <cell r="B1535" t="str">
            <v>Registro de gaveta amarelo de 3/4´</v>
          </cell>
          <cell r="C1535" t="str">
            <v>UN</v>
          </cell>
          <cell r="D1535">
            <v>56.88</v>
          </cell>
        </row>
        <row r="1536">
          <cell r="A1536" t="str">
            <v>O.07.000.063562</v>
          </cell>
          <cell r="B1536" t="str">
            <v>Registro de gaveta amarelo 1´</v>
          </cell>
          <cell r="C1536" t="str">
            <v>UN</v>
          </cell>
          <cell r="D1536">
            <v>66.77</v>
          </cell>
        </row>
        <row r="1537">
          <cell r="A1537" t="str">
            <v>O.07.000.063563</v>
          </cell>
          <cell r="B1537" t="str">
            <v>Registro de gaveta amarelo 1 1/4´</v>
          </cell>
          <cell r="C1537" t="str">
            <v>UN</v>
          </cell>
          <cell r="D1537">
            <v>92.05</v>
          </cell>
        </row>
        <row r="1538">
          <cell r="A1538" t="str">
            <v>O.07.000.063564</v>
          </cell>
          <cell r="B1538" t="str">
            <v>Registro de gaveta amarelo 1 1/2´</v>
          </cell>
          <cell r="C1538" t="str">
            <v>UN</v>
          </cell>
          <cell r="D1538">
            <v>110.73</v>
          </cell>
        </row>
        <row r="1539">
          <cell r="A1539" t="str">
            <v>O.07.000.063565</v>
          </cell>
          <cell r="B1539" t="str">
            <v>Registro de gaveta amarelo 2´</v>
          </cell>
          <cell r="C1539" t="str">
            <v>UN</v>
          </cell>
          <cell r="D1539">
            <v>181.07</v>
          </cell>
        </row>
        <row r="1540">
          <cell r="A1540" t="str">
            <v>O.07.000.063566</v>
          </cell>
          <cell r="B1540" t="str">
            <v>Registro de gaveta amarelo 2 1/2´</v>
          </cell>
          <cell r="C1540" t="str">
            <v>UN</v>
          </cell>
          <cell r="D1540">
            <v>385</v>
          </cell>
        </row>
        <row r="1541">
          <cell r="A1541" t="str">
            <v>O.07.000.063567</v>
          </cell>
          <cell r="B1541" t="str">
            <v>Registro de gaveta amarelo 3´</v>
          </cell>
          <cell r="C1541" t="str">
            <v>UN</v>
          </cell>
          <cell r="D1541">
            <v>647.41</v>
          </cell>
        </row>
        <row r="1542">
          <cell r="A1542" t="str">
            <v>O.07.000.063569</v>
          </cell>
          <cell r="B1542" t="str">
            <v>Registro de gaveta amarelo de 4´</v>
          </cell>
          <cell r="C1542" t="str">
            <v>UN</v>
          </cell>
          <cell r="D1542">
            <v>1123.74</v>
          </cell>
        </row>
        <row r="1543">
          <cell r="A1543" t="str">
            <v>O.07.000.064006</v>
          </cell>
          <cell r="B1543" t="str">
            <v>Válvula de esfera monobloco em latão fundido/forjado, passagem plena, acionamento com alavanca, DN=1/2"</v>
          </cell>
          <cell r="C1543" t="str">
            <v>UN</v>
          </cell>
          <cell r="D1543">
            <v>35.090000000000003</v>
          </cell>
        </row>
        <row r="1544">
          <cell r="A1544" t="str">
            <v>O.07.000.068503</v>
          </cell>
          <cell r="B1544" t="str">
            <v>Luva de redução de 3/4´x 1/2´ para entrada de gás em latão</v>
          </cell>
          <cell r="C1544" t="str">
            <v>UN</v>
          </cell>
          <cell r="D1544">
            <v>24.81</v>
          </cell>
        </row>
        <row r="1545">
          <cell r="A1545" t="str">
            <v>O.07.000.068505</v>
          </cell>
          <cell r="B1545" t="str">
            <v>Pigtail para manômetro em latão (rabo de porco), DN 1/2´</v>
          </cell>
          <cell r="C1545" t="str">
            <v>UN</v>
          </cell>
          <cell r="D1545">
            <v>130.41</v>
          </cell>
        </row>
        <row r="1546">
          <cell r="A1546" t="str">
            <v>O.07.000.068512</v>
          </cell>
          <cell r="B1546" t="str">
            <v>Regulador de primeiro estágio, tipo alta pressão até 1,3 kgf/cm², vazão de 50 kg GLP/hora; ref. 76510/2 fabricação Alianca ou equivalente</v>
          </cell>
          <cell r="C1546" t="str">
            <v>UN</v>
          </cell>
          <cell r="D1546">
            <v>320.01</v>
          </cell>
        </row>
        <row r="1547">
          <cell r="A1547" t="str">
            <v>O.07.000.068516</v>
          </cell>
          <cell r="B1547" t="str">
            <v>Bico escalonado para gás 3/8´ em latão</v>
          </cell>
          <cell r="C1547" t="str">
            <v>UN</v>
          </cell>
          <cell r="D1547">
            <v>8.52</v>
          </cell>
        </row>
        <row r="1548">
          <cell r="A1548" t="str">
            <v>O.07.000.090509</v>
          </cell>
          <cell r="B1548" t="str">
            <v>Válvula de esfera monobloco em latão fundido/forjado, passagem plena, acionamento com alavanca, DN= 3/4"</v>
          </cell>
          <cell r="C1548" t="str">
            <v>UN</v>
          </cell>
          <cell r="D1548">
            <v>71.83</v>
          </cell>
        </row>
        <row r="1549">
          <cell r="A1549" t="str">
            <v>O.07.000.090510</v>
          </cell>
          <cell r="B1549" t="str">
            <v>Válvula de esfera monobloco em latão fundido/forjado, passagem plena, acionamento com alavanca, DN= 1"</v>
          </cell>
          <cell r="C1549" t="str">
            <v>UN</v>
          </cell>
          <cell r="D1549">
            <v>70.11</v>
          </cell>
        </row>
        <row r="1550">
          <cell r="A1550" t="str">
            <v>O.07.000.090513</v>
          </cell>
          <cell r="B1550" t="str">
            <v>Válvula de esfera monobloco em latão fundido, passagem plena, acionamento com alavanca, DN= 1.1/4´</v>
          </cell>
          <cell r="C1550" t="str">
            <v>UN</v>
          </cell>
          <cell r="D1550">
            <v>99.84</v>
          </cell>
        </row>
        <row r="1551">
          <cell r="A1551" t="str">
            <v>O.07.000.090518</v>
          </cell>
          <cell r="B1551" t="str">
            <v>Válvula de esfera monobloco em latão fundido/forjado, passagem plena, acionamento com alavanca, DN= 2"</v>
          </cell>
          <cell r="C1551" t="str">
            <v>UN</v>
          </cell>
          <cell r="D1551">
            <v>244.68</v>
          </cell>
        </row>
        <row r="1552">
          <cell r="A1552" t="str">
            <v>O.08.000.061342</v>
          </cell>
          <cell r="B1552" t="str">
            <v>Filtro ´Y´ corpo em bronze, pressão de serviço até 20,7 bar (PN 20), DN= 1 1/2´</v>
          </cell>
          <cell r="C1552" t="str">
            <v>UN</v>
          </cell>
          <cell r="D1552">
            <v>324.91000000000003</v>
          </cell>
        </row>
        <row r="1553">
          <cell r="A1553" t="str">
            <v>O.08.000.061343</v>
          </cell>
          <cell r="B1553" t="str">
            <v>Filtro ´Y´ corpo em bronze, pressão de serviço até 20,7 bar (PN 20), DN= 2´</v>
          </cell>
          <cell r="C1553" t="str">
            <v>UN</v>
          </cell>
          <cell r="D1553">
            <v>416.08</v>
          </cell>
        </row>
        <row r="1554">
          <cell r="A1554" t="str">
            <v>O.08.000.063001</v>
          </cell>
          <cell r="B1554" t="str">
            <v>Tubo de cobre flexível para sistema de ar condicionado, espessura 1/32" - diâmetro 3/16" (0,090 kg/m)</v>
          </cell>
          <cell r="C1554" t="str">
            <v>M</v>
          </cell>
          <cell r="D1554">
            <v>8.4600000000000009</v>
          </cell>
        </row>
        <row r="1555">
          <cell r="A1555" t="str">
            <v>O.08.000.063002</v>
          </cell>
          <cell r="B1555" t="str">
            <v>Tubo de cobre flexível para sistema de ar condicionado, espessura 1/32" - diâmetro 1/4" (0,133 kg/m)</v>
          </cell>
          <cell r="C1555" t="str">
            <v>M</v>
          </cell>
          <cell r="D1555">
            <v>12.36</v>
          </cell>
        </row>
        <row r="1556">
          <cell r="A1556" t="str">
            <v>O.08.000.063003</v>
          </cell>
          <cell r="B1556" t="str">
            <v>Tubo de cobre flexível para sistema de ar condicionado, espessura 1/32" - diâmetro 5/16" (0,160 kg/m)</v>
          </cell>
          <cell r="C1556" t="str">
            <v>M</v>
          </cell>
          <cell r="D1556">
            <v>15.62</v>
          </cell>
        </row>
        <row r="1557">
          <cell r="A1557" t="str">
            <v>O.08.000.063004</v>
          </cell>
          <cell r="B1557" t="str">
            <v>Tubo de cobre flexível para sistema de ar condicionado, espessura 1/32" - diâmetro 3/8" (0,200 kg/m)</v>
          </cell>
          <cell r="C1557" t="str">
            <v>M</v>
          </cell>
          <cell r="D1557">
            <v>19.45</v>
          </cell>
        </row>
        <row r="1558">
          <cell r="A1558" t="str">
            <v>O.08.000.063005</v>
          </cell>
          <cell r="B1558" t="str">
            <v>Tubo de cobre flexível para sistema de ar condicionado, espessura 1/32" - diâmetro 1/2" (0,280 kg/m)</v>
          </cell>
          <cell r="C1558" t="str">
            <v>M</v>
          </cell>
          <cell r="D1558">
            <v>25.93</v>
          </cell>
        </row>
        <row r="1559">
          <cell r="A1559" t="str">
            <v>O.08.000.063006</v>
          </cell>
          <cell r="B1559" t="str">
            <v>Tubo de cobre flexível para sistema de ar condicionado, espessura 1/32" - diâmetro 5/8" (0,346 kg/m)</v>
          </cell>
          <cell r="C1559" t="str">
            <v>M</v>
          </cell>
          <cell r="D1559">
            <v>33.700000000000003</v>
          </cell>
        </row>
        <row r="1560">
          <cell r="A1560" t="str">
            <v>O.08.000.063007</v>
          </cell>
          <cell r="B1560" t="str">
            <v>Tubo de cobre flexível para sistema de ar condicionado, espessura 1/32" - diâmetro 3/4" (0,426 kg/m)</v>
          </cell>
          <cell r="C1560" t="str">
            <v>M</v>
          </cell>
          <cell r="D1560">
            <v>40.83</v>
          </cell>
        </row>
        <row r="1561">
          <cell r="A1561" t="str">
            <v>O.08.000.063010</v>
          </cell>
          <cell r="B1561" t="str">
            <v>Tubo de cobre sem costura, rígido, espessura 1/16", diâmetro 3/8" (0,353 kg/m)</v>
          </cell>
          <cell r="C1561" t="str">
            <v>M</v>
          </cell>
          <cell r="D1561">
            <v>38.06</v>
          </cell>
        </row>
        <row r="1562">
          <cell r="A1562" t="str">
            <v>O.08.000.063011</v>
          </cell>
          <cell r="B1562" t="str">
            <v>Tubo de cobre sem costura, rígido, espessura 1/16", diâmetro 1/2" (0,494 kg/m)</v>
          </cell>
          <cell r="C1562" t="str">
            <v>M</v>
          </cell>
          <cell r="D1562">
            <v>54.2</v>
          </cell>
        </row>
        <row r="1563">
          <cell r="A1563" t="str">
            <v>O.08.000.063012</v>
          </cell>
          <cell r="B1563" t="str">
            <v>Tubo de cobre sem costura, rígido, espessura 1/16", diâmetro 5/8" (0,635 kg/m)</v>
          </cell>
          <cell r="C1563" t="str">
            <v>M</v>
          </cell>
          <cell r="D1563">
            <v>66.39</v>
          </cell>
        </row>
        <row r="1564">
          <cell r="A1564" t="str">
            <v>O.08.000.063013</v>
          </cell>
          <cell r="B1564" t="str">
            <v>Tubo de cobre sem costura, rígido, espessura 1/16", diâmetro 3/4" (0,776 kg/m)</v>
          </cell>
          <cell r="C1564" t="str">
            <v>M</v>
          </cell>
          <cell r="D1564">
            <v>80.56</v>
          </cell>
        </row>
        <row r="1565">
          <cell r="A1565" t="str">
            <v>O.08.000.063014</v>
          </cell>
          <cell r="B1565" t="str">
            <v>Tubo de cobre sem costura, rígido, espessura 1/16", diâmetro 7/8" (0,918 kg/m)</v>
          </cell>
          <cell r="C1565" t="str">
            <v>M</v>
          </cell>
          <cell r="D1565">
            <v>99.13</v>
          </cell>
        </row>
        <row r="1566">
          <cell r="A1566" t="str">
            <v>O.08.000.063015</v>
          </cell>
          <cell r="B1566" t="str">
            <v>Tubo de cobre sem costura, rígido, espessura 1/16", diâmetro 1" (1,060 kg/m)</v>
          </cell>
          <cell r="C1566" t="str">
            <v>M</v>
          </cell>
          <cell r="D1566">
            <v>110.15</v>
          </cell>
        </row>
        <row r="1567">
          <cell r="A1567" t="str">
            <v>O.08.000.063016</v>
          </cell>
          <cell r="B1567" t="str">
            <v>Tubo de cobre sem costura, rígido, espessura 1/16", diâmetro 1 1/8" (1,200 kg/m)</v>
          </cell>
          <cell r="C1567" t="str">
            <v>M</v>
          </cell>
          <cell r="D1567">
            <v>128.85</v>
          </cell>
        </row>
        <row r="1568">
          <cell r="A1568" t="str">
            <v>O.08.000.063017</v>
          </cell>
          <cell r="B1568" t="str">
            <v>Tubo de cobre sem costura, rígido, espessura 1/16", diâmetro 1 1/4" (1,340 kg/m)</v>
          </cell>
          <cell r="C1568" t="str">
            <v>M</v>
          </cell>
          <cell r="D1568">
            <v>146.59</v>
          </cell>
        </row>
        <row r="1569">
          <cell r="A1569" t="str">
            <v>O.08.000.063018</v>
          </cell>
          <cell r="B1569" t="str">
            <v>Tubo de cobre sem costura, rígido, espessura 1/16", diâmetro 1 3/8" (1,480 kg/m)</v>
          </cell>
          <cell r="C1569" t="str">
            <v>M</v>
          </cell>
          <cell r="D1569">
            <v>155.08000000000001</v>
          </cell>
        </row>
        <row r="1570">
          <cell r="A1570" t="str">
            <v>O.08.000.063019</v>
          </cell>
          <cell r="B1570" t="str">
            <v>Tubo de cobre sem costura, rígido, espessura 1/16", diâmetro 1 1/2" (1,620 kg/m)</v>
          </cell>
          <cell r="C1570" t="str">
            <v>M</v>
          </cell>
          <cell r="D1570">
            <v>179.11</v>
          </cell>
        </row>
        <row r="1571">
          <cell r="A1571" t="str">
            <v>O.08.000.063020</v>
          </cell>
          <cell r="B1571" t="str">
            <v>Tubo de cobre sem costura, rígido, espessura 1/16", diâmetro 1 5/8" (1,760 kg/m)</v>
          </cell>
          <cell r="C1571" t="str">
            <v>M</v>
          </cell>
          <cell r="D1571">
            <v>199.17</v>
          </cell>
        </row>
        <row r="1572">
          <cell r="A1572" t="str">
            <v>O.08.000.063040</v>
          </cell>
          <cell r="B1572" t="str">
            <v>Tubo de cobre classe A, DN= 35mm (1 1/4´)</v>
          </cell>
          <cell r="C1572" t="str">
            <v>M</v>
          </cell>
          <cell r="D1572">
            <v>153.38</v>
          </cell>
        </row>
        <row r="1573">
          <cell r="A1573" t="str">
            <v>O.08.000.063041</v>
          </cell>
          <cell r="B1573" t="str">
            <v>Tubo de cobre classe A, DN= 42mm (1 1/2´)</v>
          </cell>
          <cell r="C1573" t="str">
            <v>M</v>
          </cell>
          <cell r="D1573">
            <v>186.66</v>
          </cell>
        </row>
        <row r="1574">
          <cell r="A1574" t="str">
            <v>O.08.000.063042</v>
          </cell>
          <cell r="B1574" t="str">
            <v>Tubo de cobre classe A, DN= 54mm (2´)</v>
          </cell>
          <cell r="C1574" t="str">
            <v>M</v>
          </cell>
          <cell r="D1574">
            <v>253.1</v>
          </cell>
        </row>
        <row r="1575">
          <cell r="A1575" t="str">
            <v>O.08.000.063043</v>
          </cell>
          <cell r="B1575" t="str">
            <v>Tubo de cobre classe A, DN= 66mm (2 1/2´)</v>
          </cell>
          <cell r="C1575" t="str">
            <v>M</v>
          </cell>
          <cell r="D1575">
            <v>334.11</v>
          </cell>
        </row>
        <row r="1576">
          <cell r="A1576" t="str">
            <v>O.08.000.063044</v>
          </cell>
          <cell r="B1576" t="str">
            <v>Tubo de cobre classe A, DN= 79mm (3´)</v>
          </cell>
          <cell r="C1576" t="str">
            <v>M</v>
          </cell>
          <cell r="D1576">
            <v>475.17</v>
          </cell>
        </row>
        <row r="1577">
          <cell r="A1577" t="str">
            <v>O.08.000.063045</v>
          </cell>
          <cell r="B1577" t="str">
            <v>Tubo de cobre classe A, DN= 104mm (4´)</v>
          </cell>
          <cell r="C1577" t="str">
            <v>M</v>
          </cell>
          <cell r="D1577">
            <v>600.76</v>
          </cell>
        </row>
        <row r="1578">
          <cell r="A1578" t="str">
            <v>O.08.000.063046</v>
          </cell>
          <cell r="B1578" t="str">
            <v>Tubo de cobre classe A, DN= 15mm (1/2´)</v>
          </cell>
          <cell r="C1578" t="str">
            <v>M</v>
          </cell>
          <cell r="D1578">
            <v>44.25</v>
          </cell>
        </row>
        <row r="1579">
          <cell r="A1579" t="str">
            <v>O.08.000.063047</v>
          </cell>
          <cell r="B1579" t="str">
            <v>Tubo de cobre classe A, DN= 22mm (3/4´)</v>
          </cell>
          <cell r="C1579" t="str">
            <v>M</v>
          </cell>
          <cell r="D1579">
            <v>70.23</v>
          </cell>
        </row>
        <row r="1580">
          <cell r="A1580" t="str">
            <v>O.08.000.063048</v>
          </cell>
          <cell r="B1580" t="str">
            <v>Tubo de cobre classe A, DN= 28mm (1´)</v>
          </cell>
          <cell r="C1580" t="str">
            <v>M</v>
          </cell>
          <cell r="D1580">
            <v>91.86</v>
          </cell>
        </row>
        <row r="1581">
          <cell r="A1581" t="str">
            <v>O.08.000.063049</v>
          </cell>
          <cell r="B1581" t="str">
            <v>Tubo de cobre classe E, DN= 22mm (3/4´)</v>
          </cell>
          <cell r="C1581" t="str">
            <v>M</v>
          </cell>
          <cell r="D1581">
            <v>50.25</v>
          </cell>
        </row>
        <row r="1582">
          <cell r="A1582" t="str">
            <v>O.08.000.063050</v>
          </cell>
          <cell r="B1582" t="str">
            <v>Tubo de cobre classe E, DN= 28mm (1´)</v>
          </cell>
          <cell r="C1582" t="str">
            <v>M</v>
          </cell>
          <cell r="D1582">
            <v>63.48</v>
          </cell>
        </row>
        <row r="1583">
          <cell r="A1583" t="str">
            <v>O.08.000.063051</v>
          </cell>
          <cell r="B1583" t="str">
            <v>Tubo de cobre classe E, DN= 35mm (1 1/4´)</v>
          </cell>
          <cell r="C1583" t="str">
            <v>M</v>
          </cell>
          <cell r="D1583">
            <v>118.57</v>
          </cell>
        </row>
        <row r="1584">
          <cell r="A1584" t="str">
            <v>O.08.000.063052</v>
          </cell>
          <cell r="B1584" t="str">
            <v>Tubo de cobre classe E, DN= 42mm (1 1/2´)</v>
          </cell>
          <cell r="C1584" t="str">
            <v>M</v>
          </cell>
          <cell r="D1584">
            <v>162.53</v>
          </cell>
        </row>
        <row r="1585">
          <cell r="A1585" t="str">
            <v>O.08.000.063053</v>
          </cell>
          <cell r="B1585" t="str">
            <v>Tubo de cobre classe E, DN= 54mm (2´)</v>
          </cell>
          <cell r="C1585" t="str">
            <v>M</v>
          </cell>
          <cell r="D1585">
            <v>173.96</v>
          </cell>
        </row>
        <row r="1586">
          <cell r="A1586" t="str">
            <v>O.08.000.063054</v>
          </cell>
          <cell r="B1586" t="str">
            <v>Tubo de cobre classe E, DN= 66mm (2 1/2´)</v>
          </cell>
          <cell r="C1586" t="str">
            <v>M</v>
          </cell>
          <cell r="D1586">
            <v>284.06</v>
          </cell>
        </row>
        <row r="1587">
          <cell r="A1587" t="str">
            <v>O.08.000.069515</v>
          </cell>
          <cell r="B1587" t="str">
            <v>Torneira de boia liga de cobre (bronze e latão), plástico de engenharia, elastômeros, de 3/4"</v>
          </cell>
          <cell r="C1587" t="str">
            <v>UN</v>
          </cell>
          <cell r="D1587">
            <v>90.19</v>
          </cell>
        </row>
        <row r="1588">
          <cell r="A1588" t="str">
            <v>O.08.000.069516</v>
          </cell>
          <cell r="B1588" t="str">
            <v>Torneira de boia liga de cobre (bronze e latão), plástico de engenharia, elastômeros, de 1"</v>
          </cell>
          <cell r="C1588" t="str">
            <v>UN</v>
          </cell>
          <cell r="D1588">
            <v>115.79</v>
          </cell>
        </row>
        <row r="1589">
          <cell r="A1589" t="str">
            <v>O.08.000.069517</v>
          </cell>
          <cell r="B1589" t="str">
            <v>Torneira de boia liga de cobre (bronze e latão), plástico de engenharia, elastômeros, de 1 1/2"</v>
          </cell>
          <cell r="C1589" t="str">
            <v>UN</v>
          </cell>
          <cell r="D1589">
            <v>233.25</v>
          </cell>
        </row>
        <row r="1590">
          <cell r="A1590" t="str">
            <v>O.08.000.069518</v>
          </cell>
          <cell r="B1590" t="str">
            <v>Torneira de boia liga de cobre (bronze e latão), plástico de engenharia, elastômeros, de 2"</v>
          </cell>
          <cell r="C1590" t="str">
            <v>UN</v>
          </cell>
          <cell r="D1590">
            <v>301.93</v>
          </cell>
        </row>
        <row r="1591">
          <cell r="A1591" t="str">
            <v>O.08.000.069522</v>
          </cell>
          <cell r="B1591" t="str">
            <v>Torneira de boia liga de cobre (bronze e latão), plástico de engenharia, elastômeros, de 1 1/4"</v>
          </cell>
          <cell r="C1591" t="str">
            <v>UN</v>
          </cell>
          <cell r="D1591">
            <v>221.97</v>
          </cell>
        </row>
        <row r="1592">
          <cell r="A1592" t="str">
            <v>O.08.000.069523</v>
          </cell>
          <cell r="B1592" t="str">
            <v>Torneira de boia liga de cobre (bronze e latão), plástico de engenharia, elastômeros, de 2 1/2"</v>
          </cell>
          <cell r="C1592" t="str">
            <v>UN</v>
          </cell>
          <cell r="D1592">
            <v>1456</v>
          </cell>
        </row>
        <row r="1593">
          <cell r="A1593" t="str">
            <v>O.09.000.063500</v>
          </cell>
          <cell r="B1593" t="str">
            <v>Válvula de gaveta em bronze com haste ascendente e extremidades rosqueáveis, classe 150 libras para vapor saturado e 300 libras para água, óleo e gás, DN= 4´</v>
          </cell>
          <cell r="C1593" t="str">
            <v>UN</v>
          </cell>
          <cell r="D1593">
            <v>6260.35</v>
          </cell>
        </row>
        <row r="1594">
          <cell r="A1594" t="str">
            <v>O.09.000.063503</v>
          </cell>
          <cell r="B1594" t="str">
            <v>Válvula de gaveta em bronze com haste não ascendente e extremidades rosqueáveis, classe 150lbs para vapor saturado e classe 300lbs para água, óleo e gás, DN= 4´</v>
          </cell>
          <cell r="C1594" t="str">
            <v>UN</v>
          </cell>
          <cell r="D1594">
            <v>1647.95</v>
          </cell>
        </row>
        <row r="1595">
          <cell r="A1595" t="str">
            <v>O.09.000.063504</v>
          </cell>
          <cell r="B1595" t="str">
            <v>Válvula de gaveta em bronze com haste não ascendente e extremidades rosqueáveis, classe 150lbs para vapor saturado e classe 300lbs para água, óleo e gás, DN= 2´</v>
          </cell>
          <cell r="C1595" t="str">
            <v>UN</v>
          </cell>
          <cell r="D1595">
            <v>441.03</v>
          </cell>
        </row>
        <row r="1596">
          <cell r="A1596" t="str">
            <v>O.09.000.063507</v>
          </cell>
          <cell r="B1596" t="str">
            <v>Válvula de gaveta em bronze com haste não ascendente e extremidades rosqueáveis, classe 125 libras, para vapor saturado e 200 libras para água, óleo e gás, DN= 3/4´</v>
          </cell>
          <cell r="C1596" t="str">
            <v>UN</v>
          </cell>
          <cell r="D1596">
            <v>77.150000000000006</v>
          </cell>
        </row>
        <row r="1597">
          <cell r="A1597" t="str">
            <v>O.09.000.063541</v>
          </cell>
          <cell r="B1597" t="str">
            <v>Válvula de gaveta em bronze com haste não ascendente e extremidades rosqueáveis, classe 125 libras, para vapor e classe 200 libras, para água, óleo e gás, DN= 1´</v>
          </cell>
          <cell r="C1597" t="str">
            <v>UN</v>
          </cell>
          <cell r="D1597">
            <v>96.68</v>
          </cell>
        </row>
        <row r="1598">
          <cell r="A1598" t="str">
            <v>O.09.000.063542</v>
          </cell>
          <cell r="B1598" t="str">
            <v>Válvula de gaveta em bronze com haste não ascendente e extremidades rosqueáveis, classe 125 libras, para vapor e classe 200 libras, para água, óleo e gás, DN= 1 1/2´</v>
          </cell>
          <cell r="C1598" t="str">
            <v>UN</v>
          </cell>
          <cell r="D1598">
            <v>129</v>
          </cell>
        </row>
        <row r="1599">
          <cell r="A1599" t="str">
            <v>O.09.000.063543</v>
          </cell>
          <cell r="B1599" t="str">
            <v>Válvula de gaveta em bronze com haste não ascendente e extremidades rosqueáveis, classe 125 libras, para vapor e classe 200 libras, para água, óleo e gás, DN= 2 1/2´</v>
          </cell>
          <cell r="C1599" t="str">
            <v>UN</v>
          </cell>
          <cell r="D1599">
            <v>509.98</v>
          </cell>
        </row>
        <row r="1600">
          <cell r="A1600" t="str">
            <v>O.09.000.063544</v>
          </cell>
          <cell r="B1600" t="str">
            <v>Válvula de gaveta em bronze com haste não ascendente e extremidades rosqueáveis, classe 125 libras, para vapor e classe 200 libras, para água, óleo e gás, DN= 3´</v>
          </cell>
          <cell r="C1600" t="str">
            <v>UN</v>
          </cell>
          <cell r="D1600">
            <v>710.33</v>
          </cell>
        </row>
        <row r="1601">
          <cell r="A1601" t="str">
            <v>O.09.000.063551</v>
          </cell>
          <cell r="B1601" t="str">
            <v>Hidrômetro em bronze, diâmetro 25 mm (1), vazão máxima de trabalho de 10 m³/h</v>
          </cell>
          <cell r="C1601" t="str">
            <v>UN</v>
          </cell>
          <cell r="D1601">
            <v>558.54999999999995</v>
          </cell>
        </row>
        <row r="1602">
          <cell r="A1602" t="str">
            <v>O.09.000.063552</v>
          </cell>
          <cell r="B1602" t="str">
            <v>Hidrômetro em bronze, diâmetro 40 mm (1 1/2)</v>
          </cell>
          <cell r="C1602" t="str">
            <v>UN</v>
          </cell>
          <cell r="D1602">
            <v>931.22</v>
          </cell>
        </row>
        <row r="1603">
          <cell r="A1603" t="str">
            <v>O.09.000.064001</v>
          </cell>
          <cell r="B1603" t="str">
            <v>Válvula de gaveta em bronze com haste não ascendente e extremidades rosqueáveis, classe 125 libras para vapor e classe 200 libras, para água, óleo e gás, DN= 6´</v>
          </cell>
          <cell r="C1603" t="str">
            <v>UN</v>
          </cell>
          <cell r="D1603">
            <v>8716.18</v>
          </cell>
        </row>
        <row r="1604">
          <cell r="A1604" t="str">
            <v>O.09.000.064005</v>
          </cell>
          <cell r="B1604" t="str">
            <v>Válvula de gaveta em bronze com haste não ascendente e extremidades rosqueáveis, classe 125 libras para vapor e classe 200 libras para água, óleo e gás, DN= 2´</v>
          </cell>
          <cell r="C1604" t="str">
            <v>UN</v>
          </cell>
          <cell r="D1604">
            <v>205.05</v>
          </cell>
        </row>
        <row r="1605">
          <cell r="A1605" t="str">
            <v>O.09.000.064009</v>
          </cell>
          <cell r="B1605" t="str">
            <v>Válvula de gaveta em bronze com haste não ascendente e extremidades rosqueáveis, classe 125 libras, para vapor e classe 200 libras, para água, óleo e gás, DN= 1 1/4´</v>
          </cell>
          <cell r="C1605" t="str">
            <v>UN</v>
          </cell>
          <cell r="D1605">
            <v>118.96</v>
          </cell>
        </row>
        <row r="1606">
          <cell r="A1606" t="str">
            <v>O.09.000.064016</v>
          </cell>
          <cell r="B1606" t="str">
            <v>Válvula de retenção horizontal em bronze 3/4´</v>
          </cell>
          <cell r="C1606" t="str">
            <v>UN</v>
          </cell>
          <cell r="D1606">
            <v>114.93</v>
          </cell>
        </row>
        <row r="1607">
          <cell r="A1607" t="str">
            <v>O.09.000.064017</v>
          </cell>
          <cell r="B1607" t="str">
            <v>Válvula de retenção horizontal em bronze 1´</v>
          </cell>
          <cell r="C1607" t="str">
            <v>UN</v>
          </cell>
          <cell r="D1607">
            <v>143.86000000000001</v>
          </cell>
        </row>
        <row r="1608">
          <cell r="A1608" t="str">
            <v>O.09.000.064018</v>
          </cell>
          <cell r="B1608" t="str">
            <v>Válvula de retenção horizontal em bronze 1 1/4´</v>
          </cell>
          <cell r="C1608" t="str">
            <v>UN</v>
          </cell>
          <cell r="D1608">
            <v>199.96</v>
          </cell>
        </row>
        <row r="1609">
          <cell r="A1609" t="str">
            <v>O.09.000.064019</v>
          </cell>
          <cell r="B1609" t="str">
            <v>Válvula de retenção horizontal em bronze 1 1/2´</v>
          </cell>
          <cell r="C1609" t="str">
            <v>UN</v>
          </cell>
          <cell r="D1609">
            <v>236.32</v>
          </cell>
        </row>
        <row r="1610">
          <cell r="A1610" t="str">
            <v>O.09.000.064020</v>
          </cell>
          <cell r="B1610" t="str">
            <v>Válvula de retenção horizontal em bronze 2´</v>
          </cell>
          <cell r="C1610" t="str">
            <v>UN</v>
          </cell>
          <cell r="D1610">
            <v>350.15</v>
          </cell>
        </row>
        <row r="1611">
          <cell r="A1611" t="str">
            <v>O.09.000.064021</v>
          </cell>
          <cell r="B1611" t="str">
            <v>Válvula de retenção horizontal em bronze 2 1/2´</v>
          </cell>
          <cell r="C1611" t="str">
            <v>UN</v>
          </cell>
          <cell r="D1611">
            <v>615.15</v>
          </cell>
        </row>
        <row r="1612">
          <cell r="A1612" t="str">
            <v>O.09.000.064022</v>
          </cell>
          <cell r="B1612" t="str">
            <v>Válvula de retenção horizontal em bronze 3´</v>
          </cell>
          <cell r="C1612" t="str">
            <v>UN</v>
          </cell>
          <cell r="D1612">
            <v>737.68</v>
          </cell>
        </row>
        <row r="1613">
          <cell r="A1613" t="str">
            <v>O.09.000.064025</v>
          </cell>
          <cell r="B1613" t="str">
            <v>Válvula globo em bronze com extremidades roscáveis, classe 150lbs para vapor saturado e classe 300lbs para água, óleo e gás, DN= 3/4´</v>
          </cell>
          <cell r="C1613" t="str">
            <v>UN</v>
          </cell>
          <cell r="D1613">
            <v>215.65</v>
          </cell>
        </row>
        <row r="1614">
          <cell r="A1614" t="str">
            <v>O.09.000.064027</v>
          </cell>
          <cell r="B1614" t="str">
            <v>Válvula retenção pé com crivo em bronze, DN= 1´</v>
          </cell>
          <cell r="C1614" t="str">
            <v>UN</v>
          </cell>
          <cell r="D1614">
            <v>101.26</v>
          </cell>
        </row>
        <row r="1615">
          <cell r="A1615" t="str">
            <v>O.09.000.064028</v>
          </cell>
          <cell r="B1615" t="str">
            <v>Válvula retenção pé com crivo em bronze, DN= 1 1/4´</v>
          </cell>
          <cell r="C1615" t="str">
            <v>UN</v>
          </cell>
          <cell r="D1615">
            <v>134.04</v>
          </cell>
        </row>
        <row r="1616">
          <cell r="A1616" t="str">
            <v>O.09.000.064029</v>
          </cell>
          <cell r="B1616" t="str">
            <v>Válvula retenção pé com crivo em bronze, DN= 1 1/2´</v>
          </cell>
          <cell r="C1616" t="str">
            <v>UN</v>
          </cell>
          <cell r="D1616">
            <v>162.11000000000001</v>
          </cell>
        </row>
        <row r="1617">
          <cell r="A1617" t="str">
            <v>O.09.000.064030</v>
          </cell>
          <cell r="B1617" t="str">
            <v>Válvula retenção pé com crivo em bronze, DN= 2´</v>
          </cell>
          <cell r="C1617" t="str">
            <v>UN</v>
          </cell>
          <cell r="D1617">
            <v>222.82</v>
          </cell>
        </row>
        <row r="1618">
          <cell r="A1618" t="str">
            <v>O.09.000.064031</v>
          </cell>
          <cell r="B1618" t="str">
            <v>Válvula retenção pé com crivo em bronze, DN= 2 1/2´</v>
          </cell>
          <cell r="C1618" t="str">
            <v>UN</v>
          </cell>
          <cell r="D1618">
            <v>367.73</v>
          </cell>
        </row>
        <row r="1619">
          <cell r="A1619" t="str">
            <v>O.09.000.064032</v>
          </cell>
          <cell r="B1619" t="str">
            <v>Válvula retenção pé com crivo em bronze, DN= 3´</v>
          </cell>
          <cell r="C1619" t="str">
            <v>UN</v>
          </cell>
          <cell r="D1619">
            <v>528.1</v>
          </cell>
        </row>
        <row r="1620">
          <cell r="A1620" t="str">
            <v>O.09.000.064033</v>
          </cell>
          <cell r="B1620" t="str">
            <v>Válvula globo em bronze com extremidades roscáveis, classe 150lbs para vapor saturado, classe 300lbs para água, óleo e gás, DN= 1´</v>
          </cell>
          <cell r="C1620" t="str">
            <v>UN</v>
          </cell>
          <cell r="D1620">
            <v>309.42</v>
          </cell>
        </row>
        <row r="1621">
          <cell r="A1621" t="str">
            <v>O.09.000.064034</v>
          </cell>
          <cell r="B1621" t="str">
            <v>Válvula retenção pé com crivo em bronze, DN= 4´</v>
          </cell>
          <cell r="C1621" t="str">
            <v>UN</v>
          </cell>
          <cell r="D1621">
            <v>1030.4100000000001</v>
          </cell>
        </row>
        <row r="1622">
          <cell r="A1622" t="str">
            <v>O.09.000.064037</v>
          </cell>
          <cell r="B1622" t="str">
            <v>Válvula globo em bronze com extremidades roscáveis, classe 150lbs para vapor saturado, classe 300lbs para água, óleo e gás, DN= 1 1/2´</v>
          </cell>
          <cell r="C1622" t="str">
            <v>UN</v>
          </cell>
          <cell r="D1622">
            <v>603.91999999999996</v>
          </cell>
        </row>
        <row r="1623">
          <cell r="A1623" t="str">
            <v>O.09.000.064038</v>
          </cell>
          <cell r="B1623" t="str">
            <v>Válvula globo em bronze com extremidades roscáveis, classe 150lbs para vapor saturado, classe 300lbs para água, óleo e gás, DN= 2´</v>
          </cell>
          <cell r="C1623" t="str">
            <v>UN</v>
          </cell>
          <cell r="D1623">
            <v>835.41</v>
          </cell>
        </row>
        <row r="1624">
          <cell r="A1624" t="str">
            <v>O.09.000.064048</v>
          </cell>
          <cell r="B1624" t="str">
            <v>Válvula globo em bronze com extremidades roscáveis, classe 150lbs para vapor saturado, 300lbs para água, óleo e gás, DN= 2 1/2´</v>
          </cell>
          <cell r="C1624" t="str">
            <v>UN</v>
          </cell>
          <cell r="D1624">
            <v>1317.41</v>
          </cell>
        </row>
        <row r="1625">
          <cell r="A1625" t="str">
            <v>O.09.000.064050</v>
          </cell>
          <cell r="B1625" t="str">
            <v>Válvula globo em bronze com extremidades roscáveis, classe 125lb para vapor saturado, classe 200 libras para água, óleo e gás, DN= 2´</v>
          </cell>
          <cell r="C1625" t="str">
            <v>UN</v>
          </cell>
          <cell r="D1625">
            <v>559.91999999999996</v>
          </cell>
        </row>
        <row r="1626">
          <cell r="A1626" t="str">
            <v>O.09.000.064051</v>
          </cell>
          <cell r="B1626" t="str">
            <v>Válvula globo em bronze com extremidades roscáveis, classe 150lbs para vapor saturado, classe 300lbs para água, óleo e gás, D= 4´</v>
          </cell>
          <cell r="C1626" t="str">
            <v>UN</v>
          </cell>
          <cell r="D1626">
            <v>6922.11</v>
          </cell>
        </row>
        <row r="1627">
          <cell r="A1627" t="str">
            <v>O.09.000.064061</v>
          </cell>
          <cell r="B1627" t="str">
            <v>Válvula de retenção vertical em bronze 1´</v>
          </cell>
          <cell r="C1627" t="str">
            <v>UN</v>
          </cell>
          <cell r="D1627">
            <v>104.21</v>
          </cell>
        </row>
        <row r="1628">
          <cell r="A1628" t="str">
            <v>O.09.000.064062</v>
          </cell>
          <cell r="B1628" t="str">
            <v>Válvula de retenção vertical em bronze 1 1/4´</v>
          </cell>
          <cell r="C1628" t="str">
            <v>UN</v>
          </cell>
          <cell r="D1628">
            <v>142.34</v>
          </cell>
        </row>
        <row r="1629">
          <cell r="A1629" t="str">
            <v>O.09.000.064063</v>
          </cell>
          <cell r="B1629" t="str">
            <v>Válvula de retenção vertical em bronze 1 1/2´</v>
          </cell>
          <cell r="C1629" t="str">
            <v>UN</v>
          </cell>
          <cell r="D1629">
            <v>174.84</v>
          </cell>
        </row>
        <row r="1630">
          <cell r="A1630" t="str">
            <v>O.09.000.064064</v>
          </cell>
          <cell r="B1630" t="str">
            <v>Válvula de retenção vertical em bronze 2´</v>
          </cell>
          <cell r="C1630" t="str">
            <v>UN</v>
          </cell>
          <cell r="D1630">
            <v>248.82</v>
          </cell>
        </row>
        <row r="1631">
          <cell r="A1631" t="str">
            <v>O.09.000.064065</v>
          </cell>
          <cell r="B1631" t="str">
            <v>Válvula de retenção vertical em bronze 2 1/2´</v>
          </cell>
          <cell r="C1631" t="str">
            <v>UN</v>
          </cell>
          <cell r="D1631">
            <v>408.34</v>
          </cell>
        </row>
        <row r="1632">
          <cell r="A1632" t="str">
            <v>O.09.000.064066</v>
          </cell>
          <cell r="B1632" t="str">
            <v>Válvula de retenção vertical em bronze 3´</v>
          </cell>
          <cell r="C1632" t="str">
            <v>UN</v>
          </cell>
          <cell r="D1632">
            <v>591.62</v>
          </cell>
        </row>
        <row r="1633">
          <cell r="A1633" t="str">
            <v>O.09.000.064068</v>
          </cell>
          <cell r="B1633" t="str">
            <v>Válvula de retenção vertical em bronze de 4´ - com flange</v>
          </cell>
          <cell r="C1633" t="str">
            <v>UN</v>
          </cell>
          <cell r="D1633">
            <v>1012.4</v>
          </cell>
        </row>
        <row r="1634">
          <cell r="A1634" t="str">
            <v>O.09.000.064172</v>
          </cell>
          <cell r="B1634" t="str">
            <v>Válvula globo em bronze com extremidades roscáveis, classe 150lbs para vapor saturado, classe 300lbs para água, óleo e gás, D= 3´</v>
          </cell>
          <cell r="C1634" t="str">
            <v>UN</v>
          </cell>
          <cell r="D1634">
            <v>2403.0500000000002</v>
          </cell>
        </row>
        <row r="1635">
          <cell r="A1635" t="str">
            <v>O.09.000.064187</v>
          </cell>
          <cell r="B1635" t="str">
            <v>Válvula de gaveta, corpo em bronze, extremidades roscáveis, haste fixa, classe 150 libras, DN=1/2´</v>
          </cell>
          <cell r="C1635" t="str">
            <v>UN</v>
          </cell>
          <cell r="D1635">
            <v>129.6</v>
          </cell>
        </row>
        <row r="1636">
          <cell r="A1636" t="str">
            <v>O.09.000.064188</v>
          </cell>
          <cell r="B1636" t="str">
            <v>Válvula de gaveta, corpo em bronze, extremidades roscáveis, haste fixa, classe 150 libras, DN=3/4´</v>
          </cell>
          <cell r="C1636" t="str">
            <v>UN</v>
          </cell>
          <cell r="D1636">
            <v>156.44</v>
          </cell>
        </row>
        <row r="1637">
          <cell r="A1637" t="str">
            <v>O.09.000.064189</v>
          </cell>
          <cell r="B1637" t="str">
            <v>Válvula de gaveta, corpo em bronze, extremidades roscáveis, haste fixa, classe 150 libras, DN=1´</v>
          </cell>
          <cell r="C1637" t="str">
            <v>UN</v>
          </cell>
          <cell r="D1637">
            <v>203.8</v>
          </cell>
        </row>
        <row r="1638">
          <cell r="A1638" t="str">
            <v>O.09.000.064190</v>
          </cell>
          <cell r="B1638" t="str">
            <v>Válvula de gaveta, corpo em bronze, extremidades roscáveis, haste fixa, classe 150 libras, DN=1 1/4´</v>
          </cell>
          <cell r="C1638" t="str">
            <v>UN</v>
          </cell>
          <cell r="D1638">
            <v>265.62</v>
          </cell>
        </row>
        <row r="1639">
          <cell r="A1639" t="str">
            <v>O.09.000.064191</v>
          </cell>
          <cell r="B1639" t="str">
            <v>Válvula globo, corpo em bronze,extremidades roscáveis, haste ascendente, classe 150 libras, DN=1/2´</v>
          </cell>
          <cell r="C1639" t="str">
            <v>UN</v>
          </cell>
          <cell r="D1639">
            <v>174.51</v>
          </cell>
        </row>
        <row r="1640">
          <cell r="A1640" t="str">
            <v>O.09.000.064192</v>
          </cell>
          <cell r="B1640" t="str">
            <v>Válvula globo, corpo em bronze,extremidades roscáveis, haste ascendente, classe 150 libras, DN=1 1/4´</v>
          </cell>
          <cell r="C1640" t="str">
            <v>UN</v>
          </cell>
          <cell r="D1640">
            <v>502.1</v>
          </cell>
        </row>
        <row r="1641">
          <cell r="A1641" t="str">
            <v>O.09.000.064193</v>
          </cell>
          <cell r="B1641" t="str">
            <v>Filtro Y, corpo em aço carbono, tela removível em aço inox, classe 150 libras, DN=1/2´</v>
          </cell>
          <cell r="C1641" t="str">
            <v>UN</v>
          </cell>
          <cell r="D1641">
            <v>201.91</v>
          </cell>
        </row>
        <row r="1642">
          <cell r="A1642" t="str">
            <v>O.09.000.064194</v>
          </cell>
          <cell r="B1642" t="str">
            <v>Filtro Y, corpo em aço carbono, tela removível em aço inox, classe 150 libras, DN=3,4´</v>
          </cell>
          <cell r="C1642" t="str">
            <v>UN</v>
          </cell>
          <cell r="D1642">
            <v>253.44</v>
          </cell>
        </row>
        <row r="1643">
          <cell r="A1643" t="str">
            <v>O.09.000.064195</v>
          </cell>
          <cell r="B1643" t="str">
            <v>Filtro Y, corpo em aço carbono, tela removível em aço inox, classe 150 libras, DN=1´</v>
          </cell>
          <cell r="C1643" t="str">
            <v>UN</v>
          </cell>
          <cell r="D1643">
            <v>323.17</v>
          </cell>
        </row>
        <row r="1644">
          <cell r="A1644" t="str">
            <v>O.09.000.064196</v>
          </cell>
          <cell r="B1644" t="str">
            <v>Filtro Y, corpo em aço carbono, tela removível em aço inox, classe 150 libras, DN=1 1/4´</v>
          </cell>
          <cell r="C1644" t="str">
            <v>UN</v>
          </cell>
          <cell r="D1644">
            <v>685.79</v>
          </cell>
        </row>
        <row r="1645">
          <cell r="A1645" t="str">
            <v>O.09.000.064202</v>
          </cell>
          <cell r="B1645" t="str">
            <v>Válvula automática redutora de pressão, de ação direta, corpo em bronze, extremidades roscadas, para água, ar, óleo e gás, PE=200psi e PS=20 à 90psi, DN=11/4´</v>
          </cell>
          <cell r="C1645" t="str">
            <v>UN</v>
          </cell>
          <cell r="D1645">
            <v>6144.29</v>
          </cell>
        </row>
        <row r="1646">
          <cell r="A1646" t="str">
            <v>O.09.000.064203</v>
          </cell>
          <cell r="B1646" t="str">
            <v>Válvula automática de redução de pressão, de ação direta, corpo em bronze, extremidades roscadas, para água, ar, óleo e gás, PE=200psi e PS=20 à 90psi, DN=2´</v>
          </cell>
          <cell r="C1646" t="str">
            <v>UN</v>
          </cell>
          <cell r="D1646">
            <v>7313.79</v>
          </cell>
        </row>
        <row r="1647">
          <cell r="A1647" t="str">
            <v>O.09.000.064215</v>
          </cell>
          <cell r="B1647" t="str">
            <v>Válvula de gaveta em bronze com fecho rápido sem acabamento, DN= 1 1/2´</v>
          </cell>
          <cell r="C1647" t="str">
            <v>UN</v>
          </cell>
          <cell r="D1647">
            <v>539.71</v>
          </cell>
        </row>
        <row r="1648">
          <cell r="A1648" t="str">
            <v>O.09.000.068531</v>
          </cell>
          <cell r="B1648" t="str">
            <v>Filtro tipo ´Y´ corpo em bronze, tela (filtro) em aço inoxidável, extremidades roscáveis, para gás, DN= 2´</v>
          </cell>
          <cell r="C1648" t="str">
            <v>UN</v>
          </cell>
          <cell r="D1648">
            <v>534.24</v>
          </cell>
        </row>
        <row r="1649">
          <cell r="A1649" t="str">
            <v>O.09.000.090132</v>
          </cell>
          <cell r="B1649" t="str">
            <v>Válvula globo angular de 45° em bronze ou latão, classe de pressão mínima 14kgf/cm², para recalque de rede de incêndio, DN= 2 1/2´; ref. Buckaspiero ou equivalente</v>
          </cell>
          <cell r="C1649" t="str">
            <v>UN</v>
          </cell>
          <cell r="D1649">
            <v>422.77</v>
          </cell>
        </row>
        <row r="1650">
          <cell r="A1650" t="str">
            <v>O.09.000.092041</v>
          </cell>
          <cell r="B1650" t="str">
            <v>Válvula de gaveta em bronze com haste ascendente e extremidades rosqueáveis, classe 150lbs para vapor saturado, classe 300lbs para água, óleo e gás, DN= 1/2´</v>
          </cell>
          <cell r="C1650" t="str">
            <v>UN</v>
          </cell>
          <cell r="D1650">
            <v>165.63</v>
          </cell>
        </row>
        <row r="1651">
          <cell r="A1651" t="str">
            <v>O.10.000.065502</v>
          </cell>
          <cell r="B1651" t="str">
            <v>Bacia sifonada de louça branca 6 litros; ref. linha Sabará ou Diamantina da Icasa, linha Ravena da Deca ou equivalente</v>
          </cell>
          <cell r="C1651" t="str">
            <v>UN</v>
          </cell>
          <cell r="D1651">
            <v>180.47</v>
          </cell>
        </row>
        <row r="1652">
          <cell r="A1652" t="str">
            <v>O.10.000.065506</v>
          </cell>
          <cell r="B1652" t="str">
            <v>Bacia turca de louça branca, 6 litros com sifão, linha Institucional da Celite ou equivalente</v>
          </cell>
          <cell r="C1652" t="str">
            <v>UN</v>
          </cell>
          <cell r="D1652">
            <v>795.89</v>
          </cell>
        </row>
        <row r="1653">
          <cell r="A1653" t="str">
            <v>O.10.000.065508</v>
          </cell>
          <cell r="B1653" t="str">
            <v>Lavatório de louça, branco, com coluna de 55,5X48cm; referência comercial linha Luna lL-9 + lC9 da Icasa ou equivalente</v>
          </cell>
          <cell r="C1653" t="str">
            <v>UN</v>
          </cell>
          <cell r="D1653">
            <v>476.63</v>
          </cell>
        </row>
        <row r="1654">
          <cell r="A1654" t="str">
            <v>O.10.000.065509</v>
          </cell>
          <cell r="B1654" t="str">
            <v>Lavatório de louça, sem coluna de 46 x 36 cm; ref. Icasa, Sabará, Deca Ravena ou equivalente</v>
          </cell>
          <cell r="C1654" t="str">
            <v>UN</v>
          </cell>
          <cell r="D1654">
            <v>83.92</v>
          </cell>
        </row>
        <row r="1655">
          <cell r="A1655" t="str">
            <v>O.10.000.065514</v>
          </cell>
          <cell r="B1655" t="str">
            <v>Papeleira de louça de embutir, 15x15cm / 18x18cm, inclusive rolete de plástico, ref. Celite, Hervy, Deca ou equivalente</v>
          </cell>
          <cell r="C1655" t="str">
            <v>UN</v>
          </cell>
          <cell r="D1655">
            <v>67.03</v>
          </cell>
        </row>
        <row r="1656">
          <cell r="A1656" t="str">
            <v>O.10.000.065516</v>
          </cell>
          <cell r="B1656" t="str">
            <v>Meia saboneteira de louça de embutir 7,5x15cm / 10,5x17,5cm, ref. Deca, Celite, Hervy ou equivalente</v>
          </cell>
          <cell r="C1656" t="str">
            <v>UN</v>
          </cell>
          <cell r="D1656">
            <v>31</v>
          </cell>
        </row>
        <row r="1657">
          <cell r="A1657" t="str">
            <v>O.10.000.065518</v>
          </cell>
          <cell r="B1657" t="str">
            <v>Saboneteira de louça de embutir 15x15cm / 18x18cm, ref. Deca, Celite, Hervy ou equivalente</v>
          </cell>
          <cell r="C1657" t="str">
            <v>UN</v>
          </cell>
          <cell r="D1657">
            <v>44.67</v>
          </cell>
        </row>
        <row r="1658">
          <cell r="A1658" t="str">
            <v>O.10.000.065522</v>
          </cell>
          <cell r="B1658" t="str">
            <v>Bacia sifonada de louça com saída horizontal, linha Ravena da Deca, ou equivalente</v>
          </cell>
          <cell r="C1658" t="str">
            <v>UN</v>
          </cell>
          <cell r="D1658">
            <v>383.45</v>
          </cell>
        </row>
        <row r="1659">
          <cell r="A1659" t="str">
            <v>O.10.000.065528</v>
          </cell>
          <cell r="B1659" t="str">
            <v>Tanque de louça com coluna de 18 a 20 litros, ref. Celite, Icasa, Incepa ou equivalente</v>
          </cell>
          <cell r="C1659" t="str">
            <v>UN</v>
          </cell>
          <cell r="D1659">
            <v>540.64</v>
          </cell>
        </row>
        <row r="1660">
          <cell r="A1660" t="str">
            <v>O.10.000.065534</v>
          </cell>
          <cell r="B1660" t="str">
            <v>Lavatório pequeno e coluna suspensa; ref. Vogue Plus ou equivalente</v>
          </cell>
          <cell r="C1660" t="str">
            <v>CJ</v>
          </cell>
          <cell r="D1660">
            <v>955.87</v>
          </cell>
        </row>
        <row r="1661">
          <cell r="A1661" t="str">
            <v>O.10.000.065538</v>
          </cell>
          <cell r="B1661" t="str">
            <v>Mictório auto sifonado de louça, branco, ref. Icasa, Celite ou equivalente</v>
          </cell>
          <cell r="C1661" t="str">
            <v>UN</v>
          </cell>
          <cell r="D1661">
            <v>437.92</v>
          </cell>
        </row>
        <row r="1662">
          <cell r="A1662" t="str">
            <v>O.10.000.065544</v>
          </cell>
          <cell r="B1662" t="str">
            <v>Cuba de louça de embutir redonda, de 36cm, branca, ref. Icasa, Deca ou equivalente</v>
          </cell>
          <cell r="C1662" t="str">
            <v>UN</v>
          </cell>
          <cell r="D1662">
            <v>85.59</v>
          </cell>
        </row>
        <row r="1663">
          <cell r="A1663" t="str">
            <v>O.10.000.065555</v>
          </cell>
          <cell r="B1663" t="str">
            <v>Bacia louça branca 6 litros, com caixa descarga acoplada, linha Ravena da Deca, linha Diamantina, Azálea da Celite, ou equivalente</v>
          </cell>
          <cell r="C1663" t="str">
            <v>UN</v>
          </cell>
          <cell r="D1663">
            <v>993.56</v>
          </cell>
        </row>
        <row r="1664">
          <cell r="A1664" t="str">
            <v>O.10.000.065556</v>
          </cell>
          <cell r="B1664" t="str">
            <v>Cuba de louça de embutir oval, 40x30cm, ref. Deca L 59 ou equivalente</v>
          </cell>
          <cell r="C1664" t="str">
            <v>UN</v>
          </cell>
          <cell r="D1664">
            <v>95.52</v>
          </cell>
        </row>
        <row r="1665">
          <cell r="A1665" t="str">
            <v>O.10.000.065559</v>
          </cell>
          <cell r="B1665" t="str">
            <v>Lavatório de louça com coluna suspensa; referência comercial Celite, Icasa, Incepa ou equivalente</v>
          </cell>
          <cell r="C1665" t="str">
            <v>UN</v>
          </cell>
          <cell r="D1665">
            <v>550.79999999999995</v>
          </cell>
        </row>
        <row r="1666">
          <cell r="A1666" t="str">
            <v>O.10.000.065564</v>
          </cell>
          <cell r="B1666" t="str">
            <v>Lavatório de louça para canto sem coluna para pessoa com mobilidade reduzida, ref. L76 Coleção Master da Deca ou equivalente</v>
          </cell>
          <cell r="C1666" t="str">
            <v>UN</v>
          </cell>
          <cell r="D1666">
            <v>1414.81</v>
          </cell>
        </row>
        <row r="1667">
          <cell r="A1667" t="str">
            <v>O.10.000.065570</v>
          </cell>
          <cell r="B1667" t="str">
            <v>Tanque louça branca com coluna, 30 litros; ref. Celite, Icasa, Incepa ou equivalente</v>
          </cell>
          <cell r="C1667" t="str">
            <v>UN</v>
          </cell>
          <cell r="D1667">
            <v>857.93</v>
          </cell>
        </row>
        <row r="1668">
          <cell r="A1668" t="str">
            <v>O.10.000.065671</v>
          </cell>
          <cell r="B1668" t="str">
            <v>Bacia para pessoas com mobilidade reduzida, linha tradicional, cor branco gelo, ref. linha Vogue Plus Conforto P.510 ou equivalente</v>
          </cell>
          <cell r="C1668" t="str">
            <v>UN</v>
          </cell>
          <cell r="D1668">
            <v>983.31</v>
          </cell>
        </row>
        <row r="1669">
          <cell r="A1669" t="str">
            <v>O.10.000.065672</v>
          </cell>
          <cell r="B1669" t="str">
            <v>Tanque de louça sem coluna, médio, capacidade 30 litros, ref. TQ.02, branco da Deca ou equivalente</v>
          </cell>
          <cell r="C1669" t="str">
            <v>UN</v>
          </cell>
          <cell r="D1669">
            <v>700.53</v>
          </cell>
        </row>
        <row r="1670">
          <cell r="A1670" t="str">
            <v>O.10.000.066152</v>
          </cell>
          <cell r="B1670" t="str">
            <v>Lavatório de louça para canto de 300 x 300 x 300 mm, branco gelo, ref. L 101 linha Izi da Deca ou equivalente</v>
          </cell>
          <cell r="C1670" t="str">
            <v>UN</v>
          </cell>
          <cell r="D1670">
            <v>227.7</v>
          </cell>
        </row>
        <row r="1671">
          <cell r="A1671" t="str">
            <v>O.10.000.090733</v>
          </cell>
          <cell r="B1671" t="str">
            <v>Bacia sifonafa com caixa de descarga acoplada de louça branca - infantil, referência Icasa, Celite ou equivalente</v>
          </cell>
          <cell r="C1671" t="str">
            <v>UN</v>
          </cell>
          <cell r="D1671">
            <v>883.78</v>
          </cell>
        </row>
        <row r="1672">
          <cell r="A1672" t="str">
            <v>O.11.000.021000</v>
          </cell>
          <cell r="B1672" t="str">
            <v>Misturador termostato com acabamento cromado, para chuveiros e duchas, com dois volantes, trava de segurança a 38°C, ref. Decaterm 2430 C034 da Deca ou equivalente</v>
          </cell>
          <cell r="C1672" t="str">
            <v>UN</v>
          </cell>
          <cell r="D1672">
            <v>3331.92</v>
          </cell>
        </row>
        <row r="1673">
          <cell r="A1673" t="str">
            <v>O.11.000.031636</v>
          </cell>
          <cell r="B1673" t="str">
            <v>Arejador com articulador em ABS cromado, completo, para torneira padrão, referência Blukit ou equivalente</v>
          </cell>
          <cell r="C1673" t="str">
            <v>UN</v>
          </cell>
          <cell r="D1673">
            <v>47.71</v>
          </cell>
        </row>
        <row r="1674">
          <cell r="A1674" t="str">
            <v>O.11.000.047507</v>
          </cell>
          <cell r="B1674" t="str">
            <v>Torneira elétrica, bica alta e móvel, com arejador articulável - 220V; ref. 220V de 5.400W da Fame, 220V Slim Multitemperaturas 5.500 W da Hydra ou equivalente</v>
          </cell>
          <cell r="C1674" t="str">
            <v>UN</v>
          </cell>
          <cell r="D1674">
            <v>207.18</v>
          </cell>
        </row>
        <row r="1675">
          <cell r="A1675" t="str">
            <v>O.11.000.063536</v>
          </cell>
          <cell r="B1675" t="str">
            <v>Válvula para água fria ou pré-misturada 3/4´ baixa e alta pressão, acabamento Chrome; ref. linha Pressmatic 17120306 (baixa), 17120206 (alta) da Docol ou equivalente</v>
          </cell>
          <cell r="C1675" t="str">
            <v>UN</v>
          </cell>
          <cell r="D1675">
            <v>654.67999999999995</v>
          </cell>
        </row>
        <row r="1676">
          <cell r="A1676" t="str">
            <v>O.11.000.063537</v>
          </cell>
          <cell r="B1676" t="str">
            <v>Registro regulador de vazão para torneira, misturador, bidê e outros 1/2´ plástico ABS; ref. 13030023 da Docol ou equivalente</v>
          </cell>
          <cell r="C1676" t="str">
            <v>UN</v>
          </cell>
          <cell r="D1676">
            <v>56.02</v>
          </cell>
        </row>
        <row r="1677">
          <cell r="A1677" t="str">
            <v>O.11.000.064004</v>
          </cell>
          <cell r="B1677" t="str">
            <v>Válvula de escoamento cromada de 1 1/2', ref. 1606C da Deca ou equivalente</v>
          </cell>
          <cell r="C1677" t="str">
            <v>UN</v>
          </cell>
          <cell r="D1677">
            <v>86.09</v>
          </cell>
        </row>
        <row r="1678">
          <cell r="A1678" t="str">
            <v>O.11.000.064010</v>
          </cell>
          <cell r="B1678" t="str">
            <v>Válvula de descarga com registro próprio e duplo acionamento limitador de fluxo de 1 1/2, ref. Hydra Max Duo 2545C; Docol DV Salvágua, ou equivalente</v>
          </cell>
          <cell r="C1678" t="str">
            <v>UN</v>
          </cell>
          <cell r="D1678">
            <v>371.52</v>
          </cell>
        </row>
        <row r="1679">
          <cell r="A1679" t="str">
            <v>O.11.000.064011</v>
          </cell>
          <cell r="B1679" t="str">
            <v>Válvula de descarga com registro de 1 1/2´, ref. Hidramax 2550 da Deca / Docol / Flux 3650 Fabrimar ou equivalente</v>
          </cell>
          <cell r="C1679" t="str">
            <v>UN</v>
          </cell>
          <cell r="D1679">
            <v>279.58</v>
          </cell>
        </row>
        <row r="1680">
          <cell r="A1680" t="str">
            <v>O.11.000.064036</v>
          </cell>
          <cell r="B1680" t="str">
            <v>Válvula de descarga com registro de 1 1/4´, ref. Hidramax 2550 da Deca, Docol, Flux 3650 da Fabrimar ou equivalente</v>
          </cell>
          <cell r="C1680" t="str">
            <v>UN</v>
          </cell>
          <cell r="D1680">
            <v>229.19</v>
          </cell>
        </row>
        <row r="1681">
          <cell r="A1681" t="str">
            <v>O.11.000.064044</v>
          </cell>
          <cell r="B1681" t="str">
            <v>Válvula de metal cromado para lavatório com acabamento cromado de 1´, ref. VVL216 da Esteves; 1602C da Deca ou equivalente</v>
          </cell>
          <cell r="C1681" t="str">
            <v>UN</v>
          </cell>
          <cell r="D1681">
            <v>31.34</v>
          </cell>
        </row>
        <row r="1682">
          <cell r="A1682" t="str">
            <v>O.11.000.064045</v>
          </cell>
          <cell r="B1682" t="str">
            <v>Válvula cromada para pia, tipo americana de 3 1/2" com cesta, sem unho, referência 1623 da Kimetais, Forusi, Esteves ou equivalente</v>
          </cell>
          <cell r="C1682" t="str">
            <v>UN</v>
          </cell>
          <cell r="D1682">
            <v>62.76</v>
          </cell>
        </row>
        <row r="1683">
          <cell r="A1683" t="str">
            <v>O.11.000.064056</v>
          </cell>
          <cell r="B1683" t="str">
            <v>Válvula para mictório antivandalismo, sistema hidromecânico, DN= 3/4´; ref. linha Presmatic antivandalismo da Docol ou equivalente</v>
          </cell>
          <cell r="C1683" t="str">
            <v>UN</v>
          </cell>
          <cell r="D1683">
            <v>562.71</v>
          </cell>
        </row>
        <row r="1684">
          <cell r="A1684" t="str">
            <v>O.11.000.064057</v>
          </cell>
          <cell r="B1684" t="str">
            <v>Válvula de descarga externa tipo alavanca de 1 1/4´; ref. Silent Flux 3500 da Fabrimar ou equivalente</v>
          </cell>
          <cell r="C1684" t="str">
            <v>UN</v>
          </cell>
          <cell r="D1684">
            <v>1878.98</v>
          </cell>
        </row>
        <row r="1685">
          <cell r="A1685" t="str">
            <v>O.11.000.064138</v>
          </cell>
          <cell r="B1685" t="str">
            <v>Válvula com acionamento hidromecânico para piso, ref. 17012100 linha Pematic Piso da Docal ou equivalente</v>
          </cell>
          <cell r="C1685" t="str">
            <v>UN</v>
          </cell>
          <cell r="D1685">
            <v>1072.4000000000001</v>
          </cell>
        </row>
        <row r="1686">
          <cell r="A1686" t="str">
            <v>O.11.000.064503</v>
          </cell>
          <cell r="B1686" t="str">
            <v>Sifão metálico cromado 1´ x 1 1/2´, com tubo de ligação ajustável; ref. Fabrimar, Esteves, ou equivalente</v>
          </cell>
          <cell r="C1686" t="str">
            <v>UN</v>
          </cell>
          <cell r="D1686">
            <v>162.29</v>
          </cell>
        </row>
        <row r="1687">
          <cell r="A1687" t="str">
            <v>O.11.000.064513</v>
          </cell>
          <cell r="B1687" t="str">
            <v>Sifão metálico cromado 1 1/2´ x  2´, com tubo de ligação; ref. Fabrimar, Oriente ou equivalente</v>
          </cell>
          <cell r="C1687" t="str">
            <v>UN</v>
          </cell>
          <cell r="D1687">
            <v>156.30000000000001</v>
          </cell>
        </row>
        <row r="1688">
          <cell r="A1688" t="str">
            <v>O.11.000.065568</v>
          </cell>
          <cell r="B1688" t="str">
            <v>Chuveiro com jato regulável de metal acabamento cromado; ref. comercial Fabrimar, Tigre ou equivalente</v>
          </cell>
          <cell r="C1688" t="str">
            <v>UN</v>
          </cell>
          <cell r="D1688">
            <v>162.41999999999999</v>
          </cell>
        </row>
        <row r="1689">
          <cell r="A1689" t="str">
            <v>O.11.000.065571</v>
          </cell>
          <cell r="B1689" t="str">
            <v>Chuveiro simples em PVC, diâmetro de 5", com registro e tubo de ligação acoplados em PVC; referência 2320/2321 da Herc, 1614 Luconi ou equivalente</v>
          </cell>
          <cell r="C1689" t="str">
            <v>UN</v>
          </cell>
          <cell r="D1689">
            <v>15.87</v>
          </cell>
        </row>
        <row r="1690">
          <cell r="A1690" t="str">
            <v>O.11.000.065579</v>
          </cell>
          <cell r="B1690" t="str">
            <v>Válvula de descarga com registro próprio e duplo acionamento limitador de fluxo de 1 1/4´; ref. Hydra Max Duo 2545C; Docol DV Salvágua ou equivalente</v>
          </cell>
          <cell r="C1690" t="str">
            <v>UN</v>
          </cell>
          <cell r="D1690">
            <v>329.1</v>
          </cell>
        </row>
        <row r="1691">
          <cell r="A1691" t="str">
            <v>O.11.000.066000</v>
          </cell>
          <cell r="B1691" t="str">
            <v>Torneira de mesa com bica móvel, acionamento por meio de alavanca, acabamento metal cromado; ref. 21.031/21.060 da Proflux, 2195/2169 da Hidrofix, 4014 da TFC ou equivalente</v>
          </cell>
          <cell r="C1691" t="str">
            <v>UN</v>
          </cell>
          <cell r="D1691">
            <v>85.59</v>
          </cell>
        </row>
        <row r="1692">
          <cell r="A1692" t="str">
            <v>O.11.000.066001</v>
          </cell>
          <cell r="B1692" t="str">
            <v>Torneira curta amarela de 3/4´ para jardim, ref. Chaveta 1128A da Metais Poly ou equivalente</v>
          </cell>
          <cell r="C1692" t="str">
            <v>UN</v>
          </cell>
          <cell r="D1692">
            <v>46.28</v>
          </cell>
        </row>
        <row r="1693">
          <cell r="A1693" t="str">
            <v>O.11.000.066002</v>
          </cell>
          <cell r="B1693" t="str">
            <v>Torneira curta amarela de 1/2´ para jardim, ref. Chaveta 1128A da Metais Poly ou equivalente</v>
          </cell>
          <cell r="C1693" t="str">
            <v>UN</v>
          </cell>
          <cell r="D1693">
            <v>39.549999999999997</v>
          </cell>
        </row>
        <row r="1694">
          <cell r="A1694" t="str">
            <v>O.11.000.066007</v>
          </cell>
          <cell r="B1694" t="str">
            <v>Válvula de descarga antivandalismo DN= 1 1/2´; ref. Docol / Hidra MaxPública ou equivalente</v>
          </cell>
          <cell r="C1694" t="str">
            <v>UN</v>
          </cell>
          <cell r="D1694">
            <v>448.68</v>
          </cell>
        </row>
        <row r="1695">
          <cell r="A1695" t="str">
            <v>O.11.000.066008</v>
          </cell>
          <cell r="B1695" t="str">
            <v>Válvula de mictório vazão automática 3/4´, ref. Docol ou equivalente</v>
          </cell>
          <cell r="C1695" t="str">
            <v>UN</v>
          </cell>
          <cell r="D1695">
            <v>466.67</v>
          </cell>
        </row>
        <row r="1696">
          <cell r="A1696" t="str">
            <v>O.11.000.066010</v>
          </cell>
          <cell r="B1696" t="str">
            <v>Torneira curta cromada de 3/4´ para jardim, ref. Chaveta 1128C da Metais Poly, Linha C23 da Forusi ou equivalente</v>
          </cell>
          <cell r="C1696" t="str">
            <v>UN</v>
          </cell>
          <cell r="D1696">
            <v>39.01</v>
          </cell>
        </row>
        <row r="1697">
          <cell r="A1697" t="str">
            <v>O.11.000.066012</v>
          </cell>
          <cell r="B1697" t="str">
            <v>Torneira amarela de 3/4´ para tanque, curta (aprox. 10 cm), sem rosca</v>
          </cell>
          <cell r="C1697" t="str">
            <v>UN</v>
          </cell>
          <cell r="D1697">
            <v>32.47</v>
          </cell>
        </row>
        <row r="1698">
          <cell r="A1698" t="str">
            <v>O.11.000.066015</v>
          </cell>
          <cell r="B1698" t="str">
            <v>Torneira curta cromada de 1/2" para tanque; ref. 1126 da Forusi ou equivalente</v>
          </cell>
          <cell r="C1698" t="str">
            <v>UN</v>
          </cell>
          <cell r="D1698">
            <v>30.1</v>
          </cell>
        </row>
        <row r="1699">
          <cell r="A1699" t="str">
            <v>O.11.000.066016</v>
          </cell>
          <cell r="B1699" t="str">
            <v>Torneira curta cromada de 3/4" para tanque; ref. 1126 da Forusi ou equivalente</v>
          </cell>
          <cell r="C1699" t="str">
            <v>UN</v>
          </cell>
          <cell r="D1699">
            <v>33.99</v>
          </cell>
        </row>
        <row r="1700">
          <cell r="A1700" t="str">
            <v>O.11.000.066018</v>
          </cell>
          <cell r="B1700" t="str">
            <v>Torneira longa de 1/2" ou 3/4" para pia com arejador; ref. Spagna, 2159 C24 da Metais Poly, linha C23 da Forusi ou equivalente</v>
          </cell>
          <cell r="C1700" t="str">
            <v>UN</v>
          </cell>
          <cell r="D1700">
            <v>54.51</v>
          </cell>
        </row>
        <row r="1701">
          <cell r="A1701" t="str">
            <v>O.11.000.066020</v>
          </cell>
          <cell r="B1701" t="str">
            <v>Chuveiro simples em PVC, diâmetro de 10 cm, com braço acoplado, ref. Ducha 4 - linha Plena Duchas da Tigre ou equivalente</v>
          </cell>
          <cell r="C1701" t="str">
            <v>UN</v>
          </cell>
          <cell r="D1701">
            <v>25.87</v>
          </cell>
        </row>
        <row r="1702">
          <cell r="A1702" t="str">
            <v>O.11.000.066023</v>
          </cell>
          <cell r="B1702" t="str">
            <v>Ducha higiênica manual com acabamento cromado; referência comercial 1984 C.ACT.LNK.CR da Deca ou equivalente</v>
          </cell>
          <cell r="C1702" t="str">
            <v>UN</v>
          </cell>
          <cell r="D1702">
            <v>468.95</v>
          </cell>
        </row>
        <row r="1703">
          <cell r="A1703" t="str">
            <v>O.11.000.066024</v>
          </cell>
          <cell r="B1703" t="str">
            <v>Torneira de parede (de metal) para pia com bica móvel, arejador, de 1/2´ ou 3/4´; ref. 3159 linha Belle Époque CR da Forusi ou equivalente</v>
          </cell>
          <cell r="C1703" t="str">
            <v>UN</v>
          </cell>
          <cell r="D1703">
            <v>63.67</v>
          </cell>
        </row>
        <row r="1704">
          <cell r="A1704" t="str">
            <v>O.11.000.066025</v>
          </cell>
          <cell r="B1704" t="str">
            <v>Torneira clínica profissional, parede ou mesa tipo alavanca, fabricada em metal cromado com bico arejador</v>
          </cell>
          <cell r="C1704" t="str">
            <v>UN</v>
          </cell>
          <cell r="D1704">
            <v>350.16</v>
          </cell>
        </row>
        <row r="1705">
          <cell r="A1705" t="str">
            <v>O.11.000.066028</v>
          </cell>
          <cell r="B1705" t="str">
            <v>Torneira misturador clínica de mesa com arejador articulado, acionamento cotovelo; ref. Certiva, Solucenter, Proflux  ou equivalente</v>
          </cell>
          <cell r="C1705" t="str">
            <v>UN</v>
          </cell>
          <cell r="D1705">
            <v>312.20999999999998</v>
          </cell>
        </row>
        <row r="1706">
          <cell r="A1706" t="str">
            <v>O.11.000.066037</v>
          </cell>
          <cell r="B1706" t="str">
            <v>Torneira de parede antivandalismo de 3/4´ de alta/baixa pressão, acabamento cromado, ref. Chrome da Docol de 135 mm, Biopress da Fabrimar ou equivalente</v>
          </cell>
          <cell r="C1706" t="str">
            <v>UN</v>
          </cell>
          <cell r="D1706">
            <v>609.27</v>
          </cell>
        </row>
        <row r="1707">
          <cell r="A1707" t="str">
            <v>O.11.000.066038</v>
          </cell>
          <cell r="B1707" t="str">
            <v>Chuveiro com válvula e acionamento antivandalismo de 3/4´ (válvula + chuveiro); ref. Pressmatic ou equivalente</v>
          </cell>
          <cell r="C1707" t="str">
            <v>UN</v>
          </cell>
          <cell r="D1707">
            <v>1239.6199999999999</v>
          </cell>
        </row>
        <row r="1708">
          <cell r="A1708" t="str">
            <v>O.11.000.066039</v>
          </cell>
          <cell r="B1708" t="str">
            <v>Ducha cromada simples, água fria, sem desviador; ref. Fria Fitt 7000 F16 Fortti Cromada da Lorenzetti ou equivalente</v>
          </cell>
          <cell r="C1708" t="str">
            <v>UN</v>
          </cell>
          <cell r="D1708">
            <v>66.849999999999994</v>
          </cell>
        </row>
        <row r="1709">
          <cell r="A1709" t="str">
            <v>O.11.000.066040</v>
          </cell>
          <cell r="B1709" t="str">
            <v>Chuveiro elétrico eletrônico de 6.500W/220V com resistência blindada; referência comercial ducha ND blindada da Hydra ou equivalente</v>
          </cell>
          <cell r="C1709" t="str">
            <v>UN</v>
          </cell>
          <cell r="D1709">
            <v>305.29000000000002</v>
          </cell>
        </row>
        <row r="1710">
          <cell r="A1710" t="str">
            <v>O.11.000.066050</v>
          </cell>
          <cell r="B1710" t="str">
            <v>Misturador de parede para pia com bica móvel, com acabamento cromado, ref. linha Prata C50 da Forusi, 1258 da Fabrimar ou equivalente</v>
          </cell>
          <cell r="C1710" t="str">
            <v>UN</v>
          </cell>
          <cell r="D1710">
            <v>433.13</v>
          </cell>
        </row>
        <row r="1711">
          <cell r="A1711" t="str">
            <v>O.11.000.066051</v>
          </cell>
          <cell r="B1711" t="str">
            <v>Aparelho misturador de mesa para pia com bica móvel, acabamento cromado. Referência Misturador Max 1256-C34 da Deca ou equivalente</v>
          </cell>
          <cell r="C1711" t="str">
            <v>UN</v>
          </cell>
          <cell r="D1711">
            <v>991.35</v>
          </cell>
        </row>
        <row r="1712">
          <cell r="A1712" t="str">
            <v>O.11.000.066059</v>
          </cell>
          <cell r="B1712" t="str">
            <v>Torneira de mesa (de metal) com bica móvel e arejador, de 1/2" ou 3/4"; ref. 1168 C34 Lorenzetti, B Epoque 3159 Forusi, VTM 076-1167 C64 Esteves ou equivalente</v>
          </cell>
          <cell r="C1712" t="str">
            <v>UN</v>
          </cell>
          <cell r="D1712">
            <v>184.79</v>
          </cell>
        </row>
        <row r="1713">
          <cell r="A1713" t="str">
            <v>O.11.000.066063</v>
          </cell>
          <cell r="B1713" t="str">
            <v>Torneira de acionamento restrito em latão cromado, registro 1/2' com adaptador para 3/4', ref. comercial 20000806 da Docol ou equivalente</v>
          </cell>
          <cell r="C1713" t="str">
            <v>UN</v>
          </cell>
          <cell r="D1713">
            <v>87.48</v>
          </cell>
        </row>
        <row r="1714">
          <cell r="A1714" t="str">
            <v>O.11.000.066064</v>
          </cell>
          <cell r="B1714" t="str">
            <v>Torneira de parede para lavatório acionamento hidromecânico latão fundido cromado, DN 1/2´/3/4´ cod.17160706, Presmatic 120 da Docol, equivalente</v>
          </cell>
          <cell r="C1714" t="str">
            <v>UN</v>
          </cell>
          <cell r="D1714">
            <v>586.30999999999995</v>
          </cell>
        </row>
        <row r="1715">
          <cell r="A1715" t="str">
            <v>O.11.000.066066</v>
          </cell>
          <cell r="B1715" t="str">
            <v>Torneira de parede para tanque em plástico (ABS e/ou polipropileno), DN 1/2´ ou 3/4´, 10 cm, sem rosca, ref. 1126 Herc ou equivalente</v>
          </cell>
          <cell r="C1715" t="str">
            <v>UN</v>
          </cell>
          <cell r="D1715">
            <v>2.37</v>
          </cell>
        </row>
        <row r="1716">
          <cell r="A1716" t="str">
            <v>O.11.000.066067</v>
          </cell>
          <cell r="B1716" t="str">
            <v>Torneira de parede para tanque em plástico (ABS e/ou polipropileno), DN 1/2´ ou 3/4´, 15 cm, sem rosca, ref. 1158 Herc ou equivalente</v>
          </cell>
          <cell r="C1716" t="str">
            <v>UN</v>
          </cell>
          <cell r="D1716">
            <v>4</v>
          </cell>
        </row>
        <row r="1717">
          <cell r="A1717" t="str">
            <v>O.11.000.066072</v>
          </cell>
          <cell r="B1717" t="str">
            <v>Torneira de mesa para lavatório, acionamento hidromecânico com alavanca, registro integrado regulador de vazão, latão cromado, ref. linha DocolMatc 185106 da Docol ou equivalente</v>
          </cell>
          <cell r="C1717" t="str">
            <v>UN</v>
          </cell>
          <cell r="D1717">
            <v>812.83</v>
          </cell>
        </row>
        <row r="1718">
          <cell r="A1718" t="str">
            <v>O.11.000.066091</v>
          </cell>
          <cell r="B1718" t="str">
            <v>Torneira de mesa automática em metal cromado de 1/2", medidas aproximadas: distância horizontal 110 a 125mm, altura vertical 90 a 120mm, ref.Single, Robust ou Prime da LuxSanit, 1193 ou 1194 da Oliveira, Pressmatic da Docol ou equivalente</v>
          </cell>
          <cell r="C1718" t="str">
            <v>UN</v>
          </cell>
          <cell r="D1718">
            <v>136.71</v>
          </cell>
        </row>
        <row r="1719">
          <cell r="A1719" t="str">
            <v>O.11.000.066097</v>
          </cell>
          <cell r="B1719" t="str">
            <v>Chuveiro elétrico comum com acabamento em plástico e braço, 220 V / 5500 W, ref. Bello Banho / Maxi Ducha da Lorenzetti ou equivalente</v>
          </cell>
          <cell r="C1719" t="str">
            <v>UN</v>
          </cell>
          <cell r="D1719">
            <v>92.85</v>
          </cell>
        </row>
        <row r="1720">
          <cell r="A1720" t="str">
            <v>O.11.000.066104</v>
          </cell>
          <cell r="B1720" t="str">
            <v>Chuveiro lava olhos, acionamento manual através de haste triangular e placa empurre, com pintura epóxi; ref. CL001 KITINOX da Avlis Válvulas ou equivalente</v>
          </cell>
          <cell r="C1720" t="str">
            <v>UN</v>
          </cell>
          <cell r="D1720">
            <v>2089.62</v>
          </cell>
        </row>
        <row r="1721">
          <cell r="A1721" t="str">
            <v>O.11.000.066106</v>
          </cell>
          <cell r="B1721" t="str">
            <v>Torneira para lavatório em plástico, bitola de 1/2´</v>
          </cell>
          <cell r="C1721" t="str">
            <v>UN</v>
          </cell>
          <cell r="D1721">
            <v>10.11</v>
          </cell>
        </row>
        <row r="1722">
          <cell r="A1722" t="str">
            <v>O.11.000.066109</v>
          </cell>
          <cell r="B1722" t="str">
            <v>Ducha com comando eletrônico de temperatura, com ou sem haste de comando, de 6.800W até 7.900W - 220 V, regulagem de inclinação, aprovado Inmetro/Procel, ref. comercial Top Jet Eletrônica da Lorenzetti ou equivalente</v>
          </cell>
          <cell r="C1722" t="str">
            <v>UN</v>
          </cell>
          <cell r="D1722">
            <v>165.76</v>
          </cell>
        </row>
        <row r="1723">
          <cell r="A1723" t="str">
            <v>O.11.000.068506</v>
          </cell>
          <cell r="B1723" t="str">
            <v>Regulador de pressão, estágio único 12 kg/h; ref. 76511 fabricação Aliança ou equivalente</v>
          </cell>
          <cell r="C1723" t="str">
            <v>UN</v>
          </cell>
          <cell r="D1723">
            <v>98.46</v>
          </cell>
        </row>
        <row r="1724">
          <cell r="A1724" t="str">
            <v>O.11.000.068511</v>
          </cell>
          <cell r="B1724" t="str">
            <v>Regulador de alta pressão, vazão 9 kg; ref. 76510/3 fabricação Aliança ou equivalente</v>
          </cell>
          <cell r="C1724" t="str">
            <v>UN</v>
          </cell>
          <cell r="D1724">
            <v>614.12</v>
          </cell>
        </row>
        <row r="1725">
          <cell r="A1725" t="str">
            <v>O.11.000.068513</v>
          </cell>
          <cell r="B1725" t="str">
            <v>Regulador para gás, industrial vazão 12 kg/h, 2º estágio; ref. 76511/1 fabricação Aliança ou equivalente</v>
          </cell>
          <cell r="C1725" t="str">
            <v>UN</v>
          </cell>
          <cell r="D1725">
            <v>98.07</v>
          </cell>
        </row>
        <row r="1726">
          <cell r="A1726" t="str">
            <v>O.11.000.068515</v>
          </cell>
          <cell r="B1726" t="str">
            <v>Válvula e mangueira para gás domiciliar de 3/8´</v>
          </cell>
          <cell r="C1726" t="str">
            <v>CJ</v>
          </cell>
          <cell r="D1726">
            <v>47.72</v>
          </cell>
        </row>
        <row r="1727">
          <cell r="A1727" t="str">
            <v>O.11.000.069556</v>
          </cell>
          <cell r="B1727" t="str">
            <v>Botão para válvula descarga</v>
          </cell>
          <cell r="C1727" t="str">
            <v>UN</v>
          </cell>
          <cell r="D1727">
            <v>46.78</v>
          </cell>
        </row>
        <row r="1728">
          <cell r="A1728" t="str">
            <v>O.11.000.069558</v>
          </cell>
          <cell r="B1728" t="str">
            <v>Canopla para válvula de descarga, ref. Hidramax 2550 da Deca, Docol, Flux 3650 Fabrimar ou equivalente</v>
          </cell>
          <cell r="C1728" t="str">
            <v>UN</v>
          </cell>
          <cell r="D1728">
            <v>127.29</v>
          </cell>
        </row>
        <row r="1729">
          <cell r="A1729" t="str">
            <v>O.11.000.069562</v>
          </cell>
          <cell r="B1729" t="str">
            <v>Acabamento cromado para registro de pressão ou de gaveta, ref. linha Lorenluna da Lorenzetti, Aspen 4900 da Deca e linha Targa 4900.C40.PQ.CR da Deca ou equivalente</v>
          </cell>
          <cell r="C1729" t="str">
            <v>UN</v>
          </cell>
          <cell r="D1729">
            <v>54.58</v>
          </cell>
        </row>
        <row r="1730">
          <cell r="A1730" t="str">
            <v>O.11.000.092035</v>
          </cell>
          <cell r="B1730" t="str">
            <v>Dispenser tipo toalheiro metálico esmaltado para bobina de 25cm x 50m, sem alavanca, ref. 1855 da Ideal, Aurimar 86 da Guarani ou equivalente</v>
          </cell>
          <cell r="C1730" t="str">
            <v>UN</v>
          </cell>
          <cell r="D1730">
            <v>96.29</v>
          </cell>
        </row>
        <row r="1731">
          <cell r="A1731" t="str">
            <v>O.11.000.092038</v>
          </cell>
          <cell r="B1731" t="str">
            <v>Cabide cromado para banheiro simples; ref. Remma plus RP08, Versailles 08v, Requint 108RSK, 2060.C01 da Deca, 2312 standard da Jackwal, Lorenzetti, Plus da Sicmol ou equivalente</v>
          </cell>
          <cell r="C1731" t="str">
            <v>UN</v>
          </cell>
          <cell r="D1731">
            <v>25.14</v>
          </cell>
        </row>
        <row r="1732">
          <cell r="A1732" t="str">
            <v>O.12.000.061029</v>
          </cell>
          <cell r="B1732" t="str">
            <v>Arruela de borracha para flange, diâmetro 200mm</v>
          </cell>
          <cell r="C1732" t="str">
            <v>UN</v>
          </cell>
          <cell r="D1732">
            <v>10.82</v>
          </cell>
        </row>
        <row r="1733">
          <cell r="A1733" t="str">
            <v>O.12.000.061039</v>
          </cell>
          <cell r="B1733" t="str">
            <v>Arruela de borracha para flange, diâmetro 80mm</v>
          </cell>
          <cell r="C1733" t="str">
            <v>UN</v>
          </cell>
          <cell r="D1733">
            <v>5.26</v>
          </cell>
        </row>
        <row r="1734">
          <cell r="A1734" t="str">
            <v>O.12.000.061040</v>
          </cell>
          <cell r="B1734" t="str">
            <v>Arruela de borracha para flange, diâmetro 100mm</v>
          </cell>
          <cell r="C1734" t="str">
            <v>UN</v>
          </cell>
          <cell r="D1734">
            <v>8.77</v>
          </cell>
        </row>
        <row r="1735">
          <cell r="A1735" t="str">
            <v>O.12.000.061042</v>
          </cell>
          <cell r="B1735" t="str">
            <v>Arruela de borracha para flange, diâmetro 150mm</v>
          </cell>
          <cell r="C1735" t="str">
            <v>UN</v>
          </cell>
          <cell r="D1735">
            <v>8.1999999999999993</v>
          </cell>
        </row>
        <row r="1736">
          <cell r="A1736" t="str">
            <v>O.12.000.061043</v>
          </cell>
          <cell r="B1736" t="str">
            <v>Arruela de borracha para flange, diâmetro 250mm</v>
          </cell>
          <cell r="C1736" t="str">
            <v>UN</v>
          </cell>
          <cell r="D1736">
            <v>14.66</v>
          </cell>
        </row>
        <row r="1737">
          <cell r="A1737" t="str">
            <v>O.12.000.061044</v>
          </cell>
          <cell r="B1737" t="str">
            <v>Arruela de borracha para flange, diâmetro 300mm</v>
          </cell>
          <cell r="C1737" t="str">
            <v>UN</v>
          </cell>
          <cell r="D1737">
            <v>20.53</v>
          </cell>
        </row>
        <row r="1738">
          <cell r="A1738" t="str">
            <v>O.12.000.061100</v>
          </cell>
          <cell r="B1738" t="str">
            <v>Anel de borracha EPDM de 50 mm (2´), para tubulação em ferro fundido, ref. AFLEX Saint Gobain ou equivalente</v>
          </cell>
          <cell r="C1738" t="str">
            <v>UN</v>
          </cell>
          <cell r="D1738">
            <v>3.83</v>
          </cell>
        </row>
        <row r="1739">
          <cell r="A1739" t="str">
            <v>O.12.000.061115</v>
          </cell>
          <cell r="B1739" t="str">
            <v>Anel de borracha EPDM de 75 mm (3´), para tubulação em ferro fundido, ref. AFLEX Saint Gobain ou equivalente</v>
          </cell>
          <cell r="C1739" t="str">
            <v>UN</v>
          </cell>
          <cell r="D1739">
            <v>4.6399999999999997</v>
          </cell>
        </row>
        <row r="1740">
          <cell r="A1740" t="str">
            <v>O.12.000.061116</v>
          </cell>
          <cell r="B1740" t="str">
            <v>Anel de borracha EPDM de 100 mm (4´), para tubulação em ferro fundido, ref. AFLEX Saint Gobain ou equivalente</v>
          </cell>
          <cell r="C1740" t="str">
            <v>UN</v>
          </cell>
          <cell r="D1740">
            <v>5.29</v>
          </cell>
        </row>
        <row r="1741">
          <cell r="A1741" t="str">
            <v>O.12.000.062671</v>
          </cell>
          <cell r="B1741" t="str">
            <v>Anel de borracha para tubo PVC 50mm (2´)</v>
          </cell>
          <cell r="C1741" t="str">
            <v>UN</v>
          </cell>
          <cell r="D1741">
            <v>1.73</v>
          </cell>
        </row>
        <row r="1742">
          <cell r="A1742" t="str">
            <v>O.12.000.062672</v>
          </cell>
          <cell r="B1742" t="str">
            <v>Anel de borracha para tubo PVC 75mm (3´)</v>
          </cell>
          <cell r="C1742" t="str">
            <v>UN</v>
          </cell>
          <cell r="D1742">
            <v>2.57</v>
          </cell>
        </row>
        <row r="1743">
          <cell r="A1743" t="str">
            <v>O.12.000.062673</v>
          </cell>
          <cell r="B1743" t="str">
            <v>Anel de borracha para tubo PVC 100mm (4´)</v>
          </cell>
          <cell r="C1743" t="str">
            <v>UN</v>
          </cell>
          <cell r="D1743">
            <v>2.92</v>
          </cell>
        </row>
        <row r="1744">
          <cell r="A1744" t="str">
            <v>O.12.000.062674</v>
          </cell>
          <cell r="B1744" t="str">
            <v>Anel de borracha para tubo PVC 150mm (6´)</v>
          </cell>
          <cell r="C1744" t="str">
            <v>UN</v>
          </cell>
          <cell r="D1744">
            <v>12.57</v>
          </cell>
        </row>
        <row r="1745">
          <cell r="A1745" t="str">
            <v>O.12.000.063510</v>
          </cell>
          <cell r="B1745" t="str">
            <v>Arruela de borracha para flange, diâmetro 50mm</v>
          </cell>
          <cell r="C1745" t="str">
            <v>UN</v>
          </cell>
          <cell r="D1745">
            <v>3.52</v>
          </cell>
        </row>
        <row r="1746">
          <cell r="A1746" t="str">
            <v>O.12.000.064109</v>
          </cell>
          <cell r="B1746" t="str">
            <v>Filtro de pressão em ABS para 360 l/h; ref. Cuno / Aqualar APL230 AP200LE ou equivalente</v>
          </cell>
          <cell r="C1746" t="str">
            <v>UN</v>
          </cell>
          <cell r="D1746">
            <v>429.86</v>
          </cell>
        </row>
        <row r="1747">
          <cell r="A1747" t="str">
            <v>O.12.000.064504</v>
          </cell>
          <cell r="B1747" t="str">
            <v>Sifão sanfonado universal de 1´ x 40mm e 50mm; ref. SSU e SSU40 da Astra ou equivalente</v>
          </cell>
          <cell r="C1747" t="str">
            <v>UN</v>
          </cell>
          <cell r="D1747">
            <v>9.9700000000000006</v>
          </cell>
        </row>
        <row r="1748">
          <cell r="A1748" t="str">
            <v>O.12.000.064505</v>
          </cell>
          <cell r="B1748" t="str">
            <v>Sifão de plástico rígido, tipo copo de 1 1/4´ x 2´, com tubo de ligação ajustável</v>
          </cell>
          <cell r="C1748" t="str">
            <v>UN</v>
          </cell>
          <cell r="D1748">
            <v>14.36</v>
          </cell>
        </row>
        <row r="1749">
          <cell r="A1749" t="str">
            <v>O.12.000.065023</v>
          </cell>
          <cell r="B1749" t="str">
            <v>Caixa de descarga, capacidade 9 litros em plástico, de sobrepor com engate flexível e acessórios</v>
          </cell>
          <cell r="C1749" t="str">
            <v>UN</v>
          </cell>
          <cell r="D1749">
            <v>57.62</v>
          </cell>
        </row>
        <row r="1750">
          <cell r="A1750" t="str">
            <v>O.12.000.065055</v>
          </cell>
          <cell r="B1750" t="str">
            <v>Caixa de descarga, volume regulável 6 a 9 litros, de embutir, com engate flexível, acionamento por botão acabamento cromado, ref. 9000C Montreal da Montana, 2500 CX.MC.AF da Deca ou equivalente</v>
          </cell>
          <cell r="C1750" t="str">
            <v>CJ</v>
          </cell>
          <cell r="D1750">
            <v>2153.64</v>
          </cell>
        </row>
        <row r="1751">
          <cell r="A1751" t="str">
            <v>O.12.000.065513</v>
          </cell>
          <cell r="B1751" t="str">
            <v>Saboneteira em ABS, tipo dispenser, para refil de 800ml, ref. Columbus SG 4000 ou equivalente</v>
          </cell>
          <cell r="C1751" t="str">
            <v>UN</v>
          </cell>
          <cell r="D1751">
            <v>61.94</v>
          </cell>
        </row>
        <row r="1752">
          <cell r="A1752" t="str">
            <v>O.12.000.065543</v>
          </cell>
          <cell r="B1752" t="str">
            <v>Lavatório em polipropileno de 36x26cm, ref. Astra ou equivalente</v>
          </cell>
          <cell r="C1752" t="str">
            <v>UN</v>
          </cell>
          <cell r="D1752">
            <v>48.53</v>
          </cell>
        </row>
        <row r="1753">
          <cell r="A1753" t="str">
            <v>O.12.000.065595</v>
          </cell>
          <cell r="B1753" t="str">
            <v>Secador de mãos em ABS, fluxo de ar 70 l/s, resistência 1350 W, tensão de 220 V, ref. CR-108B da Brakey ou equivalente</v>
          </cell>
          <cell r="C1753" t="str">
            <v>UN</v>
          </cell>
          <cell r="D1753">
            <v>1296.74</v>
          </cell>
        </row>
        <row r="1754">
          <cell r="A1754" t="str">
            <v>O.12.000.066013</v>
          </cell>
          <cell r="B1754" t="str">
            <v>Tubo de ligação cromado com canopla de 1 1/2´ x 25 cm, ajustável, ref. VLL418 da Esteves ou equivalente</v>
          </cell>
          <cell r="C1754" t="str">
            <v>UN</v>
          </cell>
          <cell r="D1754">
            <v>75.209999999999994</v>
          </cell>
        </row>
        <row r="1755">
          <cell r="A1755" t="str">
            <v>O.12.000.066028</v>
          </cell>
          <cell r="B1755" t="str">
            <v>Ligação (engate) flexível metálico de 1/2´x 30cm</v>
          </cell>
          <cell r="C1755" t="str">
            <v>UN</v>
          </cell>
          <cell r="D1755">
            <v>25.97</v>
          </cell>
        </row>
        <row r="1756">
          <cell r="A1756" t="str">
            <v>O.12.000.066029</v>
          </cell>
          <cell r="B1756" t="str">
            <v>Engate flexível de PVC DN= 1/2´x 40 cm</v>
          </cell>
          <cell r="C1756" t="str">
            <v>UN</v>
          </cell>
          <cell r="D1756">
            <v>7.42</v>
          </cell>
        </row>
        <row r="1757">
          <cell r="A1757" t="str">
            <v>O.12.000.066053</v>
          </cell>
          <cell r="B1757" t="str">
            <v>Tubo de ligação com canopla para sanitários</v>
          </cell>
          <cell r="C1757" t="str">
            <v>UN</v>
          </cell>
          <cell r="D1757">
            <v>32.409999999999997</v>
          </cell>
        </row>
        <row r="1758">
          <cell r="A1758" t="str">
            <v>O.12.000.066068</v>
          </cell>
          <cell r="B1758" t="str">
            <v>Tubo de ligação em cobre acabamento cromado para mictório DN= 1/2´, comprimento 20 ou 30cm; ref. VLC 454 ou VLC 456 Esteves ou equivalente</v>
          </cell>
          <cell r="C1758" t="str">
            <v>UN</v>
          </cell>
          <cell r="D1758">
            <v>78.400000000000006</v>
          </cell>
        </row>
        <row r="1759">
          <cell r="A1759" t="str">
            <v>O.12.000.066105</v>
          </cell>
          <cell r="B1759" t="str">
            <v>Desviador para ducha e chuveiro, com mangueira de 2,20m de comprimento;  ref. 8010 da Lorenzetti ou equivalente</v>
          </cell>
          <cell r="C1759" t="str">
            <v>UN</v>
          </cell>
          <cell r="D1759">
            <v>47.95</v>
          </cell>
        </row>
        <row r="1760">
          <cell r="A1760" t="str">
            <v>O.12.000.066166</v>
          </cell>
          <cell r="B1760" t="str">
            <v>Assento sanitário tipo universal para bacia sifonada infantil; referência Tupan, Astra ou equivalente</v>
          </cell>
          <cell r="C1760" t="str">
            <v>UN</v>
          </cell>
          <cell r="D1760">
            <v>75.14</v>
          </cell>
        </row>
        <row r="1761">
          <cell r="A1761" t="str">
            <v>O.12.000.067076</v>
          </cell>
          <cell r="B1761" t="str">
            <v>Botoeira para acionamento de bomba de incêndio tipo quebra-vidro, com botão liga e desliga, em chapa de plástico na cor vermelha, com um martelo</v>
          </cell>
          <cell r="C1761" t="str">
            <v>UN</v>
          </cell>
          <cell r="D1761">
            <v>59.66</v>
          </cell>
        </row>
        <row r="1762">
          <cell r="A1762" t="str">
            <v>O.12.000.069503</v>
          </cell>
          <cell r="B1762" t="str">
            <v>Bolsa de borracha para bacia sifonada</v>
          </cell>
          <cell r="C1762" t="str">
            <v>UN</v>
          </cell>
          <cell r="D1762">
            <v>9.26</v>
          </cell>
        </row>
        <row r="1763">
          <cell r="A1763" t="str">
            <v>O.12.000.069527</v>
          </cell>
          <cell r="B1763" t="str">
            <v>Lubrificante para anel de neoprene</v>
          </cell>
          <cell r="C1763" t="str">
            <v>KG</v>
          </cell>
          <cell r="D1763">
            <v>18.350000000000001</v>
          </cell>
        </row>
        <row r="1764">
          <cell r="A1764" t="str">
            <v>O.12.000.069547</v>
          </cell>
          <cell r="B1764" t="str">
            <v>Reparo para válvula hidra</v>
          </cell>
          <cell r="C1764" t="str">
            <v>UN</v>
          </cell>
          <cell r="D1764">
            <v>74.67</v>
          </cell>
        </row>
        <row r="1765">
          <cell r="A1765" t="str">
            <v>O.12.000.069550</v>
          </cell>
          <cell r="B1765" t="str">
            <v>Assento de plástico tipo universal para bacia sanitária; ref. Astra, Tupan ou equivalente</v>
          </cell>
          <cell r="C1765" t="str">
            <v>UN</v>
          </cell>
          <cell r="D1765">
            <v>38.729999999999997</v>
          </cell>
        </row>
        <row r="1766">
          <cell r="A1766" t="str">
            <v>O.12.000.069555</v>
          </cell>
          <cell r="B1766" t="str">
            <v>Anel de borracha expansão para ligação em bacia sifonada, 100 mm (4´)</v>
          </cell>
          <cell r="C1766" t="str">
            <v>UN</v>
          </cell>
          <cell r="D1766">
            <v>19.190000000000001</v>
          </cell>
        </row>
        <row r="1767">
          <cell r="A1767" t="str">
            <v>O.12.000.070960</v>
          </cell>
          <cell r="B1767" t="str">
            <v>Manta de borracha de 100x75cm, espessura 10mm, cor preto e amarelo, alta resistência a atritos, para sinalização em estacionamento e proteção de coluna e parede</v>
          </cell>
          <cell r="C1767" t="str">
            <v>UN</v>
          </cell>
          <cell r="D1767">
            <v>74.709999999999994</v>
          </cell>
        </row>
        <row r="1768">
          <cell r="A1768" t="str">
            <v>O.12.000.070961</v>
          </cell>
          <cell r="B1768" t="str">
            <v>Cantoneira de borracha de 75x10x10cm, espessura 10mm, cor preto e amarelo, alta resistência a atritos, para sinalização em estacionamento e proteção de coluna</v>
          </cell>
          <cell r="C1768" t="str">
            <v>UN</v>
          </cell>
          <cell r="D1768">
            <v>29.41</v>
          </cell>
        </row>
        <row r="1769">
          <cell r="A1769" t="str">
            <v>O.12.000.090146</v>
          </cell>
          <cell r="B1769" t="str">
            <v>Arruela de borracha para flange, diâmetro 100mm</v>
          </cell>
          <cell r="C1769" t="str">
            <v>UN</v>
          </cell>
          <cell r="D1769">
            <v>5.84</v>
          </cell>
        </row>
        <row r="1770">
          <cell r="A1770" t="str">
            <v>O.12.000.090901</v>
          </cell>
          <cell r="B1770" t="str">
            <v>Conjunto de 4 lixeiras em plástico com tampa basculante, para coleta seletiva, com suporte para chão em aço galvanizado, capacidade de 50 litros cada cesto, ref. Natural Limp, Lixlimp, Plasbox ou equivalente</v>
          </cell>
          <cell r="C1770" t="str">
            <v>UN</v>
          </cell>
          <cell r="D1770">
            <v>1235.07</v>
          </cell>
        </row>
        <row r="1771">
          <cell r="A1771" t="str">
            <v>O.12.000.092034</v>
          </cell>
          <cell r="B1771" t="str">
            <v>Dispenser toalheiro em ABS e policarbonato para bobina de 20cm x 200m com alavanca. Ref. Jofel, Exaccta, Alwin ou equivalente</v>
          </cell>
          <cell r="C1771" t="str">
            <v>UN</v>
          </cell>
          <cell r="D1771">
            <v>248.67</v>
          </cell>
        </row>
        <row r="1772">
          <cell r="A1772" t="str">
            <v>O.12.000.092036</v>
          </cell>
          <cell r="B1772" t="str">
            <v>Dispenser papel higiênico em ABS para rolão 300/600m, com visor. Ref. Unik JSN, Trilha ou equivalente</v>
          </cell>
          <cell r="C1772" t="str">
            <v>UN</v>
          </cell>
          <cell r="D1772">
            <v>69.17</v>
          </cell>
        </row>
        <row r="1773">
          <cell r="A1773" t="str">
            <v>O.12.000.092309</v>
          </cell>
          <cell r="B1773" t="str">
            <v>Toalheiro plástico em ABS branco tipo dispenser para papel</v>
          </cell>
          <cell r="C1773" t="str">
            <v>UN</v>
          </cell>
          <cell r="D1773">
            <v>60.17</v>
          </cell>
        </row>
        <row r="1774">
          <cell r="A1774" t="str">
            <v>O.13.000.060101</v>
          </cell>
          <cell r="B1774" t="str">
            <v>Tubo de concreto (PS-1) DN= 300mm</v>
          </cell>
          <cell r="C1774" t="str">
            <v>M</v>
          </cell>
          <cell r="D1774">
            <v>72.7</v>
          </cell>
        </row>
        <row r="1775">
          <cell r="A1775" t="str">
            <v>O.13.000.060102</v>
          </cell>
          <cell r="B1775" t="str">
            <v>Tubo de concreto (PS-1) DN= 400mm</v>
          </cell>
          <cell r="C1775" t="str">
            <v>M</v>
          </cell>
          <cell r="D1775">
            <v>91.74</v>
          </cell>
        </row>
        <row r="1776">
          <cell r="A1776" t="str">
            <v>O.13.000.060110</v>
          </cell>
          <cell r="B1776" t="str">
            <v>Tubo de concreto (PS-2) DN= 300mm</v>
          </cell>
          <cell r="C1776" t="str">
            <v>M</v>
          </cell>
          <cell r="D1776">
            <v>75.52</v>
          </cell>
        </row>
        <row r="1777">
          <cell r="A1777" t="str">
            <v>O.13.000.060111</v>
          </cell>
          <cell r="B1777" t="str">
            <v>Tubo de concreto (PS-2) DN= 400mm</v>
          </cell>
          <cell r="C1777" t="str">
            <v>M</v>
          </cell>
          <cell r="D1777">
            <v>92.54</v>
          </cell>
        </row>
        <row r="1778">
          <cell r="A1778" t="str">
            <v>O.13.000.060112</v>
          </cell>
          <cell r="B1778" t="str">
            <v>Tubo de concreto (PS-2) DN= 500mm</v>
          </cell>
          <cell r="C1778" t="str">
            <v>M</v>
          </cell>
          <cell r="D1778">
            <v>124.52</v>
          </cell>
        </row>
        <row r="1779">
          <cell r="A1779" t="str">
            <v>O.13.000.060113</v>
          </cell>
          <cell r="B1779" t="str">
            <v>Tubo de concreto (PA-2) DN= 700mm</v>
          </cell>
          <cell r="C1779" t="str">
            <v>M</v>
          </cell>
          <cell r="D1779">
            <v>242.83</v>
          </cell>
        </row>
        <row r="1780">
          <cell r="A1780" t="str">
            <v>O.13.000.060114</v>
          </cell>
          <cell r="B1780" t="str">
            <v>Tubo de concreto (PA-2) DN= 300mm</v>
          </cell>
          <cell r="C1780" t="str">
            <v>M</v>
          </cell>
          <cell r="D1780">
            <v>104.02</v>
          </cell>
        </row>
        <row r="1781">
          <cell r="A1781" t="str">
            <v>O.13.000.060115</v>
          </cell>
          <cell r="B1781" t="str">
            <v>Tubo de concreto (PA-2) DN= 900mm</v>
          </cell>
          <cell r="C1781" t="str">
            <v>M</v>
          </cell>
          <cell r="D1781">
            <v>438.76</v>
          </cell>
        </row>
        <row r="1782">
          <cell r="A1782" t="str">
            <v>O.13.000.060131</v>
          </cell>
          <cell r="B1782" t="str">
            <v>Tubo de concreto (PA-1) DN= 300mm</v>
          </cell>
          <cell r="C1782" t="str">
            <v>M</v>
          </cell>
          <cell r="D1782">
            <v>115.21</v>
          </cell>
        </row>
        <row r="1783">
          <cell r="A1783" t="str">
            <v>O.13.000.060132</v>
          </cell>
          <cell r="B1783" t="str">
            <v>Tubo de concreto (PA-1) DN= 400mm</v>
          </cell>
          <cell r="C1783" t="str">
            <v>M</v>
          </cell>
          <cell r="D1783">
            <v>143.36000000000001</v>
          </cell>
        </row>
        <row r="1784">
          <cell r="A1784" t="str">
            <v>O.13.000.060140</v>
          </cell>
          <cell r="B1784" t="str">
            <v>Tubo de concreto (PA-1) DN= 600mm</v>
          </cell>
          <cell r="C1784" t="str">
            <v>M</v>
          </cell>
          <cell r="D1784">
            <v>255.94</v>
          </cell>
        </row>
        <row r="1785">
          <cell r="A1785" t="str">
            <v>O.13.000.060141</v>
          </cell>
          <cell r="B1785" t="str">
            <v>Tubo de concreto (PA-1) DN= 800mm</v>
          </cell>
          <cell r="C1785" t="str">
            <v>M</v>
          </cell>
          <cell r="D1785">
            <v>383.03</v>
          </cell>
        </row>
        <row r="1786">
          <cell r="A1786" t="str">
            <v>O.13.000.060144</v>
          </cell>
          <cell r="B1786" t="str">
            <v>Tubo de concreto (PA-2) DN= 400mm</v>
          </cell>
          <cell r="C1786" t="str">
            <v>M</v>
          </cell>
          <cell r="D1786">
            <v>114.93</v>
          </cell>
        </row>
        <row r="1787">
          <cell r="A1787" t="str">
            <v>O.13.000.060145</v>
          </cell>
          <cell r="B1787" t="str">
            <v>Tubo de concreto (PA-2) DN= 600mm</v>
          </cell>
          <cell r="C1787" t="str">
            <v>M</v>
          </cell>
          <cell r="D1787">
            <v>190.73</v>
          </cell>
        </row>
        <row r="1788">
          <cell r="A1788" t="str">
            <v>O.13.000.060146</v>
          </cell>
          <cell r="B1788" t="str">
            <v>Tubo de concreto (PA-2) DN= 800mm</v>
          </cell>
          <cell r="C1788" t="str">
            <v>M</v>
          </cell>
          <cell r="D1788">
            <v>376.05</v>
          </cell>
        </row>
        <row r="1789">
          <cell r="A1789" t="str">
            <v>O.13.000.060147</v>
          </cell>
          <cell r="B1789" t="str">
            <v>Tubo de concreto (PA-2) DN= 1000mm</v>
          </cell>
          <cell r="C1789" t="str">
            <v>M</v>
          </cell>
          <cell r="D1789">
            <v>510.38</v>
          </cell>
        </row>
        <row r="1790">
          <cell r="A1790" t="str">
            <v>O.13.000.060149</v>
          </cell>
          <cell r="B1790" t="str">
            <v>Tubo de concreto (PA-3) DN= 400mm</v>
          </cell>
          <cell r="C1790" t="str">
            <v>M</v>
          </cell>
          <cell r="D1790">
            <v>153.08000000000001</v>
          </cell>
        </row>
        <row r="1791">
          <cell r="A1791" t="str">
            <v>O.13.000.060150</v>
          </cell>
          <cell r="B1791" t="str">
            <v>Tubo de concreto (PA-3) DN= 600mm</v>
          </cell>
          <cell r="C1791" t="str">
            <v>M</v>
          </cell>
          <cell r="D1791">
            <v>298.18</v>
          </cell>
        </row>
        <row r="1792">
          <cell r="A1792" t="str">
            <v>O.13.000.060151</v>
          </cell>
          <cell r="B1792" t="str">
            <v>Tubo de concreto (PA-3) DN= 800mm</v>
          </cell>
          <cell r="C1792" t="str">
            <v>M</v>
          </cell>
          <cell r="D1792">
            <v>470.31</v>
          </cell>
        </row>
        <row r="1793">
          <cell r="A1793" t="str">
            <v>O.13.000.060152</v>
          </cell>
          <cell r="B1793" t="str">
            <v>Tubo de concreto (PA-3) DN= 1000mm</v>
          </cell>
          <cell r="C1793" t="str">
            <v>M</v>
          </cell>
          <cell r="D1793">
            <v>674.01</v>
          </cell>
        </row>
        <row r="1794">
          <cell r="A1794" t="str">
            <v>O.13.000.060203</v>
          </cell>
          <cell r="B1794" t="str">
            <v>Anel pré-moldado em concreto, diâmetro externo de 2,50 m, h= 0,50 m</v>
          </cell>
          <cell r="C1794" t="str">
            <v>UN</v>
          </cell>
          <cell r="D1794">
            <v>753.54</v>
          </cell>
        </row>
        <row r="1795">
          <cell r="A1795" t="str">
            <v>O.13.000.060204</v>
          </cell>
          <cell r="B1795" t="str">
            <v>Tubo de concreto (PA-1) DN= 1000mm</v>
          </cell>
          <cell r="C1795" t="str">
            <v>M</v>
          </cell>
          <cell r="D1795">
            <v>509.83</v>
          </cell>
        </row>
        <row r="1796">
          <cell r="A1796" t="str">
            <v>O.13.000.060206</v>
          </cell>
          <cell r="B1796" t="str">
            <v>Tubo de concreto (PA-1) DN= 1200mm</v>
          </cell>
          <cell r="C1796" t="str">
            <v>M</v>
          </cell>
          <cell r="D1796">
            <v>763.95</v>
          </cell>
        </row>
        <row r="1797">
          <cell r="A1797" t="str">
            <v>O.13.000.060207</v>
          </cell>
          <cell r="B1797" t="str">
            <v>Anel pré-moldado em concreto, diâmetro externo de 1,20 m, h= 0,50 m</v>
          </cell>
          <cell r="C1797" t="str">
            <v>UN</v>
          </cell>
          <cell r="D1797">
            <v>191.06</v>
          </cell>
        </row>
        <row r="1798">
          <cell r="A1798" t="str">
            <v>O.13.000.060208</v>
          </cell>
          <cell r="B1798" t="str">
            <v>Anel pré-moldado em concreto, diâmetro externo de 1,50 m, h= 0,50 m</v>
          </cell>
          <cell r="C1798" t="str">
            <v>UN</v>
          </cell>
          <cell r="D1798">
            <v>302.98</v>
          </cell>
        </row>
        <row r="1799">
          <cell r="A1799" t="str">
            <v>O.13.000.060209</v>
          </cell>
          <cell r="B1799" t="str">
            <v>Anel pré-moldado em concreto, diâmetro externo de 1,80 m, h= 0,50 m</v>
          </cell>
          <cell r="C1799" t="str">
            <v>UN</v>
          </cell>
          <cell r="D1799">
            <v>394.11</v>
          </cell>
        </row>
        <row r="1800">
          <cell r="A1800" t="str">
            <v>O.13.000.060210</v>
          </cell>
          <cell r="B1800" t="str">
            <v>Anel pré-moldado em concreto, diâmetro externo de 2,50 m, h= 0,50 m, com cortina</v>
          </cell>
          <cell r="C1800" t="str">
            <v>UN</v>
          </cell>
          <cell r="D1800">
            <v>875.28</v>
          </cell>
        </row>
        <row r="1801">
          <cell r="A1801" t="str">
            <v>O.13.000.060213</v>
          </cell>
          <cell r="B1801" t="str">
            <v>Tubo de concreto (PA-2) DN= 500mm</v>
          </cell>
          <cell r="C1801" t="str">
            <v>M</v>
          </cell>
          <cell r="D1801">
            <v>151.61000000000001</v>
          </cell>
        </row>
        <row r="1802">
          <cell r="A1802" t="str">
            <v>O.13.000.060215</v>
          </cell>
          <cell r="B1802" t="str">
            <v>Anel pré-moldado em concreto, diâmetro externo de 0,60 m, h= 0,50 m</v>
          </cell>
          <cell r="C1802" t="str">
            <v>UN</v>
          </cell>
          <cell r="D1802">
            <v>70.98</v>
          </cell>
        </row>
        <row r="1803">
          <cell r="A1803" t="str">
            <v>O.13.000.060219</v>
          </cell>
          <cell r="B1803" t="str">
            <v>Meia cana de concreto DN= 200mm</v>
          </cell>
          <cell r="C1803" t="str">
            <v>M</v>
          </cell>
          <cell r="D1803">
            <v>25.18</v>
          </cell>
        </row>
        <row r="1804">
          <cell r="A1804" t="str">
            <v>O.13.000.060220</v>
          </cell>
          <cell r="B1804" t="str">
            <v>Tampa pré moldada de concreto, diâmetro externo de 1,50m com 1 abertura de inspeção (para fossa séptica)</v>
          </cell>
          <cell r="C1804" t="str">
            <v>UN</v>
          </cell>
          <cell r="D1804">
            <v>332.81</v>
          </cell>
        </row>
        <row r="1805">
          <cell r="A1805" t="str">
            <v>O.13.000.060232</v>
          </cell>
          <cell r="B1805" t="str">
            <v>Tubo de concreto (EA-3) DN= 400mm esgoto sanitário</v>
          </cell>
          <cell r="C1805" t="str">
            <v>M</v>
          </cell>
          <cell r="D1805">
            <v>140.63</v>
          </cell>
        </row>
        <row r="1806">
          <cell r="A1806" t="str">
            <v>O.13.000.060233</v>
          </cell>
          <cell r="B1806" t="str">
            <v>Tubo de concreto (EA-3) DN= 500mm esgoto sanitário</v>
          </cell>
          <cell r="C1806" t="str">
            <v>M</v>
          </cell>
          <cell r="D1806">
            <v>195.66</v>
          </cell>
        </row>
        <row r="1807">
          <cell r="A1807" t="str">
            <v>O.13.000.060234</v>
          </cell>
          <cell r="B1807" t="str">
            <v>Tubo de concreto (EA-3) DN= 600mm esgoto sanitário</v>
          </cell>
          <cell r="C1807" t="str">
            <v>M</v>
          </cell>
          <cell r="D1807">
            <v>309.51</v>
          </cell>
        </row>
        <row r="1808">
          <cell r="A1808" t="str">
            <v>O.13.000.060235</v>
          </cell>
          <cell r="B1808" t="str">
            <v>Tubo de concreto (EA-3) DN= 700mm esgoto sanitário</v>
          </cell>
          <cell r="C1808" t="str">
            <v>M</v>
          </cell>
          <cell r="D1808">
            <v>428.22</v>
          </cell>
        </row>
        <row r="1809">
          <cell r="A1809" t="str">
            <v>O.13.000.060236</v>
          </cell>
          <cell r="B1809" t="str">
            <v>Tubo de concreto (EA-3) DN= 800mm esgoto sanitário</v>
          </cell>
          <cell r="C1809" t="str">
            <v>M</v>
          </cell>
          <cell r="D1809">
            <v>521.14</v>
          </cell>
        </row>
        <row r="1810">
          <cell r="A1810" t="str">
            <v>O.13.000.060237</v>
          </cell>
          <cell r="B1810" t="str">
            <v>Tubo de concreto (EA-3) DN= 900mm esgoto sanitário</v>
          </cell>
          <cell r="C1810" t="str">
            <v>M</v>
          </cell>
          <cell r="D1810">
            <v>814.26</v>
          </cell>
        </row>
        <row r="1811">
          <cell r="A1811" t="str">
            <v>O.13.000.060238</v>
          </cell>
          <cell r="B1811" t="str">
            <v>Tubo de concreto (EA-3) DN= 1000mm esgoto sanitário</v>
          </cell>
          <cell r="C1811" t="str">
            <v>M</v>
          </cell>
          <cell r="D1811">
            <v>769.97</v>
          </cell>
        </row>
        <row r="1812">
          <cell r="A1812" t="str">
            <v>O.13.000.060239</v>
          </cell>
          <cell r="B1812" t="str">
            <v>Tubo de concreto (EA-3) DN= 1200mm esgoto sanitário</v>
          </cell>
          <cell r="C1812" t="str">
            <v>M</v>
          </cell>
          <cell r="D1812">
            <v>1146.94</v>
          </cell>
        </row>
        <row r="1813">
          <cell r="A1813" t="str">
            <v>O.13.000.060240</v>
          </cell>
          <cell r="B1813" t="str">
            <v>Meia cana de concreto DN= 300mm</v>
          </cell>
          <cell r="C1813" t="str">
            <v>M</v>
          </cell>
          <cell r="D1813">
            <v>36.14</v>
          </cell>
        </row>
        <row r="1814">
          <cell r="A1814" t="str">
            <v>O.13.000.060241</v>
          </cell>
          <cell r="B1814" t="str">
            <v>Meia cana de concreto DN= 400mm</v>
          </cell>
          <cell r="C1814" t="str">
            <v>M</v>
          </cell>
          <cell r="D1814">
            <v>48.77</v>
          </cell>
        </row>
        <row r="1815">
          <cell r="A1815" t="str">
            <v>O.13.000.060243</v>
          </cell>
          <cell r="B1815" t="str">
            <v>Meia cana de concreto DN= 600mm</v>
          </cell>
          <cell r="C1815" t="str">
            <v>M</v>
          </cell>
          <cell r="D1815">
            <v>86.56</v>
          </cell>
        </row>
        <row r="1816">
          <cell r="A1816" t="str">
            <v>O.13.000.060246</v>
          </cell>
          <cell r="B1816" t="str">
            <v>Tampa pré moldada de concreto, diâmetro externo de 2,50m, com 2 aberturas de inspeção (para fossa séptica)</v>
          </cell>
          <cell r="C1816" t="str">
            <v>UN</v>
          </cell>
          <cell r="D1816">
            <v>917.79</v>
          </cell>
        </row>
        <row r="1817">
          <cell r="A1817" t="str">
            <v>O.13.000.060250</v>
          </cell>
          <cell r="B1817" t="str">
            <v>Tampão pré moldado de concreto armado, diâmetro externo de 2,00 m, com 1 inspeção 0,60 cm se necessário (para sumidouro)</v>
          </cell>
          <cell r="C1817" t="str">
            <v>UN</v>
          </cell>
          <cell r="D1817">
            <v>630.33000000000004</v>
          </cell>
        </row>
        <row r="1818">
          <cell r="A1818" t="str">
            <v>O.13.000.060251</v>
          </cell>
          <cell r="B1818" t="str">
            <v>Anel pré moldado em concreto armado, liso ou perfurado, diâmetro externo de 2,0 m, h= 0,50 m</v>
          </cell>
          <cell r="C1818" t="str">
            <v>UN</v>
          </cell>
          <cell r="D1818">
            <v>619.41</v>
          </cell>
        </row>
        <row r="1819">
          <cell r="A1819" t="str">
            <v>O.13.000.091172</v>
          </cell>
          <cell r="B1819" t="str">
            <v>Anel pré moldado em concreto, diâmetro externo de 3,00 m, h= 0,50 m</v>
          </cell>
          <cell r="C1819" t="str">
            <v>UN</v>
          </cell>
          <cell r="D1819">
            <v>1076.7</v>
          </cell>
        </row>
        <row r="1820">
          <cell r="A1820" t="str">
            <v>O.13.000.091262</v>
          </cell>
          <cell r="B1820" t="str">
            <v>Tubo de concreto (PA-2) DN= 1500mm</v>
          </cell>
          <cell r="C1820" t="str">
            <v>M</v>
          </cell>
          <cell r="D1820">
            <v>1078.3900000000001</v>
          </cell>
        </row>
        <row r="1821">
          <cell r="A1821" t="str">
            <v>O.15.000.062636</v>
          </cell>
          <cell r="B1821" t="str">
            <v>Purificador de pressão elétrico, chapa eletrozincado e tampo em aço inoxidável 304 escovado e ralo sifonado, capac. de água gelada 2,75 L/h; sistema duplo de filtração integrado com filtros Pré C+3 e C+5; ref. PDF 100 da IBBL ou equivalente</v>
          </cell>
          <cell r="C1821" t="str">
            <v>UN</v>
          </cell>
          <cell r="D1821">
            <v>2872.7</v>
          </cell>
        </row>
        <row r="1822">
          <cell r="A1822" t="str">
            <v>O.15.000.062637</v>
          </cell>
          <cell r="B1822" t="str">
            <v>Purificador de pressão elétrico, chapa eletrozincado, tampo aço inoxidável 304 escovado e ralo sifonado, c/2 torneiras, capac. de água gelada 7,2 L/h; sistema duplo de filtração integrado c/filtros Pré C+3 e C+5; ref. PDF 300-2T IBBL ou equivalente</v>
          </cell>
          <cell r="C1822" t="str">
            <v>UN</v>
          </cell>
          <cell r="D1822">
            <v>3852.21</v>
          </cell>
        </row>
        <row r="1823">
          <cell r="A1823" t="str">
            <v>O.15.000.062638</v>
          </cell>
          <cell r="B1823" t="str">
            <v>Purificador de pressão elétrico em chapa eletrozincado e tampo em aço inoxidável 304, com 2 torneiras em latão cromado, capacidade de refrigeração de 2 l/h - simples; ref. Puripress 40 da IBBL, BRX40 da Begel ou equivalente</v>
          </cell>
          <cell r="C1823" t="str">
            <v>UN</v>
          </cell>
          <cell r="D1823">
            <v>1305.57</v>
          </cell>
        </row>
        <row r="1824">
          <cell r="A1824" t="str">
            <v>O.15.000.062639</v>
          </cell>
          <cell r="B1824" t="str">
            <v>Purificador de pressão elétrico em chapa eletrozincado, tampo em aço inoxidável 304, com 3 torneiras de pressão em latão cromado, capacidade de refrigeração 2 l/h - conjugado; ref. Puripress 40C da IBBL, CJ40 da Begel ou equivalente</v>
          </cell>
          <cell r="C1824" t="str">
            <v>UN</v>
          </cell>
          <cell r="D1824">
            <v>1671.81</v>
          </cell>
        </row>
        <row r="1825">
          <cell r="A1825" t="str">
            <v>O.15.000.064071</v>
          </cell>
          <cell r="B1825" t="str">
            <v>Purgador termodinâmico com filtro incorporado, em aço inoxidável forjado, pressão de 0,25 a 42kg/cm², temperatura até 425°C, DN= 1/2´</v>
          </cell>
          <cell r="C1825" t="str">
            <v>UN</v>
          </cell>
          <cell r="D1825">
            <v>596.25</v>
          </cell>
        </row>
        <row r="1826">
          <cell r="A1826" t="str">
            <v>O.15.000.065503</v>
          </cell>
          <cell r="B1826" t="str">
            <v>Cuba em aço inoxidável dupla de 1020x400x250mm, AISI 304, liga 18,8 e chapa 22</v>
          </cell>
          <cell r="C1826" t="str">
            <v>UN</v>
          </cell>
          <cell r="D1826">
            <v>934.05</v>
          </cell>
        </row>
        <row r="1827">
          <cell r="A1827" t="str">
            <v>O.15.000.065521</v>
          </cell>
          <cell r="B1827" t="str">
            <v>Tanque em aço inoxidável, 60 x 60 x 30 / 64 x 53 x 28 cm</v>
          </cell>
          <cell r="C1827" t="str">
            <v>UN</v>
          </cell>
          <cell r="D1827">
            <v>1126.98</v>
          </cell>
        </row>
        <row r="1828">
          <cell r="A1828" t="str">
            <v>O.15.000.065565</v>
          </cell>
          <cell r="B1828" t="str">
            <v>Mictório coletivo em aço inoxidável AISI 304, liga 18,8, bitola 20, desenvolvimento 750 mm</v>
          </cell>
          <cell r="C1828" t="str">
            <v>M</v>
          </cell>
          <cell r="D1828">
            <v>779.53</v>
          </cell>
        </row>
        <row r="1829">
          <cell r="A1829" t="str">
            <v>O.15.000.065603</v>
          </cell>
          <cell r="B1829" t="str">
            <v>Cuba em aço inoxidável simples de 500x400x200mm, AISI 304, liga 18,8 e chapa 22</v>
          </cell>
          <cell r="C1829" t="str">
            <v>UN</v>
          </cell>
          <cell r="D1829">
            <v>348.41</v>
          </cell>
        </row>
        <row r="1830">
          <cell r="A1830" t="str">
            <v>O.15.000.065605</v>
          </cell>
          <cell r="B1830" t="str">
            <v>Cuba em aço inoxidável simples de 465x300x140mm, AISI 304, liga 18,8 e chapa 22</v>
          </cell>
          <cell r="C1830" t="str">
            <v>UN</v>
          </cell>
          <cell r="D1830">
            <v>269.98</v>
          </cell>
        </row>
        <row r="1831">
          <cell r="A1831" t="str">
            <v>O.15.000.065606</v>
          </cell>
          <cell r="B1831" t="str">
            <v>Cuba em aço inoxidável simples de 400x340x140mm, AISI 304, liga 18,8 e chapa 22</v>
          </cell>
          <cell r="C1831" t="str">
            <v>UN</v>
          </cell>
          <cell r="D1831">
            <v>246.41</v>
          </cell>
        </row>
        <row r="1832">
          <cell r="A1832" t="str">
            <v>O.15.000.065607</v>
          </cell>
          <cell r="B1832" t="str">
            <v>Cuba em aço inoxidável dupla de 835x340x140mm, AISI 304, liga 18,8 e chapa 22</v>
          </cell>
          <cell r="C1832" t="str">
            <v>UN</v>
          </cell>
          <cell r="D1832">
            <v>742.02</v>
          </cell>
        </row>
        <row r="1833">
          <cell r="A1833" t="str">
            <v>O.15.000.065608</v>
          </cell>
          <cell r="B1833" t="str">
            <v>Cuba em aço inoxidável simples de 560x330x140mm, AISI 304, liga 18,8 e chapa 22</v>
          </cell>
          <cell r="C1833" t="str">
            <v>UN</v>
          </cell>
          <cell r="D1833">
            <v>413.85</v>
          </cell>
        </row>
        <row r="1834">
          <cell r="A1834" t="str">
            <v>O.15.000.065609</v>
          </cell>
          <cell r="B1834" t="str">
            <v>Cuba em aço inoxidável dupla de 715x400x140mm, AISI 304, liga 18,8 e chapa 22</v>
          </cell>
          <cell r="C1834" t="str">
            <v>UN</v>
          </cell>
          <cell r="D1834">
            <v>746.44</v>
          </cell>
        </row>
        <row r="1835">
          <cell r="A1835" t="str">
            <v>O.15.000.065611</v>
          </cell>
          <cell r="B1835" t="str">
            <v>Cuba em aço inoxidável simples de 600x500x350mm, AISI 304, liga 18,8 e chapa 20</v>
          </cell>
          <cell r="C1835" t="str">
            <v>UN</v>
          </cell>
          <cell r="D1835">
            <v>1361.85</v>
          </cell>
        </row>
        <row r="1836">
          <cell r="A1836" t="str">
            <v>O.15.000.065616</v>
          </cell>
          <cell r="B1836" t="str">
            <v>Cuba em aço inoxidável simples de 1100x600x400mm, AISI-304, liga 18,8 e chapa 20</v>
          </cell>
          <cell r="C1836" t="str">
            <v>UN</v>
          </cell>
          <cell r="D1836">
            <v>2123.92</v>
          </cell>
        </row>
        <row r="1837">
          <cell r="A1837" t="str">
            <v>O.15.000.065617</v>
          </cell>
          <cell r="B1837" t="str">
            <v>Mesa em aço inoxidável, largura de 700 mm</v>
          </cell>
          <cell r="C1837" t="str">
            <v>M</v>
          </cell>
          <cell r="D1837">
            <v>2559.5500000000002</v>
          </cell>
        </row>
        <row r="1838">
          <cell r="A1838" t="str">
            <v>O.15.000.065619</v>
          </cell>
          <cell r="B1838" t="str">
            <v>Cuba em aço inoxidável simples de 500x400x250mm, AISI 304, liga 18,8 e chapa 22, acabamento alto brilhante; ref.314 da Strake, Projinox ou equivalente</v>
          </cell>
          <cell r="C1838" t="str">
            <v>UN</v>
          </cell>
          <cell r="D1838">
            <v>410.14</v>
          </cell>
        </row>
        <row r="1839">
          <cell r="A1839" t="str">
            <v>O.15.000.065620</v>
          </cell>
          <cell r="B1839" t="str">
            <v>Cuba em aço inoxidável simples de 500x400x300mm, AISI 304, liga 18,8 e chapa 22</v>
          </cell>
          <cell r="C1839" t="str">
            <v>UN</v>
          </cell>
          <cell r="D1839">
            <v>661.48</v>
          </cell>
        </row>
        <row r="1840">
          <cell r="A1840" t="str">
            <v>O.15.000.065622</v>
          </cell>
          <cell r="B1840" t="str">
            <v>Cuba em aço inoxidável simples de 700x600x450mm, AISI 304, liga 18,8 e chapa 22</v>
          </cell>
          <cell r="C1840" t="str">
            <v>UN</v>
          </cell>
          <cell r="D1840">
            <v>1526.87</v>
          </cell>
        </row>
        <row r="1841">
          <cell r="A1841" t="str">
            <v>O.15.000.065666</v>
          </cell>
          <cell r="B1841" t="str">
            <v>Cuba de aço inoxidável simples de 500 x 400 x 400mm</v>
          </cell>
          <cell r="C1841" t="str">
            <v>UN</v>
          </cell>
          <cell r="D1841">
            <v>965.27</v>
          </cell>
        </row>
        <row r="1842">
          <cell r="A1842" t="str">
            <v>O.15.000.065670</v>
          </cell>
          <cell r="B1842" t="str">
            <v>Tanque tipo cuba em aço inoxidável AISI 304, liga 18.8, de 1400 x 900 x 500 mm, acabamento polido, espessura de 1,2 a 1,5mm</v>
          </cell>
          <cell r="C1842" t="str">
            <v>UN</v>
          </cell>
          <cell r="D1842">
            <v>4825.75</v>
          </cell>
        </row>
        <row r="1843">
          <cell r="A1843" t="str">
            <v>O.15.000.065785</v>
          </cell>
          <cell r="B1843" t="str">
            <v>Cuba redonda em aço inoxidável AISI 304, de 300x140mm; ref. linha BL-30 Perfecta da Tramontina ou equivalente</v>
          </cell>
          <cell r="C1843" t="str">
            <v>UN</v>
          </cell>
          <cell r="D1843">
            <v>195.29</v>
          </cell>
        </row>
        <row r="1844">
          <cell r="A1844" t="str">
            <v>O.15.000.067555</v>
          </cell>
          <cell r="B1844" t="str">
            <v>Grelha com calha e cesto coletor para piso, em aço inoxidável AISI 304, largura de 15cm</v>
          </cell>
          <cell r="C1844" t="str">
            <v>M</v>
          </cell>
          <cell r="D1844">
            <v>1029.8900000000001</v>
          </cell>
        </row>
        <row r="1845">
          <cell r="A1845" t="str">
            <v>O.15.000.067556</v>
          </cell>
          <cell r="B1845" t="str">
            <v>Grelha com calha e cesto coletor para piso, em aço inoxidável AISI 304, com 20cm de largura</v>
          </cell>
          <cell r="C1845" t="str">
            <v>M</v>
          </cell>
          <cell r="D1845">
            <v>1020.28</v>
          </cell>
        </row>
        <row r="1846">
          <cell r="A1846" t="str">
            <v>O.15.000.090259</v>
          </cell>
          <cell r="B1846" t="str">
            <v>Lavatório coletivo de aço inoxidável AISI 304 chapa 20 (1,0mm) - (200 x 80) cm</v>
          </cell>
          <cell r="C1846" t="str">
            <v>M</v>
          </cell>
          <cell r="D1846">
            <v>2301.14</v>
          </cell>
        </row>
        <row r="1847">
          <cell r="A1847" t="str">
            <v>O.15.000.090556</v>
          </cell>
          <cell r="B1847" t="str">
            <v>Cesto em chapa de aço inoxidável de 28 x 40 x 20 cm, espessura de 1,5 mm, com furo 1/2´</v>
          </cell>
          <cell r="C1847" t="str">
            <v>UN</v>
          </cell>
          <cell r="D1847">
            <v>964.77</v>
          </cell>
        </row>
        <row r="1848">
          <cell r="A1848" t="str">
            <v>O.15.000.094216</v>
          </cell>
          <cell r="B1848" t="str">
            <v>Tanque duplo com pés tubulares em aço inoxidável com válvula americana de 3 1/2´ - 1600x700x850mm</v>
          </cell>
          <cell r="C1848" t="str">
            <v>UN</v>
          </cell>
          <cell r="D1848">
            <v>5902.29</v>
          </cell>
        </row>
        <row r="1849">
          <cell r="A1849" t="str">
            <v>O.16.000.030539</v>
          </cell>
          <cell r="B1849" t="str">
            <v>Acionador manual tipo quebra vidro endereçável, ref. Ascael ou equivalente</v>
          </cell>
          <cell r="C1849" t="str">
            <v>UN</v>
          </cell>
          <cell r="D1849">
            <v>179.81</v>
          </cell>
        </row>
        <row r="1850">
          <cell r="A1850" t="str">
            <v>O.16.000.063526</v>
          </cell>
          <cell r="B1850" t="str">
            <v>Abrigo duplo para hidrante/mangueira, de 120x90x30cm, visor em vidro com a inscrição ´INCÊNDIO´ em ambas as portas e suportes para mangueiras</v>
          </cell>
          <cell r="C1850" t="str">
            <v>UN</v>
          </cell>
          <cell r="D1850">
            <v>1011.18</v>
          </cell>
        </row>
        <row r="1851">
          <cell r="A1851" t="str">
            <v>O.16.000.063527</v>
          </cell>
          <cell r="B1851" t="str">
            <v>Coluna hidrante T4´ x 2 1/2´, alt. 1,0m SCH40 com flange</v>
          </cell>
          <cell r="C1851" t="str">
            <v>UN</v>
          </cell>
          <cell r="D1851">
            <v>2193.42</v>
          </cell>
        </row>
        <row r="1852">
          <cell r="A1852" t="str">
            <v>O.16.000.063528</v>
          </cell>
          <cell r="B1852" t="str">
            <v>Tampão de engate rápido em latão, Storz de 2 1/2´</v>
          </cell>
          <cell r="C1852" t="str">
            <v>UN</v>
          </cell>
          <cell r="D1852">
            <v>116.13</v>
          </cell>
        </row>
        <row r="1853">
          <cell r="A1853" t="str">
            <v>O.16.000.063529</v>
          </cell>
          <cell r="B1853" t="str">
            <v>Tampão de engate rápido em latão, Storz de 1 1/2´</v>
          </cell>
          <cell r="C1853" t="str">
            <v>UN</v>
          </cell>
          <cell r="D1853">
            <v>80.66</v>
          </cell>
        </row>
        <row r="1854">
          <cell r="A1854" t="str">
            <v>O.16.000.063555</v>
          </cell>
          <cell r="B1854" t="str">
            <v>Chave tipo Storz dupla em latão de alta densidade e resistência, de Ø 1 1/2´ ou 2 1/2´</v>
          </cell>
          <cell r="C1854" t="str">
            <v>UN</v>
          </cell>
          <cell r="D1854">
            <v>17.940000000000001</v>
          </cell>
        </row>
        <row r="1855">
          <cell r="A1855" t="str">
            <v>O.16.000.064217</v>
          </cell>
          <cell r="B1855" t="str">
            <v>Válvula de governo e alarme VGA, completa DN= 6´ - extremidade flangeada</v>
          </cell>
          <cell r="C1855" t="str">
            <v>UN</v>
          </cell>
          <cell r="D1855">
            <v>7868.7</v>
          </cell>
        </row>
        <row r="1856">
          <cell r="A1856" t="str">
            <v>O.16.000.067001</v>
          </cell>
          <cell r="B1856" t="str">
            <v>AH-02/03 abrigo hidrante 60x90x17cm, em chapa de ferro N° 20, com visor de vidro, inclusive ferragens e trinco</v>
          </cell>
          <cell r="C1856" t="str">
            <v>UN</v>
          </cell>
          <cell r="D1856">
            <v>395.68</v>
          </cell>
        </row>
        <row r="1857">
          <cell r="A1857" t="str">
            <v>O.16.000.067008</v>
          </cell>
          <cell r="B1857" t="str">
            <v>Abrigo para hidrante de recalque em chapa de aço 40x40x20cm, com pintura eletrostática, de embutir e fixação interno</v>
          </cell>
          <cell r="C1857" t="str">
            <v>UN</v>
          </cell>
          <cell r="D1857">
            <v>142.72</v>
          </cell>
        </row>
        <row r="1858">
          <cell r="A1858" t="str">
            <v>O.16.000.067009</v>
          </cell>
          <cell r="B1858" t="str">
            <v>Adaptador de engate rápido em latão 2 1/2´ x 1 1/2´</v>
          </cell>
          <cell r="C1858" t="str">
            <v>UN</v>
          </cell>
          <cell r="D1858">
            <v>66.38</v>
          </cell>
        </row>
        <row r="1859">
          <cell r="A1859" t="str">
            <v>O.16.000.067010</v>
          </cell>
          <cell r="B1859" t="str">
            <v>Extintor manual de pó químico seco BC, capacidade de 4 kg com carga</v>
          </cell>
          <cell r="C1859" t="str">
            <v>UN</v>
          </cell>
          <cell r="D1859">
            <v>162.71</v>
          </cell>
        </row>
        <row r="1860">
          <cell r="A1860" t="str">
            <v>O.16.000.067011</v>
          </cell>
          <cell r="B1860" t="str">
            <v>Extintor manual de água pressurizada capacidade de 10 litros</v>
          </cell>
          <cell r="C1860" t="str">
            <v>UN</v>
          </cell>
          <cell r="D1860">
            <v>182.66</v>
          </cell>
        </row>
        <row r="1861">
          <cell r="A1861" t="str">
            <v>O.16.000.067013</v>
          </cell>
          <cell r="B1861" t="str">
            <v>Extintor manual sobre rodas de gás carbônico, capacidade de 10 kg com carga</v>
          </cell>
          <cell r="C1861" t="str">
            <v>UN</v>
          </cell>
          <cell r="D1861">
            <v>1558.15</v>
          </cell>
        </row>
        <row r="1862">
          <cell r="A1862" t="str">
            <v>O.16.000.067015</v>
          </cell>
          <cell r="B1862" t="str">
            <v>Extintor manual de pó químico seco BC, capacidade de 8 kg com carga</v>
          </cell>
          <cell r="C1862" t="str">
            <v>UN</v>
          </cell>
          <cell r="D1862">
            <v>224.3</v>
          </cell>
        </row>
        <row r="1863">
          <cell r="A1863" t="str">
            <v>O.16.000.067017</v>
          </cell>
          <cell r="B1863" t="str">
            <v>Extintor manual de pó químico seco 20 BC, capacidade de 12 kg com carga</v>
          </cell>
          <cell r="C1863" t="str">
            <v>UN</v>
          </cell>
          <cell r="D1863">
            <v>260.38</v>
          </cell>
        </row>
        <row r="1864">
          <cell r="A1864" t="str">
            <v>O.16.000.067018</v>
          </cell>
          <cell r="B1864" t="str">
            <v>Extintor sobre rodas de pó químico seco 30/40BC - capacidade de 20 kg; ref. 417 da Zeus do Brasil, Firex, MP-20 da Bucka, Munhoz, KB-P20BCK95 da Kidde ou equivalente</v>
          </cell>
          <cell r="C1864" t="str">
            <v>UN</v>
          </cell>
          <cell r="D1864">
            <v>1675.69</v>
          </cell>
        </row>
        <row r="1865">
          <cell r="A1865" t="str">
            <v>O.16.000.067022</v>
          </cell>
          <cell r="B1865" t="str">
            <v>Mangueira com adaptador 1 1/2" x 15m, com reforço têxtil em fios sintéticos de alta tenacidade, conforme norma ABNT-NBR 11861</v>
          </cell>
          <cell r="C1865" t="str">
            <v>UN</v>
          </cell>
          <cell r="D1865">
            <v>361.21</v>
          </cell>
        </row>
        <row r="1866">
          <cell r="A1866" t="str">
            <v>O.16.000.067023</v>
          </cell>
          <cell r="B1866" t="str">
            <v>Mangueira com união de engate rápido, diâmetro 1.1/2", com reforço têxtil em fios sintéticos de alta tenacidade, conforme norma ABNT-NBR 11861</v>
          </cell>
          <cell r="C1866" t="str">
            <v>M</v>
          </cell>
          <cell r="D1866">
            <v>19.87</v>
          </cell>
        </row>
        <row r="1867">
          <cell r="A1867" t="str">
            <v>O.16.000.067024</v>
          </cell>
          <cell r="B1867" t="str">
            <v>Mangueira com união de engate rápido, diâmetro 2.1/2", com reforço têxtil em fios sintéticos de alta tenacidade, conforme norma ABNT-NBR 11861</v>
          </cell>
          <cell r="C1867" t="str">
            <v>M</v>
          </cell>
          <cell r="D1867">
            <v>28.12</v>
          </cell>
        </row>
        <row r="1868">
          <cell r="A1868" t="str">
            <v>O.16.000.067026</v>
          </cell>
          <cell r="B1868" t="str">
            <v>Mangueira com adaptador 2 1/2" x 15m, com reforço têxtil em fios sintéticos de alta tenacidade, conforme norma ABNT-NBR 11861</v>
          </cell>
          <cell r="C1868" t="str">
            <v>UN</v>
          </cell>
          <cell r="D1868">
            <v>605.42999999999995</v>
          </cell>
        </row>
        <row r="1869">
          <cell r="A1869" t="str">
            <v>O.16.000.067027</v>
          </cell>
          <cell r="B1869" t="str">
            <v>Adaptador de engate rápido em latão 2 1/2´ x 2 1/2´</v>
          </cell>
          <cell r="C1869" t="str">
            <v>UN</v>
          </cell>
          <cell r="D1869">
            <v>94.35</v>
          </cell>
        </row>
        <row r="1870">
          <cell r="A1870" t="str">
            <v>O.16.000.067031</v>
          </cell>
          <cell r="B1870" t="str">
            <v>Esguicho em latão polido com engate rápido, jato regulável, DN= 1 1/2´ (38 mm), ref. Tata, Chama, Kasti, Aerotex extintores, Mecânica Reunida ou equivalente</v>
          </cell>
          <cell r="C1870" t="str">
            <v>UN</v>
          </cell>
          <cell r="D1870">
            <v>163.75</v>
          </cell>
        </row>
        <row r="1871">
          <cell r="A1871" t="str">
            <v>O.16.000.067042</v>
          </cell>
          <cell r="B1871" t="str">
            <v>Recarga de extintor de pó químico seco</v>
          </cell>
          <cell r="C1871" t="str">
            <v>KG</v>
          </cell>
          <cell r="D1871">
            <v>9.32</v>
          </cell>
        </row>
        <row r="1872">
          <cell r="A1872" t="str">
            <v>O.16.000.067043</v>
          </cell>
          <cell r="B1872" t="str">
            <v>Recarga de extintor de gás carbônico</v>
          </cell>
          <cell r="C1872" t="str">
            <v>KG</v>
          </cell>
          <cell r="D1872">
            <v>15.31</v>
          </cell>
        </row>
        <row r="1873">
          <cell r="A1873" t="str">
            <v>O.16.000.067044</v>
          </cell>
          <cell r="B1873" t="str">
            <v>Recarga de extintor de água pressurizada</v>
          </cell>
          <cell r="C1873" t="str">
            <v>L</v>
          </cell>
          <cell r="D1873">
            <v>2.84</v>
          </cell>
        </row>
        <row r="1874">
          <cell r="A1874" t="str">
            <v>O.16.000.067047</v>
          </cell>
          <cell r="B1874" t="str">
            <v>Teste hidrostático e pintura de extintor CO2/PQS/H2O, acima 12kg até 20kg</v>
          </cell>
          <cell r="C1874" t="str">
            <v>UN</v>
          </cell>
          <cell r="D1874">
            <v>36.17</v>
          </cell>
        </row>
        <row r="1875">
          <cell r="A1875" t="str">
            <v>O.16.000.067048</v>
          </cell>
          <cell r="B1875" t="str">
            <v>Teste hidrostático e pintura de extintor CO2/PQS/H2O até 12kg</v>
          </cell>
          <cell r="C1875" t="str">
            <v>UN</v>
          </cell>
          <cell r="D1875">
            <v>27.52</v>
          </cell>
        </row>
        <row r="1876">
          <cell r="A1876" t="str">
            <v>O.16.000.067055</v>
          </cell>
          <cell r="B1876" t="str">
            <v>Esguicho em latão polido com engate rápido, jato regulável de 2 1/2´</v>
          </cell>
          <cell r="C1876" t="str">
            <v>UN</v>
          </cell>
          <cell r="D1876">
            <v>232.45</v>
          </cell>
        </row>
        <row r="1877">
          <cell r="A1877" t="str">
            <v>O.16.000.067067</v>
          </cell>
          <cell r="B1877" t="str">
            <v>Extintor sobre rodas de gás carbônico - capacidade de 25 kg com carga</v>
          </cell>
          <cell r="C1877" t="str">
            <v>UN</v>
          </cell>
          <cell r="D1877">
            <v>5778.96</v>
          </cell>
        </row>
        <row r="1878">
          <cell r="A1878" t="str">
            <v>O.16.000.067071</v>
          </cell>
          <cell r="B1878" t="str">
            <v>Extintor manual de pó químico classes ABC, capacidade de 4 kg, ref. 1-A NBR 9443 e 10-B NBR 9444 com carga</v>
          </cell>
          <cell r="C1878" t="str">
            <v>UN</v>
          </cell>
          <cell r="D1878">
            <v>162.13</v>
          </cell>
        </row>
        <row r="1879">
          <cell r="A1879" t="str">
            <v>O.16.000.067072</v>
          </cell>
          <cell r="B1879" t="str">
            <v>Extintor manual de pó químico seco classes ABC, capacidade de 6 kg, ref. 2-A NBR 9443 e 20-B NBR 9444 com carga</v>
          </cell>
          <cell r="C1879" t="str">
            <v>UN</v>
          </cell>
          <cell r="D1879">
            <v>226.95</v>
          </cell>
        </row>
        <row r="1880">
          <cell r="A1880" t="str">
            <v>O.16.000.067078</v>
          </cell>
          <cell r="B1880" t="str">
            <v>Bico de sprinkler resposta rápida, posição para cima, fator K80(SI), diâmetro da rosca 1/2", temperatura nomial 68°C, acabamento cromado ou natural; certificações ABNT e ULBR</v>
          </cell>
          <cell r="C1880" t="str">
            <v>UN</v>
          </cell>
          <cell r="D1880">
            <v>28.34</v>
          </cell>
        </row>
        <row r="1881">
          <cell r="A1881" t="str">
            <v>O.16.000.067079</v>
          </cell>
          <cell r="B1881" t="str">
            <v>Extintor manual de gás carbônico de 06 kg, capacidade extintora 5BC</v>
          </cell>
          <cell r="C1881" t="str">
            <v>UN</v>
          </cell>
          <cell r="D1881">
            <v>625.94000000000005</v>
          </cell>
        </row>
        <row r="1882">
          <cell r="A1882" t="str">
            <v>O.16.000.067303</v>
          </cell>
          <cell r="B1882" t="str">
            <v>Suporte de piso para extintor em fibra de vidro cor vermelha; referência comercial n° 13 da Gilfire, Comercial Fire, Evolumix, Metalcasty, Brinox, Protege ou equivalente</v>
          </cell>
          <cell r="C1882" t="str">
            <v>UN</v>
          </cell>
          <cell r="D1882">
            <v>225.05</v>
          </cell>
        </row>
        <row r="1883">
          <cell r="A1883" t="str">
            <v>O.16.000.067304</v>
          </cell>
          <cell r="B1883" t="str">
            <v>Suporte de piso para extintor base redonda em aço inoxidável, ref. n° 10 da Gilfire, modelo Torre da Protexfire, Comercial Fire, Evolumix, Metalcasty, Brinox, Protege ou equivalente</v>
          </cell>
          <cell r="C1883" t="str">
            <v>UN</v>
          </cell>
          <cell r="D1883">
            <v>298.51</v>
          </cell>
        </row>
        <row r="1884">
          <cell r="A1884" t="str">
            <v>O.16.000.090629</v>
          </cell>
          <cell r="B1884" t="str">
            <v>Acionador manual tipo quebra vidro em caixa plástica, ref. AC-01FCS da Maximus, ou  AM-1 / AM-2 ou AM-1/PT da Renglan ou equivalente</v>
          </cell>
          <cell r="C1884" t="str">
            <v>UN</v>
          </cell>
          <cell r="D1884">
            <v>78.94</v>
          </cell>
        </row>
        <row r="1885">
          <cell r="A1885" t="str">
            <v>O.16.000.091292</v>
          </cell>
          <cell r="B1885" t="str">
            <v>Bico de sprinkler resposta rápida, posição pendente, fator K80(SI), diâmetro da rosca 1/2", temperatura nomial 68°C, acabamento cromado ou natural; certificações ABNT e ULBR</v>
          </cell>
          <cell r="C1885" t="str">
            <v>UN</v>
          </cell>
          <cell r="D1885">
            <v>26.41</v>
          </cell>
        </row>
        <row r="1886">
          <cell r="A1886" t="str">
            <v>O.17.000.042431</v>
          </cell>
          <cell r="B1886" t="str">
            <v>Pressostato diferencial ajustável mecânico, montagem inferior diâmetro 1/2" e/ou 1/4", faixa de operação até 16 bar; ref. modelo UT16 da Zurich, série UT16 da Waaree Instruments, WLF-5516 da Warme ou equivalente</v>
          </cell>
          <cell r="C1886" t="str">
            <v>UN</v>
          </cell>
          <cell r="D1886">
            <v>493.56</v>
          </cell>
        </row>
        <row r="1887">
          <cell r="A1887" t="str">
            <v>O.17.000.042479</v>
          </cell>
          <cell r="B1887" t="str">
            <v>Termômetro bimetálico mostrador tipo relógio circular, com diâmetro de 4´, escala de 0°C até 100°C; referência 11/700 Salvi, 100.394 Prostec, Woler ou equivalente</v>
          </cell>
          <cell r="C1887" t="str">
            <v>UN</v>
          </cell>
          <cell r="D1887">
            <v>204.03</v>
          </cell>
        </row>
        <row r="1888">
          <cell r="A1888" t="str">
            <v>O.17.000.047501</v>
          </cell>
          <cell r="B1888" t="str">
            <v>Aquecedor a gás vertical/horizontal 300 l, revestimento interno em aço inoxidável AISI 304, isolamento em lã de vidro, ref. modelo GV 300 da Etna ou equivalente</v>
          </cell>
          <cell r="C1888" t="str">
            <v>UN</v>
          </cell>
          <cell r="D1888">
            <v>39849.949999999997</v>
          </cell>
        </row>
        <row r="1889">
          <cell r="A1889" t="str">
            <v>O.17.000.047524</v>
          </cell>
          <cell r="B1889" t="str">
            <v>Aquecedor a gás vertical/horizontal 500 l, revestimento interno em aço inoxidável AISI 304, revestimento externo em aço carbono pintado, isolamento em lã de vidro; ref. modelo GL-500 da Etna ou equivalente</v>
          </cell>
          <cell r="C1889" t="str">
            <v>UN</v>
          </cell>
          <cell r="D1889">
            <v>43145.8</v>
          </cell>
        </row>
        <row r="1890">
          <cell r="A1890" t="str">
            <v>O.17.000.047588</v>
          </cell>
          <cell r="B1890" t="str">
            <v>Conjunto misturador para até 8 duchas, com 1 aquecedor REU304UBRS de 35,5L/min., 1 válvulas, 1 bomba, 1 quadro comando, ref. SME-1 Rinnai ou equivalente - instalado</v>
          </cell>
          <cell r="C1890" t="str">
            <v>CJ</v>
          </cell>
          <cell r="D1890">
            <v>20877.580000000002</v>
          </cell>
        </row>
        <row r="1891">
          <cell r="A1891" t="str">
            <v>O.17.000.047589</v>
          </cell>
          <cell r="B1891" t="str">
            <v>Conjunto misturador para até 4 duchas, com 1 aquecedor  de 35,5l/min., 1 válvula, 1 bomba e 1 quadro comando; ref. REU-2802 FEC da Rinnai, Komeco 46DI Primi ou equivalente - instalado</v>
          </cell>
          <cell r="C1891" t="str">
            <v>CJ</v>
          </cell>
          <cell r="D1891">
            <v>16122.48</v>
          </cell>
        </row>
        <row r="1892">
          <cell r="A1892" t="str">
            <v>O.17.000.047606</v>
          </cell>
          <cell r="B1892" t="str">
            <v>Coletor solar de alumínio com área coletora de 1,60m²; ref. Soletrol Max 1,60m² ou equivalente</v>
          </cell>
          <cell r="C1892" t="str">
            <v>UN</v>
          </cell>
          <cell r="D1892">
            <v>1260.8800000000001</v>
          </cell>
        </row>
        <row r="1893">
          <cell r="A1893" t="str">
            <v>O.17.000.047607</v>
          </cell>
          <cell r="B1893" t="str">
            <v>Coletor solar de alumínio com área coletora de 2,00m²; ref. Soletrol Max 2,00m² ou equivalente</v>
          </cell>
          <cell r="C1893" t="str">
            <v>UN</v>
          </cell>
          <cell r="D1893">
            <v>1852.11</v>
          </cell>
        </row>
        <row r="1894">
          <cell r="A1894" t="str">
            <v>O.17.000.047608</v>
          </cell>
          <cell r="B1894" t="str">
            <v>Controlador diferencial de temperatura digital, para sistema de aquecimento solar, versão 4; ref. 115/230 da Anasol ou equivalente</v>
          </cell>
          <cell r="C1894" t="str">
            <v>UN</v>
          </cell>
          <cell r="D1894">
            <v>209.38</v>
          </cell>
        </row>
        <row r="1895">
          <cell r="A1895" t="str">
            <v>O.17.000.047609</v>
          </cell>
          <cell r="B1895" t="str">
            <v>Bomba de circulação para aquecimento solar, ref. GP 100C da Inova ou equivalente</v>
          </cell>
          <cell r="C1895" t="str">
            <v>UN</v>
          </cell>
          <cell r="D1895">
            <v>609.46</v>
          </cell>
        </row>
        <row r="1896">
          <cell r="A1896" t="str">
            <v>O.17.000.047613</v>
          </cell>
          <cell r="B1896" t="str">
            <v>Reservatório térmico horizontal em aço inoxidável AISI 304, capacidade de 500 litros, ref. Max Inox da Soletrol ou equivalente</v>
          </cell>
          <cell r="C1896" t="str">
            <v>UN</v>
          </cell>
          <cell r="D1896">
            <v>3516.53</v>
          </cell>
        </row>
        <row r="1897">
          <cell r="A1897" t="str">
            <v>O.17.000.064177</v>
          </cell>
          <cell r="B1897" t="str">
            <v>Pressostato diferencial ajustável, caixa à prova de água, unidade sensora em aço inoxidável 316, faixa de operação entre 1,4 a 14 bar, para fluídos corrosivos, conexão diâmetro 1/2´ NPT; ref. a unidade interruptora PA11B e unidade sensora RG10A44BX - TPL</v>
          </cell>
          <cell r="C1897" t="str">
            <v>UN</v>
          </cell>
          <cell r="D1897">
            <v>13308.16</v>
          </cell>
        </row>
        <row r="1898">
          <cell r="A1898" t="str">
            <v>O.17.000.090732</v>
          </cell>
          <cell r="B1898" t="str">
            <v>Aquecedor de passagem elétrico individual 4T, baixa pressão, 5000 W / 127 V ou 6400 W / 220 V; ref. AQ249-1 (124V) ou AQ249-2 (220V) da Cardal ou equivalente</v>
          </cell>
          <cell r="C1898" t="str">
            <v>UN</v>
          </cell>
          <cell r="D1898">
            <v>595.38</v>
          </cell>
        </row>
        <row r="1899">
          <cell r="A1899" t="str">
            <v>O.18.000.065001</v>
          </cell>
          <cell r="B1899" t="str">
            <v>Reservatório em polietileno com tampa, capacidade de 1.000 litros; ref. Acqualimp, Fortlev, Tigre, Amanco ou equivalente</v>
          </cell>
          <cell r="C1899" t="str">
            <v>UN</v>
          </cell>
          <cell r="D1899">
            <v>900.36</v>
          </cell>
        </row>
        <row r="1900">
          <cell r="A1900" t="str">
            <v>O.18.000.065002</v>
          </cell>
          <cell r="B1900" t="str">
            <v>Reservatório em polietileno, com tampa de rosca, capacidade de 500 litros; ref. Acqualimp, Fortlev, Tigre ou equivalente</v>
          </cell>
          <cell r="C1900" t="str">
            <v>UN</v>
          </cell>
          <cell r="D1900">
            <v>547.63</v>
          </cell>
        </row>
        <row r="1901">
          <cell r="A1901" t="str">
            <v>O.18.000.065003</v>
          </cell>
          <cell r="B1901" t="str">
            <v>Reservatório em poliester reforçado de fibra vidro, capacidade de 15.000 litros</v>
          </cell>
          <cell r="C1901" t="str">
            <v>UN</v>
          </cell>
          <cell r="D1901">
            <v>9073.5300000000007</v>
          </cell>
        </row>
        <row r="1902">
          <cell r="A1902" t="str">
            <v>O.18.000.065053</v>
          </cell>
          <cell r="B1902" t="str">
            <v>Reservatório em polietileno com tampa de encaixar, capacidade de 2.000 litros, ref. comercial Fortlev, Tigre ou equivalente</v>
          </cell>
          <cell r="C1902" t="str">
            <v>UN</v>
          </cell>
          <cell r="D1902">
            <v>1067.5899999999999</v>
          </cell>
        </row>
        <row r="1903">
          <cell r="A1903" t="str">
            <v>O.18.000.065054</v>
          </cell>
          <cell r="B1903" t="str">
            <v>Reservatório em polietileno com tampa de encaixar, capacidade de 3.000 litros, ref. comercial Fortlev, Tigre ou equivalente</v>
          </cell>
          <cell r="C1903" t="str">
            <v>UN</v>
          </cell>
          <cell r="D1903">
            <v>1961.14</v>
          </cell>
        </row>
        <row r="1904">
          <cell r="A1904" t="str">
            <v>O.18.000.065055</v>
          </cell>
          <cell r="B1904" t="str">
            <v>Reservatório em polietileno com tampa de encaixar com sistema de travamento da tampa, capacidade de 5.000 litros, ref. comercial Fortlev, Tigre ou equivalente</v>
          </cell>
          <cell r="C1904" t="str">
            <v>UN</v>
          </cell>
          <cell r="D1904">
            <v>3095.4</v>
          </cell>
        </row>
        <row r="1905">
          <cell r="A1905" t="str">
            <v>O.18.000.065056</v>
          </cell>
          <cell r="B1905" t="str">
            <v>Reservatório em polietileno com tampa de encaixar, capacidade de 10.000 litros; ref. Fortlev, Acqualimp ou equivalente</v>
          </cell>
          <cell r="C1905" t="str">
            <v>UN</v>
          </cell>
          <cell r="D1905">
            <v>5583.41</v>
          </cell>
        </row>
        <row r="1906">
          <cell r="A1906" t="str">
            <v>O.18.000.065086</v>
          </cell>
          <cell r="B1906" t="str">
            <v>Reservatório em poliester reforçado de fibra vidro, capacidade de 20.000 litros; ref. Makrocaixa, Bakof Tec, Caixa Forte ou equivalente</v>
          </cell>
          <cell r="C1906" t="str">
            <v>UN</v>
          </cell>
          <cell r="D1906">
            <v>11426.72</v>
          </cell>
        </row>
        <row r="1907">
          <cell r="A1907" t="str">
            <v>O.18.000.065110</v>
          </cell>
          <cell r="B1907" t="str">
            <v>Tanque em poliéster reforçado de fibra vidro (PRFV) com quebra ondas, capacidade de 25.000 l e misturador interno vertical em aço inoxidável, trifásico, potência mínima de 2 cv</v>
          </cell>
          <cell r="C1907" t="str">
            <v>UN</v>
          </cell>
          <cell r="D1907">
            <v>58690.02</v>
          </cell>
        </row>
        <row r="1908">
          <cell r="A1908" t="str">
            <v>O.18.000.065111</v>
          </cell>
          <cell r="B1908" t="str">
            <v>Sistema de tratamento de efluente por reator anaeróbio (UASB) e Filtro aeróbio (FAS), para obras de segurança com vazão máxima horária 12 l/s</v>
          </cell>
          <cell r="C1908" t="str">
            <v>CJ</v>
          </cell>
          <cell r="D1908">
            <v>508060.24</v>
          </cell>
        </row>
        <row r="1909">
          <cell r="A1909" t="str">
            <v>O.18.000.092351</v>
          </cell>
          <cell r="B1909" t="str">
            <v>Chapa em poliester reforçado com fibra de vidro PRFV (stop log) de 450x500mm, com espessura de 10mm; ref. Sigma, Inccer, Sanecomfibra ou equivalente</v>
          </cell>
          <cell r="C1909" t="str">
            <v>UN</v>
          </cell>
          <cell r="D1909">
            <v>1484.6</v>
          </cell>
        </row>
        <row r="1910">
          <cell r="A1910" t="str">
            <v>O.25.000.000001</v>
          </cell>
          <cell r="B1910" t="str">
            <v>Tubo de esgoto em polipropileno de alta resistência - PP, DN= 40mm, preto, com união deslizante, com guarnição elastomérica de duplo lábio, ref. Duratop da Tecnofluidos ou equivalente</v>
          </cell>
          <cell r="C1910" t="str">
            <v>M</v>
          </cell>
          <cell r="D1910">
            <v>36.200000000000003</v>
          </cell>
        </row>
        <row r="1911">
          <cell r="A1911" t="str">
            <v>O.25.000.000002</v>
          </cell>
          <cell r="B1911" t="str">
            <v>Tubo de esgoto em polipropileno de alta resistência - PP, DN= 50mm, preto, com união deslizante, com guarnição elastomérica de duplo lábio, ref. Duratop da Tecnofluidos ou equivalente</v>
          </cell>
          <cell r="C1911" t="str">
            <v>M</v>
          </cell>
          <cell r="D1911">
            <v>43.85</v>
          </cell>
        </row>
        <row r="1912">
          <cell r="A1912" t="str">
            <v>O.25.000.000003</v>
          </cell>
          <cell r="B1912" t="str">
            <v>Tubo de esgoto em polipropileno de alta resistência - PP, DN= 63mm, preto, com união deslizante, com guarnição elastomérica de duplo lábio, ref. Duratop da Tecnofluidos ou equivalente</v>
          </cell>
          <cell r="C1912" t="str">
            <v>M</v>
          </cell>
          <cell r="D1912">
            <v>49.8</v>
          </cell>
        </row>
        <row r="1913">
          <cell r="A1913" t="str">
            <v>O.25.000.000004</v>
          </cell>
          <cell r="B1913" t="str">
            <v>Tubo de esgoto em polipropileno de alta resistência - PP, DN= 110mm, preto, com união deslizante, com guarnição elastomérica de duplo lábio, ref. Duratop da Tecnofluidos ou equivalente</v>
          </cell>
          <cell r="C1913" t="str">
            <v>M</v>
          </cell>
          <cell r="D1913">
            <v>118.09</v>
          </cell>
        </row>
        <row r="1914">
          <cell r="A1914" t="str">
            <v>O.25.000.000020</v>
          </cell>
          <cell r="B1914" t="str">
            <v>Joelho 45° em polipropileno de alta resistência - PP, preto, tipo PB, DN= 40mm, ref. Duratop da Tecnofluidos ou equivalente</v>
          </cell>
          <cell r="C1914" t="str">
            <v>UN</v>
          </cell>
          <cell r="D1914">
            <v>13.22</v>
          </cell>
        </row>
        <row r="1915">
          <cell r="A1915" t="str">
            <v>O.25.000.000021</v>
          </cell>
          <cell r="B1915" t="str">
            <v>Joelho 45° em polipropileno de alta resistência - PP, preto, tipo PB, DN= 50mm, ref. Duratop da Tecnofluidos ou equivalente</v>
          </cell>
          <cell r="C1915" t="str">
            <v>UN</v>
          </cell>
          <cell r="D1915">
            <v>19.97</v>
          </cell>
        </row>
        <row r="1916">
          <cell r="A1916" t="str">
            <v>O.25.000.000022</v>
          </cell>
          <cell r="B1916" t="str">
            <v>Joelho 45° em polipropileno de alta resistência - PP, preto, tipo PB, DN= 63mm, ref. Duratop da Tecnofluidos ou equivalente</v>
          </cell>
          <cell r="C1916" t="str">
            <v>UN</v>
          </cell>
          <cell r="D1916">
            <v>21.22</v>
          </cell>
        </row>
        <row r="1917">
          <cell r="A1917" t="str">
            <v>O.25.000.000023</v>
          </cell>
          <cell r="B1917" t="str">
            <v>Joelho 45° em polipropileno de alta resistência - PP, preto, tipo PB, DN= 110mm, ref. Duratop da Tecnofluidos ou equivalente</v>
          </cell>
          <cell r="C1917" t="str">
            <v>UN</v>
          </cell>
          <cell r="D1917">
            <v>30.91</v>
          </cell>
        </row>
        <row r="1918">
          <cell r="A1918" t="str">
            <v>O.25.000.000047</v>
          </cell>
          <cell r="B1918" t="str">
            <v>Joelho 87°30' em polipropileno de alta resistência - PP, preto, tipo PB, DN= 40mm, ref. Duratop da Tecnofluidos ou equivalente</v>
          </cell>
          <cell r="C1918" t="str">
            <v>UN</v>
          </cell>
          <cell r="D1918">
            <v>13.06</v>
          </cell>
        </row>
        <row r="1919">
          <cell r="A1919" t="str">
            <v>O.25.000.000048</v>
          </cell>
          <cell r="B1919" t="str">
            <v>Joelho 87°30' em polipropileno de alta resistência - PP, preto, tipo PB, DN= 50mm, ref. Duratop da Tecnofluidos ou equivalente</v>
          </cell>
          <cell r="C1919" t="str">
            <v>UN</v>
          </cell>
          <cell r="D1919">
            <v>18.59</v>
          </cell>
        </row>
        <row r="1920">
          <cell r="A1920" t="str">
            <v>O.25.000.000049</v>
          </cell>
          <cell r="B1920" t="str">
            <v>Joelho 87°30' em polipropileno de alta resistência - PP, preto, tipo PB, DN= 63mm, ref. Duratop da Tecnofluidos ou equivalente</v>
          </cell>
          <cell r="C1920" t="str">
            <v>UN</v>
          </cell>
          <cell r="D1920">
            <v>25.74</v>
          </cell>
        </row>
        <row r="1921">
          <cell r="A1921" t="str">
            <v>O.25.000.000074</v>
          </cell>
          <cell r="B1921" t="str">
            <v>Joelho 87°30' em polipropileno de alta resistência - PP, preto, tipo PB, DN= 110mm, com base de apoio, ref. Duratop da Tecnofluidos ou equivalente</v>
          </cell>
          <cell r="C1921" t="str">
            <v>UN</v>
          </cell>
          <cell r="D1921">
            <v>42.32</v>
          </cell>
        </row>
        <row r="1922">
          <cell r="A1922" t="str">
            <v>O.25.000.000102</v>
          </cell>
          <cell r="B1922" t="str">
            <v>Luva Dupla em polipropileno de alta resistência - PP, preto, DN= 40mm, ref. Duratop da Tecnofluidos ou equivalente</v>
          </cell>
          <cell r="C1922" t="str">
            <v>UN</v>
          </cell>
          <cell r="D1922">
            <v>17.11</v>
          </cell>
        </row>
        <row r="1923">
          <cell r="A1923" t="str">
            <v>O.25.000.000103</v>
          </cell>
          <cell r="B1923" t="str">
            <v>Luva Dupla em polipropileno de alta resistência - PP, preto, DN= 50mm, ref. Duratop da Tecnofluidos ou equivalente</v>
          </cell>
          <cell r="C1923" t="str">
            <v>UN</v>
          </cell>
          <cell r="D1923">
            <v>20.87</v>
          </cell>
        </row>
        <row r="1924">
          <cell r="A1924" t="str">
            <v>O.25.000.000104</v>
          </cell>
          <cell r="B1924" t="str">
            <v>Luva Dupla em polipropileno de alta resistência - PP, preto, DN= 63mm, ref. Duratop da Tecnofluidos ou equivalente</v>
          </cell>
          <cell r="C1924" t="str">
            <v>UN</v>
          </cell>
          <cell r="D1924">
            <v>24.48</v>
          </cell>
        </row>
        <row r="1925">
          <cell r="A1925" t="str">
            <v>O.25.000.000105</v>
          </cell>
          <cell r="B1925" t="str">
            <v>Luva Dupla em polipropileno de alta resistência - PP, preto, DN= 110mm, ref. Duratop da Tecnofluidos ou equivalente</v>
          </cell>
          <cell r="C1925" t="str">
            <v>UN</v>
          </cell>
          <cell r="D1925">
            <v>39.880000000000003</v>
          </cell>
        </row>
        <row r="1926">
          <cell r="A1926" t="str">
            <v>O.25.000.000116</v>
          </cell>
          <cell r="B1926" t="str">
            <v>Luva de Redução em polipropileno de alta resistência - PP, preto, tipo PB, DN= 50x40mm, ref. Duratop da Tecnofluidos ou equivalente</v>
          </cell>
          <cell r="C1926" t="str">
            <v>UN</v>
          </cell>
          <cell r="D1926">
            <v>13.2</v>
          </cell>
        </row>
        <row r="1927">
          <cell r="A1927" t="str">
            <v>O.25.000.000117</v>
          </cell>
          <cell r="B1927" t="str">
            <v>Luva de Redução em polipropileno de alta resistência - PP, preto, tipo PB, DN= 63x50mm, ref. Duratop da Tecnofluidos ou equivalente</v>
          </cell>
          <cell r="C1927" t="str">
            <v>UN</v>
          </cell>
          <cell r="D1927">
            <v>18.95</v>
          </cell>
        </row>
        <row r="1928">
          <cell r="A1928" t="str">
            <v>O.25.000.000118</v>
          </cell>
          <cell r="B1928" t="str">
            <v>Luva de Redução em polipropileno de alta resistência - PP, preto, tipo PB, DN= 110x63mm, ref. Duratop da Tecnofluidos ou equivalente</v>
          </cell>
          <cell r="C1928" t="str">
            <v>UN</v>
          </cell>
          <cell r="D1928">
            <v>32.18</v>
          </cell>
        </row>
        <row r="1929">
          <cell r="A1929" t="str">
            <v>O.25.000.000130</v>
          </cell>
          <cell r="B1929" t="str">
            <v>Tê 87°30' simples em polipropileno de alta resistência, preto, tipo PB, DN= 50x50mm</v>
          </cell>
          <cell r="C1929" t="str">
            <v>UN</v>
          </cell>
          <cell r="D1929">
            <v>39.19</v>
          </cell>
        </row>
        <row r="1930">
          <cell r="A1930" t="str">
            <v>O.25.000.000131</v>
          </cell>
          <cell r="B1930" t="str">
            <v>Tê 87°30' simples em polipropileno de alta resistência, preto, tipo PB, DN= 63x63mm</v>
          </cell>
          <cell r="C1930" t="str">
            <v>UN</v>
          </cell>
          <cell r="D1930">
            <v>50.32</v>
          </cell>
        </row>
        <row r="1931">
          <cell r="A1931" t="str">
            <v>O.25.000.000132</v>
          </cell>
          <cell r="B1931" t="str">
            <v>Tê 87°30' simples em polipropileno de alta resistência, preto, tipo PB, DN= 110x110mm</v>
          </cell>
          <cell r="C1931" t="str">
            <v>UN</v>
          </cell>
          <cell r="D1931">
            <v>89.2</v>
          </cell>
        </row>
        <row r="1932">
          <cell r="A1932" t="str">
            <v>O.25.000.000137</v>
          </cell>
          <cell r="B1932" t="str">
            <v>Tê 87°30' simples em polipropileno de alta resistência, preto, de redução, tipo PB, DN= 110x63mm</v>
          </cell>
          <cell r="C1932" t="str">
            <v>UN</v>
          </cell>
          <cell r="D1932">
            <v>72.3</v>
          </cell>
        </row>
        <row r="1933">
          <cell r="A1933" t="str">
            <v>O.25.000.000149</v>
          </cell>
          <cell r="B1933" t="str">
            <v>Junção 45° simples em polipropileno de alta resistência, preto, tipo PB, DN= 50x50mm</v>
          </cell>
          <cell r="C1933" t="str">
            <v>UN</v>
          </cell>
          <cell r="D1933">
            <v>36.770000000000003</v>
          </cell>
        </row>
        <row r="1934">
          <cell r="A1934" t="str">
            <v>O.25.000.000150</v>
          </cell>
          <cell r="B1934" t="str">
            <v>Junção 45° simples em polipropileno de alta resistência, preto, tipo PB, DN= 63x63mm</v>
          </cell>
          <cell r="C1934" t="str">
            <v>UN</v>
          </cell>
          <cell r="D1934">
            <v>43.52</v>
          </cell>
        </row>
        <row r="1935">
          <cell r="A1935" t="str">
            <v>O.25.000.000151</v>
          </cell>
          <cell r="B1935" t="str">
            <v>Junção 45° simples em polipropileno de alta resistência, preto, tipo PB, DN= 110x110mm</v>
          </cell>
          <cell r="C1935" t="str">
            <v>UN</v>
          </cell>
          <cell r="D1935">
            <v>82.73</v>
          </cell>
        </row>
        <row r="1936">
          <cell r="A1936" t="str">
            <v>O.25.000.000159</v>
          </cell>
          <cell r="B1936" t="str">
            <v>Junção 45° simples de redução, em polipropileno de alta resistência, preto, tipo PB, DN= 63x50mm</v>
          </cell>
          <cell r="C1936" t="str">
            <v>UN</v>
          </cell>
          <cell r="D1936">
            <v>37.47</v>
          </cell>
        </row>
        <row r="1937">
          <cell r="A1937" t="str">
            <v>O.25.000.000160</v>
          </cell>
          <cell r="B1937" t="str">
            <v>Junção 45° simples de redução, em polipropileno de alta resistência, preto, tipo PB, DN= 110x50mm</v>
          </cell>
          <cell r="C1937" t="str">
            <v>UN</v>
          </cell>
          <cell r="D1937">
            <v>67.55</v>
          </cell>
        </row>
        <row r="1938">
          <cell r="A1938" t="str">
            <v>O.25.000.000161</v>
          </cell>
          <cell r="B1938" t="str">
            <v>Junção 45° simples de redução, em polipropileno de alta resistência, preto, tipo PB, DN= 110x63mm</v>
          </cell>
          <cell r="C1938" t="str">
            <v>UN</v>
          </cell>
          <cell r="D1938">
            <v>53.76</v>
          </cell>
        </row>
        <row r="1939">
          <cell r="A1939" t="str">
            <v>O.25.000.000168</v>
          </cell>
          <cell r="B1939" t="str">
            <v>Porta marco para grelha de 12x12 cm, em prolipropileno de alta resistência, preto</v>
          </cell>
          <cell r="C1939" t="str">
            <v>UN</v>
          </cell>
          <cell r="D1939">
            <v>45.41</v>
          </cell>
        </row>
        <row r="1940">
          <cell r="A1940" t="str">
            <v>O.25.000.000170</v>
          </cell>
          <cell r="B1940" t="str">
            <v>Marco de bronze com grelha em aço inoxidável de 12x12cm</v>
          </cell>
          <cell r="C1940" t="str">
            <v>UN</v>
          </cell>
          <cell r="D1940">
            <v>75.41</v>
          </cell>
        </row>
        <row r="1941">
          <cell r="A1941" t="str">
            <v>O.25.000.000186</v>
          </cell>
          <cell r="B1941" t="str">
            <v>Caixa sifonada de piso, DN 125, 1 saída de 63mm, em polipropileno de alta resistência preto</v>
          </cell>
          <cell r="C1941" t="str">
            <v>UN</v>
          </cell>
          <cell r="D1941">
            <v>117.05</v>
          </cell>
        </row>
        <row r="1942">
          <cell r="A1942" t="str">
            <v>O.25.000.000189</v>
          </cell>
          <cell r="B1942" t="str">
            <v>Curva 87°30' em propileno de alta resistência, preto, tipo PB, DN= 110mm</v>
          </cell>
          <cell r="C1942" t="str">
            <v>UN</v>
          </cell>
          <cell r="D1942">
            <v>69.56</v>
          </cell>
        </row>
        <row r="1943">
          <cell r="A1943" t="str">
            <v>O.25.000.000197</v>
          </cell>
          <cell r="B1943" t="str">
            <v>Prolongamento para caixa sifonada em propileno de alta resistência, preto, DN= 125mm</v>
          </cell>
          <cell r="C1943" t="str">
            <v>UN</v>
          </cell>
          <cell r="D1943">
            <v>80.099999999999994</v>
          </cell>
        </row>
        <row r="1944">
          <cell r="A1944" t="str">
            <v>O.25.000.000201</v>
          </cell>
          <cell r="B1944" t="str">
            <v>Tampa tê de inspeção oval, em polipropileno de alta resistência preto (PxB) - DN 110mm</v>
          </cell>
          <cell r="C1944" t="str">
            <v>UN</v>
          </cell>
          <cell r="D1944">
            <v>74.099999999999994</v>
          </cell>
        </row>
        <row r="1945">
          <cell r="A1945" t="str">
            <v>O.25.000.000206</v>
          </cell>
          <cell r="B1945" t="str">
            <v>Tampão de esgoto em polipropileno de alta resistência, preto (PxB) - DN 63mm</v>
          </cell>
          <cell r="C1945" t="str">
            <v>UN</v>
          </cell>
          <cell r="D1945">
            <v>12.72</v>
          </cell>
        </row>
        <row r="1946">
          <cell r="A1946" t="str">
            <v>O.25.000.000207</v>
          </cell>
          <cell r="B1946" t="str">
            <v>Tampão de esgoto em polipropileno de alta resistência, preto (PxB) - DN 110mm</v>
          </cell>
          <cell r="C1946" t="str">
            <v>UN</v>
          </cell>
          <cell r="D1946">
            <v>32.35</v>
          </cell>
        </row>
        <row r="1947">
          <cell r="A1947" t="str">
            <v>O.25.000.000213</v>
          </cell>
          <cell r="B1947" t="str">
            <v>Tê de inspeção 87°30' em polipropileno de alta resistência preto (PxB) - DN 110mm</v>
          </cell>
          <cell r="C1947" t="str">
            <v>UN</v>
          </cell>
          <cell r="D1947">
            <v>212.77</v>
          </cell>
        </row>
        <row r="1948">
          <cell r="A1948" t="str">
            <v>P.01.000.030501</v>
          </cell>
          <cell r="B1948" t="str">
            <v>Monitor LCD e/ou LED de 21,5", resolução máxima 1920x1080@60Hz, pixel pitch: 0,24795x0,24795mm, sinal vídeo analógico / digital; ref. AOC ou equivalente</v>
          </cell>
          <cell r="C1948" t="str">
            <v>UN</v>
          </cell>
          <cell r="D1948">
            <v>650.54999999999995</v>
          </cell>
        </row>
        <row r="1949">
          <cell r="A1949" t="str">
            <v>P.01.000.034016</v>
          </cell>
          <cell r="B1949" t="str">
            <v>Abertura para vão de luminária em forro de PVC modular</v>
          </cell>
          <cell r="C1949" t="str">
            <v>UN</v>
          </cell>
          <cell r="D1949">
            <v>31.12</v>
          </cell>
        </row>
        <row r="1950">
          <cell r="A1950" t="str">
            <v>P.02.000.042501</v>
          </cell>
          <cell r="B1950" t="str">
            <v>Eletroduto de PVC rígido roscável de 20mm (1/2´)</v>
          </cell>
          <cell r="C1950" t="str">
            <v>M</v>
          </cell>
          <cell r="D1950">
            <v>5.83</v>
          </cell>
        </row>
        <row r="1951">
          <cell r="A1951" t="str">
            <v>P.02.000.042502</v>
          </cell>
          <cell r="B1951" t="str">
            <v>Eletroduto de PVC rígido roscável de 25mm (3/4´)</v>
          </cell>
          <cell r="C1951" t="str">
            <v>M</v>
          </cell>
          <cell r="D1951">
            <v>7.49</v>
          </cell>
        </row>
        <row r="1952">
          <cell r="A1952" t="str">
            <v>P.02.000.042503</v>
          </cell>
          <cell r="B1952" t="str">
            <v>Eletroduto de PVC rígido roscável de 32mm (1´)</v>
          </cell>
          <cell r="C1952" t="str">
            <v>M</v>
          </cell>
          <cell r="D1952">
            <v>10.28</v>
          </cell>
        </row>
        <row r="1953">
          <cell r="A1953" t="str">
            <v>P.02.000.042504</v>
          </cell>
          <cell r="B1953" t="str">
            <v>Eletroduto de PVC rígido roscável de 38mm (1 1/4´)</v>
          </cell>
          <cell r="C1953" t="str">
            <v>M</v>
          </cell>
          <cell r="D1953">
            <v>16.440000000000001</v>
          </cell>
        </row>
        <row r="1954">
          <cell r="A1954" t="str">
            <v>P.02.000.042505</v>
          </cell>
          <cell r="B1954" t="str">
            <v>Eletroduto de PVC rígido roscável de 50mm (1 1/2´)</v>
          </cell>
          <cell r="C1954" t="str">
            <v>M</v>
          </cell>
          <cell r="D1954">
            <v>17.670000000000002</v>
          </cell>
        </row>
        <row r="1955">
          <cell r="A1955" t="str">
            <v>P.02.000.042506</v>
          </cell>
          <cell r="B1955" t="str">
            <v>Eletroduto de PVC rígido roscável de 60mm (2´)</v>
          </cell>
          <cell r="C1955" t="str">
            <v>M</v>
          </cell>
          <cell r="D1955">
            <v>21.86</v>
          </cell>
        </row>
        <row r="1956">
          <cell r="A1956" t="str">
            <v>P.02.000.042507</v>
          </cell>
          <cell r="B1956" t="str">
            <v>Eletroduto de PVC rígido roscável de 75mm (2 1/2´)</v>
          </cell>
          <cell r="C1956" t="str">
            <v>M</v>
          </cell>
          <cell r="D1956">
            <v>43.97</v>
          </cell>
        </row>
        <row r="1957">
          <cell r="A1957" t="str">
            <v>P.02.000.042508</v>
          </cell>
          <cell r="B1957" t="str">
            <v>Eletroduto de PVC rígido roscável de 85mm (3´)</v>
          </cell>
          <cell r="C1957" t="str">
            <v>M</v>
          </cell>
          <cell r="D1957">
            <v>51.48</v>
          </cell>
        </row>
        <row r="1958">
          <cell r="A1958" t="str">
            <v>P.02.000.042509</v>
          </cell>
          <cell r="B1958" t="str">
            <v>Eletroduto de PVC rígido roscável de 110mm (4´)</v>
          </cell>
          <cell r="C1958" t="str">
            <v>M</v>
          </cell>
          <cell r="D1958">
            <v>77.31</v>
          </cell>
        </row>
        <row r="1959">
          <cell r="A1959" t="str">
            <v>P.02.000.042511</v>
          </cell>
          <cell r="B1959" t="str">
            <v>Eletroduto de PVC corrugado flexível leve amarelo, DE= 20mm</v>
          </cell>
          <cell r="C1959" t="str">
            <v>M</v>
          </cell>
          <cell r="D1959">
            <v>2.38</v>
          </cell>
        </row>
        <row r="1960">
          <cell r="A1960" t="str">
            <v>P.02.000.042512</v>
          </cell>
          <cell r="B1960" t="str">
            <v>Eletroduto de PVC corrugado flexível leve amarelo, DE= 25mm</v>
          </cell>
          <cell r="C1960" t="str">
            <v>M</v>
          </cell>
          <cell r="D1960">
            <v>2.2799999999999998</v>
          </cell>
        </row>
        <row r="1961">
          <cell r="A1961" t="str">
            <v>P.02.000.042513</v>
          </cell>
          <cell r="B1961" t="str">
            <v>Eletroduto de PVC corrugado flexível leve amarelo, DE= 32mm</v>
          </cell>
          <cell r="C1961" t="str">
            <v>M</v>
          </cell>
          <cell r="D1961">
            <v>4.68</v>
          </cell>
        </row>
        <row r="1962">
          <cell r="A1962" t="str">
            <v>P.02.000.042515</v>
          </cell>
          <cell r="B1962" t="str">
            <v>Eletroduto de PVC corrugado flexível reforçado cinza, DE= 25mm</v>
          </cell>
          <cell r="C1962" t="str">
            <v>M</v>
          </cell>
          <cell r="D1962">
            <v>3.09</v>
          </cell>
        </row>
        <row r="1963">
          <cell r="A1963" t="str">
            <v>P.02.000.042516</v>
          </cell>
          <cell r="B1963" t="str">
            <v>Eletroduto de PVC corrugado flexível reforçado cinza, DE= 32mm</v>
          </cell>
          <cell r="C1963" t="str">
            <v>M</v>
          </cell>
          <cell r="D1963">
            <v>5.67</v>
          </cell>
        </row>
        <row r="1964">
          <cell r="A1964" t="str">
            <v>P.02.000.045668</v>
          </cell>
          <cell r="B1964" t="str">
            <v>Base com tampa em PVC para canaleta aparente de 4 vias, auto extinguível, na cor branca, 85 x 35 mm; ref. 1122-05/06-BR da Parcus ou equivalente</v>
          </cell>
          <cell r="C1964" t="str">
            <v>M</v>
          </cell>
          <cell r="D1964">
            <v>44.82</v>
          </cell>
        </row>
        <row r="1965">
          <cell r="A1965" t="str">
            <v>P.02.000.045669</v>
          </cell>
          <cell r="B1965" t="str">
            <v>Base com duas tampas curvas em PVC para canaleta aparente de 4 vias, auto extinguível, na cor branca, 120 x 35 mm; ref. 1122-04/02-BR da Parcus ou equivalente</v>
          </cell>
          <cell r="C1965" t="str">
            <v>M</v>
          </cell>
          <cell r="D1965">
            <v>71.56</v>
          </cell>
        </row>
        <row r="1966">
          <cell r="A1966" t="str">
            <v>P.02.000.045670</v>
          </cell>
          <cell r="B1966" t="str">
            <v>Base com duas tampas curvas em PVC para canaleta aparente de 3 vias, auto extinguível, na cor branca, 120 x 60 mm; ref. 1122-20/24-BR da Parcus ou equivalente</v>
          </cell>
          <cell r="C1966" t="str">
            <v>M</v>
          </cell>
          <cell r="D1966">
            <v>88.38</v>
          </cell>
        </row>
        <row r="1967">
          <cell r="A1967" t="str">
            <v>P.02.000.045671</v>
          </cell>
          <cell r="B1967" t="str">
            <v>Suporte de tomada RJ em PVC 60x35x150mm, com 03 furos 14.7x19.3mm, para canaleta aparente; ref. 1126-12-BR da Parcus ou equivalente</v>
          </cell>
          <cell r="C1967" t="str">
            <v>UN</v>
          </cell>
          <cell r="D1967">
            <v>8.9700000000000006</v>
          </cell>
        </row>
        <row r="1968">
          <cell r="A1968" t="str">
            <v>P.02.000.045672</v>
          </cell>
          <cell r="B1968" t="str">
            <v>Suporte de tomada RJ em PVC 85x35x150mm, com 03 furos 14.7x19.3mm, para canaleta aparente; ref. 1126-33-BR da Parcus ou equivalente</v>
          </cell>
          <cell r="C1968" t="str">
            <v>UN</v>
          </cell>
          <cell r="D1968">
            <v>10.99</v>
          </cell>
        </row>
        <row r="1969">
          <cell r="A1969" t="str">
            <v>P.02.000.045673</v>
          </cell>
          <cell r="B1969" t="str">
            <v>Suporte de tomada RJ em PVC 60x60x150mm, com 03 furos 14.7x19.3mm, para canaleta aparente; ref. 1126-88-BR da Parcus ou equivalente</v>
          </cell>
          <cell r="C1969" t="str">
            <v>UN</v>
          </cell>
          <cell r="D1969">
            <v>10.23</v>
          </cell>
        </row>
        <row r="1970">
          <cell r="A1970" t="str">
            <v>P.02.000.045678</v>
          </cell>
          <cell r="B1970" t="str">
            <v>Tomada simples de  sobrepor modelo universal 2P+T 10A 250V</v>
          </cell>
          <cell r="C1970" t="str">
            <v>UN</v>
          </cell>
          <cell r="D1970">
            <v>9.89</v>
          </cell>
        </row>
        <row r="1971">
          <cell r="A1971" t="str">
            <v>P.02.000.090792</v>
          </cell>
          <cell r="B1971" t="str">
            <v>Canaleta em PVC na cor branca, de 20x12mm, sistema X; referência 30802X fabricação Pial Legrand ou equivalente</v>
          </cell>
          <cell r="C1971" t="str">
            <v>M</v>
          </cell>
          <cell r="D1971">
            <v>7.18</v>
          </cell>
        </row>
        <row r="1972">
          <cell r="A1972" t="str">
            <v>P.03.000.042621</v>
          </cell>
          <cell r="B1972" t="str">
            <v>Duto corrugado tipo Kanalex-KL, DN= 30mm</v>
          </cell>
          <cell r="C1972" t="str">
            <v>M</v>
          </cell>
          <cell r="D1972">
            <v>5.07</v>
          </cell>
        </row>
        <row r="1973">
          <cell r="A1973" t="str">
            <v>P.03.000.042622</v>
          </cell>
          <cell r="B1973" t="str">
            <v>Duto corrugado tipo Kanalex-KL, DN= 50mm</v>
          </cell>
          <cell r="C1973" t="str">
            <v>M</v>
          </cell>
          <cell r="D1973">
            <v>8.14</v>
          </cell>
        </row>
        <row r="1974">
          <cell r="A1974" t="str">
            <v>P.03.000.042623</v>
          </cell>
          <cell r="B1974" t="str">
            <v>Duto corrugado tipo Kanalex-KL, DN= 75mm</v>
          </cell>
          <cell r="C1974" t="str">
            <v>M</v>
          </cell>
          <cell r="D1974">
            <v>14.41</v>
          </cell>
        </row>
        <row r="1975">
          <cell r="A1975" t="str">
            <v>P.03.000.042624</v>
          </cell>
          <cell r="B1975" t="str">
            <v>Duto corrugado tipo Kanalex-KL, DN= 100mm</v>
          </cell>
          <cell r="C1975" t="str">
            <v>M</v>
          </cell>
          <cell r="D1975">
            <v>18.12</v>
          </cell>
        </row>
        <row r="1976">
          <cell r="A1976" t="str">
            <v>P.03.000.042625</v>
          </cell>
          <cell r="B1976" t="str">
            <v>Duto corrugado tipo Kanalex-KL, DN= 125mm</v>
          </cell>
          <cell r="C1976" t="str">
            <v>M</v>
          </cell>
          <cell r="D1976">
            <v>23.78</v>
          </cell>
        </row>
        <row r="1977">
          <cell r="A1977" t="str">
            <v>P.03.000.042626</v>
          </cell>
          <cell r="B1977" t="str">
            <v>Duto corrugado tipo Kanalex-KL, DN= 150mm</v>
          </cell>
          <cell r="C1977" t="str">
            <v>M</v>
          </cell>
          <cell r="D1977">
            <v>35.909999999999997</v>
          </cell>
        </row>
        <row r="1978">
          <cell r="A1978" t="str">
            <v>P.03.000.042627</v>
          </cell>
          <cell r="B1978" t="str">
            <v>Duto corrugado tipo Kanalex-KL, DN= 40mm</v>
          </cell>
          <cell r="C1978" t="str">
            <v>M</v>
          </cell>
          <cell r="D1978">
            <v>6.19</v>
          </cell>
        </row>
        <row r="1979">
          <cell r="A1979" t="str">
            <v>P.04.000.040119</v>
          </cell>
          <cell r="B1979" t="str">
            <v>Poste telecônico reto em aço galvanizado a fogo, altura de 4 m, com base, chumbadores, porcas e arruelas</v>
          </cell>
          <cell r="C1979" t="str">
            <v>UN</v>
          </cell>
          <cell r="D1979">
            <v>642.73</v>
          </cell>
        </row>
        <row r="1980">
          <cell r="A1980" t="str">
            <v>P.04.000.040123</v>
          </cell>
          <cell r="B1980" t="str">
            <v>Poste telecônico em aço SAE 1010/1020 galvanizado a fogo, com espera para uma luminária, altura de 3 m</v>
          </cell>
          <cell r="C1980" t="str">
            <v>UN</v>
          </cell>
          <cell r="D1980">
            <v>368.67</v>
          </cell>
        </row>
        <row r="1981">
          <cell r="A1981" t="str">
            <v>P.04.000.040128</v>
          </cell>
          <cell r="B1981" t="str">
            <v>Poste telecônico curvo em aço SAE 1010/1020 galvanizado a fogo, altura de 8 m</v>
          </cell>
          <cell r="C1981" t="str">
            <v>UN</v>
          </cell>
          <cell r="D1981">
            <v>1420.51</v>
          </cell>
        </row>
        <row r="1982">
          <cell r="A1982" t="str">
            <v>P.04.000.041334</v>
          </cell>
          <cell r="B1982" t="str">
            <v>Coluna semafórica simples 101 mm x 6 m</v>
          </cell>
          <cell r="C1982" t="str">
            <v>UN</v>
          </cell>
          <cell r="D1982">
            <v>2502.52</v>
          </cell>
        </row>
        <row r="1983">
          <cell r="A1983" t="str">
            <v>P.04.000.042081</v>
          </cell>
          <cell r="B1983" t="str">
            <v>Tirante/vergalhão aço rosca total de 5/16´</v>
          </cell>
          <cell r="C1983" t="str">
            <v>M</v>
          </cell>
          <cell r="D1983">
            <v>7.2</v>
          </cell>
        </row>
        <row r="1984">
          <cell r="A1984" t="str">
            <v>P.04.000.042082</v>
          </cell>
          <cell r="B1984" t="str">
            <v>Vergalhão liso de aço galvanizado a fogo RE-BAR 3/8´; ref. TEL 760 da Termotécnica, PRT-680 da Paratec, PK-1251 da Paraklin ou equivalente</v>
          </cell>
          <cell r="C1984" t="str">
            <v>M</v>
          </cell>
          <cell r="D1984">
            <v>13.36</v>
          </cell>
        </row>
        <row r="1985">
          <cell r="A1985" t="str">
            <v>P.04.000.042105</v>
          </cell>
          <cell r="B1985" t="str">
            <v>Eletroduto com costura galvanizado eletroliticamente, DN = 1 1/2´ - NBR13057</v>
          </cell>
          <cell r="C1985" t="str">
            <v>M</v>
          </cell>
          <cell r="D1985">
            <v>32.67</v>
          </cell>
        </row>
        <row r="1986">
          <cell r="A1986" t="str">
            <v>P.04.000.042107</v>
          </cell>
          <cell r="B1986" t="str">
            <v>Eletroduto com costura galvanizado eletroliticamente, DN = 2 1/2´ - NBR13057</v>
          </cell>
          <cell r="C1986" t="str">
            <v>M</v>
          </cell>
          <cell r="D1986">
            <v>58.56</v>
          </cell>
        </row>
        <row r="1987">
          <cell r="A1987" t="str">
            <v>P.04.000.042114</v>
          </cell>
          <cell r="B1987" t="str">
            <v>Eletroduto com costura galvanizado por imersão a quente, DN = 3/4´- NBR6323</v>
          </cell>
          <cell r="C1987" t="str">
            <v>M</v>
          </cell>
          <cell r="D1987">
            <v>18.03</v>
          </cell>
        </row>
        <row r="1988">
          <cell r="A1988" t="str">
            <v>P.04.000.042115</v>
          </cell>
          <cell r="B1988" t="str">
            <v>Eletroduto com costura galvanizado por imersão a quente, DN = 1´ - NBR6323</v>
          </cell>
          <cell r="C1988" t="str">
            <v>M</v>
          </cell>
          <cell r="D1988">
            <v>22.99</v>
          </cell>
        </row>
        <row r="1989">
          <cell r="A1989" t="str">
            <v>P.04.000.042116</v>
          </cell>
          <cell r="B1989" t="str">
            <v>Eletroduto com costura galvanizado por imersão a quente, DN = 1 1/4´ - NBR6323</v>
          </cell>
          <cell r="C1989" t="str">
            <v>M</v>
          </cell>
          <cell r="D1989">
            <v>36.979999999999997</v>
          </cell>
        </row>
        <row r="1990">
          <cell r="A1990" t="str">
            <v>P.04.000.042117</v>
          </cell>
          <cell r="B1990" t="str">
            <v>Eletroduto com costura galvanizado por imersão a quente, DN = 1 1/2´ - NBR6323</v>
          </cell>
          <cell r="C1990" t="str">
            <v>M</v>
          </cell>
          <cell r="D1990">
            <v>43.19</v>
          </cell>
        </row>
        <row r="1991">
          <cell r="A1991" t="str">
            <v>P.04.000.042118</v>
          </cell>
          <cell r="B1991" t="str">
            <v>Eletroduto com costura galvanizado por imersão a quente, DN = 2´ - NBR6323</v>
          </cell>
          <cell r="C1991" t="str">
            <v>M</v>
          </cell>
          <cell r="D1991">
            <v>54.78</v>
          </cell>
        </row>
        <row r="1992">
          <cell r="A1992" t="str">
            <v>P.04.000.042119</v>
          </cell>
          <cell r="B1992" t="str">
            <v>Eletroduto com costura galvanizado por imersão a quente, DN = 2 1/2´ - NBR6323</v>
          </cell>
          <cell r="C1992" t="str">
            <v>M</v>
          </cell>
          <cell r="D1992">
            <v>83.06</v>
          </cell>
        </row>
        <row r="1993">
          <cell r="A1993" t="str">
            <v>P.04.000.042120</v>
          </cell>
          <cell r="B1993" t="str">
            <v>Eletroduto com costura galvanizado por imersão a quente, DN = 3´ - NBR6323</v>
          </cell>
          <cell r="C1993" t="str">
            <v>M</v>
          </cell>
          <cell r="D1993">
            <v>88.73</v>
          </cell>
        </row>
        <row r="1994">
          <cell r="A1994" t="str">
            <v>P.04.000.042121</v>
          </cell>
          <cell r="B1994" t="str">
            <v>Eletroduto com costura galvanizado por imersão a quente, DN = 4´ - NBR6323</v>
          </cell>
          <cell r="C1994" t="str">
            <v>M</v>
          </cell>
          <cell r="D1994">
            <v>123.43</v>
          </cell>
        </row>
        <row r="1995">
          <cell r="A1995" t="str">
            <v>P.04.000.042122</v>
          </cell>
          <cell r="B1995" t="str">
            <v>Eletroduto galvanizado por imersão a quente, DN = 1/2´ - NBR5598</v>
          </cell>
          <cell r="C1995" t="str">
            <v>M</v>
          </cell>
          <cell r="D1995">
            <v>16.48</v>
          </cell>
        </row>
        <row r="1996">
          <cell r="A1996" t="str">
            <v>P.04.000.042123</v>
          </cell>
          <cell r="B1996" t="str">
            <v>Eletroduto galvanizado por imersão a quente, DN = 3/4´ - NBR5598</v>
          </cell>
          <cell r="C1996" t="str">
            <v>M</v>
          </cell>
          <cell r="D1996">
            <v>21.44</v>
          </cell>
        </row>
        <row r="1997">
          <cell r="A1997" t="str">
            <v>P.04.000.042124</v>
          </cell>
          <cell r="B1997" t="str">
            <v>Eletroduto galvanizado por imersão a quente, DN = 1´ - NBR5598</v>
          </cell>
          <cell r="C1997" t="str">
            <v>M</v>
          </cell>
          <cell r="D1997">
            <v>28.3</v>
          </cell>
        </row>
        <row r="1998">
          <cell r="A1998" t="str">
            <v>P.04.000.042125</v>
          </cell>
          <cell r="B1998" t="str">
            <v>Eletroduto galvanizado por imersão a quente, DN = 1 1/4´ - NBR5598</v>
          </cell>
          <cell r="C1998" t="str">
            <v>M</v>
          </cell>
          <cell r="D1998">
            <v>38.82</v>
          </cell>
        </row>
        <row r="1999">
          <cell r="A1999" t="str">
            <v>P.04.000.042126</v>
          </cell>
          <cell r="B1999" t="str">
            <v>Eletroduto galvanizado por imersão a quente, DN = 1 1/2´ - NBR5598</v>
          </cell>
          <cell r="C1999" t="str">
            <v>M</v>
          </cell>
          <cell r="D1999">
            <v>47.34</v>
          </cell>
        </row>
        <row r="2000">
          <cell r="A2000" t="str">
            <v>P.04.000.042127</v>
          </cell>
          <cell r="B2000" t="str">
            <v>Eletroduto galvanizado por imersão a quente, DN = 2´ - NBR5598</v>
          </cell>
          <cell r="C2000" t="str">
            <v>M</v>
          </cell>
          <cell r="D2000">
            <v>60.1</v>
          </cell>
        </row>
        <row r="2001">
          <cell r="A2001" t="str">
            <v>P.04.000.042128</v>
          </cell>
          <cell r="B2001" t="str">
            <v>Eletroduto galvanizado por imersão a quente, DN = 2 1/2´ - NBR5598</v>
          </cell>
          <cell r="C2001" t="str">
            <v>M</v>
          </cell>
          <cell r="D2001">
            <v>90.73</v>
          </cell>
        </row>
        <row r="2002">
          <cell r="A2002" t="str">
            <v>P.04.000.042129</v>
          </cell>
          <cell r="B2002" t="str">
            <v>Eletroduto galvanizado por imersão a quente, DN = 3´ - NBR5598</v>
          </cell>
          <cell r="C2002" t="str">
            <v>M</v>
          </cell>
          <cell r="D2002">
            <v>110.16</v>
          </cell>
        </row>
        <row r="2003">
          <cell r="A2003" t="str">
            <v>P.04.000.042130</v>
          </cell>
          <cell r="B2003" t="str">
            <v>Eletroduto galvanizado por imersão a quente, DN = 4´ - NBR5598</v>
          </cell>
          <cell r="C2003" t="str">
            <v>M</v>
          </cell>
          <cell r="D2003">
            <v>157.99</v>
          </cell>
        </row>
        <row r="2004">
          <cell r="A2004" t="str">
            <v>P.04.000.042171</v>
          </cell>
          <cell r="B2004" t="str">
            <v>Eletroduto com costura galvanizado eletroliticamente, DN = 3/4´ - NBR13057</v>
          </cell>
          <cell r="C2004" t="str">
            <v>M</v>
          </cell>
          <cell r="D2004">
            <v>13.37</v>
          </cell>
        </row>
        <row r="2005">
          <cell r="A2005" t="str">
            <v>P.04.000.042172</v>
          </cell>
          <cell r="B2005" t="str">
            <v>Eletroduto com costura galvanizado eletroliticamente, DN = 1´ - NBR13057</v>
          </cell>
          <cell r="C2005" t="str">
            <v>M</v>
          </cell>
          <cell r="D2005">
            <v>17.22</v>
          </cell>
        </row>
        <row r="2006">
          <cell r="A2006" t="str">
            <v>P.04.000.042173</v>
          </cell>
          <cell r="B2006" t="str">
            <v>Eletroduto com costura galvanizado eletroliticamente, DN = 1 1/4´ - NBR13057</v>
          </cell>
          <cell r="C2006" t="str">
            <v>M</v>
          </cell>
          <cell r="D2006">
            <v>28.58</v>
          </cell>
        </row>
        <row r="2007">
          <cell r="A2007" t="str">
            <v>P.04.000.042174</v>
          </cell>
          <cell r="B2007" t="str">
            <v>Eletroduto com costura galvanizado eletroliticamente, DN = 4´ - NBR13057</v>
          </cell>
          <cell r="C2007" t="str">
            <v>M</v>
          </cell>
          <cell r="D2007">
            <v>82.19</v>
          </cell>
        </row>
        <row r="2008">
          <cell r="A2008" t="str">
            <v>P.04.000.042175</v>
          </cell>
          <cell r="B2008" t="str">
            <v>Eletroduto com costura galvanizado eletroliticamente, DN = 2´ - NBR13057</v>
          </cell>
          <cell r="C2008" t="str">
            <v>M</v>
          </cell>
          <cell r="D2008">
            <v>41.23</v>
          </cell>
        </row>
        <row r="2009">
          <cell r="A2009" t="str">
            <v>P.04.000.042177</v>
          </cell>
          <cell r="B2009" t="str">
            <v>Eletroduto com costura galvanizado eletroliticamente, DN = 3´ - NBR13057</v>
          </cell>
          <cell r="C2009" t="str">
            <v>M</v>
          </cell>
          <cell r="D2009">
            <v>67.180000000000007</v>
          </cell>
        </row>
        <row r="2010">
          <cell r="A2010" t="str">
            <v>P.04.000.042221</v>
          </cell>
          <cell r="B2010" t="str">
            <v>Luva de redução galvanizado de 2´ x 3/4´ - para-raio tipo Franklin</v>
          </cell>
          <cell r="C2010" t="str">
            <v>UN</v>
          </cell>
          <cell r="D2010">
            <v>71.099999999999994</v>
          </cell>
        </row>
        <row r="2011">
          <cell r="A2011" t="str">
            <v>P.04.000.042222</v>
          </cell>
          <cell r="B2011" t="str">
            <v>Niple duplo galvanizado de 2´</v>
          </cell>
          <cell r="C2011" t="str">
            <v>UN</v>
          </cell>
          <cell r="D2011">
            <v>47.01</v>
          </cell>
        </row>
        <row r="2012">
          <cell r="A2012" t="str">
            <v>P.04.000.042289</v>
          </cell>
          <cell r="B2012" t="str">
            <v>Sapata externa com 4 furos em aço zincado, de 38x38mm; ref. Atilux, Perfil Lider ou equivalente</v>
          </cell>
          <cell r="C2012" t="str">
            <v>UN</v>
          </cell>
          <cell r="D2012">
            <v>8.17</v>
          </cell>
        </row>
        <row r="2013">
          <cell r="A2013" t="str">
            <v>P.04.000.042290</v>
          </cell>
          <cell r="B2013" t="str">
            <v>Perfilado perfurado 38 x 38 mm em chapa 14 pré-zincada</v>
          </cell>
          <cell r="C2013" t="str">
            <v>M</v>
          </cell>
          <cell r="D2013">
            <v>25.98</v>
          </cell>
        </row>
        <row r="2014">
          <cell r="A2014" t="str">
            <v>P.04.000.042291</v>
          </cell>
          <cell r="B2014" t="str">
            <v>Saída final de 3/4´ para perfilado</v>
          </cell>
          <cell r="C2014" t="str">
            <v>UN</v>
          </cell>
          <cell r="D2014">
            <v>0.63</v>
          </cell>
        </row>
        <row r="2015">
          <cell r="A2015" t="str">
            <v>P.04.000.042293</v>
          </cell>
          <cell r="B2015" t="str">
            <v>Saída superior de 3/4´ para perfilado</v>
          </cell>
          <cell r="C2015" t="str">
            <v>UN</v>
          </cell>
          <cell r="D2015">
            <v>2.23</v>
          </cell>
        </row>
        <row r="2016">
          <cell r="A2016" t="str">
            <v>P.04.000.042301</v>
          </cell>
          <cell r="B2016" t="str">
            <v>Tirante/vergalhão aço rosca total de 3/8´</v>
          </cell>
          <cell r="C2016" t="str">
            <v>M</v>
          </cell>
          <cell r="D2016">
            <v>8.1999999999999993</v>
          </cell>
        </row>
        <row r="2017">
          <cell r="A2017" t="str">
            <v>P.04.000.045069</v>
          </cell>
          <cell r="B2017" t="str">
            <v>Curva horizontal dupla 90°, interna ou externa, tampa pintura eletrostática, 2x30x40 / 2x40x40 / 2x30x60mm, ref. 3143/3140PT Real Perfil ou equivalente</v>
          </cell>
          <cell r="C2017" t="str">
            <v>UN</v>
          </cell>
          <cell r="D2017">
            <v>72.09</v>
          </cell>
        </row>
        <row r="2018">
          <cell r="A2018" t="str">
            <v>P.04.000.045072</v>
          </cell>
          <cell r="B2018" t="str">
            <v>Curva vertical tripla de 90°, interna/externa, e tampa pintura eletrostática, 3x30x40 / 3x40x40 3x30x60mm, ref. 3126/3129PT Real Perfil ou equivalente</v>
          </cell>
          <cell r="C2018" t="str">
            <v>UN</v>
          </cell>
          <cell r="D2018">
            <v>97.96</v>
          </cell>
        </row>
        <row r="2019">
          <cell r="A2019" t="str">
            <v>P.04.000.045571</v>
          </cell>
          <cell r="B2019" t="str">
            <v>Terminal de fechamento ou mata junta com pintura eletrostática para rodapé triplo, 3x30x40 / 3x40x40 / 3x30x60mm, referência 3138PT Real Perfil ou equivalente</v>
          </cell>
          <cell r="C2019" t="str">
            <v>UN</v>
          </cell>
          <cell r="D2019">
            <v>15.51</v>
          </cell>
        </row>
        <row r="2020">
          <cell r="A2020" t="str">
            <v>P.04.000.046029</v>
          </cell>
          <cell r="B2020" t="str">
            <v>Cruzeta reforçada em ferro galvanizado para fixação de 4 projetores, externa; ref. YT-10/4 da Yluminart, SBC-704/S-R 4 da Shomei ou equivalente</v>
          </cell>
          <cell r="C2020" t="str">
            <v>UN</v>
          </cell>
          <cell r="D2020">
            <v>665.48</v>
          </cell>
        </row>
        <row r="2021">
          <cell r="A2021" t="str">
            <v>P.04.000.046055</v>
          </cell>
          <cell r="B2021" t="str">
            <v>Cruzeta reforçada em ferro galvanizado para fixação de 2 projetores, externa</v>
          </cell>
          <cell r="C2021" t="str">
            <v>UN</v>
          </cell>
          <cell r="D2021">
            <v>503.75</v>
          </cell>
        </row>
        <row r="2022">
          <cell r="A2022" t="str">
            <v>P.04.000.048553</v>
          </cell>
          <cell r="B2022" t="str">
            <v>Braçadeiras aço galvanizado para tubo de 1´ a 4´</v>
          </cell>
          <cell r="C2022" t="str">
            <v>UN</v>
          </cell>
          <cell r="D2022">
            <v>3.13</v>
          </cell>
        </row>
        <row r="2023">
          <cell r="A2023" t="str">
            <v>P.04.000.049470</v>
          </cell>
          <cell r="B2023" t="str">
            <v>Perfilado perfurado 38 x 76 mm em chapa 14 pré-zincada</v>
          </cell>
          <cell r="C2023" t="str">
            <v>M</v>
          </cell>
          <cell r="D2023">
            <v>53.53</v>
          </cell>
        </row>
        <row r="2024">
          <cell r="A2024" t="str">
            <v>P.04.000.049471</v>
          </cell>
          <cell r="B2024" t="str">
            <v>Perfilado liso 38 x 38 mm em chapa pré-zincada</v>
          </cell>
          <cell r="C2024" t="str">
            <v>M</v>
          </cell>
          <cell r="D2024">
            <v>27.47</v>
          </cell>
        </row>
        <row r="2025">
          <cell r="A2025" t="str">
            <v>P.04.000.049472</v>
          </cell>
          <cell r="B2025" t="str">
            <v>Tampa pressão para perfilado perfurado de 38 x 38 mm em chapa pré-zincada</v>
          </cell>
          <cell r="C2025" t="str">
            <v>M</v>
          </cell>
          <cell r="D2025">
            <v>7.31</v>
          </cell>
        </row>
        <row r="2026">
          <cell r="A2026" t="str">
            <v>P.04.000.049511</v>
          </cell>
          <cell r="B2026" t="str">
            <v>Mão francesa plana de 32x5x619mm</v>
          </cell>
          <cell r="C2026" t="str">
            <v>UN</v>
          </cell>
          <cell r="D2026">
            <v>19.149999999999999</v>
          </cell>
        </row>
        <row r="2027">
          <cell r="A2027" t="str">
            <v>P.04.000.049512</v>
          </cell>
          <cell r="B2027" t="str">
            <v>Mão francesa de 1/4´ x 32 x 700 mm</v>
          </cell>
          <cell r="C2027" t="str">
            <v>UN</v>
          </cell>
          <cell r="D2027">
            <v>23.27</v>
          </cell>
        </row>
        <row r="2028">
          <cell r="A2028" t="str">
            <v>P.04.000.049513</v>
          </cell>
          <cell r="B2028" t="str">
            <v>Mão francesa perfilada de 5x38x38x993mm</v>
          </cell>
          <cell r="C2028" t="str">
            <v>UN</v>
          </cell>
          <cell r="D2028">
            <v>65.14</v>
          </cell>
        </row>
        <row r="2029">
          <cell r="A2029" t="str">
            <v>P.04.000.049671</v>
          </cell>
          <cell r="B2029" t="str">
            <v>Niple cônico galvanizado a fogo de 2 1/2´</v>
          </cell>
          <cell r="C2029" t="str">
            <v>UN</v>
          </cell>
          <cell r="D2029">
            <v>68.53</v>
          </cell>
        </row>
        <row r="2030">
          <cell r="A2030" t="str">
            <v>P.04.000.062038</v>
          </cell>
          <cell r="B2030" t="str">
            <v>Eletrocalha lisa galvanizada a fogo, 50x50mm</v>
          </cell>
          <cell r="C2030" t="str">
            <v>M</v>
          </cell>
          <cell r="D2030">
            <v>40.15</v>
          </cell>
        </row>
        <row r="2031">
          <cell r="A2031" t="str">
            <v>P.04.000.062039</v>
          </cell>
          <cell r="B2031" t="str">
            <v>Eletrocalha lisa galvanizada a fogo, 100x50mm</v>
          </cell>
          <cell r="C2031" t="str">
            <v>M</v>
          </cell>
          <cell r="D2031">
            <v>53.29</v>
          </cell>
        </row>
        <row r="2032">
          <cell r="A2032" t="str">
            <v>P.04.000.062040</v>
          </cell>
          <cell r="B2032" t="str">
            <v>Eletrocalha lisa galvanizada a fogo, 150x50mm</v>
          </cell>
          <cell r="C2032" t="str">
            <v>M</v>
          </cell>
          <cell r="D2032">
            <v>65.62</v>
          </cell>
        </row>
        <row r="2033">
          <cell r="A2033" t="str">
            <v>P.04.000.062041</v>
          </cell>
          <cell r="B2033" t="str">
            <v>Eletrocalha lisa galvanizada a fogo, 200x50mm</v>
          </cell>
          <cell r="C2033" t="str">
            <v>M</v>
          </cell>
          <cell r="D2033">
            <v>78.400000000000006</v>
          </cell>
        </row>
        <row r="2034">
          <cell r="A2034" t="str">
            <v>P.04.000.062042</v>
          </cell>
          <cell r="B2034" t="str">
            <v>Eletrocalha lisa galvanizada a fogo, 250x50mm</v>
          </cell>
          <cell r="C2034" t="str">
            <v>M</v>
          </cell>
          <cell r="D2034">
            <v>92.28</v>
          </cell>
        </row>
        <row r="2035">
          <cell r="A2035" t="str">
            <v>P.04.000.062055</v>
          </cell>
          <cell r="B2035" t="str">
            <v>Eletrocalha lisa galvanizada a fogo, 100x100mm</v>
          </cell>
          <cell r="C2035" t="str">
            <v>M</v>
          </cell>
          <cell r="D2035">
            <v>80.95</v>
          </cell>
        </row>
        <row r="2036">
          <cell r="A2036" t="str">
            <v>P.04.000.062056</v>
          </cell>
          <cell r="B2036" t="str">
            <v>Eletrocalha lisa galvanizada a fogo, 150x100mm</v>
          </cell>
          <cell r="C2036" t="str">
            <v>M</v>
          </cell>
          <cell r="D2036">
            <v>90.14</v>
          </cell>
        </row>
        <row r="2037">
          <cell r="A2037" t="str">
            <v>P.04.000.062057</v>
          </cell>
          <cell r="B2037" t="str">
            <v>Eletrocalha lisa galvanizada a fogo, 200x100mm</v>
          </cell>
          <cell r="C2037" t="str">
            <v>M</v>
          </cell>
          <cell r="D2037">
            <v>106.91</v>
          </cell>
        </row>
        <row r="2038">
          <cell r="A2038" t="str">
            <v>P.04.000.062058</v>
          </cell>
          <cell r="B2038" t="str">
            <v>Eletrocalha lisa galvanizada a fogo, 250x100mm</v>
          </cell>
          <cell r="C2038" t="str">
            <v>M</v>
          </cell>
          <cell r="D2038">
            <v>118.7</v>
          </cell>
        </row>
        <row r="2039">
          <cell r="A2039" t="str">
            <v>P.04.000.062059</v>
          </cell>
          <cell r="B2039" t="str">
            <v>Eletrocalha lisa galvanizada a fogo, 300x100mm</v>
          </cell>
          <cell r="C2039" t="str">
            <v>M</v>
          </cell>
          <cell r="D2039">
            <v>128.4</v>
          </cell>
        </row>
        <row r="2040">
          <cell r="A2040" t="str">
            <v>P.04.000.062060</v>
          </cell>
          <cell r="B2040" t="str">
            <v>Eletrocalha lisa galvanizada a fogo, 400x100mm</v>
          </cell>
          <cell r="C2040" t="str">
            <v>M</v>
          </cell>
          <cell r="D2040">
            <v>159.34</v>
          </cell>
        </row>
        <row r="2041">
          <cell r="A2041" t="str">
            <v>P.04.000.062115</v>
          </cell>
          <cell r="B2041" t="str">
            <v>Eletrocalha perfurada galvanizada a fogo, 100x50mm</v>
          </cell>
          <cell r="C2041" t="str">
            <v>M</v>
          </cell>
          <cell r="D2041">
            <v>46.59</v>
          </cell>
        </row>
        <row r="2042">
          <cell r="A2042" t="str">
            <v>P.04.000.062116</v>
          </cell>
          <cell r="B2042" t="str">
            <v>Eletrocalha perfurada galvanizada a fogo, 150x50mm</v>
          </cell>
          <cell r="C2042" t="str">
            <v>M</v>
          </cell>
          <cell r="D2042">
            <v>57.68</v>
          </cell>
        </row>
        <row r="2043">
          <cell r="A2043" t="str">
            <v>P.04.000.062117</v>
          </cell>
          <cell r="B2043" t="str">
            <v>Eletrocalha perfurada galvanizada a fogo, 200x50mm</v>
          </cell>
          <cell r="C2043" t="str">
            <v>M</v>
          </cell>
          <cell r="D2043">
            <v>70.5</v>
          </cell>
        </row>
        <row r="2044">
          <cell r="A2044" t="str">
            <v>P.04.000.062118</v>
          </cell>
          <cell r="B2044" t="str">
            <v>Eletrocalha perfurada galvanizada a fogo, 250x50mm</v>
          </cell>
          <cell r="C2044" t="str">
            <v>M</v>
          </cell>
          <cell r="D2044">
            <v>80.03</v>
          </cell>
        </row>
        <row r="2045">
          <cell r="A2045" t="str">
            <v>P.04.000.062132</v>
          </cell>
          <cell r="B2045" t="str">
            <v>Eletrocalha perfurada galvanizada a fogo, 150x100mm</v>
          </cell>
          <cell r="C2045" t="str">
            <v>M</v>
          </cell>
          <cell r="D2045">
            <v>77.709999999999994</v>
          </cell>
        </row>
        <row r="2046">
          <cell r="A2046" t="str">
            <v>P.04.000.062133</v>
          </cell>
          <cell r="B2046" t="str">
            <v>Eletrocalha perfurada galvanizada a fogo, 200x100mm</v>
          </cell>
          <cell r="C2046" t="str">
            <v>M</v>
          </cell>
          <cell r="D2046">
            <v>93.18</v>
          </cell>
        </row>
        <row r="2047">
          <cell r="A2047" t="str">
            <v>P.04.000.062134</v>
          </cell>
          <cell r="B2047" t="str">
            <v>Eletrocalha perfurada galvanizada a fogo, 250x100mm</v>
          </cell>
          <cell r="C2047" t="str">
            <v>M</v>
          </cell>
          <cell r="D2047">
            <v>106.35</v>
          </cell>
        </row>
        <row r="2048">
          <cell r="A2048" t="str">
            <v>P.04.000.062135</v>
          </cell>
          <cell r="B2048" t="str">
            <v>Eletrocalha perfurada galvanizada a fogo, 300x100mm</v>
          </cell>
          <cell r="C2048" t="str">
            <v>M</v>
          </cell>
          <cell r="D2048">
            <v>114.23</v>
          </cell>
        </row>
        <row r="2049">
          <cell r="A2049" t="str">
            <v>P.04.000.062136</v>
          </cell>
          <cell r="B2049" t="str">
            <v>Eletrocalha perfurada galvanizada a fogo, 400x100mm</v>
          </cell>
          <cell r="C2049" t="str">
            <v>M</v>
          </cell>
          <cell r="D2049">
            <v>164.57</v>
          </cell>
        </row>
        <row r="2050">
          <cell r="A2050" t="str">
            <v>P.04.000.062170</v>
          </cell>
          <cell r="B2050" t="str">
            <v>Tampa encaixe para eletrocalha galvanizada a fogo, L= 50mm</v>
          </cell>
          <cell r="C2050" t="str">
            <v>M</v>
          </cell>
          <cell r="D2050">
            <v>21.24</v>
          </cell>
        </row>
        <row r="2051">
          <cell r="A2051" t="str">
            <v>P.04.000.062171</v>
          </cell>
          <cell r="B2051" t="str">
            <v>Tampa encaixe para eletrocalha galvanizada a fogo, L= 100mm</v>
          </cell>
          <cell r="C2051" t="str">
            <v>M</v>
          </cell>
          <cell r="D2051">
            <v>37.22</v>
          </cell>
        </row>
        <row r="2052">
          <cell r="A2052" t="str">
            <v>P.04.000.062172</v>
          </cell>
          <cell r="B2052" t="str">
            <v>Tampa encaixe para eletrocalha galvanizada a fogo, L= 150mm</v>
          </cell>
          <cell r="C2052" t="str">
            <v>M</v>
          </cell>
          <cell r="D2052">
            <v>51.83</v>
          </cell>
        </row>
        <row r="2053">
          <cell r="A2053" t="str">
            <v>P.04.000.062173</v>
          </cell>
          <cell r="B2053" t="str">
            <v>Tampa encaixe para eletrocalha galvanizada a fogo, L= 200mm</v>
          </cell>
          <cell r="C2053" t="str">
            <v>M</v>
          </cell>
          <cell r="D2053">
            <v>64.91</v>
          </cell>
        </row>
        <row r="2054">
          <cell r="A2054" t="str">
            <v>P.04.000.062174</v>
          </cell>
          <cell r="B2054" t="str">
            <v>Tampa encaixe para eletrocalha galvanizada a fogo, L= 250mm</v>
          </cell>
          <cell r="C2054" t="str">
            <v>M</v>
          </cell>
          <cell r="D2054">
            <v>88.31</v>
          </cell>
        </row>
        <row r="2055">
          <cell r="A2055" t="str">
            <v>P.04.000.062175</v>
          </cell>
          <cell r="B2055" t="str">
            <v>Tampa encaixe para eletrocalha galvanizada a fogo, L= 300mm</v>
          </cell>
          <cell r="C2055" t="str">
            <v>M</v>
          </cell>
          <cell r="D2055">
            <v>93.56</v>
          </cell>
        </row>
        <row r="2056">
          <cell r="A2056" t="str">
            <v>P.04.000.062176</v>
          </cell>
          <cell r="B2056" t="str">
            <v>Tampa encaixe para eletrocalha galvanizada a fogo, L= 400mm</v>
          </cell>
          <cell r="C2056" t="str">
            <v>M</v>
          </cell>
          <cell r="D2056">
            <v>125.72</v>
          </cell>
        </row>
        <row r="2057">
          <cell r="A2057" t="str">
            <v>P.04.000.062187</v>
          </cell>
          <cell r="B2057" t="str">
            <v>Suporte para eletrocalha galvanizado a fogo, 50x50mm</v>
          </cell>
          <cell r="C2057" t="str">
            <v>UN</v>
          </cell>
          <cell r="D2057">
            <v>5.8</v>
          </cell>
        </row>
        <row r="2058">
          <cell r="A2058" t="str">
            <v>P.04.000.062188</v>
          </cell>
          <cell r="B2058" t="str">
            <v>Suporte para eletrocalha galvanizado a fogo, 100x50mm</v>
          </cell>
          <cell r="C2058" t="str">
            <v>UN</v>
          </cell>
          <cell r="D2058">
            <v>10.69</v>
          </cell>
        </row>
        <row r="2059">
          <cell r="A2059" t="str">
            <v>P.04.000.062189</v>
          </cell>
          <cell r="B2059" t="str">
            <v>Suporte para eletrocalha galvanizado a fogo, 150x50mm</v>
          </cell>
          <cell r="C2059" t="str">
            <v>UN</v>
          </cell>
          <cell r="D2059">
            <v>13.58</v>
          </cell>
        </row>
        <row r="2060">
          <cell r="A2060" t="str">
            <v>P.04.000.062190</v>
          </cell>
          <cell r="B2060" t="str">
            <v>Suporte para eletrocalha galvanizado a fogo, 200x50mm</v>
          </cell>
          <cell r="C2060" t="str">
            <v>UN</v>
          </cell>
          <cell r="D2060">
            <v>16.399999999999999</v>
          </cell>
        </row>
        <row r="2061">
          <cell r="A2061" t="str">
            <v>P.04.000.062191</v>
          </cell>
          <cell r="B2061" t="str">
            <v>Suporte para eletrocalha galvanizado a fogo, 250x50mm</v>
          </cell>
          <cell r="C2061" t="str">
            <v>UN</v>
          </cell>
          <cell r="D2061">
            <v>18.64</v>
          </cell>
        </row>
        <row r="2062">
          <cell r="A2062" t="str">
            <v>P.04.000.062192</v>
          </cell>
          <cell r="B2062" t="str">
            <v>Suporte para eletrocalha galvanizado a fogo, 300x50mm</v>
          </cell>
          <cell r="C2062" t="str">
            <v>UN</v>
          </cell>
          <cell r="D2062">
            <v>22.18</v>
          </cell>
        </row>
        <row r="2063">
          <cell r="A2063" t="str">
            <v>P.04.000.062196</v>
          </cell>
          <cell r="B2063" t="str">
            <v>Suporte para eletrocalha galvanizada a fogo, 100x100mm</v>
          </cell>
          <cell r="C2063" t="str">
            <v>UN</v>
          </cell>
          <cell r="D2063">
            <v>13.87</v>
          </cell>
        </row>
        <row r="2064">
          <cell r="A2064" t="str">
            <v>P.04.000.062197</v>
          </cell>
          <cell r="B2064" t="str">
            <v>Suporte para eletrocalha galvanizada a fogo, 150x100mm</v>
          </cell>
          <cell r="C2064" t="str">
            <v>UN</v>
          </cell>
          <cell r="D2064">
            <v>15.8</v>
          </cell>
        </row>
        <row r="2065">
          <cell r="A2065" t="str">
            <v>P.04.000.062198</v>
          </cell>
          <cell r="B2065" t="str">
            <v>Suporte para eletrocalha galvanizada a fogo, 200x100mm</v>
          </cell>
          <cell r="C2065" t="str">
            <v>UN</v>
          </cell>
          <cell r="D2065">
            <v>21.1</v>
          </cell>
        </row>
        <row r="2066">
          <cell r="A2066" t="str">
            <v>P.04.000.062199</v>
          </cell>
          <cell r="B2066" t="str">
            <v>Suporte para eletrocalha galvanizada a fogo, 250x100mm</v>
          </cell>
          <cell r="C2066" t="str">
            <v>UN</v>
          </cell>
          <cell r="D2066">
            <v>21.81</v>
          </cell>
        </row>
        <row r="2067">
          <cell r="A2067" t="str">
            <v>P.04.000.062201</v>
          </cell>
          <cell r="B2067" t="str">
            <v>Suporte para eletrocalha galvanizada a fogo, 300x100mm</v>
          </cell>
          <cell r="C2067" t="str">
            <v>UN</v>
          </cell>
          <cell r="D2067">
            <v>25.89</v>
          </cell>
        </row>
        <row r="2068">
          <cell r="A2068" t="str">
            <v>P.04.000.062202</v>
          </cell>
          <cell r="B2068" t="str">
            <v>Suporte para eletrocalha galvanizada a fogo, 400x100mm</v>
          </cell>
          <cell r="C2068" t="str">
            <v>UN</v>
          </cell>
          <cell r="D2068">
            <v>27.92</v>
          </cell>
        </row>
        <row r="2069">
          <cell r="A2069" t="str">
            <v>P.04.000.062205</v>
          </cell>
          <cell r="B2069" t="str">
            <v>Mão francesa simples, galvanizada a fogo, L= 200mm</v>
          </cell>
          <cell r="C2069" t="str">
            <v>UN</v>
          </cell>
          <cell r="D2069">
            <v>15.34</v>
          </cell>
        </row>
        <row r="2070">
          <cell r="A2070" t="str">
            <v>P.04.000.062206</v>
          </cell>
          <cell r="B2070" t="str">
            <v>Mão francesa simples, galvanizada a fogo, L= 300mm</v>
          </cell>
          <cell r="C2070" t="str">
            <v>UN</v>
          </cell>
          <cell r="D2070">
            <v>17.45</v>
          </cell>
        </row>
        <row r="2071">
          <cell r="A2071" t="str">
            <v>P.04.000.062207</v>
          </cell>
          <cell r="B2071" t="str">
            <v>Mão francesa simples, galvanizada a fogo, L= 400mm</v>
          </cell>
          <cell r="C2071" t="str">
            <v>UN</v>
          </cell>
          <cell r="D2071">
            <v>21.87</v>
          </cell>
        </row>
        <row r="2072">
          <cell r="A2072" t="str">
            <v>P.04.000.062208</v>
          </cell>
          <cell r="B2072" t="str">
            <v>Mão francesa simples, galvanizada a fogo, L= 500mm</v>
          </cell>
          <cell r="C2072" t="str">
            <v>UN</v>
          </cell>
          <cell r="D2072">
            <v>27.25</v>
          </cell>
        </row>
        <row r="2073">
          <cell r="A2073" t="str">
            <v>P.04.000.062210</v>
          </cell>
          <cell r="B2073" t="str">
            <v>Mão francesa dupla, galvanizada a fogo, L= 300mm</v>
          </cell>
          <cell r="C2073" t="str">
            <v>UN</v>
          </cell>
          <cell r="D2073">
            <v>25.85</v>
          </cell>
        </row>
        <row r="2074">
          <cell r="A2074" t="str">
            <v>P.04.000.062211</v>
          </cell>
          <cell r="B2074" t="str">
            <v>Mão francesa dupla, galvanizada a fogo, L= 400mm</v>
          </cell>
          <cell r="C2074" t="str">
            <v>UN</v>
          </cell>
          <cell r="D2074">
            <v>33.200000000000003</v>
          </cell>
        </row>
        <row r="2075">
          <cell r="A2075" t="str">
            <v>P.04.000.062212</v>
          </cell>
          <cell r="B2075" t="str">
            <v>Mão francesa dupla, galvanizada a fogo, L= 500mm</v>
          </cell>
          <cell r="C2075" t="str">
            <v>UN</v>
          </cell>
          <cell r="D2075">
            <v>47.49</v>
          </cell>
        </row>
        <row r="2076">
          <cell r="A2076" t="str">
            <v>P.04.000.062229</v>
          </cell>
          <cell r="B2076" t="str">
            <v>Rodapé técnico duplo com tampa pintura eletrostática, 2x30x40 / 2x40x40 / 2x30x60mm</v>
          </cell>
          <cell r="C2076" t="str">
            <v>M</v>
          </cell>
          <cell r="D2076">
            <v>63.79</v>
          </cell>
        </row>
        <row r="2077">
          <cell r="A2077" t="str">
            <v>P.04.000.062230</v>
          </cell>
          <cell r="B2077" t="str">
            <v>Curva vertical dupla de 90°, interna ou externa, e tampa pintura eletrostática, 2x30x40 / 2x40x40 / 2x30x60mm, ref. 3128PT Real Perfil ou equivalente</v>
          </cell>
          <cell r="C2077" t="str">
            <v>UN</v>
          </cell>
          <cell r="D2077">
            <v>81.099999999999994</v>
          </cell>
        </row>
        <row r="2078">
          <cell r="A2078" t="str">
            <v>P.04.000.062231</v>
          </cell>
          <cell r="B2078" t="str">
            <v>Terminal de fechamento ou mata junta com pintura eletrostática, para rodapé duplo, 2x30x40 / 2x40x40 / 2x30x60mm, ref. 3137PT Real Perfil ou equivalente</v>
          </cell>
          <cell r="C2078" t="str">
            <v>UN</v>
          </cell>
          <cell r="D2078">
            <v>12.82</v>
          </cell>
        </row>
        <row r="2079">
          <cell r="A2079" t="str">
            <v>P.04.000.062251</v>
          </cell>
          <cell r="B2079" t="str">
            <v>Saída lateral de eletrocalha para eletroduto de 1´</v>
          </cell>
          <cell r="C2079" t="str">
            <v>UN</v>
          </cell>
          <cell r="D2079">
            <v>1.68</v>
          </cell>
        </row>
        <row r="2080">
          <cell r="A2080" t="str">
            <v>P.04.000.062801</v>
          </cell>
          <cell r="B2080" t="str">
            <v>Rodapé técnico triplo com tampa e pintura eletrostática de 3x30x40 / 3x40x40 / 3x30x60mm, ref. 3109PT Real Perfil ou equivalente</v>
          </cell>
          <cell r="C2080" t="str">
            <v>M</v>
          </cell>
          <cell r="D2080">
            <v>89.89</v>
          </cell>
        </row>
        <row r="2081">
          <cell r="A2081" t="str">
            <v>P.04.000.062803</v>
          </cell>
          <cell r="B2081" t="str">
            <v>Curva horizontal tripla 90°, interna/externa, tampa e pintura eletrostática de 3x30x40 / 3x40x40 / 3x30x60mm, ref. 3144/3141PT Real Perfil ou equivalente</v>
          </cell>
          <cell r="C2081" t="str">
            <v>UN</v>
          </cell>
          <cell r="D2081">
            <v>97.79</v>
          </cell>
        </row>
        <row r="2082">
          <cell r="A2082" t="str">
            <v>P.04.000.062805</v>
          </cell>
          <cell r="B2082" t="str">
            <v>Tê triplo de 90° horizontal ou vertical, tampa com pintura eletrostática de 3x30x40 / 3x40x40 / 3x30x60mm, ref. 3135/3132PT Real Perfil ou equivalente</v>
          </cell>
          <cell r="C2082" t="str">
            <v>UN</v>
          </cell>
          <cell r="D2082">
            <v>133.03</v>
          </cell>
        </row>
        <row r="2083">
          <cell r="A2083" t="str">
            <v>P.04.000.062806</v>
          </cell>
          <cell r="B2083" t="str">
            <v>Caixa para tomada de energia, RJ, sobressalente, interruptor ou espelho de 3x30x40 / 3x40x40 / 3x30x60mm, ref. 3114PT Real Perfil ou equivalente</v>
          </cell>
          <cell r="C2083" t="str">
            <v>UN</v>
          </cell>
          <cell r="D2083">
            <v>31.08</v>
          </cell>
        </row>
        <row r="2084">
          <cell r="A2084" t="str">
            <v>P.04.000.065641</v>
          </cell>
          <cell r="B2084" t="str">
            <v>Leito para cabos, tipo pesado, em aço galvanizado a fogo, de 300 x 100 mm, ref. Mopa ou equivalente</v>
          </cell>
          <cell r="C2084" t="str">
            <v>M</v>
          </cell>
          <cell r="D2084">
            <v>174.61</v>
          </cell>
        </row>
        <row r="2085">
          <cell r="A2085" t="str">
            <v>P.04.000.065643</v>
          </cell>
          <cell r="B2085" t="str">
            <v>Leito para cabos, tipo pesado, em aço galvanizado a fogo, de 800 x 100 mm, ref. 156-0800 Mopa ou equivalente</v>
          </cell>
          <cell r="C2085" t="str">
            <v>M</v>
          </cell>
          <cell r="D2085">
            <v>314.3</v>
          </cell>
        </row>
        <row r="2086">
          <cell r="A2086" t="str">
            <v>P.04.000.065644</v>
          </cell>
          <cell r="B2086" t="str">
            <v>Leito para cabos, tipo pesado, em aço galvanizado a fogo, de 500 x 100 mm, ref. 156-0500-Z Mopa ou equivalente</v>
          </cell>
          <cell r="C2086" t="str">
            <v>M</v>
          </cell>
          <cell r="D2086">
            <v>246.67</v>
          </cell>
        </row>
        <row r="2087">
          <cell r="A2087" t="str">
            <v>P.04.000.065649</v>
          </cell>
          <cell r="B2087" t="str">
            <v>Leito para cabos, tipo pesado, em aço galvanizado a fogo, de 400 x 100 mm, ref. 156-0400-F da Mopa ou equivalente</v>
          </cell>
          <cell r="C2087" t="str">
            <v>M</v>
          </cell>
          <cell r="D2087">
            <v>230.13</v>
          </cell>
        </row>
        <row r="2088">
          <cell r="A2088" t="str">
            <v>P.04.000.065650</v>
          </cell>
          <cell r="B2088" t="str">
            <v>Leito para cabos, tipo pesado, em aço galvanizado a fogo, de 600 x 100 mm, ref. 156-0600-F da Mopa ou equivalente</v>
          </cell>
          <cell r="C2088" t="str">
            <v>M</v>
          </cell>
          <cell r="D2088">
            <v>270.14999999999998</v>
          </cell>
        </row>
        <row r="2089">
          <cell r="A2089" t="str">
            <v>P.04.000.090407</v>
          </cell>
          <cell r="B2089" t="str">
            <v>Terminal para vergalhão diâmetro 3/8´</v>
          </cell>
          <cell r="C2089" t="str">
            <v>UN</v>
          </cell>
          <cell r="D2089">
            <v>22.96</v>
          </cell>
        </row>
        <row r="2090">
          <cell r="A2090" t="str">
            <v>P.04.000.090614</v>
          </cell>
          <cell r="B2090" t="str">
            <v>Caixa de passagem pré-zincado a frio, com tampa quadrada 4 x 25 x 70 mm, para duto de piso</v>
          </cell>
          <cell r="C2090" t="str">
            <v>UN</v>
          </cell>
          <cell r="D2090">
            <v>48.98</v>
          </cell>
        </row>
        <row r="2091">
          <cell r="A2091" t="str">
            <v>P.04.000.090728</v>
          </cell>
          <cell r="B2091" t="str">
            <v>Poste telecônico em aço SAE 1010/1020 galvanizado a fogo, com espera para duas luminárias, altura de 3 m</v>
          </cell>
          <cell r="C2091" t="str">
            <v>UN</v>
          </cell>
          <cell r="D2091">
            <v>403.12</v>
          </cell>
        </row>
        <row r="2092">
          <cell r="A2092" t="str">
            <v>P.04.000.091215</v>
          </cell>
          <cell r="B2092" t="str">
            <v>Duto modulado, pré-zincado, com luvas deslocadas 3 x 25 x 70 mm</v>
          </cell>
          <cell r="C2092" t="str">
            <v>M</v>
          </cell>
          <cell r="D2092">
            <v>76.19</v>
          </cell>
        </row>
        <row r="2093">
          <cell r="A2093" t="str">
            <v>P.04.000.091216</v>
          </cell>
          <cell r="B2093" t="str">
            <v>Duto liso pré-zincado a fogo/galvanizado de 2 x 25 x 70 mm, ref. Mopa ou equivalente</v>
          </cell>
          <cell r="C2093" t="str">
            <v>M</v>
          </cell>
          <cell r="D2093">
            <v>47.48</v>
          </cell>
        </row>
        <row r="2094">
          <cell r="A2094" t="str">
            <v>P.04.000.091217</v>
          </cell>
          <cell r="B2094" t="str">
            <v>Tirante/vergalhão aço rosca total de 1/4´</v>
          </cell>
          <cell r="C2094" t="str">
            <v>M</v>
          </cell>
          <cell r="D2094">
            <v>3.84</v>
          </cell>
        </row>
        <row r="2095">
          <cell r="A2095" t="str">
            <v>P.04.000.091220</v>
          </cell>
          <cell r="B2095" t="str">
            <v>Saída lateral simples de 3/4" para perfilado, referência VL 2/3.00.00.33PZ da Valeman, Real Perfil ou equivalente</v>
          </cell>
          <cell r="C2095" t="str">
            <v>UN</v>
          </cell>
          <cell r="D2095">
            <v>1.66</v>
          </cell>
        </row>
        <row r="2096">
          <cell r="A2096" t="str">
            <v>P.04.000.091361</v>
          </cell>
          <cell r="B2096" t="str">
            <v>Poste telecônico reto em aço SAE 1010/1020 galvanizado a fogo, altura de 10 m</v>
          </cell>
          <cell r="C2096" t="str">
            <v>UN</v>
          </cell>
          <cell r="D2096">
            <v>1787.96</v>
          </cell>
        </row>
        <row r="2097">
          <cell r="A2097" t="str">
            <v>P.04.000.091362</v>
          </cell>
          <cell r="B2097" t="str">
            <v>Poste telecônico reto em aço SAE 1010/1020 galvanizado a fogo, altura de 8 m</v>
          </cell>
          <cell r="C2097" t="str">
            <v>UN</v>
          </cell>
          <cell r="D2097">
            <v>1403</v>
          </cell>
        </row>
        <row r="2098">
          <cell r="A2098" t="str">
            <v>P.04.000.092151</v>
          </cell>
          <cell r="B2098" t="str">
            <v>Cruzeta em aço carbono galvanizado, perfil ´L´, dimensões 8 x 75 x 2500 mm, ref. 400238 Romagnole ou equivalente</v>
          </cell>
          <cell r="C2098" t="str">
            <v>UN</v>
          </cell>
          <cell r="D2098">
            <v>865.13</v>
          </cell>
        </row>
        <row r="2099">
          <cell r="A2099" t="str">
            <v>P.04.000.092157</v>
          </cell>
          <cell r="B2099" t="str">
            <v>Eletroduto metálico flexível de 3/4´; ref. Sealtubo da SPTF ou equivalente</v>
          </cell>
          <cell r="C2099" t="str">
            <v>M</v>
          </cell>
          <cell r="D2099">
            <v>9.18</v>
          </cell>
        </row>
        <row r="2100">
          <cell r="A2100" t="str">
            <v>P.04.000.092158</v>
          </cell>
          <cell r="B2100" t="str">
            <v>Eletroduto metálico flexível de 1´; ref. Sealtubo da SPTF ou equivalente</v>
          </cell>
          <cell r="C2100" t="str">
            <v>M</v>
          </cell>
          <cell r="D2100">
            <v>12.19</v>
          </cell>
        </row>
        <row r="2101">
          <cell r="A2101" t="str">
            <v>P.04.000.092160</v>
          </cell>
          <cell r="B2101" t="str">
            <v>Eletroduto metálico flexível de 2´; ref. Sealtubo da SPTF ou equivalente</v>
          </cell>
          <cell r="C2101" t="str">
            <v>M</v>
          </cell>
          <cell r="D2101">
            <v>30.13</v>
          </cell>
        </row>
        <row r="2102">
          <cell r="A2102" t="str">
            <v>P.04.000.092172</v>
          </cell>
          <cell r="B2102" t="str">
            <v>Poste telecônico reto em aço SAE 1010/1020 galvanizado a fogo, altura de 6 m</v>
          </cell>
          <cell r="C2102" t="str">
            <v>UN</v>
          </cell>
          <cell r="D2102">
            <v>1093.05</v>
          </cell>
        </row>
        <row r="2103">
          <cell r="A2103" t="str">
            <v>P.04.000.092173</v>
          </cell>
          <cell r="B2103" t="str">
            <v>Coluna (P-57) para fixação de placa de orientação, com braço projetado de 3" x 3,15 m e coluna de 4" x 5,25 m x 3,75 mm, para placas com área até 2 m²</v>
          </cell>
          <cell r="C2103" t="str">
            <v>UN</v>
          </cell>
          <cell r="D2103">
            <v>5621.17</v>
          </cell>
        </row>
        <row r="2104">
          <cell r="A2104" t="str">
            <v>P.04.000.092174</v>
          </cell>
          <cell r="B2104" t="str">
            <v>Coluna simples (P-51) para fixação de placa de orientação, de 4" x 5 m x 3,75 mm</v>
          </cell>
          <cell r="C2104" t="str">
            <v>UN</v>
          </cell>
          <cell r="D2104">
            <v>3111.35</v>
          </cell>
        </row>
        <row r="2105">
          <cell r="A2105" t="str">
            <v>P.04.000.092175</v>
          </cell>
          <cell r="B2105" t="str">
            <v>Coluna dupla (P-53) para fixação de placa de orientação, de 4" x 5 m x 3,75 mm</v>
          </cell>
          <cell r="C2105" t="str">
            <v>UN</v>
          </cell>
          <cell r="D2105">
            <v>5428.09</v>
          </cell>
        </row>
        <row r="2106">
          <cell r="A2106" t="str">
            <v>P.04.000.092176</v>
          </cell>
          <cell r="B2106" t="str">
            <v>Coluna simples (PP), de 2 1/2" x 3,6 m</v>
          </cell>
          <cell r="C2106" t="str">
            <v>UN</v>
          </cell>
          <cell r="D2106">
            <v>779.91</v>
          </cell>
        </row>
        <row r="2107">
          <cell r="A2107" t="str">
            <v>P.04.000.092177</v>
          </cell>
          <cell r="B2107" t="str">
            <v>Braço (P-55) para fixação em poste de concreto, de 3" x 2,7 m x 3,75 mm</v>
          </cell>
          <cell r="C2107" t="str">
            <v>UN</v>
          </cell>
          <cell r="D2107">
            <v>2720.79</v>
          </cell>
        </row>
        <row r="2108">
          <cell r="A2108" t="str">
            <v>P.04.000.092178</v>
          </cell>
          <cell r="B2108" t="str">
            <v>Grupo focal para pedestre com lâmpada LED, em policarbonato, com suportes de fixação e contador regressivo no verde, completo</v>
          </cell>
          <cell r="C2108" t="str">
            <v>UN</v>
          </cell>
          <cell r="D2108">
            <v>3259.93</v>
          </cell>
        </row>
        <row r="2109">
          <cell r="A2109" t="str">
            <v>P.04.000.092179</v>
          </cell>
          <cell r="B2109" t="str">
            <v>Grupo focal veicular com lâmpada LED, em policarbonato, com anteparo e suportes de fixação, completo</v>
          </cell>
          <cell r="C2109" t="str">
            <v>UN</v>
          </cell>
          <cell r="D2109">
            <v>4273.88</v>
          </cell>
        </row>
        <row r="2110">
          <cell r="A2110" t="str">
            <v>P.05.000.092162</v>
          </cell>
          <cell r="B2110" t="str">
            <v>Terminal em latão zincado macho fixo, 3/4´ ref. CMZL da SPTF ou equivalente</v>
          </cell>
          <cell r="C2110" t="str">
            <v>UN</v>
          </cell>
          <cell r="D2110">
            <v>17.940000000000001</v>
          </cell>
        </row>
        <row r="2111">
          <cell r="A2111" t="str">
            <v>P.05.000.092163</v>
          </cell>
          <cell r="B2111" t="str">
            <v>Terminal em latão zincado macho fixo, 1´ ref. CMZL da SPTF ou equivalente</v>
          </cell>
          <cell r="C2111" t="str">
            <v>UN</v>
          </cell>
          <cell r="D2111">
            <v>22.87</v>
          </cell>
        </row>
        <row r="2112">
          <cell r="A2112" t="str">
            <v>P.05.000.092165</v>
          </cell>
          <cell r="B2112" t="str">
            <v>Terminal em latão zincado macho fixo, 2´ ref. CMZL da SPTF ou equivalente</v>
          </cell>
          <cell r="C2112" t="str">
            <v>UN</v>
          </cell>
          <cell r="D2112">
            <v>70.25</v>
          </cell>
        </row>
        <row r="2113">
          <cell r="A2113" t="str">
            <v>P.05.000.092167</v>
          </cell>
          <cell r="B2113" t="str">
            <v>Terminal em latão zincado macho giratório 3/4´ ref. CMZGL da SPTF ou equivalente</v>
          </cell>
          <cell r="C2113" t="str">
            <v>UN</v>
          </cell>
          <cell r="D2113">
            <v>22.66</v>
          </cell>
        </row>
        <row r="2114">
          <cell r="A2114" t="str">
            <v>P.05.000.092168</v>
          </cell>
          <cell r="B2114" t="str">
            <v>Terminal em latão zincado macho giratório 1´ ref. CMZGL da SPTF ou equivalente</v>
          </cell>
          <cell r="C2114" t="str">
            <v>UN</v>
          </cell>
          <cell r="D2114">
            <v>39.97</v>
          </cell>
        </row>
        <row r="2115">
          <cell r="A2115" t="str">
            <v>P.05.000.092170</v>
          </cell>
          <cell r="B2115" t="str">
            <v>Terminal em latão zincado macho giratório 2´ ref. CMZGL da SPTF ou equivalente</v>
          </cell>
          <cell r="C2115" t="str">
            <v>UN</v>
          </cell>
          <cell r="D2115">
            <v>91.48</v>
          </cell>
        </row>
        <row r="2116">
          <cell r="A2116" t="str">
            <v>P.07.000.042247</v>
          </cell>
          <cell r="B2116" t="str">
            <v xml:space="preserve">Caixa de inspeção suspensa em polipropileno ou PVC; ref. PK-0161 Paraklin, PRT-960 Paratec ou equivalente </v>
          </cell>
          <cell r="C2116" t="str">
            <v>UN</v>
          </cell>
          <cell r="D2116">
            <v>20.93</v>
          </cell>
        </row>
        <row r="2117">
          <cell r="A2117" t="str">
            <v>P.07.000.043252</v>
          </cell>
          <cell r="B2117" t="str">
            <v>Sistema de barramento blindado de 100 a 2000 A, trifásico, barra de aluminio, composto por: calha condutora trifásica com neutro 100%, igual ou superior a 630 V (Ui), para uso interno; ref. Megabarre, Beghin, Helzin ou equivalente</v>
          </cell>
          <cell r="C2117" t="str">
            <v>Axm</v>
          </cell>
          <cell r="D2117">
            <v>187.48</v>
          </cell>
        </row>
        <row r="2118">
          <cell r="A2118" t="str">
            <v>P.07.000.045033</v>
          </cell>
          <cell r="B2118" t="str">
            <v>Caixa tomada em poliamida para piso elevado com 4 alojamentos elétricos, até 8 alojamentos para telefonia e dados; ref. SPE-2702R/SPE-2702Q da Sperone ou equivalente</v>
          </cell>
          <cell r="C2118" t="str">
            <v>UN</v>
          </cell>
          <cell r="D2118">
            <v>166.33</v>
          </cell>
        </row>
        <row r="2119">
          <cell r="A2119" t="str">
            <v>P.07.000.045056</v>
          </cell>
          <cell r="B2119" t="str">
            <v>Condulete de 4´, corpo e tampa em alumínio injetado ou fundido, com saídas laterais em vários modelos, com ou sem rosca; ref. Daisa, Conduletzel da Wetzel ou equivalente</v>
          </cell>
          <cell r="C2119" t="str">
            <v>UN</v>
          </cell>
          <cell r="D2119">
            <v>400.46</v>
          </cell>
        </row>
        <row r="2120">
          <cell r="A2120" t="str">
            <v>P.07.000.045057</v>
          </cell>
          <cell r="B2120" t="str">
            <v>Condulete de 1´, corpo e tampa em alumínio injetado ou fundido, com saídas laterais em vários modelos, com ou sem rosca; ref. Daisa, Conduletzel da Wetzel ou equivalente</v>
          </cell>
          <cell r="C2120" t="str">
            <v>UN</v>
          </cell>
          <cell r="D2120">
            <v>23.04</v>
          </cell>
        </row>
        <row r="2121">
          <cell r="A2121" t="str">
            <v>P.07.000.045059</v>
          </cell>
          <cell r="B2121" t="str">
            <v>Condulete de 1 1/2´, corpo e tampa em alumínio injetado ou fundido, com saídas laterais em vários modelos, com ou sem rosca; ref. Daisa, Conduletzel da Wetzel ou equivalente</v>
          </cell>
          <cell r="C2121" t="str">
            <v>UN</v>
          </cell>
          <cell r="D2121">
            <v>54.07</v>
          </cell>
        </row>
        <row r="2122">
          <cell r="A2122" t="str">
            <v>P.07.000.045060</v>
          </cell>
          <cell r="B2122" t="str">
            <v>Condulete de 2´, corpo e tampa em alumínio injetado ou fundido, com saídas laterais em vários modelos, com ou sem rosca; ref. Daisa, Conduletzel da Wetzel ou equivalente</v>
          </cell>
          <cell r="C2122" t="str">
            <v>UN</v>
          </cell>
          <cell r="D2122">
            <v>73.760000000000005</v>
          </cell>
        </row>
        <row r="2123">
          <cell r="A2123" t="str">
            <v>P.07.000.045061</v>
          </cell>
          <cell r="B2123" t="str">
            <v>Condulete de 2 1/2´, corpo e tampa em alumínio injetado ou fundido, com saídas laterais em vários modelos, com ou sem rosca; ref. Daisa, Conduletzel da Wetzel ou equivalente</v>
          </cell>
          <cell r="C2123" t="str">
            <v>UN</v>
          </cell>
          <cell r="D2123">
            <v>219.66</v>
          </cell>
        </row>
        <row r="2124">
          <cell r="A2124" t="str">
            <v>P.07.000.045062</v>
          </cell>
          <cell r="B2124" t="str">
            <v>Condulete de 3´, corpo e tampa em alumínio injetado ou fundido, com saídas laterais em vários modelos, com ou sem rosca; ref. Conduletzel da Wetzel ou equivalente</v>
          </cell>
          <cell r="C2124" t="str">
            <v>UN</v>
          </cell>
          <cell r="D2124">
            <v>271.83999999999997</v>
          </cell>
        </row>
        <row r="2125">
          <cell r="A2125" t="str">
            <v>P.07.000.045074</v>
          </cell>
          <cell r="B2125" t="str">
            <v>Caixa de passagem em alumínio fundido, à prova de tempo e tampa, de 100x100mm, profundidade mínima 60mm, ref. CDT10 da Daisa, Cemar ou equivalente</v>
          </cell>
          <cell r="C2125" t="str">
            <v>UN</v>
          </cell>
          <cell r="D2125">
            <v>24.76</v>
          </cell>
        </row>
        <row r="2126">
          <cell r="A2126" t="str">
            <v>P.07.000.045075</v>
          </cell>
          <cell r="B2126" t="str">
            <v>Caixa de passagem em alumínio fundido, à prova de tempo e tampa, de 200x200mm, profundidade mínima 100mm, ref. CDT20 da Daisa, Cemar ou equivalente</v>
          </cell>
          <cell r="C2126" t="str">
            <v>UN</v>
          </cell>
          <cell r="D2126">
            <v>78.27</v>
          </cell>
        </row>
        <row r="2127">
          <cell r="A2127" t="str">
            <v>P.07.000.045076</v>
          </cell>
          <cell r="B2127" t="str">
            <v>Caixa de passagem em alumínio fundido, à prova de tempo e tampa, de 300x300mm, profundidade mínima 120mm, ref. CDT30 da Daisa, Cemar ou equivalente</v>
          </cell>
          <cell r="C2127" t="str">
            <v>UN</v>
          </cell>
          <cell r="D2127">
            <v>205.79</v>
          </cell>
        </row>
        <row r="2128">
          <cell r="A2128" t="str">
            <v>P.07.000.045105</v>
          </cell>
          <cell r="B2128" t="str">
            <v>Caixa em alumínio fundido a prova de tempo, umidade, gases, vapores e pó, tampa plana, de 200x200x200mm; ref. TCXPTP/6 Telbra, ER12 P/15 Naville, LR12P15 Lumel ou equivalente</v>
          </cell>
          <cell r="C2128" t="str">
            <v>UN</v>
          </cell>
          <cell r="D2128">
            <v>562.73</v>
          </cell>
        </row>
        <row r="2129">
          <cell r="A2129" t="str">
            <v>P.07.000.045151</v>
          </cell>
          <cell r="B2129" t="str">
            <v>Condulete de 3/4", corpo e tampa em alumínio injetado ou fundido, vários modelos; ref. 56200/082 / 56104/042 / 56114/006 Tramontina, LR / LB 3/4" / LLSR-15 Wetzel ou equivalente</v>
          </cell>
          <cell r="C2129" t="str">
            <v>UN</v>
          </cell>
          <cell r="D2129">
            <v>14.49</v>
          </cell>
        </row>
        <row r="2130">
          <cell r="A2130" t="str">
            <v>P.07.000.045154</v>
          </cell>
          <cell r="B2130" t="str">
            <v>Condulete de 1 1/4´, corpo e tampa em alumínio injetado ou fundido, com saídas laterais em vários modelos, com ou sem rosca; ref. Daisa, Conduletzel da Wetzel ou equivalente</v>
          </cell>
          <cell r="C2130" t="str">
            <v>UN</v>
          </cell>
          <cell r="D2130">
            <v>43.22</v>
          </cell>
        </row>
        <row r="2131">
          <cell r="A2131" t="str">
            <v>P.07.000.049585</v>
          </cell>
          <cell r="B2131" t="str">
            <v>Bucha para passagem interna/externa com isolação para 15 kV</v>
          </cell>
          <cell r="C2131" t="str">
            <v>UN</v>
          </cell>
          <cell r="D2131">
            <v>541.12</v>
          </cell>
        </row>
        <row r="2132">
          <cell r="A2132" t="str">
            <v>P.07.000.049586</v>
          </cell>
          <cell r="B2132" t="str">
            <v>Pino para isolador rígido</v>
          </cell>
          <cell r="C2132" t="str">
            <v>UN</v>
          </cell>
          <cell r="D2132">
            <v>33.6</v>
          </cell>
        </row>
        <row r="2133">
          <cell r="A2133" t="str">
            <v>P.07.000.049662</v>
          </cell>
          <cell r="B2133" t="str">
            <v>Suporte para 4 isoladores de baixa tensão</v>
          </cell>
          <cell r="C2133" t="str">
            <v>UN</v>
          </cell>
          <cell r="D2133">
            <v>122.77</v>
          </cell>
        </row>
        <row r="2134">
          <cell r="A2134" t="str">
            <v>P.07.000.049663</v>
          </cell>
          <cell r="B2134" t="str">
            <v>Suporte para 3 isoladores de baixa tensão</v>
          </cell>
          <cell r="C2134" t="str">
            <v>UN</v>
          </cell>
          <cell r="D2134">
            <v>90.4</v>
          </cell>
        </row>
        <row r="2135">
          <cell r="A2135" t="str">
            <v>P.07.000.049664</v>
          </cell>
          <cell r="B2135" t="str">
            <v>Suporte para 2 isoladores de baixa tensão</v>
          </cell>
          <cell r="C2135" t="str">
            <v>UN</v>
          </cell>
          <cell r="D2135">
            <v>52.85</v>
          </cell>
        </row>
        <row r="2136">
          <cell r="A2136" t="str">
            <v>P.07.000.049667</v>
          </cell>
          <cell r="B2136" t="str">
            <v>Suporte para 1 isolador de baixa tensão</v>
          </cell>
          <cell r="C2136" t="str">
            <v>UN</v>
          </cell>
          <cell r="D2136">
            <v>35.49</v>
          </cell>
        </row>
        <row r="2137">
          <cell r="A2137" t="str">
            <v>P.07.000.090724</v>
          </cell>
          <cell r="B2137" t="str">
            <v>Caixa em alumínio fundido à prova de tempo, umidade, gases, vapores e pó, tampa plana, de 150x150x150mm, ref. ER12P/8 Telbra, CX/R12 P-8 Conex, ou equivalente</v>
          </cell>
          <cell r="C2137" t="str">
            <v>UN</v>
          </cell>
          <cell r="D2137">
            <v>168.27</v>
          </cell>
        </row>
        <row r="2138">
          <cell r="A2138" t="str">
            <v>P.07.000.090860</v>
          </cell>
          <cell r="B2138" t="str">
            <v>Caixa em alumínio fundido à prova de tempo, umidade, gases, vapores e pó, tampa plana, de 445 x 350 x 220 mm, ref. TMR/45GR da Telbra ou equivalente</v>
          </cell>
          <cell r="C2138" t="str">
            <v>UN</v>
          </cell>
          <cell r="D2138">
            <v>1767.42</v>
          </cell>
        </row>
        <row r="2139">
          <cell r="A2139" t="str">
            <v>P.07.000.090886</v>
          </cell>
          <cell r="B2139" t="str">
            <v>Caixa em alumínio fundido à prova de tempo, umidade, gases, vapores e pó, tampa plana, de 240x240x150mm; ref. ER12 P/22 Naville, TCXPTP/11 Telbra ou equivalente</v>
          </cell>
          <cell r="C2139" t="str">
            <v>UN</v>
          </cell>
          <cell r="D2139">
            <v>820.75</v>
          </cell>
        </row>
        <row r="2140">
          <cell r="A2140" t="str">
            <v>P.07.000.091211</v>
          </cell>
          <cell r="B2140" t="str">
            <v>Caixa de derivação pré-zincado a frio/galvanização eletrolítica, de 12 x 25 x 70 mm com cruzadora</v>
          </cell>
          <cell r="C2140" t="str">
            <v>UN</v>
          </cell>
          <cell r="D2140">
            <v>139.36000000000001</v>
          </cell>
        </row>
        <row r="2141">
          <cell r="A2141" t="str">
            <v>P.07.000.091214</v>
          </cell>
          <cell r="B2141" t="str">
            <v>Caixa de derivação pré-zincado a frio/galvanização eletrolítica, de 16 x 25 x 70 mm com cruzadora</v>
          </cell>
          <cell r="C2141" t="str">
            <v>UN</v>
          </cell>
          <cell r="D2141">
            <v>205.5</v>
          </cell>
        </row>
        <row r="2142">
          <cell r="A2142" t="str">
            <v>P.07.000.091368</v>
          </cell>
          <cell r="B2142" t="str">
            <v>Tampa para caixa R2 padrão Telebras</v>
          </cell>
          <cell r="C2142" t="str">
            <v>UN</v>
          </cell>
          <cell r="D2142">
            <v>652.57000000000005</v>
          </cell>
        </row>
        <row r="2143">
          <cell r="A2143" t="str">
            <v>P.07.000.091396</v>
          </cell>
          <cell r="B2143" t="str">
            <v>Tampa para caixa R1 padrão Telebras</v>
          </cell>
          <cell r="C2143" t="str">
            <v>UN</v>
          </cell>
          <cell r="D2143">
            <v>290.95</v>
          </cell>
        </row>
        <row r="2144">
          <cell r="A2144" t="str">
            <v>P.07.000.092150</v>
          </cell>
          <cell r="B2144" t="str">
            <v>Conector prensa-cabo 3/4´ em alumínio, ref. PC15-C12/C20 da Wetzel ou equivalente</v>
          </cell>
          <cell r="C2144" t="str">
            <v>UN</v>
          </cell>
          <cell r="D2144">
            <v>11.05</v>
          </cell>
        </row>
        <row r="2145">
          <cell r="A2145" t="str">
            <v>P.08.000.043012</v>
          </cell>
          <cell r="B2145" t="str">
            <v>Cabo de cobre flexível de 1,5 mm², isolamento 750V - isolação PVC 70°C</v>
          </cell>
          <cell r="C2145" t="str">
            <v>M</v>
          </cell>
          <cell r="D2145">
            <v>1.56</v>
          </cell>
        </row>
        <row r="2146">
          <cell r="A2146" t="str">
            <v>P.08.000.043014</v>
          </cell>
          <cell r="B2146" t="str">
            <v>Cabo cobre nu tempera mole classe 2, de 10mm²</v>
          </cell>
          <cell r="C2146" t="str">
            <v>M</v>
          </cell>
          <cell r="D2146">
            <v>10.71</v>
          </cell>
        </row>
        <row r="2147">
          <cell r="A2147" t="str">
            <v>P.08.000.043025</v>
          </cell>
          <cell r="B2147" t="str">
            <v>Cabo de cobre flexível de 2,5 mm², isolamento 750V - isolação PVC 70°C</v>
          </cell>
          <cell r="C2147" t="str">
            <v>M</v>
          </cell>
          <cell r="D2147">
            <v>2.37</v>
          </cell>
        </row>
        <row r="2148">
          <cell r="A2148" t="str">
            <v>P.08.000.043026</v>
          </cell>
          <cell r="B2148" t="str">
            <v>Cabo de cobre flexível de 4 mm², isolamento 750V - isolação PVC 70°C</v>
          </cell>
          <cell r="C2148" t="str">
            <v>M</v>
          </cell>
          <cell r="D2148">
            <v>3.82</v>
          </cell>
        </row>
        <row r="2149">
          <cell r="A2149" t="str">
            <v>P.08.000.043027</v>
          </cell>
          <cell r="B2149" t="str">
            <v>Cabo de cobre flexível de 6 mm², isolamento 750V - isolação PVC 70°C</v>
          </cell>
          <cell r="C2149" t="str">
            <v>M</v>
          </cell>
          <cell r="D2149">
            <v>5.7</v>
          </cell>
        </row>
        <row r="2150">
          <cell r="A2150" t="str">
            <v>P.08.000.043037</v>
          </cell>
          <cell r="B2150" t="str">
            <v>Cabo de cobre unipolar, média tensão 35 mm², encordoamento classe 2, isolamento 15/25 kV, EPR 105 - NBR 7286, ref. CB Epronax Slim 105 Induscabos ou equivalente</v>
          </cell>
          <cell r="C2150" t="str">
            <v>M</v>
          </cell>
          <cell r="D2150">
            <v>96.91</v>
          </cell>
        </row>
        <row r="2151">
          <cell r="A2151" t="str">
            <v>P.08.000.043038</v>
          </cell>
          <cell r="B2151" t="str">
            <v>Cabo cobre nu tempera mole classe 2, de 16mm²</v>
          </cell>
          <cell r="C2151" t="str">
            <v>M</v>
          </cell>
          <cell r="D2151">
            <v>15.12</v>
          </cell>
        </row>
        <row r="2152">
          <cell r="A2152" t="str">
            <v>P.08.000.043039</v>
          </cell>
          <cell r="B2152" t="str">
            <v>Cabo de cobre unipolar, média tensão 50 mm², encordoamento classe 2, isolamento 15/25 kV, EPR 105 - NBR 7286, ref. CB Epronax Slim 105 Induscabos ou equivalente</v>
          </cell>
          <cell r="C2152" t="str">
            <v>M</v>
          </cell>
          <cell r="D2152">
            <v>110.52</v>
          </cell>
        </row>
        <row r="2153">
          <cell r="A2153" t="str">
            <v>P.08.000.043040</v>
          </cell>
          <cell r="B2153" t="str">
            <v>Cabo cobre nu tempera mole classe 2, de 25mm²</v>
          </cell>
          <cell r="C2153" t="str">
            <v>M</v>
          </cell>
          <cell r="D2153">
            <v>23.17</v>
          </cell>
        </row>
        <row r="2154">
          <cell r="A2154" t="str">
            <v>P.08.000.043041</v>
          </cell>
          <cell r="B2154" t="str">
            <v>Cabo cobre nu tempera mole classe 2, de 35mm²</v>
          </cell>
          <cell r="C2154" t="str">
            <v>M</v>
          </cell>
          <cell r="D2154">
            <v>33.29</v>
          </cell>
        </row>
        <row r="2155">
          <cell r="A2155" t="str">
            <v>P.08.000.043043</v>
          </cell>
          <cell r="B2155" t="str">
            <v>Cabo de cobre flexível de 3 x 1,5 mm², isolamento 0,6/1kV - isolação HEPR 90°C</v>
          </cell>
          <cell r="C2155" t="str">
            <v>M</v>
          </cell>
          <cell r="D2155">
            <v>5.14</v>
          </cell>
        </row>
        <row r="2156">
          <cell r="A2156" t="str">
            <v>P.08.000.043044</v>
          </cell>
          <cell r="B2156" t="str">
            <v>Cabo de cobre flexível de 3 x 2,5 mm², isolamento 0,6/1kV - isolação HEPR 90°C</v>
          </cell>
          <cell r="C2156" t="str">
            <v>M</v>
          </cell>
          <cell r="D2156">
            <v>7.76</v>
          </cell>
        </row>
        <row r="2157">
          <cell r="A2157" t="str">
            <v>P.08.000.043047</v>
          </cell>
          <cell r="B2157" t="str">
            <v>Cabo de cobre flexível de 3 x 10 mm², isolamento 0,6/1kV - isolação HEPR 90°C</v>
          </cell>
          <cell r="C2157" t="str">
            <v>M</v>
          </cell>
          <cell r="D2157">
            <v>27.92</v>
          </cell>
        </row>
        <row r="2158">
          <cell r="A2158" t="str">
            <v>P.08.000.043050</v>
          </cell>
          <cell r="B2158" t="str">
            <v>Cabo cobre flexível 1,5 mm², isolamento 0,6/1 kV - isolação HEPR 90°C, têmpera mole, classe 5, baixa emissão fumaça, ref. Cabos Afumex Prysmian; Atexsil Sil; ToxFree Conduspar ou equivalente</v>
          </cell>
          <cell r="C2158" t="str">
            <v>M</v>
          </cell>
          <cell r="D2158">
            <v>1.97</v>
          </cell>
        </row>
        <row r="2159">
          <cell r="A2159" t="str">
            <v>P.08.000.043051</v>
          </cell>
          <cell r="B2159" t="str">
            <v>Cabo cobre flexível 2,5 mm², isolamento 0,6/1 kV - isolação HEPR 90°C, têmpera mole, classe 5, baixa emissão fumaça, ref. Cabos Afumex Prysmian; Atexsil Sil; ToxFree Conduspar ou equivalente</v>
          </cell>
          <cell r="C2159" t="str">
            <v>M</v>
          </cell>
          <cell r="D2159">
            <v>3.04</v>
          </cell>
        </row>
        <row r="2160">
          <cell r="A2160" t="str">
            <v>P.08.000.043052</v>
          </cell>
          <cell r="B2160" t="str">
            <v>Cabo cobre flexível 4 mm², isolamento 0,6/1 kV - isolação HEPR 90°C, têmpera mole, classe 5, baixa emissão fumaça, ref. Cabos Afumex Prysmian; Atexsil Sil; ToxFree Conduspar ou equivalente</v>
          </cell>
          <cell r="C2160" t="str">
            <v>M</v>
          </cell>
          <cell r="D2160">
            <v>4.43</v>
          </cell>
        </row>
        <row r="2161">
          <cell r="A2161" t="str">
            <v>P.08.000.043053</v>
          </cell>
          <cell r="B2161" t="str">
            <v>Cabo cobre flexível 6 mm², isolamento 0,6/1 kV - isolação HEPR 90°C, têmpera mole, classe 5, baixa emissão fumaça, ref. Cabos Afumex Prysmian; Atexsil Sil; ToxFree Conduspar ou equivalente</v>
          </cell>
          <cell r="C2161" t="str">
            <v>M</v>
          </cell>
          <cell r="D2161">
            <v>6.31</v>
          </cell>
        </row>
        <row r="2162">
          <cell r="A2162" t="str">
            <v>P.08.000.043054</v>
          </cell>
          <cell r="B2162" t="str">
            <v>Cabo cobre flexível 10 mm², isolamento 0,6/1 kV - isolação HEPR 90°C, têmpera mole, classe 5, baixa emissão fumaça, ref. Cabos Afumex Prysmian; Atexsil Sil; ToxFree Conduspar ou equivalente</v>
          </cell>
          <cell r="C2162" t="str">
            <v>M</v>
          </cell>
          <cell r="D2162">
            <v>9.99</v>
          </cell>
        </row>
        <row r="2163">
          <cell r="A2163" t="str">
            <v>P.08.000.043055</v>
          </cell>
          <cell r="B2163" t="str">
            <v>Cabo cobre flexível 16 mm², isolamento 0,6/1 kV - isolação HEPR 90°C, têmpera mole, classe 5, baixa emissão fumaça, ref. Cabos Afumex Prysmian; Atexsil Sil; ToxFree Conduspar ou equivalente</v>
          </cell>
          <cell r="C2163" t="str">
            <v>M</v>
          </cell>
          <cell r="D2163">
            <v>15.32</v>
          </cell>
        </row>
        <row r="2164">
          <cell r="A2164" t="str">
            <v>P.08.000.043056</v>
          </cell>
          <cell r="B2164" t="str">
            <v>Cabo cobre flexível 25 mm², isolamento 0,6/1 kV - isolação HEPR 90°C, têmpera mole, classe 5, baixa emissão fumaça, ref. Cabos Afumex Prysmian; Atexsil Sil; ToxFree Conduspar ou equivalente</v>
          </cell>
          <cell r="C2164" t="str">
            <v>M</v>
          </cell>
          <cell r="D2164">
            <v>23.61</v>
          </cell>
        </row>
        <row r="2165">
          <cell r="A2165" t="str">
            <v>P.08.000.043057</v>
          </cell>
          <cell r="B2165" t="str">
            <v>Cabo cobre flexível 35 mm², isolamento 0,6/1 kV - isolação HEPR 90°C, têmpera mole, classe 5, baixa emissão fumaça, ref. Cabos Afumex Prysmian; Atexsil Sil; ToxFree Conduspar ou equivalente</v>
          </cell>
          <cell r="C2165" t="str">
            <v>M</v>
          </cell>
          <cell r="D2165">
            <v>32.31</v>
          </cell>
        </row>
        <row r="2166">
          <cell r="A2166" t="str">
            <v>P.08.000.043058</v>
          </cell>
          <cell r="B2166" t="str">
            <v>Cabo cobre flexível 50 mm², isolamento 0,6/1 kV - isolação HEPR 90°C, têmpera mole, classe 5, baixa emissão fumaça, ref. Cabos Afumex Prysmian; Atexsil Sil; ToxFree Conduspar ou equivalente</v>
          </cell>
          <cell r="C2166" t="str">
            <v>M</v>
          </cell>
          <cell r="D2166">
            <v>46</v>
          </cell>
        </row>
        <row r="2167">
          <cell r="A2167" t="str">
            <v>P.08.000.043059</v>
          </cell>
          <cell r="B2167" t="str">
            <v>Cabo cobre flexível 70 mm², isolamento 0,6/1 kV - isolação HEPR 90°C, têmpera mole, classe 5, baixa emissão fumaça, ref. Cabos Afumex Prysmian; Atexsil Sil; ToxFree Conduspar ou equivalente</v>
          </cell>
          <cell r="C2167" t="str">
            <v>M</v>
          </cell>
          <cell r="D2167">
            <v>63.89</v>
          </cell>
        </row>
        <row r="2168">
          <cell r="A2168" t="str">
            <v>P.08.000.043060</v>
          </cell>
          <cell r="B2168" t="str">
            <v>Cabo cobre flexível 95 mm², isolamento 0,6/1 kV - isolação HEPR 90°C, têmpera mole, classe 5, baixa emissão fumaça, ref. Cabos Afumex Prysmian; Atexsil Sil; ToxFree Conduspar ou equivalente</v>
          </cell>
          <cell r="C2168" t="str">
            <v>M</v>
          </cell>
          <cell r="D2168">
            <v>85.89</v>
          </cell>
        </row>
        <row r="2169">
          <cell r="A2169" t="str">
            <v>P.08.000.043061</v>
          </cell>
          <cell r="B2169" t="str">
            <v>Cabo cobre flexível 120 mm², isolamento 0,6/1 kV - isolação HEPR 90°C, têmpera mole, classe 5, baixa emissão fumaça, ref. Cabos Afumex Prysmian; Atexsil Sil; ToxFree Conduspar ou equivalente</v>
          </cell>
          <cell r="C2169" t="str">
            <v>M</v>
          </cell>
          <cell r="D2169">
            <v>109.1</v>
          </cell>
        </row>
        <row r="2170">
          <cell r="A2170" t="str">
            <v>P.08.000.043062</v>
          </cell>
          <cell r="B2170" t="str">
            <v>Cabo cobre flexível 150 mm², isolamento 0,6/1 kV - isolação HEPR 90°C, têmpera mole, classe 5, baixa emissão fumaça, ref. Cabos Afumex Prysmian; Atexsil Sil; ToxFree Conduspar ou equivalente</v>
          </cell>
          <cell r="C2170" t="str">
            <v>M</v>
          </cell>
          <cell r="D2170">
            <v>135.33000000000001</v>
          </cell>
        </row>
        <row r="2171">
          <cell r="A2171" t="str">
            <v>P.08.000.043063</v>
          </cell>
          <cell r="B2171" t="str">
            <v>Cabo cobre flexível 185 mm², isolamento 0,6/1 kV - isolação HEPR 90°C, têmpera mole, classe 5, baixa emissão fumaça, ref. Cabos Afumex Prysmian; Atexsil Sil; ToxFree Conduspar ou equivalente</v>
          </cell>
          <cell r="C2171" t="str">
            <v>M</v>
          </cell>
          <cell r="D2171">
            <v>163.27000000000001</v>
          </cell>
        </row>
        <row r="2172">
          <cell r="A2172" t="str">
            <v>P.08.000.043064</v>
          </cell>
          <cell r="B2172" t="str">
            <v>Cabo cobre flexível 240 mm², isolamento 0,6/1 kV - isolação HEPR 90°C, têmpera mole, classe 5, baixa emissão fumaça, ref. Cabos Afumex Prysmian; Atexsil Sil; ToxFree Conduspar ou equivalente</v>
          </cell>
          <cell r="C2172" t="str">
            <v>M</v>
          </cell>
          <cell r="D2172">
            <v>214.83</v>
          </cell>
        </row>
        <row r="2173">
          <cell r="A2173" t="str">
            <v>P.08.000.043079</v>
          </cell>
          <cell r="B2173" t="str">
            <v>Cabo de cobre flexível de 1,5 mm², isolamento 0,6/1kV - isolação HEPR 90°C</v>
          </cell>
          <cell r="C2173" t="str">
            <v>M</v>
          </cell>
          <cell r="D2173">
            <v>1.67</v>
          </cell>
        </row>
        <row r="2174">
          <cell r="A2174" t="str">
            <v>P.08.000.043080</v>
          </cell>
          <cell r="B2174" t="str">
            <v>Cabo de cobre flexível de 2,5 mm², isolamento 0,6/1kV - isolação HEPR 90°C</v>
          </cell>
          <cell r="C2174" t="str">
            <v>M</v>
          </cell>
          <cell r="D2174">
            <v>2.39</v>
          </cell>
        </row>
        <row r="2175">
          <cell r="A2175" t="str">
            <v>P.08.000.043081</v>
          </cell>
          <cell r="B2175" t="str">
            <v>Cabo de cobre flexível de 4 mm², isolamento 0,6/1kV - isolação HEPR 90°C</v>
          </cell>
          <cell r="C2175" t="str">
            <v>M</v>
          </cell>
          <cell r="D2175">
            <v>3.61</v>
          </cell>
        </row>
        <row r="2176">
          <cell r="A2176" t="str">
            <v>P.08.000.043082</v>
          </cell>
          <cell r="B2176" t="str">
            <v>Cabo de cobre flexível de 6 mm², isolamento 0,6/1kV - isolação HEPR 90°C</v>
          </cell>
          <cell r="C2176" t="str">
            <v>M</v>
          </cell>
          <cell r="D2176">
            <v>5.28</v>
          </cell>
        </row>
        <row r="2177">
          <cell r="A2177" t="str">
            <v>P.08.000.043084</v>
          </cell>
          <cell r="B2177" t="str">
            <v>Cabo de cobre flexível de 10 mm², isolamento 0,6/1kV - isolação HEPR 90°C</v>
          </cell>
          <cell r="C2177" t="str">
            <v>M</v>
          </cell>
          <cell r="D2177">
            <v>8.32</v>
          </cell>
        </row>
        <row r="2178">
          <cell r="A2178" t="str">
            <v>P.08.000.043085</v>
          </cell>
          <cell r="B2178" t="str">
            <v>Cabo de cobre flexível de 16 mm², isolamento 0,6/1kV - isolação HEPR 90°C</v>
          </cell>
          <cell r="C2178" t="str">
            <v>M</v>
          </cell>
          <cell r="D2178">
            <v>12.78</v>
          </cell>
        </row>
        <row r="2179">
          <cell r="A2179" t="str">
            <v>P.08.000.043086</v>
          </cell>
          <cell r="B2179" t="str">
            <v>Cabo de cobre flexível de 25 mm², isolamento 0,6/1kV - isolação HEPR 90°C</v>
          </cell>
          <cell r="C2179" t="str">
            <v>M</v>
          </cell>
          <cell r="D2179">
            <v>19.510000000000002</v>
          </cell>
        </row>
        <row r="2180">
          <cell r="A2180" t="str">
            <v>P.08.000.043087</v>
          </cell>
          <cell r="B2180" t="str">
            <v>Cabo de cobre flexível de 35 mm², isolamento 0,6/1kV - isolação HEPR 90°C</v>
          </cell>
          <cell r="C2180" t="str">
            <v>M</v>
          </cell>
          <cell r="D2180">
            <v>27.11</v>
          </cell>
        </row>
        <row r="2181">
          <cell r="A2181" t="str">
            <v>P.08.000.043088</v>
          </cell>
          <cell r="B2181" t="str">
            <v>Cabo de cobre flexível de 50 mm², isolamento 0,6/1kV - isolação HEPR 90°C</v>
          </cell>
          <cell r="C2181" t="str">
            <v>M</v>
          </cell>
          <cell r="D2181">
            <v>39.130000000000003</v>
          </cell>
        </row>
        <row r="2182">
          <cell r="A2182" t="str">
            <v>P.08.000.043089</v>
          </cell>
          <cell r="B2182" t="str">
            <v>Cabo de cobre flexível de 70 mm², isolamento 0,6/1kV - isolação HEPR 90°C</v>
          </cell>
          <cell r="C2182" t="str">
            <v>M</v>
          </cell>
          <cell r="D2182">
            <v>54</v>
          </cell>
        </row>
        <row r="2183">
          <cell r="A2183" t="str">
            <v>P.08.000.043090</v>
          </cell>
          <cell r="B2183" t="str">
            <v>Cabo de cobre flexível de 95 mm², isolamento 0,6/1kV - isolação HEPR 90°C</v>
          </cell>
          <cell r="C2183" t="str">
            <v>M</v>
          </cell>
          <cell r="D2183">
            <v>72.91</v>
          </cell>
        </row>
        <row r="2184">
          <cell r="A2184" t="str">
            <v>P.08.000.043091</v>
          </cell>
          <cell r="B2184" t="str">
            <v>Cabo de cobre flexível de 120 mm², isolamento 0,6/1kV - isolação HEPR 90°C</v>
          </cell>
          <cell r="C2184" t="str">
            <v>M</v>
          </cell>
          <cell r="D2184">
            <v>90.19</v>
          </cell>
        </row>
        <row r="2185">
          <cell r="A2185" t="str">
            <v>P.08.000.043092</v>
          </cell>
          <cell r="B2185" t="str">
            <v>Cabo de cobre flexível de 185 mm², isolamento 0,6/1kV - isolação HEPR 90°C</v>
          </cell>
          <cell r="C2185" t="str">
            <v>M</v>
          </cell>
          <cell r="D2185">
            <v>136.47999999999999</v>
          </cell>
        </row>
        <row r="2186">
          <cell r="A2186" t="str">
            <v>P.08.000.043093</v>
          </cell>
          <cell r="B2186" t="str">
            <v>Cabo de cobre flexível de 240 mm², isolamento 0,6/1kV - isolação HEPR 90°C</v>
          </cell>
          <cell r="C2186" t="str">
            <v>M</v>
          </cell>
          <cell r="D2186">
            <v>182.49</v>
          </cell>
        </row>
        <row r="2187">
          <cell r="A2187" t="str">
            <v>P.08.000.043094</v>
          </cell>
          <cell r="B2187" t="str">
            <v>Cabo de cobre flexível de 150 mm², isolamento 0,6/1kV - isolação HEPR 90°C</v>
          </cell>
          <cell r="C2187" t="str">
            <v>M</v>
          </cell>
          <cell r="D2187">
            <v>112.14</v>
          </cell>
        </row>
        <row r="2188">
          <cell r="A2188" t="str">
            <v>P.08.000.043102</v>
          </cell>
          <cell r="B2188" t="str">
            <v>Cabo de cobre 25 mm², tensão de isolamento 8,7/15kV, isolação EPR 90°C</v>
          </cell>
          <cell r="C2188" t="str">
            <v>M</v>
          </cell>
          <cell r="D2188">
            <v>56.31</v>
          </cell>
        </row>
        <row r="2189">
          <cell r="A2189" t="str">
            <v>P.08.000.043103</v>
          </cell>
          <cell r="B2189" t="str">
            <v>Cabo de cobre 35 mm², tensão de isolamento 8,7/15kV, isolação EPR 90°C</v>
          </cell>
          <cell r="C2189" t="str">
            <v>M</v>
          </cell>
          <cell r="D2189">
            <v>71.180000000000007</v>
          </cell>
        </row>
        <row r="2190">
          <cell r="A2190" t="str">
            <v>P.08.000.043112</v>
          </cell>
          <cell r="B2190" t="str">
            <v>Cabo cobre 3 x 35 mm², tensão de isolamento 8,7/15 kV, isolação EPR 90°C</v>
          </cell>
          <cell r="C2190" t="str">
            <v>M</v>
          </cell>
          <cell r="D2190">
            <v>193.27</v>
          </cell>
        </row>
        <row r="2191">
          <cell r="A2191" t="str">
            <v>P.08.000.043155</v>
          </cell>
          <cell r="B2191" t="str">
            <v>Cabo cobre isolamento PVC 70°C, isolam 0.6/1kV, 1,5mm²</v>
          </cell>
          <cell r="C2191" t="str">
            <v>M</v>
          </cell>
          <cell r="D2191">
            <v>1.1399999999999999</v>
          </cell>
        </row>
        <row r="2192">
          <cell r="A2192" t="str">
            <v>P.08.000.043156</v>
          </cell>
          <cell r="B2192" t="str">
            <v>Cabo cobre isolamento PVC 70°C, isolam 0.6/1kV, 2,5mm²</v>
          </cell>
          <cell r="C2192" t="str">
            <v>M</v>
          </cell>
          <cell r="D2192">
            <v>1.8</v>
          </cell>
        </row>
        <row r="2193">
          <cell r="A2193" t="str">
            <v>P.08.000.043157</v>
          </cell>
          <cell r="B2193" t="str">
            <v>Cabo cobre isolamento PVC 70°C, isolam 0.6/1kV, 4mm²</v>
          </cell>
          <cell r="C2193" t="str">
            <v>M</v>
          </cell>
          <cell r="D2193">
            <v>2.75</v>
          </cell>
        </row>
        <row r="2194">
          <cell r="A2194" t="str">
            <v>P.08.000.043158</v>
          </cell>
          <cell r="B2194" t="str">
            <v>Cabo cobre isolamento PVC 70°C, isolam 0.6/1kV, 6mm²</v>
          </cell>
          <cell r="C2194" t="str">
            <v>M</v>
          </cell>
          <cell r="D2194">
            <v>3.97</v>
          </cell>
        </row>
        <row r="2195">
          <cell r="A2195" t="str">
            <v>P.08.000.043159</v>
          </cell>
          <cell r="B2195" t="str">
            <v>Cabo cobre isolamento PVC 70°C, isolam 0.6/1kV, 10mm²</v>
          </cell>
          <cell r="C2195" t="str">
            <v>M</v>
          </cell>
          <cell r="D2195">
            <v>7.25</v>
          </cell>
        </row>
        <row r="2196">
          <cell r="A2196" t="str">
            <v>P.08.000.043201</v>
          </cell>
          <cell r="B2196" t="str">
            <v>Cabo de cobre flexível de 2 x 2,5 mm², isolamento 0,6/1kV - isolação HEPR 90°C</v>
          </cell>
          <cell r="C2196" t="str">
            <v>M</v>
          </cell>
          <cell r="D2196">
            <v>5.13</v>
          </cell>
        </row>
        <row r="2197">
          <cell r="A2197" t="str">
            <v>P.08.000.043206</v>
          </cell>
          <cell r="B2197" t="str">
            <v>Cabo de cobre flexível de 3 x 25 mm², isolamento 0,6/1kV - isolação HEPR 90°C</v>
          </cell>
          <cell r="C2197" t="str">
            <v>M</v>
          </cell>
          <cell r="D2197">
            <v>70.69</v>
          </cell>
        </row>
        <row r="2198">
          <cell r="A2198" t="str">
            <v>P.08.000.043207</v>
          </cell>
          <cell r="B2198" t="str">
            <v>Cabo de cobre flexível de 3 x 35 mm², isolamento 0,6/1kV - isolação HEPR 90°C</v>
          </cell>
          <cell r="C2198" t="str">
            <v>M</v>
          </cell>
          <cell r="D2198">
            <v>99.89</v>
          </cell>
        </row>
        <row r="2199">
          <cell r="A2199" t="str">
            <v>P.08.000.043212</v>
          </cell>
          <cell r="B2199" t="str">
            <v>Cabo de cobre flexível de 4 x 10 mm², isolamento 0,6/1kV - isolação HEPR 90°C</v>
          </cell>
          <cell r="C2199" t="str">
            <v>M</v>
          </cell>
          <cell r="D2199">
            <v>37.94</v>
          </cell>
        </row>
        <row r="2200">
          <cell r="A2200" t="str">
            <v>P.08.000.043223</v>
          </cell>
          <cell r="B2200" t="str">
            <v>Cabo de cobre flexível de 3 x 1,5 mm², isolamento 500V - isolação PP 70° C, baixa emissão de fumaça, gases tóxicos e corrosivos; ref. Silflex PP 500V da Sil, Flexicom da Cobrecom ou equivalente</v>
          </cell>
          <cell r="C2200" t="str">
            <v>M</v>
          </cell>
          <cell r="D2200">
            <v>5.63</v>
          </cell>
        </row>
        <row r="2201">
          <cell r="A2201" t="str">
            <v>P.08.000.043224</v>
          </cell>
          <cell r="B2201" t="str">
            <v>Cabo de cobre flexível de 3 x 2,5 mm², isolamento 500V - isolação PP 70° C, baixa emissão de fumaça, gases tóxicos e corrosivos; ref. Silflex PP 500V da Sil, Flexicom da Cobrecom ou equivalente</v>
          </cell>
          <cell r="C2201" t="str">
            <v>M</v>
          </cell>
          <cell r="D2201">
            <v>9.3800000000000008</v>
          </cell>
        </row>
        <row r="2202">
          <cell r="A2202" t="str">
            <v>P.08.000.043225</v>
          </cell>
          <cell r="B2202" t="str">
            <v>Cabo de cobre flexível de 3 x 4 mm², isolamento 500V - isolação PP 70°C, baixa emissão de fumaça, gases tóxicos e corrosivos; ref. Silflex PP 500V da Sil, Flexicom da Cobrecom ou equivalente</v>
          </cell>
          <cell r="C2202" t="str">
            <v>M</v>
          </cell>
          <cell r="D2202">
            <v>14.4</v>
          </cell>
        </row>
        <row r="2203">
          <cell r="A2203" t="str">
            <v>P.08.000.043226</v>
          </cell>
          <cell r="B2203" t="str">
            <v>Cabo de cobre flexível de 3 x 6 mm², isolamento 500V - isolação PP 70°C, baixa emissão de fumaça, gases tóxicos e corrosivos; ref. Silflex PP 500V da Sil, Flexicom da Cobrecom ou equivalente</v>
          </cell>
          <cell r="C2203" t="str">
            <v>M</v>
          </cell>
          <cell r="D2203">
            <v>21.09</v>
          </cell>
        </row>
        <row r="2204">
          <cell r="A2204" t="str">
            <v>P.08.000.043230</v>
          </cell>
          <cell r="B2204" t="str">
            <v>Cabo de cobre flexível de 4 x 4 mm², isolamento 500V - isolação PP 70°C, baixa emissão de fumaça, gases tóxicos e corrosivos; ref. Silflex PP 500V da Sil, Flexicom da Cobrecom ou equivalente</v>
          </cell>
          <cell r="C2204" t="str">
            <v>M</v>
          </cell>
          <cell r="D2204">
            <v>18.510000000000002</v>
          </cell>
        </row>
        <row r="2205">
          <cell r="A2205" t="str">
            <v>P.08.000.043231</v>
          </cell>
          <cell r="B2205" t="str">
            <v>Cabo de cobre flexível de 4 x 6 mm², isolamento 500V - isolação PP 70°C, baixa emissão de fumaça, gases tóxicos e corrosivos; ref. Silflex PP 500V da Sil, Flexicom da Cobrecom ou equivalente</v>
          </cell>
          <cell r="C2205" t="str">
            <v>M</v>
          </cell>
          <cell r="D2205">
            <v>29.64</v>
          </cell>
        </row>
        <row r="2206">
          <cell r="A2206" t="str">
            <v>P.08.000.050102</v>
          </cell>
          <cell r="B2206" t="str">
            <v>Cabo cobre nu tempera mole classe 2, de 50mm²</v>
          </cell>
          <cell r="C2206" t="str">
            <v>M</v>
          </cell>
          <cell r="D2206">
            <v>46.36</v>
          </cell>
        </row>
        <row r="2207">
          <cell r="A2207" t="str">
            <v>P.08.000.050126</v>
          </cell>
          <cell r="B2207" t="str">
            <v>Cabo de cobre flexível de 10 mm², isolamento 750V - isolação PVC 70°C</v>
          </cell>
          <cell r="C2207" t="str">
            <v>M</v>
          </cell>
          <cell r="D2207">
            <v>9.5399999999999991</v>
          </cell>
        </row>
        <row r="2208">
          <cell r="A2208" t="str">
            <v>P.08.000.050187</v>
          </cell>
          <cell r="B2208" t="str">
            <v>Cabo media tensão em cobre com isolação em EPR 90°C, DN=50mm², tensão 8,7/15 kV, referência Conduspar, Disnacon, IPCE ou equivalente</v>
          </cell>
          <cell r="C2208" t="str">
            <v>M</v>
          </cell>
          <cell r="D2208">
            <v>82.81</v>
          </cell>
        </row>
        <row r="2209">
          <cell r="A2209" t="str">
            <v>P.08.000.050190</v>
          </cell>
          <cell r="B2209" t="str">
            <v>Cabo de cobre 120 mm², tensão de isolamento 8,7/15kV, isolação EPR 90°C</v>
          </cell>
          <cell r="C2209" t="str">
            <v>M</v>
          </cell>
          <cell r="D2209">
            <v>158.97</v>
          </cell>
        </row>
        <row r="2210">
          <cell r="A2210" t="str">
            <v>P.08.000.090408</v>
          </cell>
          <cell r="B2210" t="str">
            <v>Vergalhão de cobre eletrolítico diâmetro 3/8´</v>
          </cell>
          <cell r="C2210" t="str">
            <v>M</v>
          </cell>
          <cell r="D2210">
            <v>70.680000000000007</v>
          </cell>
        </row>
        <row r="2211">
          <cell r="A2211" t="str">
            <v>P.08.000.090430</v>
          </cell>
          <cell r="B2211" t="str">
            <v>Cabo cobre nu tempera mole classe 2, de 95mm²</v>
          </cell>
          <cell r="C2211" t="str">
            <v>M</v>
          </cell>
          <cell r="D2211">
            <v>88.85</v>
          </cell>
        </row>
        <row r="2212">
          <cell r="A2212" t="str">
            <v>P.08.000.090432</v>
          </cell>
          <cell r="B2212" t="str">
            <v>Cabo cobre nu tempera mole classe 2, de 185mm²</v>
          </cell>
          <cell r="C2212" t="str">
            <v>M</v>
          </cell>
          <cell r="D2212">
            <v>195.8</v>
          </cell>
        </row>
        <row r="2213">
          <cell r="A2213" t="str">
            <v>P.08.000.090487</v>
          </cell>
          <cell r="B2213" t="str">
            <v>Cabo cobre nu tempera mole classe 2, de 70mm²</v>
          </cell>
          <cell r="C2213" t="str">
            <v>M</v>
          </cell>
          <cell r="D2213">
            <v>64.69</v>
          </cell>
        </row>
        <row r="2214">
          <cell r="A2214" t="str">
            <v>P.08.000.090853</v>
          </cell>
          <cell r="B2214" t="str">
            <v>Cabo cobre flexível ´PP´ de 4x2,5mm², classe 5 de encordoamento, isolamento 450/750V -  isolação PVC 70°C</v>
          </cell>
          <cell r="C2214" t="str">
            <v>M</v>
          </cell>
          <cell r="D2214">
            <v>10.81</v>
          </cell>
        </row>
        <row r="2215">
          <cell r="A2215" t="str">
            <v>P.08.000.091045</v>
          </cell>
          <cell r="B2215" t="str">
            <v>Cabo coaxial tipo RG11, malha com mínimo 60% de proteção</v>
          </cell>
          <cell r="C2215" t="str">
            <v>M</v>
          </cell>
          <cell r="D2215">
            <v>18.84</v>
          </cell>
        </row>
        <row r="2216">
          <cell r="A2216" t="str">
            <v>P.09.000.046344</v>
          </cell>
          <cell r="B2216" t="str">
            <v>Trilho eletrificado com 1 circuito alimentação em alumínio, para instalação spots, pintura na cor branco; ref. TRA Altrac mono da Altena ou equivalente</v>
          </cell>
          <cell r="C2216" t="str">
            <v>UN</v>
          </cell>
          <cell r="D2216">
            <v>77.989999999999995</v>
          </cell>
        </row>
        <row r="2217">
          <cell r="A2217" t="str">
            <v>P.09.000.050002</v>
          </cell>
          <cell r="B2217" t="str">
            <v>Cabo de alumínio nu com alma de aço CAA</v>
          </cell>
          <cell r="C2217" t="str">
            <v>KG</v>
          </cell>
          <cell r="D2217">
            <v>30.94</v>
          </cell>
        </row>
        <row r="2218">
          <cell r="A2218" t="str">
            <v>P.09.000.050003</v>
          </cell>
          <cell r="B2218" t="str">
            <v>Cabo de alumínio nu sem alma de aço CA</v>
          </cell>
          <cell r="C2218" t="str">
            <v>KG</v>
          </cell>
          <cell r="D2218">
            <v>30.13</v>
          </cell>
        </row>
        <row r="2219">
          <cell r="A2219" t="str">
            <v>P.10.000.030519</v>
          </cell>
          <cell r="B2219" t="str">
            <v>Voice panel 50 portas categoria 3, com sistema de fixação por parafuso ou encaixe, ref. Furukawa, ou Sollan ou equivalente</v>
          </cell>
          <cell r="C2219" t="str">
            <v>UN</v>
          </cell>
          <cell r="D2219">
            <v>627.65</v>
          </cell>
        </row>
        <row r="2220">
          <cell r="A2220" t="str">
            <v>P.10.000.042523</v>
          </cell>
          <cell r="B2220" t="str">
            <v>Cordão óptico duplex multimodo com conector LC/LC 2,5 m</v>
          </cell>
          <cell r="C2220" t="str">
            <v>UN</v>
          </cell>
          <cell r="D2220">
            <v>305</v>
          </cell>
        </row>
        <row r="2221">
          <cell r="A2221" t="str">
            <v>P.10.000.042525</v>
          </cell>
          <cell r="B2221" t="str">
            <v>Cabo óptico multimodo, 4 fibras uso interno/externo, diâmetro núcleo 50/125 µm, ref. CFOT.MM50-EO COG da Metrocable ou equivalente</v>
          </cell>
          <cell r="C2221" t="str">
            <v>M</v>
          </cell>
          <cell r="D2221">
            <v>13.34</v>
          </cell>
        </row>
        <row r="2222">
          <cell r="A2222" t="str">
            <v>P.10.000.042542</v>
          </cell>
          <cell r="B2222" t="str">
            <v>Cabo óptico multimodo, 6 fibras uso interno/externo, diâmetro núcleo 50/125 µm, ref. CFOT.MM-EO-06 da Furukawa ou equivalente</v>
          </cell>
          <cell r="C2222" t="str">
            <v>M</v>
          </cell>
          <cell r="D2222">
            <v>17.25</v>
          </cell>
        </row>
        <row r="2223">
          <cell r="A2223" t="str">
            <v>P.10.000.050010</v>
          </cell>
          <cell r="B2223" t="str">
            <v>Cabo telefônico tipo CCI 50, 1 par de 0,50mm, uso interno, em cobre estanhado, isolação em polietileno, anti chama; ref. Megatron, GP Cabos ou equivalente</v>
          </cell>
          <cell r="C2223" t="str">
            <v>M</v>
          </cell>
          <cell r="D2223">
            <v>0.81</v>
          </cell>
        </row>
        <row r="2224">
          <cell r="A2224" t="str">
            <v>P.10.000.050015</v>
          </cell>
          <cell r="B2224" t="str">
            <v>Cabo para rede 23 AWG, com 4 pares, categoria 6A, ref. CM CZ 305M Furukawa, ou equivalente</v>
          </cell>
          <cell r="C2224" t="str">
            <v>M</v>
          </cell>
          <cell r="D2224">
            <v>18.010000000000002</v>
          </cell>
        </row>
        <row r="2225">
          <cell r="A2225" t="str">
            <v>P.10.000.050016</v>
          </cell>
          <cell r="B2225" t="str">
            <v>Conector RJ-45, fêmea, categoria 6A, ref. BR ROHS da Furukawa, ou equivalente</v>
          </cell>
          <cell r="C2225" t="str">
            <v>UN</v>
          </cell>
          <cell r="D2225">
            <v>133.47</v>
          </cell>
        </row>
        <row r="2226">
          <cell r="A2226" t="str">
            <v>P.10.000.050017</v>
          </cell>
          <cell r="B2226" t="str">
            <v>Patch cords F/UTP de 2,0 a 3,0 m, RJ-45 / RJ-45 categoria 6A, ref. CM T568A/B fabricação Furukawa ou equivalente</v>
          </cell>
          <cell r="C2226" t="str">
            <v>UN</v>
          </cell>
          <cell r="D2226">
            <v>208.86</v>
          </cell>
        </row>
        <row r="2227">
          <cell r="A2227" t="str">
            <v>P.10.000.050020</v>
          </cell>
          <cell r="B2227" t="str">
            <v>Cabo telefônico CTP-APL-G-50, com 10 pares de 0,50mm, em cobre nu, isolação em polietileno ou polipropileno, capa externa tipo APL, de acordo com especificação TELEBRÁS</v>
          </cell>
          <cell r="C2227" t="str">
            <v>M</v>
          </cell>
          <cell r="D2227">
            <v>11.98</v>
          </cell>
        </row>
        <row r="2228">
          <cell r="A2228" t="str">
            <v>P.10.000.050021</v>
          </cell>
          <cell r="B2228" t="str">
            <v>Cabo telefônico CTP-APL-G-50, com 20 pares de 0,50mm, em cobre nu, isolação em polietileno ou polipropileno, capa externa tipo APL, de acordo com especificação TELEBRÁS</v>
          </cell>
          <cell r="C2228" t="str">
            <v>M</v>
          </cell>
          <cell r="D2228">
            <v>18.27</v>
          </cell>
        </row>
        <row r="2229">
          <cell r="A2229" t="str">
            <v>P.10.000.050023</v>
          </cell>
          <cell r="B2229" t="str">
            <v>Cabo telefônico CTP-APL-G-50, com 50 pares de 0,50mm, em cobre nu,  isolação em polietileno ou polipropileno, capa externa tipo APL, de acordo com especificação TELEBRÁS</v>
          </cell>
          <cell r="C2229" t="str">
            <v>M</v>
          </cell>
          <cell r="D2229">
            <v>37.950000000000003</v>
          </cell>
        </row>
        <row r="2230">
          <cell r="A2230" t="str">
            <v>P.10.000.050026</v>
          </cell>
          <cell r="B2230" t="str">
            <v>Cabo telefônico CTP-APL, com 10 pares de 0,65mm, em cobre nu, isolação em polietileno ou polipropileno, capa externa tipo APL, de acordo com especificação TELEBRÁS</v>
          </cell>
          <cell r="C2230" t="str">
            <v>M</v>
          </cell>
          <cell r="D2230">
            <v>13.24</v>
          </cell>
        </row>
        <row r="2231">
          <cell r="A2231" t="str">
            <v>P.10.000.050027</v>
          </cell>
          <cell r="B2231" t="str">
            <v>Cabo telefônico CTP-APL, com 20 pares de 0,65mm, em cobre nu, isolação em polietileno ou polipropileno, capa externa tipo APL, de acordo com especificação TELEBRÁS</v>
          </cell>
          <cell r="C2231" t="str">
            <v>M</v>
          </cell>
          <cell r="D2231">
            <v>18.850000000000001</v>
          </cell>
        </row>
        <row r="2232">
          <cell r="A2232" t="str">
            <v>P.10.000.050033</v>
          </cell>
          <cell r="B2232" t="str">
            <v>Cabo para rede 24 AWG, com 4 pares, categoria 6; ref. 23400174 da Sohoplus da Furukawa ou equivalente</v>
          </cell>
          <cell r="C2232" t="str">
            <v>M</v>
          </cell>
          <cell r="D2232">
            <v>4.38</v>
          </cell>
        </row>
        <row r="2233">
          <cell r="A2233" t="str">
            <v>P.10.000.050034</v>
          </cell>
          <cell r="B2233" t="str">
            <v>Patch cords de 1,50 ou 3,00 m RJ-45 / RJ-45, ref. 50495 fabricação Policom ou equivalente</v>
          </cell>
          <cell r="C2233" t="str">
            <v>UN</v>
          </cell>
          <cell r="D2233">
            <v>45.76</v>
          </cell>
        </row>
        <row r="2234">
          <cell r="A2234" t="str">
            <v>P.10.000.050035</v>
          </cell>
          <cell r="B2234" t="str">
            <v>Patch panel 24 portas, categoria 6, ref. 50493 fabricação Policom ou equivalente</v>
          </cell>
          <cell r="C2234" t="str">
            <v>UN</v>
          </cell>
          <cell r="D2234">
            <v>740.69</v>
          </cell>
        </row>
        <row r="2235">
          <cell r="A2235" t="str">
            <v>P.10.000.090417</v>
          </cell>
          <cell r="B2235" t="str">
            <v>Cabo telefônico tipo CTP-APL-SN, com 10 pares de 0,50mm, em cobre estanhado, isolação em polietileno ou polipropileno, capa externa tipo APL, de acordo com especificação TELEBRÁS</v>
          </cell>
          <cell r="C2235" t="str">
            <v>M</v>
          </cell>
          <cell r="D2235">
            <v>7.12</v>
          </cell>
        </row>
        <row r="2236">
          <cell r="A2236" t="str">
            <v>P.10.000.090418</v>
          </cell>
          <cell r="B2236" t="str">
            <v>Cabo telefônico tipo CI, com 10 pares de 0,50mm, em cobre eletrolítico estanhado, isolação em poliolefina não propagante à chama, capa externa em cloreto de polivinila PVC, de acordo com especificação TELEBRÁS</v>
          </cell>
          <cell r="C2236" t="str">
            <v>M</v>
          </cell>
          <cell r="D2236">
            <v>6.44</v>
          </cell>
        </row>
        <row r="2237">
          <cell r="A2237" t="str">
            <v>P.10.000.090419</v>
          </cell>
          <cell r="B2237" t="str">
            <v>Cabo telefônico tipo CI, com 20 pares de 0,50mm, em cobre eletrolítico estanhado, isolação em poliolefina não propagante à chama, capa externa em cloreto de polivinila PVC, de acordo com especificação TELEBRÁS</v>
          </cell>
          <cell r="C2237" t="str">
            <v>M</v>
          </cell>
          <cell r="D2237">
            <v>12.58</v>
          </cell>
        </row>
        <row r="2238">
          <cell r="A2238" t="str">
            <v>P.10.000.090707</v>
          </cell>
          <cell r="B2238" t="str">
            <v>Cabo telefônico tipo CI, com 50 pares de 0,50mm, em cobre eletrolítico estanhado, isolação em poliolefina não propagante à chama, capa externa em cloreto de polivinila PVC, de acordo com especificação TELEBRÁS</v>
          </cell>
          <cell r="C2238" t="str">
            <v>M</v>
          </cell>
          <cell r="D2238">
            <v>33.020000000000003</v>
          </cell>
        </row>
        <row r="2239">
          <cell r="A2239" t="str">
            <v>P.10.000.090897</v>
          </cell>
          <cell r="B2239" t="str">
            <v>Cabo óptico de terminação, 2 fibras, uso interno/externo, diâmetro do núcleo 50/125 µm, ref. CFOT-X-MF Furukawa ou equivalente</v>
          </cell>
          <cell r="C2239" t="str">
            <v>M</v>
          </cell>
          <cell r="D2239">
            <v>8.7899999999999991</v>
          </cell>
        </row>
        <row r="2240">
          <cell r="A2240" t="str">
            <v>P.10.000.091015</v>
          </cell>
          <cell r="B2240" t="str">
            <v>Cabo coaxial tipo RG 59, D= 0,60 mm, blindagem com fio de cobre nu 95%, ref. KMP, ou IFE-EWG ou equivalente</v>
          </cell>
          <cell r="C2240" t="str">
            <v>M</v>
          </cell>
          <cell r="D2240">
            <v>7.87</v>
          </cell>
        </row>
        <row r="2241">
          <cell r="A2241" t="str">
            <v>P.10.000.091027</v>
          </cell>
          <cell r="B2241" t="str">
            <v>Cabo coaxial tipo RGC-59, diâmetro nominal de 0,82 mm, ref. KMP / Furukawa / IFE-EWG ou equivalente</v>
          </cell>
          <cell r="C2241" t="str">
            <v>M</v>
          </cell>
          <cell r="D2241">
            <v>4.6500000000000004</v>
          </cell>
        </row>
        <row r="2242">
          <cell r="A2242" t="str">
            <v>P.10.000.091377</v>
          </cell>
          <cell r="B2242" t="str">
            <v>Fio telefônico externo tipo FE-160, com diâmetro nominal de 1,60mm, isolação em polietileno (PE), de acordo com especificação Telebrás</v>
          </cell>
          <cell r="C2242" t="str">
            <v>M</v>
          </cell>
          <cell r="D2242">
            <v>1.87</v>
          </cell>
        </row>
        <row r="2243">
          <cell r="A2243" t="str">
            <v>P.10.000.091379</v>
          </cell>
          <cell r="B2243" t="str">
            <v>Cabo telefônico CTP-APL, com 20 pares de 0,50mm, isolação em polietileno ou polipropileno, capa externa tipo APL, de acordo com especificação TELEBRÁS</v>
          </cell>
          <cell r="C2243" t="str">
            <v>M</v>
          </cell>
          <cell r="D2243">
            <v>14.95</v>
          </cell>
        </row>
        <row r="2244">
          <cell r="A2244" t="str">
            <v>P.10.000.091381</v>
          </cell>
          <cell r="B2244" t="str">
            <v>Cabo telefônico CTP-APL, com 50 pares de 0,50mm, em cobre nu, isolação em polietileno ou polipropileno, capa externa tipo APL, de acordo com especificação TELEBRÁS</v>
          </cell>
          <cell r="C2244" t="str">
            <v>M</v>
          </cell>
          <cell r="D2244">
            <v>35.19</v>
          </cell>
        </row>
        <row r="2245">
          <cell r="A2245" t="str">
            <v>P.10.000.091382</v>
          </cell>
          <cell r="B2245" t="str">
            <v>Cabo telefônico CTP-APL, com 100 pares de 0,50mm, em cobre nu, isolação em polietileno ou polipropileno, capa externa tipo APL, de acordo com especificação TELEBRÁS</v>
          </cell>
          <cell r="C2245" t="str">
            <v>M</v>
          </cell>
          <cell r="D2245">
            <v>64.89</v>
          </cell>
        </row>
        <row r="2246">
          <cell r="A2246" t="str">
            <v>P.10.000.091598</v>
          </cell>
          <cell r="B2246" t="str">
            <v>Cabo torcido flexível de 2 x 2,5 mm², isolamento em PVC antichama; ref. CABCORD0111 da Dacota, cordão Flex torcido 300 V da Nambei, Cordão flexível torcido da Megatron ou equivalente</v>
          </cell>
          <cell r="C2246" t="str">
            <v>M</v>
          </cell>
          <cell r="D2246">
            <v>4.84</v>
          </cell>
        </row>
        <row r="2247">
          <cell r="A2247" t="str">
            <v>P.10.000.092781</v>
          </cell>
          <cell r="B2247" t="str">
            <v>Cabo telefônico CCE-APL, com 4 pares de 0,50mm, em cobre nu, isolação em polietileno ou polipropileno, capa externa tipo APL, de acordo com especificação TELEBRÁS; ref. GP Cabos ou equivalente</v>
          </cell>
          <cell r="C2247" t="str">
            <v>M</v>
          </cell>
          <cell r="D2247">
            <v>4.54</v>
          </cell>
        </row>
        <row r="2248">
          <cell r="A2248" t="str">
            <v>P.10.000.092950</v>
          </cell>
          <cell r="B2248" t="str">
            <v>Cabo telefônico CTP-APL, com 50 pares de 0,65mm, em cobre nu, isolação em polietileno ou polipropileno, capa externa tipo APL, de acordo com especificação TELEBRÁS</v>
          </cell>
          <cell r="C2248" t="str">
            <v>M</v>
          </cell>
          <cell r="D2248">
            <v>45.01</v>
          </cell>
        </row>
        <row r="2249">
          <cell r="A2249" t="str">
            <v>P.11.000.032005</v>
          </cell>
          <cell r="B2249" t="str">
            <v>Filtro de areia com vazão de 16,9 m³/h e carga de areia filtrante; ref. DFR-30 da Dancor ou equivalente</v>
          </cell>
          <cell r="C2249" t="str">
            <v>UN</v>
          </cell>
          <cell r="D2249">
            <v>3804.47</v>
          </cell>
        </row>
        <row r="2250">
          <cell r="A2250" t="str">
            <v>P.11.000.032311</v>
          </cell>
          <cell r="B2250" t="str">
            <v>Bomba de remoção de condensados para condicionadores de ar, tipo Split, janela ou Hi Wall até 36.000 BTs; ref. DE05LC4400 da Siccom ou equivalente</v>
          </cell>
          <cell r="C2250" t="str">
            <v>UN</v>
          </cell>
          <cell r="D2250">
            <v>601.85</v>
          </cell>
        </row>
        <row r="2251">
          <cell r="A2251" t="str">
            <v>P.11.000.042428</v>
          </cell>
          <cell r="B2251" t="str">
            <v>Motor-bomba centrífuga, potencia 5cv, Hman= 24 a 33 mca, Q= 41,6 a 35,2 m³/h, ref. 5DM 1 1/2T da Jacuzzi ou equivalente</v>
          </cell>
          <cell r="C2251" t="str">
            <v>UN</v>
          </cell>
          <cell r="D2251">
            <v>5332.2</v>
          </cell>
        </row>
        <row r="2252">
          <cell r="A2252" t="str">
            <v>P.11.000.047516</v>
          </cell>
          <cell r="B2252" t="str">
            <v>Gerador a diesel 250/228 kVA, variação de + ou - 5%, 380/220 V ou 220/127 V, completo; ref. C200 D6 da Cummins ou equivalente</v>
          </cell>
          <cell r="C2252" t="str">
            <v>UN</v>
          </cell>
          <cell r="D2252">
            <v>208932.47</v>
          </cell>
        </row>
        <row r="2253">
          <cell r="A2253" t="str">
            <v>P.11.000.047517</v>
          </cell>
          <cell r="B2253" t="str">
            <v>Gerador a diesel 350/320 kVA, variação de + ou - 10%, 380/220 V ou 220/127 V, completo; ref. C300 D6 da Cummins ou equivalente</v>
          </cell>
          <cell r="C2253" t="str">
            <v>UN</v>
          </cell>
          <cell r="D2253">
            <v>236344.09</v>
          </cell>
        </row>
        <row r="2254">
          <cell r="A2254" t="str">
            <v>P.11.000.047518</v>
          </cell>
          <cell r="B2254" t="str">
            <v>Gerador a diesel 88/80 kVA, variação de + ou - 10%, 380/220 V ou 220/127 V, completo; ref. P70 da Nilmariz ou equivalente</v>
          </cell>
          <cell r="C2254" t="str">
            <v>UN</v>
          </cell>
          <cell r="D2254">
            <v>104026.06</v>
          </cell>
        </row>
        <row r="2255">
          <cell r="A2255" t="str">
            <v>P.11.000.047519</v>
          </cell>
          <cell r="B2255" t="str">
            <v>Gerador a diesel 165/150 kVA, variação de + ou - 5%, 380/220 V ou 220/127 V, completo; ref. GEP165 da Sotreq ou equivalente</v>
          </cell>
          <cell r="C2255" t="str">
            <v>UN</v>
          </cell>
          <cell r="D2255">
            <v>122412.5</v>
          </cell>
        </row>
        <row r="2256">
          <cell r="A2256" t="str">
            <v>P.11.000.047522</v>
          </cell>
          <cell r="B2256" t="str">
            <v>Gerador a diesel 180/168 kVA, variação de + ou - 5%, 380/220 V ou 220/127 V, completo; ref. MX180MWAB da Maxitrust ou equivalente</v>
          </cell>
          <cell r="C2256" t="str">
            <v>UN</v>
          </cell>
          <cell r="D2256">
            <v>148281.94</v>
          </cell>
        </row>
        <row r="2257">
          <cell r="A2257" t="str">
            <v>P.11.000.047582</v>
          </cell>
          <cell r="B2257" t="str">
            <v>Gerador a diesel 563/513 kVA, variação de + ou - 10%, 380/220 V ou 220/127 V, completo; ref. MX550SWAB da Maxitrust ou equivalente</v>
          </cell>
          <cell r="C2257" t="str">
            <v>UN</v>
          </cell>
          <cell r="D2257">
            <v>486239.34</v>
          </cell>
        </row>
        <row r="2258">
          <cell r="A2258" t="str">
            <v>P.11.000.047594</v>
          </cell>
          <cell r="B2258" t="str">
            <v>Gerador a diesel carenado 460/434 kVA, variação de + ou - 10%, 380/220 V ou 220/127 V, 85dB a 1,5m, completo; ref. MX460SWSL da Maxitrust ou equivalente</v>
          </cell>
          <cell r="C2258" t="str">
            <v>CJ</v>
          </cell>
          <cell r="D2258">
            <v>441400.69</v>
          </cell>
        </row>
        <row r="2259">
          <cell r="A2259" t="str">
            <v>P.11.000.047601</v>
          </cell>
          <cell r="B2259" t="str">
            <v>Gerador a diesel 460/434 kVA, variação de + ou - 10%, 380/220 V ou 220/127 V, completo; ref. MX460SWAB da Maxitrust ou equivalente</v>
          </cell>
          <cell r="C2259" t="str">
            <v>CJ</v>
          </cell>
          <cell r="D2259">
            <v>403212.47</v>
          </cell>
        </row>
        <row r="2260">
          <cell r="A2260" t="str">
            <v>P.11.000.066172</v>
          </cell>
          <cell r="B2260" t="str">
            <v>Conjunto motor-bomba (centrífuga), monoestágio, potência 40cv, trifásico, Hman= 45 a 75 MCA, Q= 120 a 75 m³/h , referência RL-26B da empresa THEBE ou equivalente</v>
          </cell>
          <cell r="C2260" t="str">
            <v>UN</v>
          </cell>
          <cell r="D2260">
            <v>25066.49</v>
          </cell>
        </row>
        <row r="2261">
          <cell r="A2261" t="str">
            <v>P.11.000.066201</v>
          </cell>
          <cell r="B2261" t="str">
            <v>Conjunto motor-bomba (centrífuga), potência 7,5cv multiestágio, Hman= 30 a 80 mca, Q= 21,6 a 12,0 m³/h; ref. 75 MC3-T da Jacuzzi ou equivalente</v>
          </cell>
          <cell r="C2261" t="str">
            <v>UN</v>
          </cell>
          <cell r="D2261">
            <v>9437.11</v>
          </cell>
        </row>
        <row r="2262">
          <cell r="A2262" t="str">
            <v>P.11.000.066202</v>
          </cell>
          <cell r="B2262" t="str">
            <v>Conjunto motor-bomba (centrifuga), potência 5cv multiestágio, Hman= 25 a 50 mca, Q= 21,0 a 13,3 m³/h; ref. 5MC2-T Jacuzzi ou equivalente</v>
          </cell>
          <cell r="C2262" t="str">
            <v>UN</v>
          </cell>
          <cell r="D2262">
            <v>6530.36</v>
          </cell>
        </row>
        <row r="2263">
          <cell r="A2263" t="str">
            <v>P.11.000.066526</v>
          </cell>
          <cell r="B2263" t="str">
            <v>Motor-bomba centrífuga, potência 30cv, monoestágio, Hman= 20 a 50 mca, Q= 197 a 112 m³/h, ref. CY-16 da Darka ou equivalente</v>
          </cell>
          <cell r="C2263" t="str">
            <v>CJ</v>
          </cell>
          <cell r="D2263">
            <v>18642.11</v>
          </cell>
        </row>
        <row r="2264">
          <cell r="A2264" t="str">
            <v>P.11.000.066539</v>
          </cell>
          <cell r="B2264" t="str">
            <v>Conjunto motor-bomba submersível vertical trifásica, para esgoto, Q= 40 m³/h, Hman= 40 mca, diâmetro de sólidos até 50mm, ref DS-122/4 da Darka ou equivalente</v>
          </cell>
          <cell r="C2264" t="str">
            <v>UN</v>
          </cell>
          <cell r="D2264">
            <v>32127.48</v>
          </cell>
        </row>
        <row r="2265">
          <cell r="A2265" t="str">
            <v>P.11.000.066543</v>
          </cell>
          <cell r="B2265" t="str">
            <v>Motor-bomba centrífuga, potência 15cv, ref.CX 13-15cv da Darka ou equivalente</v>
          </cell>
          <cell r="C2265" t="str">
            <v>UN</v>
          </cell>
          <cell r="D2265">
            <v>12041.64</v>
          </cell>
        </row>
        <row r="2266">
          <cell r="A2266" t="str">
            <v>P.11.000.066544</v>
          </cell>
          <cell r="B2266" t="str">
            <v>Motor-bomba centrífuga, ref. CD-6 Darka / 2DH 1 1/2T da Jacuzzi ou equivalente</v>
          </cell>
          <cell r="C2266" t="str">
            <v>UN</v>
          </cell>
          <cell r="D2266">
            <v>3874.15</v>
          </cell>
        </row>
        <row r="2267">
          <cell r="A2267" t="str">
            <v>P.11.000.066545</v>
          </cell>
          <cell r="B2267" t="str">
            <v>Motor-bomba centrífuga, potência 60cv, ref. Meganorm 50/250 da KSB ou equivalente</v>
          </cell>
          <cell r="C2267" t="str">
            <v>UN</v>
          </cell>
          <cell r="D2267">
            <v>49313.86</v>
          </cell>
        </row>
        <row r="2268">
          <cell r="A2268" t="str">
            <v>P.11.000.066546</v>
          </cell>
          <cell r="B2268" t="str">
            <v>Motor-bomba submersível, potência 4cv; ref. UNI-1000T da ABS ou equivalente</v>
          </cell>
          <cell r="C2268" t="str">
            <v>UN</v>
          </cell>
          <cell r="D2268">
            <v>6890.19</v>
          </cell>
        </row>
        <row r="2269">
          <cell r="A2269" t="str">
            <v>P.11.000.066567</v>
          </cell>
          <cell r="B2269" t="str">
            <v>Motor-bomba de 6´/20HP, Q= 20 a 34m³/h, Hm= 152 a 88mca</v>
          </cell>
          <cell r="C2269" t="str">
            <v>UN</v>
          </cell>
          <cell r="D2269">
            <v>16859.669999999998</v>
          </cell>
        </row>
        <row r="2270">
          <cell r="A2270" t="str">
            <v>P.11.000.066571</v>
          </cell>
          <cell r="B2270" t="str">
            <v>Motor-bomba de 6´/12,5HP, Q= 20 a 34m³/h, Hm= 92,5 a 53mca</v>
          </cell>
          <cell r="C2270" t="str">
            <v>UN</v>
          </cell>
          <cell r="D2270">
            <v>12665.6</v>
          </cell>
        </row>
        <row r="2271">
          <cell r="A2271" t="str">
            <v>P.11.000.066575</v>
          </cell>
          <cell r="B2271" t="str">
            <v>Motor-bomba de 6´/6HP, Q= 10 a 20m³/h, Hm= 80 a 48mca</v>
          </cell>
          <cell r="C2271" t="str">
            <v>UN</v>
          </cell>
          <cell r="D2271">
            <v>11100.55</v>
          </cell>
        </row>
        <row r="2272">
          <cell r="A2272" t="str">
            <v>P.11.000.066576</v>
          </cell>
          <cell r="B2272" t="str">
            <v>Motor-bomba de 6´/8HP, Q= 10 a 20m³/h, Hm= 108 a 64,5mca</v>
          </cell>
          <cell r="C2272" t="str">
            <v>UN</v>
          </cell>
          <cell r="D2272">
            <v>10291.41</v>
          </cell>
        </row>
        <row r="2273">
          <cell r="A2273" t="str">
            <v>P.11.000.066580</v>
          </cell>
          <cell r="B2273" t="str">
            <v>Motor-bomba de 6´/20HP, Q= 10 a 20m³/h, Hm= 274 a 170mca</v>
          </cell>
          <cell r="C2273" t="str">
            <v>UN</v>
          </cell>
          <cell r="D2273">
            <v>18729.54</v>
          </cell>
        </row>
        <row r="2274">
          <cell r="A2274" t="str">
            <v>P.11.000.066581</v>
          </cell>
          <cell r="B2274" t="str">
            <v>Motor-bomba de 6´/8HP, Q= 20 a 34m³/h, Hm= 56,5 a 32mca</v>
          </cell>
          <cell r="C2274" t="str">
            <v>UN</v>
          </cell>
          <cell r="D2274">
            <v>11037.26</v>
          </cell>
        </row>
        <row r="2275">
          <cell r="A2275" t="str">
            <v>P.11.000.066585</v>
          </cell>
          <cell r="B2275" t="str">
            <v>Motor-bomba submersível, potência 1,5cv; ref. KSB KRT Drainer 1500T ou equivalente</v>
          </cell>
          <cell r="C2275" t="str">
            <v>UN</v>
          </cell>
          <cell r="D2275">
            <v>4108.88</v>
          </cell>
        </row>
        <row r="2276">
          <cell r="A2276" t="str">
            <v>P.11.000.066587</v>
          </cell>
          <cell r="B2276" t="str">
            <v>Motor-bomba submersível, potência 5cv; ref. KSB KRT F80-200/190/34XG ou equivalente</v>
          </cell>
          <cell r="C2276" t="str">
            <v>UN</v>
          </cell>
          <cell r="D2276">
            <v>13778.5</v>
          </cell>
        </row>
        <row r="2277">
          <cell r="A2277" t="str">
            <v>P.11.000.066588</v>
          </cell>
          <cell r="B2277" t="str">
            <v>Motor-bomba submersível, potência 10cv; ref. KSB/KRT K100-251/74XG ou equivalente</v>
          </cell>
          <cell r="C2277" t="str">
            <v>UN</v>
          </cell>
          <cell r="D2277">
            <v>28744.34</v>
          </cell>
        </row>
        <row r="2278">
          <cell r="A2278" t="str">
            <v>P.11.000.066590</v>
          </cell>
          <cell r="B2278" t="str">
            <v>Motor-bomba submersível para esgoto, potência 3cv, ref. 851T SBS/EG 1000-F SPV ou equivalente</v>
          </cell>
          <cell r="C2278" t="str">
            <v>UN</v>
          </cell>
          <cell r="D2278">
            <v>8034.22</v>
          </cell>
        </row>
        <row r="2279">
          <cell r="A2279" t="str">
            <v>P.11.000.066602</v>
          </cell>
          <cell r="B2279" t="str">
            <v>Conjunto motor-bomba (centrífuga), trifásico, 220/380V, potência 0,5cv - 60Hz, Hman= 10 a 20mca, Q= 7,5 a 1,5m³/h, ref. XD-2 da Grundfos, RD-2 da Rudc ou equivalente</v>
          </cell>
          <cell r="C2279" t="str">
            <v>UN</v>
          </cell>
          <cell r="D2279">
            <v>2137.16</v>
          </cell>
        </row>
        <row r="2280">
          <cell r="A2280" t="str">
            <v>P.11.000.066622</v>
          </cell>
          <cell r="B2280" t="str">
            <v>Conjunto motor-bomba (centrífuga), potência 0,5cv monoestágio, trifásica, Hman= 21 a 9 mca, Q= 2 a 8,3 m³/h; ref. nxdp2 da Mark Grundfos, Rudc ou equivalente</v>
          </cell>
          <cell r="C2280" t="str">
            <v>UN</v>
          </cell>
          <cell r="D2280">
            <v>1432.53</v>
          </cell>
        </row>
        <row r="2281">
          <cell r="A2281" t="str">
            <v>P.11.000.066623</v>
          </cell>
          <cell r="B2281" t="str">
            <v>Conjunto motor-bomba (centrífuga), potência 30cv monoestágio, trifásica, Hman= 70 a 94 mca, Q= 34,8 a 61,7 m³/h, ref. BC-23R-1 1/2´ da Scheneider ou equivalente</v>
          </cell>
          <cell r="C2281" t="str">
            <v>UN</v>
          </cell>
          <cell r="D2281">
            <v>22682.29</v>
          </cell>
        </row>
        <row r="2282">
          <cell r="A2282" t="str">
            <v>P.11.000.066624</v>
          </cell>
          <cell r="B2282" t="str">
            <v>Conjunto motor-bomba (centrífuga), potência 20cv monoestágio, trifásica, Hman= 62 a 90 mca, Q= 21,1 a 43,8 m³/h, ref. RL-20B da Thebe ou equivalente</v>
          </cell>
          <cell r="C2282" t="str">
            <v>UN</v>
          </cell>
          <cell r="D2282">
            <v>16121.24</v>
          </cell>
        </row>
        <row r="2283">
          <cell r="A2283" t="str">
            <v>P.11.000.066625</v>
          </cell>
          <cell r="B2283" t="str">
            <v>Conjunto motor-bomba (centrífuga) monoestágio rosqueada trifásica, motor de 1cv, 220/380 V, sucção e recalque de 1´, ref. NXDP4 da Mark Grundfos ou equivalente</v>
          </cell>
          <cell r="C2283" t="str">
            <v>UN</v>
          </cell>
          <cell r="D2283">
            <v>2743.77</v>
          </cell>
        </row>
        <row r="2284">
          <cell r="A2284" t="str">
            <v>P.11.000.066626</v>
          </cell>
          <cell r="B2284" t="str">
            <v>Conjunto motor-bomba (centrífuga), potência 1 cv multiestágio, trifásica, Hman= 70 a 115 mca, Q= 1,0 a 1,6 m³/h, ref. BT4-0510E12 da Schneider ou equivalente</v>
          </cell>
          <cell r="C2284" t="str">
            <v>UN</v>
          </cell>
          <cell r="D2284">
            <v>4640.8599999999997</v>
          </cell>
        </row>
        <row r="2285">
          <cell r="A2285" t="str">
            <v>P.11.000.066627</v>
          </cell>
          <cell r="B2285" t="str">
            <v>Conjunto motor-bomba (centrífuga), potência 1 cv multiestágio, trifásica, Hman= 15 a 30 mca, Q=6,5 a 4,2m³/h, ref. ME 1210 da Schneider ou equivalente</v>
          </cell>
          <cell r="C2285" t="str">
            <v>UN</v>
          </cell>
          <cell r="D2285">
            <v>2110.1799999999998</v>
          </cell>
        </row>
        <row r="2286">
          <cell r="A2286" t="str">
            <v>P.11.000.090203</v>
          </cell>
          <cell r="B2286" t="str">
            <v>Conjunto motor-bomba centrífuga, potência 20cv; ref. 20 GC2-T da Jacuzzi ou equivalente</v>
          </cell>
          <cell r="C2286" t="str">
            <v>UN</v>
          </cell>
          <cell r="D2286">
            <v>19911.34</v>
          </cell>
        </row>
        <row r="2287">
          <cell r="A2287" t="str">
            <v>P.11.000.090211</v>
          </cell>
          <cell r="B2287" t="str">
            <v>Conjunto motor-bomba centrífuga, monoestágio, potência 10cv, ref.10GB2-T da Jacuzzi ou equivalente</v>
          </cell>
          <cell r="C2287" t="str">
            <v>UN</v>
          </cell>
          <cell r="D2287">
            <v>11373.24</v>
          </cell>
        </row>
        <row r="2288">
          <cell r="A2288" t="str">
            <v>P.11.000.090212</v>
          </cell>
          <cell r="B2288" t="str">
            <v>Conjunto motor-bomba centrífuga, potência 1,5cv, ref.15MA2-T da Jacuzzi ou equivalente</v>
          </cell>
          <cell r="C2288" t="str">
            <v>UN</v>
          </cell>
          <cell r="D2288">
            <v>3880.81</v>
          </cell>
        </row>
        <row r="2289">
          <cell r="A2289" t="str">
            <v>P.11.000.090215</v>
          </cell>
          <cell r="B2289" t="str">
            <v>Conjunto motor-bomba centrífuga, potência 3cv, ref. 3MA3T da Jacuzzi ou equivalente</v>
          </cell>
          <cell r="C2289" t="str">
            <v>UN</v>
          </cell>
          <cell r="D2289">
            <v>6077.48</v>
          </cell>
        </row>
        <row r="2290">
          <cell r="A2290" t="str">
            <v>P.11.000.090216</v>
          </cell>
          <cell r="B2290" t="str">
            <v>Conjunto motor-bomba centrífuga, potência 5cv, ref. 5DM2-T Jacuzzi ou equivalente</v>
          </cell>
          <cell r="C2290" t="str">
            <v>UN</v>
          </cell>
          <cell r="D2290">
            <v>5618.51</v>
          </cell>
        </row>
        <row r="2291">
          <cell r="A2291" t="str">
            <v>P.11.000.090217</v>
          </cell>
          <cell r="B2291" t="str">
            <v>Conjunto motor-bomba submersível para esgoto, ref. ROB 400T-SI (SESI 10D) ABS ou equivalente</v>
          </cell>
          <cell r="C2291" t="str">
            <v>UN</v>
          </cell>
          <cell r="D2291">
            <v>8228.93</v>
          </cell>
        </row>
        <row r="2292">
          <cell r="A2292" t="str">
            <v>P.11.000.090218</v>
          </cell>
          <cell r="B2292" t="str">
            <v>Conjunto motor-bomba submersível para esgoto, ref. ROB 8OOT-SI (SJSI 20D) ABS ou equivalente</v>
          </cell>
          <cell r="C2292" t="str">
            <v>UN</v>
          </cell>
          <cell r="D2292">
            <v>11486.16</v>
          </cell>
        </row>
        <row r="2293">
          <cell r="A2293" t="str">
            <v>P.11.000.092025</v>
          </cell>
          <cell r="B2293" t="str">
            <v>Conjunto motor-bomba submersível, ref.UNI 300T-SI da ABS ou equivalente</v>
          </cell>
          <cell r="C2293" t="str">
            <v>UN</v>
          </cell>
          <cell r="D2293">
            <v>2882.25</v>
          </cell>
        </row>
        <row r="2294">
          <cell r="A2294" t="str">
            <v>P.11.000.092026</v>
          </cell>
          <cell r="B2294" t="str">
            <v>Conjunto motor-bomba submersível, ref.UNI 500T-SI da ABS ou equivalente</v>
          </cell>
          <cell r="C2294" t="str">
            <v>UN</v>
          </cell>
          <cell r="D2294">
            <v>3566.99</v>
          </cell>
        </row>
        <row r="2295">
          <cell r="A2295" t="str">
            <v>P.11.000.092027</v>
          </cell>
          <cell r="B2295" t="str">
            <v>Conjunto motor-bomba centrífuga, potência 3/4cv; ref. 7DH1-T da Jacuzzi ou equivalente</v>
          </cell>
          <cell r="C2295" t="str">
            <v>UN</v>
          </cell>
          <cell r="D2295">
            <v>2637.1</v>
          </cell>
        </row>
        <row r="2296">
          <cell r="A2296" t="str">
            <v>P.11.000.092048</v>
          </cell>
          <cell r="B2296" t="str">
            <v>Conjunto motor-bomba centrífuga, potência 3cv, ref. 3MB2T da Jacuzzi ou equivalente</v>
          </cell>
          <cell r="C2296" t="str">
            <v>UN</v>
          </cell>
          <cell r="D2296">
            <v>6070.16</v>
          </cell>
        </row>
        <row r="2297">
          <cell r="A2297" t="str">
            <v>P.11.000.092213</v>
          </cell>
          <cell r="B2297" t="str">
            <v>Gerador a diesel 55/50 kVA, variação de + ou - 10%, 380/220 V ou 220/127 V, completo; ref. 12W6I0 da Nilmariz ou equivalente</v>
          </cell>
          <cell r="C2297" t="str">
            <v>UN</v>
          </cell>
          <cell r="D2297">
            <v>97275.09</v>
          </cell>
        </row>
        <row r="2298">
          <cell r="A2298" t="str">
            <v>P.12.000.034083</v>
          </cell>
          <cell r="B2298" t="str">
            <v>Transformador abaixador, entrada 110/220 V, saída 24 V + 24 V, corrente secundário 6A; ref. TF 24/6 da Hayama, 24+24 6A da Líder, 00891 da Unitel, Trafo EL-6 da Fácil transformadores ou equivalente</v>
          </cell>
          <cell r="C2298" t="str">
            <v>UN</v>
          </cell>
          <cell r="D2298">
            <v>218.14</v>
          </cell>
        </row>
        <row r="2299">
          <cell r="A2299" t="str">
            <v>P.12.000.041001</v>
          </cell>
          <cell r="B2299" t="str">
            <v>Transformador de potência trifásico de 225kVA classe 15kV, a óleo</v>
          </cell>
          <cell r="C2299" t="str">
            <v>UN</v>
          </cell>
          <cell r="D2299">
            <v>41725.06</v>
          </cell>
        </row>
        <row r="2300">
          <cell r="A2300" t="str">
            <v>P.12.000.041005</v>
          </cell>
          <cell r="B2300" t="str">
            <v>Transformador de potência monofásico de 1000VA classe 15kV, a seco com fusíveis</v>
          </cell>
          <cell r="C2300" t="str">
            <v>UN</v>
          </cell>
          <cell r="D2300">
            <v>3629.01</v>
          </cell>
        </row>
        <row r="2301">
          <cell r="A2301" t="str">
            <v>P.12.000.041008</v>
          </cell>
          <cell r="B2301" t="str">
            <v>Transformador de potência monofásico de 2000VA classe 15kV, a seco com fusíveis</v>
          </cell>
          <cell r="C2301" t="str">
            <v>UN</v>
          </cell>
          <cell r="D2301">
            <v>5662.38</v>
          </cell>
        </row>
        <row r="2302">
          <cell r="A2302" t="str">
            <v>P.12.000.041010</v>
          </cell>
          <cell r="B2302" t="str">
            <v>Transformador de potência trifásico de 500 kVA, classe 15 kV, a seco</v>
          </cell>
          <cell r="C2302" t="str">
            <v>UN</v>
          </cell>
          <cell r="D2302">
            <v>83150.02</v>
          </cell>
        </row>
        <row r="2303">
          <cell r="A2303" t="str">
            <v>P.12.000.041011</v>
          </cell>
          <cell r="B2303" t="str">
            <v>Transformador de potência monofásico de 500VA classe 15kV, a seco, sem fusíveis</v>
          </cell>
          <cell r="C2303" t="str">
            <v>UN</v>
          </cell>
          <cell r="D2303">
            <v>3013.96</v>
          </cell>
        </row>
        <row r="2304">
          <cell r="A2304" t="str">
            <v>P.12.000.041012</v>
          </cell>
          <cell r="B2304" t="str">
            <v>Transformador de corrente 800-5 A janela; ref. DP88-800/5 da Sibratec, MES-100 da JNG, RH-90 da Renz, METSECT5DA080 da Schneider ou equivalente</v>
          </cell>
          <cell r="C2304" t="str">
            <v>UN</v>
          </cell>
          <cell r="D2304">
            <v>284.92</v>
          </cell>
        </row>
        <row r="2305">
          <cell r="A2305" t="str">
            <v>P.12.000.041015</v>
          </cell>
          <cell r="B2305" t="str">
            <v>Transformador de potência trifásico de 150kVA classe 15, a óleo</v>
          </cell>
          <cell r="C2305" t="str">
            <v>UN</v>
          </cell>
          <cell r="D2305">
            <v>30447.07</v>
          </cell>
        </row>
        <row r="2306">
          <cell r="A2306" t="str">
            <v>P.12.000.041016</v>
          </cell>
          <cell r="B2306" t="str">
            <v>Transformador de corrente 200-5A até 600-5A janela; ref. RH-78 da Renz, MES-60 da JNG ou equivalente</v>
          </cell>
          <cell r="C2306" t="str">
            <v>UN</v>
          </cell>
          <cell r="D2306">
            <v>240.79</v>
          </cell>
        </row>
        <row r="2307">
          <cell r="A2307" t="str">
            <v>P.12.000.041017</v>
          </cell>
          <cell r="B2307" t="str">
            <v>Transformador de corrente 1000-5A até 1500-5A janela; ref. RH-90 da Renz, SN157-0003554 da Soltran, 4NC5232-2FE21 da Siemens ou equivalente</v>
          </cell>
          <cell r="C2307" t="str">
            <v>UN</v>
          </cell>
          <cell r="D2307">
            <v>386.43</v>
          </cell>
        </row>
        <row r="2308">
          <cell r="A2308" t="str">
            <v>P.12.000.041021</v>
          </cell>
          <cell r="B2308" t="str">
            <v>Transformador de potência trifásico de 75kVA classe 15kV, a óleo</v>
          </cell>
          <cell r="C2308" t="str">
            <v>UN</v>
          </cell>
          <cell r="D2308">
            <v>21894.51</v>
          </cell>
        </row>
        <row r="2309">
          <cell r="A2309" t="str">
            <v>P.12.000.041024</v>
          </cell>
          <cell r="B2309" t="str">
            <v>Transformador de comando de 200 VA, tensão primária 440/380V e tensão secundária 220/127V; ref. 4AM70180AB420EB0 da Siemens ou equivalente</v>
          </cell>
          <cell r="C2309" t="str">
            <v>UN</v>
          </cell>
          <cell r="D2309">
            <v>739.77</v>
          </cell>
        </row>
        <row r="2310">
          <cell r="A2310" t="str">
            <v>P.12.000.041025</v>
          </cell>
          <cell r="B2310" t="str">
            <v>Transformador de potência trifásico de 300kVA classe 15kV, a óleo</v>
          </cell>
          <cell r="C2310" t="str">
            <v>UN</v>
          </cell>
          <cell r="D2310">
            <v>49680.1</v>
          </cell>
        </row>
        <row r="2311">
          <cell r="A2311" t="str">
            <v>P.12.000.041026</v>
          </cell>
          <cell r="B2311" t="str">
            <v>Transformador de potência trifásico de 112,5kVA classe 15kV, a óleo</v>
          </cell>
          <cell r="C2311" t="str">
            <v>UN</v>
          </cell>
          <cell r="D2311">
            <v>24754.47</v>
          </cell>
        </row>
        <row r="2312">
          <cell r="A2312" t="str">
            <v>P.12.000.041035</v>
          </cell>
          <cell r="B2312" t="str">
            <v>Transformador de corrente 50-5A até 150-5 A janela; ref. ST-30, ST-42 da Sassi, METSECT5CC015 da Schneider, RH-78 da Renz ou equivalente</v>
          </cell>
          <cell r="C2312" t="str">
            <v>UN</v>
          </cell>
          <cell r="D2312">
            <v>154.18</v>
          </cell>
        </row>
        <row r="2313">
          <cell r="A2313" t="str">
            <v>P.12.000.041038</v>
          </cell>
          <cell r="B2313" t="str">
            <v>Transformador de potência trifásico de 500kVA, a seco com cabine</v>
          </cell>
          <cell r="C2313" t="str">
            <v>UN</v>
          </cell>
          <cell r="D2313">
            <v>101244.69</v>
          </cell>
        </row>
        <row r="2314">
          <cell r="A2314" t="str">
            <v>P.12.000.041039</v>
          </cell>
          <cell r="B2314" t="str">
            <v>Transformador de potência trifásico de 30 kVA, classe 1,2KV, impregnado em resina epoxi, a seco com cabine</v>
          </cell>
          <cell r="C2314" t="str">
            <v>UN</v>
          </cell>
          <cell r="D2314">
            <v>17706.38</v>
          </cell>
        </row>
        <row r="2315">
          <cell r="A2315" t="str">
            <v>P.12.000.041046</v>
          </cell>
          <cell r="B2315" t="str">
            <v>Transformador de potência trifásico de 750kVA, classe 15kV, a óleo</v>
          </cell>
          <cell r="C2315" t="str">
            <v>UN</v>
          </cell>
          <cell r="D2315">
            <v>95959.87</v>
          </cell>
        </row>
        <row r="2316">
          <cell r="A2316" t="str">
            <v>P.12.000.041063</v>
          </cell>
          <cell r="B2316" t="str">
            <v>Transformador de potência trifásico de 750 kVA, classe 15 kV, IP33, 220V/127V, a seco</v>
          </cell>
          <cell r="C2316" t="str">
            <v>UN</v>
          </cell>
          <cell r="D2316">
            <v>140083.95000000001</v>
          </cell>
        </row>
        <row r="2317">
          <cell r="A2317" t="str">
            <v>P.12.000.041064</v>
          </cell>
          <cell r="B2317" t="str">
            <v>Transformador de potência trifásico de 300 kVA, classe 15 kV, a seco</v>
          </cell>
          <cell r="C2317" t="str">
            <v>UN</v>
          </cell>
          <cell r="D2317">
            <v>75728.91</v>
          </cell>
        </row>
        <row r="2318">
          <cell r="A2318" t="str">
            <v>P.12.000.041068</v>
          </cell>
          <cell r="B2318" t="str">
            <v>Transformador de potência trifásico de 45 kVA, classe 15 kV, a seco</v>
          </cell>
          <cell r="C2318" t="str">
            <v>UN</v>
          </cell>
          <cell r="D2318">
            <v>39641.29</v>
          </cell>
        </row>
        <row r="2319">
          <cell r="A2319" t="str">
            <v>P.12.000.041072</v>
          </cell>
          <cell r="B2319" t="str">
            <v>Transformador de potência trifásico de 500 kVA, classe 15kV-1,2kV, a óleo mineral, tipo pedestal (pad-mouted), (+6 TDC+6 Plug); referência comercial Contrafo ou equivalente</v>
          </cell>
          <cell r="C2319" t="str">
            <v>UN</v>
          </cell>
          <cell r="D2319">
            <v>140414.45000000001</v>
          </cell>
        </row>
        <row r="2320">
          <cell r="A2320" t="str">
            <v>P.12.000.041080</v>
          </cell>
          <cell r="B2320" t="str">
            <v>Transformador trifásico a seco de 112,5 kVA, encapsulado em resina epóxi sob vácuo - 380/220V ou 220/127V</v>
          </cell>
          <cell r="C2320" t="str">
            <v>UN</v>
          </cell>
          <cell r="D2320">
            <v>43079.82</v>
          </cell>
        </row>
        <row r="2321">
          <cell r="A2321" t="str">
            <v>P.12.000.041081</v>
          </cell>
          <cell r="B2321" t="str">
            <v>Transformador trifásico a seco de 150 kVA/15kV, encapsulado resina epóxi sob vácuo, 220/127V-60Hz, tensão prim.13,8/13,2/12,6kV, lig. seg. estrela com neutro</v>
          </cell>
          <cell r="C2321" t="str">
            <v>UN</v>
          </cell>
          <cell r="D2321">
            <v>48739.3</v>
          </cell>
        </row>
        <row r="2322">
          <cell r="A2322" t="str">
            <v>P.12.000.041612</v>
          </cell>
          <cell r="B2322" t="str">
            <v>Transformador de potência trifásico de 500 kVA, classe 15 kV, a óleo</v>
          </cell>
          <cell r="C2322" t="str">
            <v>UN</v>
          </cell>
          <cell r="D2322">
            <v>76089.710000000006</v>
          </cell>
        </row>
        <row r="2323">
          <cell r="A2323" t="str">
            <v>P.12.000.049753</v>
          </cell>
          <cell r="B2323" t="str">
            <v>Supressor de surto monofásico, In 4 a 11 kA, Imax. de surto de 12 até 15 kA, ref. 722.B.010.127 / 220 fabricação Clamper, DPS15275 fabricação Steck ou equivalente</v>
          </cell>
          <cell r="C2323" t="str">
            <v>UN</v>
          </cell>
          <cell r="D2323">
            <v>46.36</v>
          </cell>
        </row>
        <row r="2324">
          <cell r="A2324" t="str">
            <v>P.12.000.049754</v>
          </cell>
          <cell r="B2324" t="str">
            <v>Supressor de surto monofásico, In 20 KA, Imax. de surto de 50 até 80 KA; ref. Spw275-60 da Weg, VCl-Slim 60KA da Clamper, LK385 da Lukma ou equivalente</v>
          </cell>
          <cell r="C2324" t="str">
            <v>UN</v>
          </cell>
          <cell r="D2324">
            <v>134.07</v>
          </cell>
        </row>
        <row r="2325">
          <cell r="A2325" t="str">
            <v>P.12.000.049760</v>
          </cell>
          <cell r="B2325" t="str">
            <v>Tapete de borracha isolante elétrico de 1000x1000mm e espessura mínima de 4 mm na cor preto ou cinza, classe IV, para isolamento de tensão até 40 kV - com laudo</v>
          </cell>
          <cell r="C2325" t="str">
            <v>UN</v>
          </cell>
          <cell r="D2325">
            <v>674.35</v>
          </cell>
        </row>
        <row r="2326">
          <cell r="A2326" t="str">
            <v>P.12.000.049762</v>
          </cell>
          <cell r="B2326" t="str">
            <v>Dispositivo de proteção contra surto, classe 1, suportabilidade &lt;= 4 kV, 2 polos; F+N, F+T ou F/PEN, 240V/415V, TN-C, TN-S, TT e IT, curva de ensaio: 10/350µs; Iimp= 60 kA; ref. SCL 275 60 kA da Clamper, 810299SG da Embrastec ou equivalente</v>
          </cell>
          <cell r="C2326" t="str">
            <v>UN</v>
          </cell>
          <cell r="D2326">
            <v>521.45000000000005</v>
          </cell>
        </row>
        <row r="2327">
          <cell r="A2327" t="str">
            <v>P.12.000.049763</v>
          </cell>
          <cell r="B2327" t="str">
            <v>Dispositivo de proteção contra surto, classe 1, tipo cartuchos (plug in), 4 polos, 3F+N, 240V/415V, curva de ensaio 10/350µs, Iimp: 75 kA (25 kA por fase); ref. 5SD7 414-1 da Siemens ou equivalente</v>
          </cell>
          <cell r="C2327" t="str">
            <v>UN</v>
          </cell>
          <cell r="D2327">
            <v>7487.56</v>
          </cell>
        </row>
        <row r="2328">
          <cell r="A2328" t="str">
            <v>P.12.000.049764</v>
          </cell>
          <cell r="B2328" t="str">
            <v>Dispositivo de proteção contra surto, classe 3, suportabilidade &lt;= 1,4 kV, 2 polos; F+N / F+F, Un até 240V/264V; TN-S, curva de ensaio: 8/20µs, Imax: 5 kA; ref. 700.722.B.010 da Clamper, 5SD7 432-7 da Siemens ou equivalente</v>
          </cell>
          <cell r="C2328" t="str">
            <v>UN</v>
          </cell>
          <cell r="D2328">
            <v>854.22</v>
          </cell>
        </row>
        <row r="2329">
          <cell r="A2329" t="str">
            <v>P.12.000.049765</v>
          </cell>
          <cell r="B2329" t="str">
            <v>Dispositivo proteção contra surto, classe 2, tipo cartuchos substituíveis (plug in), nível proteção &gt; que 2,5 kV, 4 polos; 3F+N, 240V/415V, configuração aterramento: TN-S, curva ensaio: 8/20µs, In/Imax: 20kA/40kA; ref. 5SD7 464-1 Siemens ou equivalente</v>
          </cell>
          <cell r="C2329" t="str">
            <v>UN</v>
          </cell>
          <cell r="D2329">
            <v>2620.04</v>
          </cell>
        </row>
        <row r="2330">
          <cell r="A2330" t="str">
            <v>P.12.000.090126</v>
          </cell>
          <cell r="B2330" t="str">
            <v>Capacitor de potência trifásico de 10kVAr, para 220V, frequência de 60Hz, com suporte de fixação</v>
          </cell>
          <cell r="C2330" t="str">
            <v>UN</v>
          </cell>
          <cell r="D2330">
            <v>1125.4000000000001</v>
          </cell>
        </row>
        <row r="2331">
          <cell r="A2331" t="str">
            <v>P.12.000.092019</v>
          </cell>
          <cell r="B2331" t="str">
            <v>Transformador de potência trifásico de 1000kVA classe 15kV, a seco com cabine</v>
          </cell>
          <cell r="C2331" t="str">
            <v>UN</v>
          </cell>
          <cell r="D2331">
            <v>128085.52</v>
          </cell>
        </row>
        <row r="2332">
          <cell r="A2332" t="str">
            <v>P.12.000.092146</v>
          </cell>
          <cell r="B2332" t="str">
            <v>Transformador de potência trifásico de 5 kVA a seco, encapsulado a vácuo em resina epóxi autoextinguível, com cabine em chapa de aço grau de proteção IP-23, uso abrigado, 380/220V ou 220/127V, frequência 60Hz, ref. SP Trafo, MVA ou equivalente</v>
          </cell>
          <cell r="C2332" t="str">
            <v>UN</v>
          </cell>
          <cell r="D2332">
            <v>5103.68</v>
          </cell>
        </row>
        <row r="2333">
          <cell r="A2333" t="str">
            <v>P.12.000.092147</v>
          </cell>
          <cell r="B2333" t="str">
            <v>Transformador de potência trifásico de 7,5 kVA a seco, encapsulado a vácuo em resina epóxi autoextinguível, com cabine em chapa de aço grau de proteção IP-23, uso abrigado, 380/220V ou 220/127V, frequência 60Hz, ref. SP Trafo, MVA ou equivalente</v>
          </cell>
          <cell r="C2333" t="str">
            <v>UN</v>
          </cell>
          <cell r="D2333">
            <v>6484.41</v>
          </cell>
        </row>
        <row r="2334">
          <cell r="A2334" t="str">
            <v>P.13.000.030521</v>
          </cell>
          <cell r="B2334" t="str">
            <v>Calha de aço com 4 tomadas 2P+T 250 V, com cabo até 2,5 mm tipo filtro de linha</v>
          </cell>
          <cell r="C2334" t="str">
            <v>UN</v>
          </cell>
          <cell r="D2334">
            <v>79.239999999999995</v>
          </cell>
        </row>
        <row r="2335">
          <cell r="A2335" t="str">
            <v>P.13.000.030526</v>
          </cell>
          <cell r="B2335" t="str">
            <v>Régua com 8 tomadas 2P+T 250 V, com cabo tipo filtro de linha</v>
          </cell>
          <cell r="C2335" t="str">
            <v>UN</v>
          </cell>
          <cell r="D2335">
            <v>95.79</v>
          </cell>
        </row>
        <row r="2336">
          <cell r="A2336" t="str">
            <v>P.13.000.030527</v>
          </cell>
          <cell r="B2336" t="str">
            <v>Régua com 12 tomadas 2P+T 250 V, com cabo tipo filtro de linha</v>
          </cell>
          <cell r="C2336" t="str">
            <v>UN</v>
          </cell>
          <cell r="D2336">
            <v>105.16</v>
          </cell>
        </row>
        <row r="2337">
          <cell r="A2337" t="str">
            <v>P.13.000.036121</v>
          </cell>
          <cell r="B2337" t="str">
            <v>Suporte e variador de luminosidade rotativo até 600W / 220V, com placa, na cor branca ou marfim; ref. linha Miluz 600W PL/BR S3B65590 da Schneider Electric ou equivalente</v>
          </cell>
          <cell r="C2337" t="str">
            <v>CJ</v>
          </cell>
          <cell r="D2337">
            <v>54.76</v>
          </cell>
        </row>
        <row r="2338">
          <cell r="A2338" t="str">
            <v>P.13.000.042203</v>
          </cell>
          <cell r="B2338" t="str">
            <v>Tomada para telefone 4P padrão Telebras, com placa</v>
          </cell>
          <cell r="C2338" t="str">
            <v>CJ</v>
          </cell>
          <cell r="D2338">
            <v>26.4</v>
          </cell>
        </row>
        <row r="2339">
          <cell r="A2339" t="str">
            <v>P.13.000.042284</v>
          </cell>
          <cell r="B2339" t="str">
            <v>Botão de comando duplo sem sinalização</v>
          </cell>
          <cell r="C2339" t="str">
            <v>UN</v>
          </cell>
          <cell r="D2339">
            <v>54.2</v>
          </cell>
        </row>
        <row r="2340">
          <cell r="A2340" t="str">
            <v>P.13.000.042285</v>
          </cell>
          <cell r="B2340" t="str">
            <v>Placa com ou sem furo, em poliestireno de 4´x 2´, ref. modelo Silentoque da Pial ou equivalente</v>
          </cell>
          <cell r="C2340" t="str">
            <v>UN</v>
          </cell>
          <cell r="D2340">
            <v>4.22</v>
          </cell>
        </row>
        <row r="2341">
          <cell r="A2341" t="str">
            <v>P.13.000.042286</v>
          </cell>
          <cell r="B2341" t="str">
            <v>Placa em poliestireno de 4 x 4, termoplástico de alto impacto; ref. modelo Silentoque fabricação Pial, ou equivalente.</v>
          </cell>
          <cell r="C2341" t="str">
            <v>UN</v>
          </cell>
          <cell r="D2341">
            <v>9.76</v>
          </cell>
        </row>
        <row r="2342">
          <cell r="A2342" t="str">
            <v>P.13.000.042289</v>
          </cell>
          <cell r="B2342" t="str">
            <v>Botoeira comando liga-desliga sem sinalizador; ref. 3SB7130-3AA24-1MK0 (botão duplo)+ 3SB7811-0AA10-0BA0 (botoeira); ref. Siemens ou equivalente</v>
          </cell>
          <cell r="C2342" t="str">
            <v>UN</v>
          </cell>
          <cell r="D2342">
            <v>121.35</v>
          </cell>
        </row>
        <row r="2343">
          <cell r="A2343" t="str">
            <v>P.13.000.042290</v>
          </cell>
          <cell r="B2343" t="str">
            <v>Placa suporte (tampa) 4´x 2´ para áreas úmidas, grau de proteção IP55; ref. Orion da Schneider, linha Sigma da Kalop, Nereya da Pial Legrand ou equivalente</v>
          </cell>
          <cell r="C2343" t="str">
            <v>UN</v>
          </cell>
          <cell r="D2343">
            <v>104.01</v>
          </cell>
        </row>
        <row r="2344">
          <cell r="A2344" t="str">
            <v>P.13.000.042351</v>
          </cell>
          <cell r="B2344" t="str">
            <v>Tomada para TV, tipo pino Jack, com placa, ref. linha Trii da Tramontina, Simon, Pial Legrand, ou equivalente</v>
          </cell>
          <cell r="C2344" t="str">
            <v>UN</v>
          </cell>
          <cell r="D2344">
            <v>13.5</v>
          </cell>
        </row>
        <row r="2345">
          <cell r="A2345" t="str">
            <v>P.13.000.042354</v>
          </cell>
          <cell r="B2345" t="str">
            <v>Cigarra de embutir 50/60HZ até 127V; ref. PIAL 1140 ou equivalente</v>
          </cell>
          <cell r="C2345" t="str">
            <v>UN</v>
          </cell>
          <cell r="D2345">
            <v>39.15</v>
          </cell>
        </row>
        <row r="2346">
          <cell r="A2346" t="str">
            <v>P.13.000.042461</v>
          </cell>
          <cell r="B2346" t="str">
            <v>Botoeira tipo cogumelo (bloco de contato+flange+frontal), com retenção, trava, gira para soltar (1NF), para quadro/painel; ref. CEW-Begm-0100000 da Weg, Lay5-BS54 da JNG, Metaltex, Margirius ou equivalente</v>
          </cell>
          <cell r="C2346" t="str">
            <v>UN</v>
          </cell>
          <cell r="D2346">
            <v>37.72</v>
          </cell>
        </row>
        <row r="2347">
          <cell r="A2347" t="str">
            <v>P.13.000.042470</v>
          </cell>
          <cell r="B2347" t="str">
            <v>Botoeira convencional para pedestre, ref. comercial Contransin, Portal sinalização ou equivalente</v>
          </cell>
          <cell r="C2347" t="str">
            <v>UN</v>
          </cell>
          <cell r="D2347">
            <v>458.91</v>
          </cell>
        </row>
        <row r="2348">
          <cell r="A2348" t="str">
            <v>P.13.000.042471</v>
          </cell>
          <cell r="B2348" t="str">
            <v>Botoeira sonora para deficientes visuais, padrão Contran. Res. 704-2017, ref. comercial Contransin, Interativa soluções ou equivalente</v>
          </cell>
          <cell r="C2348" t="str">
            <v>UN</v>
          </cell>
          <cell r="D2348">
            <v>3192.34</v>
          </cell>
        </row>
        <row r="2349">
          <cell r="A2349" t="str">
            <v>P.13.000.042540</v>
          </cell>
          <cell r="B2349" t="str">
            <v>Tomada blindada VHF/UHF, CATV e FM, (divisor de sinais), frequência 5Mhz a 1 GHz, ref. WT/275 TV/FM da Wadt, Force Line, Conecte, Multi, TMS ou equivalente</v>
          </cell>
          <cell r="C2349" t="str">
            <v>UN</v>
          </cell>
          <cell r="D2349">
            <v>11.4</v>
          </cell>
        </row>
        <row r="2350">
          <cell r="A2350" t="str">
            <v>P.13.000.045001</v>
          </cell>
          <cell r="B2350" t="str">
            <v>Caixa de passagem em chapa 18, com tampa parafusada, 10 x 10 x 8 cm</v>
          </cell>
          <cell r="C2350" t="str">
            <v>UN</v>
          </cell>
          <cell r="D2350">
            <v>15.91</v>
          </cell>
        </row>
        <row r="2351">
          <cell r="A2351" t="str">
            <v>P.13.000.045002</v>
          </cell>
          <cell r="B2351" t="str">
            <v>Caixa de passagem em chapa 18, com tampa parafusada, 15 x 15 x 8 cm</v>
          </cell>
          <cell r="C2351" t="str">
            <v>UN</v>
          </cell>
          <cell r="D2351">
            <v>18.239999999999998</v>
          </cell>
        </row>
        <row r="2352">
          <cell r="A2352" t="str">
            <v>P.13.000.045003</v>
          </cell>
          <cell r="B2352" t="str">
            <v>Caixa de passagem em chapa 18, com tampa parafusada, 20 x 20 x 10 cm</v>
          </cell>
          <cell r="C2352" t="str">
            <v>UN</v>
          </cell>
          <cell r="D2352">
            <v>29.82</v>
          </cell>
        </row>
        <row r="2353">
          <cell r="A2353" t="str">
            <v>P.13.000.045005</v>
          </cell>
          <cell r="B2353" t="str">
            <v>Caixa de passagem em chapa 18, com tampa parafusada, 30 x 30 x 12 cm</v>
          </cell>
          <cell r="C2353" t="str">
            <v>UN</v>
          </cell>
          <cell r="D2353">
            <v>56.87</v>
          </cell>
        </row>
        <row r="2354">
          <cell r="A2354" t="str">
            <v>P.13.000.045006</v>
          </cell>
          <cell r="B2354" t="str">
            <v>Caixa em PVC de 4´ x 2´</v>
          </cell>
          <cell r="C2354" t="str">
            <v>UN</v>
          </cell>
          <cell r="D2354">
            <v>3.49</v>
          </cell>
        </row>
        <row r="2355">
          <cell r="A2355" t="str">
            <v>P.13.000.045007</v>
          </cell>
          <cell r="B2355" t="str">
            <v>Caixa de passagem em chapa 18, com tampa parafusada, 40 x 40 x 15 cm</v>
          </cell>
          <cell r="C2355" t="str">
            <v>UN</v>
          </cell>
          <cell r="D2355">
            <v>135.58000000000001</v>
          </cell>
        </row>
        <row r="2356">
          <cell r="A2356" t="str">
            <v>P.13.000.045008</v>
          </cell>
          <cell r="B2356" t="str">
            <v>Caixa em PVC de 4´ x 4´</v>
          </cell>
          <cell r="C2356" t="str">
            <v>UN</v>
          </cell>
          <cell r="D2356">
            <v>6.82</v>
          </cell>
        </row>
        <row r="2357">
          <cell r="A2357" t="str">
            <v>P.13.000.045009</v>
          </cell>
          <cell r="B2357" t="str">
            <v>Caixa de passagem em chapa 18, com tampa parafusada, 50 x 50 x 15 cm</v>
          </cell>
          <cell r="C2357" t="str">
            <v>UN</v>
          </cell>
          <cell r="D2357">
            <v>181.4</v>
          </cell>
        </row>
        <row r="2358">
          <cell r="A2358" t="str">
            <v>P.13.000.045012</v>
          </cell>
          <cell r="B2358" t="str">
            <v>Caixa de tomada pré-zincado a fogo com suporte em chapa e tampa basculante, 2 x (25 x 70 mm); ref. 145-01R da Mopa ou equivalente</v>
          </cell>
          <cell r="C2358" t="str">
            <v>UN</v>
          </cell>
          <cell r="D2358">
            <v>228.61</v>
          </cell>
        </row>
        <row r="2359">
          <cell r="A2359" t="str">
            <v>P.13.000.045013</v>
          </cell>
          <cell r="B2359" t="str">
            <v>Caixa de tomada pré-zincado a fogo com suporte em chapa e tampa basculante, 3 x (25 x 70 mm); ref. 145-02R da Mopa ou equivalente</v>
          </cell>
          <cell r="C2359" t="str">
            <v>UN</v>
          </cell>
          <cell r="D2359">
            <v>273.27999999999997</v>
          </cell>
        </row>
        <row r="2360">
          <cell r="A2360" t="str">
            <v>P.13.000.045014</v>
          </cell>
          <cell r="B2360" t="str">
            <v>Caixa de tomada pré-zincado a fogo com suporte em chapa e tampa basculante, 4 x (25 x 70 mm); ref. VL 4.38.4 da Valeman ou equivalente</v>
          </cell>
          <cell r="C2360" t="str">
            <v>UN</v>
          </cell>
          <cell r="D2360">
            <v>439.52</v>
          </cell>
        </row>
        <row r="2361">
          <cell r="A2361" t="str">
            <v>P.13.000.045021</v>
          </cell>
          <cell r="B2361" t="str">
            <v>Caixa em PVC octogonal de 4´x 4´</v>
          </cell>
          <cell r="C2361" t="str">
            <v>UN</v>
          </cell>
          <cell r="D2361">
            <v>8.32</v>
          </cell>
        </row>
        <row r="2362">
          <cell r="A2362" t="str">
            <v>P.13.000.045028</v>
          </cell>
          <cell r="B2362" t="str">
            <v>Tomada para telefone, tipo RJ11(2 fios); ref.09996 Pial ou equivalente</v>
          </cell>
          <cell r="C2362" t="str">
            <v>UN</v>
          </cell>
          <cell r="D2362">
            <v>29.33</v>
          </cell>
        </row>
        <row r="2363">
          <cell r="A2363" t="str">
            <v>P.13.000.045046</v>
          </cell>
          <cell r="B2363" t="str">
            <v>Caixa de tomada 4" x 4" em alumínio para piso, com saída de 3/4" ou 1", ref. Tramontina, Stamplac, Olivo ou equivalente</v>
          </cell>
          <cell r="C2363" t="str">
            <v>UN</v>
          </cell>
          <cell r="D2363">
            <v>26.31</v>
          </cell>
        </row>
        <row r="2364">
          <cell r="A2364" t="str">
            <v>P.13.000.045047</v>
          </cell>
          <cell r="B2364" t="str">
            <v>Anel de regulagem 4" x 4" em alumínio para tomada de piso, ref. Tramontina, Stamplac, Olivo ou equivalente</v>
          </cell>
          <cell r="C2364" t="str">
            <v>UN</v>
          </cell>
          <cell r="D2364">
            <v>16.239999999999998</v>
          </cell>
        </row>
        <row r="2365">
          <cell r="A2365" t="str">
            <v>P.13.000.045049</v>
          </cell>
          <cell r="B2365" t="str">
            <v>Placa/espelho em latão escovado 4´ x 4´, para 02 tomadas 2P+T</v>
          </cell>
          <cell r="C2365" t="str">
            <v>UN</v>
          </cell>
          <cell r="D2365">
            <v>53.98</v>
          </cell>
        </row>
        <row r="2366">
          <cell r="A2366" t="str">
            <v>P.13.000.045050</v>
          </cell>
          <cell r="B2366" t="str">
            <v>Placa/espelho em latão escovado 4´ x 4´, para 01 tomada 2P+T</v>
          </cell>
          <cell r="C2366" t="str">
            <v>UN</v>
          </cell>
          <cell r="D2366">
            <v>46.62</v>
          </cell>
        </row>
        <row r="2367">
          <cell r="A2367" t="str">
            <v>P.13.000.045064</v>
          </cell>
          <cell r="B2367" t="str">
            <v>Caixa de passagem para condicionamento de ar tipo Split de 39 x 22 x 6 cm, com saída de dreno único na vertical, sem tampa, ref. CPP-00-5U, Poloar ou equivalente</v>
          </cell>
          <cell r="C2367" t="str">
            <v>UN</v>
          </cell>
          <cell r="D2367">
            <v>29.19</v>
          </cell>
        </row>
        <row r="2368">
          <cell r="A2368" t="str">
            <v>P.13.000.045135</v>
          </cell>
          <cell r="B2368" t="str">
            <v>Caixa de ferro chapa 20, estampada, de 4´ x 2´</v>
          </cell>
          <cell r="C2368" t="str">
            <v>UN</v>
          </cell>
          <cell r="D2368">
            <v>1.96</v>
          </cell>
        </row>
        <row r="2369">
          <cell r="A2369" t="str">
            <v>P.13.000.045136</v>
          </cell>
          <cell r="B2369" t="str">
            <v>Caixa de ferro chapa 20, estampada octogonal, de 3´ x 3´</v>
          </cell>
          <cell r="C2369" t="str">
            <v>UN</v>
          </cell>
          <cell r="D2369">
            <v>2</v>
          </cell>
        </row>
        <row r="2370">
          <cell r="A2370" t="str">
            <v>P.13.000.045137</v>
          </cell>
          <cell r="B2370" t="str">
            <v>Caixa de ferro chapa 20, estampada, de 4´ x 4´</v>
          </cell>
          <cell r="C2370" t="str">
            <v>UN</v>
          </cell>
          <cell r="D2370">
            <v>3.32</v>
          </cell>
        </row>
        <row r="2371">
          <cell r="A2371" t="str">
            <v>P.13.000.045140</v>
          </cell>
          <cell r="B2371" t="str">
            <v>Caixa de ferro chapa 20, esmaltada octogonal FMS com fundo móvel, de 4´ x 4´</v>
          </cell>
          <cell r="C2371" t="str">
            <v>UN</v>
          </cell>
          <cell r="D2371">
            <v>2.84</v>
          </cell>
        </row>
        <row r="2372">
          <cell r="A2372" t="str">
            <v>P.13.000.045501</v>
          </cell>
          <cell r="B2372" t="str">
            <v>Interruptor com 1 tecla (simples), com placa</v>
          </cell>
          <cell r="C2372" t="str">
            <v>CJ</v>
          </cell>
          <cell r="D2372">
            <v>14.32</v>
          </cell>
        </row>
        <row r="2373">
          <cell r="A2373" t="str">
            <v>P.13.000.045502</v>
          </cell>
          <cell r="B2373" t="str">
            <v>Interruptor com 1 tecla (paralelo), com placa</v>
          </cell>
          <cell r="C2373" t="str">
            <v>CJ</v>
          </cell>
          <cell r="D2373">
            <v>18.64</v>
          </cell>
        </row>
        <row r="2374">
          <cell r="A2374" t="str">
            <v>P.13.000.045503</v>
          </cell>
          <cell r="B2374" t="str">
            <v>Interruptor bipolar tecla dupla (simples), com placa</v>
          </cell>
          <cell r="C2374" t="str">
            <v>CJ</v>
          </cell>
          <cell r="D2374">
            <v>45.82</v>
          </cell>
        </row>
        <row r="2375">
          <cell r="A2375" t="str">
            <v>P.13.000.045504</v>
          </cell>
          <cell r="B2375" t="str">
            <v>Interruptor com 1 tecla dupla paralela e placa, ref. mod. 2108 da Pial ou equivalente</v>
          </cell>
          <cell r="C2375" t="str">
            <v>CJ</v>
          </cell>
          <cell r="D2375">
            <v>53.79</v>
          </cell>
        </row>
        <row r="2376">
          <cell r="A2376" t="str">
            <v>P.13.000.045506</v>
          </cell>
          <cell r="B2376" t="str">
            <v>Interruptor com 2 teclas (simples), com placa</v>
          </cell>
          <cell r="C2376" t="str">
            <v>CJ</v>
          </cell>
          <cell r="D2376">
            <v>24.66</v>
          </cell>
        </row>
        <row r="2377">
          <cell r="A2377" t="str">
            <v>P.13.000.045507</v>
          </cell>
          <cell r="B2377" t="str">
            <v>Interruptor com 2 teclas (simples/paralelo), placa</v>
          </cell>
          <cell r="C2377" t="str">
            <v>CJ</v>
          </cell>
          <cell r="D2377">
            <v>23.73</v>
          </cell>
        </row>
        <row r="2378">
          <cell r="A2378" t="str">
            <v>P.13.000.045509</v>
          </cell>
          <cell r="B2378" t="str">
            <v>Interruptor com 2 teclas (paralelo), com placa</v>
          </cell>
          <cell r="C2378" t="str">
            <v>CJ</v>
          </cell>
          <cell r="D2378">
            <v>12.87</v>
          </cell>
        </row>
        <row r="2379">
          <cell r="A2379" t="str">
            <v>P.13.000.045512</v>
          </cell>
          <cell r="B2379" t="str">
            <v>Interruptor com 3 teclas (simples), com placa</v>
          </cell>
          <cell r="C2379" t="str">
            <v>CJ</v>
          </cell>
          <cell r="D2379">
            <v>26.91</v>
          </cell>
        </row>
        <row r="2380">
          <cell r="A2380" t="str">
            <v>P.13.000.045513</v>
          </cell>
          <cell r="B2380" t="str">
            <v>Interruptor 3 teclas (2 simples / 1 paralelo), com placa</v>
          </cell>
          <cell r="C2380" t="str">
            <v>CJ</v>
          </cell>
          <cell r="D2380">
            <v>12.63</v>
          </cell>
        </row>
        <row r="2381">
          <cell r="A2381" t="str">
            <v>P.13.000.045514</v>
          </cell>
          <cell r="B2381" t="str">
            <v>Interruptor 3 teclas (1 simples / 2 paralelos), com placa</v>
          </cell>
          <cell r="C2381" t="str">
            <v>CJ</v>
          </cell>
          <cell r="D2381">
            <v>19.5</v>
          </cell>
        </row>
        <row r="2382">
          <cell r="A2382" t="str">
            <v>P.13.000.045559</v>
          </cell>
          <cell r="B2382" t="str">
            <v>Caixa para tomada de energia, RJ, sobressalente, interruptor, espelho para rodapé duplo, 2x30x40 / 2x40x40 / 2x30x60mm, ref. 3112PT Real Perfil ou equivalente</v>
          </cell>
          <cell r="C2382" t="str">
            <v>UN</v>
          </cell>
          <cell r="D2382">
            <v>22.34</v>
          </cell>
        </row>
        <row r="2383">
          <cell r="A2383" t="str">
            <v>P.13.000.045564</v>
          </cell>
          <cell r="B2383" t="str">
            <v>Pulsador 2A-250V para minuteria (lâmpada gravada) com placa, ref. 1103 da Pial Legrand ou equivalente</v>
          </cell>
          <cell r="C2383" t="str">
            <v>CJ</v>
          </cell>
          <cell r="D2383">
            <v>18.420000000000002</v>
          </cell>
        </row>
        <row r="2384">
          <cell r="A2384" t="str">
            <v>P.13.000.045566</v>
          </cell>
          <cell r="B2384" t="str">
            <v>Chave de nível tipo boia pendular (pera), com contato micro switch 10A / 250Vca, com cabo em PVC ou neoprene até 15 metros; ref. série 140-PP-15 da Nivetec, CNP15 da Contech ou equivalente</v>
          </cell>
          <cell r="C2384" t="str">
            <v>UN</v>
          </cell>
          <cell r="D2384">
            <v>456.54</v>
          </cell>
        </row>
        <row r="2385">
          <cell r="A2385" t="str">
            <v>P.13.000.045570</v>
          </cell>
          <cell r="B2385" t="str">
            <v>Tomada 2P+T, 16A de sobrepor, 380/440V, ref. SN-3009 IP 44 da Steck + plugue; ref. SN-3079 IP 44 da Steck ou equivalente</v>
          </cell>
          <cell r="C2385" t="str">
            <v>CJ</v>
          </cell>
          <cell r="D2385">
            <v>333.38</v>
          </cell>
        </row>
        <row r="2386">
          <cell r="A2386" t="str">
            <v>P.13.000.045572</v>
          </cell>
          <cell r="B2386" t="str">
            <v>Tomada 2P+T, 10A - 250V, completa; ref. 054343 da Pial Legrand ou equivalente</v>
          </cell>
          <cell r="C2386" t="str">
            <v>CJ</v>
          </cell>
          <cell r="D2386">
            <v>12.84</v>
          </cell>
        </row>
        <row r="2387">
          <cell r="A2387" t="str">
            <v>P.13.000.045573</v>
          </cell>
          <cell r="B2387" t="str">
            <v>Tomada 2P+T, 20A - 250V, completa; ref. 054344 da Pial Legrand ou equivalente</v>
          </cell>
          <cell r="C2387" t="str">
            <v>CJ</v>
          </cell>
          <cell r="D2387">
            <v>13.92</v>
          </cell>
        </row>
        <row r="2388">
          <cell r="A2388" t="str">
            <v>P.13.000.045574</v>
          </cell>
          <cell r="B2388" t="str">
            <v>Conjunto 02 tomadas 2P+T 10A, completa; ref. 054345 da Pial Legrand ou equivalente</v>
          </cell>
          <cell r="C2388" t="str">
            <v>CJ</v>
          </cell>
          <cell r="D2388">
            <v>32.770000000000003</v>
          </cell>
        </row>
        <row r="2389">
          <cell r="A2389" t="str">
            <v>P.13.000.045575</v>
          </cell>
          <cell r="B2389" t="str">
            <v>Conjunto 01 interruptor simples e 01 tomada 2P+T 10A, completa - ref. 054346 da Pial Legrand ou equivalente</v>
          </cell>
          <cell r="C2389" t="str">
            <v>CJ</v>
          </cell>
          <cell r="D2389">
            <v>27.15</v>
          </cell>
        </row>
        <row r="2390">
          <cell r="A2390" t="str">
            <v>P.13.000.045576</v>
          </cell>
          <cell r="B2390" t="str">
            <v>Conjunto 02 interruptores simples e 01 tomada 2P+T 10A, completa - ref. 054348 da Pial Legrand ou equivalente</v>
          </cell>
          <cell r="C2390" t="str">
            <v>CJ</v>
          </cell>
          <cell r="D2390">
            <v>26.02</v>
          </cell>
        </row>
        <row r="2391">
          <cell r="A2391" t="str">
            <v>P.13.000.045614</v>
          </cell>
          <cell r="B2391" t="str">
            <v>Tomada industrial 3P+T, de 32A para 220/240V, com carcaça, prensa cabos, aliviador de tensão e tampa trava; ref. S-4209 Steck ou equivalente</v>
          </cell>
          <cell r="C2391" t="str">
            <v>CJ</v>
          </cell>
          <cell r="D2391">
            <v>272.77999999999997</v>
          </cell>
        </row>
        <row r="2392">
          <cell r="A2392" t="str">
            <v>P.13.000.050036</v>
          </cell>
          <cell r="B2392" t="str">
            <v>Conector RJ-45, fêmea, categoria 6, ref. 50491 fabricação Policom, 6150 47 Pial Plus fabricação Legrand, ou equivalente</v>
          </cell>
          <cell r="C2392" t="str">
            <v>UN</v>
          </cell>
          <cell r="D2392">
            <v>36.43</v>
          </cell>
        </row>
        <row r="2393">
          <cell r="A2393" t="str">
            <v>P.13.000.062809</v>
          </cell>
          <cell r="B2393" t="str">
            <v>Tomada de energia quadrada com rabicho, cor preta ou vermelha de 10 A, 250V, ref. VL 4.50.5.12/2PQ ou 4.50.5.12/2VQ da Valemam ou equivalente</v>
          </cell>
          <cell r="C2393" t="str">
            <v>UN</v>
          </cell>
          <cell r="D2393">
            <v>23.17</v>
          </cell>
        </row>
        <row r="2394">
          <cell r="A2394" t="str">
            <v>P.13.000.062816</v>
          </cell>
          <cell r="B2394" t="str">
            <v>Poste condutor metálico com pintura eletrostática, para distribuição com suporte para tomadas elétrica e RJ, altura de 3 m; ref. MAX PC.3000 da Maxtil, LF1300 da Lifer, VL 8.01 da Valeman, ME 8.01 da Hoffman ou equivalente</v>
          </cell>
          <cell r="C2394" t="str">
            <v>UN</v>
          </cell>
          <cell r="D2394">
            <v>382.09</v>
          </cell>
        </row>
        <row r="2395">
          <cell r="A2395" t="str">
            <v>P.13.000.067507</v>
          </cell>
          <cell r="B2395" t="str">
            <v>Plugue 2P+T de 10A 250V, ref. 615801 / 615811 / 615821 da Pial ou equivalente</v>
          </cell>
          <cell r="C2395" t="str">
            <v>UN</v>
          </cell>
          <cell r="D2395">
            <v>9.26</v>
          </cell>
        </row>
        <row r="2396">
          <cell r="A2396" t="str">
            <v>P.13.000.067508</v>
          </cell>
          <cell r="B2396" t="str">
            <v>Plugue prolongador 2P+T 10 A 250 V, NBR 14136, ref. 615804 / 615814 / 615824 da Pial ou equivalente</v>
          </cell>
          <cell r="C2396" t="str">
            <v>UN</v>
          </cell>
          <cell r="D2396">
            <v>10.67</v>
          </cell>
        </row>
        <row r="2397">
          <cell r="A2397" t="str">
            <v>P.13.000.090396</v>
          </cell>
          <cell r="B2397" t="str">
            <v>Botão sinalizador frontal, ref.3SB30 da Siemens ou equivalente</v>
          </cell>
          <cell r="C2397" t="str">
            <v>UN</v>
          </cell>
          <cell r="D2397">
            <v>66.72</v>
          </cell>
        </row>
        <row r="2398">
          <cell r="A2398" t="str">
            <v>P.13.000.091223</v>
          </cell>
          <cell r="B2398" t="str">
            <v>Módulo de tomada universal 2P+T de 10A - 250V, sistema X, para canaleta/perfilado, com encaixe rápido e tampa; ref. Tramontina, Fame, Pial Legrand ou equivalente</v>
          </cell>
          <cell r="C2398" t="str">
            <v>CJ</v>
          </cell>
          <cell r="D2398">
            <v>19.98</v>
          </cell>
        </row>
        <row r="2399">
          <cell r="A2399" t="str">
            <v>P.13.000.091231</v>
          </cell>
          <cell r="B2399" t="str">
            <v>Tomada industrial 3P+T de 63A, para 220/240V, ref. S-4549 fabricação Steck ou equivalente</v>
          </cell>
          <cell r="C2399" t="str">
            <v>CJ</v>
          </cell>
          <cell r="D2399">
            <v>277.63</v>
          </cell>
        </row>
        <row r="2400">
          <cell r="A2400" t="str">
            <v>P.14.000.046003</v>
          </cell>
          <cell r="B2400" t="str">
            <v>Lâmpada halógena Palito, base R7s bilateral 300W 110/220V, comprimento de 118mm; ref. Kian, Ouro lux ou equivalente</v>
          </cell>
          <cell r="C2400" t="str">
            <v>UN</v>
          </cell>
          <cell r="D2400">
            <v>10.93</v>
          </cell>
        </row>
        <row r="2401">
          <cell r="A2401" t="str">
            <v>P.14.000.046507</v>
          </cell>
          <cell r="B2401" t="str">
            <v>Lâmpada fluorescente tubular comum 16W, base bipino, bilateral; ref. TLDRS16W-CO-25 da Philips ou equivalente</v>
          </cell>
          <cell r="C2401" t="str">
            <v>UN</v>
          </cell>
          <cell r="D2401">
            <v>18.07</v>
          </cell>
        </row>
        <row r="2402">
          <cell r="A2402" t="str">
            <v>P.14.000.046508</v>
          </cell>
          <cell r="B2402" t="str">
            <v>Lâmpada fluorescente compacta sem reator integrado, base G24d-2 18W-2U duplo; ref. D18W/21-840 / D18W/827 da Osram ou equivalente</v>
          </cell>
          <cell r="C2402" t="str">
            <v>UN</v>
          </cell>
          <cell r="D2402">
            <v>15.54</v>
          </cell>
        </row>
        <row r="2403">
          <cell r="A2403" t="str">
            <v>P.14.000.046510</v>
          </cell>
          <cell r="B2403" t="str">
            <v>Lâmpada fluorescente tubular comum 20W, base Bipino bilateral; ref. T10 PLUS 20W/750 1SL/25 da Philips ou equivalente</v>
          </cell>
          <cell r="C2403" t="str">
            <v>UN</v>
          </cell>
          <cell r="D2403">
            <v>11.13</v>
          </cell>
        </row>
        <row r="2404">
          <cell r="A2404" t="str">
            <v>P.14.000.046511</v>
          </cell>
          <cell r="B2404" t="str">
            <v>Lâmpada fluorescente tubular comum 40W, base Bipino bilateral; ref. Universal 85858 GE, L40LDE Osram, TLTRS40W-ELD-25 Philips ou equivalente</v>
          </cell>
          <cell r="C2404" t="str">
            <v>UN</v>
          </cell>
          <cell r="D2404">
            <v>14.8</v>
          </cell>
        </row>
        <row r="2405">
          <cell r="A2405" t="str">
            <v>P.14.000.046522</v>
          </cell>
          <cell r="B2405" t="str">
            <v>Lâmpada fluorescente compacta eletrônica, reator integrado, base E-27, 25W-3U, triplo 110/220V; referência comercial 4040 da Ourolux ou equivalente</v>
          </cell>
          <cell r="C2405" t="str">
            <v>UN</v>
          </cell>
          <cell r="D2405">
            <v>15.89</v>
          </cell>
        </row>
        <row r="2406">
          <cell r="A2406" t="str">
            <v>P.14.000.046524</v>
          </cell>
          <cell r="B2406" t="str">
            <v>Lâmpada incandescente halógena refletora PAR20, base E27 de 50W - 220V; ref. Halopar 20 64832 Osram ou equivalente</v>
          </cell>
          <cell r="C2406" t="str">
            <v>UN</v>
          </cell>
          <cell r="D2406">
            <v>21.77</v>
          </cell>
        </row>
        <row r="2407">
          <cell r="A2407" t="str">
            <v>P.14.000.046535</v>
          </cell>
          <cell r="B2407" t="str">
            <v>Lâmpada halógena com refletor dicroico de 50 W 12 V, ref. Decostar 51 Titan 60° GU5.3 da Osram ou equivalente</v>
          </cell>
          <cell r="C2407" t="str">
            <v>UN</v>
          </cell>
          <cell r="D2407">
            <v>7.99</v>
          </cell>
        </row>
        <row r="2408">
          <cell r="A2408" t="str">
            <v>P.14.000.046540</v>
          </cell>
          <cell r="B2408" t="str">
            <v>Lâmpada fluorescente tubular, base bipino bilateral de 28 W, ref. T5 HE Lumilux, 28W/840 da Osram, TL5 Essential 28W/8401SL Philips, ou equivalente</v>
          </cell>
          <cell r="C2408" t="str">
            <v>UN</v>
          </cell>
          <cell r="D2408">
            <v>17.71</v>
          </cell>
        </row>
        <row r="2409">
          <cell r="A2409" t="str">
            <v>P.14.000.046547</v>
          </cell>
          <cell r="B2409" t="str">
            <v>Lâmpada fluorescente tubular com camada trifósforo, base bipino bilateral, de 32 W; ref. TLDRS32W-S84 da Philips ou equivalente</v>
          </cell>
          <cell r="C2409" t="str">
            <v>UN</v>
          </cell>
          <cell r="D2409">
            <v>24.01</v>
          </cell>
        </row>
        <row r="2410">
          <cell r="A2410" t="str">
            <v>P.14.000.046604</v>
          </cell>
          <cell r="B2410" t="str">
            <v>Lâmpada LED tubular HO-T8, base G13, 36 a 40W, 3400 a 4000 Lm, cor 4000 a 6500K, vida útil mínimo 25.000 horas; referência comercial T8-LED-G13-40-150-65-3C da Glight ou equivalente</v>
          </cell>
          <cell r="C2410" t="str">
            <v>UN</v>
          </cell>
          <cell r="D2410">
            <v>55.65</v>
          </cell>
        </row>
        <row r="2411">
          <cell r="A2411" t="str">
            <v>P.14.000.046614</v>
          </cell>
          <cell r="B2411" t="str">
            <v>Lâmpada LED 13,5W, base E-27, cor branca quente ou fria, bivolt, temperatura 3.000K ou 6500K, fluxo luminoso mínimo de 1400lm</v>
          </cell>
          <cell r="C2411" t="str">
            <v>UN</v>
          </cell>
          <cell r="D2411">
            <v>14.85</v>
          </cell>
        </row>
        <row r="2412">
          <cell r="A2412" t="str">
            <v>P.14.000.046621</v>
          </cell>
          <cell r="B2412" t="str">
            <v>Lâmpada fluorescente compacta sem reator integrado, base G24q-3 26W-2U duplo, ref. Dulux D/E 26W/827 ou 840 da Osram ou equivalente</v>
          </cell>
          <cell r="C2412" t="str">
            <v>UN</v>
          </cell>
          <cell r="D2412">
            <v>14.2</v>
          </cell>
        </row>
        <row r="2413">
          <cell r="A2413" t="str">
            <v>P.14.000.046622</v>
          </cell>
          <cell r="B2413" t="str">
            <v>Lâmpada LED tubular T8, base G13 de 9 a 10W, 900 até 1050 Im, cor 4000 a 6500K, vida útil mínimo 25.000 horas, garantia mínima de 3 anos pelo fabricante, ref. Essential LEDtube 600mm 9W da Philips, Tubo LED T8 10W/4000 600 mm da Osram ou equivalente</v>
          </cell>
          <cell r="C2413" t="str">
            <v>UN</v>
          </cell>
          <cell r="D2413">
            <v>15.93</v>
          </cell>
        </row>
        <row r="2414">
          <cell r="A2414" t="str">
            <v>P.14.000.046623</v>
          </cell>
          <cell r="B2414" t="str">
            <v>Lâmpada LED tubular T8, base G13 - 18 a 20W, 1850 até 2000 lm, cor 4000 a 6500K, vida útil mín. 25.000 horas; ref. Essential LEDtube 1200mm 18W 840/865 Philips, Tubo LED T8 - 20W/4000/5000/6500 1200mm da Osram ou equivalente</v>
          </cell>
          <cell r="C2414" t="str">
            <v>UN</v>
          </cell>
          <cell r="D2414">
            <v>18.32</v>
          </cell>
        </row>
        <row r="2415">
          <cell r="A2415" t="str">
            <v>P.14.000.090586</v>
          </cell>
          <cell r="B2415" t="str">
            <v>Lâmpada fluorescente tubular comum 32W, base Bipino bilateral; ref.TLDRS32W-CO25 Philips ou equivalente</v>
          </cell>
          <cell r="C2415" t="str">
            <v>UN</v>
          </cell>
          <cell r="D2415">
            <v>17.61</v>
          </cell>
        </row>
        <row r="2416">
          <cell r="A2416" t="str">
            <v>P.14.000.091202</v>
          </cell>
          <cell r="B2416" t="str">
            <v>Lâmpada fluorescente compacta sem reator integrado, base G-23 9W-1U simples, ref. Sylvania, Kian ou equivalente</v>
          </cell>
          <cell r="C2416" t="str">
            <v>UN</v>
          </cell>
          <cell r="D2416">
            <v>18.73</v>
          </cell>
        </row>
        <row r="2417">
          <cell r="A2417" t="str">
            <v>P.14.000.091203</v>
          </cell>
          <cell r="B2417" t="str">
            <v>Lâmpada fluorescente compacta sem reator integrado, base G-24D-3 26W-2U duplo; ref. D26 W / 41-827 da Dulux, 840 da Osram, PL-C / 2 P26 W / 827 ou 840 da Philips ou equivalente</v>
          </cell>
          <cell r="C2417" t="str">
            <v>UN</v>
          </cell>
          <cell r="D2417">
            <v>15.9</v>
          </cell>
        </row>
        <row r="2418">
          <cell r="A2418" t="str">
            <v>P.14.000.092181</v>
          </cell>
          <cell r="B2418" t="str">
            <v>Lâmpada fluorescente compacta eletrônica com reator integrado, base E27; 20W-3U triplo 110/220V; ref. SKU FK da Taschibra, 04030 da Ourolux, Elgin ou equivalente</v>
          </cell>
          <cell r="C2418" t="str">
            <v>UN</v>
          </cell>
          <cell r="D2418">
            <v>14.8</v>
          </cell>
        </row>
        <row r="2419">
          <cell r="A2419" t="str">
            <v>P.15.000.031401</v>
          </cell>
          <cell r="B2419" t="str">
            <v>Luminária LED embutir tipo balizador 3W, para caixa de 4"x2", pintura eletrostática branco/preto, corpo em alumínio, difusor vidro jateado, lâmpada LED G9 de 3W, temperatura até 3000K; ref. St1314 Starlumen + St1716 Starlux ou equivalente</v>
          </cell>
          <cell r="C2419" t="str">
            <v>UN</v>
          </cell>
          <cell r="D2419">
            <v>33.89</v>
          </cell>
        </row>
        <row r="2420">
          <cell r="A2420" t="str">
            <v>P.15.000.031407</v>
          </cell>
          <cell r="B2420" t="str">
            <v>Luminária blindada tipo arandela, com suporte articulado, globo em vidro liso incolor e grade de proteção, para lâmpada LED; ref. Tramontina ou equivalente</v>
          </cell>
          <cell r="C2420" t="str">
            <v>UN</v>
          </cell>
          <cell r="D2420">
            <v>273.92</v>
          </cell>
        </row>
        <row r="2421">
          <cell r="A2421" t="str">
            <v>P.15.000.031434</v>
          </cell>
          <cell r="B2421" t="str">
            <v>Luminária LED redonda sobrepor, 17 a 19W, fluxo luminoso de 1900 a 2000 lm, temperatura cor 4000K, com difusor translucido, ref. EF72-S2000840 Lumicenter, PL 644/LED20W TL Prolumi ou equivalente</v>
          </cell>
          <cell r="C2421" t="str">
            <v>UN</v>
          </cell>
          <cell r="D2421">
            <v>262.33</v>
          </cell>
        </row>
        <row r="2422">
          <cell r="A2422" t="str">
            <v>P.15.000.031435</v>
          </cell>
          <cell r="B2422" t="str">
            <v>Projetor LED, potência 30W, IP65, 6500K, 2250 a 2400 lúmens, bivolt; ref. RSPM-30WBF da Iluminim, 9381 da Gaya, 438718 / 306530 da Brilia ou equivalente</v>
          </cell>
          <cell r="C2422" t="str">
            <v>UN</v>
          </cell>
          <cell r="D2422">
            <v>78.349999999999994</v>
          </cell>
        </row>
        <row r="2423">
          <cell r="A2423" t="str">
            <v>P.15.000.034006</v>
          </cell>
          <cell r="B2423" t="str">
            <v>Luminária hermética sobrepor para lâmpada LED ou Fluorescente de 2x28W/32W/54W, bivolt, corpo em ABS e difusor em policarbonato, IP65; ref. Osram, Philips, BLight, B.Bauer ou equivalente</v>
          </cell>
          <cell r="C2423" t="str">
            <v>UN</v>
          </cell>
          <cell r="D2423">
            <v>115.1</v>
          </cell>
        </row>
        <row r="2424">
          <cell r="A2424" t="str">
            <v>P.15.000.034101</v>
          </cell>
          <cell r="B2424" t="str">
            <v>Luminária industrial pendente tipo calha aberta instalação em perfilado com gancho I-45 para 1/2 lâmpadas fluorescentes 14W, ref. 681214 BC da ARM, PL 204/214 da Prolumi, AL7974.2FT14 Ajalumi ou equivalente</v>
          </cell>
          <cell r="C2424" t="str">
            <v>UN</v>
          </cell>
          <cell r="D2424">
            <v>85.53</v>
          </cell>
        </row>
        <row r="2425">
          <cell r="A2425" t="str">
            <v>P.15.000.034102</v>
          </cell>
          <cell r="B2425" t="str">
            <v>Luminária industrial pendente tipo calha aberta instalação em perfilado com gancho I-45 para 1 ou 2 lâmpadas tubulares 28/54W, ref. 681228 BC  da ARM, FAN04-S228 da Lumicenter, PL 204/228 da Prolumi ou equivalente</v>
          </cell>
          <cell r="C2425" t="str">
            <v>UN</v>
          </cell>
          <cell r="D2425">
            <v>118.05</v>
          </cell>
        </row>
        <row r="2426">
          <cell r="A2426" t="str">
            <v>P.15.000.034104</v>
          </cell>
          <cell r="B2426" t="str">
            <v>Luminária retangular de sobrepor tipo calha aberta com refletor e aletas parabólicas para 2 lâmpadas fluorescentes tubulares 28/54W; ref. DBL 3391 2x28W da Light Tool, LS 503 da Intral, 720228BC da ARM ou equivalente</v>
          </cell>
          <cell r="C2426" t="str">
            <v>UN</v>
          </cell>
          <cell r="D2426">
            <v>210.87</v>
          </cell>
        </row>
        <row r="2427">
          <cell r="A2427" t="str">
            <v>P.15.000.034106</v>
          </cell>
          <cell r="B2427" t="str">
            <v>Luminária retangular de embutir tipo calha aberta com refletor em alumínio de alto brilho para 2 lâmpadas tubular 28/54W, ref. 130228 BC da ARM, FAN01-E228 da Lumicenter, PL 381/228 da Prolumi ou equivalente</v>
          </cell>
          <cell r="C2427" t="str">
            <v>UN</v>
          </cell>
          <cell r="D2427">
            <v>143.44999999999999</v>
          </cell>
        </row>
        <row r="2428">
          <cell r="A2428" t="str">
            <v>P.15.000.034109</v>
          </cell>
          <cell r="B2428" t="str">
            <v>Luminária triangular de sobrepor tipo arandela para 1 lâmpada fluorescente compacta de 15/20/23W, ref. AI-03 da Lumalux, ARM99-510 C da ARM, PL 727/126 da Prolumi, AL 2001 da Ajalumi ou equivalente</v>
          </cell>
          <cell r="C2428" t="str">
            <v>UN</v>
          </cell>
          <cell r="D2428">
            <v>71.62</v>
          </cell>
        </row>
        <row r="2429">
          <cell r="A2429" t="str">
            <v>P.15.000.034118</v>
          </cell>
          <cell r="B2429" t="str">
            <v>Luminária LED retangular, sobrepor, de 35 a 41W, 3690 a 4800 lm, 220V, temper. cor 4000K, difusor translúcido; ref. AL0756D.L102 da Ajalumi, SM-755/2 LED LC da ARM, LHT42-S4000840 da Lumicenter ou equivalente</v>
          </cell>
          <cell r="C2429" t="str">
            <v>UN</v>
          </cell>
          <cell r="D2429">
            <v>334.55</v>
          </cell>
        </row>
        <row r="2430">
          <cell r="A2430" t="str">
            <v>P.15.000.034120</v>
          </cell>
          <cell r="B2430" t="str">
            <v>Luminária LED redonda, embutir, 9 a 12W, fluxo luminoso 800 a 1060 lm, 220V, temperatura cor 4000K, difusor translúcido, ref. AL 0185 da Ajalumi, ARM-702/1 LED da ARM, EF70-E0850840 da Lumicenter, PL 616/LED15W TL da Prolumi ou equivalente</v>
          </cell>
          <cell r="C2430" t="str">
            <v>UN</v>
          </cell>
          <cell r="D2430">
            <v>152.03</v>
          </cell>
        </row>
        <row r="2431">
          <cell r="A2431" t="str">
            <v>P.15.000.034123</v>
          </cell>
          <cell r="B2431" t="str">
            <v>Luminária LED redonta de embutir tipo balizador, para piso, potência 6W, 300lm / 360 lm, temperatura de cor 2700K/3000K, bivolt; ref. comercial: LM615 da Luminatti ou equivalente</v>
          </cell>
          <cell r="C2431" t="str">
            <v>UN</v>
          </cell>
          <cell r="D2431">
            <v>61.75</v>
          </cell>
        </row>
        <row r="2432">
          <cell r="A2432" t="str">
            <v>P.15.000.034124</v>
          </cell>
          <cell r="B2432" t="str">
            <v>Luminária para travessia de pedestres leds, com relés e braço articulado, ref. DI-955/01.034.CET25, relê MP-3263, braço DTVS-BA-TB-3212.1 da Repume ou equivalente</v>
          </cell>
          <cell r="C2432" t="str">
            <v>UN</v>
          </cell>
          <cell r="D2432">
            <v>1430.09</v>
          </cell>
        </row>
        <row r="2433">
          <cell r="A2433" t="str">
            <v>P.15.000.034127</v>
          </cell>
          <cell r="B2433" t="str">
            <v>Luminária pública LED retangular para poste, 14.200 a 18.000 lm, IRC&gt;=70, temperatura cor 5000K/6500K, eficiência mínima 120lm/W, IP&gt;=66; ref. P-702-SPXL2508100 SpledLux, LPMI-120W Mepó Ilumina, 7017570 Ledvance, FLEDSS21-5K Fortlight ou equivalente</v>
          </cell>
          <cell r="C2433" t="str">
            <v>UN</v>
          </cell>
          <cell r="D2433">
            <v>544.63</v>
          </cell>
        </row>
        <row r="2434">
          <cell r="A2434" t="str">
            <v>P.15.000.034128</v>
          </cell>
          <cell r="B2434" t="str">
            <v>Luminária LED retangular para parede/piso de 11.838 a 12.150lm, IRC&gt;=70, temperatura cor 5000/6000 K, IP&gt;=66, eficiência 135lm/W, potência 86W/120W; ref. FLED 100-RR25 da Fortlight, CLF-MP100 da Conexled ou equivalente</v>
          </cell>
          <cell r="C2434" t="str">
            <v>UN</v>
          </cell>
          <cell r="D2434">
            <v>322.82</v>
          </cell>
        </row>
        <row r="2435">
          <cell r="A2435" t="str">
            <v>P.15.000.034129</v>
          </cell>
          <cell r="B2435" t="str">
            <v>Luminária pública LED retangular para poste, 6250lm a 6674lm, eficiência mín.113 lm/W, IRC&gt;=70, temperatura cor 5000/6500 K, IP&gt;=54, ref. CLP-U60 da Conexled, TK SL-50 Ledstar, GL216 50 3C Glight, FLEDSS21-5K-50W Fortlight ou equivalente</v>
          </cell>
          <cell r="C2435" t="str">
            <v>UN</v>
          </cell>
          <cell r="D2435">
            <v>288.94</v>
          </cell>
        </row>
        <row r="2436">
          <cell r="A2436" t="str">
            <v>P.15.000.034131</v>
          </cell>
          <cell r="B2436" t="str">
            <v>Luminária LED retangular para poste, eficiência min. 18.000 lm, eficiência min.180 lm/W, IP67, temperatura cor 4.000 a 5000K, IP67, potência de 100W; ref. CLP-A100G linha Iporanga da Conexled ou equivalente</v>
          </cell>
          <cell r="C2436" t="str">
            <v>UN</v>
          </cell>
          <cell r="D2436">
            <v>487.7</v>
          </cell>
        </row>
        <row r="2437">
          <cell r="A2437" t="str">
            <v>P.15.000.034132</v>
          </cell>
          <cell r="B2437" t="str">
            <v>Luminária LED retangular em alumínio para poste, tipo pública, IP67, fluxo luminoso de 5000 a 5500lm, temperatura da cor 6000-6500K, potência 50W - bivolt</v>
          </cell>
          <cell r="C2437" t="str">
            <v>UN</v>
          </cell>
          <cell r="D2437">
            <v>110.42</v>
          </cell>
        </row>
        <row r="2438">
          <cell r="A2438" t="str">
            <v>P.15.000.034133</v>
          </cell>
          <cell r="B2438" t="str">
            <v>Luminária retangular tipo arandela externa, (axlxp) 40x13x8cm, com difusor em polietileno ou vidro leitoso, com dois soquetes E27, diversas cores</v>
          </cell>
          <cell r="C2438" t="str">
            <v>UN</v>
          </cell>
          <cell r="D2438">
            <v>114.65</v>
          </cell>
        </row>
        <row r="2439">
          <cell r="A2439" t="str">
            <v>P.15.000.034134</v>
          </cell>
          <cell r="B2439" t="str">
            <v>Luminária LED retangular para poste, eficiência min. 36.000 lm, eficiência min.180 lm/W, IP67, temperatura cor 4.000 a 5000K, IP67, potência de 200W; ref. CLP-A200G linha Iporanga da Conexled ou equivalente</v>
          </cell>
          <cell r="C2439" t="str">
            <v>UN</v>
          </cell>
          <cell r="D2439">
            <v>859.62</v>
          </cell>
        </row>
        <row r="2440">
          <cell r="A2440" t="str">
            <v>P.15.000.034200</v>
          </cell>
          <cell r="B2440" t="str">
            <v>Luminária LED solar integrada para poste, com suporte para fixação; ref. linha Sahy CLS-UF80 da Conexled, Atlas All in One 80W da Fotovolt,  EIF-80W da Lightsolar ou equivalente</v>
          </cell>
          <cell r="C2440" t="str">
            <v>UN</v>
          </cell>
          <cell r="D2440">
            <v>7736.49</v>
          </cell>
        </row>
        <row r="2441">
          <cell r="A2441" t="str">
            <v>P.15.000.045618</v>
          </cell>
          <cell r="B2441" t="str">
            <v>Módulo tomada RJ-45 1 posto, referência Alumbra linha Belise ou equivalente</v>
          </cell>
          <cell r="C2441" t="str">
            <v>UN</v>
          </cell>
          <cell r="D2441">
            <v>67.400000000000006</v>
          </cell>
        </row>
        <row r="2442">
          <cell r="A2442" t="str">
            <v>P.15.000.046012</v>
          </cell>
          <cell r="B2442" t="str">
            <v>Luminária quadrada de embutir tipo calha aberta com aletas planas para 2 lâmpadas fluorescentes compactas de 18/26W, ref. EDQ-46 da Lumalux, 1202E27 BC da ARM, PL 688/226 da Prolumi ou equivalente</v>
          </cell>
          <cell r="C2442" t="str">
            <v>UN</v>
          </cell>
          <cell r="D2442">
            <v>88.62</v>
          </cell>
        </row>
        <row r="2443">
          <cell r="A2443" t="str">
            <v>P.15.000.046030</v>
          </cell>
          <cell r="B2443" t="str">
            <v>Braço em tubo de ferro galvanizado a fogo, de 1´ x 1,00m, para fixação de uma luminária externa; ref. ILB-68L/100 Ilumatic, YL-203 Yluminart, Shomei, FBL 10100 Fortiligth, RPF-203 Danta Luz ou equivalente</v>
          </cell>
          <cell r="C2443" t="str">
            <v>UN</v>
          </cell>
          <cell r="D2443">
            <v>48.39</v>
          </cell>
        </row>
        <row r="2444">
          <cell r="A2444" t="str">
            <v>P.15.000.046050</v>
          </cell>
          <cell r="B2444" t="str">
            <v>Projetor LED modular de 150 a 200W, eficiência minima de 125 l/W, fluxo luminoso mínimo de 26294lm, ref. CLF-MP200C da Conexled, HRS-200 da H2xtech, RFL180-B502-002 da LED ou equivalente</v>
          </cell>
          <cell r="C2444" t="str">
            <v>UN</v>
          </cell>
          <cell r="D2444">
            <v>964.39</v>
          </cell>
        </row>
        <row r="2445">
          <cell r="A2445" t="str">
            <v>P.15.000.046064</v>
          </cell>
          <cell r="B2445" t="str">
            <v>Luminária retangular de sobrepor tipo calha aberta para 2 lâmpadas fluorescentes tubulares de 32W; ref. AL7951.2FT32 da Ajalumi ou equivalente</v>
          </cell>
          <cell r="C2445" t="str">
            <v>UN</v>
          </cell>
          <cell r="D2445">
            <v>48.59</v>
          </cell>
        </row>
        <row r="2446">
          <cell r="A2446" t="str">
            <v>P.15.000.046068</v>
          </cell>
          <cell r="B2446" t="str">
            <v>Luminária retangular de sobrepor tipo calha aberta para 4 lâmpadas fluorescentes tubulares de 32W, ref. CN10-S432 da Lumicenter ou equivalente</v>
          </cell>
          <cell r="C2446" t="str">
            <v>UN</v>
          </cell>
          <cell r="D2446">
            <v>72.77</v>
          </cell>
        </row>
        <row r="2447">
          <cell r="A2447" t="str">
            <v>P.15.000.046071</v>
          </cell>
          <cell r="B2447" t="str">
            <v>Luminária retangular de sobrepor tipo calha aberta com refletor em alumínio de alto brilho para 2 lâmpadas tubulares 32/36W, ref. CAN03-S2TLED1204 da Lumicenter, PL 228/24 da Prolumi ou equivalente</v>
          </cell>
          <cell r="C2447" t="str">
            <v>UN</v>
          </cell>
          <cell r="D2447">
            <v>123.83</v>
          </cell>
        </row>
        <row r="2448">
          <cell r="A2448" t="str">
            <v>P.15.000.046093</v>
          </cell>
          <cell r="B2448" t="str">
            <v>Luminária decorativa tipo poste balizador, com altura aproximada de 500mm a 600mm; ref. 532 FM Lustres, ST222V da Starlumen, Ecoforce ou equivalente</v>
          </cell>
          <cell r="C2448" t="str">
            <v>UN</v>
          </cell>
          <cell r="D2448">
            <v>112.81</v>
          </cell>
        </row>
        <row r="2449">
          <cell r="A2449" t="str">
            <v>P.15.000.046106</v>
          </cell>
          <cell r="B2449" t="str">
            <v>Luminária fechada retangular tipo pétala pequena, com alojamento para reator, ref. DP-2198-01, DP-2198-02 da Projeto ou equivalente</v>
          </cell>
          <cell r="C2449" t="str">
            <v>UN</v>
          </cell>
          <cell r="D2449">
            <v>237.65</v>
          </cell>
        </row>
        <row r="2450">
          <cell r="A2450" t="str">
            <v>P.15.000.046107</v>
          </cell>
          <cell r="B2450" t="str">
            <v>Luminária fechada retangular tipo pétala grande, com alojamento para reator; ref. DP-2305-01 da Projeto ou equivalente</v>
          </cell>
          <cell r="C2450" t="str">
            <v>UN</v>
          </cell>
          <cell r="D2450">
            <v>259.04000000000002</v>
          </cell>
        </row>
        <row r="2451">
          <cell r="A2451" t="str">
            <v>P.15.000.046109</v>
          </cell>
          <cell r="B2451" t="str">
            <v>Plafon de plástico e/ou PVC, para acabamento de ponto de luz, com soquete E-27; ref. PF1 ou PF2 da Wetzel ou equivalente</v>
          </cell>
          <cell r="C2451" t="str">
            <v>UN</v>
          </cell>
          <cell r="D2451">
            <v>7.44</v>
          </cell>
        </row>
        <row r="2452">
          <cell r="A2452" t="str">
            <v>P.15.000.046175</v>
          </cell>
          <cell r="B2452" t="str">
            <v>Luminária quadrada de embutir tipo calha aberta refletor e aleta parabólicas em alumínio para 4 lâmpadas fluorescentes 14/16/18W, ref. 101416 BC da ARM, CAA1-E416 da Lumicenter, PL 375/42 da Prolumi ou equivalente</v>
          </cell>
          <cell r="C2452" t="str">
            <v>UN</v>
          </cell>
          <cell r="D2452">
            <v>176.17</v>
          </cell>
        </row>
        <row r="2453">
          <cell r="A2453" t="str">
            <v>P.15.000.046177</v>
          </cell>
          <cell r="B2453" t="str">
            <v>Luminária de embutir redonda com foco orientável e acessórios antiofuscante, para 1 lâmpada dicroica de 50 W, base GZ-10; ref. linha face plana IL0073-GZ Interlight ou equivalente</v>
          </cell>
          <cell r="C2453" t="str">
            <v>UN</v>
          </cell>
          <cell r="D2453">
            <v>43.35</v>
          </cell>
        </row>
        <row r="2454">
          <cell r="A2454" t="str">
            <v>P.15.000.046347</v>
          </cell>
          <cell r="B2454" t="str">
            <v>Luminária redonda de embutir com refletor em alumínio para 2 lâmpadas fluorescentes compactas duplas de 18/26W, ref. EDR-30 da Lumalux, ARM99-702 C da ARM , PL 613/226 da Prolumi, AL 1501 da Ajalumi ou equivalente</v>
          </cell>
          <cell r="C2454" t="str">
            <v>UN</v>
          </cell>
          <cell r="D2454">
            <v>62.06</v>
          </cell>
        </row>
        <row r="2455">
          <cell r="A2455" t="str">
            <v>P.15.000.046348</v>
          </cell>
          <cell r="B2455" t="str">
            <v>Luminária retangular de embutir assimétrica para 1 lâmpada fluorescente tubular de 14W; ref. 130114 BC da ARM ou equivalente</v>
          </cell>
          <cell r="C2455" t="str">
            <v>UN</v>
          </cell>
          <cell r="D2455">
            <v>100.49</v>
          </cell>
        </row>
        <row r="2456">
          <cell r="A2456" t="str">
            <v>P.15.000.046351</v>
          </cell>
          <cell r="B2456" t="str">
            <v>Luminária retangular de embutir tipo calha aberta com refletor assimétrico em alumínio para 2 lâmpadas fluorescentes tubulares 28/54W, ref. 136228 BC da ARM, PL 381/228 ASS da Prolumi ou equivalente</v>
          </cell>
          <cell r="C2456" t="str">
            <v>UN</v>
          </cell>
          <cell r="D2456">
            <v>84.49</v>
          </cell>
        </row>
        <row r="2457">
          <cell r="A2457" t="str">
            <v>P.15.000.046568</v>
          </cell>
          <cell r="B2457" t="str">
            <v>Luminária redonda de sobrepor com difusor em vidro temperado jateado para 1 ou 2 lâmpadas fluorescentes compactas de 18/26W; ref. PFD-03 da Lumalux, ARM99-2018 C da ARM, AL 3001/G da Ajalumi ou equivalente</v>
          </cell>
          <cell r="C2457" t="str">
            <v>UN</v>
          </cell>
          <cell r="D2457">
            <v>119.37</v>
          </cell>
        </row>
        <row r="2458">
          <cell r="A2458" t="str">
            <v>P.15.000.049559</v>
          </cell>
          <cell r="B2458" t="str">
            <v>Laço lateral duplo para cabo 4 15kV</v>
          </cell>
          <cell r="C2458" t="str">
            <v>UN</v>
          </cell>
          <cell r="D2458">
            <v>11.76</v>
          </cell>
        </row>
        <row r="2459">
          <cell r="A2459" t="str">
            <v>P.15.000.049560</v>
          </cell>
          <cell r="B2459" t="str">
            <v>Laço pre-formado de topo para cabo CA 4 AWG</v>
          </cell>
          <cell r="C2459" t="str">
            <v>UN</v>
          </cell>
          <cell r="D2459">
            <v>6.53</v>
          </cell>
        </row>
        <row r="2460">
          <cell r="A2460" t="str">
            <v>P.15.000.090205</v>
          </cell>
          <cell r="B2460" t="str">
            <v>Luminária LED quadrada, sobrepor, de 15 a 24W fluxo lum. 1363 a 1800 lm, 220V, temper. de cor 4000 K, difusor prismático transparente; ref. 400-24/1 LED da ARM, EF75-S2000840, difusor leitoso Lumicenter, PL 289/LED18W TL Prolumi ou equivalente</v>
          </cell>
          <cell r="C2460" t="str">
            <v>UN</v>
          </cell>
          <cell r="D2460">
            <v>210.98</v>
          </cell>
        </row>
        <row r="2461">
          <cell r="A2461" t="str">
            <v>P.15.000.091173</v>
          </cell>
          <cell r="B2461" t="str">
            <v>Luminária blindada oval de sobrepor em alumínio fundido ou arandela, para lâmpada fluorescente compacta</v>
          </cell>
          <cell r="C2461" t="str">
            <v>UN</v>
          </cell>
          <cell r="D2461">
            <v>159.03</v>
          </cell>
        </row>
        <row r="2462">
          <cell r="A2462" t="str">
            <v>P.15.000.091243</v>
          </cell>
          <cell r="B2462" t="str">
            <v>Luminária blindada de sobrepor ou pendente para 2 lâmpadas fluorescentes 32/36/40 W, ref. HT01S232 da Lumicenter ou equivalente</v>
          </cell>
          <cell r="C2462" t="str">
            <v>UN</v>
          </cell>
          <cell r="D2462">
            <v>235.88</v>
          </cell>
        </row>
        <row r="2463">
          <cell r="A2463" t="str">
            <v>P.15.000.091298</v>
          </cell>
          <cell r="B2463" t="str">
            <v>Luminária retangular de embutir tipo calha fechada com difusor plano em acrílico para 2 lâmpadas fluorescentes tubulares de 28/32/36/54W; ref. 152228 LC da ARM, AL7051.2FT28 da Ajalumi ou equivalente</v>
          </cell>
          <cell r="C2463" t="str">
            <v>UN</v>
          </cell>
          <cell r="D2463">
            <v>153.26</v>
          </cell>
        </row>
        <row r="2464">
          <cell r="A2464" t="str">
            <v>P.15.000.091336</v>
          </cell>
          <cell r="B2464" t="str">
            <v>Luminária retangular de sobrepor tipo calha fechada difusor em acrílico translúcido p/2 lâmpadas fluorescentes 28/32/36/54W, ref. AL7551.2FT28 e AL7551.2FT32 da Ajalumi, 750228 LC ARM, PL289/24 TL Prolumi ou equivalente</v>
          </cell>
          <cell r="C2464" t="str">
            <v>UN</v>
          </cell>
          <cell r="D2464">
            <v>134.5</v>
          </cell>
        </row>
        <row r="2465">
          <cell r="A2465" t="str">
            <v>P.15.000.092173</v>
          </cell>
          <cell r="B2465" t="str">
            <v>Luminária pública fechada pétala pequena em alumínio fundido, refrator lente em vidro temperado, ref. LX-17/3 da Lumel ou equivalente</v>
          </cell>
          <cell r="C2465" t="str">
            <v>UN</v>
          </cell>
          <cell r="D2465">
            <v>364.32</v>
          </cell>
        </row>
        <row r="2466">
          <cell r="A2466" t="str">
            <v>P.15.000.092174</v>
          </cell>
          <cell r="B2466" t="str">
            <v>Suporte tubular de fixação em poste para 1 luminária tipo pétala; ref. DTS-1-60 da Repume, RCA Lâmpadas, SB-1 Reto da Induspar ou equivalente</v>
          </cell>
          <cell r="C2466" t="str">
            <v>UN</v>
          </cell>
          <cell r="D2466">
            <v>68.69</v>
          </cell>
        </row>
        <row r="2467">
          <cell r="A2467" t="str">
            <v>P.15.000.092175</v>
          </cell>
          <cell r="B2467" t="str">
            <v>Suporte tubular de fixação em poste para 2 luminárias tipo pétala; ref. DTS-2-60 da Repume, RCA lâmpadas, SB-2 Angular da Induspar ou equivalente</v>
          </cell>
          <cell r="C2467" t="str">
            <v>UN</v>
          </cell>
          <cell r="D2467">
            <v>94.83</v>
          </cell>
        </row>
        <row r="2468">
          <cell r="A2468" t="str">
            <v>P.16.000.067001</v>
          </cell>
          <cell r="B2468" t="str">
            <v>Bloco autônomo de iluminação de emergência LED, autonomia de 3 horas, equipado com 2 faróis, fluxo luminoso 2.000 até 3.000 lúmens; ref. FAE-LED216 da KBR, Bloco de 3000 lumens da Segurimax ou equivalente</v>
          </cell>
          <cell r="C2468" t="str">
            <v>UN</v>
          </cell>
          <cell r="D2468">
            <v>203.43</v>
          </cell>
        </row>
        <row r="2469">
          <cell r="A2469" t="str">
            <v>P.16.000.067004</v>
          </cell>
          <cell r="B2469" t="str">
            <v>Luminária de emergência LED sobrepor, teto ou parede (frontral/ lateral), dupla face, autonomia mínima 2 horas, 30/35 lúmens, bivolt 110/220V, bateria recarregável; ref. Iluminim, Intelbras, Segurimax ou equivalente</v>
          </cell>
          <cell r="C2469" t="str">
            <v>UN</v>
          </cell>
          <cell r="D2469">
            <v>76.86</v>
          </cell>
        </row>
        <row r="2470">
          <cell r="A2470" t="str">
            <v>P.16.000.091001</v>
          </cell>
          <cell r="B2470" t="str">
            <v>Módulo para adaptação de luminária de emergência, autonomia 90 minutos para lâmpada fluorescente de 32W</v>
          </cell>
          <cell r="C2470" t="str">
            <v>UN</v>
          </cell>
          <cell r="D2470">
            <v>485.92</v>
          </cell>
        </row>
        <row r="2471">
          <cell r="A2471" t="str">
            <v>P.16.000.091030</v>
          </cell>
          <cell r="B2471" t="str">
            <v>Central de detecção e alarme de incêndio, autonomia de 1 hora para 12 laços, 220V/12V</v>
          </cell>
          <cell r="C2471" t="str">
            <v>UN</v>
          </cell>
          <cell r="D2471">
            <v>808.17</v>
          </cell>
        </row>
        <row r="2472">
          <cell r="A2472" t="str">
            <v>P.16.000.091342</v>
          </cell>
          <cell r="B2472" t="str">
            <v>Central para iluminação de emergência, completa (incluso 9 baterias de 150A - 1h30min), de 5000 a 7500 W, ref. UNILAMP USE 110/7000 Unitron ou equivalente</v>
          </cell>
          <cell r="C2472" t="str">
            <v>UN</v>
          </cell>
          <cell r="D2472">
            <v>23593.77</v>
          </cell>
        </row>
        <row r="2473">
          <cell r="A2473" t="str">
            <v>P.16.000.091551</v>
          </cell>
          <cell r="B2473" t="str">
            <v>Central de iluminação de emergência com autonomia de 1 hora até 240W, ref. ILU300CS/12V da Gevi Gamma, NL 240W 12V da Nova Luz, BF/42 da Unitron ou equivalente</v>
          </cell>
          <cell r="C2473" t="str">
            <v>UN</v>
          </cell>
          <cell r="D2473">
            <v>737.35</v>
          </cell>
        </row>
        <row r="2474">
          <cell r="A2474" t="str">
            <v>P.17.000.030001</v>
          </cell>
          <cell r="B2474" t="str">
            <v>Unidade gerenciadora digital de vídeo em rede (NVR) de até 8 câmeras IP em Full HD a 30FPS, armazenamento de 6 TB, 1 interface de rede Fast Ethernet; ref. NVD 1008 P da Intelbras ou equivalente</v>
          </cell>
          <cell r="C2474" t="str">
            <v>UN</v>
          </cell>
          <cell r="D2474">
            <v>1621.08</v>
          </cell>
        </row>
        <row r="2475">
          <cell r="A2475" t="str">
            <v>P.17.000.030003</v>
          </cell>
          <cell r="B2475" t="str">
            <v>Unidade gerenciadora digital de vídeo em rede (NVR) de até 16 câmeras IP em Full HD a 30FPS, armazen. de 12 TB, 1 interface de rede Gigabit Ethernet e 4 entradas de alarme; ref. NVD 3016 P da Intelbras ou equivalente</v>
          </cell>
          <cell r="C2475" t="str">
            <v>UN</v>
          </cell>
          <cell r="D2475">
            <v>2558.0500000000002</v>
          </cell>
        </row>
        <row r="2476">
          <cell r="A2476" t="str">
            <v>P.17.000.030005</v>
          </cell>
          <cell r="B2476" t="str">
            <v>Unidade gerenciadora digital de vídeo em rede (NVR) de até 32 câmeras IP em Full HD a 30FPS, para armazenamento de 48 TB, 2 interface de rede Gigabit Ethernet e 16 entradas de alarme; referência NVD 7032 da Intelbras ou equivalente</v>
          </cell>
          <cell r="C2476" t="str">
            <v>UN</v>
          </cell>
          <cell r="D2476">
            <v>5792.97</v>
          </cell>
        </row>
        <row r="2477">
          <cell r="A2477" t="str">
            <v>P.17.000.030502</v>
          </cell>
          <cell r="B2477" t="str">
            <v>Fonte de alimentação chaveada universal (bivolt), com saída de 24V 1,5A 35W; reerência comercial LRS-35-24 da Mean Well, I20667 Metaltex ou equivalente</v>
          </cell>
          <cell r="C2477" t="str">
            <v>UN</v>
          </cell>
          <cell r="D2477">
            <v>153.16999999999999</v>
          </cell>
        </row>
        <row r="2478">
          <cell r="A2478" t="str">
            <v>P.17.000.030515</v>
          </cell>
          <cell r="B2478" t="str">
            <v>Rack fechado de piso padrão metálico, 19 x 44 Us x 770 mm, porta com visor em acrílico/vidro; ref. Bihouse Racks, APL Racks, Pier Telecom ou equivalente</v>
          </cell>
          <cell r="C2478" t="str">
            <v>UN</v>
          </cell>
          <cell r="D2478">
            <v>2767.02</v>
          </cell>
        </row>
        <row r="2479">
          <cell r="A2479" t="str">
            <v>P.17.000.030518</v>
          </cell>
          <cell r="B2479" t="str">
            <v>Guia organizadora de cabos para rack, 19´ 1 U</v>
          </cell>
          <cell r="C2479" t="str">
            <v>UN</v>
          </cell>
          <cell r="D2479">
            <v>24.16</v>
          </cell>
        </row>
        <row r="2480">
          <cell r="A2480" t="str">
            <v>P.17.000.030520</v>
          </cell>
          <cell r="B2480" t="str">
            <v>Rack fechado padrão metálico, 19 x 20 Us x 470 mm, porta com visor em acrílico/vidro; ref. Bihouse Racks, APL Racks, Pier Telecom ou equivalente</v>
          </cell>
          <cell r="C2480" t="str">
            <v>UN</v>
          </cell>
          <cell r="D2480">
            <v>1453.87</v>
          </cell>
        </row>
        <row r="2481">
          <cell r="A2481" t="str">
            <v>P.17.000.030522</v>
          </cell>
          <cell r="B2481" t="str">
            <v>Rack fechado padrão metálico, 19 x 12 Us x 470 mm, porta com visor em acrílico/vidro; ref. Bihouse Racks, APL Racks, Pier Telecom ou equivalente</v>
          </cell>
          <cell r="C2481" t="str">
            <v>UN</v>
          </cell>
          <cell r="D2481">
            <v>924.35</v>
          </cell>
        </row>
        <row r="2482">
          <cell r="A2482" t="str">
            <v>P.17.000.030523</v>
          </cell>
          <cell r="B2482" t="str">
            <v>Bandeja fixa para rack, 19´ x 500 mm</v>
          </cell>
          <cell r="C2482" t="str">
            <v>UN</v>
          </cell>
          <cell r="D2482">
            <v>90.48</v>
          </cell>
        </row>
        <row r="2483">
          <cell r="A2483" t="str">
            <v>P.17.000.030524</v>
          </cell>
          <cell r="B2483" t="str">
            <v>Bandeja fixa para rack, 19" x 800 mm</v>
          </cell>
          <cell r="C2483" t="str">
            <v>UN</v>
          </cell>
          <cell r="D2483">
            <v>119.36</v>
          </cell>
        </row>
        <row r="2484">
          <cell r="A2484" t="str">
            <v>P.17.000.030525</v>
          </cell>
          <cell r="B2484" t="str">
            <v>Bandeja deslizante para rack, 19´ x 800 mm</v>
          </cell>
          <cell r="C2484" t="str">
            <v>UN</v>
          </cell>
          <cell r="D2484">
            <v>179.87</v>
          </cell>
        </row>
        <row r="2485">
          <cell r="A2485" t="str">
            <v>P.17.000.030531</v>
          </cell>
          <cell r="B2485" t="str">
            <v>Guia organizadora de cabos para rack, 19´ 2 U</v>
          </cell>
          <cell r="C2485" t="str">
            <v>UN</v>
          </cell>
          <cell r="D2485">
            <v>40.36</v>
          </cell>
        </row>
        <row r="2486">
          <cell r="A2486" t="str">
            <v>P.17.000.030537</v>
          </cell>
          <cell r="B2486" t="str">
            <v>Detector ou sensor de gás liquefeito (GLP), gás natural (GN) ou derivados de metano, endereçável; ref. Gevi gamma, AFDG2E da Abafire, AGD da Contech, IL022 da Aerot, MGC1000 da Minipa ou equivalente</v>
          </cell>
          <cell r="C2486" t="str">
            <v>UN</v>
          </cell>
          <cell r="D2486">
            <v>316.39</v>
          </cell>
        </row>
        <row r="2487">
          <cell r="A2487" t="str">
            <v>P.17.000.030538</v>
          </cell>
          <cell r="B2487" t="str">
            <v>Painel repetidor de detecção e alarme de incêndio tipo endereçável</v>
          </cell>
          <cell r="C2487" t="str">
            <v>UN</v>
          </cell>
          <cell r="D2487">
            <v>1204.6400000000001</v>
          </cell>
        </row>
        <row r="2488">
          <cell r="A2488" t="str">
            <v>P.17.000.030550</v>
          </cell>
          <cell r="B2488" t="str">
            <v>Alarme hidráulico com gongo, cobertura e corpo em alumínio fundido ASTM-B-209, pintado na cor vermelha; ref. Reliablel, Skop ou equivalente</v>
          </cell>
          <cell r="C2488" t="str">
            <v>UN</v>
          </cell>
          <cell r="D2488">
            <v>783.02</v>
          </cell>
        </row>
        <row r="2489">
          <cell r="A2489" t="str">
            <v>P.17.000.030555</v>
          </cell>
          <cell r="B2489" t="str">
            <v>Módulo isolador, módulo endereçador para audiovisual; ref. LSC-ISO da Global Fire, IRC485T03 da Tecnohold, IDL 520 da Intelbras, MIC-E 02251 da Ilumac ou equivalente</v>
          </cell>
          <cell r="C2489" t="str">
            <v>UN</v>
          </cell>
          <cell r="D2489">
            <v>144.21</v>
          </cell>
        </row>
        <row r="2490">
          <cell r="A2490" t="str">
            <v>P.17.000.030562</v>
          </cell>
          <cell r="B2490" t="str">
            <v>Câmera fixa colorida compacta, resolução 1/3 Megapixels, tipo mini com lente varifocal, para áreas internas e externas; ref. VIP S3120 IP mini Bullet 1.3MP da Intelbras, IP GSIP1300TVP Bullet da Giga ou equivalente</v>
          </cell>
          <cell r="C2490" t="str">
            <v>UN</v>
          </cell>
          <cell r="D2490">
            <v>1133.6400000000001</v>
          </cell>
        </row>
        <row r="2491">
          <cell r="A2491" t="str">
            <v>P.17.000.030563</v>
          </cell>
          <cell r="B2491" t="str">
            <v>Câmera Dome IP HD 1.3MP, para áreas internas e externas, função WDR, com lente varifocal, possui função SIP (vídeo chamadas); ref. IP Dome HD VIP E4220Z da Intelbras, GV EDR2100-0F da Geovision ou equivalente</v>
          </cell>
          <cell r="C2491" t="str">
            <v>UN</v>
          </cell>
          <cell r="D2491">
            <v>4283.3599999999997</v>
          </cell>
        </row>
        <row r="2492">
          <cell r="A2492" t="str">
            <v>P.17.000.030575</v>
          </cell>
          <cell r="B2492" t="str">
            <v>Câmera fixa com domo e suporte de fixação, sensor de imagem CMOS, função WDR e IP 66; ref. NDI-50022-V3 da Bosch ou equivalente</v>
          </cell>
          <cell r="C2492" t="str">
            <v>UN</v>
          </cell>
          <cell r="D2492">
            <v>12252.02</v>
          </cell>
        </row>
        <row r="2493">
          <cell r="A2493" t="str">
            <v>P.17.000.030578</v>
          </cell>
          <cell r="B2493" t="str">
            <v>Switch Gigabit para servidor central com 24 portas PoE frontais e 4 portas SFP, capacidade de 10 / 100 / 1000 MBPS; ref. série 2930F-JL261A - HP Aruba ou equivalente</v>
          </cell>
          <cell r="C2493" t="str">
            <v>UN</v>
          </cell>
          <cell r="D2493">
            <v>15039.2</v>
          </cell>
        </row>
        <row r="2494">
          <cell r="A2494" t="str">
            <v>P.17.000.030580</v>
          </cell>
          <cell r="B2494" t="str">
            <v>Unidade de disco rígido (HD) externo de 5 TB</v>
          </cell>
          <cell r="C2494" t="str">
            <v>UN</v>
          </cell>
          <cell r="D2494">
            <v>1186.1600000000001</v>
          </cell>
        </row>
        <row r="2495">
          <cell r="A2495" t="str">
            <v>P.17.000.030581</v>
          </cell>
          <cell r="B2495" t="str">
            <v>Bandeja deslizante para Rack de 19" padrão, com profundidade de 770 mm</v>
          </cell>
          <cell r="C2495" t="str">
            <v>UN</v>
          </cell>
          <cell r="D2495">
            <v>151.31</v>
          </cell>
        </row>
        <row r="2496">
          <cell r="A2496" t="str">
            <v>P.17.000.030583</v>
          </cell>
          <cell r="B2496" t="str">
            <v>Estação de trabalho "WorkStation" para central de monitoramento com até 3 monitores, memória RAM de 8 GB; referência T3620 MT da empresa Dell ou equivalente</v>
          </cell>
          <cell r="C2496" t="str">
            <v>CJ</v>
          </cell>
          <cell r="D2496">
            <v>12542.29</v>
          </cell>
        </row>
        <row r="2497">
          <cell r="A2497" t="str">
            <v>P.17.000.030586</v>
          </cell>
          <cell r="B2497" t="str">
            <v>Mesa controladora híbrida para até 32 câmeras IPs com teclado e joystick, compatível com sistema de CFTV, IP ou analógico; ref. modelo VTN-2000 da Intelbras ou equivalente</v>
          </cell>
          <cell r="C2497" t="str">
            <v>UN</v>
          </cell>
          <cell r="D2497">
            <v>3875.15</v>
          </cell>
        </row>
        <row r="2498">
          <cell r="A2498" t="str">
            <v>P.17.000.030587</v>
          </cell>
          <cell r="B2498" t="str">
            <v>Estação de monitoramento "WorkStation" para até 3 monitores, memória RAM de 16 GB DDR4, Placa de vídeo 5 GB DD5; ref. Z4 da marca HP ou equivalente</v>
          </cell>
          <cell r="C2498" t="str">
            <v>CJ</v>
          </cell>
          <cell r="D2498">
            <v>18959.32</v>
          </cell>
        </row>
        <row r="2499">
          <cell r="A2499" t="str">
            <v>P.17.000.030601</v>
          </cell>
          <cell r="B2499" t="str">
            <v>Central de pabx híbrida de telefonia para 8 linhas tronco+128 ramais (digital e analógico); ref. Impacta 300 Intelbras ou equivalente</v>
          </cell>
          <cell r="C2499" t="str">
            <v>CJ</v>
          </cell>
          <cell r="D2499">
            <v>37436.81</v>
          </cell>
        </row>
        <row r="2500">
          <cell r="A2500" t="str">
            <v>P.17.000.030603</v>
          </cell>
          <cell r="B2500" t="str">
            <v>Central de pabx para 2 linhas e 8 ramais; ref. Conecta + da Intelbras, incluso o kit de mais 1 placa de 4 ramais e 1 placa Disa de atendimento automático</v>
          </cell>
          <cell r="C2500" t="str">
            <v>UN</v>
          </cell>
          <cell r="D2500">
            <v>2442.02</v>
          </cell>
        </row>
        <row r="2501">
          <cell r="A2501" t="str">
            <v>P.17.000.030700</v>
          </cell>
          <cell r="B2501" t="str">
            <v>Sinalizador audiovisual endereçável com LEDs pulsantes do tipo flash, ref. SAV-E da Firemac, VALKYRIE A da Global Fire ou equivalente</v>
          </cell>
          <cell r="C2501" t="str">
            <v>UN</v>
          </cell>
          <cell r="D2501">
            <v>385.83</v>
          </cell>
        </row>
        <row r="2502">
          <cell r="A2502" t="str">
            <v>P.17.000.030701</v>
          </cell>
          <cell r="B2502" t="str">
            <v>Chave de fluxo para ar, temperatura de trabalho max. 60°C, ajuste vazão min. 10m/s, micro chave reversível (SPDT-COM-NO-NC), capacidade 10A - 1/2HP - 125/250VAC</v>
          </cell>
          <cell r="C2502" t="str">
            <v>UN</v>
          </cell>
          <cell r="D2502">
            <v>271.25</v>
          </cell>
        </row>
        <row r="2503">
          <cell r="A2503" t="str">
            <v>P.17.000.030702</v>
          </cell>
          <cell r="B2503" t="str">
            <v>Repetidor de Sinal I/I e V/I</v>
          </cell>
          <cell r="C2503" t="str">
            <v>UN</v>
          </cell>
          <cell r="D2503">
            <v>1777.83</v>
          </cell>
        </row>
        <row r="2504">
          <cell r="A2504" t="str">
            <v>P.17.000.030703</v>
          </cell>
          <cell r="B2504" t="str">
            <v>Sensor de temperatura ambiente PT100, 3 fios inox haste rosca 1/2" BSP</v>
          </cell>
          <cell r="C2504" t="str">
            <v>UN</v>
          </cell>
          <cell r="D2504">
            <v>367.59</v>
          </cell>
        </row>
        <row r="2505">
          <cell r="A2505" t="str">
            <v>P.17.000.030704</v>
          </cell>
          <cell r="B2505" t="str">
            <v>Transmissor de pressão diferencial, operação de 0 a 750 Pa</v>
          </cell>
          <cell r="C2505" t="str">
            <v>UN</v>
          </cell>
          <cell r="D2505">
            <v>1600.18</v>
          </cell>
        </row>
        <row r="2506">
          <cell r="A2506" t="str">
            <v>P.17.000.030705</v>
          </cell>
          <cell r="B2506" t="str">
            <v>Controlador lógico programável 16 entradas/16 saídas</v>
          </cell>
          <cell r="C2506" t="str">
            <v>UN</v>
          </cell>
          <cell r="D2506">
            <v>4824.84</v>
          </cell>
        </row>
        <row r="2507">
          <cell r="A2507" t="str">
            <v>P.17.000.030706</v>
          </cell>
          <cell r="B2507" t="str">
            <v>Módulo de expansão para 8 canais de entrada analógica</v>
          </cell>
          <cell r="C2507" t="str">
            <v>UN</v>
          </cell>
          <cell r="D2507">
            <v>3175.96</v>
          </cell>
        </row>
        <row r="2508">
          <cell r="A2508" t="str">
            <v>P.17.000.030707</v>
          </cell>
          <cell r="B2508" t="str">
            <v>Módulo de expansão para 8 de entradas e saídas digitais</v>
          </cell>
          <cell r="C2508" t="str">
            <v>UN</v>
          </cell>
          <cell r="D2508">
            <v>948.83</v>
          </cell>
        </row>
        <row r="2509">
          <cell r="A2509" t="str">
            <v>P.17.000.030708</v>
          </cell>
          <cell r="B2509" t="str">
            <v>Módulos de expansão para 4 canais de saídas analógicas</v>
          </cell>
          <cell r="C2509" t="str">
            <v>UN</v>
          </cell>
          <cell r="D2509">
            <v>3075.51</v>
          </cell>
        </row>
        <row r="2510">
          <cell r="A2510" t="str">
            <v>P.17.000.030710</v>
          </cell>
          <cell r="B2510" t="str">
            <v>Termostato de segurança 90-110C, ref. BT-TRL-90110 da Slic Equipamentos, LS1 da Actua Controls ou equivalente</v>
          </cell>
          <cell r="C2510" t="str">
            <v>UN</v>
          </cell>
          <cell r="D2510">
            <v>73.56</v>
          </cell>
        </row>
        <row r="2511">
          <cell r="A2511" t="str">
            <v>P.17.000.030711</v>
          </cell>
          <cell r="B2511" t="str">
            <v>Transmissor de pressão compacto, escala de pressão de 0 A 10 BAR, sinal de saída de 4 - 20 MA; ref. MBS1700 da Danfos, PX119 da Omega, RTP-420 da Rücken ou equivalente</v>
          </cell>
          <cell r="C2511" t="str">
            <v>UN</v>
          </cell>
          <cell r="D2511">
            <v>1018.56</v>
          </cell>
        </row>
        <row r="2512">
          <cell r="A2512" t="str">
            <v>P.17.000.030712</v>
          </cell>
          <cell r="B2512" t="str">
            <v>Transmissor de temperatura/umidade para dutos 3% 4-20 mA, ref. RHP-3D11 da Slic equipamentos, ou equivalente</v>
          </cell>
          <cell r="C2512" t="str">
            <v>UN</v>
          </cell>
          <cell r="D2512">
            <v>1862.77</v>
          </cell>
        </row>
        <row r="2513">
          <cell r="A2513" t="str">
            <v>P.17.000.030715</v>
          </cell>
          <cell r="B2513" t="str">
            <v>Termostato para aquecimento ou refrigeração com programação horária, referência comercial Full Gauge ou equivalente</v>
          </cell>
          <cell r="C2513" t="str">
            <v>UN</v>
          </cell>
          <cell r="D2513">
            <v>432.13</v>
          </cell>
        </row>
        <row r="2514">
          <cell r="A2514" t="str">
            <v>P.17.000.030716</v>
          </cell>
          <cell r="B2514" t="str">
            <v>Poço Termométrico em alumínio com haste de 30mm e rosca 1/2" npt, ref. Comercial: Full Gauge ou equivalente</v>
          </cell>
          <cell r="C2514" t="str">
            <v>UN</v>
          </cell>
          <cell r="D2514">
            <v>85.05</v>
          </cell>
        </row>
        <row r="2515">
          <cell r="A2515" t="str">
            <v>P.17.000.031477</v>
          </cell>
          <cell r="B2515" t="str">
            <v>Ponto de acesso de dados (Acess Point), para acesso em rede local sem fio, ref. com.: EAP245-AC1750-V1 da TP-Link, WAP150 da Cisco, DAP-2610 da D-Link ou equivalente</v>
          </cell>
          <cell r="C2515" t="str">
            <v>UN</v>
          </cell>
          <cell r="D2515">
            <v>1072.5899999999999</v>
          </cell>
        </row>
        <row r="2516">
          <cell r="A2516" t="str">
            <v>P.17.000.031489</v>
          </cell>
          <cell r="B2516" t="str">
            <v>Central de pabx híbrida de telefonia para 8 linhas tronco e 24 a 32 ramais (digital e analógico); ref. Intelbras Impacta 40 /68i, Panasonic KXTES 32 ou equivalente</v>
          </cell>
          <cell r="C2516" t="str">
            <v>CJ</v>
          </cell>
          <cell r="D2516">
            <v>3503.78</v>
          </cell>
        </row>
        <row r="2517">
          <cell r="A2517" t="str">
            <v>P.17.000.031490</v>
          </cell>
          <cell r="B2517" t="str">
            <v>Switch Gigabit 24 portas 10/100/1000 Base TX Layer 2 mínimo com porta de saída em fibra</v>
          </cell>
          <cell r="C2517" t="str">
            <v>UN</v>
          </cell>
          <cell r="D2517">
            <v>1982.93</v>
          </cell>
        </row>
        <row r="2518">
          <cell r="A2518" t="str">
            <v>P.17.000.031495</v>
          </cell>
          <cell r="B2518" t="str">
            <v>Video porteiro eletrônico colorido com um interfone; referência comercial HDL 90.02.01.033, 90.02.01.700 ou equivalente</v>
          </cell>
          <cell r="C2518" t="str">
            <v>CJ</v>
          </cell>
          <cell r="D2518">
            <v>1604.19</v>
          </cell>
        </row>
        <row r="2519">
          <cell r="A2519" t="str">
            <v>P.17.000.035701</v>
          </cell>
          <cell r="B2519" t="str">
            <v>Porteiro eletrônico com 1 interfone; ref. Amelco AM-M100 ou equivalente</v>
          </cell>
          <cell r="C2519" t="str">
            <v>CJ</v>
          </cell>
          <cell r="D2519">
            <v>200.57</v>
          </cell>
        </row>
        <row r="2520">
          <cell r="A2520" t="str">
            <v>P.17.000.035705</v>
          </cell>
          <cell r="B2520" t="str">
            <v>Sistema eletrônico de automatização de portão deslizante, para esforço maior de 800kg e até 1400 kg, mono 220 V, com 3 controles de acesso; ref. DZ IND 1500 / EURUS 2000 da PPA ou equivalente - instalado</v>
          </cell>
          <cell r="C2520" t="str">
            <v>CJ</v>
          </cell>
          <cell r="D2520">
            <v>6202.25</v>
          </cell>
        </row>
        <row r="2521">
          <cell r="A2521" t="str">
            <v>P.17.000.035713</v>
          </cell>
          <cell r="B2521" t="str">
            <v>Sistema eletrônico de automatização de portão deslizante, para esforços até 800 kg, mono 220 V, com 2 controles de acesso; ref. DZ4 DK 1/3hp da Rossi ou equivalente - instalado</v>
          </cell>
          <cell r="C2521" t="str">
            <v>CJ</v>
          </cell>
          <cell r="D2521">
            <v>2093.08</v>
          </cell>
        </row>
        <row r="2522">
          <cell r="A2522" t="str">
            <v>P.17.000.037603</v>
          </cell>
          <cell r="B2522" t="str">
            <v>Sistema de alarme PNE com indicador audiovisual, com fio, com etiquetas informativas em alumínio com impressão UV e adesivos, resistente às intempéries conforme NBR 9050/2015, para pessoas com mobilidade reduzida ou cadeirante</v>
          </cell>
          <cell r="C2522" t="str">
            <v>CJ</v>
          </cell>
          <cell r="D2522">
            <v>298.56</v>
          </cell>
        </row>
        <row r="2523">
          <cell r="A2523" t="str">
            <v>P.17.000.037604</v>
          </cell>
          <cell r="B2523" t="str">
            <v>Sistema de alarme PNE com indicador audiovisual, sem fio (Wireless), com etiquetas informativas em alumínio com impressão UV e adesivos, resistente às intempéries conforme NBR 9050/2015, para pessoas com mobilidade reduzida ou cadeirante</v>
          </cell>
          <cell r="C2523" t="str">
            <v>CJ</v>
          </cell>
          <cell r="D2523">
            <v>673.06</v>
          </cell>
        </row>
        <row r="2524">
          <cell r="A2524" t="str">
            <v>P.17.000.041097</v>
          </cell>
          <cell r="B2524" t="str">
            <v>Inversor de frequência para variação de velocidade, potência de 1,5 a 150 cv, 200 a 240V trifásico; referência comercial CFW900 da Weg ou equivalente</v>
          </cell>
          <cell r="C2524" t="str">
            <v>UN</v>
          </cell>
          <cell r="D2524">
            <v>36938.730000000003</v>
          </cell>
        </row>
        <row r="2525">
          <cell r="A2525" t="str">
            <v>P.17.000.041119</v>
          </cell>
          <cell r="B2525" t="str">
            <v>Dispositivo de partida ´Soft Starter´ para motor 220 V, trifásico de 40cv, ref. SSW070130T5SZ da Weg ou equivalente</v>
          </cell>
          <cell r="C2525" t="str">
            <v>UN</v>
          </cell>
          <cell r="D2525">
            <v>5658.79</v>
          </cell>
        </row>
        <row r="2526">
          <cell r="A2526" t="str">
            <v>P.17.000.041120</v>
          </cell>
          <cell r="B2526" t="str">
            <v>Dispositivo Soft Starter para motor 15 cv, trifásico 220 V, ref. SSW070045T5SZ da Weg ou equivalente</v>
          </cell>
          <cell r="C2526" t="str">
            <v>UN</v>
          </cell>
          <cell r="D2526">
            <v>2877.81</v>
          </cell>
        </row>
        <row r="2527">
          <cell r="A2527" t="str">
            <v>P.17.000.041121</v>
          </cell>
          <cell r="B2527" t="str">
            <v>Dispositivo Soft Starter para motor 25 cv, trifásico 220 V, ref. SSW070085T5SZ da Weg ou equivalente</v>
          </cell>
          <cell r="C2527" t="str">
            <v>UN</v>
          </cell>
          <cell r="D2527">
            <v>4351.99</v>
          </cell>
        </row>
        <row r="2528">
          <cell r="A2528" t="str">
            <v>P.17.000.042200</v>
          </cell>
          <cell r="B2528" t="str">
            <v>Inversor de frequência para variação de velocidade em motores, potência de 0,25 a 175 cv; ref. CFW500D31P0T4DB20 da Weg ou equivalente</v>
          </cell>
          <cell r="C2528" t="str">
            <v>UN</v>
          </cell>
          <cell r="D2528">
            <v>8868.57</v>
          </cell>
        </row>
        <row r="2529">
          <cell r="A2529" t="str">
            <v>P.17.000.042462</v>
          </cell>
          <cell r="B2529" t="str">
            <v>Alarme sonoro bitonal de 220V, para painel de comando; ref. 104/220 B Cutler Hammer ou equivalente</v>
          </cell>
          <cell r="C2529" t="str">
            <v>UN</v>
          </cell>
          <cell r="D2529">
            <v>458.73</v>
          </cell>
        </row>
        <row r="2530">
          <cell r="A2530" t="str">
            <v>P.17.000.042521</v>
          </cell>
          <cell r="B2530" t="str">
            <v>Detector óptico de fumaça endereçável, com base de fixação, ref. BH-300 da Kidde, Protege ou equivalente</v>
          </cell>
          <cell r="C2530" t="str">
            <v>UN</v>
          </cell>
          <cell r="D2530">
            <v>188.83</v>
          </cell>
        </row>
        <row r="2531">
          <cell r="A2531" t="str">
            <v>P.17.000.042524</v>
          </cell>
          <cell r="B2531" t="str">
            <v>Distribuidor interno óptico para 1U de até 24 fibras (DIO), adaptadores e Pigtails; para montagem em rack 19"/23"; ref. DIO 24FO D da Fibracem, Intelbras, 2 Flex Telecom ou equivalente - completo</v>
          </cell>
          <cell r="C2531" t="str">
            <v>UN</v>
          </cell>
          <cell r="D2531">
            <v>728.89</v>
          </cell>
        </row>
        <row r="2532">
          <cell r="A2532" t="str">
            <v>P.17.000.042527</v>
          </cell>
          <cell r="B2532" t="str">
            <v>Protetor de surto para bloco de distribuição, referência MPDG Slim RG / MPDG Slim RS da Bargoa, MP-R-CC (G) da Clamper ou equivalente</v>
          </cell>
          <cell r="C2532" t="str">
            <v>UN</v>
          </cell>
          <cell r="D2532">
            <v>19.010000000000002</v>
          </cell>
        </row>
        <row r="2533">
          <cell r="A2533" t="str">
            <v>P.17.000.042538</v>
          </cell>
          <cell r="B2533" t="str">
            <v>Divisor interno com 1 entrada e 2 saídas 75 Ohms, ref. WDI/275 Wadt ou equivalente</v>
          </cell>
          <cell r="C2533" t="str">
            <v>UN</v>
          </cell>
          <cell r="D2533">
            <v>10.24</v>
          </cell>
        </row>
        <row r="2534">
          <cell r="A2534" t="str">
            <v>P.17.000.042539</v>
          </cell>
          <cell r="B2534" t="str">
            <v>Divisor interno com 1 entrada e 4 saídas 75 Ohms, ref. WDI/475 Wadt ou equivalente</v>
          </cell>
          <cell r="C2534" t="str">
            <v>UN</v>
          </cell>
          <cell r="D2534">
            <v>11.53</v>
          </cell>
        </row>
        <row r="2535">
          <cell r="A2535" t="str">
            <v>P.17.000.042541</v>
          </cell>
          <cell r="B2535" t="str">
            <v>Amplificador de potência, 50 dB, para VHF e CATV, frequência 40 a 550 MHz; ref. PQAP-7500 da Pró Eletronic ou equivalente</v>
          </cell>
          <cell r="C2535" t="str">
            <v>UN</v>
          </cell>
          <cell r="D2535">
            <v>485.24</v>
          </cell>
        </row>
        <row r="2536">
          <cell r="A2536" t="str">
            <v>P.17.000.042542</v>
          </cell>
          <cell r="B2536" t="str">
            <v>Antema WI-FI dual band access point, banda 450Mbps em 2.4GHz e 1300Mbps em 5GHz, compatível em PoE (802,3at); ref. AC1750 - EAP245 TP-Link ou equivalente</v>
          </cell>
          <cell r="C2536" t="str">
            <v>UN</v>
          </cell>
          <cell r="D2536">
            <v>862.21</v>
          </cell>
        </row>
        <row r="2537">
          <cell r="A2537" t="str">
            <v>P.17.000.042546</v>
          </cell>
          <cell r="B2537" t="str">
            <v>Bloco de distribuição para 10 pares; ref. modelo WT-1002A - sem Corte / conexão Permanente (Conect CP), contato em bronze com banho de estanho; ref. fabricação Seccon ou equivalente</v>
          </cell>
          <cell r="C2537" t="str">
            <v>UN</v>
          </cell>
          <cell r="D2537">
            <v>11</v>
          </cell>
        </row>
        <row r="2538">
          <cell r="A2538" t="str">
            <v>P.17.000.042563</v>
          </cell>
          <cell r="B2538" t="str">
            <v>Modulador de canais modelo ágil, ref. PQMO-2600G2 da Proeletronic ou equivalente</v>
          </cell>
          <cell r="C2538" t="str">
            <v>UN</v>
          </cell>
          <cell r="D2538">
            <v>221.87</v>
          </cell>
        </row>
        <row r="2539">
          <cell r="A2539" t="str">
            <v>P.17.000.042566</v>
          </cell>
          <cell r="B2539" t="str">
            <v>Amplificador transistorizado de linha VHF (50 a 220 MHz, 50 dB) ou UHF (470 a 800 MHz, 48 dB), nível de saída 1, 4 e 8 canais, conectores de saída F-fêmea - 110/220V</v>
          </cell>
          <cell r="C2539" t="str">
            <v>UN</v>
          </cell>
          <cell r="D2539">
            <v>462.76</v>
          </cell>
        </row>
        <row r="2540">
          <cell r="A2540" t="str">
            <v>P.17.000.046322</v>
          </cell>
          <cell r="B2540" t="str">
            <v>Sensor de presença infravermelho passivo e microondas sem fio, alcance 12m, frequência 433,92Mhz, cobertura 90°; ref. Intelbras IVP2000 SR ou equivalente</v>
          </cell>
          <cell r="C2540" t="str">
            <v>UN</v>
          </cell>
          <cell r="D2540">
            <v>99.27</v>
          </cell>
        </row>
        <row r="2541">
          <cell r="A2541" t="str">
            <v>P.17.000.050018</v>
          </cell>
          <cell r="B2541" t="str">
            <v>Transceptor Gigabit SX conectável de formato pequeno (SFP); ref. MGBSX1 da Cisco ou equivalente</v>
          </cell>
          <cell r="C2541" t="str">
            <v>UN</v>
          </cell>
          <cell r="D2541">
            <v>957.47</v>
          </cell>
        </row>
        <row r="2542">
          <cell r="A2542" t="str">
            <v>P.17.000.050162</v>
          </cell>
          <cell r="B2542" t="str">
            <v>Sistema ininterrupto de energia monofásico no break, de 5 a 7,5 kVA (110 / 120 V), autonomia 15 minutos</v>
          </cell>
          <cell r="C2542" t="str">
            <v>UN</v>
          </cell>
          <cell r="D2542">
            <v>21886.97</v>
          </cell>
        </row>
        <row r="2543">
          <cell r="A2543" t="str">
            <v>P.17.000.050167</v>
          </cell>
          <cell r="B2543" t="str">
            <v>Sistema ininterrupto de energia monofásico de 2 kVA (127 / 127 V), autonomia 40 minutos</v>
          </cell>
          <cell r="C2543" t="str">
            <v>UN</v>
          </cell>
          <cell r="D2543">
            <v>5769.07</v>
          </cell>
        </row>
        <row r="2544">
          <cell r="A2544" t="str">
            <v>P.17.000.050178</v>
          </cell>
          <cell r="B2544" t="str">
            <v>Sistema ininterrupto de energia trifásico de 10 kVA (220 / 220 V), autonomia 15 minutos</v>
          </cell>
          <cell r="C2544" t="str">
            <v>UN</v>
          </cell>
          <cell r="D2544">
            <v>37568</v>
          </cell>
        </row>
        <row r="2545">
          <cell r="A2545" t="str">
            <v>P.17.000.050179</v>
          </cell>
          <cell r="B2545" t="str">
            <v>Sistema ininterrupto de energia trifásico de 20 kVA (220 / 208 / 108 V), autonomia 15 minutos</v>
          </cell>
          <cell r="C2545" t="str">
            <v>UN</v>
          </cell>
          <cell r="D2545">
            <v>44830.82</v>
          </cell>
        </row>
        <row r="2546">
          <cell r="A2546" t="str">
            <v>P.17.000.050181</v>
          </cell>
          <cell r="B2546" t="str">
            <v>Sistema ininterrupto de energia trifásico on line, de 15 kVA (208 / 110 V), autonomia 15 minutos</v>
          </cell>
          <cell r="C2546" t="str">
            <v>UN</v>
          </cell>
          <cell r="D2546">
            <v>45531.39</v>
          </cell>
        </row>
        <row r="2547">
          <cell r="A2547" t="str">
            <v>P.17.000.050183</v>
          </cell>
          <cell r="B2547" t="str">
            <v>Sistema ininterrupto de energia monofásico on line, de 5 kVA (220 / 110 V), com autonomia 15 minutos</v>
          </cell>
          <cell r="C2547" t="str">
            <v>UN</v>
          </cell>
          <cell r="D2547">
            <v>15043.04</v>
          </cell>
        </row>
        <row r="2548">
          <cell r="A2548" t="str">
            <v>P.17.000.050186</v>
          </cell>
          <cell r="B2548" t="str">
            <v>Sistema ininterrupto de energia, monofásico no break, de 600 VA (127 / 127 V, com autonomia de 10 a 15 minutos</v>
          </cell>
          <cell r="C2548" t="str">
            <v>UN</v>
          </cell>
          <cell r="D2548">
            <v>953.08</v>
          </cell>
        </row>
        <row r="2549">
          <cell r="A2549" t="str">
            <v>P.17.000.050192</v>
          </cell>
          <cell r="B2549" t="str">
            <v>Sistema ininterrupto de energia trifásico de 10 kVA (220 / 110 V), autonomia 2 horas</v>
          </cell>
          <cell r="C2549" t="str">
            <v>UN</v>
          </cell>
          <cell r="D2549">
            <v>40580.269999999997</v>
          </cell>
        </row>
        <row r="2550">
          <cell r="A2550" t="str">
            <v>P.17.000.050208</v>
          </cell>
          <cell r="B2550" t="str">
            <v>Estabilizador eletrônico de tensão, trifásico, com potência de 40 kVA (220/110V)</v>
          </cell>
          <cell r="C2550" t="str">
            <v>UN</v>
          </cell>
          <cell r="D2550">
            <v>43681.96</v>
          </cell>
        </row>
        <row r="2551">
          <cell r="A2551" t="str">
            <v>P.17.000.050214</v>
          </cell>
          <cell r="B2551" t="str">
            <v>Sistema ininterrupto de energia trifásico on line, de 20 kVA (220/127V), automação 15 minutos</v>
          </cell>
          <cell r="C2551" t="str">
            <v>UN</v>
          </cell>
          <cell r="D2551">
            <v>54834.559999999998</v>
          </cell>
        </row>
        <row r="2552">
          <cell r="A2552" t="str">
            <v>P.17.000.050215</v>
          </cell>
          <cell r="B2552" t="str">
            <v>Sistema ininterrupto de energia trifásico on line, de 60 kVA (220/127V), automação 15 minutos</v>
          </cell>
          <cell r="C2552" t="str">
            <v>UN</v>
          </cell>
          <cell r="D2552">
            <v>119102.78</v>
          </cell>
        </row>
        <row r="2553">
          <cell r="A2553" t="str">
            <v>P.17.000.050218</v>
          </cell>
          <cell r="B2553" t="str">
            <v>Sistema ininterrupto de energia trifásico on line, de 80 kVA (220/127V), automação 15 minutos</v>
          </cell>
          <cell r="C2553" t="str">
            <v>UN</v>
          </cell>
          <cell r="D2553">
            <v>137538.04999999999</v>
          </cell>
        </row>
        <row r="2554">
          <cell r="A2554" t="str">
            <v>P.17.000.050220</v>
          </cell>
          <cell r="B2554" t="str">
            <v>Sistema ininterrupto de energia, trifásico de 20 kVA, no break, entrada 380 V e saída 220 V, com autonomia de 15 minutos</v>
          </cell>
          <cell r="C2554" t="str">
            <v>UN</v>
          </cell>
          <cell r="D2554">
            <v>49489.83</v>
          </cell>
        </row>
        <row r="2555">
          <cell r="A2555" t="str">
            <v>P.17.000.050224</v>
          </cell>
          <cell r="B2555" t="str">
            <v>Sistema ininterrupto de energia on line senoidal, de 50 kVA (220/110 V), com automação de 15 minutos</v>
          </cell>
          <cell r="C2555" t="str">
            <v>UN</v>
          </cell>
          <cell r="D2555">
            <v>63317.54</v>
          </cell>
        </row>
        <row r="2556">
          <cell r="A2556" t="str">
            <v>P.17.000.050225</v>
          </cell>
          <cell r="B2556" t="str">
            <v>Sistema ininterrupto de energia, trifásico on line senoidal, de 5 kVA (220/110 V), com automação de 15 minutos</v>
          </cell>
          <cell r="C2556" t="str">
            <v>UN</v>
          </cell>
          <cell r="D2556">
            <v>29327.49</v>
          </cell>
        </row>
        <row r="2557">
          <cell r="A2557" t="str">
            <v>P.17.000.050226</v>
          </cell>
          <cell r="B2557" t="str">
            <v>Sistema ininterrupto de energia, trifásico on line senoidal, de 10 kVA (220/110 V), com autonomia de 15 minutos</v>
          </cell>
          <cell r="C2557" t="str">
            <v>UN</v>
          </cell>
          <cell r="D2557">
            <v>35582.54</v>
          </cell>
        </row>
        <row r="2558">
          <cell r="A2558" t="str">
            <v>P.17.000.050231</v>
          </cell>
          <cell r="B2558" t="str">
            <v>Sistema ininterrupto de energia, trifásico on line senoidal, de 7,5 kVA (220/110 V), com autonomia de 15 minutos</v>
          </cell>
          <cell r="C2558" t="str">
            <v>UN</v>
          </cell>
          <cell r="D2558">
            <v>43030.7</v>
          </cell>
        </row>
        <row r="2559">
          <cell r="A2559" t="str">
            <v>P.17.000.050257</v>
          </cell>
          <cell r="B2559" t="str">
            <v>Sistema ininterrupto de energia trifásico on line senoidal, de 40kVA, 380V/220V, com autonomia de 15 minutos; ref. Conception da CM Comandos Lineares, Sigma da Beta Eletronic, Energy Master, Oneupsti, Processtec ou equivalente</v>
          </cell>
          <cell r="C2559" t="str">
            <v>UN</v>
          </cell>
          <cell r="D2559">
            <v>97358.45</v>
          </cell>
        </row>
        <row r="2560">
          <cell r="A2560" t="str">
            <v>P.17.000.067301</v>
          </cell>
          <cell r="B2560" t="str">
            <v>Bloco de ligação com engate rápido para 10 pares com suporte BER-10</v>
          </cell>
          <cell r="C2560" t="str">
            <v>UN</v>
          </cell>
          <cell r="D2560">
            <v>18.600000000000001</v>
          </cell>
        </row>
        <row r="2561">
          <cell r="A2561" t="str">
            <v>P.17.000.090534</v>
          </cell>
          <cell r="B2561" t="str">
            <v>Destravador magnético eletroímã (sem fonte), para porta corta-fogo de 24 Vcc, ref. Gevi gamma ou equivalente</v>
          </cell>
          <cell r="C2561" t="str">
            <v>UN</v>
          </cell>
          <cell r="D2561">
            <v>240.62</v>
          </cell>
        </row>
        <row r="2562">
          <cell r="A2562" t="str">
            <v>P.17.000.090899</v>
          </cell>
          <cell r="B2562" t="str">
            <v>Rack fechado de piso padrão metálico, 19 x 24 Us x 570 mm, porta com visor em acrílico/vidro; ref. Bihouse Racks, APL Racks, Pier Telecom ou equivalente</v>
          </cell>
          <cell r="C2562" t="str">
            <v>UN</v>
          </cell>
          <cell r="D2562">
            <v>1803.39</v>
          </cell>
        </row>
        <row r="2563">
          <cell r="A2563" t="str">
            <v>P.17.000.091007</v>
          </cell>
          <cell r="B2563" t="str">
            <v>Detector termovelocimétrico com base endereçável; ref. Johnson Controls, Fire &amp; Security, Aerotex Extintores ou equivalente</v>
          </cell>
          <cell r="C2563" t="str">
            <v>UN</v>
          </cell>
          <cell r="D2563">
            <v>192.6</v>
          </cell>
        </row>
        <row r="2564">
          <cell r="A2564" t="str">
            <v>P.17.000.091009</v>
          </cell>
          <cell r="B2564" t="str">
            <v>Sirene audiovisual tipo endereçável, potência de 90 a 110db, tensão até 24Vcc, corrente 100mA, leds alto brilho; ref. VRE-SVF da Verin, Strobe 99dB da Siemens ou equivalente</v>
          </cell>
          <cell r="C2564" t="str">
            <v>UN</v>
          </cell>
          <cell r="D2564">
            <v>318.01</v>
          </cell>
        </row>
        <row r="2565">
          <cell r="A2565" t="str">
            <v>P.17.000.091031</v>
          </cell>
          <cell r="B2565" t="str">
            <v>Sirene tipo corneta com potência nominal de 12V, potência sonora entre 115dB a 120dB, potência elétrica de 15 a 20W; ref. NA/12V da Aureon, GLK, DNI ou equivalente</v>
          </cell>
          <cell r="C2565" t="str">
            <v>UN</v>
          </cell>
          <cell r="D2565">
            <v>80.87</v>
          </cell>
        </row>
        <row r="2566">
          <cell r="A2566" t="str">
            <v>P.17.000.091404</v>
          </cell>
          <cell r="B2566" t="str">
            <v>Aparelho telefônico multifrequencial, analógico, teclas: FLASH, HOOK, PAUSE, LND e MODE, controle discagem em pulso e tom, controle de volume em 3 níveis</v>
          </cell>
          <cell r="C2566" t="str">
            <v>UN</v>
          </cell>
          <cell r="D2566">
            <v>76.819999999999993</v>
          </cell>
        </row>
        <row r="2567">
          <cell r="A2567" t="str">
            <v>P.17.000.091560</v>
          </cell>
          <cell r="B2567" t="str">
            <v>Sirene eletrônica em caixa metálica de 12 / 24 Volts</v>
          </cell>
          <cell r="C2567" t="str">
            <v>UN</v>
          </cell>
          <cell r="D2567">
            <v>78.459999999999994</v>
          </cell>
        </row>
        <row r="2568">
          <cell r="A2568" t="str">
            <v>P.17.000.091621</v>
          </cell>
          <cell r="B2568" t="str">
            <v>Cancela automática com gabinete aço e barreira em alumínio de 3,50 até 4,00 m; ref. Gatter Peccinin, Barrier da PPA, Prime DC da Garen, Max Peccinin, Brasso jetflex da PPA ou equivalente</v>
          </cell>
          <cell r="C2568" t="str">
            <v>UN</v>
          </cell>
          <cell r="D2568">
            <v>4699.9799999999996</v>
          </cell>
        </row>
        <row r="2569">
          <cell r="A2569" t="str">
            <v>P.17.000.092197</v>
          </cell>
          <cell r="B2569" t="str">
            <v>Estabilizador eletrônico de tensão monofásico com potência, 5 kVA; ref. BYP11 5KVA da CS Eletro, Energie II Isolado 5kVA SI/TE220/TS220 da SMS, mod. Starvolt da Powereng ou equivalente</v>
          </cell>
          <cell r="C2569" t="str">
            <v>UN</v>
          </cell>
          <cell r="D2569">
            <v>9725.82</v>
          </cell>
        </row>
        <row r="2570">
          <cell r="A2570" t="str">
            <v>P.17.000.092199</v>
          </cell>
          <cell r="B2570" t="str">
            <v>Estabilizador eletrônico de tensão monofásico com potência, 10 kVA</v>
          </cell>
          <cell r="C2570" t="str">
            <v>UN</v>
          </cell>
          <cell r="D2570">
            <v>13764.29</v>
          </cell>
        </row>
        <row r="2571">
          <cell r="A2571" t="str">
            <v>P.17.000.092292</v>
          </cell>
          <cell r="B2571" t="str">
            <v>Controlador de acesso com identificação por impressão digital (biometria) e software de gerencimento; ref. SS 411E da Intelbras, iDAccess da Controlid ou equivalente</v>
          </cell>
          <cell r="C2571" t="str">
            <v>CJ</v>
          </cell>
          <cell r="D2571">
            <v>2250.62</v>
          </cell>
        </row>
        <row r="2572">
          <cell r="A2572" t="str">
            <v>P.17.000.092764</v>
          </cell>
          <cell r="B2572" t="str">
            <v>Central alarme microprocessada para até 125 zonas, ref. FP-01 da Gevi Gamma ou equivalente</v>
          </cell>
          <cell r="C2572" t="str">
            <v>UN</v>
          </cell>
          <cell r="D2572">
            <v>2625.08</v>
          </cell>
        </row>
        <row r="2573">
          <cell r="A2573" t="str">
            <v>P.17.000.092765</v>
          </cell>
          <cell r="B2573" t="str">
            <v>Repetidora sinais do painel sinóptico para central</v>
          </cell>
          <cell r="C2573" t="str">
            <v>UN</v>
          </cell>
          <cell r="D2573">
            <v>829.96</v>
          </cell>
        </row>
        <row r="2574">
          <cell r="A2574" t="str">
            <v>P.17.000.092771</v>
          </cell>
          <cell r="B2574" t="str">
            <v>Detector microprocessado metais tipo portal; ref. MAGXXI linha 300 / 3P da Magnetec; DMP-01/MP da Priel ou equivalente</v>
          </cell>
          <cell r="C2574" t="str">
            <v>UN</v>
          </cell>
          <cell r="D2574">
            <v>15021.26</v>
          </cell>
        </row>
        <row r="2575">
          <cell r="A2575" t="str">
            <v>P.18.000.042520</v>
          </cell>
          <cell r="B2575" t="str">
            <v>Painel frontal cego de 19´ x 1 U; ref. Itcomtech/20, Furukawa, Garra ou equivalente</v>
          </cell>
          <cell r="C2575" t="str">
            <v>UN</v>
          </cell>
          <cell r="D2575">
            <v>9.6199999999999992</v>
          </cell>
        </row>
        <row r="2576">
          <cell r="A2576" t="str">
            <v>P.18.000.042526</v>
          </cell>
          <cell r="B2576" t="str">
            <v>Painel frontal cego de 19´ x 2 U; ref. Itcomtech/20, Furukawa, Garra ou equivalente</v>
          </cell>
          <cell r="C2576" t="str">
            <v>UN</v>
          </cell>
          <cell r="D2576">
            <v>14</v>
          </cell>
        </row>
        <row r="2577">
          <cell r="A2577" t="str">
            <v>P.18.000.045100</v>
          </cell>
          <cell r="B2577" t="str">
            <v>Caixa base lateral tipo ´N´ (1300x400x250mm), ref. Phaynell, JSA ou equivalente</v>
          </cell>
          <cell r="C2577" t="str">
            <v>UN</v>
          </cell>
          <cell r="D2577">
            <v>745.33</v>
          </cell>
        </row>
        <row r="2578">
          <cell r="A2578" t="str">
            <v>P.18.000.045101</v>
          </cell>
          <cell r="B2578" t="str">
            <v>Caixa de medição tipo ´M´ externa de (900x1200x270)mm, padrão Eletropaulo</v>
          </cell>
          <cell r="C2578" t="str">
            <v>UN</v>
          </cell>
          <cell r="D2578">
            <v>1875.84</v>
          </cell>
        </row>
        <row r="2579">
          <cell r="A2579" t="str">
            <v>P.18.000.045102</v>
          </cell>
          <cell r="B2579" t="str">
            <v>Caixa para seccionadora tipo ´T´, (900x600x250)mm, padrão Eletropaulo</v>
          </cell>
          <cell r="C2579" t="str">
            <v>UN</v>
          </cell>
          <cell r="D2579">
            <v>606</v>
          </cell>
        </row>
        <row r="2580">
          <cell r="A2580" t="str">
            <v>P.18.000.045103</v>
          </cell>
          <cell r="B2580" t="str">
            <v>Caixa de medição tipo II, (300 x 560 x 200)mm, padrão concessionárias</v>
          </cell>
          <cell r="C2580" t="str">
            <v>UN</v>
          </cell>
          <cell r="D2580">
            <v>137.44999999999999</v>
          </cell>
        </row>
        <row r="2581">
          <cell r="A2581" t="str">
            <v>P.18.000.045106</v>
          </cell>
          <cell r="B2581" t="str">
            <v>Caixa de medição externa tipo ´N´ (1300x1200x270)mm, padrão Eletropaulo</v>
          </cell>
          <cell r="C2581" t="str">
            <v>UN</v>
          </cell>
          <cell r="D2581">
            <v>2683.2</v>
          </cell>
        </row>
        <row r="2582">
          <cell r="A2582" t="str">
            <v>P.18.000.045108</v>
          </cell>
          <cell r="B2582" t="str">
            <v>Caixa de proteção para TC, em chapa 14, (1000x750x300) mm, padrão CPFL</v>
          </cell>
          <cell r="C2582" t="str">
            <v>UN</v>
          </cell>
          <cell r="D2582">
            <v>1093.29</v>
          </cell>
        </row>
        <row r="2583">
          <cell r="A2583" t="str">
            <v>P.18.000.045109</v>
          </cell>
          <cell r="B2583" t="str">
            <v>Caixa de medição externa tipo ´L´ (900x600x270)mm, padrão Eletropaulo</v>
          </cell>
          <cell r="C2583" t="str">
            <v>UN</v>
          </cell>
          <cell r="D2583">
            <v>1158.6199999999999</v>
          </cell>
        </row>
        <row r="2584">
          <cell r="A2584" t="str">
            <v>P.18.000.045110</v>
          </cell>
          <cell r="B2584" t="str">
            <v>Caixa de medição ´A1´para cabine primária (1000x1000x300)mm, padrão Eletropaulo</v>
          </cell>
          <cell r="C2584" t="str">
            <v>UN</v>
          </cell>
          <cell r="D2584">
            <v>1704.1</v>
          </cell>
        </row>
        <row r="2585">
          <cell r="A2585" t="str">
            <v>P.18.000.045111</v>
          </cell>
          <cell r="B2585" t="str">
            <v>Caixa de proteção dos bornes do medidor, em chapa 18, (300x250x90) mm padrão CPFL</v>
          </cell>
          <cell r="C2585" t="str">
            <v>UN</v>
          </cell>
          <cell r="D2585">
            <v>126.74</v>
          </cell>
        </row>
        <row r="2586">
          <cell r="A2586" t="str">
            <v>P.18.000.045116</v>
          </cell>
          <cell r="B2586" t="str">
            <v>Caixa de entrada tipo ´E´ de (560x350x210)mm, ref. BN, Olipe ou equivalente - padrão Eletropaulo</v>
          </cell>
          <cell r="C2586" t="str">
            <v>UN</v>
          </cell>
          <cell r="D2586">
            <v>196.9</v>
          </cell>
        </row>
        <row r="2587">
          <cell r="A2587" t="str">
            <v>P.18.000.045121</v>
          </cell>
          <cell r="B2587" t="str">
            <v>Caixa de medição polifásica tipo III, (500x600x200)mm, padrão concessionárias</v>
          </cell>
          <cell r="C2587" t="str">
            <v>UN</v>
          </cell>
          <cell r="D2587">
            <v>238.26</v>
          </cell>
        </row>
        <row r="2588">
          <cell r="A2588" t="str">
            <v>P.18.000.049566</v>
          </cell>
          <cell r="B2588" t="str">
            <v>Suporte para transformação em poste/estaleiro</v>
          </cell>
          <cell r="C2588" t="str">
            <v>UN</v>
          </cell>
          <cell r="D2588">
            <v>244.76</v>
          </cell>
        </row>
        <row r="2589">
          <cell r="A2589" t="str">
            <v>P.18.000.050127</v>
          </cell>
          <cell r="B2589" t="str">
            <v>Quadro Telebras de embutir em chapa de (200 x 200 x 120) mm, com fundo de madeira; ref. Lintermani ou equivalente</v>
          </cell>
          <cell r="C2589" t="str">
            <v>UN</v>
          </cell>
          <cell r="D2589">
            <v>47.63</v>
          </cell>
        </row>
        <row r="2590">
          <cell r="A2590" t="str">
            <v>P.18.000.050128</v>
          </cell>
          <cell r="B2590" t="str">
            <v>Quadro Telebras de embutir em chapa de (400 x 400 x 120) mm, com fundo de madeira; ref. Lintermani ou equivalente</v>
          </cell>
          <cell r="C2590" t="str">
            <v>UN</v>
          </cell>
          <cell r="D2590">
            <v>135.71</v>
          </cell>
        </row>
        <row r="2591">
          <cell r="A2591" t="str">
            <v>P.18.000.050129</v>
          </cell>
          <cell r="B2591" t="str">
            <v>Quadro Telebras de embutir em chapa de (600 x 600 x 120) mm, com fundo de madeira; ref. Lintermani ou equivalente</v>
          </cell>
          <cell r="C2591" t="str">
            <v>UN</v>
          </cell>
          <cell r="D2591">
            <v>296.14</v>
          </cell>
        </row>
        <row r="2592">
          <cell r="A2592" t="str">
            <v>P.18.000.050130</v>
          </cell>
          <cell r="B2592" t="str">
            <v>Quadro Telebras de embutir em chapa de (800 x 800 x 120) mm, com fundo de madeira; ref. Lintermani ou equivalente</v>
          </cell>
          <cell r="C2592" t="str">
            <v>UN</v>
          </cell>
          <cell r="D2592">
            <v>478.78</v>
          </cell>
        </row>
        <row r="2593">
          <cell r="A2593" t="str">
            <v>P.18.000.050131</v>
          </cell>
          <cell r="B2593" t="str">
            <v>Quadro Telebras de embutir em chapa de (1200 x 1200 x 120) mm, com fundo de madeira; ref. Lintermani ou equivalente</v>
          </cell>
          <cell r="C2593" t="str">
            <v>UN</v>
          </cell>
          <cell r="D2593">
            <v>1442.35</v>
          </cell>
        </row>
        <row r="2594">
          <cell r="A2594" t="str">
            <v>P.18.000.050132</v>
          </cell>
          <cell r="B2594" t="str">
            <v>Quadro Telebras de sobrepor em chapa de (200 x 200 x 120) mm, com fundo de madeira; ref. Lintermani ou equivalente</v>
          </cell>
          <cell r="C2594" t="str">
            <v>UN</v>
          </cell>
          <cell r="D2594">
            <v>61.73</v>
          </cell>
        </row>
        <row r="2595">
          <cell r="A2595" t="str">
            <v>P.18.000.050133</v>
          </cell>
          <cell r="B2595" t="str">
            <v>Quadro Telebras de sobrepor em chapa de (400 x 400 x 120) mm, com fundo de madeira; ref. Lintermani ou equivalente</v>
          </cell>
          <cell r="C2595" t="str">
            <v>UN</v>
          </cell>
          <cell r="D2595">
            <v>130.09</v>
          </cell>
        </row>
        <row r="2596">
          <cell r="A2596" t="str">
            <v>P.18.000.050134</v>
          </cell>
          <cell r="B2596" t="str">
            <v>Quadro Telebras de sobrepor ema chapa de (600 x 600 x 120) mm, com fundo de madeira; ref. Lintermani ou equivalente</v>
          </cell>
          <cell r="C2596" t="str">
            <v>UN</v>
          </cell>
          <cell r="D2596">
            <v>281.12</v>
          </cell>
        </row>
        <row r="2597">
          <cell r="A2597" t="str">
            <v>P.18.000.050135</v>
          </cell>
          <cell r="B2597" t="str">
            <v>Quadro Telebras de sobrepor em chapa de (800 x 800 x 120) mm, com fundo de madeira; ref. Lintermani ou equivalente</v>
          </cell>
          <cell r="C2597" t="str">
            <v>UN</v>
          </cell>
          <cell r="D2597">
            <v>530.62</v>
          </cell>
        </row>
        <row r="2598">
          <cell r="A2598" t="str">
            <v>P.18.000.050269</v>
          </cell>
          <cell r="B2598" t="str">
            <v>Cubículo de média tensão para uso ao tempo IP-53 (mínimo), classe 24kV para 300kVA, padrão CPFL, Piratininga, Elektro, Eletropaulo, etc.; ref. Beghim, ABB, VR Painéis, Gimi ou equivalente</v>
          </cell>
          <cell r="C2598" t="str">
            <v>CJ</v>
          </cell>
          <cell r="D2598">
            <v>156309.5</v>
          </cell>
        </row>
        <row r="2599">
          <cell r="A2599" t="str">
            <v>P.18.000.050271</v>
          </cell>
          <cell r="B2599" t="str">
            <v>Quadro de embutir em chapa de aço, para disjuntores 16 DIN / 12 Bolt-on de 150 A, QDETG-U II, ref. 904501 da Cemar ou equivalente</v>
          </cell>
          <cell r="C2599" t="str">
            <v>UN</v>
          </cell>
          <cell r="D2599">
            <v>404.34</v>
          </cell>
        </row>
        <row r="2600">
          <cell r="A2600" t="str">
            <v>P.18.000.050272</v>
          </cell>
          <cell r="B2600" t="str">
            <v>Quadro de embutir em chapa de aço, para disjuntores 24 DIN / 18 Bolt-on de 150 A, QDETG-U II, ref. 904502 da Cemar ou equivalente</v>
          </cell>
          <cell r="C2600" t="str">
            <v>UN</v>
          </cell>
          <cell r="D2600">
            <v>445.36</v>
          </cell>
        </row>
        <row r="2601">
          <cell r="A2601" t="str">
            <v>P.18.000.050273</v>
          </cell>
          <cell r="B2601" t="str">
            <v>Quadro de embutir em chapa de aço, para disjuntores 34 DIN / 24 Bolt-on de 150 A, QDETG-U II, ref. 904503 da Cemar ou equivalente</v>
          </cell>
          <cell r="C2601" t="str">
            <v>UN</v>
          </cell>
          <cell r="D2601">
            <v>623.98</v>
          </cell>
        </row>
        <row r="2602">
          <cell r="A2602" t="str">
            <v>P.18.000.050274</v>
          </cell>
          <cell r="B2602" t="str">
            <v>Quadro de embutir em chapa de aço, para disjuntores 44 DIN / 32 Bolt-on de 150 A, QDETG-U II, ref. 904504 da Cemar ou equivalente</v>
          </cell>
          <cell r="C2602" t="str">
            <v>UN</v>
          </cell>
          <cell r="D2602">
            <v>686.88</v>
          </cell>
        </row>
        <row r="2603">
          <cell r="A2603" t="str">
            <v>P.18.000.050275</v>
          </cell>
          <cell r="B2603" t="str">
            <v>Quadro de embutir em chapa de aço, para disjuntores 56 DIN / 40 Bolt-on de 225 A, QDETG-U II, ref. 904505 da Cemar ou equivalente</v>
          </cell>
          <cell r="C2603" t="str">
            <v>UN</v>
          </cell>
          <cell r="D2603">
            <v>906.48</v>
          </cell>
        </row>
        <row r="2604">
          <cell r="A2604" t="str">
            <v>P.18.000.050276</v>
          </cell>
          <cell r="B2604" t="str">
            <v>Quadro de embutir em chapa de aço, para disjuntores 70 DIN / 50 Bolt-on de 225 A, QDETG-U II, ref. 904506 da Cemar ou equivalente</v>
          </cell>
          <cell r="C2604" t="str">
            <v>UN</v>
          </cell>
          <cell r="D2604">
            <v>1252.52</v>
          </cell>
        </row>
        <row r="2605">
          <cell r="A2605" t="str">
            <v>P.18.000.050277</v>
          </cell>
          <cell r="B2605" t="str">
            <v>Quadro de sobrepor em chapa de aço, para disjuntores 16 DIN / 12 Bolt-on de 150 A, QDSTG-U II, ref. 904507 da Cemar ou equivalente</v>
          </cell>
          <cell r="C2605" t="str">
            <v>UN</v>
          </cell>
          <cell r="D2605">
            <v>516.55999999999995</v>
          </cell>
        </row>
        <row r="2606">
          <cell r="A2606" t="str">
            <v>P.18.000.050278</v>
          </cell>
          <cell r="B2606" t="str">
            <v>Quadro de sobrepor em chapa de aço, para disjuntores 24 DIN / 18 Bolt-on de 150 A, QDSTG-U II, ref. 904508 da Cemar ou equivalente</v>
          </cell>
          <cell r="C2606" t="str">
            <v>UN</v>
          </cell>
          <cell r="D2606">
            <v>612.97</v>
          </cell>
        </row>
        <row r="2607">
          <cell r="A2607" t="str">
            <v>P.18.000.050279</v>
          </cell>
          <cell r="B2607" t="str">
            <v>Quadro de sobrepor em chapa de aço, para disjuntores 34 DIN / 24 Bolt-on de 150 A, QDSTG-U II, ref. 904509 da Cemar ou equivalente</v>
          </cell>
          <cell r="C2607" t="str">
            <v>UN</v>
          </cell>
          <cell r="D2607">
            <v>702.72</v>
          </cell>
        </row>
        <row r="2608">
          <cell r="A2608" t="str">
            <v>P.18.000.050280</v>
          </cell>
          <cell r="B2608" t="str">
            <v>Quadro de sobrepor em chapa de aço, para disjuntores 44 DIN / 32 Bolt-on de 150 A, QDSTG-U II, ref. 904510 da Cemar ou equivalente</v>
          </cell>
          <cell r="C2608" t="str">
            <v>UN</v>
          </cell>
          <cell r="D2608">
            <v>995.49</v>
          </cell>
        </row>
        <row r="2609">
          <cell r="A2609" t="str">
            <v>P.18.000.050281</v>
          </cell>
          <cell r="B2609" t="str">
            <v>Quadro de sobrepor em chapa de aço, para disjuntores 56 DIN / 40 Bolt-on de 225 A, QDSTG-U II, ref. 904511 da Cemar ou equivalente</v>
          </cell>
          <cell r="C2609" t="str">
            <v>UN</v>
          </cell>
          <cell r="D2609">
            <v>1100.3399999999999</v>
          </cell>
        </row>
        <row r="2610">
          <cell r="A2610" t="str">
            <v>P.18.000.050282</v>
          </cell>
          <cell r="B2610" t="str">
            <v>Quadro de sobrepor em chapa de aço, para disjuntores 70 DIN / 50 Bolt-on de 225 A, QDSTG-U II, ref. 904512 da Cemar ou equivalente</v>
          </cell>
          <cell r="C2610" t="str">
            <v>UN</v>
          </cell>
          <cell r="D2610">
            <v>1909.25</v>
          </cell>
        </row>
        <row r="2611">
          <cell r="A2611" t="str">
            <v>P.18.000.050287</v>
          </cell>
          <cell r="B2611" t="str">
            <v>Cubículo de média tensão para uso ao tempo IP-53 (mínimo), classe 17,5kV e 300kVA, padrão CPFL, Piratininga, Elektro, Eletropaulo, etc.; referência comercial Beghim, ABB, VR Painéis, Gimi ou equivalente</v>
          </cell>
          <cell r="C2611" t="str">
            <v>CJ</v>
          </cell>
          <cell r="D2611">
            <v>132091.94</v>
          </cell>
        </row>
        <row r="2612">
          <cell r="A2612" t="str">
            <v>P.18.000.091179</v>
          </cell>
          <cell r="B2612" t="str">
            <v>Painel autoportante/modular em chapa de aço, com proteção mínima IP-54, sem componentes; referência comercial Taunus, Press Mat ou equivalente</v>
          </cell>
          <cell r="C2612" t="str">
            <v>M2</v>
          </cell>
          <cell r="D2612">
            <v>2926.42</v>
          </cell>
        </row>
        <row r="2613">
          <cell r="A2613" t="str">
            <v>P.18.000.091704</v>
          </cell>
          <cell r="B2613" t="str">
            <v>Placa de montagem para quadros em geral, em chapa de aço carbono, espessura 2,25mm, acabamento pintura eletrostática; ref. Phaynell, Press Mat, Painel.ind.br ou equivalente</v>
          </cell>
          <cell r="C2613" t="str">
            <v>M2</v>
          </cell>
          <cell r="D2613">
            <v>406.93</v>
          </cell>
        </row>
        <row r="2614">
          <cell r="A2614" t="str">
            <v>P.18.000.092638</v>
          </cell>
          <cell r="B2614" t="str">
            <v>Banco de medição para transformadores, TP/TC, Eletropaulo e Cesp</v>
          </cell>
          <cell r="C2614" t="str">
            <v>UN</v>
          </cell>
          <cell r="D2614">
            <v>1588.82</v>
          </cell>
        </row>
        <row r="2615">
          <cell r="A2615" t="str">
            <v>P.18.000.092639</v>
          </cell>
          <cell r="B2615" t="str">
            <v>Suporte para fixação lateral em cabine primária para TP´s 80 x 35 x 42 cm, em ferro cantoneira L: 1 1/2´ x esp. 1/8´</v>
          </cell>
          <cell r="C2615" t="str">
            <v>UN</v>
          </cell>
          <cell r="D2615">
            <v>129.08000000000001</v>
          </cell>
        </row>
        <row r="2616">
          <cell r="A2616" t="str">
            <v>P.19.000.024014</v>
          </cell>
          <cell r="B2616" t="str">
            <v>Conector grampo cabo/haste de 3/4´</v>
          </cell>
          <cell r="C2616" t="str">
            <v>UN</v>
          </cell>
          <cell r="D2616">
            <v>20.149999999999999</v>
          </cell>
        </row>
        <row r="2617">
          <cell r="A2617" t="str">
            <v>P.19.000.040501</v>
          </cell>
          <cell r="B2617" t="str">
            <v>Isolador tipo castanha de 85x90mm</v>
          </cell>
          <cell r="C2617" t="str">
            <v>UN</v>
          </cell>
          <cell r="D2617">
            <v>16.43</v>
          </cell>
        </row>
        <row r="2618">
          <cell r="A2618" t="str">
            <v>P.19.000.040516</v>
          </cell>
          <cell r="B2618" t="str">
            <v>Grampo ´C´ de Ø 3/8´ e balancim grande para perfilado, ref. BF-078+BF-081 Bandeirantes, RP 2033+RP 2034 Real Perfil ou equivalente</v>
          </cell>
          <cell r="C2618" t="str">
            <v>CJ</v>
          </cell>
          <cell r="D2618">
            <v>6.9</v>
          </cell>
        </row>
        <row r="2619">
          <cell r="A2619" t="str">
            <v>P.19.000.040517</v>
          </cell>
          <cell r="B2619" t="str">
            <v>Gancho longo em chapa de aço zincado, para fixação de luminárias; ref. Perfilaço, TWT ou equivalente</v>
          </cell>
          <cell r="C2619" t="str">
            <v>UN</v>
          </cell>
          <cell r="D2619">
            <v>2.87</v>
          </cell>
        </row>
        <row r="2620">
          <cell r="A2620" t="str">
            <v>P.19.000.042219</v>
          </cell>
          <cell r="B2620" t="str">
            <v>Captor tipo FRANKLIN, Hmin.= 300mm, 4 ou mais pontas,1 descida, cromado, ref. PRT-101 Paratec, PK-0003 Paraklin, TEL-020 Termotécnica ou equivalente</v>
          </cell>
          <cell r="C2620" t="str">
            <v>UN</v>
          </cell>
          <cell r="D2620">
            <v>86.7</v>
          </cell>
        </row>
        <row r="2621">
          <cell r="A2621" t="str">
            <v>P.19.000.042220</v>
          </cell>
          <cell r="B2621" t="str">
            <v>Captor tipo FRANKLIN, Hmin.= 300mm, 4 ou mais pontas, 2 descidas, cromado, ref. PRT-102 Paratec, PK-0004 Paraklin, TEL-022 Termotécnica ou equivalente</v>
          </cell>
          <cell r="C2621" t="str">
            <v>UN</v>
          </cell>
          <cell r="D2621">
            <v>90.35</v>
          </cell>
        </row>
        <row r="2622">
          <cell r="A2622" t="str">
            <v>P.19.000.042223</v>
          </cell>
          <cell r="B2622" t="str">
            <v>Isolador galvanizado reforçado para fixação a 90°</v>
          </cell>
          <cell r="C2622" t="str">
            <v>UN</v>
          </cell>
          <cell r="D2622">
            <v>17.36</v>
          </cell>
        </row>
        <row r="2623">
          <cell r="A2623" t="str">
            <v>P.19.000.042224</v>
          </cell>
          <cell r="B2623" t="str">
            <v>Isolador galvanizado simples, chapa de encosto</v>
          </cell>
          <cell r="C2623" t="str">
            <v>UN</v>
          </cell>
          <cell r="D2623">
            <v>5.99</v>
          </cell>
        </row>
        <row r="2624">
          <cell r="A2624" t="str">
            <v>P.19.000.042225</v>
          </cell>
          <cell r="B2624" t="str">
            <v>Isolador galvanizado simples reforçado, chapa de encosto</v>
          </cell>
          <cell r="C2624" t="str">
            <v>UN</v>
          </cell>
          <cell r="D2624">
            <v>9.0399999999999991</v>
          </cell>
        </row>
        <row r="2625">
          <cell r="A2625" t="str">
            <v>P.19.000.042226</v>
          </cell>
          <cell r="B2625" t="str">
            <v>Isolador galvanizado simples com calha para telha ondulada</v>
          </cell>
          <cell r="C2625" t="str">
            <v>UN</v>
          </cell>
          <cell r="D2625">
            <v>14.81</v>
          </cell>
        </row>
        <row r="2626">
          <cell r="A2626" t="str">
            <v>P.19.000.042227</v>
          </cell>
          <cell r="B2626" t="str">
            <v>Isolador galvanizado simples reforçado com calha para telha ondulada</v>
          </cell>
          <cell r="C2626" t="str">
            <v>UN</v>
          </cell>
          <cell r="D2626">
            <v>18.82</v>
          </cell>
        </row>
        <row r="2627">
          <cell r="A2627" t="str">
            <v>P.19.000.042231</v>
          </cell>
          <cell r="B2627" t="str">
            <v>Isolador galvanizado simples para mastro 2´, com 1 descida</v>
          </cell>
          <cell r="C2627" t="str">
            <v>UN</v>
          </cell>
          <cell r="D2627">
            <v>11.31</v>
          </cell>
        </row>
        <row r="2628">
          <cell r="A2628" t="str">
            <v>P.19.000.042232</v>
          </cell>
          <cell r="B2628" t="str">
            <v>Isolador galvanizado simples para mastro 2´, com 2 descidas</v>
          </cell>
          <cell r="C2628" t="str">
            <v>UN</v>
          </cell>
          <cell r="D2628">
            <v>17.2</v>
          </cell>
        </row>
        <row r="2629">
          <cell r="A2629" t="str">
            <v>P.19.000.042233</v>
          </cell>
          <cell r="B2629" t="str">
            <v>Isolador galvanizado reforçado para mastro 2´, com 1 descida</v>
          </cell>
          <cell r="C2629" t="str">
            <v>UN</v>
          </cell>
          <cell r="D2629">
            <v>15.34</v>
          </cell>
        </row>
        <row r="2630">
          <cell r="A2630" t="str">
            <v>P.19.000.042234</v>
          </cell>
          <cell r="B2630" t="str">
            <v>Isolador galvanizado reforçado para mastro 2´, com 2 descida</v>
          </cell>
          <cell r="C2630" t="str">
            <v>UN</v>
          </cell>
          <cell r="D2630">
            <v>19.55</v>
          </cell>
        </row>
        <row r="2631">
          <cell r="A2631" t="str">
            <v>P.19.000.042235</v>
          </cell>
          <cell r="B2631" t="str">
            <v>Abraçadeira de contraventagem para mastro de 2"</v>
          </cell>
          <cell r="C2631" t="str">
            <v>UN</v>
          </cell>
          <cell r="D2631">
            <v>12.94</v>
          </cell>
        </row>
        <row r="2632">
          <cell r="A2632" t="str">
            <v>P.19.000.042236</v>
          </cell>
          <cell r="B2632" t="str">
            <v>Apoio para mastro em aço galvanizado de 2´</v>
          </cell>
          <cell r="C2632" t="str">
            <v>UN</v>
          </cell>
          <cell r="D2632">
            <v>11.82</v>
          </cell>
        </row>
        <row r="2633">
          <cell r="A2633" t="str">
            <v>P.19.000.042237</v>
          </cell>
          <cell r="B2633" t="str">
            <v>Base para mastro em aço galvanizado de 2´, ref. PK 0505 da Paraklim ou equivalente</v>
          </cell>
          <cell r="C2633" t="str">
            <v>UN</v>
          </cell>
          <cell r="D2633">
            <v>54.12</v>
          </cell>
        </row>
        <row r="2634">
          <cell r="A2634" t="str">
            <v>P.19.000.042238</v>
          </cell>
          <cell r="B2634" t="str">
            <v>Contraventagem com cabo para mastro de 2´</v>
          </cell>
          <cell r="C2634" t="str">
            <v>UN</v>
          </cell>
          <cell r="D2634">
            <v>148.4</v>
          </cell>
        </row>
        <row r="2635">
          <cell r="A2635" t="str">
            <v>P.19.000.042240</v>
          </cell>
          <cell r="B2635" t="str">
            <v>Mastro simples galvanizado de 2´, altura de 3 a 5 m, Inclusive luva de redução, ref. 703 Paraklin ou equivalente</v>
          </cell>
          <cell r="C2635" t="str">
            <v>M</v>
          </cell>
          <cell r="D2635">
            <v>71.209999999999994</v>
          </cell>
        </row>
        <row r="2636">
          <cell r="A2636" t="str">
            <v>P.19.000.042241</v>
          </cell>
          <cell r="B2636" t="str">
            <v>Suporte porta bandeira simples para mastro de 2´</v>
          </cell>
          <cell r="C2636" t="str">
            <v>UN</v>
          </cell>
          <cell r="D2636">
            <v>17.52</v>
          </cell>
        </row>
        <row r="2637">
          <cell r="A2637" t="str">
            <v>P.19.000.042242</v>
          </cell>
          <cell r="B2637" t="str">
            <v>Suporte reforçado para porta bandeira de 2´</v>
          </cell>
          <cell r="C2637" t="str">
            <v>UN</v>
          </cell>
          <cell r="D2637">
            <v>30.14</v>
          </cell>
        </row>
        <row r="2638">
          <cell r="A2638" t="str">
            <v>P.19.000.042243</v>
          </cell>
          <cell r="B2638" t="str">
            <v>Abraçadeira para fixação do aparelho sinalizador para mastro de diâmetro 2´</v>
          </cell>
          <cell r="C2638" t="str">
            <v>UN</v>
          </cell>
          <cell r="D2638">
            <v>15.4</v>
          </cell>
        </row>
        <row r="2639">
          <cell r="A2639" t="str">
            <v>P.19.000.042248</v>
          </cell>
          <cell r="B2639" t="str">
            <v>Conector de emenda em latão para cabo até 50mm², com 4 parafusos</v>
          </cell>
          <cell r="C2639" t="str">
            <v>UN</v>
          </cell>
          <cell r="D2639">
            <v>26.31</v>
          </cell>
        </row>
        <row r="2640">
          <cell r="A2640" t="str">
            <v>P.19.000.042249</v>
          </cell>
          <cell r="B2640" t="str">
            <v>Conector tipo olhal reforçado cabo/haste de 3/4", em latão forjado natural; ref. PK 0105 Paraklin, PRT-909 Paratec, 662401 Magnet, DR-098 Raycon, PG-0105 Paragam, TH-34-R Intelli, TTC006-1 Conimel ou equivalente</v>
          </cell>
          <cell r="C2640" t="str">
            <v>UN</v>
          </cell>
          <cell r="D2640">
            <v>18.260000000000002</v>
          </cell>
        </row>
        <row r="2641">
          <cell r="A2641" t="str">
            <v>P.19.000.042250</v>
          </cell>
          <cell r="B2641" t="str">
            <v>Conector tipo olhal reforçado para cabo/haste de 5/8"; ref. PK-0104 Paraklin, PRT-908 Paratec, 662301 Magnet, DR-097 Raycon, PG-0104 Paragam, Th-58-R Intelli, TTC004-1 Conimel ou equivalente</v>
          </cell>
          <cell r="C2641" t="str">
            <v>UN</v>
          </cell>
          <cell r="D2641">
            <v>4.82</v>
          </cell>
        </row>
        <row r="2642">
          <cell r="A2642" t="str">
            <v>P.19.000.042252</v>
          </cell>
          <cell r="B2642" t="str">
            <v>Haste de aterramento de 5/8"x2,4 m, em aço SAE1010/1020, trefilado e revestido de cobre eletrolítico; ref. PK0065 da Paraklin, TEL5814 da Termotécnica ou equivalente</v>
          </cell>
          <cell r="C2642" t="str">
            <v>UN</v>
          </cell>
          <cell r="D2642">
            <v>181.02</v>
          </cell>
        </row>
        <row r="2643">
          <cell r="A2643" t="str">
            <v>P.19.000.042253</v>
          </cell>
          <cell r="B2643" t="str">
            <v>Mastro para sinalizador de obstáculo de 1,50m x 3/4´</v>
          </cell>
          <cell r="C2643" t="str">
            <v>UN</v>
          </cell>
          <cell r="D2643">
            <v>47.57</v>
          </cell>
        </row>
        <row r="2644">
          <cell r="A2644" t="str">
            <v>P.19.000.042254</v>
          </cell>
          <cell r="B2644" t="str">
            <v>Suporte para tubo de proteção com grapa de encosto 2´</v>
          </cell>
          <cell r="C2644" t="str">
            <v>UN</v>
          </cell>
          <cell r="D2644">
            <v>10.91</v>
          </cell>
        </row>
        <row r="2645">
          <cell r="A2645" t="str">
            <v>P.19.000.042255</v>
          </cell>
          <cell r="B2645" t="str">
            <v>Suporte para tubo de proteção com grapa para chumbar 2´</v>
          </cell>
          <cell r="C2645" t="str">
            <v>UN</v>
          </cell>
          <cell r="D2645">
            <v>9.43</v>
          </cell>
        </row>
        <row r="2646">
          <cell r="A2646" t="str">
            <v>P.19.000.042257</v>
          </cell>
          <cell r="B2646" t="str">
            <v>Tampa para caixa de inspeção cilíndrica em aço galvanizado</v>
          </cell>
          <cell r="C2646" t="str">
            <v>UN</v>
          </cell>
          <cell r="D2646">
            <v>48.69</v>
          </cell>
        </row>
        <row r="2647">
          <cell r="A2647" t="str">
            <v>P.19.000.042380</v>
          </cell>
          <cell r="B2647" t="str">
            <v>Abraçadeira para cabo modelo MB-4 da 3M Scotch para fixação de cabo elétrico de potência, isolado de tensão até 35 KV</v>
          </cell>
          <cell r="C2647" t="str">
            <v>UN</v>
          </cell>
          <cell r="D2647">
            <v>230.03</v>
          </cell>
        </row>
        <row r="2648">
          <cell r="A2648" t="str">
            <v>P.19.000.042433</v>
          </cell>
          <cell r="B2648" t="str">
            <v>Haste de aterramento de 3/4"x3 m, em aço SAE1010/1020, trefilado e revestido de cobre eletrolítico; ref. 6757 da Magnet, PK0068 da Paraklin ou equivalente</v>
          </cell>
          <cell r="C2648" t="str">
            <v>UN</v>
          </cell>
          <cell r="D2648">
            <v>279.74</v>
          </cell>
        </row>
        <row r="2649">
          <cell r="A2649" t="str">
            <v>P.19.000.042474</v>
          </cell>
          <cell r="B2649" t="str">
            <v>Isolador galvanizado uso geral, 20 cm, PK-0195 da Paraklin,TEL-210 ou equivalente</v>
          </cell>
          <cell r="C2649" t="str">
            <v>UN</v>
          </cell>
          <cell r="D2649">
            <v>6.19</v>
          </cell>
        </row>
        <row r="2650">
          <cell r="A2650" t="str">
            <v>P.19.000.042476</v>
          </cell>
          <cell r="B2650" t="str">
            <v>Caixa de inspeção do terra cilíndrica em PVC rígido, diâmetro de 300 mm, h= 400 mm</v>
          </cell>
          <cell r="C2650" t="str">
            <v>UN</v>
          </cell>
          <cell r="D2650">
            <v>32.82</v>
          </cell>
        </row>
        <row r="2651">
          <cell r="A2651" t="str">
            <v>P.19.000.042477</v>
          </cell>
          <cell r="B2651" t="str">
            <v>Caixa de inspeção do terra cilíndrica em PVC rígido, diâmetro de 300 mm, h= 250 mm</v>
          </cell>
          <cell r="C2651" t="str">
            <v>UN</v>
          </cell>
          <cell r="D2651">
            <v>18.829999999999998</v>
          </cell>
        </row>
        <row r="2652">
          <cell r="A2652" t="str">
            <v>P.19.000.042478</v>
          </cell>
          <cell r="B2652" t="str">
            <v>Caixa de inspeção do terra cilíndrica em PVC rígido, diâmetro de 300 mm, h= 600 mm</v>
          </cell>
          <cell r="C2652" t="str">
            <v>UN</v>
          </cell>
          <cell r="D2652">
            <v>56.18</v>
          </cell>
        </row>
        <row r="2653">
          <cell r="A2653" t="str">
            <v>P.19.000.043502</v>
          </cell>
          <cell r="B2653" t="str">
            <v>Armação secundária para 1 estribo</v>
          </cell>
          <cell r="C2653" t="str">
            <v>UN</v>
          </cell>
          <cell r="D2653">
            <v>35.49</v>
          </cell>
        </row>
        <row r="2654">
          <cell r="A2654" t="str">
            <v>P.19.000.043503</v>
          </cell>
          <cell r="B2654" t="str">
            <v>Armação secundária para 2 estribos</v>
          </cell>
          <cell r="C2654" t="str">
            <v>UN</v>
          </cell>
          <cell r="D2654">
            <v>52.85</v>
          </cell>
        </row>
        <row r="2655">
          <cell r="A2655" t="str">
            <v>P.19.000.043504</v>
          </cell>
          <cell r="B2655" t="str">
            <v>Isolador tipo disco para 15kV</v>
          </cell>
          <cell r="C2655" t="str">
            <v>UN</v>
          </cell>
          <cell r="D2655">
            <v>90.26</v>
          </cell>
        </row>
        <row r="2656">
          <cell r="A2656" t="str">
            <v>P.19.000.043505</v>
          </cell>
          <cell r="B2656" t="str">
            <v>Isolador tipo roldana baixa tensão de 76 x 79 mm</v>
          </cell>
          <cell r="C2656" t="str">
            <v>UN</v>
          </cell>
          <cell r="D2656">
            <v>10.35</v>
          </cell>
        </row>
        <row r="2657">
          <cell r="A2657" t="str">
            <v>P.19.000.044301</v>
          </cell>
          <cell r="B2657" t="str">
            <v>Barra condutora chata em cobre de 3/4´ x 3/16´; ref. TEL 780 Termotécnica ou equivalente</v>
          </cell>
          <cell r="C2657" t="str">
            <v>M</v>
          </cell>
          <cell r="D2657">
            <v>193.76</v>
          </cell>
        </row>
        <row r="2658">
          <cell r="A2658" t="str">
            <v>P.19.000.044304</v>
          </cell>
          <cell r="B2658" t="str">
            <v>Caixa de equalização com barra cobre 6mm, embutir, chapa de aço com pintura esmaltada, de 400x400mm e tampa, uso interno, ref. Tel-900 Termotécnica ou equivalente</v>
          </cell>
          <cell r="C2658" t="str">
            <v>UN</v>
          </cell>
          <cell r="D2658">
            <v>434.78</v>
          </cell>
        </row>
        <row r="2659">
          <cell r="A2659" t="str">
            <v>P.19.000.044305</v>
          </cell>
          <cell r="B2659" t="str">
            <v>Caixa de equalização com barra cobre 6mm, embutir, chapa de aço com pintura esmaltada, de 200x200mm e tampa, uso interno, ref. Tel-901 Termotécnica ou equivalente</v>
          </cell>
          <cell r="C2659" t="str">
            <v>UN</v>
          </cell>
          <cell r="D2659">
            <v>293.44</v>
          </cell>
        </row>
        <row r="2660">
          <cell r="A2660" t="str">
            <v>P.19.000.044306</v>
          </cell>
          <cell r="B2660" t="str">
            <v>Fixador componente A+B; ref. FGG 01 da Gelcam ou equivalente</v>
          </cell>
          <cell r="C2660" t="str">
            <v>KG</v>
          </cell>
          <cell r="D2660">
            <v>79.59</v>
          </cell>
        </row>
        <row r="2661">
          <cell r="A2661" t="str">
            <v>P.19.000.044307</v>
          </cell>
          <cell r="B2661" t="str">
            <v>Suporte para fixação de terminal aéreo e ou cabo de cobre; ref. SGG01 da Gelcam ou equivalente</v>
          </cell>
          <cell r="C2661" t="str">
            <v>UN</v>
          </cell>
          <cell r="D2661">
            <v>3.73</v>
          </cell>
        </row>
        <row r="2662">
          <cell r="A2662" t="str">
            <v>P.19.000.044308</v>
          </cell>
          <cell r="B2662" t="str">
            <v>Terminal aéreo em barra de cobre circular maciço, diâmetro de 1/4´ x 300; ref. TAG da Gelcam ou equivalente</v>
          </cell>
          <cell r="C2662" t="str">
            <v>UN</v>
          </cell>
          <cell r="D2662">
            <v>29.22</v>
          </cell>
        </row>
        <row r="2663">
          <cell r="A2663" t="str">
            <v>P.19.000.044309</v>
          </cell>
          <cell r="B2663" t="str">
            <v>Presilha em latão para cabos de 16 até 50 mm²; ref. Termotécnica ou equivalente</v>
          </cell>
          <cell r="C2663" t="str">
            <v>UN</v>
          </cell>
          <cell r="D2663">
            <v>1.0900000000000001</v>
          </cell>
        </row>
        <row r="2664">
          <cell r="A2664" t="str">
            <v>P.19.000.044310</v>
          </cell>
          <cell r="B2664" t="str">
            <v>Presilha em latão para cabos acima 50 até 120 mm²; ref. Termotécnica ou equivalente</v>
          </cell>
          <cell r="C2664" t="str">
            <v>UN</v>
          </cell>
          <cell r="D2664">
            <v>1.1499999999999999</v>
          </cell>
        </row>
        <row r="2665">
          <cell r="A2665" t="str">
            <v>P.19.000.044311</v>
          </cell>
          <cell r="B2665" t="str">
            <v>Suporte para fixação de terminal aéreo e ou cabo de cobre nu; ref. SGG02/SGG03 da Gelcam ou equivalente</v>
          </cell>
          <cell r="C2665" t="str">
            <v>UN</v>
          </cell>
          <cell r="D2665">
            <v>6.22</v>
          </cell>
        </row>
        <row r="2666">
          <cell r="A2666" t="str">
            <v>P.19.000.044314</v>
          </cell>
          <cell r="B2666" t="str">
            <v>Suporte para fixação de fita de alumínio 7/8" x 1/8" e/ou cabo de cobre nu, com base ondulada; ref. SGG 03 (longitudinal) da Gelcam ou equivalente</v>
          </cell>
          <cell r="C2666" t="str">
            <v>UN</v>
          </cell>
          <cell r="D2666">
            <v>6.07</v>
          </cell>
        </row>
        <row r="2667">
          <cell r="A2667" t="str">
            <v>P.19.000.044315</v>
          </cell>
          <cell r="B2667" t="str">
            <v>Suporte para fixação de fita de alumínio 7/8" x 1/8", com base plana; ref. SGG 04/F da Gelcam ou equivalente</v>
          </cell>
          <cell r="C2667" t="str">
            <v>UN</v>
          </cell>
          <cell r="D2667">
            <v>5.18</v>
          </cell>
        </row>
        <row r="2668">
          <cell r="A2668" t="str">
            <v>P.19.000.044320</v>
          </cell>
          <cell r="B2668" t="str">
            <v>Cordoalha flexível "jumpers" de 25 X 300 mm, com 4 furos de 11 mm; ref. Barbanera, Raycon, TEL5703 da Termotécnica ou equivalente</v>
          </cell>
          <cell r="C2668" t="str">
            <v>UN</v>
          </cell>
          <cell r="D2668">
            <v>51.28</v>
          </cell>
        </row>
        <row r="2669">
          <cell r="A2669" t="str">
            <v>P.19.000.044321</v>
          </cell>
          <cell r="B2669" t="str">
            <v>Terminal estanhado com 1 furo e 1 compressão - 16 mm², ref. TEC 5116 Termotécnica, Paraklin ou equivalente</v>
          </cell>
          <cell r="C2669" t="str">
            <v>UN</v>
          </cell>
          <cell r="D2669">
            <v>3.29</v>
          </cell>
        </row>
        <row r="2670">
          <cell r="A2670" t="str">
            <v>P.19.000.044322</v>
          </cell>
          <cell r="B2670" t="str">
            <v>Terminal estanhado com 1 furo e 1 compressão - 35 mm², ref. TEC 5135 Termotécnica, Paraklin ou equivalente</v>
          </cell>
          <cell r="C2670" t="str">
            <v>UN</v>
          </cell>
          <cell r="D2670">
            <v>5.34</v>
          </cell>
        </row>
        <row r="2671">
          <cell r="A2671" t="str">
            <v>P.19.000.044323</v>
          </cell>
          <cell r="B2671" t="str">
            <v>Terminal estanhado com 1 furo e 1 compressão - 50 mm², ref. TEC 5150 Termotécnica, Paraklin ou equivalente</v>
          </cell>
          <cell r="C2671" t="str">
            <v>UN</v>
          </cell>
          <cell r="D2671">
            <v>8.39</v>
          </cell>
        </row>
        <row r="2672">
          <cell r="A2672" t="str">
            <v>P.19.000.044326</v>
          </cell>
          <cell r="B2672" t="str">
            <v>Terminal estanhado com 2 furos e 1 compressão - 50 mm², ref. TEC 5175 Termotécnica, Paraklin ou equivalente</v>
          </cell>
          <cell r="C2672" t="str">
            <v>UN</v>
          </cell>
          <cell r="D2672">
            <v>7.32</v>
          </cell>
        </row>
        <row r="2673">
          <cell r="A2673" t="str">
            <v>P.19.000.044327</v>
          </cell>
          <cell r="B2673" t="str">
            <v>Conector tipo "X" fundido em bronze para aterramento de tela, para cabo 16 - 50mm², ref. TEL 6945 da Termotécnica ou equivalente</v>
          </cell>
          <cell r="C2673" t="str">
            <v>UN</v>
          </cell>
          <cell r="D2673">
            <v>104.02</v>
          </cell>
        </row>
        <row r="2674">
          <cell r="A2674" t="str">
            <v>P.19.000.044328</v>
          </cell>
          <cell r="B2674" t="str">
            <v>Malha fechada pré-fabricada em fio de cobre de 16mm e mesch 30 x 30cm para aterramento, ref. MPT-16 da Fastweld ou equivalente</v>
          </cell>
          <cell r="C2674" t="str">
            <v>M2</v>
          </cell>
          <cell r="D2674">
            <v>208.25</v>
          </cell>
        </row>
        <row r="2675">
          <cell r="A2675" t="str">
            <v>P.19.000.044330</v>
          </cell>
          <cell r="B2675" t="str">
            <v>Tela equipotencial em aço inoxidável 430, largura 245mm, espessura 1,5mm, peso 0,730kg/m; ref. TEL-754 da Termotécnica ou equivalente</v>
          </cell>
          <cell r="C2675" t="str">
            <v>M</v>
          </cell>
          <cell r="D2675">
            <v>61.42</v>
          </cell>
        </row>
        <row r="2676">
          <cell r="A2676" t="str">
            <v>P.19.000.044331</v>
          </cell>
          <cell r="B2676" t="str">
            <v>Cordoalha flexível "jumpers" de 25 X 235 mm, com 4 furos de 11 mm; ref. Barbanera, Raycon, TEL5702 da Termotécnica ou equivalente</v>
          </cell>
          <cell r="C2676" t="str">
            <v>UN</v>
          </cell>
          <cell r="D2676">
            <v>42.86</v>
          </cell>
        </row>
        <row r="2677">
          <cell r="A2677" t="str">
            <v>P.19.000.048002</v>
          </cell>
          <cell r="B2677" t="str">
            <v>Barra condutora chata em alumínio de 7/8´ x 1/8´ x 3 m; ref. TEL 771 da Termotécnica ou equivalente</v>
          </cell>
          <cell r="C2677" t="str">
            <v>M</v>
          </cell>
          <cell r="D2677">
            <v>8.7799999999999994</v>
          </cell>
        </row>
        <row r="2678">
          <cell r="A2678" t="str">
            <v>P.19.000.048007</v>
          </cell>
          <cell r="B2678" t="str">
            <v>Barra condutora chata em alumínio de 3/4´ x 1/4´ x 3 m; ref. TEL 770 da Termotécnica ou equivalente</v>
          </cell>
          <cell r="C2678" t="str">
            <v>M</v>
          </cell>
          <cell r="D2678">
            <v>15.06</v>
          </cell>
        </row>
        <row r="2679">
          <cell r="A2679" t="str">
            <v>P.19.000.048040</v>
          </cell>
          <cell r="B2679" t="str">
            <v>Isolador suporte pedestal de epóxi e/ou porcelana com guia barra 25kV, completo - uso interno</v>
          </cell>
          <cell r="C2679" t="str">
            <v>UN</v>
          </cell>
          <cell r="D2679">
            <v>210.25</v>
          </cell>
        </row>
        <row r="2680">
          <cell r="A2680" t="str">
            <v>P.19.000.048071</v>
          </cell>
          <cell r="B2680" t="str">
            <v>Kit solda com cartucho para solda exotérmica n. 25 a 45</v>
          </cell>
          <cell r="C2680" t="str">
            <v>UN</v>
          </cell>
          <cell r="D2680">
            <v>8.7899999999999991</v>
          </cell>
        </row>
        <row r="2681">
          <cell r="A2681" t="str">
            <v>P.19.000.048072</v>
          </cell>
          <cell r="B2681" t="str">
            <v>Kit solda com cartucho para solda exotérmica nº 65 a 115</v>
          </cell>
          <cell r="C2681" t="str">
            <v>UN</v>
          </cell>
          <cell r="D2681">
            <v>18.5</v>
          </cell>
        </row>
        <row r="2682">
          <cell r="A2682" t="str">
            <v>P.19.000.048073</v>
          </cell>
          <cell r="B2682" t="str">
            <v>Kit solda com cartucho para solda exotérmica nº 150 a 250</v>
          </cell>
          <cell r="C2682" t="str">
            <v>UN</v>
          </cell>
          <cell r="D2682">
            <v>39.369999999999997</v>
          </cell>
        </row>
        <row r="2683">
          <cell r="A2683" t="str">
            <v>P.19.000.048074</v>
          </cell>
          <cell r="B2683" t="str">
            <v>Alicate para solda exotérmica; referência U-L160 da Unisolda ou equivalente</v>
          </cell>
          <cell r="C2683" t="str">
            <v>UN</v>
          </cell>
          <cell r="D2683">
            <v>135.69999999999999</v>
          </cell>
        </row>
        <row r="2684">
          <cell r="A2684" t="str">
            <v>P.19.000.048075</v>
          </cell>
          <cell r="B2684" t="str">
            <v>Alicate para solda exotérmica; referência U-S84 da Unisolda ou equivalente</v>
          </cell>
          <cell r="C2684" t="str">
            <v>UN</v>
          </cell>
          <cell r="D2684">
            <v>78.66</v>
          </cell>
        </row>
        <row r="2685">
          <cell r="A2685" t="str">
            <v>P.19.000.048080</v>
          </cell>
          <cell r="B2685" t="str">
            <v>Molde para solda exotérmica conexão cabo-cabo horizontal em X, bitola do cabo de 16-16mm² a 35-35mm²; referência UXA da Unisolda ou equivalente</v>
          </cell>
          <cell r="C2685" t="str">
            <v>UN</v>
          </cell>
          <cell r="D2685">
            <v>85.79</v>
          </cell>
        </row>
        <row r="2686">
          <cell r="A2686" t="str">
            <v>P.19.000.048081</v>
          </cell>
          <cell r="B2686" t="str">
            <v>Molde para solda exotérmica conexão cabo-cabo horizontal em X, bitola do cabo de 50-25mm² a 95-50mm²; referência UXA da Unisolda ou equivalente</v>
          </cell>
          <cell r="C2686" t="str">
            <v>UN</v>
          </cell>
          <cell r="D2686">
            <v>137.97</v>
          </cell>
        </row>
        <row r="2687">
          <cell r="A2687" t="str">
            <v>P.19.000.048084</v>
          </cell>
          <cell r="B2687" t="str">
            <v>Molde para solda exotérmica conexão cabo-cabo horizontal em X sobreposto, bitola do cabo de 35-35mm² a 50-35mm²; referência UXB da Unisolda ou equivalente</v>
          </cell>
          <cell r="C2687" t="str">
            <v>UN</v>
          </cell>
          <cell r="D2687">
            <v>159.52000000000001</v>
          </cell>
        </row>
        <row r="2688">
          <cell r="A2688" t="str">
            <v>P.19.000.048085</v>
          </cell>
          <cell r="B2688" t="str">
            <v>Molde para solda exotérmica conexão cabo-cabo horizontal em X sobreposto, bitola do cabo de 50-50mm² a 95-50mm²; referência UXB da Unisolda ou equivalente</v>
          </cell>
          <cell r="C2688" t="str">
            <v>UN</v>
          </cell>
          <cell r="D2688">
            <v>162.19999999999999</v>
          </cell>
        </row>
        <row r="2689">
          <cell r="A2689" t="str">
            <v>P.19.000.048087</v>
          </cell>
          <cell r="B2689" t="str">
            <v>Molde para solda exotérmica conexão cabo-cabo horizontal em T, bitola do cabo 16-16mm² a 50-35mm², 70-35mm² e 95-35mm², ref. UTA da Unisolda ou equivalente</v>
          </cell>
          <cell r="C2689" t="str">
            <v>UN</v>
          </cell>
          <cell r="D2689">
            <v>76.989999999999995</v>
          </cell>
        </row>
        <row r="2690">
          <cell r="A2690" t="str">
            <v>P.19.000.048088</v>
          </cell>
          <cell r="B2690" t="str">
            <v>Molde para solda exotérmica conexão cabo-cabo horizontal em T, bitola do cabo de 50-50mm² a 95-50mm²; referência UTA da Unisolda ou equivalente</v>
          </cell>
          <cell r="C2690" t="str">
            <v>UN</v>
          </cell>
          <cell r="D2690">
            <v>96.74</v>
          </cell>
        </row>
        <row r="2691">
          <cell r="A2691" t="str">
            <v>P.19.000.048089</v>
          </cell>
          <cell r="B2691" t="str">
            <v>Molde para solda exotérmica conexão cabo-cabo horizontal reto, bitola do cabo de 16mm² a 70mm²; referência USS da Unisolda ou equivalente</v>
          </cell>
          <cell r="C2691" t="str">
            <v>UN</v>
          </cell>
          <cell r="D2691">
            <v>86.3</v>
          </cell>
        </row>
        <row r="2692">
          <cell r="A2692" t="str">
            <v>P.19.000.048091</v>
          </cell>
          <cell r="B2692" t="str">
            <v>Molde para solda exotérmica conexão cabo-haste em X sobreposto, bitola do cabo de 35mm² a 50mm² para haste de 5/8 e 3/4; ref. UGXB da Unisolda ou equivalente</v>
          </cell>
          <cell r="C2692" t="str">
            <v>UN</v>
          </cell>
          <cell r="D2692">
            <v>197.97</v>
          </cell>
        </row>
        <row r="2693">
          <cell r="A2693" t="str">
            <v>P.19.000.048093</v>
          </cell>
          <cell r="B2693" t="str">
            <v>Molde para solda exotérmica conexão cabo-haste em T, bitola do cabo de 35mm² para haste de 5/8 e 3/4; referência UGTA da Unisolda ou equivalente</v>
          </cell>
          <cell r="C2693" t="str">
            <v>UN</v>
          </cell>
          <cell r="D2693">
            <v>198.78</v>
          </cell>
        </row>
        <row r="2694">
          <cell r="A2694" t="str">
            <v>P.19.000.048094</v>
          </cell>
          <cell r="B2694" t="str">
            <v>Molde para solda exotérmica conexão cabo-haste em T, bitola do cabo de 50mm² a 95mm² para haste de 5/8 e 3/4; referência UGTA da Unisolda ou equivalente</v>
          </cell>
          <cell r="C2694" t="str">
            <v>UN</v>
          </cell>
          <cell r="D2694">
            <v>201.23</v>
          </cell>
        </row>
        <row r="2695">
          <cell r="A2695" t="str">
            <v>P.19.000.048095</v>
          </cell>
          <cell r="B2695" t="str">
            <v>Molde para solda exotérmica conexão cabo-haste na lateral, bitola do cabo de 25mm² a 70mm² para haste de 5/8 e 3/4; referência UGY da Unisolda ou equivalente</v>
          </cell>
          <cell r="C2695" t="str">
            <v>UN</v>
          </cell>
          <cell r="D2695">
            <v>211.48</v>
          </cell>
        </row>
        <row r="2696">
          <cell r="A2696" t="str">
            <v>P.19.000.048096</v>
          </cell>
          <cell r="B2696" t="str">
            <v>Molde para solda exotérmica conexão cabo-haste no topo, bitola do cabo de 25mm² a 35mm² para haste de 5/8; referência UGT da Unisolda ou equivalente</v>
          </cell>
          <cell r="C2696" t="str">
            <v>UN</v>
          </cell>
          <cell r="D2696">
            <v>86.95</v>
          </cell>
        </row>
        <row r="2697">
          <cell r="A2697" t="str">
            <v>P.19.000.048097</v>
          </cell>
          <cell r="B2697" t="str">
            <v>Molde para solda exotérmica conexão cabo-haste no topo, bitola do cabo de 50mm² a 95mm² para haste de 5/8 e 3/4; referência UGT da Unisolda ou equivalente</v>
          </cell>
          <cell r="C2697" t="str">
            <v>UN</v>
          </cell>
          <cell r="D2697">
            <v>122.65</v>
          </cell>
        </row>
        <row r="2698">
          <cell r="A2698" t="str">
            <v>P.19.000.048098</v>
          </cell>
          <cell r="B2698" t="str">
            <v>Molde para solda exotérmica conexão cabo-ferro de construção com cabo paralelo, bitola do cabo 35mm² para haste 5/8 e 3/4; ref. URR da Unisolda ou equivalente</v>
          </cell>
          <cell r="C2698" t="str">
            <v>UN</v>
          </cell>
          <cell r="D2698">
            <v>108.8</v>
          </cell>
        </row>
        <row r="2699">
          <cell r="A2699" t="str">
            <v>P.19.000.048099</v>
          </cell>
          <cell r="B2699" t="str">
            <v>Molde para solda exotérmica conexão cabo-ferro construção com cabo paralelo, bitola cabo 50mm² a 70mm² para haste 5/8 e 3/4; ref. URR da Unisolda ou equivalente</v>
          </cell>
          <cell r="C2699" t="str">
            <v>UN</v>
          </cell>
          <cell r="D2699">
            <v>320.8</v>
          </cell>
        </row>
        <row r="2700">
          <cell r="A2700" t="str">
            <v>P.19.000.048100</v>
          </cell>
          <cell r="B2700" t="str">
            <v>Molde para solda exotérmica conexão cabo-ferro construção com cabo X sobreposto, bitola cabo de 35mm² a 70mm² para haste 5/8; ref. URC Unisolda ou equivalente</v>
          </cell>
          <cell r="C2700" t="str">
            <v>UN</v>
          </cell>
          <cell r="D2700">
            <v>167.51</v>
          </cell>
        </row>
        <row r="2701">
          <cell r="A2701" t="str">
            <v>P.19.000.048101</v>
          </cell>
          <cell r="B2701" t="str">
            <v>Molde para solda exotérmica conexão cabo-ferro construção com cabo X sobreposto, bitola cabo 35mm² a 70mm² para haste 3/8; ref. URC da Unisolda ou equivalente</v>
          </cell>
          <cell r="C2701" t="str">
            <v>UN</v>
          </cell>
          <cell r="D2701">
            <v>166.74</v>
          </cell>
        </row>
        <row r="2702">
          <cell r="A2702" t="str">
            <v>P.19.000.048102</v>
          </cell>
          <cell r="B2702" t="str">
            <v>Molde para solda exotérmica conexão cabo-terminal com duas fixações, bitola do cabo de 25mm² a 50mm² para terminal 3x25; ref. ULAB2 da Unisolda ou equivalente</v>
          </cell>
          <cell r="C2702" t="str">
            <v>UN</v>
          </cell>
          <cell r="D2702">
            <v>88</v>
          </cell>
        </row>
        <row r="2703">
          <cell r="A2703" t="str">
            <v>P.19.000.048103</v>
          </cell>
          <cell r="B2703" t="str">
            <v>Molde para solda exotérmica conexão cabo-superfície de aço, bitola do cabo de 16mm² a 35mm²; referência UHC da Unisolda ou equivalente</v>
          </cell>
          <cell r="C2703" t="str">
            <v>UN</v>
          </cell>
          <cell r="D2703">
            <v>98.21</v>
          </cell>
        </row>
        <row r="2704">
          <cell r="A2704" t="str">
            <v>P.19.000.048104</v>
          </cell>
          <cell r="B2704" t="str">
            <v>Molde para solda exotérmica conexão cabo-superfície de aço, bitola do cabo de 50mm² a 95mm²; referência UHC da Unisolda ou equivalente</v>
          </cell>
          <cell r="C2704" t="str">
            <v>UN</v>
          </cell>
          <cell r="D2704">
            <v>124.96</v>
          </cell>
        </row>
        <row r="2705">
          <cell r="A2705" t="str">
            <v>P.19.000.048105</v>
          </cell>
          <cell r="B2705" t="str">
            <v>Cruzeta de aço galvanizado a fogo, tipo 'U' de 2400mm, para fixação de muflas ou para-raios</v>
          </cell>
          <cell r="C2705" t="str">
            <v>UN</v>
          </cell>
          <cell r="D2705">
            <v>531.53</v>
          </cell>
        </row>
        <row r="2706">
          <cell r="A2706" t="str">
            <v>P.19.000.048530</v>
          </cell>
          <cell r="B2706" t="str">
            <v>Braçadeira circular de 290 mm, em aço carbono galvanizado a fogo para poste</v>
          </cell>
          <cell r="C2706" t="str">
            <v>UN</v>
          </cell>
          <cell r="D2706">
            <v>79.510000000000005</v>
          </cell>
        </row>
        <row r="2707">
          <cell r="A2707" t="str">
            <v>P.19.000.049505</v>
          </cell>
          <cell r="B2707" t="str">
            <v>Alca pré-formada dupla de distribuição CA-CAA 2,0 a 4,0</v>
          </cell>
          <cell r="C2707" t="str">
            <v>UN</v>
          </cell>
          <cell r="D2707">
            <v>28.17</v>
          </cell>
        </row>
        <row r="2708">
          <cell r="A2708" t="str">
            <v>P.19.000.049506</v>
          </cell>
          <cell r="B2708" t="str">
            <v>Captor terminal aéreo horizontal 3/8´ x 250mm, com 1 furo, galvanizado a fogo sem bandeirinha, ref. TEL 044 da Termotécnica ou equivalente</v>
          </cell>
          <cell r="C2708" t="str">
            <v>UN</v>
          </cell>
          <cell r="D2708">
            <v>9.27</v>
          </cell>
        </row>
        <row r="2709">
          <cell r="A2709" t="str">
            <v>P.19.000.049507</v>
          </cell>
          <cell r="B2709" t="str">
            <v>Isolador rígido de pino Hi-Top, para 15 kV</v>
          </cell>
          <cell r="C2709" t="str">
            <v>UN</v>
          </cell>
          <cell r="D2709">
            <v>46.91</v>
          </cell>
        </row>
        <row r="2710">
          <cell r="A2710" t="str">
            <v>P.19.000.049517</v>
          </cell>
          <cell r="B2710" t="str">
            <v>Olhal para parafuso M16 (5/8´)</v>
          </cell>
          <cell r="C2710" t="str">
            <v>UN</v>
          </cell>
          <cell r="D2710">
            <v>23.51</v>
          </cell>
        </row>
        <row r="2711">
          <cell r="A2711" t="str">
            <v>P.19.000.049533</v>
          </cell>
          <cell r="B2711" t="str">
            <v>Gancho suspensão com olhal</v>
          </cell>
          <cell r="C2711" t="str">
            <v>UN</v>
          </cell>
          <cell r="D2711">
            <v>20.59</v>
          </cell>
        </row>
        <row r="2712">
          <cell r="A2712" t="str">
            <v>P.19.000.049561</v>
          </cell>
          <cell r="B2712" t="str">
            <v>Alca pré-formada de distribuição estai para cabo de aço 4´ CA-CAA</v>
          </cell>
          <cell r="C2712" t="str">
            <v>UN</v>
          </cell>
          <cell r="D2712">
            <v>6.12</v>
          </cell>
        </row>
        <row r="2713">
          <cell r="A2713" t="str">
            <v>P.19.000.049562</v>
          </cell>
          <cell r="B2713" t="str">
            <v>Manilha sapatilha de ferro</v>
          </cell>
          <cell r="C2713" t="str">
            <v>UN</v>
          </cell>
          <cell r="D2713">
            <v>25.23</v>
          </cell>
        </row>
        <row r="2714">
          <cell r="A2714" t="str">
            <v>P.19.000.049567</v>
          </cell>
          <cell r="B2714" t="str">
            <v>Chapa para estai 8 x 76 x 60 x 70 mm 45°</v>
          </cell>
          <cell r="C2714" t="str">
            <v>UN</v>
          </cell>
          <cell r="D2714">
            <v>20.56</v>
          </cell>
        </row>
        <row r="2715">
          <cell r="A2715" t="str">
            <v>P.19.000.049568</v>
          </cell>
          <cell r="B2715" t="str">
            <v>Sapatilha para cabo de aço de 3/8´</v>
          </cell>
          <cell r="C2715" t="str">
            <v>UN</v>
          </cell>
          <cell r="D2715">
            <v>4.4800000000000004</v>
          </cell>
        </row>
        <row r="2716">
          <cell r="A2716" t="str">
            <v>P.19.000.049569</v>
          </cell>
          <cell r="B2716" t="str">
            <v>Alca pré-formada estai para cabo de aço 3/8´</v>
          </cell>
          <cell r="C2716" t="str">
            <v>UN</v>
          </cell>
          <cell r="D2716">
            <v>30.98</v>
          </cell>
        </row>
        <row r="2717">
          <cell r="A2717" t="str">
            <v>P.19.000.070864</v>
          </cell>
          <cell r="B2717" t="str">
            <v>Captor tipo terminal aéreo, h = 300 mm, em alumínio, ref. Tagal da Gelcam, PK 1989 da Paraklin ou equivalente</v>
          </cell>
          <cell r="C2717" t="str">
            <v>UN</v>
          </cell>
          <cell r="D2717">
            <v>4.22</v>
          </cell>
        </row>
        <row r="2718">
          <cell r="A2718" t="str">
            <v>P.19.000.090405</v>
          </cell>
          <cell r="B2718" t="str">
            <v>União angular para vergalhão, diâmetro de 3/8´</v>
          </cell>
          <cell r="C2718" t="str">
            <v>UN</v>
          </cell>
          <cell r="D2718">
            <v>48.66</v>
          </cell>
        </row>
        <row r="2719">
          <cell r="A2719" t="str">
            <v>P.19.000.090406</v>
          </cell>
          <cell r="B2719" t="str">
            <v>Prensa vergalhão ´T´ diâmetro 3/8´ (derivação)</v>
          </cell>
          <cell r="C2719" t="str">
            <v>UN</v>
          </cell>
          <cell r="D2719">
            <v>26.46</v>
          </cell>
        </row>
        <row r="2720">
          <cell r="A2720" t="str">
            <v>P.19.000.090409</v>
          </cell>
          <cell r="B2720" t="str">
            <v>Isolador suporte pedestal de epóxi e/ou porcelana com guia barra 15kV, completo - uso interno</v>
          </cell>
          <cell r="C2720" t="str">
            <v>UN</v>
          </cell>
          <cell r="D2720">
            <v>154.82</v>
          </cell>
        </row>
        <row r="2721">
          <cell r="A2721" t="str">
            <v>P.19.000.090544</v>
          </cell>
          <cell r="B2721" t="str">
            <v>Isolador em epoxi 1kV para barramento de 50mm</v>
          </cell>
          <cell r="C2721" t="str">
            <v>UN</v>
          </cell>
          <cell r="D2721">
            <v>28.45</v>
          </cell>
        </row>
        <row r="2722">
          <cell r="A2722" t="str">
            <v>P.19.000.091371</v>
          </cell>
          <cell r="B2722" t="str">
            <v>Haste de aterramento de 5/8"x3 m, em aço SAE1010/1020, trefilado e revestido de cobre eletrolítico; ref. PK0066 da Paraklin, TEL5830 da Termotécnica ou equivalente</v>
          </cell>
          <cell r="C2722" t="str">
            <v>UN</v>
          </cell>
          <cell r="D2722">
            <v>171.84</v>
          </cell>
        </row>
        <row r="2723">
          <cell r="A2723" t="str">
            <v>P.19.000.091389</v>
          </cell>
          <cell r="B2723" t="str">
            <v>Isolador roldana em porcelana de 72 x 72 mm</v>
          </cell>
          <cell r="C2723" t="str">
            <v>UN</v>
          </cell>
          <cell r="D2723">
            <v>5.98</v>
          </cell>
        </row>
        <row r="2724">
          <cell r="A2724" t="str">
            <v>P.19.000.091390</v>
          </cell>
          <cell r="B2724" t="str">
            <v>Suporte para isolador roldana tipo DM, padrão TELEBRÁS</v>
          </cell>
          <cell r="C2724" t="str">
            <v>UN</v>
          </cell>
          <cell r="D2724">
            <v>1.93</v>
          </cell>
        </row>
        <row r="2725">
          <cell r="A2725" t="str">
            <v>P.19.000.092009</v>
          </cell>
          <cell r="B2725" t="str">
            <v>Captor terminal aéreo h= 600mm, diâmetro de 3/8´ galvanizado a fogo; ref. PRT-152A/156A/160A/164A Paratec, PK-0034/0083/0097/0177 Paraklin, TEL-040/050/051/052 Termotécnica ou equivalente</v>
          </cell>
          <cell r="C2725" t="str">
            <v>UN</v>
          </cell>
          <cell r="D2725">
            <v>15.12</v>
          </cell>
        </row>
        <row r="2726">
          <cell r="A2726" t="str">
            <v>P.19.000.092010</v>
          </cell>
          <cell r="B2726" t="str">
            <v>Sinalizador obstáculo simples sem fotocélula PK-0149</v>
          </cell>
          <cell r="C2726" t="str">
            <v>UN</v>
          </cell>
          <cell r="D2726">
            <v>37.11</v>
          </cell>
        </row>
        <row r="2727">
          <cell r="A2727" t="str">
            <v>P.19.000.092011</v>
          </cell>
          <cell r="B2727" t="str">
            <v>Sinalizador obstáculo duplo sem fotocélula PK-0150</v>
          </cell>
          <cell r="C2727" t="str">
            <v>UN</v>
          </cell>
          <cell r="D2727">
            <v>87.22</v>
          </cell>
        </row>
        <row r="2728">
          <cell r="A2728" t="str">
            <v>P.19.000.092012</v>
          </cell>
          <cell r="B2728" t="str">
            <v>Sinalizador de obstáculo duplo com célula fotoelétrica, ref. PK-0107 da Paraklin ou equivalente</v>
          </cell>
          <cell r="C2728" t="str">
            <v>UN</v>
          </cell>
          <cell r="D2728">
            <v>146.66</v>
          </cell>
        </row>
        <row r="2729">
          <cell r="A2729" t="str">
            <v>P.19.000.092013</v>
          </cell>
          <cell r="B2729" t="str">
            <v>Sinalizador obstáculo simples com célula fotoelétrica; ref. PK 0106 da Paraklin ou equivalente</v>
          </cell>
          <cell r="C2729" t="str">
            <v>UN</v>
          </cell>
          <cell r="D2729">
            <v>64.150000000000006</v>
          </cell>
        </row>
        <row r="2730">
          <cell r="A2730" t="str">
            <v>P.19.000.092152</v>
          </cell>
          <cell r="B2730" t="str">
            <v>Para-raios de distribuição, classe 12 kV / 10 kA, encapsulado com polímero; ref. PBP-1210 Balestro ou equivalente</v>
          </cell>
          <cell r="C2730" t="str">
            <v>UN</v>
          </cell>
          <cell r="D2730">
            <v>217.19</v>
          </cell>
        </row>
        <row r="2731">
          <cell r="A2731" t="str">
            <v>P.19.000.092153</v>
          </cell>
          <cell r="B2731" t="str">
            <v>Para-raios de distribuição, classe 12 kV / 5 kA, encapsulado com polímero; ref. PBP-1205 Balestro ou equivalente</v>
          </cell>
          <cell r="C2731" t="str">
            <v>UN</v>
          </cell>
          <cell r="D2731">
            <v>246.51</v>
          </cell>
        </row>
        <row r="2732">
          <cell r="A2732" t="str">
            <v>P.19.000.092154</v>
          </cell>
          <cell r="B2732" t="str">
            <v>Para-raios de distribuição, classe 15 kV / 5 kA, encapsulado com polímero; ref. PBP-1505 Balestro ou equivalente</v>
          </cell>
          <cell r="C2732" t="str">
            <v>UN</v>
          </cell>
          <cell r="D2732">
            <v>252.64</v>
          </cell>
        </row>
        <row r="2733">
          <cell r="A2733" t="str">
            <v>P.19.000.092155</v>
          </cell>
          <cell r="B2733" t="str">
            <v>Para-raios de distribuição, classe 15 kV / 10 kA, encapsulado com polímero; ref. PBP-1510 Balestro ou equivalente</v>
          </cell>
          <cell r="C2733" t="str">
            <v>UN</v>
          </cell>
          <cell r="D2733">
            <v>217.23</v>
          </cell>
        </row>
        <row r="2734">
          <cell r="A2734" t="str">
            <v>P.19.000.092265</v>
          </cell>
          <cell r="B2734" t="str">
            <v>Sinalizador visual de advertência LED, bivolt, entrada/saída de garagem sequencial duplo, com base fixação, placa de sinalização; referência comercial: Giroled, Iluctron, TKN, Starlumen ou equivalente</v>
          </cell>
          <cell r="C2734" t="str">
            <v>CJ</v>
          </cell>
          <cell r="D2734">
            <v>277.74</v>
          </cell>
        </row>
        <row r="2735">
          <cell r="A2735" t="str">
            <v>P.19.000.092266</v>
          </cell>
          <cell r="B2735" t="str">
            <v>Sinalizador audiovisual de advertência LED, bivolt, entrada/saída de garagem sequencial duplo, com base fixação, placa de sinalização; referência comercial: Giroled, Iluctron, TKN, Starlumen ou equivalente</v>
          </cell>
          <cell r="C2735" t="str">
            <v>CJ</v>
          </cell>
          <cell r="D2735">
            <v>270.39999999999998</v>
          </cell>
        </row>
        <row r="2736">
          <cell r="A2736" t="str">
            <v>P.21.000.040002</v>
          </cell>
          <cell r="B2736" t="str">
            <v>Poste concreto armado circular, H= 11m p/400kgf</v>
          </cell>
          <cell r="C2736" t="str">
            <v>UN</v>
          </cell>
          <cell r="D2736">
            <v>1916.21</v>
          </cell>
        </row>
        <row r="2737">
          <cell r="A2737" t="str">
            <v>P.21.000.040003</v>
          </cell>
          <cell r="B2737" t="str">
            <v>Poste concreto armado circular, H= 11m p/600kgf</v>
          </cell>
          <cell r="C2737" t="str">
            <v>UN</v>
          </cell>
          <cell r="D2737">
            <v>2347.8000000000002</v>
          </cell>
        </row>
        <row r="2738">
          <cell r="A2738" t="str">
            <v>P.21.000.040004</v>
          </cell>
          <cell r="B2738" t="str">
            <v>Poste concreto armado circular, H= 10m p/400kgf</v>
          </cell>
          <cell r="C2738" t="str">
            <v>UN</v>
          </cell>
          <cell r="D2738">
            <v>1656.86</v>
          </cell>
        </row>
        <row r="2739">
          <cell r="A2739" t="str">
            <v>P.21.000.040005</v>
          </cell>
          <cell r="B2739" t="str">
            <v>Poste concreto armado circular, H= 12m p/200kgf</v>
          </cell>
          <cell r="C2739" t="str">
            <v>UN</v>
          </cell>
          <cell r="D2739">
            <v>1712.62</v>
          </cell>
        </row>
        <row r="2740">
          <cell r="A2740" t="str">
            <v>P.21.000.040006</v>
          </cell>
          <cell r="B2740" t="str">
            <v>Poste concreto armado circular, H= 9m p/200kgf</v>
          </cell>
          <cell r="C2740" t="str">
            <v>UN</v>
          </cell>
          <cell r="D2740">
            <v>1007.24</v>
          </cell>
        </row>
        <row r="2741">
          <cell r="A2741" t="str">
            <v>P.21.000.040010</v>
          </cell>
          <cell r="B2741" t="str">
            <v>Poste concreto armado circular, H= 12m p/400kgf</v>
          </cell>
          <cell r="C2741" t="str">
            <v>UN</v>
          </cell>
          <cell r="D2741">
            <v>2235.42</v>
          </cell>
        </row>
        <row r="2742">
          <cell r="A2742" t="str">
            <v>P.21.000.040011</v>
          </cell>
          <cell r="B2742" t="str">
            <v>Poste concreto armado circular, H= 12m p/600kgf</v>
          </cell>
          <cell r="C2742" t="str">
            <v>UN</v>
          </cell>
          <cell r="D2742">
            <v>2695.27</v>
          </cell>
        </row>
        <row r="2743">
          <cell r="A2743" t="str">
            <v>P.21.000.040012</v>
          </cell>
          <cell r="B2743" t="str">
            <v>Poste concreto armado circular, H= 12m p/1000kgf</v>
          </cell>
          <cell r="C2743" t="str">
            <v>UN</v>
          </cell>
          <cell r="D2743">
            <v>4444.1899999999996</v>
          </cell>
        </row>
        <row r="2744">
          <cell r="A2744" t="str">
            <v>P.21.000.042347</v>
          </cell>
          <cell r="B2744" t="str">
            <v>Poste concreto armado circular, H= 7,00m p/200kgf</v>
          </cell>
          <cell r="C2744" t="str">
            <v>UN</v>
          </cell>
          <cell r="D2744">
            <v>769.34</v>
          </cell>
        </row>
        <row r="2745">
          <cell r="A2745" t="str">
            <v>P.21.000.042349</v>
          </cell>
          <cell r="B2745" t="str">
            <v>Poste concreto armado circular, H= 10m p/200kgf</v>
          </cell>
          <cell r="C2745" t="str">
            <v>UN</v>
          </cell>
          <cell r="D2745">
            <v>1324.57</v>
          </cell>
        </row>
        <row r="2746">
          <cell r="A2746" t="str">
            <v>P.23.000.042218</v>
          </cell>
          <cell r="B2746" t="str">
            <v>Barra de neutro com parafuso isolantes (capacidade de 4 a 12 fios)</v>
          </cell>
          <cell r="C2746" t="str">
            <v>UN</v>
          </cell>
          <cell r="D2746">
            <v>30.16</v>
          </cell>
        </row>
        <row r="2747">
          <cell r="A2747" t="str">
            <v>P.23.000.043131</v>
          </cell>
          <cell r="B2747" t="str">
            <v>Cabo de cobre flexível de 2x1,5mm², encordoamento com isolação termoplástico PVC/E 105°C, classe 4, tensão de isolamento 600V, para sistema de detecção incêndio</v>
          </cell>
          <cell r="C2747" t="str">
            <v>M</v>
          </cell>
          <cell r="D2747">
            <v>5.4</v>
          </cell>
        </row>
        <row r="2748">
          <cell r="A2748" t="str">
            <v>P.23.000.043132</v>
          </cell>
          <cell r="B2748" t="str">
            <v>Cabo de cobre flexível de 3x1,5mm², encordoamento com isolação termoplástico PVC/E 105°C, classe 4, tensão de isolamento 600V, para sistema de detecção incêndio</v>
          </cell>
          <cell r="C2748" t="str">
            <v>M</v>
          </cell>
          <cell r="D2748">
            <v>7.51</v>
          </cell>
        </row>
        <row r="2749">
          <cell r="A2749" t="str">
            <v>P.23.000.043133</v>
          </cell>
          <cell r="B2749" t="str">
            <v>Cabo de cobre flexível de 2x2,5mm², encordoamento com isolação termoplástico PVC/E 105°C, classe 4, tensão de isolamento 600V, para sistema de detecção incêndio</v>
          </cell>
          <cell r="C2749" t="str">
            <v>M</v>
          </cell>
          <cell r="D2749">
            <v>7.81</v>
          </cell>
        </row>
        <row r="2750">
          <cell r="A2750" t="str">
            <v>P.23.000.043252</v>
          </cell>
          <cell r="B2750" t="str">
            <v>Sistema de barramento blindado de 100 a 2000 A, trifásico, barra de cobre, composto por: calha condutora trifásica com neutro 100%, igual ou superior a 630 V (Ui), para uso interno; ref. Beghin, Helzin ou equivalente</v>
          </cell>
          <cell r="C2750" t="str">
            <v>Axm</v>
          </cell>
          <cell r="D2750">
            <v>600.66</v>
          </cell>
        </row>
        <row r="2751">
          <cell r="A2751" t="str">
            <v>P.23.000.043661</v>
          </cell>
          <cell r="B2751" t="str">
            <v>Barra de contato para chave seccionadora tipo NH3-600A</v>
          </cell>
          <cell r="C2751" t="str">
            <v>UN</v>
          </cell>
          <cell r="D2751">
            <v>86.99</v>
          </cell>
        </row>
        <row r="2752">
          <cell r="A2752" t="str">
            <v>P.23.000.049627</v>
          </cell>
          <cell r="B2752" t="str">
            <v>Barramento de cobre nu (qualquer bitola)</v>
          </cell>
          <cell r="C2752" t="str">
            <v>KG</v>
          </cell>
          <cell r="D2752">
            <v>122.88</v>
          </cell>
        </row>
        <row r="2753">
          <cell r="A2753" t="str">
            <v>P.24.000.045045</v>
          </cell>
          <cell r="B2753" t="str">
            <v>Condulete em PVC para 5 e/ou 6 entradas de 1´, ref. linha Top da Tigre, Daisa ou equivalente</v>
          </cell>
          <cell r="C2753" t="str">
            <v>UN</v>
          </cell>
          <cell r="D2753">
            <v>12.15</v>
          </cell>
        </row>
        <row r="2754">
          <cell r="A2754" t="str">
            <v>P.24.000.045047</v>
          </cell>
          <cell r="B2754" t="str">
            <v>Tampa tomada redonda para condulete em PVC de 1´, ref. linha Top da Tigre, Daisa ou equivalente</v>
          </cell>
          <cell r="C2754" t="str">
            <v>UN</v>
          </cell>
          <cell r="D2754">
            <v>6.57</v>
          </cell>
        </row>
        <row r="2755">
          <cell r="A2755" t="str">
            <v>P.25.000.024009</v>
          </cell>
          <cell r="B2755" t="str">
            <v>Fita anticorrosiva 50mm; ref. 50 Scotchrap, Torofita ou equivalente - (rolo de 30m)</v>
          </cell>
          <cell r="C2755" t="str">
            <v>M</v>
          </cell>
          <cell r="D2755">
            <v>6.28</v>
          </cell>
        </row>
        <row r="2756">
          <cell r="A2756" t="str">
            <v>P.25.000.024010</v>
          </cell>
          <cell r="B2756" t="str">
            <v>Fita anticorrosiva 100mm; ref. 50 Scotchrap, Torofita ou equivalente - (rolo de 30m)</v>
          </cell>
          <cell r="C2756" t="str">
            <v>M</v>
          </cell>
          <cell r="D2756">
            <v>12.23</v>
          </cell>
        </row>
        <row r="2757">
          <cell r="A2757" t="str">
            <v>P.25.000.025010</v>
          </cell>
          <cell r="B2757" t="str">
            <v>Acoplador a relé 24 VCC/VAC - 1 contato reversível</v>
          </cell>
          <cell r="C2757" t="str">
            <v>UN</v>
          </cell>
          <cell r="D2757">
            <v>118.05</v>
          </cell>
        </row>
        <row r="2758">
          <cell r="A2758" t="str">
            <v>P.25.000.042591</v>
          </cell>
          <cell r="B2758" t="str">
            <v>Caixa de emenda ventilada em polipropileno, para até 200 pares; ref. CEANS SS da Corning ou equivalente</v>
          </cell>
          <cell r="C2758" t="str">
            <v>UN</v>
          </cell>
          <cell r="D2758">
            <v>87.14</v>
          </cell>
        </row>
        <row r="2759">
          <cell r="A2759" t="str">
            <v>P.25.000.091386</v>
          </cell>
          <cell r="B2759" t="str">
            <v>Arame de espinar em aço inoxidável, nu (1,14 mm), para TV a cabo</v>
          </cell>
          <cell r="C2759" t="str">
            <v>M</v>
          </cell>
          <cell r="D2759">
            <v>0.34</v>
          </cell>
        </row>
        <row r="2760">
          <cell r="A2760" t="str">
            <v>P.25.000.091392</v>
          </cell>
          <cell r="B2760" t="str">
            <v>Fita em aço inoxidável para poste tubular; comprimento de 0,50 m, largura de 19 mm</v>
          </cell>
          <cell r="C2760" t="str">
            <v>M</v>
          </cell>
          <cell r="D2760">
            <v>3.16</v>
          </cell>
        </row>
        <row r="2761">
          <cell r="A2761" t="str">
            <v>P.25.000.091393</v>
          </cell>
          <cell r="B2761" t="str">
            <v>Fecho em aço inoxidável para fita de 19 mm</v>
          </cell>
          <cell r="C2761" t="str">
            <v>UN</v>
          </cell>
          <cell r="D2761">
            <v>0.84</v>
          </cell>
        </row>
        <row r="2762">
          <cell r="A2762" t="str">
            <v>P.26.000.042408</v>
          </cell>
          <cell r="B2762" t="str">
            <v>Bloco terminal conector (12 polos) até 65A/600V, faixa de aplicação até 16mm²; ref. BPS-12PA da Building, B100W-B100GE da Eletrokit ou equivalente</v>
          </cell>
          <cell r="C2762" t="str">
            <v>UN</v>
          </cell>
          <cell r="D2762">
            <v>35.81</v>
          </cell>
        </row>
        <row r="2763">
          <cell r="A2763" t="str">
            <v>P.26.000.044005</v>
          </cell>
          <cell r="B2763" t="str">
            <v>Disjuntor em caixa aberta trifásico E1.2B 800A, 600V de 800A, 3 polos, relé Ekip DIP LI, 50/60Hz, capacidade ruptura 42kA; ref. 1SDA070741R1BR da ABB ou equivalente</v>
          </cell>
          <cell r="C2763" t="str">
            <v>UN</v>
          </cell>
          <cell r="D2763">
            <v>26893.599999999999</v>
          </cell>
        </row>
        <row r="2764">
          <cell r="A2764" t="str">
            <v>P.26.000.044006</v>
          </cell>
          <cell r="B2764" t="str">
            <v>Disjuntor fixo PVO trifásico 17,5kV, acionamento manual, de 630A x 350 MVA, 50/60 Hz e acessórios, ref. PL15kV da Beghim ou equivalente</v>
          </cell>
          <cell r="C2764" t="str">
            <v>UN</v>
          </cell>
          <cell r="D2764">
            <v>28095.62</v>
          </cell>
        </row>
        <row r="2765">
          <cell r="A2765" t="str">
            <v>P.26.000.044007</v>
          </cell>
          <cell r="B2765" t="str">
            <v>Disjuntor em caixa moldada, termomagnético, tripolar, 1250A, Vn= 690V, 50/60Hz, faixa de ajuste de 800 até 1250A, ref. DWA1600S-1250-3 da Weg ou equivalente</v>
          </cell>
          <cell r="C2765" t="str">
            <v>UN</v>
          </cell>
          <cell r="D2765">
            <v>15653.21</v>
          </cell>
        </row>
        <row r="2766">
          <cell r="A2766" t="str">
            <v>P.26.000.044008</v>
          </cell>
          <cell r="B2766" t="str">
            <v>Disjuntor em caixa moldada, termomagnético tripolar. 1600A,Vn= 690V, 50/60Hz, faixa de ajuste de 1000 até 1600A; ref. DWA1600S-1600-3 da Weg ou equivalente</v>
          </cell>
          <cell r="C2766" t="str">
            <v>UN</v>
          </cell>
          <cell r="D2766">
            <v>21619.73</v>
          </cell>
        </row>
        <row r="2767">
          <cell r="A2767" t="str">
            <v>P.26.000.044025</v>
          </cell>
          <cell r="B2767" t="str">
            <v>Disjuntor fixo PVO 15kV, 630x350MVA, com carrinho, bobinas, chave contato 3NA+3NF, relé PX17104, relé capacitivo, relé supervisor e TC´s</v>
          </cell>
          <cell r="C2767" t="str">
            <v>CJ</v>
          </cell>
          <cell r="D2767">
            <v>44433.71</v>
          </cell>
        </row>
        <row r="2768">
          <cell r="A2768" t="str">
            <v>P.26.000.044029</v>
          </cell>
          <cell r="B2768" t="str">
            <v>Disjuntor fixo a vácuo tripolar de 15 a 17,5kV, equipado com motorização de fechamento, corrente nominal 630A, com rele de proteção URP 7104 T da Pextron ou equivalente</v>
          </cell>
          <cell r="C2768" t="str">
            <v>UN</v>
          </cell>
          <cell r="D2768">
            <v>56830.06</v>
          </cell>
        </row>
        <row r="2769">
          <cell r="A2769" t="str">
            <v>P.26.000.044032</v>
          </cell>
          <cell r="B2769" t="str">
            <v>Dispositivo e/ou interruptor diferencial residual de 125 A x 30 mA - 4 polos - 380 V, ref. fabricação Siemens, Schneider ou equivalente</v>
          </cell>
          <cell r="C2769" t="str">
            <v>UN</v>
          </cell>
          <cell r="D2769">
            <v>1924.2</v>
          </cell>
        </row>
        <row r="2770">
          <cell r="A2770" t="str">
            <v>P.26.000.044036</v>
          </cell>
          <cell r="B2770" t="str">
            <v>Disjuntor em caixa aberta, termomagnético tripolar, 3 polos, E2.2N 2000A, rele Ekip DIP LI, 380Vca, 50/60 Hz, faixa de ajuste de 1600 até 2000 A; ref. 1SDA072384R1BR da ABB ou equivalente</v>
          </cell>
          <cell r="C2770" t="str">
            <v>UN</v>
          </cell>
          <cell r="D2770">
            <v>33617.440000000002</v>
          </cell>
        </row>
        <row r="2771">
          <cell r="A2771" t="str">
            <v>P.26.000.044037</v>
          </cell>
          <cell r="B2771" t="str">
            <v>Disjuntor em caixa aberta, termomagnético tripolar, 3 polos, E2.2N 2000A, relé Ekip Touch LI, Vn= 1200 V, 50/60 Hz, faixa de ajuste de 2000 até 2500 A; ref. ISDA071064R1BR da ABB ou equivalente</v>
          </cell>
          <cell r="C2771" t="str">
            <v>UN</v>
          </cell>
          <cell r="D2771">
            <v>59244.18</v>
          </cell>
        </row>
        <row r="2772">
          <cell r="A2772" t="str">
            <v>P.26.000.044039</v>
          </cell>
          <cell r="B2772" t="str">
            <v>Disjuntor em caixa aberta tripolar extraível, 500V de 3200A, ref. ABW32 da Weg ou equivalente</v>
          </cell>
          <cell r="C2772" t="str">
            <v>UN</v>
          </cell>
          <cell r="D2772">
            <v>81160.34</v>
          </cell>
        </row>
        <row r="2773">
          <cell r="A2773" t="str">
            <v>P.26.000.044041</v>
          </cell>
          <cell r="B2773" t="str">
            <v>Disjuntor em caixa aberta tripolar extraível, 500V de 4000A, ref. ABW40 da Weg ou equivalente</v>
          </cell>
          <cell r="C2773" t="str">
            <v>UN</v>
          </cell>
          <cell r="D2773">
            <v>139867.44</v>
          </cell>
        </row>
        <row r="2774">
          <cell r="A2774" t="str">
            <v>P.26.000.044045</v>
          </cell>
          <cell r="B2774" t="str">
            <v>Disjuntor caixa aberta tripolar extraível, acionamento motorizado 220/240V, bloco contato 4NF+4NA, 500V de 6300A, ref. 3WL Siemens, EMAX da ABB, Masterpact NW Schneider ou equivalente</v>
          </cell>
          <cell r="C2774" t="str">
            <v>UN</v>
          </cell>
          <cell r="D2774">
            <v>365179.25</v>
          </cell>
        </row>
        <row r="2775">
          <cell r="A2775" t="str">
            <v>P.26.000.044055</v>
          </cell>
          <cell r="B2775" t="str">
            <v>Disjuntor em caixa moldada tripolar de 500V, de 10A até 63A, em conformidade com a NBR 60947-2, capacidade de ruptura de até 25kA; ref. 3VM11633EE320AA0 da Siemens, Steck ou equivalente</v>
          </cell>
          <cell r="C2775" t="str">
            <v>UN</v>
          </cell>
          <cell r="D2775">
            <v>567.71</v>
          </cell>
        </row>
        <row r="2776">
          <cell r="A2776" t="str">
            <v>P.26.000.044056</v>
          </cell>
          <cell r="B2776" t="str">
            <v>Disjuntor em caixa moldada tripolar de 480 V, de 70A até 150A; ref. Det 134070/134080/134090/1340100/134125 e 134150 da GE ou equivalente</v>
          </cell>
          <cell r="C2776" t="str">
            <v>UN</v>
          </cell>
          <cell r="D2776">
            <v>454.95</v>
          </cell>
        </row>
        <row r="2777">
          <cell r="A2777" t="str">
            <v>P.26.000.044057</v>
          </cell>
          <cell r="B2777" t="str">
            <v>Disjuntor em caixa moldada tripolar termomagnético fixo de 415 V, de 175 A até 250 A, ref. THQD 34175/34200/34225 e 34250 da GE ou equivalente</v>
          </cell>
          <cell r="C2777" t="str">
            <v>UN</v>
          </cell>
          <cell r="D2777">
            <v>422.74</v>
          </cell>
        </row>
        <row r="2778">
          <cell r="A2778" t="str">
            <v>P.26.000.044065</v>
          </cell>
          <cell r="B2778" t="str">
            <v>Disjuntor em caixa moldada bipolar, A1N 125 TMF 050 2P FF, 2 polos, instalação fixo, 10A até 50A - 480Vca, com rele térmico e magnético fixo TMF; ref. 1SDA066501R1 da ABB ou equivalente</v>
          </cell>
          <cell r="C2778" t="str">
            <v>UN</v>
          </cell>
          <cell r="D2778">
            <v>381.55</v>
          </cell>
        </row>
        <row r="2779">
          <cell r="A2779" t="str">
            <v>P.26.000.044066</v>
          </cell>
          <cell r="B2779" t="str">
            <v>Disjuntor em caixa moldada bipolar A2N 250 TMF 150 2P FF, 2 polos, instalação fixo, rele termomagnético fixo TMF, 150A - 600Vca; referência 1SDA068778R1 da ABB ou equivalente</v>
          </cell>
          <cell r="C2779" t="str">
            <v>UN</v>
          </cell>
          <cell r="D2779">
            <v>865.97</v>
          </cell>
        </row>
        <row r="2780">
          <cell r="A2780" t="str">
            <v>P.26.000.044602</v>
          </cell>
          <cell r="B2780" t="str">
            <v>Dispositivo diferencial residual de 25 A x 30 mA, 2 polos, ref. 5SM1 312-0 MB da Siemens ou equivalente</v>
          </cell>
          <cell r="C2780" t="str">
            <v>UN</v>
          </cell>
          <cell r="D2780">
            <v>138.84</v>
          </cell>
        </row>
        <row r="2781">
          <cell r="A2781" t="str">
            <v>P.26.000.044603</v>
          </cell>
          <cell r="B2781" t="str">
            <v>Dispositivo diferencial residual de 40 A x 30 mA, 2 polos, ref. 5SM1 314-0 MB Siemens ou equivalente</v>
          </cell>
          <cell r="C2781" t="str">
            <v>UN</v>
          </cell>
          <cell r="D2781">
            <v>225.93</v>
          </cell>
        </row>
        <row r="2782">
          <cell r="A2782" t="str">
            <v>P.26.000.044605</v>
          </cell>
          <cell r="B2782" t="str">
            <v>Dispositivo diferencial residual de 80 A x 30 mA, 4 polos, ref. PBA 480/030 da GE, 5SV5-347-0 da Siemens ou equivalente</v>
          </cell>
          <cell r="C2782" t="str">
            <v>UN</v>
          </cell>
          <cell r="D2782">
            <v>454.06</v>
          </cell>
        </row>
        <row r="2783">
          <cell r="A2783" t="str">
            <v>P.26.000.044606</v>
          </cell>
          <cell r="B2783" t="str">
            <v>Dispositivo diferencial residual de 100 A x 30 mA, 4 polos, ref. BPC 4100/030 da GE, 30-100-4 da Weg, SDR-049031 da Steck ou equivalente</v>
          </cell>
          <cell r="C2783" t="str">
            <v>UN</v>
          </cell>
          <cell r="D2783">
            <v>325.5</v>
          </cell>
        </row>
        <row r="2784">
          <cell r="A2784" t="str">
            <v>P.26.000.044611</v>
          </cell>
          <cell r="B2784" t="str">
            <v>Dispositivo referencial residual de 25A x 30mA - 4 polos; ref. WRx12530mA da Cutler Hammer, 5SV5 342-0MB da Siemens, SDR 425-30 da Steck ou equivalente</v>
          </cell>
          <cell r="C2784" t="str">
            <v>UN</v>
          </cell>
          <cell r="D2784">
            <v>289.72000000000003</v>
          </cell>
        </row>
        <row r="2785">
          <cell r="A2785" t="str">
            <v>P.26.000.044612</v>
          </cell>
          <cell r="B2785" t="str">
            <v>Disjuntor termomagnético tripolar, 630 A, Vn= 690, 50/60 Hz, In= 440 até 630 A, ref. DWA800H-630-3 da Weg ou equivalente</v>
          </cell>
          <cell r="C2785" t="str">
            <v>UN</v>
          </cell>
          <cell r="D2785">
            <v>9447.9699999999993</v>
          </cell>
        </row>
        <row r="2786">
          <cell r="A2786" t="str">
            <v>P.26.000.044613</v>
          </cell>
          <cell r="B2786" t="str">
            <v>Disjuntor termomagnético unipolar 127/220V, corrente 10 até 30A, conforme selo de conformidade do INMETRO; ref. DQE 1030 da Eletromar, ASM1 da Soprano, Fame, Cuttler Hammer ABB ou equivalente</v>
          </cell>
          <cell r="C2786" t="str">
            <v>UN</v>
          </cell>
          <cell r="D2786">
            <v>11.56</v>
          </cell>
        </row>
        <row r="2787">
          <cell r="A2787" t="str">
            <v>P.26.000.044614</v>
          </cell>
          <cell r="B2787" t="str">
            <v>Disjuntor termomagnético, unipolar 127/220V, corrente de 35 até 50A, conforme selo de conformidade do INMETRO da Pial Legrand, Eletromar / Cuttler Hammer, Soprano, Lorenzetti, ABB ou equivalente</v>
          </cell>
          <cell r="C2787" t="str">
            <v>UN</v>
          </cell>
          <cell r="D2787">
            <v>41.37</v>
          </cell>
        </row>
        <row r="2788">
          <cell r="A2788" t="str">
            <v>P.26.000.044616</v>
          </cell>
          <cell r="B2788" t="str">
            <v>Disjuntor termomagnético, bipolar 220/380V, corrente de 10 até 50A, conforme selo de conformidade do INMETRO da Pial Legrand, Eletromar / Cuttler Hammer, Soprano, Lorenzetti, ABB ou equivalente</v>
          </cell>
          <cell r="C2788" t="str">
            <v>UN</v>
          </cell>
          <cell r="D2788">
            <v>135.37</v>
          </cell>
        </row>
        <row r="2789">
          <cell r="A2789" t="str">
            <v>P.26.000.044617</v>
          </cell>
          <cell r="B2789" t="str">
            <v>Disjuntor termomagnético, bipolar 220/380V, corrente de 60 até 100A, conforme selo de conformidade do INMETRO para os modelos de 60 A da Pial Legrand, Eletromar / Cuttler Hammer, Soprano, Lorenzetti, ABB ou equivalente</v>
          </cell>
          <cell r="C2789" t="str">
            <v>UN</v>
          </cell>
          <cell r="D2789">
            <v>178.38</v>
          </cell>
        </row>
        <row r="2790">
          <cell r="A2790" t="str">
            <v>P.26.000.044618</v>
          </cell>
          <cell r="B2790" t="str">
            <v>Disjuntor termomagnético, tripolar 220/380V, corrente de 10 até 50A, conforme selo de conformidade do INMETRO da Pial Legrand, Eletromar / Cuttler Hammer, Soprano, Lorenzetti, ABB ou equivalente</v>
          </cell>
          <cell r="C2790" t="str">
            <v>UN</v>
          </cell>
          <cell r="D2790">
            <v>122.94</v>
          </cell>
        </row>
        <row r="2791">
          <cell r="A2791" t="str">
            <v>P.26.000.044619</v>
          </cell>
          <cell r="B2791" t="str">
            <v>Disjuntor termomagnético, tripolar 220/380V, corrente de 60 até 100A, conforme selo de conformidade do INMETRO para os modelos de 60 A da Pial Legrand, Eletromar / Cuttler Hammer, Soprano, Lorenzetti, ABB ou equivalente</v>
          </cell>
          <cell r="C2791" t="str">
            <v>UN</v>
          </cell>
          <cell r="D2791">
            <v>215.76</v>
          </cell>
        </row>
        <row r="2792">
          <cell r="A2792" t="str">
            <v>P.26.000.044624</v>
          </cell>
          <cell r="B2792" t="str">
            <v>Disjuntor série universal em caixa moldada, térmico e magnético fixos, bipolar 415VCA, capacidade 10kA até 25kA, corrente 60A até 100A, tensão máxima 415VCA; ref. 3VM11103ED220AA0 da Siemens, A1N125TMF102P da ABB ou equivalente</v>
          </cell>
          <cell r="C2792" t="str">
            <v>UN</v>
          </cell>
          <cell r="D2792">
            <v>473.13</v>
          </cell>
        </row>
        <row r="2793">
          <cell r="A2793" t="str">
            <v>P.26.000.044625</v>
          </cell>
          <cell r="B2793" t="str">
            <v>Disjuntor série universal em caixa moldada, térmico e magnético fixos, bipolar 415VCA, capacidade 25kA, corrente 60A até 125A, tensão máxima 380VCA ou 600VCA; ref. 125A25KALV516302 da Schneider, A1B125TMF1253PFF da ABB ou equivalente</v>
          </cell>
          <cell r="C2793" t="str">
            <v>UN</v>
          </cell>
          <cell r="D2793">
            <v>803.16</v>
          </cell>
        </row>
        <row r="2794">
          <cell r="A2794" t="str">
            <v>P.26.000.044627</v>
          </cell>
          <cell r="B2794" t="str">
            <v>Disjuntor série universal em caixa moldada, térmico fixo e magnético ajustável, tripolar 600VCA, capacidade 10kA até 42kA, corrente 300A até 400A, tensão máxima 600VCA; ref. DGW400NT tripolar da WEG, 300A AGW400N tripolar da WEG ou equivalente</v>
          </cell>
          <cell r="C2794" t="str">
            <v>UN</v>
          </cell>
          <cell r="D2794">
            <v>1864.12</v>
          </cell>
        </row>
        <row r="2795">
          <cell r="A2795" t="str">
            <v>P.26.000.044628</v>
          </cell>
          <cell r="B2795" t="str">
            <v>Disjuntor série universal em caixa moldada, térmico fixo e magnético ajustável, tripolar 600VCA, capacidade 10kA até 42kA, corrente 500A até 630A, tensão 600VCA; ref. NXM-630S/3300 500A tripolar da Chint, 630a3p35kaDWp6301-3 da WEG ou equivalente</v>
          </cell>
          <cell r="C2795" t="str">
            <v>UN</v>
          </cell>
          <cell r="D2795">
            <v>1284.1199999999999</v>
          </cell>
        </row>
        <row r="2796">
          <cell r="A2796" t="str">
            <v>P.26.000.044629</v>
          </cell>
          <cell r="B2796" t="str">
            <v>Disjuntor série universal em caixa moldada, térmico fixo e magnético ajustável, tripolar 600VCA, capacidade 10kA até 42kA, corrente 700A, tensão 600VCA; ref. DL800-X-700A-3P ou DL800 700A 690VCA3P da Soprano, DWP800L-800-3 da WEG ou equivalente</v>
          </cell>
          <cell r="C2796" t="str">
            <v>UN</v>
          </cell>
          <cell r="D2796">
            <v>3617.1</v>
          </cell>
        </row>
        <row r="2797">
          <cell r="A2797" t="str">
            <v>P.26.000.044631</v>
          </cell>
          <cell r="B2797" t="str">
            <v>Mini-disjuntor termomagnético, bipolar 220/380V, corrente de 10 até 32A</v>
          </cell>
          <cell r="C2797" t="str">
            <v>UN</v>
          </cell>
          <cell r="D2797">
            <v>42.92</v>
          </cell>
        </row>
        <row r="2798">
          <cell r="A2798" t="str">
            <v>P.26.000.044632</v>
          </cell>
          <cell r="B2798" t="str">
            <v>Mini-disjuntor termomagnético, bipolar 220/380V, corrente de 40 até 50A</v>
          </cell>
          <cell r="C2798" t="str">
            <v>UN</v>
          </cell>
          <cell r="D2798">
            <v>43.37</v>
          </cell>
        </row>
        <row r="2799">
          <cell r="A2799" t="str">
            <v>P.26.000.044633</v>
          </cell>
          <cell r="B2799" t="str">
            <v>Mini-disjuntor termomagnético, bipolar 220/380V, corrente de 63A</v>
          </cell>
          <cell r="C2799" t="str">
            <v>UN</v>
          </cell>
          <cell r="D2799">
            <v>53.25</v>
          </cell>
        </row>
        <row r="2800">
          <cell r="A2800" t="str">
            <v>P.26.000.044634</v>
          </cell>
          <cell r="B2800" t="str">
            <v>Mini-disjuntor termomagnético, bipolar 400V, corrente de 80A até 100A; ref. 5SP4 191-7 Siemens, SDD-2C100 Steck, 9350 Alumbra ou equivalente</v>
          </cell>
          <cell r="C2800" t="str">
            <v>UN</v>
          </cell>
          <cell r="D2800">
            <v>136.93</v>
          </cell>
        </row>
        <row r="2801">
          <cell r="A2801" t="str">
            <v>P.26.000.044635</v>
          </cell>
          <cell r="B2801" t="str">
            <v>Mini-disjuntor termomagnético, tripolar 220/380V, corrente de 10 até 32A</v>
          </cell>
          <cell r="C2801" t="str">
            <v>UN</v>
          </cell>
          <cell r="D2801">
            <v>58.54</v>
          </cell>
        </row>
        <row r="2802">
          <cell r="A2802" t="str">
            <v>P.26.000.044636</v>
          </cell>
          <cell r="B2802" t="str">
            <v>Mini-disjuntor termomagnético, tripolar 220/380V, corrente de 40 até 50A</v>
          </cell>
          <cell r="C2802" t="str">
            <v>UN</v>
          </cell>
          <cell r="D2802">
            <v>63.61</v>
          </cell>
        </row>
        <row r="2803">
          <cell r="A2803" t="str">
            <v>P.26.000.044637</v>
          </cell>
          <cell r="B2803" t="str">
            <v>Mini-disjuntor termomagnético, tripolar 220/380 V, corrente de 63 A, ref. Pial Legrand, Eletromar/Cuttler Hammer, ABB, GE ou  equivalente</v>
          </cell>
          <cell r="C2803" t="str">
            <v>UN</v>
          </cell>
          <cell r="D2803">
            <v>69.849999999999994</v>
          </cell>
        </row>
        <row r="2804">
          <cell r="A2804" t="str">
            <v>P.26.000.044638</v>
          </cell>
          <cell r="B2804" t="str">
            <v>Mini-disjuntor termomagnético, tripolar 415V, corrente de 80 até 125A; ref. 5SP4 392-7-125A - curva "C" da Siemens, linha SHB-H-125A da Soprano ou equivalente</v>
          </cell>
          <cell r="C2804" t="str">
            <v>UN</v>
          </cell>
          <cell r="D2804">
            <v>912.15</v>
          </cell>
        </row>
        <row r="2805">
          <cell r="A2805" t="str">
            <v>P.26.000.044639</v>
          </cell>
          <cell r="B2805" t="str">
            <v>Mini-disjuntor termomagnético, unipolar 127/220V, corrente de 10 até 32A</v>
          </cell>
          <cell r="C2805" t="str">
            <v>UN</v>
          </cell>
          <cell r="D2805">
            <v>10.66</v>
          </cell>
        </row>
        <row r="2806">
          <cell r="A2806" t="str">
            <v>P.26.000.044640</v>
          </cell>
          <cell r="B2806" t="str">
            <v>Mini-disjuntor termomagnético, unipolar 127/220V, 40 até 50A</v>
          </cell>
          <cell r="C2806" t="str">
            <v>UN</v>
          </cell>
          <cell r="D2806">
            <v>13.36</v>
          </cell>
        </row>
        <row r="2807">
          <cell r="A2807" t="str">
            <v>P.26.000.090541</v>
          </cell>
          <cell r="B2807" t="str">
            <v>Dispositivo diferencial residual de 40 A x 30 mA, 4 polos, GE V/304-044031, Siemens 5SM1 344-0 ou equivalente</v>
          </cell>
          <cell r="C2807" t="str">
            <v>UN</v>
          </cell>
          <cell r="D2807">
            <v>317.44</v>
          </cell>
        </row>
        <row r="2808">
          <cell r="A2808" t="str">
            <v>P.26.000.090542</v>
          </cell>
          <cell r="B2808" t="str">
            <v>Dispositivo diferencial residual de 63 A x 30 mA, 4 polos industrial, ref. V/304-046031 da GE, 5SM1 346-0 da Siemens ou equivalente</v>
          </cell>
          <cell r="C2808" t="str">
            <v>UN</v>
          </cell>
          <cell r="D2808">
            <v>362.4</v>
          </cell>
        </row>
        <row r="2809">
          <cell r="A2809" t="str">
            <v>P.26.000.092804</v>
          </cell>
          <cell r="B2809" t="str">
            <v>Dispositivo diferencial residual de 25A x 300mA 4 polos, ref. 5SM1642-0 da Siemens ou equivalente</v>
          </cell>
          <cell r="C2809" t="str">
            <v>UN</v>
          </cell>
          <cell r="D2809">
            <v>185.18</v>
          </cell>
        </row>
        <row r="2810">
          <cell r="A2810" t="str">
            <v>P.27.000.042258</v>
          </cell>
          <cell r="B2810" t="str">
            <v>Fusível NH 00 6A a 125A</v>
          </cell>
          <cell r="C2810" t="str">
            <v>UN</v>
          </cell>
          <cell r="D2810">
            <v>34.79</v>
          </cell>
        </row>
        <row r="2811">
          <cell r="A2811" t="str">
            <v>P.27.000.042259</v>
          </cell>
          <cell r="B2811" t="str">
            <v>Fusível NH 1 36A a 250A</v>
          </cell>
          <cell r="C2811" t="str">
            <v>UN</v>
          </cell>
          <cell r="D2811">
            <v>76.599999999999994</v>
          </cell>
        </row>
        <row r="2812">
          <cell r="A2812" t="str">
            <v>P.27.000.042260</v>
          </cell>
          <cell r="B2812" t="str">
            <v>Fusível NH 2 224A a 400A</v>
          </cell>
          <cell r="C2812" t="str">
            <v>UN</v>
          </cell>
          <cell r="D2812">
            <v>109.53</v>
          </cell>
        </row>
        <row r="2813">
          <cell r="A2813" t="str">
            <v>P.27.000.042261</v>
          </cell>
          <cell r="B2813" t="str">
            <v>Fusível NH 3 400A a 630A</v>
          </cell>
          <cell r="C2813" t="str">
            <v>UN</v>
          </cell>
          <cell r="D2813">
            <v>178.27</v>
          </cell>
        </row>
        <row r="2814">
          <cell r="A2814" t="str">
            <v>P.27.000.042308</v>
          </cell>
          <cell r="B2814" t="str">
            <v>Base tripolar para fusível de 15kV</v>
          </cell>
          <cell r="C2814" t="str">
            <v>UN</v>
          </cell>
          <cell r="D2814">
            <v>1406.33</v>
          </cell>
        </row>
        <row r="2815">
          <cell r="A2815" t="str">
            <v>P.27.000.042309</v>
          </cell>
          <cell r="B2815" t="str">
            <v>Base unipolar para fusível de 15kV</v>
          </cell>
          <cell r="C2815" t="str">
            <v>UN</v>
          </cell>
          <cell r="D2815">
            <v>471.13</v>
          </cell>
        </row>
        <row r="2816">
          <cell r="A2816" t="str">
            <v>P.27.000.042310</v>
          </cell>
          <cell r="B2816" t="str">
            <v>Fusível HH 15KV de 2.5A a 50A</v>
          </cell>
          <cell r="C2816" t="str">
            <v>UN</v>
          </cell>
          <cell r="D2816">
            <v>195.46</v>
          </cell>
        </row>
        <row r="2817">
          <cell r="A2817" t="str">
            <v>P.27.000.042311</v>
          </cell>
          <cell r="B2817" t="str">
            <v>Fusível HH 15KV de 60 a 100A</v>
          </cell>
          <cell r="C2817" t="str">
            <v>UN</v>
          </cell>
          <cell r="D2817">
            <v>354.61</v>
          </cell>
        </row>
        <row r="2818">
          <cell r="A2818" t="str">
            <v>P.27.000.042432</v>
          </cell>
          <cell r="B2818" t="str">
            <v>Vara para manobra em fibra de vidro, diâmetro de 38mm, elementos separados, para tensão até 36 kV</v>
          </cell>
          <cell r="C2818" t="str">
            <v>UN</v>
          </cell>
          <cell r="D2818">
            <v>843.89</v>
          </cell>
        </row>
        <row r="2819">
          <cell r="A2819" t="str">
            <v>P.27.000.043536</v>
          </cell>
          <cell r="B2819" t="str">
            <v>Chave comutadora seletora com 3 polos e 3 posições para 25 A, ref. CA20-A270.600-ER ou equivalente</v>
          </cell>
          <cell r="C2819" t="str">
            <v>UN</v>
          </cell>
          <cell r="D2819">
            <v>459.1</v>
          </cell>
        </row>
        <row r="2820">
          <cell r="A2820" t="str">
            <v>P.27.000.043538</v>
          </cell>
          <cell r="B2820" t="str">
            <v>Chave comutadora seletora com 1 polo e 3 posições para 25 A, ref. CA20B-A730.600-E ou equivalente</v>
          </cell>
          <cell r="C2820" t="str">
            <v>UN</v>
          </cell>
          <cell r="D2820">
            <v>323.5</v>
          </cell>
        </row>
        <row r="2821">
          <cell r="A2821" t="str">
            <v>P.27.000.043541</v>
          </cell>
          <cell r="B2821" t="str">
            <v>Chave comutadora, reversão sob carga, tetrapolar, sem porta fusível para 100 A, ref. SS32-100/4 da Holec ou equivalente</v>
          </cell>
          <cell r="C2821" t="str">
            <v>UN</v>
          </cell>
          <cell r="D2821">
            <v>2429.91</v>
          </cell>
        </row>
        <row r="2822">
          <cell r="A2822" t="str">
            <v>P.27.000.043652</v>
          </cell>
          <cell r="B2822" t="str">
            <v>Chave fusível base ´C´ para 25kV/100A, com capacidade de ruptura até 6,3kA, com fusível e ferragem de fixação</v>
          </cell>
          <cell r="C2822" t="str">
            <v>UN</v>
          </cell>
          <cell r="D2822">
            <v>540.96</v>
          </cell>
        </row>
        <row r="2823">
          <cell r="A2823" t="str">
            <v>P.27.000.043653</v>
          </cell>
          <cell r="B2823" t="str">
            <v>Chave seccionadora tripolar seca para 400 A - 15 kV - com prolongador, ref. INB-V da Inebrasa, SAN-15-400 da Moran ou equivalente</v>
          </cell>
          <cell r="C2823" t="str">
            <v>UN</v>
          </cell>
          <cell r="D2823">
            <v>1915.29</v>
          </cell>
        </row>
        <row r="2824">
          <cell r="A2824" t="str">
            <v>P.27.000.043654</v>
          </cell>
          <cell r="B2824" t="str">
            <v>Chave seccionadora tripolar seca para 600 / 630 A - 15 kV - com prolongador, ref. INB-V da Inebrasa, SAN-15-630 da Moran ou equivalente</v>
          </cell>
          <cell r="C2824" t="str">
            <v>UN</v>
          </cell>
          <cell r="D2824">
            <v>2293.06</v>
          </cell>
        </row>
        <row r="2825">
          <cell r="A2825" t="str">
            <v>P.27.000.043656</v>
          </cell>
          <cell r="B2825" t="str">
            <v>Chave fusível base ´C´ para 15kV/100A, com capacidade de ruptura até 10kA, com fusível e ferragem de fixação</v>
          </cell>
          <cell r="C2825" t="str">
            <v>UN</v>
          </cell>
          <cell r="D2825">
            <v>513.54</v>
          </cell>
        </row>
        <row r="2826">
          <cell r="A2826" t="str">
            <v>P.27.000.043657</v>
          </cell>
          <cell r="B2826" t="str">
            <v>Chave fusível base ´C´ para 15kV/200A, com capacidade de ruptura até 10kA, com fusível e ferragem de fixação</v>
          </cell>
          <cell r="C2826" t="str">
            <v>UN</v>
          </cell>
          <cell r="D2826">
            <v>579.16</v>
          </cell>
        </row>
        <row r="2827">
          <cell r="A2827" t="str">
            <v>P.27.000.043663</v>
          </cell>
          <cell r="B2827" t="str">
            <v>Chave seccionadora sob carga, tripolar, acionamento rotativo, com prolongador e porta fusível até NH-00-125, sem fusível</v>
          </cell>
          <cell r="C2827" t="str">
            <v>UN</v>
          </cell>
          <cell r="D2827">
            <v>1395.34</v>
          </cell>
        </row>
        <row r="2828">
          <cell r="A2828" t="str">
            <v>P.27.000.043664</v>
          </cell>
          <cell r="B2828" t="str">
            <v>Chave seccionadora sob carga, tripolar, acionamento rotativo, com prolongador e porta fusível até NH-00-160, sem fusível</v>
          </cell>
          <cell r="C2828" t="str">
            <v>UN</v>
          </cell>
          <cell r="D2828">
            <v>1799.23</v>
          </cell>
        </row>
        <row r="2829">
          <cell r="A2829" t="str">
            <v>P.27.000.043665</v>
          </cell>
          <cell r="B2829" t="str">
            <v>Chave seccionadora sob carga, tripolar, acionamento rotativo, com prolongador e porta fusível até NH-1-250, sem fusível</v>
          </cell>
          <cell r="C2829" t="str">
            <v>UN</v>
          </cell>
          <cell r="D2829">
            <v>4134.24</v>
          </cell>
        </row>
        <row r="2830">
          <cell r="A2830" t="str">
            <v>P.27.000.043666</v>
          </cell>
          <cell r="B2830" t="str">
            <v>Chave seccionadora sob carga, tripolar, acionamento rotativo, com prolongador e porta fusível até NH-2-400, sem fusível</v>
          </cell>
          <cell r="C2830" t="str">
            <v>UN</v>
          </cell>
          <cell r="D2830">
            <v>4611.34</v>
          </cell>
        </row>
        <row r="2831">
          <cell r="A2831" t="str">
            <v>P.27.000.043667</v>
          </cell>
          <cell r="B2831" t="str">
            <v>Chave seccionadora sob carga, tripolar, acionamento rotativo, com prolongador e porta fusível até NH-3-630, sem fusível</v>
          </cell>
          <cell r="C2831" t="str">
            <v>UN</v>
          </cell>
          <cell r="D2831">
            <v>9602.5499999999993</v>
          </cell>
        </row>
        <row r="2832">
          <cell r="A2832" t="str">
            <v>P.27.000.043668</v>
          </cell>
          <cell r="B2832" t="str">
            <v>Chave seccionadora sob carga, tripolar, acionamento tipo punho com porta fusível até NH-00-160, sem fusível</v>
          </cell>
          <cell r="C2832" t="str">
            <v>UN</v>
          </cell>
          <cell r="D2832">
            <v>352.34</v>
          </cell>
        </row>
        <row r="2833">
          <cell r="A2833" t="str">
            <v>P.27.000.043669</v>
          </cell>
          <cell r="B2833" t="str">
            <v>Chave seccionadora sob carga, tripolar, acionamento tipo punho com porta fusível até NH-1-250, sem fusível</v>
          </cell>
          <cell r="C2833" t="str">
            <v>UN</v>
          </cell>
          <cell r="D2833">
            <v>924.55</v>
          </cell>
        </row>
        <row r="2834">
          <cell r="A2834" t="str">
            <v>P.27.000.043670</v>
          </cell>
          <cell r="B2834" t="str">
            <v>Chave seccionadora sob carga, tripolar, acionamento tipo punho com porta fusível até NH-2-400, sem fusível</v>
          </cell>
          <cell r="C2834" t="str">
            <v>UN</v>
          </cell>
          <cell r="D2834">
            <v>1219.9100000000001</v>
          </cell>
        </row>
        <row r="2835">
          <cell r="A2835" t="str">
            <v>P.27.000.043671</v>
          </cell>
          <cell r="B2835" t="str">
            <v>Chave seccionadora sob carga, tripolar, acionamento tipo punho com porta fusível até NH-3-630, sem fusível, referência 3NP1163-1DA10 da Siemens, SP 630 da Holec ou equivalente</v>
          </cell>
          <cell r="C2835" t="str">
            <v>UN</v>
          </cell>
          <cell r="D2835">
            <v>1670.92</v>
          </cell>
        </row>
        <row r="2836">
          <cell r="A2836" t="str">
            <v>P.27.000.043672</v>
          </cell>
          <cell r="B2836" t="str">
            <v>Chave comutadora, reversão sob carga, tripolar, sem porta fusível para 400A</v>
          </cell>
          <cell r="C2836" t="str">
            <v>UN</v>
          </cell>
          <cell r="D2836">
            <v>5307.79</v>
          </cell>
        </row>
        <row r="2837">
          <cell r="A2837" t="str">
            <v>P.27.000.043673</v>
          </cell>
          <cell r="B2837" t="str">
            <v>Chave comutadora, reversão sob carga, tripolar, sem porta fusível para 600/630A</v>
          </cell>
          <cell r="C2837" t="str">
            <v>UN</v>
          </cell>
          <cell r="D2837">
            <v>7284.15</v>
          </cell>
        </row>
        <row r="2838">
          <cell r="A2838" t="str">
            <v>P.27.000.043674</v>
          </cell>
          <cell r="B2838" t="str">
            <v>Chave comutadora, reversão sob carga, tripolar, sem porta fusível para 1000A</v>
          </cell>
          <cell r="C2838" t="str">
            <v>UN</v>
          </cell>
          <cell r="D2838">
            <v>11345.22</v>
          </cell>
        </row>
        <row r="2839">
          <cell r="A2839" t="str">
            <v>P.27.000.043676</v>
          </cell>
          <cell r="B2839" t="str">
            <v>Chave seccionadora sob carga, tripolar, acionamento rotativo, com prolongador, sem porta fusível, de 1250A</v>
          </cell>
          <cell r="C2839" t="str">
            <v>UN</v>
          </cell>
          <cell r="D2839">
            <v>10112.219999999999</v>
          </cell>
        </row>
        <row r="2840">
          <cell r="A2840" t="str">
            <v>P.27.000.043677</v>
          </cell>
          <cell r="B2840" t="str">
            <v>Chave seccionadora sob carga, tripolar, acionamento rotativo, com prolongador, sem porta fusível, de 1000A</v>
          </cell>
          <cell r="C2840" t="str">
            <v>UN</v>
          </cell>
          <cell r="D2840">
            <v>4358.9399999999996</v>
          </cell>
        </row>
        <row r="2841">
          <cell r="A2841" t="str">
            <v>P.27.000.043678</v>
          </cell>
          <cell r="B2841" t="str">
            <v>Chave seccionadora sob carga, tripolar, acionamento rotativo, com prolongador, sem porta fusível, de 630A</v>
          </cell>
          <cell r="C2841" t="str">
            <v>UN</v>
          </cell>
          <cell r="D2841">
            <v>2497.64</v>
          </cell>
        </row>
        <row r="2842">
          <cell r="A2842" t="str">
            <v>P.27.000.043679</v>
          </cell>
          <cell r="B2842" t="str">
            <v>Chave seccionadora sob carga, tripolar, acionamento rotativo, com prolongador, sem porta fusível, de 400A</v>
          </cell>
          <cell r="C2842" t="str">
            <v>UN</v>
          </cell>
          <cell r="D2842">
            <v>2078.21</v>
          </cell>
        </row>
        <row r="2843">
          <cell r="A2843" t="str">
            <v>P.27.000.043680</v>
          </cell>
          <cell r="B2843" t="str">
            <v>Chave seccionadora sob carga, tripolar, acionamento rotativo, com prolongador, sem porta fusível, de 250A</v>
          </cell>
          <cell r="C2843" t="str">
            <v>UN</v>
          </cell>
          <cell r="D2843">
            <v>1274.95</v>
          </cell>
        </row>
        <row r="2844">
          <cell r="A2844" t="str">
            <v>P.27.000.043681</v>
          </cell>
          <cell r="B2844" t="str">
            <v>Chave seccionadora sob carga, tripolar, acionamento rotativo, com prolongador, sem porta fusível, de 160A</v>
          </cell>
          <cell r="C2844" t="str">
            <v>UN</v>
          </cell>
          <cell r="D2844">
            <v>2025.5</v>
          </cell>
        </row>
        <row r="2845">
          <cell r="A2845" t="str">
            <v>P.27.000.043691</v>
          </cell>
          <cell r="B2845" t="str">
            <v>Chave seccionadora tripolar sob carga para 400 A / 15 kV - com prolongador, ref. Inebrasa, SANR-15-400 da Moran ou equivalente</v>
          </cell>
          <cell r="C2845" t="str">
            <v>UN</v>
          </cell>
          <cell r="D2845">
            <v>2268.4499999999998</v>
          </cell>
        </row>
        <row r="2846">
          <cell r="A2846" t="str">
            <v>P.27.000.043694</v>
          </cell>
          <cell r="B2846" t="str">
            <v>Chave seccionadora tripolar sob carga para 400 A / 25 kV - com prolongador, ref. Inebrasa, SANR-25-400 da Moran ou equivalente</v>
          </cell>
          <cell r="C2846" t="str">
            <v>UN</v>
          </cell>
          <cell r="D2846">
            <v>2593.9699999999998</v>
          </cell>
        </row>
        <row r="2847">
          <cell r="A2847" t="str">
            <v>P.27.000.044001</v>
          </cell>
          <cell r="B2847" t="str">
            <v>Base fusíveis Diazed completa até 25A</v>
          </cell>
          <cell r="C2847" t="str">
            <v>UN</v>
          </cell>
          <cell r="D2847">
            <v>53.87</v>
          </cell>
        </row>
        <row r="2848">
          <cell r="A2848" t="str">
            <v>P.27.000.044002</v>
          </cell>
          <cell r="B2848" t="str">
            <v>Base fusíveis Diazed completa para 63A</v>
          </cell>
          <cell r="C2848" t="str">
            <v>UN</v>
          </cell>
          <cell r="D2848">
            <v>60.1</v>
          </cell>
        </row>
        <row r="2849">
          <cell r="A2849" t="str">
            <v>P.27.000.044050</v>
          </cell>
          <cell r="B2849" t="str">
            <v>Base tipo NH completa para 125A</v>
          </cell>
          <cell r="C2849" t="str">
            <v>UN</v>
          </cell>
          <cell r="D2849">
            <v>43.01</v>
          </cell>
        </row>
        <row r="2850">
          <cell r="A2850" t="str">
            <v>P.27.000.044051</v>
          </cell>
          <cell r="B2850" t="str">
            <v>Base tipo NH completa para 250A</v>
          </cell>
          <cell r="C2850" t="str">
            <v>UN</v>
          </cell>
          <cell r="D2850">
            <v>154.32</v>
          </cell>
        </row>
        <row r="2851">
          <cell r="A2851" t="str">
            <v>P.27.000.044052</v>
          </cell>
          <cell r="B2851" t="str">
            <v>Base tipo NH completa para 400A</v>
          </cell>
          <cell r="C2851" t="str">
            <v>UN</v>
          </cell>
          <cell r="D2851">
            <v>214.02</v>
          </cell>
        </row>
        <row r="2852">
          <cell r="A2852" t="str">
            <v>P.27.000.044053</v>
          </cell>
          <cell r="B2852" t="str">
            <v>Chave comutadora tetrapolar, reversão sob carga, sem porta-fusível, 630, A 690V, tensão de isolamento 1000V; ref. BB32-630/4 (back to back) da Holec ou equivalente</v>
          </cell>
          <cell r="C2852" t="str">
            <v>UN</v>
          </cell>
          <cell r="D2852">
            <v>11841.55</v>
          </cell>
        </row>
        <row r="2853">
          <cell r="A2853" t="str">
            <v>P.27.000.044101</v>
          </cell>
          <cell r="B2853" t="str">
            <v>Fusível Diazed rap/ret 35A a 63A</v>
          </cell>
          <cell r="C2853" t="str">
            <v>UN</v>
          </cell>
          <cell r="D2853">
            <v>5.63</v>
          </cell>
        </row>
        <row r="2854">
          <cell r="A2854" t="str">
            <v>P.27.000.044102</v>
          </cell>
          <cell r="B2854" t="str">
            <v>Fusível Diazed retardado 2A a 25A, referência modelo 2A 500V 5SB2 11 da Siemens ou equivalente</v>
          </cell>
          <cell r="C2854" t="str">
            <v>UN</v>
          </cell>
          <cell r="D2854">
            <v>4.3600000000000003</v>
          </cell>
        </row>
        <row r="2855">
          <cell r="A2855" t="str">
            <v>P.27.000.090322</v>
          </cell>
          <cell r="B2855" t="str">
            <v>Chave seccionadora tripolar, abertura sob carga seca para 160A/690V; ref. RIW160-3 H da WEG, S32-160/3 da Holec, N160 da THS ou equivalente</v>
          </cell>
          <cell r="C2855" t="str">
            <v>UN</v>
          </cell>
          <cell r="D2855">
            <v>888.43</v>
          </cell>
        </row>
        <row r="2856">
          <cell r="A2856" t="str">
            <v>P.27.000.090384</v>
          </cell>
          <cell r="B2856" t="str">
            <v>Chave comutadora seletora com 1 polo e 2 posições para 25 A, ref. CA20-A220.600-EG ou equivalente</v>
          </cell>
          <cell r="C2856" t="str">
            <v>UN</v>
          </cell>
          <cell r="D2856">
            <v>175.91</v>
          </cell>
        </row>
        <row r="2857">
          <cell r="A2857" t="str">
            <v>P.27.000.090387</v>
          </cell>
          <cell r="B2857" t="str">
            <v>Comutador voltímetro, 3 fases, 3 fios 10 A, ref. 5TW0 020-1 da Siemens ou equivalente</v>
          </cell>
          <cell r="C2857" t="str">
            <v>UN</v>
          </cell>
          <cell r="D2857">
            <v>139.06</v>
          </cell>
        </row>
        <row r="2858">
          <cell r="A2858" t="str">
            <v>P.27.000.090388</v>
          </cell>
          <cell r="B2858" t="str">
            <v>Comutador amperímetro de 10 A, ref. 5TW 020-1 da Siemens ou equivalente</v>
          </cell>
          <cell r="C2858" t="str">
            <v>UN</v>
          </cell>
          <cell r="D2858">
            <v>166.5</v>
          </cell>
        </row>
        <row r="2859">
          <cell r="A2859" t="str">
            <v>P.27.000.090449</v>
          </cell>
          <cell r="B2859" t="str">
            <v>Chave de boia normalmente fechada, ref. Masterflux, CB2002 Mar Girius Revers ou equivalente</v>
          </cell>
          <cell r="C2859" t="str">
            <v>UN</v>
          </cell>
          <cell r="D2859">
            <v>45.65</v>
          </cell>
        </row>
        <row r="2860">
          <cell r="A2860" t="str">
            <v>P.27.000.090450</v>
          </cell>
          <cell r="B2860" t="str">
            <v>Chave comutadora seletora com 1 polo e 3 posições para 63 A, ref. 5TW3063-1 Siemens ou equivalente</v>
          </cell>
          <cell r="C2860" t="str">
            <v>UN</v>
          </cell>
          <cell r="D2860">
            <v>652.84</v>
          </cell>
        </row>
        <row r="2861">
          <cell r="A2861" t="str">
            <v>P.27.000.090456</v>
          </cell>
          <cell r="B2861" t="str">
            <v>Amperímetro em ferro móvel 96x96mm, para ligação em transformador de corrente, escala fixa TC 0 A/50 A até 0 A/2,0 kA; ref. 2CNM515423R2000 da ABB, 7kM15515424Z1500 da Siemens ou equivalente</v>
          </cell>
          <cell r="C2861" t="str">
            <v>UN</v>
          </cell>
          <cell r="D2861">
            <v>402.18</v>
          </cell>
        </row>
        <row r="2862">
          <cell r="A2862" t="str">
            <v>P.27.000.090468</v>
          </cell>
          <cell r="B2862" t="str">
            <v>Fusível de vidro para TP 0,5 A / 15 kV; ref. V14X160KT da Deckfuse, LD14mm da Rehtom ou equivalente</v>
          </cell>
          <cell r="C2862" t="str">
            <v>UN</v>
          </cell>
          <cell r="D2862">
            <v>36.97</v>
          </cell>
        </row>
        <row r="2863">
          <cell r="A2863" t="str">
            <v>P.27.000.091349</v>
          </cell>
          <cell r="B2863" t="str">
            <v>Voltímetro ferro móvel de 96x96mm, escalas variáveis; ref. FM96 da Renz, FQ0207 600V da MultInst ou equivalente</v>
          </cell>
          <cell r="C2863" t="str">
            <v>UN</v>
          </cell>
          <cell r="D2863">
            <v>139.59</v>
          </cell>
        </row>
        <row r="2864">
          <cell r="A2864" t="str">
            <v>P.28.000.046542</v>
          </cell>
          <cell r="B2864" t="str">
            <v>Reator eletrônico de alto fator de potência com partida instantânea para duas lâmpadas fluorescentes tubulares, TL-5, base bipino bilateral, 2 x 28 W - 220 V</v>
          </cell>
          <cell r="C2864" t="str">
            <v>UN</v>
          </cell>
          <cell r="D2864">
            <v>102.26</v>
          </cell>
        </row>
        <row r="2865">
          <cell r="A2865" t="str">
            <v>P.28.000.049734</v>
          </cell>
          <cell r="B2865" t="str">
            <v>Reator eletrônico com partida instantânea de alto fator de potência (AFP), para lâmpada fluorescente tubular ´HO´, base bipino bilateral, 2x110W / 220V</v>
          </cell>
          <cell r="C2865" t="str">
            <v>UN</v>
          </cell>
          <cell r="D2865">
            <v>86.45</v>
          </cell>
        </row>
        <row r="2866">
          <cell r="A2866" t="str">
            <v>P.28.000.049735</v>
          </cell>
          <cell r="B2866" t="str">
            <v>Reator eletrônico com partida instantânea de alto fator de potência (AFP), para lâmpada fluorescente tubular, base bipino bilateral, 2x16W / 127-220V</v>
          </cell>
          <cell r="C2866" t="str">
            <v>UN</v>
          </cell>
          <cell r="D2866">
            <v>54.88</v>
          </cell>
        </row>
        <row r="2867">
          <cell r="A2867" t="str">
            <v>P.28.000.049743</v>
          </cell>
          <cell r="B2867" t="str">
            <v>Reator eletrônico com partida instantânea de alto fator de potência (AFP), para lâmpada fluorescente tubular, base bipino bilateral, 2x32W / 127-220V</v>
          </cell>
          <cell r="C2867" t="str">
            <v>UN</v>
          </cell>
          <cell r="D2867">
            <v>46.26</v>
          </cell>
        </row>
        <row r="2868">
          <cell r="A2868" t="str">
            <v>P.28.000.049769</v>
          </cell>
          <cell r="B2868" t="str">
            <v>Reator eletrônico com partida instantânea de alto fator de potência (AFP), para lâmpada fluorescente compacta´2U´, 1x26W / 127-220 V</v>
          </cell>
          <cell r="C2868" t="str">
            <v>UN</v>
          </cell>
          <cell r="D2868">
            <v>55.2</v>
          </cell>
        </row>
        <row r="2869">
          <cell r="A2869" t="str">
            <v>P.28.000.049771</v>
          </cell>
          <cell r="B2869" t="str">
            <v>Reator eletrônico com partida instantânea de alto fator de potência (AFP), para lâmpada fluorescente compacta´2U´, 2x26W / 127-220 V</v>
          </cell>
          <cell r="C2869" t="str">
            <v>UN</v>
          </cell>
          <cell r="D2869">
            <v>60.94</v>
          </cell>
        </row>
        <row r="2870">
          <cell r="A2870" t="str">
            <v>P.28.000.092320</v>
          </cell>
          <cell r="B2870" t="str">
            <v>Transformador eletrônico para lâmpada halógena dicroica de 50 W / 220 V; ref. Xelux, Trancil, Taschibra ou equivalente</v>
          </cell>
          <cell r="C2870" t="str">
            <v>UN</v>
          </cell>
          <cell r="D2870">
            <v>34.840000000000003</v>
          </cell>
        </row>
        <row r="2871">
          <cell r="A2871" t="str">
            <v>P.29.000.042163</v>
          </cell>
          <cell r="B2871" t="str">
            <v>Rele de corrente Ajustável de 0 a 200A</v>
          </cell>
          <cell r="C2871" t="str">
            <v>UN</v>
          </cell>
          <cell r="D2871">
            <v>333.36</v>
          </cell>
        </row>
        <row r="2872">
          <cell r="A2872" t="str">
            <v>P.29.000.042164</v>
          </cell>
          <cell r="B2872" t="str">
            <v>Relé de tempo eletrônico de 3 - 30seg 220V 50/60Hz</v>
          </cell>
          <cell r="C2872" t="str">
            <v>UN</v>
          </cell>
          <cell r="D2872">
            <v>119.63</v>
          </cell>
        </row>
        <row r="2873">
          <cell r="A2873" t="str">
            <v>P.29.000.042273</v>
          </cell>
          <cell r="B2873" t="str">
            <v>Relé de sobrecarga bimetálico, faixa de ajuste de 9 a 12 A, tamanho S00, ref. Siemens 3R11 16-1KBOR, ou equivalente</v>
          </cell>
          <cell r="C2873" t="str">
            <v>UN</v>
          </cell>
          <cell r="D2873">
            <v>258.93</v>
          </cell>
        </row>
        <row r="2874">
          <cell r="A2874" t="str">
            <v>P.29.000.042275</v>
          </cell>
          <cell r="B2874" t="str">
            <v>Relé de tempo eletrônico 0.6-6seg. 220V 50/60HZ</v>
          </cell>
          <cell r="C2874" t="str">
            <v>UN</v>
          </cell>
          <cell r="D2874">
            <v>94.96</v>
          </cell>
        </row>
        <row r="2875">
          <cell r="A2875" t="str">
            <v>P.29.000.042277</v>
          </cell>
          <cell r="B2875" t="str">
            <v>Contator de potência 9 A - 2NA + 2NF; ref. LC1D09M7+LADN11 da Schneider, CWM9-22-30D23 da Weg ou equivalente</v>
          </cell>
          <cell r="C2875" t="str">
            <v>UN</v>
          </cell>
          <cell r="D2875">
            <v>287.99</v>
          </cell>
        </row>
        <row r="2876">
          <cell r="A2876" t="str">
            <v>P.29.000.042278</v>
          </cell>
          <cell r="B2876" t="str">
            <v>Contator de potência 12 A - 2NA + 2NF; ref. Siemens ou equivalente</v>
          </cell>
          <cell r="C2876" t="str">
            <v>UN</v>
          </cell>
          <cell r="D2876">
            <v>308.68</v>
          </cell>
        </row>
        <row r="2877">
          <cell r="A2877" t="str">
            <v>P.29.000.042279</v>
          </cell>
          <cell r="B2877" t="str">
            <v>Contator de potência 16 A - 2NA + 2NF; ref. Siemens ou equivalente</v>
          </cell>
          <cell r="C2877" t="str">
            <v>UN</v>
          </cell>
          <cell r="D2877">
            <v>196.48</v>
          </cell>
        </row>
        <row r="2878">
          <cell r="A2878" t="str">
            <v>P.29.000.042280</v>
          </cell>
          <cell r="B2878" t="str">
            <v>Contator de potência 22 A / 25 A - 2NA + 2NF; ref. Siemens ou equivalente</v>
          </cell>
          <cell r="C2878" t="str">
            <v>UN</v>
          </cell>
          <cell r="D2878">
            <v>346.97</v>
          </cell>
        </row>
        <row r="2879">
          <cell r="A2879" t="str">
            <v>P.29.000.042281</v>
          </cell>
          <cell r="B2879" t="str">
            <v>Contator de potência 32 A - 2NA + 2NF; ref. Siemens ou equivalente</v>
          </cell>
          <cell r="C2879" t="str">
            <v>UN</v>
          </cell>
          <cell r="D2879">
            <v>575.36</v>
          </cell>
        </row>
        <row r="2880">
          <cell r="A2880" t="str">
            <v>P.29.000.042282</v>
          </cell>
          <cell r="B2880" t="str">
            <v>Contator de potência 38 / 40 A - 2NA + 2NF; ref. Siemens ou equivalente</v>
          </cell>
          <cell r="C2880" t="str">
            <v>UN</v>
          </cell>
          <cell r="D2880">
            <v>719.09</v>
          </cell>
        </row>
        <row r="2881">
          <cell r="A2881" t="str">
            <v>P.29.000.042408</v>
          </cell>
          <cell r="B2881" t="str">
            <v>Contator de potência de 65A - 2NA + 2NF, ref. modelo 3RT1044-1AN10+3RH1921-1HA22 da Siemens ou equivalente</v>
          </cell>
          <cell r="C2881" t="str">
            <v>UN</v>
          </cell>
          <cell r="D2881">
            <v>1618.61</v>
          </cell>
        </row>
        <row r="2882">
          <cell r="A2882" t="str">
            <v>P.29.000.042409</v>
          </cell>
          <cell r="B2882" t="str">
            <v>Relé bimetálico de sobrecarga para acoplamento direto com faixas de ajuste de 0,4/0,63A até 16/25A, ref. 3UA52 da Siemens ou equivalente</v>
          </cell>
          <cell r="C2882" t="str">
            <v>UN</v>
          </cell>
          <cell r="D2882">
            <v>302.06</v>
          </cell>
        </row>
        <row r="2883">
          <cell r="A2883" t="str">
            <v>P.29.000.042411</v>
          </cell>
          <cell r="B2883" t="str">
            <v>Contator de potência 12 A - 1NA + 1NF, referência comercial 3RT1024-1AN20+3RH1921-1EA11 da Siemens ou equivalente</v>
          </cell>
          <cell r="C2883" t="str">
            <v>UN</v>
          </cell>
          <cell r="D2883">
            <v>286.31</v>
          </cell>
        </row>
        <row r="2884">
          <cell r="A2884" t="str">
            <v>P.29.000.042412</v>
          </cell>
          <cell r="B2884" t="str">
            <v>Relé bimetálico de sobrecarga acoplamento direto com faixa de ajuste 20 até 63A</v>
          </cell>
          <cell r="C2884" t="str">
            <v>UN</v>
          </cell>
          <cell r="D2884">
            <v>460.15</v>
          </cell>
        </row>
        <row r="2885">
          <cell r="A2885" t="str">
            <v>P.29.000.042413</v>
          </cell>
          <cell r="B2885" t="str">
            <v>Relé supervisor trifásico contra falta de fase e inversão de fase, ref. UNSX da Ward / PST da Pextron ou equivalente</v>
          </cell>
          <cell r="C2885" t="str">
            <v>UN</v>
          </cell>
          <cell r="D2885">
            <v>4500.34</v>
          </cell>
        </row>
        <row r="2886">
          <cell r="A2886" t="str">
            <v>P.29.000.042423</v>
          </cell>
          <cell r="B2886" t="str">
            <v>Relé de tempo eletrônico, com cíclico com escala de tempo fixa de 15 minutos, 110/220V - 50/60 Hz; ref. Dte-1 da Digimec ou equivalente</v>
          </cell>
          <cell r="C2886" t="str">
            <v>UN</v>
          </cell>
          <cell r="D2886">
            <v>111.35</v>
          </cell>
        </row>
        <row r="2887">
          <cell r="A2887" t="str">
            <v>P.29.000.042425</v>
          </cell>
          <cell r="B2887" t="str">
            <v>Minicontator auxiliar 4 NA para 220 V, corrente alternada, ref. 3RH1140-1AN10 da Siemens ou equivalente</v>
          </cell>
          <cell r="C2887" t="str">
            <v>UN</v>
          </cell>
          <cell r="D2887">
            <v>73.7</v>
          </cell>
        </row>
        <row r="2888">
          <cell r="A2888" t="str">
            <v>P.29.000.042426</v>
          </cell>
          <cell r="B2888" t="str">
            <v>Contator auxiliar 2NA + 2NF para tensão até 240 V, corrente alternada, ref. 3RH1122-1AN10 da Siemens ou equivalente</v>
          </cell>
          <cell r="C2888" t="str">
            <v>UN</v>
          </cell>
          <cell r="D2888">
            <v>116.46</v>
          </cell>
        </row>
        <row r="2889">
          <cell r="A2889" t="str">
            <v>P.29.000.042427</v>
          </cell>
          <cell r="B2889" t="str">
            <v>Contator auxiliar 4NA + 4NF, ref. 3TH4244 Siemens ou equivalente</v>
          </cell>
          <cell r="C2889" t="str">
            <v>UN</v>
          </cell>
          <cell r="D2889">
            <v>145.38999999999999</v>
          </cell>
        </row>
        <row r="2890">
          <cell r="A2890" t="str">
            <v>P.29.000.042456</v>
          </cell>
          <cell r="B2890" t="str">
            <v>Relé de sobrecarga eletrônico de 55 A até 250 A, ref. 3RB21 63-4GC2 da Siemens ou equivalente</v>
          </cell>
          <cell r="C2890" t="str">
            <v>UN</v>
          </cell>
          <cell r="D2890">
            <v>2738.12</v>
          </cell>
        </row>
        <row r="2891">
          <cell r="A2891" t="str">
            <v>P.29.000.042458</v>
          </cell>
          <cell r="B2891" t="str">
            <v>Contator de potência 110 A - 2NA + 2NF, ref. 3RT1054-1AP36 da Siemens ou equivalente</v>
          </cell>
          <cell r="C2891" t="str">
            <v>UN</v>
          </cell>
          <cell r="D2891">
            <v>3302.08</v>
          </cell>
        </row>
        <row r="2892">
          <cell r="A2892" t="str">
            <v>P.29.000.042480</v>
          </cell>
          <cell r="B2892" t="str">
            <v>Relé de impulso bipolar, 16 A, 250 V CA, ref. Finder ou equivalente</v>
          </cell>
          <cell r="C2892" t="str">
            <v>UN</v>
          </cell>
          <cell r="D2892">
            <v>270.95</v>
          </cell>
        </row>
        <row r="2893">
          <cell r="A2893" t="str">
            <v>P.29.000.042587</v>
          </cell>
          <cell r="B2893" t="str">
            <v>Contator de potência, corrente nominal 220 A - 2NA + 2NF, tensão variável 24 V a 440 V, 50/60Hz, ref. 3RT1064-6AP36 da Siemens ou equivalente</v>
          </cell>
          <cell r="C2893" t="str">
            <v>UN</v>
          </cell>
          <cell r="D2893">
            <v>5801.06</v>
          </cell>
        </row>
        <row r="2894">
          <cell r="A2894" t="str">
            <v>P.29.000.042900</v>
          </cell>
          <cell r="B2894" t="str">
            <v>Contator de potência 50A, 2NA + 2NF; referência 3RT2036-1AN20n + 3RH2911-1HA11 da Siemens ou equivalente</v>
          </cell>
          <cell r="C2894" t="str">
            <v>UN</v>
          </cell>
          <cell r="D2894">
            <v>1071.97</v>
          </cell>
        </row>
        <row r="2895">
          <cell r="A2895" t="str">
            <v>P.29.000.042901</v>
          </cell>
          <cell r="B2895" t="str">
            <v>Contator de potência 150 A, 2NA + 2NF, ref. 3RT1055-6AP36 da Siemens ou equivalente</v>
          </cell>
          <cell r="C2895" t="str">
            <v>UN</v>
          </cell>
          <cell r="D2895">
            <v>2148.62</v>
          </cell>
        </row>
        <row r="2896">
          <cell r="A2896" t="str">
            <v>P.29.000.090337</v>
          </cell>
          <cell r="B2896" t="str">
            <v>Relé fotoelétrico 50/60Hz 110/220V, com suporte 1200VA</v>
          </cell>
          <cell r="C2896" t="str">
            <v>UN</v>
          </cell>
          <cell r="D2896">
            <v>80.06</v>
          </cell>
        </row>
        <row r="2897">
          <cell r="A2897" t="str">
            <v>P.30.000.034000</v>
          </cell>
          <cell r="B2897" t="str">
            <v>Cabo coaxial RGC-06, 75ohms, com condutor em aço cobreado e blindagem em trança de cobre 60% e cobertura em capa PVC antichama, ref. KMP, RFS ou equivalente</v>
          </cell>
          <cell r="C2897" t="str">
            <v>M</v>
          </cell>
          <cell r="D2897">
            <v>3.54</v>
          </cell>
        </row>
        <row r="2898">
          <cell r="A2898" t="str">
            <v>P.30.000.034009</v>
          </cell>
          <cell r="B2898" t="str">
            <v>Cabo coaxial tipo RG 6, blindagem em fita aluminizada e trança de alumínio, isolação em polietileno antichama preto/branco; ref. Eldtec, Cableteck, Commscope ou equivalente</v>
          </cell>
          <cell r="C2898" t="str">
            <v>M</v>
          </cell>
          <cell r="D2898">
            <v>1.98</v>
          </cell>
        </row>
        <row r="2899">
          <cell r="A2899" t="str">
            <v>P.30.000.040530</v>
          </cell>
          <cell r="B2899" t="str">
            <v>Terminal modular unipolar externo, ref. 5633K da 3M até 70mm²/15kV</v>
          </cell>
          <cell r="C2899" t="str">
            <v>UN</v>
          </cell>
          <cell r="D2899">
            <v>296.48</v>
          </cell>
        </row>
        <row r="2900">
          <cell r="A2900" t="str">
            <v>P.30.000.040531</v>
          </cell>
          <cell r="B2900" t="str">
            <v>Terminal modular unipolar interno, ref. 5623K da 3M até 70mm²/15kV</v>
          </cell>
          <cell r="C2900" t="str">
            <v>UN</v>
          </cell>
          <cell r="D2900">
            <v>216.01</v>
          </cell>
        </row>
        <row r="2901">
          <cell r="A2901" t="str">
            <v>P.30.000.042207</v>
          </cell>
          <cell r="B2901" t="str">
            <v>Conector Split-Bolt para cabo de 25mm², em latão, simples</v>
          </cell>
          <cell r="C2901" t="str">
            <v>UN</v>
          </cell>
          <cell r="D2901">
            <v>9.26</v>
          </cell>
        </row>
        <row r="2902">
          <cell r="A2902" t="str">
            <v>P.30.000.042208</v>
          </cell>
          <cell r="B2902" t="str">
            <v>Conector Split-Bolt para cabo de 35mm², em latão, simples</v>
          </cell>
          <cell r="C2902" t="str">
            <v>UN</v>
          </cell>
          <cell r="D2902">
            <v>11.52</v>
          </cell>
        </row>
        <row r="2903">
          <cell r="A2903" t="str">
            <v>P.30.000.042209</v>
          </cell>
          <cell r="B2903" t="str">
            <v>Conector Split-Bolt para cabo de 50mm², em latão, simples</v>
          </cell>
          <cell r="C2903" t="str">
            <v>UN</v>
          </cell>
          <cell r="D2903">
            <v>13.18</v>
          </cell>
        </row>
        <row r="2904">
          <cell r="A2904" t="str">
            <v>P.30.000.042211</v>
          </cell>
          <cell r="B2904" t="str">
            <v>Conector Split-Bolt para cabo de 25mm², em latão, com rabicho</v>
          </cell>
          <cell r="C2904" t="str">
            <v>UN</v>
          </cell>
          <cell r="D2904">
            <v>13.48</v>
          </cell>
        </row>
        <row r="2905">
          <cell r="A2905" t="str">
            <v>P.30.000.042212</v>
          </cell>
          <cell r="B2905" t="str">
            <v>Conector Split-Bolt para cabo de 35mm², em latão, com rabicho</v>
          </cell>
          <cell r="C2905" t="str">
            <v>UN</v>
          </cell>
          <cell r="D2905">
            <v>16</v>
          </cell>
        </row>
        <row r="2906">
          <cell r="A2906" t="str">
            <v>P.30.000.042213</v>
          </cell>
          <cell r="B2906" t="str">
            <v>Conector Split-Bolt para cabo de 50mm², em latão, com rabicho</v>
          </cell>
          <cell r="C2906" t="str">
            <v>UN</v>
          </cell>
          <cell r="D2906">
            <v>18.22</v>
          </cell>
        </row>
        <row r="2907">
          <cell r="A2907" t="str">
            <v>P.30.000.042251</v>
          </cell>
          <cell r="B2907" t="str">
            <v>Esticador para cabo de cobre, latão</v>
          </cell>
          <cell r="C2907" t="str">
            <v>UN</v>
          </cell>
          <cell r="D2907">
            <v>20.350000000000001</v>
          </cell>
        </row>
        <row r="2908">
          <cell r="A2908" t="str">
            <v>P.30.000.042454</v>
          </cell>
          <cell r="B2908" t="str">
            <v>Terminal de compressão para cabo 2,5mm²</v>
          </cell>
          <cell r="C2908" t="str">
            <v>UN</v>
          </cell>
          <cell r="D2908">
            <v>0.98</v>
          </cell>
        </row>
        <row r="2909">
          <cell r="A2909" t="str">
            <v>P.30.000.049424</v>
          </cell>
          <cell r="B2909" t="str">
            <v>Receptáculo porcelana com parafuso rosca E-27</v>
          </cell>
          <cell r="C2909" t="str">
            <v>UN</v>
          </cell>
          <cell r="D2909">
            <v>7.13</v>
          </cell>
        </row>
        <row r="2910">
          <cell r="A2910" t="str">
            <v>P.30.000.049430</v>
          </cell>
          <cell r="B2910" t="str">
            <v>Terminal de pressão para cabo 6 até 10mm² (8AWG)</v>
          </cell>
          <cell r="C2910" t="str">
            <v>UN</v>
          </cell>
          <cell r="D2910">
            <v>7.76</v>
          </cell>
        </row>
        <row r="2911">
          <cell r="A2911" t="str">
            <v>P.30.000.049431</v>
          </cell>
          <cell r="B2911" t="str">
            <v>Terminal de pressão para cabo 25mm² (4AWG)</v>
          </cell>
          <cell r="C2911" t="str">
            <v>UN</v>
          </cell>
          <cell r="D2911">
            <v>9.35</v>
          </cell>
        </row>
        <row r="2912">
          <cell r="A2912" t="str">
            <v>P.30.000.049432</v>
          </cell>
          <cell r="B2912" t="str">
            <v>Terminal de pressão para cabo 50mm² (1/0AWG)</v>
          </cell>
          <cell r="C2912" t="str">
            <v>UN</v>
          </cell>
          <cell r="D2912">
            <v>16.7</v>
          </cell>
        </row>
        <row r="2913">
          <cell r="A2913" t="str">
            <v>P.30.000.049434</v>
          </cell>
          <cell r="B2913" t="str">
            <v>Terminal de pressão para cabo 70mm² (3/0AWG)</v>
          </cell>
          <cell r="C2913" t="str">
            <v>UN</v>
          </cell>
          <cell r="D2913">
            <v>15.96</v>
          </cell>
        </row>
        <row r="2914">
          <cell r="A2914" t="str">
            <v>P.30.000.049435</v>
          </cell>
          <cell r="B2914" t="str">
            <v>Terminal de pressão para cabo 95mm² (4/0AWG)</v>
          </cell>
          <cell r="C2914" t="str">
            <v>UN</v>
          </cell>
          <cell r="D2914">
            <v>23.38</v>
          </cell>
        </row>
        <row r="2915">
          <cell r="A2915" t="str">
            <v>P.30.000.049437</v>
          </cell>
          <cell r="B2915" t="str">
            <v>Terminal de pressão/compressão para cabo 185mm² (400MCM)</v>
          </cell>
          <cell r="C2915" t="str">
            <v>UN</v>
          </cell>
          <cell r="D2915">
            <v>41.13</v>
          </cell>
        </row>
        <row r="2916">
          <cell r="A2916" t="str">
            <v>P.30.000.049510</v>
          </cell>
          <cell r="B2916" t="str">
            <v>Conector em latão estanhado (mini gar) para terminais aéreos, com porca e arruela galvanizado a fogo, para cabo 16 a 50mm², TEL 583 da Termotécnica ou equivalente</v>
          </cell>
          <cell r="C2916" t="str">
            <v>UN</v>
          </cell>
          <cell r="D2916">
            <v>47.83</v>
          </cell>
        </row>
        <row r="2917">
          <cell r="A2917" t="str">
            <v>P.30.000.049531</v>
          </cell>
          <cell r="B2917" t="str">
            <v>Conector com rabicho, porca 3/8", rosca, em latão natural, para cabo 16 até 35mm²; ref. TEL 625 Termomecânica, PK-0152 Paraklin, PRT-919 Paratec, 602500 Magnet, DR-216/DR-219 Raycon, PG-0070 Áraga, PFR-35R Intelli, PFR-015 Conimel ou equivalente</v>
          </cell>
          <cell r="C2917" t="str">
            <v>UN</v>
          </cell>
          <cell r="D2917">
            <v>16.21</v>
          </cell>
        </row>
        <row r="2918">
          <cell r="A2918" t="str">
            <v>P.30.000.049541</v>
          </cell>
          <cell r="B2918" t="str">
            <v>Terminal de pressão/compressão para cabo 120mm² (250MCM)</v>
          </cell>
          <cell r="C2918" t="str">
            <v>UN</v>
          </cell>
          <cell r="D2918">
            <v>33.64</v>
          </cell>
        </row>
        <row r="2919">
          <cell r="A2919" t="str">
            <v>P.30.000.049542</v>
          </cell>
          <cell r="B2919" t="str">
            <v>Terminal de pressão/compressão para cabo 240mm² (500MCM)</v>
          </cell>
          <cell r="C2919" t="str">
            <v>UN</v>
          </cell>
          <cell r="D2919">
            <v>47.77</v>
          </cell>
        </row>
        <row r="2920">
          <cell r="A2920" t="str">
            <v>P.30.000.049582</v>
          </cell>
          <cell r="B2920" t="str">
            <v>Terminal de pressão para cabo 16mm² (6AWG)</v>
          </cell>
          <cell r="C2920" t="str">
            <v>UN</v>
          </cell>
          <cell r="D2920">
            <v>8.49</v>
          </cell>
        </row>
        <row r="2921">
          <cell r="A2921" t="str">
            <v>P.30.000.067008</v>
          </cell>
          <cell r="B2921" t="str">
            <v>Bloco ligação interna 10 pares com canaleta BLI-10</v>
          </cell>
          <cell r="C2921" t="str">
            <v>UN</v>
          </cell>
          <cell r="D2921">
            <v>7.24</v>
          </cell>
        </row>
        <row r="2922">
          <cell r="A2922" t="str">
            <v>P.30.000.090458</v>
          </cell>
          <cell r="B2922" t="str">
            <v>Terminal de pressão para cabo 35mm²</v>
          </cell>
          <cell r="C2922" t="str">
            <v>UN</v>
          </cell>
          <cell r="D2922">
            <v>9.59</v>
          </cell>
        </row>
        <row r="2923">
          <cell r="A2923" t="str">
            <v>P.30.000.090763</v>
          </cell>
          <cell r="B2923" t="str">
            <v>Terminal de pressão para cabo 150mm²</v>
          </cell>
          <cell r="C2923" t="str">
            <v>UN</v>
          </cell>
          <cell r="D2923">
            <v>33.799999999999997</v>
          </cell>
        </row>
        <row r="2924">
          <cell r="A2924" t="str">
            <v>P.30.000.091016</v>
          </cell>
          <cell r="B2924" t="str">
            <v>Conector terminal tipo BNC para cabo coaxial RG59</v>
          </cell>
          <cell r="C2924" t="str">
            <v>UN</v>
          </cell>
          <cell r="D2924">
            <v>12.23</v>
          </cell>
        </row>
        <row r="2925">
          <cell r="A2925" t="str">
            <v>P.30.000.091017</v>
          </cell>
          <cell r="B2925" t="str">
            <v>Conector de emenda tipo BNC para cabo coaxial RG 59</v>
          </cell>
          <cell r="C2925" t="str">
            <v>UN</v>
          </cell>
          <cell r="D2925">
            <v>6.56</v>
          </cell>
        </row>
        <row r="2926">
          <cell r="A2926" t="str">
            <v>P.31.000.049508</v>
          </cell>
          <cell r="B2926" t="str">
            <v>Cruzeta em madeira de 90 x 112,5 x 2000mm</v>
          </cell>
          <cell r="C2926" t="str">
            <v>UN</v>
          </cell>
          <cell r="D2926">
            <v>255.55</v>
          </cell>
        </row>
        <row r="2927">
          <cell r="A2927" t="str">
            <v>P.31.000.049509</v>
          </cell>
          <cell r="B2927" t="str">
            <v>Cruzeta em madeira de 2400mm</v>
          </cell>
          <cell r="C2927" t="str">
            <v>UN</v>
          </cell>
          <cell r="D2927">
            <v>275.27</v>
          </cell>
        </row>
        <row r="2928">
          <cell r="A2928" t="str">
            <v>P.31.000.049514</v>
          </cell>
          <cell r="B2928" t="str">
            <v>Sela para cruzeta de madeira</v>
          </cell>
          <cell r="C2928" t="str">
            <v>UN</v>
          </cell>
          <cell r="D2928">
            <v>19.309999999999999</v>
          </cell>
        </row>
        <row r="2929">
          <cell r="A2929" t="str">
            <v>Q.01.000.029068</v>
          </cell>
          <cell r="B2929" t="str">
            <v>Plataforma para elevação até 1,00m nas dimensões 900x1400mm - percurso até 1,00m de altura</v>
          </cell>
          <cell r="C2929" t="str">
            <v>CJ</v>
          </cell>
          <cell r="D2929">
            <v>27850.73</v>
          </cell>
        </row>
        <row r="2930">
          <cell r="A2930" t="str">
            <v>Q.01.000.029069</v>
          </cell>
          <cell r="B2930" t="str">
            <v>Plataforma para elevação até 2,00m nas dimensões 900x1400mm - percurso superior a 1,00m de altura</v>
          </cell>
          <cell r="C2930" t="str">
            <v>CJ</v>
          </cell>
          <cell r="D2930">
            <v>28161.32</v>
          </cell>
        </row>
        <row r="2931">
          <cell r="A2931" t="str">
            <v>Q.01.000.029079</v>
          </cell>
          <cell r="B2931" t="str">
            <v>Plataforma para elevação até 4,00m, nas dimensões 1100x1400mm, porta de 900mm, capacidade mínima 325kg</v>
          </cell>
          <cell r="C2931" t="str">
            <v>CJ</v>
          </cell>
          <cell r="D2931">
            <v>82176.59</v>
          </cell>
        </row>
        <row r="2932">
          <cell r="A2932" t="str">
            <v>Q.01.000.031441</v>
          </cell>
          <cell r="B2932" t="str">
            <v>Ar condicionado a frio, tipo split parede, capacidade de 12.000 BTU/h, com controle remoto, ref. Samsung, Carrier, LG, Consul ou equivalente</v>
          </cell>
          <cell r="C2932" t="str">
            <v>CJ</v>
          </cell>
          <cell r="D2932">
            <v>2918.2</v>
          </cell>
        </row>
        <row r="2933">
          <cell r="A2933" t="str">
            <v>Q.01.000.032300</v>
          </cell>
          <cell r="B2933" t="str">
            <v>Ar condicionado a frio, tipo split parede, capacidade de 18.000 BTU/h, com controle remoto, ref. Samsung, Carrier, LG, Consul ou equivalente</v>
          </cell>
          <cell r="C2933" t="str">
            <v>CJ</v>
          </cell>
          <cell r="D2933">
            <v>4076.82</v>
          </cell>
        </row>
        <row r="2934">
          <cell r="A2934" t="str">
            <v>Q.01.000.032302</v>
          </cell>
          <cell r="B2934" t="str">
            <v>Ar condicionado a frio, tipo split cassete, capacidade de 18.000 BTU/h, com controle remoto, ref. Samsung, Carrier, LG, Consul ou equivalente</v>
          </cell>
          <cell r="C2934" t="str">
            <v>CJ</v>
          </cell>
          <cell r="D2934">
            <v>7100.7</v>
          </cell>
        </row>
        <row r="2935">
          <cell r="A2935" t="str">
            <v>Q.01.000.032322</v>
          </cell>
          <cell r="B2935" t="str">
            <v>Ventilador centrífugo de dupla aspiração "limite-load" vazão 20.000 m³/h, pressão 50 mmCA - 380/660 V / 60 Hz, ref. CLD 560 da Projelmec ou equivalente</v>
          </cell>
          <cell r="C2935" t="str">
            <v>UN</v>
          </cell>
          <cell r="D2935">
            <v>14491.97</v>
          </cell>
        </row>
        <row r="2936">
          <cell r="A2936" t="str">
            <v>Q.01.000.047537</v>
          </cell>
          <cell r="B2936" t="str">
            <v>Insuflador de ar compacto para renovação de ar em ambientes, com filtros classe G4 (branco) + filtro classe M5 (azul) vazão máxima 54 m³/h ou com 2 filtros classe G4 vazão máxima 93 m³/h, conforme Lei 13.589/2018; ref. Splitvent Sicflux ou equivalente</v>
          </cell>
          <cell r="C2936" t="str">
            <v>UN</v>
          </cell>
          <cell r="D2936">
            <v>322.39999999999998</v>
          </cell>
        </row>
        <row r="2937">
          <cell r="A2937" t="str">
            <v>Q.01.000.047538</v>
          </cell>
          <cell r="B2937" t="str">
            <v>Exaustor elétrico doméstico para banheiro, estrutura em plástico, potência 13 a 20W, vazão nominal livre 150 a 190m³/h, ref. B12 Plus da Cata, Silent 200cz da Soler &amp; Palau, Ventokit 150 da Westaflex, Inline-190 da Sicflux ou equivalente</v>
          </cell>
          <cell r="C2937" t="str">
            <v>UN</v>
          </cell>
          <cell r="D2937">
            <v>419.75</v>
          </cell>
        </row>
        <row r="2938">
          <cell r="A2938" t="str">
            <v>Q.01.000.091400</v>
          </cell>
          <cell r="B2938" t="str">
            <v>Ar condicionado a frio, tipo split parede, capacidade de 30.000 BTU/h, com controle remoto, ref. Samsung, Carrier, LG, Consul ou equivalente</v>
          </cell>
          <cell r="C2938" t="str">
            <v>CJ</v>
          </cell>
          <cell r="D2938">
            <v>6938.27</v>
          </cell>
        </row>
        <row r="2939">
          <cell r="A2939" t="str">
            <v>Q.01.000.091550</v>
          </cell>
          <cell r="B2939" t="str">
            <v>Ar condicionado a frio, tipo split parede, capacidade de 24.000 BTU/h, com controle remoto, ref. Samsung, Carrier, LG, Consul ou equivalente</v>
          </cell>
          <cell r="C2939" t="str">
            <v>CJ</v>
          </cell>
          <cell r="D2939">
            <v>6662.81</v>
          </cell>
        </row>
        <row r="2940">
          <cell r="A2940" t="str">
            <v>Q.01.000.091675</v>
          </cell>
          <cell r="B2940" t="str">
            <v>Ar condicionado a frio, tipo split cassete, capacidade de 24.000 BTU/h, com controle remoto, ref. Samsung, Carrier, LG, Consul ou equivalente</v>
          </cell>
          <cell r="C2940" t="str">
            <v>CJ</v>
          </cell>
          <cell r="D2940">
            <v>8455.25</v>
          </cell>
        </row>
        <row r="2941">
          <cell r="A2941" t="str">
            <v>Q.01.000.091676</v>
          </cell>
          <cell r="B2941" t="str">
            <v>Ar condicionado a frio, tipo split cassete, capacidade de 36.000 BTU/h, com controle remoto, ref. Samsung, Carrier, LG, Consul ou equivalente</v>
          </cell>
          <cell r="C2941" t="str">
            <v>CJ</v>
          </cell>
          <cell r="D2941">
            <v>11920.22</v>
          </cell>
        </row>
        <row r="2942">
          <cell r="A2942" t="str">
            <v>Q.01.000.091678</v>
          </cell>
          <cell r="B2942" t="str">
            <v>Ar condicionado a frio, tipo split piso teto, capacidade de 24.000 BTU/h, com controle remoto, ref. Samsung, Carrier, LG, Consul ou equivalente</v>
          </cell>
          <cell r="C2942" t="str">
            <v>CJ</v>
          </cell>
          <cell r="D2942">
            <v>6324.23</v>
          </cell>
        </row>
        <row r="2943">
          <cell r="A2943" t="str">
            <v>Q.01.000.091679</v>
          </cell>
          <cell r="B2943" t="str">
            <v>Ar condicionado a frio, tipo split piso teto, capacidade de 36.000 BTU/h, com controle remoto, ref. Samsung, Carrier, LG, Consul ou equivalente</v>
          </cell>
          <cell r="C2943" t="str">
            <v>CJ</v>
          </cell>
          <cell r="D2943">
            <v>9547.2199999999993</v>
          </cell>
        </row>
        <row r="2944">
          <cell r="A2944" t="str">
            <v>Q.01.000.098098</v>
          </cell>
          <cell r="B2944" t="str">
            <v>Ar condicionado a frio, tipo split piso teto, capacidade de 48.000 BTU/h, com controle remoto; ref. Hitachi, Elgin, Carrier ou equivalente</v>
          </cell>
          <cell r="C2944" t="str">
            <v>CJ</v>
          </cell>
          <cell r="D2944">
            <v>12021.72</v>
          </cell>
        </row>
        <row r="2945">
          <cell r="A2945" t="str">
            <v>Q.01.000.098201</v>
          </cell>
          <cell r="B2945" t="str">
            <v>Cortina de ar com duas velocidades, para vão 1,20 m, ref. Springer, Elgin ou equivalente</v>
          </cell>
          <cell r="C2945" t="str">
            <v>CJ</v>
          </cell>
          <cell r="D2945">
            <v>1016.38</v>
          </cell>
        </row>
        <row r="2946">
          <cell r="A2946" t="str">
            <v>Q.01.000.098203</v>
          </cell>
          <cell r="B2946" t="str">
            <v>Cortina de ar com duas velocidades, para vão 1,50 m, ref. Springer, Elgin ou equivalente</v>
          </cell>
          <cell r="C2946" t="str">
            <v>CJ</v>
          </cell>
          <cell r="D2946">
            <v>1213.92</v>
          </cell>
        </row>
        <row r="2947">
          <cell r="A2947" t="str">
            <v>Q.02.000.024314</v>
          </cell>
          <cell r="B2947" t="str">
            <v>Câmara frigorífica para resfriados</v>
          </cell>
          <cell r="C2947" t="str">
            <v>M2</v>
          </cell>
          <cell r="D2947">
            <v>2143.16</v>
          </cell>
        </row>
        <row r="2948">
          <cell r="A2948" t="str">
            <v>Q.02.000.091438</v>
          </cell>
          <cell r="B2948" t="str">
            <v>Câmara frigorífica para congelados</v>
          </cell>
          <cell r="C2948" t="str">
            <v>M2</v>
          </cell>
          <cell r="D2948">
            <v>2583.02</v>
          </cell>
        </row>
        <row r="2949">
          <cell r="A2949" t="str">
            <v>Q.03.000.020669</v>
          </cell>
          <cell r="B2949" t="str">
            <v>Sistema de tratamento de águas cinzas e aproveitamento de águas pluviais para reuso em fins não potáveis, vazão 2m³/h; ref. Acquaciclus ou equivalente</v>
          </cell>
          <cell r="C2949" t="str">
            <v>UN</v>
          </cell>
          <cell r="D2949">
            <v>112668.85</v>
          </cell>
        </row>
        <row r="2950">
          <cell r="A2950" t="str">
            <v>Q.04.000.031001</v>
          </cell>
          <cell r="B2950" t="str">
            <v>Unidade Condensadora VRF para sistema de ar condicionado, capacidade até 6 TR</v>
          </cell>
          <cell r="C2950" t="str">
            <v>UN</v>
          </cell>
          <cell r="D2950">
            <v>45653.72</v>
          </cell>
        </row>
        <row r="2951">
          <cell r="A2951" t="str">
            <v>Q.04.000.031002</v>
          </cell>
          <cell r="B2951" t="str">
            <v>Unidade Condensadora VRF para sistema de ar condicionado, capacidade de 8 TR a 10 TR</v>
          </cell>
          <cell r="C2951" t="str">
            <v>UN</v>
          </cell>
          <cell r="D2951">
            <v>52773.67</v>
          </cell>
        </row>
        <row r="2952">
          <cell r="A2952" t="str">
            <v>Q.04.000.031003</v>
          </cell>
          <cell r="B2952" t="str">
            <v>Unidade Condensadora VRF para sistema de ar condicionado, capacidade de 11 TR a 13 TR</v>
          </cell>
          <cell r="C2952" t="str">
            <v>UN</v>
          </cell>
          <cell r="D2952">
            <v>60976.09</v>
          </cell>
        </row>
        <row r="2953">
          <cell r="A2953" t="str">
            <v>Q.04.000.031004</v>
          </cell>
          <cell r="B2953" t="str">
            <v>Unidade Condensadora VRF para sistema de ar condicionado, capacidade de 14 TR a 16 TR</v>
          </cell>
          <cell r="C2953" t="str">
            <v>UN</v>
          </cell>
          <cell r="D2953">
            <v>67950.960000000006</v>
          </cell>
        </row>
        <row r="2954">
          <cell r="A2954" t="str">
            <v>Q.04.000.031006</v>
          </cell>
          <cell r="B2954" t="str">
            <v>Resfriador de líquidos chiller refrigerado a ar (condensação a ar) controlado por microprocessador, com compressor tipo Scroll, capacidade de  80 TR, ref. Aquasnap modelo 30RBA  da Carrier ou equivalente</v>
          </cell>
          <cell r="C2954" t="str">
            <v>UN</v>
          </cell>
          <cell r="D2954">
            <v>271396.81</v>
          </cell>
        </row>
        <row r="2955">
          <cell r="A2955" t="str">
            <v>Q.04.000.031016</v>
          </cell>
          <cell r="B2955" t="str">
            <v>Resfriadora de líquidos (chiller), com compressor e condensação a ar, capacidade de 20 TR</v>
          </cell>
          <cell r="C2955" t="str">
            <v>UN</v>
          </cell>
          <cell r="D2955">
            <v>81254.559999999998</v>
          </cell>
        </row>
        <row r="2956">
          <cell r="A2956" t="str">
            <v>Q.04.000.031017</v>
          </cell>
          <cell r="B2956" t="str">
            <v>Resfriador de líquidos chiller refrigerado a ar (condensação a ar) controlado por microprocessador, com compressor tipo Scroll, capacidade de 160 TR, ref. Aquasnap 30RB-A 170-446 da Carrier ou equivalente - instalado</v>
          </cell>
          <cell r="C2956" t="str">
            <v>UN</v>
          </cell>
          <cell r="D2956">
            <v>477103.01</v>
          </cell>
        </row>
        <row r="2957">
          <cell r="A2957" t="str">
            <v>Q.04.000.031020</v>
          </cell>
          <cell r="B2957" t="str">
            <v>Unidade Evaporadora VRF para sistema de ar condicionado, tipo hiwall, capacidade de 1 TR</v>
          </cell>
          <cell r="C2957" t="str">
            <v>UN</v>
          </cell>
          <cell r="D2957">
            <v>4389.62</v>
          </cell>
        </row>
        <row r="2958">
          <cell r="A2958" t="str">
            <v>Q.04.000.031021</v>
          </cell>
          <cell r="B2958" t="str">
            <v>Unidade Evaporadora VRF para sistema de ar condicionado, tipo hiwall, capacidade de 2 TR</v>
          </cell>
          <cell r="C2958" t="str">
            <v>UN</v>
          </cell>
          <cell r="D2958">
            <v>5675.02</v>
          </cell>
        </row>
        <row r="2959">
          <cell r="A2959" t="str">
            <v>Q.04.000.031022</v>
          </cell>
          <cell r="B2959" t="str">
            <v>Unidade Evaporadora VRF para sistema de ar condicionado, tipo hiwall, capacidade de 3 TR</v>
          </cell>
          <cell r="C2959" t="str">
            <v>UN</v>
          </cell>
          <cell r="D2959">
            <v>7630.65</v>
          </cell>
        </row>
        <row r="2960">
          <cell r="A2960" t="str">
            <v>Q.04.000.031030</v>
          </cell>
          <cell r="B2960" t="str">
            <v>Unidade Evaporadora VRF para sistema de ar condicionado, tipo piso teto, capacidade de 1 TR</v>
          </cell>
          <cell r="C2960" t="str">
            <v>UN</v>
          </cell>
          <cell r="D2960">
            <v>4886.66</v>
          </cell>
        </row>
        <row r="2961">
          <cell r="A2961" t="str">
            <v>Q.04.000.031031</v>
          </cell>
          <cell r="B2961" t="str">
            <v>Unidade Evaporadora VRF para sistema de ar condicionado, tipo piso teto, capacidade de 2 TR</v>
          </cell>
          <cell r="C2961" t="str">
            <v>UN</v>
          </cell>
          <cell r="D2961">
            <v>5626.81</v>
          </cell>
        </row>
        <row r="2962">
          <cell r="A2962" t="str">
            <v>Q.04.000.031032</v>
          </cell>
          <cell r="B2962" t="str">
            <v>Unidade Evaporadora VRF para sistema de ar condicionado, tipo piso teto, capacidade de 3 TR</v>
          </cell>
          <cell r="C2962" t="str">
            <v>UN</v>
          </cell>
          <cell r="D2962">
            <v>6680.42</v>
          </cell>
        </row>
        <row r="2963">
          <cell r="A2963" t="str">
            <v>Q.04.000.031033</v>
          </cell>
          <cell r="B2963" t="str">
            <v>Unidade Evaporadora VRF para sistema de ar condicionado, tipo piso teto, capacidade de 4 TR</v>
          </cell>
          <cell r="C2963" t="str">
            <v>UN</v>
          </cell>
          <cell r="D2963">
            <v>7737.41</v>
          </cell>
        </row>
        <row r="2964">
          <cell r="A2964" t="str">
            <v>Q.04.000.031040</v>
          </cell>
          <cell r="B2964" t="str">
            <v>Unidade Evaporadora VRF para sistema de ar condicionado, tipo cassete, capacidade de 1 TR</v>
          </cell>
          <cell r="C2964" t="str">
            <v>UN</v>
          </cell>
          <cell r="D2964">
            <v>4509.9399999999996</v>
          </cell>
        </row>
        <row r="2965">
          <cell r="A2965" t="str">
            <v>Q.04.000.031041</v>
          </cell>
          <cell r="B2965" t="str">
            <v>Unidade Evaporadora VRF para sistema de ar condicionado, tipo cassete, capacidade de 2 TR</v>
          </cell>
          <cell r="C2965" t="str">
            <v>UN</v>
          </cell>
          <cell r="D2965">
            <v>5123.88</v>
          </cell>
        </row>
        <row r="2966">
          <cell r="A2966" t="str">
            <v>Q.04.000.031042</v>
          </cell>
          <cell r="B2966" t="str">
            <v>Unidade Evaporadora VRF para sistema de ar condicionado, tipo cassete, capacidade de 3 TR</v>
          </cell>
          <cell r="C2966" t="str">
            <v>UN</v>
          </cell>
          <cell r="D2966">
            <v>5561.41</v>
          </cell>
        </row>
        <row r="2967">
          <cell r="A2967" t="str">
            <v>Q.04.000.031043</v>
          </cell>
          <cell r="B2967" t="str">
            <v>Unidade Evaporadora VRF para sistema de ar condicionado, tipo cassete, capacidade de 4 TR</v>
          </cell>
          <cell r="C2967" t="str">
            <v>UN</v>
          </cell>
          <cell r="D2967">
            <v>5743.82</v>
          </cell>
        </row>
        <row r="2968">
          <cell r="A2968" t="str">
            <v>Q.04.000.031301</v>
          </cell>
          <cell r="B2968" t="str">
            <v>Caixa ventiladora com ventilador centrífugo 10.000 m³/h, pressão 30mmca - 220 / 380 V / 60HZ; ref. Sirocco ou equivalente</v>
          </cell>
          <cell r="C2968" t="str">
            <v>UN</v>
          </cell>
          <cell r="D2968">
            <v>6928.42</v>
          </cell>
        </row>
        <row r="2969">
          <cell r="A2969" t="str">
            <v>Q.04.000.031400</v>
          </cell>
          <cell r="B2969" t="str">
            <v>Duto flexível em alumínio, seção circular, isolado termicamente com lã de vidro de 25 mm; ref. Isodec RT 10 cm (4") Multivac ou equivalente</v>
          </cell>
          <cell r="C2969" t="str">
            <v>M</v>
          </cell>
          <cell r="D2969">
            <v>13.72</v>
          </cell>
        </row>
        <row r="2970">
          <cell r="A2970" t="str">
            <v>Q.04.000.031401</v>
          </cell>
          <cell r="B2970" t="str">
            <v>Duto flexível em alumínio, seção circular, isolado termicamente com lã de vidro de 25 mm; ref. Isodec RT 15 cm (6") Multivac ou equivalente</v>
          </cell>
          <cell r="C2970" t="str">
            <v>M</v>
          </cell>
          <cell r="D2970">
            <v>20.67</v>
          </cell>
        </row>
        <row r="2971">
          <cell r="A2971" t="str">
            <v>Q.04.000.031402</v>
          </cell>
          <cell r="B2971" t="str">
            <v>Duto flexível em alumínio, seção circular, isolado termicamente com lã de vidro de 25 mm; ref. Isodec RT 20 cm (8") Multivac ou equivalente</v>
          </cell>
          <cell r="C2971" t="str">
            <v>M</v>
          </cell>
          <cell r="D2971">
            <v>21.83</v>
          </cell>
        </row>
        <row r="2972">
          <cell r="A2972" t="str">
            <v>Q.04.000.031404</v>
          </cell>
          <cell r="B2972" t="str">
            <v>Damper Corta Fogo tipo comporta, formato circular ou retangular, com elemento fusível e chave fim de curso, referência comercial série FKA-TI-BR-120 fabricante TROX ou equivalente</v>
          </cell>
          <cell r="C2972" t="str">
            <v>M2</v>
          </cell>
          <cell r="D2972">
            <v>6815.07</v>
          </cell>
        </row>
        <row r="2973">
          <cell r="A2973" t="str">
            <v>Q.04.000.031408</v>
          </cell>
          <cell r="B2973" t="str">
            <v>Difusor de jato de ar orientável, de longo alcance, tipo Jet-Nozzles, formato redondo, para insuflamento de ar, em alumínio pintado com esmalte sintético, vazão de ar 1.330 m³/h, ref. DUE-S de 400 da Trox ou equivalente</v>
          </cell>
          <cell r="C2973" t="str">
            <v>UN</v>
          </cell>
          <cell r="D2973">
            <v>1231.52</v>
          </cell>
        </row>
        <row r="2974">
          <cell r="A2974" t="str">
            <v>Q.04.000.031409</v>
          </cell>
          <cell r="B2974" t="str">
            <v>Damper de regulagem manual, modelo RG-B; tamanho: 0,10 m² a 0,14 m²; referência comercial: Trox, Difus-ar ou equivalente</v>
          </cell>
          <cell r="C2974" t="str">
            <v>M2</v>
          </cell>
          <cell r="D2974">
            <v>2043.51</v>
          </cell>
        </row>
        <row r="2975">
          <cell r="A2975" t="str">
            <v>Q.04.000.031410</v>
          </cell>
          <cell r="B2975" t="str">
            <v>Tanque de expansão, capacidade (volume mínimo) de 250 litros, completo, para compensação da dilatação térmica da água no sistema de ar condicionado central, ref. modelo Statico 250 l da Imi-Hydronic, TAP-250 V da Schneider ou equivalente</v>
          </cell>
          <cell r="C2975" t="str">
            <v>UN</v>
          </cell>
          <cell r="D2975">
            <v>9575.85</v>
          </cell>
        </row>
        <row r="2976">
          <cell r="A2976" t="str">
            <v>Q.04.000.031415</v>
          </cell>
          <cell r="B2976" t="str">
            <v>Registro de regulagem de vazão de ar, tipo OB, confeccionado em chapa galvanizada pintada com esmalte sintético, medindo 40 x 5 cm, ref. RG fabricante Trox ou equivalente</v>
          </cell>
          <cell r="C2976" t="str">
            <v>UN</v>
          </cell>
          <cell r="D2976">
            <v>187.26</v>
          </cell>
        </row>
        <row r="2977">
          <cell r="A2977" t="str">
            <v>Q.04.000.031416</v>
          </cell>
          <cell r="B2977" t="str">
            <v>Damper de regulagem manual, modelo RG-B; tamanho: 0,15 m² a 0,20 m²; ref. Trox, Difus-ar ou equivalente</v>
          </cell>
          <cell r="C2977" t="str">
            <v>M2</v>
          </cell>
          <cell r="D2977">
            <v>1724.69</v>
          </cell>
        </row>
        <row r="2978">
          <cell r="A2978" t="str">
            <v>Q.04.000.031417</v>
          </cell>
          <cell r="B2978" t="str">
            <v>Difusor de insuflação de ar, tipo direcional, medindo 30 x 30 cm, ref. DQ-32 da Trox ou equivalente</v>
          </cell>
          <cell r="C2978" t="str">
            <v>UN</v>
          </cell>
          <cell r="D2978">
            <v>376.96</v>
          </cell>
        </row>
        <row r="2979">
          <cell r="A2979" t="str">
            <v>Q.04.000.031418</v>
          </cell>
          <cell r="B2979" t="str">
            <v>Damper de regulagem manual, modelo RG-B; tamanho: 0,21 m² a 0,40 m²; ref. Trox, Difus-ar ou equivalente</v>
          </cell>
          <cell r="C2979" t="str">
            <v>M2</v>
          </cell>
          <cell r="D2979">
            <v>1344.06</v>
          </cell>
        </row>
        <row r="2980">
          <cell r="A2980" t="str">
            <v>Q.04.000.031419</v>
          </cell>
          <cell r="B2980" t="str">
            <v>Difusor de insuflação de ar, tipo direcional, medindo 45 x 15 cm, ref. DI-RG-32 da Trox ou equivalente</v>
          </cell>
          <cell r="C2980" t="str">
            <v>UN</v>
          </cell>
          <cell r="D2980">
            <v>295.23</v>
          </cell>
        </row>
        <row r="2981">
          <cell r="A2981" t="str">
            <v>Q.04.000.031425</v>
          </cell>
          <cell r="B2981" t="str">
            <v>Difusor para insuflamento de ar com plenum, modelo ADLK-S-AG, tamanhos 2,3,4,e 5; ref. Trox ou equivalente</v>
          </cell>
          <cell r="C2981" t="str">
            <v>M2</v>
          </cell>
          <cell r="D2981">
            <v>4319.93</v>
          </cell>
        </row>
        <row r="2982">
          <cell r="A2982" t="str">
            <v>Q.04.000.031426</v>
          </cell>
          <cell r="B2982" t="str">
            <v>Difusor para insuflamento de ar com plenum, modelo ALS-DS com 2 aberturas, tamanho 200 cm; ref. Trox ou equivalente</v>
          </cell>
          <cell r="C2982" t="str">
            <v>M</v>
          </cell>
          <cell r="D2982">
            <v>4710.45</v>
          </cell>
        </row>
        <row r="2983">
          <cell r="A2983" t="str">
            <v>Q.04.000.031427</v>
          </cell>
          <cell r="B2983" t="str">
            <v>Difusor de plástico, modelo DVK-R, diâmetro 15 cm; ref. Multivac ou equivalente</v>
          </cell>
          <cell r="C2983" t="str">
            <v>UN</v>
          </cell>
          <cell r="D2983">
            <v>94.17</v>
          </cell>
        </row>
        <row r="2984">
          <cell r="A2984" t="str">
            <v>Q.04.000.031428</v>
          </cell>
          <cell r="B2984" t="str">
            <v>Difusor de plástico, modelo DVK-R, diâmetro 20 cm; ref. Multivac ou equivalente</v>
          </cell>
          <cell r="C2984" t="str">
            <v>UN</v>
          </cell>
          <cell r="D2984">
            <v>135</v>
          </cell>
        </row>
        <row r="2985">
          <cell r="A2985" t="str">
            <v>Q.04.000.031429</v>
          </cell>
          <cell r="B2985" t="str">
            <v>Grelha de retorno/exaustão com registro, modelo AR-AG; tamanho: 0,03 m² a 0,06 m²</v>
          </cell>
          <cell r="C2985" t="str">
            <v>M2</v>
          </cell>
          <cell r="D2985">
            <v>2648</v>
          </cell>
        </row>
        <row r="2986">
          <cell r="A2986" t="str">
            <v>Q.04.000.031430</v>
          </cell>
          <cell r="B2986" t="str">
            <v>Grelha de retorno/exaustão com registro, modelo AR-AG; tamanho: 0,07 m² a 0,13 m²</v>
          </cell>
          <cell r="C2986" t="str">
            <v>M2</v>
          </cell>
          <cell r="D2986">
            <v>1926.68</v>
          </cell>
        </row>
        <row r="2987">
          <cell r="A2987" t="str">
            <v>Q.04.000.031431</v>
          </cell>
          <cell r="B2987" t="str">
            <v>Grelha de retorno/exaustão com registro, modelo AR-AG; tamanho: 0,14 m² a 0,19 m²</v>
          </cell>
          <cell r="C2987" t="str">
            <v>M2</v>
          </cell>
          <cell r="D2987">
            <v>1543.57</v>
          </cell>
        </row>
        <row r="2988">
          <cell r="A2988" t="str">
            <v>Q.04.000.031432</v>
          </cell>
          <cell r="B2988" t="str">
            <v>Grelha de retorno/exaustão com registro, modelo AR-AG; tamanho: 0,20 m² a 0,40 m²</v>
          </cell>
          <cell r="C2988" t="str">
            <v>M2</v>
          </cell>
          <cell r="D2988">
            <v>1377.11</v>
          </cell>
        </row>
        <row r="2989">
          <cell r="A2989" t="str">
            <v>Q.04.000.031433</v>
          </cell>
          <cell r="B2989" t="str">
            <v>Grelha de retorno/exaustão com registro, modelo AR-AG; tamanho: 0,41 m² a 0,65 m²</v>
          </cell>
          <cell r="C2989" t="str">
            <v>M2</v>
          </cell>
          <cell r="D2989">
            <v>1224.81</v>
          </cell>
        </row>
        <row r="2990">
          <cell r="A2990" t="str">
            <v>Q.04.000.031434</v>
          </cell>
          <cell r="B2990" t="str">
            <v>Grelha de porta, modelo AGS-T; tamanho: 0,03 m² a 0,06 m²</v>
          </cell>
          <cell r="C2990" t="str">
            <v>M2</v>
          </cell>
          <cell r="D2990">
            <v>3943.82</v>
          </cell>
        </row>
        <row r="2991">
          <cell r="A2991" t="str">
            <v>Q.04.000.031435</v>
          </cell>
          <cell r="B2991" t="str">
            <v>Grelha de porta, modelo AGS-T; tamanho: 0,07 m² a 0,13 m²</v>
          </cell>
          <cell r="C2991" t="str">
            <v>M2</v>
          </cell>
          <cell r="D2991">
            <v>2270.0700000000002</v>
          </cell>
        </row>
        <row r="2992">
          <cell r="A2992" t="str">
            <v>Q.04.000.031436</v>
          </cell>
          <cell r="B2992" t="str">
            <v>Grelha de porta, modelo AGS-T; tamanho: 0,14 m² a 0,30 m²</v>
          </cell>
          <cell r="C2992" t="str">
            <v>M2</v>
          </cell>
          <cell r="D2992">
            <v>1766.23</v>
          </cell>
        </row>
        <row r="2993">
          <cell r="A2993" t="str">
            <v>Q.04.000.031440</v>
          </cell>
          <cell r="B2993" t="str">
            <v>Grelha de insuflação ou retorno, dupla deflexão e registro, lâminas convergentes, aletas verticais ajustáveis individualmente, em alumínio anodizado, tamanho: acima de 0,5 até 1,0 m²; ref. mod. VAT-DG da Trox ou equivalente</v>
          </cell>
          <cell r="C2993" t="str">
            <v>M2</v>
          </cell>
          <cell r="D2993">
            <v>1818.21</v>
          </cell>
        </row>
        <row r="2994">
          <cell r="A2994" t="str">
            <v>Q.04.000.031441</v>
          </cell>
          <cell r="B2994" t="str">
            <v>Grelha de insuflação ou retorno, dupla deflexão e registro, lâminas convergentes, aletas verticais ajustáveis individualmente, em alumínio anodizado, tamanho: acima de 0,1 até 0,5 m²; ref. mod. VAT-DG da Trox ou equivalente</v>
          </cell>
          <cell r="C2994" t="str">
            <v>M2</v>
          </cell>
          <cell r="D2994">
            <v>2319.23</v>
          </cell>
        </row>
        <row r="2995">
          <cell r="A2995" t="str">
            <v>Q.04.000.031442</v>
          </cell>
          <cell r="B2995" t="str">
            <v>Grelha de insuflação ou retorno, dupla deflexão e registro, lâminas convergentes, aletas verticais ajustáveis individualmente, em alumínio anodizado, tamanho: até 0,1 m²; ref. mod. VAT-DG da Trox ou equivalente</v>
          </cell>
          <cell r="C2995" t="str">
            <v>M2</v>
          </cell>
          <cell r="D2995">
            <v>3412.1</v>
          </cell>
        </row>
        <row r="2996">
          <cell r="A2996" t="str">
            <v>Q.04.000.031443</v>
          </cell>
          <cell r="B2996" t="str">
            <v>Painel rígido em lã de vidro, alta densidade, dimensões 2,70x1,20m, espessura de 25mm, revestidos face externa FSK (Foil Scrim Kraft aluminizado) e face interna tecido de vidro preto; ref. Climaver Acustic da Isover ou equivalente</v>
          </cell>
          <cell r="C2996" t="str">
            <v>M2</v>
          </cell>
          <cell r="D2996">
            <v>100.1</v>
          </cell>
        </row>
        <row r="2997">
          <cell r="A2997" t="str">
            <v>Q.04.000.032307</v>
          </cell>
          <cell r="B2997" t="str">
            <v>Caixa ventiladora tipo compacta em estrutura e painéis em aço galvanizado, contendo ventilador centrífugo de dupla aspiração e motor elétrico para acionamento, vazão de 4.600 m³/hora e pressão estática de 30 mmca</v>
          </cell>
          <cell r="C2997" t="str">
            <v>UN</v>
          </cell>
          <cell r="D2997">
            <v>5046.42</v>
          </cell>
        </row>
        <row r="2998">
          <cell r="A2998" t="str">
            <v>Q.04.000.032309</v>
          </cell>
          <cell r="B2998" t="str">
            <v>Caixa ventiladora tipo compacta em estrutura e painéis em aço galvanizado, contendo ventilador centrífugo de dupla aspiração e motor elétrico para acionamento, vazão de 28.000 m³/h e pressão estática de 30 mmca</v>
          </cell>
          <cell r="C2998" t="str">
            <v>UN</v>
          </cell>
          <cell r="D2998">
            <v>18571.71</v>
          </cell>
        </row>
        <row r="2999">
          <cell r="A2999" t="str">
            <v>Q.04.000.032311</v>
          </cell>
          <cell r="B2999" t="str">
            <v>Resfriadora de líquidos, compressor Screw/parafuso (chiller), condensação à ar, capacidade 120 TR, compacto, com tubulações, fiações e controles internos, 380V/60Hz, ref. 30 RB-A Carrier, R407C série SAZ mod. RCU120SAZ4A7P Chiller Hitachi ou equivalente</v>
          </cell>
          <cell r="C2999" t="str">
            <v>UN</v>
          </cell>
          <cell r="D2999">
            <v>468696.47</v>
          </cell>
        </row>
        <row r="3000">
          <cell r="A3000" t="str">
            <v>Q.04.000.032314</v>
          </cell>
          <cell r="B3000" t="str">
            <v>Caixa ventiladora com ventilador centrífugo 8.800 m³/h e motor 2,2 kW - tensão 220/380V/60Hz, pressão 35 mmCA</v>
          </cell>
          <cell r="C3000" t="str">
            <v>UN</v>
          </cell>
          <cell r="D3000">
            <v>10258.56</v>
          </cell>
        </row>
        <row r="3001">
          <cell r="A3001" t="str">
            <v>Q.04.000.032316</v>
          </cell>
          <cell r="B3001" t="str">
            <v>Caixa ventiladora com ventilador centrífugo 1.710 m³/h e motor 0,55 kW - tensão 220/380V/60Hz, pressão 35 mmCA; ref. Projelmec ou equivalente</v>
          </cell>
          <cell r="C3001" t="str">
            <v>UN</v>
          </cell>
          <cell r="D3001">
            <v>3508.15</v>
          </cell>
        </row>
        <row r="3002">
          <cell r="A3002" t="str">
            <v>Q.04.000.032317</v>
          </cell>
          <cell r="B3002" t="str">
            <v>Caixa ventiladora com ventilador centrífugo 1.190 m³/h e tensão 220/380V/60Hz, pressão 37 mmCA; ref. GV-SVDL 155 da Motovent ou equivalente</v>
          </cell>
          <cell r="C3002" t="str">
            <v>UN</v>
          </cell>
          <cell r="D3002">
            <v>3962.85</v>
          </cell>
        </row>
        <row r="3003">
          <cell r="A3003" t="str">
            <v>Q.04.000.032319</v>
          </cell>
          <cell r="B3003" t="str">
            <v>Resfriadora de líquidos com compressor Screw/parafuso (chiller), condensação à ar, capac. 200-210 TR, compacto, c/tubulações, fiações e controles internos, 380V/60Hz; ref. 30 RB-A Carrier, R407C série SAZ mod. RCU210SAZ4A7P chiller Hitachi ou equivalente</v>
          </cell>
          <cell r="C3003" t="str">
            <v>UN</v>
          </cell>
          <cell r="D3003">
            <v>671650.81</v>
          </cell>
        </row>
        <row r="3004">
          <cell r="A3004" t="str">
            <v>Q.04.000.032321</v>
          </cell>
          <cell r="B3004" t="str">
            <v>Tratamento de ar compacta fancolete hidrônico tp cassette, com ventiladores centrífugos dupla aspiração, kit grelha e motor elétrico, estrutura e painéis plástico alta resistência, refrigeração 20.000 Btu/h - 1,6 TR, ref. 40HK-20 Carrier ou equivalente</v>
          </cell>
          <cell r="C3004" t="str">
            <v>UN</v>
          </cell>
          <cell r="D3004">
            <v>5065.1499999999996</v>
          </cell>
        </row>
        <row r="3005">
          <cell r="A3005" t="str">
            <v>Q.04.000.032323</v>
          </cell>
          <cell r="B3005" t="str">
            <v>Tratamento de ar compacta fancolete hidrônico tp cassette, com ventiladores centrífugos dupla aspiração, kit grelha e motor elétrico, estrutura e painéis plástico alta resistência, refrigeração 25.000 Btu/h - 2,1 TR, ref. 40HK-25 Carrier ou equivalente</v>
          </cell>
          <cell r="C3005" t="str">
            <v>UN</v>
          </cell>
          <cell r="D3005">
            <v>5289.15</v>
          </cell>
        </row>
        <row r="3006">
          <cell r="A3006" t="str">
            <v>Q.04.000.032324</v>
          </cell>
          <cell r="B3006" t="str">
            <v>Tratamento ar compacta fancolete hidrônico tipo cassette, com ventiladores centrífugos dupla aspiração, kit grelha e motor elétrico, estrutura e painéis de plástico alta resistência, refrigeração 32.000 Btu/h - 2,6 TR, ref. 40HK-32 Carrier ou equivalente</v>
          </cell>
          <cell r="C3006" t="str">
            <v>UN</v>
          </cell>
          <cell r="D3006">
            <v>5521.45</v>
          </cell>
        </row>
        <row r="3007">
          <cell r="A3007" t="str">
            <v>Q.04.000.032325</v>
          </cell>
          <cell r="B3007" t="str">
            <v>Tratamento ar compacta fancolete hidrônico, piso-teto, serpentina, filtros ar, ventiladores/motores elétricos, revest. isolamento térmico/acústico, vazão 637m³/h, refrig 14.000Btu/h - 1,2TR 220V/1Ph/60Hz; ref. 42LS14 Carrier ou equivalente</v>
          </cell>
          <cell r="C3007" t="str">
            <v>UN</v>
          </cell>
          <cell r="D3007">
            <v>6239.19</v>
          </cell>
        </row>
        <row r="3008">
          <cell r="A3008" t="str">
            <v>Q.04.000.032327</v>
          </cell>
          <cell r="B3008" t="str">
            <v>Tratamento ar compacta fancolete hidrônico, piso-teto, serpentina, filtros ar, ventiladores/motores elétricos, revest. isolamento térmico/acústico, vazão 1.215m³/h, refrig. 25.000Btu/h, 2,1TR 220V/1Ph/60Hz; ref. Carrier ou equivalente</v>
          </cell>
          <cell r="C3008" t="str">
            <v>UN</v>
          </cell>
          <cell r="D3008">
            <v>6367.07</v>
          </cell>
        </row>
        <row r="3009">
          <cell r="A3009" t="str">
            <v>Q.04.000.032329</v>
          </cell>
          <cell r="B3009" t="str">
            <v>Tratamento ar compacta fancolete hidrônico, piso-teto, serpentina, filtros ar, ventiladores/motores elétricos, revest. isolamento térmico/acústico, vazão 1.758m³/h, refrigeração 36.000Btu/h, 3TR 220V/1Ph/60Hz; ref. Carrier ou equivalente</v>
          </cell>
          <cell r="C3009" t="str">
            <v>UN</v>
          </cell>
          <cell r="D3009">
            <v>6363.29</v>
          </cell>
        </row>
        <row r="3010">
          <cell r="A3010" t="str">
            <v>Q.04.000.032331</v>
          </cell>
          <cell r="B3010" t="str">
            <v>Tratamento ar compacta fancolete hidrônico, piso-teto, serpentina, filtros ar, ventiladores/motores elétricos, revest. isolamento térmico/acústico, vazão 2.166m³/h, refrig 48.000Btu/h-4TR 220V/1Ph/60Hz; ref. Carrier, Hitachi ou equivalente</v>
          </cell>
          <cell r="C3010" t="str">
            <v>UN</v>
          </cell>
          <cell r="D3010">
            <v>6793.74</v>
          </cell>
        </row>
        <row r="3011">
          <cell r="A3011" t="str">
            <v>Q.04.000.032333</v>
          </cell>
          <cell r="B3011" t="str">
            <v>Tratamento de ar fan-coil tipo Air Handling Unit de concepção modular, capacidade de 10 TR, ref. TKM-227 10TR - 50mmca Trox, modelo YE/10 fabricante York ou equivalente</v>
          </cell>
          <cell r="C3011" t="str">
            <v>UN</v>
          </cell>
          <cell r="D3011">
            <v>22918.46</v>
          </cell>
        </row>
        <row r="3012">
          <cell r="A3012" t="str">
            <v>Q.04.000.032335</v>
          </cell>
          <cell r="B3012" t="str">
            <v>Tratamento de ar fan-coil tipo Air Handling Unit de concepção modular, capacidade de 40 TR, ref. TKM-227 40TR - 50mmca Trox, modelo YE/40 fabricante York ou equivalente</v>
          </cell>
          <cell r="C3012" t="str">
            <v>UN</v>
          </cell>
          <cell r="D3012">
            <v>64190.59</v>
          </cell>
        </row>
        <row r="3013">
          <cell r="A3013" t="str">
            <v>Q.04.000.032337</v>
          </cell>
          <cell r="B3013" t="str">
            <v>Tratamento de ar fan-coil tipo Air Handling Unit de concepção modular, capacidade de 50 TR, ref. TKM-227 50TR - 50mmca Trox, modelo TCA-LQ-50/8ROWS Hitachi ou equivalente</v>
          </cell>
          <cell r="C3013" t="str">
            <v>UN</v>
          </cell>
          <cell r="D3013">
            <v>58437.35</v>
          </cell>
        </row>
        <row r="3014">
          <cell r="A3014" t="str">
            <v>Q.04.000.032340</v>
          </cell>
          <cell r="B3014" t="str">
            <v>Unidades de Tratamento de ar (fan-coil) - 4.000 m³/h - 6TR, pressão estática externa 50mmCA; ref. Carrier, Constarco ou equivalente</v>
          </cell>
          <cell r="C3014" t="str">
            <v>UN</v>
          </cell>
          <cell r="D3014">
            <v>19989.169999999998</v>
          </cell>
        </row>
        <row r="3015">
          <cell r="A3015" t="str">
            <v>Q.04.000.032344</v>
          </cell>
          <cell r="B3015" t="str">
            <v>Válvula de balanceamento diâmetro 1 " a 2-1/2"</v>
          </cell>
          <cell r="C3015" t="str">
            <v>UN</v>
          </cell>
          <cell r="D3015">
            <v>1045.6099999999999</v>
          </cell>
        </row>
        <row r="3016">
          <cell r="A3016" t="str">
            <v>Q.04.000.032345</v>
          </cell>
          <cell r="B3016" t="str">
            <v>Válvula borboleta na configuração wafer motorizada atuador floating diâmetro 3'' a 4"</v>
          </cell>
          <cell r="C3016" t="str">
            <v>UN</v>
          </cell>
          <cell r="D3016">
            <v>3027.47</v>
          </cell>
        </row>
        <row r="3017">
          <cell r="A3017" t="str">
            <v>Q.04.000.032346</v>
          </cell>
          <cell r="B3017" t="str">
            <v>Atuador Floating de 40Nm, sinal de controle 3 e 2 pontos, tensão de entrada AC/DC 24V, IP 54</v>
          </cell>
          <cell r="C3017" t="str">
            <v>UN</v>
          </cell>
          <cell r="D3017">
            <v>2570.0100000000002</v>
          </cell>
        </row>
        <row r="3018">
          <cell r="A3018" t="str">
            <v>Q.04.000.032347</v>
          </cell>
          <cell r="B3018" t="str">
            <v>Válvula motorizada de esfera, com duas vias atuador floating; diâmetro de 1 1/2" a 3/4"; ref. EMO-85M-24+S6064 da Actua Controls, CN7510A2001+VB02 1/2"' e 3/4"' da Honeywell,  B239+ARB24-3 da Belimo ou equivalente</v>
          </cell>
          <cell r="C3018" t="str">
            <v>UN</v>
          </cell>
          <cell r="D3018">
            <v>2561.5</v>
          </cell>
        </row>
        <row r="3019">
          <cell r="A3019" t="str">
            <v>Q.04.000.032348</v>
          </cell>
          <cell r="B3019" t="str">
            <v>Válvula duas vias on/off retorno elétrico, diâmetro 1/2" a 3/4"; ref. ACTBV80S-215/ACTBV80S-220 da Actua ou equivalente</v>
          </cell>
          <cell r="C3019" t="str">
            <v>UN</v>
          </cell>
          <cell r="D3019">
            <v>394.61</v>
          </cell>
        </row>
        <row r="3020">
          <cell r="A3020" t="str">
            <v>Q.04.000.032349</v>
          </cell>
          <cell r="B3020" t="str">
            <v>Válvula esfera motorizada de duas vias de atuador proporcional diâmetro 2" a 2 1/2"</v>
          </cell>
          <cell r="C3020" t="str">
            <v>UN</v>
          </cell>
          <cell r="D3020">
            <v>2514.92</v>
          </cell>
        </row>
        <row r="3021">
          <cell r="A3021" t="str">
            <v>Q.04.000.032350</v>
          </cell>
          <cell r="B3021" t="str">
            <v>Atuador proporcional de 10 Nm, tensão de entrada AC/DC 24 V, IP 54</v>
          </cell>
          <cell r="C3021" t="str">
            <v>UN</v>
          </cell>
          <cell r="D3021">
            <v>1150.6500000000001</v>
          </cell>
        </row>
        <row r="3022">
          <cell r="A3022" t="str">
            <v>Q.04.000.032351</v>
          </cell>
          <cell r="B3022" t="str">
            <v>Válvula esfera duas vias flangeada Ø3''</v>
          </cell>
          <cell r="C3022" t="str">
            <v>UN</v>
          </cell>
          <cell r="D3022">
            <v>2559.9499999999998</v>
          </cell>
        </row>
        <row r="3023">
          <cell r="A3023" t="str">
            <v>Q.04.000.032357</v>
          </cell>
          <cell r="B3023" t="str">
            <v>Veneziana com tela, anodizado natural, com filtro G4 e furos; referência comercial modelo AWG fabricantes Trox, Difus-ar ou equivalente</v>
          </cell>
          <cell r="C3023" t="str">
            <v>M2</v>
          </cell>
          <cell r="D3023">
            <v>1389.74</v>
          </cell>
        </row>
        <row r="3024">
          <cell r="A3024" t="str">
            <v>Q.04.000.032358</v>
          </cell>
          <cell r="B3024" t="str">
            <v>Veneziana com tela, modelo AWG; referência comercial: Trox ou equivalente</v>
          </cell>
          <cell r="C3024" t="str">
            <v>M2</v>
          </cell>
          <cell r="D3024">
            <v>1512.67</v>
          </cell>
        </row>
        <row r="3025">
          <cell r="A3025" t="str">
            <v>Q.04.000.032359</v>
          </cell>
          <cell r="B3025" t="str">
            <v>Veneziana com tela, modelo AWG, tamanho 38,5x33 cm; referência comercial: Trox, Difus-ar ou equivalente</v>
          </cell>
          <cell r="C3025" t="str">
            <v>UN</v>
          </cell>
          <cell r="D3025">
            <v>207.3</v>
          </cell>
        </row>
        <row r="3026">
          <cell r="A3026" t="str">
            <v>Q.04.000.032360</v>
          </cell>
          <cell r="B3026" t="str">
            <v>Veneziana com tela, modelo AWG, tamanho 78,5x33 cm; referência comercial: Trox, Difus-ar ou equivalente</v>
          </cell>
          <cell r="C3026" t="str">
            <v>UN</v>
          </cell>
          <cell r="D3026">
            <v>321.10000000000002</v>
          </cell>
        </row>
        <row r="3027">
          <cell r="A3027" t="str">
            <v>R.02.000.038018</v>
          </cell>
          <cell r="B3027" t="str">
            <v>Óleo de linhaça</v>
          </cell>
          <cell r="C3027" t="str">
            <v>L</v>
          </cell>
          <cell r="D3027">
            <v>21.42</v>
          </cell>
        </row>
        <row r="3028">
          <cell r="A3028" t="str">
            <v>R.02.000.039013</v>
          </cell>
          <cell r="B3028" t="str">
            <v>Ácido muriático</v>
          </cell>
          <cell r="C3028" t="str">
            <v>L</v>
          </cell>
          <cell r="D3028">
            <v>11.09</v>
          </cell>
        </row>
        <row r="3029">
          <cell r="A3029" t="str">
            <v>R.02.000.039014</v>
          </cell>
          <cell r="B3029" t="str">
            <v>Graxa lubrificante pastosa</v>
          </cell>
          <cell r="C3029" t="str">
            <v>KG</v>
          </cell>
          <cell r="D3029">
            <v>45.41</v>
          </cell>
        </row>
        <row r="3030">
          <cell r="A3030" t="str">
            <v>R.03.000.020338</v>
          </cell>
          <cell r="B3030" t="str">
            <v>Tela tipo mosquiteira removível em fibra de vidro revestida em pvc, perfil alumínio, borracha EPDM, Kit fixação com 4 cantoneiras, travas e parafusos com buchas</v>
          </cell>
          <cell r="C3030" t="str">
            <v>M2</v>
          </cell>
          <cell r="D3030">
            <v>210.71</v>
          </cell>
        </row>
        <row r="3031">
          <cell r="A3031" t="str">
            <v>R.03.000.020341</v>
          </cell>
          <cell r="B3031" t="str">
            <v>Tela em poliéster, malha 2x2mm, gramatura mínima de 31g/m², estruturante para impermeabilização a frio; ref. Ernetex, Vedacit ou equivalente</v>
          </cell>
          <cell r="C3031" t="str">
            <v>M2</v>
          </cell>
          <cell r="D3031">
            <v>6.51</v>
          </cell>
        </row>
        <row r="3032">
          <cell r="A3032" t="str">
            <v>R.03.000.020342</v>
          </cell>
          <cell r="B3032" t="str">
            <v>Tela em polietileno, malha hexagonal de 1/2´, gramatura mínima de 205g/m², ref. Pinteiro 5110P ou 5111P da Nortene, ou equivalente</v>
          </cell>
          <cell r="C3032" t="str">
            <v>M2</v>
          </cell>
          <cell r="D3032">
            <v>5.64</v>
          </cell>
        </row>
        <row r="3033">
          <cell r="A3033" t="str">
            <v>R.03.000.027502</v>
          </cell>
          <cell r="B3033" t="str">
            <v>Tela em polietileno (nylon), malha 10x10cm - fio com espessura de 2 mm, instalada</v>
          </cell>
          <cell r="C3033" t="str">
            <v>M2</v>
          </cell>
          <cell r="D3033">
            <v>13.32</v>
          </cell>
        </row>
        <row r="3034">
          <cell r="A3034" t="str">
            <v>R.03.000.028049</v>
          </cell>
          <cell r="B3034" t="str">
            <v>Macrofibra estrutural polipropileno, resistência à tração&gt;=500MPa, E&gt;=5 Gpa, título até 5dtex, tenacidade mín. 5cN/dtex, deformação até 5cN/dtex e até 40%, perda massa por alcalinidade&lt;5%; ref. Politex Neomatex, Duristeel FF54 Concrefibra ou equivalente</v>
          </cell>
          <cell r="C3034" t="str">
            <v>KG</v>
          </cell>
          <cell r="D3034">
            <v>43.29</v>
          </cell>
        </row>
        <row r="3035">
          <cell r="A3035" t="str">
            <v>R.03.000.028050</v>
          </cell>
          <cell r="B3035" t="str">
            <v>Microfibra polimérica anticrack, resistência à tração &gt;= 500Mpa, E&gt;=5 Gpa, título até 5dtex, tenacidade mín. 5cN/dtex, deformação até 5cN/dtex e até 40%, perda massa por alcalinidade &lt; 5%; ref. Neofibra MF Neomatex, Fibralit-Co Concrefibra ou equivalente</v>
          </cell>
          <cell r="C3035" t="str">
            <v>KG</v>
          </cell>
          <cell r="D3035">
            <v>32.619999999999997</v>
          </cell>
        </row>
        <row r="3036">
          <cell r="A3036" t="str">
            <v>S.01.000.038760</v>
          </cell>
          <cell r="B3036" t="str">
            <v>Plantio de grama pelo processo hidrossemeadura</v>
          </cell>
          <cell r="C3036" t="str">
            <v>M2</v>
          </cell>
          <cell r="D3036">
            <v>16.489999999999998</v>
          </cell>
        </row>
        <row r="3037">
          <cell r="A3037" t="str">
            <v>S.01.000.080102</v>
          </cell>
          <cell r="B3037" t="str">
            <v>Caminhão com irrigadeira e autobomba, capacidade mínima de 6.000 litros - COND.D</v>
          </cell>
          <cell r="C3037" t="str">
            <v>H</v>
          </cell>
          <cell r="D3037">
            <v>219.71</v>
          </cell>
        </row>
        <row r="3038">
          <cell r="A3038" t="str">
            <v>S.01.000.080105</v>
          </cell>
          <cell r="B3038" t="str">
            <v>Vassoura mecânica - rebocada mecanicamente</v>
          </cell>
          <cell r="C3038" t="str">
            <v>H</v>
          </cell>
          <cell r="D3038">
            <v>75.17</v>
          </cell>
        </row>
        <row r="3039">
          <cell r="A3039" t="str">
            <v>S.01.000.080119</v>
          </cell>
          <cell r="B3039" t="str">
            <v>Trator com pneus industrial, agrícola com peso de 5 T</v>
          </cell>
          <cell r="C3039" t="str">
            <v>H</v>
          </cell>
          <cell r="D3039">
            <v>147.81</v>
          </cell>
        </row>
        <row r="3040">
          <cell r="A3040" t="str">
            <v>S.01.000.080125</v>
          </cell>
          <cell r="B3040" t="str">
            <v>Betoneira reversível com carregador, capacidade de 320 litros, acionamento do motor combustão interna (diesel e gasolina) ou motor elétrico Alfa 320</v>
          </cell>
          <cell r="C3040" t="str">
            <v>H</v>
          </cell>
          <cell r="D3040">
            <v>29.83</v>
          </cell>
        </row>
        <row r="3041">
          <cell r="A3041" t="str">
            <v>S.01.000.080129</v>
          </cell>
          <cell r="B3041" t="str">
            <v>Compressor de ar XA 125 MWD - COND. D</v>
          </cell>
          <cell r="C3041" t="str">
            <v>H</v>
          </cell>
          <cell r="D3041">
            <v>143.66999999999999</v>
          </cell>
        </row>
        <row r="3042">
          <cell r="A3042" t="str">
            <v>S.01.000.080149</v>
          </cell>
          <cell r="B3042" t="str">
            <v>Vibroacabadora de asfalto sobre esteiras, capacidade 400 ton/hora</v>
          </cell>
          <cell r="C3042" t="str">
            <v>H</v>
          </cell>
          <cell r="D3042">
            <v>322.26</v>
          </cell>
        </row>
        <row r="3043">
          <cell r="A3043" t="str">
            <v>S.01.000.080157</v>
          </cell>
          <cell r="B3043" t="str">
            <v>Rompedor Pneumático ATLAS COPCO TEX 32 PS</v>
          </cell>
          <cell r="C3043" t="str">
            <v>H</v>
          </cell>
          <cell r="D3043">
            <v>36.56</v>
          </cell>
        </row>
        <row r="3044">
          <cell r="A3044" t="str">
            <v>S.01.000.080178</v>
          </cell>
          <cell r="B3044" t="str">
            <v>Rolo compactador vibratório de um cilindro/PN 7T</v>
          </cell>
          <cell r="C3044" t="str">
            <v>H</v>
          </cell>
          <cell r="D3044">
            <v>155.1</v>
          </cell>
        </row>
        <row r="3045">
          <cell r="A3045" t="str">
            <v>S.01.000.080258</v>
          </cell>
          <cell r="B3045" t="str">
            <v>Caminhão carroceria em madeira, capacidade até 8 toneladas</v>
          </cell>
          <cell r="C3045" t="str">
            <v>H</v>
          </cell>
          <cell r="D3045">
            <v>225.06</v>
          </cell>
        </row>
        <row r="3046">
          <cell r="A3046" t="str">
            <v>S.01.000.080266</v>
          </cell>
          <cell r="B3046" t="str">
            <v>Pá-carregadeira retroescavadeira / carregadeira, capacidade de 0,77m³ - COND. D</v>
          </cell>
          <cell r="C3046" t="str">
            <v>H</v>
          </cell>
          <cell r="D3046">
            <v>154.87</v>
          </cell>
        </row>
        <row r="3047">
          <cell r="A3047" t="str">
            <v>S.01.000.080272</v>
          </cell>
          <cell r="B3047" t="str">
            <v>Escavadeira hidráulica sobre esteira 100 HP (74 kW)</v>
          </cell>
          <cell r="C3047" t="str">
            <v>H</v>
          </cell>
          <cell r="D3047">
            <v>491.48</v>
          </cell>
        </row>
        <row r="3048">
          <cell r="A3048" t="str">
            <v>S.01.000.080303</v>
          </cell>
          <cell r="B3048" t="str">
            <v>Trator sobre esteira com lamina/Ripper 2,28m³</v>
          </cell>
          <cell r="C3048" t="str">
            <v>H</v>
          </cell>
          <cell r="D3048">
            <v>424.97</v>
          </cell>
        </row>
        <row r="3049">
          <cell r="A3049" t="str">
            <v>S.01.000.080308</v>
          </cell>
          <cell r="B3049" t="str">
            <v>Caminhão basculante caçamba minério, capacidade de 8,0m³ - COND.D</v>
          </cell>
          <cell r="C3049" t="str">
            <v>H</v>
          </cell>
          <cell r="D3049">
            <v>256.69</v>
          </cell>
        </row>
        <row r="3050">
          <cell r="A3050" t="str">
            <v>S.01.000.080311</v>
          </cell>
          <cell r="B3050" t="str">
            <v>Caminhão basculante diesel com capacidade de 5 m³ - COND. D</v>
          </cell>
          <cell r="C3050" t="str">
            <v>H</v>
          </cell>
          <cell r="D3050">
            <v>211.33</v>
          </cell>
        </row>
        <row r="3051">
          <cell r="A3051" t="str">
            <v>S.01.000.080312</v>
          </cell>
          <cell r="B3051" t="str">
            <v>Caminhão espargidor, capacidade de 6.000 litros - COND.D</v>
          </cell>
          <cell r="C3051" t="str">
            <v>H</v>
          </cell>
          <cell r="D3051">
            <v>228.84</v>
          </cell>
        </row>
        <row r="3052">
          <cell r="A3052" t="str">
            <v>S.01.000.080330</v>
          </cell>
          <cell r="B3052" t="str">
            <v>Rolo compactador vibratório com pé de carneiro em aço, potência 121 a 127HP (90 a 93 kW), ref. CA25PD DYNAPAC ou equivalente</v>
          </cell>
          <cell r="C3052" t="str">
            <v>H</v>
          </cell>
          <cell r="D3052">
            <v>380.76</v>
          </cell>
        </row>
        <row r="3053">
          <cell r="A3053" t="str">
            <v>S.01.000.080332</v>
          </cell>
          <cell r="B3053" t="str">
            <v>Motoniveladora com escarificador potência 140HP (104kW), ref. CAT 120H da CATERPILLAR ou equivalente</v>
          </cell>
          <cell r="C3053" t="str">
            <v>H</v>
          </cell>
          <cell r="D3053">
            <v>302.10000000000002</v>
          </cell>
        </row>
        <row r="3054">
          <cell r="A3054" t="str">
            <v>S.01.000.080334</v>
          </cell>
          <cell r="B3054" t="str">
            <v>Placa vibratória impacto de 1.700 kg, com motor diesel, ou gasolina, ou elétrico, ref. Placa Vibratoria Dynapac CM13 da Flygt do Brasil ou equivalente</v>
          </cell>
          <cell r="C3054" t="str">
            <v>H</v>
          </cell>
          <cell r="D3054">
            <v>30.99</v>
          </cell>
        </row>
        <row r="3055">
          <cell r="A3055" t="str">
            <v>S.01.000.080337</v>
          </cell>
          <cell r="B3055" t="str">
            <v>Rolo compactador autopropelido, vibratório em aço, cilindros lisos em tandem, potência 80 HP (59 kW); ref. CC21 Dynapac 6 toneladas ou equivalente</v>
          </cell>
          <cell r="C3055" t="str">
            <v>H</v>
          </cell>
          <cell r="D3055">
            <v>191.24</v>
          </cell>
        </row>
        <row r="3056">
          <cell r="A3056" t="str">
            <v>S.01.000.080338</v>
          </cell>
          <cell r="B3056" t="str">
            <v>Rolo compactador de pneus para asfalto, capacidade 27 toneladas</v>
          </cell>
          <cell r="C3056" t="str">
            <v>H</v>
          </cell>
          <cell r="D3056">
            <v>241.14</v>
          </cell>
        </row>
        <row r="3057">
          <cell r="A3057" t="str">
            <v>S.01.000.080342</v>
          </cell>
          <cell r="B3057" t="str">
            <v>Trator de esteira lâmina reta/riper - 328HP, CATEPILLAR-D8R PS328 ou equivalente</v>
          </cell>
          <cell r="C3057" t="str">
            <v>H</v>
          </cell>
          <cell r="D3057">
            <v>727.81</v>
          </cell>
        </row>
        <row r="3058">
          <cell r="A3058" t="str">
            <v>S.01.000.080344</v>
          </cell>
          <cell r="B3058" t="str">
            <v>Trator sobre esteiras potência 76 a 88HP (56 a 64,9kW), ref. D4 da Komatsu ou equivalente</v>
          </cell>
          <cell r="C3058" t="str">
            <v>H</v>
          </cell>
          <cell r="D3058">
            <v>289.16000000000003</v>
          </cell>
        </row>
        <row r="3059">
          <cell r="A3059" t="str">
            <v>S.01.000.080349</v>
          </cell>
          <cell r="B3059" t="str">
            <v>Veículo com capacidade para 4 pessoas, pot. 1.000CC - Cond. D</v>
          </cell>
          <cell r="C3059" t="str">
            <v>H</v>
          </cell>
          <cell r="D3059">
            <v>77.900000000000006</v>
          </cell>
        </row>
        <row r="3060">
          <cell r="A3060" t="str">
            <v>S.01.000.080351</v>
          </cell>
          <cell r="B3060" t="str">
            <v>Guindauto MUNCK M-640/18 com lança telescópica capacidade 3750 kg</v>
          </cell>
          <cell r="C3060" t="str">
            <v>H</v>
          </cell>
          <cell r="D3060">
            <v>249.76</v>
          </cell>
        </row>
        <row r="3061">
          <cell r="A3061" t="str">
            <v>S.01.000.080352</v>
          </cell>
          <cell r="B3061" t="str">
            <v>Veículo utilitário com capacidade para 9 pessoas - 1.600 CC - COND.D</v>
          </cell>
          <cell r="C3061" t="str">
            <v>H</v>
          </cell>
          <cell r="D3061">
            <v>101.87</v>
          </cell>
        </row>
        <row r="3062">
          <cell r="A3062" t="str">
            <v>S.01.000.080357</v>
          </cell>
          <cell r="B3062" t="str">
            <v>Locação de estação total</v>
          </cell>
          <cell r="C3062" t="str">
            <v>H</v>
          </cell>
          <cell r="D3062">
            <v>15.47</v>
          </cell>
        </row>
        <row r="3063">
          <cell r="A3063" t="str">
            <v>S.01.000.080358</v>
          </cell>
          <cell r="B3063" t="str">
            <v>Locação de nível com tripé</v>
          </cell>
          <cell r="C3063" t="str">
            <v>H</v>
          </cell>
          <cell r="D3063">
            <v>0.73</v>
          </cell>
        </row>
        <row r="3064">
          <cell r="A3064" t="str">
            <v>S.01.000.081345</v>
          </cell>
          <cell r="B3064" t="str">
            <v>Fresadora, largura útil 1 m; ref. Fresadora Wirtgem 1000C ou equivalente</v>
          </cell>
          <cell r="C3064" t="str">
            <v>H</v>
          </cell>
          <cell r="D3064">
            <v>705.76</v>
          </cell>
        </row>
        <row r="3065">
          <cell r="A3065" t="str">
            <v>S.01.000.091701</v>
          </cell>
          <cell r="B3065" t="str">
            <v>Sinalização horizontal com resina vinílica ou acrílica</v>
          </cell>
          <cell r="C3065" t="str">
            <v>M2</v>
          </cell>
          <cell r="D3065">
            <v>34.9</v>
          </cell>
        </row>
        <row r="3066">
          <cell r="A3066" t="str">
            <v>S.01.000.091713</v>
          </cell>
          <cell r="B3066" t="str">
            <v>Colocação de placa em suporte de madeira / metálico - solo</v>
          </cell>
          <cell r="C3066" t="str">
            <v>M2</v>
          </cell>
          <cell r="D3066">
            <v>70.930000000000007</v>
          </cell>
        </row>
        <row r="3067">
          <cell r="A3067" t="str">
            <v>S.03.000.000001</v>
          </cell>
          <cell r="B3067" t="str">
            <v>Chapa em MDF cru, espessura de 2cm</v>
          </cell>
          <cell r="C3067" t="str">
            <v>M2</v>
          </cell>
          <cell r="D3067">
            <v>62.31</v>
          </cell>
        </row>
        <row r="3068">
          <cell r="A3068" t="str">
            <v>S.03.000.020120</v>
          </cell>
          <cell r="B3068" t="str">
            <v>Placa de advertência em chapa de alumínio, espessura 2mm, com pintura refletiva</v>
          </cell>
          <cell r="C3068" t="str">
            <v>M2</v>
          </cell>
          <cell r="D3068">
            <v>1152.01</v>
          </cell>
        </row>
        <row r="3069">
          <cell r="A3069" t="str">
            <v>S.03.000.026616</v>
          </cell>
          <cell r="B3069" t="str">
            <v>Cantoneira em alumínio</v>
          </cell>
          <cell r="C3069" t="str">
            <v>KG</v>
          </cell>
          <cell r="D3069">
            <v>35.700000000000003</v>
          </cell>
        </row>
        <row r="3070">
          <cell r="A3070" t="str">
            <v>S.03.000.026664</v>
          </cell>
          <cell r="B3070" t="str">
            <v>Chapa de aço galvanizado nas bitolas: nº 22, n° 24 e n° 26</v>
          </cell>
          <cell r="C3070" t="str">
            <v>KG</v>
          </cell>
          <cell r="D3070">
            <v>10.92</v>
          </cell>
        </row>
        <row r="3071">
          <cell r="A3071" t="str">
            <v>S.03.000.028009</v>
          </cell>
          <cell r="B3071" t="str">
            <v>Cola de contato para chapa vinílica / borracha</v>
          </cell>
          <cell r="C3071" t="str">
            <v>KG</v>
          </cell>
          <cell r="D3071">
            <v>53.89</v>
          </cell>
        </row>
        <row r="3072">
          <cell r="A3072" t="str">
            <v>S.03.000.028010</v>
          </cell>
          <cell r="B3072" t="str">
            <v>Silicone para envidraçamento estrutural, 280g</v>
          </cell>
          <cell r="C3072" t="str">
            <v>UN</v>
          </cell>
          <cell r="D3072">
            <v>21.89</v>
          </cell>
        </row>
        <row r="3073">
          <cell r="A3073" t="str">
            <v>S.03.000.028011</v>
          </cell>
          <cell r="B3073" t="str">
            <v>Perfil de borracha EPDM maciço de 12x15mm, para esquadrias</v>
          </cell>
          <cell r="C3073" t="str">
            <v>M</v>
          </cell>
          <cell r="D3073">
            <v>13.7</v>
          </cell>
        </row>
        <row r="3074">
          <cell r="A3074" t="str">
            <v>S.03.000.032568</v>
          </cell>
          <cell r="B3074" t="str">
            <v>Rodapé em mármore branco com espessura de 2 cm e altura de 7,0cm, acabamento polido</v>
          </cell>
          <cell r="C3074" t="str">
            <v>M</v>
          </cell>
          <cell r="D3074">
            <v>63.61</v>
          </cell>
        </row>
        <row r="3075">
          <cell r="A3075" t="str">
            <v>S.03.000.033070</v>
          </cell>
          <cell r="B3075" t="str">
            <v xml:space="preserve">Agente de cura, retardador de evaporação da água e protetor de umidade do concreto </v>
          </cell>
          <cell r="C3075" t="str">
            <v>KG</v>
          </cell>
          <cell r="D3075">
            <v>11.26</v>
          </cell>
        </row>
        <row r="3076">
          <cell r="A3076" t="str">
            <v>S.03.000.036002</v>
          </cell>
          <cell r="B3076" t="str">
            <v>Rodapé de madeira ipê/jatobá de 7 x 1,5 cm</v>
          </cell>
          <cell r="C3076" t="str">
            <v>M</v>
          </cell>
          <cell r="D3076">
            <v>27</v>
          </cell>
        </row>
        <row r="3077">
          <cell r="A3077" t="str">
            <v>S.03.000.036500</v>
          </cell>
          <cell r="B3077" t="str">
            <v>Tampão ferro dúctil de 300 x 300mm, classe 125 (ruptura &gt; 125 kN), conforme NBR 10160/2005</v>
          </cell>
          <cell r="C3077" t="str">
            <v>UN</v>
          </cell>
          <cell r="D3077">
            <v>110.69</v>
          </cell>
        </row>
        <row r="3078">
          <cell r="A3078" t="str">
            <v>S.03.000.040001</v>
          </cell>
          <cell r="B3078" t="str">
            <v>Poste concreto armado circular, H= 11m p/200kgf</v>
          </cell>
          <cell r="C3078" t="str">
            <v>UN</v>
          </cell>
          <cell r="D3078">
            <v>1460.4</v>
          </cell>
        </row>
        <row r="3079">
          <cell r="A3079" t="str">
            <v>S.03.000.040007</v>
          </cell>
          <cell r="B3079" t="str">
            <v>Poste concreto armado circular, H= 9m p/300kgf</v>
          </cell>
          <cell r="C3079" t="str">
            <v>UN</v>
          </cell>
          <cell r="D3079">
            <v>910.79</v>
          </cell>
        </row>
        <row r="3080">
          <cell r="A3080" t="str">
            <v>S.03.000.040009</v>
          </cell>
          <cell r="B3080" t="str">
            <v>Poste concreto armado circular, H= 9m p/400kgf</v>
          </cell>
          <cell r="C3080" t="str">
            <v>UN</v>
          </cell>
          <cell r="D3080">
            <v>1089.19</v>
          </cell>
        </row>
        <row r="3081">
          <cell r="A3081" t="str">
            <v>S.03.000.042306</v>
          </cell>
          <cell r="B3081" t="str">
            <v>Placa de sinalização em chapa de aço N.16, com pintura refletiva "Perigo Alta Tensão"</v>
          </cell>
          <cell r="C3081" t="str">
            <v>M2</v>
          </cell>
          <cell r="D3081">
            <v>924</v>
          </cell>
        </row>
        <row r="3082">
          <cell r="A3082" t="str">
            <v>S.03.000.049580</v>
          </cell>
          <cell r="B3082" t="str">
            <v>Cortadora de pavimento concreto/asfalto, motor a gasolina, potência 13HP, com disco de corte adiamantado segmentado para concreto, Ø 350mm - CHP diurno</v>
          </cell>
          <cell r="C3082" t="str">
            <v>H</v>
          </cell>
          <cell r="D3082">
            <v>9.82</v>
          </cell>
        </row>
        <row r="3083">
          <cell r="A3083" t="str">
            <v>S.03.000.060255</v>
          </cell>
          <cell r="B3083" t="str">
            <v>Anel pré-moldado em concreto, diâmetro externo de 0,80 m, h= 0,50 m</v>
          </cell>
          <cell r="C3083" t="str">
            <v>UN</v>
          </cell>
          <cell r="D3083">
            <v>167.49</v>
          </cell>
        </row>
        <row r="3084">
          <cell r="A3084" t="str">
            <v>S.03.000.061192</v>
          </cell>
          <cell r="B3084" t="str">
            <v>Curva 45° em aço galvanizado, rosca macho/fêmea, Ø 2 1/2´</v>
          </cell>
          <cell r="C3084" t="str">
            <v>UN</v>
          </cell>
          <cell r="D3084">
            <v>186.76</v>
          </cell>
        </row>
        <row r="3085">
          <cell r="A3085" t="str">
            <v>S.03.000.061193</v>
          </cell>
          <cell r="B3085" t="str">
            <v>Curva 90° em aço galvanizado, rosca fêmea/fêmea, Ø 2 1/2´</v>
          </cell>
          <cell r="C3085" t="str">
            <v>UN</v>
          </cell>
          <cell r="D3085">
            <v>239.08</v>
          </cell>
        </row>
        <row r="3086">
          <cell r="A3086" t="str">
            <v>S.03.000.080127</v>
          </cell>
          <cell r="B3086" t="str">
            <v>Máquina projetora de concreto</v>
          </cell>
          <cell r="C3086" t="str">
            <v>H</v>
          </cell>
          <cell r="D3086">
            <v>25.93</v>
          </cell>
        </row>
        <row r="3087">
          <cell r="A3087" t="str">
            <v>S.03.000.080128</v>
          </cell>
          <cell r="B3087" t="str">
            <v>Compressor de ar rebocável, vazão 748pcm, motor a diesel, pot. 210cv</v>
          </cell>
          <cell r="C3087" t="str">
            <v>H</v>
          </cell>
          <cell r="D3087">
            <v>202.76</v>
          </cell>
        </row>
        <row r="3088">
          <cell r="A3088" t="str">
            <v>S.03.000.080129</v>
          </cell>
          <cell r="B3088" t="str">
            <v>Máquina extrusora de concreto para guias e sarjetas, motor a diesel, potência 14cv</v>
          </cell>
          <cell r="C3088" t="str">
            <v>H</v>
          </cell>
          <cell r="D3088">
            <v>19.47</v>
          </cell>
        </row>
        <row r="3089">
          <cell r="A3089" t="str">
            <v>S.03.000.080130</v>
          </cell>
          <cell r="B3089" t="str">
            <v>Régua vibradora dupla para concreto a gasolina 5,5 Hp, peso de 60 kg, comprimento 4 m</v>
          </cell>
          <cell r="C3089" t="str">
            <v>H</v>
          </cell>
          <cell r="D3089">
            <v>9.93</v>
          </cell>
        </row>
        <row r="3090">
          <cell r="A3090" t="str">
            <v>S.03.000.080328</v>
          </cell>
          <cell r="B3090" t="str">
            <v>Guindaste hidráulico autopropelido, com lança telescópica, para espaços limitados, tração 4x4, capacidade acima de 30 ton, potência 97 KW</v>
          </cell>
          <cell r="C3090" t="str">
            <v>H</v>
          </cell>
          <cell r="D3090">
            <v>225.48</v>
          </cell>
        </row>
        <row r="3091">
          <cell r="A3091" t="str">
            <v>S.03.000.085678</v>
          </cell>
          <cell r="B3091" t="str">
            <v>Retroescavadeira sobre rodas com carregadeira, tração 4x4, potência liquida 88 HP, peso operacional mínimo 6674 kg capacidade da carregadeira de 1 m³ e da retroescavadeira mínima de 0,26 m³, profundidade de escavação máxima de 4,37 m</v>
          </cell>
          <cell r="C3091" t="str">
            <v>H</v>
          </cell>
          <cell r="D3091">
            <v>163.28</v>
          </cell>
        </row>
        <row r="3092">
          <cell r="A3092" t="str">
            <v>S.04.000.020160</v>
          </cell>
          <cell r="B3092" t="str">
            <v>Batente de alumínio para divisória</v>
          </cell>
          <cell r="C3092" t="str">
            <v>M</v>
          </cell>
          <cell r="D3092">
            <v>53.23</v>
          </cell>
        </row>
        <row r="3093">
          <cell r="A3093" t="str">
            <v>S.04.000.020379</v>
          </cell>
          <cell r="B3093" t="str">
            <v>Tubo de papelão para forma com diâmetro de 45 cm</v>
          </cell>
          <cell r="C3093" t="str">
            <v>M</v>
          </cell>
          <cell r="D3093">
            <v>233.15</v>
          </cell>
        </row>
        <row r="3094">
          <cell r="A3094" t="str">
            <v>S.04.000.020750</v>
          </cell>
          <cell r="B3094" t="str">
            <v>Mão de obra / equipamentos mecânico e rotativo / corte / laser</v>
          </cell>
          <cell r="C3094" t="str">
            <v>M2</v>
          </cell>
          <cell r="D3094">
            <v>41.1</v>
          </cell>
        </row>
        <row r="3095">
          <cell r="A3095" t="str">
            <v>S.04.000.021027</v>
          </cell>
          <cell r="B3095" t="str">
            <v>Vigas em cambará, cedrinho, eucalipto-citriodora, eucalipto-saligna, garapa, cupiúba, itaúba, de 6,0 x 16,0cm</v>
          </cell>
          <cell r="C3095" t="str">
            <v>M</v>
          </cell>
          <cell r="D3095">
            <v>36.770000000000003</v>
          </cell>
        </row>
        <row r="3096">
          <cell r="A3096" t="str">
            <v>S.04.000.021028</v>
          </cell>
          <cell r="B3096" t="str">
            <v>Madeira serrada G1-C6</v>
          </cell>
          <cell r="C3096" t="str">
            <v>M3</v>
          </cell>
          <cell r="D3096">
            <v>3972.3</v>
          </cell>
        </row>
        <row r="3097">
          <cell r="A3097" t="str">
            <v>S.04.000.021087</v>
          </cell>
          <cell r="B3097" t="str">
            <v>Chapa compensada plastificada de 12 mm de espessura</v>
          </cell>
          <cell r="C3097" t="str">
            <v>M2</v>
          </cell>
          <cell r="D3097">
            <v>39.46</v>
          </cell>
        </row>
        <row r="3098">
          <cell r="A3098" t="str">
            <v>S.04.000.021093</v>
          </cell>
          <cell r="B3098" t="str">
            <v>Locação de andaime torre metálico (1,5x1,5m), com piso metálico</v>
          </cell>
          <cell r="C3098" t="str">
            <v>MXMES</v>
          </cell>
          <cell r="D3098">
            <v>23.39</v>
          </cell>
        </row>
        <row r="3099">
          <cell r="A3099" t="str">
            <v>S.04.000.021094</v>
          </cell>
          <cell r="B3099" t="str">
            <v>Locação de andaime tubular fachadeiro, largura mínima de 1,00 m com piso metálico e sapatas ajustáveis</v>
          </cell>
          <cell r="C3099" t="str">
            <v>M2XME</v>
          </cell>
          <cell r="D3099">
            <v>19.93</v>
          </cell>
        </row>
        <row r="3100">
          <cell r="A3100" t="str">
            <v>S.04.000.021235</v>
          </cell>
          <cell r="B3100" t="str">
            <v>Tubo de papelão para forma com diâmetro de 30 cm</v>
          </cell>
          <cell r="C3100" t="str">
            <v>M</v>
          </cell>
          <cell r="D3100">
            <v>145.13999999999999</v>
          </cell>
        </row>
        <row r="3101">
          <cell r="A3101" t="str">
            <v>S.04.000.021236</v>
          </cell>
          <cell r="B3101" t="str">
            <v>Tubo de papelão para forma com diâmetro de 50 cm</v>
          </cell>
          <cell r="C3101" t="str">
            <v>M</v>
          </cell>
          <cell r="D3101">
            <v>209.33</v>
          </cell>
        </row>
        <row r="3102">
          <cell r="A3102" t="str">
            <v>S.04.000.021238</v>
          </cell>
          <cell r="B3102" t="str">
            <v>Tubo de papelão para forma com diâmetro de 25 cm</v>
          </cell>
          <cell r="C3102" t="str">
            <v>M</v>
          </cell>
          <cell r="D3102">
            <v>86.43</v>
          </cell>
        </row>
        <row r="3103">
          <cell r="A3103" t="str">
            <v>S.04.000.021239</v>
          </cell>
          <cell r="B3103" t="str">
            <v>Tubo de papelão para forma com diâmetro de 35 cm</v>
          </cell>
          <cell r="C3103" t="str">
            <v>M</v>
          </cell>
          <cell r="D3103">
            <v>176.07</v>
          </cell>
        </row>
        <row r="3104">
          <cell r="A3104" t="str">
            <v>S.04.000.021240</v>
          </cell>
          <cell r="B3104" t="str">
            <v>Tubo de papelão para fôrma com diâmetro de 40 cm</v>
          </cell>
          <cell r="C3104" t="str">
            <v>M</v>
          </cell>
          <cell r="D3104">
            <v>207.4</v>
          </cell>
        </row>
        <row r="3105">
          <cell r="A3105" t="str">
            <v>S.04.000.021531</v>
          </cell>
          <cell r="B3105" t="str">
            <v>Barra de transferência em aço liso, diâmetro de 12,5 mm e comprimento de 35 cm</v>
          </cell>
          <cell r="C3105" t="str">
            <v>UN</v>
          </cell>
          <cell r="D3105">
            <v>4.26</v>
          </cell>
        </row>
        <row r="3106">
          <cell r="A3106" t="str">
            <v>S.04.000.022069</v>
          </cell>
          <cell r="B3106" t="str">
            <v>Espaçador treliçado de aço, H= 5 cm</v>
          </cell>
          <cell r="C3106" t="str">
            <v>M</v>
          </cell>
          <cell r="D3106">
            <v>7.63</v>
          </cell>
        </row>
        <row r="3107">
          <cell r="A3107" t="str">
            <v>S.04.000.023626</v>
          </cell>
          <cell r="B3107" t="str">
            <v>Forro em fibra mineral com placas acústicas removíveis de 625 x 625mm; ref. linha Sahara NRC0.60, borda T24 da OWA do Brasil ou equivalente - instalado</v>
          </cell>
          <cell r="C3107" t="str">
            <v>M2</v>
          </cell>
          <cell r="D3107">
            <v>280.47000000000003</v>
          </cell>
        </row>
        <row r="3108">
          <cell r="A3108" t="str">
            <v>S.04.000.024045</v>
          </cell>
          <cell r="B3108" t="str">
            <v>Disco diamantado para máquinas serra-mármore</v>
          </cell>
          <cell r="C3108" t="str">
            <v>UN</v>
          </cell>
          <cell r="D3108">
            <v>43.5</v>
          </cell>
        </row>
        <row r="3109">
          <cell r="A3109" t="str">
            <v>S.04.000.024123</v>
          </cell>
          <cell r="B3109" t="str">
            <v>Fibra de polipropileno corrugada, monofilamento 600g/m³, para concreto; ref. Degussa (Masterfiber), Fitesa (Polycret MF) ou equivalente</v>
          </cell>
          <cell r="C3109" t="str">
            <v>KG</v>
          </cell>
          <cell r="D3109">
            <v>38.14</v>
          </cell>
        </row>
        <row r="3110">
          <cell r="A3110" t="str">
            <v>S.04.000.026514</v>
          </cell>
          <cell r="B3110" t="str">
            <v>Parafuso auto-atarraxante com fenda, zincado branco de 9,5 x 2,9 mm</v>
          </cell>
          <cell r="C3110" t="str">
            <v>UN</v>
          </cell>
          <cell r="D3110">
            <v>0.05</v>
          </cell>
        </row>
        <row r="3111">
          <cell r="A3111" t="str">
            <v>S.04.000.026601</v>
          </cell>
          <cell r="B3111" t="str">
            <v>Perfil ´U´ enrijecido (60x45x20)mm chapa 14 galvanizado</v>
          </cell>
          <cell r="C3111" t="str">
            <v>M</v>
          </cell>
          <cell r="D3111">
            <v>44.28</v>
          </cell>
        </row>
        <row r="3112">
          <cell r="A3112" t="str">
            <v>S.04.000.026621</v>
          </cell>
          <cell r="B3112" t="str">
            <v>Ferro chato galvanizado 3/1" x 1/8"</v>
          </cell>
          <cell r="C3112" t="str">
            <v>M</v>
          </cell>
          <cell r="D3112">
            <v>6.81</v>
          </cell>
        </row>
        <row r="3113">
          <cell r="A3113" t="str">
            <v>S.04.000.026727</v>
          </cell>
          <cell r="B3113" t="str">
            <v>Parafuso auto-atarraxante 5,5x38mm com arruela e bucha tipo S8</v>
          </cell>
          <cell r="C3113" t="str">
            <v>CJ</v>
          </cell>
          <cell r="D3113">
            <v>0.81</v>
          </cell>
        </row>
        <row r="3114">
          <cell r="A3114" t="str">
            <v>S.04.000.026728</v>
          </cell>
          <cell r="B3114" t="str">
            <v>Parafuso em inoxidável auto-atarraxante sextavado M6x50mm com bucha plástica tipo S6</v>
          </cell>
          <cell r="C3114" t="str">
            <v>CJ</v>
          </cell>
          <cell r="D3114">
            <v>1.32</v>
          </cell>
        </row>
        <row r="3115">
          <cell r="A3115" t="str">
            <v>S.04.000.026818</v>
          </cell>
          <cell r="B3115" t="str">
            <v>Perfil tubular galvanizado 30x30mm, espessura 3mm</v>
          </cell>
          <cell r="C3115" t="str">
            <v>M</v>
          </cell>
          <cell r="D3115">
            <v>42.08</v>
          </cell>
        </row>
        <row r="3116">
          <cell r="A3116" t="str">
            <v>S.04.000.027499</v>
          </cell>
          <cell r="B3116" t="str">
            <v>Galvanização a frio (tinta rica em zinco)</v>
          </cell>
          <cell r="C3116" t="str">
            <v>L</v>
          </cell>
          <cell r="D3116">
            <v>308.25</v>
          </cell>
        </row>
        <row r="3117">
          <cell r="A3117" t="str">
            <v>S.04.000.027515</v>
          </cell>
          <cell r="B3117" t="str">
            <v>Placas pré-moldada em concreto dimensões (1,60x0,60x0,03m)</v>
          </cell>
          <cell r="C3117" t="str">
            <v>M</v>
          </cell>
          <cell r="D3117">
            <v>90.66</v>
          </cell>
        </row>
        <row r="3118">
          <cell r="A3118" t="str">
            <v>S.04.000.028017</v>
          </cell>
          <cell r="B3118" t="str">
            <v>Endurecedor superficial para concreto</v>
          </cell>
          <cell r="C3118" t="str">
            <v>KG</v>
          </cell>
          <cell r="D3118">
            <v>21.82</v>
          </cell>
        </row>
        <row r="3119">
          <cell r="A3119" t="str">
            <v>S.04.000.028073</v>
          </cell>
          <cell r="B3119" t="str">
            <v>Cola para piso vinílico</v>
          </cell>
          <cell r="C3119" t="str">
            <v>L</v>
          </cell>
          <cell r="D3119">
            <v>63.15</v>
          </cell>
        </row>
        <row r="3120">
          <cell r="A3120" t="str">
            <v>S.04.000.031142</v>
          </cell>
          <cell r="B3120" t="str">
            <v>Porta/balcão tipo basculante em chapa de aço galvanizado n° 16 (MSG), com acionamento manual</v>
          </cell>
          <cell r="C3120" t="str">
            <v>M2</v>
          </cell>
          <cell r="D3120">
            <v>995.24</v>
          </cell>
        </row>
        <row r="3121">
          <cell r="A3121" t="str">
            <v>S.04.000.031215</v>
          </cell>
          <cell r="B3121" t="str">
            <v>Ferro trabalhado</v>
          </cell>
          <cell r="C3121" t="str">
            <v>KG</v>
          </cell>
          <cell r="D3121">
            <v>75.650000000000006</v>
          </cell>
        </row>
        <row r="3122">
          <cell r="A3122" t="str">
            <v>S.04.000.031547</v>
          </cell>
          <cell r="B3122" t="str">
            <v>Elevador para passageiros, uso interno com capacidade mínima de 600kg, velocidade de 1 m/s, para duas paradas, portas unilaterais, em conformidade com as normas técnicas ABNT NBR 16858-2:2020, 16858-1:2021, NM 313:2007 e EN 13501-1</v>
          </cell>
          <cell r="C3122" t="str">
            <v>CJ</v>
          </cell>
          <cell r="D3122">
            <v>202216.7</v>
          </cell>
        </row>
        <row r="3123">
          <cell r="A3123" t="str">
            <v>S.04.000.031548</v>
          </cell>
          <cell r="B3123" t="str">
            <v>Elevador para passageiros, uso interno com capacidade mínima de 600kg, velocidade de 1 m/s, para três paradas, portas unilaterais, em conformidade com as normas técnicas ABNT NBR 16858-2:2020, 16858-1:2021, NM 313:2007 e EN 13501-1</v>
          </cell>
          <cell r="C3123" t="str">
            <v>CJ</v>
          </cell>
          <cell r="D3123">
            <v>203033.33</v>
          </cell>
        </row>
        <row r="3124">
          <cell r="A3124" t="str">
            <v>S.04.000.031550</v>
          </cell>
          <cell r="B3124" t="str">
            <v>Elevador para passageiros, uso interno com capacidade mínima de 600kg, velocidade de 1 m/s, para três paradas, portas bilaterais, em conformidade com as normas técnicas ABNT NBR 16858-2:2020, 16858-1:2021, NM 313:2007 e EN 13501-1</v>
          </cell>
          <cell r="C3124" t="str">
            <v>CJ</v>
          </cell>
          <cell r="D3124">
            <v>231127.77</v>
          </cell>
        </row>
        <row r="3125">
          <cell r="A3125" t="str">
            <v>S.04.000.031551</v>
          </cell>
          <cell r="B3125" t="str">
            <v>Elevador para passageiros, uso interno com capacidade mínima de 600kg, velocidade de 1 m/s, para quatro paradas, portas bilaterais, em conformidade com as normas técnicas ABNT NBR 16858-2:2020, 16858-1:2021, NM 313:2007 e EN 13501-1</v>
          </cell>
          <cell r="C3125" t="str">
            <v>CJ</v>
          </cell>
          <cell r="D3125">
            <v>245441.86</v>
          </cell>
        </row>
        <row r="3126">
          <cell r="A3126" t="str">
            <v>S.04.000.031552</v>
          </cell>
          <cell r="B3126" t="str">
            <v>Elevador para passageiros, uso interno com capacidade mínima de 600kg, velocidade de 1 m/s, para quatro paradas, portas unilaterais, em conformidade com as normas técnicas ABNT NBR 16858-2:2020, 16858-1:2021, NM 313:2007 e EN 13501-1</v>
          </cell>
          <cell r="C3126" t="str">
            <v>CJ</v>
          </cell>
          <cell r="D3126">
            <v>216866.67</v>
          </cell>
        </row>
        <row r="3127">
          <cell r="A3127" t="str">
            <v>S.04.000.031554</v>
          </cell>
          <cell r="B3127" t="str">
            <v>Fornecimento e instalação de vidro laminado 5+5mm, inclusive acessórios em alumínio</v>
          </cell>
          <cell r="C3127" t="str">
            <v>M2</v>
          </cell>
          <cell r="D3127">
            <v>1690.44</v>
          </cell>
        </row>
        <row r="3128">
          <cell r="A3128" t="str">
            <v>S.04.000.031686</v>
          </cell>
          <cell r="B3128" t="str">
            <v>Tela alambrado soldada galvanizada fio 3,0mm, malha 5 x 15 cm</v>
          </cell>
          <cell r="C3128" t="str">
            <v>M2</v>
          </cell>
          <cell r="D3128">
            <v>26.86</v>
          </cell>
        </row>
        <row r="3129">
          <cell r="A3129" t="str">
            <v>S.04.000.031731</v>
          </cell>
          <cell r="B3129" t="str">
            <v>Dobradiça em aço cromado com pino e bola em aço de 3 1/2´ x 3´</v>
          </cell>
          <cell r="C3129" t="str">
            <v>UN</v>
          </cell>
          <cell r="D3129">
            <v>36.65</v>
          </cell>
        </row>
        <row r="3130">
          <cell r="A3130" t="str">
            <v>S.04.000.031733</v>
          </cell>
          <cell r="B3130" t="str">
            <v>Dobradiça 03 estágios ferro galvanizado DN 1´ x 4´</v>
          </cell>
          <cell r="C3130" t="str">
            <v>UN</v>
          </cell>
          <cell r="D3130">
            <v>48.66</v>
          </cell>
        </row>
        <row r="3131">
          <cell r="A3131" t="str">
            <v>S.04.000.032569</v>
          </cell>
          <cell r="B3131" t="str">
            <v>Granito com espessura de 2cm e acabamento polido</v>
          </cell>
          <cell r="C3131" t="str">
            <v>M2</v>
          </cell>
          <cell r="D3131">
            <v>579.24</v>
          </cell>
        </row>
        <row r="3132">
          <cell r="A3132" t="str">
            <v>S.04.000.032570</v>
          </cell>
          <cell r="B3132" t="str">
            <v>Granito com espessura de 3cm e acabamento polido</v>
          </cell>
          <cell r="C3132" t="str">
            <v>M2</v>
          </cell>
          <cell r="D3132">
            <v>896.61</v>
          </cell>
        </row>
        <row r="3133">
          <cell r="A3133" t="str">
            <v>S.04.000.033032</v>
          </cell>
          <cell r="B3133" t="str">
            <v>Lambri em madeira macho/fêmea 10 x 1 cm, exceto pinus</v>
          </cell>
          <cell r="C3133" t="str">
            <v>M2</v>
          </cell>
          <cell r="D3133">
            <v>77.010000000000005</v>
          </cell>
        </row>
        <row r="3134">
          <cell r="A3134" t="str">
            <v>S.04.000.033562</v>
          </cell>
          <cell r="B3134" t="str">
            <v>Plaqueta laminada para revestimento em áreas internas e externas</v>
          </cell>
          <cell r="C3134" t="str">
            <v>M2</v>
          </cell>
          <cell r="D3134">
            <v>46.48</v>
          </cell>
        </row>
        <row r="3135">
          <cell r="A3135" t="str">
            <v>S.04.000.034030</v>
          </cell>
          <cell r="B3135" t="str">
            <v>Fita crepe 25mm x 50m</v>
          </cell>
          <cell r="C3135" t="str">
            <v>UN</v>
          </cell>
          <cell r="D3135">
            <v>7.39</v>
          </cell>
        </row>
        <row r="3136">
          <cell r="A3136" t="str">
            <v>S.04.000.034045</v>
          </cell>
          <cell r="B3136" t="str">
            <v>Forro fibra mineral acústico, borda Square Lay-in, placas de 1250x625x16mm ou 625x625x16mm, pintura base poliester, estrutura de sustentação perfil ´T´; ref. Giorgian ou equivalente - instalado</v>
          </cell>
          <cell r="C3136" t="str">
            <v>M2</v>
          </cell>
          <cell r="D3136">
            <v>167.39</v>
          </cell>
        </row>
        <row r="3137">
          <cell r="A3137" t="str">
            <v>S.04.000.034078</v>
          </cell>
          <cell r="B3137" t="str">
            <v>Luminária retangular de embutir tipo calha aberta com aletas parabólicas para 2 lâmpadas fluorescentes tubulares, ref. 123232 BC da ARM, FAA04-E228 da Lumicenter, PL 377/24 da Prolumi ou equivalente</v>
          </cell>
          <cell r="C3137" t="str">
            <v>UN</v>
          </cell>
          <cell r="D3137">
            <v>148.06</v>
          </cell>
        </row>
        <row r="3138">
          <cell r="A3138" t="str">
            <v>S.04.000.036075</v>
          </cell>
          <cell r="B3138" t="str">
            <v>Junta elástica estrutural neoprene aplicada; ref. JJ2020F da Juntas Jeene ou equivalente</v>
          </cell>
          <cell r="C3138" t="str">
            <v>M</v>
          </cell>
          <cell r="D3138">
            <v>173.94</v>
          </cell>
        </row>
        <row r="3139">
          <cell r="A3139" t="str">
            <v>S.04.000.036701</v>
          </cell>
          <cell r="B3139" t="str">
            <v>Tampo para suporte rede voleibol / trave de futebol</v>
          </cell>
          <cell r="C3139" t="str">
            <v>UN</v>
          </cell>
          <cell r="D3139">
            <v>15.69</v>
          </cell>
        </row>
        <row r="3140">
          <cell r="A3140" t="str">
            <v>S.04.000.036702</v>
          </cell>
          <cell r="B3140" t="str">
            <v>Rede para volei em poliamida (nylon), malha de 10x10cm, fio com espessura de 2mm, com 4 faixas de arremate em lona</v>
          </cell>
          <cell r="C3140" t="str">
            <v>UN</v>
          </cell>
          <cell r="D3140">
            <v>219.25</v>
          </cell>
        </row>
        <row r="3141">
          <cell r="A3141" t="str">
            <v>S.04.000.036703</v>
          </cell>
          <cell r="B3141" t="str">
            <v>Poste para voleibol oficial, galvanizado, com pintura em esmalte na cor verde, completo</v>
          </cell>
          <cell r="C3141" t="str">
            <v>PAR</v>
          </cell>
          <cell r="D3141">
            <v>1420.57</v>
          </cell>
        </row>
        <row r="3142">
          <cell r="A3142" t="str">
            <v>S.04.000.038009</v>
          </cell>
          <cell r="B3142" t="str">
            <v>Selador para pintura latex</v>
          </cell>
          <cell r="C3142" t="str">
            <v>L</v>
          </cell>
          <cell r="D3142">
            <v>14.15</v>
          </cell>
        </row>
        <row r="3143">
          <cell r="A3143" t="str">
            <v>S.04.000.038010</v>
          </cell>
          <cell r="B3143" t="str">
            <v>Lixa carbeto de silício de 7´</v>
          </cell>
          <cell r="C3143" t="str">
            <v>UN</v>
          </cell>
          <cell r="D3143">
            <v>5.92</v>
          </cell>
        </row>
        <row r="3144">
          <cell r="A3144" t="str">
            <v>S.04.000.038014</v>
          </cell>
          <cell r="B3144" t="str">
            <v>Lixa massa/madeira uso geral Norton, Alcar ou equivalente (médias)</v>
          </cell>
          <cell r="C3144" t="str">
            <v>UN</v>
          </cell>
          <cell r="D3144">
            <v>0.77</v>
          </cell>
        </row>
        <row r="3145">
          <cell r="A3145" t="str">
            <v>S.04.000.039006</v>
          </cell>
          <cell r="B3145" t="str">
            <v>Adesivo/selador à base de emulsão PVA/acrílica, ref. KZ Heydi da Viapol, Denverfix da Denver ou equivalente</v>
          </cell>
          <cell r="C3145" t="str">
            <v>KG</v>
          </cell>
          <cell r="D3145">
            <v>17.95</v>
          </cell>
        </row>
        <row r="3146">
          <cell r="A3146" t="str">
            <v>S.04.000.039086</v>
          </cell>
          <cell r="B3146" t="str">
            <v>Placa de sinalização em PVC expandido de 70x20cm, espessura 3mm, adesivo dupla face sobre todo o verso</v>
          </cell>
          <cell r="C3146" t="str">
            <v>UN</v>
          </cell>
          <cell r="D3146">
            <v>265</v>
          </cell>
        </row>
        <row r="3147">
          <cell r="A3147" t="str">
            <v>S.04.000.042631</v>
          </cell>
          <cell r="B3147" t="str">
            <v>Cantoneira em aço galvanizado de 2" x 2" x 1/8"</v>
          </cell>
          <cell r="C3147" t="str">
            <v>M</v>
          </cell>
          <cell r="D3147">
            <v>33.020000000000003</v>
          </cell>
        </row>
        <row r="3148">
          <cell r="A3148" t="str">
            <v>S.04.000.042634</v>
          </cell>
          <cell r="B3148" t="str">
            <v>Trilho chapa 50x60x1,9mm galvanizado para porta de correr</v>
          </cell>
          <cell r="C3148" t="str">
            <v>M</v>
          </cell>
          <cell r="D3148">
            <v>81</v>
          </cell>
        </row>
        <row r="3149">
          <cell r="A3149" t="str">
            <v>S.04.000.042635</v>
          </cell>
          <cell r="B3149" t="str">
            <v>Rodizio em aço duplo de 1 1/2"</v>
          </cell>
          <cell r="C3149" t="str">
            <v>UN</v>
          </cell>
          <cell r="D3149">
            <v>21.63</v>
          </cell>
        </row>
        <row r="3150">
          <cell r="A3150" t="str">
            <v>S.04.000.046214</v>
          </cell>
          <cell r="B3150" t="str">
            <v>Sensor presença com fotocélula, bivolt, para iluminação teto, alcance 6m,120°, tempo de desligamento 1 ou 4 minutos</v>
          </cell>
          <cell r="C3150" t="str">
            <v>UN</v>
          </cell>
          <cell r="D3150">
            <v>35.229999999999997</v>
          </cell>
        </row>
        <row r="3151">
          <cell r="A3151" t="str">
            <v>S.04.000.049579</v>
          </cell>
          <cell r="B3151" t="str">
            <v>Serra circular</v>
          </cell>
          <cell r="C3151" t="str">
            <v>H</v>
          </cell>
          <cell r="D3151">
            <v>1.0900000000000001</v>
          </cell>
        </row>
        <row r="3152">
          <cell r="A3152" t="str">
            <v>S.04.000.062028</v>
          </cell>
          <cell r="B3152" t="str">
            <v>Baguete plástico tipo Tarucel, D= 6 mm</v>
          </cell>
          <cell r="C3152" t="str">
            <v>M</v>
          </cell>
          <cell r="D3152">
            <v>0.2</v>
          </cell>
        </row>
        <row r="3153">
          <cell r="A3153" t="str">
            <v>S.04.000.062553</v>
          </cell>
          <cell r="B3153" t="str">
            <v>Anel de borracha para tubo PVC 40mm (1 1/2´)</v>
          </cell>
          <cell r="C3153" t="str">
            <v>UN</v>
          </cell>
          <cell r="D3153">
            <v>1.61</v>
          </cell>
        </row>
        <row r="3154">
          <cell r="A3154" t="str">
            <v>S.04.000.065610</v>
          </cell>
          <cell r="B3154" t="str">
            <v>Cuba em aço inoxidável simples de 600x500x300mm, AISI 304, liga 18,8 e chapa 22</v>
          </cell>
          <cell r="C3154" t="str">
            <v>UN</v>
          </cell>
          <cell r="D3154">
            <v>759.23</v>
          </cell>
        </row>
        <row r="3155">
          <cell r="A3155" t="str">
            <v>S.04.000.065676</v>
          </cell>
          <cell r="B3155" t="str">
            <v>Tampo em MDF de 25 mm de espessura com laminado melamínico</v>
          </cell>
          <cell r="C3155" t="str">
            <v>M2</v>
          </cell>
          <cell r="D3155">
            <v>1075.24</v>
          </cell>
        </row>
        <row r="3156">
          <cell r="A3156" t="str">
            <v>S.04.000.066171</v>
          </cell>
          <cell r="B3156" t="str">
            <v>Ducha higiênica com registro, ref. Belle Epoque Light 1984 C51 da Deca, Delicatta 10906 da Docol, Aquarius 2195-A da Fabrimar ou equivalente</v>
          </cell>
          <cell r="C3156" t="str">
            <v>UN</v>
          </cell>
          <cell r="D3156">
            <v>231.39</v>
          </cell>
        </row>
        <row r="3157">
          <cell r="A3157" t="str">
            <v>S.04.000.067512</v>
          </cell>
          <cell r="B3157" t="str">
            <v>Grelha em aço inoxidável com fecho rotativo, DN= 100mm</v>
          </cell>
          <cell r="C3157" t="str">
            <v>UN</v>
          </cell>
          <cell r="D3157">
            <v>10.16</v>
          </cell>
        </row>
        <row r="3158">
          <cell r="A3158" t="str">
            <v>S.04.000.067513</v>
          </cell>
          <cell r="B3158" t="str">
            <v>Grelha em aço inoxidável com fecho rotativo, DN= 150mm</v>
          </cell>
          <cell r="C3158" t="str">
            <v>UN</v>
          </cell>
          <cell r="D3158">
            <v>22.52</v>
          </cell>
        </row>
        <row r="3159">
          <cell r="A3159" t="str">
            <v>S.04.000.069500</v>
          </cell>
          <cell r="B3159" t="str">
            <v>Solução limpadora diluída em água</v>
          </cell>
          <cell r="C3159" t="str">
            <v>L</v>
          </cell>
          <cell r="D3159">
            <v>2.57</v>
          </cell>
        </row>
        <row r="3160">
          <cell r="A3160" t="str">
            <v>S.04.000.069508</v>
          </cell>
          <cell r="B3160" t="str">
            <v>Solda liga chumbo e estanho de 70x30</v>
          </cell>
          <cell r="C3160" t="str">
            <v>KG</v>
          </cell>
          <cell r="D3160">
            <v>211.89</v>
          </cell>
        </row>
        <row r="3161">
          <cell r="A3161" t="str">
            <v>S.04.000.069569</v>
          </cell>
          <cell r="B3161" t="str">
            <v>Parafuso francês 5/16´ x 3/4´ com porca e arruela galvanizadas</v>
          </cell>
          <cell r="C3161" t="str">
            <v>CJ</v>
          </cell>
          <cell r="D3161">
            <v>0.66</v>
          </cell>
        </row>
        <row r="3162">
          <cell r="A3162" t="str">
            <v>S.04.000.080135</v>
          </cell>
          <cell r="B3162" t="str">
            <v>Lixadeira elétrica</v>
          </cell>
          <cell r="C3162" t="str">
            <v>H</v>
          </cell>
          <cell r="D3162">
            <v>1.3</v>
          </cell>
        </row>
        <row r="3163">
          <cell r="A3163" t="str">
            <v>S.04.000.080173</v>
          </cell>
          <cell r="B3163" t="str">
            <v>Rolo compactador liso de 1000 kg</v>
          </cell>
          <cell r="C3163" t="str">
            <v>H</v>
          </cell>
          <cell r="D3163">
            <v>31.87</v>
          </cell>
        </row>
        <row r="3164">
          <cell r="A3164" t="str">
            <v>S.04.000.080237</v>
          </cell>
          <cell r="B3164" t="str">
            <v>Máquina de lavagem a pressão tipo Vap (água fria, pressão 1700PSI)</v>
          </cell>
          <cell r="C3164" t="str">
            <v>H</v>
          </cell>
          <cell r="D3164">
            <v>3.31</v>
          </cell>
        </row>
        <row r="3165">
          <cell r="A3165" t="str">
            <v>S.04.000.080341</v>
          </cell>
          <cell r="B3165" t="str">
            <v>Placa vibratória - 60 kg</v>
          </cell>
          <cell r="C3165" t="str">
            <v>H</v>
          </cell>
          <cell r="D3165">
            <v>4.3499999999999996</v>
          </cell>
        </row>
        <row r="3166">
          <cell r="A3166" t="str">
            <v>S.04.000.081346</v>
          </cell>
          <cell r="B3166" t="str">
            <v>Motosserra a gasolina portátil tipo 60 cilindradas; ref. mod.61 da Husqvarna ou equivalente</v>
          </cell>
          <cell r="C3166" t="str">
            <v>H</v>
          </cell>
          <cell r="D3166">
            <v>4.1100000000000003</v>
          </cell>
        </row>
        <row r="3167">
          <cell r="A3167" t="str">
            <v>S.04.000.081349</v>
          </cell>
          <cell r="B3167" t="str">
            <v>Caminhão MUNCK 3 toneladas</v>
          </cell>
          <cell r="C3167" t="str">
            <v>H</v>
          </cell>
          <cell r="D3167">
            <v>196.95</v>
          </cell>
        </row>
        <row r="3168">
          <cell r="A3168" t="str">
            <v>S.04.000.081350</v>
          </cell>
          <cell r="B3168" t="str">
            <v>Caminhão MUNCK 15 toneladas</v>
          </cell>
          <cell r="C3168" t="str">
            <v>H</v>
          </cell>
          <cell r="D3168">
            <v>328.57</v>
          </cell>
        </row>
        <row r="3169">
          <cell r="A3169" t="str">
            <v>S.04.000.081351</v>
          </cell>
          <cell r="B3169" t="str">
            <v>Caminhão guindaste sobre pneus com capacidade de carga de 25 Toneladas</v>
          </cell>
          <cell r="C3169" t="str">
            <v>H</v>
          </cell>
          <cell r="D3169">
            <v>311.45</v>
          </cell>
        </row>
        <row r="3170">
          <cell r="A3170" t="str">
            <v>S.04.000.081352</v>
          </cell>
          <cell r="B3170" t="str">
            <v>Caminhão guindaste sobre pneus com capacidade de carga de 30 Toneladas</v>
          </cell>
          <cell r="C3170" t="str">
            <v>H</v>
          </cell>
          <cell r="D3170">
            <v>342.25</v>
          </cell>
        </row>
        <row r="3171">
          <cell r="A3171" t="str">
            <v>S.04.000.090258</v>
          </cell>
          <cell r="B3171" t="str">
            <v>Tela tipo mosquiteira em arame galvanizado malha 14, fio 30, abertura 1,5 mm, com requadro em perfis e chapas de ferro galvanizado - removível</v>
          </cell>
          <cell r="C3171" t="str">
            <v>M2</v>
          </cell>
          <cell r="D3171">
            <v>989.11</v>
          </cell>
        </row>
        <row r="3172">
          <cell r="A3172" t="str">
            <v>S.04.000.092856</v>
          </cell>
          <cell r="B3172" t="str">
            <v>Gasolina comum</v>
          </cell>
          <cell r="C3172" t="str">
            <v>L</v>
          </cell>
          <cell r="D3172">
            <v>6.03</v>
          </cell>
        </row>
        <row r="3173">
          <cell r="A3173" t="str">
            <v>S.05.000.009700</v>
          </cell>
          <cell r="B3173" t="str">
            <v>Defensa metálica semimaleável simples</v>
          </cell>
          <cell r="C3173" t="str">
            <v>M</v>
          </cell>
          <cell r="D3173">
            <v>360.64</v>
          </cell>
        </row>
        <row r="3174">
          <cell r="A3174" t="str">
            <v>S.05.000.020220</v>
          </cell>
          <cell r="B3174" t="str">
            <v>Estaca tipo Raiz, diâmetro de 20 cm para 50 t, com perfuração em rocha (sem fornecimento de materiais)</v>
          </cell>
          <cell r="C3174" t="str">
            <v>M</v>
          </cell>
          <cell r="D3174">
            <v>962.12</v>
          </cell>
        </row>
        <row r="3175">
          <cell r="A3175" t="str">
            <v>S.05.000.020276</v>
          </cell>
          <cell r="B3175" t="str">
            <v>Estaca tipo Raiz, diâmetro de 15 cm para 25 t, em rocha</v>
          </cell>
          <cell r="C3175" t="str">
            <v>M</v>
          </cell>
          <cell r="D3175">
            <v>839</v>
          </cell>
        </row>
        <row r="3176">
          <cell r="A3176" t="str">
            <v>S.05.000.020356</v>
          </cell>
          <cell r="B3176" t="str">
            <v>Tela em polietileno para proteção de fachada, trama de 2,2mm</v>
          </cell>
          <cell r="C3176" t="str">
            <v>M2</v>
          </cell>
          <cell r="D3176">
            <v>3.38</v>
          </cell>
        </row>
        <row r="3177">
          <cell r="A3177" t="str">
            <v>S.05.000.021023</v>
          </cell>
          <cell r="B3177" t="str">
            <v>Sarrafo de pinus, 1´ x 4´ - bruto</v>
          </cell>
          <cell r="C3177" t="str">
            <v>M</v>
          </cell>
          <cell r="D3177">
            <v>3.21</v>
          </cell>
        </row>
        <row r="3178">
          <cell r="A3178" t="str">
            <v>S.05.000.021048</v>
          </cell>
          <cell r="B3178" t="str">
            <v>Ripa de imbuia 3,5 x 1,5 cm</v>
          </cell>
          <cell r="C3178" t="str">
            <v>M</v>
          </cell>
          <cell r="D3178">
            <v>4.91</v>
          </cell>
        </row>
        <row r="3179">
          <cell r="A3179" t="str">
            <v>S.05.000.021049</v>
          </cell>
          <cell r="B3179" t="str">
            <v>Moldura de 3 cm, guarnição em padrão Imbuia - tipo meia</v>
          </cell>
          <cell r="C3179" t="str">
            <v>M</v>
          </cell>
          <cell r="D3179">
            <v>62.18</v>
          </cell>
        </row>
        <row r="3180">
          <cell r="A3180" t="str">
            <v>S.05.000.021061</v>
          </cell>
          <cell r="B3180" t="str">
            <v>Tábua de pinus, 1´ x 12´ - bruta</v>
          </cell>
          <cell r="C3180" t="str">
            <v>M</v>
          </cell>
          <cell r="D3180">
            <v>11.45</v>
          </cell>
        </row>
        <row r="3181">
          <cell r="A3181" t="str">
            <v>S.05.000.021062</v>
          </cell>
          <cell r="B3181" t="str">
            <v>Pontalete de pinus, 3´ x 3´ - bruto</v>
          </cell>
          <cell r="C3181" t="str">
            <v>M</v>
          </cell>
          <cell r="D3181">
            <v>7.58</v>
          </cell>
        </row>
        <row r="3182">
          <cell r="A3182" t="str">
            <v>S.05.000.021100</v>
          </cell>
          <cell r="B3182" t="str">
            <v>Pré misturado a quente</v>
          </cell>
          <cell r="C3182" t="str">
            <v>T</v>
          </cell>
          <cell r="D3182">
            <v>624.82000000000005</v>
          </cell>
        </row>
        <row r="3183">
          <cell r="A3183" t="str">
            <v>S.05.000.021101</v>
          </cell>
          <cell r="B3183" t="str">
            <v>Pré misturado a frio</v>
          </cell>
          <cell r="C3183" t="str">
            <v>T</v>
          </cell>
          <cell r="D3183">
            <v>665.66</v>
          </cell>
        </row>
        <row r="3184">
          <cell r="A3184" t="str">
            <v>S.05.000.024121</v>
          </cell>
          <cell r="B3184" t="str">
            <v>Manta asfáltica com armadura poliéster tipo III, esp.4 mm anti raiz, ref. Torodin Anti Raiz Viapol - instalado</v>
          </cell>
          <cell r="C3184" t="str">
            <v>M2</v>
          </cell>
          <cell r="D3184">
            <v>163.83000000000001</v>
          </cell>
        </row>
        <row r="3185">
          <cell r="A3185" t="str">
            <v>S.05.000.026500</v>
          </cell>
          <cell r="B3185" t="str">
            <v>Tela em aço inoxidável 430, perfurada, espessura de 1,6mm, diâmetro do furo 17mm</v>
          </cell>
          <cell r="C3185" t="str">
            <v>M2</v>
          </cell>
          <cell r="D3185">
            <v>245.62</v>
          </cell>
        </row>
        <row r="3186">
          <cell r="A3186" t="str">
            <v>S.05.000.026515</v>
          </cell>
          <cell r="B3186" t="str">
            <v>Parafuso auto-atarraxante com cabeça panela e bucha de nylon S-8</v>
          </cell>
          <cell r="C3186" t="str">
            <v>UN</v>
          </cell>
          <cell r="D3186">
            <v>0.82</v>
          </cell>
        </row>
        <row r="3187">
          <cell r="A3187" t="str">
            <v>S.05.000.026607</v>
          </cell>
          <cell r="B3187" t="str">
            <v>Grelha tipo boca de leão em ferro fundido ductil, articulada, classe mín. 250 - 25T, medidas aproximadas: 810x270mm - NBR 10160</v>
          </cell>
          <cell r="C3187" t="str">
            <v>UN</v>
          </cell>
          <cell r="D3187">
            <v>344.52</v>
          </cell>
        </row>
        <row r="3188">
          <cell r="A3188" t="str">
            <v>S.05.000.026608</v>
          </cell>
          <cell r="B3188" t="str">
            <v>Ferro perfilado trabalhado</v>
          </cell>
          <cell r="C3188" t="str">
            <v>KG</v>
          </cell>
          <cell r="D3188">
            <v>14.87</v>
          </cell>
        </row>
        <row r="3189">
          <cell r="A3189" t="str">
            <v>S.05.000.027511</v>
          </cell>
          <cell r="B3189" t="str">
            <v>Chapéu tipo chinês para duto galvanizado de 35cm, bitola 22, para exaustor</v>
          </cell>
          <cell r="C3189" t="str">
            <v>UN</v>
          </cell>
          <cell r="D3189">
            <v>79.37</v>
          </cell>
        </row>
        <row r="3190">
          <cell r="A3190" t="str">
            <v>S.05.000.028002</v>
          </cell>
          <cell r="B3190" t="str">
            <v>Solvente para materiais base epóxi</v>
          </cell>
          <cell r="C3190" t="str">
            <v>L</v>
          </cell>
          <cell r="D3190">
            <v>50.39</v>
          </cell>
        </row>
        <row r="3191">
          <cell r="A3191" t="str">
            <v>S.05.000.032432</v>
          </cell>
          <cell r="B3191" t="str">
            <v>Caixilho em alumínio anodizado comum, fixo sem ventilação permanente, H= 1,00m, L= 1,20m, rerfil 30 - sem vidros</v>
          </cell>
          <cell r="C3191" t="str">
            <v>M2</v>
          </cell>
          <cell r="D3191">
            <v>587.77</v>
          </cell>
        </row>
        <row r="3192">
          <cell r="A3192" t="str">
            <v>S.05.000.032433</v>
          </cell>
          <cell r="B3192" t="str">
            <v>Caixilho de alumínio anodizado comum, tipo maxim-ar, H= 0,90m, L- 1,20m, linha 30 - sem vidros</v>
          </cell>
          <cell r="C3192" t="str">
            <v>M2</v>
          </cell>
          <cell r="D3192">
            <v>1000.08</v>
          </cell>
        </row>
        <row r="3193">
          <cell r="A3193" t="str">
            <v>S.05.000.036031</v>
          </cell>
          <cell r="B3193" t="str">
            <v>Junta plástica de dilatação para pisos de 3/4´x 1/8´ (17 x 3 mm)</v>
          </cell>
          <cell r="C3193" t="str">
            <v>M</v>
          </cell>
          <cell r="D3193">
            <v>1.44</v>
          </cell>
        </row>
        <row r="3194">
          <cell r="A3194" t="str">
            <v>S.05.000.036705</v>
          </cell>
          <cell r="B3194" t="str">
            <v>Mastro para bandeira em aço galvanizado completo engastado, altura livre de 9,00 m</v>
          </cell>
          <cell r="C3194" t="str">
            <v>CJ</v>
          </cell>
          <cell r="D3194">
            <v>2690.64</v>
          </cell>
        </row>
        <row r="3195">
          <cell r="A3195" t="str">
            <v>S.05.000.036714</v>
          </cell>
          <cell r="B3195" t="str">
            <v>Mastro para bandeira em aço galvanizado completo engastado, altura livre de 7,00 m</v>
          </cell>
          <cell r="C3195" t="str">
            <v>UN</v>
          </cell>
          <cell r="D3195">
            <v>1933.69</v>
          </cell>
        </row>
        <row r="3196">
          <cell r="A3196" t="str">
            <v>S.05.000.038556</v>
          </cell>
          <cell r="B3196" t="str">
            <v>Árvore ornamental tipo Quaresmeira (Tibouchina Granulosa) - h= 1,50 / 2,00m</v>
          </cell>
          <cell r="C3196" t="str">
            <v>UN</v>
          </cell>
          <cell r="D3196">
            <v>90.26</v>
          </cell>
        </row>
        <row r="3197">
          <cell r="A3197" t="str">
            <v>S.05.000.039039</v>
          </cell>
          <cell r="B3197" t="str">
            <v>Argamassa mista com areia grossa 1:2:8</v>
          </cell>
          <cell r="C3197" t="str">
            <v>M3</v>
          </cell>
          <cell r="D3197">
            <v>744.72</v>
          </cell>
        </row>
        <row r="3198">
          <cell r="A3198" t="str">
            <v>S.05.000.039040</v>
          </cell>
          <cell r="B3198" t="str">
            <v>Argamassa de cimento e areia - média 1:5</v>
          </cell>
          <cell r="C3198" t="str">
            <v>M3</v>
          </cell>
          <cell r="D3198">
            <v>647.25</v>
          </cell>
        </row>
        <row r="3199">
          <cell r="A3199" t="str">
            <v>S.05.000.039045</v>
          </cell>
          <cell r="B3199" t="str">
            <v>Concreto usinado, consumo 120 kg cimento/m³ - brita 1 e 2</v>
          </cell>
          <cell r="C3199" t="str">
            <v>M3</v>
          </cell>
          <cell r="D3199">
            <v>540.70000000000005</v>
          </cell>
        </row>
        <row r="3200">
          <cell r="A3200" t="str">
            <v>S.05.000.039104</v>
          </cell>
          <cell r="B3200" t="str">
            <v>Placa de identificação para estacionamento (placa+poste+base), com desenho universal de acessibilidade, tipo pedestal</v>
          </cell>
          <cell r="C3200" t="str">
            <v>CJ</v>
          </cell>
          <cell r="D3200">
            <v>855.19</v>
          </cell>
        </row>
        <row r="3201">
          <cell r="A3201" t="str">
            <v>S.05.000.040132</v>
          </cell>
          <cell r="B3201" t="str">
            <v>Poste telecônico reto em aço galvanizado a fogo, altura de 7 m, com base, chumbadores, porcas e arruelas</v>
          </cell>
          <cell r="C3201" t="str">
            <v>UN</v>
          </cell>
          <cell r="D3201">
            <v>1129.43</v>
          </cell>
        </row>
        <row r="3202">
          <cell r="A3202" t="str">
            <v>S.05.000.065621</v>
          </cell>
          <cell r="B3202" t="str">
            <v>Cuba em aço inoxidável simples de 600x500x400mm, AISI 304, liga 18,8 e chapa 22</v>
          </cell>
          <cell r="C3202" t="str">
            <v>UN</v>
          </cell>
          <cell r="D3202">
            <v>1474.3</v>
          </cell>
        </row>
        <row r="3203">
          <cell r="A3203" t="str">
            <v>S.05.000.093275</v>
          </cell>
          <cell r="B3203" t="str">
            <v>Retirada de estrutura metálica</v>
          </cell>
          <cell r="C3203" t="str">
            <v>KG</v>
          </cell>
          <cell r="D3203">
            <v>2.5299999999999998</v>
          </cell>
        </row>
        <row r="3204">
          <cell r="A3204" t="str">
            <v>S.05.000.093276</v>
          </cell>
          <cell r="B3204" t="str">
            <v>Tapume metálico com telha metálica tipo trapezoidal 40, sem pintura, espessura 0,43mm, colunas, bases e parafusos</v>
          </cell>
          <cell r="C3204" t="str">
            <v>M2</v>
          </cell>
          <cell r="D3204">
            <v>146.93</v>
          </cell>
        </row>
        <row r="3205">
          <cell r="A3205" t="str">
            <v>S.05.000.093277</v>
          </cell>
          <cell r="B3205" t="str">
            <v>Portão metálico de obra 5m, pivotante, 2 folhas, para tapume metálico</v>
          </cell>
          <cell r="C3205" t="str">
            <v>UN</v>
          </cell>
          <cell r="D3205">
            <v>425.28</v>
          </cell>
        </row>
        <row r="3206">
          <cell r="A3206" t="str">
            <v>S.06.000.009687</v>
          </cell>
          <cell r="B3206" t="str">
            <v>Caminhão carroceria fixa aberta madeira, capacidade 5T - 160CV - PBT*8250, capacidade máxima de tração 11T - Diesel</v>
          </cell>
          <cell r="C3206" t="str">
            <v>H</v>
          </cell>
          <cell r="D3206">
            <v>183.12</v>
          </cell>
        </row>
        <row r="3207">
          <cell r="A3207" t="str">
            <v>S.06.000.011700</v>
          </cell>
          <cell r="B3207" t="str">
            <v>Escoramento com estacas pranchas metálicas - profundidade até 4 m</v>
          </cell>
          <cell r="C3207" t="str">
            <v>M2</v>
          </cell>
          <cell r="D3207">
            <v>421.22</v>
          </cell>
        </row>
        <row r="3208">
          <cell r="A3208" t="str">
            <v>S.06.000.011701</v>
          </cell>
          <cell r="B3208" t="str">
            <v>Escoramento com estacas pranchas metálicas - profundidade até 6 m</v>
          </cell>
          <cell r="C3208" t="str">
            <v>M2</v>
          </cell>
          <cell r="D3208">
            <v>466.07</v>
          </cell>
        </row>
        <row r="3209">
          <cell r="A3209" t="str">
            <v>S.06.000.011702</v>
          </cell>
          <cell r="B3209" t="str">
            <v>Escoramento com estacas pranchas metálicas - profundidade até 8 m</v>
          </cell>
          <cell r="C3209" t="str">
            <v>M2</v>
          </cell>
          <cell r="D3209">
            <v>520.07000000000005</v>
          </cell>
        </row>
        <row r="3210">
          <cell r="A3210" t="str">
            <v>S.06.000.028076</v>
          </cell>
          <cell r="B3210" t="str">
            <v>Aparelho corte oxiacetileno</v>
          </cell>
          <cell r="C3210" t="str">
            <v>H</v>
          </cell>
          <cell r="D3210">
            <v>2.4300000000000002</v>
          </cell>
        </row>
        <row r="3211">
          <cell r="A3211" t="str">
            <v>S.06.000.061088</v>
          </cell>
          <cell r="B3211" t="str">
            <v>Junta Gibault em ferro fundido, DN= 80mm completa</v>
          </cell>
          <cell r="C3211" t="str">
            <v>UN</v>
          </cell>
          <cell r="D3211">
            <v>494.22</v>
          </cell>
        </row>
        <row r="3212">
          <cell r="A3212" t="str">
            <v>S.06.000.061089</v>
          </cell>
          <cell r="B3212" t="str">
            <v>Junta Gibault em ferro fundido, DN= 100 mm completa</v>
          </cell>
          <cell r="C3212" t="str">
            <v>UN</v>
          </cell>
          <cell r="D3212">
            <v>508.47</v>
          </cell>
        </row>
        <row r="3213">
          <cell r="A3213" t="str">
            <v>S.06.000.067004</v>
          </cell>
          <cell r="B3213" t="str">
            <v>Escavação e carga mecanizada em campo aberto com rompedor hidráulico, em rocha</v>
          </cell>
          <cell r="C3213" t="str">
            <v>M3</v>
          </cell>
          <cell r="D3213">
            <v>313.48</v>
          </cell>
        </row>
        <row r="3214">
          <cell r="A3214" t="str">
            <v>S.06.000.067005</v>
          </cell>
          <cell r="B3214" t="str">
            <v>Transporte de material escavado - rocha</v>
          </cell>
          <cell r="C3214" t="str">
            <v>M3XKM</v>
          </cell>
          <cell r="D3214">
            <v>2.69</v>
          </cell>
        </row>
        <row r="3215">
          <cell r="A3215" t="str">
            <v>S.06.000.070104</v>
          </cell>
          <cell r="B3215" t="str">
            <v>Microcomputador HD 1 TB + imperssora a laser + pacote Oficce</v>
          </cell>
          <cell r="C3215" t="str">
            <v>H</v>
          </cell>
          <cell r="D3215">
            <v>1.02</v>
          </cell>
        </row>
        <row r="3216">
          <cell r="A3216" t="str">
            <v>S.06.000.080271</v>
          </cell>
          <cell r="B3216" t="str">
            <v>Escavadeira hidráulica, capacidade operacional= 17T, potência 122 HP a diesel - sobre esteiras</v>
          </cell>
          <cell r="C3216" t="str">
            <v>H</v>
          </cell>
          <cell r="D3216">
            <v>218.7</v>
          </cell>
        </row>
        <row r="3217">
          <cell r="A3217" t="str">
            <v>S.06.000.080349</v>
          </cell>
          <cell r="B3217" t="str">
            <v>Veículo leve com capacidade 84cv</v>
          </cell>
          <cell r="C3217" t="str">
            <v>H</v>
          </cell>
          <cell r="D3217">
            <v>40.950000000000003</v>
          </cell>
        </row>
        <row r="3218">
          <cell r="A3218" t="str">
            <v>S.07.000.000001</v>
          </cell>
          <cell r="B3218" t="str">
            <v>Tacha refletiva de plástico injetado tipo I monodirecional, conforme NBR 14636</v>
          </cell>
          <cell r="C3218" t="str">
            <v>UN</v>
          </cell>
          <cell r="D3218">
            <v>18.54</v>
          </cell>
        </row>
        <row r="3219">
          <cell r="A3219" t="str">
            <v>S.07.000.000002</v>
          </cell>
          <cell r="B3219" t="str">
            <v>Tacha refletiva de plástico injetado tipo II monodirecional conforme NBR 14636</v>
          </cell>
          <cell r="C3219" t="str">
            <v>UN</v>
          </cell>
          <cell r="D3219">
            <v>23.1</v>
          </cell>
        </row>
        <row r="3220">
          <cell r="A3220" t="str">
            <v>S.07.000.000003</v>
          </cell>
          <cell r="B3220" t="str">
            <v>Tacha refletiva de plástico injetado tipo I bidirecional conforme NBR 14636</v>
          </cell>
          <cell r="C3220" t="str">
            <v>UN</v>
          </cell>
          <cell r="D3220">
            <v>22.32</v>
          </cell>
        </row>
        <row r="3221">
          <cell r="A3221" t="str">
            <v>S.07.000.000004</v>
          </cell>
          <cell r="B3221" t="str">
            <v>Tacha refletiva de plástico injetado tipo II bidirecional conforme NBR 14636</v>
          </cell>
          <cell r="C3221" t="str">
            <v>UN</v>
          </cell>
          <cell r="D3221">
            <v>25.91</v>
          </cell>
        </row>
        <row r="3222">
          <cell r="A3222" t="str">
            <v>S.07.000.000006</v>
          </cell>
          <cell r="B3222" t="str">
            <v>Tachão refletivo de plástico injetado tipo I monodirecional conforme NBR 15576</v>
          </cell>
          <cell r="C3222" t="str">
            <v>UN</v>
          </cell>
          <cell r="D3222">
            <v>61.63</v>
          </cell>
        </row>
        <row r="3223">
          <cell r="A3223" t="str">
            <v>S.07.000.000007</v>
          </cell>
          <cell r="B3223" t="str">
            <v>Tachão refletivo de plástico injetado tipo I bidirecional conforme NBR 15576</v>
          </cell>
          <cell r="C3223" t="str">
            <v>UN</v>
          </cell>
          <cell r="D3223">
            <v>63.87</v>
          </cell>
        </row>
        <row r="3224">
          <cell r="A3224" t="str">
            <v>S.07.000.000008</v>
          </cell>
          <cell r="B3224" t="str">
            <v>Tacha refletiva de resina sintética tipo I bidirecional conforme NBR 14636</v>
          </cell>
          <cell r="C3224" t="str">
            <v>UN</v>
          </cell>
          <cell r="D3224">
            <v>32.32</v>
          </cell>
        </row>
        <row r="3225">
          <cell r="A3225" t="str">
            <v>S.07.000.000009</v>
          </cell>
          <cell r="B3225" t="str">
            <v>Tacha refletiva de resina sintética tipo I monodirecional conforme NBR 14636</v>
          </cell>
          <cell r="C3225" t="str">
            <v>UN</v>
          </cell>
          <cell r="D3225">
            <v>30.6</v>
          </cell>
        </row>
        <row r="3226">
          <cell r="A3226" t="str">
            <v>S.07.000.000010</v>
          </cell>
          <cell r="B3226" t="str">
            <v>Tacha refletiva de resina sintética tipo II bidirecional conforme NBR 15576</v>
          </cell>
          <cell r="C3226" t="str">
            <v>UN</v>
          </cell>
          <cell r="D3226">
            <v>37.71</v>
          </cell>
        </row>
        <row r="3227">
          <cell r="A3227" t="str">
            <v>S.07.000.000011</v>
          </cell>
          <cell r="B3227" t="str">
            <v>Tacha refletiva de resina sintética tipo II monodirecional conforme NBR 14636</v>
          </cell>
          <cell r="C3227" t="str">
            <v>UN</v>
          </cell>
          <cell r="D3227">
            <v>37.71</v>
          </cell>
        </row>
        <row r="3228">
          <cell r="A3228" t="str">
            <v>S.07.000.000012</v>
          </cell>
          <cell r="B3228" t="str">
            <v>Tachão refletivo de resina sintética tipo I bidirecional conforme NBR 14636</v>
          </cell>
          <cell r="C3228" t="str">
            <v>UN</v>
          </cell>
          <cell r="D3228">
            <v>53.98</v>
          </cell>
        </row>
        <row r="3229">
          <cell r="A3229" t="str">
            <v>S.07.000.000013</v>
          </cell>
          <cell r="B3229" t="str">
            <v>Tachão refletivo de resina sintética tipo I monodirecional conforme NBR 14636</v>
          </cell>
          <cell r="C3229" t="str">
            <v>UN</v>
          </cell>
          <cell r="D3229">
            <v>52.02</v>
          </cell>
        </row>
        <row r="3230">
          <cell r="A3230" t="str">
            <v>S.07.000.009521</v>
          </cell>
          <cell r="B3230" t="str">
            <v>Grupo gerador - 2,5/3 kVA</v>
          </cell>
          <cell r="C3230" t="str">
            <v>H</v>
          </cell>
          <cell r="D3230">
            <v>4.87</v>
          </cell>
        </row>
        <row r="3231">
          <cell r="A3231" t="str">
            <v>S.07.000.009675</v>
          </cell>
          <cell r="B3231" t="str">
            <v>Martelete perfurador/rompedor elétrico - 1,5 kW</v>
          </cell>
          <cell r="C3231" t="str">
            <v>H</v>
          </cell>
          <cell r="D3231">
            <v>2.31</v>
          </cell>
        </row>
        <row r="3232">
          <cell r="A3232" t="str">
            <v>S.07.000.009800</v>
          </cell>
          <cell r="B3232" t="str">
            <v>Bate-estaca hidráulico para defensas montado em caminhão guindauto com capacidade de 20 t.m e carroceria de 4 t - 136 kW</v>
          </cell>
          <cell r="C3232" t="str">
            <v>H</v>
          </cell>
          <cell r="D3232">
            <v>398.74</v>
          </cell>
        </row>
        <row r="3233">
          <cell r="A3233" t="str">
            <v>S.07.000.080230</v>
          </cell>
          <cell r="B3233" t="str">
            <v>Pá-carregadeira sobre pneus, potência 120 a 122HP (88,5 a 119 kW) capacidade da caçamba de 1,7 a 5,0m³, ref. CAT924G da CATERPILLAR ou equivalente</v>
          </cell>
          <cell r="C3233" t="str">
            <v>H</v>
          </cell>
          <cell r="D3233">
            <v>306.60000000000002</v>
          </cell>
        </row>
        <row r="3234">
          <cell r="A3234" t="str">
            <v>S.07.000.080308</v>
          </cell>
          <cell r="B3234" t="str">
            <v>Transporte de material asfáltico, com caminhão com capacidade de 20000l em rodovia pavimentada para distância médias de transporte igual ou inferior a 100km. af_02/2016</v>
          </cell>
          <cell r="C3234" t="str">
            <v>TxKM</v>
          </cell>
          <cell r="D3234">
            <v>2.2200000000000002</v>
          </cell>
        </row>
        <row r="3235">
          <cell r="A3235" t="str">
            <v>S.07.000.091714</v>
          </cell>
          <cell r="B3235" t="str">
            <v>Suporte de perfil metálico galvanizado</v>
          </cell>
          <cell r="C3235" t="str">
            <v>KG</v>
          </cell>
          <cell r="D3235">
            <v>30.83</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8">
          <cell r="A8">
            <v>38605</v>
          </cell>
          <cell r="B8" t="str">
            <v xml:space="preserve">ABERTURA PARA ENCAIXE DE CUBA OU LAVATORIO EM BANCADA DE MARMORE/ GRANITO OU OUTRO TIPO DE PEDRA NATURAL                                                                                                                                                                                                                                                                                                                                                                                                  </v>
          </cell>
          <cell r="C8" t="str">
            <v xml:space="preserve">UN    </v>
          </cell>
          <cell r="D8" t="str">
            <v>CR</v>
          </cell>
          <cell r="E8" t="str">
            <v>190,09</v>
          </cell>
        </row>
        <row r="9">
          <cell r="A9">
            <v>11270</v>
          </cell>
          <cell r="B9" t="str">
            <v xml:space="preserve">ABRACADEIRA DE LATAO PARA FIXACAO DE CABO PARA-RAIO, DIMENSOES 32 X 24 X 24 MM                                                                                                                                                                                                                                                                                                                                                                                                                            </v>
          </cell>
          <cell r="C9" t="str">
            <v xml:space="preserve">UN    </v>
          </cell>
          <cell r="D9" t="str">
            <v>CR</v>
          </cell>
          <cell r="E9" t="str">
            <v>2,74</v>
          </cell>
        </row>
        <row r="10">
          <cell r="A10">
            <v>412</v>
          </cell>
          <cell r="B10" t="str">
            <v xml:space="preserve">ABRACADEIRA DE NYLON PARA AMARRACAO DE CABOS, COMPRIMENTO DE *230* X *7,6* MM                                                                                                                                                                                                                                                                                                                                                                                                                             </v>
          </cell>
          <cell r="C10" t="str">
            <v xml:space="preserve">UN    </v>
          </cell>
          <cell r="D10" t="str">
            <v>CR</v>
          </cell>
          <cell r="E10" t="str">
            <v>1,02</v>
          </cell>
        </row>
        <row r="11">
          <cell r="A11">
            <v>414</v>
          </cell>
          <cell r="B11" t="str">
            <v xml:space="preserve">ABRACADEIRA DE NYLON PARA AMARRACAO DE CABOS, COMPRIMENTO DE 100 X 2,5 MM                                                                                                                                                                                                                                                                                                                                                                                                                                 </v>
          </cell>
          <cell r="C11" t="str">
            <v xml:space="preserve">UN    </v>
          </cell>
          <cell r="D11" t="str">
            <v>CR</v>
          </cell>
          <cell r="E11" t="str">
            <v>0,06</v>
          </cell>
        </row>
        <row r="12">
          <cell r="A12">
            <v>410</v>
          </cell>
          <cell r="B12" t="str">
            <v xml:space="preserve">ABRACADEIRA DE NYLON PARA AMARRACAO DE CABOS, COMPRIMENTO DE 150 X *3,6* MM                                                                                                                                                                                                                                                                                                                                                                                                                               </v>
          </cell>
          <cell r="C12" t="str">
            <v xml:space="preserve">UN    </v>
          </cell>
          <cell r="D12" t="str">
            <v>CR</v>
          </cell>
          <cell r="E12" t="str">
            <v>0,15</v>
          </cell>
        </row>
        <row r="13">
          <cell r="A13">
            <v>411</v>
          </cell>
          <cell r="B13" t="str">
            <v xml:space="preserve">ABRACADEIRA DE NYLON PARA AMARRACAO DE CABOS, COMPRIMENTO DE 200 X *4,6* MM                                                                                                                                                                                                                                                                                                                                                                                                                               </v>
          </cell>
          <cell r="C13" t="str">
            <v xml:space="preserve">UN    </v>
          </cell>
          <cell r="D13" t="str">
            <v xml:space="preserve">C </v>
          </cell>
          <cell r="E13" t="str">
            <v>0,20</v>
          </cell>
        </row>
        <row r="14">
          <cell r="A14">
            <v>408</v>
          </cell>
          <cell r="B14" t="str">
            <v xml:space="preserve">ABRACADEIRA DE NYLON PARA AMARRACAO DE CABOS, COMPRIMENTO DE 390 X *4,6* MM                                                                                                                                                                                                                                                                                                                                                                                                                               </v>
          </cell>
          <cell r="C14" t="str">
            <v xml:space="preserve">UN    </v>
          </cell>
          <cell r="D14" t="str">
            <v>CR</v>
          </cell>
          <cell r="E14" t="str">
            <v>0,99</v>
          </cell>
        </row>
        <row r="15">
          <cell r="A15">
            <v>39131</v>
          </cell>
          <cell r="B15" t="str">
            <v xml:space="preserve">ABRACADEIRA EM ACO PARA AMARRACAO DE ELETRODUTOS, TIPO D, COM 1 1/2" E CUNHA DE FIXACAO                                                                                                                                                                                                                                                                                                                                                                                                                   </v>
          </cell>
          <cell r="C15" t="str">
            <v xml:space="preserve">UN    </v>
          </cell>
          <cell r="D15" t="str">
            <v>CR</v>
          </cell>
          <cell r="E15" t="str">
            <v>4,40</v>
          </cell>
        </row>
        <row r="16">
          <cell r="A16">
            <v>394</v>
          </cell>
          <cell r="B16" t="str">
            <v xml:space="preserve">ABRACADEIRA EM ACO PARA AMARRACAO DE ELETRODUTOS, TIPO D, COM 1 1/2" E PARAFUSO DE FIXACAO                                                                                                                                                                                                                                                                                                                                                                                                                </v>
          </cell>
          <cell r="C16" t="str">
            <v xml:space="preserve">UN    </v>
          </cell>
          <cell r="D16" t="str">
            <v>CR</v>
          </cell>
          <cell r="E16" t="str">
            <v>4,46</v>
          </cell>
        </row>
        <row r="17">
          <cell r="A17">
            <v>39130</v>
          </cell>
          <cell r="B17" t="str">
            <v xml:space="preserve">ABRACADEIRA EM ACO PARA AMARRACAO DE ELETRODUTOS, TIPO D, COM 1 1/4" E CUNHA DE FIXACAO                                                                                                                                                                                                                                                                                                                                                                                                                   </v>
          </cell>
          <cell r="C17" t="str">
            <v xml:space="preserve">UN    </v>
          </cell>
          <cell r="D17" t="str">
            <v>CR</v>
          </cell>
          <cell r="E17" t="str">
            <v>4,02</v>
          </cell>
        </row>
        <row r="18">
          <cell r="A18">
            <v>395</v>
          </cell>
          <cell r="B18" t="str">
            <v xml:space="preserve">ABRACADEIRA EM ACO PARA AMARRACAO DE ELETRODUTOS, TIPO D, COM 1 1/4" E PARAFUSO DE FIXACAO                                                                                                                                                                                                                                                                                                                                                                                                                </v>
          </cell>
          <cell r="C18" t="str">
            <v xml:space="preserve">UN    </v>
          </cell>
          <cell r="D18" t="str">
            <v>CR</v>
          </cell>
          <cell r="E18" t="str">
            <v>4,29</v>
          </cell>
        </row>
        <row r="19">
          <cell r="A19">
            <v>39127</v>
          </cell>
          <cell r="B19" t="str">
            <v xml:space="preserve">ABRACADEIRA EM ACO PARA AMARRACAO DE ELETRODUTOS, TIPO D, COM 1/2" E CUNHA DE FIXACAO                                                                                                                                                                                                                                                                                                                                                                                                                     </v>
          </cell>
          <cell r="C19" t="str">
            <v xml:space="preserve">UN    </v>
          </cell>
          <cell r="D19" t="str">
            <v>CR</v>
          </cell>
          <cell r="E19" t="str">
            <v>2,12</v>
          </cell>
        </row>
        <row r="20">
          <cell r="A20">
            <v>392</v>
          </cell>
          <cell r="B20" t="str">
            <v xml:space="preserve">ABRACADEIRA EM ACO PARA AMARRACAO DE ELETRODUTOS, TIPO D, COM 1/2" E PARAFUSO DE FIXACAO                                                                                                                                                                                                                                                                                                                                                                                                                  </v>
          </cell>
          <cell r="C20" t="str">
            <v xml:space="preserve">UN    </v>
          </cell>
          <cell r="D20" t="str">
            <v>CR</v>
          </cell>
          <cell r="E20" t="str">
            <v>2,17</v>
          </cell>
        </row>
        <row r="21">
          <cell r="A21">
            <v>39129</v>
          </cell>
          <cell r="B21" t="str">
            <v xml:space="preserve">ABRACADEIRA EM ACO PARA AMARRACAO DE ELETRODUTOS, TIPO D, COM 1" E CUNHA DE FIXACAO                                                                                                                                                                                                                                                                                                                                                                                                                       </v>
          </cell>
          <cell r="C21" t="str">
            <v xml:space="preserve">UN    </v>
          </cell>
          <cell r="D21" t="str">
            <v>CR</v>
          </cell>
          <cell r="E21" t="str">
            <v>2,47</v>
          </cell>
        </row>
        <row r="22">
          <cell r="A22">
            <v>393</v>
          </cell>
          <cell r="B22" t="str">
            <v xml:space="preserve">ABRACADEIRA EM ACO PARA AMARRACAO DE ELETRODUTOS, TIPO D, COM 1" E PARAFUSO DE FIXACAO                                                                                                                                                                                                                                                                                                                                                                                                                    </v>
          </cell>
          <cell r="C22" t="str">
            <v xml:space="preserve">UN    </v>
          </cell>
          <cell r="D22" t="str">
            <v xml:space="preserve">C </v>
          </cell>
          <cell r="E22" t="str">
            <v>2,59</v>
          </cell>
        </row>
        <row r="23">
          <cell r="A23">
            <v>39133</v>
          </cell>
          <cell r="B23" t="str">
            <v xml:space="preserve">ABRACADEIRA EM ACO PARA AMARRACAO DE ELETRODUTOS, TIPO D, COM 2 1/2" E CUNHA DE FIXACAO                                                                                                                                                                                                                                                                                                                                                                                                                   </v>
          </cell>
          <cell r="C23" t="str">
            <v xml:space="preserve">UN    </v>
          </cell>
          <cell r="D23" t="str">
            <v>CR</v>
          </cell>
          <cell r="E23" t="str">
            <v>5,78</v>
          </cell>
        </row>
        <row r="24">
          <cell r="A24">
            <v>397</v>
          </cell>
          <cell r="B24" t="str">
            <v xml:space="preserve">ABRACADEIRA EM ACO PARA AMARRACAO DE ELETRODUTOS, TIPO D, COM 2 1/2" E PARAFUSO DE FIXACAO                                                                                                                                                                                                                                                                                                                                                                                                                </v>
          </cell>
          <cell r="C24" t="str">
            <v xml:space="preserve">UN    </v>
          </cell>
          <cell r="D24" t="str">
            <v>CR</v>
          </cell>
          <cell r="E24" t="str">
            <v>6,39</v>
          </cell>
        </row>
        <row r="25">
          <cell r="A25">
            <v>39132</v>
          </cell>
          <cell r="B25" t="str">
            <v xml:space="preserve">ABRACADEIRA EM ACO PARA AMARRACAO DE ELETRODUTOS, TIPO D, COM 2" E CUNHA DE FIXACAO                                                                                                                                                                                                                                                                                                                                                                                                                       </v>
          </cell>
          <cell r="C25" t="str">
            <v xml:space="preserve">UN    </v>
          </cell>
          <cell r="D25" t="str">
            <v>CR</v>
          </cell>
          <cell r="E25" t="str">
            <v>4,62</v>
          </cell>
        </row>
        <row r="26">
          <cell r="A26">
            <v>396</v>
          </cell>
          <cell r="B26" t="str">
            <v xml:space="preserve">ABRACADEIRA EM ACO PARA AMARRACAO DE ELETRODUTOS, TIPO D, COM 2" E PARAFUSO DE FIXACAO                                                                                                                                                                                                                                                                                                                                                                                                                    </v>
          </cell>
          <cell r="C26" t="str">
            <v xml:space="preserve">UN    </v>
          </cell>
          <cell r="D26" t="str">
            <v>CR</v>
          </cell>
          <cell r="E26" t="str">
            <v>4,95</v>
          </cell>
        </row>
        <row r="27">
          <cell r="A27">
            <v>39135</v>
          </cell>
          <cell r="B27" t="str">
            <v xml:space="preserve">ABRACADEIRA EM ACO PARA AMARRACAO DE ELETRODUTOS, TIPO D, COM 3 1/2" E CUNHA DE FIXACAO                                                                                                                                                                                                                                                                                                                                                                                                                   </v>
          </cell>
          <cell r="C27" t="str">
            <v xml:space="preserve">UN    </v>
          </cell>
          <cell r="D27" t="str">
            <v>CR</v>
          </cell>
          <cell r="E27" t="str">
            <v>9,25</v>
          </cell>
        </row>
        <row r="28">
          <cell r="A28">
            <v>39128</v>
          </cell>
          <cell r="B28" t="str">
            <v xml:space="preserve">ABRACADEIRA EM ACO PARA AMARRACAO DE ELETRODUTOS, TIPO D, COM 3/4" E CUNHA DE FIXACAO                                                                                                                                                                                                                                                                                                                                                                                                                     </v>
          </cell>
          <cell r="C28" t="str">
            <v xml:space="preserve">UN    </v>
          </cell>
          <cell r="D28" t="str">
            <v>CR</v>
          </cell>
          <cell r="E28" t="str">
            <v>2,31</v>
          </cell>
        </row>
        <row r="29">
          <cell r="A29">
            <v>400</v>
          </cell>
          <cell r="B29" t="str">
            <v xml:space="preserve">ABRACADEIRA EM ACO PARA AMARRACAO DE ELETRODUTOS, TIPO D, COM 3/4" E PARAFUSO DE FIXACAO                                                                                                                                                                                                                                                                                                                                                                                                                  </v>
          </cell>
          <cell r="C29" t="str">
            <v xml:space="preserve">UN    </v>
          </cell>
          <cell r="D29" t="str">
            <v>CR</v>
          </cell>
          <cell r="E29" t="str">
            <v>2,25</v>
          </cell>
        </row>
        <row r="30">
          <cell r="A30">
            <v>39125</v>
          </cell>
          <cell r="B30" t="str">
            <v xml:space="preserve">ABRACADEIRA EM ACO PARA AMARRACAO DE ELETRODUTOS, TIPO D, COM 3/8" E PARAFUSO DE FIXACAO                                                                                                                                                                                                                                                                                                                                                                                                                  </v>
          </cell>
          <cell r="C30" t="str">
            <v xml:space="preserve">UN    </v>
          </cell>
          <cell r="D30" t="str">
            <v>CR</v>
          </cell>
          <cell r="E30" t="str">
            <v>2,31</v>
          </cell>
        </row>
        <row r="31">
          <cell r="A31">
            <v>39134</v>
          </cell>
          <cell r="B31" t="str">
            <v xml:space="preserve">ABRACADEIRA EM ACO PARA AMARRACAO DE ELETRODUTOS, TIPO D, COM 3" E CUNHA DE FIXACAO                                                                                                                                                                                                                                                                                                                                                                                                                       </v>
          </cell>
          <cell r="C31" t="str">
            <v xml:space="preserve">UN    </v>
          </cell>
          <cell r="D31" t="str">
            <v>CR</v>
          </cell>
          <cell r="E31" t="str">
            <v>7,71</v>
          </cell>
        </row>
        <row r="32">
          <cell r="A32">
            <v>398</v>
          </cell>
          <cell r="B32" t="str">
            <v xml:space="preserve">ABRACADEIRA EM ACO PARA AMARRACAO DE ELETRODUTOS, TIPO D, COM 3" E PARAFUSO DE FIXACAO                                                                                                                                                                                                                                                                                                                                                                                                                    </v>
          </cell>
          <cell r="C32" t="str">
            <v xml:space="preserve">UN    </v>
          </cell>
          <cell r="D32" t="str">
            <v>CR</v>
          </cell>
          <cell r="E32" t="str">
            <v>7,10</v>
          </cell>
        </row>
        <row r="33">
          <cell r="A33">
            <v>39126</v>
          </cell>
          <cell r="B33" t="str">
            <v xml:space="preserve">ABRACADEIRA EM ACO PARA AMARRACAO DE ELETRODUTOS, TIPO D, COM 4" E CUNHA DE FIXACAO                                                                                                                                                                                                                                                                                                                                                                                                                       </v>
          </cell>
          <cell r="C33" t="str">
            <v xml:space="preserve">UN    </v>
          </cell>
          <cell r="D33" t="str">
            <v>CR</v>
          </cell>
          <cell r="E33" t="str">
            <v>10,41</v>
          </cell>
        </row>
        <row r="34">
          <cell r="A34">
            <v>399</v>
          </cell>
          <cell r="B34" t="str">
            <v xml:space="preserve">ABRACADEIRA EM ACO PARA AMARRACAO DE ELETRODUTOS, TIPO D, COM 4" E PARAFUSO DE FIXACAO                                                                                                                                                                                                                                                                                                                                                                                                                    </v>
          </cell>
          <cell r="C34" t="str">
            <v xml:space="preserve">UN    </v>
          </cell>
          <cell r="D34" t="str">
            <v>CR</v>
          </cell>
          <cell r="E34" t="str">
            <v>9,17</v>
          </cell>
        </row>
        <row r="35">
          <cell r="A35">
            <v>39158</v>
          </cell>
          <cell r="B35" t="str">
            <v xml:space="preserve">ABRACADEIRA EM ACO PARA AMARRACAO DE ELETRODUTOS, TIPO ECONOMICA (GOTA), COM 8"                                                                                                                                                                                                                                                                                                                                                                                                                           </v>
          </cell>
          <cell r="C35" t="str">
            <v xml:space="preserve">UN    </v>
          </cell>
          <cell r="D35" t="str">
            <v>CR</v>
          </cell>
          <cell r="E35" t="str">
            <v>24,63</v>
          </cell>
        </row>
        <row r="36">
          <cell r="A36">
            <v>39141</v>
          </cell>
          <cell r="B36" t="str">
            <v xml:space="preserve">ABRACADEIRA EM ACO PARA AMARRACAO DE ELETRODUTOS, TIPO U SIMPLES, COM 1 1/2"                                                                                                                                                                                                                                                                                                                                                                                                                              </v>
          </cell>
          <cell r="C36" t="str">
            <v xml:space="preserve">UN    </v>
          </cell>
          <cell r="D36" t="str">
            <v>CR</v>
          </cell>
          <cell r="E36" t="str">
            <v>1,79</v>
          </cell>
        </row>
        <row r="37">
          <cell r="A37">
            <v>39140</v>
          </cell>
          <cell r="B37" t="str">
            <v xml:space="preserve">ABRACADEIRA EM ACO PARA AMARRACAO DE ELETRODUTOS, TIPO U SIMPLES, COM 1 1/4"                                                                                                                                                                                                                                                                                                                                                                                                                              </v>
          </cell>
          <cell r="C37" t="str">
            <v xml:space="preserve">UN    </v>
          </cell>
          <cell r="D37" t="str">
            <v>CR</v>
          </cell>
          <cell r="E37" t="str">
            <v>1,62</v>
          </cell>
        </row>
        <row r="38">
          <cell r="A38">
            <v>39137</v>
          </cell>
          <cell r="B38" t="str">
            <v xml:space="preserve">ABRACADEIRA EM ACO PARA AMARRACAO DE ELETRODUTOS, TIPO U SIMPLES, COM 1/2"                                                                                                                                                                                                                                                                                                                                                                                                                                </v>
          </cell>
          <cell r="C38" t="str">
            <v xml:space="preserve">UN    </v>
          </cell>
          <cell r="D38" t="str">
            <v>CR</v>
          </cell>
          <cell r="E38" t="str">
            <v>0,93</v>
          </cell>
        </row>
        <row r="39">
          <cell r="A39">
            <v>39139</v>
          </cell>
          <cell r="B39" t="str">
            <v xml:space="preserve">ABRACADEIRA EM ACO PARA AMARRACAO DE ELETRODUTOS, TIPO U SIMPLES, COM 1"                                                                                                                                                                                                                                                                                                                                                                                                                                  </v>
          </cell>
          <cell r="C39" t="str">
            <v xml:space="preserve">UN    </v>
          </cell>
          <cell r="D39" t="str">
            <v>CR</v>
          </cell>
          <cell r="E39" t="str">
            <v>1,35</v>
          </cell>
        </row>
        <row r="40">
          <cell r="A40">
            <v>39143</v>
          </cell>
          <cell r="B40" t="str">
            <v xml:space="preserve">ABRACADEIRA EM ACO PARA AMARRACAO DE ELETRODUTOS, TIPO U SIMPLES, COM 2 1/2"                                                                                                                                                                                                                                                                                                                                                                                                                              </v>
          </cell>
          <cell r="C40" t="str">
            <v xml:space="preserve">UN    </v>
          </cell>
          <cell r="D40" t="str">
            <v>CR</v>
          </cell>
          <cell r="E40" t="str">
            <v>3,69</v>
          </cell>
        </row>
        <row r="41">
          <cell r="A41">
            <v>39142</v>
          </cell>
          <cell r="B41" t="str">
            <v xml:space="preserve">ABRACADEIRA EM ACO PARA AMARRACAO DE ELETRODUTOS, TIPO U SIMPLES, COM 2"                                                                                                                                                                                                                                                                                                                                                                                                                                  </v>
          </cell>
          <cell r="C41" t="str">
            <v xml:space="preserve">UN    </v>
          </cell>
          <cell r="D41" t="str">
            <v>CR</v>
          </cell>
          <cell r="E41" t="str">
            <v>2,64</v>
          </cell>
        </row>
        <row r="42">
          <cell r="A42">
            <v>39138</v>
          </cell>
          <cell r="B42" t="str">
            <v xml:space="preserve">ABRACADEIRA EM ACO PARA AMARRACAO DE ELETRODUTOS, TIPO U SIMPLES, COM 3/4"                                                                                                                                                                                                                                                                                                                                                                                                                                </v>
          </cell>
          <cell r="C42" t="str">
            <v xml:space="preserve">UN    </v>
          </cell>
          <cell r="D42" t="str">
            <v>CR</v>
          </cell>
          <cell r="E42" t="str">
            <v>0,99</v>
          </cell>
        </row>
        <row r="43">
          <cell r="A43">
            <v>39136</v>
          </cell>
          <cell r="B43" t="str">
            <v xml:space="preserve">ABRACADEIRA EM ACO PARA AMARRACAO DE ELETRODUTOS, TIPO U SIMPLES, COM 3/8"                                                                                                                                                                                                                                                                                                                                                                                                                                </v>
          </cell>
          <cell r="C43" t="str">
            <v xml:space="preserve">UN    </v>
          </cell>
          <cell r="D43" t="str">
            <v>CR</v>
          </cell>
          <cell r="E43" t="str">
            <v>0,66</v>
          </cell>
        </row>
        <row r="44">
          <cell r="A44">
            <v>39144</v>
          </cell>
          <cell r="B44" t="str">
            <v xml:space="preserve">ABRACADEIRA EM ACO PARA AMARRACAO DE ELETRODUTOS, TIPO U SIMPLES, COM 3"                                                                                                                                                                                                                                                                                                                                                                                                                                  </v>
          </cell>
          <cell r="C44" t="str">
            <v xml:space="preserve">UN    </v>
          </cell>
          <cell r="D44" t="str">
            <v>CR</v>
          </cell>
          <cell r="E44" t="str">
            <v>4,29</v>
          </cell>
        </row>
        <row r="45">
          <cell r="A45">
            <v>39145</v>
          </cell>
          <cell r="B45" t="str">
            <v xml:space="preserve">ABRACADEIRA EM ACO PARA AMARRACAO DE ELETRODUTOS, TIPO U SIMPLES, COM 4"                                                                                                                                                                                                                                                                                                                                                                                                                                  </v>
          </cell>
          <cell r="C45" t="str">
            <v xml:space="preserve">UN    </v>
          </cell>
          <cell r="D45" t="str">
            <v>CR</v>
          </cell>
          <cell r="E45" t="str">
            <v>7,08</v>
          </cell>
        </row>
        <row r="46">
          <cell r="A46">
            <v>12615</v>
          </cell>
          <cell r="B46" t="str">
            <v xml:space="preserve">ABRACADEIRA PVC, PARA CALHA PLUVIAL, DIAMETRO ENTRE *80 E 100* MM, PARA DRENAGEM PLUVIAL PREDIAL                                                                                                                                                                                                                                                                                                                                                                                                          </v>
          </cell>
          <cell r="C46" t="str">
            <v xml:space="preserve">UN    </v>
          </cell>
          <cell r="D46" t="str">
            <v>CR</v>
          </cell>
          <cell r="E46" t="str">
            <v>12,33</v>
          </cell>
        </row>
        <row r="47">
          <cell r="A47">
            <v>11927</v>
          </cell>
          <cell r="B47" t="str">
            <v xml:space="preserve">ABRACADEIRA, GALVANIZADA/ZINCADA, ROSCA SEM FIM, PARAFUSO INOX, LARGURA  FITA *12,6 A *14 MM, D = 2" A 2 1/2"                                                                                                                                                                                                                                                                                                                                                                                             </v>
          </cell>
          <cell r="C47" t="str">
            <v xml:space="preserve">UN    </v>
          </cell>
          <cell r="D47" t="str">
            <v>CR</v>
          </cell>
          <cell r="E47" t="str">
            <v>8,20</v>
          </cell>
        </row>
        <row r="48">
          <cell r="A48">
            <v>11928</v>
          </cell>
          <cell r="B48" t="str">
            <v xml:space="preserve">ABRACADEIRA, GALVANIZADA/ZINCADA, ROSCA SEM FIM, PARAFUSO INOX, LARGURA  FITA *12,6 A *14 MM, D = 3" A 3 3/4"                                                                                                                                                                                                                                                                                                                                                                                             </v>
          </cell>
          <cell r="C48" t="str">
            <v xml:space="preserve">UN    </v>
          </cell>
          <cell r="D48" t="str">
            <v>CR</v>
          </cell>
          <cell r="E48" t="str">
            <v>9,39</v>
          </cell>
        </row>
        <row r="49">
          <cell r="A49">
            <v>11929</v>
          </cell>
          <cell r="B49" t="str">
            <v xml:space="preserve">ABRACADEIRA, GALVANIZADA/ZINCADA, ROSCA SEM FIM, PARAFUSO INOX, LARGURA  FITA *12,6 A *14 MM, D = 4" A 4 3/4"                                                                                                                                                                                                                                                                                                                                                                                             </v>
          </cell>
          <cell r="C49" t="str">
            <v xml:space="preserve">UN    </v>
          </cell>
          <cell r="D49" t="str">
            <v>CR</v>
          </cell>
          <cell r="E49" t="str">
            <v>14,53</v>
          </cell>
        </row>
        <row r="50">
          <cell r="A50">
            <v>36801</v>
          </cell>
          <cell r="B50" t="str">
            <v xml:space="preserve">ACABAMENTO DE METAL CROMADO PARA REGISTRO PEQUENO, DE PAREDE, 1/2 " OU 3/4 "                                                                                                                                                                                                                                                                                                                                                                                                                              </v>
          </cell>
          <cell r="C50" t="str">
            <v xml:space="preserve">UN    </v>
          </cell>
          <cell r="D50" t="str">
            <v>CR</v>
          </cell>
          <cell r="E50" t="str">
            <v>29,14</v>
          </cell>
        </row>
        <row r="51">
          <cell r="A51">
            <v>36246</v>
          </cell>
          <cell r="B51" t="str">
            <v xml:space="preserve">ACABAMENTO SIMPLES/CONVENCIONAL PARA FORRO PVC, TIPO "U" OU "C", COR BRANCA, COMPRIMENTO 6 M                                                                                                                                                                                                                                                                                                                                                                                                              </v>
          </cell>
          <cell r="C51" t="str">
            <v xml:space="preserve">M     </v>
          </cell>
          <cell r="D51" t="str">
            <v>CR</v>
          </cell>
          <cell r="E51" t="str">
            <v>4,09</v>
          </cell>
        </row>
        <row r="52">
          <cell r="A52">
            <v>37600</v>
          </cell>
          <cell r="B52" t="str">
            <v xml:space="preserve">ACESSORIO DE LIGACAO NAO ELETRICO PARA CARGAS EXPLOSIVAS, TUBO DE 6 M                                                                                                                                                                                                                                                                                                                                                                                                                                     </v>
          </cell>
          <cell r="C52" t="str">
            <v xml:space="preserve">UN    </v>
          </cell>
          <cell r="D52" t="str">
            <v>CR</v>
          </cell>
          <cell r="E52" t="str">
            <v>112,99</v>
          </cell>
        </row>
        <row r="53">
          <cell r="A53">
            <v>37599</v>
          </cell>
          <cell r="B53" t="str">
            <v xml:space="preserve">ACESSORIO INICIADOR NAO ELETRICO, TUBO DE 6 M, TEMPO DE RETARDO DE *160* MS                                                                                                                                                                                                                                                                                                                                                                                                                               </v>
          </cell>
          <cell r="C53" t="str">
            <v xml:space="preserve">UN    </v>
          </cell>
          <cell r="D53" t="str">
            <v>CR</v>
          </cell>
          <cell r="E53" t="str">
            <v>105,16</v>
          </cell>
        </row>
        <row r="54">
          <cell r="A54">
            <v>1</v>
          </cell>
          <cell r="B54" t="str">
            <v xml:space="preserve">ACETILENO (RECARGA DE GAS ACETILENO PARA CILINDRO DE CONJUNTO OXICORTE GRANDE) NAO INCLUI TROCA/MANUTENCAO DO CILINDRO                                                                                                                                                                                                                                                                                                                                                                                    </v>
          </cell>
          <cell r="C54" t="str">
            <v xml:space="preserve">KG    </v>
          </cell>
          <cell r="D54" t="str">
            <v xml:space="preserve">C </v>
          </cell>
          <cell r="E54" t="str">
            <v>87,00</v>
          </cell>
        </row>
        <row r="55">
          <cell r="A55">
            <v>3</v>
          </cell>
          <cell r="B55" t="str">
            <v xml:space="preserve">ACIDO CLORIDRICO / ACIDO MURIATICO, DILUICAO 10% A 12% PARA USO EM LIMPEZA                                                                                                                                                                                                                                                                                                                                                                                                                                </v>
          </cell>
          <cell r="C55" t="str">
            <v xml:space="preserve">L     </v>
          </cell>
          <cell r="D55" t="str">
            <v>CR</v>
          </cell>
          <cell r="E55" t="str">
            <v>14,95</v>
          </cell>
        </row>
        <row r="56">
          <cell r="A56">
            <v>43054</v>
          </cell>
          <cell r="B56" t="str">
            <v xml:space="preserve">ACO CA-25, 10,0 MM, OU 12,5 MM, OU 16,0 MM, OU 20,0 MM, OU 25,0 MM, VERGALHAO                                                                                                                                                                                                                                                                                                                                                                                                                             </v>
          </cell>
          <cell r="C56" t="str">
            <v xml:space="preserve">KG    </v>
          </cell>
          <cell r="D56" t="str">
            <v>CR</v>
          </cell>
          <cell r="E56" t="str">
            <v>8,42</v>
          </cell>
        </row>
        <row r="57">
          <cell r="A57">
            <v>42402</v>
          </cell>
          <cell r="B57" t="str">
            <v xml:space="preserve">ACO CA-25, 16,0 MM, BARRA DE TRANSFERENCIA                                                                                                                                                                                                                                                                                                                                                                                                                                                                </v>
          </cell>
          <cell r="C57" t="str">
            <v xml:space="preserve">KG    </v>
          </cell>
          <cell r="D57" t="str">
            <v>CR</v>
          </cell>
          <cell r="E57" t="str">
            <v>8,05</v>
          </cell>
        </row>
        <row r="58">
          <cell r="A58">
            <v>42403</v>
          </cell>
          <cell r="B58" t="str">
            <v xml:space="preserve">ACO CA-25, 20,0 MM, BARRA DE TRANSFERENCIA                                                                                                                                                                                                                                                                                                                                                                                                                                                                </v>
          </cell>
          <cell r="C58" t="str">
            <v xml:space="preserve">KG    </v>
          </cell>
          <cell r="D58" t="str">
            <v>CR</v>
          </cell>
          <cell r="E58" t="str">
            <v>10,32</v>
          </cell>
        </row>
        <row r="59">
          <cell r="A59">
            <v>42404</v>
          </cell>
          <cell r="B59" t="str">
            <v xml:space="preserve">ACO CA-25, 25,0 MM, BARRA DE TRANSFERENCIA                                                                                                                                                                                                                                                                                                                                                                                                                                                                </v>
          </cell>
          <cell r="C59" t="str">
            <v xml:space="preserve">KG    </v>
          </cell>
          <cell r="D59" t="str">
            <v>CR</v>
          </cell>
          <cell r="E59" t="str">
            <v>10,27</v>
          </cell>
        </row>
        <row r="60">
          <cell r="A60">
            <v>42405</v>
          </cell>
          <cell r="B60" t="str">
            <v xml:space="preserve">ACO CA-25, 32,0 MM, BARRA DE TRANSFERENCIA                                                                                                                                                                                                                                                                                                                                                                                                                                                                </v>
          </cell>
          <cell r="C60" t="str">
            <v xml:space="preserve">KG    </v>
          </cell>
          <cell r="D60" t="str">
            <v>CR</v>
          </cell>
          <cell r="E60" t="str">
            <v>10,94</v>
          </cell>
        </row>
        <row r="61">
          <cell r="A61">
            <v>34341</v>
          </cell>
          <cell r="B61" t="str">
            <v xml:space="preserve">ACO CA-25, 32,0 MM, VERGALHAO                                                                                                                                                                                                                                                                                                                                                                                                                                                                             </v>
          </cell>
          <cell r="C61" t="str">
            <v xml:space="preserve">KG    </v>
          </cell>
          <cell r="D61" t="str">
            <v>CR</v>
          </cell>
          <cell r="E61" t="str">
            <v>9,49</v>
          </cell>
        </row>
        <row r="62">
          <cell r="A62">
            <v>43053</v>
          </cell>
          <cell r="B62" t="str">
            <v xml:space="preserve">ACO CA-25, 6,3 MM OU 8,0 MM, VERGALHAO                                                                                                                                                                                                                                                                                                                                                                                                                                                                    </v>
          </cell>
          <cell r="C62" t="str">
            <v xml:space="preserve">KG    </v>
          </cell>
          <cell r="D62" t="str">
            <v>CR</v>
          </cell>
          <cell r="E62" t="str">
            <v>7,52</v>
          </cell>
        </row>
        <row r="63">
          <cell r="A63">
            <v>43058</v>
          </cell>
          <cell r="B63" t="str">
            <v xml:space="preserve">ACO CA-50, 10,0 MM, OU 12,5 MM, OU 16,0 MM, OU 20,0 MM, DOBRADO E CORTADO                                                                                                                                                                                                                                                                                                                                                                                                                                 </v>
          </cell>
          <cell r="C63" t="str">
            <v xml:space="preserve">KG    </v>
          </cell>
          <cell r="D63" t="str">
            <v>CR</v>
          </cell>
          <cell r="E63" t="str">
            <v>7,80</v>
          </cell>
        </row>
        <row r="64">
          <cell r="A64">
            <v>34</v>
          </cell>
          <cell r="B64" t="str">
            <v xml:space="preserve">ACO CA-50, 10,0 MM, VERGALHAO                                                                                                                                                                                                                                                                                                                                                                                                                                                                             </v>
          </cell>
          <cell r="C64" t="str">
            <v xml:space="preserve">KG    </v>
          </cell>
          <cell r="D64" t="str">
            <v>CR</v>
          </cell>
          <cell r="E64" t="str">
            <v>7,84</v>
          </cell>
        </row>
        <row r="65">
          <cell r="A65">
            <v>43055</v>
          </cell>
          <cell r="B65" t="str">
            <v xml:space="preserve">ACO CA-50, 12,5 MM OU 16,0 MM, VERGALHAO                                                                                                                                                                                                                                                                                                                                                                                                                                                                  </v>
          </cell>
          <cell r="C65" t="str">
            <v xml:space="preserve">KG    </v>
          </cell>
          <cell r="D65" t="str">
            <v xml:space="preserve">C </v>
          </cell>
          <cell r="E65" t="str">
            <v>6,79</v>
          </cell>
        </row>
        <row r="66">
          <cell r="A66">
            <v>43056</v>
          </cell>
          <cell r="B66" t="str">
            <v xml:space="preserve">ACO CA-50, 20,0 MM OU 25,0 MM, VERGALHAO                                                                                                                                                                                                                                                                                                                                                                                                                                                                  </v>
          </cell>
          <cell r="C66" t="str">
            <v xml:space="preserve">KG    </v>
          </cell>
          <cell r="D66" t="str">
            <v>CR</v>
          </cell>
          <cell r="E66" t="str">
            <v>7,83</v>
          </cell>
        </row>
        <row r="67">
          <cell r="A67">
            <v>43057</v>
          </cell>
          <cell r="B67" t="str">
            <v xml:space="preserve">ACO CA-50, 32,0 MM, VERGALHAO                                                                                                                                                                                                                                                                                                                                                                                                                                                                             </v>
          </cell>
          <cell r="C67" t="str">
            <v xml:space="preserve">KG    </v>
          </cell>
          <cell r="D67" t="str">
            <v>CR</v>
          </cell>
          <cell r="E67" t="str">
            <v>8,60</v>
          </cell>
        </row>
        <row r="68">
          <cell r="A68">
            <v>34449</v>
          </cell>
          <cell r="B68" t="str">
            <v xml:space="preserve">ACO CA-50, 6,3 MM, DOBRADO E CORTADO                                                                                                                                                                                                                                                                                                                                                                                                                                                                      </v>
          </cell>
          <cell r="C68" t="str">
            <v xml:space="preserve">KG    </v>
          </cell>
          <cell r="D68" t="str">
            <v>CR</v>
          </cell>
          <cell r="E68" t="str">
            <v>9,19</v>
          </cell>
        </row>
        <row r="69">
          <cell r="A69">
            <v>32</v>
          </cell>
          <cell r="B69" t="str">
            <v xml:space="preserve">ACO CA-50, 6,3 MM, VERGALHAO                                                                                                                                                                                                                                                                                                                                                                                                                                                                              </v>
          </cell>
          <cell r="C69" t="str">
            <v xml:space="preserve">KG    </v>
          </cell>
          <cell r="D69" t="str">
            <v>CR</v>
          </cell>
          <cell r="E69" t="str">
            <v>8,27</v>
          </cell>
        </row>
        <row r="70">
          <cell r="A70">
            <v>33</v>
          </cell>
          <cell r="B70" t="str">
            <v xml:space="preserve">ACO CA-50, 8,0 MM, VERGALHAO                                                                                                                                                                                                                                                                                                                                                                                                                                                                              </v>
          </cell>
          <cell r="C70" t="str">
            <v xml:space="preserve">KG    </v>
          </cell>
          <cell r="D70" t="str">
            <v>CR</v>
          </cell>
          <cell r="E70" t="str">
            <v>8,32</v>
          </cell>
        </row>
        <row r="71">
          <cell r="A71">
            <v>43061</v>
          </cell>
          <cell r="B71" t="str">
            <v xml:space="preserve">ACO CA-60, 4,2 MM OU 5,0 MM, DOBRADO E CORTADO                                                                                                                                                                                                                                                                                                                                                                                                                                                            </v>
          </cell>
          <cell r="C71" t="str">
            <v xml:space="preserve">KG    </v>
          </cell>
          <cell r="D71" t="str">
            <v>CR</v>
          </cell>
          <cell r="E71" t="str">
            <v>7,77</v>
          </cell>
        </row>
        <row r="72">
          <cell r="A72">
            <v>43059</v>
          </cell>
          <cell r="B72" t="str">
            <v xml:space="preserve">ACO CA-60, 4,2 MM, OU 5,0 MM, OU 6,0 MM, OU 7,0 MM, VERGALHAO                                                                                                                                                                                                                                                                                                                                                                                                                                             </v>
          </cell>
          <cell r="C72" t="str">
            <v xml:space="preserve">KG    </v>
          </cell>
          <cell r="D72" t="str">
            <v>CR</v>
          </cell>
          <cell r="E72" t="str">
            <v>7,42</v>
          </cell>
        </row>
        <row r="73">
          <cell r="A73">
            <v>43062</v>
          </cell>
          <cell r="B73" t="str">
            <v xml:space="preserve">ACO CA-60, 6,0 MM OU 7,0 MM, DOBRADO E CORTADO                                                                                                                                                                                                                                                                                                                                                                                                                                                            </v>
          </cell>
          <cell r="C73" t="str">
            <v xml:space="preserve">KG    </v>
          </cell>
          <cell r="D73" t="str">
            <v>CR</v>
          </cell>
          <cell r="E73" t="str">
            <v>8,22</v>
          </cell>
        </row>
        <row r="74">
          <cell r="A74">
            <v>43060</v>
          </cell>
          <cell r="B74" t="str">
            <v xml:space="preserve">ACO CA-60, 8,0 MM OU 9,5 MM, VERGALHAO                                                                                                                                                                                                                                                                                                                                                                                                                                                                    </v>
          </cell>
          <cell r="C74" t="str">
            <v xml:space="preserve">KG    </v>
          </cell>
          <cell r="D74" t="str">
            <v>CR</v>
          </cell>
          <cell r="E74" t="str">
            <v>6,46</v>
          </cell>
        </row>
        <row r="75">
          <cell r="A75">
            <v>40410</v>
          </cell>
          <cell r="B75" t="str">
            <v xml:space="preserve">ACOPLAMENTO RIGIDO EM FERRO FUNDIDO PARA SISTEMA DE TUBULACAO RANHURADA, DN 50 MM (2")                                                                                                                                                                                                                                                                                                                                                                                                                    </v>
          </cell>
          <cell r="C75" t="str">
            <v xml:space="preserve">UN    </v>
          </cell>
          <cell r="D75" t="str">
            <v xml:space="preserve">C </v>
          </cell>
          <cell r="E75" t="str">
            <v>24,68</v>
          </cell>
        </row>
        <row r="76">
          <cell r="A76">
            <v>40411</v>
          </cell>
          <cell r="B76" t="str">
            <v xml:space="preserve">ACOPLAMENTO RIGIDO EM FERRO FUNDIDO PARA SISTEMA DE TUBULACAO RANHURADA, DN 65 MM (2 1/2")                                                                                                                                                                                                                                                                                                                                                                                                                </v>
          </cell>
          <cell r="C76" t="str">
            <v xml:space="preserve">UN    </v>
          </cell>
          <cell r="D76" t="str">
            <v>CR</v>
          </cell>
          <cell r="E76" t="str">
            <v>26,78</v>
          </cell>
        </row>
        <row r="77">
          <cell r="A77">
            <v>40412</v>
          </cell>
          <cell r="B77" t="str">
            <v xml:space="preserve">ACOPLAMENTO RIGIDO EM FERRO FUNDIDO PARA SISTEMA DE TUBULACAO RANHURADA, DN 80 MM (3")                                                                                                                                                                                                                                                                                                                                                                                                                    </v>
          </cell>
          <cell r="C77" t="str">
            <v xml:space="preserve">UN    </v>
          </cell>
          <cell r="D77" t="str">
            <v>CR</v>
          </cell>
          <cell r="E77" t="str">
            <v>30,06</v>
          </cell>
        </row>
        <row r="78">
          <cell r="A78">
            <v>44254</v>
          </cell>
          <cell r="B78" t="str">
            <v xml:space="preserve">ADAPTADOR CPVC, ROSCAVEL, COM FLANGES E ANEL DE VEDACAO, 15 MM, CAIXA D'AGUA PARA AGUA QUENTE                                                                                                                                                                                                                                                                                                                                                                                                             </v>
          </cell>
          <cell r="C78" t="str">
            <v xml:space="preserve">UN    </v>
          </cell>
          <cell r="D78" t="str">
            <v>CR</v>
          </cell>
          <cell r="E78" t="str">
            <v>23,27</v>
          </cell>
        </row>
        <row r="79">
          <cell r="A79">
            <v>44255</v>
          </cell>
          <cell r="B79" t="str">
            <v xml:space="preserve">ADAPTADOR CPVC, ROSCAVEL, COM FLANGES E ANEL DE VEDACAO, 22 MM, CAIXA D'AGUA PARA AGUA QUENTE                                                                                                                                                                                                                                                                                                                                                                                                             </v>
          </cell>
          <cell r="C79" t="str">
            <v xml:space="preserve">UN    </v>
          </cell>
          <cell r="D79" t="str">
            <v>CR</v>
          </cell>
          <cell r="E79" t="str">
            <v>25,79</v>
          </cell>
        </row>
        <row r="80">
          <cell r="A80">
            <v>44256</v>
          </cell>
          <cell r="B80" t="str">
            <v xml:space="preserve">ADAPTADOR CPVC, ROSCAVEL, COM FLANGES E ANEL DE VEDACAO, 28 MM, CAIXA D'AGUA PARA AGUA QUENTE                                                                                                                                                                                                                                                                                                                                                                                                             </v>
          </cell>
          <cell r="C80" t="str">
            <v xml:space="preserve">UN    </v>
          </cell>
          <cell r="D80" t="str">
            <v>CR</v>
          </cell>
          <cell r="E80" t="str">
            <v>29,13</v>
          </cell>
        </row>
        <row r="81">
          <cell r="A81">
            <v>44257</v>
          </cell>
          <cell r="B81" t="str">
            <v xml:space="preserve">ADAPTADOR CPVC, ROSCAVEL, COM FLANGES E ANEL DE VEDACAO, 35 MM, CAIXA D'AGUA PARA AGUA QUENTE                                                                                                                                                                                                                                                                                                                                                                                                             </v>
          </cell>
          <cell r="C81" t="str">
            <v xml:space="preserve">UN    </v>
          </cell>
          <cell r="D81" t="str">
            <v>CR</v>
          </cell>
          <cell r="E81" t="str">
            <v>46,09</v>
          </cell>
        </row>
        <row r="82">
          <cell r="A82">
            <v>44258</v>
          </cell>
          <cell r="B82" t="str">
            <v xml:space="preserve">ADAPTADOR CPVC, ROSCAVEL, COM FLANGES E ANEL DE VEDACAO, 42 MM, CAIXA D'AGUA PARA AGUA QUENTE                                                                                                                                                                                                                                                                                                                                                                                                             </v>
          </cell>
          <cell r="C82" t="str">
            <v xml:space="preserve">UN    </v>
          </cell>
          <cell r="D82" t="str">
            <v>CR</v>
          </cell>
          <cell r="E82" t="str">
            <v>52,67</v>
          </cell>
        </row>
        <row r="83">
          <cell r="A83">
            <v>44259</v>
          </cell>
          <cell r="B83" t="str">
            <v xml:space="preserve">ADAPTADOR CPVC, ROSCAVEL, COM FLANGES E ANEL DE VEDACAO, 54 MM, CAIXA D'AGUA PARA AGUA QUENTE                                                                                                                                                                                                                                                                                                                                                                                                             </v>
          </cell>
          <cell r="C83" t="str">
            <v xml:space="preserve">UN    </v>
          </cell>
          <cell r="D83" t="str">
            <v>CR</v>
          </cell>
          <cell r="E83" t="str">
            <v>72,30</v>
          </cell>
        </row>
        <row r="84">
          <cell r="A84">
            <v>37997</v>
          </cell>
          <cell r="B84" t="str">
            <v xml:space="preserve">ADAPTADOR CPVC, SOLDAVEL, 15 MM, PARA AGUA QUENTE                                                                                                                                                                                                                                                                                                                                                                                                                                                         </v>
          </cell>
          <cell r="C84" t="str">
            <v xml:space="preserve">UN    </v>
          </cell>
          <cell r="D84" t="str">
            <v>CR</v>
          </cell>
          <cell r="E84" t="str">
            <v>13,87</v>
          </cell>
        </row>
        <row r="85">
          <cell r="A85">
            <v>37998</v>
          </cell>
          <cell r="B85" t="str">
            <v xml:space="preserve">ADAPTADOR CPVC, SOLDAVEL, 22 MM, PARA AGUA QUENTE                                                                                                                                                                                                                                                                                                                                                                                                                                                         </v>
          </cell>
          <cell r="C85" t="str">
            <v xml:space="preserve">UN    </v>
          </cell>
          <cell r="D85" t="str">
            <v>CR</v>
          </cell>
          <cell r="E85" t="str">
            <v>18,56</v>
          </cell>
        </row>
        <row r="86">
          <cell r="A86">
            <v>55</v>
          </cell>
          <cell r="B86" t="str">
            <v xml:space="preserve">ADAPTADOR DE COMPRESSAO EM POLIPROPILENO (PP), PARA TUBO EM PEAD, 20 MM X 1/2", PARA LIGACAO PREDIAL DE AGUA (NTS 179)                                                                                                                                                                                                                                                                                                                                                                                    </v>
          </cell>
          <cell r="C86" t="str">
            <v xml:space="preserve">UN    </v>
          </cell>
          <cell r="D86" t="str">
            <v xml:space="preserve">C </v>
          </cell>
          <cell r="E86" t="str">
            <v>4,20</v>
          </cell>
        </row>
        <row r="87">
          <cell r="A87">
            <v>61</v>
          </cell>
          <cell r="B87" t="str">
            <v xml:space="preserve">ADAPTADOR DE COMPRESSAO EM POLIPROPILENO (PP), PARA TUBO EM PEAD, 20 MM X 3/4", PARA LIGACAO PREDIAL DE AGUA (NTS 179)                                                                                                                                                                                                                                                                                                                                                                                    </v>
          </cell>
          <cell r="C87" t="str">
            <v xml:space="preserve">UN    </v>
          </cell>
          <cell r="D87" t="str">
            <v>CR</v>
          </cell>
          <cell r="E87" t="str">
            <v>3,97</v>
          </cell>
        </row>
        <row r="88">
          <cell r="A88">
            <v>62</v>
          </cell>
          <cell r="B88" t="str">
            <v xml:space="preserve">ADAPTADOR DE COMPRESSAO EM POLIPROPILENO (PP), PARA TUBO EM PEAD, 32 MM X 1", PARA LIGACAO PREDIAL DE AGUA (NTS 179)                                                                                                                                                                                                                                                                                                                                                                                      </v>
          </cell>
          <cell r="C88" t="str">
            <v xml:space="preserve">UN    </v>
          </cell>
          <cell r="D88" t="str">
            <v>CR</v>
          </cell>
          <cell r="E88" t="str">
            <v>8,23</v>
          </cell>
        </row>
        <row r="89">
          <cell r="A89">
            <v>10899</v>
          </cell>
          <cell r="B89" t="str">
            <v xml:space="preserve">ADAPTADOR EM LATAO, ENGATE RAPIDO 2 1/2" X ROSCA INTERNA 5 FIOS 2 1/2", PARA INSTALACAO PREDIAL DE COMBATE A INCENDIO                                                                                                                                                                                                                                                                                                                                                                                     </v>
          </cell>
          <cell r="C89" t="str">
            <v xml:space="preserve">UN    </v>
          </cell>
          <cell r="D89" t="str">
            <v>CR</v>
          </cell>
          <cell r="E89" t="str">
            <v>131,42</v>
          </cell>
        </row>
        <row r="90">
          <cell r="A90">
            <v>10900</v>
          </cell>
          <cell r="B90" t="str">
            <v xml:space="preserve">ADAPTADOR EM LATAO, ENGATE RAPIDO1 1/2" X ROSCA INTERNA 5 FIOS 2 1/2", PARA INSTALACAO PREDIAL DE COMBATE A INCENDIO                                                                                                                                                                                                                                                                                                                                                                                      </v>
          </cell>
          <cell r="C90" t="str">
            <v xml:space="preserve">UN    </v>
          </cell>
          <cell r="D90" t="str">
            <v>CR</v>
          </cell>
          <cell r="E90" t="str">
            <v>102,85</v>
          </cell>
        </row>
        <row r="91">
          <cell r="A91">
            <v>103</v>
          </cell>
          <cell r="B91" t="str">
            <v xml:space="preserve">ADAPTADOR PVC SOLDAVEL CURTO COM BOLSA E ROSCA, 110 MM X 4", PARA AGUA FRIA                                                                                                                                                                                                                                                                                                                                                                                                                               </v>
          </cell>
          <cell r="C91" t="str">
            <v xml:space="preserve">UN    </v>
          </cell>
          <cell r="D91" t="str">
            <v>CR</v>
          </cell>
          <cell r="E91" t="str">
            <v>38,22</v>
          </cell>
        </row>
        <row r="92">
          <cell r="A92">
            <v>107</v>
          </cell>
          <cell r="B92" t="str">
            <v xml:space="preserve">ADAPTADOR PVC SOLDAVEL CURTO COM BOLSA E ROSCA, 20 MM X 1/2", PARA AGUA FRIA                                                                                                                                                                                                                                                                                                                                                                                                                              </v>
          </cell>
          <cell r="C92" t="str">
            <v xml:space="preserve">UN    </v>
          </cell>
          <cell r="D92" t="str">
            <v>CR</v>
          </cell>
          <cell r="E92" t="str">
            <v>0,72</v>
          </cell>
        </row>
        <row r="93">
          <cell r="A93">
            <v>65</v>
          </cell>
          <cell r="B93" t="str">
            <v xml:space="preserve">ADAPTADOR PVC SOLDAVEL CURTO COM BOLSA E ROSCA, 25 MM X 3/4", PARA AGUA FRIA                                                                                                                                                                                                                                                                                                                                                                                                                              </v>
          </cell>
          <cell r="C93" t="str">
            <v xml:space="preserve">UN    </v>
          </cell>
          <cell r="D93" t="str">
            <v>CR</v>
          </cell>
          <cell r="E93" t="str">
            <v>0,79</v>
          </cell>
        </row>
        <row r="94">
          <cell r="A94">
            <v>108</v>
          </cell>
          <cell r="B94" t="str">
            <v xml:space="preserve">ADAPTADOR PVC SOLDAVEL CURTO COM BOLSA E ROSCA, 32 MM X 1", PARA AGUA FRIA                                                                                                                                                                                                                                                                                                                                                                                                                                </v>
          </cell>
          <cell r="C94" t="str">
            <v xml:space="preserve">UN    </v>
          </cell>
          <cell r="D94" t="str">
            <v>CR</v>
          </cell>
          <cell r="E94" t="str">
            <v>1,58</v>
          </cell>
        </row>
        <row r="95">
          <cell r="A95">
            <v>110</v>
          </cell>
          <cell r="B95" t="str">
            <v xml:space="preserve">ADAPTADOR PVC SOLDAVEL CURTO COM BOLSA E ROSCA, 40 MM X 1 1/2", PARA AGUA FRIA                                                                                                                                                                                                                                                                                                                                                                                                                            </v>
          </cell>
          <cell r="C95" t="str">
            <v xml:space="preserve">UN    </v>
          </cell>
          <cell r="D95" t="str">
            <v>CR</v>
          </cell>
          <cell r="E95" t="str">
            <v>5,50</v>
          </cell>
        </row>
        <row r="96">
          <cell r="A96">
            <v>109</v>
          </cell>
          <cell r="B96" t="str">
            <v xml:space="preserve">ADAPTADOR PVC SOLDAVEL CURTO COM BOLSA E ROSCA, 40 MM X 1 1/4", PARA AGUA FRIA                                                                                                                                                                                                                                                                                                                                                                                                                            </v>
          </cell>
          <cell r="C96" t="str">
            <v xml:space="preserve">UN    </v>
          </cell>
          <cell r="D96" t="str">
            <v>CR</v>
          </cell>
          <cell r="E96" t="str">
            <v>3,27</v>
          </cell>
        </row>
        <row r="97">
          <cell r="A97">
            <v>111</v>
          </cell>
          <cell r="B97" t="str">
            <v xml:space="preserve">ADAPTADOR PVC SOLDAVEL CURTO COM BOLSA E ROSCA, 50 MM X 1 1/4", PARA AGUA FRIA                                                                                                                                                                                                                                                                                                                                                                                                                            </v>
          </cell>
          <cell r="C97" t="str">
            <v xml:space="preserve">UN    </v>
          </cell>
          <cell r="D97" t="str">
            <v>CR</v>
          </cell>
          <cell r="E97" t="str">
            <v>7,44</v>
          </cell>
        </row>
        <row r="98">
          <cell r="A98">
            <v>112</v>
          </cell>
          <cell r="B98" t="str">
            <v xml:space="preserve">ADAPTADOR PVC SOLDAVEL CURTO COM BOLSA E ROSCA, 50 MM X1 1/2", PARA AGUA FRIA                                                                                                                                                                                                                                                                                                                                                                                                                             </v>
          </cell>
          <cell r="C98" t="str">
            <v xml:space="preserve">UN    </v>
          </cell>
          <cell r="D98" t="str">
            <v>CR</v>
          </cell>
          <cell r="E98" t="str">
            <v>3,94</v>
          </cell>
        </row>
        <row r="99">
          <cell r="A99">
            <v>113</v>
          </cell>
          <cell r="B99" t="str">
            <v xml:space="preserve">ADAPTADOR PVC SOLDAVEL CURTO COM BOLSA E ROSCA, 60 MM X 2", PARA AGUA FRIA                                                                                                                                                                                                                                                                                                                                                                                                                                </v>
          </cell>
          <cell r="C99" t="str">
            <v xml:space="preserve">UN    </v>
          </cell>
          <cell r="D99" t="str">
            <v>CR</v>
          </cell>
          <cell r="E99" t="str">
            <v>9,87</v>
          </cell>
        </row>
        <row r="100">
          <cell r="A100">
            <v>104</v>
          </cell>
          <cell r="B100" t="str">
            <v xml:space="preserve">ADAPTADOR PVC SOLDAVEL CURTO COM BOLSA E ROSCA, 75 MM X 2 1/2", PARA AGUA FRIA                                                                                                                                                                                                                                                                                                                                                                                                                            </v>
          </cell>
          <cell r="C100" t="str">
            <v xml:space="preserve">UN    </v>
          </cell>
          <cell r="D100" t="str">
            <v>CR</v>
          </cell>
          <cell r="E100" t="str">
            <v>17,18</v>
          </cell>
        </row>
        <row r="101">
          <cell r="A101">
            <v>102</v>
          </cell>
          <cell r="B101" t="str">
            <v xml:space="preserve">ADAPTADOR PVC SOLDAVEL CURTO COM BOLSA E ROSCA, 85 MM X 3", PARA AGUA FRIA                                                                                                                                                                                                                                                                                                                                                                                                                                </v>
          </cell>
          <cell r="C101" t="str">
            <v xml:space="preserve">UN    </v>
          </cell>
          <cell r="D101" t="str">
            <v>CR</v>
          </cell>
          <cell r="E101" t="str">
            <v>23,68</v>
          </cell>
        </row>
        <row r="102">
          <cell r="A102">
            <v>95</v>
          </cell>
          <cell r="B102" t="str">
            <v xml:space="preserve">ADAPTADOR PVC SOLDAVEL, COM FLANGE E ANEL DE VEDACAO, 20 MM X 1/2", PARA CAIXA D'AGUA                                                                                                                                                                                                                                                                                                                                                                                                                     </v>
          </cell>
          <cell r="C102" t="str">
            <v xml:space="preserve">UN    </v>
          </cell>
          <cell r="D102" t="str">
            <v>CR</v>
          </cell>
          <cell r="E102" t="str">
            <v>10,01</v>
          </cell>
        </row>
        <row r="103">
          <cell r="A103">
            <v>96</v>
          </cell>
          <cell r="B103" t="str">
            <v xml:space="preserve">ADAPTADOR PVC SOLDAVEL, COM FLANGE E ANEL DE VEDACAO, 25 MM X 3/4", PARA CAIXA D'AGUA                                                                                                                                                                                                                                                                                                                                                                                                                     </v>
          </cell>
          <cell r="C103" t="str">
            <v xml:space="preserve">UN    </v>
          </cell>
          <cell r="D103" t="str">
            <v>CR</v>
          </cell>
          <cell r="E103" t="str">
            <v>10,89</v>
          </cell>
        </row>
        <row r="104">
          <cell r="A104">
            <v>97</v>
          </cell>
          <cell r="B104" t="str">
            <v xml:space="preserve">ADAPTADOR PVC SOLDAVEL, COM FLANGE E ANEL DE VEDACAO, 32 MM X 1", PARA CAIXA D'AGUA                                                                                                                                                                                                                                                                                                                                                                                                                       </v>
          </cell>
          <cell r="C104" t="str">
            <v xml:space="preserve">UN    </v>
          </cell>
          <cell r="D104" t="str">
            <v>CR</v>
          </cell>
          <cell r="E104" t="str">
            <v>16,38</v>
          </cell>
        </row>
        <row r="105">
          <cell r="A105">
            <v>98</v>
          </cell>
          <cell r="B105" t="str">
            <v xml:space="preserve">ADAPTADOR PVC SOLDAVEL, COM FLANGE E ANEL DE VEDACAO, 40 MM X 1 1/4", PARA CAIXA D'AGUA                                                                                                                                                                                                                                                                                                                                                                                                                   </v>
          </cell>
          <cell r="C105" t="str">
            <v xml:space="preserve">UN    </v>
          </cell>
          <cell r="D105" t="str">
            <v>CR</v>
          </cell>
          <cell r="E105" t="str">
            <v>24,52</v>
          </cell>
        </row>
        <row r="106">
          <cell r="A106">
            <v>99</v>
          </cell>
          <cell r="B106" t="str">
            <v xml:space="preserve">ADAPTADOR PVC SOLDAVEL, COM FLANGE E ANEL DE VEDACAO, 50 MM X 1 1/2", PARA CAIXA D'AGUA                                                                                                                                                                                                                                                                                                                                                                                                                   </v>
          </cell>
          <cell r="C106" t="str">
            <v xml:space="preserve">UN    </v>
          </cell>
          <cell r="D106" t="str">
            <v>CR</v>
          </cell>
          <cell r="E106" t="str">
            <v>23,17</v>
          </cell>
        </row>
        <row r="107">
          <cell r="A107">
            <v>100</v>
          </cell>
          <cell r="B107" t="str">
            <v xml:space="preserve">ADAPTADOR PVC SOLDAVEL, COM FLANGES E ANEL DE VEDACAO, 60 MM X 2", PARA CAIXA D' AGUA                                                                                                                                                                                                                                                                                                                                                                                                                     </v>
          </cell>
          <cell r="C107" t="str">
            <v xml:space="preserve">UN    </v>
          </cell>
          <cell r="D107" t="str">
            <v>CR</v>
          </cell>
          <cell r="E107" t="str">
            <v>40,49</v>
          </cell>
        </row>
        <row r="108">
          <cell r="A108">
            <v>75</v>
          </cell>
          <cell r="B108" t="str">
            <v xml:space="preserve">ADAPTADOR PVC SOLDAVEL, COM FLANGES LIVRES, 110 MM X 4", PARA CAIXA D' AGUA                                                                                                                                                                                                                                                                                                                                                                                                                               </v>
          </cell>
          <cell r="C108" t="str">
            <v xml:space="preserve">UN    </v>
          </cell>
          <cell r="D108" t="str">
            <v>CR</v>
          </cell>
          <cell r="E108" t="str">
            <v>236,05</v>
          </cell>
        </row>
        <row r="109">
          <cell r="A109">
            <v>83</v>
          </cell>
          <cell r="B109" t="str">
            <v xml:space="preserve">ADAPTADOR PVC SOLDAVEL, COM FLANGES LIVRES, 75 MM X 2  1/2", PARA CAIXA D' AGUA                                                                                                                                                                                                                                                                                                                                                                                                                           </v>
          </cell>
          <cell r="C109" t="str">
            <v xml:space="preserve">UN    </v>
          </cell>
          <cell r="D109" t="str">
            <v>CR</v>
          </cell>
          <cell r="E109" t="str">
            <v>188,72</v>
          </cell>
        </row>
        <row r="110">
          <cell r="A110">
            <v>74</v>
          </cell>
          <cell r="B110" t="str">
            <v xml:space="preserve">ADAPTADOR PVC SOLDAVEL, COM FLANGES LIVRES, 85 MM X 3", PARA CAIXA D' AGUA                                                                                                                                                                                                                                                                                                                                                                                                                                </v>
          </cell>
          <cell r="C110" t="str">
            <v xml:space="preserve">UN    </v>
          </cell>
          <cell r="D110" t="str">
            <v>CR</v>
          </cell>
          <cell r="E110" t="str">
            <v>269,82</v>
          </cell>
        </row>
        <row r="111">
          <cell r="A111">
            <v>106</v>
          </cell>
          <cell r="B111" t="str">
            <v xml:space="preserve">ADAPTADOR PVC SOLDAVEL, LONGO, COM FLANGE LIVRE,  110 MM X 4", PARA CAIXA D' AGUA                                                                                                                                                                                                                                                                                                                                                                                                                         </v>
          </cell>
          <cell r="C111" t="str">
            <v xml:space="preserve">UN    </v>
          </cell>
          <cell r="D111" t="str">
            <v>CR</v>
          </cell>
          <cell r="E111" t="str">
            <v>341,19</v>
          </cell>
        </row>
        <row r="112">
          <cell r="A112">
            <v>88</v>
          </cell>
          <cell r="B112" t="str">
            <v xml:space="preserve">ADAPTADOR PVC SOLDAVEL, LONGO, COM FLANGE LIVRE,  32 MM X 1", PARA CAIXA D' AGUA                                                                                                                                                                                                                                                                                                                                                                                                                          </v>
          </cell>
          <cell r="C112" t="str">
            <v xml:space="preserve">UN    </v>
          </cell>
          <cell r="D112" t="str">
            <v>CR</v>
          </cell>
          <cell r="E112" t="str">
            <v>9,59</v>
          </cell>
        </row>
        <row r="113">
          <cell r="A113">
            <v>82</v>
          </cell>
          <cell r="B113" t="str">
            <v xml:space="preserve">ADAPTADOR PVC SOLDAVEL, LONGO, COM FLANGE LIVRE,  75 MM X 2 1/2", PARA CAIXA D' AGUA                                                                                                                                                                                                                                                                                                                                                                                                                      </v>
          </cell>
          <cell r="C113" t="str">
            <v xml:space="preserve">UN    </v>
          </cell>
          <cell r="D113" t="str">
            <v>CR</v>
          </cell>
          <cell r="E113" t="str">
            <v>179,55</v>
          </cell>
        </row>
        <row r="114">
          <cell r="A114">
            <v>105</v>
          </cell>
          <cell r="B114" t="str">
            <v xml:space="preserve">ADAPTADOR PVC SOLDAVEL, LONGO, COM FLANGE LIVRE,  85 MM X 3", PARA CAIXA D' AGUA                                                                                                                                                                                                                                                                                                                                                                                                                          </v>
          </cell>
          <cell r="C114" t="str">
            <v xml:space="preserve">UN    </v>
          </cell>
          <cell r="D114" t="str">
            <v>CR</v>
          </cell>
          <cell r="E114" t="str">
            <v>254,42</v>
          </cell>
        </row>
        <row r="115">
          <cell r="A115">
            <v>60</v>
          </cell>
          <cell r="B115" t="str">
            <v xml:space="preserve">ADAPTADOR PVC, COM REGISTRO, PARA PEAD, 20 MM X 3/4", PARA LIGACAO PREDIAL DE AGUA                                                                                                                                                                                                                                                                                                                                                                                                                        </v>
          </cell>
          <cell r="C115" t="str">
            <v xml:space="preserve">UN    </v>
          </cell>
          <cell r="D115" t="str">
            <v>CR</v>
          </cell>
          <cell r="E115" t="str">
            <v>5,45</v>
          </cell>
        </row>
        <row r="116">
          <cell r="A116">
            <v>72</v>
          </cell>
          <cell r="B116" t="str">
            <v xml:space="preserve">ADAPTADOR PVC, ROSCAVEL, COM FLANGES E ANEL DE VEDACAO, 1 1/2", PARA CAIXA D'AGUA                                                                                                                                                                                                                                                                                                                                                                                                                         </v>
          </cell>
          <cell r="C116" t="str">
            <v xml:space="preserve">UN    </v>
          </cell>
          <cell r="D116" t="str">
            <v>CR</v>
          </cell>
          <cell r="E116" t="str">
            <v>44,44</v>
          </cell>
        </row>
        <row r="117">
          <cell r="A117">
            <v>67</v>
          </cell>
          <cell r="B117" t="str">
            <v xml:space="preserve">ADAPTADOR PVC, ROSCAVEL, COM FLANGES E ANEL DE VEDACAO, 1/2", PARA CAIXA D' AGUA                                                                                                                                                                                                                                                                                                                                                                                                                          </v>
          </cell>
          <cell r="C117" t="str">
            <v xml:space="preserve">UN    </v>
          </cell>
          <cell r="D117" t="str">
            <v>CR</v>
          </cell>
          <cell r="E117" t="str">
            <v>14,37</v>
          </cell>
        </row>
        <row r="118">
          <cell r="A118">
            <v>71</v>
          </cell>
          <cell r="B118" t="str">
            <v xml:space="preserve">ADAPTADOR PVC, ROSCAVEL, COM FLANGES E ANEL DE VEDACAO, 1", PARA CAIXA D' AGUA                                                                                                                                                                                                                                                                                                                                                                                                                            </v>
          </cell>
          <cell r="C118" t="str">
            <v xml:space="preserve">UN    </v>
          </cell>
          <cell r="D118" t="str">
            <v>CR</v>
          </cell>
          <cell r="E118" t="str">
            <v>27,45</v>
          </cell>
        </row>
        <row r="119">
          <cell r="A119">
            <v>73</v>
          </cell>
          <cell r="B119" t="str">
            <v xml:space="preserve">ADAPTADOR PVC, ROSCAVEL, COM FLANGES E ANEL DE VEDACAO, 3/4", PARA CAIXA D' AGUA                                                                                                                                                                                                                                                                                                                                                                                                                          </v>
          </cell>
          <cell r="C119" t="str">
            <v xml:space="preserve">UN    </v>
          </cell>
          <cell r="D119" t="str">
            <v>CR</v>
          </cell>
          <cell r="E119" t="str">
            <v>13,75</v>
          </cell>
        </row>
        <row r="120">
          <cell r="A120">
            <v>46</v>
          </cell>
          <cell r="B120" t="str">
            <v xml:space="preserve">ADAPTADOR, PVC PBA,  BOLSA/ROSCA, JE, DN 75 / DE  85 MM                                                                                                                                                                                                                                                                                                                                                                                                                                                   </v>
          </cell>
          <cell r="C120" t="str">
            <v xml:space="preserve">UN    </v>
          </cell>
          <cell r="D120" t="str">
            <v>CR</v>
          </cell>
          <cell r="E120" t="str">
            <v>42,05</v>
          </cell>
        </row>
        <row r="121">
          <cell r="A121">
            <v>47</v>
          </cell>
          <cell r="B121" t="str">
            <v xml:space="preserve">ADAPTADOR, PVC PBA, BOLSA/ROSCA, JE, DN 100 / DE 110 MM                                                                                                                                                                                                                                                                                                                                                                                                                                                   </v>
          </cell>
          <cell r="C121" t="str">
            <v xml:space="preserve">UN    </v>
          </cell>
          <cell r="D121" t="str">
            <v>CR</v>
          </cell>
          <cell r="E121" t="str">
            <v>71,90</v>
          </cell>
        </row>
        <row r="122">
          <cell r="A122">
            <v>48</v>
          </cell>
          <cell r="B122" t="str">
            <v xml:space="preserve">ADAPTADOR, PVC PBA, BOLSA/ROSCA, JE, DN 50 / DE 60 MM                                                                                                                                                                                                                                                                                                                                                                                                                                                     </v>
          </cell>
          <cell r="C122" t="str">
            <v xml:space="preserve">UN    </v>
          </cell>
          <cell r="D122" t="str">
            <v>CR</v>
          </cell>
          <cell r="E122" t="str">
            <v>18,75</v>
          </cell>
        </row>
        <row r="123">
          <cell r="A123">
            <v>52</v>
          </cell>
          <cell r="B123" t="str">
            <v xml:space="preserve">ADAPTADOR, PVC PBA, PONTA/ROSCA, JE, DN 50 / DE  60 MM                                                                                                                                                                                                                                                                                                                                                                                                                                                    </v>
          </cell>
          <cell r="C123" t="str">
            <v xml:space="preserve">UN    </v>
          </cell>
          <cell r="D123" t="str">
            <v>CR</v>
          </cell>
          <cell r="E123" t="str">
            <v>14,25</v>
          </cell>
        </row>
        <row r="124">
          <cell r="A124">
            <v>43</v>
          </cell>
          <cell r="B124" t="str">
            <v xml:space="preserve">ADAPTADOR, PVC PBA, PONTA/ROSCA, JE, DN 75 / DE  85 MM                                                                                                                                                                                                                                                                                                                                                                                                                                                    </v>
          </cell>
          <cell r="C124" t="str">
            <v xml:space="preserve">UN    </v>
          </cell>
          <cell r="D124" t="str">
            <v>CR</v>
          </cell>
          <cell r="E124" t="str">
            <v>48,09</v>
          </cell>
        </row>
        <row r="125">
          <cell r="A125">
            <v>39719</v>
          </cell>
          <cell r="B125" t="str">
            <v xml:space="preserve">ADESIVO / COLA DE CONTATO LIQUIDO, A BASE DE RESINAS, PARA COLAGEM DE ESPUMA PARA ISOLAMENTO TERMICO FLEXIVEL                                                                                                                                                                                                                                                                                                                                                                                             </v>
          </cell>
          <cell r="C125" t="str">
            <v xml:space="preserve">L     </v>
          </cell>
          <cell r="D125" t="str">
            <v>CR</v>
          </cell>
          <cell r="E125" t="str">
            <v>138,11</v>
          </cell>
        </row>
        <row r="126">
          <cell r="A126">
            <v>3410</v>
          </cell>
          <cell r="B126" t="str">
            <v xml:space="preserve">ADESIVO / COLA PARA EPS (ISOPOR) E OUTROS MATERIAIS                                                                                                                                                                                                                                                                                                                                                                                                                                                       </v>
          </cell>
          <cell r="C126" t="str">
            <v xml:space="preserve">KG    </v>
          </cell>
          <cell r="D126" t="str">
            <v>CR</v>
          </cell>
          <cell r="E126" t="str">
            <v>31,06</v>
          </cell>
        </row>
        <row r="127">
          <cell r="A127">
            <v>4791</v>
          </cell>
          <cell r="B127" t="str">
            <v xml:space="preserve">ADESIVO ACRILICO DE BASE AQUOSA / COLA DE CONTATO                                                                                                                                                                                                                                                                                                                                                                                                                                                         </v>
          </cell>
          <cell r="C127" t="str">
            <v xml:space="preserve">KG    </v>
          </cell>
          <cell r="D127" t="str">
            <v>CR</v>
          </cell>
          <cell r="E127" t="str">
            <v>47,43</v>
          </cell>
        </row>
        <row r="128">
          <cell r="A128">
            <v>157</v>
          </cell>
          <cell r="B128" t="str">
            <v xml:space="preserve">ADESIVO ESTRUTURAL A BASE DE RESINA EPOXI PARA INJECAO EM TRINCAS, BICOMPONENTE, BAIXA VISCOSIDADE                                                                                                                                                                                                                                                                                                                                                                                                        </v>
          </cell>
          <cell r="C128" t="str">
            <v xml:space="preserve">KG    </v>
          </cell>
          <cell r="D128" t="str">
            <v>CR</v>
          </cell>
          <cell r="E128" t="str">
            <v>148,00</v>
          </cell>
        </row>
        <row r="129">
          <cell r="A129">
            <v>156</v>
          </cell>
          <cell r="B129" t="str">
            <v xml:space="preserve">ADESIVO ESTRUTURAL A BASE DE RESINA EPOXI, BICOMPONENTE, FLUIDO                                                                                                                                                                                                                                                                                                                                                                                                                                           </v>
          </cell>
          <cell r="C129" t="str">
            <v xml:space="preserve">KG    </v>
          </cell>
          <cell r="D129" t="str">
            <v>CR</v>
          </cell>
          <cell r="E129" t="str">
            <v>52,69</v>
          </cell>
        </row>
        <row r="130">
          <cell r="A130">
            <v>131</v>
          </cell>
          <cell r="B130" t="str">
            <v xml:space="preserve">ADESIVO ESTRUTURAL A BASE DE RESINA EPOXI, BICOMPONENTE, PASTOSO (TIXOTROPICO)                                                                                                                                                                                                                                                                                                                                                                                                                            </v>
          </cell>
          <cell r="C130" t="str">
            <v xml:space="preserve">KG    </v>
          </cell>
          <cell r="D130" t="str">
            <v>CR</v>
          </cell>
          <cell r="E130" t="str">
            <v>45,06</v>
          </cell>
        </row>
        <row r="131">
          <cell r="A131">
            <v>21114</v>
          </cell>
          <cell r="B131" t="str">
            <v xml:space="preserve">ADESIVO PARA TUBOS CPVC, *75* G                                                                                                                                                                                                                                                                                                                                                                                                                                                                           </v>
          </cell>
          <cell r="C131" t="str">
            <v xml:space="preserve">UN    </v>
          </cell>
          <cell r="D131" t="str">
            <v>CR</v>
          </cell>
          <cell r="E131" t="str">
            <v>27,22</v>
          </cell>
        </row>
        <row r="132">
          <cell r="A132">
            <v>119</v>
          </cell>
          <cell r="B132" t="str">
            <v xml:space="preserve">ADESIVO PLASTICO PARA PVC, BISNAGA COM 75 GR                                                                                                                                                                                                                                                                                                                                                                                                                                                              </v>
          </cell>
          <cell r="C132" t="str">
            <v xml:space="preserve">UN    </v>
          </cell>
          <cell r="D132" t="str">
            <v xml:space="preserve">C </v>
          </cell>
          <cell r="E132" t="str">
            <v>6,90</v>
          </cell>
        </row>
        <row r="133">
          <cell r="A133">
            <v>122</v>
          </cell>
          <cell r="B133" t="str">
            <v xml:space="preserve">ADESIVO PLASTICO PARA PVC, FRASCO COM *850* GR                                                                                                                                                                                                                                                                                                                                                                                                                                                            </v>
          </cell>
          <cell r="C133" t="str">
            <v xml:space="preserve">UN    </v>
          </cell>
          <cell r="D133" t="str">
            <v>CR</v>
          </cell>
          <cell r="E133" t="str">
            <v>53,09</v>
          </cell>
        </row>
        <row r="134">
          <cell r="A134">
            <v>20080</v>
          </cell>
          <cell r="B134" t="str">
            <v xml:space="preserve">ADESIVO PLASTICO PARA PVC, FRASCO COM 175 GR                                                                                                                                                                                                                                                                                                                                                                                                                                                              </v>
          </cell>
          <cell r="C134" t="str">
            <v xml:space="preserve">UN    </v>
          </cell>
          <cell r="D134" t="str">
            <v>CR</v>
          </cell>
          <cell r="E134" t="str">
            <v>17,32</v>
          </cell>
        </row>
        <row r="135">
          <cell r="A135">
            <v>124</v>
          </cell>
          <cell r="B135" t="str">
            <v xml:space="preserve">ADITIVO ACELERADOR DE PEGA E ENDURECIMENTO PARA ARGAMASSAS E CONCRETOS, LIQUIDO E ISENTO DE CLORETOS                                                                                                                                                                                                                                                                                                                                                                                                      </v>
          </cell>
          <cell r="C135" t="str">
            <v xml:space="preserve">L     </v>
          </cell>
          <cell r="D135" t="str">
            <v>CR</v>
          </cell>
          <cell r="E135" t="str">
            <v>17,38</v>
          </cell>
        </row>
        <row r="136">
          <cell r="A136">
            <v>7334</v>
          </cell>
          <cell r="B136" t="str">
            <v xml:space="preserve">ADITIVO ADESIVO LIQUIDO PARA ARGAMASSAS DE REVESTIMENTOS CIMENTICIOS                                                                                                                                                                                                                                                                                                                                                                                                                                      </v>
          </cell>
          <cell r="C136" t="str">
            <v xml:space="preserve">L     </v>
          </cell>
          <cell r="D136" t="str">
            <v>CR</v>
          </cell>
          <cell r="E136" t="str">
            <v>18,86</v>
          </cell>
        </row>
        <row r="137">
          <cell r="A137">
            <v>45146</v>
          </cell>
          <cell r="B137" t="str">
            <v xml:space="preserve">ADITIVO IMPERMEABILIZANTE CRISTALIZANTE PARA CONCRETO                                                                                                                                                                                                                                                                                                                                                                                                                                                     </v>
          </cell>
          <cell r="C137" t="str">
            <v xml:space="preserve">KG    </v>
          </cell>
          <cell r="D137" t="str">
            <v>CR</v>
          </cell>
          <cell r="E137" t="str">
            <v>33,32</v>
          </cell>
        </row>
        <row r="138">
          <cell r="A138">
            <v>123</v>
          </cell>
          <cell r="B138" t="str">
            <v xml:space="preserve">ADITIVO IMPERMEABILIZANTE DE PEGA NORMAL PARA ARGAMASSAS E CONCRETOS SEM ARMACAO, LIQUIDO E ISENTO DE CLORETOS                                                                                                                                                                                                                                                                                                                                                                                            </v>
          </cell>
          <cell r="C138" t="str">
            <v xml:space="preserve">L     </v>
          </cell>
          <cell r="D138" t="str">
            <v xml:space="preserve">C </v>
          </cell>
          <cell r="E138" t="str">
            <v>7,11</v>
          </cell>
        </row>
        <row r="139">
          <cell r="A139">
            <v>127</v>
          </cell>
          <cell r="B139" t="str">
            <v xml:space="preserve">ADITIVO IMPERMEABILIZANTE DE PEGA ULTRARRAPIDA, LIQUIDO E ISENTO DE CLORETOS                                                                                                                                                                                                                                                                                                                                                                                                                              </v>
          </cell>
          <cell r="C139" t="str">
            <v xml:space="preserve">L     </v>
          </cell>
          <cell r="D139" t="str">
            <v>CR</v>
          </cell>
          <cell r="E139" t="str">
            <v>16,97</v>
          </cell>
        </row>
        <row r="140">
          <cell r="A140">
            <v>133</v>
          </cell>
          <cell r="B140" t="str">
            <v xml:space="preserve">ADITIVO LIQUIDO INCORPORADOR DE AR PARA CONCRETO E ARGAMASSA, LIQUIDO E ISENTO DE CLORETOS                                                                                                                                                                                                                                                                                                                                                                                                                </v>
          </cell>
          <cell r="C140" t="str">
            <v xml:space="preserve">L     </v>
          </cell>
          <cell r="D140" t="str">
            <v>CR</v>
          </cell>
          <cell r="E140" t="str">
            <v>7,05</v>
          </cell>
        </row>
        <row r="141">
          <cell r="A141">
            <v>43617</v>
          </cell>
          <cell r="B141" t="str">
            <v xml:space="preserve">ADITIVO PLASTIFICANTE E ESTABILIZADOR PARA ARGAMASSAS DE ASSENTAMENTO E REBOCO, LIQUIDO E ISENTO DE CLORETOS                                                                                                                                                                                                                                                                                                                                                                                              </v>
          </cell>
          <cell r="C141" t="str">
            <v xml:space="preserve">L     </v>
          </cell>
          <cell r="D141" t="str">
            <v>CR</v>
          </cell>
          <cell r="E141" t="str">
            <v>7,87</v>
          </cell>
        </row>
        <row r="142">
          <cell r="A142">
            <v>132</v>
          </cell>
          <cell r="B142" t="str">
            <v xml:space="preserve">ADITIVO PLASTIFICANTE RETARDADOR DE PEGA E REDUTOR DE AGUA PARA CONCRETO, LIQUIDO E ISENTO DE CLORETOS                                                                                                                                                                                                                                                                                                                                                                                                    </v>
          </cell>
          <cell r="C142" t="str">
            <v xml:space="preserve">L     </v>
          </cell>
          <cell r="D142" t="str">
            <v>CR</v>
          </cell>
          <cell r="E142" t="str">
            <v>7,31</v>
          </cell>
        </row>
        <row r="143">
          <cell r="A143">
            <v>43618</v>
          </cell>
          <cell r="B143" t="str">
            <v xml:space="preserve">ADITIVO SUPERPLASTIFICANTE DE PEGA NORMAL PARA CONCRETO, LIQUIDO E ISENTO DE CLORETOS                                                                                                                                                                                                                                                                                                                                                                                                                     </v>
          </cell>
          <cell r="C143" t="str">
            <v xml:space="preserve">KG    </v>
          </cell>
          <cell r="D143" t="str">
            <v>CR</v>
          </cell>
          <cell r="E143" t="str">
            <v>18,40</v>
          </cell>
        </row>
        <row r="144">
          <cell r="A144">
            <v>37476</v>
          </cell>
          <cell r="B144" t="str">
            <v xml:space="preserve">ADUELA/ GALERIA PRE-MOLDADA DE CONCRETO ARMADO, SECAO QUADRADA INTERNA DE 1,50 X 1,50 M (L X A), MISULA DE 20 X 20 CM, C = 1,00 M, ESPESSURA MIN = 15 CM, TB-45 E FCK DO CONCRETO = 30 MPA                                                                                                                                                                                                                                                                                                                </v>
          </cell>
          <cell r="C144" t="str">
            <v xml:space="preserve">UN    </v>
          </cell>
          <cell r="D144" t="str">
            <v>CR</v>
          </cell>
          <cell r="E144" t="str">
            <v>4.070,97</v>
          </cell>
        </row>
        <row r="145">
          <cell r="A145">
            <v>37478</v>
          </cell>
          <cell r="B145" t="str">
            <v xml:space="preserve">ADUELA/ GALERIA PRE-MOLDADA DE CONCRETO ARMADO, SECAO RETANGULAR INTERNA DE 2,00 X 2,00 M (L X A), MISULA DE 20 X 20 CM, C = 1,00 M, ESPESSURA MIN = 15 CM, TB-45 E FCK DO CONCRETO = 30 MPA                                                                                                                                                                                                                                                                                                              </v>
          </cell>
          <cell r="C145" t="str">
            <v xml:space="preserve">UN    </v>
          </cell>
          <cell r="D145" t="str">
            <v>CR</v>
          </cell>
          <cell r="E145" t="str">
            <v>5.099,00</v>
          </cell>
        </row>
        <row r="146">
          <cell r="A146">
            <v>37477</v>
          </cell>
          <cell r="B146" t="str">
            <v xml:space="preserve">ADUELA/ GALERIA PRE-MOLDADA DE CONCRETO ARMADO, SECAO RETANGULAR INTERNA DE 2,50 X 2,50 M (L X A), MISULA DE 20 X 20 CM, C = 1,00 M, ESPESSURA MIN = 15 CM, TB-45 E FCK DO CONCRETO = 30 MPA                                                                                                                                                                                                                                                                                                              </v>
          </cell>
          <cell r="C146" t="str">
            <v xml:space="preserve">UN    </v>
          </cell>
          <cell r="D146" t="str">
            <v>CR</v>
          </cell>
          <cell r="E146" t="str">
            <v>6.908,32</v>
          </cell>
        </row>
        <row r="147">
          <cell r="A147">
            <v>37479</v>
          </cell>
          <cell r="B147" t="str">
            <v xml:space="preserve">ADUELA/ GALERIA PRE-MOLDADA DE CONCRETO ARMADO, SECAO RETANGULAR INTERNA DE 3,00 X 3,00 M (L X A), MISULA DE 20 X 20 CM, C = 1.00 M, ESPESSURA MIN = 20 CM, TB-45 E FCK DO CONCRETO = 30 MPA                                                                                                                                                                                                                                                                                                              </v>
          </cell>
          <cell r="C147" t="str">
            <v xml:space="preserve">UN    </v>
          </cell>
          <cell r="D147" t="str">
            <v>CR</v>
          </cell>
          <cell r="E147" t="str">
            <v>8.193,36</v>
          </cell>
        </row>
        <row r="148">
          <cell r="A148">
            <v>4319</v>
          </cell>
          <cell r="B148" t="str">
            <v xml:space="preserve">AFASTADOR PARA TELHA DE FIBROCIMENTO CANALETE 90 OU KALHETAO                                                                                                                                                                                                                                                                                                                                                                                                                                              </v>
          </cell>
          <cell r="C148" t="str">
            <v xml:space="preserve">UN    </v>
          </cell>
          <cell r="D148" t="str">
            <v>CR</v>
          </cell>
          <cell r="E148" t="str">
            <v>1,92</v>
          </cell>
        </row>
        <row r="149">
          <cell r="A149">
            <v>42409</v>
          </cell>
          <cell r="B149" t="str">
            <v xml:space="preserve">AGENTE DE CURA, PROTETOR DA EVAPORACAO DA AGUA DE HIDRATACAO DO CONCRETO                                                                                                                                                                                                                                                                                                                                                                                                                                  </v>
          </cell>
          <cell r="C149" t="str">
            <v xml:space="preserve">KG    </v>
          </cell>
          <cell r="D149" t="str">
            <v>CR</v>
          </cell>
          <cell r="E149" t="str">
            <v>11,58</v>
          </cell>
        </row>
        <row r="150">
          <cell r="A150">
            <v>40553</v>
          </cell>
          <cell r="B150" t="str">
            <v xml:space="preserve">AGREGADO RECICLADO, TIPO RACHAO RECICLADO CINZA, CLASSE A                                                                                                                                                                                                                                                                                                                                                                                                                                                 </v>
          </cell>
          <cell r="C150" t="str">
            <v xml:space="preserve">M3    </v>
          </cell>
          <cell r="D150" t="str">
            <v xml:space="preserve">C </v>
          </cell>
          <cell r="E150" t="str">
            <v>54,00</v>
          </cell>
        </row>
        <row r="151">
          <cell r="A151">
            <v>6114</v>
          </cell>
          <cell r="B151" t="str">
            <v xml:space="preserve">AJUDANTE DE ARMADOR (HORISTA)                                                                                                                                                                                                                                                                                                                                                                                                                                                                             </v>
          </cell>
          <cell r="C151" t="str">
            <v xml:space="preserve">H     </v>
          </cell>
          <cell r="D151" t="str">
            <v>CR</v>
          </cell>
          <cell r="E151" t="str">
            <v>21,57</v>
          </cell>
        </row>
        <row r="152">
          <cell r="A152">
            <v>40912</v>
          </cell>
          <cell r="B152" t="str">
            <v xml:space="preserve">AJUDANTE DE ARMADOR (MENSALISTA)                                                                                                                                                                                                                                                                                                                                                                                                                                                                          </v>
          </cell>
          <cell r="C152" t="str">
            <v xml:space="preserve">MES   </v>
          </cell>
          <cell r="D152" t="str">
            <v>CR</v>
          </cell>
          <cell r="E152" t="str">
            <v>3.777,04</v>
          </cell>
        </row>
        <row r="153">
          <cell r="A153">
            <v>247</v>
          </cell>
          <cell r="B153" t="str">
            <v xml:space="preserve">AJUDANTE DE ELETRICISTA (HORISTA)                                                                                                                                                                                                                                                                                                                                                                                                                                                                         </v>
          </cell>
          <cell r="C153" t="str">
            <v xml:space="preserve">H     </v>
          </cell>
          <cell r="D153" t="str">
            <v>CR</v>
          </cell>
          <cell r="E153" t="str">
            <v>21,57</v>
          </cell>
        </row>
        <row r="154">
          <cell r="A154">
            <v>40919</v>
          </cell>
          <cell r="B154" t="str">
            <v xml:space="preserve">AJUDANTE DE ELETRICISTA (MENSALISTA)                                                                                                                                                                                                                                                                                                                                                                                                                                                                      </v>
          </cell>
          <cell r="C154" t="str">
            <v xml:space="preserve">MES   </v>
          </cell>
          <cell r="D154" t="str">
            <v>CR</v>
          </cell>
          <cell r="E154" t="str">
            <v>3.777,04</v>
          </cell>
        </row>
        <row r="155">
          <cell r="A155">
            <v>44499</v>
          </cell>
          <cell r="B155" t="str">
            <v xml:space="preserve">AJUDANTE DE ESTRUTURAS METALICAS (HORISTA)                                                                                                                                                                                                                                                                                                                                                                                                                                                                </v>
          </cell>
          <cell r="C155" t="str">
            <v xml:space="preserve">H     </v>
          </cell>
          <cell r="D155" t="str">
            <v>CR</v>
          </cell>
          <cell r="E155" t="str">
            <v>21,57</v>
          </cell>
        </row>
        <row r="156">
          <cell r="A156">
            <v>40984</v>
          </cell>
          <cell r="B156" t="str">
            <v xml:space="preserve">AJUDANTE DE ESTRUTURAS METALICAS (MENSALISTA)                                                                                                                                                                                                                                                                                                                                                                                                                                                             </v>
          </cell>
          <cell r="C156" t="str">
            <v xml:space="preserve">MES   </v>
          </cell>
          <cell r="D156" t="str">
            <v>CR</v>
          </cell>
          <cell r="E156" t="str">
            <v>3.777,04</v>
          </cell>
        </row>
        <row r="157">
          <cell r="A157">
            <v>248</v>
          </cell>
          <cell r="B157" t="str">
            <v xml:space="preserve">AJUDANTE DE OPERACAO EM GERAL (HORISTA)                                                                                                                                                                                                                                                                                                                                                                                                                                                                   </v>
          </cell>
          <cell r="C157" t="str">
            <v xml:space="preserve">H     </v>
          </cell>
          <cell r="D157" t="str">
            <v>CR</v>
          </cell>
          <cell r="E157" t="str">
            <v>19,37</v>
          </cell>
        </row>
        <row r="158">
          <cell r="A158">
            <v>41086</v>
          </cell>
          <cell r="B158" t="str">
            <v xml:space="preserve">AJUDANTE DE OPERACAO EM GERAL (MENSALISTA)                                                                                                                                                                                                                                                                                                                                                                                                                                                                </v>
          </cell>
          <cell r="C158" t="str">
            <v xml:space="preserve">MES   </v>
          </cell>
          <cell r="D158" t="str">
            <v>CR</v>
          </cell>
          <cell r="E158" t="str">
            <v>3.392,97</v>
          </cell>
        </row>
        <row r="159">
          <cell r="A159">
            <v>34466</v>
          </cell>
          <cell r="B159" t="str">
            <v xml:space="preserve">AJUDANTE DE PINTOR (HORISTA)                                                                                                                                                                                                                                                                                                                                                                                                                                                                              </v>
          </cell>
          <cell r="C159" t="str">
            <v xml:space="preserve">H     </v>
          </cell>
          <cell r="D159" t="str">
            <v>CR</v>
          </cell>
          <cell r="E159" t="str">
            <v>21,57</v>
          </cell>
        </row>
        <row r="160">
          <cell r="A160">
            <v>41083</v>
          </cell>
          <cell r="B160" t="str">
            <v xml:space="preserve">AJUDANTE DE PINTOR (MENSALISTA)                                                                                                                                                                                                                                                                                                                                                                                                                                                                           </v>
          </cell>
          <cell r="C160" t="str">
            <v xml:space="preserve">MES   </v>
          </cell>
          <cell r="D160" t="str">
            <v>CR</v>
          </cell>
          <cell r="E160" t="str">
            <v>3.777,04</v>
          </cell>
        </row>
        <row r="161">
          <cell r="A161">
            <v>252</v>
          </cell>
          <cell r="B161" t="str">
            <v xml:space="preserve">AJUDANTE DE SERRALHEIRO (HORISTA)                                                                                                                                                                                                                                                                                                                                                                                                                                                                         </v>
          </cell>
          <cell r="C161" t="str">
            <v xml:space="preserve">H     </v>
          </cell>
          <cell r="D161" t="str">
            <v>CR</v>
          </cell>
          <cell r="E161" t="str">
            <v>21,57</v>
          </cell>
        </row>
        <row r="162">
          <cell r="A162">
            <v>40909</v>
          </cell>
          <cell r="B162" t="str">
            <v xml:space="preserve">AJUDANTE DE SERRALHEIRO (MENSALISTA)                                                                                                                                                                                                                                                                                                                                                                                                                                                                      </v>
          </cell>
          <cell r="C162" t="str">
            <v xml:space="preserve">MES   </v>
          </cell>
          <cell r="D162" t="str">
            <v>CR</v>
          </cell>
          <cell r="E162" t="str">
            <v>3.777,04</v>
          </cell>
        </row>
        <row r="163">
          <cell r="A163">
            <v>242</v>
          </cell>
          <cell r="B163" t="str">
            <v xml:space="preserve">AJUDANTE ESPECIALIZADO (HORISTA)                                                                                                                                                                                                                                                                                                                                                                                                                                                                          </v>
          </cell>
          <cell r="C163" t="str">
            <v xml:space="preserve">H     </v>
          </cell>
          <cell r="D163" t="str">
            <v>CR</v>
          </cell>
          <cell r="E163" t="str">
            <v>20,73</v>
          </cell>
        </row>
        <row r="164">
          <cell r="A164">
            <v>41085</v>
          </cell>
          <cell r="B164" t="str">
            <v xml:space="preserve">AJUDANTE ESPECIALIZADO (MENSALISTA)                                                                                                                                                                                                                                                                                                                                                                                                                                                                       </v>
          </cell>
          <cell r="C164" t="str">
            <v xml:space="preserve">MES   </v>
          </cell>
          <cell r="D164" t="str">
            <v>CR</v>
          </cell>
          <cell r="E164" t="str">
            <v>3.630,88</v>
          </cell>
        </row>
        <row r="165">
          <cell r="A165">
            <v>427</v>
          </cell>
          <cell r="B165" t="str">
            <v xml:space="preserve">ALCA PREFORMADA DE CONTRA POSTE, EM ACO GALVANIZADO, PARA CABO 3/16", COMPRIMENTO *860* MM                                                                                                                                                                                                                                                                                                                                                                                                                </v>
          </cell>
          <cell r="C165" t="str">
            <v xml:space="preserve">UN    </v>
          </cell>
          <cell r="D165" t="str">
            <v>CR</v>
          </cell>
          <cell r="E165" t="str">
            <v>6,31</v>
          </cell>
        </row>
        <row r="166">
          <cell r="A166">
            <v>417</v>
          </cell>
          <cell r="B166" t="str">
            <v xml:space="preserve">ALCA PREFORMADA DE DISTRIBUICAO, EM ACO GALVANIZADO, PARA CABO DE ALUMINIO DIAMETRO 16 A 25 MM                                                                                                                                                                                                                                                                                                                                                                                                            </v>
          </cell>
          <cell r="C166" t="str">
            <v xml:space="preserve">UN    </v>
          </cell>
          <cell r="D166" t="str">
            <v>CR</v>
          </cell>
          <cell r="E166" t="str">
            <v>2,97</v>
          </cell>
        </row>
        <row r="167">
          <cell r="A167">
            <v>11273</v>
          </cell>
          <cell r="B167" t="str">
            <v xml:space="preserve">ALCA PREFORMADA DE DISTRIBUICAO, EM ACO GALVANIZADO, PARA CONDUTORES DE ALUMINIO AWG 1/0 (CAA 6/1 OU CA 7 FIOS)                                                                                                                                                                                                                                                                                                                                                                                           </v>
          </cell>
          <cell r="C167" t="str">
            <v xml:space="preserve">UN    </v>
          </cell>
          <cell r="D167" t="str">
            <v>CR</v>
          </cell>
          <cell r="E167" t="str">
            <v>9,22</v>
          </cell>
        </row>
        <row r="168">
          <cell r="A168">
            <v>11272</v>
          </cell>
          <cell r="B168" t="str">
            <v xml:space="preserve">ALCA PREFORMADA DE DISTRIBUICAO, EM ACO GALVANIZADO, PARA CONDUTORES DE ALUMINIO AWG 2 (CAA 6/1 OU CA 7 FIOS)                                                                                                                                                                                                                                                                                                                                                                                             </v>
          </cell>
          <cell r="C168" t="str">
            <v xml:space="preserve">UN    </v>
          </cell>
          <cell r="D168" t="str">
            <v>CR</v>
          </cell>
          <cell r="E168" t="str">
            <v>5,57</v>
          </cell>
        </row>
        <row r="169">
          <cell r="A169">
            <v>11275</v>
          </cell>
          <cell r="B169" t="str">
            <v xml:space="preserve">ALCA PREFORMADA DE SERVICO, EM ACO GALVANIZADO, PARA CONDUTORES DE ALUMINIO AWG 4 (CAA 6/1)                                                                                                                                                                                                                                                                                                                                                                                                               </v>
          </cell>
          <cell r="C169" t="str">
            <v xml:space="preserve">UN    </v>
          </cell>
          <cell r="D169" t="str">
            <v>CR</v>
          </cell>
          <cell r="E169" t="str">
            <v>2,23</v>
          </cell>
        </row>
        <row r="170">
          <cell r="A170">
            <v>11274</v>
          </cell>
          <cell r="B170" t="str">
            <v xml:space="preserve">ALCA PREFORMADA DE SERVICO, EM ACO GALVANIZADO, PARA CONDUTORES DE ALUMINIO AWG 6 (CAA 6/1)                                                                                                                                                                                                                                                                                                                                                                                                               </v>
          </cell>
          <cell r="C170" t="str">
            <v xml:space="preserve">UN    </v>
          </cell>
          <cell r="D170" t="str">
            <v>CR</v>
          </cell>
          <cell r="E170" t="str">
            <v>1,70</v>
          </cell>
        </row>
        <row r="171">
          <cell r="A171">
            <v>38470</v>
          </cell>
          <cell r="B171" t="str">
            <v xml:space="preserve">ALICATE DE CORTE DIAGONAL 6 " COM ISOLAMENTO                                                                                                                                                                                                                                                                                                                                                                                                                                                              </v>
          </cell>
          <cell r="C171" t="str">
            <v xml:space="preserve">UN    </v>
          </cell>
          <cell r="D171" t="str">
            <v xml:space="preserve">C </v>
          </cell>
          <cell r="E171" t="str">
            <v>54,86</v>
          </cell>
        </row>
        <row r="172">
          <cell r="A172">
            <v>38547</v>
          </cell>
          <cell r="B172" t="str">
            <v xml:space="preserve">ALICATE DE CRIMPAR RJ11, RJ12 E RJ45                                                                                                                                                                                                                                                                                                                                                                                                                                                                      </v>
          </cell>
          <cell r="C172" t="str">
            <v xml:space="preserve">UN    </v>
          </cell>
          <cell r="D172" t="str">
            <v>CR</v>
          </cell>
          <cell r="E172" t="str">
            <v>149,70</v>
          </cell>
        </row>
        <row r="173">
          <cell r="A173">
            <v>38469</v>
          </cell>
          <cell r="B173" t="str">
            <v xml:space="preserve">ALICATE DE PRESSAO PARA SOLDA DE CHAPA 18 "                                                                                                                                                                                                                                                                                                                                                                                                                                                               </v>
          </cell>
          <cell r="C173" t="str">
            <v xml:space="preserve">UN    </v>
          </cell>
          <cell r="D173" t="str">
            <v>CR</v>
          </cell>
          <cell r="E173" t="str">
            <v>160,97</v>
          </cell>
        </row>
        <row r="174">
          <cell r="A174">
            <v>38467</v>
          </cell>
          <cell r="B174" t="str">
            <v xml:space="preserve">ALICATE DE PRESSAO 11 " PARA SOLDA, TIPO C                                                                                                                                                                                                                                                                                                                                                                                                                                                                </v>
          </cell>
          <cell r="C174" t="str">
            <v xml:space="preserve">UN    </v>
          </cell>
          <cell r="D174" t="str">
            <v>CR</v>
          </cell>
          <cell r="E174" t="str">
            <v>90,57</v>
          </cell>
        </row>
        <row r="175">
          <cell r="A175">
            <v>38468</v>
          </cell>
          <cell r="B175" t="str">
            <v xml:space="preserve">ALICATE DE PRESSAO 11 " PARA SOLDA, TIPO U                                                                                                                                                                                                                                                                                                                                                                                                                                                                </v>
          </cell>
          <cell r="C175" t="str">
            <v xml:space="preserve">UN    </v>
          </cell>
          <cell r="D175" t="str">
            <v>CR</v>
          </cell>
          <cell r="E175" t="str">
            <v>99,67</v>
          </cell>
        </row>
        <row r="176">
          <cell r="A176">
            <v>38471</v>
          </cell>
          <cell r="B176" t="str">
            <v xml:space="preserve">ALICATE PARA ANEIS DE PISTAO, CAPACIDADE 50 A 100 MM                                                                                                                                                                                                                                                                                                                                                                                                                                                      </v>
          </cell>
          <cell r="C176" t="str">
            <v xml:space="preserve">UN    </v>
          </cell>
          <cell r="D176" t="str">
            <v>CR</v>
          </cell>
          <cell r="E176" t="str">
            <v>129,43</v>
          </cell>
        </row>
        <row r="177">
          <cell r="A177">
            <v>37370</v>
          </cell>
          <cell r="B177" t="str">
            <v xml:space="preserve">ALIMENTACAO - HORISTA (COLETADO CAIXA - ENCARGOS COMPLEMENTARES)                                                                                                                                                                                                                                                                                                                                                                                                                                          </v>
          </cell>
          <cell r="C177" t="str">
            <v xml:space="preserve">H     </v>
          </cell>
          <cell r="D177" t="str">
            <v xml:space="preserve">C </v>
          </cell>
          <cell r="E177" t="str">
            <v>4,06</v>
          </cell>
        </row>
        <row r="178">
          <cell r="A178">
            <v>40862</v>
          </cell>
          <cell r="B178" t="str">
            <v xml:space="preserve">ALIMENTACAO - MENSALISTA (COLETADO CAIXA - ENCARGOS COMPLEMENTARES)                                                                                                                                                                                                                                                                                                                                                                                                                                       </v>
          </cell>
          <cell r="C178" t="str">
            <v xml:space="preserve">MES   </v>
          </cell>
          <cell r="D178" t="str">
            <v xml:space="preserve">C </v>
          </cell>
          <cell r="E178" t="str">
            <v>765,85</v>
          </cell>
        </row>
        <row r="179">
          <cell r="A179">
            <v>10658</v>
          </cell>
          <cell r="B179" t="str">
            <v xml:space="preserve">ALISADORA DE CONCRETO COM MOTOR A GASOLINA DE 5,5 HP, PESO COM MOTOR DE 78 KG, 4 PAS                                                                                                                                                                                                                                                                                                                                                                                                                      </v>
          </cell>
          <cell r="C179" t="str">
            <v xml:space="preserve">UN    </v>
          </cell>
          <cell r="D179" t="str">
            <v xml:space="preserve">C </v>
          </cell>
          <cell r="E179" t="str">
            <v>7.359,00</v>
          </cell>
        </row>
        <row r="180">
          <cell r="A180">
            <v>253</v>
          </cell>
          <cell r="B180" t="str">
            <v xml:space="preserve">ALMOXARIFE (HORISTA)                                                                                                                                                                                                                                                                                                                                                                                                                                                                                      </v>
          </cell>
          <cell r="C180" t="str">
            <v xml:space="preserve">H     </v>
          </cell>
          <cell r="D180" t="str">
            <v xml:space="preserve">C </v>
          </cell>
          <cell r="E180" t="str">
            <v>34,59</v>
          </cell>
        </row>
        <row r="181">
          <cell r="A181">
            <v>40809</v>
          </cell>
          <cell r="B181" t="str">
            <v xml:space="preserve">ALMOXARIFE (MENSALISTA)                                                                                                                                                                                                                                                                                                                                                                                                                                                                                   </v>
          </cell>
          <cell r="C181" t="str">
            <v xml:space="preserve">MES   </v>
          </cell>
          <cell r="D181" t="str">
            <v>CR</v>
          </cell>
          <cell r="E181" t="str">
            <v>6.054,25</v>
          </cell>
        </row>
        <row r="182">
          <cell r="A182">
            <v>42428</v>
          </cell>
          <cell r="B182" t="str">
            <v xml:space="preserve">ALONGADOR COM TRES ALTURAS, EM TUBO DE ACO CARBONO, PINTURA NO PROCESSO ELETROSTATICO - EQUIPAMENTO DE GINASTICA PARA ACADEMIA AO AR LIVRE / ACADEMIA DA TERCEIRA IDADE - ATI                                                                                                                                                                                                                                                                                                                             </v>
          </cell>
          <cell r="C182" t="str">
            <v xml:space="preserve">UN    </v>
          </cell>
          <cell r="D182" t="str">
            <v xml:space="preserve">C </v>
          </cell>
          <cell r="E182" t="str">
            <v>2.271,00</v>
          </cell>
        </row>
        <row r="183">
          <cell r="A183">
            <v>301</v>
          </cell>
          <cell r="B183" t="str">
            <v xml:space="preserve">ANEL BORRACHA PARA TUBO ESGOTO PREDIAL, DN 100 MM (NBR 5688)                                                                                                                                                                                                                                                                                                                                                                                                                                              </v>
          </cell>
          <cell r="C183" t="str">
            <v xml:space="preserve">UN    </v>
          </cell>
          <cell r="D183" t="str">
            <v xml:space="preserve">C </v>
          </cell>
          <cell r="E183" t="str">
            <v>2,79</v>
          </cell>
        </row>
        <row r="184">
          <cell r="A184">
            <v>296</v>
          </cell>
          <cell r="B184" t="str">
            <v xml:space="preserve">ANEL BORRACHA PARA TUBO ESGOTO PREDIAL, DN 50 MM (NBR 5688)                                                                                                                                                                                                                                                                                                                                                                                                                                               </v>
          </cell>
          <cell r="C184" t="str">
            <v xml:space="preserve">UN    </v>
          </cell>
          <cell r="D184" t="str">
            <v>CR</v>
          </cell>
          <cell r="E184" t="str">
            <v>1,57</v>
          </cell>
        </row>
        <row r="185">
          <cell r="A185">
            <v>297</v>
          </cell>
          <cell r="B185" t="str">
            <v xml:space="preserve">ANEL BORRACHA PARA TUBO ESGOTO PREDIAL, DN 75 MM (NBR 5688)                                                                                                                                                                                                                                                                                                                                                                                                                                               </v>
          </cell>
          <cell r="C185" t="str">
            <v xml:space="preserve">UN    </v>
          </cell>
          <cell r="D185" t="str">
            <v>CR</v>
          </cell>
          <cell r="E185" t="str">
            <v>2,31</v>
          </cell>
        </row>
        <row r="186">
          <cell r="A186">
            <v>299</v>
          </cell>
          <cell r="B186" t="str">
            <v xml:space="preserve">ANEL BORRACHA, DN 100 MM, PARA TUBO SERIE REFORCADA ESGOTO PREDIAL                                                                                                                                                                                                                                                                                                                                                                                                                                        </v>
          </cell>
          <cell r="C186" t="str">
            <v xml:space="preserve">UN    </v>
          </cell>
          <cell r="D186" t="str">
            <v>CR</v>
          </cell>
          <cell r="E186" t="str">
            <v>3,27</v>
          </cell>
        </row>
        <row r="187">
          <cell r="A187">
            <v>300</v>
          </cell>
          <cell r="B187" t="str">
            <v xml:space="preserve">ANEL BORRACHA, DN 150 MM, PARA TUBO SERIE REFORCADA ESGOTO PREDIAL                                                                                                                                                                                                                                                                                                                                                                                                                                        </v>
          </cell>
          <cell r="C187" t="str">
            <v xml:space="preserve">UN    </v>
          </cell>
          <cell r="D187" t="str">
            <v>CR</v>
          </cell>
          <cell r="E187" t="str">
            <v>11,32</v>
          </cell>
        </row>
        <row r="188">
          <cell r="A188">
            <v>20085</v>
          </cell>
          <cell r="B188" t="str">
            <v xml:space="preserve">ANEL BORRACHA, DN 50 MM, PARA TUBO SERIE REFORCADA ESGOTO PREDIAL                                                                                                                                                                                                                                                                                                                                                                                                                                         </v>
          </cell>
          <cell r="C188" t="str">
            <v xml:space="preserve">UN    </v>
          </cell>
          <cell r="D188" t="str">
            <v>CR</v>
          </cell>
          <cell r="E188" t="str">
            <v>2,07</v>
          </cell>
        </row>
        <row r="189">
          <cell r="A189">
            <v>298</v>
          </cell>
          <cell r="B189" t="str">
            <v xml:space="preserve">ANEL BORRACHA, DN 75 MM, PARA TUBO SERIE REFORCADA ESGOTO PREDIAL                                                                                                                                                                                                                                                                                                                                                                                                                                         </v>
          </cell>
          <cell r="C189" t="str">
            <v xml:space="preserve">UN    </v>
          </cell>
          <cell r="D189" t="str">
            <v>CR</v>
          </cell>
          <cell r="E189" t="str">
            <v>2,51</v>
          </cell>
        </row>
        <row r="190">
          <cell r="A190">
            <v>311</v>
          </cell>
          <cell r="B190" t="str">
            <v xml:space="preserve">ANEL BORRACHA, PARA TUBO PVC DEFOFO, DN 100 MM (NBR 7665)                                                                                                                                                                                                                                                                                                                                                                                                                                                 </v>
          </cell>
          <cell r="C190" t="str">
            <v xml:space="preserve">UN    </v>
          </cell>
          <cell r="D190" t="str">
            <v>CR</v>
          </cell>
          <cell r="E190" t="str">
            <v>9,34</v>
          </cell>
        </row>
        <row r="191">
          <cell r="A191">
            <v>318</v>
          </cell>
          <cell r="B191" t="str">
            <v xml:space="preserve">ANEL BORRACHA, PARA TUBO PVC DEFOFO, DN 150 MM (NBR 7665)                                                                                                                                                                                                                                                                                                                                                                                                                                                 </v>
          </cell>
          <cell r="C191" t="str">
            <v xml:space="preserve">UN    </v>
          </cell>
          <cell r="D191" t="str">
            <v>CR</v>
          </cell>
          <cell r="E191" t="str">
            <v>18,81</v>
          </cell>
        </row>
        <row r="192">
          <cell r="A192">
            <v>319</v>
          </cell>
          <cell r="B192" t="str">
            <v xml:space="preserve">ANEL BORRACHA, PARA TUBO PVC DEFOFO, DN 200 MM (NBR 7665)                                                                                                                                                                                                                                                                                                                                                                                                                                                 </v>
          </cell>
          <cell r="C192" t="str">
            <v xml:space="preserve">UN    </v>
          </cell>
          <cell r="D192" t="str">
            <v>CR</v>
          </cell>
          <cell r="E192" t="str">
            <v>29,49</v>
          </cell>
        </row>
        <row r="193">
          <cell r="A193">
            <v>303</v>
          </cell>
          <cell r="B193" t="str">
            <v xml:space="preserve">ANEL BORRACHA, PARA TUBO PVC, REDE COLETOR ESGOTO, DN 100 MM (NBR 7362)                                                                                                                                                                                                                                                                                                                                                                                                                                   </v>
          </cell>
          <cell r="C193" t="str">
            <v xml:space="preserve">UN    </v>
          </cell>
          <cell r="D193" t="str">
            <v>CR</v>
          </cell>
          <cell r="E193" t="str">
            <v>3,09</v>
          </cell>
        </row>
        <row r="194">
          <cell r="A194">
            <v>305</v>
          </cell>
          <cell r="B194" t="str">
            <v xml:space="preserve">ANEL BORRACHA, PARA TUBO PVC, REDE COLETOR ESGOTO, DN 150 MM (NBR 7362)                                                                                                                                                                                                                                                                                                                                                                                                                                   </v>
          </cell>
          <cell r="C194" t="str">
            <v xml:space="preserve">UN    </v>
          </cell>
          <cell r="D194" t="str">
            <v>CR</v>
          </cell>
          <cell r="E194" t="str">
            <v>9,72</v>
          </cell>
        </row>
        <row r="195">
          <cell r="A195">
            <v>306</v>
          </cell>
          <cell r="B195" t="str">
            <v xml:space="preserve">ANEL BORRACHA, PARA TUBO PVC, REDE COLETOR ESGOTO, DN 200 MM (NBR 7362)                                                                                                                                                                                                                                                                                                                                                                                                                                   </v>
          </cell>
          <cell r="C195" t="str">
            <v xml:space="preserve">UN    </v>
          </cell>
          <cell r="D195" t="str">
            <v>CR</v>
          </cell>
          <cell r="E195" t="str">
            <v>14,74</v>
          </cell>
        </row>
        <row r="196">
          <cell r="A196">
            <v>307</v>
          </cell>
          <cell r="B196" t="str">
            <v xml:space="preserve">ANEL BORRACHA, PARA TUBO PVC, REDE COLETOR ESGOTO, DN 250 MM (NBR 7362)                                                                                                                                                                                                                                                                                                                                                                                                                                   </v>
          </cell>
          <cell r="C196" t="str">
            <v xml:space="preserve">UN    </v>
          </cell>
          <cell r="D196" t="str">
            <v>CR</v>
          </cell>
          <cell r="E196" t="str">
            <v>37,25</v>
          </cell>
        </row>
        <row r="197">
          <cell r="A197">
            <v>309</v>
          </cell>
          <cell r="B197" t="str">
            <v xml:space="preserve">ANEL BORRACHA, PARA TUBO PVC, REDE COLETOR ESGOTO, DN 350 MM (NBR 7362)                                                                                                                                                                                                                                                                                                                                                                                                                                   </v>
          </cell>
          <cell r="C197" t="str">
            <v xml:space="preserve">UN    </v>
          </cell>
          <cell r="D197" t="str">
            <v>CR</v>
          </cell>
          <cell r="E197" t="str">
            <v>61,02</v>
          </cell>
        </row>
        <row r="198">
          <cell r="A198">
            <v>310</v>
          </cell>
          <cell r="B198" t="str">
            <v xml:space="preserve">ANEL BORRACHA, PARA TUBO PVC, REDE COLETOR ESGOTO, DN 400 MM (NBR 7362)                                                                                                                                                                                                                                                                                                                                                                                                                                   </v>
          </cell>
          <cell r="C198" t="str">
            <v xml:space="preserve">UN    </v>
          </cell>
          <cell r="D198" t="str">
            <v>CR</v>
          </cell>
          <cell r="E198" t="str">
            <v>84,58</v>
          </cell>
        </row>
        <row r="199">
          <cell r="A199">
            <v>328</v>
          </cell>
          <cell r="B199" t="str">
            <v xml:space="preserve">ANEL BORRACHA, PARA TUBO/CONEXAO PVC PBA, DN 100 MM, PARA REDE AGUA                                                                                                                                                                                                                                                                                                                                                                                                                                       </v>
          </cell>
          <cell r="C199" t="str">
            <v xml:space="preserve">UN    </v>
          </cell>
          <cell r="D199" t="str">
            <v>CR</v>
          </cell>
          <cell r="E199" t="str">
            <v>7,39</v>
          </cell>
        </row>
        <row r="200">
          <cell r="A200">
            <v>325</v>
          </cell>
          <cell r="B200" t="str">
            <v xml:space="preserve">ANEL BORRACHA, PARA TUBO/CONEXAO PVC PBA, DN 50 MM, PARA REDE AGUA                                                                                                                                                                                                                                                                                                                                                                                                                                        </v>
          </cell>
          <cell r="C200" t="str">
            <v xml:space="preserve">UN    </v>
          </cell>
          <cell r="D200" t="str">
            <v>CR</v>
          </cell>
          <cell r="E200" t="str">
            <v>2,18</v>
          </cell>
        </row>
        <row r="201">
          <cell r="A201">
            <v>20326</v>
          </cell>
          <cell r="B201" t="str">
            <v xml:space="preserve">ANEL BORRACHA, PARA TUBO/CONEXAO PVC PBA, DN 60 MM, PARA REDE AGUA                                                                                                                                                                                                                                                                                                                                                                                                                                        </v>
          </cell>
          <cell r="C201" t="str">
            <v xml:space="preserve">UN    </v>
          </cell>
          <cell r="D201" t="str">
            <v>CR</v>
          </cell>
          <cell r="E201" t="str">
            <v>3,99</v>
          </cell>
        </row>
        <row r="202">
          <cell r="A202">
            <v>329</v>
          </cell>
          <cell r="B202" t="str">
            <v xml:space="preserve">ANEL BORRACHA, PARA TUBO/CONEXAO PVC PBA, DN 75 MM, PARA REDE AGUA                                                                                                                                                                                                                                                                                                                                                                                                                                        </v>
          </cell>
          <cell r="C202" t="str">
            <v xml:space="preserve">UN    </v>
          </cell>
          <cell r="D202" t="str">
            <v>CR</v>
          </cell>
          <cell r="E202" t="str">
            <v>6,18</v>
          </cell>
        </row>
        <row r="203">
          <cell r="A203">
            <v>308</v>
          </cell>
          <cell r="B203" t="str">
            <v xml:space="preserve">ANEL BORRACHA, PARA TUBO, PVC REDE COLETOR ESGOTO, DN 300 MM (NBR 7362)                                                                                                                                                                                                                                                                                                                                                                                                                                   </v>
          </cell>
          <cell r="C203" t="str">
            <v xml:space="preserve">UN    </v>
          </cell>
          <cell r="D203" t="str">
            <v>CR</v>
          </cell>
          <cell r="E203" t="str">
            <v>83,14</v>
          </cell>
        </row>
        <row r="204">
          <cell r="A204">
            <v>39642</v>
          </cell>
          <cell r="B204" t="str">
            <v xml:space="preserve">ANEL DE BORRACHA PARA VEDACAO DE DUTO PEAD CORRUGADO PARA ELETRICA, DN 1 1/2" (NBR 15715)                                                                                                                                                                                                                                                                                                                                                                                                                 </v>
          </cell>
          <cell r="C204" t="str">
            <v xml:space="preserve">UN    </v>
          </cell>
          <cell r="D204" t="str">
            <v>CR</v>
          </cell>
          <cell r="E204" t="str">
            <v>2,74</v>
          </cell>
        </row>
        <row r="205">
          <cell r="A205">
            <v>39641</v>
          </cell>
          <cell r="B205" t="str">
            <v xml:space="preserve">ANEL DE BORRACHA PARA VEDACAO DE DUTO PEAD CORRUGADO PARA ELETRICA, DN 1 1/4" (NBR 15715)                                                                                                                                                                                                                                                                                                                                                                                                                 </v>
          </cell>
          <cell r="C205" t="str">
            <v xml:space="preserve">UN    </v>
          </cell>
          <cell r="D205" t="str">
            <v>CR</v>
          </cell>
          <cell r="E205" t="str">
            <v>2,40</v>
          </cell>
        </row>
        <row r="206">
          <cell r="A206">
            <v>39643</v>
          </cell>
          <cell r="B206" t="str">
            <v xml:space="preserve">ANEL DE BORRACHA PARA VEDACAO DE DUTO PEAD CORRUGADO PARA ELETRICA, DN 2" (NBR 15715)                                                                                                                                                                                                                                                                                                                                                                                                                     </v>
          </cell>
          <cell r="C206" t="str">
            <v xml:space="preserve">UN    </v>
          </cell>
          <cell r="D206" t="str">
            <v>CR</v>
          </cell>
          <cell r="E206" t="str">
            <v>3,22</v>
          </cell>
        </row>
        <row r="207">
          <cell r="A207">
            <v>39644</v>
          </cell>
          <cell r="B207" t="str">
            <v xml:space="preserve">ANEL DE BORRACHA PARA VEDACAO DE DUTO PEAD CORRUGADO PARA ELETRICA, DN 3" (NBR 15715)                                                                                                                                                                                                                                                                                                                                                                                                                     </v>
          </cell>
          <cell r="C207" t="str">
            <v xml:space="preserve">UN    </v>
          </cell>
          <cell r="D207" t="str">
            <v>CR</v>
          </cell>
          <cell r="E207" t="str">
            <v>4,99</v>
          </cell>
        </row>
        <row r="208">
          <cell r="A208">
            <v>39645</v>
          </cell>
          <cell r="B208" t="str">
            <v xml:space="preserve">ANEL DE BORRACHA PARA VEDACAO DE DUTO PEAD CORRUGADO PARA ELETRICA, DN 4" (NBR 15715)                                                                                                                                                                                                                                                                                                                                                                                                                     </v>
          </cell>
          <cell r="C208" t="str">
            <v xml:space="preserve">UN    </v>
          </cell>
          <cell r="D208" t="str">
            <v>CR</v>
          </cell>
          <cell r="E208" t="str">
            <v>5,46</v>
          </cell>
        </row>
        <row r="209">
          <cell r="A209">
            <v>41610</v>
          </cell>
          <cell r="B209" t="str">
            <v xml:space="preserve">ANEL DE CONCRETO ARMADO COM FUNDO, PARA FOSSA E POCO 1,50 X *0,50* M                                                                                                                                                                                                                                                                                                                                                                                                                                      </v>
          </cell>
          <cell r="C209" t="str">
            <v xml:space="preserve">UN    </v>
          </cell>
          <cell r="D209" t="str">
            <v>CR</v>
          </cell>
          <cell r="E209" t="str">
            <v>755,26</v>
          </cell>
        </row>
        <row r="210">
          <cell r="A210">
            <v>41611</v>
          </cell>
          <cell r="B210" t="str">
            <v xml:space="preserve">ANEL DE CONCRETO ARMADO COM FUNDO, PARA FOSSA E POCO 2,00 X *0,50* M                                                                                                                                                                                                                                                                                                                                                                                                                                      </v>
          </cell>
          <cell r="C210" t="str">
            <v xml:space="preserve">UN    </v>
          </cell>
          <cell r="D210" t="str">
            <v>CR</v>
          </cell>
          <cell r="E210" t="str">
            <v>1.190,45</v>
          </cell>
        </row>
        <row r="211">
          <cell r="A211">
            <v>41612</v>
          </cell>
          <cell r="B211" t="str">
            <v xml:space="preserve">ANEL DE CONCRETO ARMADO COM FUNDO, PARA FOSSA E POCO 2,50 X *0,50* M                                                                                                                                                                                                                                                                                                                                                                                                                                      </v>
          </cell>
          <cell r="C211" t="str">
            <v xml:space="preserve">UN    </v>
          </cell>
          <cell r="D211" t="str">
            <v>CR</v>
          </cell>
          <cell r="E211" t="str">
            <v>1.671,56</v>
          </cell>
        </row>
        <row r="212">
          <cell r="A212">
            <v>41637</v>
          </cell>
          <cell r="B212" t="str">
            <v xml:space="preserve">ANEL DE CONCRETO ARMADO, COM FUROS/DRENO PARA SUMIDOURO, D = 0,80 M, H = 0,50 M                                                                                                                                                                                                                                                                                                                                                                                                                           </v>
          </cell>
          <cell r="C212" t="str">
            <v xml:space="preserve">UN    </v>
          </cell>
          <cell r="D212" t="str">
            <v>CR</v>
          </cell>
          <cell r="E212" t="str">
            <v>156,25</v>
          </cell>
        </row>
        <row r="213">
          <cell r="A213">
            <v>41638</v>
          </cell>
          <cell r="B213" t="str">
            <v xml:space="preserve">ANEL DE CONCRETO ARMADO, COM FUROS/DRENO PARA SUMIDOURO, D = 1,00 M, H = 0,50M                                                                                                                                                                                                                                                                                                                                                                                                                            </v>
          </cell>
          <cell r="C213" t="str">
            <v xml:space="preserve">UN    </v>
          </cell>
          <cell r="D213" t="str">
            <v>CR</v>
          </cell>
          <cell r="E213" t="str">
            <v>203,54</v>
          </cell>
        </row>
        <row r="214">
          <cell r="A214">
            <v>41639</v>
          </cell>
          <cell r="B214" t="str">
            <v xml:space="preserve">ANEL DE CONCRETO ARMADO, COM FUROS/DRENO PARA SUMIDOURO, D = 1,50 M, H = 0,50 M                                                                                                                                                                                                                                                                                                                                                                                                                           </v>
          </cell>
          <cell r="C214" t="str">
            <v xml:space="preserve">UN    </v>
          </cell>
          <cell r="D214" t="str">
            <v>CR</v>
          </cell>
          <cell r="E214" t="str">
            <v>492,42</v>
          </cell>
        </row>
        <row r="215">
          <cell r="A215">
            <v>11789</v>
          </cell>
          <cell r="B215" t="str">
            <v xml:space="preserve">ANEL DE DISTRIBUICAO EM ACO GALVANIZADO PARA FIO FE-160                                                                                                                                                                                                                                                                                                                                                                                                                                                   </v>
          </cell>
          <cell r="C215" t="str">
            <v xml:space="preserve">UN    </v>
          </cell>
          <cell r="D215" t="str">
            <v>CR</v>
          </cell>
          <cell r="E215" t="str">
            <v>0,84</v>
          </cell>
        </row>
        <row r="216">
          <cell r="A216">
            <v>20975</v>
          </cell>
          <cell r="B216" t="str">
            <v xml:space="preserve">ANEL DE EXPANSAO EM COBRE, ENGATE RAPIDO 1 1/2", PARA EMPATACAO MANGUEIRA DE COMBATE A INCENDIO PREDIAL                                                                                                                                                                                                                                                                                                                                                                                                   </v>
          </cell>
          <cell r="C216" t="str">
            <v xml:space="preserve">UN    </v>
          </cell>
          <cell r="D216" t="str">
            <v>CR</v>
          </cell>
          <cell r="E216" t="str">
            <v>20,61</v>
          </cell>
        </row>
        <row r="217">
          <cell r="A217">
            <v>20976</v>
          </cell>
          <cell r="B217" t="str">
            <v xml:space="preserve">ANEL DE EXPANSAO EM COBRE, ENGATE RAPIDO 2 1/2", PARA EMPATACAO MANGUEIRA DE COMBATE A INCENDIO PREDIAL                                                                                                                                                                                                                                                                                                                                                                                                   </v>
          </cell>
          <cell r="C217" t="str">
            <v xml:space="preserve">UN    </v>
          </cell>
          <cell r="D217" t="str">
            <v>CR</v>
          </cell>
          <cell r="E217" t="str">
            <v>31,14</v>
          </cell>
        </row>
        <row r="218">
          <cell r="A218">
            <v>40340</v>
          </cell>
          <cell r="B218" t="str">
            <v xml:space="preserve">ANEL DE VEDACAO/JUNTA ELASTICA, H = *16* MM, PARA TUBO DE CONCRETO, DN 300 MM                                                                                                                                                                                                                                                                                                                                                                                                                             </v>
          </cell>
          <cell r="C218" t="str">
            <v xml:space="preserve">UN    </v>
          </cell>
          <cell r="D218" t="str">
            <v>CR</v>
          </cell>
          <cell r="E218" t="str">
            <v>20,52</v>
          </cell>
        </row>
        <row r="219">
          <cell r="A219">
            <v>40341</v>
          </cell>
          <cell r="B219" t="str">
            <v xml:space="preserve">ANEL DE VEDACAO/JUNTA ELASTICA, H = *16* MM, PARA TUBO DE CONCRETO, DN 400 MM                                                                                                                                                                                                                                                                                                                                                                                                                             </v>
          </cell>
          <cell r="C219" t="str">
            <v xml:space="preserve">UN    </v>
          </cell>
          <cell r="D219" t="str">
            <v>CR</v>
          </cell>
          <cell r="E219" t="str">
            <v>24,49</v>
          </cell>
        </row>
        <row r="220">
          <cell r="A220">
            <v>40342</v>
          </cell>
          <cell r="B220" t="str">
            <v xml:space="preserve">ANEL DE VEDACAO/JUNTA ELASTICA, H = *16* MM, PARA TUBO DE CONCRETO, DN 500 MM                                                                                                                                                                                                                                                                                                                                                                                                                             </v>
          </cell>
          <cell r="C220" t="str">
            <v xml:space="preserve">UN    </v>
          </cell>
          <cell r="D220" t="str">
            <v>CR</v>
          </cell>
          <cell r="E220" t="str">
            <v>29,21</v>
          </cell>
        </row>
        <row r="221">
          <cell r="A221">
            <v>40343</v>
          </cell>
          <cell r="B221" t="str">
            <v xml:space="preserve">ANEL DE VEDACAO/JUNTA ELASTICA, H = *16* MM, PARA TUBO DE CONCRETO, DN 600 MM                                                                                                                                                                                                                                                                                                                                                                                                                             </v>
          </cell>
          <cell r="C221" t="str">
            <v xml:space="preserve">UN    </v>
          </cell>
          <cell r="D221" t="str">
            <v>CR</v>
          </cell>
          <cell r="E221" t="str">
            <v>34,65</v>
          </cell>
        </row>
        <row r="222">
          <cell r="A222">
            <v>40344</v>
          </cell>
          <cell r="B222" t="str">
            <v xml:space="preserve">ANEL DE VEDACAO/JUNTA ELASTICA, H = *18* MM, PARA TUBO DE CONCRETO, DN 700 MM                                                                                                                                                                                                                                                                                                                                                                                                                             </v>
          </cell>
          <cell r="C222" t="str">
            <v xml:space="preserve">UN    </v>
          </cell>
          <cell r="D222" t="str">
            <v>CR</v>
          </cell>
          <cell r="E222" t="str">
            <v>47,23</v>
          </cell>
        </row>
        <row r="223">
          <cell r="A223">
            <v>40345</v>
          </cell>
          <cell r="B223" t="str">
            <v xml:space="preserve">ANEL DE VEDACAO/JUNTA ELASTICA, H = *19* MM, PARA TUBO DE CONCRETO, DN 800 MM                                                                                                                                                                                                                                                                                                                                                                                                                             </v>
          </cell>
          <cell r="C223" t="str">
            <v xml:space="preserve">UN    </v>
          </cell>
          <cell r="D223" t="str">
            <v>CR</v>
          </cell>
          <cell r="E223" t="str">
            <v>58,20</v>
          </cell>
        </row>
        <row r="224">
          <cell r="A224">
            <v>40346</v>
          </cell>
          <cell r="B224" t="str">
            <v xml:space="preserve">ANEL DE VEDACAO/JUNTA ELASTICA, H = *19* MM, PARA TUBO DE CONCRETO, DN 900 MM                                                                                                                                                                                                                                                                                                                                                                                                                             </v>
          </cell>
          <cell r="C224" t="str">
            <v xml:space="preserve">UN    </v>
          </cell>
          <cell r="D224" t="str">
            <v>CR</v>
          </cell>
          <cell r="E224" t="str">
            <v>67,51</v>
          </cell>
        </row>
        <row r="225">
          <cell r="A225">
            <v>40347</v>
          </cell>
          <cell r="B225" t="str">
            <v xml:space="preserve">ANEL DE VEDACAO/JUNTA ELASTICA, H = *21* MM, PARA TUBO DE CONCRETO, DN 1000 MM                                                                                                                                                                                                                                                                                                                                                                                                                            </v>
          </cell>
          <cell r="C225" t="str">
            <v xml:space="preserve">UN    </v>
          </cell>
          <cell r="D225" t="str">
            <v>CR</v>
          </cell>
          <cell r="E225" t="str">
            <v>84,83</v>
          </cell>
        </row>
        <row r="226">
          <cell r="A226">
            <v>6138</v>
          </cell>
          <cell r="B226" t="str">
            <v xml:space="preserve">ANEL DE VEDACAO, PVC FLEXIVEL, 100 MM, PARA SAIDA DE BACIA / VASO SANITARIO                                                                                                                                                                                                                                                                                                                                                                                                                               </v>
          </cell>
          <cell r="C226" t="str">
            <v xml:space="preserve">UN    </v>
          </cell>
          <cell r="D226" t="str">
            <v>CR</v>
          </cell>
          <cell r="E226" t="str">
            <v>12,34</v>
          </cell>
        </row>
        <row r="227">
          <cell r="A227">
            <v>43424</v>
          </cell>
          <cell r="B227" t="str">
            <v xml:space="preserve">ANEL EM CONCRETO ARMADO, LISO,  PARA FOSSAS SEPTICAS E SUMIDOUROS, COM FUNDO, DIAMETRO INTERNO DE 1,20 M E ALTURA DE 0,50 M                                                                                                                                                                                                                                                                                                                                                                               </v>
          </cell>
          <cell r="C227" t="str">
            <v xml:space="preserve">UN    </v>
          </cell>
          <cell r="D227" t="str">
            <v>CR</v>
          </cell>
          <cell r="E227" t="str">
            <v>632,79</v>
          </cell>
        </row>
        <row r="228">
          <cell r="A228">
            <v>43426</v>
          </cell>
          <cell r="B228" t="str">
            <v xml:space="preserve">ANEL EM CONCRETO ARMADO, LISO, PARA FOSSAS SEPTICAS E SUMIDOUROS, COM FUNDO, DIAMETRO INTERNO DE 3,00 M E ALTURA DE 0,50 M                                                                                                                                                                                                                                                                                                                                                                                </v>
          </cell>
          <cell r="C228" t="str">
            <v xml:space="preserve">UN    </v>
          </cell>
          <cell r="D228" t="str">
            <v>CR</v>
          </cell>
          <cell r="E228" t="str">
            <v>2.182,49</v>
          </cell>
        </row>
        <row r="229">
          <cell r="A229">
            <v>12565</v>
          </cell>
          <cell r="B229" t="str">
            <v xml:space="preserve">ANEL EM CONCRETO ARMADO, LISO, PARA FOSSAS SEPTICAS E SUMIDOUROS, SEM FUNDO, DIAMETRO INTERNO DE 2,00 M E ALTURA DE 0,50 M                                                                                                                                                                                                                                                                                                                                                                                </v>
          </cell>
          <cell r="C229" t="str">
            <v xml:space="preserve">UN    </v>
          </cell>
          <cell r="D229" t="str">
            <v>CR</v>
          </cell>
          <cell r="E229" t="str">
            <v>765,37</v>
          </cell>
        </row>
        <row r="230">
          <cell r="A230">
            <v>12567</v>
          </cell>
          <cell r="B230" t="str">
            <v xml:space="preserve">ANEL EM CONCRETO ARMADO, LISO, PARA FOSSAS SEPTICAS E SUMIDOUROS, SEM FUNDO, DIAMETRO INTERNO DE 2,50 M E ALTURA DE 0,50 M                                                                                                                                                                                                                                                                                                                                                                                </v>
          </cell>
          <cell r="C230" t="str">
            <v xml:space="preserve">UN    </v>
          </cell>
          <cell r="D230" t="str">
            <v>CR</v>
          </cell>
          <cell r="E230" t="str">
            <v>1.028,02</v>
          </cell>
        </row>
        <row r="231">
          <cell r="A231">
            <v>12568</v>
          </cell>
          <cell r="B231" t="str">
            <v xml:space="preserve">ANEL EM CONCRETO ARMADO, LISO, PARA FOSSAS SEPTICAS E SUMIDOUROS, SEM FUNDO, DIAMETRO INTERNO DE 3,00 M E ALTURA DE 0,50 M                                                                                                                                                                                                                                                                                                                                                                                </v>
          </cell>
          <cell r="C231" t="str">
            <v xml:space="preserve">UN    </v>
          </cell>
          <cell r="D231" t="str">
            <v>CR</v>
          </cell>
          <cell r="E231" t="str">
            <v>1.439,23</v>
          </cell>
        </row>
        <row r="232">
          <cell r="A232">
            <v>43441</v>
          </cell>
          <cell r="B232" t="str">
            <v xml:space="preserve">ANEL EM CONCRETO ARMADO, LISO, PARA POCOS DE INSPECAO, COM FUNDO, DIAMETRO INTERNO DE 0,60 M E ALTURA DE 0,50 M                                                                                                                                                                                                                                                                                                                                                                                           </v>
          </cell>
          <cell r="C232" t="str">
            <v xml:space="preserve">UN    </v>
          </cell>
          <cell r="D232" t="str">
            <v>CR</v>
          </cell>
          <cell r="E232" t="str">
            <v>185,04</v>
          </cell>
        </row>
        <row r="233">
          <cell r="A233">
            <v>43423</v>
          </cell>
          <cell r="B233" t="str">
            <v xml:space="preserve">ANEL EM CONCRETO ARMADO, LISO, PARA POCOS DE INSPECAO, SEM FUNDO, DIAMETRO INTERNO DE 0,60 M E ALTURA DE 0,20 M                                                                                                                                                                                                                                                                                                                                                                                           </v>
          </cell>
          <cell r="C233" t="str">
            <v xml:space="preserve">UN    </v>
          </cell>
          <cell r="D233" t="str">
            <v>CR</v>
          </cell>
          <cell r="E233" t="str">
            <v>86,35</v>
          </cell>
        </row>
        <row r="234">
          <cell r="A234">
            <v>12532</v>
          </cell>
          <cell r="B234" t="str">
            <v xml:space="preserve">ANEL EM CONCRETO ARMADO, LISO, PARA POCOS DE INSPECAO, SEM FUNDO, DIAMETRO INTERNO DE 0,60 M E ALTURA DE 0,50 M                                                                                                                                                                                                                                                                                                                                                                                           </v>
          </cell>
          <cell r="C234" t="str">
            <v xml:space="preserve">UN    </v>
          </cell>
          <cell r="D234" t="str">
            <v>CR</v>
          </cell>
          <cell r="E234" t="str">
            <v>133,18</v>
          </cell>
        </row>
        <row r="235">
          <cell r="A235">
            <v>43444</v>
          </cell>
          <cell r="B235" t="str">
            <v xml:space="preserve">ANEL EM CONCRETO ARMADO, LISO, PARA POCOS DE VISITA, POCOS DE INSPECAO, FOSSAS SEPTICAS E SUMIDOUROS, COM FUNDO, DIAMETRO INTERNO DE 1,20 M E ALTURA DE 0,75 M                                                                                                                                                                                                                                                                                                                                            </v>
          </cell>
          <cell r="C235" t="str">
            <v xml:space="preserve">UN    </v>
          </cell>
          <cell r="D235" t="str">
            <v>CR</v>
          </cell>
          <cell r="E235" t="str">
            <v>447,19</v>
          </cell>
        </row>
        <row r="236">
          <cell r="A236">
            <v>12551</v>
          </cell>
          <cell r="B236" t="str">
            <v xml:space="preserve">ANEL EM CONCRETO ARMADO, LISO, PARA POCOS DE VISITA, POCOS DE INSPECAO, FOSSAS SEPTICAS E SUMIDOUROS, SEM FUNDO, DIAMETRO INTERNO DE 1,20 M E ALTURA DE 0,50 M                                                                                                                                                                                                                                                                                                                                            </v>
          </cell>
          <cell r="C236" t="str">
            <v xml:space="preserve">UN    </v>
          </cell>
          <cell r="D236" t="str">
            <v>CR</v>
          </cell>
          <cell r="E236" t="str">
            <v>319,05</v>
          </cell>
        </row>
        <row r="237">
          <cell r="A237">
            <v>43442</v>
          </cell>
          <cell r="B237" t="str">
            <v xml:space="preserve">ANEL EM CONCRETO ARMADO, LISO, PARA POCOS DE VISITAS, POCOS DE INSPECAO, FOSSAS SEPTICAS E SUMIDOUROS, COM FUNDO, DIAMETRO INTERNO DE 0,80 M E ALTURA DE 0,50 M                                                                                                                                                                                                                                                                                                                                           </v>
          </cell>
          <cell r="C237" t="str">
            <v xml:space="preserve">UN    </v>
          </cell>
          <cell r="D237" t="str">
            <v>CR</v>
          </cell>
          <cell r="E237" t="str">
            <v>246,72</v>
          </cell>
        </row>
        <row r="238">
          <cell r="A238">
            <v>43443</v>
          </cell>
          <cell r="B238" t="str">
            <v xml:space="preserve">ANEL EM CONCRETO ARMADO, LISO, PARA POCOS DE VISITAS, POCOS DE INSPECAO, FOSSAS SEPTICAS E SUMIDOUROS, COM FUNDO, DIAMETRO INTERNO DE 1,00 M E ALTURA DE 0,50 M                                                                                                                                                                                                                                                                                                                                           </v>
          </cell>
          <cell r="C238" t="str">
            <v xml:space="preserve">UN    </v>
          </cell>
          <cell r="D238" t="str">
            <v>CR</v>
          </cell>
          <cell r="E238" t="str">
            <v>323,82</v>
          </cell>
        </row>
        <row r="239">
          <cell r="A239">
            <v>12544</v>
          </cell>
          <cell r="B239" t="str">
            <v xml:space="preserve">ANEL EM CONCRETO ARMADO, LISO, PARA POCOS DE VISITAS, POCOS DE INSPECAO, FOSSAS SEPTICAS E SUMIDOUROS, SEM FUNDO, DIAMETRO INTERNO DE 0,80 M E ALTURA DE 0,50 M                                                                                                                                                                                                                                                                                                                                           </v>
          </cell>
          <cell r="C239" t="str">
            <v xml:space="preserve">UN    </v>
          </cell>
          <cell r="D239" t="str">
            <v>CR</v>
          </cell>
          <cell r="E239" t="str">
            <v>174,76</v>
          </cell>
        </row>
        <row r="240">
          <cell r="A240">
            <v>12547</v>
          </cell>
          <cell r="B240" t="str">
            <v xml:space="preserve">ANEL EM CONCRETO ARMADO, LISO, PARA POCOS DE VISITAS, POCOS DE INSPECAO, FOSSAS SEPTICAS E SUMIDOUROS, SEM FUNDO, DIAMETRO INTERNO DE 1,00 M E ALTURA DE 0,50 M                                                                                                                                                                                                                                                                                                                                           </v>
          </cell>
          <cell r="C240" t="str">
            <v xml:space="preserve">UN    </v>
          </cell>
          <cell r="D240" t="str">
            <v>CR</v>
          </cell>
          <cell r="E240" t="str">
            <v>235,04</v>
          </cell>
        </row>
        <row r="241">
          <cell r="A241">
            <v>43445</v>
          </cell>
          <cell r="B241" t="str">
            <v xml:space="preserve">ANEL EM CONCRETO ARMADO, LISO, PARA, POCOS DE VISITA, POCOS DE INSPECAO, FOSSAS SEPTICAS E SUMIDOUROS, COM FUNDO, DIAMETRO INTERNO DE 1,50 M E ALTURA DE 1,00 M                                                                                                                                                                                                                                                                                                                                           </v>
          </cell>
          <cell r="C241" t="str">
            <v xml:space="preserve">UN    </v>
          </cell>
          <cell r="D241" t="str">
            <v>CR</v>
          </cell>
          <cell r="E241" t="str">
            <v>616,81</v>
          </cell>
        </row>
        <row r="242">
          <cell r="A242">
            <v>12563</v>
          </cell>
          <cell r="B242" t="str">
            <v xml:space="preserve">ANEL EM CONCRETO ARMADO, LISO, PARA, POCOS DE VISITA, POCOS DE INSPECAO, FOSSAS SEPTICAS E SUMIDOUROS, SEM FUNDO, DIAMETRO INTERNO DE 1,50 M E ALTURA DE 0,50 M                                                                                                                                                                                                                                                                                                                                           </v>
          </cell>
          <cell r="C242" t="str">
            <v xml:space="preserve">UN    </v>
          </cell>
          <cell r="D242" t="str">
            <v>CR</v>
          </cell>
          <cell r="E242" t="str">
            <v>441,31</v>
          </cell>
        </row>
        <row r="243">
          <cell r="A243">
            <v>43425</v>
          </cell>
          <cell r="B243" t="str">
            <v xml:space="preserve">ANEL EM CONCRETO ARMADO, PERFURADO,  PARA FOSSAS SEPTICAS E SUMIDOUROS, SEM FUNDO, DIAMETRO INTERNO DE 1,20 M E ALTURA DE 0,50 M                                                                                                                                                                                                                                                                                                                                                                          </v>
          </cell>
          <cell r="C243" t="str">
            <v xml:space="preserve">UN    </v>
          </cell>
          <cell r="D243" t="str">
            <v>CR</v>
          </cell>
          <cell r="E243" t="str">
            <v>277,56</v>
          </cell>
        </row>
        <row r="244">
          <cell r="A244">
            <v>43446</v>
          </cell>
          <cell r="B244" t="str">
            <v xml:space="preserve">ANEL EM CONCRETO ARMADO, PERFURADO, PARA FOSSAS SEPTICAS E SUMIDOUROS, SEM FUNDO, DIAMETRO INTERNO DE 2,00 M E ALTURA DE 0,50 M                                                                                                                                                                                                                                                                                                                                                                           </v>
          </cell>
          <cell r="C244" t="str">
            <v xml:space="preserve">UN    </v>
          </cell>
          <cell r="D244" t="str">
            <v>CR</v>
          </cell>
          <cell r="E244" t="str">
            <v>585,97</v>
          </cell>
        </row>
        <row r="245">
          <cell r="A245">
            <v>43447</v>
          </cell>
          <cell r="B245" t="str">
            <v xml:space="preserve">ANEL EM CONCRETO ARMADO, PERFURADO, PARA FOSSAS SEPTICAS E SUMIDOUROS, SEM FUNDO, DIAMETRO INTERNO DE 2,50 M E ALTURA DE 0,50 M                                                                                                                                                                                                                                                                                                                                                                           </v>
          </cell>
          <cell r="C245" t="str">
            <v xml:space="preserve">UN    </v>
          </cell>
          <cell r="D245" t="str">
            <v>CR</v>
          </cell>
          <cell r="E245" t="str">
            <v>719,61</v>
          </cell>
        </row>
        <row r="246">
          <cell r="A246">
            <v>43448</v>
          </cell>
          <cell r="B246" t="str">
            <v xml:space="preserve">ANEL EM CONCRETO ARMADO, PERFURADO, PARA FOSSAS SEPTICAS E SUMIDOUROS, SEM FUNDO, DIAMETRO INTERNO DE 3,00 M E ALTURA DE 0,50 M                                                                                                                                                                                                                                                                                                                                                                           </v>
          </cell>
          <cell r="C246" t="str">
            <v xml:space="preserve">UN    </v>
          </cell>
          <cell r="D246" t="str">
            <v>CR</v>
          </cell>
          <cell r="E246" t="str">
            <v>1.007,46</v>
          </cell>
        </row>
        <row r="247">
          <cell r="A247">
            <v>13761</v>
          </cell>
          <cell r="B247" t="str">
            <v xml:space="preserve">APARELHO CORTE OXI-ACETILENO PARA SOLDA E CORTE CONTENDO MACARICO SOLDA, BICO DE CORTE, CILINDROS, REGULADORES, MANGUEIRAS E CARRINHO                                                                                                                                                                                                                                                                                                                                                                     </v>
          </cell>
          <cell r="C247" t="str">
            <v xml:space="preserve">UN    </v>
          </cell>
          <cell r="D247" t="str">
            <v>CR</v>
          </cell>
          <cell r="E247" t="str">
            <v>2.205,23</v>
          </cell>
        </row>
        <row r="248">
          <cell r="A248">
            <v>4814</v>
          </cell>
          <cell r="B248" t="str">
            <v xml:space="preserve">APARELHO SINALIZADOR LUMINOSO COM LED, PARA SAIDA GARAGEM, COM 2 LENTES EM POLICARBONATO, BIVOLT (INCLUI SUPORTE DE FIXACAO)                                                                                                                                                                                                                                                                                                                                                                              </v>
          </cell>
          <cell r="C248" t="str">
            <v xml:space="preserve">UN    </v>
          </cell>
          <cell r="D248" t="str">
            <v>CR</v>
          </cell>
          <cell r="E248" t="str">
            <v>66,33</v>
          </cell>
        </row>
        <row r="249">
          <cell r="A249">
            <v>44473</v>
          </cell>
          <cell r="B249" t="str">
            <v xml:space="preserve">APOIO DO PORTA DENTE PARA FRESADORA DE  ASFALTO                                                                                                                                                                                                                                                                                                                                                                                                                                                           </v>
          </cell>
          <cell r="C249" t="str">
            <v xml:space="preserve">UN    </v>
          </cell>
          <cell r="D249" t="str">
            <v>CR</v>
          </cell>
          <cell r="E249" t="str">
            <v>2.173,01</v>
          </cell>
        </row>
        <row r="250">
          <cell r="A250">
            <v>6122</v>
          </cell>
          <cell r="B250" t="str">
            <v xml:space="preserve">APONTADOR OU APROPRIADOR DE MAO DE OBRA (HORISTA)                                                                                                                                                                                                                                                                                                                                                                                                                                                         </v>
          </cell>
          <cell r="C250" t="str">
            <v xml:space="preserve">H     </v>
          </cell>
          <cell r="D250" t="str">
            <v>CR</v>
          </cell>
          <cell r="E250" t="str">
            <v>35,84</v>
          </cell>
        </row>
        <row r="251">
          <cell r="A251">
            <v>40810</v>
          </cell>
          <cell r="B251" t="str">
            <v xml:space="preserve">APONTADOR OU APROPRIADOR DE MAO DE OBRA (MENSALISTA)                                                                                                                                                                                                                                                                                                                                                                                                                                                      </v>
          </cell>
          <cell r="C251" t="str">
            <v xml:space="preserve">MES   </v>
          </cell>
          <cell r="D251" t="str">
            <v>CR</v>
          </cell>
          <cell r="E251" t="str">
            <v>6.276,37</v>
          </cell>
        </row>
        <row r="252">
          <cell r="A252">
            <v>21100</v>
          </cell>
          <cell r="B252" t="str">
            <v xml:space="preserve">AQUECEDOR DE AGUA A GAS GLP/GN COM CAPACIDADE DE ARMAZENAMENTO DE 50 A 80 L                                                                                                                                                                                                                                                                                                                                                                                                                               </v>
          </cell>
          <cell r="C252" t="str">
            <v xml:space="preserve">UN    </v>
          </cell>
          <cell r="D252" t="str">
            <v>CR</v>
          </cell>
          <cell r="E252" t="str">
            <v>3.845,10</v>
          </cell>
        </row>
        <row r="253">
          <cell r="A253">
            <v>11816</v>
          </cell>
          <cell r="B253" t="str">
            <v xml:space="preserve">AQUECEDOR DE AGUA ELETRICO  RESERVATORIO DE 100 L CILINDRICO EM COBRE, REFORCADO COM ACO CARBONO, MONOFASICO, TENSAO NOMINAL 220 V                                                                                                                                                                                                                                                                                                                                                                        </v>
          </cell>
          <cell r="C253" t="str">
            <v xml:space="preserve">UN    </v>
          </cell>
          <cell r="D253" t="str">
            <v xml:space="preserve">C </v>
          </cell>
          <cell r="E253" t="str">
            <v>4.100,00</v>
          </cell>
        </row>
        <row r="254">
          <cell r="A254">
            <v>11814</v>
          </cell>
          <cell r="B254" t="str">
            <v xml:space="preserve">AQUECEDOR DE AGUA ELETRICO  RESERVATORIO DE 500 L CILINDRICO EM COBRE, REFORCADO COM ACO CARBONO, MONOFASICO, TENSAO NOMINAL 220 V                                                                                                                                                                                                                                                                                                                                                                        </v>
          </cell>
          <cell r="C254" t="str">
            <v xml:space="preserve">UN    </v>
          </cell>
          <cell r="D254" t="str">
            <v>CR</v>
          </cell>
          <cell r="E254" t="str">
            <v>8.924,67</v>
          </cell>
        </row>
        <row r="255">
          <cell r="A255">
            <v>14186</v>
          </cell>
          <cell r="B255" t="str">
            <v xml:space="preserve">AQUECEDOR DE AGUA ELETRICO  RESERVATORIO DE 500 L CILINDRICO EM COBRE, REFORCADO COM ACO CARBONO, TRIFASICO, TENSAO NOMINAL 220/380/400 V, POTENCIA 24 KW                                                                                                                                                                                                                                                                                                                                                 </v>
          </cell>
          <cell r="C255" t="str">
            <v xml:space="preserve">UN    </v>
          </cell>
          <cell r="D255" t="str">
            <v>CR</v>
          </cell>
          <cell r="E255" t="str">
            <v>11.206,13</v>
          </cell>
        </row>
        <row r="256">
          <cell r="A256">
            <v>14185</v>
          </cell>
          <cell r="B256" t="str">
            <v xml:space="preserve">AQUECEDOR DE AGUA ELETRICO  RESERVATORIO DE 700 L CILINDRICO EM COBRE, REFORCADO COM ACO CARBONO, MONOFASICO, TENSAO NOMINAL 220 V                                                                                                                                                                                                                                                                                                                                                                        </v>
          </cell>
          <cell r="C256" t="str">
            <v xml:space="preserve">UN    </v>
          </cell>
          <cell r="D256" t="str">
            <v>CR</v>
          </cell>
          <cell r="E256" t="str">
            <v>14.516,30</v>
          </cell>
        </row>
        <row r="257">
          <cell r="A257">
            <v>11811</v>
          </cell>
          <cell r="B257" t="str">
            <v xml:space="preserve">AQUECEDOR DE AGUA ELETRICO HORIZONTAL, RESERVATORIO DE 200 L CILINDRICO EM COBRE, REFORCADO COM ACO CARBONO, MONOFASICO, TENSAO NOMINAL 220 V                                                                                                                                                                                                                                                                                                                                                             </v>
          </cell>
          <cell r="C257" t="str">
            <v xml:space="preserve">UN    </v>
          </cell>
          <cell r="D257" t="str">
            <v>CR</v>
          </cell>
          <cell r="E257" t="str">
            <v>5.550,48</v>
          </cell>
        </row>
        <row r="258">
          <cell r="A258">
            <v>44498</v>
          </cell>
          <cell r="B258" t="str">
            <v xml:space="preserve">AQUECEDOR DE OLEO BPF (FLUIDO) TERMICO, CAPACIDADE DE 300.000  KCAL/H                                                                                                                                                                                                                                                                                                                                                                                                                                     </v>
          </cell>
          <cell r="C258" t="str">
            <v xml:space="preserve">UN    </v>
          </cell>
          <cell r="D258" t="str">
            <v>CR</v>
          </cell>
          <cell r="E258" t="str">
            <v>318.204,48</v>
          </cell>
        </row>
        <row r="259">
          <cell r="A259">
            <v>34469</v>
          </cell>
          <cell r="B259" t="str">
            <v xml:space="preserve">AQUECEDOR SOLAR COM RESERVATORIO TERMICO DE 1000 L E *5* PLACAS COLETORAS DE *2,0* M2 (NAO INCLUI ACESSORIOS) (SEM INSTALACAO)                                                                                                                                                                                                                                                                                                                                                                            </v>
          </cell>
          <cell r="C259" t="str">
            <v xml:space="preserve">UN    </v>
          </cell>
          <cell r="D259" t="str">
            <v>CR</v>
          </cell>
          <cell r="E259" t="str">
            <v>11.310,87</v>
          </cell>
        </row>
        <row r="260">
          <cell r="A260">
            <v>34476</v>
          </cell>
          <cell r="B260" t="str">
            <v xml:space="preserve">AQUECEDOR SOLAR COM RESERVATORIO TERMICO DE 400 L E *2* PLACAS COLETORAS DE *2,0* M2 (NAO INCLUI ACESSORIOS) (SEM INSTALACAO)                                                                                                                                                                                                                                                                                                                                                                             </v>
          </cell>
          <cell r="C260" t="str">
            <v xml:space="preserve">UN    </v>
          </cell>
          <cell r="D260" t="str">
            <v>CR</v>
          </cell>
          <cell r="E260" t="str">
            <v>5.899,09</v>
          </cell>
        </row>
        <row r="261">
          <cell r="A261">
            <v>34477</v>
          </cell>
          <cell r="B261" t="str">
            <v xml:space="preserve">AQUECEDOR SOLAR COM RESERVATORIO TERMICO DE 600 L E *3* PLACAS COLETORAS DE *2,0* M2 (NAO INCLUI ACESSORIOS) (SEM INSTALACAO)                                                                                                                                                                                                                                                                                                                                                                             </v>
          </cell>
          <cell r="C261" t="str">
            <v xml:space="preserve">UN    </v>
          </cell>
          <cell r="D261" t="str">
            <v>CR</v>
          </cell>
          <cell r="E261" t="str">
            <v>7.829,24</v>
          </cell>
        </row>
        <row r="262">
          <cell r="A262">
            <v>34482</v>
          </cell>
          <cell r="B262" t="str">
            <v xml:space="preserve">AQUECEDOR SOLAR COM RESERVATORIO TERMICO DE 800 L E *4* PLACAS COLETORAS DE *2,0* M2 (NAO INCLUI ACESSORIOS) (SEM INSTALACAO)                                                                                                                                                                                                                                                                                                                                                                             </v>
          </cell>
          <cell r="C262" t="str">
            <v xml:space="preserve">UN    </v>
          </cell>
          <cell r="D262" t="str">
            <v>CR</v>
          </cell>
          <cell r="E262" t="str">
            <v>7.312,08</v>
          </cell>
        </row>
        <row r="263">
          <cell r="A263">
            <v>34472</v>
          </cell>
          <cell r="B263" t="str">
            <v xml:space="preserve">AQUECEDOR SOLAR DE INSTALACAO EXTERNA, KIT COMPACTO, CONJUNTO COM RESERVATORIO TERMICO DE 200 L, PLACA COLETORA DE *2,0* M2 E INCLUSO ACESSORIOS (RESIDENCIAS ATE 120,00 M2 E DE 4 A 5 BANHOS POR DIA) (SEM INSTALACAO)                                                                                                                                                                                                                                                                                   </v>
          </cell>
          <cell r="C263" t="str">
            <v xml:space="preserve">UN    </v>
          </cell>
          <cell r="D263" t="str">
            <v xml:space="preserve">C </v>
          </cell>
          <cell r="E263" t="str">
            <v>3.480,00</v>
          </cell>
        </row>
        <row r="264">
          <cell r="A264">
            <v>42425</v>
          </cell>
          <cell r="B264" t="str">
            <v xml:space="preserve">AR CONDICIONADO SPLIT INVERTER, HI-WALL (PAREDE), 12000 BTU/H, CICLO FRIO, 60HZ, CLASSIFICACAO A (SELO PROCEL), GAS HFC, CONTROLE S/FIO                                                                                                                                                                                                                                                                                                                                                                   </v>
          </cell>
          <cell r="C264" t="str">
            <v xml:space="preserve">UN    </v>
          </cell>
          <cell r="D264" t="str">
            <v>CR</v>
          </cell>
          <cell r="E264" t="str">
            <v>2.631,20</v>
          </cell>
        </row>
        <row r="265">
          <cell r="A265">
            <v>42422</v>
          </cell>
          <cell r="B265" t="str">
            <v xml:space="preserve">AR CONDICIONADO SPLIT INVERTER, HI-WALL (PAREDE), 18000 BTU/H, CICLO FRIO, 60HZ, CLASSIFICACAO A (SELO PROCEL), GAS HFC, CONTROLE S/FIO                                                                                                                                                                                                                                                                                                                                                                   </v>
          </cell>
          <cell r="C265" t="str">
            <v xml:space="preserve">UN    </v>
          </cell>
          <cell r="D265" t="str">
            <v xml:space="preserve">C </v>
          </cell>
          <cell r="E265" t="str">
            <v>3.906,10</v>
          </cell>
        </row>
        <row r="266">
          <cell r="A266">
            <v>43184</v>
          </cell>
          <cell r="B266" t="str">
            <v xml:space="preserve">AR CONDICIONADO SPLIT INVERTER, HI-WALL (PAREDE), 24000 BTU/H, CICLO FRIO, 60HZ, CLASSIFICACAO A (SELO PROCEL), GAS HFC, CONTROLE S/FIO                                                                                                                                                                                                                                                                                                                                                                   </v>
          </cell>
          <cell r="C266" t="str">
            <v xml:space="preserve">UN    </v>
          </cell>
          <cell r="D266" t="str">
            <v>CR</v>
          </cell>
          <cell r="E266" t="str">
            <v>5.398,60</v>
          </cell>
        </row>
        <row r="267">
          <cell r="A267">
            <v>42424</v>
          </cell>
          <cell r="B267" t="str">
            <v xml:space="preserve">AR CONDICIONADO SPLIT INVERTER, HI-WALL (PAREDE), 9000 BTU/H, CICLO FRIO, 60HZ, CLASSIFICACAO A (SELO PROCEL), GAS HFC, CONTROLE S/FIO                                                                                                                                                                                                                                                                                                                                                                    </v>
          </cell>
          <cell r="C267" t="str">
            <v xml:space="preserve">UN    </v>
          </cell>
          <cell r="D267" t="str">
            <v>CR</v>
          </cell>
          <cell r="E267" t="str">
            <v>2.349,89</v>
          </cell>
        </row>
        <row r="268">
          <cell r="A268">
            <v>42421</v>
          </cell>
          <cell r="B268" t="str">
            <v xml:space="preserve">AR CONDICIONADO SPLIT INVERTER, PISO TETO, APRESENTANDO ENTRE 54000 E 58000 BTU/H, CICLO FRIO, 60HZ, CLASSIFICACAO ENERGETICA A OU B (SELO PROCEL), GAS HFC, CONTROLE S/FIO                                                                                                                                                                                                                                                                                                                               </v>
          </cell>
          <cell r="C268" t="str">
            <v xml:space="preserve">UN    </v>
          </cell>
          <cell r="D268" t="str">
            <v>CR</v>
          </cell>
          <cell r="E268" t="str">
            <v>21.395,47</v>
          </cell>
        </row>
        <row r="269">
          <cell r="A269">
            <v>42416</v>
          </cell>
          <cell r="B269" t="str">
            <v xml:space="preserve">AR CONDICIONADO SPLIT INVERTER, PISO TETO, 18000 BTU/H, CICLO FRIO, 60HZ, CLASSIFICACAO ENERGETICA A OU B (SELO PROCEL), GAS HFC, CONTROLE S/FIO                                                                                                                                                                                                                                                                                                                                                          </v>
          </cell>
          <cell r="C269" t="str">
            <v xml:space="preserve">UN    </v>
          </cell>
          <cell r="D269" t="str">
            <v>CR</v>
          </cell>
          <cell r="E269" t="str">
            <v>10.130,10</v>
          </cell>
        </row>
        <row r="270">
          <cell r="A270">
            <v>42417</v>
          </cell>
          <cell r="B270" t="str">
            <v xml:space="preserve">AR CONDICIONADO SPLIT INVERTER, PISO TETO, 24000 BTU/H, CICLO FRIO, 60HZ, CLASSIFICACAO ENERGETICA A OU B (SELO PROCEL), GAS HFC, CONTROLE S/FIO                                                                                                                                                                                                                                                                                                                                                          </v>
          </cell>
          <cell r="C270" t="str">
            <v xml:space="preserve">UN    </v>
          </cell>
          <cell r="D270" t="str">
            <v>CR</v>
          </cell>
          <cell r="E270" t="str">
            <v>11.356,67</v>
          </cell>
        </row>
        <row r="271">
          <cell r="A271">
            <v>42419</v>
          </cell>
          <cell r="B271" t="str">
            <v xml:space="preserve">AR CONDICIONADO SPLIT INVERTER, PISO TETO, 36000 BTU/H, CICLO FRIO, 60HZ, CLASSIFICACAO ENERGETICA A OU B (SELO PROCEL), GAS HFC, CONTROLE S/FIO                                                                                                                                                                                                                                                                                                                                                          </v>
          </cell>
          <cell r="C271" t="str">
            <v xml:space="preserve">UN    </v>
          </cell>
          <cell r="D271" t="str">
            <v>CR</v>
          </cell>
          <cell r="E271" t="str">
            <v>12.830,62</v>
          </cell>
        </row>
        <row r="272">
          <cell r="A272">
            <v>42420</v>
          </cell>
          <cell r="B272" t="str">
            <v xml:space="preserve">AR CONDICIONADO SPLIT INVERTER, PISO TETO, 48000 BTU/H, CICLO FRIO, 60HZ, CLASSIFICACAO ENERGETICA A OU B (SELO PROCEL), GAS HFC, CONTROLE S/FIO                                                                                                                                                                                                                                                                                                                                                          </v>
          </cell>
          <cell r="C272" t="str">
            <v xml:space="preserve">UN    </v>
          </cell>
          <cell r="D272" t="str">
            <v>CR</v>
          </cell>
          <cell r="E272" t="str">
            <v>17.634,74</v>
          </cell>
        </row>
        <row r="273">
          <cell r="A273">
            <v>43195</v>
          </cell>
          <cell r="B273" t="str">
            <v xml:space="preserve">AR CONDICIONADO SPLIT ON/OFF, CASSETE (TETO), FRIO 4 VIAS 18000 BTUS/H, CLASSIFICACAO ENERGETICA C - SELO PROCEL, GAS HFC, CONTROLE S/ FIO                                                                                                                                                                                                                                                                                                                                                                </v>
          </cell>
          <cell r="C273" t="str">
            <v xml:space="preserve">UN    </v>
          </cell>
          <cell r="D273" t="str">
            <v>CR</v>
          </cell>
          <cell r="E273" t="str">
            <v>6.209,44</v>
          </cell>
        </row>
        <row r="274">
          <cell r="A274">
            <v>43196</v>
          </cell>
          <cell r="B274" t="str">
            <v xml:space="preserve">AR CONDICIONADO SPLIT ON/OFF, CASSETE (TETO), FRIO 4 VIAS 24000 BTUS/H, CLASSIFICACAO ENERGETICA C - SELO PROCEL, GAS HFC, CONTROLE S/ FIO                                                                                                                                                                                                                                                                                                                                                                </v>
          </cell>
          <cell r="C274" t="str">
            <v xml:space="preserve">UN    </v>
          </cell>
          <cell r="D274" t="str">
            <v>CR</v>
          </cell>
          <cell r="E274" t="str">
            <v>7.695,71</v>
          </cell>
        </row>
        <row r="275">
          <cell r="A275">
            <v>43198</v>
          </cell>
          <cell r="B275" t="str">
            <v xml:space="preserve">AR CONDICIONADO SPLIT ON/OFF, CASSETE (TETO), FRIO 4 VIAS 36000 BTUS/H, CLASSIFICACAO ENERGETICA C - SELO PROCEL, GAS HFC, CONTROLE S/ FIO                                                                                                                                                                                                                                                                                                                                                                </v>
          </cell>
          <cell r="C275" t="str">
            <v xml:space="preserve">UN    </v>
          </cell>
          <cell r="D275" t="str">
            <v>CR</v>
          </cell>
          <cell r="E275" t="str">
            <v>11.435,65</v>
          </cell>
        </row>
        <row r="276">
          <cell r="A276">
            <v>43199</v>
          </cell>
          <cell r="B276" t="str">
            <v xml:space="preserve">AR CONDICIONADO SPLIT ON/OFF, CASSETE (TETO), FRIO 4 VIAS 48000 BTUS/H, CLASSIFICACAO ENERGETICA C - SELO PROCEL, GAS HFC, CONTROLE S/ FIO                                                                                                                                                                                                                                                                                                                                                                </v>
          </cell>
          <cell r="C276" t="str">
            <v xml:space="preserve">UN    </v>
          </cell>
          <cell r="D276" t="str">
            <v>CR</v>
          </cell>
          <cell r="E276" t="str">
            <v>11.854,69</v>
          </cell>
        </row>
        <row r="277">
          <cell r="A277">
            <v>43200</v>
          </cell>
          <cell r="B277" t="str">
            <v xml:space="preserve">AR CONDICIONADO SPLIT ON/OFF, CASSETE (TETO), FRIO 4 VIAS 60000 BTUS/H, CLASSIFICACAO ENERGETICA C - SELO PROCEL, GAS HFC, CONTROLE S/ FIO                                                                                                                                                                                                                                                                                                                                                                </v>
          </cell>
          <cell r="C277" t="str">
            <v xml:space="preserve">UN    </v>
          </cell>
          <cell r="D277" t="str">
            <v>CR</v>
          </cell>
          <cell r="E277" t="str">
            <v>13.604,12</v>
          </cell>
        </row>
        <row r="278">
          <cell r="A278">
            <v>39556</v>
          </cell>
          <cell r="B278" t="str">
            <v xml:space="preserve">AR CONDICIONADO SPLIT ON/OFF, CASSETE (TETO), 18000 BTUS/H, CICLO QUENTE/FRIO, 60 HZ, CLASSIFICACAO ENERGETICA C - SELO PROCEL, GAS HFC, CONTROLE S/ FIO                                                                                                                                                                                                                                                                                                                                                  </v>
          </cell>
          <cell r="C278" t="str">
            <v xml:space="preserve">UN    </v>
          </cell>
          <cell r="D278" t="str">
            <v>CR</v>
          </cell>
          <cell r="E278" t="str">
            <v>7.430,17</v>
          </cell>
        </row>
        <row r="279">
          <cell r="A279">
            <v>39557</v>
          </cell>
          <cell r="B279" t="str">
            <v xml:space="preserve">AR CONDICIONADO SPLIT ON/OFF, CASSETE (TETO), 24000 BTUS/H, CICLO QUENTE/FRIO, 60 HZ, CLASSIFICACAO ENERGETICA C - SELO PROCEL, GAS HFC, CONTROLE S/ FIO                                                                                                                                                                                                                                                                                                                                                  </v>
          </cell>
          <cell r="C279" t="str">
            <v xml:space="preserve">UN    </v>
          </cell>
          <cell r="D279" t="str">
            <v>CR</v>
          </cell>
          <cell r="E279" t="str">
            <v>8.000,67</v>
          </cell>
        </row>
        <row r="280">
          <cell r="A280">
            <v>39559</v>
          </cell>
          <cell r="B280" t="str">
            <v xml:space="preserve">AR CONDICIONADO SPLIT ON/OFF, CASSETE (TETO), 36000 BTUS/H, CICLO QUENTE/FRIO, 60 HZ, CLASSIFICACAO ENERGETICA A - SELO PROCEL, GAS HFC, CONTROLE S/ FIO                                                                                                                                                                                                                                                                                                                                                  </v>
          </cell>
          <cell r="C280" t="str">
            <v xml:space="preserve">UN    </v>
          </cell>
          <cell r="D280" t="str">
            <v>CR</v>
          </cell>
          <cell r="E280" t="str">
            <v>11.823,45</v>
          </cell>
        </row>
        <row r="281">
          <cell r="A281">
            <v>39560</v>
          </cell>
          <cell r="B281" t="str">
            <v xml:space="preserve">AR CONDICIONADO SPLIT ON/OFF, CASSETE (TETO), 48000 BTUS/H, CICLO QUENTE/FRIO, 60 HZ, CLASSIFICACAO ENERGETICA A - SELO PROCEL, GAS HFC, CONTROLE S/ FIO                                                                                                                                                                                                                                                                                                                                                  </v>
          </cell>
          <cell r="C281" t="str">
            <v xml:space="preserve">UN    </v>
          </cell>
          <cell r="D281" t="str">
            <v>CR</v>
          </cell>
          <cell r="E281" t="str">
            <v>13.678,58</v>
          </cell>
        </row>
        <row r="282">
          <cell r="A282">
            <v>39561</v>
          </cell>
          <cell r="B282" t="str">
            <v xml:space="preserve">AR CONDICIONADO SPLIT ON/OFF, CASSETE (TETO), 60000 BTUS/H, CICLO QUENTE/FRIO, 60 HZ, CLASSIFICACAO ENERGETICA A - SELO PROCEL, GAS HFC, CONTROLE S/ FIO                                                                                                                                                                                                                                                                                                                                                  </v>
          </cell>
          <cell r="C282" t="str">
            <v xml:space="preserve">UN    </v>
          </cell>
          <cell r="D282" t="str">
            <v>CR</v>
          </cell>
          <cell r="E282" t="str">
            <v>14.309,54</v>
          </cell>
        </row>
        <row r="283">
          <cell r="A283">
            <v>43190</v>
          </cell>
          <cell r="B283" t="str">
            <v xml:space="preserve">AR CONDICIONADO SPLIT ON/OFF, HI-WALL (PAREDE), 12000 BTUS/H, CICLO FRIO, 60 HZ, CLASSIFICACAO ENERGETICA A - SELO PROCEL, GAS HFC, CONTROLE S/ FIO                                                                                                                                                                                                                                                                                                                                                       </v>
          </cell>
          <cell r="C283" t="str">
            <v xml:space="preserve">UN    </v>
          </cell>
          <cell r="D283" t="str">
            <v>CR</v>
          </cell>
          <cell r="E283" t="str">
            <v>2.111,71</v>
          </cell>
        </row>
        <row r="284">
          <cell r="A284">
            <v>39555</v>
          </cell>
          <cell r="B284" t="str">
            <v xml:space="preserve">AR CONDICIONADO SPLIT ON/OFF, HI-WALL (PAREDE), 12000 BTUS/H, CICLO QUENTE/FRIO, 60 HZ, CLASSIFICACAO ENERGETICA A - SELO PROCEL, GAS HFC, CONTROLE S/ FIO                                                                                                                                                                                                                                                                                                                                                </v>
          </cell>
          <cell r="C284" t="str">
            <v xml:space="preserve">UN    </v>
          </cell>
          <cell r="D284" t="str">
            <v>CR</v>
          </cell>
          <cell r="E284" t="str">
            <v>2.284,32</v>
          </cell>
        </row>
        <row r="285">
          <cell r="A285">
            <v>43191</v>
          </cell>
          <cell r="B285" t="str">
            <v xml:space="preserve">AR CONDICIONADO SPLIT ON/OFF, HI-WALL (PAREDE), 18000 BTUS/H, CICLO FRIO, 60 HZ, CLASSIFICACAO ENERGETICA A - SELO PROCEL, GAS HFC, CONTROLE S/ FIO                                                                                                                                                                                                                                                                                                                                                       </v>
          </cell>
          <cell r="C285" t="str">
            <v xml:space="preserve">UN    </v>
          </cell>
          <cell r="D285" t="str">
            <v>CR</v>
          </cell>
          <cell r="E285" t="str">
            <v>3.038,47</v>
          </cell>
        </row>
        <row r="286">
          <cell r="A286">
            <v>39548</v>
          </cell>
          <cell r="B286" t="str">
            <v xml:space="preserve">AR CONDICIONADO SPLIT ON/OFF, HI-WALL (PAREDE), 18000 BTUS/H, CICLO QUENTE/FRIO, 60 HZ, CLASSIFICACAO ENERGETICA A - SELO PROCEL, GAS HFC, CONTROLE S/ FIO                                                                                                                                                                                                                                                                                                                                                </v>
          </cell>
          <cell r="C286" t="str">
            <v xml:space="preserve">UN    </v>
          </cell>
          <cell r="D286" t="str">
            <v>CR</v>
          </cell>
          <cell r="E286" t="str">
            <v>3.388,36</v>
          </cell>
        </row>
        <row r="287">
          <cell r="A287">
            <v>43192</v>
          </cell>
          <cell r="B287" t="str">
            <v xml:space="preserve">AR CONDICIONADO SPLIT ON/OFF, HI-WALL (PAREDE), 24000 BTUS/H, CICLO FRIO, 60 HZ, CLASSIFICACAO ENERGETICA A - SELO PROCEL, GAS HFC, CONTROLE S/ FIO                                                                                                                                                                                                                                                                                                                                                       </v>
          </cell>
          <cell r="C287" t="str">
            <v xml:space="preserve">UN    </v>
          </cell>
          <cell r="D287" t="str">
            <v>CR</v>
          </cell>
          <cell r="E287" t="str">
            <v>3.980,12</v>
          </cell>
        </row>
        <row r="288">
          <cell r="A288">
            <v>39554</v>
          </cell>
          <cell r="B288" t="str">
            <v xml:space="preserve">AR CONDICIONADO SPLIT ON/OFF, HI-WALL (PAREDE), 24000 BTUS/H, CICLO QUENTE/FRIO, 60 HZ, CLASSIFICACAO ENERGETICA A - SELO PROCEL, GAS HFC, CONTROLE S/ FIO                                                                                                                                                                                                                                                                                                                                                </v>
          </cell>
          <cell r="C288" t="str">
            <v xml:space="preserve">UN    </v>
          </cell>
          <cell r="D288" t="str">
            <v>CR</v>
          </cell>
          <cell r="E288" t="str">
            <v>4.480,60</v>
          </cell>
        </row>
        <row r="289">
          <cell r="A289">
            <v>43194</v>
          </cell>
          <cell r="B289" t="str">
            <v xml:space="preserve">AR CONDICIONADO SPLIT ON/OFF, HI-WALL (PAREDE), 9000 BTUS/H, CICLO FRIO, 60 HZ, CLASSIFICACAO ENERGETICA A - SELO PROCEL, GAS HFC, CONTROLE S/ FIO                                                                                                                                                                                                                                                                                                                                                        </v>
          </cell>
          <cell r="C289" t="str">
            <v xml:space="preserve">UN    </v>
          </cell>
          <cell r="D289" t="str">
            <v>CR</v>
          </cell>
          <cell r="E289" t="str">
            <v>1.809,04</v>
          </cell>
        </row>
        <row r="290">
          <cell r="A290">
            <v>39551</v>
          </cell>
          <cell r="B290" t="str">
            <v xml:space="preserve">AR CONDICIONADO SPLIT ON/OFF, HI-WALL (PAREDE), 9000 BTUS/H, CICLO QUENTE/FRIO, 60 HZ, CLASSIFICACAO ENERGETICA A - SELO PROCEL, GAS HFC, CONTROLE S/ FIO                                                                                                                                                                                                                                                                                                                                                 </v>
          </cell>
          <cell r="C290" t="str">
            <v xml:space="preserve">UN    </v>
          </cell>
          <cell r="D290" t="str">
            <v>CR</v>
          </cell>
          <cell r="E290" t="str">
            <v>1.991,94</v>
          </cell>
        </row>
        <row r="291">
          <cell r="A291">
            <v>43185</v>
          </cell>
          <cell r="B291" t="str">
            <v xml:space="preserve">AR CONDICIONADO SPLIT ON/OFF, PISO TETO, 18.000 BTU/H, CICLO FRIO, 60HZ, CLASSIFICACAO ENERGETICA C - SELO PROCEL, GAS HFC, CONTROLE S/FIO                                                                                                                                                                                                                                                                                                                                                                </v>
          </cell>
          <cell r="C291" t="str">
            <v xml:space="preserve">UN    </v>
          </cell>
          <cell r="D291" t="str">
            <v>CR</v>
          </cell>
          <cell r="E291" t="str">
            <v>5.660,75</v>
          </cell>
        </row>
        <row r="292">
          <cell r="A292">
            <v>43186</v>
          </cell>
          <cell r="B292" t="str">
            <v xml:space="preserve">AR CONDICIONADO SPLIT ON/OFF, PISO TETO, 24.000 BTU/H, CICLO FRIO, 60HZ, CLASSIFICACAO ENERGETICA C - SELO PROCEL, GAS HFC, CONTROLE S/FIO                                                                                                                                                                                                                                                                                                                                                                </v>
          </cell>
          <cell r="C292" t="str">
            <v xml:space="preserve">UN    </v>
          </cell>
          <cell r="D292" t="str">
            <v>CR</v>
          </cell>
          <cell r="E292" t="str">
            <v>5.970,95</v>
          </cell>
        </row>
        <row r="293">
          <cell r="A293">
            <v>43187</v>
          </cell>
          <cell r="B293" t="str">
            <v xml:space="preserve">AR CONDICIONADO SPLIT ON/OFF, PISO TETO, 36.000 BTU/H, CICLO FRIO, 60HZ, CLASSIFICACAO ENERGETICA C - SELO PROCEL, GAS HFC, CONTROLE S/FIO                                                                                                                                                                                                                                                                                                                                                                </v>
          </cell>
          <cell r="C293" t="str">
            <v xml:space="preserve">UN    </v>
          </cell>
          <cell r="D293" t="str">
            <v>CR</v>
          </cell>
          <cell r="E293" t="str">
            <v>7.923,50</v>
          </cell>
        </row>
        <row r="294">
          <cell r="A294">
            <v>43188</v>
          </cell>
          <cell r="B294" t="str">
            <v xml:space="preserve">AR CONDICIONADO SPLIT ON/OFF, PISO TETO, 48.000 BTU/H, CICLO FRIO, 60HZ, CLASSIFICACAO ENERGETICA C - SELO PROCEL, GAS HFC, CONTROLE S/FIO                                                                                                                                                                                                                                                                                                                                                                </v>
          </cell>
          <cell r="C294" t="str">
            <v xml:space="preserve">UN    </v>
          </cell>
          <cell r="D294" t="str">
            <v>CR</v>
          </cell>
          <cell r="E294" t="str">
            <v>9.600,38</v>
          </cell>
        </row>
        <row r="295">
          <cell r="A295">
            <v>43189</v>
          </cell>
          <cell r="B295" t="str">
            <v xml:space="preserve">AR CONDICIONADO SPLIT ON/OFF, PISO TETO, 60.000 BTU/H, CICLO FRIO, 60HZ, CLASSIFICACAO ENERGETICA C - SELO PROCEL, GAS HFC, CONTROLE S/FIO                                                                                                                                                                                                                                                                                                                                                                </v>
          </cell>
          <cell r="C295" t="str">
            <v xml:space="preserve">UN    </v>
          </cell>
          <cell r="D295" t="str">
            <v>CR</v>
          </cell>
          <cell r="E295" t="str">
            <v>10.798,82</v>
          </cell>
        </row>
        <row r="296">
          <cell r="A296">
            <v>39580</v>
          </cell>
          <cell r="B296" t="str">
            <v xml:space="preserve">AR-CONDICIONADO FRIO SPLITAO INVERTER 30 TR                                                                                                                                                                                                                                                                                                                                                                                                                                                               </v>
          </cell>
          <cell r="C296" t="str">
            <v xml:space="preserve">UN    </v>
          </cell>
          <cell r="D296" t="str">
            <v>CR</v>
          </cell>
          <cell r="E296" t="str">
            <v>85.099,15</v>
          </cell>
        </row>
        <row r="297">
          <cell r="A297">
            <v>39577</v>
          </cell>
          <cell r="B297" t="str">
            <v xml:space="preserve">AR-CONDICIONADO FRIO SPLITAO MODULAR 10 TR                                                                                                                                                                                                                                                                                                                                                                                                                                                                </v>
          </cell>
          <cell r="C297" t="str">
            <v xml:space="preserve">UN    </v>
          </cell>
          <cell r="D297" t="str">
            <v>CR</v>
          </cell>
          <cell r="E297" t="str">
            <v>26.635,85</v>
          </cell>
        </row>
        <row r="298">
          <cell r="A298">
            <v>39578</v>
          </cell>
          <cell r="B298" t="str">
            <v xml:space="preserve">AR-CONDICIONADO FRIO SPLITAO MODULAR 15 TR                                                                                                                                                                                                                                                                                                                                                                                                                                                                </v>
          </cell>
          <cell r="C298" t="str">
            <v xml:space="preserve">UN    </v>
          </cell>
          <cell r="D298" t="str">
            <v>CR</v>
          </cell>
          <cell r="E298" t="str">
            <v>34.374,09</v>
          </cell>
        </row>
        <row r="299">
          <cell r="A299">
            <v>39579</v>
          </cell>
          <cell r="B299" t="str">
            <v xml:space="preserve">AR-CONDICIONADO FRIO SPLITAO MODULAR 20 TR                                                                                                                                                                                                                                                                                                                                                                                                                                                                </v>
          </cell>
          <cell r="C299" t="str">
            <v xml:space="preserve">UN    </v>
          </cell>
          <cell r="D299" t="str">
            <v>CR</v>
          </cell>
          <cell r="E299" t="str">
            <v>50.011,62</v>
          </cell>
        </row>
        <row r="300">
          <cell r="A300">
            <v>39826</v>
          </cell>
          <cell r="B300" t="str">
            <v xml:space="preserve">AR-CONDICIONADO SPLIT INVERTER, PISO TETO, 24000 BTU/H, QUENTE/FRIO, 60HZ, CLASSIFICACAO ENERGETICA A - SELO PROCEL, GAS HFC, CONTROLE S/FIO                                                                                                                                                                                                                                                                                                                                                              </v>
          </cell>
          <cell r="C300" t="str">
            <v xml:space="preserve">UN    </v>
          </cell>
          <cell r="D300" t="str">
            <v>CR</v>
          </cell>
          <cell r="E300" t="str">
            <v>6.142,34</v>
          </cell>
        </row>
        <row r="301">
          <cell r="A301">
            <v>10700</v>
          </cell>
          <cell r="B301" t="str">
            <v xml:space="preserve">ARADO REVERSIVEL COM 3 DISCOS DE 26" X 6MM REBOCAVEL                                                                                                                                                                                                                                                                                                                                                                                                                                                      </v>
          </cell>
          <cell r="C301" t="str">
            <v xml:space="preserve">UN    </v>
          </cell>
          <cell r="D301" t="str">
            <v>CR</v>
          </cell>
          <cell r="E301" t="str">
            <v>24.073,87</v>
          </cell>
        </row>
        <row r="302">
          <cell r="A302">
            <v>346</v>
          </cell>
          <cell r="B302" t="str">
            <v xml:space="preserve">ARAME DE ACO OVALADO 15 X 17 ( 45,7 KG, 700 KGF), ROLO 1000 M                                                                                                                                                                                                                                                                                                                                                                                                                                             </v>
          </cell>
          <cell r="C302" t="str">
            <v xml:space="preserve">KG    </v>
          </cell>
          <cell r="D302" t="str">
            <v>CR</v>
          </cell>
          <cell r="E302" t="str">
            <v>23,69</v>
          </cell>
        </row>
        <row r="303">
          <cell r="A303">
            <v>3312</v>
          </cell>
          <cell r="B303" t="str">
            <v xml:space="preserve">ARAME DE AMARRACAO PARA GABIAO GALVANIZADO, DIAMETRO 2,2 MM                                                                                                                                                                                                                                                                                                                                                                                                                                               </v>
          </cell>
          <cell r="C303" t="str">
            <v xml:space="preserve">KG    </v>
          </cell>
          <cell r="D303" t="str">
            <v>CR</v>
          </cell>
          <cell r="E303" t="str">
            <v>20,98</v>
          </cell>
        </row>
        <row r="304">
          <cell r="A304">
            <v>339</v>
          </cell>
          <cell r="B304" t="str">
            <v xml:space="preserve">ARAME FARPADO GALVANIZADO, 14 BWG (2,11 MM), CLASSE 250                                                                                                                                                                                                                                                                                                                                                                                                                                                   </v>
          </cell>
          <cell r="C304" t="str">
            <v xml:space="preserve">M     </v>
          </cell>
          <cell r="D304" t="str">
            <v>CR</v>
          </cell>
          <cell r="E304" t="str">
            <v>1,22</v>
          </cell>
        </row>
        <row r="305">
          <cell r="A305">
            <v>340</v>
          </cell>
          <cell r="B305" t="str">
            <v xml:space="preserve">ARAME FARPADO GALVANIZADO, 16 BWG (1,65 MM), CLASSE 250                                                                                                                                                                                                                                                                                                                                                                                                                                                   </v>
          </cell>
          <cell r="C305" t="str">
            <v xml:space="preserve">M     </v>
          </cell>
          <cell r="D305" t="str">
            <v>CR</v>
          </cell>
          <cell r="E305" t="str">
            <v>1,10</v>
          </cell>
        </row>
        <row r="306">
          <cell r="A306">
            <v>43130</v>
          </cell>
          <cell r="B306" t="str">
            <v xml:space="preserve">ARAME GALVANIZADO 12 BWG, D = 2,76 MM (0,048 KG/M) OU 14 BWG, D = 2,11 MM (0,026 KG/M)                                                                                                                                                                                                                                                                                                                                                                                                                    </v>
          </cell>
          <cell r="C306" t="str">
            <v xml:space="preserve">KG    </v>
          </cell>
          <cell r="D306" t="str">
            <v xml:space="preserve">C </v>
          </cell>
          <cell r="E306" t="str">
            <v>20,00</v>
          </cell>
        </row>
        <row r="307">
          <cell r="A307">
            <v>344</v>
          </cell>
          <cell r="B307" t="str">
            <v xml:space="preserve">ARAME GALVANIZADO 16 BWG, D = 1,65MM (0,0166 KG/M)                                                                                                                                                                                                                                                                                                                                                                                                                                                        </v>
          </cell>
          <cell r="C307" t="str">
            <v xml:space="preserve">KG    </v>
          </cell>
          <cell r="D307" t="str">
            <v>CR</v>
          </cell>
          <cell r="E307" t="str">
            <v>26,29</v>
          </cell>
        </row>
        <row r="308">
          <cell r="A308">
            <v>345</v>
          </cell>
          <cell r="B308" t="str">
            <v xml:space="preserve">ARAME GALVANIZADO 18 BWG, D = 1,24MM (0,009 KG/M)                                                                                                                                                                                                                                                                                                                                                                                                                                                         </v>
          </cell>
          <cell r="C308" t="str">
            <v xml:space="preserve">KG    </v>
          </cell>
          <cell r="D308" t="str">
            <v>CR</v>
          </cell>
          <cell r="E308" t="str">
            <v>28,52</v>
          </cell>
        </row>
        <row r="309">
          <cell r="A309">
            <v>43131</v>
          </cell>
          <cell r="B309" t="str">
            <v xml:space="preserve">ARAME GALVANIZADO 6 BWG, D = 5,16 MM (0,157 KG/M), OU 8 BWG, D = 4,19 MM (0,101 KG/M), OU 10 BWG, D = 3,40 MM (0,0713 KG/M)                                                                                                                                                                                                                                                                                                                                                                               </v>
          </cell>
          <cell r="C309" t="str">
            <v xml:space="preserve">KG    </v>
          </cell>
          <cell r="D309" t="str">
            <v>CR</v>
          </cell>
          <cell r="E309" t="str">
            <v>23,23</v>
          </cell>
        </row>
        <row r="310">
          <cell r="A310">
            <v>3313</v>
          </cell>
          <cell r="B310" t="str">
            <v xml:space="preserve">ARAME PROTEGIDO COM POLIMERO PARA GABIAO, DIAMETRO 2,2 MM                                                                                                                                                                                                                                                                                                                                                                                                                                                 </v>
          </cell>
          <cell r="C310" t="str">
            <v xml:space="preserve">KG    </v>
          </cell>
          <cell r="D310" t="str">
            <v>CR</v>
          </cell>
          <cell r="E310" t="str">
            <v>27,00</v>
          </cell>
        </row>
        <row r="311">
          <cell r="A311">
            <v>43132</v>
          </cell>
          <cell r="B311" t="str">
            <v xml:space="preserve">ARAME RECOZIDO 16 BWG, D = 1,65 MM (0,016 KG/M) OU 18 BWG, D = 1,25 MM (0,01 KG/M)                                                                                                                                                                                                                                                                                                                                                                                                                        </v>
          </cell>
          <cell r="C311" t="str">
            <v xml:space="preserve">KG    </v>
          </cell>
          <cell r="D311" t="str">
            <v>CR</v>
          </cell>
          <cell r="E311" t="str">
            <v>20,00</v>
          </cell>
        </row>
        <row r="312">
          <cell r="A312">
            <v>366</v>
          </cell>
          <cell r="B312" t="str">
            <v xml:space="preserve">AREIA FINA - POSTO JAZIDA/FORNECEDOR (RETIRADO NA JAZIDA, SEM TRANSPORTE)                                                                                                                                                                                                                                                                                                                                                                                                                                 </v>
          </cell>
          <cell r="C312" t="str">
            <v xml:space="preserve">M3    </v>
          </cell>
          <cell r="D312" t="str">
            <v xml:space="preserve">C </v>
          </cell>
          <cell r="E312" t="str">
            <v>75,00</v>
          </cell>
        </row>
        <row r="313">
          <cell r="A313">
            <v>367</v>
          </cell>
          <cell r="B313" t="str">
            <v xml:space="preserve">AREIA GROSSA - POSTO JAZIDA/FORNECEDOR (RETIRADO NA JAZIDA, SEM TRANSPORTE)                                                                                                                                                                                                                                                                                                                                                                                                                               </v>
          </cell>
          <cell r="C313" t="str">
            <v xml:space="preserve">M3    </v>
          </cell>
          <cell r="D313" t="str">
            <v>CR</v>
          </cell>
          <cell r="E313" t="str">
            <v>75,98</v>
          </cell>
        </row>
        <row r="314">
          <cell r="A314">
            <v>370</v>
          </cell>
          <cell r="B314" t="str">
            <v xml:space="preserve">AREIA MEDIA - POSTO JAZIDA/FORNECEDOR (RETIRADO NA JAZIDA, SEM TRANSPORTE)                                                                                                                                                                                                                                                                                                                                                                                                                                </v>
          </cell>
          <cell r="C314" t="str">
            <v xml:space="preserve">M3    </v>
          </cell>
          <cell r="D314" t="str">
            <v>CR</v>
          </cell>
          <cell r="E314" t="str">
            <v>75,00</v>
          </cell>
        </row>
        <row r="315">
          <cell r="A315">
            <v>368</v>
          </cell>
          <cell r="B315" t="str">
            <v xml:space="preserve">AREIA PARA ATERRO - POSTO JAZIDA/FORNECEDOR (RETIRADO NA JAZIDA, SEM TRANSPORTE)                                                                                                                                                                                                                                                                                                                                                                                                                          </v>
          </cell>
          <cell r="C315" t="str">
            <v xml:space="preserve">M3    </v>
          </cell>
          <cell r="D315" t="str">
            <v>CR</v>
          </cell>
          <cell r="E315" t="str">
            <v>37,50</v>
          </cell>
        </row>
        <row r="316">
          <cell r="A316">
            <v>11075</v>
          </cell>
          <cell r="B316" t="str">
            <v xml:space="preserve">AREIA PARA LEITO FILTRANTE (0,42 A 1,68 MM) - POSTO JAZIDA/FORNECEDOR (RETIRADO NA JAZIDA, SEM TRANSPORTE)                                                                                                                                                                                                                                                                                                                                                                                                </v>
          </cell>
          <cell r="C316" t="str">
            <v xml:space="preserve">M3    </v>
          </cell>
          <cell r="D316" t="str">
            <v>CR</v>
          </cell>
          <cell r="E316" t="str">
            <v>860,76</v>
          </cell>
        </row>
        <row r="317">
          <cell r="A317">
            <v>1381</v>
          </cell>
          <cell r="B317" t="str">
            <v xml:space="preserve">ARGAMASSA COLANTE AC I PARA CERAMICAS                                                                                                                                                                                                                                                                                                                                                                                                                                                                     </v>
          </cell>
          <cell r="C317" t="str">
            <v xml:space="preserve">KG    </v>
          </cell>
          <cell r="D317" t="str">
            <v xml:space="preserve">C </v>
          </cell>
          <cell r="E317" t="str">
            <v>0,75</v>
          </cell>
        </row>
        <row r="318">
          <cell r="A318">
            <v>34353</v>
          </cell>
          <cell r="B318" t="str">
            <v xml:space="preserve">ARGAMASSA COLANTE AC II                                                                                                                                                                                                                                                                                                                                                                                                                                                                                   </v>
          </cell>
          <cell r="C318" t="str">
            <v xml:space="preserve">KG    </v>
          </cell>
          <cell r="D318" t="str">
            <v>CR</v>
          </cell>
          <cell r="E318" t="str">
            <v>1,39</v>
          </cell>
        </row>
        <row r="319">
          <cell r="A319">
            <v>37595</v>
          </cell>
          <cell r="B319" t="str">
            <v xml:space="preserve">ARGAMASSA COLANTE TIPO AC III                                                                                                                                                                                                                                                                                                                                                                                                                                                                             </v>
          </cell>
          <cell r="C319" t="str">
            <v xml:space="preserve">KG    </v>
          </cell>
          <cell r="D319" t="str">
            <v>CR</v>
          </cell>
          <cell r="E319" t="str">
            <v>2,30</v>
          </cell>
        </row>
        <row r="320">
          <cell r="A320">
            <v>37596</v>
          </cell>
          <cell r="B320" t="str">
            <v xml:space="preserve">ARGAMASSA COLANTE TIPO AC III E                                                                                                                                                                                                                                                                                                                                                                                                                                                                           </v>
          </cell>
          <cell r="C320" t="str">
            <v xml:space="preserve">KG    </v>
          </cell>
          <cell r="D320" t="str">
            <v>CR</v>
          </cell>
          <cell r="E320" t="str">
            <v>2,64</v>
          </cell>
        </row>
        <row r="321">
          <cell r="A321">
            <v>371</v>
          </cell>
          <cell r="B321" t="str">
            <v xml:space="preserve">ARGAMASSA INDUSTRIALIZADA MULTIUSO, PARA REVESTIMENTO INTERNO E EXTERNO E ASSENTAMENTO DE BLOCOS DIVERSOS                                                                                                                                                                                                                                                                                                                                                                                                 </v>
          </cell>
          <cell r="C321" t="str">
            <v xml:space="preserve">KG    </v>
          </cell>
          <cell r="D321" t="str">
            <v>CR</v>
          </cell>
          <cell r="E321" t="str">
            <v>0,81</v>
          </cell>
        </row>
        <row r="322">
          <cell r="A322">
            <v>37553</v>
          </cell>
          <cell r="B322" t="str">
            <v xml:space="preserve">ARGAMASSA INDUSTRIALIZADA PARA CHAPISCO COLANTE                                                                                                                                                                                                                                                                                                                                                                                                                                                           </v>
          </cell>
          <cell r="C322" t="str">
            <v xml:space="preserve">KG    </v>
          </cell>
          <cell r="D322" t="str">
            <v>CR</v>
          </cell>
          <cell r="E322" t="str">
            <v>1,53</v>
          </cell>
        </row>
        <row r="323">
          <cell r="A323">
            <v>37552</v>
          </cell>
          <cell r="B323" t="str">
            <v xml:space="preserve">ARGAMASSA INDUSTRIALIZADA PARA CHAPISCO ROLADO                                                                                                                                                                                                                                                                                                                                                                                                                                                            </v>
          </cell>
          <cell r="C323" t="str">
            <v xml:space="preserve">KG    </v>
          </cell>
          <cell r="D323" t="str">
            <v>CR</v>
          </cell>
          <cell r="E323" t="str">
            <v>2,46</v>
          </cell>
        </row>
        <row r="324">
          <cell r="A324">
            <v>36880</v>
          </cell>
          <cell r="B324" t="str">
            <v xml:space="preserve">ARGAMASSA PARA REVESTIMENTO DECORATIVO MONOCAMADA                                                                                                                                                                                                                                                                                                                                                                                                                                                         </v>
          </cell>
          <cell r="C324" t="str">
            <v xml:space="preserve">KG    </v>
          </cell>
          <cell r="D324" t="str">
            <v>CR</v>
          </cell>
          <cell r="E324" t="str">
            <v>2,50</v>
          </cell>
        </row>
        <row r="325">
          <cell r="A325">
            <v>34355</v>
          </cell>
          <cell r="B325" t="str">
            <v xml:space="preserve">ARGAMASSA PISO SOBRE PISO                                                                                                                                                                                                                                                                                                                                                                                                                                                                                 </v>
          </cell>
          <cell r="C325" t="str">
            <v xml:space="preserve">KG    </v>
          </cell>
          <cell r="D325" t="str">
            <v>CR</v>
          </cell>
          <cell r="E325" t="str">
            <v>2,15</v>
          </cell>
        </row>
        <row r="326">
          <cell r="A326">
            <v>130</v>
          </cell>
          <cell r="B326" t="str">
            <v xml:space="preserve">ARGAMASSA POLIMERICA DE REPARO ESTRUTURAL, BICOMPONENTE                                                                                                                                                                                                                                                                                                                                                                                                                                                   </v>
          </cell>
          <cell r="C326" t="str">
            <v xml:space="preserve">KG    </v>
          </cell>
          <cell r="D326" t="str">
            <v>CR</v>
          </cell>
          <cell r="E326" t="str">
            <v>4,05</v>
          </cell>
        </row>
        <row r="327">
          <cell r="A327">
            <v>135</v>
          </cell>
          <cell r="B327" t="str">
            <v xml:space="preserve">ARGAMASSA POLIMERICA IMPERMEABILIZANTE SEMIFLEXIVEL, BICOMPONENTE, A BASE DE CIMENTO E ADITIVOS                                                                                                                                                                                                                                                                                                                                                                                                           </v>
          </cell>
          <cell r="C327" t="str">
            <v xml:space="preserve">KG    </v>
          </cell>
          <cell r="D327" t="str">
            <v>CR</v>
          </cell>
          <cell r="E327" t="str">
            <v>3,26</v>
          </cell>
        </row>
        <row r="328">
          <cell r="A328">
            <v>36886</v>
          </cell>
          <cell r="B328" t="str">
            <v xml:space="preserve">ARGAMASSA PRONTA PARA CONTRAPISO                                                                                                                                                                                                                                                                                                                                                                                                                                                                          </v>
          </cell>
          <cell r="C328" t="str">
            <v xml:space="preserve">KG    </v>
          </cell>
          <cell r="D328" t="str">
            <v>CR</v>
          </cell>
          <cell r="E328" t="str">
            <v>0,77</v>
          </cell>
        </row>
        <row r="329">
          <cell r="A329">
            <v>38546</v>
          </cell>
          <cell r="B329" t="str">
            <v xml:space="preserve">ARGAMASSA USINADA AUTOADENSAVEL E AUTONIVELANTE PARA CONTRAPISO, COM BOMBEAMENTO (DISPONIBILIZACAO DE BOMBA), SEM O LANCAMENTO                                                                                                                                                                                                                                                                                                                                                                            </v>
          </cell>
          <cell r="C329" t="str">
            <v xml:space="preserve">M3    </v>
          </cell>
          <cell r="D329" t="str">
            <v>CR</v>
          </cell>
          <cell r="E329" t="str">
            <v>477,92</v>
          </cell>
        </row>
        <row r="330">
          <cell r="A330">
            <v>34549</v>
          </cell>
          <cell r="B330" t="str">
            <v xml:space="preserve">ARGILA EXPANDIDA, GRANULOMETRIA 2215                                                                                                                                                                                                                                                                                                                                                                                                                                                                      </v>
          </cell>
          <cell r="C330" t="str">
            <v xml:space="preserve">M3    </v>
          </cell>
          <cell r="D330" t="str">
            <v>CR</v>
          </cell>
          <cell r="E330" t="str">
            <v>786,51</v>
          </cell>
        </row>
        <row r="331">
          <cell r="A331">
            <v>6081</v>
          </cell>
          <cell r="B331" t="str">
            <v xml:space="preserve">ARGILA OU BARRO PARA ATERRO/REATERRO (COM TRANSPORTE ATE 10 KM)                                                                                                                                                                                                                                                                                                                                                                                                                                           </v>
          </cell>
          <cell r="C331" t="str">
            <v xml:space="preserve">M3    </v>
          </cell>
          <cell r="D331" t="str">
            <v>CR</v>
          </cell>
          <cell r="E331" t="str">
            <v>55,05</v>
          </cell>
        </row>
        <row r="332">
          <cell r="A332">
            <v>6077</v>
          </cell>
          <cell r="B332" t="str">
            <v xml:space="preserve">ARGILA OU BARRO PARA ATERRO/REATERRO (RETIRADO NA JAZIDA, SEM TRANSPORTE)                                                                                                                                                                                                                                                                                                                                                                                                                                 </v>
          </cell>
          <cell r="C332" t="str">
            <v xml:space="preserve">M3    </v>
          </cell>
          <cell r="D332" t="str">
            <v>CR</v>
          </cell>
          <cell r="E332" t="str">
            <v>39,32</v>
          </cell>
        </row>
        <row r="333">
          <cell r="A333">
            <v>6079</v>
          </cell>
          <cell r="B333" t="str">
            <v xml:space="preserve">ARGILA, ARGILA VERMELHA OU ARGILA ARENOSA (RETIRADA NA JAZIDA, SEM TRANSPORTE)                                                                                                                                                                                                                                                                                                                                                                                                                            </v>
          </cell>
          <cell r="C333" t="str">
            <v xml:space="preserve">M3    </v>
          </cell>
          <cell r="D333" t="str">
            <v>CR</v>
          </cell>
          <cell r="E333" t="str">
            <v>39,32</v>
          </cell>
        </row>
        <row r="334">
          <cell r="A334">
            <v>1091</v>
          </cell>
          <cell r="B334" t="str">
            <v xml:space="preserve">ARMACAO VERTICAL COM HASTE E CONTRA-PINO, EM CHAPA DE ACO GALVANIZADO 3/16", COM 1 ESTRIBO E 1 ISOLADOR                                                                                                                                                                                                                                                                                                                                                                                                   </v>
          </cell>
          <cell r="C334" t="str">
            <v xml:space="preserve">UN    </v>
          </cell>
          <cell r="D334" t="str">
            <v>CR</v>
          </cell>
          <cell r="E334" t="str">
            <v>25,12</v>
          </cell>
        </row>
        <row r="335">
          <cell r="A335">
            <v>1094</v>
          </cell>
          <cell r="B335" t="str">
            <v xml:space="preserve">ARMACAO VERTICAL COM HASTE E CONTRA-PINO, EM CHAPA DE ACO GALVANIZADO 3/16", COM 1 ESTRIBO, SEM ISOLADOR                                                                                                                                                                                                                                                                                                                                                                                                  </v>
          </cell>
          <cell r="C335" t="str">
            <v xml:space="preserve">UN    </v>
          </cell>
          <cell r="D335" t="str">
            <v>CR</v>
          </cell>
          <cell r="E335" t="str">
            <v>17,57</v>
          </cell>
        </row>
        <row r="336">
          <cell r="A336">
            <v>1095</v>
          </cell>
          <cell r="B336" t="str">
            <v xml:space="preserve">ARMACAO VERTICAL COM HASTE E CONTRA-PINO, EM CHAPA DE ACO GALVANIZADO 3/16", COM 2 ESTRIBOS, E 2 ISOLADORES                                                                                                                                                                                                                                                                                                                                                                                               </v>
          </cell>
          <cell r="C336" t="str">
            <v xml:space="preserve">UN    </v>
          </cell>
          <cell r="D336" t="str">
            <v>CR</v>
          </cell>
          <cell r="E336" t="str">
            <v>37,35</v>
          </cell>
        </row>
        <row r="337">
          <cell r="A337">
            <v>1092</v>
          </cell>
          <cell r="B337" t="str">
            <v xml:space="preserve">ARMACAO VERTICAL COM HASTE E CONTRA-PINO, EM CHAPA DE ACO GALVANIZADO 3/16", COM 2 ESTRIBOS, SEM ISOLADOR                                                                                                                                                                                                                                                                                                                                                                                                 </v>
          </cell>
          <cell r="C337" t="str">
            <v xml:space="preserve">UN    </v>
          </cell>
          <cell r="D337" t="str">
            <v xml:space="preserve">C </v>
          </cell>
          <cell r="E337" t="str">
            <v>28,90</v>
          </cell>
        </row>
        <row r="338">
          <cell r="A338">
            <v>1093</v>
          </cell>
          <cell r="B338" t="str">
            <v xml:space="preserve">ARMACAO VERTICAL COM HASTE E CONTRA-PINO, EM CHAPA DE ACO GALVANIZADO 3/16", COM 3 ESTRIBOS E 3 ISOLADORES                                                                                                                                                                                                                                                                                                                                                                                                </v>
          </cell>
          <cell r="C338" t="str">
            <v xml:space="preserve">UN    </v>
          </cell>
          <cell r="D338" t="str">
            <v>CR</v>
          </cell>
          <cell r="E338" t="str">
            <v>67,49</v>
          </cell>
        </row>
        <row r="339">
          <cell r="A339">
            <v>1090</v>
          </cell>
          <cell r="B339" t="str">
            <v xml:space="preserve">ARMACAO VERTICAL COM HASTE E CONTRA-PINO, EM CHAPA DE ACO GALVANIZADO 3/16", COM 3 ESTRIBOS, SEM ISOLADOR                                                                                                                                                                                                                                                                                                                                                                                                 </v>
          </cell>
          <cell r="C339" t="str">
            <v xml:space="preserve">UN    </v>
          </cell>
          <cell r="D339" t="str">
            <v>CR</v>
          </cell>
          <cell r="E339" t="str">
            <v>48,32</v>
          </cell>
        </row>
        <row r="340">
          <cell r="A340">
            <v>1096</v>
          </cell>
          <cell r="B340" t="str">
            <v xml:space="preserve">ARMACAO VERTICAL COM HASTE E CONTRA-PINO, EM CHAPA DE ACO GALVANIZADO 3/16", COM 4 ESTRIBOS E 4 ISOLADORES                                                                                                                                                                                                                                                                                                                                                                                                </v>
          </cell>
          <cell r="C340" t="str">
            <v xml:space="preserve">UN    </v>
          </cell>
          <cell r="D340" t="str">
            <v>CR</v>
          </cell>
          <cell r="E340" t="str">
            <v>86,96</v>
          </cell>
        </row>
        <row r="341">
          <cell r="A341">
            <v>1097</v>
          </cell>
          <cell r="B341" t="str">
            <v xml:space="preserve">ARMACAO VERTICAL COM HASTE E CONTRA-PINO, EM CHAPA DE ACO GALVANIZADO 3/16", COM 4 ESTRIBOS, SEM ISOLADOR                                                                                                                                                                                                                                                                                                                                                                                                 </v>
          </cell>
          <cell r="C341" t="str">
            <v xml:space="preserve">UN    </v>
          </cell>
          <cell r="D341" t="str">
            <v>CR</v>
          </cell>
          <cell r="E341" t="str">
            <v>73,82</v>
          </cell>
        </row>
        <row r="342">
          <cell r="A342">
            <v>378</v>
          </cell>
          <cell r="B342" t="str">
            <v xml:space="preserve">ARMADOR (HORISTA)                                                                                                                                                                                                                                                                                                                                                                                                                                                                                         </v>
          </cell>
          <cell r="C342" t="str">
            <v xml:space="preserve">H     </v>
          </cell>
          <cell r="D342" t="str">
            <v>CR</v>
          </cell>
          <cell r="E342" t="str">
            <v>23,55</v>
          </cell>
        </row>
        <row r="343">
          <cell r="A343">
            <v>40911</v>
          </cell>
          <cell r="B343" t="str">
            <v xml:space="preserve">ARMADOR (MENSALISTA)                                                                                                                                                                                                                                                                                                                                                                                                                                                                                      </v>
          </cell>
          <cell r="C343" t="str">
            <v xml:space="preserve">MES   </v>
          </cell>
          <cell r="D343" t="str">
            <v>CR</v>
          </cell>
          <cell r="E343" t="str">
            <v>4.122,92</v>
          </cell>
        </row>
        <row r="344">
          <cell r="A344">
            <v>33939</v>
          </cell>
          <cell r="B344" t="str">
            <v xml:space="preserve">ARQUITETO JUNIOR (HORISTA)                                                                                                                                                                                                                                                                                                                                                                                                                                                                                </v>
          </cell>
          <cell r="C344" t="str">
            <v xml:space="preserve">H     </v>
          </cell>
          <cell r="D344" t="str">
            <v>CR</v>
          </cell>
          <cell r="E344" t="str">
            <v>113,89</v>
          </cell>
        </row>
        <row r="345">
          <cell r="A345">
            <v>40815</v>
          </cell>
          <cell r="B345" t="str">
            <v xml:space="preserve">ARQUITETO JUNIOR (MENSALISTA)                                                                                                                                                                                                                                                                                                                                                                                                                                                                             </v>
          </cell>
          <cell r="C345" t="str">
            <v xml:space="preserve">MES   </v>
          </cell>
          <cell r="D345" t="str">
            <v>CR</v>
          </cell>
          <cell r="E345" t="str">
            <v>19.934,71</v>
          </cell>
        </row>
        <row r="346">
          <cell r="A346">
            <v>33952</v>
          </cell>
          <cell r="B346" t="str">
            <v xml:space="preserve">ARQUITETO PLENO (HORISTA)                                                                                                                                                                                                                                                                                                                                                                                                                                                                                 </v>
          </cell>
          <cell r="C346" t="str">
            <v xml:space="preserve">H     </v>
          </cell>
          <cell r="D346" t="str">
            <v>CR</v>
          </cell>
          <cell r="E346" t="str">
            <v>120,16</v>
          </cell>
        </row>
        <row r="347">
          <cell r="A347">
            <v>40816</v>
          </cell>
          <cell r="B347" t="str">
            <v xml:space="preserve">ARQUITETO PLENO (MENSALISTA)                                                                                                                                                                                                                                                                                                                                                                                                                                                                              </v>
          </cell>
          <cell r="C347" t="str">
            <v xml:space="preserve">MES   </v>
          </cell>
          <cell r="D347" t="str">
            <v>CR</v>
          </cell>
          <cell r="E347" t="str">
            <v>21.031,79</v>
          </cell>
        </row>
        <row r="348">
          <cell r="A348">
            <v>33953</v>
          </cell>
          <cell r="B348" t="str">
            <v xml:space="preserve">ARQUITETO SENIOR (HORISTA)                                                                                                                                                                                                                                                                                                                                                                                                                                                                                </v>
          </cell>
          <cell r="C348" t="str">
            <v xml:space="preserve">H     </v>
          </cell>
          <cell r="D348" t="str">
            <v>CR</v>
          </cell>
          <cell r="E348" t="str">
            <v>128,46</v>
          </cell>
        </row>
        <row r="349">
          <cell r="A349">
            <v>40817</v>
          </cell>
          <cell r="B349" t="str">
            <v xml:space="preserve">ARQUITETO SENIOR (MENSALISTA)                                                                                                                                                                                                                                                                                                                                                                                                                                                                             </v>
          </cell>
          <cell r="C349" t="str">
            <v xml:space="preserve">MES   </v>
          </cell>
          <cell r="D349" t="str">
            <v>CR</v>
          </cell>
          <cell r="E349" t="str">
            <v>22.484,61</v>
          </cell>
        </row>
        <row r="350">
          <cell r="A350">
            <v>13348</v>
          </cell>
          <cell r="B350" t="str">
            <v xml:space="preserve">ARRUELA  EM ACO GALVANIZADO, DIAMETRO EXTERNO = 35MM, ESPESSURA = 3MM, DIAMETRO DO FURO= 18MM                                                                                                                                                                                                                                                                                                                                                                                                             </v>
          </cell>
          <cell r="C350" t="str">
            <v xml:space="preserve">UN    </v>
          </cell>
          <cell r="D350" t="str">
            <v>CR</v>
          </cell>
          <cell r="E350" t="str">
            <v>1,79</v>
          </cell>
        </row>
        <row r="351">
          <cell r="A351">
            <v>39211</v>
          </cell>
          <cell r="B351" t="str">
            <v xml:space="preserve">ARRUELA EM ALUMINIO, COM ROSCA, DE  1 1/4", PARA ELETRODUTO                                                                                                                                                                                                                                                                                                                                                                                                                                               </v>
          </cell>
          <cell r="C351" t="str">
            <v xml:space="preserve">UN    </v>
          </cell>
          <cell r="D351" t="str">
            <v>CR</v>
          </cell>
          <cell r="E351" t="str">
            <v>1,84</v>
          </cell>
        </row>
        <row r="352">
          <cell r="A352">
            <v>39212</v>
          </cell>
          <cell r="B352" t="str">
            <v xml:space="preserve">ARRUELA EM ALUMINIO, COM ROSCA, DE 1 1/2", PARA ELETRODUTO                                                                                                                                                                                                                                                                                                                                                                                                                                                </v>
          </cell>
          <cell r="C352" t="str">
            <v xml:space="preserve">UN    </v>
          </cell>
          <cell r="D352" t="str">
            <v>CR</v>
          </cell>
          <cell r="E352" t="str">
            <v>2,05</v>
          </cell>
        </row>
        <row r="353">
          <cell r="A353">
            <v>39208</v>
          </cell>
          <cell r="B353" t="str">
            <v xml:space="preserve">ARRUELA EM ALUMINIO, COM ROSCA, DE 1/2", PARA ELETRODUTO                                                                                                                                                                                                                                                                                                                                                                                                                                                  </v>
          </cell>
          <cell r="C353" t="str">
            <v xml:space="preserve">UN    </v>
          </cell>
          <cell r="D353" t="str">
            <v>CR</v>
          </cell>
          <cell r="E353" t="str">
            <v>0,56</v>
          </cell>
        </row>
        <row r="354">
          <cell r="A354">
            <v>39210</v>
          </cell>
          <cell r="B354" t="str">
            <v xml:space="preserve">ARRUELA EM ALUMINIO, COM ROSCA, DE 1", PARA ELETRODUTO                                                                                                                                                                                                                                                                                                                                                                                                                                                    </v>
          </cell>
          <cell r="C354" t="str">
            <v xml:space="preserve">UN    </v>
          </cell>
          <cell r="D354" t="str">
            <v>CR</v>
          </cell>
          <cell r="E354" t="str">
            <v>1,03</v>
          </cell>
        </row>
        <row r="355">
          <cell r="A355">
            <v>39214</v>
          </cell>
          <cell r="B355" t="str">
            <v xml:space="preserve">ARRUELA EM ALUMINIO, COM ROSCA, DE 2 1/2", PARA ELETRODUTO                                                                                                                                                                                                                                                                                                                                                                                                                                                </v>
          </cell>
          <cell r="C355" t="str">
            <v xml:space="preserve">UN    </v>
          </cell>
          <cell r="D355" t="str">
            <v>CR</v>
          </cell>
          <cell r="E355" t="str">
            <v>3,80</v>
          </cell>
        </row>
        <row r="356">
          <cell r="A356">
            <v>39213</v>
          </cell>
          <cell r="B356" t="str">
            <v xml:space="preserve">ARRUELA EM ALUMINIO, COM ROSCA, DE 2", PARA ELETRODUTO                                                                                                                                                                                                                                                                                                                                                                                                                                                    </v>
          </cell>
          <cell r="C356" t="str">
            <v xml:space="preserve">UN    </v>
          </cell>
          <cell r="D356" t="str">
            <v>CR</v>
          </cell>
          <cell r="E356" t="str">
            <v>2,68</v>
          </cell>
        </row>
        <row r="357">
          <cell r="A357">
            <v>39209</v>
          </cell>
          <cell r="B357" t="str">
            <v xml:space="preserve">ARRUELA EM ALUMINIO, COM ROSCA, DE 3/4", PARA ELETRODUTO                                                                                                                                                                                                                                                                                                                                                                                                                                                  </v>
          </cell>
          <cell r="C357" t="str">
            <v xml:space="preserve">UN    </v>
          </cell>
          <cell r="D357" t="str">
            <v>CR</v>
          </cell>
          <cell r="E357" t="str">
            <v>0,66</v>
          </cell>
        </row>
        <row r="358">
          <cell r="A358">
            <v>39207</v>
          </cell>
          <cell r="B358" t="str">
            <v xml:space="preserve">ARRUELA EM ALUMINIO, COM ROSCA, DE 3/8", PARA ELETRODUTO                                                                                                                                                                                                                                                                                                                                                                                                                                                  </v>
          </cell>
          <cell r="C358" t="str">
            <v xml:space="preserve">UN    </v>
          </cell>
          <cell r="D358" t="str">
            <v>CR</v>
          </cell>
          <cell r="E358" t="str">
            <v>1,03</v>
          </cell>
        </row>
        <row r="359">
          <cell r="A359">
            <v>39215</v>
          </cell>
          <cell r="B359" t="str">
            <v xml:space="preserve">ARRUELA EM ALUMINIO, COM ROSCA, DE 3", PARA ELETRODUTO                                                                                                                                                                                                                                                                                                                                                                                                                                                    </v>
          </cell>
          <cell r="C359" t="str">
            <v xml:space="preserve">UN    </v>
          </cell>
          <cell r="D359" t="str">
            <v>CR</v>
          </cell>
          <cell r="E359" t="str">
            <v>6,92</v>
          </cell>
        </row>
        <row r="360">
          <cell r="A360">
            <v>39216</v>
          </cell>
          <cell r="B360" t="str">
            <v xml:space="preserve">ARRUELA EM ALUMINIO, COM ROSCA, DE 4", PARA ELETRODUTO                                                                                                                                                                                                                                                                                                                                                                                                                                                    </v>
          </cell>
          <cell r="C360" t="str">
            <v xml:space="preserve">UN    </v>
          </cell>
          <cell r="D360" t="str">
            <v>CR</v>
          </cell>
          <cell r="E360" t="str">
            <v>9,65</v>
          </cell>
        </row>
        <row r="361">
          <cell r="A361">
            <v>11267</v>
          </cell>
          <cell r="B361" t="str">
            <v xml:space="preserve">ARRUELA LISA, REDONDA, DE LATAO POLIDO, DIAMETRO NOMINAL 5/8", DIAMETRO EXTERNO = 34 MM, DIAMETRO DO FURO = 17 MM, ESPESSURA = *2,5* MM                                                                                                                                                                                                                                                                                                                                                                   </v>
          </cell>
          <cell r="C361" t="str">
            <v xml:space="preserve">UN    </v>
          </cell>
          <cell r="D361" t="str">
            <v>CR</v>
          </cell>
          <cell r="E361" t="str">
            <v>1,56</v>
          </cell>
        </row>
        <row r="362">
          <cell r="A362">
            <v>379</v>
          </cell>
          <cell r="B362" t="str">
            <v xml:space="preserve">ARRUELA QUADRADA EM ACO GALVANIZADO, DIMENSAO = 38 MM, ESPESSURA = 3MM, DIAMETRO DO FURO= 18 MM                                                                                                                                                                                                                                                                                                                                                                                                           </v>
          </cell>
          <cell r="C362" t="str">
            <v xml:space="preserve">UN    </v>
          </cell>
          <cell r="D362" t="str">
            <v>CR</v>
          </cell>
          <cell r="E362" t="str">
            <v>1,57</v>
          </cell>
        </row>
        <row r="363">
          <cell r="A363">
            <v>510</v>
          </cell>
          <cell r="B363" t="str">
            <v xml:space="preserve">ASFALTO MODIFICADO TIPO I - NBR 9910 (ASFALTO OXIDADO PARA IMPERMEABILIZACAO, COEFICIENTE DE PENETRACAO 25-40)                                                                                                                                                                                                                                                                                                                                                                                            </v>
          </cell>
          <cell r="C363" t="str">
            <v xml:space="preserve">KG    </v>
          </cell>
          <cell r="D363" t="str">
            <v>CR</v>
          </cell>
          <cell r="E363" t="str">
            <v>14,42</v>
          </cell>
        </row>
        <row r="364">
          <cell r="A364">
            <v>516</v>
          </cell>
          <cell r="B364" t="str">
            <v xml:space="preserve">ASFALTO MODIFICADO TIPO II - NBR 9910 (ASFALTO OXIDADO PARA IMPERMEABILIZACAO, COEFICIENTE DE PENETRACAO 20-35)                                                                                                                                                                                                                                                                                                                                                                                           </v>
          </cell>
          <cell r="C364" t="str">
            <v xml:space="preserve">KG    </v>
          </cell>
          <cell r="D364" t="str">
            <v>CR</v>
          </cell>
          <cell r="E364" t="str">
            <v>17,09</v>
          </cell>
        </row>
        <row r="365">
          <cell r="A365">
            <v>509</v>
          </cell>
          <cell r="B365" t="str">
            <v xml:space="preserve">ASFALTO MODIFICADO TIPO III - NBR 9910 (ASFALTO OXIDADO PARA IMPERMEABILIZACAO, COEFICIENTE DE PENETRACAO 15-25)                                                                                                                                                                                                                                                                                                                                                                                          </v>
          </cell>
          <cell r="C365" t="str">
            <v xml:space="preserve">KG    </v>
          </cell>
          <cell r="D365" t="str">
            <v>CR</v>
          </cell>
          <cell r="E365" t="str">
            <v>19,17</v>
          </cell>
        </row>
        <row r="366">
          <cell r="A366">
            <v>40331</v>
          </cell>
          <cell r="B366" t="str">
            <v xml:space="preserve">ASSENTADOR DE MANILHAS (HORISTA)                                                                                                                                                                                                                                                                                                                                                                                                                                                                          </v>
          </cell>
          <cell r="C366" t="str">
            <v xml:space="preserve">H     </v>
          </cell>
          <cell r="D366" t="str">
            <v>CR</v>
          </cell>
          <cell r="E366" t="str">
            <v>18,34</v>
          </cell>
        </row>
        <row r="367">
          <cell r="A367">
            <v>40930</v>
          </cell>
          <cell r="B367" t="str">
            <v xml:space="preserve">ASSENTADOR DE MANILHAS (MENSALISTA)                                                                                                                                                                                                                                                                                                                                                                                                                                                                       </v>
          </cell>
          <cell r="C367" t="str">
            <v xml:space="preserve">MES   </v>
          </cell>
          <cell r="D367" t="str">
            <v>CR</v>
          </cell>
          <cell r="E367" t="str">
            <v>3.212,92</v>
          </cell>
        </row>
        <row r="368">
          <cell r="A368">
            <v>11761</v>
          </cell>
          <cell r="B368" t="str">
            <v xml:space="preserve">ASSENTO  VASO SANITARIO INFANTIL EM PLASTICO BRANCO                                                                                                                                                                                                                                                                                                                                                                                                                                                       </v>
          </cell>
          <cell r="C368" t="str">
            <v xml:space="preserve">UN    </v>
          </cell>
          <cell r="D368" t="str">
            <v>CR</v>
          </cell>
          <cell r="E368" t="str">
            <v>89,38</v>
          </cell>
        </row>
        <row r="369">
          <cell r="A369">
            <v>377</v>
          </cell>
          <cell r="B369" t="str">
            <v xml:space="preserve">ASSENTO SANITARIO DE PLASTICO, TIPO CONVENCIONAL                                                                                                                                                                                                                                                                                                                                                                                                                                                          </v>
          </cell>
          <cell r="C369" t="str">
            <v xml:space="preserve">UN    </v>
          </cell>
          <cell r="D369" t="str">
            <v xml:space="preserve">C </v>
          </cell>
          <cell r="E369" t="str">
            <v>42,00</v>
          </cell>
        </row>
        <row r="370">
          <cell r="A370">
            <v>7588</v>
          </cell>
          <cell r="B370" t="str">
            <v xml:space="preserve">AUTOMATICO DE BOIA SUPERIOR / INFERIOR, *15* A / 250 V                                                                                                                                                                                                                                                                                                                                                                                                                                                    </v>
          </cell>
          <cell r="C370" t="str">
            <v xml:space="preserve">UN    </v>
          </cell>
          <cell r="D370" t="str">
            <v xml:space="preserve">C </v>
          </cell>
          <cell r="E370" t="str">
            <v>42,89</v>
          </cell>
        </row>
        <row r="371">
          <cell r="A371">
            <v>34551</v>
          </cell>
          <cell r="B371" t="str">
            <v xml:space="preserve">AUXILIAR DE AZULEJISTA (HORISTA)                                                                                                                                                                                                                                                                                                                                                                                                                                                                          </v>
          </cell>
          <cell r="C371" t="str">
            <v xml:space="preserve">H     </v>
          </cell>
          <cell r="D371" t="str">
            <v>CR</v>
          </cell>
          <cell r="E371" t="str">
            <v>19,35</v>
          </cell>
        </row>
        <row r="372">
          <cell r="A372">
            <v>41078</v>
          </cell>
          <cell r="B372" t="str">
            <v xml:space="preserve">AUXILIAR DE AZULEJISTA (MENSALISTA)                                                                                                                                                                                                                                                                                                                                                                                                                                                                       </v>
          </cell>
          <cell r="C372" t="str">
            <v xml:space="preserve">MES   </v>
          </cell>
          <cell r="D372" t="str">
            <v>CR</v>
          </cell>
          <cell r="E372" t="str">
            <v>3.389,18</v>
          </cell>
        </row>
        <row r="373">
          <cell r="A373">
            <v>246</v>
          </cell>
          <cell r="B373" t="str">
            <v xml:space="preserve">AUXILIAR DE ENCANADOR OU BOMBEIRO HIDRAULICO (HORISTA)                                                                                                                                                                                                                                                                                                                                                                                                                                                    </v>
          </cell>
          <cell r="C373" t="str">
            <v xml:space="preserve">H     </v>
          </cell>
          <cell r="D373" t="str">
            <v>CR</v>
          </cell>
          <cell r="E373" t="str">
            <v>21,57</v>
          </cell>
        </row>
        <row r="374">
          <cell r="A374">
            <v>40927</v>
          </cell>
          <cell r="B374" t="str">
            <v xml:space="preserve">AUXILIAR DE ENCANADOR OU BOMBEIRO HIDRAULICO (MENSALISTA)                                                                                                                                                                                                                                                                                                                                                                                                                                                 </v>
          </cell>
          <cell r="C374" t="str">
            <v xml:space="preserve">MES   </v>
          </cell>
          <cell r="D374" t="str">
            <v>CR</v>
          </cell>
          <cell r="E374" t="str">
            <v>3.777,04</v>
          </cell>
        </row>
        <row r="375">
          <cell r="A375">
            <v>2350</v>
          </cell>
          <cell r="B375" t="str">
            <v xml:space="preserve">AUXILIAR DE ESCRITORIO (HORISTA)                                                                                                                                                                                                                                                                                                                                                                                                                                                                          </v>
          </cell>
          <cell r="C375" t="str">
            <v xml:space="preserve">H     </v>
          </cell>
          <cell r="D375" t="str">
            <v>CR</v>
          </cell>
          <cell r="E375" t="str">
            <v>29,67</v>
          </cell>
        </row>
        <row r="376">
          <cell r="A376">
            <v>40812</v>
          </cell>
          <cell r="B376" t="str">
            <v xml:space="preserve">AUXILIAR DE ESCRITORIO (MENSALISTA)                                                                                                                                                                                                                                                                                                                                                                                                                                                                       </v>
          </cell>
          <cell r="C376" t="str">
            <v xml:space="preserve">MES   </v>
          </cell>
          <cell r="D376" t="str">
            <v>CR</v>
          </cell>
          <cell r="E376" t="str">
            <v>5.194,77</v>
          </cell>
        </row>
        <row r="377">
          <cell r="A377">
            <v>245</v>
          </cell>
          <cell r="B377" t="str">
            <v xml:space="preserve">AUXILIAR DE LABORATORISTA DE SOLOS E DE CONCRETO (HORISTA)                                                                                                                                                                                                                                                                                                                                                                                                                                                </v>
          </cell>
          <cell r="C377" t="str">
            <v xml:space="preserve">H     </v>
          </cell>
          <cell r="D377" t="str">
            <v>CR</v>
          </cell>
          <cell r="E377" t="str">
            <v>37,69</v>
          </cell>
        </row>
        <row r="378">
          <cell r="A378">
            <v>41090</v>
          </cell>
          <cell r="B378" t="str">
            <v xml:space="preserve">AUXILIAR DE LABORATORISTA DE SOLOS E DE CONCRETO (MENSALISTA)                                                                                                                                                                                                                                                                                                                                                                                                                                             </v>
          </cell>
          <cell r="C378" t="str">
            <v xml:space="preserve">MES   </v>
          </cell>
          <cell r="D378" t="str">
            <v>CR</v>
          </cell>
          <cell r="E378" t="str">
            <v>6.600,38</v>
          </cell>
        </row>
        <row r="379">
          <cell r="A379">
            <v>251</v>
          </cell>
          <cell r="B379" t="str">
            <v xml:space="preserve">AUXILIAR DE MECANICO (HORISTA)                                                                                                                                                                                                                                                                                                                                                                                                                                                                            </v>
          </cell>
          <cell r="C379" t="str">
            <v xml:space="preserve">H     </v>
          </cell>
          <cell r="D379" t="str">
            <v>CR</v>
          </cell>
          <cell r="E379" t="str">
            <v>21,57</v>
          </cell>
        </row>
        <row r="380">
          <cell r="A380">
            <v>40975</v>
          </cell>
          <cell r="B380" t="str">
            <v xml:space="preserve">AUXILIAR DE MECANICO (MENSALISTA)                                                                                                                                                                                                                                                                                                                                                                                                                                                                         </v>
          </cell>
          <cell r="C380" t="str">
            <v xml:space="preserve">MES   </v>
          </cell>
          <cell r="D380" t="str">
            <v>CR</v>
          </cell>
          <cell r="E380" t="str">
            <v>3.777,04</v>
          </cell>
        </row>
        <row r="381">
          <cell r="A381">
            <v>6127</v>
          </cell>
          <cell r="B381" t="str">
            <v xml:space="preserve">AUXILIAR DE PEDREIRO (HORISTA)                                                                                                                                                                                                                                                                                                                                                                                                                                                                            </v>
          </cell>
          <cell r="C381" t="str">
            <v xml:space="preserve">H     </v>
          </cell>
          <cell r="D381" t="str">
            <v>CR</v>
          </cell>
          <cell r="E381" t="str">
            <v>21,57</v>
          </cell>
        </row>
        <row r="382">
          <cell r="A382">
            <v>41072</v>
          </cell>
          <cell r="B382" t="str">
            <v xml:space="preserve">AUXILIAR DE PEDREIRO (MENSALISTA)                                                                                                                                                                                                                                                                                                                                                                                                                                                                         </v>
          </cell>
          <cell r="C382" t="str">
            <v xml:space="preserve">MES   </v>
          </cell>
          <cell r="D382" t="str">
            <v>CR</v>
          </cell>
          <cell r="E382" t="str">
            <v>3.777,04</v>
          </cell>
        </row>
        <row r="383">
          <cell r="A383">
            <v>6121</v>
          </cell>
          <cell r="B383" t="str">
            <v xml:space="preserve">AUXILIAR DE SERVICOS GERAIS (HORISTA)                                                                                                                                                                                                                                                                                                                                                                                                                                                                     </v>
          </cell>
          <cell r="C383" t="str">
            <v xml:space="preserve">H     </v>
          </cell>
          <cell r="D383" t="str">
            <v>CR</v>
          </cell>
          <cell r="E383" t="str">
            <v>19,37</v>
          </cell>
        </row>
        <row r="384">
          <cell r="A384">
            <v>41071</v>
          </cell>
          <cell r="B384" t="str">
            <v xml:space="preserve">AUXILIAR DE SERVICOS GERAIS (MENSALISTA)                                                                                                                                                                                                                                                                                                                                                                                                                                                                  </v>
          </cell>
          <cell r="C384" t="str">
            <v xml:space="preserve">MES   </v>
          </cell>
          <cell r="D384" t="str">
            <v>CR</v>
          </cell>
          <cell r="E384" t="str">
            <v>3.391,13</v>
          </cell>
        </row>
        <row r="385">
          <cell r="A385">
            <v>244</v>
          </cell>
          <cell r="B385" t="str">
            <v xml:space="preserve">AUXILIAR DE TOPOGRAFO (HORISTA)                                                                                                                                                                                                                                                                                                                                                                                                                                                                           </v>
          </cell>
          <cell r="C385" t="str">
            <v xml:space="preserve">H     </v>
          </cell>
          <cell r="D385" t="str">
            <v>CR</v>
          </cell>
          <cell r="E385" t="str">
            <v>30,45</v>
          </cell>
        </row>
        <row r="386">
          <cell r="A386">
            <v>41093</v>
          </cell>
          <cell r="B386" t="str">
            <v xml:space="preserve">AUXILIAR DE TOPOGRAFO (MENSALISTA)                                                                                                                                                                                                                                                                                                                                                                                                                                                                        </v>
          </cell>
          <cell r="C386" t="str">
            <v xml:space="preserve">MES   </v>
          </cell>
          <cell r="D386" t="str">
            <v>CR</v>
          </cell>
          <cell r="E386" t="str">
            <v>5.330,34</v>
          </cell>
        </row>
        <row r="387">
          <cell r="A387">
            <v>532</v>
          </cell>
          <cell r="B387" t="str">
            <v xml:space="preserve">AUXILIAR TECNICO / ASSISTENTE DE ENGENHARIA (HORISTA)                                                                                                                                                                                                                                                                                                                                                                                                                                                     </v>
          </cell>
          <cell r="C387" t="str">
            <v xml:space="preserve">H     </v>
          </cell>
          <cell r="D387" t="str">
            <v>CR</v>
          </cell>
          <cell r="E387" t="str">
            <v>34,16</v>
          </cell>
        </row>
        <row r="388">
          <cell r="A388">
            <v>40931</v>
          </cell>
          <cell r="B388" t="str">
            <v xml:space="preserve">AUXILIAR TECNICO / ASSISTENTE DE ENGENHARIA (MENSALISTA)                                                                                                                                                                                                                                                                                                                                                                                                                                                  </v>
          </cell>
          <cell r="C388" t="str">
            <v xml:space="preserve">MES   </v>
          </cell>
          <cell r="D388" t="str">
            <v>CR</v>
          </cell>
          <cell r="E388" t="str">
            <v>5.981,86</v>
          </cell>
        </row>
        <row r="389">
          <cell r="A389">
            <v>36150</v>
          </cell>
          <cell r="B389" t="str">
            <v xml:space="preserve">AVENTAL DE SEGURANCA DE RASPA DE COURO 1,00 X 0,60 M                                                                                                                                                                                                                                                                                                                                                                                                                                                      </v>
          </cell>
          <cell r="C389" t="str">
            <v xml:space="preserve">UN    </v>
          </cell>
          <cell r="D389" t="str">
            <v>CR</v>
          </cell>
          <cell r="E389" t="str">
            <v>44,55</v>
          </cell>
        </row>
        <row r="390">
          <cell r="A390">
            <v>4760</v>
          </cell>
          <cell r="B390" t="str">
            <v xml:space="preserve">AZULEJISTA OU LADRILHEIRO (HORISTA)                                                                                                                                                                                                                                                                                                                                                                                                                                                                       </v>
          </cell>
          <cell r="C390" t="str">
            <v xml:space="preserve">H     </v>
          </cell>
          <cell r="D390" t="str">
            <v>CR</v>
          </cell>
          <cell r="E390" t="str">
            <v>23,55</v>
          </cell>
        </row>
        <row r="391">
          <cell r="A391">
            <v>41069</v>
          </cell>
          <cell r="B391" t="str">
            <v xml:space="preserve">AZULEJISTA OU LADRILHEIRO (MENSALISTA)                                                                                                                                                                                                                                                                                                                                                                                                                                                                    </v>
          </cell>
          <cell r="C391" t="str">
            <v xml:space="preserve">MES   </v>
          </cell>
          <cell r="D391" t="str">
            <v>CR</v>
          </cell>
          <cell r="E391" t="str">
            <v>4.122,92</v>
          </cell>
        </row>
        <row r="392">
          <cell r="A392">
            <v>10422</v>
          </cell>
          <cell r="B392" t="str">
            <v xml:space="preserve">BACIA SANITARIA (VASO) COM CAIXA ACOPLADA, SIFAO APARENTE, DE LOUCA BRANCA (SEM ASSENTO)                                                                                                                                                                                                                                                                                                                                                                                                                  </v>
          </cell>
          <cell r="C392" t="str">
            <v xml:space="preserve">UN    </v>
          </cell>
          <cell r="D392" t="str">
            <v>CR</v>
          </cell>
          <cell r="E392" t="str">
            <v>369,37</v>
          </cell>
        </row>
        <row r="393">
          <cell r="A393">
            <v>44019</v>
          </cell>
          <cell r="B393" t="str">
            <v xml:space="preserve">BACIA SANITARIA (VASO) COM CAIXA ACOPLADA, SIFAO OCULTO / CARENADO, DE LOUCA BRANCA (SEM ASSENTO ) - PADRAO ALTO                                                                                                                                                                                                                                                                                                                                                                                          </v>
          </cell>
          <cell r="C393" t="str">
            <v xml:space="preserve">UN    </v>
          </cell>
          <cell r="D393" t="str">
            <v>CR</v>
          </cell>
          <cell r="E393" t="str">
            <v>511,30</v>
          </cell>
        </row>
        <row r="394">
          <cell r="A394">
            <v>36520</v>
          </cell>
          <cell r="B394" t="str">
            <v xml:space="preserve">BACIA SANITARIA (VASO) CONVENCIONAL PARA PCD, SEM FURO FRONTAL, DE LOUCA BRANCA (SEM ASSENTO)                                                                                                                                                                                                                                                                                                                                                                                                             </v>
          </cell>
          <cell r="C394" t="str">
            <v xml:space="preserve">UN    </v>
          </cell>
          <cell r="D394" t="str">
            <v>CR</v>
          </cell>
          <cell r="E394" t="str">
            <v>621,68</v>
          </cell>
        </row>
        <row r="395">
          <cell r="A395">
            <v>42319</v>
          </cell>
          <cell r="B395" t="str">
            <v xml:space="preserve">BACIA SANITARIA (VASO) CONVENCIONAL PARA USO ESPECIFICO (HOSPITAIS, CLINICAS), COM FURO FRONTAL, DE LOUCA BRANCA, SEM ASSENTO                                                                                                                                                                                                                                                                                                                                                                             </v>
          </cell>
          <cell r="C395" t="str">
            <v xml:space="preserve">UN    </v>
          </cell>
          <cell r="D395" t="str">
            <v>CR</v>
          </cell>
          <cell r="E395" t="str">
            <v>557,06</v>
          </cell>
        </row>
        <row r="396">
          <cell r="A396">
            <v>10420</v>
          </cell>
          <cell r="B396" t="str">
            <v xml:space="preserve">BACIA SANITARIA (VASO) CONVENCIONAL, DE LOUCA BRANCA, SIFAO APARENTE, SAIDA VERTICAL (SEM ASSENTO)                                                                                                                                                                                                                                                                                                                                                                                                        </v>
          </cell>
          <cell r="C396" t="str">
            <v xml:space="preserve">UN    </v>
          </cell>
          <cell r="D396" t="str">
            <v xml:space="preserve">C </v>
          </cell>
          <cell r="E396" t="str">
            <v>197,61</v>
          </cell>
        </row>
        <row r="397">
          <cell r="A397">
            <v>10421</v>
          </cell>
          <cell r="B397" t="str">
            <v xml:space="preserve">BACIA SANITARIA (VASO) CONVENCIONAL, DE LOUCA COLORIDA, SIFAO APARENTE, SAIDA VERTICAL (SEM ASSENTO)                                                                                                                                                                                                                                                                                                                                                                                                      </v>
          </cell>
          <cell r="C397" t="str">
            <v xml:space="preserve">UN    </v>
          </cell>
          <cell r="D397" t="str">
            <v>CR</v>
          </cell>
          <cell r="E397" t="str">
            <v>217,15</v>
          </cell>
        </row>
        <row r="398">
          <cell r="A398">
            <v>11786</v>
          </cell>
          <cell r="B398" t="str">
            <v xml:space="preserve">BACIA SANITARIA (VASO) INFANTIL, SIFONADO, DE LOUCA BRANCA, (SEM ASSENTO)                                                                                                                                                                                                                                                                                                                                                                                                                                 </v>
          </cell>
          <cell r="C398" t="str">
            <v xml:space="preserve">UN    </v>
          </cell>
          <cell r="D398" t="str">
            <v>CR</v>
          </cell>
          <cell r="E398" t="str">
            <v>437,85</v>
          </cell>
        </row>
        <row r="399">
          <cell r="A399">
            <v>4815</v>
          </cell>
          <cell r="B399" t="str">
            <v xml:space="preserve">BALDE VERMELHO PARA SINALIZACAO DE VIAS                                                                                                                                                                                                                                                                                                                                                                                                                                                                   </v>
          </cell>
          <cell r="C399" t="str">
            <v xml:space="preserve">UN    </v>
          </cell>
          <cell r="D399" t="str">
            <v>CR</v>
          </cell>
          <cell r="E399" t="str">
            <v>6,30</v>
          </cell>
        </row>
        <row r="400">
          <cell r="A400">
            <v>541</v>
          </cell>
          <cell r="B400" t="str">
            <v xml:space="preserve">BANCADA DE MARMORE SINTETICO COM UMA CUBA, 120 X *60* CM                                                                                                                                                                                                                                                                                                                                                                                                                                                  </v>
          </cell>
          <cell r="C400" t="str">
            <v xml:space="preserve">UN    </v>
          </cell>
          <cell r="D400" t="str">
            <v xml:space="preserve">C </v>
          </cell>
          <cell r="E400" t="str">
            <v>218,06</v>
          </cell>
        </row>
        <row r="401">
          <cell r="A401">
            <v>542</v>
          </cell>
          <cell r="B401" t="str">
            <v xml:space="preserve">BANCADA DE MARMORE SINTETICO COM UMA CUBA, 150 X *60* CM                                                                                                                                                                                                                                                                                                                                                                                                                                                  </v>
          </cell>
          <cell r="C401" t="str">
            <v xml:space="preserve">UN    </v>
          </cell>
          <cell r="D401" t="str">
            <v>CR</v>
          </cell>
          <cell r="E401" t="str">
            <v>273,34</v>
          </cell>
        </row>
        <row r="402">
          <cell r="A402">
            <v>540</v>
          </cell>
          <cell r="B402" t="str">
            <v xml:space="preserve">BANCADA DE MARMORE SINTETICO COM UMA CUBA, 200 X *60* CM                                                                                                                                                                                                                                                                                                                                                                                                                                                  </v>
          </cell>
          <cell r="C402" t="str">
            <v xml:space="preserve">UN    </v>
          </cell>
          <cell r="D402" t="str">
            <v>CR</v>
          </cell>
          <cell r="E402" t="str">
            <v>615,97</v>
          </cell>
        </row>
        <row r="403">
          <cell r="A403">
            <v>38364</v>
          </cell>
          <cell r="B403" t="str">
            <v xml:space="preserve">BANCADA/ BANCA EM GRANITO, POLIDO, TIPO ANDORINHA/ QUARTZ/ CASTELO/ CORUMBA OU OUTROS EQUIVALENTES DA REGIAO, COM CUBA INOX, FORMATO *120 X 60* CM, E=  *2* CM                                                                                                                                                                                                                                                                                                                                            </v>
          </cell>
          <cell r="C403" t="str">
            <v xml:space="preserve">UN    </v>
          </cell>
          <cell r="D403" t="str">
            <v>CR</v>
          </cell>
          <cell r="E403" t="str">
            <v>948,63</v>
          </cell>
        </row>
        <row r="404">
          <cell r="A404">
            <v>11692</v>
          </cell>
          <cell r="B404" t="str">
            <v xml:space="preserve">BANCADA/ BANCA/ BALCAO/ TAMPO EM MARMORE BRANCO COMUM, POLIDO, LISO, ACABAMENTO RETO, E= *3* CM (SEM FUROS)                                                                                                                                                                                                                                                                                                                                                                                               </v>
          </cell>
          <cell r="C404" t="str">
            <v xml:space="preserve">M2    </v>
          </cell>
          <cell r="D404" t="str">
            <v>CR</v>
          </cell>
          <cell r="E404" t="str">
            <v>643,37</v>
          </cell>
        </row>
        <row r="405">
          <cell r="A405">
            <v>1746</v>
          </cell>
          <cell r="B405" t="str">
            <v xml:space="preserve">BANCADA/BANCA/PIA DE ACO INOXIDAVEL (AISI 430) COM 1 CUBA CENTRAL, COM VALVULA, ESCORREDOR DUPLO, DE *0,55 X 1,20* M                                                                                                                                                                                                                                                                                                                                                                                      </v>
          </cell>
          <cell r="C405" t="str">
            <v xml:space="preserve">UN    </v>
          </cell>
          <cell r="D405" t="str">
            <v xml:space="preserve">C </v>
          </cell>
          <cell r="E405" t="str">
            <v>214,70</v>
          </cell>
        </row>
        <row r="406">
          <cell r="A406">
            <v>1748</v>
          </cell>
          <cell r="B406" t="str">
            <v xml:space="preserve">BANCADA/BANCA/PIA DE ACO INOXIDAVEL (AISI 430) COM 1 CUBA CENTRAL, COM VALVULA, ESCORREDOR DUPLO, DE *0,55 X 1,40* M                                                                                                                                                                                                                                                                                                                                                                                      </v>
          </cell>
          <cell r="C406" t="str">
            <v xml:space="preserve">UN    </v>
          </cell>
          <cell r="D406" t="str">
            <v>CR</v>
          </cell>
          <cell r="E406" t="str">
            <v>285,50</v>
          </cell>
        </row>
        <row r="407">
          <cell r="A407">
            <v>1749</v>
          </cell>
          <cell r="B407" t="str">
            <v xml:space="preserve">BANCADA/BANCA/PIA DE ACO INOXIDAVEL (AISI 430) COM 1 CUBA CENTRAL, COM VALVULA, ESCORREDOR DUPLO, DE *0,55 X 1,80* M                                                                                                                                                                                                                                                                                                                                                                                      </v>
          </cell>
          <cell r="C407" t="str">
            <v xml:space="preserve">UN    </v>
          </cell>
          <cell r="D407" t="str">
            <v>CR</v>
          </cell>
          <cell r="E407" t="str">
            <v>413,64</v>
          </cell>
        </row>
        <row r="408">
          <cell r="A408">
            <v>37412</v>
          </cell>
          <cell r="B408" t="str">
            <v xml:space="preserve">BANCADA/BANCA/PIA DE ACO INOXIDAVEL (AISI 430) COM 1 CUBA CENTRAL, COM VALVULA, LISA (SEM ESCORREDOR), DE *0,55 X 1,20* M                                                                                                                                                                                                                                                                                                                                                                                 </v>
          </cell>
          <cell r="C408" t="str">
            <v xml:space="preserve">UN    </v>
          </cell>
          <cell r="D408" t="str">
            <v>CR</v>
          </cell>
          <cell r="E408" t="str">
            <v>209,87</v>
          </cell>
        </row>
        <row r="409">
          <cell r="A409">
            <v>1745</v>
          </cell>
          <cell r="B409" t="str">
            <v xml:space="preserve">BANCADA/BANCA/PIA DE ACO INOXIDAVEL (AISI 430) COM 1 CUBA CENTRAL, SEM VALVULA, ESCORREDOR DUPLO, DE *0,55 X 1,60* M                                                                                                                                                                                                                                                                                                                                                                                      </v>
          </cell>
          <cell r="C409" t="str">
            <v xml:space="preserve">UN    </v>
          </cell>
          <cell r="D409" t="str">
            <v>CR</v>
          </cell>
          <cell r="E409" t="str">
            <v>249,56</v>
          </cell>
        </row>
        <row r="410">
          <cell r="A410">
            <v>1750</v>
          </cell>
          <cell r="B410" t="str">
            <v xml:space="preserve">BANCADA/BANCA/PIA DE ACO INOXIDAVEL (AISI 430) COM 2 CUBAS, COM VALVULAS, ESCORREDOR DUPLO, DE *0,55 X 2,00* M                                                                                                                                                                                                                                                                                                                                                                                            </v>
          </cell>
          <cell r="C410" t="str">
            <v xml:space="preserve">UN    </v>
          </cell>
          <cell r="D410" t="str">
            <v>CR</v>
          </cell>
          <cell r="E410" t="str">
            <v>583,19</v>
          </cell>
        </row>
        <row r="411">
          <cell r="A411">
            <v>11687</v>
          </cell>
          <cell r="B411" t="str">
            <v xml:space="preserve">BANCADA/TAMPO ACO INOX (AISI 304), LARGURA 60 CM, COM RODABANCA (NAO INCLUI PES DE APOIO)                                                                                                                                                                                                                                                                                                                                                                                                                 </v>
          </cell>
          <cell r="C411" t="str">
            <v xml:space="preserve">M     </v>
          </cell>
          <cell r="D411" t="str">
            <v>CR</v>
          </cell>
          <cell r="E411" t="str">
            <v>929,20</v>
          </cell>
        </row>
        <row r="412">
          <cell r="A412">
            <v>11689</v>
          </cell>
          <cell r="B412" t="str">
            <v xml:space="preserve">BANCADA/TAMPO ACO INOX (AISI 304), LARGURA 70 CM, COM RODABANCA (NAO INCLUI PES DE APOIO)                                                                                                                                                                                                                                                                                                                                                                                                                 </v>
          </cell>
          <cell r="C412" t="str">
            <v xml:space="preserve">M     </v>
          </cell>
          <cell r="D412" t="str">
            <v>CR</v>
          </cell>
          <cell r="E412" t="str">
            <v>1.164,23</v>
          </cell>
        </row>
        <row r="413">
          <cell r="A413">
            <v>11693</v>
          </cell>
          <cell r="B413" t="str">
            <v xml:space="preserve">BANCADA/TAMPO LISO (SEM CUBA) EM MARMORE SINTETICO                                                                                                                                                                                                                                                                                                                                                                                                                                                        </v>
          </cell>
          <cell r="C413" t="str">
            <v xml:space="preserve">M2    </v>
          </cell>
          <cell r="D413" t="str">
            <v>CR</v>
          </cell>
          <cell r="E413" t="str">
            <v>241,78</v>
          </cell>
        </row>
        <row r="414">
          <cell r="A414">
            <v>36215</v>
          </cell>
          <cell r="B414" t="str">
            <v xml:space="preserve">BANCO ARTICULADO PARA BANHO, EM ACO INOX POLIDO, 70* CM X 45* CM                                                                                                                                                                                                                                                                                                                                                                                                                                          </v>
          </cell>
          <cell r="C414" t="str">
            <v xml:space="preserve">UN    </v>
          </cell>
          <cell r="D414" t="str">
            <v>CR</v>
          </cell>
          <cell r="E414" t="str">
            <v>952,70</v>
          </cell>
        </row>
        <row r="415">
          <cell r="A415">
            <v>42439</v>
          </cell>
          <cell r="B415" t="str">
            <v xml:space="preserve">BANCO COM ENCOSTO, 1,60M* DE COMPRIMENTO, EM TUBO DE ACO CARBONO E PINTURA NO PROCESSO ELETROSTATICO - PARA ACADEMIA AO AR LIVRE / ACADEMIA DA TERCEIRA IDADE - ATI                                                                                                                                                                                                                                                                                                                                       </v>
          </cell>
          <cell r="C415" t="str">
            <v xml:space="preserve">UN    </v>
          </cell>
          <cell r="D415" t="str">
            <v>CR</v>
          </cell>
          <cell r="E415" t="str">
            <v>1.207,84</v>
          </cell>
        </row>
        <row r="416">
          <cell r="A416">
            <v>38381</v>
          </cell>
          <cell r="B416" t="str">
            <v xml:space="preserve">BANDEJA DE PINTURA PARA ROLO 23 CM                                                                                                                                                                                                                                                                                                                                                                                                                                                                        </v>
          </cell>
          <cell r="C416" t="str">
            <v xml:space="preserve">UN    </v>
          </cell>
          <cell r="D416" t="str">
            <v>CR</v>
          </cell>
          <cell r="E416" t="str">
            <v>11,93</v>
          </cell>
        </row>
        <row r="417">
          <cell r="A417">
            <v>39621</v>
          </cell>
          <cell r="B417" t="str">
            <v xml:space="preserve">BARRA ANTIPANICO DUPLA, CEGA EM LADO OPOSTO, COR CINZA                                                                                                                                                                                                                                                                                                                                                                                                                                                    </v>
          </cell>
          <cell r="C417" t="str">
            <v xml:space="preserve">PAR   </v>
          </cell>
          <cell r="D417" t="str">
            <v>CR</v>
          </cell>
          <cell r="E417" t="str">
            <v>1.789,27</v>
          </cell>
        </row>
        <row r="418">
          <cell r="A418">
            <v>39624</v>
          </cell>
          <cell r="B418" t="str">
            <v xml:space="preserve">BARRA ANTIPANICO DUPLA, PARA PORTA DE VIDRO, COR CINZA                                                                                                                                                                                                                                                                                                                                                                                                                                                    </v>
          </cell>
          <cell r="C418" t="str">
            <v xml:space="preserve">PAR   </v>
          </cell>
          <cell r="D418" t="str">
            <v>CR</v>
          </cell>
          <cell r="E418" t="str">
            <v>1.973,76</v>
          </cell>
        </row>
        <row r="419">
          <cell r="A419">
            <v>39615</v>
          </cell>
          <cell r="B419" t="str">
            <v xml:space="preserve">BARRA ANTIPANICO SIMPLES, CEGA EM LADO OPOSTO, COR CINZA                                                                                                                                                                                                                                                                                                                                                                                                                                                  </v>
          </cell>
          <cell r="C419" t="str">
            <v xml:space="preserve">UN    </v>
          </cell>
          <cell r="D419" t="str">
            <v>CR</v>
          </cell>
          <cell r="E419" t="str">
            <v>797,58</v>
          </cell>
        </row>
        <row r="420">
          <cell r="A420">
            <v>39620</v>
          </cell>
          <cell r="B420" t="str">
            <v xml:space="preserve">BARRA ANTIPANICO SIMPLES, COM FECHADURA LADO OPOSTO, COR CINZA                                                                                                                                                                                                                                                                                                                                                                                                                                            </v>
          </cell>
          <cell r="C420" t="str">
            <v xml:space="preserve">UN    </v>
          </cell>
          <cell r="D420" t="str">
            <v>CR</v>
          </cell>
          <cell r="E420" t="str">
            <v>1.218,12</v>
          </cell>
        </row>
        <row r="421">
          <cell r="A421">
            <v>39623</v>
          </cell>
          <cell r="B421" t="str">
            <v xml:space="preserve">BARRA ANTIPANICO SIMPLES, PARA PORTA DE VIDRO, COR CINZA                                                                                                                                                                                                                                                                                                                                                                                                                                                  </v>
          </cell>
          <cell r="C421" t="str">
            <v xml:space="preserve">UN    </v>
          </cell>
          <cell r="D421" t="str">
            <v>CR</v>
          </cell>
          <cell r="E421" t="str">
            <v>1.304,71</v>
          </cell>
        </row>
        <row r="422">
          <cell r="A422">
            <v>546</v>
          </cell>
          <cell r="B422" t="str">
            <v xml:space="preserve">BARRA DE ACO CHATA, RETANGULAR (QUALQUER BITOLA)                                                                                                                                                                                                                                                                                                                                                                                                                                                          </v>
          </cell>
          <cell r="C422" t="str">
            <v xml:space="preserve">KG    </v>
          </cell>
          <cell r="D422" t="str">
            <v xml:space="preserve">C </v>
          </cell>
          <cell r="E422" t="str">
            <v>8,04</v>
          </cell>
        </row>
        <row r="423">
          <cell r="A423">
            <v>566</v>
          </cell>
          <cell r="B423" t="str">
            <v xml:space="preserve">BARRA DE ACO CHATO, RETANGULAR, 19,05 MM X 3,17 MM (L X E), 0,47 KG/M                                                                                                                                                                                                                                                                                                                                                                                                                                     </v>
          </cell>
          <cell r="C423" t="str">
            <v xml:space="preserve">M     </v>
          </cell>
          <cell r="D423" t="str">
            <v>CR</v>
          </cell>
          <cell r="E423" t="str">
            <v>3,81</v>
          </cell>
        </row>
        <row r="424">
          <cell r="A424">
            <v>565</v>
          </cell>
          <cell r="B424" t="str">
            <v xml:space="preserve">BARRA DE ACO CHATO, RETANGULAR, 25,4 MM X 4,76 MM (L X E), 0,94 KG/M                                                                                                                                                                                                                                                                                                                                                                                                                                      </v>
          </cell>
          <cell r="C424" t="str">
            <v xml:space="preserve">M     </v>
          </cell>
          <cell r="D424" t="str">
            <v>CR</v>
          </cell>
          <cell r="E424" t="str">
            <v>13,90</v>
          </cell>
        </row>
        <row r="425">
          <cell r="A425">
            <v>555</v>
          </cell>
          <cell r="B425" t="str">
            <v xml:space="preserve">BARRA DE ACO CHATO, RETANGULAR, 25,4 MM X 6,35 MM (L X E), 1,2265 KG/M                                                                                                                                                                                                                                                                                                                                                                                                                                    </v>
          </cell>
          <cell r="C425" t="str">
            <v xml:space="preserve">M     </v>
          </cell>
          <cell r="D425" t="str">
            <v>CR</v>
          </cell>
          <cell r="E425" t="str">
            <v>9,86</v>
          </cell>
        </row>
        <row r="426">
          <cell r="A426">
            <v>557</v>
          </cell>
          <cell r="B426" t="str">
            <v xml:space="preserve">BARRA DE ACO CHATO, RETANGULAR, 38,1 MM X 12,7 MM (L X E), 3,79 KG/M                                                                                                                                                                                                                                                                                                                                                                                                                                      </v>
          </cell>
          <cell r="C426" t="str">
            <v xml:space="preserve">M     </v>
          </cell>
          <cell r="D426" t="str">
            <v>CR</v>
          </cell>
          <cell r="E426" t="str">
            <v>30,93</v>
          </cell>
        </row>
        <row r="427">
          <cell r="A427">
            <v>552</v>
          </cell>
          <cell r="B427" t="str">
            <v xml:space="preserve">BARRA DE ACO CHATO, RETANGULAR, 38,1 MM X 6,35 MM (L X E), 1,89 KG/M                                                                                                                                                                                                                                                                                                                                                                                                                                      </v>
          </cell>
          <cell r="C427" t="str">
            <v xml:space="preserve">M     </v>
          </cell>
          <cell r="D427" t="str">
            <v>CR</v>
          </cell>
          <cell r="E427" t="str">
            <v>15,35</v>
          </cell>
        </row>
        <row r="428">
          <cell r="A428">
            <v>563</v>
          </cell>
          <cell r="B428" t="str">
            <v xml:space="preserve">BARRA DE ACO CHATO, RETANGULAR, 38,1 MM X 9,53 MM (L X E), 2,84 KG/M                                                                                                                                                                                                                                                                                                                                                                                                                                      </v>
          </cell>
          <cell r="C428" t="str">
            <v xml:space="preserve">M     </v>
          </cell>
          <cell r="D428" t="str">
            <v>CR</v>
          </cell>
          <cell r="E428" t="str">
            <v>23,06</v>
          </cell>
        </row>
        <row r="429">
          <cell r="A429">
            <v>549</v>
          </cell>
          <cell r="B429" t="str">
            <v xml:space="preserve">BARRA DE ACO CHATO, RETANGULAR, 50,8 MM X 12,7 MM (L X E), 5,06 KG/M                                                                                                                                                                                                                                                                                                                                                                                                                                      </v>
          </cell>
          <cell r="C429" t="str">
            <v xml:space="preserve">M     </v>
          </cell>
          <cell r="D429" t="str">
            <v>CR</v>
          </cell>
          <cell r="E429" t="str">
            <v>41,51</v>
          </cell>
        </row>
        <row r="430">
          <cell r="A430">
            <v>551</v>
          </cell>
          <cell r="B430" t="str">
            <v xml:space="preserve">BARRA DE ACO CHATO, RETANGULAR, 50,8 MM X 25,4 MM (L X E), 10,12 KG/M                                                                                                                                                                                                                                                                                                                                                                                                                                     </v>
          </cell>
          <cell r="C430" t="str">
            <v xml:space="preserve">M     </v>
          </cell>
          <cell r="D430" t="str">
            <v>CR</v>
          </cell>
          <cell r="E430" t="str">
            <v>82,19</v>
          </cell>
        </row>
        <row r="431">
          <cell r="A431">
            <v>559</v>
          </cell>
          <cell r="B431" t="str">
            <v xml:space="preserve">BARRA DE ACO CHATO, RETANGULAR, 50,8 MM X 6,35 MM (L X E), 2,53 KG/M                                                                                                                                                                                                                                                                                                                                                                                                                                      </v>
          </cell>
          <cell r="C431" t="str">
            <v xml:space="preserve">M     </v>
          </cell>
          <cell r="D431" t="str">
            <v>CR</v>
          </cell>
          <cell r="E431" t="str">
            <v>20,54</v>
          </cell>
        </row>
        <row r="432">
          <cell r="A432">
            <v>560</v>
          </cell>
          <cell r="B432" t="str">
            <v xml:space="preserve">BARRA DE ACO CHATO, RETANGULAR, 50,8 MM X 7,94 MM (L X E), 3,162 KG/M                                                                                                                                                                                                                                                                                                                                                                                                                                     </v>
          </cell>
          <cell r="C432" t="str">
            <v xml:space="preserve">M     </v>
          </cell>
          <cell r="D432" t="str">
            <v>CR</v>
          </cell>
          <cell r="E432" t="str">
            <v>25,70</v>
          </cell>
        </row>
        <row r="433">
          <cell r="A433">
            <v>547</v>
          </cell>
          <cell r="B433" t="str">
            <v xml:space="preserve">BARRA DE ACO CHATO, RETANGULAR, 50,8 MM X 9,53 MM (L X E), 3,79KG/M                                                                                                                                                                                                                                                                                                                                                                                                                                       </v>
          </cell>
          <cell r="C433" t="str">
            <v xml:space="preserve">M     </v>
          </cell>
          <cell r="D433" t="str">
            <v>CR</v>
          </cell>
          <cell r="E433" t="str">
            <v>30,78</v>
          </cell>
        </row>
        <row r="434">
          <cell r="A434">
            <v>36207</v>
          </cell>
          <cell r="B434" t="str">
            <v xml:space="preserve">BARRA DE APOIO EM "L", EM ACO INOX POLIDO 70 X 70 CM, DIAMETRO MINIMO 3 CM                                                                                                                                                                                                                                                                                                                                                                                                                                </v>
          </cell>
          <cell r="C434" t="str">
            <v xml:space="preserve">UN    </v>
          </cell>
          <cell r="D434" t="str">
            <v>CR</v>
          </cell>
          <cell r="E434" t="str">
            <v>421,98</v>
          </cell>
        </row>
        <row r="435">
          <cell r="A435">
            <v>36209</v>
          </cell>
          <cell r="B435" t="str">
            <v xml:space="preserve">BARRA DE APOIO EM "L", EM ACO INOX POLIDO 80 X 80 CM, DIAMETRO MINIMO 3 CM                                                                                                                                                                                                                                                                                                                                                                                                                                </v>
          </cell>
          <cell r="C435" t="str">
            <v xml:space="preserve">UN    </v>
          </cell>
          <cell r="D435" t="str">
            <v>CR</v>
          </cell>
          <cell r="E435" t="str">
            <v>484,29</v>
          </cell>
        </row>
        <row r="436">
          <cell r="A436">
            <v>36210</v>
          </cell>
          <cell r="B436" t="str">
            <v xml:space="preserve">BARRA DE APOIO LATERAL ARTICULADA, COM TRAVA, EM ACO INOX POLIDO, 70 CM, DIAMETRO MINIMO 3 CM                                                                                                                                                                                                                                                                                                                                                                                                             </v>
          </cell>
          <cell r="C436" t="str">
            <v xml:space="preserve">UN    </v>
          </cell>
          <cell r="D436" t="str">
            <v>CR</v>
          </cell>
          <cell r="E436" t="str">
            <v>523,98</v>
          </cell>
        </row>
        <row r="437">
          <cell r="A437">
            <v>36204</v>
          </cell>
          <cell r="B437" t="str">
            <v xml:space="preserve">BARRA DE APOIO RETA, EM ACO INOX POLIDO, COMPRIMENTO 60CM, DIAMETRO MINIMO 3 CM                                                                                                                                                                                                                                                                                                                                                                                                                           </v>
          </cell>
          <cell r="C437" t="str">
            <v xml:space="preserve">UN    </v>
          </cell>
          <cell r="D437" t="str">
            <v>CR</v>
          </cell>
          <cell r="E437" t="str">
            <v>185,78</v>
          </cell>
        </row>
        <row r="438">
          <cell r="A438">
            <v>36205</v>
          </cell>
          <cell r="B438" t="str">
            <v xml:space="preserve">BARRA DE APOIO RETA, EM ACO INOX POLIDO, COMPRIMENTO 70CM, DIAMETRO MINIMO 3 CM                                                                                                                                                                                                                                                                                                                                                                                                                           </v>
          </cell>
          <cell r="C438" t="str">
            <v xml:space="preserve">UN    </v>
          </cell>
          <cell r="D438" t="str">
            <v>CR</v>
          </cell>
          <cell r="E438" t="str">
            <v>206,33</v>
          </cell>
        </row>
        <row r="439">
          <cell r="A439">
            <v>36081</v>
          </cell>
          <cell r="B439" t="str">
            <v xml:space="preserve">BARRA DE APOIO RETA, EM ACO INOX POLIDO, COMPRIMENTO 80CM, DIAMETRO MINIMO 3 CM                                                                                                                                                                                                                                                                                                                                                                                                                           </v>
          </cell>
          <cell r="C439" t="str">
            <v xml:space="preserve">UN    </v>
          </cell>
          <cell r="D439" t="str">
            <v xml:space="preserve">C </v>
          </cell>
          <cell r="E439" t="str">
            <v>220,00</v>
          </cell>
        </row>
        <row r="440">
          <cell r="A440">
            <v>36206</v>
          </cell>
          <cell r="B440" t="str">
            <v xml:space="preserve">BARRA DE APOIO RETA, EM ACO INOX POLIDO, COMPRIMENTO 90 CM, DIAMETRO MINIMO 3 CM                                                                                                                                                                                                                                                                                                                                                                                                                          </v>
          </cell>
          <cell r="C440" t="str">
            <v xml:space="preserve">UN    </v>
          </cell>
          <cell r="D440" t="str">
            <v>CR</v>
          </cell>
          <cell r="E440" t="str">
            <v>230,49</v>
          </cell>
        </row>
        <row r="441">
          <cell r="A441">
            <v>36218</v>
          </cell>
          <cell r="B441" t="str">
            <v xml:space="preserve">BARRA DE APOIO RETA, EM ALUMINIO, COMPRIMENTO 60CM, DIAMETRO MINIMO 3 CM                                                                                                                                                                                                                                                                                                                                                                                                                                  </v>
          </cell>
          <cell r="C441" t="str">
            <v xml:space="preserve">UN    </v>
          </cell>
          <cell r="D441" t="str">
            <v>CR</v>
          </cell>
          <cell r="E441" t="str">
            <v>156,00</v>
          </cell>
        </row>
        <row r="442">
          <cell r="A442">
            <v>36220</v>
          </cell>
          <cell r="B442" t="str">
            <v xml:space="preserve">BARRA DE APOIO RETA, EM ALUMINIO, COMPRIMENTO 70CM, DIAMETRO MINIMO 3 CM                                                                                                                                                                                                                                                                                                                                                                                                                                  </v>
          </cell>
          <cell r="C442" t="str">
            <v xml:space="preserve">UN    </v>
          </cell>
          <cell r="D442" t="str">
            <v>CR</v>
          </cell>
          <cell r="E442" t="str">
            <v>178,88</v>
          </cell>
        </row>
        <row r="443">
          <cell r="A443">
            <v>36080</v>
          </cell>
          <cell r="B443" t="str">
            <v xml:space="preserve">BARRA DE APOIO RETA, EM ALUMINIO, COMPRIMENTO 80 CM, DIAMETRO MINIMO 3 CM                                                                                                                                                                                                                                                                                                                                                                                                                                 </v>
          </cell>
          <cell r="C443" t="str">
            <v xml:space="preserve">UN    </v>
          </cell>
          <cell r="D443" t="str">
            <v xml:space="preserve">C </v>
          </cell>
          <cell r="E443" t="str">
            <v>193,49</v>
          </cell>
        </row>
        <row r="444">
          <cell r="A444">
            <v>36223</v>
          </cell>
          <cell r="B444" t="str">
            <v xml:space="preserve">BARRA DE APOIO RETA, EM ALUMINIO, COMPRIMENTO 90 CM, DIAMETRO MINIMO 3 CM                                                                                                                                                                                                                                                                                                                                                                                                                                 </v>
          </cell>
          <cell r="C444" t="str">
            <v xml:space="preserve">UN    </v>
          </cell>
          <cell r="D444" t="str">
            <v>CR</v>
          </cell>
          <cell r="E444" t="str">
            <v>202,61</v>
          </cell>
        </row>
        <row r="445">
          <cell r="A445">
            <v>38127</v>
          </cell>
          <cell r="B445" t="str">
            <v xml:space="preserve">BASE DE MISTURADOR MONOCOMANDO PARA CHUVEIRO, DE PAREDE (NAO INCLUI ACABAMENTOS)                                                                                                                                                                                                                                                                                                                                                                                                                          </v>
          </cell>
          <cell r="C445" t="str">
            <v xml:space="preserve">UN    </v>
          </cell>
          <cell r="D445" t="str">
            <v>CR</v>
          </cell>
          <cell r="E445" t="str">
            <v>371,07</v>
          </cell>
        </row>
        <row r="446">
          <cell r="A446">
            <v>38060</v>
          </cell>
          <cell r="B446" t="str">
            <v xml:space="preserve">BASE PARA MASTRO DE PARA-RAIOS DIAMETRO NOMINAL 1 1/2"                                                                                                                                                                                                                                                                                                                                                                                                                                                    </v>
          </cell>
          <cell r="C446" t="str">
            <v xml:space="preserve">UN    </v>
          </cell>
          <cell r="D446" t="str">
            <v>CR</v>
          </cell>
          <cell r="E446" t="str">
            <v>57,92</v>
          </cell>
        </row>
        <row r="447">
          <cell r="A447">
            <v>10956</v>
          </cell>
          <cell r="B447" t="str">
            <v xml:space="preserve">BASE PARA MASTRO DE PARA-RAIOS DIAMETRO NOMINAL 2"                                                                                                                                                                                                                                                                                                                                                                                                                                                        </v>
          </cell>
          <cell r="C447" t="str">
            <v xml:space="preserve">UN    </v>
          </cell>
          <cell r="D447" t="str">
            <v>CR</v>
          </cell>
          <cell r="E447" t="str">
            <v>63,51</v>
          </cell>
        </row>
        <row r="448">
          <cell r="A448">
            <v>39380</v>
          </cell>
          <cell r="B448" t="str">
            <v xml:space="preserve">BASE PARA RELE COM SUPORTE METALICO                                                                                                                                                                                                                                                                                                                                                                                                                                                                       </v>
          </cell>
          <cell r="C448" t="str">
            <v xml:space="preserve">UN    </v>
          </cell>
          <cell r="D448" t="str">
            <v>CR</v>
          </cell>
          <cell r="E448" t="str">
            <v>22,75</v>
          </cell>
        </row>
        <row r="449">
          <cell r="A449">
            <v>44172</v>
          </cell>
          <cell r="B449" t="str">
            <v xml:space="preserve">BASTIDOR PARA BLOCO M10                                                                                                                                                                                                                                                                                                                                                                                                                                                                                   </v>
          </cell>
          <cell r="C449" t="str">
            <v xml:space="preserve">UN    </v>
          </cell>
          <cell r="D449" t="str">
            <v>CR</v>
          </cell>
          <cell r="E449" t="str">
            <v>5,90</v>
          </cell>
        </row>
        <row r="450">
          <cell r="A450">
            <v>37597</v>
          </cell>
          <cell r="B450" t="str">
            <v xml:space="preserve">BATE-ESTACAS POR GRAVIDADE, POTENCIA160 HP, PESO DO MARTELO ATE 3 TONELADAS                                                                                                                                                                                                                                                                                                                                                                                                                               </v>
          </cell>
          <cell r="C450" t="str">
            <v xml:space="preserve">UN    </v>
          </cell>
          <cell r="D450" t="str">
            <v>CR</v>
          </cell>
          <cell r="E450" t="str">
            <v>632.675,78</v>
          </cell>
        </row>
        <row r="451">
          <cell r="A451">
            <v>183</v>
          </cell>
          <cell r="B451" t="str">
            <v xml:space="preserve">BATENTE / PORTAL / ADUELA / MARCO EM MADEIRA MACICA COM REBAIXO, E = *3* CM, L = *14* CM, PARA PORTAS DE  GIRO DE *60 CM A 120* CM  X *210* CM, CEDRINHO / ANGELIM COMERCIAL / TAURI / CURUPIXA / PEROBA / CUMARU OU EQUIVALENTE DA REGIAO (NAO INCLUI ALIZARES)                                                                                                                                                                                                                                          </v>
          </cell>
          <cell r="C451" t="str">
            <v xml:space="preserve">JG    </v>
          </cell>
          <cell r="D451" t="str">
            <v xml:space="preserve">C </v>
          </cell>
          <cell r="E451" t="str">
            <v>280,00</v>
          </cell>
        </row>
        <row r="452">
          <cell r="A452">
            <v>184</v>
          </cell>
          <cell r="B452" t="str">
            <v xml:space="preserve">BATENTE / PORTAL / ADUELA / MARCO EM MADEIRA MACICA COM REBAIXO, E = *3* CM, L = *14* CM, PARA PORTAS DE  GIRO DE *60 CM A 120* CM  X *210* CM, PINUS / EUCALIPTO / VIROLA OU EQUIVALENTE DA REGIAO (NAO INCLUI ALIZARES)                                                                                                                                                                                                                                                                                 </v>
          </cell>
          <cell r="C452" t="str">
            <v xml:space="preserve">JG    </v>
          </cell>
          <cell r="D452" t="str">
            <v>CR</v>
          </cell>
          <cell r="E452" t="str">
            <v>173,41</v>
          </cell>
        </row>
        <row r="453">
          <cell r="A453">
            <v>181</v>
          </cell>
          <cell r="B453" t="str">
            <v xml:space="preserve">BATENTE / PORTAL / ADUELA / MARCO EM MADEIRA MACICA COM REBAIXO, E = *3* CM, L = *16* CM, PARA PORTAS DE  GIRO DE *60 CM A 120* CM  X *210* CM, CEDRINHO / ANGELIM COMERCIAL / TAURI / CURUPIXA / PEROBA / CUMARU OU EQUIVALENTE DA REGIAO (NAO INCLUI ALIZARES)                                                                                                                                                                                                                                          </v>
          </cell>
          <cell r="C453" t="str">
            <v xml:space="preserve">JG    </v>
          </cell>
          <cell r="D453" t="str">
            <v>CR</v>
          </cell>
          <cell r="E453" t="str">
            <v>373,93</v>
          </cell>
        </row>
        <row r="454">
          <cell r="A454">
            <v>20001</v>
          </cell>
          <cell r="B454" t="str">
            <v xml:space="preserve">BATENTE / PORTAL / ADUELA / MARCO EM MADEIRA MACICA COM REBAIXO, E = *3* CM, L = *16* CM, PARA PORTAS DE  GIRO DE *60 CM A 120* CM  X *210* CM, PINUS / EUCALIPTO / VIROLA OU EQUIVALENTE DA REGIAO (NAO INCLUI ALIZARES)                                                                                                                                                                                                                                                                                 </v>
          </cell>
          <cell r="C454" t="str">
            <v xml:space="preserve">JG    </v>
          </cell>
          <cell r="D454" t="str">
            <v>CR</v>
          </cell>
          <cell r="E454" t="str">
            <v>216,77</v>
          </cell>
        </row>
        <row r="455">
          <cell r="A455">
            <v>39837</v>
          </cell>
          <cell r="B455" t="str">
            <v xml:space="preserve">BATENTE/PORTAL/ADUELA/MARCO, EM MDF/PVC WOOD/POLIESTIRENO OU MADEIRA LAMINADA, L = *9,0* CM COM GUARNICAO REGULAVEL 2 FACES = *35* MM, PRIMER                                                                                                                                                                                                                                                                                                                                                             </v>
          </cell>
          <cell r="C455" t="str">
            <v xml:space="preserve">JG    </v>
          </cell>
          <cell r="D455" t="str">
            <v>CR</v>
          </cell>
          <cell r="E455" t="str">
            <v>347,65</v>
          </cell>
        </row>
        <row r="456">
          <cell r="A456">
            <v>43366</v>
          </cell>
          <cell r="B456" t="str">
            <v xml:space="preserve">BENTONITA, ARGILA CONSTITUIDA POR  MONTMORILONITA                                                                                                                                                                                                                                                                                                                                                                                                                                                         </v>
          </cell>
          <cell r="C456" t="str">
            <v xml:space="preserve">KG    </v>
          </cell>
          <cell r="D456" t="str">
            <v>CR</v>
          </cell>
          <cell r="E456" t="str">
            <v>1,66</v>
          </cell>
        </row>
        <row r="457">
          <cell r="A457">
            <v>10535</v>
          </cell>
          <cell r="B457" t="str">
            <v xml:space="preserve">BETONEIRA CAPACIDADE NOMINAL 400 L, CAPACIDADE DE MISTURA  280 L, MOTOR ELETRICO TRIFASICO 220/380 V POTENCIA 2 CV, SEM CARREGADOR                                                                                                                                                                                                                                                                                                                                                                        </v>
          </cell>
          <cell r="C457" t="str">
            <v xml:space="preserve">UN    </v>
          </cell>
          <cell r="D457" t="str">
            <v xml:space="preserve">C </v>
          </cell>
          <cell r="E457" t="str">
            <v>4.800,00</v>
          </cell>
        </row>
        <row r="458">
          <cell r="A458">
            <v>10537</v>
          </cell>
          <cell r="B458" t="str">
            <v xml:space="preserve">BETONEIRA CAPACIDADE NOMINAL 400 L, CAPACIDADE DE MISTURA 310 L, MOTOR A DIESEL POTENCIA 5 CV, SEM CARREGADOR                                                                                                                                                                                                                                                                                                                                                                                             </v>
          </cell>
          <cell r="C458" t="str">
            <v xml:space="preserve">UN    </v>
          </cell>
          <cell r="D458" t="str">
            <v>CR</v>
          </cell>
          <cell r="E458" t="str">
            <v>6.545,89</v>
          </cell>
        </row>
        <row r="459">
          <cell r="A459">
            <v>13891</v>
          </cell>
          <cell r="B459" t="str">
            <v xml:space="preserve">BETONEIRA CAPACIDADE NOMINAL 400 L, CAPACIDADE DE MISTURA 310 L, MOTOR A GASOLINA POTENCIA 5,5 CV, SEM CARREGADOR                                                                                                                                                                                                                                                                                                                                                                                         </v>
          </cell>
          <cell r="C459" t="str">
            <v xml:space="preserve">UN    </v>
          </cell>
          <cell r="D459" t="str">
            <v>CR</v>
          </cell>
          <cell r="E459" t="str">
            <v>6.004,06</v>
          </cell>
        </row>
        <row r="460">
          <cell r="A460">
            <v>44492</v>
          </cell>
          <cell r="B460" t="str">
            <v xml:space="preserve">BETONEIRA CAPACIDADE NOMINAL 600 L, CAPACIDADE DE MISTURA 440 L, MOTOR A GASOLINA POTENCIA 10 HP, COM  CARREGADOR                                                                                                                                                                                                                                                                                                                                                                                         </v>
          </cell>
          <cell r="C460" t="str">
            <v xml:space="preserve">UN    </v>
          </cell>
          <cell r="D460" t="str">
            <v>CR</v>
          </cell>
          <cell r="E460" t="str">
            <v>26.115,25</v>
          </cell>
        </row>
        <row r="461">
          <cell r="A461">
            <v>36396</v>
          </cell>
          <cell r="B461" t="str">
            <v xml:space="preserve">BETONEIRA, CAPACIDADE NOMINAL 400 L, CAPACIDADE DE MISTURA 310L, MOTOR ELETRICO TRIFASICO 220/380V POTENCIA 2 CV, SEM CARREGADOR                                                                                                                                                                                                                                                                                                                                                                          </v>
          </cell>
          <cell r="C461" t="str">
            <v xml:space="preserve">UN    </v>
          </cell>
          <cell r="D461" t="str">
            <v>CR</v>
          </cell>
          <cell r="E461" t="str">
            <v>5.491,52</v>
          </cell>
        </row>
        <row r="462">
          <cell r="A462">
            <v>36397</v>
          </cell>
          <cell r="B462" t="str">
            <v xml:space="preserve">BETONEIRA, CAPACIDADE NOMINAL 600 L, CAPACIDADE DE MISTURA  360L, MOTOR ELETRICO TRIFASICO 220/380V, POTENCIA 4CV, EXCLUSO CARREGADOR                                                                                                                                                                                                                                                                                                                                                                     </v>
          </cell>
          <cell r="C462" t="str">
            <v xml:space="preserve">UN    </v>
          </cell>
          <cell r="D462" t="str">
            <v>CR</v>
          </cell>
          <cell r="E462" t="str">
            <v>19.525,42</v>
          </cell>
        </row>
        <row r="463">
          <cell r="A463">
            <v>36398</v>
          </cell>
          <cell r="B463" t="str">
            <v xml:space="preserve">BETONEIRA, CAPACIDADE NOMINAL 600 L, CAPACIDADE DE MISTURA 440 L, MOTOR A DIESEL POTENCIA 10 CV, COM CARREGADOR                                                                                                                                                                                                                                                                                                                                                                                           </v>
          </cell>
          <cell r="C463" t="str">
            <v xml:space="preserve">UN    </v>
          </cell>
          <cell r="D463" t="str">
            <v>CR</v>
          </cell>
          <cell r="E463" t="str">
            <v>23.731,52</v>
          </cell>
        </row>
        <row r="464">
          <cell r="A464">
            <v>647</v>
          </cell>
          <cell r="B464" t="str">
            <v xml:space="preserve">BLASTER, DINAMITADOR OU CABO DE FOGO (HORISTA)                                                                                                                                                                                                                                                                                                                                                                                                                                                            </v>
          </cell>
          <cell r="C464" t="str">
            <v xml:space="preserve">H     </v>
          </cell>
          <cell r="D464" t="str">
            <v>CR</v>
          </cell>
          <cell r="E464" t="str">
            <v>24,78</v>
          </cell>
        </row>
        <row r="465">
          <cell r="A465">
            <v>40920</v>
          </cell>
          <cell r="B465" t="str">
            <v xml:space="preserve">BLASTER, DINAMITADOR OU CABO DE FOGO (MENSALISTA)                                                                                                                                                                                                                                                                                                                                                                                                                                                         </v>
          </cell>
          <cell r="C465" t="str">
            <v xml:space="preserve">MES   </v>
          </cell>
          <cell r="D465" t="str">
            <v>CR</v>
          </cell>
          <cell r="E465" t="str">
            <v>4.339,25</v>
          </cell>
        </row>
        <row r="466">
          <cell r="A466">
            <v>715</v>
          </cell>
          <cell r="B466" t="str">
            <v xml:space="preserve">BLOCO / TIJOLO DE VIDRO INCOLOR, CANELADO / ONDULADO, *19 X 19 X 8* CM (A X L X E)                                                                                                                                                                                                                                                                                                                                                                                                                        </v>
          </cell>
          <cell r="C466" t="str">
            <v xml:space="preserve">UN    </v>
          </cell>
          <cell r="D466" t="str">
            <v xml:space="preserve">C </v>
          </cell>
          <cell r="E466" t="str">
            <v>16,55</v>
          </cell>
        </row>
        <row r="467">
          <cell r="A467">
            <v>716</v>
          </cell>
          <cell r="B467" t="str">
            <v xml:space="preserve">BLOCO / TIJOLO DE VIDRO INCOLOR, XADREZ, *20 X 20 X 10* CM (A X L X E)                                                                                                                                                                                                                                                                                                                                                                                                                                    </v>
          </cell>
          <cell r="C467" t="str">
            <v xml:space="preserve">UN    </v>
          </cell>
          <cell r="D467" t="str">
            <v>CR</v>
          </cell>
          <cell r="E467" t="str">
            <v>18,71</v>
          </cell>
        </row>
        <row r="468">
          <cell r="A468">
            <v>38783</v>
          </cell>
          <cell r="B468" t="str">
            <v xml:space="preserve">BLOCO CERAMICO / TIJOLO VAZADO PARA ALVENARIA DE VEDACAO, FUROS NA HORIZONTAL, 11,5 X 19 X 19 CM (NBR 15270)                                                                                                                                                                                                                                                                                                                                                                                              </v>
          </cell>
          <cell r="C468" t="str">
            <v xml:space="preserve">UN    </v>
          </cell>
          <cell r="D468" t="str">
            <v>CR</v>
          </cell>
          <cell r="E468" t="str">
            <v>1,03</v>
          </cell>
        </row>
        <row r="469">
          <cell r="A469">
            <v>37593</v>
          </cell>
          <cell r="B469" t="str">
            <v xml:space="preserve">BLOCO CERAMICO / TIJOLO VAZADO PARA ALVENARIA DE VEDACAO, FUROS NA VERTICAL, 14 X 19 X 39 CM (NBR 15270)                                                                                                                                                                                                                                                                                                                                                                                                  </v>
          </cell>
          <cell r="C469" t="str">
            <v xml:space="preserve">UN    </v>
          </cell>
          <cell r="D469" t="str">
            <v>CR</v>
          </cell>
          <cell r="E469" t="str">
            <v>2,53</v>
          </cell>
        </row>
        <row r="470">
          <cell r="A470">
            <v>37594</v>
          </cell>
          <cell r="B470" t="str">
            <v xml:space="preserve">BLOCO CERAMICO / TIJOLO VAZADO PARA ALVENARIA DE VEDACAO, FUROS NA VERTICAL, 19 X 19 X 39 CM (NBR 15270)                                                                                                                                                                                                                                                                                                                                                                                                  </v>
          </cell>
          <cell r="C470" t="str">
            <v xml:space="preserve">UN    </v>
          </cell>
          <cell r="D470" t="str">
            <v>CR</v>
          </cell>
          <cell r="E470" t="str">
            <v>3,14</v>
          </cell>
        </row>
        <row r="471">
          <cell r="A471">
            <v>37592</v>
          </cell>
          <cell r="B471" t="str">
            <v xml:space="preserve">BLOCO CERAMICO / TIJOLO VAZADO PARA ALVENARIA DE VEDACAO, FUROS NA VERTICAL,, 9 X 19 X 39 CM (NBR 15270)                                                                                                                                                                                                                                                                                                                                                                                                  </v>
          </cell>
          <cell r="C471" t="str">
            <v xml:space="preserve">UN    </v>
          </cell>
          <cell r="D471" t="str">
            <v>CR</v>
          </cell>
          <cell r="E471" t="str">
            <v>1,99</v>
          </cell>
        </row>
        <row r="472">
          <cell r="A472">
            <v>7270</v>
          </cell>
          <cell r="B472" t="str">
            <v xml:space="preserve">BLOCO CERAMICO / TIJOLO VAZADO PARA ALVENARIA DE VEDACAO, 4 FUROS NA HORIZONTAL, DE 9 X 9 X 19 CM (L X A X C)                                                                                                                                                                                                                                                                                                                                                                                             </v>
          </cell>
          <cell r="C472" t="str">
            <v xml:space="preserve">UN    </v>
          </cell>
          <cell r="D472" t="str">
            <v>CR</v>
          </cell>
          <cell r="E472" t="str">
            <v>0,89</v>
          </cell>
        </row>
        <row r="473">
          <cell r="A473">
            <v>7267</v>
          </cell>
          <cell r="B473" t="str">
            <v xml:space="preserve">BLOCO CERAMICO / TIJOLO VAZADO PARA ALVENARIA DE VEDACAO, 6 FUROS NA HORIZONTAL, 9 X 14 X 19 CM (L X A X C)                                                                                                                                                                                                                                                                                                                                                                                               </v>
          </cell>
          <cell r="C473" t="str">
            <v xml:space="preserve">UN    </v>
          </cell>
          <cell r="D473" t="str">
            <v>CR</v>
          </cell>
          <cell r="E473" t="str">
            <v>0,70</v>
          </cell>
        </row>
        <row r="474">
          <cell r="A474">
            <v>7271</v>
          </cell>
          <cell r="B474" t="str">
            <v xml:space="preserve">BLOCO CERAMICO / TIJOLO VAZADO PARA ALVENARIA DE VEDACAO, 8 FUROS NA HORIZONTAL, DE 9 X 19 X 19 CM (L XA X C)                                                                                                                                                                                                                                                                                                                                                                                             </v>
          </cell>
          <cell r="C474" t="str">
            <v xml:space="preserve">UN    </v>
          </cell>
          <cell r="D474" t="str">
            <v xml:space="preserve">C </v>
          </cell>
          <cell r="E474" t="str">
            <v>0,77</v>
          </cell>
        </row>
        <row r="475">
          <cell r="A475">
            <v>7268</v>
          </cell>
          <cell r="B475" t="str">
            <v xml:space="preserve">BLOCO CERAMICO / TIJOLO VAZADO PARA ALVENARIA DE VEDACAO, 8 FUROS NA HORIZONTAL, 9 X 19 X 29 CM (L X A X C)                                                                                                                                                                                                                                                                                                                                                                                               </v>
          </cell>
          <cell r="C475" t="str">
            <v xml:space="preserve">UN    </v>
          </cell>
          <cell r="D475" t="str">
            <v>CR</v>
          </cell>
          <cell r="E475" t="str">
            <v>1,07</v>
          </cell>
        </row>
        <row r="476">
          <cell r="A476">
            <v>41372</v>
          </cell>
          <cell r="B476" t="str">
            <v xml:space="preserve">BLOCO CONCRETO CELULAR AUTOCLAVADO 12,5 X 30 X 60 CM (E X A X C)                                                                                                                                                                                                                                                                                                                                                                                                                                          </v>
          </cell>
          <cell r="C476" t="str">
            <v xml:space="preserve">M2    </v>
          </cell>
          <cell r="D476" t="str">
            <v>CR</v>
          </cell>
          <cell r="E476" t="str">
            <v>127,65</v>
          </cell>
        </row>
        <row r="477">
          <cell r="A477">
            <v>41371</v>
          </cell>
          <cell r="B477" t="str">
            <v xml:space="preserve">BLOCO CONCRETO CELULAR AUTOCLAVADO 7,5 X 30 X 60 CM (E X A X C)                                                                                                                                                                                                                                                                                                                                                                                                                                           </v>
          </cell>
          <cell r="C477" t="str">
            <v xml:space="preserve">M2    </v>
          </cell>
          <cell r="D477" t="str">
            <v>CR</v>
          </cell>
          <cell r="E477" t="str">
            <v>75,45</v>
          </cell>
        </row>
        <row r="478">
          <cell r="A478">
            <v>34556</v>
          </cell>
          <cell r="B478" t="str">
            <v xml:space="preserve">BLOCO DE CONCRETO ESTRUTURAL 14 X 19 X 29 CM, FBK 10 MPA (NBR 6136)                                                                                                                                                                                                                                                                                                                                                                                                                                       </v>
          </cell>
          <cell r="C478" t="str">
            <v xml:space="preserve">UN    </v>
          </cell>
          <cell r="D478" t="str">
            <v>CR</v>
          </cell>
          <cell r="E478" t="str">
            <v>4,71</v>
          </cell>
        </row>
        <row r="479">
          <cell r="A479">
            <v>37873</v>
          </cell>
          <cell r="B479" t="str">
            <v xml:space="preserve">BLOCO DE CONCRETO ESTRUTURAL 14 X 19 X 29 CM, FBK 12 MPA (NBR 6136)                                                                                                                                                                                                                                                                                                                                                                                                                                       </v>
          </cell>
          <cell r="C479" t="str">
            <v xml:space="preserve">UN    </v>
          </cell>
          <cell r="D479" t="str">
            <v>CR</v>
          </cell>
          <cell r="E479" t="str">
            <v>4,79</v>
          </cell>
        </row>
        <row r="480">
          <cell r="A480">
            <v>34564</v>
          </cell>
          <cell r="B480" t="str">
            <v xml:space="preserve">BLOCO DE CONCRETO ESTRUTURAL 14 X 19 X 29 CM, FBK 14 MPA (NBR 6136)                                                                                                                                                                                                                                                                                                                                                                                                                                       </v>
          </cell>
          <cell r="C480" t="str">
            <v xml:space="preserve">UN    </v>
          </cell>
          <cell r="D480" t="str">
            <v>CR</v>
          </cell>
          <cell r="E480" t="str">
            <v>5,02</v>
          </cell>
        </row>
        <row r="481">
          <cell r="A481">
            <v>34565</v>
          </cell>
          <cell r="B481" t="str">
            <v xml:space="preserve">BLOCO DE CONCRETO ESTRUTURAL 14 X 19 X 29 CM, FBK 16 MPA (NBR 6136)                                                                                                                                                                                                                                                                                                                                                                                                                                       </v>
          </cell>
          <cell r="C481" t="str">
            <v xml:space="preserve">UN    </v>
          </cell>
          <cell r="D481" t="str">
            <v>CR</v>
          </cell>
          <cell r="E481" t="str">
            <v>5,31</v>
          </cell>
        </row>
        <row r="482">
          <cell r="A482">
            <v>38590</v>
          </cell>
          <cell r="B482" t="str">
            <v xml:space="preserve">BLOCO DE CONCRETO ESTRUTURAL 14 X 19 X 29 CM, FBK 4,5 MPA (NBR 6136)                                                                                                                                                                                                                                                                                                                                                                                                                                      </v>
          </cell>
          <cell r="C482" t="str">
            <v xml:space="preserve">UN    </v>
          </cell>
          <cell r="D482" t="str">
            <v>CR</v>
          </cell>
          <cell r="E482" t="str">
            <v>3,92</v>
          </cell>
        </row>
        <row r="483">
          <cell r="A483">
            <v>34566</v>
          </cell>
          <cell r="B483" t="str">
            <v xml:space="preserve">BLOCO DE CONCRETO ESTRUTURAL 14 X 19 X 29 CM, FBK 6 MPA (NBR 6136)                                                                                                                                                                                                                                                                                                                                                                                                                                        </v>
          </cell>
          <cell r="C483" t="str">
            <v xml:space="preserve">UN    </v>
          </cell>
          <cell r="D483" t="str">
            <v>CR</v>
          </cell>
          <cell r="E483" t="str">
            <v>4,12</v>
          </cell>
        </row>
        <row r="484">
          <cell r="A484">
            <v>34567</v>
          </cell>
          <cell r="B484" t="str">
            <v xml:space="preserve">BLOCO DE CONCRETO ESTRUTURAL 14 X 19 X 29 CM, FBK 8 MPA (NBR 6136)                                                                                                                                                                                                                                                                                                                                                                                                                                        </v>
          </cell>
          <cell r="C484" t="str">
            <v xml:space="preserve">UN    </v>
          </cell>
          <cell r="D484" t="str">
            <v>CR</v>
          </cell>
          <cell r="E484" t="str">
            <v>4,37</v>
          </cell>
        </row>
        <row r="485">
          <cell r="A485">
            <v>38591</v>
          </cell>
          <cell r="B485" t="str">
            <v xml:space="preserve">BLOCO DE CONCRETO ESTRUTURAL 14 X 19 X 34 CM, FBK 4,5 MPA (NBR 6136)                                                                                                                                                                                                                                                                                                                                                                                                                                      </v>
          </cell>
          <cell r="C485" t="str">
            <v xml:space="preserve">UN    </v>
          </cell>
          <cell r="D485" t="str">
            <v>CR</v>
          </cell>
          <cell r="E485" t="str">
            <v>3,97</v>
          </cell>
        </row>
        <row r="486">
          <cell r="A486">
            <v>34568</v>
          </cell>
          <cell r="B486" t="str">
            <v xml:space="preserve">BLOCO DE CONCRETO ESTRUTURAL 14 X 19 X 39 CM, FBK 10 MPA (NBR 6136)                                                                                                                                                                                                                                                                                                                                                                                                                                       </v>
          </cell>
          <cell r="C486" t="str">
            <v xml:space="preserve">UN    </v>
          </cell>
          <cell r="D486" t="str">
            <v>CR</v>
          </cell>
          <cell r="E486" t="str">
            <v>5,17</v>
          </cell>
        </row>
        <row r="487">
          <cell r="A487">
            <v>34569</v>
          </cell>
          <cell r="B487" t="str">
            <v xml:space="preserve">BLOCO DE CONCRETO ESTRUTURAL 14 X 19 X 39 CM, FBK 12 MPA (NBR 6136)                                                                                                                                                                                                                                                                                                                                                                                                                                       </v>
          </cell>
          <cell r="C487" t="str">
            <v xml:space="preserve">UN    </v>
          </cell>
          <cell r="D487" t="str">
            <v>CR</v>
          </cell>
          <cell r="E487" t="str">
            <v>5,31</v>
          </cell>
        </row>
        <row r="488">
          <cell r="A488">
            <v>34570</v>
          </cell>
          <cell r="B488" t="str">
            <v xml:space="preserve">BLOCO DE CONCRETO ESTRUTURAL 14 X 19 X 39 CM, FBK 14 MPA (NBR 6136)                                                                                                                                                                                                                                                                                                                                                                                                                                       </v>
          </cell>
          <cell r="C488" t="str">
            <v xml:space="preserve">UN    </v>
          </cell>
          <cell r="D488" t="str">
            <v>CR</v>
          </cell>
          <cell r="E488" t="str">
            <v>5,76</v>
          </cell>
        </row>
        <row r="489">
          <cell r="A489">
            <v>25070</v>
          </cell>
          <cell r="B489" t="str">
            <v xml:space="preserve">BLOCO DE CONCRETO ESTRUTURAL 14 X 19 X 39 CM, FBK 4,5 MPA (NBR 6136)                                                                                                                                                                                                                                                                                                                                                                                                                                      </v>
          </cell>
          <cell r="C489" t="str">
            <v xml:space="preserve">UN    </v>
          </cell>
          <cell r="D489" t="str">
            <v>CR</v>
          </cell>
          <cell r="E489" t="str">
            <v>4,34</v>
          </cell>
        </row>
        <row r="490">
          <cell r="A490">
            <v>34571</v>
          </cell>
          <cell r="B490" t="str">
            <v xml:space="preserve">BLOCO DE CONCRETO ESTRUTURAL 14 X 19 X 39 CM, FBK 6 MPA (NBR 6136)                                                                                                                                                                                                                                                                                                                                                                                                                                        </v>
          </cell>
          <cell r="C490" t="str">
            <v xml:space="preserve">UN    </v>
          </cell>
          <cell r="D490" t="str">
            <v>CR</v>
          </cell>
          <cell r="E490" t="str">
            <v>4,38</v>
          </cell>
        </row>
        <row r="491">
          <cell r="A491">
            <v>34573</v>
          </cell>
          <cell r="B491" t="str">
            <v xml:space="preserve">BLOCO DE CONCRETO ESTRUTURAL 14 X 19 X 39 CM, FBK 8 MPA (NBR 6136)                                                                                                                                                                                                                                                                                                                                                                                                                                        </v>
          </cell>
          <cell r="C491" t="str">
            <v xml:space="preserve">UN    </v>
          </cell>
          <cell r="D491" t="str">
            <v>CR</v>
          </cell>
          <cell r="E491" t="str">
            <v>4,61</v>
          </cell>
        </row>
        <row r="492">
          <cell r="A492">
            <v>37107</v>
          </cell>
          <cell r="B492" t="str">
            <v xml:space="preserve">BLOCO DE CONCRETO ESTRUTURAL 14 X 19 X 39, FCK 16 MPA (NBR 6136)                                                                                                                                                                                                                                                                                                                                                                                                                                          </v>
          </cell>
          <cell r="C492" t="str">
            <v xml:space="preserve">UN    </v>
          </cell>
          <cell r="D492" t="str">
            <v>CR</v>
          </cell>
          <cell r="E492" t="str">
            <v>6,09</v>
          </cell>
        </row>
        <row r="493">
          <cell r="A493">
            <v>34576</v>
          </cell>
          <cell r="B493" t="str">
            <v xml:space="preserve">BLOCO DE CONCRETO ESTRUTURAL 19 X 19 X 39 CM, FBK 10 MPA (NBR 6136)                                                                                                                                                                                                                                                                                                                                                                                                                                       </v>
          </cell>
          <cell r="C493" t="str">
            <v xml:space="preserve">UN    </v>
          </cell>
          <cell r="D493" t="str">
            <v>CR</v>
          </cell>
          <cell r="E493" t="str">
            <v>6,72</v>
          </cell>
        </row>
        <row r="494">
          <cell r="A494">
            <v>34577</v>
          </cell>
          <cell r="B494" t="str">
            <v xml:space="preserve">BLOCO DE CONCRETO ESTRUTURAL 19 X 19 X 39 CM, FBK 12 MPA (NBR 6136)                                                                                                                                                                                                                                                                                                                                                                                                                                       </v>
          </cell>
          <cell r="C494" t="str">
            <v xml:space="preserve">UN    </v>
          </cell>
          <cell r="D494" t="str">
            <v>CR</v>
          </cell>
          <cell r="E494" t="str">
            <v>7,01</v>
          </cell>
        </row>
        <row r="495">
          <cell r="A495">
            <v>34578</v>
          </cell>
          <cell r="B495" t="str">
            <v xml:space="preserve">BLOCO DE CONCRETO ESTRUTURAL 19 X 19 X 39 CM, FBK 14 MPA (NBR 6136)                                                                                                                                                                                                                                                                                                                                                                                                                                       </v>
          </cell>
          <cell r="C495" t="str">
            <v xml:space="preserve">UN    </v>
          </cell>
          <cell r="D495" t="str">
            <v>CR</v>
          </cell>
          <cell r="E495" t="str">
            <v>7,60</v>
          </cell>
        </row>
        <row r="496">
          <cell r="A496">
            <v>34579</v>
          </cell>
          <cell r="B496" t="str">
            <v xml:space="preserve">BLOCO DE CONCRETO ESTRUTURAL 19 X 19 X 39 CM, FBK 16 MPA (NBR 6136)                                                                                                                                                                                                                                                                                                                                                                                                                                       </v>
          </cell>
          <cell r="C496" t="str">
            <v xml:space="preserve">UN    </v>
          </cell>
          <cell r="D496" t="str">
            <v>CR</v>
          </cell>
          <cell r="E496" t="str">
            <v>8,10</v>
          </cell>
        </row>
        <row r="497">
          <cell r="A497">
            <v>25067</v>
          </cell>
          <cell r="B497" t="str">
            <v xml:space="preserve">BLOCO DE CONCRETO ESTRUTURAL 19 X 19 X 39 CM, FBK 4,5 MPA (NBR 6136)                                                                                                                                                                                                                                                                                                                                                                                                                                      </v>
          </cell>
          <cell r="C497" t="str">
            <v xml:space="preserve">UN    </v>
          </cell>
          <cell r="D497" t="str">
            <v>CR</v>
          </cell>
          <cell r="E497" t="str">
            <v>5,42</v>
          </cell>
        </row>
        <row r="498">
          <cell r="A498">
            <v>34580</v>
          </cell>
          <cell r="B498" t="str">
            <v xml:space="preserve">BLOCO DE CONCRETO ESTRUTURAL 19 X 19 X 39 CM, FBK 8 MPA (NBR 6136)                                                                                                                                                                                                                                                                                                                                                                                                                                        </v>
          </cell>
          <cell r="C498" t="str">
            <v xml:space="preserve">UN    </v>
          </cell>
          <cell r="D498" t="str">
            <v>CR</v>
          </cell>
          <cell r="E498" t="str">
            <v>6,05</v>
          </cell>
        </row>
        <row r="499">
          <cell r="A499">
            <v>25071</v>
          </cell>
          <cell r="B499" t="str">
            <v xml:space="preserve">BLOCO DE CONCRETO ESTRUTURAL 9 X 19 X 39 CM, FBK 4,5 MPA (NBR 6136)                                                                                                                                                                                                                                                                                                                                                                                                                                       </v>
          </cell>
          <cell r="C499" t="str">
            <v xml:space="preserve">UN    </v>
          </cell>
          <cell r="D499" t="str">
            <v>CR</v>
          </cell>
          <cell r="E499" t="str">
            <v>3,01</v>
          </cell>
        </row>
        <row r="500">
          <cell r="A500">
            <v>44171</v>
          </cell>
          <cell r="B500" t="str">
            <v xml:space="preserve">BLOCO DE ENGATE RAPIDO PARA BASTIDOR TIPO M10                                                                                                                                                                                                                                                                                                                                                                                                                                                             </v>
          </cell>
          <cell r="C500" t="str">
            <v xml:space="preserve">UN    </v>
          </cell>
          <cell r="D500" t="str">
            <v>CR</v>
          </cell>
          <cell r="E500" t="str">
            <v>16,84</v>
          </cell>
        </row>
        <row r="501">
          <cell r="A501">
            <v>38395</v>
          </cell>
          <cell r="B501" t="str">
            <v xml:space="preserve">BLOCO DE ESPUMA MULTIUSO *23 X 13 X 8* CM                                                                                                                                                                                                                                                                                                                                                                                                                                                                 </v>
          </cell>
          <cell r="C501" t="str">
            <v xml:space="preserve">UN    </v>
          </cell>
          <cell r="D501" t="str">
            <v>CR</v>
          </cell>
          <cell r="E501" t="str">
            <v>9,97</v>
          </cell>
        </row>
        <row r="502">
          <cell r="A502">
            <v>34583</v>
          </cell>
          <cell r="B502" t="str">
            <v xml:space="preserve">BLOCO DE GESSO COMPACTO / MACICO, BRANCO, E = 10 CM, DIMENSOES *67 X 50* CM                                                                                                                                                                                                                                                                                                                                                                                                                               </v>
          </cell>
          <cell r="C502" t="str">
            <v xml:space="preserve">M2    </v>
          </cell>
          <cell r="D502" t="str">
            <v>CR</v>
          </cell>
          <cell r="E502" t="str">
            <v>54,06</v>
          </cell>
        </row>
        <row r="503">
          <cell r="A503">
            <v>34584</v>
          </cell>
          <cell r="B503" t="str">
            <v xml:space="preserve">BLOCO DE GESSO VAZADO, BRANCO, E = *7* CM, DIMENSOES *67 X 50* CM                                                                                                                                                                                                                                                                                                                                                                                                                                         </v>
          </cell>
          <cell r="C503" t="str">
            <v xml:space="preserve">M2    </v>
          </cell>
          <cell r="D503" t="str">
            <v>CR</v>
          </cell>
          <cell r="E503" t="str">
            <v>39,64</v>
          </cell>
        </row>
        <row r="504">
          <cell r="A504">
            <v>709</v>
          </cell>
          <cell r="B504" t="str">
            <v xml:space="preserve">BLOCO DE POLIETILENO ALTA DENSIDADE, *27* X *30* X *100* CM, ACOMPANHADOS PLACAS  TERMINAIS  E LONGARINAS, PARA FUNDO DE FILTRO                                                                                                                                                                                                                                                                                                                                                                           </v>
          </cell>
          <cell r="C504" t="str">
            <v xml:space="preserve">M2    </v>
          </cell>
          <cell r="D504" t="str">
            <v>CR</v>
          </cell>
          <cell r="E504" t="str">
            <v>733,61</v>
          </cell>
        </row>
        <row r="505">
          <cell r="A505">
            <v>34599</v>
          </cell>
          <cell r="B505" t="str">
            <v xml:space="preserve">BLOCO DE VEDACAO CONCRETO APARENTE 9 X 19 X 39 CM (CLASSE C - NBR 6136)                                                                                                                                                                                                                                                                                                                                                                                                                                   </v>
          </cell>
          <cell r="C505" t="str">
            <v xml:space="preserve">UN    </v>
          </cell>
          <cell r="D505" t="str">
            <v>CR</v>
          </cell>
          <cell r="E505" t="str">
            <v>3,10</v>
          </cell>
        </row>
        <row r="506">
          <cell r="A506">
            <v>34592</v>
          </cell>
          <cell r="B506" t="str">
            <v xml:space="preserve">BLOCO DE VEDACAO CONCRETO 14 X 19 X 29 CM (CLASSE C - NBR 6136)                                                                                                                                                                                                                                                                                                                                                                                                                                           </v>
          </cell>
          <cell r="C506" t="str">
            <v xml:space="preserve">UN    </v>
          </cell>
          <cell r="D506" t="str">
            <v>CR</v>
          </cell>
          <cell r="E506" t="str">
            <v>3,45</v>
          </cell>
        </row>
        <row r="507">
          <cell r="A507">
            <v>37103</v>
          </cell>
          <cell r="B507" t="str">
            <v xml:space="preserve">BLOCO DE VEDACAO DE CONCRETO APARENTE 14 X 19 X 39 CM (CLASSE C - NBR 6136)                                                                                                                                                                                                                                                                                                                                                                                                                               </v>
          </cell>
          <cell r="C507" t="str">
            <v xml:space="preserve">UN    </v>
          </cell>
          <cell r="D507" t="str">
            <v>CR</v>
          </cell>
          <cell r="E507" t="str">
            <v>3,94</v>
          </cell>
        </row>
        <row r="508">
          <cell r="A508">
            <v>34555</v>
          </cell>
          <cell r="B508" t="str">
            <v xml:space="preserve">BLOCO DE VEDACAO DE CONCRETO APARENTE 19 X 19 X 39 CM  (CLASSE C - NBR 6136)                                                                                                                                                                                                                                                                                                                                                                                                                              </v>
          </cell>
          <cell r="C508" t="str">
            <v xml:space="preserve">UN    </v>
          </cell>
          <cell r="D508" t="str">
            <v>CR</v>
          </cell>
          <cell r="E508" t="str">
            <v>5,01</v>
          </cell>
        </row>
        <row r="509">
          <cell r="A509">
            <v>674</v>
          </cell>
          <cell r="B509" t="str">
            <v xml:space="preserve">BLOCO DE VEDACAO DE CONCRETO CELULAR AUTOCLAVADO 10 X 30 X 60 CM (E X A X C)                                                                                                                                                                                                                                                                                                                                                                                                                              </v>
          </cell>
          <cell r="C509" t="str">
            <v xml:space="preserve">M2    </v>
          </cell>
          <cell r="D509" t="str">
            <v>CR</v>
          </cell>
          <cell r="E509" t="str">
            <v>90,96</v>
          </cell>
        </row>
        <row r="510">
          <cell r="A510">
            <v>34600</v>
          </cell>
          <cell r="B510" t="str">
            <v xml:space="preserve">BLOCO DE VEDACAO DE CONCRETO CELULAR AUTOCLAVADO 15 X 30 X 60 CM (E X A X C)                                                                                                                                                                                                                                                                                                                                                                                                                              </v>
          </cell>
          <cell r="C510" t="str">
            <v xml:space="preserve">M2    </v>
          </cell>
          <cell r="D510" t="str">
            <v xml:space="preserve">C </v>
          </cell>
          <cell r="E510" t="str">
            <v>133,60</v>
          </cell>
        </row>
        <row r="511">
          <cell r="A511">
            <v>652</v>
          </cell>
          <cell r="B511" t="str">
            <v xml:space="preserve">BLOCO DE VEDACAO DE CONCRETO CELULAR AUTOCLAVADO 20 X 30 X 60 CM (E X A X C)                                                                                                                                                                                                                                                                                                                                                                                                                              </v>
          </cell>
          <cell r="C511" t="str">
            <v xml:space="preserve">M2    </v>
          </cell>
          <cell r="D511" t="str">
            <v>CR</v>
          </cell>
          <cell r="E511" t="str">
            <v>204,66</v>
          </cell>
        </row>
        <row r="512">
          <cell r="A512">
            <v>651</v>
          </cell>
          <cell r="B512" t="str">
            <v xml:space="preserve">BLOCO DE VEDACAO DE CONCRETO 14 X 19 X 39 CM (CLASSE C - NBR 6136)                                                                                                                                                                                                                                                                                                                                                                                                                                        </v>
          </cell>
          <cell r="C512" t="str">
            <v xml:space="preserve">UN    </v>
          </cell>
          <cell r="D512" t="str">
            <v>CR</v>
          </cell>
          <cell r="E512" t="str">
            <v>3,80</v>
          </cell>
        </row>
        <row r="513">
          <cell r="A513">
            <v>654</v>
          </cell>
          <cell r="B513" t="str">
            <v xml:space="preserve">BLOCO DE VEDACAO DE CONCRETO 19 X 19 X 39 CM (CLASSE C - NBR 6136)                                                                                                                                                                                                                                                                                                                                                                                                                                        </v>
          </cell>
          <cell r="C513" t="str">
            <v xml:space="preserve">UN    </v>
          </cell>
          <cell r="D513" t="str">
            <v>CR</v>
          </cell>
          <cell r="E513" t="str">
            <v>4,71</v>
          </cell>
        </row>
        <row r="514">
          <cell r="A514">
            <v>650</v>
          </cell>
          <cell r="B514" t="str">
            <v xml:space="preserve">BLOCO DE VEDACAO DE CONCRETO, 9 X 19 X 39 CM (CLASSE C - NBR 6136)                                                                                                                                                                                                                                                                                                                                                                                                                                        </v>
          </cell>
          <cell r="C514" t="str">
            <v xml:space="preserve">UN    </v>
          </cell>
          <cell r="D514" t="str">
            <v xml:space="preserve">C </v>
          </cell>
          <cell r="E514" t="str">
            <v>3,04</v>
          </cell>
        </row>
        <row r="515">
          <cell r="A515">
            <v>718</v>
          </cell>
          <cell r="B515" t="str">
            <v xml:space="preserve">BLOCO DE VIDRO / ELEMENTO VAZADO, INCOLOR, VENEZIANA, *20 X 20 X 6* CM (A X L X E)                                                                                                                                                                                                                                                                                                                                                                                                                        </v>
          </cell>
          <cell r="C515" t="str">
            <v xml:space="preserve">UN    </v>
          </cell>
          <cell r="D515" t="str">
            <v>CR</v>
          </cell>
          <cell r="E515" t="str">
            <v>16,35</v>
          </cell>
        </row>
        <row r="516">
          <cell r="A516">
            <v>11981</v>
          </cell>
          <cell r="B516" t="str">
            <v xml:space="preserve">BLOCO DE VIDRO / ELEMENTO VAZADO, INCOLOR, VENEZIANA, DE *20 X 10 X 8* CM (A X L X E)                                                                                                                                                                                                                                                                                                                                                                                                                     </v>
          </cell>
          <cell r="C516" t="str">
            <v xml:space="preserve">UN    </v>
          </cell>
          <cell r="D516" t="str">
            <v>CR</v>
          </cell>
          <cell r="E516" t="str">
            <v>15,88</v>
          </cell>
        </row>
        <row r="517">
          <cell r="A517">
            <v>34586</v>
          </cell>
          <cell r="B517" t="str">
            <v xml:space="preserve">BLOCO ESTRUTURAL CERAMICO 14 X 19 X 29 CM, 6,0 MPA (NBR 15270)                                                                                                                                                                                                                                                                                                                                                                                                                                            </v>
          </cell>
          <cell r="C517" t="str">
            <v xml:space="preserve">UN    </v>
          </cell>
          <cell r="D517" t="str">
            <v>CR</v>
          </cell>
          <cell r="E517" t="str">
            <v>2,16</v>
          </cell>
        </row>
        <row r="518">
          <cell r="A518">
            <v>38603</v>
          </cell>
          <cell r="B518" t="str">
            <v xml:space="preserve">BLOCO ESTRUTURAL CERAMICO 14 X 19 X 34 CM, 6,0 MPA (NBR 15270)                                                                                                                                                                                                                                                                                                                                                                                                                                            </v>
          </cell>
          <cell r="C518" t="str">
            <v xml:space="preserve">UN    </v>
          </cell>
          <cell r="D518" t="str">
            <v>CR</v>
          </cell>
          <cell r="E518" t="str">
            <v>2,61</v>
          </cell>
        </row>
        <row r="519">
          <cell r="A519">
            <v>34588</v>
          </cell>
          <cell r="B519" t="str">
            <v xml:space="preserve">BLOCO ESTRUTURAL CERAMICO 14 X 19 X 39 CM, 6,0 MPA (NBR 15270)                                                                                                                                                                                                                                                                                                                                                                                                                                            </v>
          </cell>
          <cell r="C519" t="str">
            <v xml:space="preserve">UN    </v>
          </cell>
          <cell r="D519" t="str">
            <v>CR</v>
          </cell>
          <cell r="E519" t="str">
            <v>2,82</v>
          </cell>
        </row>
        <row r="520">
          <cell r="A520">
            <v>34590</v>
          </cell>
          <cell r="B520" t="str">
            <v xml:space="preserve">BLOCO ESTRUTURAL CERAMICO 19 X 19 X 29 CM, 6,0 MPA (NBR 15270)                                                                                                                                                                                                                                                                                                                                                                                                                                            </v>
          </cell>
          <cell r="C520" t="str">
            <v xml:space="preserve">UN    </v>
          </cell>
          <cell r="D520" t="str">
            <v>CR</v>
          </cell>
          <cell r="E520" t="str">
            <v>2,57</v>
          </cell>
        </row>
        <row r="521">
          <cell r="A521">
            <v>34591</v>
          </cell>
          <cell r="B521" t="str">
            <v xml:space="preserve">BLOCO ESTRUTURAL CERAMICO 19 X 19 X 39 CM, 6,0 MPA (NBR 15270)                                                                                                                                                                                                                                                                                                                                                                                                                                            </v>
          </cell>
          <cell r="C521" t="str">
            <v xml:space="preserve">UN    </v>
          </cell>
          <cell r="D521" t="str">
            <v>CR</v>
          </cell>
          <cell r="E521" t="str">
            <v>3,49</v>
          </cell>
        </row>
        <row r="522">
          <cell r="A522">
            <v>40517</v>
          </cell>
          <cell r="B522" t="str">
            <v xml:space="preserve">BLOQUETE/PISO DE CONCRETO - MODELO BLOCO PISOGRAMA/CONCREGRAMA 2 FUROS, DIMENSOES APROX. DE 35 CM X 15 CM E ESPESSURA DE 7 CM (+/- 1 CM), COR NATURAL                                                                                                                                                                                                                                                                                                                                                     </v>
          </cell>
          <cell r="C522" t="str">
            <v xml:space="preserve">M2    </v>
          </cell>
          <cell r="D522" t="str">
            <v>CR</v>
          </cell>
          <cell r="E522" t="str">
            <v>70,43</v>
          </cell>
        </row>
        <row r="523">
          <cell r="A523">
            <v>40515</v>
          </cell>
          <cell r="B523" t="str">
            <v xml:space="preserve">BLOQUETE/PISO DE CONCRETO - MODELO PISOGRAMA/CONCREGRAMA/PAVI-GRADE/GRAMEIRO, DIMENSOES APROXIMADAS DE 60 CM X 45 CM E ESPESSURA DE 8 CM (+/- 1 CM), COR NATURAL                                                                                                                                                                                                                                                                                                                                          </v>
          </cell>
          <cell r="C523" t="str">
            <v xml:space="preserve">M2    </v>
          </cell>
          <cell r="D523" t="str">
            <v>CR</v>
          </cell>
          <cell r="E523" t="str">
            <v>158,46</v>
          </cell>
        </row>
        <row r="524">
          <cell r="A524">
            <v>40529</v>
          </cell>
          <cell r="B524" t="str">
            <v xml:space="preserve">BLOQUETE/PISO INTERTRAVADO DE CONCRETO - MODELO ONDA/16 FACES/RETANGULAR/TIJOLINHO/PAVER/HOLANDES/PARALELEPIPEDO, *22 CM X *11 CM, E = 10 CM, RESISTENCIA DE 50 MPA (NBR 9781), COR NATURAL                                                                                                                                                                                                                                                                                                               </v>
          </cell>
          <cell r="C524" t="str">
            <v xml:space="preserve">M2    </v>
          </cell>
          <cell r="D524" t="str">
            <v>CR</v>
          </cell>
          <cell r="E524" t="str">
            <v>101,24</v>
          </cell>
        </row>
        <row r="525">
          <cell r="A525">
            <v>36170</v>
          </cell>
          <cell r="B525" t="str">
            <v xml:space="preserve">BLOQUETE/PISO INTERTRAVADO DE CONCRETO - MODELO ONDA/16 FACES/RETANGULAR/TIJOLINHO/PAVER/HOLANDES/PARALELEPIPEDO, *22 CM X 11* CM, E = 8 CM, RESISTENCIA DE 35 MPA (NBR 9781), COR NATURAL                                                                                                                                                                                                                                                                                                                </v>
          </cell>
          <cell r="C525" t="str">
            <v xml:space="preserve">M2    </v>
          </cell>
          <cell r="D525" t="str">
            <v xml:space="preserve">C </v>
          </cell>
          <cell r="E525" t="str">
            <v>84,00</v>
          </cell>
        </row>
        <row r="526">
          <cell r="A526">
            <v>40524</v>
          </cell>
          <cell r="B526" t="str">
            <v xml:space="preserve">BLOQUETE/PISO INTERTRAVADO DE CONCRETO - MODELO ONDA/16 FACES/RETANGULAR/TIJOLINHO/PAVER/HOLANDES/PARALELEPIPEDO, 20 CM X 10 CM, E = 10 CM, RESISTENCIA DE 35 MPA (NBR 9781), COR NATURAL                                                                                                                                                                                                                                                                                                                 </v>
          </cell>
          <cell r="C526" t="str">
            <v xml:space="preserve">M2    </v>
          </cell>
          <cell r="D526" t="str">
            <v>CR</v>
          </cell>
          <cell r="E526" t="str">
            <v>99,04</v>
          </cell>
        </row>
        <row r="527">
          <cell r="A527">
            <v>36156</v>
          </cell>
          <cell r="B527" t="str">
            <v xml:space="preserve">BLOQUETE/PISO INTERTRAVADO DE CONCRETO - MODELO ONDA/16 FACES/RETANGULAR/TIJOLINHO/PAVER/HOLANDES/PARALELEPIPEDO, 20 CM X 10 CM, E = 6 CM, RESISTENCIA DE 35 MPA (NBR 9781), COLORIDO                                                                                                                                                                                                                                                                                                                     </v>
          </cell>
          <cell r="C527" t="str">
            <v xml:space="preserve">M2    </v>
          </cell>
          <cell r="D527" t="str">
            <v>CR</v>
          </cell>
          <cell r="E527" t="str">
            <v>77,03</v>
          </cell>
        </row>
        <row r="528">
          <cell r="A528">
            <v>36155</v>
          </cell>
          <cell r="B528" t="str">
            <v xml:space="preserve">BLOQUETE/PISO INTERTRAVADO DE CONCRETO - MODELO ONDA/16 FACES/RETANGULAR/TIJOLINHO/PAVER/HOLANDES/PARALELEPIPEDO, 20 CM X 10 CM, E = 6 CM, RESISTENCIA DE 35 MPA (NBR 9781), COR NATURAL                                                                                                                                                                                                                                                                                                                  </v>
          </cell>
          <cell r="C528" t="str">
            <v xml:space="preserve">M2    </v>
          </cell>
          <cell r="D528" t="str">
            <v>CR</v>
          </cell>
          <cell r="E528" t="str">
            <v>66,50</v>
          </cell>
        </row>
        <row r="529">
          <cell r="A529">
            <v>36154</v>
          </cell>
          <cell r="B529" t="str">
            <v xml:space="preserve">BLOQUETE/PISO INTERTRAVADO DE CONCRETO - MODELO ONDA/16 FACES/RETANGULAR/TIJOLINHO/PAVER/HOLANDES/PARALELEPIPEDO, 20 CM X 10 CM, E = 8 CM, RESISTENCIA DE 35 MPA (NBR 9781), COLORIDO                                                                                                                                                                                                                                                                                                                     </v>
          </cell>
          <cell r="C529" t="str">
            <v xml:space="preserve">M2    </v>
          </cell>
          <cell r="D529" t="str">
            <v>CR</v>
          </cell>
          <cell r="E529" t="str">
            <v>92,44</v>
          </cell>
        </row>
        <row r="530">
          <cell r="A530">
            <v>695</v>
          </cell>
          <cell r="B530" t="str">
            <v xml:space="preserve">BLOQUETE/PISO INTERTRAVADO DE CONCRETO - MODELO RAQUETE, *22 CM X 13,5* CM, E = 6 CM, RESISTENCIA DE 35 MPA (NBR 9781), COR NATURAL                                                                                                                                                                                                                                                                                                                                                                       </v>
          </cell>
          <cell r="C530" t="str">
            <v xml:space="preserve">M2    </v>
          </cell>
          <cell r="D530" t="str">
            <v>CR</v>
          </cell>
          <cell r="E530" t="str">
            <v>67,89</v>
          </cell>
        </row>
        <row r="531">
          <cell r="A531">
            <v>679</v>
          </cell>
          <cell r="B531" t="str">
            <v xml:space="preserve">BLOQUETE/PISO INTERTRAVADO DE CONCRETO - MODELO SEXTAVADO / HEXAGONAL, 25 CM X 25 CM, E = 10 CM, RESISTENCIA DE 35 MPA (NBR 9781), COR NATURAL                                                                                                                                                                                                                                                                                                                                                            </v>
          </cell>
          <cell r="C531" t="str">
            <v xml:space="preserve">M2    </v>
          </cell>
          <cell r="D531" t="str">
            <v>CR</v>
          </cell>
          <cell r="E531" t="str">
            <v>101,24</v>
          </cell>
        </row>
        <row r="532">
          <cell r="A532">
            <v>711</v>
          </cell>
          <cell r="B532" t="str">
            <v xml:space="preserve">BLOQUETE/PISO INTERTRAVADO DE CONCRETO - MODELO SEXTAVADO / HEXAGONAL, 25 CM X 25 CM, E = 6 CM, RESISTENCIA DE 35 MPA (NBR 9781), COR NATURAL                                                                                                                                                                                                                                                                                                                                                             </v>
          </cell>
          <cell r="C532" t="str">
            <v xml:space="preserve">M2    </v>
          </cell>
          <cell r="D532" t="str">
            <v>CR</v>
          </cell>
          <cell r="E532" t="str">
            <v>66,97</v>
          </cell>
        </row>
        <row r="533">
          <cell r="A533">
            <v>712</v>
          </cell>
          <cell r="B533" t="str">
            <v xml:space="preserve">BLOQUETE/PISO INTERTRAVADO DE CONCRETO - MODELO SEXTAVADO / HEXAGONAL, 25 CM X 25 CM, E = 8 CM, RESISTENCIA DE 35 MPA (NBR 9781), COR NATURAL                                                                                                                                                                                                                                                                                                                                                             </v>
          </cell>
          <cell r="C533" t="str">
            <v xml:space="preserve">M2    </v>
          </cell>
          <cell r="D533" t="str">
            <v>CR</v>
          </cell>
          <cell r="E533" t="str">
            <v>84,36</v>
          </cell>
        </row>
        <row r="534">
          <cell r="A534">
            <v>12614</v>
          </cell>
          <cell r="B534" t="str">
            <v xml:space="preserve">BOCAL PVC, PARA CALHA PLUVIAL, DIAMETRO DA SAIDA ENTRE *75 E 120* MM, PARA DRENAGEM PLUVIAL PREDIAL                                                                                                                                                                                                                                                                                                                                                                                                       </v>
          </cell>
          <cell r="C534" t="str">
            <v xml:space="preserve">UN    </v>
          </cell>
          <cell r="D534" t="str">
            <v>CR</v>
          </cell>
          <cell r="E534" t="str">
            <v>53,18</v>
          </cell>
        </row>
        <row r="535">
          <cell r="A535">
            <v>6140</v>
          </cell>
          <cell r="B535" t="str">
            <v xml:space="preserve">BOLSA DE LIGACAO EM PVC FLEXIVEL PARA VASO SANITARIO 40 MM (1 1/2")                                                                                                                                                                                                                                                                                                                                                                                                                                       </v>
          </cell>
          <cell r="C535" t="str">
            <v xml:space="preserve">UN    </v>
          </cell>
          <cell r="D535" t="str">
            <v>CR</v>
          </cell>
          <cell r="E535" t="str">
            <v>4,61</v>
          </cell>
        </row>
        <row r="536">
          <cell r="A536">
            <v>38399</v>
          </cell>
          <cell r="B536" t="str">
            <v xml:space="preserve">BOLSA DE LONA PARA FERRAMENTAS *50 X 35 X 25* CM                                                                                                                                                                                                                                                                                                                                                                                                                                                          </v>
          </cell>
          <cell r="C536" t="str">
            <v xml:space="preserve">UN    </v>
          </cell>
          <cell r="D536" t="str">
            <v>CR</v>
          </cell>
          <cell r="E536" t="str">
            <v>269,37</v>
          </cell>
        </row>
        <row r="537">
          <cell r="A537">
            <v>735</v>
          </cell>
          <cell r="B537" t="str">
            <v xml:space="preserve">BOMBA CENTRIFUGA  MOTOR ELETRICO TRIFASICO 1,48HP  DIAMETRO DE SUCCAO X ELEVACAO 1" X 1", 4 ESTAGIOS, DIAMETRO DOS ROTORES 3 X 107 MM + 1 X 100 MM, HM/Q: 10 M / 5,3 M3/H A 70 M / 1,8 M3/H                                                                                                                                                                                                                                                                                                               </v>
          </cell>
          <cell r="C537" t="str">
            <v xml:space="preserve">UN    </v>
          </cell>
          <cell r="D537" t="str">
            <v>CR</v>
          </cell>
          <cell r="E537" t="str">
            <v>3.795,03</v>
          </cell>
        </row>
        <row r="538">
          <cell r="A538">
            <v>736</v>
          </cell>
          <cell r="B538" t="str">
            <v xml:space="preserve">BOMBA CENTRIFUGA  MOTOR ELETRICO TRIFASICO 2,96HP, DIAMETRO DE SUCCAO X ELEVACAO 1 1/2" X 1 1/4", DIAMETRO DO ROTOR 148 MM, HM/Q: 34 M / 14,80 M3/H A 40 M / 8,60 M3/H                                                                                                                                                                                                                                                                                                                                    </v>
          </cell>
          <cell r="C538" t="str">
            <v xml:space="preserve">UN    </v>
          </cell>
          <cell r="D538" t="str">
            <v>CR</v>
          </cell>
          <cell r="E538" t="str">
            <v>3.190,93</v>
          </cell>
        </row>
        <row r="539">
          <cell r="A539">
            <v>729</v>
          </cell>
          <cell r="B539" t="str">
            <v xml:space="preserve">BOMBA CENTRIFUGA COM MOTOR ELETRICO MONOFASICO, POTENCIA 0,33 HP,  BOCAIS 1" X 3/4", DIAMETRO DO ROTOR 99 MM, HM/Q = 4 MCA / 8,5 M3/H A 18 MCA / 0,90 M3/H                                                                                                                                                                                                                                                                                                                                                </v>
          </cell>
          <cell r="C539" t="str">
            <v xml:space="preserve">UN    </v>
          </cell>
          <cell r="D539" t="str">
            <v xml:space="preserve">C </v>
          </cell>
          <cell r="E539" t="str">
            <v>1.300,34</v>
          </cell>
        </row>
        <row r="540">
          <cell r="A540">
            <v>39925</v>
          </cell>
          <cell r="B540" t="str">
            <v xml:space="preserve">BOMBA CENTRIFUGA MONOESTAGIO COM MOTOR ELETRICO MONOFASICO, POTENCIA 15 HP,  DIAMETRO DO ROTOR *173* MM, HM/Q = *30* MCA / *90* M3/H A *45* MCA / *55* M3/H                                                                                                                                                                                                                                                                                                                                               </v>
          </cell>
          <cell r="C540" t="str">
            <v xml:space="preserve">UN    </v>
          </cell>
          <cell r="D540" t="str">
            <v>CR</v>
          </cell>
          <cell r="E540" t="str">
            <v>18.789,79</v>
          </cell>
        </row>
        <row r="541">
          <cell r="A541">
            <v>731</v>
          </cell>
          <cell r="B541" t="str">
            <v xml:space="preserve">BOMBA CENTRIFUGA MOTOR ELETRICO MONOFASICO 0,49 HP  BOCAIS 1" X 3/4", DIAMETRO DO ROTOR 110 MM, HM/Q: 6 M / 8,3 M3/H A 20 M / 1,2 M3/H                                                                                                                                                                                                                                                                                                                                                                    </v>
          </cell>
          <cell r="C541" t="str">
            <v xml:space="preserve">UN    </v>
          </cell>
          <cell r="D541" t="str">
            <v>CR</v>
          </cell>
          <cell r="E541" t="str">
            <v>1.265,55</v>
          </cell>
        </row>
        <row r="542">
          <cell r="A542">
            <v>10575</v>
          </cell>
          <cell r="B542" t="str">
            <v xml:space="preserve">BOMBA CENTRIFUGA MOTOR ELETRICO MONOFASICO 0,50 CV DIAMETRO DE SUCCAO X ELEVACAO 3/4" X 3/4", MONOESTAGIO, DIAMETRO DOS ROTORES 114 MM, HM/Q: 2 M / 2,99 M3/H A 24 M / 0,71 M3/H                                                                                                                                                                                                                                                                                                                          </v>
          </cell>
          <cell r="C542" t="str">
            <v xml:space="preserve">UN    </v>
          </cell>
          <cell r="D542" t="str">
            <v>CR</v>
          </cell>
          <cell r="E542" t="str">
            <v>1.974,99</v>
          </cell>
        </row>
        <row r="543">
          <cell r="A543">
            <v>733</v>
          </cell>
          <cell r="B543" t="str">
            <v xml:space="preserve">BOMBA CENTRIFUGA MOTOR ELETRICO MONOFASICO 0,74HP  DIAMETRO DE SUCCAO X ELEVACAO 1 1/4" X 1", DIAMETRO DO ROTOR 120 MM, HM/Q: 8 M / 7,70 M3/H A 24 M / 2,80 M3/H                                                                                                                                                                                                                                                                                                                                          </v>
          </cell>
          <cell r="C543" t="str">
            <v xml:space="preserve">UN    </v>
          </cell>
          <cell r="D543" t="str">
            <v>CR</v>
          </cell>
          <cell r="E543" t="str">
            <v>2.162,37</v>
          </cell>
        </row>
        <row r="544">
          <cell r="A544">
            <v>732</v>
          </cell>
          <cell r="B544" t="str">
            <v xml:space="preserve">BOMBA CENTRIFUGA MOTOR ELETRICO TRIFASICO 0,99HP  DIAMETRO DE SUCCAO X ELEVACAO 1" X 1", DIAMETRO DO ROTOR 145 MM, HM/Q: 14 M / 8,4 M3/H A 40 M / 0,60 M3/H                                                                                                                                                                                                                                                                                                                                               </v>
          </cell>
          <cell r="C544" t="str">
            <v xml:space="preserve">UN    </v>
          </cell>
          <cell r="D544" t="str">
            <v>CR</v>
          </cell>
          <cell r="E544" t="str">
            <v>2.133,30</v>
          </cell>
        </row>
        <row r="545">
          <cell r="A545">
            <v>737</v>
          </cell>
          <cell r="B545" t="str">
            <v xml:space="preserve">BOMBA CENTRIFUGA MOTOR ELETRICO TRIFASICO 14,8 HP, DIAMETRO DE SUCCAO X ELEVACAO 2 1/2" X 2", DIAMETRO DO ROTOR 195 MM, HM/Q: 62 M / 55,5 M3/H A 80 M / 31,50 M3/H                                                                                                                                                                                                                                                                                                                                        </v>
          </cell>
          <cell r="C545" t="str">
            <v xml:space="preserve">UN    </v>
          </cell>
          <cell r="D545" t="str">
            <v>CR</v>
          </cell>
          <cell r="E545" t="str">
            <v>11.962,92</v>
          </cell>
        </row>
        <row r="546">
          <cell r="A546">
            <v>738</v>
          </cell>
          <cell r="B546" t="str">
            <v xml:space="preserve">BOMBA CENTRIFUGA MOTOR ELETRICO TRIFASICO 5HP, DIAMETRO DE SUCCAO X ELEVACAO 2" X 1 1/2", DIAMETRO DO ROTOR 155 MM, HM/Q: 40 M / 20,40 M3/H A 46 M / 9,20 M3/H                                                                                                                                                                                                                                                                                                                                            </v>
          </cell>
          <cell r="C546" t="str">
            <v xml:space="preserve">UN    </v>
          </cell>
          <cell r="D546" t="str">
            <v>CR</v>
          </cell>
          <cell r="E546" t="str">
            <v>5.547,12</v>
          </cell>
        </row>
        <row r="547">
          <cell r="A547">
            <v>740</v>
          </cell>
          <cell r="B547" t="str">
            <v xml:space="preserve">BOMBA CENTRIFUGA MOTOR ELETRICO TRIFASICO 9,86 DIAMETRO DE SUCCAO X ELEVACAO 1" X 1", 4 ESTAGIOS, DIAMETRO DOS ROTORES 4 X 146 MM, HM/Q: 85 M / 14,9 M3/H A 140 M / 4,2 M3/H                                                                                                                                                                                                                                                                                                                              </v>
          </cell>
          <cell r="C547" t="str">
            <v xml:space="preserve">UN    </v>
          </cell>
          <cell r="D547" t="str">
            <v>CR</v>
          </cell>
          <cell r="E547" t="str">
            <v>11.253,96</v>
          </cell>
        </row>
        <row r="548">
          <cell r="A548">
            <v>734</v>
          </cell>
          <cell r="B548" t="str">
            <v xml:space="preserve">BOMBA CENTRIFUGA,  MOTOR ELETRICO TRIFASICO 1,48HP  DIAMETRO DE SUCCAO X ELEVACAO 1 1/2" X 1", DIAMETRO DO ROTOR 117 MM, HM/Q: 10 M / 21,9 M3/H A 24 M / 6,1 M3/H                                                                                                                                                                                                                                                                                                                                         </v>
          </cell>
          <cell r="C548" t="str">
            <v xml:space="preserve">UN    </v>
          </cell>
          <cell r="D548" t="str">
            <v>CR</v>
          </cell>
          <cell r="E548" t="str">
            <v>2.286,89</v>
          </cell>
        </row>
        <row r="549">
          <cell r="A549">
            <v>39008</v>
          </cell>
          <cell r="B549" t="str">
            <v xml:space="preserve">BOMBA DE PROJECAO DE CONCRETO SECO, POTENCIA 10 CV, VAZAO 3 M3/H                                                                                                                                                                                                                                                                                                                                                                                                                                          </v>
          </cell>
          <cell r="C549" t="str">
            <v xml:space="preserve">UN    </v>
          </cell>
          <cell r="D549" t="str">
            <v>CR</v>
          </cell>
          <cell r="E549" t="str">
            <v>58.513,46</v>
          </cell>
        </row>
        <row r="550">
          <cell r="A550">
            <v>39009</v>
          </cell>
          <cell r="B550" t="str">
            <v xml:space="preserve">BOMBA DE PROJECAO DE CONCRETO SECO, POTENCIA 10 CV, VAZAO 6 M3/H                                                                                                                                                                                                                                                                                                                                                                                                                                          </v>
          </cell>
          <cell r="C550" t="str">
            <v xml:space="preserve">UN    </v>
          </cell>
          <cell r="D550" t="str">
            <v>CR</v>
          </cell>
          <cell r="E550" t="str">
            <v>62.689,92</v>
          </cell>
        </row>
        <row r="551">
          <cell r="A551">
            <v>10587</v>
          </cell>
          <cell r="B551" t="str">
            <v xml:space="preserve">BOMBA SUBMERSA PARA POCOS TUBULARES PROFUNDOS DIAMETRO DE 4 POLEGADAS, ELETRICA, MONOFASICA, POTENCIA 0,49 HP, 13 ESTAGIOS, BOCAL DE DESCARGA DIAMETRO DE UMA POLEGADA E MEIA, HM/Q = 18 M / 1,90 M3/H A 85 M / 0,60 M3/H                                                                                                                                                                                                                                                                                 </v>
          </cell>
          <cell r="C551" t="str">
            <v xml:space="preserve">UN    </v>
          </cell>
          <cell r="D551" t="str">
            <v>CR</v>
          </cell>
          <cell r="E551" t="str">
            <v>3.371,03</v>
          </cell>
        </row>
        <row r="552">
          <cell r="A552">
            <v>759</v>
          </cell>
          <cell r="B552" t="str">
            <v xml:space="preserve">BOMBA SUBMERSA PARA POCOS TUBULARES PROFUNDOS DIAMETRO DE 4 POLEGADAS, ELETRICA, TRIFASICA, POTENCIA 1,97 HP, 20 ESTAGIOS, BOCAL DE DESCARGA DIAMETRO DE UMA POLEGADA E MEIA, HM/Q = 18 M / 5,40 M3/H A 164 M / 0,80 M3/H                                                                                                                                                                                                                                                                                 </v>
          </cell>
          <cell r="C552" t="str">
            <v xml:space="preserve">UN    </v>
          </cell>
          <cell r="D552" t="str">
            <v>CR</v>
          </cell>
          <cell r="E552" t="str">
            <v>4.846,87</v>
          </cell>
        </row>
        <row r="553">
          <cell r="A553">
            <v>761</v>
          </cell>
          <cell r="B553" t="str">
            <v xml:space="preserve">BOMBA SUBMERSA PARA POCOS TUBULARES PROFUNDOS DIAMETRO DE 4 POLEGADAS, ELETRICA, TRIFASICA, POTENCIA 5,42 HP, 15 ESTAGIOS, BOCAL DE DESCARGA DIAMETRO DE 2 POLEGADAS, HM/Q = 18 M / 18,10 M3/H A 121 M / 2,90 M3/H                                                                                                                                                                                                                                                                                        </v>
          </cell>
          <cell r="C553" t="str">
            <v xml:space="preserve">UN    </v>
          </cell>
          <cell r="D553" t="str">
            <v>CR</v>
          </cell>
          <cell r="E553" t="str">
            <v>8.215,86</v>
          </cell>
        </row>
        <row r="554">
          <cell r="A554">
            <v>750</v>
          </cell>
          <cell r="B554" t="str">
            <v xml:space="preserve">BOMBA SUBMERSA PARA POCOS TUBULARES PROFUNDOS DIAMETRO DE 4 POLEGADAS, ELETRICA, TRIFASICA, POTENCIA 5,42 HP, 29 ESTAGIOS, BOCAL DE DESCARGA DE UMA POLEGADA E MEIA, HM/Q = 18 M / 8,10 M3/H A 201 M / 3,2 M3/H                                                                                                                                                                                                                                                                                           </v>
          </cell>
          <cell r="C554" t="str">
            <v xml:space="preserve">UN    </v>
          </cell>
          <cell r="D554" t="str">
            <v>CR</v>
          </cell>
          <cell r="E554" t="str">
            <v>7.800,30</v>
          </cell>
        </row>
        <row r="555">
          <cell r="A555">
            <v>755</v>
          </cell>
          <cell r="B555" t="str">
            <v xml:space="preserve">BOMBA SUBMERSA PARA POCOS TUBULARES PROFUNDOS DIAMETRO DE 6 POLEGADAS, ELETRICA, TRIFASICA, POTENCIA 27,12 HP, 7 ESTAGIOS, BOCAL DE DESCARGA DIAMETRO DE 4 POLEGADAS, HM/Q = 13,9 M / 90 M3/H A 44,0 M / 25,0 M3/H                                                                                                                                                                                                                                                                                        </v>
          </cell>
          <cell r="C555" t="str">
            <v xml:space="preserve">UN    </v>
          </cell>
          <cell r="D555" t="str">
            <v>CR</v>
          </cell>
          <cell r="E555" t="str">
            <v>32.008,66</v>
          </cell>
        </row>
        <row r="556">
          <cell r="A556">
            <v>749</v>
          </cell>
          <cell r="B556" t="str">
            <v xml:space="preserve">BOMBA SUBMERSA PARA POCOS TUBULARES PROFUNDOS DIAMETRO DE 6 POLEGADAS, ELETRICA, TRIFASICA, POTENCIA 3,45 HP, 5 ESTAGIOS, BOCAL DE DESCARGA DIAMETRO DE 2 POLEGADAS, HM/Q = 68,5 M / 6,12 M3/H A 39,5 M / 14,04 M3/H                                                                                                                                                                                                                                                                                      </v>
          </cell>
          <cell r="C556" t="str">
            <v xml:space="preserve">UN    </v>
          </cell>
          <cell r="D556" t="str">
            <v>CR</v>
          </cell>
          <cell r="E556" t="str">
            <v>11.772,19</v>
          </cell>
        </row>
        <row r="557">
          <cell r="A557">
            <v>756</v>
          </cell>
          <cell r="B557" t="str">
            <v xml:space="preserve">BOMBA SUBMERSA PARA POCOS TUBULARES PROFUNDOS DIAMETRO DE 6 POLEGADAS, ELETRICA, TRIFASICA, POTENCIA 32 HP, 9 ESTAGIOS, BOCAL DE DESCARGA DIAMETRO DE 4 POLEGADAS, HM/Q = 114,0 M / 13,9 M3/H A 57,0 M / 25,0 M3/H                                                                                                                                                                                                                                                                                        </v>
          </cell>
          <cell r="C557" t="str">
            <v xml:space="preserve">UN    </v>
          </cell>
          <cell r="D557" t="str">
            <v>CR</v>
          </cell>
          <cell r="E557" t="str">
            <v>34.909,73</v>
          </cell>
        </row>
        <row r="558">
          <cell r="A558">
            <v>757</v>
          </cell>
          <cell r="B558" t="str">
            <v xml:space="preserve">BOMBA SUBMERSIVEL,  ELETRICA, TRIFASICA, POTENCIA 6 HP, DIAMETRO DO ROTOR 127 MM, BOCAL DE SAIDA DIAMETRO DE 3 POLEGADAS, HM/Q = 7 M / 66,90 M3/H A 26 M / 2,88 M3/H                                                                                                                                                                                                                                                                                                                                      </v>
          </cell>
          <cell r="C558" t="str">
            <v xml:space="preserve">UN    </v>
          </cell>
          <cell r="D558" t="str">
            <v>CR</v>
          </cell>
          <cell r="E558" t="str">
            <v>15.851,25</v>
          </cell>
        </row>
        <row r="559">
          <cell r="A559">
            <v>10588</v>
          </cell>
          <cell r="B559" t="str">
            <v xml:space="preserve">BOMBA SUBMERSIVEL, ELETRICA, TRIFASICA, POTENCIA 0,98 HP, DIAMETRO DO ROTOR 142 MM SEMIABERTO, BOCAL DE SAIDA DIAMETRO DE 2 POLEGADAS, HM/Q = 2 M / 32 M3/H A 8 M / 16 M3/H                                                                                                                                                                                                                                                                                                                               </v>
          </cell>
          <cell r="C559" t="str">
            <v xml:space="preserve">UN    </v>
          </cell>
          <cell r="D559" t="str">
            <v>CR</v>
          </cell>
          <cell r="E559" t="str">
            <v>3.499,55</v>
          </cell>
        </row>
        <row r="560">
          <cell r="A560">
            <v>10592</v>
          </cell>
          <cell r="B560" t="str">
            <v xml:space="preserve">BOMBA SUBMERSIVEL, ELETRICA, TRIFASICA, POTENCIA 0,99 HP, DIAMETRO ROTOR 98 MM SEMIABERTO, BOCAL DE SAIDA DIAMETRO 2 POLEGADAS, HM/Q = 2 M / 28,90 M3/H A 14 M / 7 M3/H                                                                                                                                                                                                                                                                                                                                   </v>
          </cell>
          <cell r="C560" t="str">
            <v xml:space="preserve">UN    </v>
          </cell>
          <cell r="D560" t="str">
            <v xml:space="preserve">C </v>
          </cell>
          <cell r="E560" t="str">
            <v>4.227,00</v>
          </cell>
        </row>
        <row r="561">
          <cell r="A561">
            <v>10589</v>
          </cell>
          <cell r="B561" t="str">
            <v xml:space="preserve">BOMBA SUBMERSIVEL, ELETRICA, TRIFASICA, POTENCIA 1,97 HP, DIAMETRO DO ROTOR 144 MM SEMIABERTO, BOCAL DE SAIDA DIAMETRO DE 2 POLEGADAS, HM/Q = 2 M / 26,8 M3/H A 28 M / 4,6 M3/H                                                                                                                                                                                                                                                                                                                           </v>
          </cell>
          <cell r="C561" t="str">
            <v xml:space="preserve">UN    </v>
          </cell>
          <cell r="D561" t="str">
            <v>CR</v>
          </cell>
          <cell r="E561" t="str">
            <v>5.678,71</v>
          </cell>
        </row>
        <row r="562">
          <cell r="A562">
            <v>760</v>
          </cell>
          <cell r="B562" t="str">
            <v xml:space="preserve">BOMBA SUBMERSIVEL, ELETRICA, TRIFASICA, POTENCIA 13 HP, DIAMETRO DO ROTOR 170 MM, BOCAL DE SAIDA DIAMETRO DE 3 POLEGADAS, HM/Q = 11 M / 68,40 M3/H A 72 M / 3,6 M3/H                                                                                                                                                                                                                                                                                                                                      </v>
          </cell>
          <cell r="C562" t="str">
            <v xml:space="preserve">UN    </v>
          </cell>
          <cell r="D562" t="str">
            <v>CR</v>
          </cell>
          <cell r="E562" t="str">
            <v>31.702,50</v>
          </cell>
        </row>
        <row r="563">
          <cell r="A563">
            <v>751</v>
          </cell>
          <cell r="B563" t="str">
            <v xml:space="preserve">BOMBA SUBMERSIVEL, ELETRICA, TRIFASICA, POTENCIA 2,96 HP, DIAMETRO DO ROTOR 144 MM SEMIABERTO, BOCAL DE SAIDA DIAMETRO DE DUAS POLEGADAS, HM/Q = 2 M / 38,8 M3/H A 28 M / 5 M3/H                                                                                                                                                                                                                                                                                                                          </v>
          </cell>
          <cell r="C563" t="str">
            <v xml:space="preserve">UN    </v>
          </cell>
          <cell r="D563" t="str">
            <v>CR</v>
          </cell>
          <cell r="E563" t="str">
            <v>4.993,14</v>
          </cell>
        </row>
        <row r="564">
          <cell r="A564">
            <v>754</v>
          </cell>
          <cell r="B564" t="str">
            <v xml:space="preserve">BOMBA SUBMERSIVEL, ELETRICA, TRIFASICA, POTENCIA 3,75 HP, DIAMETRO DO ROTOR 90 MM SEMIABERTO, BOCAL DE SAIDA DIAMETRO DE 2 POLEGADAS, HM/Q = 5 M / 61,2 M3/H A 25,5 M / 3,6 M3/H                                                                                                                                                                                                                                                                                                                          </v>
          </cell>
          <cell r="C564" t="str">
            <v xml:space="preserve">UN    </v>
          </cell>
          <cell r="D564" t="str">
            <v>CR</v>
          </cell>
          <cell r="E564" t="str">
            <v>7.925,62</v>
          </cell>
        </row>
        <row r="565">
          <cell r="A565">
            <v>44489</v>
          </cell>
          <cell r="B565" t="str">
            <v xml:space="preserve">BOMBA TRIPLEX COM MOTOR A DIESEL, NACIONAL, DIAMETRO DE SUCCAO DE 2  1/2''                                                                                                                                                                                                                                                                                                                                                                                                                                </v>
          </cell>
          <cell r="C565" t="str">
            <v xml:space="preserve">UN    </v>
          </cell>
          <cell r="D565" t="str">
            <v>CR</v>
          </cell>
          <cell r="E565" t="str">
            <v>323.263,94</v>
          </cell>
        </row>
        <row r="566">
          <cell r="A566">
            <v>39917</v>
          </cell>
          <cell r="B566" t="str">
            <v xml:space="preserve">BOMBA TRIPLEX, PARA INJECAO DE CALDA DE CIMENTO, VAZAO MAXIMA DE *100* LITROS/MINUTO, PRESSAO MAXIMA DE *70* BAR, POTENCIA DE 15 CV                                                                                                                                                                                                                                                                                                                                                                       </v>
          </cell>
          <cell r="C566" t="str">
            <v xml:space="preserve">UN    </v>
          </cell>
          <cell r="D566" t="str">
            <v>CR</v>
          </cell>
          <cell r="E566" t="str">
            <v>89.880,90</v>
          </cell>
        </row>
        <row r="567">
          <cell r="A567">
            <v>38167</v>
          </cell>
          <cell r="B567" t="str">
            <v xml:space="preserve">BORBOLETA PARA JANELA TIPO GUILHOTINA, EM ZAMAC CROMADO                                                                                                                                                                                                                                                                                                                                                                                                                                                   </v>
          </cell>
          <cell r="C567" t="str">
            <v xml:space="preserve">PAR   </v>
          </cell>
          <cell r="D567" t="str">
            <v>CR</v>
          </cell>
          <cell r="E567" t="str">
            <v>24,79</v>
          </cell>
        </row>
        <row r="568">
          <cell r="A568">
            <v>36145</v>
          </cell>
          <cell r="B568" t="str">
            <v xml:space="preserve">BOTA DE PVC PRETA, CANO MEDIO, SEM FORRO                                                                                                                                                                                                                                                                                                                                                                                                                                                                  </v>
          </cell>
          <cell r="C568" t="str">
            <v xml:space="preserve">PAR   </v>
          </cell>
          <cell r="D568" t="str">
            <v>CR</v>
          </cell>
          <cell r="E568" t="str">
            <v>43,20</v>
          </cell>
        </row>
        <row r="569">
          <cell r="A569">
            <v>12893</v>
          </cell>
          <cell r="B569" t="str">
            <v xml:space="preserve">BOTA DE SEGURANCA COM BIQUEIRA DE ACO E COLARINHO ACOLCHOADO                                                                                                                                                                                                                                                                                                                                                                                                                                              </v>
          </cell>
          <cell r="C569" t="str">
            <v xml:space="preserve">PAR   </v>
          </cell>
          <cell r="D569" t="str">
            <v>CR</v>
          </cell>
          <cell r="E569" t="str">
            <v>72,00</v>
          </cell>
        </row>
        <row r="570">
          <cell r="A570">
            <v>11685</v>
          </cell>
          <cell r="B570" t="str">
            <v xml:space="preserve">BRACO / CANO PARA CHUVEIRO ELETRICO, EM ALUMINIO, 30 CM X 1/2 "                                                                                                                                                                                                                                                                                                                                                                                                                                           </v>
          </cell>
          <cell r="C570" t="str">
            <v xml:space="preserve">UN    </v>
          </cell>
          <cell r="D570" t="str">
            <v>CR</v>
          </cell>
          <cell r="E570" t="str">
            <v>29,34</v>
          </cell>
        </row>
        <row r="571">
          <cell r="A571">
            <v>11680</v>
          </cell>
          <cell r="B571" t="str">
            <v xml:space="preserve">BRACO OU HASTE COM CANOPLA PLASTICA, 1/2 ", PARA CHUVEIRO SIMPLES                                                                                                                                                                                                                                                                                                                                                                                                                                         </v>
          </cell>
          <cell r="C571" t="str">
            <v xml:space="preserve">UN    </v>
          </cell>
          <cell r="D571" t="str">
            <v>CR</v>
          </cell>
          <cell r="E571" t="str">
            <v>18,89</v>
          </cell>
        </row>
        <row r="572">
          <cell r="A572">
            <v>11679</v>
          </cell>
          <cell r="B572" t="str">
            <v xml:space="preserve">BRACO OU HASTE RETA COM CANOPLA PLASTICA, 1/2 ", PARA CHUVEIRO ELETRICO                                                                                                                                                                                                                                                                                                                                                                                                                                   </v>
          </cell>
          <cell r="C572" t="str">
            <v xml:space="preserve">UN    </v>
          </cell>
          <cell r="D572" t="str">
            <v>CR</v>
          </cell>
          <cell r="E572" t="str">
            <v>25,61</v>
          </cell>
        </row>
        <row r="573">
          <cell r="A573">
            <v>2512</v>
          </cell>
          <cell r="B573" t="str">
            <v xml:space="preserve">BRACO P/ LUMINARIA PUBLICA 1 X 1,50M ROMAGNOLE OU EQUIV                                                                                                                                                                                                                                                                                                                                                                                                                                                   </v>
          </cell>
          <cell r="C573" t="str">
            <v xml:space="preserve">UN    </v>
          </cell>
          <cell r="D573" t="str">
            <v>CR</v>
          </cell>
          <cell r="E573" t="str">
            <v>43,74</v>
          </cell>
        </row>
        <row r="574">
          <cell r="A574">
            <v>4374</v>
          </cell>
          <cell r="B574" t="str">
            <v xml:space="preserve">BUCHA DE NYLON SEM ABA S10                                                                                                                                                                                                                                                                                                                                                                                                                                                                                </v>
          </cell>
          <cell r="C574" t="str">
            <v xml:space="preserve">UN    </v>
          </cell>
          <cell r="D574" t="str">
            <v>CR</v>
          </cell>
          <cell r="E574" t="str">
            <v>0,33</v>
          </cell>
        </row>
        <row r="575">
          <cell r="A575">
            <v>7568</v>
          </cell>
          <cell r="B575" t="str">
            <v xml:space="preserve">BUCHA DE NYLON SEM ABA S10, COM PARAFUSO DE 6,10 X 65 MM EM ACO ZINCADO COM ROSCA SOBERBA, CABECA CHATA E FENDA PHILLIPS                                                                                                                                                                                                                                                                                                                                                                                  </v>
          </cell>
          <cell r="C575" t="str">
            <v xml:space="preserve">UN    </v>
          </cell>
          <cell r="D575" t="str">
            <v>CR</v>
          </cell>
          <cell r="E575" t="str">
            <v>0,55</v>
          </cell>
        </row>
        <row r="576">
          <cell r="A576">
            <v>7584</v>
          </cell>
          <cell r="B576" t="str">
            <v xml:space="preserve">BUCHA DE NYLON SEM ABA S12, COM PARAFUSO DE 5/16" X 80 MM EM ACO ZINCADO COM ROSCA SOBERBA E CABECA SEXTAVADA                                                                                                                                                                                                                                                                                                                                                                                             </v>
          </cell>
          <cell r="C576" t="str">
            <v xml:space="preserve">UN    </v>
          </cell>
          <cell r="D576" t="str">
            <v>CR</v>
          </cell>
          <cell r="E576" t="str">
            <v>0,84</v>
          </cell>
        </row>
        <row r="577">
          <cell r="A577">
            <v>11945</v>
          </cell>
          <cell r="B577" t="str">
            <v xml:space="preserve">BUCHA DE NYLON SEM ABA S4                                                                                                                                                                                                                                                                                                                                                                                                                                                                                 </v>
          </cell>
          <cell r="C577" t="str">
            <v xml:space="preserve">UN    </v>
          </cell>
          <cell r="D577" t="str">
            <v>CR</v>
          </cell>
          <cell r="E577" t="str">
            <v>0,05</v>
          </cell>
        </row>
        <row r="578">
          <cell r="A578">
            <v>11946</v>
          </cell>
          <cell r="B578" t="str">
            <v xml:space="preserve">BUCHA DE NYLON SEM ABA S5                                                                                                                                                                                                                                                                                                                                                                                                                                                                                 </v>
          </cell>
          <cell r="C578" t="str">
            <v xml:space="preserve">UN    </v>
          </cell>
          <cell r="D578" t="str">
            <v>CR</v>
          </cell>
          <cell r="E578" t="str">
            <v>0,06</v>
          </cell>
        </row>
        <row r="579">
          <cell r="A579">
            <v>4375</v>
          </cell>
          <cell r="B579" t="str">
            <v xml:space="preserve">BUCHA DE NYLON SEM ABA S6                                                                                                                                                                                                                                                                                                                                                                                                                                                                                 </v>
          </cell>
          <cell r="C579" t="str">
            <v xml:space="preserve">UN    </v>
          </cell>
          <cell r="D579" t="str">
            <v xml:space="preserve">C </v>
          </cell>
          <cell r="E579" t="str">
            <v>0,09</v>
          </cell>
        </row>
        <row r="580">
          <cell r="A580">
            <v>11950</v>
          </cell>
          <cell r="B580" t="str">
            <v xml:space="preserve">BUCHA DE NYLON SEM ABA S6, COM PARAFUSO DE 4,20 X 40 MM EM ACO ZINCADO COM ROSCA SOBERBA, CABECA CHATA E FENDA PHILLIPS                                                                                                                                                                                                                                                                                                                                                                                   </v>
          </cell>
          <cell r="C580" t="str">
            <v xml:space="preserve">UN    </v>
          </cell>
          <cell r="D580" t="str">
            <v>CR</v>
          </cell>
          <cell r="E580" t="str">
            <v>0,18</v>
          </cell>
        </row>
        <row r="581">
          <cell r="A581">
            <v>4376</v>
          </cell>
          <cell r="B581" t="str">
            <v xml:space="preserve">BUCHA DE NYLON SEM ABA S8                                                                                                                                                                                                                                                                                                                                                                                                                                                                                 </v>
          </cell>
          <cell r="C581" t="str">
            <v xml:space="preserve">UN    </v>
          </cell>
          <cell r="D581" t="str">
            <v>CR</v>
          </cell>
          <cell r="E581" t="str">
            <v>0,17</v>
          </cell>
        </row>
        <row r="582">
          <cell r="A582">
            <v>7583</v>
          </cell>
          <cell r="B582" t="str">
            <v xml:space="preserve">BUCHA DE NYLON SEM ABA S8, COM PARAFUSO DE 4,80 X 50 MM EM ACO ZINCADO COM ROSCA SOBERBA, CABECA CHATA E FENDA PHILLIPS                                                                                                                                                                                                                                                                                                                                                                                   </v>
          </cell>
          <cell r="C582" t="str">
            <v xml:space="preserve">UN    </v>
          </cell>
          <cell r="D582" t="str">
            <v>CR</v>
          </cell>
          <cell r="E582" t="str">
            <v>0,37</v>
          </cell>
        </row>
        <row r="583">
          <cell r="A583">
            <v>4350</v>
          </cell>
          <cell r="B583" t="str">
            <v xml:space="preserve">BUCHA DE NYLON, DIAMETRO DO FURO 8 MM, COMPRIMENTO 40 MM, COM PARAFUSO DE ROSCA SOBERBA, CABECA CHATA, FENDA SIMPLES, 4,8 X 50 MM                                                                                                                                                                                                                                                                                                                                                                         </v>
          </cell>
          <cell r="C583" t="str">
            <v xml:space="preserve">UN    </v>
          </cell>
          <cell r="D583" t="str">
            <v>CR</v>
          </cell>
          <cell r="E583" t="str">
            <v>0,67</v>
          </cell>
        </row>
        <row r="584">
          <cell r="A584">
            <v>44400</v>
          </cell>
          <cell r="B584" t="str">
            <v xml:space="preserve">BUCHA DE REDUCAO CPVC, SOLDAVEL, 54 X 28 MM, PARA AGUA QUENTE                                                                                                                                                                                                                                                                                                                                                                                                                                             </v>
          </cell>
          <cell r="C584" t="str">
            <v xml:space="preserve">UN    </v>
          </cell>
          <cell r="D584" t="str">
            <v>CR</v>
          </cell>
          <cell r="E584" t="str">
            <v>25,70</v>
          </cell>
        </row>
        <row r="585">
          <cell r="A585">
            <v>39886</v>
          </cell>
          <cell r="B585" t="str">
            <v xml:space="preserve">BUCHA DE REDUCAO DE COBRE (REF 600-2) SEM ANEL DE SOLDA, PONTA X BOLSA, 22 X 15 MM                                                                                                                                                                                                                                                                                                                                                                                                                        </v>
          </cell>
          <cell r="C585" t="str">
            <v xml:space="preserve">UN    </v>
          </cell>
          <cell r="D585" t="str">
            <v>CR</v>
          </cell>
          <cell r="E585" t="str">
            <v>5,64</v>
          </cell>
        </row>
        <row r="586">
          <cell r="A586">
            <v>39887</v>
          </cell>
          <cell r="B586" t="str">
            <v xml:space="preserve">BUCHA DE REDUCAO DE COBRE (REF 600-2) SEM ANEL DE SOLDA, PONTA X BOLSA, 28 X 22 MM                                                                                                                                                                                                                                                                                                                                                                                                                        </v>
          </cell>
          <cell r="C586" t="str">
            <v xml:space="preserve">UN    </v>
          </cell>
          <cell r="D586" t="str">
            <v>CR</v>
          </cell>
          <cell r="E586" t="str">
            <v>8,46</v>
          </cell>
        </row>
        <row r="587">
          <cell r="A587">
            <v>39888</v>
          </cell>
          <cell r="B587" t="str">
            <v xml:space="preserve">BUCHA DE REDUCAO DE COBRE (REF 600-2) SEM ANEL DE SOLDA, PONTA X BOLSA, 35 X 28 MM                                                                                                                                                                                                                                                                                                                                                                                                                        </v>
          </cell>
          <cell r="C587" t="str">
            <v xml:space="preserve">UN    </v>
          </cell>
          <cell r="D587" t="str">
            <v>CR</v>
          </cell>
          <cell r="E587" t="str">
            <v>19,36</v>
          </cell>
        </row>
        <row r="588">
          <cell r="A588">
            <v>39890</v>
          </cell>
          <cell r="B588" t="str">
            <v xml:space="preserve">BUCHA DE REDUCAO DE COBRE (REF 600-2) SEM ANEL DE SOLDA, PONTA X BOLSA, 42 X 35 MM                                                                                                                                                                                                                                                                                                                                                                                                                        </v>
          </cell>
          <cell r="C588" t="str">
            <v xml:space="preserve">UN    </v>
          </cell>
          <cell r="D588" t="str">
            <v>CR</v>
          </cell>
          <cell r="E588" t="str">
            <v>33,04</v>
          </cell>
        </row>
        <row r="589">
          <cell r="A589">
            <v>39891</v>
          </cell>
          <cell r="B589" t="str">
            <v xml:space="preserve">BUCHA DE REDUCAO DE COBRE (REF 600-2) SEM ANEL DE SOLDA, PONTA X BOLSA, 54 X 42 MM                                                                                                                                                                                                                                                                                                                                                                                                                        </v>
          </cell>
          <cell r="C589" t="str">
            <v xml:space="preserve">UN    </v>
          </cell>
          <cell r="D589" t="str">
            <v>CR</v>
          </cell>
          <cell r="E589" t="str">
            <v>46,59</v>
          </cell>
        </row>
        <row r="590">
          <cell r="A590">
            <v>39892</v>
          </cell>
          <cell r="B590" t="str">
            <v xml:space="preserve">BUCHA DE REDUCAO DE COBRE (REF 600-2) SEM ANEL DE SOLDA, PONTA X BOLSA, 66 X 54 MM                                                                                                                                                                                                                                                                                                                                                                                                                        </v>
          </cell>
          <cell r="C590" t="str">
            <v xml:space="preserve">UN    </v>
          </cell>
          <cell r="D590" t="str">
            <v>CR</v>
          </cell>
          <cell r="E590" t="str">
            <v>145,23</v>
          </cell>
        </row>
        <row r="591">
          <cell r="A591">
            <v>790</v>
          </cell>
          <cell r="B591" t="str">
            <v xml:space="preserve">BUCHA DE REDUCAO DE FERRO GALVANIZADO, COM ROSCA BSP, DE 1 1/2" X 1 1/4"                                                                                                                                                                                                                                                                                                                                                                                                                                  </v>
          </cell>
          <cell r="C591" t="str">
            <v xml:space="preserve">UN    </v>
          </cell>
          <cell r="D591" t="str">
            <v>CR</v>
          </cell>
          <cell r="E591" t="str">
            <v>23,11</v>
          </cell>
        </row>
        <row r="592">
          <cell r="A592">
            <v>766</v>
          </cell>
          <cell r="B592" t="str">
            <v xml:space="preserve">BUCHA DE REDUCAO DE FERRO GALVANIZADO, COM ROSCA BSP, DE 1 1/2" X 1/2"                                                                                                                                                                                                                                                                                                                                                                                                                                    </v>
          </cell>
          <cell r="C592" t="str">
            <v xml:space="preserve">UN    </v>
          </cell>
          <cell r="D592" t="str">
            <v>CR</v>
          </cell>
          <cell r="E592" t="str">
            <v>23,11</v>
          </cell>
        </row>
        <row r="593">
          <cell r="A593">
            <v>791</v>
          </cell>
          <cell r="B593" t="str">
            <v xml:space="preserve">BUCHA DE REDUCAO DE FERRO GALVANIZADO, COM ROSCA BSP, DE 1 1/2" X 1"                                                                                                                                                                                                                                                                                                                                                                                                                                      </v>
          </cell>
          <cell r="C593" t="str">
            <v xml:space="preserve">UN    </v>
          </cell>
          <cell r="D593" t="str">
            <v>CR</v>
          </cell>
          <cell r="E593" t="str">
            <v>23,11</v>
          </cell>
        </row>
        <row r="594">
          <cell r="A594">
            <v>767</v>
          </cell>
          <cell r="B594" t="str">
            <v xml:space="preserve">BUCHA DE REDUCAO DE FERRO GALVANIZADO, COM ROSCA BSP, DE 1 1/2" X 3/4"                                                                                                                                                                                                                                                                                                                                                                                                                                    </v>
          </cell>
          <cell r="C594" t="str">
            <v xml:space="preserve">UN    </v>
          </cell>
          <cell r="D594" t="str">
            <v>CR</v>
          </cell>
          <cell r="E594" t="str">
            <v>23,11</v>
          </cell>
        </row>
        <row r="595">
          <cell r="A595">
            <v>768</v>
          </cell>
          <cell r="B595" t="str">
            <v xml:space="preserve">BUCHA DE REDUCAO DE FERRO GALVANIZADO, COM ROSCA BSP, DE 1 1/4" X 1/2"                                                                                                                                                                                                                                                                                                                                                                                                                                    </v>
          </cell>
          <cell r="C595" t="str">
            <v xml:space="preserve">UN    </v>
          </cell>
          <cell r="D595" t="str">
            <v>CR</v>
          </cell>
          <cell r="E595" t="str">
            <v>18,15</v>
          </cell>
        </row>
        <row r="596">
          <cell r="A596">
            <v>789</v>
          </cell>
          <cell r="B596" t="str">
            <v xml:space="preserve">BUCHA DE REDUCAO DE FERRO GALVANIZADO, COM ROSCA BSP, DE 1 1/4" X 1"                                                                                                                                                                                                                                                                                                                                                                                                                                      </v>
          </cell>
          <cell r="C596" t="str">
            <v xml:space="preserve">UN    </v>
          </cell>
          <cell r="D596" t="str">
            <v>CR</v>
          </cell>
          <cell r="E596" t="str">
            <v>17,76</v>
          </cell>
        </row>
        <row r="597">
          <cell r="A597">
            <v>769</v>
          </cell>
          <cell r="B597" t="str">
            <v xml:space="preserve">BUCHA DE REDUCAO DE FERRO GALVANIZADO, COM ROSCA BSP, DE 1 1/4" X 3/4"                                                                                                                                                                                                                                                                                                                                                                                                                                    </v>
          </cell>
          <cell r="C597" t="str">
            <v xml:space="preserve">UN    </v>
          </cell>
          <cell r="D597" t="str">
            <v>CR</v>
          </cell>
          <cell r="E597" t="str">
            <v>18,15</v>
          </cell>
        </row>
        <row r="598">
          <cell r="A598">
            <v>770</v>
          </cell>
          <cell r="B598" t="str">
            <v xml:space="preserve">BUCHA DE REDUCAO DE FERRO GALVANIZADO, COM ROSCA BSP, DE 1/2" X 1/4"                                                                                                                                                                                                                                                                                                                                                                                                                                      </v>
          </cell>
          <cell r="C598" t="str">
            <v xml:space="preserve">UN    </v>
          </cell>
          <cell r="D598" t="str">
            <v>CR</v>
          </cell>
          <cell r="E598" t="str">
            <v>6,40</v>
          </cell>
        </row>
        <row r="599">
          <cell r="A599">
            <v>12394</v>
          </cell>
          <cell r="B599" t="str">
            <v xml:space="preserve">BUCHA DE REDUCAO DE FERRO GALVANIZADO, COM ROSCA BSP, DE 1/2" X 3/8"                                                                                                                                                                                                                                                                                                                                                                                                                                      </v>
          </cell>
          <cell r="C599" t="str">
            <v xml:space="preserve">UN    </v>
          </cell>
          <cell r="D599" t="str">
            <v>CR</v>
          </cell>
          <cell r="E599" t="str">
            <v>6,40</v>
          </cell>
        </row>
        <row r="600">
          <cell r="A600">
            <v>764</v>
          </cell>
          <cell r="B600" t="str">
            <v xml:space="preserve">BUCHA DE REDUCAO DE FERRO GALVANIZADO, COM ROSCA BSP, DE 1" X 1/2"                                                                                                                                                                                                                                                                                                                                                                                                                                        </v>
          </cell>
          <cell r="C600" t="str">
            <v xml:space="preserve">UN    </v>
          </cell>
          <cell r="D600" t="str">
            <v xml:space="preserve">C </v>
          </cell>
          <cell r="E600" t="str">
            <v>11,17</v>
          </cell>
        </row>
        <row r="601">
          <cell r="A601">
            <v>765</v>
          </cell>
          <cell r="B601" t="str">
            <v xml:space="preserve">BUCHA DE REDUCAO DE FERRO GALVANIZADO, COM ROSCA BSP, DE 1" X 3/4"                                                                                                                                                                                                                                                                                                                                                                                                                                        </v>
          </cell>
          <cell r="C601" t="str">
            <v xml:space="preserve">UN    </v>
          </cell>
          <cell r="D601" t="str">
            <v>CR</v>
          </cell>
          <cell r="E601" t="str">
            <v>11,17</v>
          </cell>
        </row>
        <row r="602">
          <cell r="A602">
            <v>787</v>
          </cell>
          <cell r="B602" t="str">
            <v xml:space="preserve">BUCHA DE REDUCAO DE FERRO GALVANIZADO, COM ROSCA BSP, DE 2 1/2" X 1 1/2"                                                                                                                                                                                                                                                                                                                                                                                                                                  </v>
          </cell>
          <cell r="C602" t="str">
            <v xml:space="preserve">UN    </v>
          </cell>
          <cell r="D602" t="str">
            <v>CR</v>
          </cell>
          <cell r="E602" t="str">
            <v>49,89</v>
          </cell>
        </row>
        <row r="603">
          <cell r="A603">
            <v>774</v>
          </cell>
          <cell r="B603" t="str">
            <v xml:space="preserve">BUCHA DE REDUCAO DE FERRO GALVANIZADO, COM ROSCA BSP, DE 2 1/2" X 1 1/4"                                                                                                                                                                                                                                                                                                                                                                                                                                  </v>
          </cell>
          <cell r="C603" t="str">
            <v xml:space="preserve">UN    </v>
          </cell>
          <cell r="D603" t="str">
            <v>CR</v>
          </cell>
          <cell r="E603" t="str">
            <v>49,89</v>
          </cell>
        </row>
        <row r="604">
          <cell r="A604">
            <v>773</v>
          </cell>
          <cell r="B604" t="str">
            <v xml:space="preserve">BUCHA DE REDUCAO DE FERRO GALVANIZADO, COM ROSCA BSP, DE 2 1/2" X 1"                                                                                                                                                                                                                                                                                                                                                                                                                                      </v>
          </cell>
          <cell r="C604" t="str">
            <v xml:space="preserve">UN    </v>
          </cell>
          <cell r="D604" t="str">
            <v>CR</v>
          </cell>
          <cell r="E604" t="str">
            <v>49,89</v>
          </cell>
        </row>
        <row r="605">
          <cell r="A605">
            <v>775</v>
          </cell>
          <cell r="B605" t="str">
            <v xml:space="preserve">BUCHA DE REDUCAO DE FERRO GALVANIZADO, COM ROSCA BSP, DE 2 1/2" X 2"                                                                                                                                                                                                                                                                                                                                                                                                                                      </v>
          </cell>
          <cell r="C605" t="str">
            <v xml:space="preserve">UN    </v>
          </cell>
          <cell r="D605" t="str">
            <v>CR</v>
          </cell>
          <cell r="E605" t="str">
            <v>49,89</v>
          </cell>
        </row>
        <row r="606">
          <cell r="A606">
            <v>788</v>
          </cell>
          <cell r="B606" t="str">
            <v xml:space="preserve">BUCHA DE REDUCAO DE FERRO GALVANIZADO, COM ROSCA BSP, DE 2" X 1 1/2"                                                                                                                                                                                                                                                                                                                                                                                                                                      </v>
          </cell>
          <cell r="C606" t="str">
            <v xml:space="preserve">UN    </v>
          </cell>
          <cell r="D606" t="str">
            <v>CR</v>
          </cell>
          <cell r="E606" t="str">
            <v>31,01</v>
          </cell>
        </row>
        <row r="607">
          <cell r="A607">
            <v>772</v>
          </cell>
          <cell r="B607" t="str">
            <v xml:space="preserve">BUCHA DE REDUCAO DE FERRO GALVANIZADO, COM ROSCA BSP, DE 2" X 1 1/4"                                                                                                                                                                                                                                                                                                                                                                                                                                      </v>
          </cell>
          <cell r="C607" t="str">
            <v xml:space="preserve">UN    </v>
          </cell>
          <cell r="D607" t="str">
            <v>CR</v>
          </cell>
          <cell r="E607" t="str">
            <v>31,01</v>
          </cell>
        </row>
        <row r="608">
          <cell r="A608">
            <v>771</v>
          </cell>
          <cell r="B608" t="str">
            <v xml:space="preserve">BUCHA DE REDUCAO DE FERRO GALVANIZADO, COM ROSCA BSP, DE 2" X 1"                                                                                                                                                                                                                                                                                                                                                                                                                                          </v>
          </cell>
          <cell r="C608" t="str">
            <v xml:space="preserve">UN    </v>
          </cell>
          <cell r="D608" t="str">
            <v>CR</v>
          </cell>
          <cell r="E608" t="str">
            <v>31,01</v>
          </cell>
        </row>
        <row r="609">
          <cell r="A609">
            <v>779</v>
          </cell>
          <cell r="B609" t="str">
            <v xml:space="preserve">BUCHA DE REDUCAO DE FERRO GALVANIZADO, COM ROSCA BSP, DE 3/4" X 1/2"                                                                                                                                                                                                                                                                                                                                                                                                                                      </v>
          </cell>
          <cell r="C609" t="str">
            <v xml:space="preserve">UN    </v>
          </cell>
          <cell r="D609" t="str">
            <v>CR</v>
          </cell>
          <cell r="E609" t="str">
            <v>7,71</v>
          </cell>
        </row>
        <row r="610">
          <cell r="A610">
            <v>776</v>
          </cell>
          <cell r="B610" t="str">
            <v xml:space="preserve">BUCHA DE REDUCAO DE FERRO GALVANIZADO, COM ROSCA BSP, DE 3" X 1 1/2"                                                                                                                                                                                                                                                                                                                                                                                                                                      </v>
          </cell>
          <cell r="C610" t="str">
            <v xml:space="preserve">UN    </v>
          </cell>
          <cell r="D610" t="str">
            <v>CR</v>
          </cell>
          <cell r="E610" t="str">
            <v>73,55</v>
          </cell>
        </row>
        <row r="611">
          <cell r="A611">
            <v>777</v>
          </cell>
          <cell r="B611" t="str">
            <v xml:space="preserve">BUCHA DE REDUCAO DE FERRO GALVANIZADO, COM ROSCA BSP, DE 3" X 1 1/4"                                                                                                                                                                                                                                                                                                                                                                                                                                      </v>
          </cell>
          <cell r="C611" t="str">
            <v xml:space="preserve">UN    </v>
          </cell>
          <cell r="D611" t="str">
            <v>CR</v>
          </cell>
          <cell r="E611" t="str">
            <v>71,50</v>
          </cell>
        </row>
        <row r="612">
          <cell r="A612">
            <v>780</v>
          </cell>
          <cell r="B612" t="str">
            <v xml:space="preserve">BUCHA DE REDUCAO DE FERRO GALVANIZADO, COM ROSCA BSP, DE 3" X 2 1/2"                                                                                                                                                                                                                                                                                                                                                                                                                                      </v>
          </cell>
          <cell r="C612" t="str">
            <v xml:space="preserve">UN    </v>
          </cell>
          <cell r="D612" t="str">
            <v>CR</v>
          </cell>
          <cell r="E612" t="str">
            <v>71,86</v>
          </cell>
        </row>
        <row r="613">
          <cell r="A613">
            <v>778</v>
          </cell>
          <cell r="B613" t="str">
            <v xml:space="preserve">BUCHA DE REDUCAO DE FERRO GALVANIZADO, COM ROSCA BSP, DE 3" X 2"                                                                                                                                                                                                                                                                                                                                                                                                                                          </v>
          </cell>
          <cell r="C613" t="str">
            <v xml:space="preserve">UN    </v>
          </cell>
          <cell r="D613" t="str">
            <v>CR</v>
          </cell>
          <cell r="E613" t="str">
            <v>73,55</v>
          </cell>
        </row>
        <row r="614">
          <cell r="A614">
            <v>781</v>
          </cell>
          <cell r="B614" t="str">
            <v xml:space="preserve">BUCHA DE REDUCAO DE FERRO GALVANIZADO, COM ROSCA BSP, DE 4" X 2 1/2"                                                                                                                                                                                                                                                                                                                                                                                                                                      </v>
          </cell>
          <cell r="C614" t="str">
            <v xml:space="preserve">UN    </v>
          </cell>
          <cell r="D614" t="str">
            <v>CR</v>
          </cell>
          <cell r="E614" t="str">
            <v>135,90</v>
          </cell>
        </row>
        <row r="615">
          <cell r="A615">
            <v>786</v>
          </cell>
          <cell r="B615" t="str">
            <v xml:space="preserve">BUCHA DE REDUCAO DE FERRO GALVANIZADO, COM ROSCA BSP, DE 4" X 2"                                                                                                                                                                                                                                                                                                                                                                                                                                          </v>
          </cell>
          <cell r="C615" t="str">
            <v xml:space="preserve">UN    </v>
          </cell>
          <cell r="D615" t="str">
            <v>CR</v>
          </cell>
          <cell r="E615" t="str">
            <v>135,90</v>
          </cell>
        </row>
        <row r="616">
          <cell r="A616">
            <v>782</v>
          </cell>
          <cell r="B616" t="str">
            <v xml:space="preserve">BUCHA DE REDUCAO DE FERRO GALVANIZADO, COM ROSCA BSP, DE 4" X 3"                                                                                                                                                                                                                                                                                                                                                                                                                                          </v>
          </cell>
          <cell r="C616" t="str">
            <v xml:space="preserve">UN    </v>
          </cell>
          <cell r="D616" t="str">
            <v>CR</v>
          </cell>
          <cell r="E616" t="str">
            <v>135,90</v>
          </cell>
        </row>
        <row r="617">
          <cell r="A617">
            <v>783</v>
          </cell>
          <cell r="B617" t="str">
            <v xml:space="preserve">BUCHA DE REDUCAO DE FERRO GALVANIZADO, COM ROSCA BSP, DE 5" X 4"                                                                                                                                                                                                                                                                                                                                                                                                                                          </v>
          </cell>
          <cell r="C617" t="str">
            <v xml:space="preserve">UN    </v>
          </cell>
          <cell r="D617" t="str">
            <v>CR</v>
          </cell>
          <cell r="E617" t="str">
            <v>371,95</v>
          </cell>
        </row>
        <row r="618">
          <cell r="A618">
            <v>785</v>
          </cell>
          <cell r="B618" t="str">
            <v xml:space="preserve">BUCHA DE REDUCAO DE FERRO GALVANIZADO, COM ROSCA BSP, DE 6" X 4"                                                                                                                                                                                                                                                                                                                                                                                                                                          </v>
          </cell>
          <cell r="C618" t="str">
            <v xml:space="preserve">UN    </v>
          </cell>
          <cell r="D618" t="str">
            <v>CR</v>
          </cell>
          <cell r="E618" t="str">
            <v>393,00</v>
          </cell>
        </row>
        <row r="619">
          <cell r="A619">
            <v>784</v>
          </cell>
          <cell r="B619" t="str">
            <v xml:space="preserve">BUCHA DE REDUCAO DE FERRO GALVANIZADO, COM ROSCA BSP, DE 6" X 5"                                                                                                                                                                                                                                                                                                                                                                                                                                          </v>
          </cell>
          <cell r="C619" t="str">
            <v xml:space="preserve">UN    </v>
          </cell>
          <cell r="D619" t="str">
            <v>CR</v>
          </cell>
          <cell r="E619" t="str">
            <v>421,59</v>
          </cell>
        </row>
        <row r="620">
          <cell r="A620">
            <v>828</v>
          </cell>
          <cell r="B620" t="str">
            <v xml:space="preserve">BUCHA DE REDUCAO DE PVC, SOLDAVEL, CURTA, COM 25 X 20 MM, PARA AGUA FRIA PREDIAL                                                                                                                                                                                                                                                                                                                                                                                                                          </v>
          </cell>
          <cell r="C620" t="str">
            <v xml:space="preserve">UN    </v>
          </cell>
          <cell r="D620" t="str">
            <v>CR</v>
          </cell>
          <cell r="E620" t="str">
            <v>0,52</v>
          </cell>
        </row>
        <row r="621">
          <cell r="A621">
            <v>829</v>
          </cell>
          <cell r="B621" t="str">
            <v xml:space="preserve">BUCHA DE REDUCAO DE PVC, SOLDAVEL, CURTA, COM 32 X 25 MM, PARA AGUA FRIA PREDIAL                                                                                                                                                                                                                                                                                                                                                                                                                          </v>
          </cell>
          <cell r="C621" t="str">
            <v xml:space="preserve">UN    </v>
          </cell>
          <cell r="D621" t="str">
            <v>CR</v>
          </cell>
          <cell r="E621" t="str">
            <v>0,84</v>
          </cell>
        </row>
        <row r="622">
          <cell r="A622">
            <v>812</v>
          </cell>
          <cell r="B622" t="str">
            <v xml:space="preserve">BUCHA DE REDUCAO DE PVC, SOLDAVEL, CURTA, COM 40 X 32 MM, PARA AGUA FRIA PREDIAL                                                                                                                                                                                                                                                                                                                                                                                                                          </v>
          </cell>
          <cell r="C622" t="str">
            <v xml:space="preserve">UN    </v>
          </cell>
          <cell r="D622" t="str">
            <v>CR</v>
          </cell>
          <cell r="E622" t="str">
            <v>1,86</v>
          </cell>
        </row>
        <row r="623">
          <cell r="A623">
            <v>819</v>
          </cell>
          <cell r="B623" t="str">
            <v xml:space="preserve">BUCHA DE REDUCAO DE PVC, SOLDAVEL, CURTA, COM 50 X 40 MM, PARA AGUA FRIA PREDIAL                                                                                                                                                                                                                                                                                                                                                                                                                          </v>
          </cell>
          <cell r="C623" t="str">
            <v xml:space="preserve">UN    </v>
          </cell>
          <cell r="D623" t="str">
            <v>CR</v>
          </cell>
          <cell r="E623" t="str">
            <v>3,23</v>
          </cell>
        </row>
        <row r="624">
          <cell r="A624">
            <v>818</v>
          </cell>
          <cell r="B624" t="str">
            <v xml:space="preserve">BUCHA DE REDUCAO DE PVC, SOLDAVEL, CURTA, COM 60 X 50 MM, PARA AGUA FRIA PREDIAL                                                                                                                                                                                                                                                                                                                                                                                                                          </v>
          </cell>
          <cell r="C624" t="str">
            <v xml:space="preserve">UN    </v>
          </cell>
          <cell r="D624" t="str">
            <v>CR</v>
          </cell>
          <cell r="E624" t="str">
            <v>6,02</v>
          </cell>
        </row>
        <row r="625">
          <cell r="A625">
            <v>832</v>
          </cell>
          <cell r="B625" t="str">
            <v xml:space="preserve">BUCHA DE REDUCAO DE PVC, SOLDAVEL, LONGA, COM 32 X 20 MM, PARA AGUA FRIA PREDIAL                                                                                                                                                                                                                                                                                                                                                                                                                          </v>
          </cell>
          <cell r="C625" t="str">
            <v xml:space="preserve">UN    </v>
          </cell>
          <cell r="D625" t="str">
            <v>CR</v>
          </cell>
          <cell r="E625" t="str">
            <v>2,49</v>
          </cell>
        </row>
        <row r="626">
          <cell r="A626">
            <v>834</v>
          </cell>
          <cell r="B626" t="str">
            <v xml:space="preserve">BUCHA DE REDUCAO DE PVC, SOLDAVEL, LONGA, COM 40 X 25 MM, PARA AGUA FRIA PREDIAL                                                                                                                                                                                                                                                                                                                                                                                                                          </v>
          </cell>
          <cell r="C626" t="str">
            <v xml:space="preserve">UN    </v>
          </cell>
          <cell r="D626" t="str">
            <v>CR</v>
          </cell>
          <cell r="E626" t="str">
            <v>3,22</v>
          </cell>
        </row>
        <row r="627">
          <cell r="A627">
            <v>813</v>
          </cell>
          <cell r="B627" t="str">
            <v xml:space="preserve">BUCHA DE REDUCAO DE PVC, SOLDAVEL, LONGA, COM 50 X 25 MM, PARA AGUA FRIA PREDIAL                                                                                                                                                                                                                                                                                                                                                                                                                          </v>
          </cell>
          <cell r="C627" t="str">
            <v xml:space="preserve">UN    </v>
          </cell>
          <cell r="D627" t="str">
            <v>CR</v>
          </cell>
          <cell r="E627" t="str">
            <v>3,75</v>
          </cell>
        </row>
        <row r="628">
          <cell r="A628">
            <v>820</v>
          </cell>
          <cell r="B628" t="str">
            <v xml:space="preserve">BUCHA DE REDUCAO DE PVC, SOLDAVEL, LONGA, COM 50 X 32 MM, PARA AGUA FRIA PREDIAL                                                                                                                                                                                                                                                                                                                                                                                                                          </v>
          </cell>
          <cell r="C628" t="str">
            <v xml:space="preserve">UN    </v>
          </cell>
          <cell r="D628" t="str">
            <v>CR</v>
          </cell>
          <cell r="E628" t="str">
            <v>5,05</v>
          </cell>
        </row>
        <row r="629">
          <cell r="A629">
            <v>816</v>
          </cell>
          <cell r="B629" t="str">
            <v xml:space="preserve">BUCHA DE REDUCAO DE PVC, SOLDAVEL, LONGA, COM 60 X 25 MM, PARA AGUA FRIA PREDIAL                                                                                                                                                                                                                                                                                                                                                                                                                          </v>
          </cell>
          <cell r="C629" t="str">
            <v xml:space="preserve">UN    </v>
          </cell>
          <cell r="D629" t="str">
            <v>CR</v>
          </cell>
          <cell r="E629" t="str">
            <v>8,99</v>
          </cell>
        </row>
        <row r="630">
          <cell r="A630">
            <v>814</v>
          </cell>
          <cell r="B630" t="str">
            <v xml:space="preserve">BUCHA DE REDUCAO DE PVC, SOLDAVEL, LONGA, COM 60 X 32 MM, PARA AGUA FRIA PREDIAL                                                                                                                                                                                                                                                                                                                                                                                                                          </v>
          </cell>
          <cell r="C630" t="str">
            <v xml:space="preserve">UN    </v>
          </cell>
          <cell r="D630" t="str">
            <v>CR</v>
          </cell>
          <cell r="E630" t="str">
            <v>11,17</v>
          </cell>
        </row>
        <row r="631">
          <cell r="A631">
            <v>822</v>
          </cell>
          <cell r="B631" t="str">
            <v xml:space="preserve">BUCHA DE REDUCAO DE PVC, SOLDAVEL, LONGA, COM 60 X 50 MM, PARA AGUA FRIA PREDIAL                                                                                                                                                                                                                                                                                                                                                                                                                          </v>
          </cell>
          <cell r="C631" t="str">
            <v xml:space="preserve">UN    </v>
          </cell>
          <cell r="D631" t="str">
            <v>CR</v>
          </cell>
          <cell r="E631" t="str">
            <v>14,58</v>
          </cell>
        </row>
        <row r="632">
          <cell r="A632">
            <v>821</v>
          </cell>
          <cell r="B632" t="str">
            <v xml:space="preserve">BUCHA DE REDUCAO DE PVC, SOLDAVEL, LONGA, COM 75 X 50 MM, PARA AGUA FRIA PREDIAL                                                                                                                                                                                                                                                                                                                                                                                                                          </v>
          </cell>
          <cell r="C632" t="str">
            <v xml:space="preserve">UN    </v>
          </cell>
          <cell r="D632" t="str">
            <v>CR</v>
          </cell>
          <cell r="E632" t="str">
            <v>16,68</v>
          </cell>
        </row>
        <row r="633">
          <cell r="A633">
            <v>20086</v>
          </cell>
          <cell r="B633" t="str">
            <v xml:space="preserve">BUCHA DE REDUCAO DE PVC, SOLDAVEL, LONGA, 50 X 40 MM, PARA ESGOTO PREDIAL                                                                                                                                                                                                                                                                                                                                                                                                                                 </v>
          </cell>
          <cell r="C633" t="str">
            <v xml:space="preserve">UN    </v>
          </cell>
          <cell r="D633" t="str">
            <v>CR</v>
          </cell>
          <cell r="E633" t="str">
            <v>3,04</v>
          </cell>
        </row>
        <row r="634">
          <cell r="A634">
            <v>39191</v>
          </cell>
          <cell r="B634" t="str">
            <v xml:space="preserve">BUCHA DE REDUCAO EM ALUMINIO, COM ROSCA, DE 1 1/2" X 1 1/4", PARA ELETRODUTO                                                                                                                                                                                                                                                                                                                                                                                                                              </v>
          </cell>
          <cell r="C634" t="str">
            <v xml:space="preserve">UN    </v>
          </cell>
          <cell r="D634" t="str">
            <v>CR</v>
          </cell>
          <cell r="E634" t="str">
            <v>21,55</v>
          </cell>
        </row>
        <row r="635">
          <cell r="A635">
            <v>39190</v>
          </cell>
          <cell r="B635" t="str">
            <v xml:space="preserve">BUCHA DE REDUCAO EM ALUMINIO, COM ROSCA, DE 1 1/2" X 1", PARA ELETRODUTO                                                                                                                                                                                                                                                                                                                                                                                                                                  </v>
          </cell>
          <cell r="C635" t="str">
            <v xml:space="preserve">UN    </v>
          </cell>
          <cell r="D635" t="str">
            <v>CR</v>
          </cell>
          <cell r="E635" t="str">
            <v>22,52</v>
          </cell>
        </row>
        <row r="636">
          <cell r="A636">
            <v>39189</v>
          </cell>
          <cell r="B636" t="str">
            <v xml:space="preserve">BUCHA DE REDUCAO EM ALUMINIO, COM ROSCA, DE 1 1/2" X 3/4", PARA ELETRODUTO                                                                                                                                                                                                                                                                                                                                                                                                                                </v>
          </cell>
          <cell r="C636" t="str">
            <v xml:space="preserve">UN    </v>
          </cell>
          <cell r="D636" t="str">
            <v>CR</v>
          </cell>
          <cell r="E636" t="str">
            <v>23,83</v>
          </cell>
        </row>
        <row r="637">
          <cell r="A637">
            <v>39186</v>
          </cell>
          <cell r="B637" t="str">
            <v xml:space="preserve">BUCHA DE REDUCAO EM ALUMINIO, COM ROSCA, DE 1 1/4" X 1/2", PARA ELETRODUTO                                                                                                                                                                                                                                                                                                                                                                                                                                </v>
          </cell>
          <cell r="C637" t="str">
            <v xml:space="preserve">UN    </v>
          </cell>
          <cell r="D637" t="str">
            <v>CR</v>
          </cell>
          <cell r="E637" t="str">
            <v>21,32</v>
          </cell>
        </row>
        <row r="638">
          <cell r="A638">
            <v>39188</v>
          </cell>
          <cell r="B638" t="str">
            <v xml:space="preserve">BUCHA DE REDUCAO EM ALUMINIO, COM ROSCA, DE 1 1/4" X 1", PARA ELETRODUTO                                                                                                                                                                                                                                                                                                                                                                                                                                  </v>
          </cell>
          <cell r="C638" t="str">
            <v xml:space="preserve">UN    </v>
          </cell>
          <cell r="D638" t="str">
            <v>CR</v>
          </cell>
          <cell r="E638" t="str">
            <v>17,54</v>
          </cell>
        </row>
        <row r="639">
          <cell r="A639">
            <v>39187</v>
          </cell>
          <cell r="B639" t="str">
            <v xml:space="preserve">BUCHA DE REDUCAO EM ALUMINIO, COM ROSCA, DE 1 1/4" X 3/4", PARA ELETRODUTO                                                                                                                                                                                                                                                                                                                                                                                                                                </v>
          </cell>
          <cell r="C639" t="str">
            <v xml:space="preserve">UN    </v>
          </cell>
          <cell r="D639" t="str">
            <v>CR</v>
          </cell>
          <cell r="E639" t="str">
            <v>18,39</v>
          </cell>
        </row>
        <row r="640">
          <cell r="A640">
            <v>39184</v>
          </cell>
          <cell r="B640" t="str">
            <v xml:space="preserve">BUCHA DE REDUCAO EM ALUMINIO, COM ROSCA, DE 1" X 1/2", PARA ELETRODUTO                                                                                                                                                                                                                                                                                                                                                                                                                                    </v>
          </cell>
          <cell r="C640" t="str">
            <v xml:space="preserve">UN    </v>
          </cell>
          <cell r="D640" t="str">
            <v>CR</v>
          </cell>
          <cell r="E640" t="str">
            <v>6,92</v>
          </cell>
        </row>
        <row r="641">
          <cell r="A641">
            <v>39185</v>
          </cell>
          <cell r="B641" t="str">
            <v xml:space="preserve">BUCHA DE REDUCAO EM ALUMINIO, COM ROSCA, DE 1" X 3/4", PARA ELETRODUTO                                                                                                                                                                                                                                                                                                                                                                                                                                    </v>
          </cell>
          <cell r="C641" t="str">
            <v xml:space="preserve">UN    </v>
          </cell>
          <cell r="D641" t="str">
            <v>CR</v>
          </cell>
          <cell r="E641" t="str">
            <v>6,31</v>
          </cell>
        </row>
        <row r="642">
          <cell r="A642">
            <v>39198</v>
          </cell>
          <cell r="B642" t="str">
            <v xml:space="preserve">BUCHA DE REDUCAO EM ALUMINIO, COM ROSCA, DE 2 1/2" X 1 1/2", PARA ELETRODUTO                                                                                                                                                                                                                                                                                                                                                                                                                              </v>
          </cell>
          <cell r="C642" t="str">
            <v xml:space="preserve">UN    </v>
          </cell>
          <cell r="D642" t="str">
            <v>CR</v>
          </cell>
          <cell r="E642" t="str">
            <v>70,71</v>
          </cell>
        </row>
        <row r="643">
          <cell r="A643">
            <v>39197</v>
          </cell>
          <cell r="B643" t="str">
            <v xml:space="preserve">BUCHA DE REDUCAO EM ALUMINIO, COM ROSCA, DE 2 1/2" X 1 1/4", PARA ELETRODUTO                                                                                                                                                                                                                                                                                                                                                                                                                              </v>
          </cell>
          <cell r="C643" t="str">
            <v xml:space="preserve">UN    </v>
          </cell>
          <cell r="D643" t="str">
            <v>CR</v>
          </cell>
          <cell r="E643" t="str">
            <v>73,87</v>
          </cell>
        </row>
        <row r="644">
          <cell r="A644">
            <v>39196</v>
          </cell>
          <cell r="B644" t="str">
            <v xml:space="preserve">BUCHA DE REDUCAO EM ALUMINIO, COM ROSCA, DE 2 1/2" X 1", PARA ELETRODUTO                                                                                                                                                                                                                                                                                                                                                                                                                                  </v>
          </cell>
          <cell r="C644" t="str">
            <v xml:space="preserve">UN    </v>
          </cell>
          <cell r="D644" t="str">
            <v>CR</v>
          </cell>
          <cell r="E644" t="str">
            <v>76,18</v>
          </cell>
        </row>
        <row r="645">
          <cell r="A645">
            <v>39199</v>
          </cell>
          <cell r="B645" t="str">
            <v xml:space="preserve">BUCHA DE REDUCAO EM ALUMINIO, COM ROSCA, DE 2 1/2" X 2", PARA ELETRODUTO                                                                                                                                                                                                                                                                                                                                                                                                                                  </v>
          </cell>
          <cell r="C645" t="str">
            <v xml:space="preserve">UN    </v>
          </cell>
          <cell r="D645" t="str">
            <v>CR</v>
          </cell>
          <cell r="E645" t="str">
            <v>68,05</v>
          </cell>
        </row>
        <row r="646">
          <cell r="A646">
            <v>39195</v>
          </cell>
          <cell r="B646" t="str">
            <v xml:space="preserve">BUCHA DE REDUCAO EM ALUMINIO, COM ROSCA, DE 2" X 1 1/2", PARA ELETRODUTO                                                                                                                                                                                                                                                                                                                                                                                                                                  </v>
          </cell>
          <cell r="C646" t="str">
            <v xml:space="preserve">UN    </v>
          </cell>
          <cell r="D646" t="str">
            <v>CR</v>
          </cell>
          <cell r="E646" t="str">
            <v>39,28</v>
          </cell>
        </row>
        <row r="647">
          <cell r="A647">
            <v>39194</v>
          </cell>
          <cell r="B647" t="str">
            <v xml:space="preserve">BUCHA DE REDUCAO EM ALUMINIO, COM ROSCA, DE 2" X 1 1/4", PARA ELETRODUTO                                                                                                                                                                                                                                                                                                                                                                                                                                  </v>
          </cell>
          <cell r="C647" t="str">
            <v xml:space="preserve">UN    </v>
          </cell>
          <cell r="D647" t="str">
            <v>CR</v>
          </cell>
          <cell r="E647" t="str">
            <v>42,03</v>
          </cell>
        </row>
        <row r="648">
          <cell r="A648">
            <v>39193</v>
          </cell>
          <cell r="B648" t="str">
            <v xml:space="preserve">BUCHA DE REDUCAO EM ALUMINIO, COM ROSCA, DE 2" X 1", PARA ELETRODUTO                                                                                                                                                                                                                                                                                                                                                                                                                                      </v>
          </cell>
          <cell r="C648" t="str">
            <v xml:space="preserve">UN    </v>
          </cell>
          <cell r="D648" t="str">
            <v>CR</v>
          </cell>
          <cell r="E648" t="str">
            <v>46,07</v>
          </cell>
        </row>
        <row r="649">
          <cell r="A649">
            <v>39192</v>
          </cell>
          <cell r="B649" t="str">
            <v xml:space="preserve">BUCHA DE REDUCAO EM ALUMINIO, COM ROSCA, DE 2" X 3/4", PARA ELETRODUTO                                                                                                                                                                                                                                                                                                                                                                                                                                    </v>
          </cell>
          <cell r="C649" t="str">
            <v xml:space="preserve">UN    </v>
          </cell>
          <cell r="D649" t="str">
            <v>CR</v>
          </cell>
          <cell r="E649" t="str">
            <v>47,92</v>
          </cell>
        </row>
        <row r="650">
          <cell r="A650">
            <v>39920</v>
          </cell>
          <cell r="B650" t="str">
            <v xml:space="preserve">BUCHA DE REDUCAO EM ALUMINIO, COM ROSCA, DE 3/4" X 1/2",  PARA ELETRODUTO                                                                                                                                                                                                                                                                                                                                                                                                                                 </v>
          </cell>
          <cell r="C650" t="str">
            <v xml:space="preserve">UN    </v>
          </cell>
          <cell r="D650" t="str">
            <v>CR</v>
          </cell>
          <cell r="E650" t="str">
            <v>5,80</v>
          </cell>
        </row>
        <row r="651">
          <cell r="A651">
            <v>39201</v>
          </cell>
          <cell r="B651" t="str">
            <v xml:space="preserve">BUCHA DE REDUCAO EM ALUMINIO, COM ROSCA, DE 3" X 1 1/2", PARA ELETRODUTO                                                                                                                                                                                                                                                                                                                                                                                                                                  </v>
          </cell>
          <cell r="C651" t="str">
            <v xml:space="preserve">UN    </v>
          </cell>
          <cell r="D651" t="str">
            <v>CR</v>
          </cell>
          <cell r="E651" t="str">
            <v>84,54</v>
          </cell>
        </row>
        <row r="652">
          <cell r="A652">
            <v>39200</v>
          </cell>
          <cell r="B652" t="str">
            <v xml:space="preserve">BUCHA DE REDUCAO EM ALUMINIO, COM ROSCA, DE 3" X 1 1/4", PARA ELETRODUTO                                                                                                                                                                                                                                                                                                                                                                                                                                  </v>
          </cell>
          <cell r="C652" t="str">
            <v xml:space="preserve">UN    </v>
          </cell>
          <cell r="D652" t="str">
            <v>CR</v>
          </cell>
          <cell r="E652" t="str">
            <v>85,22</v>
          </cell>
        </row>
        <row r="653">
          <cell r="A653">
            <v>39203</v>
          </cell>
          <cell r="B653" t="str">
            <v xml:space="preserve">BUCHA DE REDUCAO EM ALUMINIO, COM ROSCA, DE 3" X 2 1/2", PARA ELETRODUTO                                                                                                                                                                                                                                                                                                                                                                                                                                  </v>
          </cell>
          <cell r="C653" t="str">
            <v xml:space="preserve">UN    </v>
          </cell>
          <cell r="D653" t="str">
            <v>CR</v>
          </cell>
          <cell r="E653" t="str">
            <v>68,81</v>
          </cell>
        </row>
        <row r="654">
          <cell r="A654">
            <v>39202</v>
          </cell>
          <cell r="B654" t="str">
            <v xml:space="preserve">BUCHA DE REDUCAO EM ALUMINIO, COM ROSCA, DE 3" X 2", PARA ELETRODUTO                                                                                                                                                                                                                                                                                                                                                                                                                                      </v>
          </cell>
          <cell r="C654" t="str">
            <v xml:space="preserve">UN    </v>
          </cell>
          <cell r="D654" t="str">
            <v>CR</v>
          </cell>
          <cell r="E654" t="str">
            <v>80,84</v>
          </cell>
        </row>
        <row r="655">
          <cell r="A655">
            <v>39205</v>
          </cell>
          <cell r="B655" t="str">
            <v xml:space="preserve">BUCHA DE REDUCAO EM ALUMINIO, COM ROSCA, DE 4" X 2 1/2", PARA ELETRODUTO                                                                                                                                                                                                                                                                                                                                                                                                                                  </v>
          </cell>
          <cell r="C655" t="str">
            <v xml:space="preserve">UN    </v>
          </cell>
          <cell r="D655" t="str">
            <v>CR</v>
          </cell>
          <cell r="E655" t="str">
            <v>134,86</v>
          </cell>
        </row>
        <row r="656">
          <cell r="A656">
            <v>39204</v>
          </cell>
          <cell r="B656" t="str">
            <v xml:space="preserve">BUCHA DE REDUCAO EM ALUMINIO, COM ROSCA, DE 4" X 2", PARA ELETRODUTO                                                                                                                                                                                                                                                                                                                                                                                                                                      </v>
          </cell>
          <cell r="C656" t="str">
            <v xml:space="preserve">UN    </v>
          </cell>
          <cell r="D656" t="str">
            <v>CR</v>
          </cell>
          <cell r="E656" t="str">
            <v>138,13</v>
          </cell>
        </row>
        <row r="657">
          <cell r="A657">
            <v>39206</v>
          </cell>
          <cell r="B657" t="str">
            <v xml:space="preserve">BUCHA DE REDUCAO EM ALUMINIO, COM ROSCA, DE 4" X 3", PARA ELETRODUTO                                                                                                                                                                                                                                                                                                                                                                                                                                      </v>
          </cell>
          <cell r="C657" t="str">
            <v xml:space="preserve">UN    </v>
          </cell>
          <cell r="D657" t="str">
            <v>CR</v>
          </cell>
          <cell r="E657" t="str">
            <v>131,04</v>
          </cell>
        </row>
        <row r="658">
          <cell r="A658">
            <v>798</v>
          </cell>
          <cell r="B658" t="str">
            <v xml:space="preserve">BUCHA DE REDUCAO PVC ROSCAVEL 3/4" X 1/2"                                                                                                                                                                                                                                                                                                                                                                                                                                                                 </v>
          </cell>
          <cell r="C658" t="str">
            <v xml:space="preserve">UN    </v>
          </cell>
          <cell r="D658" t="str">
            <v>CR</v>
          </cell>
          <cell r="E658" t="str">
            <v>1,04</v>
          </cell>
        </row>
        <row r="659">
          <cell r="A659">
            <v>797</v>
          </cell>
          <cell r="B659" t="str">
            <v xml:space="preserve">BUCHA DE REDUCAO PVC, ROSCAVEL 1 1/2" X 1"                                                                                                                                                                                                                                                                                                                                                                                                                                                                </v>
          </cell>
          <cell r="C659" t="str">
            <v xml:space="preserve">UN    </v>
          </cell>
          <cell r="D659" t="str">
            <v>CR</v>
          </cell>
          <cell r="E659" t="str">
            <v>7,55</v>
          </cell>
        </row>
        <row r="660">
          <cell r="A660">
            <v>796</v>
          </cell>
          <cell r="B660" t="str">
            <v xml:space="preserve">BUCHA DE REDUCAO PVC, ROSCAVEL, 1 1/2" X 3/4"                                                                                                                                                                                                                                                                                                                                                                                                                                                             </v>
          </cell>
          <cell r="C660" t="str">
            <v xml:space="preserve">UN    </v>
          </cell>
          <cell r="D660" t="str">
            <v>CR</v>
          </cell>
          <cell r="E660" t="str">
            <v>6,41</v>
          </cell>
        </row>
        <row r="661">
          <cell r="A661">
            <v>799</v>
          </cell>
          <cell r="B661" t="str">
            <v xml:space="preserve">BUCHA DE REDUCAO PVC, ROSCAVEL, 1" X 1/2"                                                                                                                                                                                                                                                                                                                                                                                                                                                                 </v>
          </cell>
          <cell r="C661" t="str">
            <v xml:space="preserve">UN    </v>
          </cell>
          <cell r="D661" t="str">
            <v>CR</v>
          </cell>
          <cell r="E661" t="str">
            <v>3,10</v>
          </cell>
        </row>
        <row r="662">
          <cell r="A662">
            <v>792</v>
          </cell>
          <cell r="B662" t="str">
            <v xml:space="preserve">BUCHA DE REDUCAO PVC, ROSCAVEL, 1" X 3/4"                                                                                                                                                                                                                                                                                                                                                                                                                                                                 </v>
          </cell>
          <cell r="C662" t="str">
            <v xml:space="preserve">UN    </v>
          </cell>
          <cell r="D662" t="str">
            <v>CR</v>
          </cell>
          <cell r="E662" t="str">
            <v>3,00</v>
          </cell>
        </row>
        <row r="663">
          <cell r="A663">
            <v>38001</v>
          </cell>
          <cell r="B663" t="str">
            <v xml:space="preserve">BUCHA DE REDUCAO, CPVC, SOLDAVEL, 22 X 15 MM, PARA AGUA QUENTE                                                                                                                                                                                                                                                                                                                                                                                                                                            </v>
          </cell>
          <cell r="C663" t="str">
            <v xml:space="preserve">UN    </v>
          </cell>
          <cell r="D663" t="str">
            <v>CR</v>
          </cell>
          <cell r="E663" t="str">
            <v>0,95</v>
          </cell>
        </row>
        <row r="664">
          <cell r="A664">
            <v>38002</v>
          </cell>
          <cell r="B664" t="str">
            <v xml:space="preserve">BUCHA DE REDUCAO, CPVC, SOLDAVEL, 28 X 22 MM, PARA AGUA QUENTE                                                                                                                                                                                                                                                                                                                                                                                                                                            </v>
          </cell>
          <cell r="C664" t="str">
            <v xml:space="preserve">UN    </v>
          </cell>
          <cell r="D664" t="str">
            <v>CR</v>
          </cell>
          <cell r="E664" t="str">
            <v>3,32</v>
          </cell>
        </row>
        <row r="665">
          <cell r="A665">
            <v>38003</v>
          </cell>
          <cell r="B665" t="str">
            <v xml:space="preserve">BUCHA DE REDUCAO, CPVC, SOLDAVEL, 35 X 28 MM, PARA AGUA QUENTE                                                                                                                                                                                                                                                                                                                                                                                                                                            </v>
          </cell>
          <cell r="C665" t="str">
            <v xml:space="preserve">UN    </v>
          </cell>
          <cell r="D665" t="str">
            <v>CR</v>
          </cell>
          <cell r="E665" t="str">
            <v>22,66</v>
          </cell>
        </row>
        <row r="666">
          <cell r="A666">
            <v>38004</v>
          </cell>
          <cell r="B666" t="str">
            <v xml:space="preserve">BUCHA DE REDUCAO, CPVC, SOLDAVEL, 42 X 22 MM, PARA AGUA QUENTE                                                                                                                                                                                                                                                                                                                                                                                                                                            </v>
          </cell>
          <cell r="C666" t="str">
            <v xml:space="preserve">UN    </v>
          </cell>
          <cell r="D666" t="str">
            <v>CR</v>
          </cell>
          <cell r="E666" t="str">
            <v>26,06</v>
          </cell>
        </row>
        <row r="667">
          <cell r="A667">
            <v>44263</v>
          </cell>
          <cell r="B667" t="str">
            <v xml:space="preserve">BUCHA DE REDUCAO, CPVC, SOLDAVEL, 54 X 35 MM, PARA AGUA QUENTE                                                                                                                                                                                                                                                                                                                                                                                                                                            </v>
          </cell>
          <cell r="C667" t="str">
            <v xml:space="preserve">UN    </v>
          </cell>
          <cell r="D667" t="str">
            <v>CR</v>
          </cell>
          <cell r="E667" t="str">
            <v>46,78</v>
          </cell>
        </row>
        <row r="668">
          <cell r="A668">
            <v>36327</v>
          </cell>
          <cell r="B668" t="str">
            <v xml:space="preserve">BUCHA DE REDUCAO, PPR, DN 25 X 20 MM, PARA AGUA QUENTE PREDIAL                                                                                                                                                                                                                                                                                                                                                                                                                                            </v>
          </cell>
          <cell r="C668" t="str">
            <v xml:space="preserve">UN    </v>
          </cell>
          <cell r="D668" t="str">
            <v>CR</v>
          </cell>
          <cell r="E668" t="str">
            <v>3,75</v>
          </cell>
        </row>
        <row r="669">
          <cell r="A669">
            <v>38992</v>
          </cell>
          <cell r="B669" t="str">
            <v xml:space="preserve">BUCHA DE REDUCAO, PPR, DN 32 X 25 MM, PARA AGUA QUENTE E FRIA PREDIAL                                                                                                                                                                                                                                                                                                                                                                                                                                     </v>
          </cell>
          <cell r="C669" t="str">
            <v xml:space="preserve">UN    </v>
          </cell>
          <cell r="D669" t="str">
            <v>CR</v>
          </cell>
          <cell r="E669" t="str">
            <v>4,56</v>
          </cell>
        </row>
        <row r="670">
          <cell r="A670">
            <v>38993</v>
          </cell>
          <cell r="B670" t="str">
            <v xml:space="preserve">BUCHA DE REDUCAO, PPR, DN 40 X 25 MM, PARA AGUA QUENTE E FRIA PREDIAL                                                                                                                                                                                                                                                                                                                                                                                                                                     </v>
          </cell>
          <cell r="C670" t="str">
            <v xml:space="preserve">UN    </v>
          </cell>
          <cell r="D670" t="str">
            <v>CR</v>
          </cell>
          <cell r="E670" t="str">
            <v>11,85</v>
          </cell>
        </row>
        <row r="671">
          <cell r="A671">
            <v>44175</v>
          </cell>
          <cell r="B671" t="str">
            <v xml:space="preserve">BUCHA DE REDUCAO, PPR, DN 50 X 25 MM, PARA AGUA QUENTE E FRIA PREDIAL                                                                                                                                                                                                                                                                                                                                                                                                                                     </v>
          </cell>
          <cell r="C671" t="str">
            <v xml:space="preserve">UN    </v>
          </cell>
          <cell r="D671" t="str">
            <v>CR</v>
          </cell>
          <cell r="E671" t="str">
            <v>20,68</v>
          </cell>
        </row>
        <row r="672">
          <cell r="A672">
            <v>44177</v>
          </cell>
          <cell r="B672" t="str">
            <v xml:space="preserve">BUCHA DE REDUCAO, PPR, DN 50 X 32 MM, PARA AGUA QUENTE E FRIA PREDIAL                                                                                                                                                                                                                                                                                                                                                                                                                                     </v>
          </cell>
          <cell r="C672" t="str">
            <v xml:space="preserve">UN    </v>
          </cell>
          <cell r="D672" t="str">
            <v>CR</v>
          </cell>
          <cell r="E672" t="str">
            <v>15,45</v>
          </cell>
        </row>
        <row r="673">
          <cell r="A673">
            <v>38418</v>
          </cell>
          <cell r="B673" t="str">
            <v xml:space="preserve">BUCHA DE REDUCAO, PVC, LONGA, SERIE R, DN 50 X 40 MM, PARA ESGOTO PREDIAL                                                                                                                                                                                                                                                                                                                                                                                                                                 </v>
          </cell>
          <cell r="C673" t="str">
            <v xml:space="preserve">UN    </v>
          </cell>
          <cell r="D673" t="str">
            <v>CR</v>
          </cell>
          <cell r="E673" t="str">
            <v>5,23</v>
          </cell>
        </row>
        <row r="674">
          <cell r="A674">
            <v>39178</v>
          </cell>
          <cell r="B674" t="str">
            <v xml:space="preserve">BUCHA EM ALUMINIO, COM ROSCA, DE  1 1/2", PARA ELETRODUTO                                                                                                                                                                                                                                                                                                                                                                                                                                                 </v>
          </cell>
          <cell r="C674" t="str">
            <v xml:space="preserve">UN    </v>
          </cell>
          <cell r="D674" t="str">
            <v>CR</v>
          </cell>
          <cell r="E674" t="str">
            <v>2,33</v>
          </cell>
        </row>
        <row r="675">
          <cell r="A675">
            <v>39177</v>
          </cell>
          <cell r="B675" t="str">
            <v xml:space="preserve">BUCHA EM ALUMINIO, COM ROSCA, DE 1 1/4", PARA ELETRODUTO                                                                                                                                                                                                                                                                                                                                                                                                                                                  </v>
          </cell>
          <cell r="C675" t="str">
            <v xml:space="preserve">UN    </v>
          </cell>
          <cell r="D675" t="str">
            <v>CR</v>
          </cell>
          <cell r="E675" t="str">
            <v>2,11</v>
          </cell>
        </row>
        <row r="676">
          <cell r="A676">
            <v>39174</v>
          </cell>
          <cell r="B676" t="str">
            <v xml:space="preserve">BUCHA EM ALUMINIO, COM ROSCA, DE 1/2", PARA ELETRODUTO                                                                                                                                                                                                                                                                                                                                                                                                                                                    </v>
          </cell>
          <cell r="C676" t="str">
            <v xml:space="preserve">UN    </v>
          </cell>
          <cell r="D676" t="str">
            <v>CR</v>
          </cell>
          <cell r="E676" t="str">
            <v>1,05</v>
          </cell>
        </row>
        <row r="677">
          <cell r="A677">
            <v>39176</v>
          </cell>
          <cell r="B677" t="str">
            <v xml:space="preserve">BUCHA EM ALUMINIO, COM ROSCA, DE 1", PARA ELETRODUTO                                                                                                                                                                                                                                                                                                                                                                                                                                                      </v>
          </cell>
          <cell r="C677" t="str">
            <v xml:space="preserve">UN    </v>
          </cell>
          <cell r="D677" t="str">
            <v>CR</v>
          </cell>
          <cell r="E677" t="str">
            <v>1,38</v>
          </cell>
        </row>
        <row r="678">
          <cell r="A678">
            <v>39180</v>
          </cell>
          <cell r="B678" t="str">
            <v xml:space="preserve">BUCHA EM ALUMINIO, COM ROSCA, DE 2 1/2", PARA ELETRODUTO                                                                                                                                                                                                                                                                                                                                                                                                                                                  </v>
          </cell>
          <cell r="C678" t="str">
            <v xml:space="preserve">UN    </v>
          </cell>
          <cell r="D678" t="str">
            <v>CR</v>
          </cell>
          <cell r="E678" t="str">
            <v>6,33</v>
          </cell>
        </row>
        <row r="679">
          <cell r="A679">
            <v>39179</v>
          </cell>
          <cell r="B679" t="str">
            <v xml:space="preserve">BUCHA EM ALUMINIO, COM ROSCA, DE 2", PARA ELETRODUTO                                                                                                                                                                                                                                                                                                                                                                                                                                                      </v>
          </cell>
          <cell r="C679" t="str">
            <v xml:space="preserve">UN    </v>
          </cell>
          <cell r="D679" t="str">
            <v>CR</v>
          </cell>
          <cell r="E679" t="str">
            <v>5,60</v>
          </cell>
        </row>
        <row r="680">
          <cell r="A680">
            <v>39175</v>
          </cell>
          <cell r="B680" t="str">
            <v xml:space="preserve">BUCHA EM ALUMINIO, COM ROSCA, DE 3/4", PARA ELETRODUTO                                                                                                                                                                                                                                                                                                                                                                                                                                                    </v>
          </cell>
          <cell r="C680" t="str">
            <v xml:space="preserve">UN    </v>
          </cell>
          <cell r="D680" t="str">
            <v>CR</v>
          </cell>
          <cell r="E680" t="str">
            <v>1,29</v>
          </cell>
        </row>
        <row r="681">
          <cell r="A681">
            <v>39217</v>
          </cell>
          <cell r="B681" t="str">
            <v xml:space="preserve">BUCHA EM ALUMINIO, COM ROSCA, DE 3/8", PARA ELETRODUTO                                                                                                                                                                                                                                                                                                                                                                                                                                                    </v>
          </cell>
          <cell r="C681" t="str">
            <v xml:space="preserve">UN    </v>
          </cell>
          <cell r="D681" t="str">
            <v>CR</v>
          </cell>
          <cell r="E681" t="str">
            <v>0,99</v>
          </cell>
        </row>
        <row r="682">
          <cell r="A682">
            <v>39181</v>
          </cell>
          <cell r="B682" t="str">
            <v xml:space="preserve">BUCHA EM ALUMINIO, COM ROSCA, DE 3", PARA ELETRODUTO                                                                                                                                                                                                                                                                                                                                                                                                                                                      </v>
          </cell>
          <cell r="C682" t="str">
            <v xml:space="preserve">UN    </v>
          </cell>
          <cell r="D682" t="str">
            <v>CR</v>
          </cell>
          <cell r="E682" t="str">
            <v>8,49</v>
          </cell>
        </row>
        <row r="683">
          <cell r="A683">
            <v>39182</v>
          </cell>
          <cell r="B683" t="str">
            <v xml:space="preserve">BUCHA EM ALUMINIO, COM ROSCA, DE 4", PARA ELETRODUTO                                                                                                                                                                                                                                                                                                                                                                                                                                                      </v>
          </cell>
          <cell r="C683" t="str">
            <v xml:space="preserve">UN    </v>
          </cell>
          <cell r="D683" t="str">
            <v>CR</v>
          </cell>
          <cell r="E683" t="str">
            <v>11,94</v>
          </cell>
        </row>
        <row r="684">
          <cell r="A684">
            <v>12616</v>
          </cell>
          <cell r="B684" t="str">
            <v xml:space="preserve">CABECEIRA DIREITA OU ESQUERDA, PVC, PARA CALHA PLUVIAL, DIAMETRO ENTRE *119 E 170* MM, PARA DRENAGEM PLUVIAL PREDIAL                                                                                                                                                                                                                                                                                                                                                                                      </v>
          </cell>
          <cell r="C684" t="str">
            <v xml:space="preserve">UN    </v>
          </cell>
          <cell r="D684" t="str">
            <v>CR</v>
          </cell>
          <cell r="E684" t="str">
            <v>16,13</v>
          </cell>
        </row>
        <row r="685">
          <cell r="A685">
            <v>1049</v>
          </cell>
          <cell r="B685" t="str">
            <v xml:space="preserve">CABECOTE PARA ENTRADA DE LINHA DE ALIMENTACAO PARA ELETRODUTO, EM LIGA DE ALUMINIO COM ACABAMENTO ANTI CORROSIVO, COM FIXACAO POR ENCAIXE LISO DE 360 GRAUS, DE 1 1/2"                                                                                                                                                                                                                                                                                                                                    </v>
          </cell>
          <cell r="C685" t="str">
            <v xml:space="preserve">UN    </v>
          </cell>
          <cell r="D685" t="str">
            <v>CR</v>
          </cell>
          <cell r="E685" t="str">
            <v>9,99</v>
          </cell>
        </row>
        <row r="686">
          <cell r="A686">
            <v>1099</v>
          </cell>
          <cell r="B686" t="str">
            <v xml:space="preserve">CABECOTE PARA ENTRADA DE LINHA DE ALIMENTACAO PARA ELETRODUTO, EM LIGA DE ALUMINIO COM ACABAMENTO ANTI CORROSIVO, COM FIXACAO POR ENCAIXE LISO DE 360 GRAUS, DE 1 1/4"                                                                                                                                                                                                                                                                                                                                    </v>
          </cell>
          <cell r="C686" t="str">
            <v xml:space="preserve">UN    </v>
          </cell>
          <cell r="D686" t="str">
            <v>CR</v>
          </cell>
          <cell r="E686" t="str">
            <v>7,64</v>
          </cell>
        </row>
        <row r="687">
          <cell r="A687">
            <v>39678</v>
          </cell>
          <cell r="B687" t="str">
            <v xml:space="preserve">CABECOTE PARA ENTRADA DE LINHA DE ALIMENTACAO PARA ELETRODUTO, EM LIGA DE ALUMINIO COM ACABAMENTO ANTI CORROSIVO, COM FIXACAO POR ENCAIXE LISO DE 360 GRAUS, DE 1/2"                                                                                                                                                                                                                                                                                                                                      </v>
          </cell>
          <cell r="C687" t="str">
            <v xml:space="preserve">UN    </v>
          </cell>
          <cell r="D687" t="str">
            <v>CR</v>
          </cell>
          <cell r="E687" t="str">
            <v>3,08</v>
          </cell>
        </row>
        <row r="688">
          <cell r="A688">
            <v>1050</v>
          </cell>
          <cell r="B688" t="str">
            <v xml:space="preserve">CABECOTE PARA ENTRADA DE LINHA DE ALIMENTACAO PARA ELETRODUTO, EM LIGA DE ALUMINIO COM ACABAMENTO ANTI CORROSIVO, COM FIXACAO POR ENCAIXE LISO DE 360 GRAUS, DE 1"                                                                                                                                                                                                                                                                                                                                        </v>
          </cell>
          <cell r="C688" t="str">
            <v xml:space="preserve">UN    </v>
          </cell>
          <cell r="D688" t="str">
            <v>CR</v>
          </cell>
          <cell r="E688" t="str">
            <v>5,23</v>
          </cell>
        </row>
        <row r="689">
          <cell r="A689">
            <v>1101</v>
          </cell>
          <cell r="B689" t="str">
            <v xml:space="preserve">CABECOTE PARA ENTRADA DE LINHA DE ALIMENTACAO PARA ELETRODUTO, EM LIGA DE ALUMINIO COM ACABAMENTO ANTI CORROSIVO, COM FIXACAO POR ENCAIXE LISO DE 360 GRAUS, DE 2 1/2"                                                                                                                                                                                                                                                                                                                                    </v>
          </cell>
          <cell r="C689" t="str">
            <v xml:space="preserve">UN    </v>
          </cell>
          <cell r="D689" t="str">
            <v>CR</v>
          </cell>
          <cell r="E689" t="str">
            <v>32,96</v>
          </cell>
        </row>
        <row r="690">
          <cell r="A690">
            <v>1100</v>
          </cell>
          <cell r="B690" t="str">
            <v xml:space="preserve">CABECOTE PARA ENTRADA DE LINHA DE ALIMENTACAO PARA ELETRODUTO, EM LIGA DE ALUMINIO COM ACABAMENTO ANTI CORROSIVO, COM FIXACAO POR ENCAIXE LISO DE 360 GRAUS, DE 2"                                                                                                                                                                                                                                                                                                                                        </v>
          </cell>
          <cell r="C690" t="str">
            <v xml:space="preserve">UN    </v>
          </cell>
          <cell r="D690" t="str">
            <v>CR</v>
          </cell>
          <cell r="E690" t="str">
            <v>17,00</v>
          </cell>
        </row>
        <row r="691">
          <cell r="A691">
            <v>39679</v>
          </cell>
          <cell r="B691" t="str">
            <v xml:space="preserve">CABECOTE PARA ENTRADA DE LINHA DE ALIMENTACAO PARA ELETRODUTO, EM LIGA DE ALUMINIO COM ACABAMENTO ANTI CORROSIVO, COM FIXACAO POR ENCAIXE LISO DE 360 GRAUS, DE 3 1/2"                                                                                                                                                                                                                                                                                                                                    </v>
          </cell>
          <cell r="C691" t="str">
            <v xml:space="preserve">UN    </v>
          </cell>
          <cell r="D691" t="str">
            <v>CR</v>
          </cell>
          <cell r="E691" t="str">
            <v>65,68</v>
          </cell>
        </row>
        <row r="692">
          <cell r="A692">
            <v>1098</v>
          </cell>
          <cell r="B692" t="str">
            <v xml:space="preserve">CABECOTE PARA ENTRADA DE LINHA DE ALIMENTACAO PARA ELETRODUTO, EM LIGA DE ALUMINIO COM ACABAMENTO ANTI CORROSIVO, COM FIXACAO POR ENCAIXE LISO DE 360 GRAUS, DE 3/4"                                                                                                                                                                                                                                                                                                                                      </v>
          </cell>
          <cell r="C692" t="str">
            <v xml:space="preserve">UN    </v>
          </cell>
          <cell r="D692" t="str">
            <v>CR</v>
          </cell>
          <cell r="E692" t="str">
            <v>4,08</v>
          </cell>
        </row>
        <row r="693">
          <cell r="A693">
            <v>1102</v>
          </cell>
          <cell r="B693" t="str">
            <v xml:space="preserve">CABECOTE PARA ENTRADA DE LINHA DE ALIMENTACAO PARA ELETRODUTO, EM LIGA DE ALUMINIO COM ACABAMENTO ANTI CORROSIVO, COM FIXACAO POR ENCAIXE LISO DE 360 GRAUS, DE 3"                                                                                                                                                                                                                                                                                                                                        </v>
          </cell>
          <cell r="C693" t="str">
            <v xml:space="preserve">UN    </v>
          </cell>
          <cell r="D693" t="str">
            <v>CR</v>
          </cell>
          <cell r="E693" t="str">
            <v>49,14</v>
          </cell>
        </row>
        <row r="694">
          <cell r="A694">
            <v>1051</v>
          </cell>
          <cell r="B694" t="str">
            <v xml:space="preserve">CABECOTE PARA ENTRADA DE LINHA DE ALIMENTACAO PARA ELETRODUTO, EM LIGA DE ALUMINIO COM ACABAMENTO ANTI CORROSIVO, COM FIXACAO POR ENCAIXE LISO DE 360 GRAUS, DE 4"                                                                                                                                                                                                                                                                                                                                        </v>
          </cell>
          <cell r="C694" t="str">
            <v xml:space="preserve">UN    </v>
          </cell>
          <cell r="D694" t="str">
            <v>CR</v>
          </cell>
          <cell r="E694" t="str">
            <v>71,43</v>
          </cell>
        </row>
        <row r="695">
          <cell r="A695">
            <v>37399</v>
          </cell>
          <cell r="B695" t="str">
            <v xml:space="preserve">CABIDE/GANCHO DE BANHEIRO SIMPLES EM METAL CROMADO                                                                                                                                                                                                                                                                                                                                                                                                                                                        </v>
          </cell>
          <cell r="C695" t="str">
            <v xml:space="preserve">UN    </v>
          </cell>
          <cell r="D695" t="str">
            <v>CR</v>
          </cell>
          <cell r="E695" t="str">
            <v>31,85</v>
          </cell>
        </row>
        <row r="696">
          <cell r="A696">
            <v>43834</v>
          </cell>
          <cell r="B696" t="str">
            <v xml:space="preserve">CABO COAXIAL RG11 95% DE MALHA                                                                                                                                                                                                                                                                                                                                                                                                                                                                            </v>
          </cell>
          <cell r="C696" t="str">
            <v xml:space="preserve">M     </v>
          </cell>
          <cell r="D696" t="str">
            <v>CR</v>
          </cell>
          <cell r="E696" t="str">
            <v>22,08</v>
          </cell>
        </row>
        <row r="697">
          <cell r="A697">
            <v>43835</v>
          </cell>
          <cell r="B697" t="str">
            <v xml:space="preserve">CABO COAXIAL RG59 95% DE MALHA                                                                                                                                                                                                                                                                                                                                                                                                                                                                            </v>
          </cell>
          <cell r="C697" t="str">
            <v xml:space="preserve">M     </v>
          </cell>
          <cell r="D697" t="str">
            <v>CR</v>
          </cell>
          <cell r="E697" t="str">
            <v>1,98</v>
          </cell>
        </row>
        <row r="698">
          <cell r="A698">
            <v>43833</v>
          </cell>
          <cell r="B698" t="str">
            <v xml:space="preserve">CABO COAXIAL RG6 95% DE MALHA                                                                                                                                                                                                                                                                                                                                                                                                                                                                             </v>
          </cell>
          <cell r="C698" t="str">
            <v xml:space="preserve">M     </v>
          </cell>
          <cell r="D698" t="str">
            <v>CR</v>
          </cell>
          <cell r="E698" t="str">
            <v>2,05</v>
          </cell>
        </row>
        <row r="699">
          <cell r="A699">
            <v>41955</v>
          </cell>
          <cell r="B699" t="str">
            <v xml:space="preserve">CABO DE ACO GALVANIZADO, DIAMETRO 12,7 MM (1/2"), COM ALMA DE ACO CABO INDEPENDENTE 6 X 25 F                                                                                                                                                                                                                                                                                                                                                                                                              </v>
          </cell>
          <cell r="C699" t="str">
            <v xml:space="preserve">KG    </v>
          </cell>
          <cell r="D699" t="str">
            <v>CR</v>
          </cell>
          <cell r="E699" t="str">
            <v>66,94</v>
          </cell>
        </row>
        <row r="700">
          <cell r="A700">
            <v>41953</v>
          </cell>
          <cell r="B700" t="str">
            <v xml:space="preserve">CABO DE ACO GALVANIZADO, DIAMETRO 12,7 MM (1/2"), COM ALMA DE FIBRA 6 X 25 F                                                                                                                                                                                                                                                                                                                                                                                                                              </v>
          </cell>
          <cell r="C700" t="str">
            <v xml:space="preserve">KG    </v>
          </cell>
          <cell r="D700" t="str">
            <v>CR</v>
          </cell>
          <cell r="E700" t="str">
            <v>63,88</v>
          </cell>
        </row>
        <row r="701">
          <cell r="A701">
            <v>41954</v>
          </cell>
          <cell r="B701" t="str">
            <v xml:space="preserve">CABO DE ACO GALVANIZADO, DIAMETRO 9,53 MM (3/8"), COM ALMA DE FIBRA 6 X 25 F                                                                                                                                                                                                                                                                                                                                                                                                                              </v>
          </cell>
          <cell r="C701" t="str">
            <v xml:space="preserve">KG    </v>
          </cell>
          <cell r="D701" t="str">
            <v>CR</v>
          </cell>
          <cell r="E701" t="str">
            <v>63,27</v>
          </cell>
        </row>
        <row r="702">
          <cell r="A702">
            <v>25004</v>
          </cell>
          <cell r="B702" t="str">
            <v xml:space="preserve">CABO DE ALUMINIO NU COM ALMA DE ACO, BITOLA 1/0 AWG                                                                                                                                                                                                                                                                                                                                                                                                                                                       </v>
          </cell>
          <cell r="C702" t="str">
            <v xml:space="preserve">KG    </v>
          </cell>
          <cell r="D702" t="str">
            <v>CR</v>
          </cell>
          <cell r="E702" t="str">
            <v>39,39</v>
          </cell>
        </row>
        <row r="703">
          <cell r="A703">
            <v>25002</v>
          </cell>
          <cell r="B703" t="str">
            <v xml:space="preserve">CABO DE ALUMINIO NU COM ALMA DE ACO, BITOLA 2 AWG                                                                                                                                                                                                                                                                                                                                                                                                                                                         </v>
          </cell>
          <cell r="C703" t="str">
            <v xml:space="preserve">KG    </v>
          </cell>
          <cell r="D703" t="str">
            <v>CR</v>
          </cell>
          <cell r="E703" t="str">
            <v>39,39</v>
          </cell>
        </row>
        <row r="704">
          <cell r="A704">
            <v>37409</v>
          </cell>
          <cell r="B704" t="str">
            <v xml:space="preserve">CABO DE ALUMINIO NU COM ALMA DE ACO, BITOLA 2/0 AWG                                                                                                                                                                                                                                                                                                                                                                                                                                                       </v>
          </cell>
          <cell r="C704" t="str">
            <v xml:space="preserve">KG    </v>
          </cell>
          <cell r="D704" t="str">
            <v>CR</v>
          </cell>
          <cell r="E704" t="str">
            <v>39,39</v>
          </cell>
        </row>
        <row r="705">
          <cell r="A705">
            <v>841</v>
          </cell>
          <cell r="B705" t="str">
            <v xml:space="preserve">CABO DE ALUMINIO NU COM ALMA DE ACO, BITOLA 4 AWG                                                                                                                                                                                                                                                                                                                                                                                                                                                         </v>
          </cell>
          <cell r="C705" t="str">
            <v xml:space="preserve">KG    </v>
          </cell>
          <cell r="D705" t="str">
            <v>CR</v>
          </cell>
          <cell r="E705" t="str">
            <v>39,87</v>
          </cell>
        </row>
        <row r="706">
          <cell r="A706">
            <v>25005</v>
          </cell>
          <cell r="B706" t="str">
            <v xml:space="preserve">CABO DE ALUMINIO NU SEM ALMA DE ACO, BITOLA 1/0 AWG                                                                                                                                                                                                                                                                                                                                                                                                                                                       </v>
          </cell>
          <cell r="C706" t="str">
            <v xml:space="preserve">KG    </v>
          </cell>
          <cell r="D706" t="str">
            <v>CR</v>
          </cell>
          <cell r="E706" t="str">
            <v>43,22</v>
          </cell>
        </row>
        <row r="707">
          <cell r="A707">
            <v>25003</v>
          </cell>
          <cell r="B707" t="str">
            <v xml:space="preserve">CABO DE ALUMINIO NU SEM ALMA DE ACO, BITOLA 2 AWG                                                                                                                                                                                                                                                                                                                                                                                                                                                         </v>
          </cell>
          <cell r="C707" t="str">
            <v xml:space="preserve">KG    </v>
          </cell>
          <cell r="D707" t="str">
            <v>CR</v>
          </cell>
          <cell r="E707" t="str">
            <v>43,87</v>
          </cell>
        </row>
        <row r="708">
          <cell r="A708">
            <v>37410</v>
          </cell>
          <cell r="B708" t="str">
            <v xml:space="preserve">CABO DE ALUMINIO NU SEM ALMA DE ACO, BITOLA 2/0 AWG                                                                                                                                                                                                                                                                                                                                                                                                                                                       </v>
          </cell>
          <cell r="C708" t="str">
            <v xml:space="preserve">KG    </v>
          </cell>
          <cell r="D708" t="str">
            <v>CR</v>
          </cell>
          <cell r="E708" t="str">
            <v>43,22</v>
          </cell>
        </row>
        <row r="709">
          <cell r="A709">
            <v>842</v>
          </cell>
          <cell r="B709" t="str">
            <v xml:space="preserve">CABO DE ALUMINIO NU SEM ALMA DE ACO, BITOLA 4 AWG                                                                                                                                                                                                                                                                                                                                                                                                                                                         </v>
          </cell>
          <cell r="C709" t="str">
            <v xml:space="preserve">KG    </v>
          </cell>
          <cell r="D709" t="str">
            <v>CR</v>
          </cell>
          <cell r="E709" t="str">
            <v>43,84</v>
          </cell>
        </row>
        <row r="710">
          <cell r="A710">
            <v>44391</v>
          </cell>
          <cell r="B710" t="str">
            <v xml:space="preserve">CABO DE COBRE FLEXIVEL NAO HALOGENADO, SEM EMISSAO DE FUMACA, 750V, SECAO NOMINAL 120 MM                                                                                                                                                                                                                                                                                                                                                                                                                  </v>
          </cell>
          <cell r="C710" t="str">
            <v xml:space="preserve">M     </v>
          </cell>
          <cell r="D710" t="str">
            <v>CR</v>
          </cell>
          <cell r="E710" t="str">
            <v>93,41</v>
          </cell>
        </row>
        <row r="711">
          <cell r="A711">
            <v>44388</v>
          </cell>
          <cell r="B711" t="str">
            <v xml:space="preserve">CABO DE COBRE FLEXIVEL NAO HALOGENADO, SEM EMISSAO DE FUMACA, 750V, SECAO NOMINAL 2,5 MM                                                                                                                                                                                                                                                                                                                                                                                                                  </v>
          </cell>
          <cell r="C711" t="str">
            <v xml:space="preserve">M     </v>
          </cell>
          <cell r="D711" t="str">
            <v>CR</v>
          </cell>
          <cell r="E711" t="str">
            <v>2,02</v>
          </cell>
        </row>
        <row r="712">
          <cell r="A712">
            <v>44392</v>
          </cell>
          <cell r="B712" t="str">
            <v xml:space="preserve">CABO DE COBRE FLEXIVEL NAO HALOGENADO, SEM EMISSAO DE FUMACA, 750V, SECAO NOMINAL 240 MM                                                                                                                                                                                                                                                                                                                                                                                                                  </v>
          </cell>
          <cell r="C712" t="str">
            <v xml:space="preserve">M     </v>
          </cell>
          <cell r="D712" t="str">
            <v>CR</v>
          </cell>
          <cell r="E712" t="str">
            <v>185,99</v>
          </cell>
        </row>
        <row r="713">
          <cell r="A713">
            <v>44390</v>
          </cell>
          <cell r="B713" t="str">
            <v xml:space="preserve">CABO DE COBRE FLEXIVEL NAO HALOGENADO, SEM EMISSAO DE FUMACA, 750V, SECAO NOMINAL 50 MM                                                                                                                                                                                                                                                                                                                                                                                                                   </v>
          </cell>
          <cell r="C713" t="str">
            <v xml:space="preserve">M     </v>
          </cell>
          <cell r="D713" t="str">
            <v>CR</v>
          </cell>
          <cell r="E713" t="str">
            <v>39,41</v>
          </cell>
        </row>
        <row r="714">
          <cell r="A714">
            <v>44389</v>
          </cell>
          <cell r="B714" t="str">
            <v xml:space="preserve">CABO DE COBRE FLEXIVEL NAO HALOGENADO, SEM EMISSAO DE FUMACA, 750V, SECAO NOMINAL 6,0 MM                                                                                                                                                                                                                                                                                                                                                                                                                  </v>
          </cell>
          <cell r="C714" t="str">
            <v xml:space="preserve">M     </v>
          </cell>
          <cell r="D714" t="str">
            <v>CR</v>
          </cell>
          <cell r="E714" t="str">
            <v>4,65</v>
          </cell>
        </row>
        <row r="715">
          <cell r="A715">
            <v>862</v>
          </cell>
          <cell r="B715" t="str">
            <v xml:space="preserve">CABO DE COBRE NU 10 MM2 MEIO-DURO                                                                                                                                                                                                                                                                                                                                                                                                                                                                         </v>
          </cell>
          <cell r="C715" t="str">
            <v xml:space="preserve">M     </v>
          </cell>
          <cell r="D715" t="str">
            <v>CR</v>
          </cell>
          <cell r="E715" t="str">
            <v>8,52</v>
          </cell>
        </row>
        <row r="716">
          <cell r="A716">
            <v>866</v>
          </cell>
          <cell r="B716" t="str">
            <v xml:space="preserve">CABO DE COBRE NU 120 MM2 MEIO-DURO                                                                                                                                                                                                                                                                                                                                                                                                                                                                        </v>
          </cell>
          <cell r="C716" t="str">
            <v xml:space="preserve">M     </v>
          </cell>
          <cell r="D716" t="str">
            <v>CR</v>
          </cell>
          <cell r="E716" t="str">
            <v>108,30</v>
          </cell>
        </row>
        <row r="717">
          <cell r="A717">
            <v>892</v>
          </cell>
          <cell r="B717" t="str">
            <v xml:space="preserve">CABO DE COBRE NU 150 MM2 MEIO-DURO                                                                                                                                                                                                                                                                                                                                                                                                                                                                        </v>
          </cell>
          <cell r="C717" t="str">
            <v xml:space="preserve">M     </v>
          </cell>
          <cell r="D717" t="str">
            <v>CR</v>
          </cell>
          <cell r="E717" t="str">
            <v>131,10</v>
          </cell>
        </row>
        <row r="718">
          <cell r="A718">
            <v>857</v>
          </cell>
          <cell r="B718" t="str">
            <v xml:space="preserve">CABO DE COBRE NU 16 MM2 MEIO-DURO                                                                                                                                                                                                                                                                                                                                                                                                                                                                         </v>
          </cell>
          <cell r="C718" t="str">
            <v xml:space="preserve">M     </v>
          </cell>
          <cell r="D718" t="str">
            <v>CR</v>
          </cell>
          <cell r="E718" t="str">
            <v>14,26</v>
          </cell>
        </row>
        <row r="719">
          <cell r="A719">
            <v>37404</v>
          </cell>
          <cell r="B719" t="str">
            <v xml:space="preserve">CABO DE COBRE NU 185 MM2 MEIO-DURO                                                                                                                                                                                                                                                                                                                                                                                                                                                                        </v>
          </cell>
          <cell r="C719" t="str">
            <v xml:space="preserve">M     </v>
          </cell>
          <cell r="D719" t="str">
            <v>CR</v>
          </cell>
          <cell r="E719" t="str">
            <v>151,68</v>
          </cell>
        </row>
        <row r="720">
          <cell r="A720">
            <v>868</v>
          </cell>
          <cell r="B720" t="str">
            <v xml:space="preserve">CABO DE COBRE NU 25 MM2 MEIO-DURO                                                                                                                                                                                                                                                                                                                                                                                                                                                                         </v>
          </cell>
          <cell r="C720" t="str">
            <v xml:space="preserve">M     </v>
          </cell>
          <cell r="D720" t="str">
            <v>CR</v>
          </cell>
          <cell r="E720" t="str">
            <v>20,32</v>
          </cell>
        </row>
        <row r="721">
          <cell r="A721">
            <v>863</v>
          </cell>
          <cell r="B721" t="str">
            <v xml:space="preserve">CABO DE COBRE NU 35 MM2 MEIO-DURO                                                                                                                                                                                                                                                                                                                                                                                                                                                                         </v>
          </cell>
          <cell r="C721" t="str">
            <v xml:space="preserve">M     </v>
          </cell>
          <cell r="D721" t="str">
            <v>CR</v>
          </cell>
          <cell r="E721" t="str">
            <v>29,93</v>
          </cell>
        </row>
        <row r="722">
          <cell r="A722">
            <v>867</v>
          </cell>
          <cell r="B722" t="str">
            <v xml:space="preserve">CABO DE COBRE NU 50 MM2 MEIO-DURO                                                                                                                                                                                                                                                                                                                                                                                                                                                                         </v>
          </cell>
          <cell r="C722" t="str">
            <v xml:space="preserve">M     </v>
          </cell>
          <cell r="D722" t="str">
            <v>CR</v>
          </cell>
          <cell r="E722" t="str">
            <v>42,63</v>
          </cell>
        </row>
        <row r="723">
          <cell r="A723">
            <v>864</v>
          </cell>
          <cell r="B723" t="str">
            <v xml:space="preserve">CABO DE COBRE NU 70 MM2 MEIO-DURO                                                                                                                                                                                                                                                                                                                                                                                                                                                                         </v>
          </cell>
          <cell r="C723" t="str">
            <v xml:space="preserve">M     </v>
          </cell>
          <cell r="D723" t="str">
            <v>CR</v>
          </cell>
          <cell r="E723" t="str">
            <v>56,31</v>
          </cell>
        </row>
        <row r="724">
          <cell r="A724">
            <v>865</v>
          </cell>
          <cell r="B724" t="str">
            <v xml:space="preserve">CABO DE COBRE NU 95 MM2 MEIO-DURO                                                                                                                                                                                                                                                                                                                                                                                                                                                                         </v>
          </cell>
          <cell r="C724" t="str">
            <v xml:space="preserve">M     </v>
          </cell>
          <cell r="D724" t="str">
            <v>CR</v>
          </cell>
          <cell r="E724" t="str">
            <v>81,00</v>
          </cell>
        </row>
        <row r="725">
          <cell r="A725">
            <v>993</v>
          </cell>
          <cell r="B725" t="str">
            <v xml:space="preserve">CABO DE COBRE, FLEXIVEL, CLASSE 4 OU 5, ISOLACAO EM PVC/A, ANTICHAMA BWF-B, COBERTURA PVC-ST1, ANTICHAMA BWF-B, 1 CONDUTOR, 0,6/1 KV, SECAO NOMINAL 1,5 MM2                                                                                                                                                                                                                                                                                                                                               </v>
          </cell>
          <cell r="C725" t="str">
            <v xml:space="preserve">M     </v>
          </cell>
          <cell r="D725" t="str">
            <v>CR</v>
          </cell>
          <cell r="E725" t="str">
            <v>1,54</v>
          </cell>
        </row>
        <row r="726">
          <cell r="A726">
            <v>1020</v>
          </cell>
          <cell r="B726" t="str">
            <v xml:space="preserve">CABO DE COBRE, FLEXIVEL, CLASSE 4 OU 5, ISOLACAO EM PVC/A, ANTICHAMA BWF-B, COBERTURA PVC-ST1, ANTICHAMA BWF-B, 1 CONDUTOR, 0,6/1 KV, SECAO NOMINAL 10 MM2                                                                                                                                                                                                                                                                                                                                                </v>
          </cell>
          <cell r="C726" t="str">
            <v xml:space="preserve">M     </v>
          </cell>
          <cell r="D726" t="str">
            <v>CR</v>
          </cell>
          <cell r="E726" t="str">
            <v>7,86</v>
          </cell>
        </row>
        <row r="727">
          <cell r="A727">
            <v>1017</v>
          </cell>
          <cell r="B727" t="str">
            <v xml:space="preserve">CABO DE COBRE, FLEXIVEL, CLASSE 4 OU 5, ISOLACAO EM PVC/A, ANTICHAMA BWF-B, COBERTURA PVC-ST1, ANTICHAMA BWF-B, 1 CONDUTOR, 0,6/1 KV, SECAO NOMINAL 120 MM2                                                                                                                                                                                                                                                                                                                                               </v>
          </cell>
          <cell r="C727" t="str">
            <v xml:space="preserve">M     </v>
          </cell>
          <cell r="D727" t="str">
            <v>CR</v>
          </cell>
          <cell r="E727" t="str">
            <v>96,31</v>
          </cell>
        </row>
        <row r="728">
          <cell r="A728">
            <v>999</v>
          </cell>
          <cell r="B728" t="str">
            <v xml:space="preserve">CABO DE COBRE, FLEXIVEL, CLASSE 4 OU 5, ISOLACAO EM PVC/A, ANTICHAMA BWF-B, COBERTURA PVC-ST1, ANTICHAMA BWF-B, 1 CONDUTOR, 0,6/1 KV, SECAO NOMINAL 150 MM2                                                                                                                                                                                                                                                                                                                                               </v>
          </cell>
          <cell r="C728" t="str">
            <v xml:space="preserve">M     </v>
          </cell>
          <cell r="D728" t="str">
            <v>CR</v>
          </cell>
          <cell r="E728" t="str">
            <v>116,68</v>
          </cell>
        </row>
        <row r="729">
          <cell r="A729">
            <v>995</v>
          </cell>
          <cell r="B729" t="str">
            <v xml:space="preserve">CABO DE COBRE, FLEXIVEL, CLASSE 4 OU 5, ISOLACAO EM PVC/A, ANTICHAMA BWF-B, COBERTURA PVC-ST1, ANTICHAMA BWF-B, 1 CONDUTOR, 0,6/1 KV, SECAO NOMINAL 16 MM2                                                                                                                                                                                                                                                                                                                                                </v>
          </cell>
          <cell r="C729" t="str">
            <v xml:space="preserve">M     </v>
          </cell>
          <cell r="D729" t="str">
            <v>CR</v>
          </cell>
          <cell r="E729" t="str">
            <v>12,51</v>
          </cell>
        </row>
        <row r="730">
          <cell r="A730">
            <v>1000</v>
          </cell>
          <cell r="B730" t="str">
            <v xml:space="preserve">CABO DE COBRE, FLEXIVEL, CLASSE 4 OU 5, ISOLACAO EM PVC/A, ANTICHAMA BWF-B, COBERTURA PVC-ST1, ANTICHAMA BWF-B, 1 CONDUTOR, 0,6/1 KV, SECAO NOMINAL 185 MM2                                                                                                                                                                                                                                                                                                                                               </v>
          </cell>
          <cell r="C730" t="str">
            <v xml:space="preserve">M     </v>
          </cell>
          <cell r="D730" t="str">
            <v>CR</v>
          </cell>
          <cell r="E730" t="str">
            <v>143,32</v>
          </cell>
        </row>
        <row r="731">
          <cell r="A731">
            <v>1022</v>
          </cell>
          <cell r="B731" t="str">
            <v xml:space="preserve">CABO DE COBRE, FLEXIVEL, CLASSE 4 OU 5, ISOLACAO EM PVC/A, ANTICHAMA BWF-B, COBERTURA PVC-ST1, ANTICHAMA BWF-B, 1 CONDUTOR, 0,6/1 KV, SECAO NOMINAL 2,5 MM2                                                                                                                                                                                                                                                                                                                                               </v>
          </cell>
          <cell r="C731" t="str">
            <v xml:space="preserve">M     </v>
          </cell>
          <cell r="D731" t="str">
            <v>CR</v>
          </cell>
          <cell r="E731" t="str">
            <v>2,15</v>
          </cell>
        </row>
        <row r="732">
          <cell r="A732">
            <v>1015</v>
          </cell>
          <cell r="B732" t="str">
            <v xml:space="preserve">CABO DE COBRE, FLEXIVEL, CLASSE 4 OU 5, ISOLACAO EM PVC/A, ANTICHAMA BWF-B, COBERTURA PVC-ST1, ANTICHAMA BWF-B, 1 CONDUTOR, 0,6/1 KV, SECAO NOMINAL 240 MM2                                                                                                                                                                                                                                                                                                                                               </v>
          </cell>
          <cell r="C732" t="str">
            <v xml:space="preserve">M     </v>
          </cell>
          <cell r="D732" t="str">
            <v>CR</v>
          </cell>
          <cell r="E732" t="str">
            <v>190,45</v>
          </cell>
        </row>
        <row r="733">
          <cell r="A733">
            <v>996</v>
          </cell>
          <cell r="B733" t="str">
            <v xml:space="preserve">CABO DE COBRE, FLEXIVEL, CLASSE 4 OU 5, ISOLACAO EM PVC/A, ANTICHAMA BWF-B, COBERTURA PVC-ST1, ANTICHAMA BWF-B, 1 CONDUTOR, 0,6/1 KV, SECAO NOMINAL 25 MM2                                                                                                                                                                                                                                                                                                                                                </v>
          </cell>
          <cell r="C733" t="str">
            <v xml:space="preserve">M     </v>
          </cell>
          <cell r="D733" t="str">
            <v>CR</v>
          </cell>
          <cell r="E733" t="str">
            <v>19,40</v>
          </cell>
        </row>
        <row r="734">
          <cell r="A734">
            <v>1001</v>
          </cell>
          <cell r="B734" t="str">
            <v xml:space="preserve">CABO DE COBRE, FLEXIVEL, CLASSE 4 OU 5, ISOLACAO EM PVC/A, ANTICHAMA BWF-B, COBERTURA PVC-ST1, ANTICHAMA BWF-B, 1 CONDUTOR, 0,6/1 KV, SECAO NOMINAL 300 MM2                                                                                                                                                                                                                                                                                                                                               </v>
          </cell>
          <cell r="C734" t="str">
            <v xml:space="preserve">M     </v>
          </cell>
          <cell r="D734" t="str">
            <v>CR</v>
          </cell>
          <cell r="E734" t="str">
            <v>247,11</v>
          </cell>
        </row>
        <row r="735">
          <cell r="A735">
            <v>1019</v>
          </cell>
          <cell r="B735" t="str">
            <v xml:space="preserve">CABO DE COBRE, FLEXIVEL, CLASSE 4 OU 5, ISOLACAO EM PVC/A, ANTICHAMA BWF-B, COBERTURA PVC-ST1, ANTICHAMA BWF-B, 1 CONDUTOR, 0,6/1 KV, SECAO NOMINAL 35 MM2                                                                                                                                                                                                                                                                                                                                                </v>
          </cell>
          <cell r="C735" t="str">
            <v xml:space="preserve">M     </v>
          </cell>
          <cell r="D735" t="str">
            <v>CR</v>
          </cell>
          <cell r="E735" t="str">
            <v>27,42</v>
          </cell>
        </row>
        <row r="736">
          <cell r="A736">
            <v>1021</v>
          </cell>
          <cell r="B736" t="str">
            <v xml:space="preserve">CABO DE COBRE, FLEXIVEL, CLASSE 4 OU 5, ISOLACAO EM PVC/A, ANTICHAMA BWF-B, COBERTURA PVC-ST1, ANTICHAMA BWF-B, 1 CONDUTOR, 0,6/1 KV, SECAO NOMINAL 4 MM2                                                                                                                                                                                                                                                                                                                                                 </v>
          </cell>
          <cell r="C736" t="str">
            <v xml:space="preserve">M     </v>
          </cell>
          <cell r="D736" t="str">
            <v>CR</v>
          </cell>
          <cell r="E736" t="str">
            <v>3,29</v>
          </cell>
        </row>
        <row r="737">
          <cell r="A737">
            <v>39249</v>
          </cell>
          <cell r="B737" t="str">
            <v xml:space="preserve">CABO DE COBRE, FLEXIVEL, CLASSE 4 OU 5, ISOLACAO EM PVC/A, ANTICHAMA BWF-B, COBERTURA PVC-ST1, ANTICHAMA BWF-B, 1 CONDUTOR, 0,6/1 KV, SECAO NOMINAL 400 MM2                                                                                                                                                                                                                                                                                                                                               </v>
          </cell>
          <cell r="C737" t="str">
            <v xml:space="preserve">M     </v>
          </cell>
          <cell r="D737" t="str">
            <v>CR</v>
          </cell>
          <cell r="E737" t="str">
            <v>332,25</v>
          </cell>
        </row>
        <row r="738">
          <cell r="A738">
            <v>1018</v>
          </cell>
          <cell r="B738" t="str">
            <v xml:space="preserve">CABO DE COBRE, FLEXIVEL, CLASSE 4 OU 5, ISOLACAO EM PVC/A, ANTICHAMA BWF-B, COBERTURA PVC-ST1, ANTICHAMA BWF-B, 1 CONDUTOR, 0,6/1 KV, SECAO NOMINAL 50 MM2                                                                                                                                                                                                                                                                                                                                                </v>
          </cell>
          <cell r="C738" t="str">
            <v xml:space="preserve">M     </v>
          </cell>
          <cell r="D738" t="str">
            <v>CR</v>
          </cell>
          <cell r="E738" t="str">
            <v>40,55</v>
          </cell>
        </row>
        <row r="739">
          <cell r="A739">
            <v>39250</v>
          </cell>
          <cell r="B739" t="str">
            <v xml:space="preserve">CABO DE COBRE, FLEXIVEL, CLASSE 4 OU 5, ISOLACAO EM PVC/A, ANTICHAMA BWF-B, COBERTURA PVC-ST1, ANTICHAMA BWF-B, 1 CONDUTOR, 0,6/1 KV, SECAO NOMINAL 500 MM2                                                                                                                                                                                                                                                                                                                                               </v>
          </cell>
          <cell r="C739" t="str">
            <v xml:space="preserve">M     </v>
          </cell>
          <cell r="D739" t="str">
            <v>CR</v>
          </cell>
          <cell r="E739" t="str">
            <v>397,45</v>
          </cell>
        </row>
        <row r="740">
          <cell r="A740">
            <v>994</v>
          </cell>
          <cell r="B740" t="str">
            <v xml:space="preserve">CABO DE COBRE, FLEXIVEL, CLASSE 4 OU 5, ISOLACAO EM PVC/A, ANTICHAMA BWF-B, COBERTURA PVC-ST1, ANTICHAMA BWF-B, 1 CONDUTOR, 0,6/1 KV, SECAO NOMINAL 6 MM2                                                                                                                                                                                                                                                                                                                                                 </v>
          </cell>
          <cell r="C740" t="str">
            <v xml:space="preserve">M     </v>
          </cell>
          <cell r="D740" t="str">
            <v>CR</v>
          </cell>
          <cell r="E740" t="str">
            <v>4,79</v>
          </cell>
        </row>
        <row r="741">
          <cell r="A741">
            <v>977</v>
          </cell>
          <cell r="B741" t="str">
            <v xml:space="preserve">CABO DE COBRE, FLEXIVEL, CLASSE 4 OU 5, ISOLACAO EM PVC/A, ANTICHAMA BWF-B, COBERTURA PVC-ST1, ANTICHAMA BWF-B, 1 CONDUTOR, 0,6/1 KV, SECAO NOMINAL 70 MM2                                                                                                                                                                                                                                                                                                                                                </v>
          </cell>
          <cell r="C741" t="str">
            <v xml:space="preserve">M     </v>
          </cell>
          <cell r="D741" t="str">
            <v>CR</v>
          </cell>
          <cell r="E741" t="str">
            <v>56,72</v>
          </cell>
        </row>
        <row r="742">
          <cell r="A742">
            <v>998</v>
          </cell>
          <cell r="B742" t="str">
            <v xml:space="preserve">CABO DE COBRE, FLEXIVEL, CLASSE 4 OU 5, ISOLACAO EM PVC/A, ANTICHAMA BWF-B, COBERTURA PVC-ST1, ANTICHAMA BWF-B, 1 CONDUTOR, 0,6/1 KV, SECAO NOMINAL 95 MM2                                                                                                                                                                                                                                                                                                                                                </v>
          </cell>
          <cell r="C742" t="str">
            <v xml:space="preserve">M     </v>
          </cell>
          <cell r="D742" t="str">
            <v>CR</v>
          </cell>
          <cell r="E742" t="str">
            <v>73,65</v>
          </cell>
        </row>
        <row r="743">
          <cell r="A743">
            <v>39251</v>
          </cell>
          <cell r="B743" t="str">
            <v xml:space="preserve">CABO DE COBRE, FLEXIVEL, CLASSE 4 OU 5, ISOLACAO EM PVC/A, ANTICHAMA BWF-B, 1 CONDUTOR, 450/750 V, SECAO NOMINAL 0,5 MM2                                                                                                                                                                                                                                                                                                                                                                                  </v>
          </cell>
          <cell r="C743" t="str">
            <v xml:space="preserve">M     </v>
          </cell>
          <cell r="D743" t="str">
            <v>CR</v>
          </cell>
          <cell r="E743" t="str">
            <v>0,53</v>
          </cell>
        </row>
        <row r="744">
          <cell r="A744">
            <v>1011</v>
          </cell>
          <cell r="B744" t="str">
            <v xml:space="preserve">CABO DE COBRE, FLEXIVEL, CLASSE 4 OU 5, ISOLACAO EM PVC/A, ANTICHAMA BWF-B, 1 CONDUTOR, 450/750 V, SECAO NOMINAL 0,75 MM2                                                                                                                                                                                                                                                                                                                                                                                 </v>
          </cell>
          <cell r="C744" t="str">
            <v xml:space="preserve">M     </v>
          </cell>
          <cell r="D744" t="str">
            <v>CR</v>
          </cell>
          <cell r="E744" t="str">
            <v>0,72</v>
          </cell>
        </row>
        <row r="745">
          <cell r="A745">
            <v>39252</v>
          </cell>
          <cell r="B745" t="str">
            <v xml:space="preserve">CABO DE COBRE, FLEXIVEL, CLASSE 4 OU 5, ISOLACAO EM PVC/A, ANTICHAMA BWF-B, 1 CONDUTOR, 450/750 V, SECAO NOMINAL 1,0 MM2                                                                                                                                                                                                                                                                                                                                                                                  </v>
          </cell>
          <cell r="C745" t="str">
            <v xml:space="preserve">M     </v>
          </cell>
          <cell r="D745" t="str">
            <v>CR</v>
          </cell>
          <cell r="E745" t="str">
            <v>0,95</v>
          </cell>
        </row>
        <row r="746">
          <cell r="A746">
            <v>1013</v>
          </cell>
          <cell r="B746" t="str">
            <v xml:space="preserve">CABO DE COBRE, FLEXIVEL, CLASSE 4 OU 5, ISOLACAO EM PVC/A, ANTICHAMA BWF-B, 1 CONDUTOR, 450/750 V, SECAO NOMINAL 1,5 MM2                                                                                                                                                                                                                                                                                                                                                                                  </v>
          </cell>
          <cell r="C746" t="str">
            <v xml:space="preserve">M     </v>
          </cell>
          <cell r="D746" t="str">
            <v>CR</v>
          </cell>
          <cell r="E746" t="str">
            <v>1,14</v>
          </cell>
        </row>
        <row r="747">
          <cell r="A747">
            <v>980</v>
          </cell>
          <cell r="B747" t="str">
            <v xml:space="preserve">CABO DE COBRE, FLEXIVEL, CLASSE 4 OU 5, ISOLACAO EM PVC/A, ANTICHAMA BWF-B, 1 CONDUTOR, 450/750 V, SECAO NOMINAL 10 MM2                                                                                                                                                                                                                                                                                                                                                                                   </v>
          </cell>
          <cell r="C747" t="str">
            <v xml:space="preserve">M     </v>
          </cell>
          <cell r="D747" t="str">
            <v>CR</v>
          </cell>
          <cell r="E747" t="str">
            <v>8,24</v>
          </cell>
        </row>
        <row r="748">
          <cell r="A748">
            <v>39237</v>
          </cell>
          <cell r="B748" t="str">
            <v xml:space="preserve">CABO DE COBRE, FLEXIVEL, CLASSE 4 OU 5, ISOLACAO EM PVC/A, ANTICHAMA BWF-B, 1 CONDUTOR, 450/750 V, SECAO NOMINAL 120 MM2                                                                                                                                                                                                                                                                                                                                                                                  </v>
          </cell>
          <cell r="C748" t="str">
            <v xml:space="preserve">M     </v>
          </cell>
          <cell r="D748" t="str">
            <v>CR</v>
          </cell>
          <cell r="E748" t="str">
            <v>87,68</v>
          </cell>
        </row>
        <row r="749">
          <cell r="A749">
            <v>39238</v>
          </cell>
          <cell r="B749" t="str">
            <v xml:space="preserve">CABO DE COBRE, FLEXIVEL, CLASSE 4 OU 5, ISOLACAO EM PVC/A, ANTICHAMA BWF-B, 1 CONDUTOR, 450/750 V, SECAO NOMINAL 150 MM2                                                                                                                                                                                                                                                                                                                                                                                  </v>
          </cell>
          <cell r="C749" t="str">
            <v xml:space="preserve">M     </v>
          </cell>
          <cell r="D749" t="str">
            <v>CR</v>
          </cell>
          <cell r="E749" t="str">
            <v>110,58</v>
          </cell>
        </row>
        <row r="750">
          <cell r="A750">
            <v>979</v>
          </cell>
          <cell r="B750" t="str">
            <v xml:space="preserve">CABO DE COBRE, FLEXIVEL, CLASSE 4 OU 5, ISOLACAO EM PVC/A, ANTICHAMA BWF-B, 1 CONDUTOR, 450/750 V, SECAO NOMINAL 16 MM2                                                                                                                                                                                                                                                                                                                                                                                   </v>
          </cell>
          <cell r="C750" t="str">
            <v xml:space="preserve">M     </v>
          </cell>
          <cell r="D750" t="str">
            <v>CR</v>
          </cell>
          <cell r="E750" t="str">
            <v>11,77</v>
          </cell>
        </row>
        <row r="751">
          <cell r="A751">
            <v>39239</v>
          </cell>
          <cell r="B751" t="str">
            <v xml:space="preserve">CABO DE COBRE, FLEXIVEL, CLASSE 4 OU 5, ISOLACAO EM PVC/A, ANTICHAMA BWF-B, 1 CONDUTOR, 450/750 V, SECAO NOMINAL 185 MM2                                                                                                                                                                                                                                                                                                                                                                                  </v>
          </cell>
          <cell r="C751" t="str">
            <v xml:space="preserve">M     </v>
          </cell>
          <cell r="D751" t="str">
            <v>CR</v>
          </cell>
          <cell r="E751" t="str">
            <v>133,59</v>
          </cell>
        </row>
        <row r="752">
          <cell r="A752">
            <v>1014</v>
          </cell>
          <cell r="B752" t="str">
            <v xml:space="preserve">CABO DE COBRE, FLEXIVEL, CLASSE 4 OU 5, ISOLACAO EM PVC/A, ANTICHAMA BWF-B, 1 CONDUTOR, 450/750 V, SECAO NOMINAL 2,5 MM2                                                                                                                                                                                                                                                                                                                                                                                  </v>
          </cell>
          <cell r="C752" t="str">
            <v xml:space="preserve">M     </v>
          </cell>
          <cell r="D752" t="str">
            <v>CR</v>
          </cell>
          <cell r="E752" t="str">
            <v>1,81</v>
          </cell>
        </row>
        <row r="753">
          <cell r="A753">
            <v>39240</v>
          </cell>
          <cell r="B753" t="str">
            <v xml:space="preserve">CABO DE COBRE, FLEXIVEL, CLASSE 4 OU 5, ISOLACAO EM PVC/A, ANTICHAMA BWF-B, 1 CONDUTOR, 450/750 V, SECAO NOMINAL 240 MM2                                                                                                                                                                                                                                                                                                                                                                                  </v>
          </cell>
          <cell r="C753" t="str">
            <v xml:space="preserve">M     </v>
          </cell>
          <cell r="D753" t="str">
            <v>CR</v>
          </cell>
          <cell r="E753" t="str">
            <v>175,71</v>
          </cell>
        </row>
        <row r="754">
          <cell r="A754">
            <v>39232</v>
          </cell>
          <cell r="B754" t="str">
            <v xml:space="preserve">CABO DE COBRE, FLEXIVEL, CLASSE 4 OU 5, ISOLACAO EM PVC/A, ANTICHAMA BWF-B, 1 CONDUTOR, 450/750 V, SECAO NOMINAL 25 MM2                                                                                                                                                                                                                                                                                                                                                                                   </v>
          </cell>
          <cell r="C754" t="str">
            <v xml:space="preserve">M     </v>
          </cell>
          <cell r="D754" t="str">
            <v>CR</v>
          </cell>
          <cell r="E754" t="str">
            <v>18,44</v>
          </cell>
        </row>
        <row r="755">
          <cell r="A755">
            <v>39233</v>
          </cell>
          <cell r="B755" t="str">
            <v xml:space="preserve">CABO DE COBRE, FLEXIVEL, CLASSE 4 OU 5, ISOLACAO EM PVC/A, ANTICHAMA BWF-B, 1 CONDUTOR, 450/750 V, SECAO NOMINAL 35 MM2                                                                                                                                                                                                                                                                                                                                                                                   </v>
          </cell>
          <cell r="C755" t="str">
            <v xml:space="preserve">M     </v>
          </cell>
          <cell r="D755" t="str">
            <v>CR</v>
          </cell>
          <cell r="E755" t="str">
            <v>26,88</v>
          </cell>
        </row>
        <row r="756">
          <cell r="A756">
            <v>981</v>
          </cell>
          <cell r="B756" t="str">
            <v xml:space="preserve">CABO DE COBRE, FLEXIVEL, CLASSE 4 OU 5, ISOLACAO EM PVC/A, ANTICHAMA BWF-B, 1 CONDUTOR, 450/750 V, SECAO NOMINAL 4 MM2                                                                                                                                                                                                                                                                                                                                                                                    </v>
          </cell>
          <cell r="C756" t="str">
            <v xml:space="preserve">M     </v>
          </cell>
          <cell r="D756" t="str">
            <v xml:space="preserve">C </v>
          </cell>
          <cell r="E756" t="str">
            <v>3,00</v>
          </cell>
        </row>
        <row r="757">
          <cell r="A757">
            <v>39234</v>
          </cell>
          <cell r="B757" t="str">
            <v xml:space="preserve">CABO DE COBRE, FLEXIVEL, CLASSE 4 OU 5, ISOLACAO EM PVC/A, ANTICHAMA BWF-B, 1 CONDUTOR, 450/750 V, SECAO NOMINAL 50 MM2                                                                                                                                                                                                                                                                                                                                                                                   </v>
          </cell>
          <cell r="C757" t="str">
            <v xml:space="preserve">M     </v>
          </cell>
          <cell r="D757" t="str">
            <v>CR</v>
          </cell>
          <cell r="E757" t="str">
            <v>37,41</v>
          </cell>
        </row>
        <row r="758">
          <cell r="A758">
            <v>982</v>
          </cell>
          <cell r="B758" t="str">
            <v xml:space="preserve">CABO DE COBRE, FLEXIVEL, CLASSE 4 OU 5, ISOLACAO EM PVC/A, ANTICHAMA BWF-B, 1 CONDUTOR, 450/750 V, SECAO NOMINAL 6 MM2                                                                                                                                                                                                                                                                                                                                                                                    </v>
          </cell>
          <cell r="C758" t="str">
            <v xml:space="preserve">M     </v>
          </cell>
          <cell r="D758" t="str">
            <v>CR</v>
          </cell>
          <cell r="E758" t="str">
            <v>4,31</v>
          </cell>
        </row>
        <row r="759">
          <cell r="A759">
            <v>39235</v>
          </cell>
          <cell r="B759" t="str">
            <v xml:space="preserve">CABO DE COBRE, FLEXIVEL, CLASSE 4 OU 5, ISOLACAO EM PVC/A, ANTICHAMA BWF-B, 1 CONDUTOR, 450/750 V, SECAO NOMINAL 70 MM2                                                                                                                                                                                                                                                                                                                                                                                   </v>
          </cell>
          <cell r="C759" t="str">
            <v xml:space="preserve">M     </v>
          </cell>
          <cell r="D759" t="str">
            <v>CR</v>
          </cell>
          <cell r="E759" t="str">
            <v>55,18</v>
          </cell>
        </row>
        <row r="760">
          <cell r="A760">
            <v>39236</v>
          </cell>
          <cell r="B760" t="str">
            <v xml:space="preserve">CABO DE COBRE, FLEXIVEL, CLASSE 4 OU 5, ISOLACAO EM PVC/A, ANTICHAMA BWF-B, 1 CONDUTOR, 450/750 V, SECAO NOMINAL 95 MM2                                                                                                                                                                                                                                                                                                                                                                                   </v>
          </cell>
          <cell r="C760" t="str">
            <v xml:space="preserve">M     </v>
          </cell>
          <cell r="D760" t="str">
            <v>CR</v>
          </cell>
          <cell r="E760" t="str">
            <v>73,13</v>
          </cell>
        </row>
        <row r="761">
          <cell r="A761">
            <v>990</v>
          </cell>
          <cell r="B761" t="str">
            <v xml:space="preserve">CABO DE COBRE, RIGIDO, CLASSE 2, ISOLACAO EM PVC/A, ANTICHAMA BWF-B, 1 CONDUTOR, 450/750 V, SECAO NOMINAL 150 MM2                                                                                                                                                                                                                                                                                                                                                                                         </v>
          </cell>
          <cell r="C761" t="str">
            <v xml:space="preserve">M     </v>
          </cell>
          <cell r="D761" t="str">
            <v>CR</v>
          </cell>
          <cell r="E761" t="str">
            <v>129,76</v>
          </cell>
        </row>
        <row r="762">
          <cell r="A762">
            <v>39241</v>
          </cell>
          <cell r="B762" t="str">
            <v xml:space="preserve">CABO DE COBRE, RIGIDO, CLASSE 2, ISOLACAO EM PVC/A, ANTICHAMA BWF-B, 1 CONDUTOR, 450/750 V, SECAO NOMINAL 16 MM2                                                                                                                                                                                                                                                                                                                                                                                          </v>
          </cell>
          <cell r="C762" t="str">
            <v xml:space="preserve">M     </v>
          </cell>
          <cell r="D762" t="str">
            <v>CR</v>
          </cell>
          <cell r="E762" t="str">
            <v>12,77</v>
          </cell>
        </row>
        <row r="763">
          <cell r="A763">
            <v>1005</v>
          </cell>
          <cell r="B763" t="str">
            <v xml:space="preserve">CABO DE COBRE, RIGIDO, CLASSE 2, ISOLACAO EM PVC/A, ANTICHAMA BWF-B, 1 CONDUTOR, 450/750 V, SECAO NOMINAL 185 MM2                                                                                                                                                                                                                                                                                                                                                                                         </v>
          </cell>
          <cell r="C763" t="str">
            <v xml:space="preserve">M     </v>
          </cell>
          <cell r="D763" t="str">
            <v>CR</v>
          </cell>
          <cell r="E763" t="str">
            <v>161,56</v>
          </cell>
        </row>
        <row r="764">
          <cell r="A764">
            <v>991</v>
          </cell>
          <cell r="B764" t="str">
            <v xml:space="preserve">CABO DE COBRE, RIGIDO, CLASSE 2, ISOLACAO EM PVC/A, ANTICHAMA BWF-B, 1 CONDUTOR, 450/750 V, SECAO NOMINAL 240 MM2                                                                                                                                                                                                                                                                                                                                                                                         </v>
          </cell>
          <cell r="C764" t="str">
            <v xml:space="preserve">M     </v>
          </cell>
          <cell r="D764" t="str">
            <v>CR</v>
          </cell>
          <cell r="E764" t="str">
            <v>211,61</v>
          </cell>
        </row>
        <row r="765">
          <cell r="A765">
            <v>986</v>
          </cell>
          <cell r="B765" t="str">
            <v xml:space="preserve">CABO DE COBRE, RIGIDO, CLASSE 2, ISOLACAO EM PVC/A, ANTICHAMA BWF-B, 1 CONDUTOR, 450/750 V, SECAO NOMINAL 25 MM2                                                                                                                                                                                                                                                                                                                                                                                          </v>
          </cell>
          <cell r="C765" t="str">
            <v xml:space="preserve">M     </v>
          </cell>
          <cell r="D765" t="str">
            <v>CR</v>
          </cell>
          <cell r="E765" t="str">
            <v>20,18</v>
          </cell>
        </row>
        <row r="766">
          <cell r="A766">
            <v>987</v>
          </cell>
          <cell r="B766" t="str">
            <v xml:space="preserve">CABO DE COBRE, RIGIDO, CLASSE 2, ISOLACAO EM PVC/A, ANTICHAMA BWF-B, 1 CONDUTOR, 450/750 V, SECAO NOMINAL 35 MM2                                                                                                                                                                                                                                                                                                                                                                                          </v>
          </cell>
          <cell r="C766" t="str">
            <v xml:space="preserve">M     </v>
          </cell>
          <cell r="D766" t="str">
            <v>CR</v>
          </cell>
          <cell r="E766" t="str">
            <v>27,63</v>
          </cell>
        </row>
        <row r="767">
          <cell r="A767">
            <v>1007</v>
          </cell>
          <cell r="B767" t="str">
            <v xml:space="preserve">CABO DE COBRE, RIGIDO, CLASSE 2, ISOLACAO EM PVC/A, ANTICHAMA BWF-B, 1 CONDUTOR, 450/750 V, SECAO NOMINAL 50 MM2                                                                                                                                                                                                                                                                                                                                                                                          </v>
          </cell>
          <cell r="C767" t="str">
            <v xml:space="preserve">M     </v>
          </cell>
          <cell r="D767" t="str">
            <v>CR</v>
          </cell>
          <cell r="E767" t="str">
            <v>38,24</v>
          </cell>
        </row>
        <row r="768">
          <cell r="A768">
            <v>1008</v>
          </cell>
          <cell r="B768" t="str">
            <v xml:space="preserve">CABO DE COBRE, RIGIDO, CLASSE 2, ISOLACAO EM PVC/A, ANTICHAMA BWF-B, 1 CONDUTOR, 450/750 V, SECAO NOMINAL 6 MM2                                                                                                                                                                                                                                                                                                                                                                                           </v>
          </cell>
          <cell r="C768" t="str">
            <v xml:space="preserve">M     </v>
          </cell>
          <cell r="D768" t="str">
            <v>CR</v>
          </cell>
          <cell r="E768" t="str">
            <v>4,85</v>
          </cell>
        </row>
        <row r="769">
          <cell r="A769">
            <v>988</v>
          </cell>
          <cell r="B769" t="str">
            <v xml:space="preserve">CABO DE COBRE, RIGIDO, CLASSE 2, ISOLACAO EM PVC/A, ANTICHAMA BWF-B, 1 CONDUTOR, 450/750 V, SECAO NOMINAL 70 MM2                                                                                                                                                                                                                                                                                                                                                                                          </v>
          </cell>
          <cell r="C769" t="str">
            <v xml:space="preserve">M     </v>
          </cell>
          <cell r="D769" t="str">
            <v>CR</v>
          </cell>
          <cell r="E769" t="str">
            <v>52,73</v>
          </cell>
        </row>
        <row r="770">
          <cell r="A770">
            <v>989</v>
          </cell>
          <cell r="B770" t="str">
            <v xml:space="preserve">CABO DE COBRE, RIGIDO, CLASSE 2, ISOLACAO EM PVC/A, ANTICHAMA BWF-B, 1 CONDUTOR, 450/750 V, SECAO NOMINAL 95 MM2                                                                                                                                                                                                                                                                                                                                                                                          </v>
          </cell>
          <cell r="C770" t="str">
            <v xml:space="preserve">M     </v>
          </cell>
          <cell r="D770" t="str">
            <v>CR</v>
          </cell>
          <cell r="E770" t="str">
            <v>72,79</v>
          </cell>
        </row>
        <row r="771">
          <cell r="A771">
            <v>1006</v>
          </cell>
          <cell r="B771" t="str">
            <v xml:space="preserve">CABO DE COBRE, RIGIDO, CLASSE 2, ISOLACAO EM PVC, ANTI-CHAMA BWF-B, 1 CONDUTOR, 450/750 V, DIAMETRO 120 MM2                                                                                                                                                                                                                                                                                                                                                                                               </v>
          </cell>
          <cell r="C771" t="str">
            <v xml:space="preserve">M     </v>
          </cell>
          <cell r="D771" t="str">
            <v>CR</v>
          </cell>
          <cell r="E771" t="str">
            <v>97,59</v>
          </cell>
        </row>
        <row r="772">
          <cell r="A772">
            <v>43972</v>
          </cell>
          <cell r="B772" t="str">
            <v xml:space="preserve">CABO DE REDE, PAR TRANCADO U/UTP, 4 PARES, CATEGORIA 5E (CAT 5E), ISOLAMENTO PVC (CM)                                                                                                                                                                                                                                                                                                                                                                                                                     </v>
          </cell>
          <cell r="C772" t="str">
            <v xml:space="preserve">M     </v>
          </cell>
          <cell r="D772" t="str">
            <v>CR</v>
          </cell>
          <cell r="E772" t="str">
            <v>4,21</v>
          </cell>
        </row>
        <row r="773">
          <cell r="A773">
            <v>43971</v>
          </cell>
          <cell r="B773" t="str">
            <v xml:space="preserve">CABO DE REDE, PAR TRANCADO U/UTP, 4 PARES, CATEGORIA 5E (CAT 5E), ISOLAMENTO PVC (CMX)                                                                                                                                                                                                                                                                                                                                                                                                                    </v>
          </cell>
          <cell r="C773" t="str">
            <v xml:space="preserve">M     </v>
          </cell>
          <cell r="D773" t="str">
            <v xml:space="preserve">C </v>
          </cell>
          <cell r="E773" t="str">
            <v>3,22</v>
          </cell>
        </row>
        <row r="774">
          <cell r="A774">
            <v>39598</v>
          </cell>
          <cell r="B774" t="str">
            <v xml:space="preserve">CABO DE REDE, PAR TRANCADO U/UTP, 4 PARES, CATEGORIA 5E (CAT 5E), ISOLAMENTO PVC (LSZH)                                                                                                                                                                                                                                                                                                                                                                                                                   </v>
          </cell>
          <cell r="C774" t="str">
            <v xml:space="preserve">M     </v>
          </cell>
          <cell r="D774" t="str">
            <v>CR</v>
          </cell>
          <cell r="E774" t="str">
            <v>5,97</v>
          </cell>
        </row>
        <row r="775">
          <cell r="A775">
            <v>43973</v>
          </cell>
          <cell r="B775" t="str">
            <v xml:space="preserve">CABO DE REDE, PAR TRANCADO U/UTP, 4 PARES, CATEGORIA 6 (CAT 6), ISOLAMENTO PVC (CM)                                                                                                                                                                                                                                                                                                                                                                                                                       </v>
          </cell>
          <cell r="C775" t="str">
            <v xml:space="preserve">M     </v>
          </cell>
          <cell r="D775" t="str">
            <v>CR</v>
          </cell>
          <cell r="E775" t="str">
            <v>4,41</v>
          </cell>
        </row>
        <row r="776">
          <cell r="A776">
            <v>39599</v>
          </cell>
          <cell r="B776" t="str">
            <v xml:space="preserve">CABO DE REDE, PAR TRANCADO UTP, 4 PARES, CATEGORIA 6 (CAT 6), ISOLAMENTO PVC (LSZH)                                                                                                                                                                                                                                                                                                                                                                                                                       </v>
          </cell>
          <cell r="C776" t="str">
            <v xml:space="preserve">M     </v>
          </cell>
          <cell r="D776" t="str">
            <v>CR</v>
          </cell>
          <cell r="E776" t="str">
            <v>8,59</v>
          </cell>
        </row>
        <row r="777">
          <cell r="A777">
            <v>43832</v>
          </cell>
          <cell r="B777" t="str">
            <v xml:space="preserve">CABO ELETRONICO CATEGORIA 6A U/UTP 23AWG X 4P                                                                                                                                                                                                                                                                                                                                                                                                                                                             </v>
          </cell>
          <cell r="C777" t="str">
            <v xml:space="preserve">M     </v>
          </cell>
          <cell r="D777" t="str">
            <v>CR</v>
          </cell>
          <cell r="E777" t="str">
            <v>22,62</v>
          </cell>
        </row>
        <row r="778">
          <cell r="A778">
            <v>34602</v>
          </cell>
          <cell r="B778" t="str">
            <v xml:space="preserve">CABO FLEXIVEL PVC 750 V, 2 CONDUTORES DE 1,5 MM2                                                                                                                                                                                                                                                                                                                                                                                                                                                          </v>
          </cell>
          <cell r="C778" t="str">
            <v xml:space="preserve">M     </v>
          </cell>
          <cell r="D778" t="str">
            <v>CR</v>
          </cell>
          <cell r="E778" t="str">
            <v>3,34</v>
          </cell>
        </row>
        <row r="779">
          <cell r="A779">
            <v>34607</v>
          </cell>
          <cell r="B779" t="str">
            <v xml:space="preserve">CABO FLEXIVEL PVC 750 V, 2 CONDUTORES DE 4,0 MM2                                                                                                                                                                                                                                                                                                                                                                                                                                                          </v>
          </cell>
          <cell r="C779" t="str">
            <v xml:space="preserve">M     </v>
          </cell>
          <cell r="D779" t="str">
            <v>CR</v>
          </cell>
          <cell r="E779" t="str">
            <v>8,18</v>
          </cell>
        </row>
        <row r="780">
          <cell r="A780">
            <v>34609</v>
          </cell>
          <cell r="B780" t="str">
            <v xml:space="preserve">CABO FLEXIVEL PVC 750 V, 2 CONDUTORES DE 6,0 MM2                                                                                                                                                                                                                                                                                                                                                                                                                                                          </v>
          </cell>
          <cell r="C780" t="str">
            <v xml:space="preserve">M     </v>
          </cell>
          <cell r="D780" t="str">
            <v>CR</v>
          </cell>
          <cell r="E780" t="str">
            <v>11,90</v>
          </cell>
        </row>
        <row r="781">
          <cell r="A781">
            <v>34618</v>
          </cell>
          <cell r="B781" t="str">
            <v xml:space="preserve">CABO FLEXIVEL PVC 750 V, 3 CONDUTORES DE 1,5 MM2                                                                                                                                                                                                                                                                                                                                                                                                                                                          </v>
          </cell>
          <cell r="C781" t="str">
            <v xml:space="preserve">M     </v>
          </cell>
          <cell r="D781" t="str">
            <v>CR</v>
          </cell>
          <cell r="E781" t="str">
            <v>4,55</v>
          </cell>
        </row>
        <row r="782">
          <cell r="A782">
            <v>34621</v>
          </cell>
          <cell r="B782" t="str">
            <v xml:space="preserve">CABO FLEXIVEL PVC 750 V, 3 CONDUTORES DE 4,0 MM2                                                                                                                                                                                                                                                                                                                                                                                                                                                          </v>
          </cell>
          <cell r="C782" t="str">
            <v xml:space="preserve">M     </v>
          </cell>
          <cell r="D782" t="str">
            <v>CR</v>
          </cell>
          <cell r="E782" t="str">
            <v>11,28</v>
          </cell>
        </row>
        <row r="783">
          <cell r="A783">
            <v>34622</v>
          </cell>
          <cell r="B783" t="str">
            <v xml:space="preserve">CABO FLEXIVEL PVC 750 V, 3 CONDUTORES DE 6,0 MM2                                                                                                                                                                                                                                                                                                                                                                                                                                                          </v>
          </cell>
          <cell r="C783" t="str">
            <v xml:space="preserve">M     </v>
          </cell>
          <cell r="D783" t="str">
            <v>CR</v>
          </cell>
          <cell r="E783" t="str">
            <v>16,76</v>
          </cell>
        </row>
        <row r="784">
          <cell r="A784">
            <v>34624</v>
          </cell>
          <cell r="B784" t="str">
            <v xml:space="preserve">CABO FLEXIVEL PVC 750 V, 4 CONDUTORES DE 1,5 MM2                                                                                                                                                                                                                                                                                                                                                                                                                                                          </v>
          </cell>
          <cell r="C784" t="str">
            <v xml:space="preserve">M     </v>
          </cell>
          <cell r="D784" t="str">
            <v>CR</v>
          </cell>
          <cell r="E784" t="str">
            <v>6,08</v>
          </cell>
        </row>
        <row r="785">
          <cell r="A785">
            <v>34627</v>
          </cell>
          <cell r="B785" t="str">
            <v xml:space="preserve">CABO FLEXIVEL PVC 750 V, 4 CONDUTORES DE 4,0 MM2                                                                                                                                                                                                                                                                                                                                                                                                                                                          </v>
          </cell>
          <cell r="C785" t="str">
            <v xml:space="preserve">M     </v>
          </cell>
          <cell r="D785" t="str">
            <v>CR</v>
          </cell>
          <cell r="E785" t="str">
            <v>14,65</v>
          </cell>
        </row>
        <row r="786">
          <cell r="A786">
            <v>34629</v>
          </cell>
          <cell r="B786" t="str">
            <v xml:space="preserve">CABO FLEXIVEL PVC 750 V, 4 CONDUTORES DE 6,0 MM2                                                                                                                                                                                                                                                                                                                                                                                                                                                          </v>
          </cell>
          <cell r="C786" t="str">
            <v xml:space="preserve">M     </v>
          </cell>
          <cell r="D786" t="str">
            <v>CR</v>
          </cell>
          <cell r="E786" t="str">
            <v>22,39</v>
          </cell>
        </row>
        <row r="787">
          <cell r="A787">
            <v>39257</v>
          </cell>
          <cell r="B787" t="str">
            <v xml:space="preserve">CABO MULTIPOLAR DE COBRE, FLEXIVEL, CLASSE 4 OU 5, ISOLACAO EM HEPR, COBERTURA EM PVC-ST2, ANTICHAMA BWF-B, 0,6/1 KV, 3 CONDUTORES DE 1,5 MM2                                                                                                                                                                                                                                                                                                                                                             </v>
          </cell>
          <cell r="C787" t="str">
            <v xml:space="preserve">M     </v>
          </cell>
          <cell r="D787" t="str">
            <v>CR</v>
          </cell>
          <cell r="E787" t="str">
            <v>4,55</v>
          </cell>
        </row>
        <row r="788">
          <cell r="A788">
            <v>39261</v>
          </cell>
          <cell r="B788" t="str">
            <v xml:space="preserve">CABO MULTIPOLAR DE COBRE, FLEXIVEL, CLASSE 4 OU 5, ISOLACAO EM HEPR, COBERTURA EM PVC-ST2, ANTICHAMA BWF-B, 0,6/1 KV, 3 CONDUTORES DE 10 MM2                                                                                                                                                                                                                                                                                                                                                              </v>
          </cell>
          <cell r="C788" t="str">
            <v xml:space="preserve">M     </v>
          </cell>
          <cell r="D788" t="str">
            <v>CR</v>
          </cell>
          <cell r="E788" t="str">
            <v>26,09</v>
          </cell>
        </row>
        <row r="789">
          <cell r="A789">
            <v>39268</v>
          </cell>
          <cell r="B789" t="str">
            <v xml:space="preserve">CABO MULTIPOLAR DE COBRE, FLEXIVEL, CLASSE 4 OU 5, ISOLACAO EM HEPR, COBERTURA EM PVC-ST2, ANTICHAMA BWF-B, 0,6/1 KV, 3 CONDUTORES DE 120 MM2                                                                                                                                                                                                                                                                                                                                                             </v>
          </cell>
          <cell r="C789" t="str">
            <v xml:space="preserve">M     </v>
          </cell>
          <cell r="D789" t="str">
            <v>CR</v>
          </cell>
          <cell r="E789" t="str">
            <v>407,76</v>
          </cell>
        </row>
        <row r="790">
          <cell r="A790">
            <v>39262</v>
          </cell>
          <cell r="B790" t="str">
            <v xml:space="preserve">CABO MULTIPOLAR DE COBRE, FLEXIVEL, CLASSE 4 OU 5, ISOLACAO EM HEPR, COBERTURA EM PVC-ST2, ANTICHAMA BWF-B, 0,6/1 KV, 3 CONDUTORES DE 16 MM2                                                                                                                                                                                                                                                                                                                                                              </v>
          </cell>
          <cell r="C790" t="str">
            <v xml:space="preserve">M     </v>
          </cell>
          <cell r="D790" t="str">
            <v>CR</v>
          </cell>
          <cell r="E790" t="str">
            <v>41,54</v>
          </cell>
        </row>
        <row r="791">
          <cell r="A791">
            <v>39258</v>
          </cell>
          <cell r="B791" t="str">
            <v xml:space="preserve">CABO MULTIPOLAR DE COBRE, FLEXIVEL, CLASSE 4 OU 5, ISOLACAO EM HEPR, COBERTURA EM PVC-ST2, ANTICHAMA BWF-B, 0,6/1 KV, 3 CONDUTORES DE 2,5 MM2                                                                                                                                                                                                                                                                                                                                                             </v>
          </cell>
          <cell r="C791" t="str">
            <v xml:space="preserve">M     </v>
          </cell>
          <cell r="D791" t="str">
            <v>CR</v>
          </cell>
          <cell r="E791" t="str">
            <v>6,87</v>
          </cell>
        </row>
        <row r="792">
          <cell r="A792">
            <v>39263</v>
          </cell>
          <cell r="B792" t="str">
            <v xml:space="preserve">CABO MULTIPOLAR DE COBRE, FLEXIVEL, CLASSE 4 OU 5, ISOLACAO EM HEPR, COBERTURA EM PVC-ST2, ANTICHAMA BWF-B, 0,6/1 KV, 3 CONDUTORES DE 25 MM2                                                                                                                                                                                                                                                                                                                                                              </v>
          </cell>
          <cell r="C792" t="str">
            <v xml:space="preserve">M     </v>
          </cell>
          <cell r="D792" t="str">
            <v>CR</v>
          </cell>
          <cell r="E792" t="str">
            <v>71,83</v>
          </cell>
        </row>
        <row r="793">
          <cell r="A793">
            <v>39264</v>
          </cell>
          <cell r="B793" t="str">
            <v xml:space="preserve">CABO MULTIPOLAR DE COBRE, FLEXIVEL, CLASSE 4 OU 5, ISOLACAO EM HEPR, COBERTURA EM PVC-ST2, ANTICHAMA BWF-B, 0,6/1 KV, 3 CONDUTORES DE 35 MM2                                                                                                                                                                                                                                                                                                                                                              </v>
          </cell>
          <cell r="C793" t="str">
            <v xml:space="preserve">M     </v>
          </cell>
          <cell r="D793" t="str">
            <v>CR</v>
          </cell>
          <cell r="E793" t="str">
            <v>99,51</v>
          </cell>
        </row>
        <row r="794">
          <cell r="A794">
            <v>39259</v>
          </cell>
          <cell r="B794" t="str">
            <v xml:space="preserve">CABO MULTIPOLAR DE COBRE, FLEXIVEL, CLASSE 4 OU 5, ISOLACAO EM HEPR, COBERTURA EM PVC-ST2, ANTICHAMA BWF-B, 0,6/1 KV, 3 CONDUTORES DE 4 MM2                                                                                                                                                                                                                                                                                                                                                               </v>
          </cell>
          <cell r="C794" t="str">
            <v xml:space="preserve">M     </v>
          </cell>
          <cell r="D794" t="str">
            <v>CR</v>
          </cell>
          <cell r="E794" t="str">
            <v>10,57</v>
          </cell>
        </row>
        <row r="795">
          <cell r="A795">
            <v>39265</v>
          </cell>
          <cell r="B795" t="str">
            <v xml:space="preserve">CABO MULTIPOLAR DE COBRE, FLEXIVEL, CLASSE 4 OU 5, ISOLACAO EM HEPR, COBERTURA EM PVC-ST2, ANTICHAMA BWF-B, 0,6/1 KV, 3 CONDUTORES DE 50 MM2                                                                                                                                                                                                                                                                                                                                                              </v>
          </cell>
          <cell r="C795" t="str">
            <v xml:space="preserve">M     </v>
          </cell>
          <cell r="D795" t="str">
            <v>CR</v>
          </cell>
          <cell r="E795" t="str">
            <v>135,10</v>
          </cell>
        </row>
        <row r="796">
          <cell r="A796">
            <v>39260</v>
          </cell>
          <cell r="B796" t="str">
            <v xml:space="preserve">CABO MULTIPOLAR DE COBRE, FLEXIVEL, CLASSE 4 OU 5, ISOLACAO EM HEPR, COBERTURA EM PVC-ST2, ANTICHAMA BWF-B, 0,6/1 KV, 3 CONDUTORES DE 6 MM2                                                                                                                                                                                                                                                                                                                                                               </v>
          </cell>
          <cell r="C796" t="str">
            <v xml:space="preserve">M     </v>
          </cell>
          <cell r="D796" t="str">
            <v>CR</v>
          </cell>
          <cell r="E796" t="str">
            <v>16,19</v>
          </cell>
        </row>
        <row r="797">
          <cell r="A797">
            <v>39266</v>
          </cell>
          <cell r="B797" t="str">
            <v xml:space="preserve">CABO MULTIPOLAR DE COBRE, FLEXIVEL, CLASSE 4 OU 5, ISOLACAO EM HEPR, COBERTURA EM PVC-ST2, ANTICHAMA BWF-B, 0,6/1 KV, 3 CONDUTORES DE 70 MM2                                                                                                                                                                                                                                                                                                                                                              </v>
          </cell>
          <cell r="C797" t="str">
            <v xml:space="preserve">M     </v>
          </cell>
          <cell r="D797" t="str">
            <v>CR</v>
          </cell>
          <cell r="E797" t="str">
            <v>203,86</v>
          </cell>
        </row>
        <row r="798">
          <cell r="A798">
            <v>39267</v>
          </cell>
          <cell r="B798" t="str">
            <v xml:space="preserve">CABO MULTIPOLAR DE COBRE, FLEXIVEL, CLASSE 4 OU 5, ISOLACAO EM HEPR, COBERTURA EM PVC-ST2, ANTICHAMA BWF-B, 0,6/1 KV, 3 CONDUTORES DE 95 MM2                                                                                                                                                                                                                                                                                                                                                              </v>
          </cell>
          <cell r="C798" t="str">
            <v xml:space="preserve">M     </v>
          </cell>
          <cell r="D798" t="str">
            <v>CR</v>
          </cell>
          <cell r="E798" t="str">
            <v>254,88</v>
          </cell>
        </row>
        <row r="799">
          <cell r="A799">
            <v>11901</v>
          </cell>
          <cell r="B799" t="str">
            <v xml:space="preserve">CABO TELEFONICO CCI 50, 1 PAR, USO INTERNO, SEM BLINDAGEM                                                                                                                                                                                                                                                                                                                                                                                                                                                 </v>
          </cell>
          <cell r="C799" t="str">
            <v xml:space="preserve">M     </v>
          </cell>
          <cell r="D799" t="str">
            <v>CR</v>
          </cell>
          <cell r="E799" t="str">
            <v>0,77</v>
          </cell>
        </row>
        <row r="800">
          <cell r="A800">
            <v>11902</v>
          </cell>
          <cell r="B800" t="str">
            <v xml:space="preserve">CABO TELEFONICO CCI 50, 2 PARES, USO INTERNO, SEM BLINDAGEM                                                                                                                                                                                                                                                                                                                                                                                                                                               </v>
          </cell>
          <cell r="C800" t="str">
            <v xml:space="preserve">M     </v>
          </cell>
          <cell r="D800" t="str">
            <v>CR</v>
          </cell>
          <cell r="E800" t="str">
            <v>1,48</v>
          </cell>
        </row>
        <row r="801">
          <cell r="A801">
            <v>11903</v>
          </cell>
          <cell r="B801" t="str">
            <v xml:space="preserve">CABO TELEFONICO CCI 50, 3 PARES, USO INTERNO, SEM BLINDAGEM                                                                                                                                                                                                                                                                                                                                                                                                                                               </v>
          </cell>
          <cell r="C801" t="str">
            <v xml:space="preserve">M     </v>
          </cell>
          <cell r="D801" t="str">
            <v>CR</v>
          </cell>
          <cell r="E801" t="str">
            <v>1,57</v>
          </cell>
        </row>
        <row r="802">
          <cell r="A802">
            <v>11904</v>
          </cell>
          <cell r="B802" t="str">
            <v xml:space="preserve">CABO TELEFONICO CCI 50, 4 PARES, USO INTERNO, SEM BLINDAGEM                                                                                                                                                                                                                                                                                                                                                                                                                                               </v>
          </cell>
          <cell r="C802" t="str">
            <v xml:space="preserve">M     </v>
          </cell>
          <cell r="D802" t="str">
            <v>CR</v>
          </cell>
          <cell r="E802" t="str">
            <v>2,38</v>
          </cell>
        </row>
        <row r="803">
          <cell r="A803">
            <v>11905</v>
          </cell>
          <cell r="B803" t="str">
            <v xml:space="preserve">CABO TELEFONICO CCI 50, 5 PARES, USO INTERNO, SEM BLINDAGEM                                                                                                                                                                                                                                                                                                                                                                                                                                               </v>
          </cell>
          <cell r="C803" t="str">
            <v xml:space="preserve">M     </v>
          </cell>
          <cell r="D803" t="str">
            <v>CR</v>
          </cell>
          <cell r="E803" t="str">
            <v>2,90</v>
          </cell>
        </row>
        <row r="804">
          <cell r="A804">
            <v>11906</v>
          </cell>
          <cell r="B804" t="str">
            <v xml:space="preserve">CABO TELEFONICO CCI 50, 6 PARES, USO INTERNO, SEM BLINDAGEM                                                                                                                                                                                                                                                                                                                                                                                                                                               </v>
          </cell>
          <cell r="C804" t="str">
            <v xml:space="preserve">M     </v>
          </cell>
          <cell r="D804" t="str">
            <v>CR</v>
          </cell>
          <cell r="E804" t="str">
            <v>3,69</v>
          </cell>
        </row>
        <row r="805">
          <cell r="A805">
            <v>11919</v>
          </cell>
          <cell r="B805" t="str">
            <v xml:space="preserve">CABO TELEFONICO CI 50, 10 PARES, USO INTERNO                                                                                                                                                                                                                                                                                                                                                                                                                                                              </v>
          </cell>
          <cell r="C805" t="str">
            <v xml:space="preserve">M     </v>
          </cell>
          <cell r="D805" t="str">
            <v>CR</v>
          </cell>
          <cell r="E805" t="str">
            <v>6,75</v>
          </cell>
        </row>
        <row r="806">
          <cell r="A806">
            <v>11920</v>
          </cell>
          <cell r="B806" t="str">
            <v xml:space="preserve">CABO TELEFONICO CI 50, 20 PARES, USO INTERNO                                                                                                                                                                                                                                                                                                                                                                                                                                                              </v>
          </cell>
          <cell r="C806" t="str">
            <v xml:space="preserve">M     </v>
          </cell>
          <cell r="D806" t="str">
            <v>CR</v>
          </cell>
          <cell r="E806" t="str">
            <v>12,83</v>
          </cell>
        </row>
        <row r="807">
          <cell r="A807">
            <v>11924</v>
          </cell>
          <cell r="B807" t="str">
            <v xml:space="preserve">CABO TELEFONICO CI 50, 200 PARES, USO INTERNO                                                                                                                                                                                                                                                                                                                                                                                                                                                             </v>
          </cell>
          <cell r="C807" t="str">
            <v xml:space="preserve">M     </v>
          </cell>
          <cell r="D807" t="str">
            <v>CR</v>
          </cell>
          <cell r="E807" t="str">
            <v>107,73</v>
          </cell>
        </row>
        <row r="808">
          <cell r="A808">
            <v>11921</v>
          </cell>
          <cell r="B808" t="str">
            <v xml:space="preserve">CABO TELEFONICO CI 50, 30 PARES, USO INTERNO                                                                                                                                                                                                                                                                                                                                                                                                                                                              </v>
          </cell>
          <cell r="C808" t="str">
            <v xml:space="preserve">M     </v>
          </cell>
          <cell r="D808" t="str">
            <v>CR</v>
          </cell>
          <cell r="E808" t="str">
            <v>18,77</v>
          </cell>
        </row>
        <row r="809">
          <cell r="A809">
            <v>11922</v>
          </cell>
          <cell r="B809" t="str">
            <v xml:space="preserve">CABO TELEFONICO CI 50, 50 PARES, USO INTERNO                                                                                                                                                                                                                                                                                                                                                                                                                                                              </v>
          </cell>
          <cell r="C809" t="str">
            <v xml:space="preserve">M     </v>
          </cell>
          <cell r="D809" t="str">
            <v>CR</v>
          </cell>
          <cell r="E809" t="str">
            <v>30,36</v>
          </cell>
        </row>
        <row r="810">
          <cell r="A810">
            <v>11923</v>
          </cell>
          <cell r="B810" t="str">
            <v xml:space="preserve">CABO TELEFONICO CI 50, 75 PARES, USO INTERNO                                                                                                                                                                                                                                                                                                                                                                                                                                                              </v>
          </cell>
          <cell r="C810" t="str">
            <v xml:space="preserve">M     </v>
          </cell>
          <cell r="D810" t="str">
            <v>CR</v>
          </cell>
          <cell r="E810" t="str">
            <v>44,45</v>
          </cell>
        </row>
        <row r="811">
          <cell r="A811">
            <v>11916</v>
          </cell>
          <cell r="B811" t="str">
            <v xml:space="preserve">CABO TELEFONICO CTP - APL - 50, 10 PARES, USO EXTERNO                                                                                                                                                                                                                                                                                                                                                                                                                                                     </v>
          </cell>
          <cell r="C811" t="str">
            <v xml:space="preserve">M     </v>
          </cell>
          <cell r="D811" t="str">
            <v>CR</v>
          </cell>
          <cell r="E811" t="str">
            <v>9,24</v>
          </cell>
        </row>
        <row r="812">
          <cell r="A812">
            <v>11914</v>
          </cell>
          <cell r="B812" t="str">
            <v xml:space="preserve">CABO TELEFONICO CTP - APL - 50, 100 PARES, USO EXTERNO                                                                                                                                                                                                                                                                                                                                                                                                                                                    </v>
          </cell>
          <cell r="C812" t="str">
            <v xml:space="preserve">M     </v>
          </cell>
          <cell r="D812" t="str">
            <v>CR</v>
          </cell>
          <cell r="E812" t="str">
            <v>66,59</v>
          </cell>
        </row>
        <row r="813">
          <cell r="A813">
            <v>11917</v>
          </cell>
          <cell r="B813" t="str">
            <v xml:space="preserve">CABO TELEFONICO CTP - APL - 50, 20 PARES, USO EXTERNO                                                                                                                                                                                                                                                                                                                                                                                                                                                     </v>
          </cell>
          <cell r="C813" t="str">
            <v xml:space="preserve">M     </v>
          </cell>
          <cell r="D813" t="str">
            <v>CR</v>
          </cell>
          <cell r="E813" t="str">
            <v>16,28</v>
          </cell>
        </row>
        <row r="814">
          <cell r="A814">
            <v>11918</v>
          </cell>
          <cell r="B814" t="str">
            <v xml:space="preserve">CABO TELEFONICO CTP - APL - 50, 30 PARES, USO EXTERNO                                                                                                                                                                                                                                                                                                                                                                                                                                                     </v>
          </cell>
          <cell r="C814" t="str">
            <v xml:space="preserve">M     </v>
          </cell>
          <cell r="D814" t="str">
            <v>CR</v>
          </cell>
          <cell r="E814" t="str">
            <v>19,31</v>
          </cell>
        </row>
        <row r="815">
          <cell r="A815">
            <v>37734</v>
          </cell>
          <cell r="B815" t="str">
            <v xml:space="preserve">CACAMBA METALICA BASCULANTE COM CAPACIDADE DE 10 M3 (INCLUI MONTAGEM, NAO INCLUI CAMINHAO)                                                                                                                                                                                                                                                                                                                                                                                                                </v>
          </cell>
          <cell r="C815" t="str">
            <v xml:space="preserve">UN    </v>
          </cell>
          <cell r="D815" t="str">
            <v>CR</v>
          </cell>
          <cell r="E815" t="str">
            <v>73.298,23</v>
          </cell>
        </row>
        <row r="816">
          <cell r="A816">
            <v>42251</v>
          </cell>
          <cell r="B816" t="str">
            <v xml:space="preserve">CACAMBA METALICA BASCULANTE COM CAPACIDADE DE 12 M3 (INCLUI MONTAGEM, NAO INCLUI CAMINHAO)                                                                                                                                                                                                                                                                                                                                                                                                                </v>
          </cell>
          <cell r="C816" t="str">
            <v xml:space="preserve">UN    </v>
          </cell>
          <cell r="D816" t="str">
            <v>CR</v>
          </cell>
          <cell r="E816" t="str">
            <v>83.234,61</v>
          </cell>
        </row>
        <row r="817">
          <cell r="A817">
            <v>37733</v>
          </cell>
          <cell r="B817" t="str">
            <v xml:space="preserve">CACAMBA METALICA BASCULANTE COM CAPACIDADE DE 6 M3 (INCLUI MONTAGEM, NAO INCLUI CAMINHAO)                                                                                                                                                                                                                                                                                                                                                                                                                 </v>
          </cell>
          <cell r="C817" t="str">
            <v xml:space="preserve">UN    </v>
          </cell>
          <cell r="D817" t="str">
            <v>CR</v>
          </cell>
          <cell r="E817" t="str">
            <v>54.958,74</v>
          </cell>
        </row>
        <row r="818">
          <cell r="A818">
            <v>37735</v>
          </cell>
          <cell r="B818" t="str">
            <v xml:space="preserve">CACAMBA METALICA BASCULANTE COM CAPACIDADE DE 8 M3 (INCLUI MONTAGEM, NAO INCLUI CAMINHAO)                                                                                                                                                                                                                                                                                                                                                                                                                 </v>
          </cell>
          <cell r="C818" t="str">
            <v xml:space="preserve">UN    </v>
          </cell>
          <cell r="D818" t="str">
            <v>CR</v>
          </cell>
          <cell r="E818" t="str">
            <v>66.225,28</v>
          </cell>
        </row>
        <row r="819">
          <cell r="A819">
            <v>5090</v>
          </cell>
          <cell r="B819" t="str">
            <v xml:space="preserve">CADEADO SIMPLES, CORPO EM LATAO MACICO, COM LARGURA DE 25 MM E ALTURA DE APROX 25 MM, HASTE CEMENTADA (NAO LONGA), EM ACO TEMPERADO COM DIAMETRO DE APROX 5,0 MM, INCLUINDO 2 CHAVES                                                                                                                                                                                                                                                                                                                      </v>
          </cell>
          <cell r="C819" t="str">
            <v xml:space="preserve">UN    </v>
          </cell>
          <cell r="D819" t="str">
            <v xml:space="preserve">C </v>
          </cell>
          <cell r="E819" t="str">
            <v>18,20</v>
          </cell>
        </row>
        <row r="820">
          <cell r="A820">
            <v>5085</v>
          </cell>
          <cell r="B820" t="str">
            <v xml:space="preserve">CADEADO SIMPLES, CORPO EM LATAO MACICO, COM LARGURA DE 35 MM E ALTURA DE APROX 30 MM, HASTE CEMENTADA (NAO LONGA), EM ACO TEMPERADO COM DIAMETRO DE APROX 6,0 MM, INCLUINDO 2 CHAVES                                                                                                                                                                                                                                                                                                                      </v>
          </cell>
          <cell r="C820" t="str">
            <v xml:space="preserve">UN    </v>
          </cell>
          <cell r="D820" t="str">
            <v>CR</v>
          </cell>
          <cell r="E820" t="str">
            <v>27,09</v>
          </cell>
        </row>
        <row r="821">
          <cell r="A821">
            <v>43603</v>
          </cell>
          <cell r="B821" t="str">
            <v xml:space="preserve">CADEADO SIMPLES, CORPO EM LATAO MACICO, COM LARGURA DE 50 MM E ALTURA DE APROX 40 MM, HASTE CEMENTADA EM ACO TEMPERADO COM DIAMETRO DE APROX 8,0 MM, INCLUINDO 2 CHAVES                                                                                                                                                                                                                                                                                                                                   </v>
          </cell>
          <cell r="C821" t="str">
            <v xml:space="preserve">UN    </v>
          </cell>
          <cell r="D821" t="str">
            <v>CR</v>
          </cell>
          <cell r="E821" t="str">
            <v>38,71</v>
          </cell>
        </row>
        <row r="822">
          <cell r="A822">
            <v>38374</v>
          </cell>
          <cell r="B822" t="str">
            <v xml:space="preserve">CADEIRA SUSPENSA MANUAL / BALANCIM INDIVIDUAL (NBR 14751)                                                                                                                                                                                                                                                                                                                                                                                                                                                 </v>
          </cell>
          <cell r="C822" t="str">
            <v xml:space="preserve">UN    </v>
          </cell>
          <cell r="D822" t="str">
            <v>CR</v>
          </cell>
          <cell r="E822" t="str">
            <v>1.082,92</v>
          </cell>
        </row>
        <row r="823">
          <cell r="A823">
            <v>20212</v>
          </cell>
          <cell r="B823" t="str">
            <v xml:space="preserve">CAIBRO APARELHADO *6 X 8* CM, EM MACARANDUBA/MASSARANDUBA, ANGELIM OU EQUIVALENTE DA REGIAO                                                                                                                                                                                                                                                                                                                                                                                                               </v>
          </cell>
          <cell r="C823" t="str">
            <v xml:space="preserve">M     </v>
          </cell>
          <cell r="D823" t="str">
            <v>CR</v>
          </cell>
          <cell r="E823" t="str">
            <v>27,90</v>
          </cell>
        </row>
        <row r="824">
          <cell r="A824">
            <v>20209</v>
          </cell>
          <cell r="B824" t="str">
            <v xml:space="preserve">CAIBRO APARELHADO *7,5 X 7,5* CM, EM MACARANDUBA/MASSARANDUBA, ANGELIM OU EQUIVALENTE DA REGIAO                                                                                                                                                                                                                                                                                                                                                                                                           </v>
          </cell>
          <cell r="C824" t="str">
            <v xml:space="preserve">M     </v>
          </cell>
          <cell r="D824" t="str">
            <v>CR</v>
          </cell>
          <cell r="E824" t="str">
            <v>33,33</v>
          </cell>
        </row>
        <row r="825">
          <cell r="A825">
            <v>4430</v>
          </cell>
          <cell r="B825" t="str">
            <v xml:space="preserve">CAIBRO NAO APARELHADO *5 X 6* CM, EM MACARANDUBA/MASSARANDUBA, ANGELIM OU EQUIVALENTE DA REGIAO - BRUTA                                                                                                                                                                                                                                                                                                                                                                                                   </v>
          </cell>
          <cell r="C825" t="str">
            <v xml:space="preserve">M     </v>
          </cell>
          <cell r="D825" t="str">
            <v xml:space="preserve">C </v>
          </cell>
          <cell r="E825" t="str">
            <v>16,33</v>
          </cell>
        </row>
        <row r="826">
          <cell r="A826">
            <v>4433</v>
          </cell>
          <cell r="B826" t="str">
            <v xml:space="preserve">CAIBRO NAO APARELHADO *6 X 6* CM, EM MACARANDUBA/MASSARANDUBA, ANGELIM OU EQUIVALENTE DA REGIAO - BRUTA                                                                                                                                                                                                                                                                                                                                                                                                   </v>
          </cell>
          <cell r="C826" t="str">
            <v xml:space="preserve">M     </v>
          </cell>
          <cell r="D826" t="str">
            <v>CR</v>
          </cell>
          <cell r="E826" t="str">
            <v>31,93</v>
          </cell>
        </row>
        <row r="827">
          <cell r="A827">
            <v>4400</v>
          </cell>
          <cell r="B827" t="str">
            <v xml:space="preserve">CAIBRO NAO APARELHADO, *6 X 8* CM, EM MACARANDUBA/MASSARANDUBA, ANGELIM OU EQUIVALENTE DA REGIAO - BRUTA                                                                                                                                                                                                                                                                                                                                                                                                  </v>
          </cell>
          <cell r="C827" t="str">
            <v xml:space="preserve">M     </v>
          </cell>
          <cell r="D827" t="str">
            <v>CR</v>
          </cell>
          <cell r="E827" t="str">
            <v>25,99</v>
          </cell>
        </row>
        <row r="828">
          <cell r="A828">
            <v>2729</v>
          </cell>
          <cell r="B828" t="str">
            <v xml:space="preserve">CAIBRO ROLICO DE MADEIRA TRATADA, D = 4 A 7 CM, H = 3,00 M, EM EUCALIPTO OU EQUIVALENTE DA REGIAO                                                                                                                                                                                                                                                                                                                                                                                                         </v>
          </cell>
          <cell r="C828" t="str">
            <v xml:space="preserve">UN    </v>
          </cell>
          <cell r="D828" t="str">
            <v>CR</v>
          </cell>
          <cell r="E828" t="str">
            <v>24,94</v>
          </cell>
        </row>
        <row r="829">
          <cell r="A829">
            <v>4513</v>
          </cell>
          <cell r="B829" t="str">
            <v xml:space="preserve">CAIBRO 5 X 5 CM EM PINUS, MISTA OU EQUIVALENTE DA REGIAO - BRUTA                                                                                                                                                                                                                                                                                                                                                                                                                                          </v>
          </cell>
          <cell r="C829" t="str">
            <v xml:space="preserve">M     </v>
          </cell>
          <cell r="D829" t="str">
            <v>CR</v>
          </cell>
          <cell r="E829" t="str">
            <v>5,29</v>
          </cell>
        </row>
        <row r="830">
          <cell r="A830">
            <v>37106</v>
          </cell>
          <cell r="B830" t="str">
            <v xml:space="preserve">CAIXA D'AGUA / RESERVATORIO EM POLIESTER REFORCADO COM FIBRA DE VIDRO, 10000 LITROS, COM TAMPA                                                                                                                                                                                                                                                                                                                                                                                                            </v>
          </cell>
          <cell r="C830" t="str">
            <v xml:space="preserve">UN    </v>
          </cell>
          <cell r="D830" t="str">
            <v>CR</v>
          </cell>
          <cell r="E830" t="str">
            <v>4.751,00</v>
          </cell>
        </row>
        <row r="831">
          <cell r="A831">
            <v>11869</v>
          </cell>
          <cell r="B831" t="str">
            <v xml:space="preserve">CAIXA D'AGUA / RESERVATORIO EM POLIESTER REFORCADO COM FIBRA DE VIDRO, 1500 LITROS, COM TAMPA                                                                                                                                                                                                                                                                                                                                                                                                             </v>
          </cell>
          <cell r="C831" t="str">
            <v xml:space="preserve">UN    </v>
          </cell>
          <cell r="D831" t="str">
            <v>CR</v>
          </cell>
          <cell r="E831" t="str">
            <v>950,20</v>
          </cell>
        </row>
        <row r="832">
          <cell r="A832">
            <v>43981</v>
          </cell>
          <cell r="B832" t="str">
            <v xml:space="preserve">CAIXA D'AGUA / RESERVATORIO EM POLIESTER REFORCADO COM FIBRA DE VIDRO, 15000 LITROS, COM TAMPA                                                                                                                                                                                                                                                                                                                                                                                                            </v>
          </cell>
          <cell r="C832" t="str">
            <v xml:space="preserve">UN    </v>
          </cell>
          <cell r="D832" t="str">
            <v>CR</v>
          </cell>
          <cell r="E832" t="str">
            <v>7.159,71</v>
          </cell>
        </row>
        <row r="833">
          <cell r="A833">
            <v>37104</v>
          </cell>
          <cell r="B833" t="str">
            <v xml:space="preserve">CAIXA D'AGUA / RESERVATORIO EM POLIESTER REFORCADO COM FIBRA DE VIDRO, 2000 LITROS, COM TAMPA                                                                                                                                                                                                                                                                                                                                                                                                             </v>
          </cell>
          <cell r="C833" t="str">
            <v xml:space="preserve">UN    </v>
          </cell>
          <cell r="D833" t="str">
            <v>CR</v>
          </cell>
          <cell r="E833" t="str">
            <v>1.192,52</v>
          </cell>
        </row>
        <row r="834">
          <cell r="A834">
            <v>43982</v>
          </cell>
          <cell r="B834" t="str">
            <v xml:space="preserve">CAIXA D'AGUA / RESERVATORIO EM POLIESTER REFORCADO COM FIBRA DE VIDRO, 20000 LITROS, COM TAMPA                                                                                                                                                                                                                                                                                                                                                                                                            </v>
          </cell>
          <cell r="C834" t="str">
            <v xml:space="preserve">UN    </v>
          </cell>
          <cell r="D834" t="str">
            <v>CR</v>
          </cell>
          <cell r="E834" t="str">
            <v>11.310,54</v>
          </cell>
        </row>
        <row r="835">
          <cell r="A835">
            <v>43978</v>
          </cell>
          <cell r="B835" t="str">
            <v xml:space="preserve">CAIXA D'AGUA / RESERVATORIO EM POLIESTER REFORCADO COM FIBRA DE VIDRO, 3000 LITROS, COM TAMPA                                                                                                                                                                                                                                                                                                                                                                                                             </v>
          </cell>
          <cell r="C835" t="str">
            <v xml:space="preserve">UN    </v>
          </cell>
          <cell r="D835" t="str">
            <v>CR</v>
          </cell>
          <cell r="E835" t="str">
            <v>1.767,29</v>
          </cell>
        </row>
        <row r="836">
          <cell r="A836">
            <v>11871</v>
          </cell>
          <cell r="B836" t="str">
            <v xml:space="preserve">CAIXA D'AGUA / RESERVATORIO EM POLIESTER REFORCADO COM FIBRA DE VIDRO, 500 LITROS, COM TAMPA                                                                                                                                                                                                                                                                                                                                                                                                              </v>
          </cell>
          <cell r="C836" t="str">
            <v xml:space="preserve">UN    </v>
          </cell>
          <cell r="D836" t="str">
            <v>CR</v>
          </cell>
          <cell r="E836" t="str">
            <v>442,93</v>
          </cell>
        </row>
        <row r="837">
          <cell r="A837">
            <v>37105</v>
          </cell>
          <cell r="B837" t="str">
            <v xml:space="preserve">CAIXA D'AGUA / RESERVATORIO EM POLIESTER REFORCADO COM FIBRA DE VIDRO, 5000 LITROS, COM TAMPA                                                                                                                                                                                                                                                                                                                                                                                                             </v>
          </cell>
          <cell r="C837" t="str">
            <v xml:space="preserve">UN    </v>
          </cell>
          <cell r="D837" t="str">
            <v>CR</v>
          </cell>
          <cell r="E837" t="str">
            <v>2.725,36</v>
          </cell>
        </row>
        <row r="838">
          <cell r="A838">
            <v>43980</v>
          </cell>
          <cell r="B838" t="str">
            <v xml:space="preserve">CAIXA D'AGUA / RESERVATORIO EM POLIESTER REFORCADO COM FIBRA DE VIDRO, 7000 LITROS, COM TAMPA                                                                                                                                                                                                                                                                                                                                                                                                             </v>
          </cell>
          <cell r="C838" t="str">
            <v xml:space="preserve">UN    </v>
          </cell>
          <cell r="D838" t="str">
            <v>CR</v>
          </cell>
          <cell r="E838" t="str">
            <v>3.394,15</v>
          </cell>
        </row>
        <row r="839">
          <cell r="A839">
            <v>43979</v>
          </cell>
          <cell r="B839" t="str">
            <v xml:space="preserve">CAIXA D'AGUA / RESERVATORIO EM POLIESTER REFORCADO COM FIBRA DE VIDRO, 750 LITROS, COM TAMPA                                                                                                                                                                                                                                                                                                                                                                                                              </v>
          </cell>
          <cell r="C839" t="str">
            <v xml:space="preserve">UN    </v>
          </cell>
          <cell r="D839" t="str">
            <v>CR</v>
          </cell>
          <cell r="E839" t="str">
            <v>637,72</v>
          </cell>
        </row>
        <row r="840">
          <cell r="A840">
            <v>11868</v>
          </cell>
          <cell r="B840" t="str">
            <v xml:space="preserve">CAIXA D'AGUA / RESERVATORIO EM POLIESTER REFORCADO COM FIBRA DE VIDRO,1000 LITROS, COM TAMPA                                                                                                                                                                                                                                                                                                                                                                                                              </v>
          </cell>
          <cell r="C840" t="str">
            <v xml:space="preserve">UN    </v>
          </cell>
          <cell r="D840" t="str">
            <v>CR</v>
          </cell>
          <cell r="E840" t="str">
            <v>616,74</v>
          </cell>
        </row>
        <row r="841">
          <cell r="A841">
            <v>34636</v>
          </cell>
          <cell r="B841" t="str">
            <v xml:space="preserve">CAIXA D'AGUA / RESERVATORIO EM POLIETILENO, 1000 LITROS, COM TAMPA                                                                                                                                                                                                                                                                                                                                                                                                                                        </v>
          </cell>
          <cell r="C841" t="str">
            <v xml:space="preserve">UN    </v>
          </cell>
          <cell r="D841" t="str">
            <v xml:space="preserve">C </v>
          </cell>
          <cell r="E841" t="str">
            <v>437,97</v>
          </cell>
        </row>
        <row r="842">
          <cell r="A842">
            <v>34639</v>
          </cell>
          <cell r="B842" t="str">
            <v xml:space="preserve">CAIXA D'AGUA / RESERVATORIO EM POLIETILENO, 1500 LITROS, COM TAMPA                                                                                                                                                                                                                                                                                                                                                                                                                                        </v>
          </cell>
          <cell r="C842" t="str">
            <v xml:space="preserve">UN    </v>
          </cell>
          <cell r="D842" t="str">
            <v>CR</v>
          </cell>
          <cell r="E842" t="str">
            <v>1.010,91</v>
          </cell>
        </row>
        <row r="843">
          <cell r="A843">
            <v>34640</v>
          </cell>
          <cell r="B843" t="str">
            <v xml:space="preserve">CAIXA D'AGUA / RESERVATORIO EM POLIETILENO, 2000 LITROS, COM TAMPA                                                                                                                                                                                                                                                                                                                                                                                                                                        </v>
          </cell>
          <cell r="C843" t="str">
            <v xml:space="preserve">UN    </v>
          </cell>
          <cell r="D843" t="str">
            <v>CR</v>
          </cell>
          <cell r="E843" t="str">
            <v>1.146,72</v>
          </cell>
        </row>
        <row r="844">
          <cell r="A844">
            <v>43977</v>
          </cell>
          <cell r="B844" t="str">
            <v xml:space="preserve">CAIXA D'AGUA / RESERVATORIO EM POLIETILENO, 3000 LITROS, COM TAMPA                                                                                                                                                                                                                                                                                                                                                                                                                                        </v>
          </cell>
          <cell r="C844" t="str">
            <v xml:space="preserve">UN    </v>
          </cell>
          <cell r="D844" t="str">
            <v>CR</v>
          </cell>
          <cell r="E844" t="str">
            <v>1.976,88</v>
          </cell>
        </row>
        <row r="845">
          <cell r="A845">
            <v>34637</v>
          </cell>
          <cell r="B845" t="str">
            <v xml:space="preserve">CAIXA D'AGUA / RESERVATORIO EM POLIETILENO, 500 LITROS, COM TAMPA                                                                                                                                                                                                                                                                                                                                                                                                                                         </v>
          </cell>
          <cell r="C845" t="str">
            <v xml:space="preserve">UN    </v>
          </cell>
          <cell r="D845" t="str">
            <v>CR</v>
          </cell>
          <cell r="E845" t="str">
            <v>264,86</v>
          </cell>
        </row>
        <row r="846">
          <cell r="A846">
            <v>34638</v>
          </cell>
          <cell r="B846" t="str">
            <v xml:space="preserve">CAIXA D'AGUA / RESERVATORIO EM POLIETILENO, 750 LITROS, COM TAMPA                                                                                                                                                                                                                                                                                                                                                                                                                                         </v>
          </cell>
          <cell r="C846" t="str">
            <v xml:space="preserve">UN    </v>
          </cell>
          <cell r="D846" t="str">
            <v>CR</v>
          </cell>
          <cell r="E846" t="str">
            <v>409,69</v>
          </cell>
        </row>
        <row r="847">
          <cell r="A847">
            <v>34641</v>
          </cell>
          <cell r="B847" t="str">
            <v xml:space="preserve">CAIXA DE ATERRAMENTO EM CONCRETO PRE-MOLDADO, DIAMETRO DE 0,30 M E ALTURA DE 0,35 M, SEM FUNDO E COM TAMPA                                                                                                                                                                                                                                                                                                                                                                                                </v>
          </cell>
          <cell r="C847" t="str">
            <v xml:space="preserve">UN    </v>
          </cell>
          <cell r="D847" t="str">
            <v>CR</v>
          </cell>
          <cell r="E847" t="str">
            <v>114,10</v>
          </cell>
        </row>
        <row r="848">
          <cell r="A848">
            <v>43434</v>
          </cell>
          <cell r="B848" t="str">
            <v xml:space="preserve">CAIXA DE CONCRETO ARMADO PRE-MOLDADO, COM FUNDO E SEM TAMPA, DIMENSOES DE 0,30 X 0,30 X 0,30 M                                                                                                                                                                                                                                                                                                                                                                                                            </v>
          </cell>
          <cell r="C848" t="str">
            <v xml:space="preserve">UN    </v>
          </cell>
          <cell r="D848" t="str">
            <v>CR</v>
          </cell>
          <cell r="E848" t="str">
            <v>123,36</v>
          </cell>
        </row>
        <row r="849">
          <cell r="A849">
            <v>43435</v>
          </cell>
          <cell r="B849" t="str">
            <v xml:space="preserve">CAIXA DE CONCRETO ARMADO PRE-MOLDADO, COM FUNDO E SEM TAMPA, DIMENSOES DE 0,40 X 0,40 X 0,40 M                                                                                                                                                                                                                                                                                                                                                                                                            </v>
          </cell>
          <cell r="C849" t="str">
            <v xml:space="preserve">UN    </v>
          </cell>
          <cell r="D849" t="str">
            <v>CR</v>
          </cell>
          <cell r="E849" t="str">
            <v>226,16</v>
          </cell>
        </row>
        <row r="850">
          <cell r="A850">
            <v>43436</v>
          </cell>
          <cell r="B850" t="str">
            <v xml:space="preserve">CAIXA DE CONCRETO ARMADO PRE-MOLDADO, COM FUNDO E SEM TAMPA, DIMENSOES DE 0,60 X 0,60 X 0,50 M                                                                                                                                                                                                                                                                                                                                                                                                            </v>
          </cell>
          <cell r="C850" t="str">
            <v xml:space="preserve">UN    </v>
          </cell>
          <cell r="D850" t="str">
            <v>CR</v>
          </cell>
          <cell r="E850" t="str">
            <v>395,78</v>
          </cell>
        </row>
        <row r="851">
          <cell r="A851">
            <v>43437</v>
          </cell>
          <cell r="B851" t="str">
            <v xml:space="preserve">CAIXA DE CONCRETO ARMADO PRE-MOLDADO, COM FUNDO E SEM TAMPA, DIMENSOES DE 0,80 X 0,80 X 0,50 M                                                                                                                                                                                                                                                                                                                                                                                                            </v>
          </cell>
          <cell r="C851" t="str">
            <v xml:space="preserve">UN    </v>
          </cell>
          <cell r="D851" t="str">
            <v>CR</v>
          </cell>
          <cell r="E851" t="str">
            <v>717,56</v>
          </cell>
        </row>
        <row r="852">
          <cell r="A852">
            <v>43438</v>
          </cell>
          <cell r="B852" t="str">
            <v xml:space="preserve">CAIXA DE CONCRETO ARMADO PRE-MOLDADO, COM FUNDO E SEM TAMPA, DIMENSOES DE 1,00 X 1,00 X 0,50 M                                                                                                                                                                                                                                                                                                                                                                                                            </v>
          </cell>
          <cell r="C852" t="str">
            <v xml:space="preserve">UN    </v>
          </cell>
          <cell r="D852" t="str">
            <v>CR</v>
          </cell>
          <cell r="E852" t="str">
            <v>1.285,03</v>
          </cell>
        </row>
        <row r="853">
          <cell r="A853">
            <v>41627</v>
          </cell>
          <cell r="B853" t="str">
            <v xml:space="preserve">CAIXA DE CONCRETO ARMADO PRE-MOLDADO, COM FUNDO E TAMPA, DIMENSOES DE 0,30 X 0,30 X 0,30 M                                                                                                                                                                                                                                                                                                                                                                                                                </v>
          </cell>
          <cell r="C853" t="str">
            <v xml:space="preserve">UN    </v>
          </cell>
          <cell r="D853" t="str">
            <v>CR</v>
          </cell>
          <cell r="E853" t="str">
            <v>190,18</v>
          </cell>
        </row>
        <row r="854">
          <cell r="A854">
            <v>41628</v>
          </cell>
          <cell r="B854" t="str">
            <v xml:space="preserve">CAIXA DE CONCRETO ARMADO PRE-MOLDADO, COM FUNDO E TAMPA, DIMENSOES DE 0,40 X 0,40 X 0,40 M                                                                                                                                                                                                                                                                                                                                                                                                                </v>
          </cell>
          <cell r="C854" t="str">
            <v xml:space="preserve">UN    </v>
          </cell>
          <cell r="D854" t="str">
            <v>CR</v>
          </cell>
          <cell r="E854" t="str">
            <v>349,52</v>
          </cell>
        </row>
        <row r="855">
          <cell r="A855">
            <v>41629</v>
          </cell>
          <cell r="B855" t="str">
            <v xml:space="preserve">CAIXA DE CONCRETO ARMADO PRE-MOLDADO, COM FUNDO E TAMPA, DIMENSOES DE 0,60 X 0,60 X 0,50 M                                                                                                                                                                                                                                                                                                                                                                                                                </v>
          </cell>
          <cell r="C855" t="str">
            <v xml:space="preserve">UN    </v>
          </cell>
          <cell r="D855" t="str">
            <v>CR</v>
          </cell>
          <cell r="E855" t="str">
            <v>444,10</v>
          </cell>
        </row>
        <row r="856">
          <cell r="A856">
            <v>43429</v>
          </cell>
          <cell r="B856" t="str">
            <v xml:space="preserve">CAIXA DE CONCRETO ARMADO PRE-MOLDADO, SEM FUNDO, QUADRADA, DIMENSOES DE 0,30 X 0,30 X 0,30 M                                                                                                                                                                                                                                                                                                                                                                                                              </v>
          </cell>
          <cell r="C856" t="str">
            <v xml:space="preserve">UN    </v>
          </cell>
          <cell r="D856" t="str">
            <v>CR</v>
          </cell>
          <cell r="E856" t="str">
            <v>98,40</v>
          </cell>
        </row>
        <row r="857">
          <cell r="A857">
            <v>43430</v>
          </cell>
          <cell r="B857" t="str">
            <v xml:space="preserve">CAIXA DE CONCRETO ARMADO PRE-MOLDADO, SEM FUNDO, QUADRADA, DIMENSOES DE 0,40 X 0,40 X 0,40 M                                                                                                                                                                                                                                                                                                                                                                                                              </v>
          </cell>
          <cell r="C857" t="str">
            <v xml:space="preserve">UN    </v>
          </cell>
          <cell r="D857" t="str">
            <v>CR</v>
          </cell>
          <cell r="E857" t="str">
            <v>163,45</v>
          </cell>
        </row>
        <row r="858">
          <cell r="A858">
            <v>43431</v>
          </cell>
          <cell r="B858" t="str">
            <v xml:space="preserve">CAIXA DE CONCRETO ARMADO PRE-MOLDADO, SEM FUNDO, QUADRADA, DIMENSOES DE 0,60 X 0,60 X 0,50 M                                                                                                                                                                                                                                                                                                                                                                                                              </v>
          </cell>
          <cell r="C858" t="str">
            <v xml:space="preserve">UN    </v>
          </cell>
          <cell r="D858" t="str">
            <v>CR</v>
          </cell>
          <cell r="E858" t="str">
            <v>316,63</v>
          </cell>
        </row>
        <row r="859">
          <cell r="A859">
            <v>43432</v>
          </cell>
          <cell r="B859" t="str">
            <v xml:space="preserve">CAIXA DE CONCRETO ARMADO PRE-MOLDADO, SEM FUNDO, QUADRADA, DIMENSOES DE 0,80 X 0,80 X 0,50 M                                                                                                                                                                                                                                                                                                                                                                                                              </v>
          </cell>
          <cell r="C859" t="str">
            <v xml:space="preserve">UN    </v>
          </cell>
          <cell r="D859" t="str">
            <v>CR</v>
          </cell>
          <cell r="E859" t="str">
            <v>657,93</v>
          </cell>
        </row>
        <row r="860">
          <cell r="A860">
            <v>43433</v>
          </cell>
          <cell r="B860" t="str">
            <v xml:space="preserve">CAIXA DE CONCRETO ARMADO PRE-MOLDADO, SEM FUNDO, QUADRADA, DIMENSOES DE 1,00 X 1,00 X 0,50 M                                                                                                                                                                                                                                                                                                                                                                                                              </v>
          </cell>
          <cell r="C860" t="str">
            <v xml:space="preserve">UN    </v>
          </cell>
          <cell r="D860" t="str">
            <v>CR</v>
          </cell>
          <cell r="E860" t="str">
            <v>1.037,27</v>
          </cell>
        </row>
        <row r="861">
          <cell r="A861">
            <v>43094</v>
          </cell>
          <cell r="B861" t="str">
            <v xml:space="preserve">CAIXA DE DERIVACAO PARA MEDIDOR DE ENERGIA, COM BARRAMENTO MONOFASICO, EM POLICARBONATO / TERMOPLASTICO - MODULO (PADRAO CONCESSIONARIA LOCAL)                                                                                                                                                                                                                                                                                                                                                            </v>
          </cell>
          <cell r="C861" t="str">
            <v xml:space="preserve">UN    </v>
          </cell>
          <cell r="D861" t="str">
            <v>CR</v>
          </cell>
          <cell r="E861" t="str">
            <v>241,71</v>
          </cell>
        </row>
        <row r="862">
          <cell r="A862">
            <v>43093</v>
          </cell>
          <cell r="B862" t="str">
            <v xml:space="preserve">CAIXA DE DERIVACAO PARA MEDIDOR DE ENERGIA, COM BARRAMENTO POLIFASICO, EM POLICARBONATO / TERMOPLASTICO - MODULO (PADRAO CONCESSIONARIA LOCAL)                                                                                                                                                                                                                                                                                                                                                            </v>
          </cell>
          <cell r="C862" t="str">
            <v xml:space="preserve">UN    </v>
          </cell>
          <cell r="D862" t="str">
            <v>CR</v>
          </cell>
          <cell r="E862" t="str">
            <v>256,87</v>
          </cell>
        </row>
        <row r="863">
          <cell r="A863">
            <v>11694</v>
          </cell>
          <cell r="B863" t="str">
            <v xml:space="preserve">CAIXA DE DESCARGA PLASTICA PARA BACIA / VASO SANITARIO DE EMBUTIR, COM ESPELHO ACIONADOR EM PLASTICO, CAPACIDADE 6 A 10 LITROS, (COMPLETA - ACESSORIOS INCLUSOS)                                                                                                                                                                                                                                                                                                                                          </v>
          </cell>
          <cell r="C863" t="str">
            <v xml:space="preserve">UN    </v>
          </cell>
          <cell r="D863" t="str">
            <v>CR</v>
          </cell>
          <cell r="E863" t="str">
            <v>1.170,03</v>
          </cell>
        </row>
        <row r="864">
          <cell r="A864">
            <v>1030</v>
          </cell>
          <cell r="B864" t="str">
            <v xml:space="preserve">CAIXA DE DESCARGA PLASTICA PARA BACIA / VASO SANITARIO, EXTERNA, CAPACIDADE 9 LITROS, PUXADOR FIO DE NYLON, NAO INCLUSO CANO, BOLSA, ENGATE                                                                                                                                                                                                                                                                                                                                                               </v>
          </cell>
          <cell r="C864" t="str">
            <v xml:space="preserve">UN    </v>
          </cell>
          <cell r="D864" t="str">
            <v xml:space="preserve">C </v>
          </cell>
          <cell r="E864" t="str">
            <v>52,93</v>
          </cell>
        </row>
        <row r="865">
          <cell r="A865">
            <v>11881</v>
          </cell>
          <cell r="B865" t="str">
            <v xml:space="preserve">CAIXA DE GORDURA CILINDRICA EM CONCRETO SIMPLES,  PRE-MOLDADA, COM DIAMETRO DE 40 CM E ALTURA DE 45 CM, COM TAMPA                                                                                                                                                                                                                                                                                                                                                                                         </v>
          </cell>
          <cell r="C865" t="str">
            <v xml:space="preserve">UN    </v>
          </cell>
          <cell r="D865" t="str">
            <v>CR</v>
          </cell>
          <cell r="E865" t="str">
            <v>174,76</v>
          </cell>
        </row>
        <row r="866">
          <cell r="A866">
            <v>35277</v>
          </cell>
          <cell r="B866" t="str">
            <v xml:space="preserve">CAIXA DE GORDURA EM PVC, DIAMETRO MINIMO 300 MM, DIAMETRO DE SAIDA 100 MM, CAPACIDADE  APROXIMADA 18 LITROS, COM TAMPA E CESTO                                                                                                                                                                                                                                                                                                                                                                            </v>
          </cell>
          <cell r="C866" t="str">
            <v xml:space="preserve">UN    </v>
          </cell>
          <cell r="D866" t="str">
            <v>CR</v>
          </cell>
          <cell r="E866" t="str">
            <v>405,14</v>
          </cell>
        </row>
        <row r="867">
          <cell r="A867">
            <v>10521</v>
          </cell>
          <cell r="B867" t="str">
            <v xml:space="preserve">CAIXA DE INCENDIO/ABRIGO PARA MANGUEIRA, DE EMBUTIR/INTERNA, COM 75 X 45 X 17 CM, EM CHAPA DE ACO, PORTA COM VENTILACAO, VISOR COM A INSCRICAO "INCENDIO", SUPORTE/CESTA INTERNA PARA A MANGUEIRA, PINTURA ELETROSTATICA VERMELHA                                                                                                                                                                                                                                                                         </v>
          </cell>
          <cell r="C867" t="str">
            <v xml:space="preserve">UN    </v>
          </cell>
          <cell r="D867" t="str">
            <v>CR</v>
          </cell>
          <cell r="E867" t="str">
            <v>295,14</v>
          </cell>
        </row>
        <row r="868">
          <cell r="A868">
            <v>10885</v>
          </cell>
          <cell r="B868" t="str">
            <v xml:space="preserve">CAIXA DE INCENDIO/ABRIGO PARA MANGUEIRA, DE EMBUTIR/INTERNA, COM 90 X 60 X 17 CM, EM CHAPA DE ACO, PORTA COM VENTILACAO, VISOR COM A INSCRICAO "INCENDIO", SUPORTE/CESTA INTERNA PARA A MANGUEIRA, PINTURA ELETROSTATICA VERMELHA                                                                                                                                                                                                                                                                         </v>
          </cell>
          <cell r="C868" t="str">
            <v xml:space="preserve">UN    </v>
          </cell>
          <cell r="D868" t="str">
            <v>CR</v>
          </cell>
          <cell r="E868" t="str">
            <v>373,32</v>
          </cell>
        </row>
        <row r="869">
          <cell r="A869">
            <v>20962</v>
          </cell>
          <cell r="B869" t="str">
            <v xml:space="preserve">CAIXA DE INCENDIO/ABRIGO PARA MANGUEIRA, DE SOBREPOR/EXTERNA, COM 75 X 45 X 17 CM, EM CHAPA DE ACO, PORTA COM VENTILACAO, VISOR COM A INSCRICAO "INCENDIO", SUPORTE/CESTA INTERNA PARA A MANGUEIRA, PINTURA ELETROSTATICA VERMELHA                                                                                                                                                                                                                                                                        </v>
          </cell>
          <cell r="C869" t="str">
            <v xml:space="preserve">UN    </v>
          </cell>
          <cell r="D869" t="str">
            <v xml:space="preserve">C </v>
          </cell>
          <cell r="E869" t="str">
            <v>309,20</v>
          </cell>
        </row>
        <row r="870">
          <cell r="A870">
            <v>20963</v>
          </cell>
          <cell r="B870" t="str">
            <v xml:space="preserve">CAIXA DE INCENDIO/ABRIGO PARA MANGUEIRA, DE SOBREPOR/EXTERNA, COM 90 X 60 X 17 CM, EM CHAPA DE ACO, PORTA COM VENTILACAO, VISOR COM A INSCRICAO "INCENDIO", SUPORTE/CESTA INTERNA PARA A MANGUEIRA, PINTURA ELETROSTATICA VERMELHA                                                                                                                                                                                                                                                                        </v>
          </cell>
          <cell r="C870" t="str">
            <v xml:space="preserve">UN    </v>
          </cell>
          <cell r="D870" t="str">
            <v>CR</v>
          </cell>
          <cell r="E870" t="str">
            <v>377,71</v>
          </cell>
        </row>
        <row r="871">
          <cell r="A871">
            <v>34643</v>
          </cell>
          <cell r="B871" t="str">
            <v xml:space="preserve">CAIXA DE INSPECAO PARA ATERRAMENTO E PARA RAIOS, EM POLIPROPILENO,  DIAMETRO = 300 MM X ALTURA = 400 MM                                                                                                                                                                                                                                                                                                                                                                                                   </v>
          </cell>
          <cell r="C871" t="str">
            <v xml:space="preserve">UN    </v>
          </cell>
          <cell r="D871" t="str">
            <v>CR</v>
          </cell>
          <cell r="E871" t="str">
            <v>46,66</v>
          </cell>
        </row>
        <row r="872">
          <cell r="A872">
            <v>41480</v>
          </cell>
          <cell r="B872" t="str">
            <v xml:space="preserve">CAIXA DE INSPECAO PARA ATERRAMENTO OU OUTRO USO, EM PVC, DN = 250 X 250 MM                                                                                                                                                                                                                                                                                                                                                                                                                                </v>
          </cell>
          <cell r="C872" t="str">
            <v xml:space="preserve">UN    </v>
          </cell>
          <cell r="D872" t="str">
            <v>CR</v>
          </cell>
          <cell r="E872" t="str">
            <v>54,10</v>
          </cell>
        </row>
        <row r="873">
          <cell r="A873">
            <v>41474</v>
          </cell>
          <cell r="B873" t="str">
            <v xml:space="preserve">CAIXA DE INSPECAO PARA ATERRAMENTO OU OUTRO USO, EM PVC, DN = 300 X *300* MM                                                                                                                                                                                                                                                                                                                                                                                                                              </v>
          </cell>
          <cell r="C873" t="str">
            <v xml:space="preserve">UN    </v>
          </cell>
          <cell r="D873" t="str">
            <v>CR</v>
          </cell>
          <cell r="E873" t="str">
            <v>86,42</v>
          </cell>
        </row>
        <row r="874">
          <cell r="A874">
            <v>41475</v>
          </cell>
          <cell r="B874" t="str">
            <v xml:space="preserve">CAIXA DE INSPECAO PARA ATERRAMENTO OU OUTRO USO, EM PVC, DN = 300 X 250 MM                                                                                                                                                                                                                                                                                                                                                                                                                                </v>
          </cell>
          <cell r="C874" t="str">
            <v xml:space="preserve">UN    </v>
          </cell>
          <cell r="D874" t="str">
            <v>CR</v>
          </cell>
          <cell r="E874" t="str">
            <v>73,73</v>
          </cell>
        </row>
        <row r="875">
          <cell r="A875">
            <v>41476</v>
          </cell>
          <cell r="B875" t="str">
            <v xml:space="preserve">CAIXA DE INSPECAO PARA ATERRAMENTO OU OUTRO USO, EM PVC, DN = 300 X 600 MM                                                                                                                                                                                                                                                                                                                                                                                                                                </v>
          </cell>
          <cell r="C875" t="str">
            <v xml:space="preserve">UN    </v>
          </cell>
          <cell r="D875" t="str">
            <v>CR</v>
          </cell>
          <cell r="E875" t="str">
            <v>161,45</v>
          </cell>
        </row>
        <row r="876">
          <cell r="A876">
            <v>2555</v>
          </cell>
          <cell r="B876" t="str">
            <v xml:space="preserve">CAIXA DE LUZ "3 X 3" EM ACO ESMALTADA                                                                                                                                                                                                                                                                                                                                                                                                                                                                     </v>
          </cell>
          <cell r="C876" t="str">
            <v xml:space="preserve">UN    </v>
          </cell>
          <cell r="D876" t="str">
            <v>CR</v>
          </cell>
          <cell r="E876" t="str">
            <v>1,45</v>
          </cell>
        </row>
        <row r="877">
          <cell r="A877">
            <v>2556</v>
          </cell>
          <cell r="B877" t="str">
            <v xml:space="preserve">CAIXA DE LUZ "4 X 2" EM ACO ESMALTADA                                                                                                                                                                                                                                                                                                                                                                                                                                                                     </v>
          </cell>
          <cell r="C877" t="str">
            <v xml:space="preserve">UN    </v>
          </cell>
          <cell r="D877" t="str">
            <v>CR</v>
          </cell>
          <cell r="E877" t="str">
            <v>1,50</v>
          </cell>
        </row>
        <row r="878">
          <cell r="A878">
            <v>2557</v>
          </cell>
          <cell r="B878" t="str">
            <v xml:space="preserve">CAIXA DE LUZ "4 X 4" EM ACO ESMALTADA                                                                                                                                                                                                                                                                                                                                                                                                                                                                     </v>
          </cell>
          <cell r="C878" t="str">
            <v xml:space="preserve">UN    </v>
          </cell>
          <cell r="D878" t="str">
            <v>CR</v>
          </cell>
          <cell r="E878" t="str">
            <v>3,18</v>
          </cell>
        </row>
        <row r="879">
          <cell r="A879">
            <v>10569</v>
          </cell>
          <cell r="B879" t="str">
            <v xml:space="preserve">CAIXA DE PASSAGEM / DERIVACAO / LUZ, OCTOGONAL 4 X4, EM ACO ESMALTADA, COM FUNDO MOVEL SIMPLES (FMS)                                                                                                                                                                                                                                                                                                                                                                                                      </v>
          </cell>
          <cell r="C879" t="str">
            <v xml:space="preserve">UN    </v>
          </cell>
          <cell r="D879" t="str">
            <v>CR</v>
          </cell>
          <cell r="E879" t="str">
            <v>3,18</v>
          </cell>
        </row>
        <row r="880">
          <cell r="A880">
            <v>39810</v>
          </cell>
          <cell r="B880" t="str">
            <v xml:space="preserve">CAIXA DE PASSAGEM ELETRICA DE PAREDE, DE EMBUTIR, EM PVC, COM TAMPA APARAFUSADA, DIMENSOES 120 X 120 X *75* MM                                                                                                                                                                                                                                                                                                                                                                                            </v>
          </cell>
          <cell r="C880" t="str">
            <v xml:space="preserve">UN    </v>
          </cell>
          <cell r="D880" t="str">
            <v>CR</v>
          </cell>
          <cell r="E880" t="str">
            <v>32,62</v>
          </cell>
        </row>
        <row r="881">
          <cell r="A881">
            <v>39811</v>
          </cell>
          <cell r="B881" t="str">
            <v xml:space="preserve">CAIXA DE PASSAGEM ELETRICA DE PAREDE, DE EMBUTIR, EM PVC, COM TAMPA APARAFUSADA, DIMENSOES 150 X 150 X *75* MM                                                                                                                                                                                                                                                                                                                                                                                            </v>
          </cell>
          <cell r="C881" t="str">
            <v xml:space="preserve">UN    </v>
          </cell>
          <cell r="D881" t="str">
            <v>CR</v>
          </cell>
          <cell r="E881" t="str">
            <v>39,90</v>
          </cell>
        </row>
        <row r="882">
          <cell r="A882">
            <v>39812</v>
          </cell>
          <cell r="B882" t="str">
            <v xml:space="preserve">CAIXA DE PASSAGEM ELETRICA DE PAREDE, DE EMBUTIR, EM PVC, COM TAMPA APARAFUSADA, DIMENSOES 200 X 200 X *90* MM                                                                                                                                                                                                                                                                                                                                                                                            </v>
          </cell>
          <cell r="C882" t="str">
            <v xml:space="preserve">UN    </v>
          </cell>
          <cell r="D882" t="str">
            <v>CR</v>
          </cell>
          <cell r="E882" t="str">
            <v>65,60</v>
          </cell>
        </row>
        <row r="883">
          <cell r="A883">
            <v>43096</v>
          </cell>
          <cell r="B883" t="str">
            <v xml:space="preserve">CAIXA DE PASSAGEM ELETRICA DE PAREDE, DE EMBUTIR, EM TERMOPLASTICO / PVC, COM TAMPA APARAFUSADA, DIMENSOES 400 X 400 X *120* MM                                                                                                                                                                                                                                                                                                                                                                           </v>
          </cell>
          <cell r="C883" t="str">
            <v xml:space="preserve">UN    </v>
          </cell>
          <cell r="D883" t="str">
            <v>CR</v>
          </cell>
          <cell r="E883" t="str">
            <v>217,46</v>
          </cell>
        </row>
        <row r="884">
          <cell r="A884">
            <v>43102</v>
          </cell>
          <cell r="B884" t="str">
            <v xml:space="preserve">CAIXA DE PASSAGEM ELETRICA DE PAREDE, DE SOBREPOR, EM PVC, COM TAMPA APARAFUSADA, DIMENSOES 300 X 300 X *100* MM                                                                                                                                                                                                                                                                                                                                                                                          </v>
          </cell>
          <cell r="C884" t="str">
            <v xml:space="preserve">UN    </v>
          </cell>
          <cell r="D884" t="str">
            <v>CR</v>
          </cell>
          <cell r="E884" t="str">
            <v>132,23</v>
          </cell>
        </row>
        <row r="885">
          <cell r="A885">
            <v>43103</v>
          </cell>
          <cell r="B885" t="str">
            <v xml:space="preserve">CAIXA DE PASSAGEM ELETRICA DE PAREDE, DE SOBREPOR, EM PVC, COM TAMPA APARAFUSADA, DIMENSOES, 400 X 400 X *120* MM                                                                                                                                                                                                                                                                                                                                                                                         </v>
          </cell>
          <cell r="C885" t="str">
            <v xml:space="preserve">UN    </v>
          </cell>
          <cell r="D885" t="str">
            <v>CR</v>
          </cell>
          <cell r="E885" t="str">
            <v>194,71</v>
          </cell>
        </row>
        <row r="886">
          <cell r="A886">
            <v>43098</v>
          </cell>
          <cell r="B886" t="str">
            <v xml:space="preserve">CAIXA DE PASSAGEM ELETRICA DE PAREDE, DE SOBREPOR, EM TERMOPLASTICO / PVC, COM TAMPA APARAFUSA, DIMENSOES 200 X 200 X *100* MM                                                                                                                                                                                                                                                                                                                                                                            </v>
          </cell>
          <cell r="C886" t="str">
            <v xml:space="preserve">UN    </v>
          </cell>
          <cell r="D886" t="str">
            <v>CR</v>
          </cell>
          <cell r="E886" t="str">
            <v>73,66</v>
          </cell>
        </row>
        <row r="887">
          <cell r="A887">
            <v>43097</v>
          </cell>
          <cell r="B887" t="str">
            <v xml:space="preserve">CAIXA DE PASSAGEM ELETRICA DE PAREDE, DE SOBREPOR, EM TERMOPLASTICO / PVC, COM TAMPA APARAFUSADA, DIMENSOES, 150 X 150 X *100* MM                                                                                                                                                                                                                                                                                                                                                                         </v>
          </cell>
          <cell r="C887" t="str">
            <v xml:space="preserve">UN    </v>
          </cell>
          <cell r="D887" t="str">
            <v>CR</v>
          </cell>
          <cell r="E887" t="str">
            <v>43,64</v>
          </cell>
        </row>
        <row r="888">
          <cell r="A888">
            <v>43104</v>
          </cell>
          <cell r="B888" t="str">
            <v xml:space="preserve">CAIXA DE PASSAGEM ELETRICA, PARA PISO, EM PVC, DIMENSOES DE 3/4" A 4"                                                                                                                                                                                                                                                                                                                                                                                                                                     </v>
          </cell>
          <cell r="C888" t="str">
            <v xml:space="preserve">UN    </v>
          </cell>
          <cell r="D888" t="str">
            <v>CR</v>
          </cell>
          <cell r="E888" t="str">
            <v>516,23</v>
          </cell>
        </row>
        <row r="889">
          <cell r="A889">
            <v>39771</v>
          </cell>
          <cell r="B889" t="str">
            <v xml:space="preserve">CAIXA DE PASSAGEM METALICA DE SOBREPOR COM TAMPA PARAFUSADA, DIMENSOES 20 X 20 X 10 CM                                                                                                                                                                                                                                                                                                                                                                                                                    </v>
          </cell>
          <cell r="C889" t="str">
            <v xml:space="preserve">UN    </v>
          </cell>
          <cell r="D889" t="str">
            <v>CR</v>
          </cell>
          <cell r="E889" t="str">
            <v>30,53</v>
          </cell>
        </row>
        <row r="890">
          <cell r="A890">
            <v>39772</v>
          </cell>
          <cell r="B890" t="str">
            <v xml:space="preserve">CAIXA DE PASSAGEM METALICA DE SOBREPOR COM TAMPA PARAFUSADA, DIMENSOES 30 X 30 X 10 CM                                                                                                                                                                                                                                                                                                                                                                                                                    </v>
          </cell>
          <cell r="C890" t="str">
            <v xml:space="preserve">UN    </v>
          </cell>
          <cell r="D890" t="str">
            <v>CR</v>
          </cell>
          <cell r="E890" t="str">
            <v>60,02</v>
          </cell>
        </row>
        <row r="891">
          <cell r="A891">
            <v>39773</v>
          </cell>
          <cell r="B891" t="str">
            <v xml:space="preserve">CAIXA DE PASSAGEM METALICA DE SOBREPOR COM TAMPA PARAFUSADA, DIMENSOES 40 X 40 X 15 CM                                                                                                                                                                                                                                                                                                                                                                                                                    </v>
          </cell>
          <cell r="C891" t="str">
            <v xml:space="preserve">UN    </v>
          </cell>
          <cell r="D891" t="str">
            <v>CR</v>
          </cell>
          <cell r="E891" t="str">
            <v>96,47</v>
          </cell>
        </row>
        <row r="892">
          <cell r="A892">
            <v>39774</v>
          </cell>
          <cell r="B892" t="str">
            <v xml:space="preserve">CAIXA DE PASSAGEM METALICA DE SOBREPOR COM TAMPA PARAFUSADA, DIMENSOES 50 X 50 X 15 CM                                                                                                                                                                                                                                                                                                                                                                                                                    </v>
          </cell>
          <cell r="C892" t="str">
            <v xml:space="preserve">UN    </v>
          </cell>
          <cell r="D892" t="str">
            <v>CR</v>
          </cell>
          <cell r="E892" t="str">
            <v>144,29</v>
          </cell>
        </row>
        <row r="893">
          <cell r="A893">
            <v>39775</v>
          </cell>
          <cell r="B893" t="str">
            <v xml:space="preserve">CAIXA DE PASSAGEM METALICA DE SOBREPOR COM TAMPA PARAFUSADA, DIMENSOES 60 X 60 X 20 CM                                                                                                                                                                                                                                                                                                                                                                                                                    </v>
          </cell>
          <cell r="C893" t="str">
            <v xml:space="preserve">UN    </v>
          </cell>
          <cell r="D893" t="str">
            <v>CR</v>
          </cell>
          <cell r="E893" t="str">
            <v>192,58</v>
          </cell>
        </row>
        <row r="894">
          <cell r="A894">
            <v>39776</v>
          </cell>
          <cell r="B894" t="str">
            <v xml:space="preserve">CAIXA DE PASSAGEM METALICA DE SOBREPOR COM TAMPA PARAFUSADA, DIMENSOES 70 X 70 X 20 CM                                                                                                                                                                                                                                                                                                                                                                                                                    </v>
          </cell>
          <cell r="C894" t="str">
            <v xml:space="preserve">UN    </v>
          </cell>
          <cell r="D894" t="str">
            <v>CR</v>
          </cell>
          <cell r="E894" t="str">
            <v>232,74</v>
          </cell>
        </row>
        <row r="895">
          <cell r="A895">
            <v>39777</v>
          </cell>
          <cell r="B895" t="str">
            <v xml:space="preserve">CAIXA DE PASSAGEM METALICA DE SOBREPOR COM TAMPA PARAFUSADA, DIMENSOES 80 X 80 X 20 CM                                                                                                                                                                                                                                                                                                                                                                                                                    </v>
          </cell>
          <cell r="C895" t="str">
            <v xml:space="preserve">UN    </v>
          </cell>
          <cell r="D895" t="str">
            <v>CR</v>
          </cell>
          <cell r="E895" t="str">
            <v>294,99</v>
          </cell>
        </row>
        <row r="896">
          <cell r="A896">
            <v>20254</v>
          </cell>
          <cell r="B896" t="str">
            <v xml:space="preserve">CAIXA DE PASSAGEM METALICA, DE SOBREPOR, COM TAMPA APARAFUSADA, DIMENSOES 15 X 15 X *10* CM                                                                                                                                                                                                                                                                                                                                                                                                               </v>
          </cell>
          <cell r="C896" t="str">
            <v xml:space="preserve">UN    </v>
          </cell>
          <cell r="D896" t="str">
            <v>CR</v>
          </cell>
          <cell r="E896" t="str">
            <v>21,41</v>
          </cell>
        </row>
        <row r="897">
          <cell r="A897">
            <v>20253</v>
          </cell>
          <cell r="B897" t="str">
            <v xml:space="preserve">CAIXA DE PASSAGEM METALICA, DE SOBREPOR, COM TAMPA APARAFUSADA, DIMENSOES 35 X 35 X *12* CM                                                                                                                                                                                                                                                                                                                                                                                                               </v>
          </cell>
          <cell r="C897" t="str">
            <v xml:space="preserve">UN    </v>
          </cell>
          <cell r="D897" t="str">
            <v>CR</v>
          </cell>
          <cell r="E897" t="str">
            <v>70,31</v>
          </cell>
        </row>
        <row r="898">
          <cell r="A898">
            <v>11247</v>
          </cell>
          <cell r="B898" t="str">
            <v xml:space="preserve">CAIXA DE PASSAGEM/ LUZ / TELEFONIA, DE EMBUTIR,  EM CHAPA DE ACO GALVANIZADO, DIMENSOES 150 X 150 X 15 CM (PADRAO CONCESSIONARIA LOCAL)                                                                                                                                                                                                                                                                                                                                                                   </v>
          </cell>
          <cell r="C898" t="str">
            <v xml:space="preserve">UN    </v>
          </cell>
          <cell r="D898" t="str">
            <v>CR</v>
          </cell>
          <cell r="E898" t="str">
            <v>1.351,93</v>
          </cell>
        </row>
        <row r="899">
          <cell r="A899">
            <v>11250</v>
          </cell>
          <cell r="B899" t="str">
            <v xml:space="preserve">CAIXA DE PASSAGEM/ LUZ / TELEFONIA, DE EMBUTIR,  EM CHAPA DE ACO GALVANIZADO, DIMENSOES 20 X 20 X *12* CM (PADRAO CONCESSIONARIA LOCAL)                                                                                                                                                                                                                                                                                                                                                                   </v>
          </cell>
          <cell r="C899" t="str">
            <v xml:space="preserve">UN    </v>
          </cell>
          <cell r="D899" t="str">
            <v>CR</v>
          </cell>
          <cell r="E899" t="str">
            <v>58,20</v>
          </cell>
        </row>
        <row r="900">
          <cell r="A900">
            <v>11249</v>
          </cell>
          <cell r="B900" t="str">
            <v xml:space="preserve">CAIXA DE PASSAGEM/ LUZ / TELEFONIA, DE EMBUTIR,  EM CHAPA DE ACO GALVANIZADO, DIMENSOES 200 X 200 X 20 CM (PADRAO CONCESSIONARIA LOCAL)                                                                                                                                                                                                                                                                                                                                                                   </v>
          </cell>
          <cell r="C900" t="str">
            <v xml:space="preserve">UN    </v>
          </cell>
          <cell r="D900" t="str">
            <v>CR</v>
          </cell>
          <cell r="E900" t="str">
            <v>2.640,80</v>
          </cell>
        </row>
        <row r="901">
          <cell r="A901">
            <v>11251</v>
          </cell>
          <cell r="B901" t="str">
            <v xml:space="preserve">CAIXA DE PASSAGEM/ LUZ / TELEFONIA, DE EMBUTIR,  EM CHAPA DE ACO GALVANIZADO, DIMENSOES 40 X 40 X *12* CM (PADRAO CONCESSIONARIA LOCAL)                                                                                                                                                                                                                                                                                                                                                                   </v>
          </cell>
          <cell r="C901" t="str">
            <v xml:space="preserve">UN    </v>
          </cell>
          <cell r="D901" t="str">
            <v>CR</v>
          </cell>
          <cell r="E901" t="str">
            <v>128,92</v>
          </cell>
        </row>
        <row r="902">
          <cell r="A902">
            <v>11253</v>
          </cell>
          <cell r="B902" t="str">
            <v xml:space="preserve">CAIXA DE PASSAGEM/ LUZ / TELEFONIA, DE EMBUTIR,  EM CHAPA DE ACO GALVANIZADO, DIMENSOES 60 X 60 X *12* CM (PADRAO CONCESSIONARIA LOCAL)                                                                                                                                                                                                                                                                                                                                                                   </v>
          </cell>
          <cell r="C902" t="str">
            <v xml:space="preserve">UN    </v>
          </cell>
          <cell r="D902" t="str">
            <v>CR</v>
          </cell>
          <cell r="E902" t="str">
            <v>213,63</v>
          </cell>
        </row>
        <row r="903">
          <cell r="A903">
            <v>11255</v>
          </cell>
          <cell r="B903" t="str">
            <v xml:space="preserve">CAIXA DE PASSAGEM/ LUZ / TELEFONIA, DE EMBUTIR,  EM CHAPA DE ACO GALVANIZADO, DIMENSOES 80 X 80 X *12* CM (PADRAO CONCESSIONARIA LOCAL)                                                                                                                                                                                                                                                                                                                                                                   </v>
          </cell>
          <cell r="C903" t="str">
            <v xml:space="preserve">UN    </v>
          </cell>
          <cell r="D903" t="str">
            <v>CR</v>
          </cell>
          <cell r="E903" t="str">
            <v>319,38</v>
          </cell>
        </row>
        <row r="904">
          <cell r="A904">
            <v>14055</v>
          </cell>
          <cell r="B904" t="str">
            <v xml:space="preserve">CAIXA DE PASSAGEM/ LUZ / TELEFONIA, DE EMBUTIR, EM CHAPA DE ACO GALVANIZADO, DIMENSOES 120 X 120 X *12* CM (PADRAO CONCESSIONARIA LOCAL)                                                                                                                                                                                                                                                                                                                                                                  </v>
          </cell>
          <cell r="C904" t="str">
            <v xml:space="preserve">UN    </v>
          </cell>
          <cell r="D904" t="str">
            <v>CR</v>
          </cell>
          <cell r="E904" t="str">
            <v>642,49</v>
          </cell>
        </row>
        <row r="905">
          <cell r="A905">
            <v>11256</v>
          </cell>
          <cell r="B905" t="str">
            <v xml:space="preserve">CAIXA DE PASSAGEM/ LUZ / TELEFONIA, DE SOBREPOR,  EM CHAPA DE ACO GALVANIZADO, DIMENSOES 80 X 80 X *12* CM (PADRAO CONCESSIONARIA LOCAL)                                                                                                                                                                                                                                                                                                                                                                  </v>
          </cell>
          <cell r="C905" t="str">
            <v xml:space="preserve">UN    </v>
          </cell>
          <cell r="D905" t="str">
            <v>CR</v>
          </cell>
          <cell r="E905" t="str">
            <v>400,06</v>
          </cell>
        </row>
        <row r="906">
          <cell r="A906">
            <v>1872</v>
          </cell>
          <cell r="B906" t="str">
            <v xml:space="preserve">CAIXA DE PASSAGEM, EM PVC, DE 4" X 2", PARA ELETRODUTO FLEXIVEL CORRUGADO                                                                                                                                                                                                                                                                                                                                                                                                                                 </v>
          </cell>
          <cell r="C906" t="str">
            <v xml:space="preserve">UN    </v>
          </cell>
          <cell r="D906" t="str">
            <v>CR</v>
          </cell>
          <cell r="E906" t="str">
            <v>2,26</v>
          </cell>
        </row>
        <row r="907">
          <cell r="A907">
            <v>1873</v>
          </cell>
          <cell r="B907" t="str">
            <v xml:space="preserve">CAIXA DE PASSAGEM, EM PVC, DE 4" X 4", PARA ELETRODUTO FLEXIVEL CORRUGADO                                                                                                                                                                                                                                                                                                                                                                                                                                 </v>
          </cell>
          <cell r="C907" t="str">
            <v xml:space="preserve">UN    </v>
          </cell>
          <cell r="D907" t="str">
            <v>CR</v>
          </cell>
          <cell r="E907" t="str">
            <v>4,50</v>
          </cell>
        </row>
        <row r="908">
          <cell r="A908">
            <v>39693</v>
          </cell>
          <cell r="B908" t="str">
            <v xml:space="preserve">CAIXA DE PROTECAO EXTERNA PARA MEDIDOR HOROSAZONAL, DE BAIXA TENSAO, COM MODULO, EM CHAPA DE ACO (PADRAO DA CONCESSIONARIA LOCAL)                                                                                                                                                                                                                                                                                                                                                                         </v>
          </cell>
          <cell r="C908" t="str">
            <v xml:space="preserve">UN    </v>
          </cell>
          <cell r="D908" t="str">
            <v>CR</v>
          </cell>
          <cell r="E908" t="str">
            <v>2.512,56</v>
          </cell>
        </row>
        <row r="909">
          <cell r="A909">
            <v>39692</v>
          </cell>
          <cell r="B909" t="str">
            <v xml:space="preserve">CAIXA DE PROTECAO PARA TRANSFORMADOR CORRENTE, EM CHAPA DE ACO 18 USG (PADRAO DA CONCESSIONARIA LOCAL)                                                                                                                                                                                                                                                                                                                                                                                                    </v>
          </cell>
          <cell r="C909" t="str">
            <v xml:space="preserve">UN    </v>
          </cell>
          <cell r="D909" t="str">
            <v>CR</v>
          </cell>
          <cell r="E909" t="str">
            <v>803,96</v>
          </cell>
        </row>
        <row r="910">
          <cell r="A910">
            <v>1062</v>
          </cell>
          <cell r="B910" t="str">
            <v xml:space="preserve">CAIXA INTERNA/EXTERNA DE MEDICAO PARA 1 MEDIDOR TRIFASICO, COM VISOR, EM CHAPA DE ACO 18 USG (PADRAO DA CONCESSIONARIA LOCAL)                                                                                                                                                                                                                                                                                                                                                                             </v>
          </cell>
          <cell r="C910" t="str">
            <v xml:space="preserve">UN    </v>
          </cell>
          <cell r="D910" t="str">
            <v>CR</v>
          </cell>
          <cell r="E910" t="str">
            <v>254,79</v>
          </cell>
        </row>
        <row r="911">
          <cell r="A911">
            <v>39686</v>
          </cell>
          <cell r="B911" t="str">
            <v xml:space="preserve">CAIXA INTERNA/EXTERNA DE MEDICAO PARA 4 MEDIDORES MONOFASICOS, COM VISOR, EM CHAPA DE ACO 18 USG (PADRAO DA CONCESSIONARIA LOCAL)                                                                                                                                                                                                                                                                                                                                                                         </v>
          </cell>
          <cell r="C911" t="str">
            <v xml:space="preserve">UN    </v>
          </cell>
          <cell r="D911" t="str">
            <v>CR</v>
          </cell>
          <cell r="E911" t="str">
            <v>412,56</v>
          </cell>
        </row>
        <row r="912">
          <cell r="A912">
            <v>43095</v>
          </cell>
          <cell r="B912" t="str">
            <v xml:space="preserve">CAIXA MODULAR PARA MEDIDOR DE ENERGIA AGRUPADA, EM POLICARBONATO /  TERMOPLASTICO, COM SUPORTE PARA DISJUNTOR (PADRAO DA CONCESSIONARIA LOCAL)                                                                                                                                                                                                                                                                                                                                                            </v>
          </cell>
          <cell r="C912" t="str">
            <v xml:space="preserve">UN    </v>
          </cell>
          <cell r="D912" t="str">
            <v>CR</v>
          </cell>
          <cell r="E912" t="str">
            <v>143,30</v>
          </cell>
        </row>
        <row r="913">
          <cell r="A913">
            <v>1871</v>
          </cell>
          <cell r="B913" t="str">
            <v xml:space="preserve">CAIXA OCTOGONAL DE FUNDO MOVEL, EM PVC, DE 3" X 3", PARA ELETRODUTO FLEXIVEL CORRUGADO                                                                                                                                                                                                                                                                                                                                                                                                                    </v>
          </cell>
          <cell r="C913" t="str">
            <v xml:space="preserve">UN    </v>
          </cell>
          <cell r="D913" t="str">
            <v>CR</v>
          </cell>
          <cell r="E913" t="str">
            <v>4,05</v>
          </cell>
        </row>
        <row r="914">
          <cell r="A914">
            <v>12001</v>
          </cell>
          <cell r="B914" t="str">
            <v xml:space="preserve">CAIXA OCTOGONAL DE FUNDO MOVEL, EM PVC, DE 4" X 4", PARA ELETRODUTO FLEXIVEL CORRUGADO                                                                                                                                                                                                                                                                                                                                                                                                                    </v>
          </cell>
          <cell r="C914" t="str">
            <v xml:space="preserve">UN    </v>
          </cell>
          <cell r="D914" t="str">
            <v>CR</v>
          </cell>
          <cell r="E914" t="str">
            <v>5,85</v>
          </cell>
        </row>
        <row r="915">
          <cell r="A915">
            <v>11882</v>
          </cell>
          <cell r="B915" t="str">
            <v xml:space="preserve">CAIXA PARA HIDROMETRO CONCRETO PRE MOLDADO, *0,24 M X 0,45 M X 0,30* M (L X C X A)                                                                                                                                                                                                                                                                                                                                                                                                                        </v>
          </cell>
          <cell r="C915" t="str">
            <v xml:space="preserve">UN    </v>
          </cell>
          <cell r="D915" t="str">
            <v>CR</v>
          </cell>
          <cell r="E915" t="str">
            <v>125,41</v>
          </cell>
        </row>
        <row r="916">
          <cell r="A916">
            <v>1068</v>
          </cell>
          <cell r="B916" t="str">
            <v xml:space="preserve">CAIXA PARA MEDICAO COLETIVA TIPO L, PADRAO BIFASICO OU TRIFASICO, PARA ATE 4 MEDIDORES, SEM BARRAMENTO E COM PORTAS INFERIOR E SUPERIOR                                                                                                                                                                                                                                                                                                                                                                   </v>
          </cell>
          <cell r="C916" t="str">
            <v xml:space="preserve">UN    </v>
          </cell>
          <cell r="D916" t="str">
            <v>CR</v>
          </cell>
          <cell r="E916" t="str">
            <v>1.680,60</v>
          </cell>
        </row>
        <row r="917">
          <cell r="A917">
            <v>39690</v>
          </cell>
          <cell r="B917" t="str">
            <v xml:space="preserve">CAIXA PARA MEDICAO COLETIVA TIPO M, PADRAO BIFASICO OU TRIFASICO, PARA ATE 8 MEDIDORES, SEM BARRAMENTO E COM PORTAS INFERIOR E SUPERIOR                                                                                                                                                                                                                                                                                                                                                                   </v>
          </cell>
          <cell r="C917" t="str">
            <v xml:space="preserve">UN    </v>
          </cell>
          <cell r="D917" t="str">
            <v>CR</v>
          </cell>
          <cell r="E917" t="str">
            <v>2.819,49</v>
          </cell>
        </row>
        <row r="918">
          <cell r="A918">
            <v>39691</v>
          </cell>
          <cell r="B918" t="str">
            <v xml:space="preserve">CAIXA PARA MEDICAO COLETIVA TIPO N, PADRAO BIFASICO OU TRIFASICO, PARA ATE 12 MEDIDORES, SEM BARRAMENTO E COM PORTAS INFERIOR E SUPERIOR                                                                                                                                                                                                                                                                                                                                                                  </v>
          </cell>
          <cell r="C918" t="str">
            <v xml:space="preserve">UN    </v>
          </cell>
          <cell r="D918" t="str">
            <v>CR</v>
          </cell>
          <cell r="E918" t="str">
            <v>3.546,13</v>
          </cell>
        </row>
        <row r="919">
          <cell r="A919">
            <v>39808</v>
          </cell>
          <cell r="B919" t="str">
            <v xml:space="preserve">CAIXA PARA MEDIDOR MONOFASICO, EM POLICARBONATO / TERMOPLASTICO, PARA ALOJAR 1 DISJUNTOR (PADRAO DA CONCESSIONARIA LOCAL)                                                                                                                                                                                                                                                                                                                                                                                 </v>
          </cell>
          <cell r="C919" t="str">
            <v xml:space="preserve">UN    </v>
          </cell>
          <cell r="D919" t="str">
            <v>CR</v>
          </cell>
          <cell r="E919" t="str">
            <v>74,81</v>
          </cell>
        </row>
        <row r="920">
          <cell r="A920">
            <v>39809</v>
          </cell>
          <cell r="B920" t="str">
            <v xml:space="preserve">CAIXA PARA MEDIDOR POLIFASICO, EM POLICARBONATO / TERMOPLASTICO, PARA ALOJAR 1 DISJUNTOR (PADRAO DA CONCESSIONARIA LOCAL)                                                                                                                                                                                                                                                                                                                                                                                 </v>
          </cell>
          <cell r="C920" t="str">
            <v xml:space="preserve">UN    </v>
          </cell>
          <cell r="D920" t="str">
            <v>CR</v>
          </cell>
          <cell r="E920" t="str">
            <v>177,45</v>
          </cell>
        </row>
        <row r="921">
          <cell r="A921">
            <v>43439</v>
          </cell>
          <cell r="B921" t="str">
            <v xml:space="preserve">CAIXA PRE-MOLDADA PARA BOCA DE LOBO, EM CONCRETO ARMADO, COM FCK DE 25 MPA, COM DIMENSOES 1,10 X 0,65 X 1,00 M (COMPRIMENTO X LARGURA X ALTURA)                                                                                                                                                                                                                                                                                                                                                           </v>
          </cell>
          <cell r="C921" t="str">
            <v xml:space="preserve">UN    </v>
          </cell>
          <cell r="D921" t="str">
            <v>CR</v>
          </cell>
          <cell r="E921" t="str">
            <v>575,69</v>
          </cell>
        </row>
        <row r="922">
          <cell r="A922">
            <v>5103</v>
          </cell>
          <cell r="B922" t="str">
            <v xml:space="preserve">CAIXA SIFONADA PVC, 100 X 100 X 50 MM, COM GRELHA REDONDA, BRANCA                                                                                                                                                                                                                                                                                                                                                                                                                                         </v>
          </cell>
          <cell r="C922" t="str">
            <v xml:space="preserve">UN    </v>
          </cell>
          <cell r="D922" t="str">
            <v>CR</v>
          </cell>
          <cell r="E922" t="str">
            <v>25,65</v>
          </cell>
        </row>
        <row r="923">
          <cell r="A923">
            <v>11880</v>
          </cell>
          <cell r="B923" t="str">
            <v xml:space="preserve">CAIXA SIFONADA PVC, 250 X 230 X 75 MM, COM TAMPA CEGA QUADRADA, BRANCA                                                                                                                                                                                                                                                                                                                                                                                                                                    </v>
          </cell>
          <cell r="C923" t="str">
            <v xml:space="preserve">UN    </v>
          </cell>
          <cell r="D923" t="str">
            <v>CR</v>
          </cell>
          <cell r="E923" t="str">
            <v>107,88</v>
          </cell>
        </row>
        <row r="924">
          <cell r="A924">
            <v>11714</v>
          </cell>
          <cell r="B924" t="str">
            <v xml:space="preserve">CAIXA SIFONADA, PVC, 150 X *185* X 75 MM, COM GRELHA QUADRADA, BRANCA                                                                                                                                                                                                                                                                                                                                                                                                                                     </v>
          </cell>
          <cell r="C924" t="str">
            <v xml:space="preserve">UN    </v>
          </cell>
          <cell r="D924" t="str">
            <v>CR</v>
          </cell>
          <cell r="E924" t="str">
            <v>73,49</v>
          </cell>
        </row>
        <row r="925">
          <cell r="A925">
            <v>11712</v>
          </cell>
          <cell r="B925" t="str">
            <v xml:space="preserve">CAIXA SIFONADA, PVC, 150 X 150 X 50 MM, COM GRELHA QUADRADA, BRANCA (NBR 5688)                                                                                                                                                                                                                                                                                                                                                                                                                            </v>
          </cell>
          <cell r="C925" t="str">
            <v xml:space="preserve">UN    </v>
          </cell>
          <cell r="D925" t="str">
            <v xml:space="preserve">C </v>
          </cell>
          <cell r="E925" t="str">
            <v>47,99</v>
          </cell>
        </row>
        <row r="926">
          <cell r="A926">
            <v>11717</v>
          </cell>
          <cell r="B926" t="str">
            <v xml:space="preserve">CAIXA SIFONADA, PVC, 150 X 150 X 50 MM, COM GRELHA REDONDA, BRANCA                                                                                                                                                                                                                                                                                                                                                                                                                                        </v>
          </cell>
          <cell r="C926" t="str">
            <v xml:space="preserve">UN    </v>
          </cell>
          <cell r="D926" t="str">
            <v>CR</v>
          </cell>
          <cell r="E926" t="str">
            <v>57,85</v>
          </cell>
        </row>
        <row r="927">
          <cell r="A927">
            <v>1106</v>
          </cell>
          <cell r="B927" t="str">
            <v xml:space="preserve">CAL HIDRATADA CH-I PARA ARGAMASSAS                                                                                                                                                                                                                                                                                                                                                                                                                                                                        </v>
          </cell>
          <cell r="C927" t="str">
            <v xml:space="preserve">KG    </v>
          </cell>
          <cell r="D927" t="str">
            <v xml:space="preserve">C </v>
          </cell>
          <cell r="E927" t="str">
            <v>0,87</v>
          </cell>
        </row>
        <row r="928">
          <cell r="A928">
            <v>11161</v>
          </cell>
          <cell r="B928" t="str">
            <v xml:space="preserve">CAL HIDRATADA PARA PINTURA                                                                                                                                                                                                                                                                                                                                                                                                                                                                                </v>
          </cell>
          <cell r="C928" t="str">
            <v xml:space="preserve">KG    </v>
          </cell>
          <cell r="D928" t="str">
            <v>CR</v>
          </cell>
          <cell r="E928" t="str">
            <v>1,45</v>
          </cell>
        </row>
        <row r="929">
          <cell r="A929">
            <v>1107</v>
          </cell>
          <cell r="B929" t="str">
            <v xml:space="preserve">CAL VIRGEM COMUM PARA ARGAMASSAS (NBR 6453)                                                                                                                                                                                                                                                                                                                                                                                                                                                               </v>
          </cell>
          <cell r="C929" t="str">
            <v xml:space="preserve">KG    </v>
          </cell>
          <cell r="D929" t="str">
            <v>CR</v>
          </cell>
          <cell r="E929" t="str">
            <v>0,74</v>
          </cell>
        </row>
        <row r="930">
          <cell r="A930">
            <v>44479</v>
          </cell>
          <cell r="B930" t="str">
            <v xml:space="preserve">CALCARIO DOLOMITICO A (POSTO PEDREIRA/FORNECEDOR,  SEM FRETE)                                                                                                                                                                                                                                                                                                                                                                                                                                             </v>
          </cell>
          <cell r="C930" t="str">
            <v xml:space="preserve">KG    </v>
          </cell>
          <cell r="D930" t="str">
            <v>CR</v>
          </cell>
          <cell r="E930" t="str">
            <v>0,10</v>
          </cell>
        </row>
        <row r="931">
          <cell r="A931">
            <v>4759</v>
          </cell>
          <cell r="B931" t="str">
            <v xml:space="preserve">CALCETEIRO / RASTELEIRO (HORISTA)                                                                                                                                                                                                                                                                                                                                                                                                                                                                         </v>
          </cell>
          <cell r="C931" t="str">
            <v xml:space="preserve">H     </v>
          </cell>
          <cell r="D931" t="str">
            <v>CR</v>
          </cell>
          <cell r="E931" t="str">
            <v>23,53</v>
          </cell>
        </row>
        <row r="932">
          <cell r="A932">
            <v>41068</v>
          </cell>
          <cell r="B932" t="str">
            <v xml:space="preserve">CALCETEIRO / RASTELEIRO (MENSALISTA)                                                                                                                                                                                                                                                                                                                                                                                                                                                                      </v>
          </cell>
          <cell r="C932" t="str">
            <v xml:space="preserve">MES   </v>
          </cell>
          <cell r="D932" t="str">
            <v>CR</v>
          </cell>
          <cell r="E932" t="str">
            <v>4.122,89</v>
          </cell>
        </row>
        <row r="933">
          <cell r="A933">
            <v>12618</v>
          </cell>
          <cell r="B933" t="str">
            <v xml:space="preserve">CALHA / PERFIL PLUVIAL DE PVC, DIAMETRO ENTRE *119 E 170* MM, COMPRIMENTO DE 3 M, PARA DRENAGEM PLUVIAL PREDIAL                                                                                                                                                                                                                                                                                                                                                                                           </v>
          </cell>
          <cell r="C933" t="str">
            <v xml:space="preserve">UN    </v>
          </cell>
          <cell r="D933" t="str">
            <v>CR</v>
          </cell>
          <cell r="E933" t="str">
            <v>164,58</v>
          </cell>
        </row>
        <row r="934">
          <cell r="A934">
            <v>1108</v>
          </cell>
          <cell r="B934" t="str">
            <v xml:space="preserve">CALHA MOLDURA AMERICANA DE CHAPA DE ACO GALVANIZADA NUM 26, CORTE 33 CM                                                                                                                                                                                                                                                                                                                                                                                                                                   </v>
          </cell>
          <cell r="C934" t="str">
            <v xml:space="preserve">M     </v>
          </cell>
          <cell r="D934" t="str">
            <v>CR</v>
          </cell>
          <cell r="E934" t="str">
            <v>27,40</v>
          </cell>
        </row>
        <row r="935">
          <cell r="A935">
            <v>1117</v>
          </cell>
          <cell r="B935" t="str">
            <v xml:space="preserve">CALHA PARA AGUA FURTADA DE CHAPA DE ACO GALVANIZADA NUM 26, CORTE 40 CM                                                                                                                                                                                                                                                                                                                                                                                                                                   </v>
          </cell>
          <cell r="C935" t="str">
            <v xml:space="preserve">M     </v>
          </cell>
          <cell r="D935" t="str">
            <v>CR</v>
          </cell>
          <cell r="E935" t="str">
            <v>27,62</v>
          </cell>
        </row>
        <row r="936">
          <cell r="A936">
            <v>1118</v>
          </cell>
          <cell r="B936" t="str">
            <v xml:space="preserve">CALHA PARA AGUA FURTADA DE CHAPA DE ACO GALVANIZADA NUM 26, CORTE 50 CM                                                                                                                                                                                                                                                                                                                                                                                                                                   </v>
          </cell>
          <cell r="C936" t="str">
            <v xml:space="preserve">M     </v>
          </cell>
          <cell r="D936" t="str">
            <v>CR</v>
          </cell>
          <cell r="E936" t="str">
            <v>32,64</v>
          </cell>
        </row>
        <row r="937">
          <cell r="A937">
            <v>1110</v>
          </cell>
          <cell r="B937" t="str">
            <v xml:space="preserve">CALHA PLATIBANDA DE CHAPA DE ACO GALVANIZADA NUM 26, CORTE 45 CM                                                                                                                                                                                                                                                                                                                                                                                                                                          </v>
          </cell>
          <cell r="C937" t="str">
            <v xml:space="preserve">M     </v>
          </cell>
          <cell r="D937" t="str">
            <v>CR</v>
          </cell>
          <cell r="E937" t="str">
            <v>32,64</v>
          </cell>
        </row>
        <row r="938">
          <cell r="A938">
            <v>40784</v>
          </cell>
          <cell r="B938" t="str">
            <v xml:space="preserve">CALHA QUADRADA DE CHAPA DE ACO GALVANIZADA NUM 24, CORTE 100 CM                                                                                                                                                                                                                                                                                                                                                                                                                                           </v>
          </cell>
          <cell r="C938" t="str">
            <v xml:space="preserve">M     </v>
          </cell>
          <cell r="D938" t="str">
            <v>CR</v>
          </cell>
          <cell r="E938" t="str">
            <v>90,05</v>
          </cell>
        </row>
        <row r="939">
          <cell r="A939">
            <v>40782</v>
          </cell>
          <cell r="B939" t="str">
            <v xml:space="preserve">CALHA QUADRADA DE CHAPA DE ACO GALVANIZADA NUM 24, CORTE 33 CM                                                                                                                                                                                                                                                                                                                                                                                                                                            </v>
          </cell>
          <cell r="C939" t="str">
            <v xml:space="preserve">M     </v>
          </cell>
          <cell r="D939" t="str">
            <v>CR</v>
          </cell>
          <cell r="E939" t="str">
            <v>35,33</v>
          </cell>
        </row>
        <row r="940">
          <cell r="A940">
            <v>40783</v>
          </cell>
          <cell r="B940" t="str">
            <v xml:space="preserve">CALHA QUADRADA DE CHAPA DE ACO GALVANIZADA NUM 24, CORTE 50 CM                                                                                                                                                                                                                                                                                                                                                                                                                                            </v>
          </cell>
          <cell r="C940" t="str">
            <v xml:space="preserve">M     </v>
          </cell>
          <cell r="D940" t="str">
            <v>CR</v>
          </cell>
          <cell r="E940" t="str">
            <v>46,03</v>
          </cell>
        </row>
        <row r="941">
          <cell r="A941">
            <v>1109</v>
          </cell>
          <cell r="B941" t="str">
            <v xml:space="preserve">CALHA QUADRADA DE CHAPA DE ACO GALVANIZADA NUM 26, CORTE 33 CM                                                                                                                                                                                                                                                                                                                                                                                                                                            </v>
          </cell>
          <cell r="C941" t="str">
            <v xml:space="preserve">M     </v>
          </cell>
          <cell r="D941" t="str">
            <v>CR</v>
          </cell>
          <cell r="E941" t="str">
            <v>27,40</v>
          </cell>
        </row>
        <row r="942">
          <cell r="A942">
            <v>1119</v>
          </cell>
          <cell r="B942" t="str">
            <v xml:space="preserve">CALHA QUADRADA DE CHAPA DE ACO GALVANIZADA NUM 28, CORTE 25 CM                                                                                                                                                                                                                                                                                                                                                                                                                                            </v>
          </cell>
          <cell r="C942" t="str">
            <v xml:space="preserve">M     </v>
          </cell>
          <cell r="D942" t="str">
            <v>CR</v>
          </cell>
          <cell r="E942" t="str">
            <v>17,66</v>
          </cell>
        </row>
        <row r="943">
          <cell r="A943">
            <v>13115</v>
          </cell>
          <cell r="B943" t="str">
            <v xml:space="preserve">CALHA/CANALETA DE CONCRETO SIMPLES, TIPO MEIA CANA, DIAMETRO DE 20 CM, PARA AGUA PLUVIAL                                                                                                                                                                                                                                                                                                                                                                                                                  </v>
          </cell>
          <cell r="C943" t="str">
            <v xml:space="preserve">M     </v>
          </cell>
          <cell r="D943" t="str">
            <v>CR</v>
          </cell>
          <cell r="E943" t="str">
            <v>25,13</v>
          </cell>
        </row>
        <row r="944">
          <cell r="A944">
            <v>10541</v>
          </cell>
          <cell r="B944" t="str">
            <v xml:space="preserve">CALHA/CANALETA DE CONCRETO SIMPLES, TIPO MEIA CANA, DIAMETRO DE 30 CM, PARA AGUA PLUVIAL                                                                                                                                                                                                                                                                                                                                                                                                                  </v>
          </cell>
          <cell r="C944" t="str">
            <v xml:space="preserve">M     </v>
          </cell>
          <cell r="D944" t="str">
            <v>CR</v>
          </cell>
          <cell r="E944" t="str">
            <v>30,71</v>
          </cell>
        </row>
        <row r="945">
          <cell r="A945">
            <v>10542</v>
          </cell>
          <cell r="B945" t="str">
            <v xml:space="preserve">CALHA/CANALETA DE CONCRETO SIMPLES, TIPO MEIA CANA, DIAMETRO DE 40 CM, PARA AGUA PLUVIAL                                                                                                                                                                                                                                                                                                                                                                                                                  </v>
          </cell>
          <cell r="C945" t="str">
            <v xml:space="preserve">M     </v>
          </cell>
          <cell r="D945" t="str">
            <v>CR</v>
          </cell>
          <cell r="E945" t="str">
            <v>40,16</v>
          </cell>
        </row>
        <row r="946">
          <cell r="A946">
            <v>10543</v>
          </cell>
          <cell r="B946" t="str">
            <v xml:space="preserve">CALHA/CANALETA DE CONCRETO SIMPLES, TIPO MEIA CANA, DIAMETRO DE 50 CM, PARA AGUA PLUVIAL                                                                                                                                                                                                                                                                                                                                                                                                                  </v>
          </cell>
          <cell r="C946" t="str">
            <v xml:space="preserve">M     </v>
          </cell>
          <cell r="D946" t="str">
            <v>CR</v>
          </cell>
          <cell r="E946" t="str">
            <v>65,16</v>
          </cell>
        </row>
        <row r="947">
          <cell r="A947">
            <v>10544</v>
          </cell>
          <cell r="B947" t="str">
            <v xml:space="preserve">CALHA/CANALETA DE CONCRETO SIMPLES, TIPO MEIA CANA, DIAMETRO DE 60 CM, PARA AGUA PLUVIAL                                                                                                                                                                                                                                                                                                                                                                                                                  </v>
          </cell>
          <cell r="C947" t="str">
            <v xml:space="preserve">M     </v>
          </cell>
          <cell r="D947" t="str">
            <v>CR</v>
          </cell>
          <cell r="E947" t="str">
            <v>84,28</v>
          </cell>
        </row>
        <row r="948">
          <cell r="A948">
            <v>10545</v>
          </cell>
          <cell r="B948" t="str">
            <v xml:space="preserve">CALHA/CANALETA DE CONCRETO SIMPLES, TIPO MEIA CANA, DIAMETRO DE 80 CM, PARA AGUA PLUVIAL                                                                                                                                                                                                                                                                                                                                                                                                                  </v>
          </cell>
          <cell r="C948" t="str">
            <v xml:space="preserve">M     </v>
          </cell>
          <cell r="D948" t="str">
            <v>CR</v>
          </cell>
          <cell r="E948" t="str">
            <v>157,51</v>
          </cell>
        </row>
        <row r="949">
          <cell r="A949">
            <v>38365</v>
          </cell>
          <cell r="B949" t="str">
            <v xml:space="preserve">CAMADA SEPARADORA DE FILME DE POLIETILENO 20 A 25 MICRA                                                                                                                                                                                                                                                                                                                                                                                                                                                   </v>
          </cell>
          <cell r="C949" t="str">
            <v xml:space="preserve">M2    </v>
          </cell>
          <cell r="D949" t="str">
            <v>CR</v>
          </cell>
          <cell r="E949" t="str">
            <v>2,36</v>
          </cell>
        </row>
        <row r="950">
          <cell r="A950">
            <v>44056</v>
          </cell>
          <cell r="B950" t="str">
            <v xml:space="preserve">CAMINHAO TOCO, PESO BRUTO TOTAL 10700 KG, CARGA UTIL MAXIMA 7400 KG, DISTANCIA ENTRE EIXOS 4,00 M, POTENCIA 175 CV (INCLUI CABINE E CHASSI, NAO INCLUI CARROCERIA)                                                                                                                                                                                                                                                                                                                                        </v>
          </cell>
          <cell r="C950" t="str">
            <v xml:space="preserve">UN    </v>
          </cell>
          <cell r="D950" t="str">
            <v>CR</v>
          </cell>
          <cell r="E950" t="str">
            <v>460.973,89</v>
          </cell>
        </row>
        <row r="951">
          <cell r="A951">
            <v>44057</v>
          </cell>
          <cell r="B951" t="str">
            <v xml:space="preserve">CAMINHAO TOCO, PESO BRUTO TOTAL 13200 KG, CARGA UTIL MAXIMA 9200 KG, DISTANCIA ENTRE EIXOS 3,31 M, POTENCIA 175 CV (INCLUI CABINE E CHASSI, NAO INCLUI CARROCERIA)                                                                                                                                                                                                                                                                                                                                        </v>
          </cell>
          <cell r="C951" t="str">
            <v xml:space="preserve">UN    </v>
          </cell>
          <cell r="D951" t="str">
            <v xml:space="preserve">C </v>
          </cell>
          <cell r="E951" t="str">
            <v>492.001,00</v>
          </cell>
        </row>
        <row r="952">
          <cell r="A952">
            <v>37754</v>
          </cell>
          <cell r="B952" t="str">
            <v xml:space="preserve">CAMINHAO TOCO, PESO BRUTO TOTAL 14300 KG, CARGA UTIL MAXIMA 9480 KG, DISTANCIA ENTRE EIXOS 4,80 M, POTENCIA 185 CV (INCLUI CABINE E CHASSI, NAO INCLUI CARROCERIA)                                                                                                                                                                                                                                                                                                                                        </v>
          </cell>
          <cell r="C952" t="str">
            <v xml:space="preserve">UN    </v>
          </cell>
          <cell r="D952" t="str">
            <v>CR</v>
          </cell>
          <cell r="E952" t="str">
            <v>508.666,99</v>
          </cell>
        </row>
        <row r="953">
          <cell r="A953">
            <v>37757</v>
          </cell>
          <cell r="B953" t="str">
            <v xml:space="preserve">CAMINHAO TOCO, PESO BRUTO TOTAL 16000 KG, CARGA UTIL MAXIMA 10600 KG, DISTANCIA ENTRE EIXOS 4,80 M, POTENCIA 277 CV (INCLUI CABINE E CHASSI, NAO INCLUI CARROCERIA)                                                                                                                                                                                                                                                                                                                                       </v>
          </cell>
          <cell r="C953" t="str">
            <v xml:space="preserve">UN    </v>
          </cell>
          <cell r="D953" t="str">
            <v>CR</v>
          </cell>
          <cell r="E953" t="str">
            <v>567.352,52</v>
          </cell>
        </row>
        <row r="954">
          <cell r="A954">
            <v>44058</v>
          </cell>
          <cell r="B954" t="str">
            <v xml:space="preserve">CAMINHAO TOCO, PESO BRUTO TOTAL 16000 KG, CARGA UTIL MAXIMA 10830 KG, DISTANCIA ENTRE EIXOS 3,56 M, POTENCIA 226 CV (INCLUI CABINE E CHASSI, NAO INCLUI CARROCERIA)                                                                                                                                                                                                                                                                                                                                       </v>
          </cell>
          <cell r="C954" t="str">
            <v xml:space="preserve">UN    </v>
          </cell>
          <cell r="D954" t="str">
            <v>CR</v>
          </cell>
          <cell r="E954" t="str">
            <v>536.325,41</v>
          </cell>
        </row>
        <row r="955">
          <cell r="A955">
            <v>37752</v>
          </cell>
          <cell r="B955" t="str">
            <v xml:space="preserve">CAMINHAO TOCO, PESO BRUTO TOTAL 16000 KG, CARGA UTIL MAXIMA 11030 KG, DISTANCIA ENTRE EIXOS 5,41 M, POTENCIA 185 CV (INCLUI CABINE E CHASSI, NAO INCLUI CARROCERIA)                                                                                                                                                                                                                                                                                                                                       </v>
          </cell>
          <cell r="C955" t="str">
            <v xml:space="preserve">UN    </v>
          </cell>
          <cell r="D955" t="str">
            <v>CR</v>
          </cell>
          <cell r="E955" t="str">
            <v>558.487,60</v>
          </cell>
        </row>
        <row r="956">
          <cell r="A956">
            <v>44059</v>
          </cell>
          <cell r="B956" t="str">
            <v xml:space="preserve">CAMINHAO TOCO, PESO BRUTO TOTAL 8500 KG, CARGA UTIL MAXIMA 5600 KG, DISTANCIA ENTRE EIXOS 3,40 M, POTENCIA 167 CV (INCLUI CABINE E CHASSI, NAO INCLUI CARROCERIA)                                                                                                                                                                                                                                                                                                                                         </v>
          </cell>
          <cell r="C956" t="str">
            <v xml:space="preserve">UN    </v>
          </cell>
          <cell r="D956" t="str">
            <v>CR</v>
          </cell>
          <cell r="E956" t="str">
            <v>441.471,16</v>
          </cell>
        </row>
        <row r="957">
          <cell r="A957">
            <v>37750</v>
          </cell>
          <cell r="B957" t="str">
            <v xml:space="preserve">CAMINHAO TOCO, PESO BRUTO TOTAL 9600 KG, CARGA UTIL MAXIMA 6190 KG, DISTANCIA ENTRE EIXOS 3,70 M, POTENCIA 156 CV (INCLUI CABINE E CHASSI, NAO INCLUI CARROCERIA)                                                                                                                                                                                                                                                                                                                                         </v>
          </cell>
          <cell r="C957" t="str">
            <v xml:space="preserve">UN    </v>
          </cell>
          <cell r="D957" t="str">
            <v>CR</v>
          </cell>
          <cell r="E957" t="str">
            <v>442.357,65</v>
          </cell>
        </row>
        <row r="958">
          <cell r="A958">
            <v>37758</v>
          </cell>
          <cell r="B958" t="str">
            <v xml:space="preserve">CAMINHAO TRUCADO, PESO BRUTO TOTAL 23000 KG, CARGA UTIL MAXIMA 15285 KG, DISTANCIA ENTRE EIXOS 4,80 M, POTENCIA 326 CV (INCLUI CABINE E CHASSI, NAO INCLUI CARROCERIA)                                                                                                                                                                                                                                                                                                                                    </v>
          </cell>
          <cell r="C958" t="str">
            <v xml:space="preserve">UN    </v>
          </cell>
          <cell r="D958" t="str">
            <v>CR</v>
          </cell>
          <cell r="E958" t="str">
            <v>703.871,68</v>
          </cell>
        </row>
        <row r="959">
          <cell r="A959">
            <v>44060</v>
          </cell>
          <cell r="B959" t="str">
            <v xml:space="preserve">CAMINHAO TRUCADO, PESO BRUTO TOTAL 23000 KG, CARGA UTIL MAXIMA 15460 KG, DISTANCIA ENTRE EIXOS 4,80 M, POTENCIA 286 CV (INCLUI CABINE E CHASSI, NAO INCLUI CARROCERIA)                                                                                                                                                                                                                                                                                                                                    </v>
          </cell>
          <cell r="C959" t="str">
            <v xml:space="preserve">UN    </v>
          </cell>
          <cell r="D959" t="str">
            <v>CR</v>
          </cell>
          <cell r="E959" t="str">
            <v>680.823,01</v>
          </cell>
        </row>
        <row r="960">
          <cell r="A960">
            <v>37749</v>
          </cell>
          <cell r="B960" t="str">
            <v xml:space="preserve">CAMINHAO TRUCADO, PESO BRUTO TOTAL 23000 KG, CARGA UTIL MAXIMA 16360 KG, CABINE ESTENDIDA, DISTANCIA ENTRE EIXOS 3,56 M, POTENCIA 277 CV (INCLUI CABINE E CHASSI, NAO INCLUI CARROCERIA)                                                                                                                                                                                                                                                                                                                  </v>
          </cell>
          <cell r="C960" t="str">
            <v xml:space="preserve">UN    </v>
          </cell>
          <cell r="D960" t="str">
            <v>CR</v>
          </cell>
          <cell r="E960" t="str">
            <v>726.920,40</v>
          </cell>
        </row>
        <row r="961">
          <cell r="A961">
            <v>44061</v>
          </cell>
          <cell r="B961" t="str">
            <v xml:space="preserve">CAMINHAO TRUCADO, PESO BRUTO TOTAL 23000 KG, CARGA UTIL MAXIMA 16540 KG, DISTANCIA ENTRE EIXOS 4,80 M, POTENCIA 256 CV (INCLUI CABINE E CHASSI, NAO INCLUI CARROCERIA)                                                                                                                                                                                                                                                                                                                                    </v>
          </cell>
          <cell r="C961" t="str">
            <v xml:space="preserve">UN    </v>
          </cell>
          <cell r="D961" t="str">
            <v>CR</v>
          </cell>
          <cell r="E961" t="str">
            <v>667.525,70</v>
          </cell>
        </row>
        <row r="962">
          <cell r="A962">
            <v>1159</v>
          </cell>
          <cell r="B962" t="str">
            <v xml:space="preserve">CAMINHONETE COM MOTOR A DIESEL, POTENCIA *160* CV, CABINE DUPLA, 4X4                                                                                                                                                                                                                                                                                                                                                                                                                                      </v>
          </cell>
          <cell r="C962" t="str">
            <v xml:space="preserve">UN    </v>
          </cell>
          <cell r="D962" t="str">
            <v xml:space="preserve">C </v>
          </cell>
          <cell r="E962" t="str">
            <v>280.598,33</v>
          </cell>
        </row>
        <row r="963">
          <cell r="A963">
            <v>12114</v>
          </cell>
          <cell r="B963" t="str">
            <v xml:space="preserve">CAMPAINHA ALTA POTENCIA 110V / 220V, DIAMETRO 150 MM                                                                                                                                                                                                                                                                                                                                                                                                                                                      </v>
          </cell>
          <cell r="C963" t="str">
            <v xml:space="preserve">UN    </v>
          </cell>
          <cell r="D963" t="str">
            <v>CR</v>
          </cell>
          <cell r="E963" t="str">
            <v>145,99</v>
          </cell>
        </row>
        <row r="964">
          <cell r="A964">
            <v>38106</v>
          </cell>
          <cell r="B964" t="str">
            <v xml:space="preserve">CAMPAINHA CIGARRA 127 V / 220 V (APENAS MODULO)                                                                                                                                                                                                                                                                                                                                                                                                                                                           </v>
          </cell>
          <cell r="C964" t="str">
            <v xml:space="preserve">UN    </v>
          </cell>
          <cell r="D964" t="str">
            <v>CR</v>
          </cell>
          <cell r="E964" t="str">
            <v>19,84</v>
          </cell>
        </row>
        <row r="965">
          <cell r="A965">
            <v>38085</v>
          </cell>
          <cell r="B965" t="str">
            <v xml:space="preserve">CAMPAINHA CIGARRA 127 V / 220 V, CONJUNTO MONTADO PARA EMBUTIR 4" X 2" (PLACA + SUPORTE + MODULO)                                                                                                                                                                                                                                                                                                                                                                                                         </v>
          </cell>
          <cell r="C965" t="str">
            <v xml:space="preserve">UN    </v>
          </cell>
          <cell r="D965" t="str">
            <v>CR</v>
          </cell>
          <cell r="E965" t="str">
            <v>23,43</v>
          </cell>
        </row>
        <row r="966">
          <cell r="A966">
            <v>38599</v>
          </cell>
          <cell r="B966" t="str">
            <v xml:space="preserve">CANALETA DE CONCRETO ESTRUTURAL 14 X 19 X 29 CM, FBK 14 MPA (NBR 6136)                                                                                                                                                                                                                                                                                                                                                                                                                                    </v>
          </cell>
          <cell r="C966" t="str">
            <v xml:space="preserve">UN    </v>
          </cell>
          <cell r="D966" t="str">
            <v>CR</v>
          </cell>
          <cell r="E966" t="str">
            <v>5,85</v>
          </cell>
        </row>
        <row r="967">
          <cell r="A967">
            <v>38596</v>
          </cell>
          <cell r="B967" t="str">
            <v xml:space="preserve">CANALETA DE CONCRETO ESTRUTURAL 14 X 19 X 29 CM, FBK 4,5 MPA (NBR 6136)                                                                                                                                                                                                                                                                                                                                                                                                                                   </v>
          </cell>
          <cell r="C967" t="str">
            <v xml:space="preserve">UN    </v>
          </cell>
          <cell r="D967" t="str">
            <v>CR</v>
          </cell>
          <cell r="E967" t="str">
            <v>4,85</v>
          </cell>
        </row>
        <row r="968">
          <cell r="A968">
            <v>38600</v>
          </cell>
          <cell r="B968" t="str">
            <v xml:space="preserve">CANALETA DE CONCRETO ESTRUTURAL 14 X 19 X 39 CM, FBK 14 MPA (NBR 6136)                                                                                                                                                                                                                                                                                                                                                                                                                                    </v>
          </cell>
          <cell r="C968" t="str">
            <v xml:space="preserve">UN    </v>
          </cell>
          <cell r="D968" t="str">
            <v>CR</v>
          </cell>
          <cell r="E968" t="str">
            <v>6,20</v>
          </cell>
        </row>
        <row r="969">
          <cell r="A969">
            <v>38597</v>
          </cell>
          <cell r="B969" t="str">
            <v xml:space="preserve">CANALETA DE CONCRETO ESTRUTURAL 14 X 19 X 39 CM, FBK 4,5 MPA (NBR 6136)                                                                                                                                                                                                                                                                                                                                                                                                                                   </v>
          </cell>
          <cell r="C969" t="str">
            <v xml:space="preserve">UN    </v>
          </cell>
          <cell r="D969" t="str">
            <v>CR</v>
          </cell>
          <cell r="E969" t="str">
            <v>4,89</v>
          </cell>
        </row>
        <row r="970">
          <cell r="A970">
            <v>659</v>
          </cell>
          <cell r="B970" t="str">
            <v xml:space="preserve">CANALETA DE CONCRETO 14 X 19 X 19 CM (CLASSE C - NBR 6136)                                                                                                                                                                                                                                                                                                                                                                                                                                                </v>
          </cell>
          <cell r="C970" t="str">
            <v xml:space="preserve">UN    </v>
          </cell>
          <cell r="D970" t="str">
            <v>CR</v>
          </cell>
          <cell r="E970" t="str">
            <v>2,81</v>
          </cell>
        </row>
        <row r="971">
          <cell r="A971">
            <v>660</v>
          </cell>
          <cell r="B971" t="str">
            <v xml:space="preserve">CANALETA DE CONCRETO 19 X 19 X 19 CM (CLASSE C - NBR 6136)                                                                                                                                                                                                                                                                                                                                                                                                                                                </v>
          </cell>
          <cell r="C971" t="str">
            <v xml:space="preserve">UN    </v>
          </cell>
          <cell r="D971" t="str">
            <v>CR</v>
          </cell>
          <cell r="E971" t="str">
            <v>3,37</v>
          </cell>
        </row>
        <row r="972">
          <cell r="A972">
            <v>658</v>
          </cell>
          <cell r="B972" t="str">
            <v xml:space="preserve">CANALETA DE CONCRETO 9 X 19 X 19 CM (CLASSE C - NBR 6136)                                                                                                                                                                                                                                                                                                                                                                                                                                                 </v>
          </cell>
          <cell r="C972" t="str">
            <v xml:space="preserve">UN    </v>
          </cell>
          <cell r="D972" t="str">
            <v>CR</v>
          </cell>
          <cell r="E972" t="str">
            <v>1,90</v>
          </cell>
        </row>
        <row r="973">
          <cell r="A973">
            <v>38548</v>
          </cell>
          <cell r="B973" t="str">
            <v xml:space="preserve">CANALETA ESTRUTURAL CERAMICA, 14 X 19 X 19 CM, 6,0 MPA (NBR 15270)                                                                                                                                                                                                                                                                                                                                                                                                                                        </v>
          </cell>
          <cell r="C973" t="str">
            <v xml:space="preserve">UN    </v>
          </cell>
          <cell r="D973" t="str">
            <v>CR</v>
          </cell>
          <cell r="E973" t="str">
            <v>1,87</v>
          </cell>
        </row>
        <row r="974">
          <cell r="A974">
            <v>34649</v>
          </cell>
          <cell r="B974" t="str">
            <v xml:space="preserve">CANALETA ESTRUTURAL CERAMICA, 14 X 19 X 29 CM, 6,0 MPA (NBR 15270)                                                                                                                                                                                                                                                                                                                                                                                                                                        </v>
          </cell>
          <cell r="C974" t="str">
            <v xml:space="preserve">UN    </v>
          </cell>
          <cell r="D974" t="str">
            <v>CR</v>
          </cell>
          <cell r="E974" t="str">
            <v>2,54</v>
          </cell>
        </row>
        <row r="975">
          <cell r="A975">
            <v>34655</v>
          </cell>
          <cell r="B975" t="str">
            <v xml:space="preserve">CANALETA ESTRUTURAL CERAMICA, 14 X 19 X 39 CM, 6,0 MPA (NBR 15270)                                                                                                                                                                                                                                                                                                                                                                                                                                        </v>
          </cell>
          <cell r="C975" t="str">
            <v xml:space="preserve">UN    </v>
          </cell>
          <cell r="D975" t="str">
            <v>CR</v>
          </cell>
          <cell r="E975" t="str">
            <v>3,37</v>
          </cell>
        </row>
        <row r="976">
          <cell r="A976">
            <v>40607</v>
          </cell>
          <cell r="B976" t="str">
            <v xml:space="preserve">CANOPLA ACABAMENTO CROMADO PARA INSTALACAO DE SPRINKLER, SOB FORRO, 15 MM                                                                                                                                                                                                                                                                                                                                                                                                                                 </v>
          </cell>
          <cell r="C976" t="str">
            <v xml:space="preserve">UN    </v>
          </cell>
          <cell r="D976" t="str">
            <v>CR</v>
          </cell>
          <cell r="E976" t="str">
            <v>3,81</v>
          </cell>
        </row>
        <row r="977">
          <cell r="A977">
            <v>567</v>
          </cell>
          <cell r="B977" t="str">
            <v xml:space="preserve">CANTONEIRA (ABAS IGUAIS) EM ACO CARBONO, 25,4 MM X 3,17 MM (L X E), 1,27KG/M                                                                                                                                                                                                                                                                                                                                                                                                                              </v>
          </cell>
          <cell r="C977" t="str">
            <v xml:space="preserve">M     </v>
          </cell>
          <cell r="D977" t="str">
            <v>CR</v>
          </cell>
          <cell r="E977" t="str">
            <v>10,20</v>
          </cell>
        </row>
        <row r="978">
          <cell r="A978">
            <v>574</v>
          </cell>
          <cell r="B978" t="str">
            <v xml:space="preserve">CANTONEIRA (ABAS IGUAIS) EM ACO CARBONO, 38,1 MM X 3,17 MM (L X E), 3,48 KG/M                                                                                                                                                                                                                                                                                                                                                                                                                             </v>
          </cell>
          <cell r="C978" t="str">
            <v xml:space="preserve">M     </v>
          </cell>
          <cell r="D978" t="str">
            <v>CR</v>
          </cell>
          <cell r="E978" t="str">
            <v>26,80</v>
          </cell>
        </row>
        <row r="979">
          <cell r="A979">
            <v>568</v>
          </cell>
          <cell r="B979" t="str">
            <v xml:space="preserve">CANTONEIRA (ABAS IGUAIS) EM ACO CARBONO, 50,8 MM X 9,53 MM (L X E), 6,99 KG/M                                                                                                                                                                                                                                                                                                                                                                                                                             </v>
          </cell>
          <cell r="C979" t="str">
            <v xml:space="preserve">M     </v>
          </cell>
          <cell r="D979" t="str">
            <v>CR</v>
          </cell>
          <cell r="E979" t="str">
            <v>56,48</v>
          </cell>
        </row>
        <row r="980">
          <cell r="A980">
            <v>4777</v>
          </cell>
          <cell r="B980" t="str">
            <v xml:space="preserve">CANTONEIRA ACO ABAS IGUAIS (QUALQUER BITOLA), ESPESSURA ENTRE 1/8" E 1/4"                                                                                                                                                                                                                                                                                                                                                                                                                                 </v>
          </cell>
          <cell r="C980" t="str">
            <v xml:space="preserve">KG    </v>
          </cell>
          <cell r="D980" t="str">
            <v>CR</v>
          </cell>
          <cell r="E980" t="str">
            <v>8,02</v>
          </cell>
        </row>
        <row r="981">
          <cell r="A981">
            <v>592</v>
          </cell>
          <cell r="B981" t="str">
            <v xml:space="preserve">CANTONEIRA EM ALUMINIO, ABAS IGUAIS, LARGURA DE 25,40 MM (1"), ESPESSURA DE 3,17 MM (1/8") E PESO LINEAR DE APROXIMADAMENTE 0,408 KG/M                                                                                                                                                                                                                                                                                                                                                                    </v>
          </cell>
          <cell r="C981" t="str">
            <v xml:space="preserve">KG    </v>
          </cell>
          <cell r="D981" t="str">
            <v xml:space="preserve">C </v>
          </cell>
          <cell r="E981" t="str">
            <v>31,34</v>
          </cell>
        </row>
        <row r="982">
          <cell r="A982">
            <v>586</v>
          </cell>
          <cell r="B982" t="str">
            <v xml:space="preserve">CANTONEIRA EM ALUMINIO, ABAS IGUAIS, LARGURA DE 25,40 MM (1"), ESPESSURA DE 4,76 MM (3/16") E PESO LINEAR DE APROXIMADAMENTEO 0,593 KG/M                                                                                                                                                                                                                                                                                                                                                                  </v>
          </cell>
          <cell r="C982" t="str">
            <v xml:space="preserve">M     </v>
          </cell>
          <cell r="D982" t="str">
            <v>CR</v>
          </cell>
          <cell r="E982" t="str">
            <v>18,42</v>
          </cell>
        </row>
        <row r="983">
          <cell r="A983">
            <v>588</v>
          </cell>
          <cell r="B983" t="str">
            <v xml:space="preserve">CANTONEIRA EM ALUMINIO, ABAS IGUAIS, LARGURA DE 31,75 MM (1 1/4"), ESPESSURA DE 4,76 MM (3/16") E PESO LINEAR DE APROXIMADAMENTE 0,755 KG/M                                                                                                                                                                                                                                                                                                                                                               </v>
          </cell>
          <cell r="C983" t="str">
            <v xml:space="preserve">M     </v>
          </cell>
          <cell r="D983" t="str">
            <v>CR</v>
          </cell>
          <cell r="E983" t="str">
            <v>29,14</v>
          </cell>
        </row>
        <row r="984">
          <cell r="A984">
            <v>591</v>
          </cell>
          <cell r="B984" t="str">
            <v xml:space="preserve">CANTONEIRA EM ALUMINIO, ABAS IGUAIS, LARGURA DE 38,10 MM (1 1/2"), ESPESSURA DE 4,76 MM (3/16") E PESO LINEAR DE APROXIMADAMENTE 0,915 KG/M                                                                                                                                                                                                                                                                                                                                                               </v>
          </cell>
          <cell r="C984" t="str">
            <v xml:space="preserve">KG    </v>
          </cell>
          <cell r="D984" t="str">
            <v>CR</v>
          </cell>
          <cell r="E984" t="str">
            <v>29,25</v>
          </cell>
        </row>
        <row r="985">
          <cell r="A985">
            <v>584</v>
          </cell>
          <cell r="B985" t="str">
            <v xml:space="preserve">CANTONEIRA EM ALUMINIO, ABAS IGUAIS, LARGURA DE 50,80 MM (2") , ESPESSURA DE 3,17 MM (1/8") E PESO LINEAR DE APROXIMADAMENTE 0,842 KG/M                                                                                                                                                                                                                                                                                                                                                                   </v>
          </cell>
          <cell r="C985" t="str">
            <v xml:space="preserve">M     </v>
          </cell>
          <cell r="D985" t="str">
            <v>CR</v>
          </cell>
          <cell r="E985" t="str">
            <v>31,13</v>
          </cell>
        </row>
        <row r="986">
          <cell r="A986">
            <v>589</v>
          </cell>
          <cell r="B986" t="str">
            <v xml:space="preserve">CANTONEIRA EM ALUMINIO, ABAS IGUAIS, LARGURA DE 50,80 MM (2"), ESPESSURA DE 6,35 MM (1/4") E PESO LINEAR DE APROXIMADAMENTE 1,630 KG/M                                                                                                                                                                                                                                                                                                                                                                    </v>
          </cell>
          <cell r="C986" t="str">
            <v xml:space="preserve">M     </v>
          </cell>
          <cell r="D986" t="str">
            <v>CR</v>
          </cell>
          <cell r="E986" t="str">
            <v>49,26</v>
          </cell>
        </row>
        <row r="987">
          <cell r="A987">
            <v>1165</v>
          </cell>
          <cell r="B987" t="str">
            <v xml:space="preserve">CAP OU TAMPAO DE FERRO GALVANIZADO, COM ROSCA BSP, DE 1 1/2"                                                                                                                                                                                                                                                                                                                                                                                                                                              </v>
          </cell>
          <cell r="C987" t="str">
            <v xml:space="preserve">UN    </v>
          </cell>
          <cell r="D987" t="str">
            <v>CR</v>
          </cell>
          <cell r="E987" t="str">
            <v>21,42</v>
          </cell>
        </row>
        <row r="988">
          <cell r="A988">
            <v>1164</v>
          </cell>
          <cell r="B988" t="str">
            <v xml:space="preserve">CAP OU TAMPAO DE FERRO GALVANIZADO, COM ROSCA BSP, DE 1 1/4"                                                                                                                                                                                                                                                                                                                                                                                                                                              </v>
          </cell>
          <cell r="C988" t="str">
            <v xml:space="preserve">UN    </v>
          </cell>
          <cell r="D988" t="str">
            <v>CR</v>
          </cell>
          <cell r="E988" t="str">
            <v>17,35</v>
          </cell>
        </row>
        <row r="989">
          <cell r="A989">
            <v>1162</v>
          </cell>
          <cell r="B989" t="str">
            <v xml:space="preserve">CAP OU TAMPAO DE FERRO GALVANIZADO, COM ROSCA BSP, DE 1/2"                                                                                                                                                                                                                                                                                                                                                                                                                                                </v>
          </cell>
          <cell r="C989" t="str">
            <v xml:space="preserve">UN    </v>
          </cell>
          <cell r="D989" t="str">
            <v>CR</v>
          </cell>
          <cell r="E989" t="str">
            <v>6,03</v>
          </cell>
        </row>
        <row r="990">
          <cell r="A990">
            <v>12395</v>
          </cell>
          <cell r="B990" t="str">
            <v xml:space="preserve">CAP OU TAMPAO DE FERRO GALVANIZADO, COM ROSCA BSP, DE 1/4"                                                                                                                                                                                                                                                                                                                                                                                                                                                </v>
          </cell>
          <cell r="C990" t="str">
            <v xml:space="preserve">UN    </v>
          </cell>
          <cell r="D990" t="str">
            <v>CR</v>
          </cell>
          <cell r="E990" t="str">
            <v>5,86</v>
          </cell>
        </row>
        <row r="991">
          <cell r="A991">
            <v>1170</v>
          </cell>
          <cell r="B991" t="str">
            <v xml:space="preserve">CAP OU TAMPAO DE FERRO GALVANIZADO, COM ROSCA BSP, DE 1"                                                                                                                                                                                                                                                                                                                                                                                                                                                  </v>
          </cell>
          <cell r="C991" t="str">
            <v xml:space="preserve">UN    </v>
          </cell>
          <cell r="D991" t="str">
            <v>CR</v>
          </cell>
          <cell r="E991" t="str">
            <v>11,37</v>
          </cell>
        </row>
        <row r="992">
          <cell r="A992">
            <v>1169</v>
          </cell>
          <cell r="B992" t="str">
            <v xml:space="preserve">CAP OU TAMPAO DE FERRO GALVANIZADO, COM ROSCA BSP, DE 2 1/2"                                                                                                                                                                                                                                                                                                                                                                                                                                              </v>
          </cell>
          <cell r="C992" t="str">
            <v xml:space="preserve">UN    </v>
          </cell>
          <cell r="D992" t="str">
            <v>CR</v>
          </cell>
          <cell r="E992" t="str">
            <v>55,80</v>
          </cell>
        </row>
        <row r="993">
          <cell r="A993">
            <v>1166</v>
          </cell>
          <cell r="B993" t="str">
            <v xml:space="preserve">CAP OU TAMPAO DE FERRO GALVANIZADO, COM ROSCA BSP, DE 2"                                                                                                                                                                                                                                                                                                                                                                                                                                                  </v>
          </cell>
          <cell r="C993" t="str">
            <v xml:space="preserve">UN    </v>
          </cell>
          <cell r="D993" t="str">
            <v>CR</v>
          </cell>
          <cell r="E993" t="str">
            <v>30,94</v>
          </cell>
        </row>
        <row r="994">
          <cell r="A994">
            <v>1163</v>
          </cell>
          <cell r="B994" t="str">
            <v xml:space="preserve">CAP OU TAMPAO DE FERRO GALVANIZADO, COM ROSCA BSP, DE 3/4"                                                                                                                                                                                                                                                                                                                                                                                                                                                </v>
          </cell>
          <cell r="C994" t="str">
            <v xml:space="preserve">UN    </v>
          </cell>
          <cell r="D994" t="str">
            <v>CR</v>
          </cell>
          <cell r="E994" t="str">
            <v>7,80</v>
          </cell>
        </row>
        <row r="995">
          <cell r="A995">
            <v>12396</v>
          </cell>
          <cell r="B995" t="str">
            <v xml:space="preserve">CAP OU TAMPAO DE FERRO GALVANIZADO, COM ROSCA BSP, DE 3/8"                                                                                                                                                                                                                                                                                                                                                                                                                                                </v>
          </cell>
          <cell r="C995" t="str">
            <v xml:space="preserve">UN    </v>
          </cell>
          <cell r="D995" t="str">
            <v>CR</v>
          </cell>
          <cell r="E995" t="str">
            <v>5,86</v>
          </cell>
        </row>
        <row r="996">
          <cell r="A996">
            <v>1168</v>
          </cell>
          <cell r="B996" t="str">
            <v xml:space="preserve">CAP OU TAMPAO DE FERRO GALVANIZADO, COM ROSCA BSP, DE 3"                                                                                                                                                                                                                                                                                                                                                                                                                                                  </v>
          </cell>
          <cell r="C996" t="str">
            <v xml:space="preserve">UN    </v>
          </cell>
          <cell r="D996" t="str">
            <v>CR</v>
          </cell>
          <cell r="E996" t="str">
            <v>79,55</v>
          </cell>
        </row>
        <row r="997">
          <cell r="A997">
            <v>1167</v>
          </cell>
          <cell r="B997" t="str">
            <v xml:space="preserve">CAP OU TAMPAO DE FERRO GALVANIZADO, COM ROSCA BSP, DE 4"                                                                                                                                                                                                                                                                                                                                                                                                                                                  </v>
          </cell>
          <cell r="C997" t="str">
            <v xml:space="preserve">UN    </v>
          </cell>
          <cell r="D997" t="str">
            <v>CR</v>
          </cell>
          <cell r="E997" t="str">
            <v>133,06</v>
          </cell>
        </row>
        <row r="998">
          <cell r="A998">
            <v>36331</v>
          </cell>
          <cell r="B998" t="str">
            <v xml:space="preserve">CAP PPR DN 20 MM, PARA AGUA QUENTE PREDIAL                                                                                                                                                                                                                                                                                                                                                                                                                                                                </v>
          </cell>
          <cell r="C998" t="str">
            <v xml:space="preserve">UN    </v>
          </cell>
          <cell r="D998" t="str">
            <v>CR</v>
          </cell>
          <cell r="E998" t="str">
            <v>2,21</v>
          </cell>
        </row>
        <row r="999">
          <cell r="A999">
            <v>36346</v>
          </cell>
          <cell r="B999" t="str">
            <v xml:space="preserve">CAP PPR DN 25 MM, PARA AGUA QUENTE PREDIAL                                                                                                                                                                                                                                                                                                                                                                                                                                                                </v>
          </cell>
          <cell r="C999" t="str">
            <v xml:space="preserve">UN    </v>
          </cell>
          <cell r="D999" t="str">
            <v>CR</v>
          </cell>
          <cell r="E999" t="str">
            <v>3,32</v>
          </cell>
        </row>
        <row r="1000">
          <cell r="A1000">
            <v>1197</v>
          </cell>
          <cell r="B1000" t="str">
            <v xml:space="preserve">CAP PVC, ROSCAVEL, 1/2", PARA AGUA FRIA PREDIAL                                                                                                                                                                                                                                                                                                                                                                                                                                                           </v>
          </cell>
          <cell r="C1000" t="str">
            <v xml:space="preserve">UN    </v>
          </cell>
          <cell r="D1000" t="str">
            <v>CR</v>
          </cell>
          <cell r="E1000" t="str">
            <v>1,55</v>
          </cell>
        </row>
        <row r="1001">
          <cell r="A1001">
            <v>1202</v>
          </cell>
          <cell r="B1001" t="str">
            <v xml:space="preserve">CAP PVC, ROSCAVEL, 1",  PARA AGUA FRIA PREDIAL                                                                                                                                                                                                                                                                                                                                                                                                                                                            </v>
          </cell>
          <cell r="C1001" t="str">
            <v xml:space="preserve">UN    </v>
          </cell>
          <cell r="D1001" t="str">
            <v>CR</v>
          </cell>
          <cell r="E1001" t="str">
            <v>4,39</v>
          </cell>
        </row>
        <row r="1002">
          <cell r="A1002">
            <v>1198</v>
          </cell>
          <cell r="B1002" t="str">
            <v xml:space="preserve">CAP PVC, ROSCAVEL, 3/4",  PARA AGUA FRIA PREDIAL                                                                                                                                                                                                                                                                                                                                                                                                                                                          </v>
          </cell>
          <cell r="C1002" t="str">
            <v xml:space="preserve">UN    </v>
          </cell>
          <cell r="D1002" t="str">
            <v>CR</v>
          </cell>
          <cell r="E1002" t="str">
            <v>2,03</v>
          </cell>
        </row>
        <row r="1003">
          <cell r="A1003">
            <v>20088</v>
          </cell>
          <cell r="B1003" t="str">
            <v xml:space="preserve">CAP PVC, SERIE R, DN 100 MM, PARA ESGOTO PREDIAL                                                                                                                                                                                                                                                                                                                                                                                                                                                          </v>
          </cell>
          <cell r="C1003" t="str">
            <v xml:space="preserve">UN    </v>
          </cell>
          <cell r="D1003" t="str">
            <v>CR</v>
          </cell>
          <cell r="E1003" t="str">
            <v>12,66</v>
          </cell>
        </row>
        <row r="1004">
          <cell r="A1004">
            <v>20089</v>
          </cell>
          <cell r="B1004" t="str">
            <v xml:space="preserve">CAP PVC, SERIE R, DN 150 MM, PARA ESGOTO PREDIAL                                                                                                                                                                                                                                                                                                                                                                                                                                                          </v>
          </cell>
          <cell r="C1004" t="str">
            <v xml:space="preserve">UN    </v>
          </cell>
          <cell r="D1004" t="str">
            <v>CR</v>
          </cell>
          <cell r="E1004" t="str">
            <v>62,08</v>
          </cell>
        </row>
        <row r="1005">
          <cell r="A1005">
            <v>20087</v>
          </cell>
          <cell r="B1005" t="str">
            <v xml:space="preserve">CAP PVC, SERIE R, DN 75 MM, PARA ESGOTO PREDIAL                                                                                                                                                                                                                                                                                                                                                                                                                                                           </v>
          </cell>
          <cell r="C1005" t="str">
            <v xml:space="preserve">UN    </v>
          </cell>
          <cell r="D1005" t="str">
            <v>CR</v>
          </cell>
          <cell r="E1005" t="str">
            <v>10,48</v>
          </cell>
        </row>
        <row r="1006">
          <cell r="A1006">
            <v>1200</v>
          </cell>
          <cell r="B1006" t="str">
            <v xml:space="preserve">CAP PVC, SOLDAVEL, DN 100 MM, SERIE NORMAL, PARA ESGOTO PREDIAL                                                                                                                                                                                                                                                                                                                                                                                                                                           </v>
          </cell>
          <cell r="C1006" t="str">
            <v xml:space="preserve">UN    </v>
          </cell>
          <cell r="D1006" t="str">
            <v>CR</v>
          </cell>
          <cell r="E1006" t="str">
            <v>9,52</v>
          </cell>
        </row>
        <row r="1007">
          <cell r="A1007">
            <v>12909</v>
          </cell>
          <cell r="B1007" t="str">
            <v xml:space="preserve">CAP PVC, SOLDAVEL, DN 50 MM, SERIE NORMAL, PARA ESGOTO PREDIAL                                                                                                                                                                                                                                                                                                                                                                                                                                            </v>
          </cell>
          <cell r="C1007" t="str">
            <v xml:space="preserve">UN    </v>
          </cell>
          <cell r="D1007" t="str">
            <v>CR</v>
          </cell>
          <cell r="E1007" t="str">
            <v>4,41</v>
          </cell>
        </row>
        <row r="1008">
          <cell r="A1008">
            <v>12910</v>
          </cell>
          <cell r="B1008" t="str">
            <v xml:space="preserve">CAP PVC, SOLDAVEL, DN 75 MM, SERIE NORMAL, PARA ESGOTO PREDIAL                                                                                                                                                                                                                                                                                                                                                                                                                                            </v>
          </cell>
          <cell r="C1008" t="str">
            <v xml:space="preserve">UN    </v>
          </cell>
          <cell r="D1008" t="str">
            <v>CR</v>
          </cell>
          <cell r="E1008" t="str">
            <v>7,93</v>
          </cell>
        </row>
        <row r="1009">
          <cell r="A1009">
            <v>1191</v>
          </cell>
          <cell r="B1009" t="str">
            <v xml:space="preserve">CAP PVC, SOLDAVEL, 20 MM, PARA AGUA FRIA PREDIAL                                                                                                                                                                                                                                                                                                                                                                                                                                                          </v>
          </cell>
          <cell r="C1009" t="str">
            <v xml:space="preserve">UN    </v>
          </cell>
          <cell r="D1009" t="str">
            <v>CR</v>
          </cell>
          <cell r="E1009" t="str">
            <v>1,10</v>
          </cell>
        </row>
        <row r="1010">
          <cell r="A1010">
            <v>1185</v>
          </cell>
          <cell r="B1010" t="str">
            <v xml:space="preserve">CAP PVC, SOLDAVEL, 25 MM, PARA AGUA FRIA PREDIAL                                                                                                                                                                                                                                                                                                                                                                                                                                                          </v>
          </cell>
          <cell r="C1010" t="str">
            <v xml:space="preserve">UN    </v>
          </cell>
          <cell r="D1010" t="str">
            <v>CR</v>
          </cell>
          <cell r="E1010" t="str">
            <v>1,10</v>
          </cell>
        </row>
        <row r="1011">
          <cell r="A1011">
            <v>1189</v>
          </cell>
          <cell r="B1011" t="str">
            <v xml:space="preserve">CAP PVC, SOLDAVEL, 32 MM, PARA AGUA FRIA PREDIAL                                                                                                                                                                                                                                                                                                                                                                                                                                                          </v>
          </cell>
          <cell r="C1011" t="str">
            <v xml:space="preserve">UN    </v>
          </cell>
          <cell r="D1011" t="str">
            <v>CR</v>
          </cell>
          <cell r="E1011" t="str">
            <v>1,80</v>
          </cell>
        </row>
        <row r="1012">
          <cell r="A1012">
            <v>1193</v>
          </cell>
          <cell r="B1012" t="str">
            <v xml:space="preserve">CAP PVC, SOLDAVEL, 40 MM, PARA AGUA FRIA PREDIAL                                                                                                                                                                                                                                                                                                                                                                                                                                                          </v>
          </cell>
          <cell r="C1012" t="str">
            <v xml:space="preserve">UN    </v>
          </cell>
          <cell r="D1012" t="str">
            <v>CR</v>
          </cell>
          <cell r="E1012" t="str">
            <v>3,47</v>
          </cell>
        </row>
        <row r="1013">
          <cell r="A1013">
            <v>1194</v>
          </cell>
          <cell r="B1013" t="str">
            <v xml:space="preserve">CAP PVC, SOLDAVEL, 50 MM, PARA AGUA FRIA PREDIAL                                                                                                                                                                                                                                                                                                                                                                                                                                                          </v>
          </cell>
          <cell r="C1013" t="str">
            <v xml:space="preserve">UN    </v>
          </cell>
          <cell r="D1013" t="str">
            <v>CR</v>
          </cell>
          <cell r="E1013" t="str">
            <v>6,27</v>
          </cell>
        </row>
        <row r="1014">
          <cell r="A1014">
            <v>1195</v>
          </cell>
          <cell r="B1014" t="str">
            <v xml:space="preserve">CAP PVC, SOLDAVEL, 60 MM, PARA AGUA FRIA PREDIAL                                                                                                                                                                                                                                                                                                                                                                                                                                                          </v>
          </cell>
          <cell r="C1014" t="str">
            <v xml:space="preserve">UN    </v>
          </cell>
          <cell r="D1014" t="str">
            <v>CR</v>
          </cell>
          <cell r="E1014" t="str">
            <v>10,55</v>
          </cell>
        </row>
        <row r="1015">
          <cell r="A1015">
            <v>1204</v>
          </cell>
          <cell r="B1015" t="str">
            <v xml:space="preserve">CAP PVC, SOLDAVEL, 75 MM, PARA AGUA FRIA PREDIAL                                                                                                                                                                                                                                                                                                                                                                                                                                                          </v>
          </cell>
          <cell r="C1015" t="str">
            <v xml:space="preserve">UN    </v>
          </cell>
          <cell r="D1015" t="str">
            <v>CR</v>
          </cell>
          <cell r="E1015" t="str">
            <v>18,46</v>
          </cell>
        </row>
        <row r="1016">
          <cell r="A1016">
            <v>1207</v>
          </cell>
          <cell r="B1016" t="str">
            <v xml:space="preserve">CAP, PVC PBA, JE, DN 100 / DE 110 MM,  PARA REDE DE AGUA (NBR 10351)                                                                                                                                                                                                                                                                                                                                                                                                                                      </v>
          </cell>
          <cell r="C1016" t="str">
            <v xml:space="preserve">UN    </v>
          </cell>
          <cell r="D1016" t="str">
            <v>CR</v>
          </cell>
          <cell r="E1016" t="str">
            <v>29,45</v>
          </cell>
        </row>
        <row r="1017">
          <cell r="A1017">
            <v>1206</v>
          </cell>
          <cell r="B1017" t="str">
            <v xml:space="preserve">CAP, PVC PBA, JE, DN 50 / DE 60 MM,  PARA REDE DE AGUA (NBR 10351)                                                                                                                                                                                                                                                                                                                                                                                                                                        </v>
          </cell>
          <cell r="C1017" t="str">
            <v xml:space="preserve">UN    </v>
          </cell>
          <cell r="D1017" t="str">
            <v>CR</v>
          </cell>
          <cell r="E1017" t="str">
            <v>7,38</v>
          </cell>
        </row>
        <row r="1018">
          <cell r="A1018">
            <v>1183</v>
          </cell>
          <cell r="B1018" t="str">
            <v xml:space="preserve">CAP, PVC PBA, JE, DN 75 / DE 85 MM,  PARA REDE DE AGUA (NBR 10351)                                                                                                                                                                                                                                                                                                                                                                                                                                        </v>
          </cell>
          <cell r="C1018" t="str">
            <v xml:space="preserve">UN    </v>
          </cell>
          <cell r="D1018" t="str">
            <v>CR</v>
          </cell>
          <cell r="E1018" t="str">
            <v>19,23</v>
          </cell>
        </row>
        <row r="1019">
          <cell r="A1019">
            <v>42685</v>
          </cell>
          <cell r="B1019" t="str">
            <v xml:space="preserve">CAP, PVC, JE, OCRE, DN 150 MM (CONEXAO PARA TUBO COLETOR DE ESGOTO)                                                                                                                                                                                                                                                                                                                                                                                                                                       </v>
          </cell>
          <cell r="C1019" t="str">
            <v xml:space="preserve">UN    </v>
          </cell>
          <cell r="D1019" t="str">
            <v>CR</v>
          </cell>
          <cell r="E1019" t="str">
            <v>64,33</v>
          </cell>
        </row>
        <row r="1020">
          <cell r="A1020">
            <v>42686</v>
          </cell>
          <cell r="B1020" t="str">
            <v xml:space="preserve">CAP, PVC, JE, OCRE, DN 200 MM (CONEXAO PARA TUBO COLETOR DE ESGOTO)                                                                                                                                                                                                                                                                                                                                                                                                                                       </v>
          </cell>
          <cell r="C1020" t="str">
            <v xml:space="preserve">UN    </v>
          </cell>
          <cell r="D1020" t="str">
            <v>CR</v>
          </cell>
          <cell r="E1020" t="str">
            <v>70,85</v>
          </cell>
        </row>
        <row r="1021">
          <cell r="A1021">
            <v>12894</v>
          </cell>
          <cell r="B1021" t="str">
            <v xml:space="preserve">CAPA PARA CHUVA EM PVC COM FORRO DE POLIESTER, COM CAPUZ (AMARELA OU AZUL)                                                                                                                                                                                                                                                                                                                                                                                                                                </v>
          </cell>
          <cell r="C1021" t="str">
            <v xml:space="preserve">UN    </v>
          </cell>
          <cell r="D1021" t="str">
            <v>CR</v>
          </cell>
          <cell r="E1021" t="str">
            <v>19,50</v>
          </cell>
        </row>
        <row r="1022">
          <cell r="A1022">
            <v>12895</v>
          </cell>
          <cell r="B1022" t="str">
            <v xml:space="preserve">CAPACETE DE SEGURANCA ABA FRONTAL COM SUSPENSAO DE POLIETILENO, SEM JUGULAR (CLASSE B)                                                                                                                                                                                                                                                                                                                                                                                                                    </v>
          </cell>
          <cell r="C1022" t="str">
            <v xml:space="preserve">UN    </v>
          </cell>
          <cell r="D1022" t="str">
            <v xml:space="preserve">C </v>
          </cell>
          <cell r="E1022" t="str">
            <v>15,00</v>
          </cell>
        </row>
        <row r="1023">
          <cell r="A1023">
            <v>1631</v>
          </cell>
          <cell r="B1023" t="str">
            <v xml:space="preserve">CAPACITOR TRIFASICO, POTENCIA 2,5 KVAR, TENSAO 220 V, FORNECIDO COM CAPA PROTETORA, RESISTOR INTERNO A UNIDADE CAPACITIVA                                                                                                                                                                                                                                                                                                                                                                                 </v>
          </cell>
          <cell r="C1023" t="str">
            <v xml:space="preserve">UN    </v>
          </cell>
          <cell r="D1023" t="str">
            <v>CR</v>
          </cell>
          <cell r="E1023" t="str">
            <v>188,55</v>
          </cell>
        </row>
        <row r="1024">
          <cell r="A1024">
            <v>1633</v>
          </cell>
          <cell r="B1024" t="str">
            <v xml:space="preserve">CAPACITOR TRIFASICO, POTENCIA 5 KVAR, TENSAO 220 V, FORNECIDO COM CAPA PROTETORA, RESISTOR INTERNO A UNIDADE CAPACITIVA                                                                                                                                                                                                                                                                                                                                                                                   </v>
          </cell>
          <cell r="C1024" t="str">
            <v xml:space="preserve">UN    </v>
          </cell>
          <cell r="D1024" t="str">
            <v>CR</v>
          </cell>
          <cell r="E1024" t="str">
            <v>320,37</v>
          </cell>
        </row>
        <row r="1025">
          <cell r="A1025">
            <v>10818</v>
          </cell>
          <cell r="B1025" t="str">
            <v xml:space="preserve">CAPIM BRAQUIARIA DECUMBENS/ BRAQUIARINHA, VC *70*% MINIMO                                                                                                                                                                                                                                                                                                                                                                                                                                                 </v>
          </cell>
          <cell r="C1025" t="str">
            <v xml:space="preserve">KG    </v>
          </cell>
          <cell r="D1025" t="str">
            <v>CR</v>
          </cell>
          <cell r="E1025" t="str">
            <v>55,52</v>
          </cell>
        </row>
        <row r="1026">
          <cell r="A1026">
            <v>41410</v>
          </cell>
          <cell r="B1026" t="str">
            <v xml:space="preserve">CAPTOR FRANKLIN (4 PONTAS), EM LATAO CROMADO, H = 300 MM, DUAS DESCIDAS                                                                                                                                                                                                                                                                                                                                                                                                                                   </v>
          </cell>
          <cell r="C1026" t="str">
            <v xml:space="preserve">UN    </v>
          </cell>
          <cell r="D1026" t="str">
            <v>CR</v>
          </cell>
          <cell r="E1026" t="str">
            <v>81,85</v>
          </cell>
        </row>
        <row r="1027">
          <cell r="A1027">
            <v>41411</v>
          </cell>
          <cell r="B1027" t="str">
            <v xml:space="preserve">CAPTOR FRANKLIN (4 PONTAS), EM LATAO CROMADO, H = 300 MM, UMA DESCIDA                                                                                                                                                                                                                                                                                                                                                                                                                                     </v>
          </cell>
          <cell r="C1027" t="str">
            <v xml:space="preserve">UN    </v>
          </cell>
          <cell r="D1027" t="str">
            <v>CR</v>
          </cell>
          <cell r="E1027" t="str">
            <v>74,21</v>
          </cell>
        </row>
        <row r="1028">
          <cell r="A1028">
            <v>41412</v>
          </cell>
          <cell r="B1028" t="str">
            <v xml:space="preserve">CAPTOR FRANKLIN (4 PONTAS), EM LATAO CROMADO, H = 350 MM, DUAS DESCIDAS                                                                                                                                                                                                                                                                                                                                                                                                                                   </v>
          </cell>
          <cell r="C1028" t="str">
            <v xml:space="preserve">UN    </v>
          </cell>
          <cell r="D1028" t="str">
            <v>CR</v>
          </cell>
          <cell r="E1028" t="str">
            <v>143,53</v>
          </cell>
        </row>
        <row r="1029">
          <cell r="A1029">
            <v>41413</v>
          </cell>
          <cell r="B1029" t="str">
            <v xml:space="preserve">CAPTOR FRANKLIN (4 PONTAS), EM LATAO CROMADO, H=350 MM, UMA DESCIDA                                                                                                                                                                                                                                                                                                                                                                                                                                       </v>
          </cell>
          <cell r="C1029" t="str">
            <v xml:space="preserve">UN    </v>
          </cell>
          <cell r="D1029" t="str">
            <v>CR</v>
          </cell>
          <cell r="E1029" t="str">
            <v>129,15</v>
          </cell>
        </row>
        <row r="1030">
          <cell r="A1030">
            <v>39359</v>
          </cell>
          <cell r="B1030" t="str">
            <v xml:space="preserve">CARENAGEM /TAMPA, EM PLASTICO, COR BRANCA, UTILIZADO EM KIT CHASSI METALICO PARA INSTAL. HIDRAULICA DE CUBA SIMPLES SEM MAQUINA DE LAVAR ROUPA, *355* X *670* MM (L X H) (COM FUROS E DEMAIS ENCAIXES)                                                                                                                                                                                                                                                                                                    </v>
          </cell>
          <cell r="C1030" t="str">
            <v xml:space="preserve">UN    </v>
          </cell>
          <cell r="D1030" t="str">
            <v>CR</v>
          </cell>
          <cell r="E1030" t="str">
            <v>33,65</v>
          </cell>
        </row>
        <row r="1031">
          <cell r="A1031">
            <v>39360</v>
          </cell>
          <cell r="B1031" t="str">
            <v xml:space="preserve">CARENAGEM /TAMPA, EM PLASTICO, COR BRANCA, UTILIZADO EM KIT CHASSI METALICO PARA INSTAL. HIDRAULICA DE TANQUE COM MAQUINA DE LAVAR ROUPA, *360* X *470* MM (L X H) (COM FUROS E DEMAIS ENCAIXES)                                                                                                                                                                                                                                                                                                          </v>
          </cell>
          <cell r="C1031" t="str">
            <v xml:space="preserve">UN    </v>
          </cell>
          <cell r="D1031" t="str">
            <v>CR</v>
          </cell>
          <cell r="E1031" t="str">
            <v>33,65</v>
          </cell>
        </row>
        <row r="1032">
          <cell r="A1032">
            <v>10710</v>
          </cell>
          <cell r="B1032" t="str">
            <v xml:space="preserve">CARPETE DE NYLON EM MANTA PARA TRAFEGO COMERCIAL PESADO, E = 6 A 7 MM (INSTALADO)                                                                                                                                                                                                                                                                                                                                                                                                                         </v>
          </cell>
          <cell r="C1032" t="str">
            <v xml:space="preserve">M2    </v>
          </cell>
          <cell r="D1032" t="str">
            <v xml:space="preserve">C </v>
          </cell>
          <cell r="E1032" t="str">
            <v>165,02</v>
          </cell>
        </row>
        <row r="1033">
          <cell r="A1033">
            <v>10709</v>
          </cell>
          <cell r="B1033" t="str">
            <v xml:space="preserve">CARPETE DE NYLON EM MANTA PARA TRAFEGO COMERCIAL PESADO, E = 9 A 10 MM (INSTALADO)                                                                                                                                                                                                                                                                                                                                                                                                                        </v>
          </cell>
          <cell r="C1033" t="str">
            <v xml:space="preserve">M2    </v>
          </cell>
          <cell r="D1033" t="str">
            <v>CR</v>
          </cell>
          <cell r="E1033" t="str">
            <v>202,73</v>
          </cell>
        </row>
        <row r="1034">
          <cell r="A1034">
            <v>39636</v>
          </cell>
          <cell r="B1034" t="str">
            <v xml:space="preserve">CARPETE DE NYLON EM PLACAS 50 X 50 CM PARA TRAFEGO COMERCIAL PESADO, E = 6,5 MM (INSTALADO)                                                                                                                                                                                                                                                                                                                                                                                                               </v>
          </cell>
          <cell r="C1034" t="str">
            <v xml:space="preserve">M2    </v>
          </cell>
          <cell r="D1034" t="str">
            <v>CR</v>
          </cell>
          <cell r="E1034" t="str">
            <v>207,02</v>
          </cell>
        </row>
        <row r="1035">
          <cell r="A1035">
            <v>10708</v>
          </cell>
          <cell r="B1035" t="str">
            <v xml:space="preserve">CARPETE DE POLIESTER EM MANTA PARA TRAFEGO COMERCIAL PESADO, E = 4 A 5 MM (INSTALADO)                                                                                                                                                                                                                                                                                                                                                                                                                     </v>
          </cell>
          <cell r="C1035" t="str">
            <v xml:space="preserve">M2    </v>
          </cell>
          <cell r="D1035" t="str">
            <v>CR</v>
          </cell>
          <cell r="E1035" t="str">
            <v>63,88</v>
          </cell>
        </row>
        <row r="1036">
          <cell r="A1036">
            <v>39635</v>
          </cell>
          <cell r="B1036" t="str">
            <v xml:space="preserve">CARPETE DE POLIPROPILENO EM MANTA PARA TRAFEGO COMERCIAL MEDIO, E = 5 A 6 MM (INSTALADO)                                                                                                                                                                                                                                                                                                                                                                                                                  </v>
          </cell>
          <cell r="C1036" t="str">
            <v xml:space="preserve">M2    </v>
          </cell>
          <cell r="D1036" t="str">
            <v>CR</v>
          </cell>
          <cell r="E1036" t="str">
            <v>108,76</v>
          </cell>
        </row>
        <row r="1037">
          <cell r="A1037">
            <v>6117</v>
          </cell>
          <cell r="B1037" t="str">
            <v xml:space="preserve">CARPINTEIRO AUXILIAR (HORISTA)                                                                                                                                                                                                                                                                                                                                                                                                                                                                            </v>
          </cell>
          <cell r="C1037" t="str">
            <v xml:space="preserve">H     </v>
          </cell>
          <cell r="D1037" t="str">
            <v>CR</v>
          </cell>
          <cell r="E1037" t="str">
            <v>21,57</v>
          </cell>
        </row>
        <row r="1038">
          <cell r="A1038">
            <v>40913</v>
          </cell>
          <cell r="B1038" t="str">
            <v xml:space="preserve">CARPINTEIRO AUXILIAR (MENSALISTA)                                                                                                                                                                                                                                                                                                                                                                                                                                                                         </v>
          </cell>
          <cell r="C1038" t="str">
            <v xml:space="preserve">MES   </v>
          </cell>
          <cell r="D1038" t="str">
            <v>CR</v>
          </cell>
          <cell r="E1038" t="str">
            <v>3.777,04</v>
          </cell>
        </row>
        <row r="1039">
          <cell r="A1039">
            <v>1214</v>
          </cell>
          <cell r="B1039" t="str">
            <v xml:space="preserve">CARPINTEIRO DE ESQUADRIAS (HORISTA)                                                                                                                                                                                                                                                                                                                                                                                                                                                                       </v>
          </cell>
          <cell r="C1039" t="str">
            <v xml:space="preserve">H     </v>
          </cell>
          <cell r="D1039" t="str">
            <v>CR</v>
          </cell>
          <cell r="E1039" t="str">
            <v>23,55</v>
          </cell>
        </row>
        <row r="1040">
          <cell r="A1040">
            <v>40915</v>
          </cell>
          <cell r="B1040" t="str">
            <v xml:space="preserve">CARPINTEIRO DE ESQUADRIAS (MENSALISTA)                                                                                                                                                                                                                                                                                                                                                                                                                                                                    </v>
          </cell>
          <cell r="C1040" t="str">
            <v xml:space="preserve">MES   </v>
          </cell>
          <cell r="D1040" t="str">
            <v>CR</v>
          </cell>
          <cell r="E1040" t="str">
            <v>4.122,92</v>
          </cell>
        </row>
        <row r="1041">
          <cell r="A1041">
            <v>1213</v>
          </cell>
          <cell r="B1041" t="str">
            <v xml:space="preserve">CARPINTEIRO DE FORMAS (HORISTA)                                                                                                                                                                                                                                                                                                                                                                                                                                                                           </v>
          </cell>
          <cell r="C1041" t="str">
            <v xml:space="preserve">H     </v>
          </cell>
          <cell r="D1041" t="str">
            <v xml:space="preserve">C </v>
          </cell>
          <cell r="E1041" t="str">
            <v>23,55</v>
          </cell>
        </row>
        <row r="1042">
          <cell r="A1042">
            <v>40914</v>
          </cell>
          <cell r="B1042" t="str">
            <v xml:space="preserve">CARPINTEIRO DE FORMAS (MENSALISTA)                                                                                                                                                                                                                                                                                                                                                                                                                                                                        </v>
          </cell>
          <cell r="C1042" t="str">
            <v xml:space="preserve">MES   </v>
          </cell>
          <cell r="D1042" t="str">
            <v>CR</v>
          </cell>
          <cell r="E1042" t="str">
            <v>4.122,92</v>
          </cell>
        </row>
        <row r="1043">
          <cell r="A1043">
            <v>5091</v>
          </cell>
          <cell r="B1043" t="str">
            <v xml:space="preserve">CARRANCA PARA JANELA VENEZIANA DE ABRIR, EM LATAO CROMADO, SIMPLES, PARA APARAFUSAR NA PAREDE                                                                                                                                                                                                                                                                                                                                                                                                             </v>
          </cell>
          <cell r="C1043" t="str">
            <v xml:space="preserve">UN    </v>
          </cell>
          <cell r="D1043" t="str">
            <v>CR</v>
          </cell>
          <cell r="E1043" t="str">
            <v>17,77</v>
          </cell>
        </row>
        <row r="1044">
          <cell r="A1044">
            <v>14615</v>
          </cell>
          <cell r="B1044" t="str">
            <v xml:space="preserve">CARRINHO COM 2 PNEUS PARA TRANSPORTAR TUBO CONCRETO, ALTURA ATE 1,0 M E DIAMETRO ATE 1000MM, COM ESTRUTURA EM PERFIL OU TUBO METALICO                                                                                                                                                                                                                                                                                                                                                                     </v>
          </cell>
          <cell r="C1044" t="str">
            <v xml:space="preserve">UN    </v>
          </cell>
          <cell r="D1044" t="str">
            <v>CR</v>
          </cell>
          <cell r="E1044" t="str">
            <v>3.632,09</v>
          </cell>
        </row>
        <row r="1045">
          <cell r="A1045">
            <v>2711</v>
          </cell>
          <cell r="B1045" t="str">
            <v xml:space="preserve">CARRINHO DE MAO DE ACO CAPACIDADE 50 A 60 L, PNEU COM CAMARA                                                                                                                                                                                                                                                                                                                                                                                                                                              </v>
          </cell>
          <cell r="C1045" t="str">
            <v xml:space="preserve">UN    </v>
          </cell>
          <cell r="D1045" t="str">
            <v xml:space="preserve">C </v>
          </cell>
          <cell r="E1045" t="str">
            <v>217,99</v>
          </cell>
        </row>
        <row r="1046">
          <cell r="A1046">
            <v>37727</v>
          </cell>
          <cell r="B1046" t="str">
            <v xml:space="preserve">CARROCERIA FIXA ABERTA DE MADEIRA PARA TRANSPORTE GERAL DE CARGA SECA DIMENSOES APROXIMADAS 2,25 X 4,10 X 0,50 M (INCLUI MONTAGEM, NAO INCLUI CAMINHAO)                                                                                                                                                                                                                                                                                                                                                   </v>
          </cell>
          <cell r="C1046" t="str">
            <v xml:space="preserve">UN    </v>
          </cell>
          <cell r="D1046" t="str">
            <v xml:space="preserve">C </v>
          </cell>
          <cell r="E1046" t="str">
            <v>17.085,00</v>
          </cell>
        </row>
        <row r="1047">
          <cell r="A1047">
            <v>37728</v>
          </cell>
          <cell r="B1047" t="str">
            <v xml:space="preserve">CARROCERIA FIXA ABERTA DE MADEIRA PARA TRANSPORTE GERAL DE CARGA SECA DIMENSOES APROXIMADAS 2,5 X 5,5 X 0,50 M (INCLUI MONTAGEM, NAO INCLUI CAMINHAO)                                                                                                                                                                                                                                                                                                                                                     </v>
          </cell>
          <cell r="C1047" t="str">
            <v xml:space="preserve">UN    </v>
          </cell>
          <cell r="D1047" t="str">
            <v>CR</v>
          </cell>
          <cell r="E1047" t="str">
            <v>23.178,25</v>
          </cell>
        </row>
        <row r="1048">
          <cell r="A1048">
            <v>37729</v>
          </cell>
          <cell r="B1048" t="str">
            <v xml:space="preserve">CARROCERIA FIXA ABERTA DE MADEIRA PARA TRANSPORTE GERAL DE CARGA SECA DIMENSOES APROXIMADAS 2,5 X 6,00 X 0,50 M (INCLUI MONTAGEM, NAO INCLUI CAMINHAO)                                                                                                                                                                                                                                                                                                                                                    </v>
          </cell>
          <cell r="C1048" t="str">
            <v xml:space="preserve">UN    </v>
          </cell>
          <cell r="D1048" t="str">
            <v>CR</v>
          </cell>
          <cell r="E1048" t="str">
            <v>25.089,86</v>
          </cell>
        </row>
        <row r="1049">
          <cell r="A1049">
            <v>37730</v>
          </cell>
          <cell r="B1049" t="str">
            <v xml:space="preserve">CARROCERIA FIXA ABERTA DE MADEIRA PARA TRANSPORTE GERAL DE CARGA SECA DIMENSOES APROXIMADAS 2,5 X 6,5 X 0,50 M (INCLUI MONTAGEM, NAO INCLUI CAMINHAO)                                                                                                                                                                                                                                                                                                                                                     </v>
          </cell>
          <cell r="C1049" t="str">
            <v xml:space="preserve">UN    </v>
          </cell>
          <cell r="D1049" t="str">
            <v>CR</v>
          </cell>
          <cell r="E1049" t="str">
            <v>27.001,46</v>
          </cell>
        </row>
        <row r="1050">
          <cell r="A1050">
            <v>37731</v>
          </cell>
          <cell r="B1050" t="str">
            <v xml:space="preserve">CARROCERIA FIXA ABERTA DE MADEIRA PARA TRANSPORTE GERAL DE CARGA SECA DIMENSOES APROXIMADAS 2,5 X 7,00 X 0,50 M (INCLUI MONTAGEM, NAO INCLUI CAMINHAO)                                                                                                                                                                                                                                                                                                                                                    </v>
          </cell>
          <cell r="C1050" t="str">
            <v xml:space="preserve">UN    </v>
          </cell>
          <cell r="D1050" t="str">
            <v>CR</v>
          </cell>
          <cell r="E1050" t="str">
            <v>28.913,07</v>
          </cell>
        </row>
        <row r="1051">
          <cell r="A1051">
            <v>37732</v>
          </cell>
          <cell r="B1051" t="str">
            <v xml:space="preserve">CARROCERIA FIXA ABERTA DE MADEIRA PARA TRANSPORTE GERAL DE CARGA SECA DIMENSOES APROXIMADAS 2,5 X 7,5 X 0,50 M (INCLUI MONTAGEM, NAO INCLUI CAMINHAO)                                                                                                                                                                                                                                                                                                                                                     </v>
          </cell>
          <cell r="C1051" t="str">
            <v xml:space="preserve">UN    </v>
          </cell>
          <cell r="D1051" t="str">
            <v>CR</v>
          </cell>
          <cell r="E1051" t="str">
            <v>32.975,24</v>
          </cell>
        </row>
        <row r="1052">
          <cell r="A1052">
            <v>42256</v>
          </cell>
          <cell r="B1052" t="str">
            <v xml:space="preserve">CARVAO ANTRACITO PARA FILTRO, GRAO VARIANDO DE 0,8 ATE 1,1 MM, COEFICIENTE DE UNIFORMIDADE MENOR QUE 1,7 MM (DISTRIBUIDOR)                                                                                                                                                                                                                                                                                                                                                                                </v>
          </cell>
          <cell r="C1052" t="str">
            <v xml:space="preserve">KG    </v>
          </cell>
          <cell r="D1052" t="str">
            <v>CR</v>
          </cell>
          <cell r="E1052" t="str">
            <v>5,27</v>
          </cell>
        </row>
        <row r="1053">
          <cell r="A1053">
            <v>42250</v>
          </cell>
          <cell r="B1053" t="str">
            <v xml:space="preserve">CARVAO ANTRACITO PARA FILTRO, GRAO VARIANDO DE 0,8 ATE 1,1 MM, COEFICIENTE DE UNIFORMIDADE MENOR QUE 1,7 MM (POSTO JAZIDA/PRODUTOR)                                                                                                                                                                                                                                                                                                                                                                       </v>
          </cell>
          <cell r="C1053" t="str">
            <v xml:space="preserve">T     </v>
          </cell>
          <cell r="D1053" t="str">
            <v>CR</v>
          </cell>
          <cell r="E1053" t="str">
            <v>2.370,77</v>
          </cell>
        </row>
        <row r="1054">
          <cell r="A1054">
            <v>4743</v>
          </cell>
          <cell r="B1054" t="str">
            <v xml:space="preserve">CASCALHO DE CAVA                                                                                                                                                                                                                                                                                                                                                                                                                                                                                          </v>
          </cell>
          <cell r="C1054" t="str">
            <v xml:space="preserve">M3    </v>
          </cell>
          <cell r="D1054" t="str">
            <v>CR</v>
          </cell>
          <cell r="E1054" t="str">
            <v>40,60</v>
          </cell>
        </row>
        <row r="1055">
          <cell r="A1055">
            <v>4744</v>
          </cell>
          <cell r="B1055" t="str">
            <v xml:space="preserve">CASCALHO DE RIO                                                                                                                                                                                                                                                                                                                                                                                                                                                                                           </v>
          </cell>
          <cell r="C1055" t="str">
            <v xml:space="preserve">M3    </v>
          </cell>
          <cell r="D1055" t="str">
            <v>CR</v>
          </cell>
          <cell r="E1055" t="str">
            <v>64,96</v>
          </cell>
        </row>
        <row r="1056">
          <cell r="A1056">
            <v>4745</v>
          </cell>
          <cell r="B1056" t="str">
            <v xml:space="preserve">CASCALHO LAVADO                                                                                                                                                                                                                                                                                                                                                                                                                                                                                           </v>
          </cell>
          <cell r="C1056" t="str">
            <v xml:space="preserve">M3    </v>
          </cell>
          <cell r="D1056" t="str">
            <v>CR</v>
          </cell>
          <cell r="E1056" t="str">
            <v>77,91</v>
          </cell>
        </row>
        <row r="1057">
          <cell r="A1057">
            <v>36496</v>
          </cell>
          <cell r="B1057" t="str">
            <v xml:space="preserve">CAVALETE PARA TALHA COM ESTRUTURA EM TUBO METALICO ALTURA MINIMA 3,2 M EQUIPADO COM RODAS DE BORRACHA PARA MOVIMENTACAO DE TUBOS DE CONCRETO NA CENTRAL DE PREMOLDADOS COM CAPACIDADE DE CARGA DE 3 TONELADAS                                                                                                                                                                                                                                                                                             </v>
          </cell>
          <cell r="C1057" t="str">
            <v xml:space="preserve">UN    </v>
          </cell>
          <cell r="D1057" t="str">
            <v>CR</v>
          </cell>
          <cell r="E1057" t="str">
            <v>9.221,81</v>
          </cell>
        </row>
        <row r="1058">
          <cell r="A1058">
            <v>10630</v>
          </cell>
          <cell r="B1058" t="str">
            <v xml:space="preserve">CAVALO MECANICO TRACAO 4X2, PESO BRUTO TOTAL COMBINADO 49000 KG, CAPACIDADE MAXIMA DE TRACAO *66000* KG, POTENCIA *360* CV (INCLUI CABINE E CHASSI, NAO INCLUI SEMIRREBOQUE)                                                                                                                                                                                                                                                                                                                              </v>
          </cell>
          <cell r="C1058" t="str">
            <v xml:space="preserve">UN    </v>
          </cell>
          <cell r="D1058" t="str">
            <v>CR</v>
          </cell>
          <cell r="E1058" t="str">
            <v>861.365,09</v>
          </cell>
        </row>
        <row r="1059">
          <cell r="A1059">
            <v>37762</v>
          </cell>
          <cell r="B1059" t="str">
            <v xml:space="preserve">CAVALO MECANICO TRACAO 4X2, PESO BRUTO TOTAL 16000 KG, CAPACIDADE MAXIMA DE TRACAO *36000* KG, DISTANCIA ENTRE EIXOS *3,56* M, POTENCIA *286* CV (INCLUI CABINE E CHASSI, NAO INCLUI SEMIRREBOQUE)                                                                                                                                                                                                                                                                                                        </v>
          </cell>
          <cell r="C1059" t="str">
            <v xml:space="preserve">UN    </v>
          </cell>
          <cell r="D1059" t="str">
            <v>CR</v>
          </cell>
          <cell r="E1059" t="str">
            <v>738.740,35</v>
          </cell>
        </row>
        <row r="1060">
          <cell r="A1060">
            <v>37763</v>
          </cell>
          <cell r="B1060" t="str">
            <v xml:space="preserve">CAVALO MECANICO TRACAO 4X2, PESO BRUTO TOTAL 16000 KG, CAPACIDADE MAXIMA DE TRACAO *45000* KG, DISTANCIA ENTRE EIXOS *3,56* M, POTENCIA *330* CV (INCLUI CABINE E CHASSI, NAO INCLUI SEMIRREBOQUE)                                                                                                                                                                                                                                                                                                        </v>
          </cell>
          <cell r="C1060" t="str">
            <v xml:space="preserve">UN    </v>
          </cell>
          <cell r="D1060" t="str">
            <v>CR</v>
          </cell>
          <cell r="E1060" t="str">
            <v>747.712,78</v>
          </cell>
        </row>
        <row r="1061">
          <cell r="A1061">
            <v>41992</v>
          </cell>
          <cell r="B1061" t="str">
            <v xml:space="preserve">CAVALO MECANICO TRACAO 4X2, PESO BRUTO TOTAL 16000 KG, CAPACIDADE MAXIMA DE TRACAO *80000* KG, POTENCIA *380* CV (INCLUI CABINE E CHASSI, NAO INCLUI SEMIRREBOQUE)                                                                                                                                                                                                                                                                                                                                        </v>
          </cell>
          <cell r="C1061" t="str">
            <v xml:space="preserve">UN    </v>
          </cell>
          <cell r="D1061" t="str">
            <v xml:space="preserve">C </v>
          </cell>
          <cell r="E1061" t="str">
            <v>850.000,00</v>
          </cell>
        </row>
        <row r="1062">
          <cell r="A1062">
            <v>13215</v>
          </cell>
          <cell r="B1062" t="str">
            <v xml:space="preserve">CAVALO MECANICO TRACAO 6X2, PESO BRUTO TOTAL COMBINADO 56000 KG, CAPACIDADE MAXIMA DE TRACAO *66000* KG, POTENCIA *360* CV (INCLUI CABINE E CHASSI, NAO INCLUI SEMIRREBOQUE)                                                                                                                                                                                                                                                                                                                              </v>
          </cell>
          <cell r="C1062" t="str">
            <v xml:space="preserve">UN    </v>
          </cell>
          <cell r="D1062" t="str">
            <v>CR</v>
          </cell>
          <cell r="E1062" t="str">
            <v>1.042.311,65</v>
          </cell>
        </row>
        <row r="1063">
          <cell r="A1063">
            <v>4235</v>
          </cell>
          <cell r="B1063" t="str">
            <v xml:space="preserve">CAVOUQUEIRO OU OPERADOR DE PERFURATRIZ / ROMPEDOR (HORISTA)                                                                                                                                                                                                                                                                                                                                                                                                                                               </v>
          </cell>
          <cell r="C1063" t="str">
            <v xml:space="preserve">H     </v>
          </cell>
          <cell r="D1063" t="str">
            <v>CR</v>
          </cell>
          <cell r="E1063" t="str">
            <v>34,98</v>
          </cell>
        </row>
        <row r="1064">
          <cell r="A1064">
            <v>40976</v>
          </cell>
          <cell r="B1064" t="str">
            <v xml:space="preserve">CAVOUQUEIRO OU OPERADOR DE PERFURATRIZ / ROMPEDOR (MENSALISTA)                                                                                                                                                                                                                                                                                                                                                                                                                                            </v>
          </cell>
          <cell r="C1064" t="str">
            <v xml:space="preserve">MES   </v>
          </cell>
          <cell r="D1064" t="str">
            <v>CR</v>
          </cell>
          <cell r="E1064" t="str">
            <v>6.124,79</v>
          </cell>
        </row>
        <row r="1065">
          <cell r="A1065">
            <v>43091</v>
          </cell>
          <cell r="B1065" t="str">
            <v xml:space="preserve">CENTRO DE MEDICAO AGRUPADA, EM POLICARBONATO / PVC, COM 12 MEDIDORES E PROTECAO GERAL (INCLUI BARRAMENTO, DISJUNTORES E ACESSORIOS DE FIXACAO) (PADRAO CONCESSIONARIA LOCAL)                                                                                                                                                                                                                                                                                                                              </v>
          </cell>
          <cell r="C1065" t="str">
            <v xml:space="preserve">UN    </v>
          </cell>
          <cell r="D1065" t="str">
            <v>CR</v>
          </cell>
          <cell r="E1065" t="str">
            <v>5.985,39</v>
          </cell>
        </row>
        <row r="1066">
          <cell r="A1066">
            <v>43092</v>
          </cell>
          <cell r="B1066" t="str">
            <v xml:space="preserve">CENTRO DE MEDICAO AGRUPADA, EM POLICARBONATO / PVC, COM 16 MEDIDORES E PROTECAO GERAL (INCLUI BARRAMENTO, DISJUNTORES E ACESSORIOS DE FIXACAO) (PADRAO CONCESSIONARIA LOCAL)                                                                                                                                                                                                                                                                                                                              </v>
          </cell>
          <cell r="C1066" t="str">
            <v xml:space="preserve">UN    </v>
          </cell>
          <cell r="D1066" t="str">
            <v>CR</v>
          </cell>
          <cell r="E1066" t="str">
            <v>7.980,52</v>
          </cell>
        </row>
        <row r="1067">
          <cell r="A1067">
            <v>43089</v>
          </cell>
          <cell r="B1067" t="str">
            <v xml:space="preserve">CENTRO DE MEDICAO AGRUPADA, EM POLICARBONATO / PVC, COM 4 MEDIDORES E PROTECAO GERAL (INCLUI BARRAMENTO, DISJUNTORES E ACESSORIOS DE FIXACAO) (PADRAO CONCESSIONARIA LOCAL)                                                                                                                                                                                                                                                                                                                               </v>
          </cell>
          <cell r="C1067" t="str">
            <v xml:space="preserve">UN    </v>
          </cell>
          <cell r="D1067" t="str">
            <v>CR</v>
          </cell>
          <cell r="E1067" t="str">
            <v>1.390,83</v>
          </cell>
        </row>
        <row r="1068">
          <cell r="A1068">
            <v>43090</v>
          </cell>
          <cell r="B1068" t="str">
            <v xml:space="preserve">CENTRO DE MEDICAO AGRUPADA, EM POLICARBONATO / PVC, COM 8 MEDIDORES E PROTECAO GERAL (INCLUI BARRAMENTO, DISJUNTORES E ACESSORIOS DE FIXACAO) (PADRAO CONCESSIONARIA LOCAL)                                                                                                                                                                                                                                                                                                                               </v>
          </cell>
          <cell r="C1068" t="str">
            <v xml:space="preserve">UN    </v>
          </cell>
          <cell r="D1068" t="str">
            <v>CR</v>
          </cell>
          <cell r="E1068" t="str">
            <v>3.069,43</v>
          </cell>
        </row>
        <row r="1069">
          <cell r="A1069">
            <v>41967</v>
          </cell>
          <cell r="B1069" t="str">
            <v xml:space="preserve">CERA LIQUIDA INCOLOR MULTIPISO                                                                                                                                                                                                                                                                                                                                                                                                                                                                            </v>
          </cell>
          <cell r="C1069" t="str">
            <v xml:space="preserve">L     </v>
          </cell>
          <cell r="D1069" t="str">
            <v>CR</v>
          </cell>
          <cell r="E1069" t="str">
            <v>20,55</v>
          </cell>
        </row>
        <row r="1070">
          <cell r="A1070">
            <v>12760</v>
          </cell>
          <cell r="B1070" t="str">
            <v xml:space="preserve">CHAPA ACO INOX AISI 304 NUMERO 4 (E = 6 MM), ACABAMENTO NUMERO 1 (LAMINADO A QUENTE, FOSCO)                                                                                                                                                                                                                                                                                                                                                                                                               </v>
          </cell>
          <cell r="C1070" t="str">
            <v xml:space="preserve">M2    </v>
          </cell>
          <cell r="D1070" t="str">
            <v>CR</v>
          </cell>
          <cell r="E1070" t="str">
            <v>1.248,48</v>
          </cell>
        </row>
        <row r="1071">
          <cell r="A1071">
            <v>12759</v>
          </cell>
          <cell r="B1071" t="str">
            <v xml:space="preserve">CHAPA ACO INOX AISI 304 NUMERO 9 (E = 4 MM), ACABAMENTO NUMERO 1 (LAMINADO A QUENTE, FOSCO)                                                                                                                                                                                                                                                                                                                                                                                                               </v>
          </cell>
          <cell r="C1071" t="str">
            <v xml:space="preserve">M2    </v>
          </cell>
          <cell r="D1071" t="str">
            <v>CR</v>
          </cell>
          <cell r="E1071" t="str">
            <v>832,30</v>
          </cell>
        </row>
        <row r="1072">
          <cell r="A1072">
            <v>43105</v>
          </cell>
          <cell r="B1072" t="str">
            <v xml:space="preserve">CHAPA DE ACO CARBONO GALVANIZADA, PERFURADA (GRADE FUROS) E = 1,5 MM, DIAMETRO DO FURO = 9,52 MM (FUROS ALTERNADOS HORIZ.)                                                                                                                                                                                                                                                                                                                                                                                </v>
          </cell>
          <cell r="C1072" t="str">
            <v xml:space="preserve">KG    </v>
          </cell>
          <cell r="D1072" t="str">
            <v>CR</v>
          </cell>
          <cell r="E1072" t="str">
            <v>35,64</v>
          </cell>
        </row>
        <row r="1073">
          <cell r="A1073">
            <v>40424</v>
          </cell>
          <cell r="B1073" t="str">
            <v xml:space="preserve">CHAPA DE ACO CARBONO LAMINADO A QUENTE, QUALIDADE ESTRUTURAL, BITOLA 3/16", E =4,75 MM (37,29 KG/M2)                                                                                                                                                                                                                                                                                                                                                                                                      </v>
          </cell>
          <cell r="C1073" t="str">
            <v xml:space="preserve">KG    </v>
          </cell>
          <cell r="D1073" t="str">
            <v>CR</v>
          </cell>
          <cell r="E1073" t="str">
            <v>9,05</v>
          </cell>
        </row>
        <row r="1074">
          <cell r="A1074">
            <v>1325</v>
          </cell>
          <cell r="B1074" t="str">
            <v xml:space="preserve">CHAPA DE ACO FINA A FRIO BITOLA MSG 20, E = 0,90 MM (7,20 KG/M2)                                                                                                                                                                                                                                                                                                                                                                                                                                          </v>
          </cell>
          <cell r="C1074" t="str">
            <v xml:space="preserve">KG    </v>
          </cell>
          <cell r="D1074" t="str">
            <v>CR</v>
          </cell>
          <cell r="E1074" t="str">
            <v>9,92</v>
          </cell>
        </row>
        <row r="1075">
          <cell r="A1075">
            <v>1327</v>
          </cell>
          <cell r="B1075" t="str">
            <v xml:space="preserve">CHAPA DE ACO FINA A FRIO BITOLA MSG 24, E = 0,60 MM (4,80 KG/M2)                                                                                                                                                                                                                                                                                                                                                                                                                                          </v>
          </cell>
          <cell r="C1075" t="str">
            <v xml:space="preserve">KG    </v>
          </cell>
          <cell r="D1075" t="str">
            <v>CR</v>
          </cell>
          <cell r="E1075" t="str">
            <v>10,56</v>
          </cell>
        </row>
        <row r="1076">
          <cell r="A1076">
            <v>1328</v>
          </cell>
          <cell r="B1076" t="str">
            <v xml:space="preserve">CHAPA DE ACO FINA A FRIO BITOLA MSG 26, E = 0,45 MM (3,60 KG/M2)                                                                                                                                                                                                                                                                                                                                                                                                                                          </v>
          </cell>
          <cell r="C1076" t="str">
            <v xml:space="preserve">KG    </v>
          </cell>
          <cell r="D1076" t="str">
            <v>CR</v>
          </cell>
          <cell r="E1076" t="str">
            <v>9,94</v>
          </cell>
        </row>
        <row r="1077">
          <cell r="A1077">
            <v>1321</v>
          </cell>
          <cell r="B1077" t="str">
            <v xml:space="preserve">CHAPA DE ACO FINA A QUENTE BITOLA MSG 13, E = 2,25 MM (18,00 KG/M2)                                                                                                                                                                                                                                                                                                                                                                                                                                       </v>
          </cell>
          <cell r="C1077" t="str">
            <v xml:space="preserve">KG    </v>
          </cell>
          <cell r="D1077" t="str">
            <v>CR</v>
          </cell>
          <cell r="E1077" t="str">
            <v>9,20</v>
          </cell>
        </row>
        <row r="1078">
          <cell r="A1078">
            <v>1318</v>
          </cell>
          <cell r="B1078" t="str">
            <v xml:space="preserve">CHAPA DE ACO FINA A QUENTE BITOLA MSG 14, E = 2,00 MM (16,0 KG/M2)                                                                                                                                                                                                                                                                                                                                                                                                                                        </v>
          </cell>
          <cell r="C1078" t="str">
            <v xml:space="preserve">KG    </v>
          </cell>
          <cell r="D1078" t="str">
            <v>CR</v>
          </cell>
          <cell r="E1078" t="str">
            <v>9,21</v>
          </cell>
        </row>
        <row r="1079">
          <cell r="A1079">
            <v>1322</v>
          </cell>
          <cell r="B1079" t="str">
            <v xml:space="preserve">CHAPA DE ACO FINA A QUENTE BITOLA MSG 16, E = 1,50 MM (12,00 KG/M2)                                                                                                                                                                                                                                                                                                                                                                                                                                       </v>
          </cell>
          <cell r="C1079" t="str">
            <v xml:space="preserve">KG    </v>
          </cell>
          <cell r="D1079" t="str">
            <v>CR</v>
          </cell>
          <cell r="E1079" t="str">
            <v>9,73</v>
          </cell>
        </row>
        <row r="1080">
          <cell r="A1080">
            <v>1323</v>
          </cell>
          <cell r="B1080" t="str">
            <v xml:space="preserve">CHAPA DE ACO FINA A QUENTE BITOLA MSG 18, E = 1,20 MM (9,60 KG/M2)                                                                                                                                                                                                                                                                                                                                                                                                                                        </v>
          </cell>
          <cell r="C1080" t="str">
            <v xml:space="preserve">KG    </v>
          </cell>
          <cell r="D1080" t="str">
            <v>CR</v>
          </cell>
          <cell r="E1080" t="str">
            <v>9,73</v>
          </cell>
        </row>
        <row r="1081">
          <cell r="A1081">
            <v>1319</v>
          </cell>
          <cell r="B1081" t="str">
            <v xml:space="preserve">CHAPA DE ACO FINA A QUENTE BITOLA MSG 3/16 ", E = 4,75 MM (38,00 KG/M2)                                                                                                                                                                                                                                                                                                                                                                                                                                   </v>
          </cell>
          <cell r="C1081" t="str">
            <v xml:space="preserve">KG    </v>
          </cell>
          <cell r="D1081" t="str">
            <v>CR</v>
          </cell>
          <cell r="E1081" t="str">
            <v>8,20</v>
          </cell>
        </row>
        <row r="1082">
          <cell r="A1082">
            <v>11026</v>
          </cell>
          <cell r="B1082" t="str">
            <v xml:space="preserve">CHAPA DE ACO GALVANIZADA BITOLA GSG 14, E = 1,95 MM (15,60 KG/M2)                                                                                                                                                                                                                                                                                                                                                                                                                                         </v>
          </cell>
          <cell r="C1082" t="str">
            <v xml:space="preserve">KG    </v>
          </cell>
          <cell r="D1082" t="str">
            <v>CR</v>
          </cell>
          <cell r="E1082" t="str">
            <v>11,28</v>
          </cell>
        </row>
        <row r="1083">
          <cell r="A1083">
            <v>11027</v>
          </cell>
          <cell r="B1083" t="str">
            <v xml:space="preserve">CHAPA DE ACO GALVANIZADA BITOLA GSG 16, E = 1,55 MM (12,40 KG/M2)                                                                                                                                                                                                                                                                                                                                                                                                                                         </v>
          </cell>
          <cell r="C1083" t="str">
            <v xml:space="preserve">KG    </v>
          </cell>
          <cell r="D1083" t="str">
            <v>CR</v>
          </cell>
          <cell r="E1083" t="str">
            <v>11,74</v>
          </cell>
        </row>
        <row r="1084">
          <cell r="A1084">
            <v>11046</v>
          </cell>
          <cell r="B1084" t="str">
            <v xml:space="preserve">CHAPA DE ACO GALVANIZADA BITOLA GSG 18, E = 1,25 MM (10,00 KG/M2)                                                                                                                                                                                                                                                                                                                                                                                                                                         </v>
          </cell>
          <cell r="C1084" t="str">
            <v xml:space="preserve">KG    </v>
          </cell>
          <cell r="D1084" t="str">
            <v>CR</v>
          </cell>
          <cell r="E1084" t="str">
            <v>11,25</v>
          </cell>
        </row>
        <row r="1085">
          <cell r="A1085">
            <v>11047</v>
          </cell>
          <cell r="B1085" t="str">
            <v xml:space="preserve">CHAPA DE ACO GALVANIZADA BITOLA GSG 19, E = 1,11 MM (8,88 KG/M2)                                                                                                                                                                                                                                                                                                                                                                                                                                          </v>
          </cell>
          <cell r="C1085" t="str">
            <v xml:space="preserve">KG    </v>
          </cell>
          <cell r="D1085" t="str">
            <v>CR</v>
          </cell>
          <cell r="E1085" t="str">
            <v>12,26</v>
          </cell>
        </row>
        <row r="1086">
          <cell r="A1086">
            <v>43668</v>
          </cell>
          <cell r="B1086" t="str">
            <v xml:space="preserve">CHAPA DE ACO GALVANIZADA BITOLA GSG 20, E = 0,95 MM (7,60 KG/M2)                                                                                                                                                                                                                                                                                                                                                                                                                                          </v>
          </cell>
          <cell r="C1086" t="str">
            <v xml:space="preserve">KG    </v>
          </cell>
          <cell r="D1086" t="str">
            <v>CR</v>
          </cell>
          <cell r="E1086" t="str">
            <v>10,82</v>
          </cell>
        </row>
        <row r="1087">
          <cell r="A1087">
            <v>11049</v>
          </cell>
          <cell r="B1087" t="str">
            <v xml:space="preserve">CHAPA DE ACO GALVANIZADA BITOLA GSG 22, E = 0,80 MM (6,40 KG/M2)                                                                                                                                                                                                                                                                                                                                                                                                                                          </v>
          </cell>
          <cell r="C1087" t="str">
            <v xml:space="preserve">KG    </v>
          </cell>
          <cell r="D1087" t="str">
            <v xml:space="preserve">C </v>
          </cell>
          <cell r="E1087" t="str">
            <v>11,72</v>
          </cell>
        </row>
        <row r="1088">
          <cell r="A1088">
            <v>43106</v>
          </cell>
          <cell r="B1088" t="str">
            <v xml:space="preserve">CHAPA DE ACO GALVANIZADA BITOLA GSG 24, E = 0,64 (5,12 KG/M2)                                                                                                                                                                                                                                                                                                                                                                                                                                             </v>
          </cell>
          <cell r="C1088" t="str">
            <v xml:space="preserve">KG    </v>
          </cell>
          <cell r="D1088" t="str">
            <v>CR</v>
          </cell>
          <cell r="E1088" t="str">
            <v>11,79</v>
          </cell>
        </row>
        <row r="1089">
          <cell r="A1089">
            <v>11051</v>
          </cell>
          <cell r="B1089" t="str">
            <v xml:space="preserve">CHAPA DE ACO GALVANIZADA BITOLA GSG 26, E = 0,50 MM (4,00 KG/M2)                                                                                                                                                                                                                                                                                                                                                                                                                                          </v>
          </cell>
          <cell r="C1089" t="str">
            <v xml:space="preserve">KG    </v>
          </cell>
          <cell r="D1089" t="str">
            <v>CR</v>
          </cell>
          <cell r="E1089" t="str">
            <v>12,30</v>
          </cell>
        </row>
        <row r="1090">
          <cell r="A1090">
            <v>11061</v>
          </cell>
          <cell r="B1090" t="str">
            <v xml:space="preserve">CHAPA DE ACO GALVANIZADA BITOLA GSG 30, E = 0,35 MM (2,80 KG/M2)                                                                                                                                                                                                                                                                                                                                                                                                                                          </v>
          </cell>
          <cell r="C1090" t="str">
            <v xml:space="preserve">KG    </v>
          </cell>
          <cell r="D1090" t="str">
            <v>CR</v>
          </cell>
          <cell r="E1090" t="str">
            <v>14,76</v>
          </cell>
        </row>
        <row r="1091">
          <cell r="A1091">
            <v>43667</v>
          </cell>
          <cell r="B1091" t="str">
            <v xml:space="preserve">CHAPA DE ACO GROSSA, ASTM A36, E = 1 " (25,40 MM) 199,18 KG/M2                                                                                                                                                                                                                                                                                                                                                                                                                                            </v>
          </cell>
          <cell r="C1091" t="str">
            <v xml:space="preserve">KG    </v>
          </cell>
          <cell r="D1091" t="str">
            <v>CR</v>
          </cell>
          <cell r="E1091" t="str">
            <v>10,73</v>
          </cell>
        </row>
        <row r="1092">
          <cell r="A1092">
            <v>1333</v>
          </cell>
          <cell r="B1092" t="str">
            <v xml:space="preserve">CHAPA DE ACO GROSSA, ASTM A36, E = 1/2 " (12,70 MM) 99,59 KG/M2                                                                                                                                                                                                                                                                                                                                                                                                                                           </v>
          </cell>
          <cell r="C1092" t="str">
            <v xml:space="preserve">KG    </v>
          </cell>
          <cell r="D1092" t="str">
            <v>CR</v>
          </cell>
          <cell r="E1092" t="str">
            <v>8,94</v>
          </cell>
        </row>
        <row r="1093">
          <cell r="A1093">
            <v>1330</v>
          </cell>
          <cell r="B1093" t="str">
            <v xml:space="preserve">CHAPA DE ACO GROSSA, ASTM A36, E = 1/4 " (6,35 MM) 49,79 KG/M2                                                                                                                                                                                                                                                                                                                                                                                                                                            </v>
          </cell>
          <cell r="C1093" t="str">
            <v xml:space="preserve">KG    </v>
          </cell>
          <cell r="D1093" t="str">
            <v>CR</v>
          </cell>
          <cell r="E1093" t="str">
            <v>8,85</v>
          </cell>
        </row>
        <row r="1094">
          <cell r="A1094">
            <v>10957</v>
          </cell>
          <cell r="B1094" t="str">
            <v xml:space="preserve">CHAPA DE ACO GROSSA, ASTM A36, E = 3/4 " (19,05 MM) 149,39 KG/M2                                                                                                                                                                                                                                                                                                                                                                                                                                          </v>
          </cell>
          <cell r="C1094" t="str">
            <v xml:space="preserve">KG    </v>
          </cell>
          <cell r="D1094" t="str">
            <v>CR</v>
          </cell>
          <cell r="E1094" t="str">
            <v>10,21</v>
          </cell>
        </row>
        <row r="1095">
          <cell r="A1095">
            <v>1332</v>
          </cell>
          <cell r="B1095" t="str">
            <v xml:space="preserve">CHAPA DE ACO GROSSA, ASTM A36, E = 3/8 " (9,53 MM) 74,69 KG/M2                                                                                                                                                                                                                                                                                                                                                                                                                                            </v>
          </cell>
          <cell r="C1095" t="str">
            <v xml:space="preserve">KG    </v>
          </cell>
          <cell r="D1095" t="str">
            <v>CR</v>
          </cell>
          <cell r="E1095" t="str">
            <v>9,08</v>
          </cell>
        </row>
        <row r="1096">
          <cell r="A1096">
            <v>1334</v>
          </cell>
          <cell r="B1096" t="str">
            <v xml:space="preserve">CHAPA DE ACO GROSSA, ASTM A36, E = 5/8 " (15,88 MM) 124,49 KG/M2                                                                                                                                                                                                                                                                                                                                                                                                                                          </v>
          </cell>
          <cell r="C1096" t="str">
            <v xml:space="preserve">KG    </v>
          </cell>
          <cell r="D1096" t="str">
            <v>CR</v>
          </cell>
          <cell r="E1096" t="str">
            <v>10,07</v>
          </cell>
        </row>
        <row r="1097">
          <cell r="A1097">
            <v>1335</v>
          </cell>
          <cell r="B1097" t="str">
            <v xml:space="preserve">CHAPA DE ACO GROSSA, ASTM A36, E = 7/8 " (22,23 MM) 174,28 KG/M2                                                                                                                                                                                                                                                                                                                                                                                                                                          </v>
          </cell>
          <cell r="C1097" t="str">
            <v xml:space="preserve">KG    </v>
          </cell>
          <cell r="D1097" t="str">
            <v>CR</v>
          </cell>
          <cell r="E1097" t="str">
            <v>10,40</v>
          </cell>
        </row>
        <row r="1098">
          <cell r="A1098">
            <v>40425</v>
          </cell>
          <cell r="B1098" t="str">
            <v xml:space="preserve">CHAPA DE ACO GROSSA, SAE 1020, BITOLA 1/4", E = 6,35 MM (49,85 KG/M2)                                                                                                                                                                                                                                                                                                                                                                                                                                     </v>
          </cell>
          <cell r="C1098" t="str">
            <v xml:space="preserve">KG    </v>
          </cell>
          <cell r="D1098" t="str">
            <v>CR</v>
          </cell>
          <cell r="E1098" t="str">
            <v>8,90</v>
          </cell>
        </row>
        <row r="1099">
          <cell r="A1099">
            <v>1337</v>
          </cell>
          <cell r="B1099" t="str">
            <v xml:space="preserve">CHAPA DE ACO XADREZ PARA PISOS, E = 1/4 " (6,30 MM) 54,53 KG/M2                                                                                                                                                                                                                                                                                                                                                                                                                                           </v>
          </cell>
          <cell r="C1099" t="str">
            <v xml:space="preserve">KG    </v>
          </cell>
          <cell r="D1099" t="str">
            <v>CR</v>
          </cell>
          <cell r="E1099" t="str">
            <v>10,21</v>
          </cell>
        </row>
        <row r="1100">
          <cell r="A1100">
            <v>1338</v>
          </cell>
          <cell r="B1100" t="str">
            <v xml:space="preserve">CHAPA DE LAMINADO MELAMINICO, LISO BRILHANTE, DE 1,25 X 3,08 METROS, ESPESSURA = 0,8 MILIMETROS                                                                                                                                                                                                                                                                                                                                                                                                           </v>
          </cell>
          <cell r="C1100" t="str">
            <v xml:space="preserve">M2    </v>
          </cell>
          <cell r="D1100" t="str">
            <v xml:space="preserve">C </v>
          </cell>
          <cell r="E1100" t="str">
            <v>73,29</v>
          </cell>
        </row>
        <row r="1101">
          <cell r="A1101">
            <v>1340</v>
          </cell>
          <cell r="B1101" t="str">
            <v xml:space="preserve">CHAPA DE LAMINADO MELAMINICO, LISO FOSCO, DE 1,25 X 3,08 METROS, ESPESSURA = 0,8 MILIMETROS                                                                                                                                                                                                                                                                                                                                                                                                               </v>
          </cell>
          <cell r="C1101" t="str">
            <v xml:space="preserve">M2    </v>
          </cell>
          <cell r="D1101" t="str">
            <v>CR</v>
          </cell>
          <cell r="E1101" t="str">
            <v>84,73</v>
          </cell>
        </row>
        <row r="1102">
          <cell r="A1102">
            <v>1341</v>
          </cell>
          <cell r="B1102" t="str">
            <v xml:space="preserve">CHAPA DE LAMINADO MELAMINICO, TEXTURIZADO, DE 1,25 X 3,08 METROS, ESPESSURA = 0,8 MILIMETROS                                                                                                                                                                                                                                                                                                                                                                                                              </v>
          </cell>
          <cell r="C1102" t="str">
            <v xml:space="preserve">M2    </v>
          </cell>
          <cell r="D1102" t="str">
            <v>CR</v>
          </cell>
          <cell r="E1102" t="str">
            <v>81,61</v>
          </cell>
        </row>
        <row r="1103">
          <cell r="A1103">
            <v>34659</v>
          </cell>
          <cell r="B1103" t="str">
            <v xml:space="preserve">CHAPA DE MDF BRANCO LISO 1 FACE, E = 12 MM, DE *2,75 X 1,85* M                                                                                                                                                                                                                                                                                                                                                                                                                                            </v>
          </cell>
          <cell r="C1103" t="str">
            <v xml:space="preserve">M2    </v>
          </cell>
          <cell r="D1103" t="str">
            <v>CR</v>
          </cell>
          <cell r="E1103" t="str">
            <v>35,49</v>
          </cell>
        </row>
        <row r="1104">
          <cell r="A1104">
            <v>34514</v>
          </cell>
          <cell r="B1104" t="str">
            <v xml:space="preserve">CHAPA DE MDF BRANCO LISO 1 FACE, E = 15 MM, DE *2,75 X 1,85* M                                                                                                                                                                                                                                                                                                                                                                                                                                            </v>
          </cell>
          <cell r="C1104" t="str">
            <v xml:space="preserve">M2    </v>
          </cell>
          <cell r="D1104" t="str">
            <v xml:space="preserve">C </v>
          </cell>
          <cell r="E1104" t="str">
            <v>39,31</v>
          </cell>
        </row>
        <row r="1105">
          <cell r="A1105">
            <v>34660</v>
          </cell>
          <cell r="B1105" t="str">
            <v xml:space="preserve">CHAPA DE MDF BRANCO LISO 1 FACE, E = 18 MM, DE *2,75 X 1,85* M                                                                                                                                                                                                                                                                                                                                                                                                                                            </v>
          </cell>
          <cell r="C1105" t="str">
            <v xml:space="preserve">M2    </v>
          </cell>
          <cell r="D1105" t="str">
            <v>CR</v>
          </cell>
          <cell r="E1105" t="str">
            <v>49,89</v>
          </cell>
        </row>
        <row r="1106">
          <cell r="A1106">
            <v>34661</v>
          </cell>
          <cell r="B1106" t="str">
            <v xml:space="preserve">CHAPA DE MDF BRANCO LISO 1 FACE, E = 25 MM, DE *2,75 X 1,85* M                                                                                                                                                                                                                                                                                                                                                                                                                                            </v>
          </cell>
          <cell r="C1106" t="str">
            <v xml:space="preserve">M2    </v>
          </cell>
          <cell r="D1106" t="str">
            <v>CR</v>
          </cell>
          <cell r="E1106" t="str">
            <v>71,65</v>
          </cell>
        </row>
        <row r="1107">
          <cell r="A1107">
            <v>34667</v>
          </cell>
          <cell r="B1107" t="str">
            <v xml:space="preserve">CHAPA DE MDF BRANCO LISO 1 FACE, E = 6 MM, DE *2,75 X 1,85* M                                                                                                                                                                                                                                                                                                                                                                                                                                             </v>
          </cell>
          <cell r="C1107" t="str">
            <v xml:space="preserve">M2    </v>
          </cell>
          <cell r="D1107" t="str">
            <v>CR</v>
          </cell>
          <cell r="E1107" t="str">
            <v>25,94</v>
          </cell>
        </row>
        <row r="1108">
          <cell r="A1108">
            <v>34668</v>
          </cell>
          <cell r="B1108" t="str">
            <v xml:space="preserve">CHAPA DE MDF BRANCO LISO 1 FACE, E = 9 MM, DE *2,75 X 1,85* M                                                                                                                                                                                                                                                                                                                                                                                                                                             </v>
          </cell>
          <cell r="C1108" t="str">
            <v xml:space="preserve">M2    </v>
          </cell>
          <cell r="D1108" t="str">
            <v>CR</v>
          </cell>
          <cell r="E1108" t="str">
            <v>33,91</v>
          </cell>
        </row>
        <row r="1109">
          <cell r="A1109">
            <v>34741</v>
          </cell>
          <cell r="B1109" t="str">
            <v xml:space="preserve">CHAPA DE MDF BRANCO LISO 2 FACES, E = 12 MM, DE *2,75 X 1,85* M                                                                                                                                                                                                                                                                                                                                                                                                                                           </v>
          </cell>
          <cell r="C1109" t="str">
            <v xml:space="preserve">M2    </v>
          </cell>
          <cell r="D1109" t="str">
            <v>CR</v>
          </cell>
          <cell r="E1109" t="str">
            <v>37,31</v>
          </cell>
        </row>
        <row r="1110">
          <cell r="A1110">
            <v>34664</v>
          </cell>
          <cell r="B1110" t="str">
            <v xml:space="preserve">CHAPA DE MDF BRANCO LISO 2 FACES, E = 15 MM, DE *2,75 X 1,85* M                                                                                                                                                                                                                                                                                                                                                                                                                                           </v>
          </cell>
          <cell r="C1110" t="str">
            <v xml:space="preserve">M2    </v>
          </cell>
          <cell r="D1110" t="str">
            <v>CR</v>
          </cell>
          <cell r="E1110" t="str">
            <v>40,71</v>
          </cell>
        </row>
        <row r="1111">
          <cell r="A1111">
            <v>34665</v>
          </cell>
          <cell r="B1111" t="str">
            <v xml:space="preserve">CHAPA DE MDF BRANCO LISO 2 FACES, E = 18 MM, DE *2,75 X 1,85* M                                                                                                                                                                                                                                                                                                                                                                                                                                           </v>
          </cell>
          <cell r="C1111" t="str">
            <v xml:space="preserve">M2    </v>
          </cell>
          <cell r="D1111" t="str">
            <v>CR</v>
          </cell>
          <cell r="E1111" t="str">
            <v>50,54</v>
          </cell>
        </row>
        <row r="1112">
          <cell r="A1112">
            <v>34666</v>
          </cell>
          <cell r="B1112" t="str">
            <v xml:space="preserve">CHAPA DE MDF BRANCO LISO 2 FACES, E = 25 MM, DE *2,75 X 1,85* M                                                                                                                                                                                                                                                                                                                                                                                                                                           </v>
          </cell>
          <cell r="C1112" t="str">
            <v xml:space="preserve">M2    </v>
          </cell>
          <cell r="D1112" t="str">
            <v>CR</v>
          </cell>
          <cell r="E1112" t="str">
            <v>76,34</v>
          </cell>
        </row>
        <row r="1113">
          <cell r="A1113">
            <v>34669</v>
          </cell>
          <cell r="B1113" t="str">
            <v xml:space="preserve">CHAPA DE MDF BRANCO LISO 2 FACES, E = 6 MM, DE *2,75 X 1,85* M                                                                                                                                                                                                                                                                                                                                                                                                                                            </v>
          </cell>
          <cell r="C1113" t="str">
            <v xml:space="preserve">M2    </v>
          </cell>
          <cell r="D1113" t="str">
            <v>CR</v>
          </cell>
          <cell r="E1113" t="str">
            <v>27,99</v>
          </cell>
        </row>
        <row r="1114">
          <cell r="A1114">
            <v>34670</v>
          </cell>
          <cell r="B1114" t="str">
            <v xml:space="preserve">CHAPA DE MDF BRANCO LISO 2 FACES, E = 9 MM, DE *2,75 X 1,85* M                                                                                                                                                                                                                                                                                                                                                                                                                                            </v>
          </cell>
          <cell r="C1114" t="str">
            <v xml:space="preserve">M2    </v>
          </cell>
          <cell r="D1114" t="str">
            <v>CR</v>
          </cell>
          <cell r="E1114" t="str">
            <v>34,23</v>
          </cell>
        </row>
        <row r="1115">
          <cell r="A1115">
            <v>34671</v>
          </cell>
          <cell r="B1115" t="str">
            <v xml:space="preserve">CHAPA DE MDF CRU, E = 12 MM, DE *2,75 X 1,85* M                                                                                                                                                                                                                                                                                                                                                                                                                                                           </v>
          </cell>
          <cell r="C1115" t="str">
            <v xml:space="preserve">M2    </v>
          </cell>
          <cell r="D1115" t="str">
            <v>CR</v>
          </cell>
          <cell r="E1115" t="str">
            <v>28,57</v>
          </cell>
        </row>
        <row r="1116">
          <cell r="A1116">
            <v>34672</v>
          </cell>
          <cell r="B1116" t="str">
            <v xml:space="preserve">CHAPA DE MDF CRU, E = 15 MM, DE *2,75 X 1,85* M                                                                                                                                                                                                                                                                                                                                                                                                                                                           </v>
          </cell>
          <cell r="C1116" t="str">
            <v xml:space="preserve">M2    </v>
          </cell>
          <cell r="D1116" t="str">
            <v>CR</v>
          </cell>
          <cell r="E1116" t="str">
            <v>30,13</v>
          </cell>
        </row>
        <row r="1117">
          <cell r="A1117">
            <v>34673</v>
          </cell>
          <cell r="B1117" t="str">
            <v xml:space="preserve">CHAPA DE MDF CRU, E = 18 MM, DE *2,75 X 1,85* M                                                                                                                                                                                                                                                                                                                                                                                                                                                           </v>
          </cell>
          <cell r="C1117" t="str">
            <v xml:space="preserve">M2    </v>
          </cell>
          <cell r="D1117" t="str">
            <v>CR</v>
          </cell>
          <cell r="E1117" t="str">
            <v>36,77</v>
          </cell>
        </row>
        <row r="1118">
          <cell r="A1118">
            <v>34674</v>
          </cell>
          <cell r="B1118" t="str">
            <v xml:space="preserve">CHAPA DE MDF CRU, E = 20 MM, DE *2,75 X 1,85* M                                                                                                                                                                                                                                                                                                                                                                                                                                                           </v>
          </cell>
          <cell r="C1118" t="str">
            <v xml:space="preserve">M2    </v>
          </cell>
          <cell r="D1118" t="str">
            <v>CR</v>
          </cell>
          <cell r="E1118" t="str">
            <v>48,88</v>
          </cell>
        </row>
        <row r="1119">
          <cell r="A1119">
            <v>34675</v>
          </cell>
          <cell r="B1119" t="str">
            <v xml:space="preserve">CHAPA DE MDF CRU, E = 25 MM, DE *2,75 X 1,85* M                                                                                                                                                                                                                                                                                                                                                                                                                                                           </v>
          </cell>
          <cell r="C1119" t="str">
            <v xml:space="preserve">M2    </v>
          </cell>
          <cell r="D1119" t="str">
            <v>CR</v>
          </cell>
          <cell r="E1119" t="str">
            <v>59,60</v>
          </cell>
        </row>
        <row r="1120">
          <cell r="A1120">
            <v>34676</v>
          </cell>
          <cell r="B1120" t="str">
            <v xml:space="preserve">CHAPA DE MDF CRU, E = 6 MM, DE *2,75 X 1,85* M                                                                                                                                                                                                                                                                                                                                                                                                                                                            </v>
          </cell>
          <cell r="C1120" t="str">
            <v xml:space="preserve">M2    </v>
          </cell>
          <cell r="D1120" t="str">
            <v>CR</v>
          </cell>
          <cell r="E1120" t="str">
            <v>17,16</v>
          </cell>
        </row>
        <row r="1121">
          <cell r="A1121">
            <v>34677</v>
          </cell>
          <cell r="B1121" t="str">
            <v xml:space="preserve">CHAPA DE MDF CRU, E = 9 MM, DE *2,75 X 1,85* M                                                                                                                                                                                                                                                                                                                                                                                                                                                            </v>
          </cell>
          <cell r="C1121" t="str">
            <v xml:space="preserve">M2    </v>
          </cell>
          <cell r="D1121" t="str">
            <v>CR</v>
          </cell>
          <cell r="E1121" t="str">
            <v>23,07</v>
          </cell>
        </row>
        <row r="1122">
          <cell r="A1122">
            <v>43126</v>
          </cell>
          <cell r="B1122" t="str">
            <v xml:space="preserve">CHAPA EM ACO GALVANIZADO PARA STEEL DECK, COM NERVURAS TRAPEZOIDAIS, LARGURA UTIL DE 915 MM E ESPESSURA DE 0,80 MM                                                                                                                                                                                                                                                                                                                                                                                        </v>
          </cell>
          <cell r="C1122" t="str">
            <v xml:space="preserve">M2    </v>
          </cell>
          <cell r="D1122" t="str">
            <v>CR</v>
          </cell>
          <cell r="E1122" t="str">
            <v>104,75</v>
          </cell>
        </row>
        <row r="1123">
          <cell r="A1123">
            <v>43124</v>
          </cell>
          <cell r="B1123" t="str">
            <v xml:space="preserve">CHAPA EM ACO GALVANIZADO PARA STEEL DECK, COM NERVURAS TRAPEZOIDAIS, LARGURA UTIL DE 915 MM E ESPESSURA DE 0,95 MM                                                                                                                                                                                                                                                                                                                                                                                        </v>
          </cell>
          <cell r="C1123" t="str">
            <v xml:space="preserve">M2    </v>
          </cell>
          <cell r="D1123" t="str">
            <v>CR</v>
          </cell>
          <cell r="E1123" t="str">
            <v>122,30</v>
          </cell>
        </row>
        <row r="1124">
          <cell r="A1124">
            <v>43125</v>
          </cell>
          <cell r="B1124" t="str">
            <v xml:space="preserve">CHAPA EM ACO GALVANIZADO PARA STEEL DECK, COM NERVURAS TRAPEZOIDAIS, LARGURA UTIL DE 915 MM E ESPESSURA DE 1,25 MM                                                                                                                                                                                                                                                                                                                                                                                        </v>
          </cell>
          <cell r="C1124" t="str">
            <v xml:space="preserve">M2    </v>
          </cell>
          <cell r="D1124" t="str">
            <v>CR</v>
          </cell>
          <cell r="E1124" t="str">
            <v>158,62</v>
          </cell>
        </row>
        <row r="1125">
          <cell r="A1125">
            <v>40623</v>
          </cell>
          <cell r="B1125" t="str">
            <v xml:space="preserve">CHAPA PARA EMENDA DE VIGA, EM ACO GROSSO, QUALIDADE ESTRUTURAL, BITOLA 3/16 ", E= 4,75 MM, 4 FUROS, LARGURA 45 MM, COMPRIMENTO 500 MM                                                                                                                                                                                                                                                                                                                                                                     </v>
          </cell>
          <cell r="C1125" t="str">
            <v xml:space="preserve">PAR   </v>
          </cell>
          <cell r="D1125" t="str">
            <v>CR</v>
          </cell>
          <cell r="E1125" t="str">
            <v>99,41</v>
          </cell>
        </row>
        <row r="1126">
          <cell r="A1126">
            <v>43701</v>
          </cell>
          <cell r="B1126" t="str">
            <v xml:space="preserve">CHAPA/BOBINA LISA EM ALUMINIO, LIGA 1.200 - H14, QUALQUER ESPESSURA, QUALQUER LARGURA                                                                                                                                                                                                                                                                                                                                                                                                                     </v>
          </cell>
          <cell r="C1126" t="str">
            <v xml:space="preserve">KG    </v>
          </cell>
          <cell r="D1126" t="str">
            <v xml:space="preserve">C </v>
          </cell>
          <cell r="E1126" t="str">
            <v>34,81</v>
          </cell>
        </row>
        <row r="1127">
          <cell r="A1127">
            <v>1345</v>
          </cell>
          <cell r="B1127" t="str">
            <v xml:space="preserve">CHAPA/PAINEL DE MADEIRA COMPENSADA PLASTIFICADA (MADEIRITE PLASTIFICADO) PARA FORMA DE CONCRETO, DE 2200 x 1100 MM, E = *17* MM                                                                                                                                                                                                                                                                                                                                                                           </v>
          </cell>
          <cell r="C1127" t="str">
            <v xml:space="preserve">M2    </v>
          </cell>
          <cell r="D1127" t="str">
            <v>CR</v>
          </cell>
          <cell r="E1127" t="str">
            <v>68,51</v>
          </cell>
        </row>
        <row r="1128">
          <cell r="A1128">
            <v>1346</v>
          </cell>
          <cell r="B1128" t="str">
            <v xml:space="preserve">CHAPA/PAINEL DE MADEIRA COMPENSADA PLASTIFICADA (MADEIRITE PLASTIFICADO) PARA FORMA DE CONCRETO, DE 2200 x 1100 MM, E = 10 MM                                                                                                                                                                                                                                                                                                                                                                             </v>
          </cell>
          <cell r="C1128" t="str">
            <v xml:space="preserve">M2    </v>
          </cell>
          <cell r="D1128" t="str">
            <v>CR</v>
          </cell>
          <cell r="E1128" t="str">
            <v>39,85</v>
          </cell>
        </row>
        <row r="1129">
          <cell r="A1129">
            <v>1347</v>
          </cell>
          <cell r="B1129" t="str">
            <v xml:space="preserve">CHAPA/PAINEL DE MADEIRA COMPENSADA PLASTIFICADA (MADEIRITE PLASTIFICADO) PARA FORMA DE CONCRETO, DE 2200 x 1100 MM, E = 12 MM                                                                                                                                                                                                                                                                                                                                                                             </v>
          </cell>
          <cell r="C1129" t="str">
            <v xml:space="preserve">M2    </v>
          </cell>
          <cell r="D1129" t="str">
            <v>CR</v>
          </cell>
          <cell r="E1129" t="str">
            <v>49,38</v>
          </cell>
        </row>
        <row r="1130">
          <cell r="A1130">
            <v>43678</v>
          </cell>
          <cell r="B1130" t="str">
            <v xml:space="preserve">CHAPA/PAINEL DE MADEIRA COMPENSADA PLASTIFICADA (MADEIRITE PLASTIFICADO) PARA FORMA DE CONCRETO, DE 2200 X 1100 MM, E = 14 MM                                                                                                                                                                                                                                                                                                                                                                             </v>
          </cell>
          <cell r="C1130" t="str">
            <v xml:space="preserve">M2    </v>
          </cell>
          <cell r="D1130" t="str">
            <v>CR</v>
          </cell>
          <cell r="E1130" t="str">
            <v>57,28</v>
          </cell>
        </row>
        <row r="1131">
          <cell r="A1131">
            <v>43680</v>
          </cell>
          <cell r="B1131" t="str">
            <v xml:space="preserve">CHAPA/PAINEL DE MADEIRA COMPENSADA PLASTIFICADA (MADEIRITE PLASTIFICADO) PARA FORMA DE CONCRETO, DE 2200 X 1100 MM, E = 20 MM                                                                                                                                                                                                                                                                                                                                                                             </v>
          </cell>
          <cell r="C1131" t="str">
            <v xml:space="preserve">M2    </v>
          </cell>
          <cell r="D1131" t="str">
            <v>CR</v>
          </cell>
          <cell r="E1131" t="str">
            <v>82,52</v>
          </cell>
        </row>
        <row r="1132">
          <cell r="A1132">
            <v>43679</v>
          </cell>
          <cell r="B1132" t="str">
            <v xml:space="preserve">CHAPA/PAINEL DE MADEIRA COMPENSADA PLASTIFICADA (MADEIRITE PLASTIFICADO) PARA FORMA DE CONCRETO, DE 2200 X 1100 MM, E = 6 MM                                                                                                                                                                                                                                                                                                                                                                              </v>
          </cell>
          <cell r="C1132" t="str">
            <v xml:space="preserve">M2    </v>
          </cell>
          <cell r="D1132" t="str">
            <v>CR</v>
          </cell>
          <cell r="E1132" t="str">
            <v>28,96</v>
          </cell>
        </row>
        <row r="1133">
          <cell r="A1133">
            <v>1355</v>
          </cell>
          <cell r="B1133" t="str">
            <v xml:space="preserve">CHAPA/PAINEL DE MADEIRA COMPENSADA RESINADA (MADEIRITE RESINADO ROSA) PARA FORMA DE CONCRETO, DE 2200 x 1100 MM, E = 14 MM                                                                                                                                                                                                                                                                                                                                                                                </v>
          </cell>
          <cell r="C1133" t="str">
            <v xml:space="preserve">M2    </v>
          </cell>
          <cell r="D1133" t="str">
            <v>CR</v>
          </cell>
          <cell r="E1133" t="str">
            <v>32,95</v>
          </cell>
        </row>
        <row r="1134">
          <cell r="A1134">
            <v>1358</v>
          </cell>
          <cell r="B1134" t="str">
            <v xml:space="preserve">CHAPA/PAINEL DE MADEIRA COMPENSADA RESINADA (MADEIRITE RESINADO ROSA) PARA FORMA DE CONCRETO, DE 2200 x 1100 MM, E = 17 MM                                                                                                                                                                                                                                                                                                                                                                                </v>
          </cell>
          <cell r="C1134" t="str">
            <v xml:space="preserve">M2    </v>
          </cell>
          <cell r="D1134" t="str">
            <v>CR</v>
          </cell>
          <cell r="E1134" t="str">
            <v>40,46</v>
          </cell>
        </row>
        <row r="1135">
          <cell r="A1135">
            <v>43681</v>
          </cell>
          <cell r="B1135" t="str">
            <v xml:space="preserve">CHAPA/PAINEL DE MADEIRA COMPENSADA RESINADA (MADEIRITE RESINADO ROSA) PARA FORMA DE CONCRETO, DE 2200 x 1100 MM, E = 8 A 12 MM                                                                                                                                                                                                                                                                                                                                                                            </v>
          </cell>
          <cell r="C1135" t="str">
            <v xml:space="preserve">M2    </v>
          </cell>
          <cell r="D1135" t="str">
            <v xml:space="preserve">C </v>
          </cell>
          <cell r="E1135" t="str">
            <v>25,49</v>
          </cell>
        </row>
        <row r="1136">
          <cell r="A1136">
            <v>43677</v>
          </cell>
          <cell r="B1136" t="str">
            <v xml:space="preserve">CHAPA/PAINEL DE MADEIRA COMPENSADA RESINADA (MADEIRITE RESINADO ROSA) PARA FORMA DE CONCRETO, DE 2200 X 1100 MM, E = 20 MM                                                                                                                                                                                                                                                                                                                                                                                </v>
          </cell>
          <cell r="C1136" t="str">
            <v xml:space="preserve">M2    </v>
          </cell>
          <cell r="D1136" t="str">
            <v>CR</v>
          </cell>
          <cell r="E1136" t="str">
            <v>50,19</v>
          </cell>
        </row>
        <row r="1137">
          <cell r="A1137">
            <v>43682</v>
          </cell>
          <cell r="B1137" t="str">
            <v xml:space="preserve">CHAPA/PAINEL DE MADEIRA COMPENSADA RESINADA (MADEIRITE RESINADO ROSA) PARA FORMA DE CONCRETO, DE 2200 X 1100 MM, E = 6 MM                                                                                                                                                                                                                                                                                                                                                                                 </v>
          </cell>
          <cell r="C1137" t="str">
            <v xml:space="preserve">M2    </v>
          </cell>
          <cell r="D1137" t="str">
            <v>CR</v>
          </cell>
          <cell r="E1137" t="str">
            <v>15,39</v>
          </cell>
        </row>
        <row r="1138">
          <cell r="A1138">
            <v>20971</v>
          </cell>
          <cell r="B1138" t="str">
            <v xml:space="preserve">CHAVE DUPLA PARA CONEXOES TIPO STORZ, ENGATE RAPIDO 1 1/2" X 2 1/2", EM LATAO, PARA INSTALACAO PREDIAL COMBATE A INCENDIO                                                                                                                                                                                                                                                                                                                                                                                 </v>
          </cell>
          <cell r="C1138" t="str">
            <v xml:space="preserve">UN    </v>
          </cell>
          <cell r="D1138" t="str">
            <v>CR</v>
          </cell>
          <cell r="E1138" t="str">
            <v>28,57</v>
          </cell>
        </row>
        <row r="1139">
          <cell r="A1139">
            <v>39746</v>
          </cell>
          <cell r="B1139" t="str">
            <v xml:space="preserve">CHUMBADOR DE ACO GALVANIZADO, 1" X 600 MM, PARA POSTES DE ACO COM BASE, INCLUSO PORCA E ARRUELA                                                                                                                                                                                                                                                                                                                                                                                                           </v>
          </cell>
          <cell r="C1139" t="str">
            <v xml:space="preserve">UN    </v>
          </cell>
          <cell r="D1139" t="str">
            <v>CR</v>
          </cell>
          <cell r="E1139" t="str">
            <v>86,50</v>
          </cell>
        </row>
        <row r="1140">
          <cell r="A1140">
            <v>13279</v>
          </cell>
          <cell r="B1140" t="str">
            <v xml:space="preserve">CHUMBADOR DE ACO TIPO PARABOLT, * 5/8" X 200* MM,  COM PORCA E ARRUELA                                                                                                                                                                                                                                                                                                                                                                                                                                    </v>
          </cell>
          <cell r="C1140" t="str">
            <v xml:space="preserve">KG    </v>
          </cell>
          <cell r="D1140" t="str">
            <v>CR</v>
          </cell>
          <cell r="E1140" t="str">
            <v>21,90</v>
          </cell>
        </row>
        <row r="1141">
          <cell r="A1141">
            <v>11977</v>
          </cell>
          <cell r="B1141" t="str">
            <v xml:space="preserve">CHUMBADOR DE ACO ZINCADO, DIAMETRO 1/2", COMPRIMENTO 75 MM                                                                                                                                                                                                                                                                                                                                                                                                                                                </v>
          </cell>
          <cell r="C1141" t="str">
            <v xml:space="preserve">UN    </v>
          </cell>
          <cell r="D1141" t="str">
            <v>CR</v>
          </cell>
          <cell r="E1141" t="str">
            <v>11,35</v>
          </cell>
        </row>
        <row r="1142">
          <cell r="A1142">
            <v>11976</v>
          </cell>
          <cell r="B1142" t="str">
            <v xml:space="preserve">CHUMBADOR DE ACO ZINCADO, DIAMETRO 1/4" COM PARAFUSO 1/4" X 40 MM                                                                                                                                                                                                                                                                                                                                                                                                                                         </v>
          </cell>
          <cell r="C1142" t="str">
            <v xml:space="preserve">UN    </v>
          </cell>
          <cell r="D1142" t="str">
            <v>CR</v>
          </cell>
          <cell r="E1142" t="str">
            <v>1,27</v>
          </cell>
        </row>
        <row r="1143">
          <cell r="A1143">
            <v>11975</v>
          </cell>
          <cell r="B1143" t="str">
            <v xml:space="preserve">CHUMBADOR DE ACO ZINCADO, DIAMETRO 5/8", COMPRIMENTO 6", COM PORCA                                                                                                                                                                                                                                                                                                                                                                                                                                        </v>
          </cell>
          <cell r="C1143" t="str">
            <v xml:space="preserve">UN    </v>
          </cell>
          <cell r="D1143" t="str">
            <v>CR</v>
          </cell>
          <cell r="E1143" t="str">
            <v>24,87</v>
          </cell>
        </row>
        <row r="1144">
          <cell r="A1144">
            <v>1368</v>
          </cell>
          <cell r="B1144" t="str">
            <v xml:space="preserve">CHUVEIRO COMUM EM PLASTICO BRANCO, COM CANO, 3 TEMPERATURAS, 5500 W (110/220 V)                                                                                                                                                                                                                                                                                                                                                                                                                           </v>
          </cell>
          <cell r="C1144" t="str">
            <v xml:space="preserve">UN    </v>
          </cell>
          <cell r="D1144" t="str">
            <v xml:space="preserve">C </v>
          </cell>
          <cell r="E1144" t="str">
            <v>89,90</v>
          </cell>
        </row>
        <row r="1145">
          <cell r="A1145">
            <v>1367</v>
          </cell>
          <cell r="B1145" t="str">
            <v xml:space="preserve">CHUVEIRO COMUM EM PLASTICO CROMADO, COM CANO, 4 TEMPERATURAS (110/220 V)                                                                                                                                                                                                                                                                                                                                                                                                                                  </v>
          </cell>
          <cell r="C1145" t="str">
            <v xml:space="preserve">UN    </v>
          </cell>
          <cell r="D1145" t="str">
            <v>CR</v>
          </cell>
          <cell r="E1145" t="str">
            <v>290,80</v>
          </cell>
        </row>
        <row r="1146">
          <cell r="A1146">
            <v>1380</v>
          </cell>
          <cell r="B1146" t="str">
            <v xml:space="preserve">CIMENTO BRANCO NAO ESTRUTURAL (CPB - NAO ESTRUTURAL)                                                                                                                                                                                                                                                                                                                                                                                                                                                      </v>
          </cell>
          <cell r="C1146" t="str">
            <v xml:space="preserve">KG    </v>
          </cell>
          <cell r="D1146" t="str">
            <v>CR</v>
          </cell>
          <cell r="E1146" t="str">
            <v>4,15</v>
          </cell>
        </row>
        <row r="1147">
          <cell r="A1147">
            <v>1375</v>
          </cell>
          <cell r="B1147" t="str">
            <v xml:space="preserve">CIMENTO IMPERMEABILIZANTE DE PEGA ULTRARRAPIDA PARA TAMPONAMENTOS                                                                                                                                                                                                                                                                                                                                                                                                                                         </v>
          </cell>
          <cell r="C1147" t="str">
            <v xml:space="preserve">KG    </v>
          </cell>
          <cell r="D1147" t="str">
            <v>CR</v>
          </cell>
          <cell r="E1147" t="str">
            <v>16,75</v>
          </cell>
        </row>
        <row r="1148">
          <cell r="A1148">
            <v>1379</v>
          </cell>
          <cell r="B1148" t="str">
            <v xml:space="preserve">CIMENTO PORTLAND COMPOSTO CP II-32                                                                                                                                                                                                                                                                                                                                                                                                                                                                        </v>
          </cell>
          <cell r="C1148" t="str">
            <v xml:space="preserve">KG    </v>
          </cell>
          <cell r="D1148" t="str">
            <v xml:space="preserve">C </v>
          </cell>
          <cell r="E1148" t="str">
            <v>0,62</v>
          </cell>
        </row>
        <row r="1149">
          <cell r="A1149">
            <v>13284</v>
          </cell>
          <cell r="B1149" t="str">
            <v xml:space="preserve">CIMENTO PORTLAND DE ALTO FORNO (AF) CP III-40                                                                                                                                                                                                                                                                                                                                                                                                                                                             </v>
          </cell>
          <cell r="C1149" t="str">
            <v xml:space="preserve">KG    </v>
          </cell>
          <cell r="D1149" t="str">
            <v>CR</v>
          </cell>
          <cell r="E1149" t="str">
            <v>0,56</v>
          </cell>
        </row>
        <row r="1150">
          <cell r="A1150">
            <v>44528</v>
          </cell>
          <cell r="B1150" t="str">
            <v xml:space="preserve">CIMENTO PORTLAND ESTRUTURAL BRANCO CPB - 32 ou CPB - 40                                                                                                                                                                                                                                                                                                                                                                                                                                                   </v>
          </cell>
          <cell r="C1150" t="str">
            <v xml:space="preserve">KG    </v>
          </cell>
          <cell r="D1150" t="str">
            <v>CR</v>
          </cell>
          <cell r="E1150" t="str">
            <v>3,30</v>
          </cell>
        </row>
        <row r="1151">
          <cell r="A1151">
            <v>34753</v>
          </cell>
          <cell r="B1151" t="str">
            <v xml:space="preserve">CIMENTO PORTLAND POZOLANICO CP IV-32                                                                                                                                                                                                                                                                                                                                                                                                                                                                      </v>
          </cell>
          <cell r="C1151" t="str">
            <v xml:space="preserve">KG    </v>
          </cell>
          <cell r="D1151" t="str">
            <v>CR</v>
          </cell>
          <cell r="E1151" t="str">
            <v>0,60</v>
          </cell>
        </row>
        <row r="1152">
          <cell r="A1152">
            <v>420</v>
          </cell>
          <cell r="B1152" t="str">
            <v xml:space="preserve">CINTA CIRCULAR EM ACO GALVANIZADO DE 150 MM DE DIAMETRO PARA FIXACAO DE CAIXA MEDICAO, INCLUI PARAFUSOS E PORCAS                                                                                                                                                                                                                                                                                                                                                                                          </v>
          </cell>
          <cell r="C1152" t="str">
            <v xml:space="preserve">UN    </v>
          </cell>
          <cell r="D1152" t="str">
            <v>CR</v>
          </cell>
          <cell r="E1152" t="str">
            <v>26,20</v>
          </cell>
        </row>
        <row r="1153">
          <cell r="A1153">
            <v>12327</v>
          </cell>
          <cell r="B1153" t="str">
            <v xml:space="preserve">CINTA CIRCULAR EM ACO GALVANIZADO DE 210 MM DE DIAMETRO PARA INSTALACAO DE TRANSFORMADOR EM POSTE DE CONCRETO                                                                                                                                                                                                                                                                                                                                                                                             </v>
          </cell>
          <cell r="C1153" t="str">
            <v xml:space="preserve">UN    </v>
          </cell>
          <cell r="D1153" t="str">
            <v>CR</v>
          </cell>
          <cell r="E1153" t="str">
            <v>31,22</v>
          </cell>
        </row>
        <row r="1154">
          <cell r="A1154">
            <v>36148</v>
          </cell>
          <cell r="B1154" t="str">
            <v xml:space="preserve">CINTURAO DE SEGURANCA TIPO PARAQUEDISTA, FIVELA EM ACO, AJUSTE NO SUSPENSARIO, CINTURA E PERNAS                                                                                                                                                                                                                                                                                                                                                                                                           </v>
          </cell>
          <cell r="C1154" t="str">
            <v xml:space="preserve">UN    </v>
          </cell>
          <cell r="D1154" t="str">
            <v>CR</v>
          </cell>
          <cell r="E1154" t="str">
            <v>72,00</v>
          </cell>
        </row>
        <row r="1155">
          <cell r="A1155">
            <v>12329</v>
          </cell>
          <cell r="B1155" t="str">
            <v xml:space="preserve">COBRE ELETROLITICO EM BARRA OU CHAPA                                                                                                                                                                                                                                                                                                                                                                                                                                                                      </v>
          </cell>
          <cell r="C1155" t="str">
            <v xml:space="preserve">KG    </v>
          </cell>
          <cell r="D1155" t="str">
            <v>CR</v>
          </cell>
          <cell r="E1155" t="str">
            <v>103,06</v>
          </cell>
        </row>
        <row r="1156">
          <cell r="A1156">
            <v>1339</v>
          </cell>
          <cell r="B1156" t="str">
            <v xml:space="preserve">COLA A BASE DE RESINA SINTETICA PARA CHAPA DE LAMINADO MELAMINICO                                                                                                                                                                                                                                                                                                                                                                                                                                         </v>
          </cell>
          <cell r="C1156" t="str">
            <v xml:space="preserve">KG    </v>
          </cell>
          <cell r="D1156" t="str">
            <v>CR</v>
          </cell>
          <cell r="E1156" t="str">
            <v>73,48</v>
          </cell>
        </row>
        <row r="1157">
          <cell r="A1157">
            <v>44396</v>
          </cell>
          <cell r="B1157" t="str">
            <v xml:space="preserve">COLA BRANCA BASE PVA                                                                                                                                                                                                                                                                                                                                                                                                                                                                                      </v>
          </cell>
          <cell r="C1157" t="str">
            <v xml:space="preserve">KG    </v>
          </cell>
          <cell r="D1157" t="str">
            <v>CR</v>
          </cell>
          <cell r="E1157" t="str">
            <v>42,87</v>
          </cell>
        </row>
        <row r="1158">
          <cell r="A1158">
            <v>44327</v>
          </cell>
          <cell r="B1158" t="str">
            <v xml:space="preserve">COLA PARA TUBOS E MANTAS ELASTOMERICAS, A BASE DE SOLVENTE                                                                                                                                                                                                                                                                                                                                                                                                                                                </v>
          </cell>
          <cell r="C1158" t="str">
            <v xml:space="preserve">L     </v>
          </cell>
          <cell r="D1158" t="str">
            <v>CR</v>
          </cell>
          <cell r="E1158" t="str">
            <v>145,81</v>
          </cell>
        </row>
        <row r="1159">
          <cell r="A1159">
            <v>37418</v>
          </cell>
          <cell r="B1159" t="str">
            <v xml:space="preserve">COLAR DE TOMADA EM POLIPROPILENO, PP, COM PARAFUSOS, PARA PEAD, 63 X 1/2" - LIGACAO PREDIAL DE AGUA                                                                                                                                                                                                                                                                                                                                                                                                       </v>
          </cell>
          <cell r="C1159" t="str">
            <v xml:space="preserve">UN    </v>
          </cell>
          <cell r="D1159" t="str">
            <v>CR</v>
          </cell>
          <cell r="E1159" t="str">
            <v>16,71</v>
          </cell>
        </row>
        <row r="1160">
          <cell r="A1160">
            <v>37419</v>
          </cell>
          <cell r="B1160" t="str">
            <v xml:space="preserve">COLAR DE TOMADA EM POLIPROPILENO, PP, COM PARAFUSOS, PARA PEAD, 63 X 3/4" - LIGACAO PREDIAL DE AGUA                                                                                                                                                                                                                                                                                                                                                                                                       </v>
          </cell>
          <cell r="C1160" t="str">
            <v xml:space="preserve">UN    </v>
          </cell>
          <cell r="D1160" t="str">
            <v>CR</v>
          </cell>
          <cell r="E1160" t="str">
            <v>17,16</v>
          </cell>
        </row>
        <row r="1161">
          <cell r="A1161">
            <v>1427</v>
          </cell>
          <cell r="B1161" t="str">
            <v xml:space="preserve">COLAR TOMADA PVC, COM TRAVAS, SAIDA COM ROSCA, DE 110 MM X 1/2" OU 110 MM X 3/4", PARA LIGACAO PREDIAL DE AGUA                                                                                                                                                                                                                                                                                                                                                                                            </v>
          </cell>
          <cell r="C1161" t="str">
            <v xml:space="preserve">UN    </v>
          </cell>
          <cell r="D1161" t="str">
            <v>CR</v>
          </cell>
          <cell r="E1161" t="str">
            <v>17,32</v>
          </cell>
        </row>
        <row r="1162">
          <cell r="A1162">
            <v>1402</v>
          </cell>
          <cell r="B1162" t="str">
            <v xml:space="preserve">COLAR TOMADA PVC, COM TRAVAS, SAIDA COM ROSCA, DE 32 MM X 1/2" OU 32 MM X 3/4", PARA LIGACAO PREDIAL DE AGUA                                                                                                                                                                                                                                                                                                                                                                                              </v>
          </cell>
          <cell r="C1162" t="str">
            <v xml:space="preserve">UN    </v>
          </cell>
          <cell r="D1162" t="str">
            <v>CR</v>
          </cell>
          <cell r="E1162" t="str">
            <v>5,99</v>
          </cell>
        </row>
        <row r="1163">
          <cell r="A1163">
            <v>1420</v>
          </cell>
          <cell r="B1163" t="str">
            <v xml:space="preserve">COLAR TOMADA PVC, COM TRAVAS, SAIDA COM ROSCA, DE 40 MM X 1/2" OU 40 MM X 3/4", PARA LIGACAO PREDIAL DE AGUA                                                                                                                                                                                                                                                                                                                                                                                              </v>
          </cell>
          <cell r="C1163" t="str">
            <v xml:space="preserve">UN    </v>
          </cell>
          <cell r="D1163" t="str">
            <v>CR</v>
          </cell>
          <cell r="E1163" t="str">
            <v>7,71</v>
          </cell>
        </row>
        <row r="1164">
          <cell r="A1164">
            <v>1419</v>
          </cell>
          <cell r="B1164" t="str">
            <v xml:space="preserve">COLAR TOMADA PVC, COM TRAVAS, SAIDA COM ROSCA, DE 50 MM X 1/2" OU 50 MM X 3/4", PARA LIGACAO PREDIAL DE AGUA                                                                                                                                                                                                                                                                                                                                                                                              </v>
          </cell>
          <cell r="C1164" t="str">
            <v xml:space="preserve">UN    </v>
          </cell>
          <cell r="D1164" t="str">
            <v>CR</v>
          </cell>
          <cell r="E1164" t="str">
            <v>9,31</v>
          </cell>
        </row>
        <row r="1165">
          <cell r="A1165">
            <v>1414</v>
          </cell>
          <cell r="B1165" t="str">
            <v xml:space="preserve">COLAR TOMADA PVC, COM TRAVAS, SAIDA COM ROSCA, DE 60 MM X 1/2" OU 60 MM X 3/4", PARA LIGACAO PREDIAL DE AGUA                                                                                                                                                                                                                                                                                                                                                                                              </v>
          </cell>
          <cell r="C1165" t="str">
            <v xml:space="preserve">UN    </v>
          </cell>
          <cell r="D1165" t="str">
            <v>CR</v>
          </cell>
          <cell r="E1165" t="str">
            <v>9,11</v>
          </cell>
        </row>
        <row r="1166">
          <cell r="A1166">
            <v>1413</v>
          </cell>
          <cell r="B1166" t="str">
            <v xml:space="preserve">COLAR TOMADA PVC, COM TRAVAS, SAIDA COM ROSCA, DE 75 MM X 1/2" OU 75 MM X 3/4", PARA LIGACAO PREDIAL DE AGUA                                                                                                                                                                                                                                                                                                                                                                                              </v>
          </cell>
          <cell r="C1166" t="str">
            <v xml:space="preserve">UN    </v>
          </cell>
          <cell r="D1166" t="str">
            <v>CR</v>
          </cell>
          <cell r="E1166" t="str">
            <v>13,45</v>
          </cell>
        </row>
        <row r="1167">
          <cell r="A1167">
            <v>1412</v>
          </cell>
          <cell r="B1167" t="str">
            <v xml:space="preserve">COLAR TOMADA PVC, COM TRAVAS, SAIDA COM ROSCA, DE 85 MM X 1/2" OU 85 MM X 3/4", PARA LIGACAO PREDIAL DE AGUA                                                                                                                                                                                                                                                                                                                                                                                              </v>
          </cell>
          <cell r="C1167" t="str">
            <v xml:space="preserve">UN    </v>
          </cell>
          <cell r="D1167" t="str">
            <v>CR</v>
          </cell>
          <cell r="E1167" t="str">
            <v>11,40</v>
          </cell>
        </row>
        <row r="1168">
          <cell r="A1168">
            <v>1406</v>
          </cell>
          <cell r="B1168" t="str">
            <v xml:space="preserve">COLAR TOMADA PVC, COM TRAVAS, SAIDA ROSCAVEL COM BUCHA DE LATAO, DE 60 MM X 1/2" OU 60 MM X 3/4", PARA LIGACAO PREDIAL DE AGUA                                                                                                                                                                                                                                                                                                                                                                            </v>
          </cell>
          <cell r="C1168" t="str">
            <v xml:space="preserve">UN    </v>
          </cell>
          <cell r="D1168" t="str">
            <v>CR</v>
          </cell>
          <cell r="E1168" t="str">
            <v>13,75</v>
          </cell>
        </row>
        <row r="1169">
          <cell r="A1169">
            <v>11281</v>
          </cell>
          <cell r="B1169" t="str">
            <v xml:space="preserve">COMPACTADOR DE SOLO A PERCUSSAO (SOQUETE), A GASOLINA 4 TEMPOS, PESO 55 A 65 KG, FORCA DE IMPACTO 1.000 A 1.500 KGF, FREQ. 600 A 700 GOLPES P/ MINUTO, VELOCIDADE TRABALHO DE 10 A 15 M/MIN, POT. DE 2,00 A 3,00 HP                                                                                                                                                                                                                                                                                       </v>
          </cell>
          <cell r="C1169" t="str">
            <v xml:space="preserve">UN    </v>
          </cell>
          <cell r="D1169" t="str">
            <v xml:space="preserve">C </v>
          </cell>
          <cell r="E1169" t="str">
            <v>11.459,50</v>
          </cell>
        </row>
        <row r="1170">
          <cell r="A1170">
            <v>1442</v>
          </cell>
          <cell r="B1170" t="str">
            <v xml:space="preserve">COMPACTADOR DE SOLO TIPO PLACA VIBRATORIA REVERSIVEL, A GASOLINA 4 TEMPOS, PESO 125 A 150 KG, FORCA CENTRIF. 2500 A 2800 KGF, LARG. TRABALHO 400 A 450 MM, FREQ. VIBRACAO 4300 A 4500 RPM, VELOC. TRABALHO 15 A 20 M/MIN, POT. 5,5 A 6,0 HP                                                                                                                                                                                                                                                               </v>
          </cell>
          <cell r="C1170" t="str">
            <v xml:space="preserve">UN    </v>
          </cell>
          <cell r="D1170" t="str">
            <v>CR</v>
          </cell>
          <cell r="E1170" t="str">
            <v>9.620,16</v>
          </cell>
        </row>
        <row r="1171">
          <cell r="A1171">
            <v>13457</v>
          </cell>
          <cell r="B1171" t="str">
            <v xml:space="preserve">COMPACTADOR DE SOLO TIPO PLACA VIBRATORIA REVERSIVEL, A GASOLINA 4 TEMPOS, PESO 150 A 175 KG, FORCA CENTRIF. 2800 A 3100 KGF, LARG. TRABALHO DE 450 A 520 MM, FREQ. VIBRACAO 4000 A 4300 RPM, VELOC. TRABALHO DE 15 A 20 M/MIN, POT. DE 6,0 A 7,0 HP                                                                                                                                                                                                                                                      </v>
          </cell>
          <cell r="C1171" t="str">
            <v xml:space="preserve">UN    </v>
          </cell>
          <cell r="D1171" t="str">
            <v>CR</v>
          </cell>
          <cell r="E1171" t="str">
            <v>8.303,98</v>
          </cell>
        </row>
        <row r="1172">
          <cell r="A1172">
            <v>40699</v>
          </cell>
          <cell r="B1172" t="str">
            <v xml:space="preserve">COMPACTADOR DE SOLO, TIPO PLACA VIBRATORIA NAO REVERSIVEL, A GASOLINA 4 TEMPOS, PESO 80 A 120 KG, FORCA CENTRIF. DE 1300 A 2000 KGF, LARG. TRABALHO DE 400 A 500 MM, FREQ. VIBRACAO DE 4800 A 6000 RPM, VELOCIDADE TRABALHO DE 20 A 30 M/MIN, POT. DE 5,0 A 6,0 HP                                                                                                                                                                                                                                        </v>
          </cell>
          <cell r="C1172" t="str">
            <v xml:space="preserve">UN    </v>
          </cell>
          <cell r="D1172" t="str">
            <v>CR</v>
          </cell>
          <cell r="E1172" t="str">
            <v>6.419,29</v>
          </cell>
        </row>
        <row r="1173">
          <cell r="A1173">
            <v>40701</v>
          </cell>
          <cell r="B1173" t="str">
            <v xml:space="preserve">COMPACTADOR DE SOLO, TIPO PLACA VIBRATORIA REVERSIVEL, A DIESEL, PESO 700 A 820 KG, FORCA CENTRIF. DE 6.200 A 10.000 KGF, LARG. TRABALHO DE 650 A 720 MM, FREQ. VIBRACAO DE 3.000 A 3.500 RPM, VELOCIDADE TRABALHO DE 25 A 30 M/MIN, POT. DE 13,0 A 15,0 HP                                                                                                                                                                                                                                               </v>
          </cell>
          <cell r="C1173" t="str">
            <v xml:space="preserve">UN    </v>
          </cell>
          <cell r="D1173" t="str">
            <v>CR</v>
          </cell>
          <cell r="E1173" t="str">
            <v>113.501,94</v>
          </cell>
        </row>
        <row r="1174">
          <cell r="A1174">
            <v>40700</v>
          </cell>
          <cell r="B1174" t="str">
            <v xml:space="preserve">COMPACTADOR DE SOLO, TIPO PLACA VIBRATORIA REVERSIVEL, A GASOLINA 4 TEMPOS, PESO 160 A 265 KG, FORCA CENTRIF. DE 2750 A 4000 KGF, LARG. TRABALHO DE 430 A 550 MM, FREQ. VIBRACAO DE 4000 A 5500 RPM, VELOCIDADE TRABALHO DE 20 A 25 M/MIN, POT. DE 7,5 A 9,0 HP                                                                                                                                                                                                                                           </v>
          </cell>
          <cell r="C1174" t="str">
            <v xml:space="preserve">UN    </v>
          </cell>
          <cell r="D1174" t="str">
            <v>CR</v>
          </cell>
          <cell r="E1174" t="str">
            <v>14.943,28</v>
          </cell>
        </row>
        <row r="1175">
          <cell r="A1175">
            <v>13458</v>
          </cell>
          <cell r="B1175" t="str">
            <v xml:space="preserve">COMPACTADOR DE SOLOS DE PERCURSAO (SOQUETE) COM MOTOR A GASOLINA 4 TEMPOS DE 4 HP (4 CV)                                                                                                                                                                                                                                                                                                                                                                                                                  </v>
          </cell>
          <cell r="C1175" t="str">
            <v xml:space="preserve">UN    </v>
          </cell>
          <cell r="D1175" t="str">
            <v>CR</v>
          </cell>
          <cell r="E1175" t="str">
            <v>14.199,81</v>
          </cell>
        </row>
        <row r="1176">
          <cell r="A1176">
            <v>11134</v>
          </cell>
          <cell r="B1176" t="str">
            <v xml:space="preserve">COMPENSADO NAVAL - CHAPA/PAINEL EM MADEIRA COMPENSADA PRENSADA, DE 2200 X 1600 MM, E = 10 MM                                                                                                                                                                                                                                                                                                                                                                                                              </v>
          </cell>
          <cell r="C1176" t="str">
            <v xml:space="preserve">M2    </v>
          </cell>
          <cell r="D1176" t="str">
            <v>CR</v>
          </cell>
          <cell r="E1176" t="str">
            <v>56,77</v>
          </cell>
        </row>
        <row r="1177">
          <cell r="A1177">
            <v>11135</v>
          </cell>
          <cell r="B1177" t="str">
            <v xml:space="preserve">COMPENSADO NAVAL - CHAPA/PAINEL EM MADEIRA COMPENSADA PRENSADA, DE 2200 X 1600 MM, E = 12 MM                                                                                                                                                                                                                                                                                                                                                                                                              </v>
          </cell>
          <cell r="C1177" t="str">
            <v xml:space="preserve">M2    </v>
          </cell>
          <cell r="D1177" t="str">
            <v>CR</v>
          </cell>
          <cell r="E1177" t="str">
            <v>61,30</v>
          </cell>
        </row>
        <row r="1178">
          <cell r="A1178">
            <v>11136</v>
          </cell>
          <cell r="B1178" t="str">
            <v xml:space="preserve">COMPENSADO NAVAL - CHAPA/PAINEL EM MADEIRA COMPENSADA PRENSADA, DE 2200 X 1600 MM, E = 15 MM                                                                                                                                                                                                                                                                                                                                                                                                              </v>
          </cell>
          <cell r="C1178" t="str">
            <v xml:space="preserve">M2    </v>
          </cell>
          <cell r="D1178" t="str">
            <v>CR</v>
          </cell>
          <cell r="E1178" t="str">
            <v>70,19</v>
          </cell>
        </row>
        <row r="1179">
          <cell r="A1179">
            <v>34743</v>
          </cell>
          <cell r="B1179" t="str">
            <v xml:space="preserve">COMPENSADO NAVAL - CHAPA/PAINEL EM MADEIRA COMPENSADA PRENSADA, DE 2200 X 1600 MM, E = 18 MM                                                                                                                                                                                                                                                                                                                                                                                                              </v>
          </cell>
          <cell r="C1179" t="str">
            <v xml:space="preserve">M2    </v>
          </cell>
          <cell r="D1179" t="str">
            <v>CR</v>
          </cell>
          <cell r="E1179" t="str">
            <v>84,68</v>
          </cell>
        </row>
        <row r="1180">
          <cell r="A1180">
            <v>11137</v>
          </cell>
          <cell r="B1180" t="str">
            <v xml:space="preserve">COMPENSADO NAVAL - CHAPA/PAINEL EM MADEIRA COMPENSADA PRENSADA, DE 2200 X 1600 MM, E = 20 MM                                                                                                                                                                                                                                                                                                                                                                                                              </v>
          </cell>
          <cell r="C1180" t="str">
            <v xml:space="preserve">M2    </v>
          </cell>
          <cell r="D1180" t="str">
            <v>CR</v>
          </cell>
          <cell r="E1180" t="str">
            <v>96,18</v>
          </cell>
        </row>
        <row r="1181">
          <cell r="A1181">
            <v>34745</v>
          </cell>
          <cell r="B1181" t="str">
            <v xml:space="preserve">COMPENSADO NAVAL - CHAPA/PAINEL EM MADEIRA COMPENSADA PRENSADA, DE 2200 X 1600 MM, E = 25 MM                                                                                                                                                                                                                                                                                                                                                                                                              </v>
          </cell>
          <cell r="C1181" t="str">
            <v xml:space="preserve">M2    </v>
          </cell>
          <cell r="D1181" t="str">
            <v>CR</v>
          </cell>
          <cell r="E1181" t="str">
            <v>114,38</v>
          </cell>
        </row>
        <row r="1182">
          <cell r="A1182">
            <v>34746</v>
          </cell>
          <cell r="B1182" t="str">
            <v xml:space="preserve">COMPENSADO NAVAL - CHAPA/PAINEL EM MADEIRA COMPENSADA PRENSADA, DE 2200 X 1600 MM, E = 4 MM                                                                                                                                                                                                                                                                                                                                                                                                               </v>
          </cell>
          <cell r="C1182" t="str">
            <v xml:space="preserve">M2    </v>
          </cell>
          <cell r="D1182" t="str">
            <v>CR</v>
          </cell>
          <cell r="E1182" t="str">
            <v>31,19</v>
          </cell>
        </row>
        <row r="1183">
          <cell r="A1183">
            <v>1360</v>
          </cell>
          <cell r="B1183" t="str">
            <v xml:space="preserve">COMPENSADO NAVAL - CHAPA/PAINEL EM MADEIRA COMPENSADA PRENSADA, DE 2200 X 1600 MM, E = 6 MM                                                                                                                                                                                                                                                                                                                                                                                                               </v>
          </cell>
          <cell r="C1183" t="str">
            <v xml:space="preserve">M2    </v>
          </cell>
          <cell r="D1183" t="str">
            <v>CR</v>
          </cell>
          <cell r="E1183" t="str">
            <v>36,39</v>
          </cell>
        </row>
        <row r="1184">
          <cell r="A1184">
            <v>36524</v>
          </cell>
          <cell r="B1184" t="str">
            <v xml:space="preserve">COMPRESSOR DE AR ESTACIONARIO, VAZAO 620 PCM, PRESSAO EFETIVA DE TRABALHO 109 PSI, MOTOR ELETRICO, POTENCIA 127 CV                                                                                                                                                                                                                                                                                                                                                                                        </v>
          </cell>
          <cell r="C1184" t="str">
            <v xml:space="preserve">UN    </v>
          </cell>
          <cell r="D1184" t="str">
            <v>CR</v>
          </cell>
          <cell r="E1184" t="str">
            <v>191.367,00</v>
          </cell>
        </row>
        <row r="1185">
          <cell r="A1185">
            <v>36526</v>
          </cell>
          <cell r="B1185" t="str">
            <v xml:space="preserve">COMPRESSOR DE AR REBOCAVEL VAZAO 400 PCM, PRESSAO EFETIVA DE TRABALHO 102 PSI, MOTOR DIESEL, POTENCIA 110 CV                                                                                                                                                                                                                                                                                                                                                                                              </v>
          </cell>
          <cell r="C1185" t="str">
            <v xml:space="preserve">UN    </v>
          </cell>
          <cell r="D1185" t="str">
            <v>CR</v>
          </cell>
          <cell r="E1185" t="str">
            <v>154.211,32</v>
          </cell>
        </row>
        <row r="1186">
          <cell r="A1186">
            <v>36523</v>
          </cell>
          <cell r="B1186" t="str">
            <v xml:space="preserve">COMPRESSOR DE AR REBOCAVEL VAZAO 748 PCM, PRESSAO EFETIVA DE TRABALHO 102 PSI, MOTOR DIESEL, POTENCIA 210 CV                                                                                                                                                                                                                                                                                                                                                                                              </v>
          </cell>
          <cell r="C1186" t="str">
            <v xml:space="preserve">UN    </v>
          </cell>
          <cell r="D1186" t="str">
            <v>CR</v>
          </cell>
          <cell r="E1186" t="str">
            <v>330.145,63</v>
          </cell>
        </row>
        <row r="1187">
          <cell r="A1187">
            <v>36527</v>
          </cell>
          <cell r="B1187" t="str">
            <v xml:space="preserve">COMPRESSOR DE AR REBOCAVEL VAZAO 860 PCM, PRESSAO EFETIVA DE TRABALHO 102 PSI, MOTOR DIESEL, POTENCIA 250 CV                                                                                                                                                                                                                                                                                                                                                                                              </v>
          </cell>
          <cell r="C1187" t="str">
            <v xml:space="preserve">UN    </v>
          </cell>
          <cell r="D1187" t="str">
            <v>CR</v>
          </cell>
          <cell r="E1187" t="str">
            <v>358.606,15</v>
          </cell>
        </row>
        <row r="1188">
          <cell r="A1188">
            <v>38642</v>
          </cell>
          <cell r="B1188" t="str">
            <v xml:space="preserve">COMPRESSOR DE AR REBOCAVEL, VAZAO 152 PCM, PRESSAO EFETIVA DE TRABALHO 102 PSI, MOTOR DIESEL, POTENCIA 31,5 KW                                                                                                                                                                                                                                                                                                                                                                                            </v>
          </cell>
          <cell r="C1188" t="str">
            <v xml:space="preserve">UN    </v>
          </cell>
          <cell r="D1188" t="str">
            <v>CR</v>
          </cell>
          <cell r="E1188" t="str">
            <v>83.492,71</v>
          </cell>
        </row>
        <row r="1189">
          <cell r="A1189">
            <v>36522</v>
          </cell>
          <cell r="B1189" t="str">
            <v xml:space="preserve">COMPRESSOR DE AR REBOCAVEL, VAZAO 189 PCM, PRESSAO EFETIVA DE TRABALHO 102 PSI, MOTOR DIESEL, POTENCIA 63 CV                                                                                                                                                                                                                                                                                                                                                                                              </v>
          </cell>
          <cell r="C1189" t="str">
            <v xml:space="preserve">UN    </v>
          </cell>
          <cell r="D1189" t="str">
            <v>CR</v>
          </cell>
          <cell r="E1189" t="str">
            <v>97.101,03</v>
          </cell>
        </row>
        <row r="1190">
          <cell r="A1190">
            <v>36525</v>
          </cell>
          <cell r="B1190" t="str">
            <v xml:space="preserve">COMPRESSOR DE AR REBOCAVEL, VAZAO 250 PCM, PRESSAO EFETIVA DE TRABALHO 102 PSI, MOTOR DIESEL, POTENCIA 81 CV                                                                                                                                                                                                                                                                                                                                                                                              </v>
          </cell>
          <cell r="C1190" t="str">
            <v xml:space="preserve">UN    </v>
          </cell>
          <cell r="D1190" t="str">
            <v>CR</v>
          </cell>
          <cell r="E1190" t="str">
            <v>130.040,95</v>
          </cell>
        </row>
        <row r="1191">
          <cell r="A1191">
            <v>13803</v>
          </cell>
          <cell r="B1191" t="str">
            <v xml:space="preserve">COMPRESSOR DE AR REBOCAVEL, VAZAO 89 PCM, PRESSAO EFETIVA DE TRABALHO *102* PSI, MOTOR DIESEL, POTENCIA *20* CV                                                                                                                                                                                                                                                                                                                                                                                           </v>
          </cell>
          <cell r="C1191" t="str">
            <v xml:space="preserve">UN    </v>
          </cell>
          <cell r="D1191" t="str">
            <v xml:space="preserve">C </v>
          </cell>
          <cell r="E1191" t="str">
            <v>129.668,86</v>
          </cell>
        </row>
        <row r="1192">
          <cell r="A1192">
            <v>34348</v>
          </cell>
          <cell r="B1192" t="str">
            <v xml:space="preserve">CONCERTINA CLIPADA (DUPLA) EM ACO GALVANIZADO DE ALTA RESISTENCIA, COM ESPIRAL DE 300 MM, D = 2,76 MM                                                                                                                                                                                                                                                                                                                                                                                                     </v>
          </cell>
          <cell r="C1192" t="str">
            <v xml:space="preserve">M     </v>
          </cell>
          <cell r="D1192" t="str">
            <v>CR</v>
          </cell>
          <cell r="E1192" t="str">
            <v>20,95</v>
          </cell>
        </row>
        <row r="1193">
          <cell r="A1193">
            <v>34347</v>
          </cell>
          <cell r="B1193" t="str">
            <v xml:space="preserve">CONCERTINA SIMPLES EM ACO GALVANIZADO DE ALTA RESISTENCIA, COM ESPIRAL DE 300 MM, D = 2,76 MM                                                                                                                                                                                                                                                                                                                                                                                                             </v>
          </cell>
          <cell r="C1193" t="str">
            <v xml:space="preserve">M     </v>
          </cell>
          <cell r="D1193" t="str">
            <v>CR</v>
          </cell>
          <cell r="E1193" t="str">
            <v>14,97</v>
          </cell>
        </row>
        <row r="1194">
          <cell r="A1194">
            <v>11146</v>
          </cell>
          <cell r="B1194" t="str">
            <v xml:space="preserve">CONCRETO AUTOADENSAVEL (CAA) CLASSE DE RESISTENCIA C15, ESPALHAMENTO SF2, COM BOMBEAMENTO (DISPONIBILIZACAO DE BOMBA), SEM O LANCAMENTO (NBR 15823)                                                                                                                                                                                                                                                                                                                                                       </v>
          </cell>
          <cell r="C1194" t="str">
            <v xml:space="preserve">M3    </v>
          </cell>
          <cell r="D1194" t="str">
            <v>CR</v>
          </cell>
          <cell r="E1194" t="str">
            <v>492,86</v>
          </cell>
        </row>
        <row r="1195">
          <cell r="A1195">
            <v>11147</v>
          </cell>
          <cell r="B1195" t="str">
            <v xml:space="preserve">CONCRETO AUTOADENSAVEL (CAA) CLASSE DE RESISTENCIA C20, ESPALHAMENTO SF2, COM BOMBEAMENTO (DISPONIBILIZACAO DE BOMBA), SEM O LANCAMENTO (NBR 15823)                                                                                                                                                                                                                                                                                                                                                       </v>
          </cell>
          <cell r="C1195" t="str">
            <v xml:space="preserve">M3    </v>
          </cell>
          <cell r="D1195" t="str">
            <v>CR</v>
          </cell>
          <cell r="E1195" t="str">
            <v>512,14</v>
          </cell>
        </row>
        <row r="1196">
          <cell r="A1196">
            <v>34872</v>
          </cell>
          <cell r="B1196" t="str">
            <v xml:space="preserve">CONCRETO AUTOADENSAVEL (CAA) CLASSE DE RESISTENCIA C25, ESPALHAMENTO SF2, COM BOMBEAMENTO (DISPONIBILIZACAO DE BOMBA), SEM O LANCAMENTO (NBR 15823)                                                                                                                                                                                                                                                                                                                                                       </v>
          </cell>
          <cell r="C1196" t="str">
            <v xml:space="preserve">M3    </v>
          </cell>
          <cell r="D1196" t="str">
            <v>CR</v>
          </cell>
          <cell r="E1196" t="str">
            <v>517,89</v>
          </cell>
        </row>
        <row r="1197">
          <cell r="A1197">
            <v>34491</v>
          </cell>
          <cell r="B1197" t="str">
            <v xml:space="preserve">CONCRETO AUTOADENSAVEL (CAA) CLASSE DE RESISTENCIA C30, ESPALHAMENTO SF2, COM BOMBEAMENTO (DISPONIBILIZACAO DE BOMBA), SEM O LANCAMENTO (NBR 15823)                                                                                                                                                                                                                                                                                                                                                       </v>
          </cell>
          <cell r="C1197" t="str">
            <v xml:space="preserve">M3    </v>
          </cell>
          <cell r="D1197" t="str">
            <v>CR</v>
          </cell>
          <cell r="E1197" t="str">
            <v>532,90</v>
          </cell>
        </row>
        <row r="1198">
          <cell r="A1198">
            <v>34770</v>
          </cell>
          <cell r="B1198" t="str">
            <v xml:space="preserve">CONCRETO BETUMINOSO USINADO A QUENTE (CBUQ) PARA PAVIMENTACAO ASFALTICA, PADRAO DNIT, FAIXA C, COM CAP 30/45 - AQUISICAO POSTO USINA                                                                                                                                                                                                                                                                                                                                                                      </v>
          </cell>
          <cell r="C1198" t="str">
            <v xml:space="preserve">T     </v>
          </cell>
          <cell r="D1198" t="str">
            <v>CR</v>
          </cell>
          <cell r="E1198" t="str">
            <v>504,17</v>
          </cell>
        </row>
        <row r="1199">
          <cell r="A1199">
            <v>1518</v>
          </cell>
          <cell r="B1199" t="str">
            <v xml:space="preserve">CONCRETO BETUMINOSO USINADO A QUENTE (CBUQ) PARA PAVIMENTACAO ASFALTICA, PADRAO DNIT, FAIXA C, COM CAP 50/70 - AQUISICAO POSTO USINA                                                                                                                                                                                                                                                                                                                                                                      </v>
          </cell>
          <cell r="C1199" t="str">
            <v xml:space="preserve">T     </v>
          </cell>
          <cell r="D1199" t="str">
            <v xml:space="preserve">C </v>
          </cell>
          <cell r="E1199" t="str">
            <v>514,00</v>
          </cell>
        </row>
        <row r="1200">
          <cell r="A1200">
            <v>41965</v>
          </cell>
          <cell r="B1200" t="str">
            <v xml:space="preserve">CONCRETO BETUMINOSO USINADO A QUENTE (CBUQ) PARA PAVIMENTACAO ASFALTICA, PADRAO DNIT, PARA BINDER, COM CAP 50/70 - AQUISICAO POSTO USINA                                                                                                                                                                                                                                                                                                                                                                  </v>
          </cell>
          <cell r="C1200" t="str">
            <v xml:space="preserve">T     </v>
          </cell>
          <cell r="D1200" t="str">
            <v>CR</v>
          </cell>
          <cell r="E1200" t="str">
            <v>450,69</v>
          </cell>
        </row>
        <row r="1201">
          <cell r="A1201">
            <v>1524</v>
          </cell>
          <cell r="B1201" t="str">
            <v xml:space="preserve">CONCRETO USINADO BOMBEAVEL, CLASSE DE RESISTENCIA C20, BRITA 0 E 1, SLUMP = 100 +/- 20 MM, COM BOMBEAMENTO (DISPONIBILIZACAO DE BOMBA), SEM O LANCAMENTO (NBR 8953)                                                                                                                                                                                                                                                                                                                                       </v>
          </cell>
          <cell r="C1201" t="str">
            <v xml:space="preserve">M3    </v>
          </cell>
          <cell r="D1201" t="str">
            <v>CR</v>
          </cell>
          <cell r="E1201" t="str">
            <v>472,86</v>
          </cell>
        </row>
        <row r="1202">
          <cell r="A1202">
            <v>34492</v>
          </cell>
          <cell r="B1202" t="str">
            <v xml:space="preserve">CONCRETO USINADO BOMBEAVEL, CLASSE DE RESISTENCIA C20, COM BRITA 0 E 1, SLUMP = 100 +/- 20 MM, EXCLUI SERVICO DE BOMBEAMENTO (NBR 8953)                                                                                                                                                                                                                                                                                                                                                                   </v>
          </cell>
          <cell r="C1202" t="str">
            <v xml:space="preserve">M3    </v>
          </cell>
          <cell r="D1202" t="str">
            <v xml:space="preserve">C </v>
          </cell>
          <cell r="E1202" t="str">
            <v>438,00</v>
          </cell>
        </row>
        <row r="1203">
          <cell r="A1203">
            <v>38404</v>
          </cell>
          <cell r="B1203" t="str">
            <v xml:space="preserve">CONCRETO USINADO BOMBEAVEL, CLASSE DE RESISTENCIA C20, COM BRITA 0 E 1, SLUMP = 130 +/- 20 MM, EXCLUI SERVICO DE BOMBEAMENTO (NBR 8953)                                                                                                                                                                                                                                                                                                                                                                   </v>
          </cell>
          <cell r="C1203" t="str">
            <v xml:space="preserve">M3    </v>
          </cell>
          <cell r="D1203" t="str">
            <v>CR</v>
          </cell>
          <cell r="E1203" t="str">
            <v>453,68</v>
          </cell>
        </row>
        <row r="1204">
          <cell r="A1204">
            <v>39849</v>
          </cell>
          <cell r="B1204" t="str">
            <v xml:space="preserve">CONCRETO USINADO BOMBEAVEL, CLASSE DE RESISTENCIA C20, COM BRITA 0 E 1, SLUMP = 190 +/- 20 MM, COM BOMBEAMENTO (DISPONIBILIZACAO DE BOMBA), SEM O LANCAMENTO (NBR 8953)                                                                                                                                                                                                                                                                                                                                   </v>
          </cell>
          <cell r="C1204" t="str">
            <v xml:space="preserve">M3    </v>
          </cell>
          <cell r="D1204" t="str">
            <v>CR</v>
          </cell>
          <cell r="E1204" t="str">
            <v>519,92</v>
          </cell>
        </row>
        <row r="1205">
          <cell r="A1205">
            <v>38464</v>
          </cell>
          <cell r="B1205" t="str">
            <v xml:space="preserve">CONCRETO USINADO BOMBEAVEL, CLASSE DE RESISTENCIA C20, COM BRITA 0, SLUMP = 220 +/- 20 MM, COM BOMBEAMENTO (DISPONIBILIZACAO DE BOMBA), SEM O LANCAMENTO (NBR 8953)                                                                                                                                                                                                                                                                                                                                       </v>
          </cell>
          <cell r="C1205" t="str">
            <v xml:space="preserve">M3    </v>
          </cell>
          <cell r="D1205" t="str">
            <v>CR</v>
          </cell>
          <cell r="E1205" t="str">
            <v>527,47</v>
          </cell>
        </row>
        <row r="1206">
          <cell r="A1206">
            <v>1527</v>
          </cell>
          <cell r="B1206" t="str">
            <v xml:space="preserve">CONCRETO USINADO BOMBEAVEL, CLASSE DE RESISTENCIA C25, BRITA 0 E 1, SLUMP = 100 +/- 20 MM, COM BOMBEAMENTO (DISPONIBILIZACAO DE BOMBA), SEM O LANCAMENTO (NBR 8953)                                                                                                                                                                                                                                                                                                                                       </v>
          </cell>
          <cell r="C1206" t="str">
            <v xml:space="preserve">M3    </v>
          </cell>
          <cell r="D1206" t="str">
            <v>CR</v>
          </cell>
          <cell r="E1206" t="str">
            <v>487,87</v>
          </cell>
        </row>
        <row r="1207">
          <cell r="A1207">
            <v>34493</v>
          </cell>
          <cell r="B1207" t="str">
            <v xml:space="preserve">CONCRETO USINADO BOMBEAVEL, CLASSE DE RESISTENCIA C25, COM BRITA 0 E 1, SLUMP = 100 +/- 20 MM, EXCLUI SERVICO DE BOMBEAMENTO (NBR 8953)                                                                                                                                                                                                                                                                                                                                                                   </v>
          </cell>
          <cell r="C1207" t="str">
            <v xml:space="preserve">M3    </v>
          </cell>
          <cell r="D1207" t="str">
            <v>CR</v>
          </cell>
          <cell r="E1207" t="str">
            <v>450,34</v>
          </cell>
        </row>
        <row r="1208">
          <cell r="A1208">
            <v>38405</v>
          </cell>
          <cell r="B1208" t="str">
            <v xml:space="preserve">CONCRETO USINADO BOMBEAVEL, CLASSE DE RESISTENCIA C25, COM BRITA 0 E 1, SLUMP = 130 +/- 20 MM, EXCLUI SERVICO DE BOMBEAMENTO (NBR 8953)                                                                                                                                                                                                                                                                                                                                                                   </v>
          </cell>
          <cell r="C1208" t="str">
            <v xml:space="preserve">M3    </v>
          </cell>
          <cell r="D1208" t="str">
            <v>CR</v>
          </cell>
          <cell r="E1208" t="str">
            <v>467,67</v>
          </cell>
        </row>
        <row r="1209">
          <cell r="A1209">
            <v>38408</v>
          </cell>
          <cell r="B1209" t="str">
            <v xml:space="preserve">CONCRETO USINADO BOMBEAVEL, CLASSE DE RESISTENCIA C25, COM BRITA 0 E 1, SLUMP = 190 +/- 20 MM, EXCLUI SERVICO DE BOMBEAMENTO (NBR 8953)                                                                                                                                                                                                                                                                                                                                                                   </v>
          </cell>
          <cell r="C1209" t="str">
            <v xml:space="preserve">M3    </v>
          </cell>
          <cell r="D1209" t="str">
            <v>CR</v>
          </cell>
          <cell r="E1209" t="str">
            <v>517,67</v>
          </cell>
        </row>
        <row r="1210">
          <cell r="A1210">
            <v>1525</v>
          </cell>
          <cell r="B1210" t="str">
            <v xml:space="preserve">CONCRETO USINADO BOMBEAVEL, CLASSE DE RESISTENCIA C30, BRITA 0 E 1, SLUMP = 100 +/- 20 MM, COM BOMBEAMENTO (DISPONIBILIZACAO DE BOMBA), SEM O LANCAMENTO (NBR 8953)                                                                                                                                                                                                                                                                                                                                       </v>
          </cell>
          <cell r="C1210" t="str">
            <v xml:space="preserve">M3    </v>
          </cell>
          <cell r="D1210" t="str">
            <v>CR</v>
          </cell>
          <cell r="E1210" t="str">
            <v>502,88</v>
          </cell>
        </row>
        <row r="1211">
          <cell r="A1211">
            <v>34494</v>
          </cell>
          <cell r="B1211" t="str">
            <v xml:space="preserve">CONCRETO USINADO BOMBEAVEL, CLASSE DE RESISTENCIA C30, COM BRITA 0 E 1, SLUMP = 100 +/- 20 MM, EXCLUI SERVICO DE BOMBEAMENTO (NBR 8953)                                                                                                                                                                                                                                                                                                                                                                   </v>
          </cell>
          <cell r="C1211" t="str">
            <v xml:space="preserve">M3    </v>
          </cell>
          <cell r="D1211" t="str">
            <v>CR</v>
          </cell>
          <cell r="E1211" t="str">
            <v>465,35</v>
          </cell>
        </row>
        <row r="1212">
          <cell r="A1212">
            <v>38406</v>
          </cell>
          <cell r="B1212" t="str">
            <v xml:space="preserve">CONCRETO USINADO BOMBEAVEL, CLASSE DE RESISTENCIA C30, COM BRITA 0 E 1, SLUMP = 130 +/- 20 MM, EXCLUI SERVICO DE BOMBEAMENTO (NBR 8953)                                                                                                                                                                                                                                                                                                                                                                   </v>
          </cell>
          <cell r="C1212" t="str">
            <v xml:space="preserve">M3    </v>
          </cell>
          <cell r="D1212" t="str">
            <v>CR</v>
          </cell>
          <cell r="E1212" t="str">
            <v>493,83</v>
          </cell>
        </row>
        <row r="1213">
          <cell r="A1213">
            <v>38409</v>
          </cell>
          <cell r="B1213" t="str">
            <v xml:space="preserve">CONCRETO USINADO BOMBEAVEL, CLASSE DE RESISTENCIA C30, COM BRITA 0 E 1, SLUMP = 190 +/- 20 MM, EXCLUI SERVICO DE BOMBEAMENTO (NBR 8953)                                                                                                                                                                                                                                                                                                                                                                   </v>
          </cell>
          <cell r="C1213" t="str">
            <v xml:space="preserve">M3    </v>
          </cell>
          <cell r="D1213" t="str">
            <v>CR</v>
          </cell>
          <cell r="E1213" t="str">
            <v>521,20</v>
          </cell>
        </row>
        <row r="1214">
          <cell r="A1214">
            <v>43360</v>
          </cell>
          <cell r="B1214" t="str">
            <v xml:space="preserve">CONCRETO USINADO BOMBEAVEL, CLASSE DE RESISTENCIA C30, COM BRITA 0 E 1, SLUMP = 220 +/- 30 MM, EXCLUI SERVICO DE BOMBEAMENTO (NBR 8953)                                                                                                                                                                                                                                                                                                                                                                   </v>
          </cell>
          <cell r="C1214" t="str">
            <v xml:space="preserve">M3    </v>
          </cell>
          <cell r="D1214" t="str">
            <v>CR</v>
          </cell>
          <cell r="E1214" t="str">
            <v>543,46</v>
          </cell>
        </row>
        <row r="1215">
          <cell r="A1215">
            <v>11145</v>
          </cell>
          <cell r="B1215" t="str">
            <v xml:space="preserve">CONCRETO USINADO BOMBEAVEL, CLASSE DE RESISTENCIA C35, BRITA 0 E 1, SLUMP = 100 +/- 20 MM, COM BOMBEAMENTO (DISPONIBILIZACAO DE BOMBA), SEM O LANCAMENTO (NBR 8953)                                                                                                                                                                                                                                                                                                                                       </v>
          </cell>
          <cell r="C1215" t="str">
            <v xml:space="preserve">M3    </v>
          </cell>
          <cell r="D1215" t="str">
            <v>CR</v>
          </cell>
          <cell r="E1215" t="str">
            <v>517,89</v>
          </cell>
        </row>
        <row r="1216">
          <cell r="A1216">
            <v>34495</v>
          </cell>
          <cell r="B1216" t="str">
            <v xml:space="preserve">CONCRETO USINADO BOMBEAVEL, CLASSE DE RESISTENCIA C35, COM BRITA 0 E 1, SLUMP = 100 +/- 20 MM, EXCLUI SERVICO DE BOMBEAMENTO (NBR 8953)                                                                                                                                                                                                                                                                                                                                                                   </v>
          </cell>
          <cell r="C1216" t="str">
            <v xml:space="preserve">M3    </v>
          </cell>
          <cell r="D1216" t="str">
            <v>CR</v>
          </cell>
          <cell r="E1216" t="str">
            <v>480,36</v>
          </cell>
        </row>
        <row r="1217">
          <cell r="A1217">
            <v>34479</v>
          </cell>
          <cell r="B1217" t="str">
            <v xml:space="preserve">CONCRETO USINADO BOMBEAVEL, CLASSE DE RESISTENCIA C40, BRITA 0 E 1, SLUMP = 100 +/- 20 MM, COM BOMBEAMENTO (DISPONIBILIZACAO DE BOMBA), SEM O LANCAMENTO (NBR 8953)                                                                                                                                                                                                                                                                                                                                       </v>
          </cell>
          <cell r="C1217" t="str">
            <v xml:space="preserve">M3    </v>
          </cell>
          <cell r="D1217" t="str">
            <v>CR</v>
          </cell>
          <cell r="E1217" t="str">
            <v>532,90</v>
          </cell>
        </row>
        <row r="1218">
          <cell r="A1218">
            <v>34496</v>
          </cell>
          <cell r="B1218" t="str">
            <v xml:space="preserve">CONCRETO USINADO BOMBEAVEL, CLASSE DE RESISTENCIA C40, COM BRITA 0 E 1, SLUMP = 100 +/- 20 MM, EXCLUI SERVICO DE BOMBEAMENTO (NBR 8953)                                                                                                                                                                                                                                                                                                                                                                   </v>
          </cell>
          <cell r="C1218" t="str">
            <v xml:space="preserve">M3    </v>
          </cell>
          <cell r="D1218" t="str">
            <v>CR</v>
          </cell>
          <cell r="E1218" t="str">
            <v>501,10</v>
          </cell>
        </row>
        <row r="1219">
          <cell r="A1219">
            <v>34481</v>
          </cell>
          <cell r="B1219" t="str">
            <v xml:space="preserve">CONCRETO USINADO BOMBEAVEL, CLASSE DE RESISTENCIA C45, BRITA 0 E 1, SLUMP = 100 +/- 20 MM, COM BOMBEAMENTO (DISPONIBILIZACAO DE BOMBA), SEM O LANCAMENTO (NBR 8953)                                                                                                                                                                                                                                                                                                                                       </v>
          </cell>
          <cell r="C1219" t="str">
            <v xml:space="preserve">M3    </v>
          </cell>
          <cell r="D1219" t="str">
            <v>CR</v>
          </cell>
          <cell r="E1219" t="str">
            <v>556,82</v>
          </cell>
        </row>
        <row r="1220">
          <cell r="A1220">
            <v>34483</v>
          </cell>
          <cell r="B1220" t="str">
            <v xml:space="preserve">CONCRETO USINADO BOMBEAVEL, CLASSE DE RESISTENCIA C50, BRITA 0 E 1, SLUMP = 100 +/- 20 MM, COM BOMBEAMENTO (DISPONIBILIZACAO DE BOMBA), SEM O LANCAMENTO (NBR 8953)                                                                                                                                                                                                                                                                                                                                       </v>
          </cell>
          <cell r="C1220" t="str">
            <v xml:space="preserve">M3    </v>
          </cell>
          <cell r="D1220" t="str">
            <v>CR</v>
          </cell>
          <cell r="E1220" t="str">
            <v>594,92</v>
          </cell>
        </row>
        <row r="1221">
          <cell r="A1221">
            <v>34485</v>
          </cell>
          <cell r="B1221" t="str">
            <v xml:space="preserve">CONCRETO USINADO BOMBEAVEL, CLASSE DE RESISTENCIA C60, COM BRITA 0 E 1, SLUMP = 100 +/- 20 MM, COM BOMBEAMENTO (DISPONIBILIZACAO DE BOMBA), SEM O LANCAMENTO (NBR 8953)                                                                                                                                                                                                                                                                                                                                   </v>
          </cell>
          <cell r="C1221" t="str">
            <v xml:space="preserve">M3    </v>
          </cell>
          <cell r="D1221" t="str">
            <v>CR</v>
          </cell>
          <cell r="E1221" t="str">
            <v>636,21</v>
          </cell>
        </row>
        <row r="1222">
          <cell r="A1222">
            <v>14041</v>
          </cell>
          <cell r="B1222" t="str">
            <v xml:space="preserve">CONCRETO USINADO CONVENCIONAL (NAO BOMBEAVEL) CLASSE DE RESISTENCIA C10, COM BRITA 1 E 2, SLUMP = 80 MM +/- 10 MM (NBR 8953)                                                                                                                                                                                                                                                                                                                                                                              </v>
          </cell>
          <cell r="C1222" t="str">
            <v xml:space="preserve">M3    </v>
          </cell>
          <cell r="D1222" t="str">
            <v>CR</v>
          </cell>
          <cell r="E1222" t="str">
            <v>413,56</v>
          </cell>
        </row>
        <row r="1223">
          <cell r="A1223">
            <v>1523</v>
          </cell>
          <cell r="B1223" t="str">
            <v xml:space="preserve">CONCRETO USINADO CONVENCIONAL (NAO BOMBEAVEL) CLASSE DE RESISTENCIA C15, COM BRITA 1 E 2, SLUMP = 80 MM +/- 10 MM (NBR 8953)                                                                                                                                                                                                                                                                                                                                                                              </v>
          </cell>
          <cell r="C1223" t="str">
            <v xml:space="preserve">M3    </v>
          </cell>
          <cell r="D1223" t="str">
            <v>CR</v>
          </cell>
          <cell r="E1223" t="str">
            <v>420,32</v>
          </cell>
        </row>
        <row r="1224">
          <cell r="A1224">
            <v>14052</v>
          </cell>
          <cell r="B1224" t="str">
            <v xml:space="preserve">CONDULETE DE ALUMINIO TIPO B, PARA ELETRODUTO ROSCAVEL DE 1/2", COM TAMPA CEGA                                                                                                                                                                                                                                                                                                                                                                                                                            </v>
          </cell>
          <cell r="C1224" t="str">
            <v xml:space="preserve">UN    </v>
          </cell>
          <cell r="D1224" t="str">
            <v>CR</v>
          </cell>
          <cell r="E1224" t="str">
            <v>13,80</v>
          </cell>
        </row>
        <row r="1225">
          <cell r="A1225">
            <v>14054</v>
          </cell>
          <cell r="B1225" t="str">
            <v xml:space="preserve">CONDULETE DE ALUMINIO TIPO B, PARA ELETRODUTO ROSCAVEL DE 1", COM TAMPA CEGA                                                                                                                                                                                                                                                                                                                                                                                                                              </v>
          </cell>
          <cell r="C1225" t="str">
            <v xml:space="preserve">UN    </v>
          </cell>
          <cell r="D1225" t="str">
            <v>CR</v>
          </cell>
          <cell r="E1225" t="str">
            <v>17,94</v>
          </cell>
        </row>
        <row r="1226">
          <cell r="A1226">
            <v>14053</v>
          </cell>
          <cell r="B1226" t="str">
            <v xml:space="preserve">CONDULETE DE ALUMINIO TIPO B, PARA ELETRODUTO ROSCAVEL DE 3/4", COM TAMPA CEGA                                                                                                                                                                                                                                                                                                                                                                                                                            </v>
          </cell>
          <cell r="C1226" t="str">
            <v xml:space="preserve">UN    </v>
          </cell>
          <cell r="D1226" t="str">
            <v>CR</v>
          </cell>
          <cell r="E1226" t="str">
            <v>14,01</v>
          </cell>
        </row>
        <row r="1227">
          <cell r="A1227">
            <v>2558</v>
          </cell>
          <cell r="B1227" t="str">
            <v xml:space="preserve">CONDULETE DE ALUMINIO TIPO C, PARA ELETRODUTO ROSCAVEL DE 1/2", COM TAMPA CEGA                                                                                                                                                                                                                                                                                                                                                                                                                            </v>
          </cell>
          <cell r="C1227" t="str">
            <v xml:space="preserve">UN    </v>
          </cell>
          <cell r="D1227" t="str">
            <v>CR</v>
          </cell>
          <cell r="E1227" t="str">
            <v>10,55</v>
          </cell>
        </row>
        <row r="1228">
          <cell r="A1228">
            <v>2560</v>
          </cell>
          <cell r="B1228" t="str">
            <v xml:space="preserve">CONDULETE DE ALUMINIO TIPO C, PARA ELETRODUTO ROSCAVEL DE 1", COM TAMPA CEGA                                                                                                                                                                                                                                                                                                                                                                                                                              </v>
          </cell>
          <cell r="C1228" t="str">
            <v xml:space="preserve">UN    </v>
          </cell>
          <cell r="D1228" t="str">
            <v>CR</v>
          </cell>
          <cell r="E1228" t="str">
            <v>18,57</v>
          </cell>
        </row>
        <row r="1229">
          <cell r="A1229">
            <v>2559</v>
          </cell>
          <cell r="B1229" t="str">
            <v xml:space="preserve">CONDULETE DE ALUMINIO TIPO C, PARA ELETRODUTO ROSCAVEL DE 3/4", COM TAMPA CEGA                                                                                                                                                                                                                                                                                                                                                                                                                            </v>
          </cell>
          <cell r="C1229" t="str">
            <v xml:space="preserve">UN    </v>
          </cell>
          <cell r="D1229" t="str">
            <v xml:space="preserve">C </v>
          </cell>
          <cell r="E1229" t="str">
            <v>14,85</v>
          </cell>
        </row>
        <row r="1230">
          <cell r="A1230">
            <v>2592</v>
          </cell>
          <cell r="B1230" t="str">
            <v xml:space="preserve">CONDULETE DE ALUMINIO TIPO C, PARA ELETRODUTO ROSCAVEL DE 4", COM TAMPA CEGA                                                                                                                                                                                                                                                                                                                                                                                                                              </v>
          </cell>
          <cell r="C1230" t="str">
            <v xml:space="preserve">UN    </v>
          </cell>
          <cell r="D1230" t="str">
            <v>CR</v>
          </cell>
          <cell r="E1230" t="str">
            <v>246,18</v>
          </cell>
        </row>
        <row r="1231">
          <cell r="A1231">
            <v>2566</v>
          </cell>
          <cell r="B1231" t="str">
            <v xml:space="preserve">CONDULETE DE ALUMINIO TIPO E, PARA ELETRODUTO ROSCAVEL DE 1  1/4", COM TAMPA CEGA                                                                                                                                                                                                                                                                                                                                                                                                                         </v>
          </cell>
          <cell r="C1231" t="str">
            <v xml:space="preserve">UN    </v>
          </cell>
          <cell r="D1231" t="str">
            <v>CR</v>
          </cell>
          <cell r="E1231" t="str">
            <v>24,77</v>
          </cell>
        </row>
        <row r="1232">
          <cell r="A1232">
            <v>2589</v>
          </cell>
          <cell r="B1232" t="str">
            <v xml:space="preserve">CONDULETE DE ALUMINIO TIPO E, PARA ELETRODUTO ROSCAVEL DE 1 1/2", COM TAMPA CEGA                                                                                                                                                                                                                                                                                                                                                                                                                          </v>
          </cell>
          <cell r="C1232" t="str">
            <v xml:space="preserve">UN    </v>
          </cell>
          <cell r="D1232" t="str">
            <v>CR</v>
          </cell>
          <cell r="E1232" t="str">
            <v>32,93</v>
          </cell>
        </row>
        <row r="1233">
          <cell r="A1233">
            <v>2591</v>
          </cell>
          <cell r="B1233" t="str">
            <v xml:space="preserve">CONDULETE DE ALUMINIO TIPO E, PARA ELETRODUTO ROSCAVEL DE 1/2", COM TAMPA CEGA                                                                                                                                                                                                                                                                                                                                                                                                                            </v>
          </cell>
          <cell r="C1233" t="str">
            <v xml:space="preserve">UN    </v>
          </cell>
          <cell r="D1233" t="str">
            <v>CR</v>
          </cell>
          <cell r="E1233" t="str">
            <v>12,01</v>
          </cell>
        </row>
        <row r="1234">
          <cell r="A1234">
            <v>2590</v>
          </cell>
          <cell r="B1234" t="str">
            <v xml:space="preserve">CONDULETE DE ALUMINIO TIPO E, PARA ELETRODUTO ROSCAVEL DE 1", COM TAMPA CEGA                                                                                                                                                                                                                                                                                                                                                                                                                              </v>
          </cell>
          <cell r="C1234" t="str">
            <v xml:space="preserve">UN    </v>
          </cell>
          <cell r="D1234" t="str">
            <v>CR</v>
          </cell>
          <cell r="E1234" t="str">
            <v>20,21</v>
          </cell>
        </row>
        <row r="1235">
          <cell r="A1235">
            <v>2567</v>
          </cell>
          <cell r="B1235" t="str">
            <v xml:space="preserve">CONDULETE DE ALUMINIO TIPO E, PARA ELETRODUTO ROSCAVEL DE 2", COM TAMPA CEGA                                                                                                                                                                                                                                                                                                                                                                                                                              </v>
          </cell>
          <cell r="C1235" t="str">
            <v xml:space="preserve">UN    </v>
          </cell>
          <cell r="D1235" t="str">
            <v>CR</v>
          </cell>
          <cell r="E1235" t="str">
            <v>48,30</v>
          </cell>
        </row>
        <row r="1236">
          <cell r="A1236">
            <v>2565</v>
          </cell>
          <cell r="B1236" t="str">
            <v xml:space="preserve">CONDULETE DE ALUMINIO TIPO E, PARA ELETRODUTO ROSCAVEL DE 3/4", COM TAMPA CEGA                                                                                                                                                                                                                                                                                                                                                                                                                            </v>
          </cell>
          <cell r="C1236" t="str">
            <v xml:space="preserve">UN    </v>
          </cell>
          <cell r="D1236" t="str">
            <v>CR</v>
          </cell>
          <cell r="E1236" t="str">
            <v>12,03</v>
          </cell>
        </row>
        <row r="1237">
          <cell r="A1237">
            <v>2568</v>
          </cell>
          <cell r="B1237" t="str">
            <v xml:space="preserve">CONDULETE DE ALUMINIO TIPO E, PARA ELETRODUTO ROSCAVEL DE 3", COM TAMPA CEGA                                                                                                                                                                                                                                                                                                                                                                                                                              </v>
          </cell>
          <cell r="C1237" t="str">
            <v xml:space="preserve">UN    </v>
          </cell>
          <cell r="D1237" t="str">
            <v>CR</v>
          </cell>
          <cell r="E1237" t="str">
            <v>134,12</v>
          </cell>
        </row>
        <row r="1238">
          <cell r="A1238">
            <v>2594</v>
          </cell>
          <cell r="B1238" t="str">
            <v xml:space="preserve">CONDULETE DE ALUMINIO TIPO E, PARA ELETRODUTO ROSCAVEL DE 4", COM TAMPA CEGA                                                                                                                                                                                                                                                                                                                                                                                                                              </v>
          </cell>
          <cell r="C1238" t="str">
            <v xml:space="preserve">UN    </v>
          </cell>
          <cell r="D1238" t="str">
            <v>CR</v>
          </cell>
          <cell r="E1238" t="str">
            <v>223,44</v>
          </cell>
        </row>
        <row r="1239">
          <cell r="A1239">
            <v>2587</v>
          </cell>
          <cell r="B1239" t="str">
            <v xml:space="preserve">CONDULETE DE ALUMINIO TIPO LR, PARA ELETRODUTO ROSCAVEL DE 1 1/2", COM TAMPA CEGA                                                                                                                                                                                                                                                                                                                                                                                                                         </v>
          </cell>
          <cell r="C1239" t="str">
            <v xml:space="preserve">UN    </v>
          </cell>
          <cell r="D1239" t="str">
            <v>CR</v>
          </cell>
          <cell r="E1239" t="str">
            <v>38,08</v>
          </cell>
        </row>
        <row r="1240">
          <cell r="A1240">
            <v>2588</v>
          </cell>
          <cell r="B1240" t="str">
            <v xml:space="preserve">CONDULETE DE ALUMINIO TIPO LR, PARA ELETRODUTO ROSCAVEL DE 1 1/4", COM TAMPA CEGA                                                                                                                                                                                                                                                                                                                                                                                                                         </v>
          </cell>
          <cell r="C1240" t="str">
            <v xml:space="preserve">UN    </v>
          </cell>
          <cell r="D1240" t="str">
            <v>CR</v>
          </cell>
          <cell r="E1240" t="str">
            <v>30,25</v>
          </cell>
        </row>
        <row r="1241">
          <cell r="A1241">
            <v>2569</v>
          </cell>
          <cell r="B1241" t="str">
            <v xml:space="preserve">CONDULETE DE ALUMINIO TIPO LR, PARA ELETRODUTO ROSCAVEL DE 1/2", COM TAMPA CEGA                                                                                                                                                                                                                                                                                                                                                                                                                           </v>
          </cell>
          <cell r="C1241" t="str">
            <v xml:space="preserve">UN    </v>
          </cell>
          <cell r="D1241" t="str">
            <v>CR</v>
          </cell>
          <cell r="E1241" t="str">
            <v>11,65</v>
          </cell>
        </row>
        <row r="1242">
          <cell r="A1242">
            <v>2570</v>
          </cell>
          <cell r="B1242" t="str">
            <v xml:space="preserve">CONDULETE DE ALUMINIO TIPO LR, PARA ELETRODUTO ROSCAVEL DE 1", COM TAMPA CEGA                                                                                                                                                                                                                                                                                                                                                                                                                             </v>
          </cell>
          <cell r="C1242" t="str">
            <v xml:space="preserve">UN    </v>
          </cell>
          <cell r="D1242" t="str">
            <v>CR</v>
          </cell>
          <cell r="E1242" t="str">
            <v>19,54</v>
          </cell>
        </row>
        <row r="1243">
          <cell r="A1243">
            <v>2571</v>
          </cell>
          <cell r="B1243" t="str">
            <v xml:space="preserve">CONDULETE DE ALUMINIO TIPO LR, PARA ELETRODUTO ROSCAVEL DE 2", COM TAMPA CEGA                                                                                                                                                                                                                                                                                                                                                                                                                             </v>
          </cell>
          <cell r="C1243" t="str">
            <v xml:space="preserve">UN    </v>
          </cell>
          <cell r="D1243" t="str">
            <v>CR</v>
          </cell>
          <cell r="E1243" t="str">
            <v>58,00</v>
          </cell>
        </row>
        <row r="1244">
          <cell r="A1244">
            <v>2593</v>
          </cell>
          <cell r="B1244" t="str">
            <v xml:space="preserve">CONDULETE DE ALUMINIO TIPO LR, PARA ELETRODUTO ROSCAVEL DE 3/4", COM TAMPA CEGA                                                                                                                                                                                                                                                                                                                                                                                                                           </v>
          </cell>
          <cell r="C1244" t="str">
            <v xml:space="preserve">UN    </v>
          </cell>
          <cell r="D1244" t="str">
            <v>CR</v>
          </cell>
          <cell r="E1244" t="str">
            <v>12,43</v>
          </cell>
        </row>
        <row r="1245">
          <cell r="A1245">
            <v>2572</v>
          </cell>
          <cell r="B1245" t="str">
            <v xml:space="preserve">CONDULETE DE ALUMINIO TIPO LR, PARA ELETRODUTO ROSCAVEL DE 3", COM TAMPA CEGA                                                                                                                                                                                                                                                                                                                                                                                                                             </v>
          </cell>
          <cell r="C1245" t="str">
            <v xml:space="preserve">UN    </v>
          </cell>
          <cell r="D1245" t="str">
            <v>CR</v>
          </cell>
          <cell r="E1245" t="str">
            <v>171,52</v>
          </cell>
        </row>
        <row r="1246">
          <cell r="A1246">
            <v>2595</v>
          </cell>
          <cell r="B1246" t="str">
            <v xml:space="preserve">CONDULETE DE ALUMINIO TIPO LR, PARA ELETRODUTO ROSCAVEL DE 4", COM TAMPA CEGA                                                                                                                                                                                                                                                                                                                                                                                                                             </v>
          </cell>
          <cell r="C1246" t="str">
            <v xml:space="preserve">UN    </v>
          </cell>
          <cell r="D1246" t="str">
            <v>CR</v>
          </cell>
          <cell r="E1246" t="str">
            <v>267,61</v>
          </cell>
        </row>
        <row r="1247">
          <cell r="A1247">
            <v>2576</v>
          </cell>
          <cell r="B1247" t="str">
            <v xml:space="preserve">CONDULETE DE ALUMINIO TIPO T, PARA ELETRODUTO ROSCAVEL DE 1 1/2", COM TAMPA CEGA                                                                                                                                                                                                                                                                                                                                                                                                                          </v>
          </cell>
          <cell r="C1247" t="str">
            <v xml:space="preserve">UN    </v>
          </cell>
          <cell r="D1247" t="str">
            <v>CR</v>
          </cell>
          <cell r="E1247" t="str">
            <v>45,62</v>
          </cell>
        </row>
        <row r="1248">
          <cell r="A1248">
            <v>2575</v>
          </cell>
          <cell r="B1248" t="str">
            <v xml:space="preserve">CONDULETE DE ALUMINIO TIPO T, PARA ELETRODUTO ROSCAVEL DE 1 1/4", COM TAMPA CEGA                                                                                                                                                                                                                                                                                                                                                                                                                          </v>
          </cell>
          <cell r="C1248" t="str">
            <v xml:space="preserve">UN    </v>
          </cell>
          <cell r="D1248" t="str">
            <v>CR</v>
          </cell>
          <cell r="E1248" t="str">
            <v>34,29</v>
          </cell>
        </row>
        <row r="1249">
          <cell r="A1249">
            <v>2573</v>
          </cell>
          <cell r="B1249" t="str">
            <v xml:space="preserve">CONDULETE DE ALUMINIO TIPO T, PARA ELETRODUTO ROSCAVEL DE 1/2", COM TAMPA CEGA                                                                                                                                                                                                                                                                                                                                                                                                                            </v>
          </cell>
          <cell r="C1249" t="str">
            <v xml:space="preserve">UN    </v>
          </cell>
          <cell r="D1249" t="str">
            <v>CR</v>
          </cell>
          <cell r="E1249" t="str">
            <v>14,24</v>
          </cell>
        </row>
        <row r="1250">
          <cell r="A1250">
            <v>2586</v>
          </cell>
          <cell r="B1250" t="str">
            <v xml:space="preserve">CONDULETE DE ALUMINIO TIPO T, PARA ELETRODUTO ROSCAVEL DE 1", COM TAMPA CEGA                                                                                                                                                                                                                                                                                                                                                                                                                              </v>
          </cell>
          <cell r="C1250" t="str">
            <v xml:space="preserve">UN    </v>
          </cell>
          <cell r="D1250" t="str">
            <v>CR</v>
          </cell>
          <cell r="E1250" t="str">
            <v>23,08</v>
          </cell>
        </row>
        <row r="1251">
          <cell r="A1251">
            <v>2577</v>
          </cell>
          <cell r="B1251" t="str">
            <v xml:space="preserve">CONDULETE DE ALUMINIO TIPO T, PARA ELETRODUTO ROSCAVEL DE 2", COM TAMPA CEGA                                                                                                                                                                                                                                                                                                                                                                                                                              </v>
          </cell>
          <cell r="C1251" t="str">
            <v xml:space="preserve">UN    </v>
          </cell>
          <cell r="D1251" t="str">
            <v>CR</v>
          </cell>
          <cell r="E1251" t="str">
            <v>61,81</v>
          </cell>
        </row>
        <row r="1252">
          <cell r="A1252">
            <v>2574</v>
          </cell>
          <cell r="B1252" t="str">
            <v xml:space="preserve">CONDULETE DE ALUMINIO TIPO T, PARA ELETRODUTO ROSCAVEL DE 3/4", COM TAMPA CEGA                                                                                                                                                                                                                                                                                                                                                                                                                            </v>
          </cell>
          <cell r="C1252" t="str">
            <v xml:space="preserve">UN    </v>
          </cell>
          <cell r="D1252" t="str">
            <v>CR</v>
          </cell>
          <cell r="E1252" t="str">
            <v>14,33</v>
          </cell>
        </row>
        <row r="1253">
          <cell r="A1253">
            <v>2578</v>
          </cell>
          <cell r="B1253" t="str">
            <v xml:space="preserve">CONDULETE DE ALUMINIO TIPO T, PARA ELETRODUTO ROSCAVEL DE 3", COM TAMPA CEGA                                                                                                                                                                                                                                                                                                                                                                                                                              </v>
          </cell>
          <cell r="C1253" t="str">
            <v xml:space="preserve">UN    </v>
          </cell>
          <cell r="D1253" t="str">
            <v>CR</v>
          </cell>
          <cell r="E1253" t="str">
            <v>192,99</v>
          </cell>
        </row>
        <row r="1254">
          <cell r="A1254">
            <v>2585</v>
          </cell>
          <cell r="B1254" t="str">
            <v xml:space="preserve">CONDULETE DE ALUMINIO TIPO T, PARA ELETRODUTO ROSCAVEL DE 4", COM TAMPA CEGA                                                                                                                                                                                                                                                                                                                                                                                                                              </v>
          </cell>
          <cell r="C1254" t="str">
            <v xml:space="preserve">UN    </v>
          </cell>
          <cell r="D1254" t="str">
            <v>CR</v>
          </cell>
          <cell r="E1254" t="str">
            <v>264,83</v>
          </cell>
        </row>
        <row r="1255">
          <cell r="A1255">
            <v>12008</v>
          </cell>
          <cell r="B1255" t="str">
            <v xml:space="preserve">CONDULETE DE ALUMINIO TIPO TB, PARA ELETRODUTO ROSCAVEL DE 3", COM TAMPA CEGA                                                                                                                                                                                                                                                                                                                                                                                                                             </v>
          </cell>
          <cell r="C1255" t="str">
            <v xml:space="preserve">UN    </v>
          </cell>
          <cell r="D1255" t="str">
            <v>CR</v>
          </cell>
          <cell r="E1255" t="str">
            <v>142,09</v>
          </cell>
        </row>
        <row r="1256">
          <cell r="A1256">
            <v>2582</v>
          </cell>
          <cell r="B1256" t="str">
            <v xml:space="preserve">CONDULETE DE ALUMINIO TIPO X, PARA ELETRODUTO ROSCAVEL DE 1 1/2", COM TAMPA CEGA                                                                                                                                                                                                                                                                                                                                                                                                                          </v>
          </cell>
          <cell r="C1256" t="str">
            <v xml:space="preserve">UN    </v>
          </cell>
          <cell r="D1256" t="str">
            <v>CR</v>
          </cell>
          <cell r="E1256" t="str">
            <v>42,31</v>
          </cell>
        </row>
        <row r="1257">
          <cell r="A1257">
            <v>2597</v>
          </cell>
          <cell r="B1257" t="str">
            <v xml:space="preserve">CONDULETE DE ALUMINIO TIPO X, PARA ELETRODUTO ROSCAVEL DE 1 1/4", COM TAMPA CEGA                                                                                                                                                                                                                                                                                                                                                                                                                          </v>
          </cell>
          <cell r="C1257" t="str">
            <v xml:space="preserve">UN    </v>
          </cell>
          <cell r="D1257" t="str">
            <v>CR</v>
          </cell>
          <cell r="E1257" t="str">
            <v>36,26</v>
          </cell>
        </row>
        <row r="1258">
          <cell r="A1258">
            <v>2579</v>
          </cell>
          <cell r="B1258" t="str">
            <v xml:space="preserve">CONDULETE DE ALUMINIO TIPO X, PARA ELETRODUTO ROSCAVEL DE 1/2", COM TAMPA CEGA                                                                                                                                                                                                                                                                                                                                                                                                                            </v>
          </cell>
          <cell r="C1258" t="str">
            <v xml:space="preserve">UN    </v>
          </cell>
          <cell r="D1258" t="str">
            <v>CR</v>
          </cell>
          <cell r="E1258" t="str">
            <v>17,26</v>
          </cell>
        </row>
        <row r="1259">
          <cell r="A1259">
            <v>2581</v>
          </cell>
          <cell r="B1259" t="str">
            <v xml:space="preserve">CONDULETE DE ALUMINIO TIPO X, PARA ELETRODUTO ROSCAVEL DE 1", COM TAMPA CEGA                                                                                                                                                                                                                                                                                                                                                                                                                              </v>
          </cell>
          <cell r="C1259" t="str">
            <v xml:space="preserve">UN    </v>
          </cell>
          <cell r="D1259" t="str">
            <v>CR</v>
          </cell>
          <cell r="E1259" t="str">
            <v>22,09</v>
          </cell>
        </row>
        <row r="1260">
          <cell r="A1260">
            <v>2596</v>
          </cell>
          <cell r="B1260" t="str">
            <v xml:space="preserve">CONDULETE DE ALUMINIO TIPO X, PARA ELETRODUTO ROSCAVEL DE 2", COM TAMPA CEGA                                                                                                                                                                                                                                                                                                                                                                                                                              </v>
          </cell>
          <cell r="C1260" t="str">
            <v xml:space="preserve">UN    </v>
          </cell>
          <cell r="D1260" t="str">
            <v>CR</v>
          </cell>
          <cell r="E1260" t="str">
            <v>65,34</v>
          </cell>
        </row>
        <row r="1261">
          <cell r="A1261">
            <v>2580</v>
          </cell>
          <cell r="B1261" t="str">
            <v xml:space="preserve">CONDULETE DE ALUMINIO TIPO X, PARA ELETRODUTO ROSCAVEL DE 3/4", COM TAMPA CEGA                                                                                                                                                                                                                                                                                                                                                                                                                            </v>
          </cell>
          <cell r="C1261" t="str">
            <v xml:space="preserve">UN    </v>
          </cell>
          <cell r="D1261" t="str">
            <v>CR</v>
          </cell>
          <cell r="E1261" t="str">
            <v>18,92</v>
          </cell>
        </row>
        <row r="1262">
          <cell r="A1262">
            <v>2583</v>
          </cell>
          <cell r="B1262" t="str">
            <v xml:space="preserve">CONDULETE DE ALUMINIO TIPO X, PARA ELETRODUTO ROSCAVEL DE 3", COM TAMPA CEGA                                                                                                                                                                                                                                                                                                                                                                                                                              </v>
          </cell>
          <cell r="C1262" t="str">
            <v xml:space="preserve">UN    </v>
          </cell>
          <cell r="D1262" t="str">
            <v>CR</v>
          </cell>
          <cell r="E1262" t="str">
            <v>158,92</v>
          </cell>
        </row>
        <row r="1263">
          <cell r="A1263">
            <v>2584</v>
          </cell>
          <cell r="B1263" t="str">
            <v xml:space="preserve">CONDULETE DE ALUMINIO TIPO X, PARA ELETRODUTO ROSCAVEL DE 4", COM TAMPA CEGA                                                                                                                                                                                                                                                                                                                                                                                                                              </v>
          </cell>
          <cell r="C1263" t="str">
            <v xml:space="preserve">UN    </v>
          </cell>
          <cell r="D1263" t="str">
            <v>CR</v>
          </cell>
          <cell r="E1263" t="str">
            <v>264,56</v>
          </cell>
        </row>
        <row r="1264">
          <cell r="A1264">
            <v>12010</v>
          </cell>
          <cell r="B1264" t="str">
            <v xml:space="preserve">CONDULETE EM PVC, TIPO "B", SEM TAMPA, DE 1/2" OU 3/4"                                                                                                                                                                                                                                                                                                                                                                                                                                                    </v>
          </cell>
          <cell r="C1264" t="str">
            <v xml:space="preserve">UN    </v>
          </cell>
          <cell r="D1264" t="str">
            <v>CR</v>
          </cell>
          <cell r="E1264" t="str">
            <v>9,51</v>
          </cell>
        </row>
        <row r="1265">
          <cell r="A1265">
            <v>39329</v>
          </cell>
          <cell r="B1265" t="str">
            <v xml:space="preserve">CONDULETE EM PVC, TIPO "B", SEM TAMPA, DE 1"                                                                                                                                                                                                                                                                                                                                                                                                                                                              </v>
          </cell>
          <cell r="C1265" t="str">
            <v xml:space="preserve">UN    </v>
          </cell>
          <cell r="D1265" t="str">
            <v>CR</v>
          </cell>
          <cell r="E1265" t="str">
            <v>9,95</v>
          </cell>
        </row>
        <row r="1266">
          <cell r="A1266">
            <v>39330</v>
          </cell>
          <cell r="B1266" t="str">
            <v xml:space="preserve">CONDULETE EM PVC, TIPO "C", SEM TAMPA, DE 1/2"                                                                                                                                                                                                                                                                                                                                                                                                                                                            </v>
          </cell>
          <cell r="C1266" t="str">
            <v xml:space="preserve">UN    </v>
          </cell>
          <cell r="D1266" t="str">
            <v>CR</v>
          </cell>
          <cell r="E1266" t="str">
            <v>10,47</v>
          </cell>
        </row>
        <row r="1267">
          <cell r="A1267">
            <v>39332</v>
          </cell>
          <cell r="B1267" t="str">
            <v xml:space="preserve">CONDULETE EM PVC, TIPO "C", SEM TAMPA, DE 1"                                                                                                                                                                                                                                                                                                                                                                                                                                                              </v>
          </cell>
          <cell r="C1267" t="str">
            <v xml:space="preserve">UN    </v>
          </cell>
          <cell r="D1267" t="str">
            <v>CR</v>
          </cell>
          <cell r="E1267" t="str">
            <v>11,70</v>
          </cell>
        </row>
        <row r="1268">
          <cell r="A1268">
            <v>39331</v>
          </cell>
          <cell r="B1268" t="str">
            <v xml:space="preserve">CONDULETE EM PVC, TIPO "C", SEM TAMPA, DE 3/4"                                                                                                                                                                                                                                                                                                                                                                                                                                                            </v>
          </cell>
          <cell r="C1268" t="str">
            <v xml:space="preserve">UN    </v>
          </cell>
          <cell r="D1268" t="str">
            <v>CR</v>
          </cell>
          <cell r="E1268" t="str">
            <v>9,31</v>
          </cell>
        </row>
        <row r="1269">
          <cell r="A1269">
            <v>39333</v>
          </cell>
          <cell r="B1269" t="str">
            <v xml:space="preserve">CONDULETE EM PVC, TIPO "E", SEM TAMPA, DE 1/2"                                                                                                                                                                                                                                                                                                                                                                                                                                                            </v>
          </cell>
          <cell r="C1269" t="str">
            <v xml:space="preserve">UN    </v>
          </cell>
          <cell r="D1269" t="str">
            <v>CR</v>
          </cell>
          <cell r="E1269" t="str">
            <v>9,08</v>
          </cell>
        </row>
        <row r="1270">
          <cell r="A1270">
            <v>39335</v>
          </cell>
          <cell r="B1270" t="str">
            <v xml:space="preserve">CONDULETE EM PVC, TIPO "E", SEM TAMPA, DE 1"                                                                                                                                                                                                                                                                                                                                                                                                                                                              </v>
          </cell>
          <cell r="C1270" t="str">
            <v xml:space="preserve">UN    </v>
          </cell>
          <cell r="D1270" t="str">
            <v>CR</v>
          </cell>
          <cell r="E1270" t="str">
            <v>10,51</v>
          </cell>
        </row>
        <row r="1271">
          <cell r="A1271">
            <v>39334</v>
          </cell>
          <cell r="B1271" t="str">
            <v xml:space="preserve">CONDULETE EM PVC, TIPO "E", SEM TAMPA, DE 3/4"                                                                                                                                                                                                                                                                                                                                                                                                                                                            </v>
          </cell>
          <cell r="C1271" t="str">
            <v xml:space="preserve">UN    </v>
          </cell>
          <cell r="D1271" t="str">
            <v>CR</v>
          </cell>
          <cell r="E1271" t="str">
            <v>8,35</v>
          </cell>
        </row>
        <row r="1272">
          <cell r="A1272">
            <v>12016</v>
          </cell>
          <cell r="B1272" t="str">
            <v xml:space="preserve">CONDULETE EM PVC, TIPO "LB", SEM TAMPA, DE 1/2" OU 3/4"                                                                                                                                                                                                                                                                                                                                                                                                                                                   </v>
          </cell>
          <cell r="C1272" t="str">
            <v xml:space="preserve">UN    </v>
          </cell>
          <cell r="D1272" t="str">
            <v>CR</v>
          </cell>
          <cell r="E1272" t="str">
            <v>10,48</v>
          </cell>
        </row>
        <row r="1273">
          <cell r="A1273">
            <v>12015</v>
          </cell>
          <cell r="B1273" t="str">
            <v xml:space="preserve">CONDULETE EM PVC, TIPO "LB", SEM TAMPA, DE 1"                                                                                                                                                                                                                                                                                                                                                                                                                                                             </v>
          </cell>
          <cell r="C1273" t="str">
            <v xml:space="preserve">UN    </v>
          </cell>
          <cell r="D1273" t="str">
            <v>CR</v>
          </cell>
          <cell r="E1273" t="str">
            <v>12,20</v>
          </cell>
        </row>
        <row r="1274">
          <cell r="A1274">
            <v>12020</v>
          </cell>
          <cell r="B1274" t="str">
            <v xml:space="preserve">CONDULETE EM PVC, TIPO "LL", SEM TAMPA, DE 1/2" OU 3/4"                                                                                                                                                                                                                                                                                                                                                                                                                                                   </v>
          </cell>
          <cell r="C1274" t="str">
            <v xml:space="preserve">UN    </v>
          </cell>
          <cell r="D1274" t="str">
            <v>CR</v>
          </cell>
          <cell r="E1274" t="str">
            <v>10,48</v>
          </cell>
        </row>
        <row r="1275">
          <cell r="A1275">
            <v>12019</v>
          </cell>
          <cell r="B1275" t="str">
            <v xml:space="preserve">CONDULETE EM PVC, TIPO "LL", SEM TAMPA, DE 1"                                                                                                                                                                                                                                                                                                                                                                                                                                                             </v>
          </cell>
          <cell r="C1275" t="str">
            <v xml:space="preserve">UN    </v>
          </cell>
          <cell r="D1275" t="str">
            <v>CR</v>
          </cell>
          <cell r="E1275" t="str">
            <v>12,20</v>
          </cell>
        </row>
        <row r="1276">
          <cell r="A1276">
            <v>39336</v>
          </cell>
          <cell r="B1276" t="str">
            <v xml:space="preserve">CONDULETE EM PVC, TIPO "LR", SEM TAMPA, DE 1/2"                                                                                                                                                                                                                                                                                                                                                                                                                                                           </v>
          </cell>
          <cell r="C1276" t="str">
            <v xml:space="preserve">UN    </v>
          </cell>
          <cell r="D1276" t="str">
            <v>CR</v>
          </cell>
          <cell r="E1276" t="str">
            <v>10,47</v>
          </cell>
        </row>
        <row r="1277">
          <cell r="A1277">
            <v>39338</v>
          </cell>
          <cell r="B1277" t="str">
            <v xml:space="preserve">CONDULETE EM PVC, TIPO "LR", SEM TAMPA, DE 1"                                                                                                                                                                                                                                                                                                                                                                                                                                                             </v>
          </cell>
          <cell r="C1277" t="str">
            <v xml:space="preserve">UN    </v>
          </cell>
          <cell r="D1277" t="str">
            <v>CR</v>
          </cell>
          <cell r="E1277" t="str">
            <v>11,70</v>
          </cell>
        </row>
        <row r="1278">
          <cell r="A1278">
            <v>39337</v>
          </cell>
          <cell r="B1278" t="str">
            <v xml:space="preserve">CONDULETE EM PVC, TIPO "LR", SEM TAMPA, DE 3/4"                                                                                                                                                                                                                                                                                                                                                                                                                                                           </v>
          </cell>
          <cell r="C1278" t="str">
            <v xml:space="preserve">UN    </v>
          </cell>
          <cell r="D1278" t="str">
            <v>CR</v>
          </cell>
          <cell r="E1278" t="str">
            <v>9,31</v>
          </cell>
        </row>
        <row r="1279">
          <cell r="A1279">
            <v>39341</v>
          </cell>
          <cell r="B1279" t="str">
            <v xml:space="preserve">CONDULETE EM PVC, TIPO "T", SEM TAMPA, DE 1"                                                                                                                                                                                                                                                                                                                                                                                                                                                              </v>
          </cell>
          <cell r="C1279" t="str">
            <v xml:space="preserve">UN    </v>
          </cell>
          <cell r="D1279" t="str">
            <v>CR</v>
          </cell>
          <cell r="E1279" t="str">
            <v>15,25</v>
          </cell>
        </row>
        <row r="1280">
          <cell r="A1280">
            <v>39340</v>
          </cell>
          <cell r="B1280" t="str">
            <v xml:space="preserve">CONDULETE EM PVC, TIPO "T", SEM TAMPA, DE 3/4"                                                                                                                                                                                                                                                                                                                                                                                                                                                            </v>
          </cell>
          <cell r="C1280" t="str">
            <v xml:space="preserve">UN    </v>
          </cell>
          <cell r="D1280" t="str">
            <v>CR</v>
          </cell>
          <cell r="E1280" t="str">
            <v>11,20</v>
          </cell>
        </row>
        <row r="1281">
          <cell r="A1281">
            <v>12025</v>
          </cell>
          <cell r="B1281" t="str">
            <v xml:space="preserve">CONDULETE EM PVC, TIPO "TB", SEM TAMPA, DE 1/2" OU 3/4"                                                                                                                                                                                                                                                                                                                                                                                                                                                   </v>
          </cell>
          <cell r="C1281" t="str">
            <v xml:space="preserve">UN    </v>
          </cell>
          <cell r="D1281" t="str">
            <v>CR</v>
          </cell>
          <cell r="E1281" t="str">
            <v>11,56</v>
          </cell>
        </row>
        <row r="1282">
          <cell r="A1282">
            <v>39342</v>
          </cell>
          <cell r="B1282" t="str">
            <v xml:space="preserve">CONDULETE EM PVC, TIPO "TB", SEM TAMPA, DE 1"                                                                                                                                                                                                                                                                                                                                                                                                                                                             </v>
          </cell>
          <cell r="C1282" t="str">
            <v xml:space="preserve">UN    </v>
          </cell>
          <cell r="D1282" t="str">
            <v>CR</v>
          </cell>
          <cell r="E1282" t="str">
            <v>15,25</v>
          </cell>
        </row>
        <row r="1283">
          <cell r="A1283">
            <v>39343</v>
          </cell>
          <cell r="B1283" t="str">
            <v xml:space="preserve">CONDULETE EM PVC, TIPO "X", SEM TAMPA, DE 1/2"                                                                                                                                                                                                                                                                                                                                                                                                                                                            </v>
          </cell>
          <cell r="C1283" t="str">
            <v xml:space="preserve">UN    </v>
          </cell>
          <cell r="D1283" t="str">
            <v>CR</v>
          </cell>
          <cell r="E1283" t="str">
            <v>12,88</v>
          </cell>
        </row>
        <row r="1284">
          <cell r="A1284">
            <v>39345</v>
          </cell>
          <cell r="B1284" t="str">
            <v xml:space="preserve">CONDULETE EM PVC, TIPO "X", SEM TAMPA, DE 1"                                                                                                                                                                                                                                                                                                                                                                                                                                                              </v>
          </cell>
          <cell r="C1284" t="str">
            <v xml:space="preserve">UN    </v>
          </cell>
          <cell r="D1284" t="str">
            <v>CR</v>
          </cell>
          <cell r="E1284" t="str">
            <v>17,43</v>
          </cell>
        </row>
        <row r="1285">
          <cell r="A1285">
            <v>39344</v>
          </cell>
          <cell r="B1285" t="str">
            <v xml:space="preserve">CONDULETE EM PVC, TIPO "X", SEM TAMPA, DE 3/4"                                                                                                                                                                                                                                                                                                                                                                                                                                                            </v>
          </cell>
          <cell r="C1285" t="str">
            <v xml:space="preserve">UN    </v>
          </cell>
          <cell r="D1285" t="str">
            <v>CR</v>
          </cell>
          <cell r="E1285" t="str">
            <v>12,45</v>
          </cell>
        </row>
        <row r="1286">
          <cell r="A1286">
            <v>12623</v>
          </cell>
          <cell r="B1286" t="str">
            <v xml:space="preserve">CONDUTOR PLUVIAL, PVC, CIRCULAR, DIAMETRO ENTRE 80 E 100 MM, PARA DRENAGEM PLUVIAL PREDIAL                                                                                                                                                                                                                                                                                                                                                                                                                </v>
          </cell>
          <cell r="C1286" t="str">
            <v xml:space="preserve">M     </v>
          </cell>
          <cell r="D1286" t="str">
            <v>CR</v>
          </cell>
          <cell r="E1286" t="str">
            <v>43,39</v>
          </cell>
        </row>
        <row r="1287">
          <cell r="A1287">
            <v>34498</v>
          </cell>
          <cell r="B1287" t="str">
            <v xml:space="preserve">CONE DE SINALIZACAO EM PVC FLEXIVEL, H = 70 / 76 CM (NBR 15071)                                                                                                                                                                                                                                                                                                                                                                                                                                           </v>
          </cell>
          <cell r="C1287" t="str">
            <v xml:space="preserve">UN    </v>
          </cell>
          <cell r="D1287" t="str">
            <v>CR</v>
          </cell>
          <cell r="E1287" t="str">
            <v>130,66</v>
          </cell>
        </row>
        <row r="1288">
          <cell r="A1288">
            <v>13244</v>
          </cell>
          <cell r="B1288" t="str">
            <v xml:space="preserve">CONE DE SINALIZACAO EM PVC RIGIDO COM FAIXA REFLETIVA, H = 70 / 76 CM                                                                                                                                                                                                                                                                                                                                                                                                                                     </v>
          </cell>
          <cell r="C1288" t="str">
            <v xml:space="preserve">UN    </v>
          </cell>
          <cell r="D1288" t="str">
            <v xml:space="preserve">C </v>
          </cell>
          <cell r="E1288" t="str">
            <v>55,00</v>
          </cell>
        </row>
        <row r="1289">
          <cell r="A1289">
            <v>38998</v>
          </cell>
          <cell r="B1289" t="str">
            <v xml:space="preserve">CONECTOR / ADAPTADOR F/F, COM INSERTO METALICO, PPR, DN 25 MM X 1/2", PARA AGUA QUENTE E FRIA PREDIAL                                                                                                                                                                                                                                                                                                                                                                                                     </v>
          </cell>
          <cell r="C1289" t="str">
            <v xml:space="preserve">UN    </v>
          </cell>
          <cell r="D1289" t="str">
            <v>CR</v>
          </cell>
          <cell r="E1289" t="str">
            <v>9,97</v>
          </cell>
        </row>
        <row r="1290">
          <cell r="A1290">
            <v>38999</v>
          </cell>
          <cell r="B1290" t="str">
            <v xml:space="preserve">CONECTOR / ADAPTADOR F/F, COM INSERTO METALICO, PPR, DN 32 MM X 3/4", PARA AGUA QUENTE E FRIA PREDIAL                                                                                                                                                                                                                                                                                                                                                                                                     </v>
          </cell>
          <cell r="C1290" t="str">
            <v xml:space="preserve">UN    </v>
          </cell>
          <cell r="D1290" t="str">
            <v>CR</v>
          </cell>
          <cell r="E1290" t="str">
            <v>25,20</v>
          </cell>
        </row>
        <row r="1291">
          <cell r="A1291">
            <v>38996</v>
          </cell>
          <cell r="B1291" t="str">
            <v xml:space="preserve">CONECTOR / ADAPTADOR F/M, COM INSERTO METALICO, PPR, DN 25 MM X 1/2", PARA AGUA QUENTE E FRIA PREDIAL                                                                                                                                                                                                                                                                                                                                                                                                     </v>
          </cell>
          <cell r="C1291" t="str">
            <v xml:space="preserve">UN    </v>
          </cell>
          <cell r="D1291" t="str">
            <v>CR</v>
          </cell>
          <cell r="E1291" t="str">
            <v>17,81</v>
          </cell>
        </row>
        <row r="1292">
          <cell r="A1292">
            <v>44173</v>
          </cell>
          <cell r="B1292" t="str">
            <v xml:space="preserve">CONECTOR / ADAPTADOR F/M, COM INSERTO METALICO, PPR, DN 25 MM X 3/4", PARA AGUA QUENTE E FRIA PREDIAL                                                                                                                                                                                                                                                                                                                                                                                                     </v>
          </cell>
          <cell r="C1292" t="str">
            <v xml:space="preserve">UN    </v>
          </cell>
          <cell r="D1292" t="str">
            <v>CR</v>
          </cell>
          <cell r="E1292" t="str">
            <v>17,32</v>
          </cell>
        </row>
        <row r="1293">
          <cell r="A1293">
            <v>44174</v>
          </cell>
          <cell r="B1293" t="str">
            <v xml:space="preserve">CONECTOR / ADAPTADOR F/M, COM INSERTO METALICO, PPR, DN 32 MM X 1", PARA AGUA QUENTE E FRIA PREDIAL                                                                                                                                                                                                                                                                                                                                                                                                       </v>
          </cell>
          <cell r="C1293" t="str">
            <v xml:space="preserve">UN    </v>
          </cell>
          <cell r="D1293" t="str">
            <v>CR</v>
          </cell>
          <cell r="E1293" t="str">
            <v>28,36</v>
          </cell>
        </row>
        <row r="1294">
          <cell r="A1294">
            <v>38997</v>
          </cell>
          <cell r="B1294" t="str">
            <v xml:space="preserve">CONECTOR / ADAPTADOR F/M, COM INSERTO METALICO, PPR, DN 32 MM X 3/4", PARA AGUA QUENTE E FRIA PREDIAL                                                                                                                                                                                                                                                                                                                                                                                                     </v>
          </cell>
          <cell r="C1294" t="str">
            <v xml:space="preserve">UN    </v>
          </cell>
          <cell r="D1294" t="str">
            <v>CR</v>
          </cell>
          <cell r="E1294" t="str">
            <v>25,48</v>
          </cell>
        </row>
        <row r="1295">
          <cell r="A1295">
            <v>39600</v>
          </cell>
          <cell r="B1295" t="str">
            <v xml:space="preserve">CONECTOR / TOMADA FEMEA RJ 45, CATEGORIA 5 E (CAT 5E) PARA CABOS                                                                                                                                                                                                                                                                                                                                                                                                                                          </v>
          </cell>
          <cell r="C1295" t="str">
            <v xml:space="preserve">UN    </v>
          </cell>
          <cell r="D1295" t="str">
            <v>CR</v>
          </cell>
          <cell r="E1295" t="str">
            <v>16,88</v>
          </cell>
        </row>
        <row r="1296">
          <cell r="A1296">
            <v>39601</v>
          </cell>
          <cell r="B1296" t="str">
            <v xml:space="preserve">CONECTOR / TOMADA FEMEA RJ 45, CATEGORIA 6 (CAT 6) PARA CABOS                                                                                                                                                                                                                                                                                                                                                                                                                                             </v>
          </cell>
          <cell r="C1296" t="str">
            <v xml:space="preserve">UN    </v>
          </cell>
          <cell r="D1296" t="str">
            <v>CR</v>
          </cell>
          <cell r="E1296" t="str">
            <v>35,81</v>
          </cell>
        </row>
        <row r="1297">
          <cell r="A1297">
            <v>39862</v>
          </cell>
          <cell r="B1297" t="str">
            <v xml:space="preserve">CONECTOR BRONZE/LATAO (REF 603) SEM ANEL DE SOLDA, BOLSA X ROSCA F, 15 MM X 1/2"                                                                                                                                                                                                                                                                                                                                                                                                                          </v>
          </cell>
          <cell r="C1297" t="str">
            <v xml:space="preserve">UN    </v>
          </cell>
          <cell r="D1297" t="str">
            <v>CR</v>
          </cell>
          <cell r="E1297" t="str">
            <v>13,19</v>
          </cell>
        </row>
        <row r="1298">
          <cell r="A1298">
            <v>39863</v>
          </cell>
          <cell r="B1298" t="str">
            <v xml:space="preserve">CONECTOR BRONZE/LATAO (REF 603) SEM ANEL DE SOLDA, BOLSA X ROSCA F, 22 MM X 1/2"                                                                                                                                                                                                                                                                                                                                                                                                                          </v>
          </cell>
          <cell r="C1298" t="str">
            <v xml:space="preserve">UN    </v>
          </cell>
          <cell r="D1298" t="str">
            <v>CR</v>
          </cell>
          <cell r="E1298" t="str">
            <v>13,37</v>
          </cell>
        </row>
        <row r="1299">
          <cell r="A1299">
            <v>39864</v>
          </cell>
          <cell r="B1299" t="str">
            <v xml:space="preserve">CONECTOR BRONZE/LATAO (REF 603) SEM ANEL DE SOLDA, BOLSA X ROSCA F, 22 MM X 3/4"                                                                                                                                                                                                                                                                                                                                                                                                                          </v>
          </cell>
          <cell r="C1299" t="str">
            <v xml:space="preserve">UN    </v>
          </cell>
          <cell r="D1299" t="str">
            <v>CR</v>
          </cell>
          <cell r="E1299" t="str">
            <v>16,60</v>
          </cell>
        </row>
        <row r="1300">
          <cell r="A1300">
            <v>39865</v>
          </cell>
          <cell r="B1300" t="str">
            <v xml:space="preserve">CONECTOR BRONZE/LATAO (REF 603) SEM ANEL DE SOLDA, BOLSA X ROSCA F, 28 MM X 1/2"                                                                                                                                                                                                                                                                                                                                                                                                                          </v>
          </cell>
          <cell r="C1300" t="str">
            <v xml:space="preserve">UN    </v>
          </cell>
          <cell r="D1300" t="str">
            <v>CR</v>
          </cell>
          <cell r="E1300" t="str">
            <v>23,39</v>
          </cell>
        </row>
        <row r="1301">
          <cell r="A1301">
            <v>2517</v>
          </cell>
          <cell r="B1301" t="str">
            <v xml:space="preserve">CONECTOR CURVO 90 GRAUS DE ALUMINIO, BITOLA 1 1/2", PARA ADAPTAR ENTRADA DE ELETRODUTO METALICO FLEXIVEL EM QUADROS                                                                                                                                                                                                                                                                                                                                                                                       </v>
          </cell>
          <cell r="C1301" t="str">
            <v xml:space="preserve">UN    </v>
          </cell>
          <cell r="D1301" t="str">
            <v>CR</v>
          </cell>
          <cell r="E1301" t="str">
            <v>26,36</v>
          </cell>
        </row>
        <row r="1302">
          <cell r="A1302">
            <v>2522</v>
          </cell>
          <cell r="B1302" t="str">
            <v xml:space="preserve">CONECTOR CURVO 90 GRAUS DE ALUMINIO, BITOLA 1 1/4", PARA ADAPTAR ENTRADA DE ELETRODUTO METALICO FLEXIVEL EM QUADROS                                                                                                                                                                                                                                                                                                                                                                                       </v>
          </cell>
          <cell r="C1302" t="str">
            <v xml:space="preserve">UN    </v>
          </cell>
          <cell r="D1302" t="str">
            <v>CR</v>
          </cell>
          <cell r="E1302" t="str">
            <v>17,03</v>
          </cell>
        </row>
        <row r="1303">
          <cell r="A1303">
            <v>2548</v>
          </cell>
          <cell r="B1303" t="str">
            <v xml:space="preserve">CONECTOR CURVO 90 GRAUS DE ALUMINIO, BITOLA 1/2", PARA ADAPTAR ENTRADA DE ELETRODUTO METALICO FLEXIVEL EM QUADROS                                                                                                                                                                                                                                                                                                                                                                                         </v>
          </cell>
          <cell r="C1303" t="str">
            <v xml:space="preserve">UN    </v>
          </cell>
          <cell r="D1303" t="str">
            <v>CR</v>
          </cell>
          <cell r="E1303" t="str">
            <v>10,48</v>
          </cell>
        </row>
        <row r="1304">
          <cell r="A1304">
            <v>2516</v>
          </cell>
          <cell r="B1304" t="str">
            <v xml:space="preserve">CONECTOR CURVO 90 GRAUS DE ALUMINIO, BITOLA 1", PARA ADAPTAR ENTRADA DE ELETRODUTO METALICO FLEXIVEL EM QUADROS                                                                                                                                                                                                                                                                                                                                                                                           </v>
          </cell>
          <cell r="C1304" t="str">
            <v xml:space="preserve">UN    </v>
          </cell>
          <cell r="D1304" t="str">
            <v>CR</v>
          </cell>
          <cell r="E1304" t="str">
            <v>13,68</v>
          </cell>
        </row>
        <row r="1305">
          <cell r="A1305">
            <v>2518</v>
          </cell>
          <cell r="B1305" t="str">
            <v xml:space="preserve">CONECTOR CURVO 90 GRAUS DE ALUMINIO, BITOLA 2 1/2", PARA ADAPTAR ENTRADA DE ELETRODUTO METALICO FLEXIVEL EM QUADROS                                                                                                                                                                                                                                                                                                                                                                                       </v>
          </cell>
          <cell r="C1305" t="str">
            <v xml:space="preserve">UN    </v>
          </cell>
          <cell r="D1305" t="str">
            <v>CR</v>
          </cell>
          <cell r="E1305" t="str">
            <v>125,47</v>
          </cell>
        </row>
        <row r="1306">
          <cell r="A1306">
            <v>2521</v>
          </cell>
          <cell r="B1306" t="str">
            <v xml:space="preserve">CONECTOR CURVO 90 GRAUS DE ALUMINIO, BITOLA 2", PARA ADAPTAR ENTRADA DE ELETRODUTO METALICO FLEXIVEL EM QUADROS                                                                                                                                                                                                                                                                                                                                                                                           </v>
          </cell>
          <cell r="C1306" t="str">
            <v xml:space="preserve">UN    </v>
          </cell>
          <cell r="D1306" t="str">
            <v>CR</v>
          </cell>
          <cell r="E1306" t="str">
            <v>53,41</v>
          </cell>
        </row>
        <row r="1307">
          <cell r="A1307">
            <v>2515</v>
          </cell>
          <cell r="B1307" t="str">
            <v xml:space="preserve">CONECTOR CURVO 90 GRAUS DE ALUMINIO, BITOLA 3/4", PARA ADAPTAR ENTRADA DE ELETRODUTO METALICO FLEXIVEL EM QUADROS                                                                                                                                                                                                                                                                                                                                                                                         </v>
          </cell>
          <cell r="C1307" t="str">
            <v xml:space="preserve">UN    </v>
          </cell>
          <cell r="D1307" t="str">
            <v>CR</v>
          </cell>
          <cell r="E1307" t="str">
            <v>11,38</v>
          </cell>
        </row>
        <row r="1308">
          <cell r="A1308">
            <v>2519</v>
          </cell>
          <cell r="B1308" t="str">
            <v xml:space="preserve">CONECTOR CURVO 90 GRAUS DE ALUMINIO, BITOLA 3", PARA ADAPTAR ENTRADA DE ELETRODUTO METALICO FLEXIVEL EM QUADROS                                                                                                                                                                                                                                                                                                                                                                                           </v>
          </cell>
          <cell r="C1308" t="str">
            <v xml:space="preserve">UN    </v>
          </cell>
          <cell r="D1308" t="str">
            <v>CR</v>
          </cell>
          <cell r="E1308" t="str">
            <v>151,29</v>
          </cell>
        </row>
        <row r="1309">
          <cell r="A1309">
            <v>2520</v>
          </cell>
          <cell r="B1309" t="str">
            <v xml:space="preserve">CONECTOR CURVO 90 GRAUS DE ALUMINIO, BITOLA 4", PARA ADAPTAR ENTRADA DE ELETRODUTO METALICO FLEXIVEL EM QUADROS                                                                                                                                                                                                                                                                                                                                                                                           </v>
          </cell>
          <cell r="C1309" t="str">
            <v xml:space="preserve">UN    </v>
          </cell>
          <cell r="D1309" t="str">
            <v>CR</v>
          </cell>
          <cell r="E1309" t="str">
            <v>278,45</v>
          </cell>
        </row>
        <row r="1310">
          <cell r="A1310">
            <v>1602</v>
          </cell>
          <cell r="B1310" t="str">
            <v xml:space="preserve">CONECTOR DE ALUMINIO TIPO PRENSA CABO, BITOLA 1 1/2", PARA CABOS DE DIAMETRO DE 37 A 40 MM                                                                                                                                                                                                                                                                                                                                                                                                                </v>
          </cell>
          <cell r="C1310" t="str">
            <v xml:space="preserve">UN    </v>
          </cell>
          <cell r="D1310" t="str">
            <v>CR</v>
          </cell>
          <cell r="E1310" t="str">
            <v>48,56</v>
          </cell>
        </row>
        <row r="1311">
          <cell r="A1311">
            <v>1601</v>
          </cell>
          <cell r="B1311" t="str">
            <v xml:space="preserve">CONECTOR DE ALUMINIO TIPO PRENSA CABO, BITOLA 1 1/4", PARA CABOS DE DIAMETRO DE 31 A 34 MM                                                                                                                                                                                                                                                                                                                                                                                                                </v>
          </cell>
          <cell r="C1311" t="str">
            <v xml:space="preserve">UN    </v>
          </cell>
          <cell r="D1311" t="str">
            <v>CR</v>
          </cell>
          <cell r="E1311" t="str">
            <v>43,28</v>
          </cell>
        </row>
        <row r="1312">
          <cell r="A1312">
            <v>1598</v>
          </cell>
          <cell r="B1312" t="str">
            <v xml:space="preserve">CONECTOR DE ALUMINIO TIPO PRENSA CABO, BITOLA 1/2", PARA CABOS DE DIAMETRO DE 12,5 A 15 MM                                                                                                                                                                                                                                                                                                                                                                                                                </v>
          </cell>
          <cell r="C1312" t="str">
            <v xml:space="preserve">UN    </v>
          </cell>
          <cell r="D1312" t="str">
            <v>CR</v>
          </cell>
          <cell r="E1312" t="str">
            <v>12,81</v>
          </cell>
        </row>
        <row r="1313">
          <cell r="A1313">
            <v>1600</v>
          </cell>
          <cell r="B1313" t="str">
            <v xml:space="preserve">CONECTOR DE ALUMINIO TIPO PRENSA CABO, BITOLA 1", PARA CABOS DE DIAMETRO DE 22,5 A 25 MM                                                                                                                                                                                                                                                                                                                                                                                                                  </v>
          </cell>
          <cell r="C1313" t="str">
            <v xml:space="preserve">UN    </v>
          </cell>
          <cell r="D1313" t="str">
            <v>CR</v>
          </cell>
          <cell r="E1313" t="str">
            <v>18,90</v>
          </cell>
        </row>
        <row r="1314">
          <cell r="A1314">
            <v>1603</v>
          </cell>
          <cell r="B1314" t="str">
            <v xml:space="preserve">CONECTOR DE ALUMINIO TIPO PRENSA CABO, BITOLA 2", PARA CABOS DE DIAMETRO DE 47,5 A 50 MM                                                                                                                                                                                                                                                                                                                                                                                                                  </v>
          </cell>
          <cell r="C1314" t="str">
            <v xml:space="preserve">UN    </v>
          </cell>
          <cell r="D1314" t="str">
            <v>CR</v>
          </cell>
          <cell r="E1314" t="str">
            <v>73,32</v>
          </cell>
        </row>
        <row r="1315">
          <cell r="A1315">
            <v>1599</v>
          </cell>
          <cell r="B1315" t="str">
            <v xml:space="preserve">CONECTOR DE ALUMINIO TIPO PRENSA CABO, BITOLA 3/4", PARA CABOS DE DIAMETRO DE 17,5 A 20 MM                                                                                                                                                                                                                                                                                                                                                                                                                </v>
          </cell>
          <cell r="C1315" t="str">
            <v xml:space="preserve">UN    </v>
          </cell>
          <cell r="D1315" t="str">
            <v>CR</v>
          </cell>
          <cell r="E1315" t="str">
            <v>14,86</v>
          </cell>
        </row>
        <row r="1316">
          <cell r="A1316">
            <v>1597</v>
          </cell>
          <cell r="B1316" t="str">
            <v xml:space="preserve">CONECTOR DE ALUMINIO TIPO PRENSA CABO, BITOLA 3/8", PARA CABOS DE DIAMETRO DE 9 A 10 MM                                                                                                                                                                                                                                                                                                                                                                                                                   </v>
          </cell>
          <cell r="C1316" t="str">
            <v xml:space="preserve">UN    </v>
          </cell>
          <cell r="D1316" t="str">
            <v>CR</v>
          </cell>
          <cell r="E1316" t="str">
            <v>12,04</v>
          </cell>
        </row>
        <row r="1317">
          <cell r="A1317">
            <v>39602</v>
          </cell>
          <cell r="B1317" t="str">
            <v xml:space="preserve">CONECTOR MACHO RJ 45, CATEGORIA 5 E (CAT 5E) PARA CABOS                                                                                                                                                                                                                                                                                                                                                                                                                                                   </v>
          </cell>
          <cell r="C1317" t="str">
            <v xml:space="preserve">UN    </v>
          </cell>
          <cell r="D1317" t="str">
            <v>CR</v>
          </cell>
          <cell r="E1317" t="str">
            <v>1,79</v>
          </cell>
        </row>
        <row r="1318">
          <cell r="A1318">
            <v>39603</v>
          </cell>
          <cell r="B1318" t="str">
            <v xml:space="preserve">CONECTOR MACHO RJ 45, CATEGORIA 6 (CAT 6) PARA CABOS                                                                                                                                                                                                                                                                                                                                                                                                                                                      </v>
          </cell>
          <cell r="C1318" t="str">
            <v xml:space="preserve">UN    </v>
          </cell>
          <cell r="D1318" t="str">
            <v>CR</v>
          </cell>
          <cell r="E1318" t="str">
            <v>3,81</v>
          </cell>
        </row>
        <row r="1319">
          <cell r="A1319">
            <v>11821</v>
          </cell>
          <cell r="B1319" t="str">
            <v xml:space="preserve">CONECTOR METALICO TIPO PARAFUSO FENDIDO (SPLIT BOLT), COM SEPARADOR DE CABOS BIMETALICOS, PARA CABOS ATE 25 MM2                                                                                                                                                                                                                                                                                                                                                                                           </v>
          </cell>
          <cell r="C1319" t="str">
            <v xml:space="preserve">UN    </v>
          </cell>
          <cell r="D1319" t="str">
            <v>CR</v>
          </cell>
          <cell r="E1319" t="str">
            <v>9,89</v>
          </cell>
        </row>
        <row r="1320">
          <cell r="A1320">
            <v>1562</v>
          </cell>
          <cell r="B1320" t="str">
            <v xml:space="preserve">CONECTOR METALICO TIPO PARAFUSO FENDIDO (SPLIT BOLT), COM SEPARADOR DE CABOS BIMETALICOS, PARA CABOS ATE 50 MM2                                                                                                                                                                                                                                                                                                                                                                                           </v>
          </cell>
          <cell r="C1320" t="str">
            <v xml:space="preserve">UN    </v>
          </cell>
          <cell r="D1320" t="str">
            <v>CR</v>
          </cell>
          <cell r="E1320" t="str">
            <v>16,20</v>
          </cell>
        </row>
        <row r="1321">
          <cell r="A1321">
            <v>1563</v>
          </cell>
          <cell r="B1321" t="str">
            <v xml:space="preserve">CONECTOR METALICO TIPO PARAFUSO FENDIDO (SPLIT BOLT), COM SEPARADOR DE CABOS BIMETALICOS, PARA CABOS ATE 70 MM2                                                                                                                                                                                                                                                                                                                                                                                           </v>
          </cell>
          <cell r="C1321" t="str">
            <v xml:space="preserve">UN    </v>
          </cell>
          <cell r="D1321" t="str">
            <v>CR</v>
          </cell>
          <cell r="E1321" t="str">
            <v>21,74</v>
          </cell>
        </row>
        <row r="1322">
          <cell r="A1322">
            <v>11856</v>
          </cell>
          <cell r="B1322" t="str">
            <v xml:space="preserve">CONECTOR METALICO TIPO PARAFUSO FENDIDO (SPLIT BOLT), PARA CABOS ATE 10 MM2                                                                                                                                                                                                                                                                                                                                                                                                                               </v>
          </cell>
          <cell r="C1322" t="str">
            <v xml:space="preserve">UN    </v>
          </cell>
          <cell r="D1322" t="str">
            <v xml:space="preserve">C </v>
          </cell>
          <cell r="E1322" t="str">
            <v>6,48</v>
          </cell>
        </row>
        <row r="1323">
          <cell r="A1323">
            <v>11857</v>
          </cell>
          <cell r="B1323" t="str">
            <v xml:space="preserve">CONECTOR METALICO TIPO PARAFUSO FENDIDO (SPLIT BOLT), PARA CABOS ATE 120 MM2                                                                                                                                                                                                                                                                                                                                                                                                                              </v>
          </cell>
          <cell r="C1323" t="str">
            <v xml:space="preserve">UN    </v>
          </cell>
          <cell r="D1323" t="str">
            <v>CR</v>
          </cell>
          <cell r="E1323" t="str">
            <v>34,10</v>
          </cell>
        </row>
        <row r="1324">
          <cell r="A1324">
            <v>11858</v>
          </cell>
          <cell r="B1324" t="str">
            <v xml:space="preserve">CONECTOR METALICO TIPO PARAFUSO FENDIDO (SPLIT BOLT), PARA CABOS ATE 150 MM2                                                                                                                                                                                                                                                                                                                                                                                                                              </v>
          </cell>
          <cell r="C1324" t="str">
            <v xml:space="preserve">UN    </v>
          </cell>
          <cell r="D1324" t="str">
            <v>CR</v>
          </cell>
          <cell r="E1324" t="str">
            <v>42,33</v>
          </cell>
        </row>
        <row r="1325">
          <cell r="A1325">
            <v>1539</v>
          </cell>
          <cell r="B1325" t="str">
            <v xml:space="preserve">CONECTOR METALICO TIPO PARAFUSO FENDIDO (SPLIT BOLT), PARA CABOS ATE 16 MM2                                                                                                                                                                                                                                                                                                                                                                                                                               </v>
          </cell>
          <cell r="C1325" t="str">
            <v xml:space="preserve">UN    </v>
          </cell>
          <cell r="D1325" t="str">
            <v>CR</v>
          </cell>
          <cell r="E1325" t="str">
            <v>7,61</v>
          </cell>
        </row>
        <row r="1326">
          <cell r="A1326">
            <v>11859</v>
          </cell>
          <cell r="B1326" t="str">
            <v xml:space="preserve">CONECTOR METALICO TIPO PARAFUSO FENDIDO (SPLIT BOLT), PARA CABOS ATE 185 MM2                                                                                                                                                                                                                                                                                                                                                                                                                              </v>
          </cell>
          <cell r="C1326" t="str">
            <v xml:space="preserve">UN    </v>
          </cell>
          <cell r="D1326" t="str">
            <v>CR</v>
          </cell>
          <cell r="E1326" t="str">
            <v>57,59</v>
          </cell>
        </row>
        <row r="1327">
          <cell r="A1327">
            <v>1550</v>
          </cell>
          <cell r="B1327" t="str">
            <v xml:space="preserve">CONECTOR METALICO TIPO PARAFUSO FENDIDO (SPLIT BOLT), PARA CABOS ATE 25 MM2                                                                                                                                                                                                                                                                                                                                                                                                                               </v>
          </cell>
          <cell r="C1327" t="str">
            <v xml:space="preserve">UN    </v>
          </cell>
          <cell r="D1327" t="str">
            <v>CR</v>
          </cell>
          <cell r="E1327" t="str">
            <v>8,03</v>
          </cell>
        </row>
        <row r="1328">
          <cell r="A1328">
            <v>11854</v>
          </cell>
          <cell r="B1328" t="str">
            <v xml:space="preserve">CONECTOR METALICO TIPO PARAFUSO FENDIDO (SPLIT BOLT), PARA CABOS ATE 35 MM2                                                                                                                                                                                                                                                                                                                                                                                                                               </v>
          </cell>
          <cell r="C1328" t="str">
            <v xml:space="preserve">UN    </v>
          </cell>
          <cell r="D1328" t="str">
            <v>CR</v>
          </cell>
          <cell r="E1328" t="str">
            <v>10,04</v>
          </cell>
        </row>
        <row r="1329">
          <cell r="A1329">
            <v>11862</v>
          </cell>
          <cell r="B1329" t="str">
            <v xml:space="preserve">CONECTOR METALICO TIPO PARAFUSO FENDIDO (SPLIT BOLT), PARA CABOS ATE 50 MM2                                                                                                                                                                                                                                                                                                                                                                                                                               </v>
          </cell>
          <cell r="C1329" t="str">
            <v xml:space="preserve">UN    </v>
          </cell>
          <cell r="D1329" t="str">
            <v>CR</v>
          </cell>
          <cell r="E1329" t="str">
            <v>14,08</v>
          </cell>
        </row>
        <row r="1330">
          <cell r="A1330">
            <v>11863</v>
          </cell>
          <cell r="B1330" t="str">
            <v xml:space="preserve">CONECTOR METALICO TIPO PARAFUSO FENDIDO (SPLIT BOLT), PARA CABOS ATE 6 MM2                                                                                                                                                                                                                                                                                                                                                                                                                                </v>
          </cell>
          <cell r="C1330" t="str">
            <v xml:space="preserve">UN    </v>
          </cell>
          <cell r="D1330" t="str">
            <v>CR</v>
          </cell>
          <cell r="E1330" t="str">
            <v>5,68</v>
          </cell>
        </row>
        <row r="1331">
          <cell r="A1331">
            <v>11855</v>
          </cell>
          <cell r="B1331" t="str">
            <v xml:space="preserve">CONECTOR METALICO TIPO PARAFUSO FENDIDO (SPLIT BOLT), PARA CABOS ATE 70 MM2                                                                                                                                                                                                                                                                                                                                                                                                                               </v>
          </cell>
          <cell r="C1331" t="str">
            <v xml:space="preserve">UN    </v>
          </cell>
          <cell r="D1331" t="str">
            <v>CR</v>
          </cell>
          <cell r="E1331" t="str">
            <v>21,02</v>
          </cell>
        </row>
        <row r="1332">
          <cell r="A1332">
            <v>11864</v>
          </cell>
          <cell r="B1332" t="str">
            <v xml:space="preserve">CONECTOR METALICO TIPO PARAFUSO FENDIDO (SPLIT BOLT), PARA CABOS ATE 95 MM2                                                                                                                                                                                                                                                                                                                                                                                                                               </v>
          </cell>
          <cell r="C1332" t="str">
            <v xml:space="preserve">UN    </v>
          </cell>
          <cell r="D1332" t="str">
            <v>CR</v>
          </cell>
          <cell r="E1332" t="str">
            <v>31,78</v>
          </cell>
        </row>
        <row r="1333">
          <cell r="A1333">
            <v>2527</v>
          </cell>
          <cell r="B1333" t="str">
            <v xml:space="preserve">CONECTOR RETO DE ALUMINIO PARA ELETRODUTO DE 1 1/2", PARA ADAPTAR ENTRADA DE ELETRODUTO METALICO FLEXIVEL EM QUADROS                                                                                                                                                                                                                                                                                                                                                                                      </v>
          </cell>
          <cell r="C1333" t="str">
            <v xml:space="preserve">UN    </v>
          </cell>
          <cell r="D1333" t="str">
            <v>CR</v>
          </cell>
          <cell r="E1333" t="str">
            <v>9,43</v>
          </cell>
        </row>
        <row r="1334">
          <cell r="A1334">
            <v>2526</v>
          </cell>
          <cell r="B1334" t="str">
            <v xml:space="preserve">CONECTOR RETO DE ALUMINIO PARA ELETRODUTO DE 1 1/4", PARA ADAPTAR ENTRADA DE ELETRODUTO METALICO FLEXIVEL EM QUADROS                                                                                                                                                                                                                                                                                                                                                                                      </v>
          </cell>
          <cell r="C1334" t="str">
            <v xml:space="preserve">UN    </v>
          </cell>
          <cell r="D1334" t="str">
            <v>CR</v>
          </cell>
          <cell r="E1334" t="str">
            <v>6,04</v>
          </cell>
        </row>
        <row r="1335">
          <cell r="A1335">
            <v>2487</v>
          </cell>
          <cell r="B1335" t="str">
            <v xml:space="preserve">CONECTOR RETO DE ALUMINIO PARA ELETRODUTO DE 1/2", PARA ADAPTAR ENTRADA DE ELETRODUTO METALICO FLEXIVEL EM QUADROS                                                                                                                                                                                                                                                                                                                                                                                        </v>
          </cell>
          <cell r="C1335" t="str">
            <v xml:space="preserve">UN    </v>
          </cell>
          <cell r="D1335" t="str">
            <v>CR</v>
          </cell>
          <cell r="E1335" t="str">
            <v>2,06</v>
          </cell>
        </row>
        <row r="1336">
          <cell r="A1336">
            <v>2483</v>
          </cell>
          <cell r="B1336" t="str">
            <v xml:space="preserve">CONECTOR RETO DE ALUMINIO PARA ELETRODUTO DE 1", PARA ADAPTAR ENTRADA DE ELETRODUTO METALICO FLEXIVEL EM QUADROS                                                                                                                                                                                                                                                                                                                                                                                          </v>
          </cell>
          <cell r="C1336" t="str">
            <v xml:space="preserve">UN    </v>
          </cell>
          <cell r="D1336" t="str">
            <v>CR</v>
          </cell>
          <cell r="E1336" t="str">
            <v>4,30</v>
          </cell>
        </row>
        <row r="1337">
          <cell r="A1337">
            <v>2528</v>
          </cell>
          <cell r="B1337" t="str">
            <v xml:space="preserve">CONECTOR RETO DE ALUMINIO PARA ELETRODUTO DE 2 1/2", PARA ADAPTAR ENTRADA DE ELETRODUTO METALICO FLEXIVEL EM QUADROS                                                                                                                                                                                                                                                                                                                                                                                      </v>
          </cell>
          <cell r="C1337" t="str">
            <v xml:space="preserve">UN    </v>
          </cell>
          <cell r="D1337" t="str">
            <v>CR</v>
          </cell>
          <cell r="E1337" t="str">
            <v>23,74</v>
          </cell>
        </row>
        <row r="1338">
          <cell r="A1338">
            <v>2489</v>
          </cell>
          <cell r="B1338" t="str">
            <v xml:space="preserve">CONECTOR RETO DE ALUMINIO PARA ELETRODUTO DE 2", PARA ADAPTAR ENTRADA DE ELETRODUTO METALICO FLEXIVEL EM QUADROS                                                                                                                                                                                                                                                                                                                                                                                          </v>
          </cell>
          <cell r="C1338" t="str">
            <v xml:space="preserve">UN    </v>
          </cell>
          <cell r="D1338" t="str">
            <v>CR</v>
          </cell>
          <cell r="E1338" t="str">
            <v>10,45</v>
          </cell>
        </row>
        <row r="1339">
          <cell r="A1339">
            <v>2488</v>
          </cell>
          <cell r="B1339" t="str">
            <v xml:space="preserve">CONECTOR RETO DE ALUMINIO PARA ELETRODUTO DE 3/4", PARA ADAPTAR ENTRADA DE ELETRODUTO METALICO FLEXIVEL EM QUADROS                                                                                                                                                                                                                                                                                                                                                                                        </v>
          </cell>
          <cell r="C1339" t="str">
            <v xml:space="preserve">UN    </v>
          </cell>
          <cell r="D1339" t="str">
            <v>CR</v>
          </cell>
          <cell r="E1339" t="str">
            <v>2,41</v>
          </cell>
        </row>
        <row r="1340">
          <cell r="A1340">
            <v>2484</v>
          </cell>
          <cell r="B1340" t="str">
            <v xml:space="preserve">CONECTOR RETO DE ALUMINIO PARA ELETRODUTO DE 3", PARA ADAPTAR ENTRADA DE ELETRODUTO METALICO FLEXIVEL EM QUADROS                                                                                                                                                                                                                                                                                                                                                                                          </v>
          </cell>
          <cell r="C1340" t="str">
            <v xml:space="preserve">UN    </v>
          </cell>
          <cell r="D1340" t="str">
            <v>CR</v>
          </cell>
          <cell r="E1340" t="str">
            <v>34,48</v>
          </cell>
        </row>
        <row r="1341">
          <cell r="A1341">
            <v>2485</v>
          </cell>
          <cell r="B1341" t="str">
            <v xml:space="preserve">CONECTOR RETO DE ALUMINIO PARA ELETRODUTO DE 4", PARA ADAPTAR ENTRADA DE ELETRODUTO METALICO FLEXIVEL EM QUADROS                                                                                                                                                                                                                                                                                                                                                                                          </v>
          </cell>
          <cell r="C1341" t="str">
            <v xml:space="preserve">UN    </v>
          </cell>
          <cell r="D1341" t="str">
            <v>CR</v>
          </cell>
          <cell r="E1341" t="str">
            <v>54,05</v>
          </cell>
        </row>
        <row r="1342">
          <cell r="A1342">
            <v>39279</v>
          </cell>
          <cell r="B1342" t="str">
            <v xml:space="preserve">CONECTOR/ADAPTADOR FIXO, ROSCA FEMEA, EM PLASTICO, DN 16 MM X 1/2", PARA CONEXAO COM CRIMPAGEM, EM TUBO PEX PARA INST. AGUA QUENTE/FRIA                                                                                                                                                                                                                                                                                                                                                                   </v>
          </cell>
          <cell r="C1342" t="str">
            <v xml:space="preserve">UN    </v>
          </cell>
          <cell r="D1342" t="str">
            <v>CR</v>
          </cell>
          <cell r="E1342" t="str">
            <v>8,35</v>
          </cell>
        </row>
        <row r="1343">
          <cell r="A1343">
            <v>39280</v>
          </cell>
          <cell r="B1343" t="str">
            <v xml:space="preserve">CONECTOR/ADAPTADOR FIXO, ROSCA FEMEA, EM PLASTICO, DN 20 MM X 1/2", PARA CONEXAO COM CRIMPAGEM, EM TUBO PEX PARA INST. AGUA QUENTE/FRIA                                                                                                                                                                                                                                                                                                                                                                   </v>
          </cell>
          <cell r="C1343" t="str">
            <v xml:space="preserve">UN    </v>
          </cell>
          <cell r="D1343" t="str">
            <v>CR</v>
          </cell>
          <cell r="E1343" t="str">
            <v>9,36</v>
          </cell>
        </row>
        <row r="1344">
          <cell r="A1344">
            <v>39281</v>
          </cell>
          <cell r="B1344" t="str">
            <v xml:space="preserve">CONECTOR/ADAPTADOR FIXO, ROSCA FEMEA, EM PLASTICO, DN 20 MM X 3/4", PARA CONEXAO COM CRIMPAGEM, EM TUBO PEX PARA INST. AGUA QUENTE/FRIA                                                                                                                                                                                                                                                                                                                                                                   </v>
          </cell>
          <cell r="C1344" t="str">
            <v xml:space="preserve">UN    </v>
          </cell>
          <cell r="D1344" t="str">
            <v>CR</v>
          </cell>
          <cell r="E1344" t="str">
            <v>12,37</v>
          </cell>
        </row>
        <row r="1345">
          <cell r="A1345">
            <v>39282</v>
          </cell>
          <cell r="B1345" t="str">
            <v xml:space="preserve">CONECTOR/ADAPTADOR FIXO, ROSCA FEMEA, EM PLASTICO, DN 25 MM X 3/4", PARA CONEXAO COM CRIMPAGEM, EM TUBO PEX PARA INST. AGUA QUENTE/FRIA                                                                                                                                                                                                                                                                                                                                                                   </v>
          </cell>
          <cell r="C1345" t="str">
            <v xml:space="preserve">UN    </v>
          </cell>
          <cell r="D1345" t="str">
            <v>CR</v>
          </cell>
          <cell r="E1345" t="str">
            <v>17,26</v>
          </cell>
        </row>
        <row r="1346">
          <cell r="A1346">
            <v>38844</v>
          </cell>
          <cell r="B1346" t="str">
            <v xml:space="preserve">CONECTOR/ADAPTADOR FIXO, ROSCA FEMEA, METALICA, COM ANEL DESLIZANTE, DN 16 MM X 1/2", PARA TUBO PEX PARA INST. AGUA QUENTE/FRIA                                                                                                                                                                                                                                                                                                                                                                           </v>
          </cell>
          <cell r="C1346" t="str">
            <v xml:space="preserve">UN    </v>
          </cell>
          <cell r="D1346" t="str">
            <v xml:space="preserve">C </v>
          </cell>
          <cell r="E1346" t="str">
            <v>8,47</v>
          </cell>
        </row>
        <row r="1347">
          <cell r="A1347">
            <v>38846</v>
          </cell>
          <cell r="B1347" t="str">
            <v xml:space="preserve">CONECTOR/ADAPTADOR FIXO, ROSCA FEMEA, METALICA, COM ANEL DESLIZANTE, DN 20 MM X 1/2", PARA TUBO PEX PARA INST. AGUA QUENTE/FRIA                                                                                                                                                                                                                                                                                                                                                                           </v>
          </cell>
          <cell r="C1347" t="str">
            <v xml:space="preserve">UN    </v>
          </cell>
          <cell r="D1347" t="str">
            <v>CR</v>
          </cell>
          <cell r="E1347" t="str">
            <v>8,62</v>
          </cell>
        </row>
        <row r="1348">
          <cell r="A1348">
            <v>38847</v>
          </cell>
          <cell r="B1348" t="str">
            <v xml:space="preserve">CONECTOR/ADAPTADOR FIXO, ROSCA FEMEA, METALICA, COM ANEL DESLIZANTE, DN 20 MM X 3/4", PARA TUBO PEX PARA INST. AGUA QUENTE/FRIA                                                                                                                                                                                                                                                                                                                                                                           </v>
          </cell>
          <cell r="C1348" t="str">
            <v xml:space="preserve">UN    </v>
          </cell>
          <cell r="D1348" t="str">
            <v>CR</v>
          </cell>
          <cell r="E1348" t="str">
            <v>10,09</v>
          </cell>
        </row>
        <row r="1349">
          <cell r="A1349">
            <v>38850</v>
          </cell>
          <cell r="B1349" t="str">
            <v xml:space="preserve">CONECTOR/ADAPTADOR FIXO, ROSCA FEMEA, METALICA, COM ANEL DESLIZANTE, DN 25 MM X 1", PARA TUBO PEX PARA INST. AGUA QUENTE/FRIA                                                                                                                                                                                                                                                                                                                                                                             </v>
          </cell>
          <cell r="C1349" t="str">
            <v xml:space="preserve">UN    </v>
          </cell>
          <cell r="D1349" t="str">
            <v>CR</v>
          </cell>
          <cell r="E1349" t="str">
            <v>18,23</v>
          </cell>
        </row>
        <row r="1350">
          <cell r="A1350">
            <v>38848</v>
          </cell>
          <cell r="B1350" t="str">
            <v xml:space="preserve">CONECTOR/ADAPTADOR FIXO, ROSCA FEMEA, METALICA, COM ANEL DESLIZANTE, DN 25 MM X 3/4", PARA TUBO PEX PARA INST. AGUA QUENTE/FRIA                                                                                                                                                                                                                                                                                                                                                                           </v>
          </cell>
          <cell r="C1350" t="str">
            <v xml:space="preserve">UN    </v>
          </cell>
          <cell r="D1350" t="str">
            <v>CR</v>
          </cell>
          <cell r="E1350" t="str">
            <v>11,95</v>
          </cell>
        </row>
        <row r="1351">
          <cell r="A1351">
            <v>38851</v>
          </cell>
          <cell r="B1351" t="str">
            <v xml:space="preserve">CONECTOR/ADAPTADOR FIXO, ROSCA FEMEA, METALICA, COM ANEL DESLIZANTE, DN 32 MM X 1", PARA TUBO PEX PARA INST. AGUA QUENTE/FRIA                                                                                                                                                                                                                                                                                                                                                                             </v>
          </cell>
          <cell r="C1351" t="str">
            <v xml:space="preserve">UN    </v>
          </cell>
          <cell r="D1351" t="str">
            <v>CR</v>
          </cell>
          <cell r="E1351" t="str">
            <v>20,61</v>
          </cell>
        </row>
        <row r="1352">
          <cell r="A1352">
            <v>38854</v>
          </cell>
          <cell r="B1352" t="str">
            <v xml:space="preserve">CONECTOR/ADAPTADOR MOVEL, ROSCA FEMEA, METALICA, COM ANEL DESLIZANTE, DN 16 MM X 3/4", PARA TUBO PEX PARA INST. AGUA QUENTE/FRIA                                                                                                                                                                                                                                                                                                                                                                          </v>
          </cell>
          <cell r="C1352" t="str">
            <v xml:space="preserve">UN    </v>
          </cell>
          <cell r="D1352" t="str">
            <v>CR</v>
          </cell>
          <cell r="E1352" t="str">
            <v>8,95</v>
          </cell>
        </row>
        <row r="1353">
          <cell r="A1353">
            <v>44247</v>
          </cell>
          <cell r="B1353" t="str">
            <v xml:space="preserve">CONECTOR, CPVC, SOLDAVEL, 114 MM X 4", PARA AGUA QUENTE                                                                                                                                                                                                                                                                                                                                                                                                                                                   </v>
          </cell>
          <cell r="C1353" t="str">
            <v xml:space="preserve">UN    </v>
          </cell>
          <cell r="D1353" t="str">
            <v>CR</v>
          </cell>
          <cell r="E1353" t="str">
            <v>1.278,15</v>
          </cell>
        </row>
        <row r="1354">
          <cell r="A1354">
            <v>38005</v>
          </cell>
          <cell r="B1354" t="str">
            <v xml:space="preserve">CONECTOR, CPVC, SOLDAVEL, 15 MM X 1/2", PARA AGUA QUENTE                                                                                                                                                                                                                                                                                                                                                                                                                                                  </v>
          </cell>
          <cell r="C1354" t="str">
            <v xml:space="preserve">UN    </v>
          </cell>
          <cell r="D1354" t="str">
            <v>CR</v>
          </cell>
          <cell r="E1354" t="str">
            <v>15,20</v>
          </cell>
        </row>
        <row r="1355">
          <cell r="A1355">
            <v>38006</v>
          </cell>
          <cell r="B1355" t="str">
            <v xml:space="preserve">CONECTOR, CPVC, SOLDAVEL, 22 MM X 1/2", PARA AGUA QUENTE                                                                                                                                                                                                                                                                                                                                                                                                                                                  </v>
          </cell>
          <cell r="C1355" t="str">
            <v xml:space="preserve">UN    </v>
          </cell>
          <cell r="D1355" t="str">
            <v>CR</v>
          </cell>
          <cell r="E1355" t="str">
            <v>20,19</v>
          </cell>
        </row>
        <row r="1356">
          <cell r="A1356">
            <v>38428</v>
          </cell>
          <cell r="B1356" t="str">
            <v xml:space="preserve">CONECTOR, CPVC, SOLDAVEL, 22 MM X 3/4", PARA AGUA QUENTE                                                                                                                                                                                                                                                                                                                                                                                                                                                  </v>
          </cell>
          <cell r="C1356" t="str">
            <v xml:space="preserve">UN    </v>
          </cell>
          <cell r="D1356" t="str">
            <v>CR</v>
          </cell>
          <cell r="E1356" t="str">
            <v>18,08</v>
          </cell>
        </row>
        <row r="1357">
          <cell r="A1357">
            <v>38007</v>
          </cell>
          <cell r="B1357" t="str">
            <v xml:space="preserve">CONECTOR, CPVC, SOLDAVEL, 28 MM X 1", PARA AGUA QUENTE                                                                                                                                                                                                                                                                                                                                                                                                                                                    </v>
          </cell>
          <cell r="C1357" t="str">
            <v xml:space="preserve">UN    </v>
          </cell>
          <cell r="D1357" t="str">
            <v>CR</v>
          </cell>
          <cell r="E1357" t="str">
            <v>23,30</v>
          </cell>
        </row>
        <row r="1358">
          <cell r="A1358">
            <v>38008</v>
          </cell>
          <cell r="B1358" t="str">
            <v xml:space="preserve">CONECTOR, CPVC, SOLDAVEL, 35 MM X 1 1/4", PARA AGUA QUENTE                                                                                                                                                                                                                                                                                                                                                                                                                                                </v>
          </cell>
          <cell r="C1358" t="str">
            <v xml:space="preserve">UN    </v>
          </cell>
          <cell r="D1358" t="str">
            <v>CR</v>
          </cell>
          <cell r="E1358" t="str">
            <v>37,28</v>
          </cell>
        </row>
        <row r="1359">
          <cell r="A1359">
            <v>38009</v>
          </cell>
          <cell r="B1359" t="str">
            <v xml:space="preserve">CONECTOR, CPVC, SOLDAVEL, 42 MM X 1 1/2", PARA AGUA QUENTE                                                                                                                                                                                                                                                                                                                                                                                                                                                </v>
          </cell>
          <cell r="C1359" t="str">
            <v xml:space="preserve">UN    </v>
          </cell>
          <cell r="D1359" t="str">
            <v>CR</v>
          </cell>
          <cell r="E1359" t="str">
            <v>45,64</v>
          </cell>
        </row>
        <row r="1360">
          <cell r="A1360">
            <v>44248</v>
          </cell>
          <cell r="B1360" t="str">
            <v xml:space="preserve">CONECTOR, CPVC, SOLDAVEL, 54 MM X 2", PARA AGUA QUENTE                                                                                                                                                                                                                                                                                                                                                                                                                                                    </v>
          </cell>
          <cell r="C1360" t="str">
            <v xml:space="preserve">UN    </v>
          </cell>
          <cell r="D1360" t="str">
            <v>CR</v>
          </cell>
          <cell r="E1360" t="str">
            <v>74,40</v>
          </cell>
        </row>
        <row r="1361">
          <cell r="A1361">
            <v>44249</v>
          </cell>
          <cell r="B1361" t="str">
            <v xml:space="preserve">CONECTOR, CPVC, SOLDAVEL, 73 MM X 2 1/2", PARA AGUA QUENTE                                                                                                                                                                                                                                                                                                                                                                                                                                                </v>
          </cell>
          <cell r="C1361" t="str">
            <v xml:space="preserve">UN    </v>
          </cell>
          <cell r="D1361" t="str">
            <v>CR</v>
          </cell>
          <cell r="E1361" t="str">
            <v>287,05</v>
          </cell>
        </row>
        <row r="1362">
          <cell r="A1362">
            <v>44250</v>
          </cell>
          <cell r="B1362" t="str">
            <v xml:space="preserve">CONECTOR, CPVC, SOLDAVEL, 89 MM X 3", PARA AGUA QUENTE                                                                                                                                                                                                                                                                                                                                                                                                                                                    </v>
          </cell>
          <cell r="C1362" t="str">
            <v xml:space="preserve">UN    </v>
          </cell>
          <cell r="D1362" t="str">
            <v>CR</v>
          </cell>
          <cell r="E1362" t="str">
            <v>416,87</v>
          </cell>
        </row>
        <row r="1363">
          <cell r="A1363">
            <v>3104</v>
          </cell>
          <cell r="B1363" t="str">
            <v xml:space="preserve">CONJ. DE FERRAGENS PARA PORTA DE VIDRO TEMPERADO, EM ZAMAC CROMADO, CONTEMPLANDO DOBRADICA INF., DOBRADICA SUP., PIVO PARA DOBRADICA INF., PIVO PARA DOBRADICA SUP., FECHADURA CENTRAL EM ZAMC. CROMADO, CONTRA FECHADURA DE PRESSAO                                                                                                                                                                                                                                                                      </v>
          </cell>
          <cell r="C1363" t="str">
            <v xml:space="preserve">CJ    </v>
          </cell>
          <cell r="D1363" t="str">
            <v>CR</v>
          </cell>
          <cell r="E1363" t="str">
            <v>237,40</v>
          </cell>
        </row>
        <row r="1364">
          <cell r="A1364">
            <v>1607</v>
          </cell>
          <cell r="B1364" t="str">
            <v xml:space="preserve">CONJUNTO ARRUELAS DE VEDACAO 5/16" PARA TELHA FIBROCIMENTO (UMA ARRUELA METALICA E UMA ARRUELA PVC - CONICAS)                                                                                                                                                                                                                                                                                                                                                                                             </v>
          </cell>
          <cell r="C1364" t="str">
            <v xml:space="preserve">CJ    </v>
          </cell>
          <cell r="D1364" t="str">
            <v>CR</v>
          </cell>
          <cell r="E1364" t="str">
            <v>0,28</v>
          </cell>
        </row>
        <row r="1365">
          <cell r="A1365">
            <v>38169</v>
          </cell>
          <cell r="B1365" t="str">
            <v xml:space="preserve">CONJUNTO DE FERRAGENS PIVO, PARA PORTA PIVOTANTE DE ATE 100 KG, REGULAVEL COM ESFERA , CROMADO - SUPERIOR E INFERIOR - COMPLETO                                                                                                                                                                                                                                                                                                                                                                           </v>
          </cell>
          <cell r="C1365" t="str">
            <v xml:space="preserve">CJ    </v>
          </cell>
          <cell r="D1365" t="str">
            <v>CR</v>
          </cell>
          <cell r="E1365" t="str">
            <v>71,93</v>
          </cell>
        </row>
        <row r="1366">
          <cell r="A1366">
            <v>6142</v>
          </cell>
          <cell r="B1366" t="str">
            <v xml:space="preserve">CONJUNTO DE LIGACAO AJUSTAVEL, PARA VASO / BACIA SANITARIA , EM PLASTICO BRANCO, COM TUBO, CANOPLA E ESPUDE                                                                                                                                                                                                                                                                                                                                                                                               </v>
          </cell>
          <cell r="C1366" t="str">
            <v xml:space="preserve">UN    </v>
          </cell>
          <cell r="D1366" t="str">
            <v>CR</v>
          </cell>
          <cell r="E1366" t="str">
            <v>10,01</v>
          </cell>
        </row>
        <row r="1367">
          <cell r="A1367">
            <v>11686</v>
          </cell>
          <cell r="B1367" t="str">
            <v xml:space="preserve">CONJUNTO DE LIGACAO PARA VASO / BACIA SANITARIA, EM PLASTICO BRANCO, COM TUBO, CANOPLA E ANEL DE EXPANSAO (TUBO 1.1/2" X 20 CM)                                                                                                                                                                                                                                                                                                                                                                           </v>
          </cell>
          <cell r="C1367" t="str">
            <v xml:space="preserve">UN    </v>
          </cell>
          <cell r="D1367" t="str">
            <v>CR</v>
          </cell>
          <cell r="E1367" t="str">
            <v>13,90</v>
          </cell>
        </row>
        <row r="1368">
          <cell r="A1368">
            <v>37598</v>
          </cell>
          <cell r="B1368" t="str">
            <v xml:space="preserve">CONJUNTO MONTADO ESTOPIM COM ESPOLETA COMUM NUMERO 8, COM CABECA ACENDEDORA, 1,5 M                                                                                                                                                                                                                                                                                                                                                                                                                        </v>
          </cell>
          <cell r="C1368" t="str">
            <v xml:space="preserve">UN    </v>
          </cell>
          <cell r="D1368" t="str">
            <v>CR</v>
          </cell>
          <cell r="E1368" t="str">
            <v>41,06</v>
          </cell>
        </row>
        <row r="1369">
          <cell r="A1369">
            <v>25398</v>
          </cell>
          <cell r="B1369" t="str">
            <v xml:space="preserve">CONJUNTO PARA FUTSAL COM PAR DE TRAVES OFICIAIS DE 3,00 X 2,00 M EM TUBO DE ACO GALVANIZADO 3" COM REQUADROS EM TUBO DE 1", PINTURA EM PRIMER COM TINTA ESMALTE SINTETICO E REDES DE POLIETILENO FIO 4 MM                                                                                                                                                                                                                                                                                                 </v>
          </cell>
          <cell r="C1369" t="str">
            <v xml:space="preserve">UN    </v>
          </cell>
          <cell r="D1369" t="str">
            <v>CR</v>
          </cell>
          <cell r="E1369" t="str">
            <v>4.539,57</v>
          </cell>
        </row>
        <row r="1370">
          <cell r="A1370">
            <v>25399</v>
          </cell>
          <cell r="B1370" t="str">
            <v xml:space="preserve">CONJUNTO PARA QUADRA DE  VOLEI COM POSTES EM TUBO DE ACO GALVANIZADO 3", H = *255* CM, PINTURA EM TINTA ESMALTE SINTETICO, REDE DE NYLON COM 2 MM, MALHA 10 X 10 CM E ANTENAS OFICIAIS EM FIBRA DE VIDRO                                                                                                                                                                                                                                                                                                  </v>
          </cell>
          <cell r="C1370" t="str">
            <v xml:space="preserve">UN    </v>
          </cell>
          <cell r="D1370" t="str">
            <v>CR</v>
          </cell>
          <cell r="E1370" t="str">
            <v>2.755,92</v>
          </cell>
        </row>
        <row r="1371">
          <cell r="A1371">
            <v>43440</v>
          </cell>
          <cell r="B1371" t="str">
            <v xml:space="preserve">CONJUNTO PRE-MOLDADO COMPOSTO POR GRELHA (0,99 X 0,45 M), QUADRO (1,10 X 0,52 M) E CANTONEIRA (1,10 X 0,35 M), EM CONCRETO ARMADO, COM FCK DE 21 MPA                                                                                                                                                                                                                                                                                                                                                      </v>
          </cell>
          <cell r="C1371" t="str">
            <v xml:space="preserve">UN    </v>
          </cell>
          <cell r="D1371" t="str">
            <v>CR</v>
          </cell>
          <cell r="E1371" t="str">
            <v>496,53</v>
          </cell>
        </row>
        <row r="1372">
          <cell r="A1372">
            <v>10667</v>
          </cell>
          <cell r="B1372" t="str">
            <v xml:space="preserve">CONTAINER ALMOXARIFADO, DE *2,40* X *6,00* M, PADRAO SIMPLES, SEM REVESTIMENTO E SEM DIVISORIAS INTERNOS E SEM SANITARIO, PARA USO EM CANTEIRO DE OBRAS                                                                                                                                                                                                                                                                                                                                                   </v>
          </cell>
          <cell r="C1372" t="str">
            <v xml:space="preserve">UN    </v>
          </cell>
          <cell r="D1372" t="str">
            <v xml:space="preserve">C </v>
          </cell>
          <cell r="E1372" t="str">
            <v>19.404,00</v>
          </cell>
        </row>
        <row r="1373">
          <cell r="A1373">
            <v>1613</v>
          </cell>
          <cell r="B1373" t="str">
            <v xml:space="preserve">CONTATOR TRIPOLAR, CORRENTE DE *110* A, TENSAO NOMINAL DE *500* V, CATEGORIA AC-2 E AC-3                                                                                                                                                                                                                                                                                                                                                                                                                  </v>
          </cell>
          <cell r="C1373" t="str">
            <v xml:space="preserve">UN    </v>
          </cell>
          <cell r="D1373" t="str">
            <v>CR</v>
          </cell>
          <cell r="E1373" t="str">
            <v>1.892,45</v>
          </cell>
        </row>
        <row r="1374">
          <cell r="A1374">
            <v>1626</v>
          </cell>
          <cell r="B1374" t="str">
            <v xml:space="preserve">CONTATOR TRIPOLAR, CORRENTE DE *185* A, TENSAO NOMINAL DE *500* V, CATEGORIA AC-2 E AC-3                                                                                                                                                                                                                                                                                                                                                                                                                  </v>
          </cell>
          <cell r="C1374" t="str">
            <v xml:space="preserve">UN    </v>
          </cell>
          <cell r="D1374" t="str">
            <v>CR</v>
          </cell>
          <cell r="E1374" t="str">
            <v>2.830,39</v>
          </cell>
        </row>
        <row r="1375">
          <cell r="A1375">
            <v>1625</v>
          </cell>
          <cell r="B1375" t="str">
            <v xml:space="preserve">CONTATOR TRIPOLAR, CORRENTE DE *22* A, TENSAO NOMINAL DE *500* V, CATEGORIA AC-2 E AC-3                                                                                                                                                                                                                                                                                                                                                                                                                   </v>
          </cell>
          <cell r="C1375" t="str">
            <v xml:space="preserve">UN    </v>
          </cell>
          <cell r="D1375" t="str">
            <v>CR</v>
          </cell>
          <cell r="E1375" t="str">
            <v>197,69</v>
          </cell>
        </row>
        <row r="1376">
          <cell r="A1376">
            <v>1622</v>
          </cell>
          <cell r="B1376" t="str">
            <v xml:space="preserve">CONTATOR TRIPOLAR, CORRENTE DE *265* A, TENSAO NOMINAL DE *500* V, CATEGORIA AC-2 E AC-3                                                                                                                                                                                                                                                                                                                                                                                                                  </v>
          </cell>
          <cell r="C1376" t="str">
            <v xml:space="preserve">UN    </v>
          </cell>
          <cell r="D1376" t="str">
            <v>CR</v>
          </cell>
          <cell r="E1376" t="str">
            <v>6.387,02</v>
          </cell>
        </row>
        <row r="1377">
          <cell r="A1377">
            <v>1620</v>
          </cell>
          <cell r="B1377" t="str">
            <v xml:space="preserve">CONTATOR TRIPOLAR, CORRENTE DE *38* A, TENSAO NOMINAL DE *500* V, CATEGORIA AC-2 E AC-3                                                                                                                                                                                                                                                                                                                                                                                                                   </v>
          </cell>
          <cell r="C1377" t="str">
            <v xml:space="preserve">UN    </v>
          </cell>
          <cell r="D1377" t="str">
            <v>CR</v>
          </cell>
          <cell r="E1377" t="str">
            <v>416,44</v>
          </cell>
        </row>
        <row r="1378">
          <cell r="A1378">
            <v>1629</v>
          </cell>
          <cell r="B1378" t="str">
            <v xml:space="preserve">CONTATOR TRIPOLAR, CORRENTE DE *500* A, TENSAO NOMINAL DE *500* V, CATEGORIA AC-2 E AC-3                                                                                                                                                                                                                                                                                                                                                                                                                  </v>
          </cell>
          <cell r="C1378" t="str">
            <v xml:space="preserve">UN    </v>
          </cell>
          <cell r="D1378" t="str">
            <v>CR</v>
          </cell>
          <cell r="E1378" t="str">
            <v>15.544,49</v>
          </cell>
        </row>
        <row r="1379">
          <cell r="A1379">
            <v>1627</v>
          </cell>
          <cell r="B1379" t="str">
            <v xml:space="preserve">CONTATOR TRIPOLAR, CORRENTE DE *65* A, TENSAO NOMINAL DE *500* V, CATEGORIA AC-2 E AC-3                                                                                                                                                                                                                                                                                                                                                                                                                   </v>
          </cell>
          <cell r="C1379" t="str">
            <v xml:space="preserve">UN    </v>
          </cell>
          <cell r="D1379" t="str">
            <v>CR</v>
          </cell>
          <cell r="E1379" t="str">
            <v>796,02</v>
          </cell>
        </row>
        <row r="1380">
          <cell r="A1380">
            <v>1623</v>
          </cell>
          <cell r="B1380" t="str">
            <v xml:space="preserve">CONTATOR TRIPOLAR, CORRENTE DE 12 A, TENSAO NOMINAL DE *500* V, CATEGORIA AC-2 E AC-3                                                                                                                                                                                                                                                                                                                                                                                                                     </v>
          </cell>
          <cell r="C1380" t="str">
            <v xml:space="preserve">UN    </v>
          </cell>
          <cell r="D1380" t="str">
            <v>CR</v>
          </cell>
          <cell r="E1380" t="str">
            <v>161,22</v>
          </cell>
        </row>
        <row r="1381">
          <cell r="A1381">
            <v>1619</v>
          </cell>
          <cell r="B1381" t="str">
            <v xml:space="preserve">CONTATOR TRIPOLAR, CORRENTE DE 25 A, TENSAO NOMINAL DE *500* V, CATEGORIA AC-2 E AC-3                                                                                                                                                                                                                                                                                                                                                                                                                     </v>
          </cell>
          <cell r="C1381" t="str">
            <v xml:space="preserve">UN    </v>
          </cell>
          <cell r="D1381" t="str">
            <v>CR</v>
          </cell>
          <cell r="E1381" t="str">
            <v>221,78</v>
          </cell>
        </row>
        <row r="1382">
          <cell r="A1382">
            <v>1630</v>
          </cell>
          <cell r="B1382" t="str">
            <v xml:space="preserve">CONTATOR TRIPOLAR, CORRENTE DE 250 A, TENSAO NOMINAL DE *500* V, PARA ACIONAMENTO DE CAPACITORES                                                                                                                                                                                                                                                                                                                                                                                                          </v>
          </cell>
          <cell r="C1382" t="str">
            <v xml:space="preserve">UN    </v>
          </cell>
          <cell r="D1382" t="str">
            <v>CR</v>
          </cell>
          <cell r="E1382" t="str">
            <v>4.883,01</v>
          </cell>
        </row>
        <row r="1383">
          <cell r="A1383">
            <v>1616</v>
          </cell>
          <cell r="B1383" t="str">
            <v xml:space="preserve">CONTATOR TRIPOLAR, CORRENTE DE 300 A, TENSAO NOMINAL DE *500* V, CATEGORIA AC-2 E AC-3                                                                                                                                                                                                                                                                                                                                                                                                                    </v>
          </cell>
          <cell r="C1383" t="str">
            <v xml:space="preserve">UN    </v>
          </cell>
          <cell r="D1383" t="str">
            <v>CR</v>
          </cell>
          <cell r="E1383" t="str">
            <v>7.510,16</v>
          </cell>
        </row>
        <row r="1384">
          <cell r="A1384">
            <v>1614</v>
          </cell>
          <cell r="B1384" t="str">
            <v xml:space="preserve">CONTATOR TRIPOLAR, CORRENTE DE 32 A, TENSAO NOMINAL DE *500* V, CATEGORIA AC-2 E AC-3                                                                                                                                                                                                                                                                                                                                                                                                                     </v>
          </cell>
          <cell r="C1384" t="str">
            <v xml:space="preserve">UN    </v>
          </cell>
          <cell r="D1384" t="str">
            <v>CR</v>
          </cell>
          <cell r="E1384" t="str">
            <v>343,24</v>
          </cell>
        </row>
        <row r="1385">
          <cell r="A1385">
            <v>1617</v>
          </cell>
          <cell r="B1385" t="str">
            <v xml:space="preserve">CONTATOR TRIPOLAR, CORRENTE DE 400 A, TENSAO NOMINAL DE *500* V, CATEGORIA AC-2 E AC-3                                                                                                                                                                                                                                                                                                                                                                                                                    </v>
          </cell>
          <cell r="C1385" t="str">
            <v xml:space="preserve">UN    </v>
          </cell>
          <cell r="D1385" t="str">
            <v>CR</v>
          </cell>
          <cell r="E1385" t="str">
            <v>8.965,50</v>
          </cell>
        </row>
        <row r="1386">
          <cell r="A1386">
            <v>1621</v>
          </cell>
          <cell r="B1386" t="str">
            <v xml:space="preserve">CONTATOR TRIPOLAR, CORRENTE DE 45 A, TENSAO NOMINAL DE *500* V, CATEGORIA AC-2 E AC-3                                                                                                                                                                                                                                                                                                                                                                                                                     </v>
          </cell>
          <cell r="C1386" t="str">
            <v xml:space="preserve">UN    </v>
          </cell>
          <cell r="D1386" t="str">
            <v>CR</v>
          </cell>
          <cell r="E1386" t="str">
            <v>613,88</v>
          </cell>
        </row>
        <row r="1387">
          <cell r="A1387">
            <v>1624</v>
          </cell>
          <cell r="B1387" t="str">
            <v xml:space="preserve">CONTATOR TRIPOLAR, CORRENTE DE 630 A, TENSAO NOMINAL DE *500* V, CATEGORIA AC-2 E AC-3                                                                                                                                                                                                                                                                                                                                                                                                                    </v>
          </cell>
          <cell r="C1387" t="str">
            <v xml:space="preserve">UN    </v>
          </cell>
          <cell r="D1387" t="str">
            <v>CR</v>
          </cell>
          <cell r="E1387" t="str">
            <v>22.037,64</v>
          </cell>
        </row>
        <row r="1388">
          <cell r="A1388">
            <v>1615</v>
          </cell>
          <cell r="B1388" t="str">
            <v xml:space="preserve">CONTATOR TRIPOLAR, CORRENTE DE 75 A, TENSAO NOMINAL DE *500* V, CATEGORIA AC-2 E AC-3                                                                                                                                                                                                                                                                                                                                                                                                                     </v>
          </cell>
          <cell r="C1388" t="str">
            <v xml:space="preserve">UN    </v>
          </cell>
          <cell r="D1388" t="str">
            <v>CR</v>
          </cell>
          <cell r="E1388" t="str">
            <v>1.152,76</v>
          </cell>
        </row>
        <row r="1389">
          <cell r="A1389">
            <v>1612</v>
          </cell>
          <cell r="B1389" t="str">
            <v xml:space="preserve">CONTATOR TRIPOLAR, CORRENTE DE 9 A, TENSAO NOMINAL DE *500* V, CATEGORIA AC-2 E AC-3                                                                                                                                                                                                                                                                                                                                                                                                                      </v>
          </cell>
          <cell r="C1389" t="str">
            <v xml:space="preserve">UN    </v>
          </cell>
          <cell r="D1389" t="str">
            <v xml:space="preserve">C </v>
          </cell>
          <cell r="E1389" t="str">
            <v>151,83</v>
          </cell>
        </row>
        <row r="1390">
          <cell r="A1390">
            <v>1618</v>
          </cell>
          <cell r="B1390" t="str">
            <v xml:space="preserve">CONTATOR TRIPOLAR, CORRENTE DE 95 A, TENSAO NOMINAL DE *500* V, CATEGORIA AC-2 E AC-3                                                                                                                                                                                                                                                                                                                                                                                                                     </v>
          </cell>
          <cell r="C1390" t="str">
            <v xml:space="preserve">UN    </v>
          </cell>
          <cell r="D1390" t="str">
            <v>CR</v>
          </cell>
          <cell r="E1390" t="str">
            <v>1.584,07</v>
          </cell>
        </row>
        <row r="1391">
          <cell r="A1391">
            <v>14211</v>
          </cell>
          <cell r="B1391" t="str">
            <v xml:space="preserve">CONTRA-PORCA SEXTAVADA, DIAMETRO NOMINAL 1 3/8", ALTURA 35 MM                                                                                                                                                                                                                                                                                                                                                                                                                                             </v>
          </cell>
          <cell r="C1391" t="str">
            <v xml:space="preserve">UN    </v>
          </cell>
          <cell r="D1391" t="str">
            <v>CR</v>
          </cell>
          <cell r="E1391" t="str">
            <v>47,39</v>
          </cell>
        </row>
        <row r="1392">
          <cell r="A1392">
            <v>43657</v>
          </cell>
          <cell r="B1392" t="str">
            <v xml:space="preserve">CONTRAMARCO DE ALUMINIO (PERFIL 25) PARA ESQUADRIAS, TIPO CONVENCIONAL / CADEIRINHA, 60 MM (CM-060), INCLUSO CONEXOES, GRAPAS E TRAVAMENTOS                                                                                                                                                                                                                                                                                                                                                               </v>
          </cell>
          <cell r="C1392" t="str">
            <v xml:space="preserve">M     </v>
          </cell>
          <cell r="D1392" t="str">
            <v>CR</v>
          </cell>
          <cell r="E1392" t="str">
            <v>7,40</v>
          </cell>
        </row>
        <row r="1393">
          <cell r="A1393">
            <v>38200</v>
          </cell>
          <cell r="B1393" t="str">
            <v xml:space="preserve">CORDA DE POLIAMIDA 12 MM TIPO BOMBEIRO, PARA TRABALHO EM ALTURA                                                                                                                                                                                                                                                                                                                                                                                                                                           </v>
          </cell>
          <cell r="C1393" t="str">
            <v xml:space="preserve">100M  </v>
          </cell>
          <cell r="D1393" t="str">
            <v>CR</v>
          </cell>
          <cell r="E1393" t="str">
            <v>640,24</v>
          </cell>
        </row>
        <row r="1394">
          <cell r="A1394">
            <v>39269</v>
          </cell>
          <cell r="B1394" t="str">
            <v xml:space="preserve">CORDAO DE COBRE, FLEXIVEL, TORCIDO, CLASSE 4 OU 5, ISOLACAO EM PVC/D, 300 V, 2 CONDUTORES DE 0,5 MM2                                                                                                                                                                                                                                                                                                                                                                                                      </v>
          </cell>
          <cell r="C1394" t="str">
            <v xml:space="preserve">M     </v>
          </cell>
          <cell r="D1394" t="str">
            <v>CR</v>
          </cell>
          <cell r="E1394" t="str">
            <v>1,08</v>
          </cell>
        </row>
        <row r="1395">
          <cell r="A1395">
            <v>11889</v>
          </cell>
          <cell r="B1395" t="str">
            <v xml:space="preserve">CORDAO DE COBRE, FLEXIVEL, TORCIDO, CLASSE 4 OU 5, ISOLACAO EM PVC/D, 300 V, 2 CONDUTORES DE 0,75 MM2                                                                                                                                                                                                                                                                                                                                                                                                     </v>
          </cell>
          <cell r="C1395" t="str">
            <v xml:space="preserve">M     </v>
          </cell>
          <cell r="D1395" t="str">
            <v>CR</v>
          </cell>
          <cell r="E1395" t="str">
            <v>1,49</v>
          </cell>
        </row>
        <row r="1396">
          <cell r="A1396">
            <v>39270</v>
          </cell>
          <cell r="B1396" t="str">
            <v xml:space="preserve">CORDAO DE COBRE, FLEXIVEL, TORCIDO, CLASSE 4 OU 5, ISOLACAO EM PVC/D, 300 V, 2 CONDUTORES DE 1,0 MM2                                                                                                                                                                                                                                                                                                                                                                                                      </v>
          </cell>
          <cell r="C1396" t="str">
            <v xml:space="preserve">M     </v>
          </cell>
          <cell r="D1396" t="str">
            <v>CR</v>
          </cell>
          <cell r="E1396" t="str">
            <v>1,94</v>
          </cell>
        </row>
        <row r="1397">
          <cell r="A1397">
            <v>11890</v>
          </cell>
          <cell r="B1397" t="str">
            <v xml:space="preserve">CORDAO DE COBRE, FLEXIVEL, TORCIDO, CLASSE 4 OU 5, ISOLACAO EM PVC/D, 300 V, 2 CONDUTORES DE 1,5 MM2                                                                                                                                                                                                                                                                                                                                                                                                      </v>
          </cell>
          <cell r="C1397" t="str">
            <v xml:space="preserve">M     </v>
          </cell>
          <cell r="D1397" t="str">
            <v>CR</v>
          </cell>
          <cell r="E1397" t="str">
            <v>2,64</v>
          </cell>
        </row>
        <row r="1398">
          <cell r="A1398">
            <v>11891</v>
          </cell>
          <cell r="B1398" t="str">
            <v xml:space="preserve">CORDAO DE COBRE, FLEXIVEL, TORCIDO, CLASSE 4 OU 5, ISOLACAO EM PVC/D, 300 V, 2 CONDUTORES DE 2,5 MM2                                                                                                                                                                                                                                                                                                                                                                                                      </v>
          </cell>
          <cell r="C1398" t="str">
            <v xml:space="preserve">M     </v>
          </cell>
          <cell r="D1398" t="str">
            <v>CR</v>
          </cell>
          <cell r="E1398" t="str">
            <v>4,27</v>
          </cell>
        </row>
        <row r="1399">
          <cell r="A1399">
            <v>11892</v>
          </cell>
          <cell r="B1399" t="str">
            <v xml:space="preserve">CORDAO DE COBRE, FLEXIVEL, TORCIDO, CLASSE 4 OU 5, ISOLACAO EM PVC/D, 300 V, 2 CONDUTORES DE 4 MM2                                                                                                                                                                                                                                                                                                                                                                                                        </v>
          </cell>
          <cell r="C1399" t="str">
            <v xml:space="preserve">M     </v>
          </cell>
          <cell r="D1399" t="str">
            <v>CR</v>
          </cell>
          <cell r="E1399" t="str">
            <v>6,99</v>
          </cell>
        </row>
        <row r="1400">
          <cell r="A1400">
            <v>37601</v>
          </cell>
          <cell r="B1400" t="str">
            <v xml:space="preserve">CORDEL DETONANTE, NP 05 G/M                                                                                                                                                                                                                                                                                                                                                                                                                                                                               </v>
          </cell>
          <cell r="C1400" t="str">
            <v xml:space="preserve">M     </v>
          </cell>
          <cell r="D1400" t="str">
            <v>CR</v>
          </cell>
          <cell r="E1400" t="str">
            <v>9,12</v>
          </cell>
        </row>
        <row r="1401">
          <cell r="A1401">
            <v>1634</v>
          </cell>
          <cell r="B1401" t="str">
            <v xml:space="preserve">CORDEL DETONANTE, NP 10 G/M                                                                                                                                                                                                                                                                                                                                                                                                                                                                               </v>
          </cell>
          <cell r="C1401" t="str">
            <v xml:space="preserve">M     </v>
          </cell>
          <cell r="D1401" t="str">
            <v>CR</v>
          </cell>
          <cell r="E1401" t="str">
            <v>9,43</v>
          </cell>
        </row>
        <row r="1402">
          <cell r="A1402">
            <v>5086</v>
          </cell>
          <cell r="B1402" t="str">
            <v xml:space="preserve">CORRENTE DE ELO CURTO COMUM, SOLDADA, GALVANIZADA, ESPESSURA DO ELO = 1/2" (12,5 MM)                                                                                                                                                                                                                                                                                                                                                                                                                      </v>
          </cell>
          <cell r="C1402" t="str">
            <v xml:space="preserve">KG    </v>
          </cell>
          <cell r="D1402" t="str">
            <v>CR</v>
          </cell>
          <cell r="E1402" t="str">
            <v>29,78</v>
          </cell>
        </row>
        <row r="1403">
          <cell r="A1403">
            <v>11280</v>
          </cell>
          <cell r="B1403" t="str">
            <v xml:space="preserve">CORTADEIRA DE PISO DE CONCRETO E ASFALTO, PARA DISCO PADRAO DE DIAMETRO 350 MM (14") OU 450 MM (18") , MOTOR A GASOLINA, POTENCIA 13 HP, SEM DISCO                                                                                                                                                                                                                                                                                                                                                        </v>
          </cell>
          <cell r="C1403" t="str">
            <v xml:space="preserve">UN    </v>
          </cell>
          <cell r="D1403" t="str">
            <v>CR</v>
          </cell>
          <cell r="E1403" t="str">
            <v>11.743,22</v>
          </cell>
        </row>
        <row r="1404">
          <cell r="A1404">
            <v>40519</v>
          </cell>
          <cell r="B1404" t="str">
            <v xml:space="preserve">CORTADEIRA HIDRAULICA DE VERGALHAO, PARA ACO DE DIAMETRO ATE 50 MM, MOTOR ELETRICO TRIFASICO, POTENCIA DE 5,5 HP A 7,5 HP                                                                                                                                                                                                                                                                                                                                                                                 </v>
          </cell>
          <cell r="C1404" t="str">
            <v xml:space="preserve">UN    </v>
          </cell>
          <cell r="D1404" t="str">
            <v>CR</v>
          </cell>
          <cell r="E1404" t="str">
            <v>96.807,14</v>
          </cell>
        </row>
        <row r="1405">
          <cell r="A1405">
            <v>39869</v>
          </cell>
          <cell r="B1405" t="str">
            <v xml:space="preserve">COTOVELO BRONZE/LATAO (REF 707-3) SEM ANEL DE SOLDA, BOLSA X ROSCA F, 15MM X 1/2"                                                                                                                                                                                                                                                                                                                                                                                                                         </v>
          </cell>
          <cell r="C1405" t="str">
            <v xml:space="preserve">UN    </v>
          </cell>
          <cell r="D1405" t="str">
            <v>CR</v>
          </cell>
          <cell r="E1405" t="str">
            <v>13,10</v>
          </cell>
        </row>
        <row r="1406">
          <cell r="A1406">
            <v>39870</v>
          </cell>
          <cell r="B1406" t="str">
            <v xml:space="preserve">COTOVELO BRONZE/LATAO (REF 707-3) SEM ANEL DE SOLDA, BOLSA X ROSCA F, 22MM X 1/2"                                                                                                                                                                                                                                                                                                                                                                                                                         </v>
          </cell>
          <cell r="C1406" t="str">
            <v xml:space="preserve">UN    </v>
          </cell>
          <cell r="D1406" t="str">
            <v>CR</v>
          </cell>
          <cell r="E1406" t="str">
            <v>20,03</v>
          </cell>
        </row>
        <row r="1407">
          <cell r="A1407">
            <v>39871</v>
          </cell>
          <cell r="B1407" t="str">
            <v xml:space="preserve">COTOVELO BRONZE/LATAO (REF 707-3) SEM ANEL DE SOLDA, BOLSA X ROSCA F, 22MM X 3/4"                                                                                                                                                                                                                                                                                                                                                                                                                         </v>
          </cell>
          <cell r="C1407" t="str">
            <v xml:space="preserve">UN    </v>
          </cell>
          <cell r="D1407" t="str">
            <v>CR</v>
          </cell>
          <cell r="E1407" t="str">
            <v>22,46</v>
          </cell>
        </row>
        <row r="1408">
          <cell r="A1408">
            <v>12722</v>
          </cell>
          <cell r="B1408" t="str">
            <v xml:space="preserve">COTOVELO DE COBRE 90 GRAUS (REF 607) SEM ANEL DE SOLDA, BOLSA X BOLSA, 104 MM                                                                                                                                                                                                                                                                                                                                                                                                                             </v>
          </cell>
          <cell r="C1408" t="str">
            <v xml:space="preserve">UN    </v>
          </cell>
          <cell r="D1408" t="str">
            <v>CR</v>
          </cell>
          <cell r="E1408" t="str">
            <v>751,53</v>
          </cell>
        </row>
        <row r="1409">
          <cell r="A1409">
            <v>12714</v>
          </cell>
          <cell r="B1409" t="str">
            <v xml:space="preserve">COTOVELO DE COBRE 90 GRAUS (REF 607) SEM ANEL DE SOLDA, BOLSA X BOLSA, 15 MM                                                                                                                                                                                                                                                                                                                                                                                                                              </v>
          </cell>
          <cell r="C1409" t="str">
            <v xml:space="preserve">UN    </v>
          </cell>
          <cell r="D1409" t="str">
            <v>CR</v>
          </cell>
          <cell r="E1409" t="str">
            <v>4,90</v>
          </cell>
        </row>
        <row r="1410">
          <cell r="A1410">
            <v>12715</v>
          </cell>
          <cell r="B1410" t="str">
            <v xml:space="preserve">COTOVELO DE COBRE 90 GRAUS (REF 607) SEM ANEL DE SOLDA, BOLSA X BOLSA, 22 MM                                                                                                                                                                                                                                                                                                                                                                                                                              </v>
          </cell>
          <cell r="C1410" t="str">
            <v xml:space="preserve">UN    </v>
          </cell>
          <cell r="D1410" t="str">
            <v>CR</v>
          </cell>
          <cell r="E1410" t="str">
            <v>11,07</v>
          </cell>
        </row>
        <row r="1411">
          <cell r="A1411">
            <v>12716</v>
          </cell>
          <cell r="B1411" t="str">
            <v xml:space="preserve">COTOVELO DE COBRE 90 GRAUS (REF 607) SEM ANEL DE SOLDA, BOLSA X BOLSA, 28 MM                                                                                                                                                                                                                                                                                                                                                                                                                              </v>
          </cell>
          <cell r="C1411" t="str">
            <v xml:space="preserve">UN    </v>
          </cell>
          <cell r="D1411" t="str">
            <v>CR</v>
          </cell>
          <cell r="E1411" t="str">
            <v>19,02</v>
          </cell>
        </row>
        <row r="1412">
          <cell r="A1412">
            <v>12717</v>
          </cell>
          <cell r="B1412" t="str">
            <v xml:space="preserve">COTOVELO DE COBRE 90 GRAUS (REF 607) SEM ANEL DE SOLDA, BOLSA X BOLSA, 35 MM                                                                                                                                                                                                                                                                                                                                                                                                                              </v>
          </cell>
          <cell r="C1412" t="str">
            <v xml:space="preserve">UN    </v>
          </cell>
          <cell r="D1412" t="str">
            <v>CR</v>
          </cell>
          <cell r="E1412" t="str">
            <v>37,39</v>
          </cell>
        </row>
        <row r="1413">
          <cell r="A1413">
            <v>12718</v>
          </cell>
          <cell r="B1413" t="str">
            <v xml:space="preserve">COTOVELO DE COBRE 90 GRAUS (REF 607) SEM ANEL DE SOLDA, BOLSA X BOLSA, 42 MM                                                                                                                                                                                                                                                                                                                                                                                                                              </v>
          </cell>
          <cell r="C1413" t="str">
            <v xml:space="preserve">UN    </v>
          </cell>
          <cell r="D1413" t="str">
            <v>CR</v>
          </cell>
          <cell r="E1413" t="str">
            <v>57,38</v>
          </cell>
        </row>
        <row r="1414">
          <cell r="A1414">
            <v>12719</v>
          </cell>
          <cell r="B1414" t="str">
            <v xml:space="preserve">COTOVELO DE COBRE 90 GRAUS (REF 607) SEM ANEL DE SOLDA, BOLSA X BOLSA, 54 MM                                                                                                                                                                                                                                                                                                                                                                                                                              </v>
          </cell>
          <cell r="C1414" t="str">
            <v xml:space="preserve">UN    </v>
          </cell>
          <cell r="D1414" t="str">
            <v>CR</v>
          </cell>
          <cell r="E1414" t="str">
            <v>91,09</v>
          </cell>
        </row>
        <row r="1415">
          <cell r="A1415">
            <v>12720</v>
          </cell>
          <cell r="B1415" t="str">
            <v xml:space="preserve">COTOVELO DE COBRE 90 GRAUS (REF 607) SEM ANEL DE SOLDA, BOLSA X BOLSA, 66 MM                                                                                                                                                                                                                                                                                                                                                                                                                              </v>
          </cell>
          <cell r="C1415" t="str">
            <v xml:space="preserve">UN    </v>
          </cell>
          <cell r="D1415" t="str">
            <v>CR</v>
          </cell>
          <cell r="E1415" t="str">
            <v>317,17</v>
          </cell>
        </row>
        <row r="1416">
          <cell r="A1416">
            <v>12721</v>
          </cell>
          <cell r="B1416" t="str">
            <v xml:space="preserve">COTOVELO DE COBRE 90 GRAUS (REF 607) SEM ANEL DE SOLDA, BOLSA X BOLSA, 79 MM                                                                                                                                                                                                                                                                                                                                                                                                                              </v>
          </cell>
          <cell r="C1416" t="str">
            <v xml:space="preserve">UN    </v>
          </cell>
          <cell r="D1416" t="str">
            <v>CR</v>
          </cell>
          <cell r="E1416" t="str">
            <v>304,14</v>
          </cell>
        </row>
        <row r="1417">
          <cell r="A1417">
            <v>3468</v>
          </cell>
          <cell r="B1417" t="str">
            <v xml:space="preserve">COTOVELO DE REDUCAO 90 GRAUS DE FERRO GALVANIZADO, COM ROSCA BSP, DE 1 1/2" X 1"                                                                                                                                                                                                                                                                                                                                                                                                                          </v>
          </cell>
          <cell r="C1417" t="str">
            <v xml:space="preserve">UN    </v>
          </cell>
          <cell r="D1417" t="str">
            <v>CR</v>
          </cell>
          <cell r="E1417" t="str">
            <v>47,39</v>
          </cell>
        </row>
        <row r="1418">
          <cell r="A1418">
            <v>3465</v>
          </cell>
          <cell r="B1418" t="str">
            <v xml:space="preserve">COTOVELO DE REDUCAO 90 GRAUS DE FERRO GALVANIZADO, COM ROSCA BSP, DE 1 1/2" X 3/4"                                                                                                                                                                                                                                                                                                                                                                                                                        </v>
          </cell>
          <cell r="C1418" t="str">
            <v xml:space="preserve">UN    </v>
          </cell>
          <cell r="D1418" t="str">
            <v>CR</v>
          </cell>
          <cell r="E1418" t="str">
            <v>47,37</v>
          </cell>
        </row>
        <row r="1419">
          <cell r="A1419">
            <v>12403</v>
          </cell>
          <cell r="B1419" t="str">
            <v xml:space="preserve">COTOVELO DE REDUCAO 90 GRAUS DE FERRO GALVANIZADO, COM ROSCA BSP, DE 1 1/4" X 1"                                                                                                                                                                                                                                                                                                                                                                                                                          </v>
          </cell>
          <cell r="C1419" t="str">
            <v xml:space="preserve">UN    </v>
          </cell>
          <cell r="D1419" t="str">
            <v>CR</v>
          </cell>
          <cell r="E1419" t="str">
            <v>33,76</v>
          </cell>
        </row>
        <row r="1420">
          <cell r="A1420">
            <v>3463</v>
          </cell>
          <cell r="B1420" t="str">
            <v xml:space="preserve">COTOVELO DE REDUCAO 90 GRAUS DE FERRO GALVANIZADO, COM ROSCA BSP, DE 1" X 1/2"                                                                                                                                                                                                                                                                                                                                                                                                                            </v>
          </cell>
          <cell r="C1420" t="str">
            <v xml:space="preserve">UN    </v>
          </cell>
          <cell r="D1420" t="str">
            <v>CR</v>
          </cell>
          <cell r="E1420" t="str">
            <v>19,73</v>
          </cell>
        </row>
        <row r="1421">
          <cell r="A1421">
            <v>3464</v>
          </cell>
          <cell r="B1421" t="str">
            <v xml:space="preserve">COTOVELO DE REDUCAO 90 GRAUS DE FERRO GALVANIZADO, COM ROSCA BSP, DE 1" X 3/4"                                                                                                                                                                                                                                                                                                                                                                                                                            </v>
          </cell>
          <cell r="C1421" t="str">
            <v xml:space="preserve">UN    </v>
          </cell>
          <cell r="D1421" t="str">
            <v>CR</v>
          </cell>
          <cell r="E1421" t="str">
            <v>19,73</v>
          </cell>
        </row>
        <row r="1422">
          <cell r="A1422">
            <v>3466</v>
          </cell>
          <cell r="B1422" t="str">
            <v xml:space="preserve">COTOVELO DE REDUCAO 90 GRAUS DE FERRO GALVANIZADO, COM ROSCA BSP, DE 2 1/2" X 2"                                                                                                                                                                                                                                                                                                                                                                                                                          </v>
          </cell>
          <cell r="C1422" t="str">
            <v xml:space="preserve">UN    </v>
          </cell>
          <cell r="D1422" t="str">
            <v>CR</v>
          </cell>
          <cell r="E1422" t="str">
            <v>120,31</v>
          </cell>
        </row>
        <row r="1423">
          <cell r="A1423">
            <v>3467</v>
          </cell>
          <cell r="B1423" t="str">
            <v xml:space="preserve">COTOVELO DE REDUCAO 90 GRAUS DE FERRO GALVANIZADO, COM ROSCA BSP, DE 2" X 1 1/2"                                                                                                                                                                                                                                                                                                                                                                                                                          </v>
          </cell>
          <cell r="C1423" t="str">
            <v xml:space="preserve">UN    </v>
          </cell>
          <cell r="D1423" t="str">
            <v>CR</v>
          </cell>
          <cell r="E1423" t="str">
            <v>67,95</v>
          </cell>
        </row>
        <row r="1424">
          <cell r="A1424">
            <v>3462</v>
          </cell>
          <cell r="B1424" t="str">
            <v xml:space="preserve">COTOVELO DE REDUCAO 90 GRAUS DE FERRO GALVANIZADO, COM ROSCA BSP, DE 3/4" X 1/2"                                                                                                                                                                                                                                                                                                                                                                                                                          </v>
          </cell>
          <cell r="C1424" t="str">
            <v xml:space="preserve">UN    </v>
          </cell>
          <cell r="D1424" t="str">
            <v>CR</v>
          </cell>
          <cell r="E1424" t="str">
            <v>13,01</v>
          </cell>
        </row>
        <row r="1425">
          <cell r="A1425">
            <v>3446</v>
          </cell>
          <cell r="B1425" t="str">
            <v xml:space="preserve">COTOVELO 45 GRAUS DE FERRO GALVANIZADO, COM ROSCA BSP, DE 1 1/2"                                                                                                                                                                                                                                                                                                                                                                                                                                          </v>
          </cell>
          <cell r="C1425" t="str">
            <v xml:space="preserve">UN    </v>
          </cell>
          <cell r="D1425" t="str">
            <v>CR</v>
          </cell>
          <cell r="E1425" t="str">
            <v>40,06</v>
          </cell>
        </row>
        <row r="1426">
          <cell r="A1426">
            <v>3445</v>
          </cell>
          <cell r="B1426" t="str">
            <v xml:space="preserve">COTOVELO 45 GRAUS DE FERRO GALVANIZADO, COM ROSCA BSP, DE 1 1/4"                                                                                                                                                                                                                                                                                                                                                                                                                                          </v>
          </cell>
          <cell r="C1426" t="str">
            <v xml:space="preserve">UN    </v>
          </cell>
          <cell r="D1426" t="str">
            <v>CR</v>
          </cell>
          <cell r="E1426" t="str">
            <v>32,70</v>
          </cell>
        </row>
        <row r="1427">
          <cell r="A1427">
            <v>3441</v>
          </cell>
          <cell r="B1427" t="str">
            <v xml:space="preserve">COTOVELO 45 GRAUS DE FERRO GALVANIZADO, COM ROSCA BSP, DE 1/2"                                                                                                                                                                                                                                                                                                                                                                                                                                            </v>
          </cell>
          <cell r="C1427" t="str">
            <v xml:space="preserve">UN    </v>
          </cell>
          <cell r="D1427" t="str">
            <v>CR</v>
          </cell>
          <cell r="E1427" t="str">
            <v>9,23</v>
          </cell>
        </row>
        <row r="1428">
          <cell r="A1428">
            <v>3444</v>
          </cell>
          <cell r="B1428" t="str">
            <v xml:space="preserve">COTOVELO 45 GRAUS DE FERRO GALVANIZADO, COM ROSCA BSP, DE 1"                                                                                                                                                                                                                                                                                                                                                                                                                                              </v>
          </cell>
          <cell r="C1428" t="str">
            <v xml:space="preserve">UN    </v>
          </cell>
          <cell r="D1428" t="str">
            <v>CR</v>
          </cell>
          <cell r="E1428" t="str">
            <v>20,13</v>
          </cell>
        </row>
        <row r="1429">
          <cell r="A1429">
            <v>12402</v>
          </cell>
          <cell r="B1429" t="str">
            <v xml:space="preserve">COTOVELO 45 GRAUS DE FERRO GALVANIZADO, COM ROSCA BSP, DE 2 1/2"                                                                                                                                                                                                                                                                                                                                                                                                                                          </v>
          </cell>
          <cell r="C1429" t="str">
            <v xml:space="preserve">UN    </v>
          </cell>
          <cell r="D1429" t="str">
            <v>CR</v>
          </cell>
          <cell r="E1429" t="str">
            <v>112,60</v>
          </cell>
        </row>
        <row r="1430">
          <cell r="A1430">
            <v>3447</v>
          </cell>
          <cell r="B1430" t="str">
            <v xml:space="preserve">COTOVELO 45 GRAUS DE FERRO GALVANIZADO, COM ROSCA BSP, DE 2"                                                                                                                                                                                                                                                                                                                                                                                                                                              </v>
          </cell>
          <cell r="C1430" t="str">
            <v xml:space="preserve">UN    </v>
          </cell>
          <cell r="D1430" t="str">
            <v>CR</v>
          </cell>
          <cell r="E1430" t="str">
            <v>58,25</v>
          </cell>
        </row>
        <row r="1431">
          <cell r="A1431">
            <v>3442</v>
          </cell>
          <cell r="B1431" t="str">
            <v xml:space="preserve">COTOVELO 45 GRAUS DE FERRO GALVANIZADO, COM ROSCA BSP, DE 3/4"                                                                                                                                                                                                                                                                                                                                                                                                                                            </v>
          </cell>
          <cell r="C1431" t="str">
            <v xml:space="preserve">UN    </v>
          </cell>
          <cell r="D1431" t="str">
            <v>CR</v>
          </cell>
          <cell r="E1431" t="str">
            <v>13,80</v>
          </cell>
        </row>
        <row r="1432">
          <cell r="A1432">
            <v>3448</v>
          </cell>
          <cell r="B1432" t="str">
            <v xml:space="preserve">COTOVELO 45 GRAUS DE FERRO GALVANIZADO, COM ROSCA BSP, DE 3"                                                                                                                                                                                                                                                                                                                                                                                                                                              </v>
          </cell>
          <cell r="C1432" t="str">
            <v xml:space="preserve">UN    </v>
          </cell>
          <cell r="D1432" t="str">
            <v>CR</v>
          </cell>
          <cell r="E1432" t="str">
            <v>164,62</v>
          </cell>
        </row>
        <row r="1433">
          <cell r="A1433">
            <v>3449</v>
          </cell>
          <cell r="B1433" t="str">
            <v xml:space="preserve">COTOVELO 45 GRAUS DE FERRO GALVANIZADO, COM ROSCA BSP, DE 4"                                                                                                                                                                                                                                                                                                                                                                                                                                              </v>
          </cell>
          <cell r="C1433" t="str">
            <v xml:space="preserve">UN    </v>
          </cell>
          <cell r="D1433" t="str">
            <v>CR</v>
          </cell>
          <cell r="E1433" t="str">
            <v>288,45</v>
          </cell>
        </row>
        <row r="1434">
          <cell r="A1434">
            <v>37438</v>
          </cell>
          <cell r="B1434" t="str">
            <v xml:space="preserve">COTOVELO 45 GRAUS, PEAD PE 100, DE 125 MM, PARA ELETROFUSAO                                                                                                                                                                                                                                                                                                                                                                                                                                               </v>
          </cell>
          <cell r="C1434" t="str">
            <v xml:space="preserve">UN    </v>
          </cell>
          <cell r="D1434" t="str">
            <v>CR</v>
          </cell>
          <cell r="E1434" t="str">
            <v>230,00</v>
          </cell>
        </row>
        <row r="1435">
          <cell r="A1435">
            <v>37439</v>
          </cell>
          <cell r="B1435" t="str">
            <v xml:space="preserve">COTOVELO 45 GRAUS, PEAD PE 100, DE 200 MM, PARA ELETROFUSAO                                                                                                                                                                                                                                                                                                                                                                                                                                               </v>
          </cell>
          <cell r="C1435" t="str">
            <v xml:space="preserve">UN    </v>
          </cell>
          <cell r="D1435" t="str">
            <v>CR</v>
          </cell>
          <cell r="E1435" t="str">
            <v>1.503,73</v>
          </cell>
        </row>
        <row r="1436">
          <cell r="A1436">
            <v>37435</v>
          </cell>
          <cell r="B1436" t="str">
            <v xml:space="preserve">COTOVELO 45 GRAUS, PEAD PE 100, DE 32 MM, PARA ELETROFUSAO                                                                                                                                                                                                                                                                                                                                                                                                                                                </v>
          </cell>
          <cell r="C1436" t="str">
            <v xml:space="preserve">UN    </v>
          </cell>
          <cell r="D1436" t="str">
            <v>CR</v>
          </cell>
          <cell r="E1436" t="str">
            <v>27,03</v>
          </cell>
        </row>
        <row r="1437">
          <cell r="A1437">
            <v>37436</v>
          </cell>
          <cell r="B1437" t="str">
            <v xml:space="preserve">COTOVELO 45 GRAUS, PEAD PE 100, DE 40 MM, PARA ELETROFUSAO                                                                                                                                                                                                                                                                                                                                                                                                                                                </v>
          </cell>
          <cell r="C1437" t="str">
            <v xml:space="preserve">UN    </v>
          </cell>
          <cell r="D1437" t="str">
            <v>CR</v>
          </cell>
          <cell r="E1437" t="str">
            <v>31,90</v>
          </cell>
        </row>
        <row r="1438">
          <cell r="A1438">
            <v>37437</v>
          </cell>
          <cell r="B1438" t="str">
            <v xml:space="preserve">COTOVELO 45 GRAUS, PEAD PE 100, DE 63 MM, PARA ELETROFUSAO                                                                                                                                                                                                                                                                                                                                                                                                                                                </v>
          </cell>
          <cell r="C1438" t="str">
            <v xml:space="preserve">UN    </v>
          </cell>
          <cell r="D1438" t="str">
            <v>CR</v>
          </cell>
          <cell r="E1438" t="str">
            <v>46,14</v>
          </cell>
        </row>
        <row r="1439">
          <cell r="A1439">
            <v>3473</v>
          </cell>
          <cell r="B1439" t="str">
            <v xml:space="preserve">COTOVELO 90 GRAUS DE FERRO GALVANIZADO, COM ROSCA BSP MACHO/FEMEA, DE 1 1/2"                                                                                                                                                                                                                                                                                                                                                                                                                              </v>
          </cell>
          <cell r="C1439" t="str">
            <v xml:space="preserve">UN    </v>
          </cell>
          <cell r="D1439" t="str">
            <v>CR</v>
          </cell>
          <cell r="E1439" t="str">
            <v>45,29</v>
          </cell>
        </row>
        <row r="1440">
          <cell r="A1440">
            <v>3474</v>
          </cell>
          <cell r="B1440" t="str">
            <v xml:space="preserve">COTOVELO 90 GRAUS DE FERRO GALVANIZADO, COM ROSCA BSP MACHO/FEMEA, DE 1 1/4"                                                                                                                                                                                                                                                                                                                                                                                                                              </v>
          </cell>
          <cell r="C1440" t="str">
            <v xml:space="preserve">UN    </v>
          </cell>
          <cell r="D1440" t="str">
            <v>CR</v>
          </cell>
          <cell r="E1440" t="str">
            <v>37,33</v>
          </cell>
        </row>
        <row r="1441">
          <cell r="A1441">
            <v>3450</v>
          </cell>
          <cell r="B1441" t="str">
            <v xml:space="preserve">COTOVELO 90 GRAUS DE FERRO GALVANIZADO, COM ROSCA BSP MACHO/FEMEA, DE 1/2"                                                                                                                                                                                                                                                                                                                                                                                                                                </v>
          </cell>
          <cell r="C1441" t="str">
            <v xml:space="preserve">UN    </v>
          </cell>
          <cell r="D1441" t="str">
            <v>CR</v>
          </cell>
          <cell r="E1441" t="str">
            <v>10,82</v>
          </cell>
        </row>
        <row r="1442">
          <cell r="A1442">
            <v>3443</v>
          </cell>
          <cell r="B1442" t="str">
            <v xml:space="preserve">COTOVELO 90 GRAUS DE FERRO GALVANIZADO, COM ROSCA BSP MACHO/FEMEA, DE 1"                                                                                                                                                                                                                                                                                                                                                                                                                                  </v>
          </cell>
          <cell r="C1442" t="str">
            <v xml:space="preserve">UN    </v>
          </cell>
          <cell r="D1442" t="str">
            <v>CR</v>
          </cell>
          <cell r="E1442" t="str">
            <v>23,22</v>
          </cell>
        </row>
        <row r="1443">
          <cell r="A1443">
            <v>3453</v>
          </cell>
          <cell r="B1443" t="str">
            <v xml:space="preserve">COTOVELO 90 GRAUS DE FERRO GALVANIZADO, COM ROSCA BSP MACHO/FEMEA, DE 2 1/2"                                                                                                                                                                                                                                                                                                                                                                                                                              </v>
          </cell>
          <cell r="C1443" t="str">
            <v xml:space="preserve">UN    </v>
          </cell>
          <cell r="D1443" t="str">
            <v>CR</v>
          </cell>
          <cell r="E1443" t="str">
            <v>132,20</v>
          </cell>
        </row>
        <row r="1444">
          <cell r="A1444">
            <v>3452</v>
          </cell>
          <cell r="B1444" t="str">
            <v xml:space="preserve">COTOVELO 90 GRAUS DE FERRO GALVANIZADO, COM ROSCA BSP MACHO/FEMEA, DE 2"                                                                                                                                                                                                                                                                                                                                                                                                                                  </v>
          </cell>
          <cell r="C1444" t="str">
            <v xml:space="preserve">UN    </v>
          </cell>
          <cell r="D1444" t="str">
            <v>CR</v>
          </cell>
          <cell r="E1444" t="str">
            <v>65,25</v>
          </cell>
        </row>
        <row r="1445">
          <cell r="A1445">
            <v>3451</v>
          </cell>
          <cell r="B1445" t="str">
            <v xml:space="preserve">COTOVELO 90 GRAUS DE FERRO GALVANIZADO, COM ROSCA BSP MACHO/FEMEA, DE 3/4"                                                                                                                                                                                                                                                                                                                                                                                                                                </v>
          </cell>
          <cell r="C1445" t="str">
            <v xml:space="preserve">UN    </v>
          </cell>
          <cell r="D1445" t="str">
            <v>CR</v>
          </cell>
          <cell r="E1445" t="str">
            <v>12,94</v>
          </cell>
        </row>
        <row r="1446">
          <cell r="A1446">
            <v>3454</v>
          </cell>
          <cell r="B1446" t="str">
            <v xml:space="preserve">COTOVELO 90 GRAUS DE FERRO GALVANIZADO, COM ROSCA BSP MACHO/FEMEA, DE 3"                                                                                                                                                                                                                                                                                                                                                                                                                                  </v>
          </cell>
          <cell r="C1446" t="str">
            <v xml:space="preserve">UN    </v>
          </cell>
          <cell r="D1446" t="str">
            <v>CR</v>
          </cell>
          <cell r="E1446" t="str">
            <v>201,07</v>
          </cell>
        </row>
        <row r="1447">
          <cell r="A1447">
            <v>3458</v>
          </cell>
          <cell r="B1447" t="str">
            <v xml:space="preserve">COTOVELO 90 GRAUS DE FERRO GALVANIZADO, COM ROSCA BSP, DE 1 1/2"                                                                                                                                                                                                                                                                                                                                                                                                                                          </v>
          </cell>
          <cell r="C1447" t="str">
            <v xml:space="preserve">UN    </v>
          </cell>
          <cell r="D1447" t="str">
            <v>CR</v>
          </cell>
          <cell r="E1447" t="str">
            <v>36,30</v>
          </cell>
        </row>
        <row r="1448">
          <cell r="A1448">
            <v>3457</v>
          </cell>
          <cell r="B1448" t="str">
            <v xml:space="preserve">COTOVELO 90 GRAUS DE FERRO GALVANIZADO, COM ROSCA BSP, DE 1 1/4"                                                                                                                                                                                                                                                                                                                                                                                                                                          </v>
          </cell>
          <cell r="C1448" t="str">
            <v xml:space="preserve">UN    </v>
          </cell>
          <cell r="D1448" t="str">
            <v>CR</v>
          </cell>
          <cell r="E1448" t="str">
            <v>27,25</v>
          </cell>
        </row>
        <row r="1449">
          <cell r="A1449">
            <v>3455</v>
          </cell>
          <cell r="B1449" t="str">
            <v xml:space="preserve">COTOVELO 90 GRAUS DE FERRO GALVANIZADO, COM ROSCA BSP, DE 1/2"                                                                                                                                                                                                                                                                                                                                                                                                                                            </v>
          </cell>
          <cell r="C1449" t="str">
            <v xml:space="preserve">UN    </v>
          </cell>
          <cell r="D1449" t="str">
            <v>CR</v>
          </cell>
          <cell r="E1449" t="str">
            <v>7,74</v>
          </cell>
        </row>
        <row r="1450">
          <cell r="A1450">
            <v>3472</v>
          </cell>
          <cell r="B1450" t="str">
            <v xml:space="preserve">COTOVELO 90 GRAUS DE FERRO GALVANIZADO, COM ROSCA BSP, DE 1"                                                                                                                                                                                                                                                                                                                                                                                                                                              </v>
          </cell>
          <cell r="C1450" t="str">
            <v xml:space="preserve">UN    </v>
          </cell>
          <cell r="D1450" t="str">
            <v>CR</v>
          </cell>
          <cell r="E1450" t="str">
            <v>17,39</v>
          </cell>
        </row>
        <row r="1451">
          <cell r="A1451">
            <v>3470</v>
          </cell>
          <cell r="B1451" t="str">
            <v xml:space="preserve">COTOVELO 90 GRAUS DE FERRO GALVANIZADO, COM ROSCA BSP, DE 2 1/2"                                                                                                                                                                                                                                                                                                                                                                                                                                          </v>
          </cell>
          <cell r="C1451" t="str">
            <v xml:space="preserve">UN    </v>
          </cell>
          <cell r="D1451" t="str">
            <v>CR</v>
          </cell>
          <cell r="E1451" t="str">
            <v>101,37</v>
          </cell>
        </row>
        <row r="1452">
          <cell r="A1452">
            <v>3471</v>
          </cell>
          <cell r="B1452" t="str">
            <v xml:space="preserve">COTOVELO 90 GRAUS DE FERRO GALVANIZADO, COM ROSCA BSP, DE 2"                                                                                                                                                                                                                                                                                                                                                                                                                                              </v>
          </cell>
          <cell r="C1452" t="str">
            <v xml:space="preserve">UN    </v>
          </cell>
          <cell r="D1452" t="str">
            <v>CR</v>
          </cell>
          <cell r="E1452" t="str">
            <v>55,70</v>
          </cell>
        </row>
        <row r="1453">
          <cell r="A1453">
            <v>3456</v>
          </cell>
          <cell r="B1453" t="str">
            <v xml:space="preserve">COTOVELO 90 GRAUS DE FERRO GALVANIZADO, COM ROSCA BSP, DE 3/4"                                                                                                                                                                                                                                                                                                                                                                                                                                            </v>
          </cell>
          <cell r="C1453" t="str">
            <v xml:space="preserve">UN    </v>
          </cell>
          <cell r="D1453" t="str">
            <v>CR</v>
          </cell>
          <cell r="E1453" t="str">
            <v>11,58</v>
          </cell>
        </row>
        <row r="1454">
          <cell r="A1454">
            <v>3459</v>
          </cell>
          <cell r="B1454" t="str">
            <v xml:space="preserve">COTOVELO 90 GRAUS DE FERRO GALVANIZADO, COM ROSCA BSP, DE 3"                                                                                                                                                                                                                                                                                                                                                                                                                                              </v>
          </cell>
          <cell r="C1454" t="str">
            <v xml:space="preserve">UN    </v>
          </cell>
          <cell r="D1454" t="str">
            <v>CR</v>
          </cell>
          <cell r="E1454" t="str">
            <v>142,98</v>
          </cell>
        </row>
        <row r="1455">
          <cell r="A1455">
            <v>3469</v>
          </cell>
          <cell r="B1455" t="str">
            <v xml:space="preserve">COTOVELO 90 GRAUS DE FERRO GALVANIZADO, COM ROSCA BSP, DE 4"                                                                                                                                                                                                                                                                                                                                                                                                                                              </v>
          </cell>
          <cell r="C1455" t="str">
            <v xml:space="preserve">UN    </v>
          </cell>
          <cell r="D1455" t="str">
            <v>CR</v>
          </cell>
          <cell r="E1455" t="str">
            <v>271,92</v>
          </cell>
        </row>
        <row r="1456">
          <cell r="A1456">
            <v>3460</v>
          </cell>
          <cell r="B1456" t="str">
            <v xml:space="preserve">COTOVELO 90 GRAUS DE FERRO GALVANIZADO, COM ROSCA BSP, DE 5"                                                                                                                                                                                                                                                                                                                                                                                                                                              </v>
          </cell>
          <cell r="C1456" t="str">
            <v xml:space="preserve">UN    </v>
          </cell>
          <cell r="D1456" t="str">
            <v>CR</v>
          </cell>
          <cell r="E1456" t="str">
            <v>396,77</v>
          </cell>
        </row>
        <row r="1457">
          <cell r="A1457">
            <v>3461</v>
          </cell>
          <cell r="B1457" t="str">
            <v xml:space="preserve">COTOVELO 90 GRAUS DE FERRO GALVANIZADO, COM ROSCA BSP, DE 6"                                                                                                                                                                                                                                                                                                                                                                                                                                              </v>
          </cell>
          <cell r="C1457" t="str">
            <v xml:space="preserve">UN    </v>
          </cell>
          <cell r="D1457" t="str">
            <v>CR</v>
          </cell>
          <cell r="E1457" t="str">
            <v>1.014,11</v>
          </cell>
        </row>
        <row r="1458">
          <cell r="A1458">
            <v>37433</v>
          </cell>
          <cell r="B1458" t="str">
            <v xml:space="preserve">COTOVELO 90 GRAUS, PEAD PE 100, DE 125 MM, PARA ELETROFUSAO                                                                                                                                                                                                                                                                                                                                                                                                                                               </v>
          </cell>
          <cell r="C1458" t="str">
            <v xml:space="preserve">UN    </v>
          </cell>
          <cell r="D1458" t="str">
            <v>CR</v>
          </cell>
          <cell r="E1458" t="str">
            <v>230,00</v>
          </cell>
        </row>
        <row r="1459">
          <cell r="A1459">
            <v>37430</v>
          </cell>
          <cell r="B1459" t="str">
            <v xml:space="preserve">COTOVELO 90 GRAUS, PEAD PE 100, DE 20 MM, PARA ELETROFUSAO                                                                                                                                                                                                                                                                                                                                                                                                                                                </v>
          </cell>
          <cell r="C1459" t="str">
            <v xml:space="preserve">UN    </v>
          </cell>
          <cell r="D1459" t="str">
            <v>CR</v>
          </cell>
          <cell r="E1459" t="str">
            <v>28,82</v>
          </cell>
        </row>
        <row r="1460">
          <cell r="A1460">
            <v>37434</v>
          </cell>
          <cell r="B1460" t="str">
            <v xml:space="preserve">COTOVELO 90 GRAUS, PEAD PE 100, DE 200 MM, PARA ELETROFUSAO                                                                                                                                                                                                                                                                                                                                                                                                                                               </v>
          </cell>
          <cell r="C1460" t="str">
            <v xml:space="preserve">UN    </v>
          </cell>
          <cell r="D1460" t="str">
            <v>CR</v>
          </cell>
          <cell r="E1460" t="str">
            <v>2.144,52</v>
          </cell>
        </row>
        <row r="1461">
          <cell r="A1461">
            <v>37431</v>
          </cell>
          <cell r="B1461" t="str">
            <v xml:space="preserve">COTOVELO 90 GRAUS, PEAD PE 100, DE 32 MM, PARA ELETROFUSAO                                                                                                                                                                                                                                                                                                                                                                                                                                                </v>
          </cell>
          <cell r="C1461" t="str">
            <v xml:space="preserve">UN    </v>
          </cell>
          <cell r="D1461" t="str">
            <v>CR</v>
          </cell>
          <cell r="E1461" t="str">
            <v>39,10</v>
          </cell>
        </row>
        <row r="1462">
          <cell r="A1462">
            <v>37432</v>
          </cell>
          <cell r="B1462" t="str">
            <v xml:space="preserve">COTOVELO 90 GRAUS, PEAD PE 100, DE 63 MM, PARA ELETROFUSAO                                                                                                                                                                                                                                                                                                                                                                                                                                                </v>
          </cell>
          <cell r="C1462" t="str">
            <v xml:space="preserve">UN    </v>
          </cell>
          <cell r="D1462" t="str">
            <v>CR</v>
          </cell>
          <cell r="E1462" t="str">
            <v>72,12</v>
          </cell>
        </row>
        <row r="1463">
          <cell r="A1463">
            <v>37413</v>
          </cell>
          <cell r="B1463" t="str">
            <v xml:space="preserve">COTOVELO/JOELHO COM ADAPTADOR, 90 GRAUS, EM POLIPROPILENO, PN 16, PARA TUBOS PEAD, 20 MM X 1/2" - LIGACAO PREDIAL DE AGUA                                                                                                                                                                                                                                                                                                                                                                                 </v>
          </cell>
          <cell r="C1463" t="str">
            <v xml:space="preserve">UN    </v>
          </cell>
          <cell r="D1463" t="str">
            <v>CR</v>
          </cell>
          <cell r="E1463" t="str">
            <v>3,83</v>
          </cell>
        </row>
        <row r="1464">
          <cell r="A1464">
            <v>37414</v>
          </cell>
          <cell r="B1464" t="str">
            <v xml:space="preserve">COTOVELO/JOELHO COM ADAPTADOR, 90 GRAUS, EM POLIPROPILENO, PN 16, PARA TUBOS PEAD, 20 MM X 3/4" - LIGACAO PREDIAL DE AGUA                                                                                                                                                                                                                                                                                                                                                                                 </v>
          </cell>
          <cell r="C1464" t="str">
            <v xml:space="preserve">UN    </v>
          </cell>
          <cell r="D1464" t="str">
            <v>CR</v>
          </cell>
          <cell r="E1464" t="str">
            <v>4,34</v>
          </cell>
        </row>
        <row r="1465">
          <cell r="A1465">
            <v>37415</v>
          </cell>
          <cell r="B1465" t="str">
            <v xml:space="preserve">COTOVELO/JOELHO COM ADAPTADOR, 90 GRAUS, EM POLIPROPILENO, PN 16, PARA TUBOS PEAD, 32 MM X 1" - LIGACAO PREDIAL DE AGUA                                                                                                                                                                                                                                                                                                                                                                                   </v>
          </cell>
          <cell r="C1465" t="str">
            <v xml:space="preserve">UN    </v>
          </cell>
          <cell r="D1465" t="str">
            <v>CR</v>
          </cell>
          <cell r="E1465" t="str">
            <v>7,90</v>
          </cell>
        </row>
        <row r="1466">
          <cell r="A1466">
            <v>37416</v>
          </cell>
          <cell r="B1466" t="str">
            <v xml:space="preserve">COTOVELO/JOELHO 90 GRAUS, EM POLIPROPILENO, PN 16, PARA TUBOS PEAD, 20 X 20 MM - LIGACAO PREDIAL DE AGUA                                                                                                                                                                                                                                                                                                                                                                                                  </v>
          </cell>
          <cell r="C1466" t="str">
            <v xml:space="preserve">UN    </v>
          </cell>
          <cell r="D1466" t="str">
            <v>CR</v>
          </cell>
          <cell r="E1466" t="str">
            <v>3,58</v>
          </cell>
        </row>
        <row r="1467">
          <cell r="A1467">
            <v>37417</v>
          </cell>
          <cell r="B1467" t="str">
            <v xml:space="preserve">COTOVELO/JOELHO 90 GRAUS, EM POLIPROPILENO, PN 16, PARA TUBOS PEAD, 32 X 32 MM - LIGACAO PREDIAL DE AGUA                                                                                                                                                                                                                                                                                                                                                                                                  </v>
          </cell>
          <cell r="C1467" t="str">
            <v xml:space="preserve">UN    </v>
          </cell>
          <cell r="D1467" t="str">
            <v>CR</v>
          </cell>
          <cell r="E1467" t="str">
            <v>5,15</v>
          </cell>
        </row>
        <row r="1468">
          <cell r="A1468">
            <v>43590</v>
          </cell>
          <cell r="B1468" t="str">
            <v xml:space="preserve">CREMONA RETANGULAR INJETADA LISA COM CHAVE, COM CASTANHA / ALCA, EM LATAO, COM ACABAMENTO CROMADO, DE SOBREPOR / EMBUTIR                                                                                                                                                                                                                                                                                                                                                                                  </v>
          </cell>
          <cell r="C1468" t="str">
            <v xml:space="preserve">UN    </v>
          </cell>
          <cell r="D1468" t="str">
            <v>CR</v>
          </cell>
          <cell r="E1468" t="str">
            <v>138,44</v>
          </cell>
        </row>
        <row r="1469">
          <cell r="A1469">
            <v>43589</v>
          </cell>
          <cell r="B1469" t="str">
            <v xml:space="preserve">CREMONA RETANGULAR INJETADA LISA, COM CASTANHA / ALCA, EM LATAO, COM ACABAMENTO CROMADO, DE SOBREPOR / EMBUTIR                                                                                                                                                                                                                                                                                                                                                                                            </v>
          </cell>
          <cell r="C1469" t="str">
            <v xml:space="preserve">UN    </v>
          </cell>
          <cell r="D1469" t="str">
            <v>CR</v>
          </cell>
          <cell r="E1469" t="str">
            <v>25,04</v>
          </cell>
        </row>
        <row r="1470">
          <cell r="A1470">
            <v>34519</v>
          </cell>
          <cell r="B1470" t="str">
            <v xml:space="preserve">CRUZETA DE CONCRETO LEVE, COMP. 2000 MM SECAO, 90 X 90 MM                                                                                                                                                                                                                                                                                                                                                                                                                                                 </v>
          </cell>
          <cell r="C1470" t="str">
            <v xml:space="preserve">UN    </v>
          </cell>
          <cell r="D1470" t="str">
            <v>CR</v>
          </cell>
          <cell r="E1470" t="str">
            <v>80,41</v>
          </cell>
        </row>
        <row r="1471">
          <cell r="A1471">
            <v>1649</v>
          </cell>
          <cell r="B1471" t="str">
            <v xml:space="preserve">CRUZETA DE FERRO GALVANIZADO, COM ROSCA BSP, DE 1 1/2"                                                                                                                                                                                                                                                                                                                                                                                                                                                    </v>
          </cell>
          <cell r="C1471" t="str">
            <v xml:space="preserve">UN    </v>
          </cell>
          <cell r="D1471" t="str">
            <v>CR</v>
          </cell>
          <cell r="E1471" t="str">
            <v>85,61</v>
          </cell>
        </row>
        <row r="1472">
          <cell r="A1472">
            <v>1653</v>
          </cell>
          <cell r="B1472" t="str">
            <v xml:space="preserve">CRUZETA DE FERRO GALVANIZADO, COM ROSCA BSP, DE 1 1/4"                                                                                                                                                                                                                                                                                                                                                                                                                                                    </v>
          </cell>
          <cell r="C1472" t="str">
            <v xml:space="preserve">UN    </v>
          </cell>
          <cell r="D1472" t="str">
            <v>CR</v>
          </cell>
          <cell r="E1472" t="str">
            <v>67,06</v>
          </cell>
        </row>
        <row r="1473">
          <cell r="A1473">
            <v>1647</v>
          </cell>
          <cell r="B1473" t="str">
            <v xml:space="preserve">CRUZETA DE FERRO GALVANIZADO, COM ROSCA BSP, DE 1/2"                                                                                                                                                                                                                                                                                                                                                                                                                                                      </v>
          </cell>
          <cell r="C1473" t="str">
            <v xml:space="preserve">UN    </v>
          </cell>
          <cell r="D1473" t="str">
            <v>CR</v>
          </cell>
          <cell r="E1473" t="str">
            <v>24,01</v>
          </cell>
        </row>
        <row r="1474">
          <cell r="A1474">
            <v>1648</v>
          </cell>
          <cell r="B1474" t="str">
            <v xml:space="preserve">CRUZETA DE FERRO GALVANIZADO, COM ROSCA BSP, DE 1"                                                                                                                                                                                                                                                                                                                                                                                                                                                        </v>
          </cell>
          <cell r="C1474" t="str">
            <v xml:space="preserve">UN    </v>
          </cell>
          <cell r="D1474" t="str">
            <v>CR</v>
          </cell>
          <cell r="E1474" t="str">
            <v>46,11</v>
          </cell>
        </row>
        <row r="1475">
          <cell r="A1475">
            <v>1651</v>
          </cell>
          <cell r="B1475" t="str">
            <v xml:space="preserve">CRUZETA DE FERRO GALVANIZADO, COM ROSCA BSP, DE 2 1/2"                                                                                                                                                                                                                                                                                                                                                                                                                                                    </v>
          </cell>
          <cell r="C1475" t="str">
            <v xml:space="preserve">UN    </v>
          </cell>
          <cell r="D1475" t="str">
            <v>CR</v>
          </cell>
          <cell r="E1475" t="str">
            <v>213,90</v>
          </cell>
        </row>
        <row r="1476">
          <cell r="A1476">
            <v>1650</v>
          </cell>
          <cell r="B1476" t="str">
            <v xml:space="preserve">CRUZETA DE FERRO GALVANIZADO, COM ROSCA BSP, DE 2"                                                                                                                                                                                                                                                                                                                                                                                                                                                        </v>
          </cell>
          <cell r="C1476" t="str">
            <v xml:space="preserve">UN    </v>
          </cell>
          <cell r="D1476" t="str">
            <v>CR</v>
          </cell>
          <cell r="E1476" t="str">
            <v>118,23</v>
          </cell>
        </row>
        <row r="1477">
          <cell r="A1477">
            <v>1654</v>
          </cell>
          <cell r="B1477" t="str">
            <v xml:space="preserve">CRUZETA DE FERRO GALVANIZADO, COM ROSCA BSP, DE 3/4"                                                                                                                                                                                                                                                                                                                                                                                                                                                      </v>
          </cell>
          <cell r="C1477" t="str">
            <v xml:space="preserve">UN    </v>
          </cell>
          <cell r="D1477" t="str">
            <v>CR</v>
          </cell>
          <cell r="E1477" t="str">
            <v>32,96</v>
          </cell>
        </row>
        <row r="1478">
          <cell r="A1478">
            <v>1652</v>
          </cell>
          <cell r="B1478" t="str">
            <v xml:space="preserve">CRUZETA DE FERRO GALVANIZADO, COM ROSCA BSP, DE 3"                                                                                                                                                                                                                                                                                                                                                                                                                                                        </v>
          </cell>
          <cell r="C1478" t="str">
            <v xml:space="preserve">UN    </v>
          </cell>
          <cell r="D1478" t="str">
            <v>CR</v>
          </cell>
          <cell r="E1478" t="str">
            <v>307,01</v>
          </cell>
        </row>
        <row r="1479">
          <cell r="A1479">
            <v>10510</v>
          </cell>
          <cell r="B1479" t="str">
            <v xml:space="preserve">CRUZETA DE MADEIRA TRATADA, *90 X 115 X 2400* MM, EM EUCALIPTO OU EQUIVALENTE DA REGIAO                                                                                                                                                                                                                                                                                                                                                                                                                   </v>
          </cell>
          <cell r="C1479" t="str">
            <v xml:space="preserve">UN    </v>
          </cell>
          <cell r="D1479" t="str">
            <v>CR</v>
          </cell>
          <cell r="E1479" t="str">
            <v>129,16</v>
          </cell>
        </row>
        <row r="1480">
          <cell r="A1480">
            <v>1747</v>
          </cell>
          <cell r="B1480" t="str">
            <v xml:space="preserve">CUBA ACO INOX (AISI 304) DE EMBUTIR COM VALVULA DE 3 1/2 ", DE *56 X 33 X 12* CM                                                                                                                                                                                                                                                                                                                                                                                                                          </v>
          </cell>
          <cell r="C1480" t="str">
            <v xml:space="preserve">UN    </v>
          </cell>
          <cell r="D1480" t="str">
            <v>CR</v>
          </cell>
          <cell r="E1480" t="str">
            <v>171,26</v>
          </cell>
        </row>
        <row r="1481">
          <cell r="A1481">
            <v>1744</v>
          </cell>
          <cell r="B1481" t="str">
            <v xml:space="preserve">CUBA ACO INOX (AISI 304) DE EMBUTIR COM VALVULA 3 1/2 ", DE *40 X 34 X 12* CM                                                                                                                                                                                                                                                                                                                                                                                                                             </v>
          </cell>
          <cell r="C1481" t="str">
            <v xml:space="preserve">UN    </v>
          </cell>
          <cell r="D1481" t="str">
            <v>CR</v>
          </cell>
          <cell r="E1481" t="str">
            <v>118,62</v>
          </cell>
        </row>
        <row r="1482">
          <cell r="A1482">
            <v>1743</v>
          </cell>
          <cell r="B1482" t="str">
            <v xml:space="preserve">CUBA ACO INOX (AISI 304) DE EMBUTIR COM VALVULA 3 1/2 ", DE *46 X 30 X 12* CM                                                                                                                                                                                                                                                                                                                                                                                                                             </v>
          </cell>
          <cell r="C1482" t="str">
            <v xml:space="preserve">UN    </v>
          </cell>
          <cell r="D1482" t="str">
            <v>CR</v>
          </cell>
          <cell r="E1482" t="str">
            <v>155,77</v>
          </cell>
        </row>
        <row r="1483">
          <cell r="A1483">
            <v>39640</v>
          </cell>
          <cell r="B1483" t="str">
            <v xml:space="preserve">CUMEEIRA ARTICULADA (ABA INFERIOR) PARA TELHA ONDULADA DE FIBROCIMENTO E = 4 MM, ABA *330* MM, COMPRIMENTO 500 MM (SEM AMIANTO)                                                                                                                                                                                                                                                                                                                                                                           </v>
          </cell>
          <cell r="C1483" t="str">
            <v xml:space="preserve">UN    </v>
          </cell>
          <cell r="D1483" t="str">
            <v>CR</v>
          </cell>
          <cell r="E1483" t="str">
            <v>11,39</v>
          </cell>
        </row>
        <row r="1484">
          <cell r="A1484">
            <v>7216</v>
          </cell>
          <cell r="B1484" t="str">
            <v xml:space="preserve">CUMEEIRA NORMAL PARA TELHA ESTRUTURAL DE FIBROCIMENTO 2 ABAS, E = 6 MM, DE 1050 X 935 MM (SEM AMIANTO)                                                                                                                                                                                                                                                                                                                                                                                                    </v>
          </cell>
          <cell r="C1484" t="str">
            <v xml:space="preserve">UN    </v>
          </cell>
          <cell r="D1484" t="str">
            <v>CR</v>
          </cell>
          <cell r="E1484" t="str">
            <v>61,20</v>
          </cell>
        </row>
        <row r="1485">
          <cell r="A1485">
            <v>20235</v>
          </cell>
          <cell r="B1485" t="str">
            <v xml:space="preserve">CUMEEIRA NORMAL PARA TELHA ONDULADA DE FIBROCIMENTO, E = 6 MM, ABA 300 MM, COMPRIMENTO 1100 MM (SEM AMIANTO)                                                                                                                                                                                                                                                                                                                                                                                              </v>
          </cell>
          <cell r="C1485" t="str">
            <v xml:space="preserve">UN    </v>
          </cell>
          <cell r="D1485" t="str">
            <v>CR</v>
          </cell>
          <cell r="E1485" t="str">
            <v>49,20</v>
          </cell>
        </row>
        <row r="1486">
          <cell r="A1486">
            <v>7181</v>
          </cell>
          <cell r="B1486" t="str">
            <v xml:space="preserve">CUMEEIRA PARA TELHA CERAMICA, COMPRIMENTO DE *41* CM, RENDIMENTO DE *3* TELHAS/M                                                                                                                                                                                                                                                                                                                                                                                                                          </v>
          </cell>
          <cell r="C1486" t="str">
            <v xml:space="preserve">UN    </v>
          </cell>
          <cell r="D1486" t="str">
            <v>CR</v>
          </cell>
          <cell r="E1486" t="str">
            <v>5,79</v>
          </cell>
        </row>
        <row r="1487">
          <cell r="A1487">
            <v>40742</v>
          </cell>
          <cell r="B1487" t="str">
            <v xml:space="preserve">CUMEEIRA PARA TELHA DE CONCRETO, PARA 2 AGUAS DE TELHADO, COR CINZA, RENDIMENTO DE *3* TELHAS/M                                                                                                                                                                                                                                                                                                                                                                                                           </v>
          </cell>
          <cell r="C1487" t="str">
            <v xml:space="preserve">UN    </v>
          </cell>
          <cell r="D1487" t="str">
            <v>CR</v>
          </cell>
          <cell r="E1487" t="str">
            <v>11,37</v>
          </cell>
        </row>
        <row r="1488">
          <cell r="A1488">
            <v>7214</v>
          </cell>
          <cell r="B1488" t="str">
            <v xml:space="preserve">CUMEEIRA SHED PARA TELHA ONDULADA DE FIBROCIMENTO, E = 6 MM, ABA 280 MM, COMPRIMENTO 1100 MM (SEM AMIANTO)                                                                                                                                                                                                                                                                                                                                                                                                </v>
          </cell>
          <cell r="C1488" t="str">
            <v xml:space="preserve">UN    </v>
          </cell>
          <cell r="D1488" t="str">
            <v>CR</v>
          </cell>
          <cell r="E1488" t="str">
            <v>59,76</v>
          </cell>
        </row>
        <row r="1489">
          <cell r="A1489">
            <v>7219</v>
          </cell>
          <cell r="B1489" t="str">
            <v xml:space="preserve">CUMEEIRA UNIVERSAL PARA TELHA ONDULADA DE FIBROCIMENTO, E = 6 MM, ABA 210 MM, COMPRIMENTO 1100 MM (SEM AMIANTO)                                                                                                                                                                                                                                                                                                                                                                                           </v>
          </cell>
          <cell r="C1489" t="str">
            <v xml:space="preserve">UN    </v>
          </cell>
          <cell r="D1489" t="str">
            <v>CR</v>
          </cell>
          <cell r="E1489" t="str">
            <v>53,01</v>
          </cell>
        </row>
        <row r="1490">
          <cell r="A1490">
            <v>37971</v>
          </cell>
          <cell r="B1490" t="str">
            <v xml:space="preserve">CURVA CPVC, 90 GRAUS, SOLDAVEL, 15 MM, PARA AGUA QUENTE                                                                                                                                                                                                                                                                                                                                                                                                                                                   </v>
          </cell>
          <cell r="C1490" t="str">
            <v xml:space="preserve">UN    </v>
          </cell>
          <cell r="D1490" t="str">
            <v>CR</v>
          </cell>
          <cell r="E1490" t="str">
            <v>4,13</v>
          </cell>
        </row>
        <row r="1491">
          <cell r="A1491">
            <v>37972</v>
          </cell>
          <cell r="B1491" t="str">
            <v xml:space="preserve">CURVA CPVC, 90 GRAUS, SOLDAVEL, 22 MM, PARA AGUA QUENTE                                                                                                                                                                                                                                                                                                                                                                                                                                                   </v>
          </cell>
          <cell r="C1491" t="str">
            <v xml:space="preserve">UN    </v>
          </cell>
          <cell r="D1491" t="str">
            <v>CR</v>
          </cell>
          <cell r="E1491" t="str">
            <v>5,86</v>
          </cell>
        </row>
        <row r="1492">
          <cell r="A1492">
            <v>37973</v>
          </cell>
          <cell r="B1492" t="str">
            <v xml:space="preserve">CURVA CPVC, 90 GRAUS, SOLDAVEL, 28 MM, PARA AGUA QUENTE                                                                                                                                                                                                                                                                                                                                                                                                                                                   </v>
          </cell>
          <cell r="C1492" t="str">
            <v xml:space="preserve">UN    </v>
          </cell>
          <cell r="D1492" t="str">
            <v>CR</v>
          </cell>
          <cell r="E1492" t="str">
            <v>11,01</v>
          </cell>
        </row>
        <row r="1493">
          <cell r="A1493">
            <v>1926</v>
          </cell>
          <cell r="B1493" t="str">
            <v xml:space="preserve">CURVA DE PVC 45 GRAUS, SOLDAVEL, 20 MM, COR MARROM, PARA AGUA FRIA PREDIAL                                                                                                                                                                                                                                                                                                                                                                                                                                </v>
          </cell>
          <cell r="C1493" t="str">
            <v xml:space="preserve">UN    </v>
          </cell>
          <cell r="D1493" t="str">
            <v>CR</v>
          </cell>
          <cell r="E1493" t="str">
            <v>1,93</v>
          </cell>
        </row>
        <row r="1494">
          <cell r="A1494">
            <v>1927</v>
          </cell>
          <cell r="B1494" t="str">
            <v xml:space="preserve">CURVA DE PVC 45 GRAUS, SOLDAVEL, 25 MM, COR MARROM, PARA AGUA FRIA PREDIAL                                                                                                                                                                                                                                                                                                                                                                                                                                </v>
          </cell>
          <cell r="C1494" t="str">
            <v xml:space="preserve">UN    </v>
          </cell>
          <cell r="D1494" t="str">
            <v>CR</v>
          </cell>
          <cell r="E1494" t="str">
            <v>2,17</v>
          </cell>
        </row>
        <row r="1495">
          <cell r="A1495">
            <v>1923</v>
          </cell>
          <cell r="B1495" t="str">
            <v xml:space="preserve">CURVA DE PVC 45 GRAUS, SOLDAVEL, 32 MM, COR MARROM, PARA AGUA FRIA PREDIAL                                                                                                                                                                                                                                                                                                                                                                                                                                </v>
          </cell>
          <cell r="C1495" t="str">
            <v xml:space="preserve">UN    </v>
          </cell>
          <cell r="D1495" t="str">
            <v>CR</v>
          </cell>
          <cell r="E1495" t="str">
            <v>3,95</v>
          </cell>
        </row>
        <row r="1496">
          <cell r="A1496">
            <v>1929</v>
          </cell>
          <cell r="B1496" t="str">
            <v xml:space="preserve">CURVA DE PVC 45 GRAUS, SOLDAVEL, 40 MM, COR MARROM, PARA AGUA FRIA PREDIAL                                                                                                                                                                                                                                                                                                                                                                                                                                </v>
          </cell>
          <cell r="C1496" t="str">
            <v xml:space="preserve">UN    </v>
          </cell>
          <cell r="D1496" t="str">
            <v>CR</v>
          </cell>
          <cell r="E1496" t="str">
            <v>4,79</v>
          </cell>
        </row>
        <row r="1497">
          <cell r="A1497">
            <v>1930</v>
          </cell>
          <cell r="B1497" t="str">
            <v xml:space="preserve">CURVA DE PVC 45 GRAUS, SOLDAVEL, 50 MM, COR MARROM, PARA AGUA FRIA PREDIAL                                                                                                                                                                                                                                                                                                                                                                                                                                </v>
          </cell>
          <cell r="C1497" t="str">
            <v xml:space="preserve">UN    </v>
          </cell>
          <cell r="D1497" t="str">
            <v>CR</v>
          </cell>
          <cell r="E1497" t="str">
            <v>8,19</v>
          </cell>
        </row>
        <row r="1498">
          <cell r="A1498">
            <v>1924</v>
          </cell>
          <cell r="B1498" t="str">
            <v xml:space="preserve">CURVA DE PVC 45 GRAUS, SOLDAVEL, 60 MM, COR MARROM, PARA AGUA FRIA PREDIAL                                                                                                                                                                                                                                                                                                                                                                                                                                </v>
          </cell>
          <cell r="C1498" t="str">
            <v xml:space="preserve">UN    </v>
          </cell>
          <cell r="D1498" t="str">
            <v>CR</v>
          </cell>
          <cell r="E1498" t="str">
            <v>13,23</v>
          </cell>
        </row>
        <row r="1499">
          <cell r="A1499">
            <v>1922</v>
          </cell>
          <cell r="B1499" t="str">
            <v xml:space="preserve">CURVA DE PVC 45 GRAUS, SOLDAVEL, 75 MM, COR MARROM, PARA AGUA FRIA PREDIAL                                                                                                                                                                                                                                                                                                                                                                                                                                </v>
          </cell>
          <cell r="C1499" t="str">
            <v xml:space="preserve">UN    </v>
          </cell>
          <cell r="D1499" t="str">
            <v>CR</v>
          </cell>
          <cell r="E1499" t="str">
            <v>27,35</v>
          </cell>
        </row>
        <row r="1500">
          <cell r="A1500">
            <v>1953</v>
          </cell>
          <cell r="B1500" t="str">
            <v xml:space="preserve">CURVA DE PVC 45 GRAUS, SOLDAVEL, 85 MM, COR MARROM, PARA AGUA FRIA PREDIAL                                                                                                                                                                                                                                                                                                                                                                                                                                </v>
          </cell>
          <cell r="C1500" t="str">
            <v xml:space="preserve">UN    </v>
          </cell>
          <cell r="D1500" t="str">
            <v>CR</v>
          </cell>
          <cell r="E1500" t="str">
            <v>33,39</v>
          </cell>
        </row>
        <row r="1501">
          <cell r="A1501">
            <v>1962</v>
          </cell>
          <cell r="B1501" t="str">
            <v xml:space="preserve">CURVA DE PVC 90 GRAUS, SOLDAVEL, 110 MM, COR MARROM, PARA AGUA FRIA PREDIAL                                                                                                                                                                                                                                                                                                                                                                                                                               </v>
          </cell>
          <cell r="C1501" t="str">
            <v xml:space="preserve">UN    </v>
          </cell>
          <cell r="D1501" t="str">
            <v>CR</v>
          </cell>
          <cell r="E1501" t="str">
            <v>162,23</v>
          </cell>
        </row>
        <row r="1502">
          <cell r="A1502">
            <v>1955</v>
          </cell>
          <cell r="B1502" t="str">
            <v xml:space="preserve">CURVA DE PVC 90 GRAUS, SOLDAVEL, 20 MM, COR MARROM, PARA AGUA FRIA PREDIAL                                                                                                                                                                                                                                                                                                                                                                                                                                </v>
          </cell>
          <cell r="C1502" t="str">
            <v xml:space="preserve">UN    </v>
          </cell>
          <cell r="D1502" t="str">
            <v>CR</v>
          </cell>
          <cell r="E1502" t="str">
            <v>1,86</v>
          </cell>
        </row>
        <row r="1503">
          <cell r="A1503">
            <v>1956</v>
          </cell>
          <cell r="B1503" t="str">
            <v xml:space="preserve">CURVA DE PVC 90 GRAUS, SOLDAVEL, 25 MM, COR MARROM, PARA AGUA FRIA PREDIAL                                                                                                                                                                                                                                                                                                                                                                                                                                </v>
          </cell>
          <cell r="C1503" t="str">
            <v xml:space="preserve">UN    </v>
          </cell>
          <cell r="D1503" t="str">
            <v>CR</v>
          </cell>
          <cell r="E1503" t="str">
            <v>2,64</v>
          </cell>
        </row>
        <row r="1504">
          <cell r="A1504">
            <v>1957</v>
          </cell>
          <cell r="B1504" t="str">
            <v xml:space="preserve">CURVA DE PVC 90 GRAUS, SOLDAVEL, 32 MM, COR MARROM, PARA AGUA FRIA PREDIAL                                                                                                                                                                                                                                                                                                                                                                                                                                </v>
          </cell>
          <cell r="C1504" t="str">
            <v xml:space="preserve">UN    </v>
          </cell>
          <cell r="D1504" t="str">
            <v>CR</v>
          </cell>
          <cell r="E1504" t="str">
            <v>5,70</v>
          </cell>
        </row>
        <row r="1505">
          <cell r="A1505">
            <v>1958</v>
          </cell>
          <cell r="B1505" t="str">
            <v xml:space="preserve">CURVA DE PVC 90 GRAUS, SOLDAVEL, 40 MM, COR MARROM, PARA AGUA FRIA PREDIAL                                                                                                                                                                                                                                                                                                                                                                                                                                </v>
          </cell>
          <cell r="C1505" t="str">
            <v xml:space="preserve">UN    </v>
          </cell>
          <cell r="D1505" t="str">
            <v>CR</v>
          </cell>
          <cell r="E1505" t="str">
            <v>10,62</v>
          </cell>
        </row>
        <row r="1506">
          <cell r="A1506">
            <v>1959</v>
          </cell>
          <cell r="B1506" t="str">
            <v xml:space="preserve">CURVA DE PVC 90 GRAUS, SOLDAVEL, 50 MM, COR MARROM, PARA AGUA FRIA PREDIAL                                                                                                                                                                                                                                                                                                                                                                                                                                </v>
          </cell>
          <cell r="C1506" t="str">
            <v xml:space="preserve">UN    </v>
          </cell>
          <cell r="D1506" t="str">
            <v>CR</v>
          </cell>
          <cell r="E1506" t="str">
            <v>11,53</v>
          </cell>
        </row>
        <row r="1507">
          <cell r="A1507">
            <v>1925</v>
          </cell>
          <cell r="B1507" t="str">
            <v xml:space="preserve">CURVA DE PVC 90 GRAUS, SOLDAVEL, 60 MM, COR MARROM, PARA AGUA FRIA PREDIAL                                                                                                                                                                                                                                                                                                                                                                                                                                </v>
          </cell>
          <cell r="C1507" t="str">
            <v xml:space="preserve">UN    </v>
          </cell>
          <cell r="D1507" t="str">
            <v>CR</v>
          </cell>
          <cell r="E1507" t="str">
            <v>30,13</v>
          </cell>
        </row>
        <row r="1508">
          <cell r="A1508">
            <v>1960</v>
          </cell>
          <cell r="B1508" t="str">
            <v xml:space="preserve">CURVA DE PVC 90 GRAUS, SOLDAVEL, 75 MM, COR MARROM, PARA AGUA FRIA PREDIAL                                                                                                                                                                                                                                                                                                                                                                                                                                </v>
          </cell>
          <cell r="C1508" t="str">
            <v xml:space="preserve">UN    </v>
          </cell>
          <cell r="D1508" t="str">
            <v>CR</v>
          </cell>
          <cell r="E1508" t="str">
            <v>46,26</v>
          </cell>
        </row>
        <row r="1509">
          <cell r="A1509">
            <v>1961</v>
          </cell>
          <cell r="B1509" t="str">
            <v xml:space="preserve">CURVA DE PVC 90 GRAUS, SOLDAVEL, 85 MM, COR MARROM, PARA AGUA FRIA PREDIAL                                                                                                                                                                                                                                                                                                                                                                                                                                </v>
          </cell>
          <cell r="C1509" t="str">
            <v xml:space="preserve">UN    </v>
          </cell>
          <cell r="D1509" t="str">
            <v>CR</v>
          </cell>
          <cell r="E1509" t="str">
            <v>59,27</v>
          </cell>
        </row>
        <row r="1510">
          <cell r="A1510">
            <v>38423</v>
          </cell>
          <cell r="B1510" t="str">
            <v xml:space="preserve">CURVA DE PVC, 90 GRAUS, SERIE R, DN 100 MM, PARA ESGOTO PREDIAL                                                                                                                                                                                                                                                                                                                                                                                                                                           </v>
          </cell>
          <cell r="C1510" t="str">
            <v xml:space="preserve">UN    </v>
          </cell>
          <cell r="D1510" t="str">
            <v>CR</v>
          </cell>
          <cell r="E1510" t="str">
            <v>34,95</v>
          </cell>
        </row>
        <row r="1511">
          <cell r="A1511">
            <v>39866</v>
          </cell>
          <cell r="B1511" t="str">
            <v xml:space="preserve">CURVA DE TRANSPOSICAO BRONZE/LATAO (REF 736) SEM ANEL DE SOLDA, BOLSA X BOLSA, 15 MM                                                                                                                                                                                                                                                                                                                                                                                                                      </v>
          </cell>
          <cell r="C1511" t="str">
            <v xml:space="preserve">UN    </v>
          </cell>
          <cell r="D1511" t="str">
            <v>CR</v>
          </cell>
          <cell r="E1511" t="str">
            <v>17,35</v>
          </cell>
        </row>
        <row r="1512">
          <cell r="A1512">
            <v>39867</v>
          </cell>
          <cell r="B1512" t="str">
            <v xml:space="preserve">CURVA DE TRANSPOSICAO BRONZE/LATAO (REF 736) SEM ANEL DE SOLDA, BOLSA X BOLSA, 22 MM                                                                                                                                                                                                                                                                                                                                                                                                                      </v>
          </cell>
          <cell r="C1512" t="str">
            <v xml:space="preserve">UN    </v>
          </cell>
          <cell r="D1512" t="str">
            <v>CR</v>
          </cell>
          <cell r="E1512" t="str">
            <v>38,57</v>
          </cell>
        </row>
        <row r="1513">
          <cell r="A1513">
            <v>39868</v>
          </cell>
          <cell r="B1513" t="str">
            <v xml:space="preserve">CURVA DE TRANSPOSICAO BRONZE/LATAO (REF 736) SEM ANEL DE SOLDA, BOLSA X BOLSA, 28 MM                                                                                                                                                                                                                                                                                                                                                                                                                      </v>
          </cell>
          <cell r="C1513" t="str">
            <v xml:space="preserve">UN    </v>
          </cell>
          <cell r="D1513" t="str">
            <v>CR</v>
          </cell>
          <cell r="E1513" t="str">
            <v>69,48</v>
          </cell>
        </row>
        <row r="1514">
          <cell r="A1514">
            <v>37999</v>
          </cell>
          <cell r="B1514" t="str">
            <v xml:space="preserve">CURVA DE TRANSPOSICAO, CPVC, SOLDAVEL, 15 MM                                                                                                                                                                                                                                                                                                                                                                                                                                                              </v>
          </cell>
          <cell r="C1514" t="str">
            <v xml:space="preserve">UN    </v>
          </cell>
          <cell r="D1514" t="str">
            <v>CR</v>
          </cell>
          <cell r="E1514" t="str">
            <v>6,96</v>
          </cell>
        </row>
        <row r="1515">
          <cell r="A1515">
            <v>38000</v>
          </cell>
          <cell r="B1515" t="str">
            <v xml:space="preserve">CURVA DE TRANSPOSICAO, CPVC, SOLDAVEL, 22 MM                                                                                                                                                                                                                                                                                                                                                                                                                                                              </v>
          </cell>
          <cell r="C1515" t="str">
            <v xml:space="preserve">UN    </v>
          </cell>
          <cell r="D1515" t="str">
            <v>CR</v>
          </cell>
          <cell r="E1515" t="str">
            <v>8,13</v>
          </cell>
        </row>
        <row r="1516">
          <cell r="A1516">
            <v>38129</v>
          </cell>
          <cell r="B1516" t="str">
            <v xml:space="preserve">CURVA DE TRANSPOSICAO, PVC SOLDAVEL, 20 MM, COR MARROM, PARA AGUA FRIA PREDIAL                                                                                                                                                                                                                                                                                                                                                                                                                            </v>
          </cell>
          <cell r="C1516" t="str">
            <v xml:space="preserve">UN    </v>
          </cell>
          <cell r="D1516" t="str">
            <v>CR</v>
          </cell>
          <cell r="E1516" t="str">
            <v>4,35</v>
          </cell>
        </row>
        <row r="1517">
          <cell r="A1517">
            <v>38025</v>
          </cell>
          <cell r="B1517" t="str">
            <v xml:space="preserve">CURVA DE TRANSPOSICAO, PVC, SOLDAVEL, 25 MM, COR MARROM, PARA AGUA FRIA PREDIAL                                                                                                                                                                                                                                                                                                                                                                                                                           </v>
          </cell>
          <cell r="C1517" t="str">
            <v xml:space="preserve">UN    </v>
          </cell>
          <cell r="D1517" t="str">
            <v>CR</v>
          </cell>
          <cell r="E1517" t="str">
            <v>5,90</v>
          </cell>
        </row>
        <row r="1518">
          <cell r="A1518">
            <v>38026</v>
          </cell>
          <cell r="B1518" t="str">
            <v xml:space="preserve">CURVA DE TRANSPOSICAO, PVC, SOLDAVEL, 32 MM, COR MARROM, PARA AGUA FRIA PREDIAL                                                                                                                                                                                                                                                                                                                                                                                                                           </v>
          </cell>
          <cell r="C1518" t="str">
            <v xml:space="preserve">UN    </v>
          </cell>
          <cell r="D1518" t="str">
            <v>CR</v>
          </cell>
          <cell r="E1518" t="str">
            <v>14,58</v>
          </cell>
        </row>
        <row r="1519">
          <cell r="A1519">
            <v>1858</v>
          </cell>
          <cell r="B1519" t="str">
            <v xml:space="preserve">CURVA LONGA PVC, PB, JE, 45 GRAUS, DN 100 MM, PARA REDE COLETORA ESGOTO                                                                                                                                                                                                                                                                                                                                                                                                                                   </v>
          </cell>
          <cell r="C1519" t="str">
            <v xml:space="preserve">UN    </v>
          </cell>
          <cell r="D1519" t="str">
            <v>CR</v>
          </cell>
          <cell r="E1519" t="str">
            <v>54,16</v>
          </cell>
        </row>
        <row r="1520">
          <cell r="A1520">
            <v>1844</v>
          </cell>
          <cell r="B1520" t="str">
            <v xml:space="preserve">CURVA LONGA PVC, PB, JE, 45 GRAUS, DN 150 MM, PARA REDE COLETORA ESGOTO                                                                                                                                                                                                                                                                                                                                                                                                                                   </v>
          </cell>
          <cell r="C1520" t="str">
            <v xml:space="preserve">UN    </v>
          </cell>
          <cell r="D1520" t="str">
            <v>CR</v>
          </cell>
          <cell r="E1520" t="str">
            <v>124,04</v>
          </cell>
        </row>
        <row r="1521">
          <cell r="A1521">
            <v>1863</v>
          </cell>
          <cell r="B1521" t="str">
            <v xml:space="preserve">CURVA LONGA PVC, PB, JE, 90 GRAUS, DN 100 MM, PARA REDE COLETORA ESGOTO                                                                                                                                                                                                                                                                                                                                                                                                                                   </v>
          </cell>
          <cell r="C1521" t="str">
            <v xml:space="preserve">UN    </v>
          </cell>
          <cell r="D1521" t="str">
            <v>CR</v>
          </cell>
          <cell r="E1521" t="str">
            <v>57,64</v>
          </cell>
        </row>
        <row r="1522">
          <cell r="A1522">
            <v>1865</v>
          </cell>
          <cell r="B1522" t="str">
            <v xml:space="preserve">CURVA LONGA PVC, PB, JE, 90 GRAUS, DN 150 MM, PARA REDE COLETORA ESGOTO                                                                                                                                                                                                                                                                                                                                                                                                                                   </v>
          </cell>
          <cell r="C1522" t="str">
            <v xml:space="preserve">UN    </v>
          </cell>
          <cell r="D1522" t="str">
            <v>CR</v>
          </cell>
          <cell r="E1522" t="str">
            <v>150,17</v>
          </cell>
        </row>
        <row r="1523">
          <cell r="A1523">
            <v>36355</v>
          </cell>
          <cell r="B1523" t="str">
            <v xml:space="preserve">CURVA PPR 90 GRAUS, F/F, DN 20 MM, PARA AGUA QUENTE PREDIAL                                                                                                                                                                                                                                                                                                                                                                                                                                               </v>
          </cell>
          <cell r="C1523" t="str">
            <v xml:space="preserve">UN    </v>
          </cell>
          <cell r="D1523" t="str">
            <v>CR</v>
          </cell>
          <cell r="E1523" t="str">
            <v>9,46</v>
          </cell>
        </row>
        <row r="1524">
          <cell r="A1524">
            <v>36356</v>
          </cell>
          <cell r="B1524" t="str">
            <v xml:space="preserve">CURVA PPR 90 GRAUS, F/F, DN 25 MM, PARA AGUA QUENTE PREDIAL                                                                                                                                                                                                                                                                                                                                                                                                                                               </v>
          </cell>
          <cell r="C1524" t="str">
            <v xml:space="preserve">UN    </v>
          </cell>
          <cell r="D1524" t="str">
            <v>CR</v>
          </cell>
          <cell r="E1524" t="str">
            <v>15,22</v>
          </cell>
        </row>
        <row r="1525">
          <cell r="A1525">
            <v>1966</v>
          </cell>
          <cell r="B1525" t="str">
            <v xml:space="preserve">CURVA PVC CURTA 90 GRAUS, DN 100 MM, PARA ESGOTO PREDIAL                                                                                                                                                                                                                                                                                                                                                                                                                                                  </v>
          </cell>
          <cell r="C1525" t="str">
            <v xml:space="preserve">UN    </v>
          </cell>
          <cell r="D1525" t="str">
            <v>CR</v>
          </cell>
          <cell r="E1525" t="str">
            <v>22,98</v>
          </cell>
        </row>
        <row r="1526">
          <cell r="A1526">
            <v>1933</v>
          </cell>
          <cell r="B1526" t="str">
            <v xml:space="preserve">CURVA PVC CURTA 90 GRAUS, DN 40 MM, PARA ESGOTO PREDIAL                                                                                                                                                                                                                                                                                                                                                                                                                                                   </v>
          </cell>
          <cell r="C1526" t="str">
            <v xml:space="preserve">UN    </v>
          </cell>
          <cell r="D1526" t="str">
            <v>CR</v>
          </cell>
          <cell r="E1526" t="str">
            <v>4,95</v>
          </cell>
        </row>
        <row r="1527">
          <cell r="A1527">
            <v>1932</v>
          </cell>
          <cell r="B1527" t="str">
            <v xml:space="preserve">CURVA PVC CURTA 90 GRAUS, DN 50 MM, PARA ESGOTO PREDIAL                                                                                                                                                                                                                                                                                                                                                                                                                                                   </v>
          </cell>
          <cell r="C1527" t="str">
            <v xml:space="preserve">UN    </v>
          </cell>
          <cell r="D1527" t="str">
            <v>CR</v>
          </cell>
          <cell r="E1527" t="str">
            <v>11,33</v>
          </cell>
        </row>
        <row r="1528">
          <cell r="A1528">
            <v>1951</v>
          </cell>
          <cell r="B1528" t="str">
            <v xml:space="preserve">CURVA PVC CURTA 90 GRAUS, DN 75 MM, PARA ESGOTO PREDIAL                                                                                                                                                                                                                                                                                                                                                                                                                                                   </v>
          </cell>
          <cell r="C1528" t="str">
            <v xml:space="preserve">UN    </v>
          </cell>
          <cell r="D1528" t="str">
            <v>CR</v>
          </cell>
          <cell r="E1528" t="str">
            <v>23,65</v>
          </cell>
        </row>
        <row r="1529">
          <cell r="A1529">
            <v>1970</v>
          </cell>
          <cell r="B1529" t="str">
            <v xml:space="preserve">CURVA PVC LONGA 90 GRAUS, DN 100 MM, PARA ESGOTO PREDIAL                                                                                                                                                                                                                                                                                                                                                                                                                                                  </v>
          </cell>
          <cell r="C1529" t="str">
            <v xml:space="preserve">UN    </v>
          </cell>
          <cell r="D1529" t="str">
            <v>CR</v>
          </cell>
          <cell r="E1529" t="str">
            <v>57,45</v>
          </cell>
        </row>
        <row r="1530">
          <cell r="A1530">
            <v>1967</v>
          </cell>
          <cell r="B1530" t="str">
            <v xml:space="preserve">CURVA PVC LONGA 90 GRAUS, DN 40 MM, PARA ESGOTO PREDIAL                                                                                                                                                                                                                                                                                                                                                                                                                                                   </v>
          </cell>
          <cell r="C1530" t="str">
            <v xml:space="preserve">UN    </v>
          </cell>
          <cell r="D1530" t="str">
            <v>CR</v>
          </cell>
          <cell r="E1530" t="str">
            <v>6,82</v>
          </cell>
        </row>
        <row r="1531">
          <cell r="A1531">
            <v>1968</v>
          </cell>
          <cell r="B1531" t="str">
            <v xml:space="preserve">CURVA PVC LONGA 90 GRAUS, DN 50 MM, PARA ESGOTO PREDIAL                                                                                                                                                                                                                                                                                                                                                                                                                                                   </v>
          </cell>
          <cell r="C1531" t="str">
            <v xml:space="preserve">UN    </v>
          </cell>
          <cell r="D1531" t="str">
            <v>CR</v>
          </cell>
          <cell r="E1531" t="str">
            <v>13,48</v>
          </cell>
        </row>
        <row r="1532">
          <cell r="A1532">
            <v>1969</v>
          </cell>
          <cell r="B1532" t="str">
            <v xml:space="preserve">CURVA PVC LONGA 90 GRAUS, DN 75 MM, PARA ESGOTO PREDIAL                                                                                                                                                                                                                                                                                                                                                                                                                                                   </v>
          </cell>
          <cell r="C1532" t="str">
            <v xml:space="preserve">UN    </v>
          </cell>
          <cell r="D1532" t="str">
            <v>CR</v>
          </cell>
          <cell r="E1532" t="str">
            <v>43,89</v>
          </cell>
        </row>
        <row r="1533">
          <cell r="A1533">
            <v>1827</v>
          </cell>
          <cell r="B1533" t="str">
            <v xml:space="preserve">CURVA PVC PBA, JE, PB, 45 GRAUS, DN 100 / DE 110 MM, PARA REDE AGUA (NBR 10351)                                                                                                                                                                                                                                                                                                                                                                                                                           </v>
          </cell>
          <cell r="C1533" t="str">
            <v xml:space="preserve">UN    </v>
          </cell>
          <cell r="D1533" t="str">
            <v>CR</v>
          </cell>
          <cell r="E1533" t="str">
            <v>122,91</v>
          </cell>
        </row>
        <row r="1534">
          <cell r="A1534">
            <v>1831</v>
          </cell>
          <cell r="B1534" t="str">
            <v xml:space="preserve">CURVA PVC PBA, JE, PB, 45 GRAUS, DN 50 / DE 60 MM, PARA REDE AGUA (NBR 10351)                                                                                                                                                                                                                                                                                                                                                                                                                             </v>
          </cell>
          <cell r="C1534" t="str">
            <v xml:space="preserve">UN    </v>
          </cell>
          <cell r="D1534" t="str">
            <v>CR</v>
          </cell>
          <cell r="E1534" t="str">
            <v>26,83</v>
          </cell>
        </row>
        <row r="1535">
          <cell r="A1535">
            <v>1825</v>
          </cell>
          <cell r="B1535" t="str">
            <v xml:space="preserve">CURVA PVC PBA, JE, PB, 45 GRAUS, DN 75 / DE 85 MM, PARA REDE AGUA (NBR 10351)                                                                                                                                                                                                                                                                                                                                                                                                                             </v>
          </cell>
          <cell r="C1535" t="str">
            <v xml:space="preserve">UN    </v>
          </cell>
          <cell r="D1535" t="str">
            <v>CR</v>
          </cell>
          <cell r="E1535" t="str">
            <v>66,22</v>
          </cell>
        </row>
        <row r="1536">
          <cell r="A1536">
            <v>1828</v>
          </cell>
          <cell r="B1536" t="str">
            <v xml:space="preserve">CURVA PVC PBA, JE, PB, 90 GRAUS, DN 100 / DE 110 MM, PARA REDE AGUA (NBR 10351)                                                                                                                                                                                                                                                                                                                                                                                                                           </v>
          </cell>
          <cell r="C1536" t="str">
            <v xml:space="preserve">UN    </v>
          </cell>
          <cell r="D1536" t="str">
            <v>CR</v>
          </cell>
          <cell r="E1536" t="str">
            <v>149,99</v>
          </cell>
        </row>
        <row r="1537">
          <cell r="A1537">
            <v>1845</v>
          </cell>
          <cell r="B1537" t="str">
            <v xml:space="preserve">CURVA PVC PBA, JE, PB, 90 GRAUS, DN 50 / DE 60 MM, PARA REDE AGUA (NBR 10351)                                                                                                                                                                                                                                                                                                                                                                                                                             </v>
          </cell>
          <cell r="C1537" t="str">
            <v xml:space="preserve">UN    </v>
          </cell>
          <cell r="D1537" t="str">
            <v>CR</v>
          </cell>
          <cell r="E1537" t="str">
            <v>33,62</v>
          </cell>
        </row>
        <row r="1538">
          <cell r="A1538">
            <v>1824</v>
          </cell>
          <cell r="B1538" t="str">
            <v xml:space="preserve">CURVA PVC PBA, JE, PB, 90 GRAUS, DN 75 / DE 85 MM, PARA REDE AGUA (NBR 10351)                                                                                                                                                                                                                                                                                                                                                                                                                             </v>
          </cell>
          <cell r="C1538" t="str">
            <v xml:space="preserve">UN    </v>
          </cell>
          <cell r="D1538" t="str">
            <v>CR</v>
          </cell>
          <cell r="E1538" t="str">
            <v>79,38</v>
          </cell>
        </row>
        <row r="1539">
          <cell r="A1539">
            <v>1940</v>
          </cell>
          <cell r="B1539" t="str">
            <v xml:space="preserve">CURVA PVC 90 GRAUS, ROSCAVEL, 1 1/4", COR BRANCA, AGUA FRIA PREDIAL                                                                                                                                                                                                                                                                                                                                                                                                                                       </v>
          </cell>
          <cell r="C1539" t="str">
            <v xml:space="preserve">UN    </v>
          </cell>
          <cell r="D1539" t="str">
            <v>CR</v>
          </cell>
          <cell r="E1539" t="str">
            <v>29,44</v>
          </cell>
        </row>
        <row r="1540">
          <cell r="A1540">
            <v>1937</v>
          </cell>
          <cell r="B1540" t="str">
            <v xml:space="preserve">CURVA PVC 90 GRAUS, ROSCAVEL, 1/2", COR BRANCA, AGUA FRIA PREDIAL                                                                                                                                                                                                                                                                                                                                                                                                                                         </v>
          </cell>
          <cell r="C1540" t="str">
            <v xml:space="preserve">UN    </v>
          </cell>
          <cell r="D1540" t="str">
            <v>CR</v>
          </cell>
          <cell r="E1540" t="str">
            <v>4,97</v>
          </cell>
        </row>
        <row r="1541">
          <cell r="A1541">
            <v>1939</v>
          </cell>
          <cell r="B1541" t="str">
            <v xml:space="preserve">CURVA PVC 90 GRAUS, ROSCAVEL, 1", COR BRANCA, AGUA FRIA PREDIAL                                                                                                                                                                                                                                                                                                                                                                                                                                           </v>
          </cell>
          <cell r="C1541" t="str">
            <v xml:space="preserve">UN    </v>
          </cell>
          <cell r="D1541" t="str">
            <v>CR</v>
          </cell>
          <cell r="E1541" t="str">
            <v>8,07</v>
          </cell>
        </row>
        <row r="1542">
          <cell r="A1542">
            <v>1938</v>
          </cell>
          <cell r="B1542" t="str">
            <v xml:space="preserve">CURVA PVC 90 GRAUS, ROSCAVEL, 3/4", COR BRANCA, AGUA FRIA PREDIAL                                                                                                                                                                                                                                                                                                                                                                                                                                         </v>
          </cell>
          <cell r="C1542" t="str">
            <v xml:space="preserve">UN    </v>
          </cell>
          <cell r="D1542" t="str">
            <v>CR</v>
          </cell>
          <cell r="E1542" t="str">
            <v>5,65</v>
          </cell>
        </row>
        <row r="1543">
          <cell r="A1543">
            <v>42693</v>
          </cell>
          <cell r="B1543" t="str">
            <v xml:space="preserve">CURVA PVC, BB, JE, 45 GRAUS, DN 250 MM, PARA TUBO CORRUGADO E/OU LISO, REDE COLETORA ESGOTO                                                                                                                                                                                                                                                                                                                                                                                                               </v>
          </cell>
          <cell r="C1543" t="str">
            <v xml:space="preserve">UN    </v>
          </cell>
          <cell r="D1543" t="str">
            <v>CR</v>
          </cell>
          <cell r="E1543" t="str">
            <v>421,87</v>
          </cell>
        </row>
        <row r="1544">
          <cell r="A1544">
            <v>42695</v>
          </cell>
          <cell r="B1544" t="str">
            <v xml:space="preserve">CURVA PVC, BB, JE, 90 GRAUS, DN 200 MM, PARA TUBO CORRUGADO E/OU LISO, REDE COLETORA ESGOTO                                                                                                                                                                                                                                                                                                                                                                                                               </v>
          </cell>
          <cell r="C1544" t="str">
            <v xml:space="preserve">UN    </v>
          </cell>
          <cell r="D1544" t="str">
            <v>CR</v>
          </cell>
          <cell r="E1544" t="str">
            <v>294,74</v>
          </cell>
        </row>
        <row r="1545">
          <cell r="A1545">
            <v>42694</v>
          </cell>
          <cell r="B1545" t="str">
            <v xml:space="preserve">CURVA PVC, BB, JE, 90 GRAUS, DN 250 MM, PARA TUBO CORRUGADO E/OU LISO, REDE COLETORA ESGOTO                                                                                                                                                                                                                                                                                                                                                                                                               </v>
          </cell>
          <cell r="C1545" t="str">
            <v xml:space="preserve">UN    </v>
          </cell>
          <cell r="D1545" t="str">
            <v>CR</v>
          </cell>
          <cell r="E1545" t="str">
            <v>564,55</v>
          </cell>
        </row>
        <row r="1546">
          <cell r="A1546">
            <v>20097</v>
          </cell>
          <cell r="B1546" t="str">
            <v xml:space="preserve">CURVA PVC, SERIE R, 87.30 GRAUS, CURTA, PARA PE-DE-COLUNA, DN 100 MM, PARA ESGOTO PREDIAL                                                                                                                                                                                                                                                                                                                                                                                                                 </v>
          </cell>
          <cell r="C1546" t="str">
            <v xml:space="preserve">UN    </v>
          </cell>
          <cell r="D1546" t="str">
            <v>CR</v>
          </cell>
          <cell r="E1546" t="str">
            <v>24,48</v>
          </cell>
        </row>
        <row r="1547">
          <cell r="A1547">
            <v>20098</v>
          </cell>
          <cell r="B1547" t="str">
            <v xml:space="preserve">CURVA PVC, SERIE R, 87.30 GRAUS, CURTA, PARA PE-DE-COLUNA, DN 150 MM, PARA ESGOTO PREDIAL                                                                                                                                                                                                                                                                                                                                                                                                                 </v>
          </cell>
          <cell r="C1547" t="str">
            <v xml:space="preserve">UN    </v>
          </cell>
          <cell r="D1547" t="str">
            <v>CR</v>
          </cell>
          <cell r="E1547" t="str">
            <v>100,04</v>
          </cell>
        </row>
        <row r="1548">
          <cell r="A1548">
            <v>20096</v>
          </cell>
          <cell r="B1548" t="str">
            <v xml:space="preserve">CURVA PVC, SERIE R, 87.30 GRAUS, CURTA, PARA PE-DE-COLUNA, DN 75 MM, PARA ESGOTO PREDIAL                                                                                                                                                                                                                                                                                                                                                                                                                  </v>
          </cell>
          <cell r="C1548" t="str">
            <v xml:space="preserve">UN    </v>
          </cell>
          <cell r="D1548" t="str">
            <v>CR</v>
          </cell>
          <cell r="E1548" t="str">
            <v>25,34</v>
          </cell>
        </row>
        <row r="1549">
          <cell r="A1549">
            <v>1880</v>
          </cell>
          <cell r="B1549" t="str">
            <v xml:space="preserve">CURVA 135 GRAUS, DE PVC RIGIDO ROSCAVEL, DE 1", PARA ELETRODUTO                                                                                                                                                                                                                                                                                                                                                                                                                                           </v>
          </cell>
          <cell r="C1549" t="str">
            <v xml:space="preserve">UN    </v>
          </cell>
          <cell r="D1549" t="str">
            <v>CR</v>
          </cell>
          <cell r="E1549" t="str">
            <v>3,11</v>
          </cell>
        </row>
        <row r="1550">
          <cell r="A1550">
            <v>39274</v>
          </cell>
          <cell r="B1550" t="str">
            <v xml:space="preserve">CURVA 135 GRAUS, DE PVC RIGIDO ROSCAVEL, DE 3/4", PARA ELETRODUTO                                                                                                                                                                                                                                                                                                                                                                                                                                         </v>
          </cell>
          <cell r="C1550" t="str">
            <v xml:space="preserve">UN    </v>
          </cell>
          <cell r="D1550" t="str">
            <v>CR</v>
          </cell>
          <cell r="E1550" t="str">
            <v>2,41</v>
          </cell>
        </row>
        <row r="1551">
          <cell r="A1551">
            <v>2628</v>
          </cell>
          <cell r="B1551" t="str">
            <v xml:space="preserve">CURVA 135 GRAUS, PARA ELETRODUTO, EM ACO GALVANIZADO ELETROLITICO, DIAMETRO DE 100 MM (4")                                                                                                                                                                                                                                                                                                                                                                                                                </v>
          </cell>
          <cell r="C1551" t="str">
            <v xml:space="preserve">UN    </v>
          </cell>
          <cell r="D1551" t="str">
            <v>CR</v>
          </cell>
          <cell r="E1551" t="str">
            <v>208,91</v>
          </cell>
        </row>
        <row r="1552">
          <cell r="A1552">
            <v>2622</v>
          </cell>
          <cell r="B1552" t="str">
            <v xml:space="preserve">CURVA 135 GRAUS, PARA ELETRODUTO, EM ACO GALVANIZADO ELETROLITICO, DIAMETRO DE 15 MM (1/2")                                                                                                                                                                                                                                                                                                                                                                                                               </v>
          </cell>
          <cell r="C1552" t="str">
            <v xml:space="preserve">UN    </v>
          </cell>
          <cell r="D1552" t="str">
            <v>CR</v>
          </cell>
          <cell r="E1552" t="str">
            <v>4,96</v>
          </cell>
        </row>
        <row r="1553">
          <cell r="A1553">
            <v>2623</v>
          </cell>
          <cell r="B1553" t="str">
            <v xml:space="preserve">CURVA 135 GRAUS, PARA ELETRODUTO, EM ACO GALVANIZADO ELETROLITICO, DIAMETRO DE 20 MM (3/4")                                                                                                                                                                                                                                                                                                                                                                                                               </v>
          </cell>
          <cell r="C1553" t="str">
            <v xml:space="preserve">UN    </v>
          </cell>
          <cell r="D1553" t="str">
            <v>CR</v>
          </cell>
          <cell r="E1553" t="str">
            <v>5,97</v>
          </cell>
        </row>
        <row r="1554">
          <cell r="A1554">
            <v>2624</v>
          </cell>
          <cell r="B1554" t="str">
            <v xml:space="preserve">CURVA 135 GRAUS, PARA ELETRODUTO, EM ACO GALVANIZADO ELETROLITICO, DIAMETRO DE 25 MM (1")                                                                                                                                                                                                                                                                                                                                                                                                                 </v>
          </cell>
          <cell r="C1554" t="str">
            <v xml:space="preserve">UN    </v>
          </cell>
          <cell r="D1554" t="str">
            <v>CR</v>
          </cell>
          <cell r="E1554" t="str">
            <v>9,49</v>
          </cell>
        </row>
        <row r="1555">
          <cell r="A1555">
            <v>2625</v>
          </cell>
          <cell r="B1555" t="str">
            <v xml:space="preserve">CURVA 135 GRAUS, PARA ELETRODUTO, EM ACO GALVANIZADO ELETROLITICO, DIAMETRO DE 32 MM (1 1/4")                                                                                                                                                                                                                                                                                                                                                                                                             </v>
          </cell>
          <cell r="C1555" t="str">
            <v xml:space="preserve">UN    </v>
          </cell>
          <cell r="D1555" t="str">
            <v>CR</v>
          </cell>
          <cell r="E1555" t="str">
            <v>20,04</v>
          </cell>
        </row>
        <row r="1556">
          <cell r="A1556">
            <v>2626</v>
          </cell>
          <cell r="B1556" t="str">
            <v xml:space="preserve">CURVA 135 GRAUS, PARA ELETRODUTO, EM ACO GALVANIZADO ELETROLITICO, DIAMETRO DE 40 MM (1 1/2")                                                                                                                                                                                                                                                                                                                                                                                                             </v>
          </cell>
          <cell r="C1556" t="str">
            <v xml:space="preserve">UN    </v>
          </cell>
          <cell r="D1556" t="str">
            <v>CR</v>
          </cell>
          <cell r="E1556" t="str">
            <v>29,37</v>
          </cell>
        </row>
        <row r="1557">
          <cell r="A1557">
            <v>2630</v>
          </cell>
          <cell r="B1557" t="str">
            <v xml:space="preserve">CURVA 135 GRAUS, PARA ELETRODUTO, EM ACO GALVANIZADO ELETROLITICO, DIAMETRO DE 50 MM (2")                                                                                                                                                                                                                                                                                                                                                                                                                 </v>
          </cell>
          <cell r="C1557" t="str">
            <v xml:space="preserve">UN    </v>
          </cell>
          <cell r="D1557" t="str">
            <v>CR</v>
          </cell>
          <cell r="E1557" t="str">
            <v>44,67</v>
          </cell>
        </row>
        <row r="1558">
          <cell r="A1558">
            <v>2627</v>
          </cell>
          <cell r="B1558" t="str">
            <v xml:space="preserve">CURVA 135 GRAUS, PARA ELETRODUTO, EM ACO GALVANIZADO ELETROLITICO, DIAMETRO DE 65 MM (2 1/2")                                                                                                                                                                                                                                                                                                                                                                                                             </v>
          </cell>
          <cell r="C1558" t="str">
            <v xml:space="preserve">UN    </v>
          </cell>
          <cell r="D1558" t="str">
            <v>CR</v>
          </cell>
          <cell r="E1558" t="str">
            <v>78,69</v>
          </cell>
        </row>
        <row r="1559">
          <cell r="A1559">
            <v>2629</v>
          </cell>
          <cell r="B1559" t="str">
            <v xml:space="preserve">CURVA 135 GRAUS, PARA ELETRODUTO, EM ACO GALVANIZADO ELETROLITICO, DIAMETRO DE 80 MM (3")                                                                                                                                                                                                                                                                                                                                                                                                                 </v>
          </cell>
          <cell r="C1559" t="str">
            <v xml:space="preserve">UN    </v>
          </cell>
          <cell r="D1559" t="str">
            <v>CR</v>
          </cell>
          <cell r="E1559" t="str">
            <v>106,43</v>
          </cell>
        </row>
        <row r="1560">
          <cell r="A1560">
            <v>12033</v>
          </cell>
          <cell r="B1560" t="str">
            <v xml:space="preserve">CURVA 180 GRAUS, DE PVC RIGIDO ROSCAVEL, DE 1 1/2", PARA ELETRODUTO                                                                                                                                                                                                                                                                                                                                                                                                                                       </v>
          </cell>
          <cell r="C1560" t="str">
            <v xml:space="preserve">UN    </v>
          </cell>
          <cell r="D1560" t="str">
            <v>CR</v>
          </cell>
          <cell r="E1560" t="str">
            <v>9,93</v>
          </cell>
        </row>
        <row r="1561">
          <cell r="A1561">
            <v>40408</v>
          </cell>
          <cell r="B1561" t="str">
            <v xml:space="preserve">CURVA 180 GRAUS, DE PVC RIGIDO ROSCAVEL, DE 1 1/4", PARA ELETRODUTO                                                                                                                                                                                                                                                                                                                                                                                                                                       </v>
          </cell>
          <cell r="C1561" t="str">
            <v xml:space="preserve">UN    </v>
          </cell>
          <cell r="D1561" t="str">
            <v>CR</v>
          </cell>
          <cell r="E1561" t="str">
            <v>6,53</v>
          </cell>
        </row>
        <row r="1562">
          <cell r="A1562">
            <v>40409</v>
          </cell>
          <cell r="B1562" t="str">
            <v xml:space="preserve">CURVA 180 GRAUS, DE PVC RIGIDO ROSCAVEL, DE 1/2", PARA ELETRODUTO                                                                                                                                                                                                                                                                                                                                                                                                                                         </v>
          </cell>
          <cell r="C1562" t="str">
            <v xml:space="preserve">UN    </v>
          </cell>
          <cell r="D1562" t="str">
            <v>CR</v>
          </cell>
          <cell r="E1562" t="str">
            <v>2,31</v>
          </cell>
        </row>
        <row r="1563">
          <cell r="A1563">
            <v>39276</v>
          </cell>
          <cell r="B1563" t="str">
            <v xml:space="preserve">CURVA 180 GRAUS, DE PVC RIGIDO ROSCAVEL, DE 1", PARA ELETRODUTO                                                                                                                                                                                                                                                                                                                                                                                                                                           </v>
          </cell>
          <cell r="C1563" t="str">
            <v xml:space="preserve">UN    </v>
          </cell>
          <cell r="D1563" t="str">
            <v>CR</v>
          </cell>
          <cell r="E1563" t="str">
            <v>5,88</v>
          </cell>
        </row>
        <row r="1564">
          <cell r="A1564">
            <v>39277</v>
          </cell>
          <cell r="B1564" t="str">
            <v xml:space="preserve">CURVA 180 GRAUS, DE PVC RIGIDO ROSCAVEL, DE 2", PARA ELETRODUTO                                                                                                                                                                                                                                                                                                                                                                                                                                           </v>
          </cell>
          <cell r="C1564" t="str">
            <v xml:space="preserve">UN    </v>
          </cell>
          <cell r="D1564" t="str">
            <v>CR</v>
          </cell>
          <cell r="E1564" t="str">
            <v>15,88</v>
          </cell>
        </row>
        <row r="1565">
          <cell r="A1565">
            <v>12034</v>
          </cell>
          <cell r="B1565" t="str">
            <v xml:space="preserve">CURVA 180 GRAUS, DE PVC RIGIDO ROSCAVEL, DE 3/4", PARA ELETRODUTO                                                                                                                                                                                                                                                                                                                                                                                                                                         </v>
          </cell>
          <cell r="C1565" t="str">
            <v xml:space="preserve">UN    </v>
          </cell>
          <cell r="D1565" t="str">
            <v>CR</v>
          </cell>
          <cell r="E1565" t="str">
            <v>4,50</v>
          </cell>
        </row>
        <row r="1566">
          <cell r="A1566">
            <v>39879</v>
          </cell>
          <cell r="B1566" t="str">
            <v xml:space="preserve">CURVA 45 GRAUS DE COBRE (REF 606) SEM ANEL DE SOLDA, BOLSA X BOLSA, 15 MM                                                                                                                                                                                                                                                                                                                                                                                                                                 </v>
          </cell>
          <cell r="C1566" t="str">
            <v xml:space="preserve">UN    </v>
          </cell>
          <cell r="D1566" t="str">
            <v>CR</v>
          </cell>
          <cell r="E1566" t="str">
            <v>4,87</v>
          </cell>
        </row>
        <row r="1567">
          <cell r="A1567">
            <v>39880</v>
          </cell>
          <cell r="B1567" t="str">
            <v xml:space="preserve">CURVA 45 GRAUS DE COBRE (REF 606) SEM ANEL DE SOLDA, BOLSA X BOLSA, 22 MM                                                                                                                                                                                                                                                                                                                                                                                                                                 </v>
          </cell>
          <cell r="C1567" t="str">
            <v xml:space="preserve">UN    </v>
          </cell>
          <cell r="D1567" t="str">
            <v>CR</v>
          </cell>
          <cell r="E1567" t="str">
            <v>10,80</v>
          </cell>
        </row>
        <row r="1568">
          <cell r="A1568">
            <v>39881</v>
          </cell>
          <cell r="B1568" t="str">
            <v xml:space="preserve">CURVA 45 GRAUS DE COBRE (REF 606) SEM ANEL DE SOLDA, BOLSA X BOLSA, 28 MM                                                                                                                                                                                                                                                                                                                                                                                                                                 </v>
          </cell>
          <cell r="C1568" t="str">
            <v xml:space="preserve">UN    </v>
          </cell>
          <cell r="D1568" t="str">
            <v>CR</v>
          </cell>
          <cell r="E1568" t="str">
            <v>17,33</v>
          </cell>
        </row>
        <row r="1569">
          <cell r="A1569">
            <v>39882</v>
          </cell>
          <cell r="B1569" t="str">
            <v xml:space="preserve">CURVA 45 GRAUS DE COBRE (REF 606) SEM ANEL DE SOLDA, BOLSA X BOLSA, 35 MM                                                                                                                                                                                                                                                                                                                                                                                                                                 </v>
          </cell>
          <cell r="C1569" t="str">
            <v xml:space="preserve">UN    </v>
          </cell>
          <cell r="D1569" t="str">
            <v>CR</v>
          </cell>
          <cell r="E1569" t="str">
            <v>45,66</v>
          </cell>
        </row>
        <row r="1570">
          <cell r="A1570">
            <v>39883</v>
          </cell>
          <cell r="B1570" t="str">
            <v xml:space="preserve">CURVA 45 GRAUS DE COBRE (REF 606) SEM ANEL DE SOLDA, BOLSA X BOLSA, 42 MM                                                                                                                                                                                                                                                                                                                                                                                                                                 </v>
          </cell>
          <cell r="C1570" t="str">
            <v xml:space="preserve">UN    </v>
          </cell>
          <cell r="D1570" t="str">
            <v>CR</v>
          </cell>
          <cell r="E1570" t="str">
            <v>72,90</v>
          </cell>
        </row>
        <row r="1571">
          <cell r="A1571">
            <v>39884</v>
          </cell>
          <cell r="B1571" t="str">
            <v xml:space="preserve">CURVA 45 GRAUS DE COBRE (REF 606) SEM ANEL DE SOLDA, BOLSA X BOLSA, 54 MM                                                                                                                                                                                                                                                                                                                                                                                                                                 </v>
          </cell>
          <cell r="C1571" t="str">
            <v xml:space="preserve">UN    </v>
          </cell>
          <cell r="D1571" t="str">
            <v>CR</v>
          </cell>
          <cell r="E1571" t="str">
            <v>108,29</v>
          </cell>
        </row>
        <row r="1572">
          <cell r="A1572">
            <v>39885</v>
          </cell>
          <cell r="B1572" t="str">
            <v xml:space="preserve">CURVA 45 GRAUS DE COBRE (REF 606) SEM ANEL DE SOLDA, BOLSA X BOLSA, 66 MM                                                                                                                                                                                                                                                                                                                                                                                                                                 </v>
          </cell>
          <cell r="C1572" t="str">
            <v xml:space="preserve">UN    </v>
          </cell>
          <cell r="D1572" t="str">
            <v>CR</v>
          </cell>
          <cell r="E1572" t="str">
            <v>257,36</v>
          </cell>
        </row>
        <row r="1573">
          <cell r="A1573">
            <v>1777</v>
          </cell>
          <cell r="B1573" t="str">
            <v xml:space="preserve">CURVA 45 GRAUS DE FERRO GALVANIZADO, COM ROSCA BSP FEMEA, DE 1 1/2"                                                                                                                                                                                                                                                                                                                                                                                                                                       </v>
          </cell>
          <cell r="C1573" t="str">
            <v xml:space="preserve">UN    </v>
          </cell>
          <cell r="D1573" t="str">
            <v>CR</v>
          </cell>
          <cell r="E1573" t="str">
            <v>92,31</v>
          </cell>
        </row>
        <row r="1574">
          <cell r="A1574">
            <v>1819</v>
          </cell>
          <cell r="B1574" t="str">
            <v xml:space="preserve">CURVA 45 GRAUS DE FERRO GALVANIZADO, COM ROSCA BSP FEMEA, DE 1 1/4"                                                                                                                                                                                                                                                                                                                                                                                                                                       </v>
          </cell>
          <cell r="C1574" t="str">
            <v xml:space="preserve">UN    </v>
          </cell>
          <cell r="D1574" t="str">
            <v>CR</v>
          </cell>
          <cell r="E1574" t="str">
            <v>67,16</v>
          </cell>
        </row>
        <row r="1575">
          <cell r="A1575">
            <v>1775</v>
          </cell>
          <cell r="B1575" t="str">
            <v xml:space="preserve">CURVA 45 GRAUS DE FERRO GALVANIZADO, COM ROSCA BSP FEMEA, DE 1/2"                                                                                                                                                                                                                                                                                                                                                                                                                                         </v>
          </cell>
          <cell r="C1575" t="str">
            <v xml:space="preserve">UN    </v>
          </cell>
          <cell r="D1575" t="str">
            <v>CR</v>
          </cell>
          <cell r="E1575" t="str">
            <v>20,08</v>
          </cell>
        </row>
        <row r="1576">
          <cell r="A1576">
            <v>1776</v>
          </cell>
          <cell r="B1576" t="str">
            <v xml:space="preserve">CURVA 45 GRAUS DE FERRO GALVANIZADO, COM ROSCA BSP FEMEA, DE 1"                                                                                                                                                                                                                                                                                                                                                                                                                                           </v>
          </cell>
          <cell r="C1576" t="str">
            <v xml:space="preserve">UN    </v>
          </cell>
          <cell r="D1576" t="str">
            <v>CR</v>
          </cell>
          <cell r="E1576" t="str">
            <v>54,64</v>
          </cell>
        </row>
        <row r="1577">
          <cell r="A1577">
            <v>1778</v>
          </cell>
          <cell r="B1577" t="str">
            <v xml:space="preserve">CURVA 45 GRAUS DE FERRO GALVANIZADO, COM ROSCA BSP FEMEA, DE 2 1/2"                                                                                                                                                                                                                                                                                                                                                                                                                                       </v>
          </cell>
          <cell r="C1577" t="str">
            <v xml:space="preserve">UN    </v>
          </cell>
          <cell r="D1577" t="str">
            <v>CR</v>
          </cell>
          <cell r="E1577" t="str">
            <v>223,44</v>
          </cell>
        </row>
        <row r="1578">
          <cell r="A1578">
            <v>1818</v>
          </cell>
          <cell r="B1578" t="str">
            <v xml:space="preserve">CURVA 45 GRAUS DE FERRO GALVANIZADO, COM ROSCA BSP FEMEA, DE 2"                                                                                                                                                                                                                                                                                                                                                                                                                                           </v>
          </cell>
          <cell r="C1578" t="str">
            <v xml:space="preserve">UN    </v>
          </cell>
          <cell r="D1578" t="str">
            <v>CR</v>
          </cell>
          <cell r="E1578" t="str">
            <v>148,32</v>
          </cell>
        </row>
        <row r="1579">
          <cell r="A1579">
            <v>1820</v>
          </cell>
          <cell r="B1579" t="str">
            <v xml:space="preserve">CURVA 45 GRAUS DE FERRO GALVANIZADO, COM ROSCA BSP FEMEA, DE 3/4"                                                                                                                                                                                                                                                                                                                                                                                                                                         </v>
          </cell>
          <cell r="C1579" t="str">
            <v xml:space="preserve">UN    </v>
          </cell>
          <cell r="D1579" t="str">
            <v>CR</v>
          </cell>
          <cell r="E1579" t="str">
            <v>29,00</v>
          </cell>
        </row>
        <row r="1580">
          <cell r="A1580">
            <v>1779</v>
          </cell>
          <cell r="B1580" t="str">
            <v xml:space="preserve">CURVA 45 GRAUS DE FERRO GALVANIZADO, COM ROSCA BSP FEMEA, DE 3"                                                                                                                                                                                                                                                                                                                                                                                                                                           </v>
          </cell>
          <cell r="C1580" t="str">
            <v xml:space="preserve">UN    </v>
          </cell>
          <cell r="D1580" t="str">
            <v>CR</v>
          </cell>
          <cell r="E1580" t="str">
            <v>324,96</v>
          </cell>
        </row>
        <row r="1581">
          <cell r="A1581">
            <v>1780</v>
          </cell>
          <cell r="B1581" t="str">
            <v xml:space="preserve">CURVA 45 GRAUS DE FERRO GALVANIZADO, COM ROSCA BSP FEMEA, DE 4"                                                                                                                                                                                                                                                                                                                                                                                                                                           </v>
          </cell>
          <cell r="C1581" t="str">
            <v xml:space="preserve">UN    </v>
          </cell>
          <cell r="D1581" t="str">
            <v>CR</v>
          </cell>
          <cell r="E1581" t="str">
            <v>669,91</v>
          </cell>
        </row>
        <row r="1582">
          <cell r="A1582">
            <v>1783</v>
          </cell>
          <cell r="B1582" t="str">
            <v xml:space="preserve">CURVA 45 GRAUS DE FERRO GALVANIZADO, COM ROSCA BSP MACHO/FEMEA, DE 1 1/2"                                                                                                                                                                                                                                                                                                                                                                                                                                 </v>
          </cell>
          <cell r="C1582" t="str">
            <v xml:space="preserve">UN    </v>
          </cell>
          <cell r="D1582" t="str">
            <v>CR</v>
          </cell>
          <cell r="E1582" t="str">
            <v>70,83</v>
          </cell>
        </row>
        <row r="1583">
          <cell r="A1583">
            <v>1782</v>
          </cell>
          <cell r="B1583" t="str">
            <v xml:space="preserve">CURVA 45 GRAUS DE FERRO GALVANIZADO, COM ROSCA BSP MACHO/FEMEA, DE 1 1/4"                                                                                                                                                                                                                                                                                                                                                                                                                                 </v>
          </cell>
          <cell r="C1583" t="str">
            <v xml:space="preserve">UN    </v>
          </cell>
          <cell r="D1583" t="str">
            <v>CR</v>
          </cell>
          <cell r="E1583" t="str">
            <v>56,00</v>
          </cell>
        </row>
        <row r="1584">
          <cell r="A1584">
            <v>1817</v>
          </cell>
          <cell r="B1584" t="str">
            <v xml:space="preserve">CURVA 45 GRAUS DE FERRO GALVANIZADO, COM ROSCA BSP MACHO/FEMEA, DE 1/2"                                                                                                                                                                                                                                                                                                                                                                                                                                   </v>
          </cell>
          <cell r="C1584" t="str">
            <v xml:space="preserve">UN    </v>
          </cell>
          <cell r="D1584" t="str">
            <v>CR</v>
          </cell>
          <cell r="E1584" t="str">
            <v>16,69</v>
          </cell>
        </row>
        <row r="1585">
          <cell r="A1585">
            <v>1781</v>
          </cell>
          <cell r="B1585" t="str">
            <v xml:space="preserve">CURVA 45 GRAUS DE FERRO GALVANIZADO, COM ROSCA BSP MACHO/FEMEA, DE 1"                                                                                                                                                                                                                                                                                                                                                                                                                                     </v>
          </cell>
          <cell r="C1585" t="str">
            <v xml:space="preserve">UN    </v>
          </cell>
          <cell r="D1585" t="str">
            <v>CR</v>
          </cell>
          <cell r="E1585" t="str">
            <v>36,49</v>
          </cell>
        </row>
        <row r="1586">
          <cell r="A1586">
            <v>1784</v>
          </cell>
          <cell r="B1586" t="str">
            <v xml:space="preserve">CURVA 45 GRAUS DE FERRO GALVANIZADO, COM ROSCA BSP MACHO/FEMEA, DE 2 1/2"                                                                                                                                                                                                                                                                                                                                                                                                                                 </v>
          </cell>
          <cell r="C1586" t="str">
            <v xml:space="preserve">UN    </v>
          </cell>
          <cell r="D1586" t="str">
            <v>CR</v>
          </cell>
          <cell r="E1586" t="str">
            <v>200,01</v>
          </cell>
        </row>
        <row r="1587">
          <cell r="A1587">
            <v>1810</v>
          </cell>
          <cell r="B1587" t="str">
            <v xml:space="preserve">CURVA 45 GRAUS DE FERRO GALVANIZADO, COM ROSCA BSP MACHO/FEMEA, DE 2"                                                                                                                                                                                                                                                                                                                                                                                                                                     </v>
          </cell>
          <cell r="C1587" t="str">
            <v xml:space="preserve">UN    </v>
          </cell>
          <cell r="D1587" t="str">
            <v>CR</v>
          </cell>
          <cell r="E1587" t="str">
            <v>110,94</v>
          </cell>
        </row>
        <row r="1588">
          <cell r="A1588">
            <v>1811</v>
          </cell>
          <cell r="B1588" t="str">
            <v xml:space="preserve">CURVA 45 GRAUS DE FERRO GALVANIZADO, COM ROSCA BSP MACHO/FEMEA, DE 3/4"                                                                                                                                                                                                                                                                                                                                                                                                                                   </v>
          </cell>
          <cell r="C1588" t="str">
            <v xml:space="preserve">UN    </v>
          </cell>
          <cell r="D1588" t="str">
            <v>CR</v>
          </cell>
          <cell r="E1588" t="str">
            <v>24,00</v>
          </cell>
        </row>
        <row r="1589">
          <cell r="A1589">
            <v>1812</v>
          </cell>
          <cell r="B1589" t="str">
            <v xml:space="preserve">CURVA 45 GRAUS DE FERRO GALVANIZADO, COM ROSCA BSP MACHO/FEMEA, DE 3"                                                                                                                                                                                                                                                                                                                                                                                                                                     </v>
          </cell>
          <cell r="C1589" t="str">
            <v xml:space="preserve">UN    </v>
          </cell>
          <cell r="D1589" t="str">
            <v>CR</v>
          </cell>
          <cell r="E1589" t="str">
            <v>280,05</v>
          </cell>
        </row>
        <row r="1590">
          <cell r="A1590">
            <v>40386</v>
          </cell>
          <cell r="B1590" t="str">
            <v xml:space="preserve">CURVA 45 GRAUS EM ACO CARBONO, SOLDAVEL, PRESSAO 3.000 LBS, DN 1 1/2"                                                                                                                                                                                                                                                                                                                                                                                                                                     </v>
          </cell>
          <cell r="C1590" t="str">
            <v xml:space="preserve">UN    </v>
          </cell>
          <cell r="D1590" t="str">
            <v>CR</v>
          </cell>
          <cell r="E1590" t="str">
            <v>89,73</v>
          </cell>
        </row>
        <row r="1591">
          <cell r="A1591">
            <v>40384</v>
          </cell>
          <cell r="B1591" t="str">
            <v xml:space="preserve">CURVA 45 GRAUS EM ACO CARBONO, SOLDAVEL, PRESSAO 3.000 LBS, DN 1 1/4"                                                                                                                                                                                                                                                                                                                                                                                                                                     </v>
          </cell>
          <cell r="C1591" t="str">
            <v xml:space="preserve">UN    </v>
          </cell>
          <cell r="D1591" t="str">
            <v>CR</v>
          </cell>
          <cell r="E1591" t="str">
            <v>61,43</v>
          </cell>
        </row>
        <row r="1592">
          <cell r="A1592">
            <v>40379</v>
          </cell>
          <cell r="B1592" t="str">
            <v xml:space="preserve">CURVA 45 GRAUS EM ACO CARBONO, SOLDAVEL, PRESSAO 3.000 LBS, DN 1/2"                                                                                                                                                                                                                                                                                                                                                                                                                                       </v>
          </cell>
          <cell r="C1592" t="str">
            <v xml:space="preserve">UN    </v>
          </cell>
          <cell r="D1592" t="str">
            <v>CR</v>
          </cell>
          <cell r="E1592" t="str">
            <v>21,24</v>
          </cell>
        </row>
        <row r="1593">
          <cell r="A1593">
            <v>40423</v>
          </cell>
          <cell r="B1593" t="str">
            <v xml:space="preserve">CURVA 45 GRAUS EM ACO CARBONO, SOLDAVEL, PRESSAO 3.000 LBS, DN 1"                                                                                                                                                                                                                                                                                                                                                                                                                                         </v>
          </cell>
          <cell r="C1593" t="str">
            <v xml:space="preserve">UN    </v>
          </cell>
          <cell r="D1593" t="str">
            <v>CR</v>
          </cell>
          <cell r="E1593" t="str">
            <v>40,19</v>
          </cell>
        </row>
        <row r="1594">
          <cell r="A1594">
            <v>40389</v>
          </cell>
          <cell r="B1594" t="str">
            <v xml:space="preserve">CURVA 45 GRAUS EM ACO CARBONO, SOLDAVEL, PRESSAO 3.000 LBS, DN 2 1/2"                                                                                                                                                                                                                                                                                                                                                                                                                                     </v>
          </cell>
          <cell r="C1594" t="str">
            <v xml:space="preserve">UN    </v>
          </cell>
          <cell r="D1594" t="str">
            <v>CR</v>
          </cell>
          <cell r="E1594" t="str">
            <v>254,88</v>
          </cell>
        </row>
        <row r="1595">
          <cell r="A1595">
            <v>40388</v>
          </cell>
          <cell r="B1595" t="str">
            <v xml:space="preserve">CURVA 45 GRAUS EM ACO CARBONO, SOLDAVEL, PRESSAO 3.000 LBS, DN 2"                                                                                                                                                                                                                                                                                                                                                                                                                                         </v>
          </cell>
          <cell r="C1595" t="str">
            <v xml:space="preserve">UN    </v>
          </cell>
          <cell r="D1595" t="str">
            <v>CR</v>
          </cell>
          <cell r="E1595" t="str">
            <v>127,58</v>
          </cell>
        </row>
        <row r="1596">
          <cell r="A1596">
            <v>40381</v>
          </cell>
          <cell r="B1596" t="str">
            <v xml:space="preserve">CURVA 45 GRAUS EM ACO CARBONO, SOLDAVEL, PRESSAO 3.000 LBS, DN 3/4"                                                                                                                                                                                                                                                                                                                                                                                                                                       </v>
          </cell>
          <cell r="C1596" t="str">
            <v xml:space="preserve">UN    </v>
          </cell>
          <cell r="D1596" t="str">
            <v>CR</v>
          </cell>
          <cell r="E1596" t="str">
            <v>28,32</v>
          </cell>
        </row>
        <row r="1597">
          <cell r="A1597">
            <v>40391</v>
          </cell>
          <cell r="B1597" t="str">
            <v xml:space="preserve">CURVA 45 GRAUS EM ACO CARBONO, SOLDAVEL, PRESSAO 3.000 LBS, DN 3"                                                                                                                                                                                                                                                                                                                                                                                                                                         </v>
          </cell>
          <cell r="C1597" t="str">
            <v xml:space="preserve">UN    </v>
          </cell>
          <cell r="D1597" t="str">
            <v>CR</v>
          </cell>
          <cell r="E1597" t="str">
            <v>661,54</v>
          </cell>
        </row>
        <row r="1598">
          <cell r="A1598">
            <v>40414</v>
          </cell>
          <cell r="B1598" t="str">
            <v xml:space="preserve">CURVA 45 GRAUS RANHURADA EM FERRO FUNDIDO, DN 50 MM (2")                                                                                                                                                                                                                                                                                                                                                                                                                                                  </v>
          </cell>
          <cell r="C1598" t="str">
            <v xml:space="preserve">UN    </v>
          </cell>
          <cell r="D1598" t="str">
            <v>CR</v>
          </cell>
          <cell r="E1598" t="str">
            <v>21,60</v>
          </cell>
        </row>
        <row r="1599">
          <cell r="A1599">
            <v>40416</v>
          </cell>
          <cell r="B1599" t="str">
            <v xml:space="preserve">CURVA 45 GRAUS RANHURADA EM FERRO FUNDIDO, DN 65 MM (2 1/2")                                                                                                                                                                                                                                                                                                                                                                                                                                              </v>
          </cell>
          <cell r="C1599" t="str">
            <v xml:space="preserve">UN    </v>
          </cell>
          <cell r="D1599" t="str">
            <v>CR</v>
          </cell>
          <cell r="E1599" t="str">
            <v>29,87</v>
          </cell>
        </row>
        <row r="1600">
          <cell r="A1600">
            <v>40418</v>
          </cell>
          <cell r="B1600" t="str">
            <v xml:space="preserve">CURVA 45 GRAUS RANHURADA EM FERRO FUNDIDO, DN 80 MM (3")                                                                                                                                                                                                                                                                                                                                                                                                                                                  </v>
          </cell>
          <cell r="C1600" t="str">
            <v xml:space="preserve">UN    </v>
          </cell>
          <cell r="D1600" t="str">
            <v>CR</v>
          </cell>
          <cell r="E1600" t="str">
            <v>35,62</v>
          </cell>
        </row>
        <row r="1601">
          <cell r="A1601">
            <v>2609</v>
          </cell>
          <cell r="B1601" t="str">
            <v xml:space="preserve">CURVA 45 GRAUS, PARA ELETRODUTO, EM ACO GALVANIZADO ELETROLITICO, DIAMETRO DE 20 MM (3/4")                                                                                                                                                                                                                                                                                                                                                                                                                </v>
          </cell>
          <cell r="C1601" t="str">
            <v xml:space="preserve">UN    </v>
          </cell>
          <cell r="D1601" t="str">
            <v>CR</v>
          </cell>
          <cell r="E1601" t="str">
            <v>4,66</v>
          </cell>
        </row>
        <row r="1602">
          <cell r="A1602">
            <v>2634</v>
          </cell>
          <cell r="B1602" t="str">
            <v xml:space="preserve">CURVA 45 GRAUS, PARA ELETRODUTO, EM ACO GALVANIZADO ELETROLITICO, DIAMETRO DE 25 MM (1")                                                                                                                                                                                                                                                                                                                                                                                                                  </v>
          </cell>
          <cell r="C1602" t="str">
            <v xml:space="preserve">UN    </v>
          </cell>
          <cell r="D1602" t="str">
            <v>CR</v>
          </cell>
          <cell r="E1602" t="str">
            <v>6,12</v>
          </cell>
        </row>
        <row r="1603">
          <cell r="A1603">
            <v>2611</v>
          </cell>
          <cell r="B1603" t="str">
            <v xml:space="preserve">CURVA 45 GRAUS, PARA ELETRODUTO, EM ACO GALVANIZADO ELETROLITICO, DIAMETRO DE 40 MM (1 1/2")                                                                                                                                                                                                                                                                                                                                                                                                              </v>
          </cell>
          <cell r="C1603" t="str">
            <v xml:space="preserve">UN    </v>
          </cell>
          <cell r="D1603" t="str">
            <v>CR</v>
          </cell>
          <cell r="E1603" t="str">
            <v>17,25</v>
          </cell>
        </row>
        <row r="1604">
          <cell r="A1604">
            <v>34359</v>
          </cell>
          <cell r="B1604" t="str">
            <v xml:space="preserve">CURVA 90 GRAUS DE BARRA CHATA EM ALUMINIO 3/4" X 1/4" X 300 MM                                                                                                                                                                                                                                                                                                                                                                                                                                            </v>
          </cell>
          <cell r="C1604" t="str">
            <v xml:space="preserve">UN    </v>
          </cell>
          <cell r="D1604" t="str">
            <v>CR</v>
          </cell>
          <cell r="E1604" t="str">
            <v>9,29</v>
          </cell>
        </row>
        <row r="1605">
          <cell r="A1605">
            <v>1789</v>
          </cell>
          <cell r="B1605" t="str">
            <v xml:space="preserve">CURVA 90 GRAUS DE FERRO GALVANIZADO, COM ROSCA BSP FEMEA, DE 1 1/2"                                                                                                                                                                                                                                                                                                                                                                                                                                       </v>
          </cell>
          <cell r="C1605" t="str">
            <v xml:space="preserve">UN    </v>
          </cell>
          <cell r="D1605" t="str">
            <v>CR</v>
          </cell>
          <cell r="E1605" t="str">
            <v>88,60</v>
          </cell>
        </row>
        <row r="1606">
          <cell r="A1606">
            <v>1788</v>
          </cell>
          <cell r="B1606" t="str">
            <v xml:space="preserve">CURVA 90 GRAUS DE FERRO GALVANIZADO, COM ROSCA BSP FEMEA, DE 1 1/4"                                                                                                                                                                                                                                                                                                                                                                                                                                       </v>
          </cell>
          <cell r="C1606" t="str">
            <v xml:space="preserve">UN    </v>
          </cell>
          <cell r="D1606" t="str">
            <v>CR</v>
          </cell>
          <cell r="E1606" t="str">
            <v>71,02</v>
          </cell>
        </row>
        <row r="1607">
          <cell r="A1607">
            <v>1786</v>
          </cell>
          <cell r="B1607" t="str">
            <v xml:space="preserve">CURVA 90 GRAUS DE FERRO GALVANIZADO, COM ROSCA BSP FEMEA, DE 1/2"                                                                                                                                                                                                                                                                                                                                                                                                                                         </v>
          </cell>
          <cell r="C1607" t="str">
            <v xml:space="preserve">UN    </v>
          </cell>
          <cell r="D1607" t="str">
            <v>CR</v>
          </cell>
          <cell r="E1607" t="str">
            <v>17,63</v>
          </cell>
        </row>
        <row r="1608">
          <cell r="A1608">
            <v>1787</v>
          </cell>
          <cell r="B1608" t="str">
            <v xml:space="preserve">CURVA 90 GRAUS DE FERRO GALVANIZADO, COM ROSCA BSP FEMEA, DE 1"                                                                                                                                                                                                                                                                                                                                                                                                                                           </v>
          </cell>
          <cell r="C1608" t="str">
            <v xml:space="preserve">UN    </v>
          </cell>
          <cell r="D1608" t="str">
            <v>CR</v>
          </cell>
          <cell r="E1608" t="str">
            <v>42,22</v>
          </cell>
        </row>
        <row r="1609">
          <cell r="A1609">
            <v>1791</v>
          </cell>
          <cell r="B1609" t="str">
            <v xml:space="preserve">CURVA 90 GRAUS DE FERRO GALVANIZADO, COM ROSCA BSP FEMEA, DE 2 1/2"                                                                                                                                                                                                                                                                                                                                                                                                                                       </v>
          </cell>
          <cell r="C1609" t="str">
            <v xml:space="preserve">UN    </v>
          </cell>
          <cell r="D1609" t="str">
            <v>CR</v>
          </cell>
          <cell r="E1609" t="str">
            <v>256,04</v>
          </cell>
        </row>
        <row r="1610">
          <cell r="A1610">
            <v>1790</v>
          </cell>
          <cell r="B1610" t="str">
            <v xml:space="preserve">CURVA 90 GRAUS DE FERRO GALVANIZADO, COM ROSCA BSP FEMEA, DE 2"                                                                                                                                                                                                                                                                                                                                                                                                                                           </v>
          </cell>
          <cell r="C1610" t="str">
            <v xml:space="preserve">UN    </v>
          </cell>
          <cell r="D1610" t="str">
            <v>CR</v>
          </cell>
          <cell r="E1610" t="str">
            <v>147,54</v>
          </cell>
        </row>
        <row r="1611">
          <cell r="A1611">
            <v>1813</v>
          </cell>
          <cell r="B1611" t="str">
            <v xml:space="preserve">CURVA 90 GRAUS DE FERRO GALVANIZADO, COM ROSCA BSP FEMEA, DE 3/4"                                                                                                                                                                                                                                                                                                                                                                                                                                         </v>
          </cell>
          <cell r="C1611" t="str">
            <v xml:space="preserve">UN    </v>
          </cell>
          <cell r="D1611" t="str">
            <v>CR</v>
          </cell>
          <cell r="E1611" t="str">
            <v>27,98</v>
          </cell>
        </row>
        <row r="1612">
          <cell r="A1612">
            <v>1792</v>
          </cell>
          <cell r="B1612" t="str">
            <v xml:space="preserve">CURVA 90 GRAUS DE FERRO GALVANIZADO, COM ROSCA BSP FEMEA, DE 3"                                                                                                                                                                                                                                                                                                                                                                                                                                           </v>
          </cell>
          <cell r="C1612" t="str">
            <v xml:space="preserve">UN    </v>
          </cell>
          <cell r="D1612" t="str">
            <v>CR</v>
          </cell>
          <cell r="E1612" t="str">
            <v>345,62</v>
          </cell>
        </row>
        <row r="1613">
          <cell r="A1613">
            <v>1793</v>
          </cell>
          <cell r="B1613" t="str">
            <v xml:space="preserve">CURVA 90 GRAUS DE FERRO GALVANIZADO, COM ROSCA BSP FEMEA, DE 4"                                                                                                                                                                                                                                                                                                                                                                                                                                           </v>
          </cell>
          <cell r="C1613" t="str">
            <v xml:space="preserve">UN    </v>
          </cell>
          <cell r="D1613" t="str">
            <v>CR</v>
          </cell>
          <cell r="E1613" t="str">
            <v>698,39</v>
          </cell>
        </row>
        <row r="1614">
          <cell r="A1614">
            <v>1809</v>
          </cell>
          <cell r="B1614" t="str">
            <v xml:space="preserve">CURVA 90 GRAUS DE FERRO GALVANIZADO, COM ROSCA BSP MACHO/FEMEA, DE 1 1/2"                                                                                                                                                                                                                                                                                                                                                                                                                                 </v>
          </cell>
          <cell r="C1614" t="str">
            <v xml:space="preserve">UN    </v>
          </cell>
          <cell r="D1614" t="str">
            <v>CR</v>
          </cell>
          <cell r="E1614" t="str">
            <v>83,06</v>
          </cell>
        </row>
        <row r="1615">
          <cell r="A1615">
            <v>1814</v>
          </cell>
          <cell r="B1615" t="str">
            <v xml:space="preserve">CURVA 90 GRAUS DE FERRO GALVANIZADO, COM ROSCA BSP MACHO/FEMEA, DE 1 1/4"                                                                                                                                                                                                                                                                                                                                                                                                                                 </v>
          </cell>
          <cell r="C1615" t="str">
            <v xml:space="preserve">UN    </v>
          </cell>
          <cell r="D1615" t="str">
            <v>CR</v>
          </cell>
          <cell r="E1615" t="str">
            <v>68,23</v>
          </cell>
        </row>
        <row r="1616">
          <cell r="A1616">
            <v>1803</v>
          </cell>
          <cell r="B1616" t="str">
            <v xml:space="preserve">CURVA 90 GRAUS DE FERRO GALVANIZADO, COM ROSCA BSP MACHO/FEMEA, DE 1/2"                                                                                                                                                                                                                                                                                                                                                                                                                                   </v>
          </cell>
          <cell r="C1616" t="str">
            <v xml:space="preserve">UN    </v>
          </cell>
          <cell r="D1616" t="str">
            <v>CR</v>
          </cell>
          <cell r="E1616" t="str">
            <v>17,24</v>
          </cell>
        </row>
        <row r="1617">
          <cell r="A1617">
            <v>1805</v>
          </cell>
          <cell r="B1617" t="str">
            <v xml:space="preserve">CURVA 90 GRAUS DE FERRO GALVANIZADO, COM ROSCA BSP MACHO/FEMEA, DE 1"                                                                                                                                                                                                                                                                                                                                                                                                                                     </v>
          </cell>
          <cell r="C1617" t="str">
            <v xml:space="preserve">UN    </v>
          </cell>
          <cell r="D1617" t="str">
            <v>CR</v>
          </cell>
          <cell r="E1617" t="str">
            <v>39,60</v>
          </cell>
        </row>
        <row r="1618">
          <cell r="A1618">
            <v>1821</v>
          </cell>
          <cell r="B1618" t="str">
            <v xml:space="preserve">CURVA 90 GRAUS DE FERRO GALVANIZADO, COM ROSCA BSP MACHO/FEMEA, DE 2 1/2"                                                                                                                                                                                                                                                                                                                                                                                                                                 </v>
          </cell>
          <cell r="C1618" t="str">
            <v xml:space="preserve">UN    </v>
          </cell>
          <cell r="D1618" t="str">
            <v>CR</v>
          </cell>
          <cell r="E1618" t="str">
            <v>233,93</v>
          </cell>
        </row>
        <row r="1619">
          <cell r="A1619">
            <v>1806</v>
          </cell>
          <cell r="B1619" t="str">
            <v xml:space="preserve">CURVA 90 GRAUS DE FERRO GALVANIZADO, COM ROSCA BSP MACHO/FEMEA, DE 2"                                                                                                                                                                                                                                                                                                                                                                                                                                     </v>
          </cell>
          <cell r="C1619" t="str">
            <v xml:space="preserve">UN    </v>
          </cell>
          <cell r="D1619" t="str">
            <v>CR</v>
          </cell>
          <cell r="E1619" t="str">
            <v>139,24</v>
          </cell>
        </row>
        <row r="1620">
          <cell r="A1620">
            <v>1804</v>
          </cell>
          <cell r="B1620" t="str">
            <v xml:space="preserve">CURVA 90 GRAUS DE FERRO GALVANIZADO, COM ROSCA BSP MACHO/FEMEA, DE 3/4"                                                                                                                                                                                                                                                                                                                                                                                                                                   </v>
          </cell>
          <cell r="C1620" t="str">
            <v xml:space="preserve">UN    </v>
          </cell>
          <cell r="D1620" t="str">
            <v>CR</v>
          </cell>
          <cell r="E1620" t="str">
            <v>24,54</v>
          </cell>
        </row>
        <row r="1621">
          <cell r="A1621">
            <v>1807</v>
          </cell>
          <cell r="B1621" t="str">
            <v xml:space="preserve">CURVA 90 GRAUS DE FERRO GALVANIZADO, COM ROSCA BSP MACHO/FEMEA, DE 3"                                                                                                                                                                                                                                                                                                                                                                                                                                     </v>
          </cell>
          <cell r="C1621" t="str">
            <v xml:space="preserve">UN    </v>
          </cell>
          <cell r="D1621" t="str">
            <v>CR</v>
          </cell>
          <cell r="E1621" t="str">
            <v>334,56</v>
          </cell>
        </row>
        <row r="1622">
          <cell r="A1622">
            <v>1808</v>
          </cell>
          <cell r="B1622" t="str">
            <v xml:space="preserve">CURVA 90 GRAUS DE FERRO GALVANIZADO, COM ROSCA BSP MACHO/FEMEA, DE 4"                                                                                                                                                                                                                                                                                                                                                                                                                                     </v>
          </cell>
          <cell r="C1622" t="str">
            <v xml:space="preserve">UN    </v>
          </cell>
          <cell r="D1622" t="str">
            <v>CR</v>
          </cell>
          <cell r="E1622" t="str">
            <v>670,74</v>
          </cell>
        </row>
        <row r="1623">
          <cell r="A1623">
            <v>1797</v>
          </cell>
          <cell r="B1623" t="str">
            <v xml:space="preserve">CURVA 90 GRAUS DE FERRO GALVANIZADO, COM ROSCA BSP MACHO, DE 1 1/2"                                                                                                                                                                                                                                                                                                                                                                                                                                       </v>
          </cell>
          <cell r="C1623" t="str">
            <v xml:space="preserve">UN    </v>
          </cell>
          <cell r="D1623" t="str">
            <v>CR</v>
          </cell>
          <cell r="E1623" t="str">
            <v>100,60</v>
          </cell>
        </row>
        <row r="1624">
          <cell r="A1624">
            <v>1796</v>
          </cell>
          <cell r="B1624" t="str">
            <v xml:space="preserve">CURVA 90 GRAUS DE FERRO GALVANIZADO, COM ROSCA BSP MACHO, DE 1 1/4"                                                                                                                                                                                                                                                                                                                                                                                                                                       </v>
          </cell>
          <cell r="C1624" t="str">
            <v xml:space="preserve">UN    </v>
          </cell>
          <cell r="D1624" t="str">
            <v>CR</v>
          </cell>
          <cell r="E1624" t="str">
            <v>77,17</v>
          </cell>
        </row>
        <row r="1625">
          <cell r="A1625">
            <v>1794</v>
          </cell>
          <cell r="B1625" t="str">
            <v xml:space="preserve">CURVA 90 GRAUS DE FERRO GALVANIZADO, COM ROSCA BSP MACHO, DE 1/2"                                                                                                                                                                                                                                                                                                                                                                                                                                         </v>
          </cell>
          <cell r="C1625" t="str">
            <v xml:space="preserve">UN    </v>
          </cell>
          <cell r="D1625" t="str">
            <v>CR</v>
          </cell>
          <cell r="E1625" t="str">
            <v>18,42</v>
          </cell>
        </row>
        <row r="1626">
          <cell r="A1626">
            <v>1816</v>
          </cell>
          <cell r="B1626" t="str">
            <v xml:space="preserve">CURVA 90 GRAUS DE FERRO GALVANIZADO, COM ROSCA BSP MACHO, DE 1"                                                                                                                                                                                                                                                                                                                                                                                                                                           </v>
          </cell>
          <cell r="C1626" t="str">
            <v xml:space="preserve">UN    </v>
          </cell>
          <cell r="D1626" t="str">
            <v>CR</v>
          </cell>
          <cell r="E1626" t="str">
            <v>41,53</v>
          </cell>
        </row>
        <row r="1627">
          <cell r="A1627">
            <v>1815</v>
          </cell>
          <cell r="B1627" t="str">
            <v xml:space="preserve">CURVA 90 GRAUS DE FERRO GALVANIZADO, COM ROSCA BSP MACHO, DE 2 1/2"                                                                                                                                                                                                                                                                                                                                                                                                                                       </v>
          </cell>
          <cell r="C1627" t="str">
            <v xml:space="preserve">UN    </v>
          </cell>
          <cell r="D1627" t="str">
            <v>CR</v>
          </cell>
          <cell r="E1627" t="str">
            <v>318,96</v>
          </cell>
        </row>
        <row r="1628">
          <cell r="A1628">
            <v>1798</v>
          </cell>
          <cell r="B1628" t="str">
            <v xml:space="preserve">CURVA 90 GRAUS DE FERRO GALVANIZADO, COM ROSCA BSP MACHO, DE 2"                                                                                                                                                                                                                                                                                                                                                                                                                                           </v>
          </cell>
          <cell r="C1628" t="str">
            <v xml:space="preserve">UN    </v>
          </cell>
          <cell r="D1628" t="str">
            <v>CR</v>
          </cell>
          <cell r="E1628" t="str">
            <v>142,72</v>
          </cell>
        </row>
        <row r="1629">
          <cell r="A1629">
            <v>1795</v>
          </cell>
          <cell r="B1629" t="str">
            <v xml:space="preserve">CURVA 90 GRAUS DE FERRO GALVANIZADO, COM ROSCA BSP MACHO, DE 3/4"                                                                                                                                                                                                                                                                                                                                                                                                                                         </v>
          </cell>
          <cell r="C1629" t="str">
            <v xml:space="preserve">UN    </v>
          </cell>
          <cell r="D1629" t="str">
            <v>CR</v>
          </cell>
          <cell r="E1629" t="str">
            <v>25,52</v>
          </cell>
        </row>
        <row r="1630">
          <cell r="A1630">
            <v>1799</v>
          </cell>
          <cell r="B1630" t="str">
            <v xml:space="preserve">CURVA 90 GRAUS DE FERRO GALVANIZADO, COM ROSCA BSP MACHO, DE 3"                                                                                                                                                                                                                                                                                                                                                                                                                                           </v>
          </cell>
          <cell r="C1630" t="str">
            <v xml:space="preserve">UN    </v>
          </cell>
          <cell r="D1630" t="str">
            <v>CR</v>
          </cell>
          <cell r="E1630" t="str">
            <v>415,42</v>
          </cell>
        </row>
        <row r="1631">
          <cell r="A1631">
            <v>1800</v>
          </cell>
          <cell r="B1631" t="str">
            <v xml:space="preserve">CURVA 90 GRAUS DE FERRO GALVANIZADO, COM ROSCA BSP MACHO, DE 4"                                                                                                                                                                                                                                                                                                                                                                                                                                           </v>
          </cell>
          <cell r="C1631" t="str">
            <v xml:space="preserve">UN    </v>
          </cell>
          <cell r="D1631" t="str">
            <v>CR</v>
          </cell>
          <cell r="E1631" t="str">
            <v>793,11</v>
          </cell>
        </row>
        <row r="1632">
          <cell r="A1632">
            <v>1802</v>
          </cell>
          <cell r="B1632" t="str">
            <v xml:space="preserve">CURVA 90 GRAUS DE FERRO GALVANIZADO, COM ROSCA BSP MACHO, DE 6"                                                                                                                                                                                                                                                                                                                                                                                                                                           </v>
          </cell>
          <cell r="C1632" t="str">
            <v xml:space="preserve">UN    </v>
          </cell>
          <cell r="D1632" t="str">
            <v>CR</v>
          </cell>
          <cell r="E1632" t="str">
            <v>1.983,88</v>
          </cell>
        </row>
        <row r="1633">
          <cell r="A1633">
            <v>40385</v>
          </cell>
          <cell r="B1633" t="str">
            <v xml:space="preserve">CURVA 90 GRAUS EM ACO CARBONO, RAIO CURTO, SOLDAVEL, PRESSAO 3.000 LBS, DN 1 1/2"                                                                                                                                                                                                                                                                                                                                                                                                                         </v>
          </cell>
          <cell r="C1633" t="str">
            <v xml:space="preserve">UN    </v>
          </cell>
          <cell r="D1633" t="str">
            <v>CR</v>
          </cell>
          <cell r="E1633" t="str">
            <v>89,73</v>
          </cell>
        </row>
        <row r="1634">
          <cell r="A1634">
            <v>40383</v>
          </cell>
          <cell r="B1634" t="str">
            <v xml:space="preserve">CURVA 90 GRAUS EM ACO CARBONO, RAIO CURTO, SOLDAVEL, PRESSAO 3.000 LBS, DN 1 1/4"                                                                                                                                                                                                                                                                                                                                                                                                                         </v>
          </cell>
          <cell r="C1634" t="str">
            <v xml:space="preserve">UN    </v>
          </cell>
          <cell r="D1634" t="str">
            <v>CR</v>
          </cell>
          <cell r="E1634" t="str">
            <v>61,43</v>
          </cell>
        </row>
        <row r="1635">
          <cell r="A1635">
            <v>40378</v>
          </cell>
          <cell r="B1635" t="str">
            <v xml:space="preserve">CURVA 90 GRAUS EM ACO CARBONO, RAIO CURTO, SOLDAVEL, PRESSAO 3.000 LBS, DN 1/2"                                                                                                                                                                                                                                                                                                                                                                                                                           </v>
          </cell>
          <cell r="C1635" t="str">
            <v xml:space="preserve">UN    </v>
          </cell>
          <cell r="D1635" t="str">
            <v>CR</v>
          </cell>
          <cell r="E1635" t="str">
            <v>21,24</v>
          </cell>
        </row>
        <row r="1636">
          <cell r="A1636">
            <v>40382</v>
          </cell>
          <cell r="B1636" t="str">
            <v xml:space="preserve">CURVA 90 GRAUS EM ACO CARBONO, RAIO CURTO, SOLDAVEL, PRESSAO 3.000 LBS, DN 1"                                                                                                                                                                                                                                                                                                                                                                                                                             </v>
          </cell>
          <cell r="C1636" t="str">
            <v xml:space="preserve">UN    </v>
          </cell>
          <cell r="D1636" t="str">
            <v>CR</v>
          </cell>
          <cell r="E1636" t="str">
            <v>40,19</v>
          </cell>
        </row>
        <row r="1637">
          <cell r="A1637">
            <v>40422</v>
          </cell>
          <cell r="B1637" t="str">
            <v xml:space="preserve">CURVA 90 GRAUS EM ACO CARBONO, RAIO CURTO, SOLDAVEL, PRESSAO 3.000 LBS, DN 2 1/2"                                                                                                                                                                                                                                                                                                                                                                                                                         </v>
          </cell>
          <cell r="C1637" t="str">
            <v xml:space="preserve">UN    </v>
          </cell>
          <cell r="D1637" t="str">
            <v>CR</v>
          </cell>
          <cell r="E1637" t="str">
            <v>273,80</v>
          </cell>
        </row>
        <row r="1638">
          <cell r="A1638">
            <v>40387</v>
          </cell>
          <cell r="B1638" t="str">
            <v xml:space="preserve">CURVA 90 GRAUS EM ACO CARBONO, RAIO CURTO, SOLDAVEL, PRESSAO 3.000 LBS, DN 2"                                                                                                                                                                                                                                                                                                                                                                                                                             </v>
          </cell>
          <cell r="C1638" t="str">
            <v xml:space="preserve">UN    </v>
          </cell>
          <cell r="D1638" t="str">
            <v>CR</v>
          </cell>
          <cell r="E1638" t="str">
            <v>139,41</v>
          </cell>
        </row>
        <row r="1639">
          <cell r="A1639">
            <v>40380</v>
          </cell>
          <cell r="B1639" t="str">
            <v xml:space="preserve">CURVA 90 GRAUS EM ACO CARBONO, RAIO CURTO, SOLDAVEL, PRESSAO 3.000 LBS, DN 3/4"                                                                                                                                                                                                                                                                                                                                                                                                                           </v>
          </cell>
          <cell r="C1639" t="str">
            <v xml:space="preserve">UN    </v>
          </cell>
          <cell r="D1639" t="str">
            <v>CR</v>
          </cell>
          <cell r="E1639" t="str">
            <v>28,32</v>
          </cell>
        </row>
        <row r="1640">
          <cell r="A1640">
            <v>40390</v>
          </cell>
          <cell r="B1640" t="str">
            <v xml:space="preserve">CURVA 90 GRAUS EM ACO CARBONO, RAIO CURTO, SOLDAVEL, PRESSAO 3.000 LBS, DN 3"                                                                                                                                                                                                                                                                                                                                                                                                                             </v>
          </cell>
          <cell r="C1640" t="str">
            <v xml:space="preserve">UN    </v>
          </cell>
          <cell r="D1640" t="str">
            <v>CR</v>
          </cell>
          <cell r="E1640" t="str">
            <v>576,65</v>
          </cell>
        </row>
        <row r="1641">
          <cell r="A1641">
            <v>40413</v>
          </cell>
          <cell r="B1641" t="str">
            <v xml:space="preserve">CURVA 90 GRAUS RANHURADA EM FERRO FUNDIDO, DN 50 MM (2")                                                                                                                                                                                                                                                                                                                                                                                                                                                  </v>
          </cell>
          <cell r="C1641" t="str">
            <v xml:space="preserve">UN    </v>
          </cell>
          <cell r="D1641" t="str">
            <v>CR</v>
          </cell>
          <cell r="E1641" t="str">
            <v>23,47</v>
          </cell>
        </row>
        <row r="1642">
          <cell r="A1642">
            <v>40415</v>
          </cell>
          <cell r="B1642" t="str">
            <v xml:space="preserve">CURVA 90 GRAUS RANHURADA EM FERRO FUNDIDO, DN 65 MM (2 1/2")                                                                                                                                                                                                                                                                                                                                                                                                                                              </v>
          </cell>
          <cell r="C1642" t="str">
            <v xml:space="preserve">UN    </v>
          </cell>
          <cell r="D1642" t="str">
            <v>CR</v>
          </cell>
          <cell r="E1642" t="str">
            <v>33,45</v>
          </cell>
        </row>
        <row r="1643">
          <cell r="A1643">
            <v>40417</v>
          </cell>
          <cell r="B1643" t="str">
            <v xml:space="preserve">CURVA 90 GRAUS RANHURADA EM FERRO FUNDIDO, DN 80 MM (3")                                                                                                                                                                                                                                                                                                                                                                                                                                                  </v>
          </cell>
          <cell r="C1643" t="str">
            <v xml:space="preserve">UN    </v>
          </cell>
          <cell r="D1643" t="str">
            <v>CR</v>
          </cell>
          <cell r="E1643" t="str">
            <v>39,46</v>
          </cell>
        </row>
        <row r="1644">
          <cell r="A1644">
            <v>39271</v>
          </cell>
          <cell r="B1644" t="str">
            <v xml:space="preserve">CURVA 90 GRAUS, CURTA, DE PVC RIGIDO ROSCAVEL, DE 1/2", PARA ELETRODUTO                                                                                                                                                                                                                                                                                                                                                                                                                                   </v>
          </cell>
          <cell r="C1644" t="str">
            <v xml:space="preserve">UN    </v>
          </cell>
          <cell r="D1644" t="str">
            <v>CR</v>
          </cell>
          <cell r="E1644" t="str">
            <v>2,00</v>
          </cell>
        </row>
        <row r="1645">
          <cell r="A1645">
            <v>39273</v>
          </cell>
          <cell r="B1645" t="str">
            <v xml:space="preserve">CURVA 90 GRAUS, CURTA, DE PVC RIGIDO ROSCAVEL, DE 1", PARA ELETRODUTO                                                                                                                                                                                                                                                                                                                                                                                                                                     </v>
          </cell>
          <cell r="C1645" t="str">
            <v xml:space="preserve">UN    </v>
          </cell>
          <cell r="D1645" t="str">
            <v>CR</v>
          </cell>
          <cell r="E1645" t="str">
            <v>3,40</v>
          </cell>
        </row>
        <row r="1646">
          <cell r="A1646">
            <v>39272</v>
          </cell>
          <cell r="B1646" t="str">
            <v xml:space="preserve">CURVA 90 GRAUS, CURTA, DE PVC RIGIDO ROSCAVEL, DE 3/4", PARA ELETRODUTO                                                                                                                                                                                                                                                                                                                                                                                                                                   </v>
          </cell>
          <cell r="C1646" t="str">
            <v xml:space="preserve">UN    </v>
          </cell>
          <cell r="D1646" t="str">
            <v>CR</v>
          </cell>
          <cell r="E1646" t="str">
            <v>2,46</v>
          </cell>
        </row>
        <row r="1647">
          <cell r="A1647">
            <v>1875</v>
          </cell>
          <cell r="B1647" t="str">
            <v xml:space="preserve">CURVA 90 GRAUS, LONGA, DE PVC RIGIDO ROSCAVEL, DE 1 1/2", PARA ELETRODUTO                                                                                                                                                                                                                                                                                                                                                                                                                                 </v>
          </cell>
          <cell r="C1647" t="str">
            <v xml:space="preserve">UN    </v>
          </cell>
          <cell r="D1647" t="str">
            <v>CR</v>
          </cell>
          <cell r="E1647" t="str">
            <v>5,43</v>
          </cell>
        </row>
        <row r="1648">
          <cell r="A1648">
            <v>1874</v>
          </cell>
          <cell r="B1648" t="str">
            <v xml:space="preserve">CURVA 90 GRAUS, LONGA, DE PVC RIGIDO ROSCAVEL, DE 1 1/4", PARA ELETRODUTO                                                                                                                                                                                                                                                                                                                                                                                                                                 </v>
          </cell>
          <cell r="C1648" t="str">
            <v xml:space="preserve">UN    </v>
          </cell>
          <cell r="D1648" t="str">
            <v>CR</v>
          </cell>
          <cell r="E1648" t="str">
            <v>4,48</v>
          </cell>
        </row>
        <row r="1649">
          <cell r="A1649">
            <v>1870</v>
          </cell>
          <cell r="B1649" t="str">
            <v xml:space="preserve">CURVA 90 GRAUS, LONGA, DE PVC RIGIDO ROSCAVEL, DE 1/2", PARA ELETRODUTO                                                                                                                                                                                                                                                                                                                                                                                                                                   </v>
          </cell>
          <cell r="C1649" t="str">
            <v xml:space="preserve">UN    </v>
          </cell>
          <cell r="D1649" t="str">
            <v xml:space="preserve">C </v>
          </cell>
          <cell r="E1649" t="str">
            <v>2,59</v>
          </cell>
        </row>
        <row r="1650">
          <cell r="A1650">
            <v>1884</v>
          </cell>
          <cell r="B1650" t="str">
            <v xml:space="preserve">CURVA 90 GRAUS, LONGA, DE PVC RIGIDO ROSCAVEL, DE 1", PARA ELETRODUTO                                                                                                                                                                                                                                                                                                                                                                                                                                     </v>
          </cell>
          <cell r="C1650" t="str">
            <v xml:space="preserve">UN    </v>
          </cell>
          <cell r="D1650" t="str">
            <v>CR</v>
          </cell>
          <cell r="E1650" t="str">
            <v>3,97</v>
          </cell>
        </row>
        <row r="1651">
          <cell r="A1651">
            <v>1887</v>
          </cell>
          <cell r="B1651" t="str">
            <v xml:space="preserve">CURVA 90 GRAUS, LONGA, DE PVC RIGIDO ROSCAVEL, DE 2 1/2", PARA ELETRODUTO                                                                                                                                                                                                                                                                                                                                                                                                                                 </v>
          </cell>
          <cell r="C1651" t="str">
            <v xml:space="preserve">UN    </v>
          </cell>
          <cell r="D1651" t="str">
            <v>CR</v>
          </cell>
          <cell r="E1651" t="str">
            <v>22,52</v>
          </cell>
        </row>
        <row r="1652">
          <cell r="A1652">
            <v>1876</v>
          </cell>
          <cell r="B1652" t="str">
            <v xml:space="preserve">CURVA 90 GRAUS, LONGA, DE PVC RIGIDO ROSCAVEL, DE 2", PARA ELETRODUTO                                                                                                                                                                                                                                                                                                                                                                                                                                     </v>
          </cell>
          <cell r="C1652" t="str">
            <v xml:space="preserve">UN    </v>
          </cell>
          <cell r="D1652" t="str">
            <v>CR</v>
          </cell>
          <cell r="E1652" t="str">
            <v>8,82</v>
          </cell>
        </row>
        <row r="1653">
          <cell r="A1653">
            <v>1879</v>
          </cell>
          <cell r="B1653" t="str">
            <v xml:space="preserve">CURVA 90 GRAUS, LONGA, DE PVC RIGIDO ROSCAVEL, DE 3/4", PARA ELETRODUTO                                                                                                                                                                                                                                                                                                                                                                                                                                   </v>
          </cell>
          <cell r="C1653" t="str">
            <v xml:space="preserve">UN    </v>
          </cell>
          <cell r="D1653" t="str">
            <v>CR</v>
          </cell>
          <cell r="E1653" t="str">
            <v>2,62</v>
          </cell>
        </row>
        <row r="1654">
          <cell r="A1654">
            <v>1877</v>
          </cell>
          <cell r="B1654" t="str">
            <v xml:space="preserve">CURVA 90 GRAUS, LONGA, DE PVC RIGIDO ROSCAVEL, DE 3", PARA ELETRODUTO                                                                                                                                                                                                                                                                                                                                                                                                                                     </v>
          </cell>
          <cell r="C1654" t="str">
            <v xml:space="preserve">UN    </v>
          </cell>
          <cell r="D1654" t="str">
            <v>CR</v>
          </cell>
          <cell r="E1654" t="str">
            <v>22,55</v>
          </cell>
        </row>
        <row r="1655">
          <cell r="A1655">
            <v>1878</v>
          </cell>
          <cell r="B1655" t="str">
            <v xml:space="preserve">CURVA 90 GRAUS, LONGA, DE PVC RIGIDO ROSCAVEL, DE 4", PARA ELETRODUTO                                                                                                                                                                                                                                                                                                                                                                                                                                     </v>
          </cell>
          <cell r="C1655" t="str">
            <v xml:space="preserve">UN    </v>
          </cell>
          <cell r="D1655" t="str">
            <v>CR</v>
          </cell>
          <cell r="E1655" t="str">
            <v>45,30</v>
          </cell>
        </row>
        <row r="1656">
          <cell r="A1656">
            <v>2621</v>
          </cell>
          <cell r="B1656" t="str">
            <v xml:space="preserve">CURVA 90 GRAUS, PARA ELETRODUTO, EM ACO GALVANIZADO ELETROLITICO, DIAMETRO DE 100 MM (4")                                                                                                                                                                                                                                                                                                                                                                                                                 </v>
          </cell>
          <cell r="C1656" t="str">
            <v xml:space="preserve">UN    </v>
          </cell>
          <cell r="D1656" t="str">
            <v>CR</v>
          </cell>
          <cell r="E1656" t="str">
            <v>147,60</v>
          </cell>
        </row>
        <row r="1657">
          <cell r="A1657">
            <v>2616</v>
          </cell>
          <cell r="B1657" t="str">
            <v xml:space="preserve">CURVA 90 GRAUS, PARA ELETRODUTO, EM ACO GALVANIZADO ELETROLITICO, DIAMETRO DE 15 MM (1/2")                                                                                                                                                                                                                                                                                                                                                                                                                </v>
          </cell>
          <cell r="C1657" t="str">
            <v xml:space="preserve">UN    </v>
          </cell>
          <cell r="D1657" t="str">
            <v>CR</v>
          </cell>
          <cell r="E1657" t="str">
            <v>4,17</v>
          </cell>
        </row>
        <row r="1658">
          <cell r="A1658">
            <v>2633</v>
          </cell>
          <cell r="B1658" t="str">
            <v xml:space="preserve">CURVA 90 GRAUS, PARA ELETRODUTO, EM ACO GALVANIZADO ELETROLITICO, DIAMETRO DE 20 MM (3/4")                                                                                                                                                                                                                                                                                                                                                                                                                </v>
          </cell>
          <cell r="C1658" t="str">
            <v xml:space="preserve">UN    </v>
          </cell>
          <cell r="D1658" t="str">
            <v>CR</v>
          </cell>
          <cell r="E1658" t="str">
            <v>4,72</v>
          </cell>
        </row>
        <row r="1659">
          <cell r="A1659">
            <v>2617</v>
          </cell>
          <cell r="B1659" t="str">
            <v xml:space="preserve">CURVA 90 GRAUS, PARA ELETRODUTO, EM ACO GALVANIZADO ELETROLITICO, DIAMETRO DE 25 MM (1")                                                                                                                                                                                                                                                                                                                                                                                                                  </v>
          </cell>
          <cell r="C1659" t="str">
            <v xml:space="preserve">UN    </v>
          </cell>
          <cell r="D1659" t="str">
            <v>CR</v>
          </cell>
          <cell r="E1659" t="str">
            <v>6,42</v>
          </cell>
        </row>
        <row r="1660">
          <cell r="A1660">
            <v>2618</v>
          </cell>
          <cell r="B1660" t="str">
            <v xml:space="preserve">CURVA 90 GRAUS, PARA ELETRODUTO, EM ACO GALVANIZADO ELETROLITICO, DIAMETRO DE 32 MM (1 1/4")                                                                                                                                                                                                                                                                                                                                                                                                              </v>
          </cell>
          <cell r="C1660" t="str">
            <v xml:space="preserve">UN    </v>
          </cell>
          <cell r="D1660" t="str">
            <v>CR</v>
          </cell>
          <cell r="E1660" t="str">
            <v>14,62</v>
          </cell>
        </row>
        <row r="1661">
          <cell r="A1661">
            <v>2632</v>
          </cell>
          <cell r="B1661" t="str">
            <v xml:space="preserve">CURVA 90 GRAUS, PARA ELETRODUTO, EM ACO GALVANIZADO ELETROLITICO, DIAMETRO DE 40 MM (1 1/2")                                                                                                                                                                                                                                                                                                                                                                                                              </v>
          </cell>
          <cell r="C1661" t="str">
            <v xml:space="preserve">UN    </v>
          </cell>
          <cell r="D1661" t="str">
            <v>CR</v>
          </cell>
          <cell r="E1661" t="str">
            <v>17,83</v>
          </cell>
        </row>
        <row r="1662">
          <cell r="A1662">
            <v>2631</v>
          </cell>
          <cell r="B1662" t="str">
            <v xml:space="preserve">CURVA 90 GRAUS, PARA ELETRODUTO, EM ACO GALVANIZADO ELETROLITICO, DIAMETRO DE 50 MM (2")                                                                                                                                                                                                                                                                                                                                                                                                                  </v>
          </cell>
          <cell r="C1662" t="str">
            <v xml:space="preserve">UN    </v>
          </cell>
          <cell r="D1662" t="str">
            <v>CR</v>
          </cell>
          <cell r="E1662" t="str">
            <v>26,18</v>
          </cell>
        </row>
        <row r="1663">
          <cell r="A1663">
            <v>2619</v>
          </cell>
          <cell r="B1663" t="str">
            <v xml:space="preserve">CURVA 90 GRAUS, PARA ELETRODUTO, EM ACO GALVANIZADO ELETROLITICO, DIAMETRO DE 65 MM (2 1/2")                                                                                                                                                                                                                                                                                                                                                                                                              </v>
          </cell>
          <cell r="C1663" t="str">
            <v xml:space="preserve">UN    </v>
          </cell>
          <cell r="D1663" t="str">
            <v>CR</v>
          </cell>
          <cell r="E1663" t="str">
            <v>66,29</v>
          </cell>
        </row>
        <row r="1664">
          <cell r="A1664">
            <v>2620</v>
          </cell>
          <cell r="B1664" t="str">
            <v xml:space="preserve">CURVA 90 GRAUS, PARA ELETRODUTO, EM ACO GALVANIZADO ELETROLITICO, DIAMETRO DE 80 MM (3")                                                                                                                                                                                                                                                                                                                                                                                                                  </v>
          </cell>
          <cell r="C1664" t="str">
            <v xml:space="preserve">UN    </v>
          </cell>
          <cell r="D1664" t="str">
            <v>CR</v>
          </cell>
          <cell r="E1664" t="str">
            <v>87,03</v>
          </cell>
        </row>
        <row r="1665">
          <cell r="A1665">
            <v>44472</v>
          </cell>
          <cell r="B1665" t="str">
            <v xml:space="preserve">DENTE PARA  FRESADORA                                                                                                                                                                                                                                                                                                                                                                                                                                                                                     </v>
          </cell>
          <cell r="C1665" t="str">
            <v xml:space="preserve">UN    </v>
          </cell>
          <cell r="D1665" t="str">
            <v>CR</v>
          </cell>
          <cell r="E1665" t="str">
            <v>49,12</v>
          </cell>
        </row>
        <row r="1666">
          <cell r="A1666">
            <v>38369</v>
          </cell>
          <cell r="B1666" t="str">
            <v xml:space="preserve">DESEMPENADEIRA DE ACO DENTADA 12 X *25* CM, DENTES 8 X 8 MM, CABO FECHADO DE MADEIRA                                                                                                                                                                                                                                                                                                                                                                                                                      </v>
          </cell>
          <cell r="C1666" t="str">
            <v xml:space="preserve">UN    </v>
          </cell>
          <cell r="D1666" t="str">
            <v>CR</v>
          </cell>
          <cell r="E1666" t="str">
            <v>21,82</v>
          </cell>
        </row>
        <row r="1667">
          <cell r="A1667">
            <v>38370</v>
          </cell>
          <cell r="B1667" t="str">
            <v xml:space="preserve">DESEMPENADEIRA DE ACO LISA 12 X *25* CM COM CABO FECHADO DE MADEIRA                                                                                                                                                                                                                                                                                                                                                                                                                                       </v>
          </cell>
          <cell r="C1667" t="str">
            <v xml:space="preserve">UN    </v>
          </cell>
          <cell r="D1667" t="str">
            <v>CR</v>
          </cell>
          <cell r="E1667" t="str">
            <v>21,82</v>
          </cell>
        </row>
        <row r="1668">
          <cell r="A1668">
            <v>38372</v>
          </cell>
          <cell r="B1668" t="str">
            <v xml:space="preserve">DESEMPENADEIRA PLASTICA LISA *14 X 27* CM                                                                                                                                                                                                                                                                                                                                                                                                                                                                 </v>
          </cell>
          <cell r="C1668" t="str">
            <v xml:space="preserve">UN    </v>
          </cell>
          <cell r="D1668" t="str">
            <v>CR</v>
          </cell>
          <cell r="E1668" t="str">
            <v>24,17</v>
          </cell>
        </row>
        <row r="1669">
          <cell r="A1669">
            <v>2358</v>
          </cell>
          <cell r="B1669" t="str">
            <v xml:space="preserve">DESENHISTA PROJETISTA (HORISTA)                                                                                                                                                                                                                                                                                                                                                                                                                                                                           </v>
          </cell>
          <cell r="C1669" t="str">
            <v xml:space="preserve">H     </v>
          </cell>
          <cell r="D1669" t="str">
            <v>CR</v>
          </cell>
          <cell r="E1669" t="str">
            <v>54,44</v>
          </cell>
        </row>
        <row r="1670">
          <cell r="A1670">
            <v>40807</v>
          </cell>
          <cell r="B1670" t="str">
            <v xml:space="preserve">DESENHISTA PROJETISTA (MENSALISTA)                                                                                                                                                                                                                                                                                                                                                                                                                                                                        </v>
          </cell>
          <cell r="C1670" t="str">
            <v xml:space="preserve">MES   </v>
          </cell>
          <cell r="D1670" t="str">
            <v>CR</v>
          </cell>
          <cell r="E1670" t="str">
            <v>9.530,15</v>
          </cell>
        </row>
        <row r="1671">
          <cell r="A1671">
            <v>44330</v>
          </cell>
          <cell r="B1671" t="str">
            <v xml:space="preserve">DESINFETANTE PRONTO USO                                                                                                                                                                                                                                                                                                                                                                                                                                                                                   </v>
          </cell>
          <cell r="C1671" t="str">
            <v xml:space="preserve">L     </v>
          </cell>
          <cell r="D1671" t="str">
            <v>CR</v>
          </cell>
          <cell r="E1671" t="str">
            <v>9,29</v>
          </cell>
        </row>
        <row r="1672">
          <cell r="A1672">
            <v>43144</v>
          </cell>
          <cell r="B1672" t="str">
            <v xml:space="preserve">DESMOLDANTE PARA CONCRETO ESTAMPADO                                                                                                                                                                                                                                                                                                                                                                                                                                                                       </v>
          </cell>
          <cell r="C1672" t="str">
            <v xml:space="preserve">KG    </v>
          </cell>
          <cell r="D1672" t="str">
            <v>CR</v>
          </cell>
          <cell r="E1672" t="str">
            <v>37,15</v>
          </cell>
        </row>
        <row r="1673">
          <cell r="A1673">
            <v>39397</v>
          </cell>
          <cell r="B1673" t="str">
            <v xml:space="preserve">DESMOLDANTE PARA FORMAS METALICAS A BASE DE OLEO VEGETAL                                                                                                                                                                                                                                                                                                                                                                                                                                                  </v>
          </cell>
          <cell r="C1673" t="str">
            <v xml:space="preserve">L     </v>
          </cell>
          <cell r="D1673" t="str">
            <v>CR</v>
          </cell>
          <cell r="E1673" t="str">
            <v>16,93</v>
          </cell>
        </row>
        <row r="1674">
          <cell r="A1674">
            <v>2692</v>
          </cell>
          <cell r="B1674" t="str">
            <v xml:space="preserve">DESMOLDANTE PROTETOR PARA FORMAS DE MADEIRA, DE BASE OLEOSA EMULSIONADA EM AGUA                                                                                                                                                                                                                                                                                                                                                                                                                           </v>
          </cell>
          <cell r="C1674" t="str">
            <v xml:space="preserve">L     </v>
          </cell>
          <cell r="D1674" t="str">
            <v>CR</v>
          </cell>
          <cell r="E1674" t="str">
            <v>6,83</v>
          </cell>
        </row>
        <row r="1675">
          <cell r="A1675">
            <v>44329</v>
          </cell>
          <cell r="B1675" t="str">
            <v xml:space="preserve">DETERGENTE NEUTRO USO GERAL, CONCENTRADO                                                                                                                                                                                                                                                                                                                                                                                                                                                                  </v>
          </cell>
          <cell r="C1675" t="str">
            <v xml:space="preserve">L     </v>
          </cell>
          <cell r="D1675" t="str">
            <v>CR</v>
          </cell>
          <cell r="E1675" t="str">
            <v>12,18</v>
          </cell>
        </row>
        <row r="1676">
          <cell r="A1676">
            <v>5318</v>
          </cell>
          <cell r="B1676" t="str">
            <v xml:space="preserve">DILUENTE AGUARRAS                                                                                                                                                                                                                                                                                                                                                                                                                                                                                         </v>
          </cell>
          <cell r="C1676" t="str">
            <v xml:space="preserve">L     </v>
          </cell>
          <cell r="D1676" t="str">
            <v xml:space="preserve">C </v>
          </cell>
          <cell r="E1676" t="str">
            <v>19,69</v>
          </cell>
        </row>
        <row r="1677">
          <cell r="A1677">
            <v>5330</v>
          </cell>
          <cell r="B1677" t="str">
            <v xml:space="preserve">DILUENTE EPOXI                                                                                                                                                                                                                                                                                                                                                                                                                                                                                            </v>
          </cell>
          <cell r="C1677" t="str">
            <v xml:space="preserve">L     </v>
          </cell>
          <cell r="D1677" t="str">
            <v>CR</v>
          </cell>
          <cell r="E1677" t="str">
            <v>44,88</v>
          </cell>
        </row>
        <row r="1678">
          <cell r="A1678">
            <v>44532</v>
          </cell>
          <cell r="B1678" t="str">
            <v xml:space="preserve">DISCO DE BORRACHA PARA LIXADEIRA RIGIDO 7 " COM ARRUELA  CENTRAL                                                                                                                                                                                                                                                                                                                                                                                                                                          </v>
          </cell>
          <cell r="C1678" t="str">
            <v xml:space="preserve">UN    </v>
          </cell>
          <cell r="D1678" t="str">
            <v>CR</v>
          </cell>
          <cell r="E1678" t="str">
            <v>44,63</v>
          </cell>
        </row>
        <row r="1679">
          <cell r="A1679">
            <v>44531</v>
          </cell>
          <cell r="B1679" t="str">
            <v xml:space="preserve">DISCO DE CORTE DIAMANTADO SEGMENTADO DIAMETRO DE 180 MM PARA ESMERILHADEIRA  7 "                                                                                                                                                                                                                                                                                                                                                                                                                          </v>
          </cell>
          <cell r="C1679" t="str">
            <v xml:space="preserve">UN    </v>
          </cell>
          <cell r="D1679" t="str">
            <v>CR</v>
          </cell>
          <cell r="E1679" t="str">
            <v>141,85</v>
          </cell>
        </row>
        <row r="1680">
          <cell r="A1680">
            <v>38140</v>
          </cell>
          <cell r="B1680" t="str">
            <v xml:space="preserve">DISCO DE CORTE DIAMANTADO SEGMENTADO PARA CONCRETO, DIAMETRO DE 110 MM, FURO DE 20 MM                                                                                                                                                                                                                                                                                                                                                                                                                     </v>
          </cell>
          <cell r="C1680" t="str">
            <v xml:space="preserve">UN    </v>
          </cell>
          <cell r="D1680" t="str">
            <v xml:space="preserve">C </v>
          </cell>
          <cell r="E1680" t="str">
            <v>34,40</v>
          </cell>
        </row>
        <row r="1681">
          <cell r="A1681">
            <v>13887</v>
          </cell>
          <cell r="B1681" t="str">
            <v xml:space="preserve">DISCO DE CORTE DIAMANTADO SEGMENTADO PARA CONCRETO, DIAMETRO DE 350 MM, FURO DE 1 " (14 X 1 ")                                                                                                                                                                                                                                                                                                                                                                                                            </v>
          </cell>
          <cell r="C1681" t="str">
            <v xml:space="preserve">UN    </v>
          </cell>
          <cell r="D1681" t="str">
            <v>CR</v>
          </cell>
          <cell r="E1681" t="str">
            <v>814,44</v>
          </cell>
        </row>
        <row r="1682">
          <cell r="A1682">
            <v>44495</v>
          </cell>
          <cell r="B1682" t="str">
            <v xml:space="preserve">DISCO DE CORTE PARA METAL COM DUAS TELAS 12 X 1/8 X 3/4 "  (300 X 3,2 X 19,05 MM)                                                                                                                                                                                                                                                                                                                                                                                                                         </v>
          </cell>
          <cell r="C1682" t="str">
            <v xml:space="preserve">UN    </v>
          </cell>
          <cell r="D1682" t="str">
            <v>CR</v>
          </cell>
          <cell r="E1682" t="str">
            <v>36,25</v>
          </cell>
        </row>
        <row r="1683">
          <cell r="A1683">
            <v>44533</v>
          </cell>
          <cell r="B1683" t="str">
            <v xml:space="preserve">DISCO DE DESBASTE PARA METAL FERROSO EM GERAL, COM TRES TELAS,  9 X 1/4 X 7/8 " ( 228,6 X 6,4 X 22,2 MM)                                                                                                                                                                                                                                                                                                                                                                                                  </v>
          </cell>
          <cell r="C1683" t="str">
            <v xml:space="preserve">UN    </v>
          </cell>
          <cell r="D1683" t="str">
            <v>CR</v>
          </cell>
          <cell r="E1683" t="str">
            <v>34,24</v>
          </cell>
        </row>
        <row r="1684">
          <cell r="A1684">
            <v>44534</v>
          </cell>
          <cell r="B1684" t="str">
            <v xml:space="preserve">DISCO DE LIXA PARA METAL, DIAMETRO = 180 MM, GRAO  120                                                                                                                                                                                                                                                                                                                                                                                                                                                    </v>
          </cell>
          <cell r="C1684" t="str">
            <v xml:space="preserve">UN    </v>
          </cell>
          <cell r="D1684" t="str">
            <v>CR</v>
          </cell>
          <cell r="E1684" t="str">
            <v>8,92</v>
          </cell>
        </row>
        <row r="1685">
          <cell r="A1685">
            <v>34544</v>
          </cell>
          <cell r="B1685" t="str">
            <v xml:space="preserve">DISJUNTOR  TERMOMAGNETICO TRIPOLAR 3 X 400 A / ICC - 25 KA                                                                                                                                                                                                                                                                                                                                                                                                                                                </v>
          </cell>
          <cell r="C1685" t="str">
            <v xml:space="preserve">UN    </v>
          </cell>
          <cell r="D1685" t="str">
            <v>CR</v>
          </cell>
          <cell r="E1685" t="str">
            <v>1.265,19</v>
          </cell>
        </row>
        <row r="1686">
          <cell r="A1686">
            <v>34729</v>
          </cell>
          <cell r="B1686" t="str">
            <v xml:space="preserve">DISJUNTOR TERMOMAGNETICO AJUSTAVEL, TRIPOLAR DE 100 ATE 250A, CAPACIDADE DE INTERRUPCAO DE 35KA                                                                                                                                                                                                                                                                                                                                                                                                           </v>
          </cell>
          <cell r="C1686" t="str">
            <v xml:space="preserve">UN    </v>
          </cell>
          <cell r="D1686" t="str">
            <v>CR</v>
          </cell>
          <cell r="E1686" t="str">
            <v>995,27</v>
          </cell>
        </row>
        <row r="1687">
          <cell r="A1687">
            <v>34734</v>
          </cell>
          <cell r="B1687" t="str">
            <v xml:space="preserve">DISJUNTOR TERMOMAGNETICO AJUSTAVEL, TRIPOLAR DE 300 ATE 400A, CAPACIDADE DE INTERRUPCAO DE 35KA                                                                                                                                                                                                                                                                                                                                                                                                           </v>
          </cell>
          <cell r="C1687" t="str">
            <v xml:space="preserve">UN    </v>
          </cell>
          <cell r="D1687" t="str">
            <v>CR</v>
          </cell>
          <cell r="E1687" t="str">
            <v>1.540,99</v>
          </cell>
        </row>
        <row r="1688">
          <cell r="A1688">
            <v>34738</v>
          </cell>
          <cell r="B1688" t="str">
            <v xml:space="preserve">DISJUNTOR TERMOMAGNETICO AJUSTAVEL, TRIPOLAR DE 450 ATE 600A, CAPACIDADE DE INTERRUPCAO DE 35KA                                                                                                                                                                                                                                                                                                                                                                                                           </v>
          </cell>
          <cell r="C1688" t="str">
            <v xml:space="preserve">UN    </v>
          </cell>
          <cell r="D1688" t="str">
            <v>CR</v>
          </cell>
          <cell r="E1688" t="str">
            <v>3.600,25</v>
          </cell>
        </row>
        <row r="1689">
          <cell r="A1689">
            <v>34623</v>
          </cell>
          <cell r="B1689" t="str">
            <v xml:space="preserve">DISJUNTOR TERMOMAGNETICO PARA TRILHO DIN (IEC), BIPOLAR, 40 - 50 A                                                                                                                                                                                                                                                                                                                                                                                                                                        </v>
          </cell>
          <cell r="C1689" t="str">
            <v xml:space="preserve">UN    </v>
          </cell>
          <cell r="D1689" t="str">
            <v>CR</v>
          </cell>
          <cell r="E1689" t="str">
            <v>43,14</v>
          </cell>
        </row>
        <row r="1690">
          <cell r="A1690">
            <v>34616</v>
          </cell>
          <cell r="B1690" t="str">
            <v xml:space="preserve">DISJUNTOR TERMOMAGNETICO PARA TRILHO DIN (IEC), BIPOLAR, 6 - 32 A                                                                                                                                                                                                                                                                                                                                                                                                                                         </v>
          </cell>
          <cell r="C1690" t="str">
            <v xml:space="preserve">UN    </v>
          </cell>
          <cell r="D1690" t="str">
            <v>CR</v>
          </cell>
          <cell r="E1690" t="str">
            <v>43,81</v>
          </cell>
        </row>
        <row r="1691">
          <cell r="A1691">
            <v>34628</v>
          </cell>
          <cell r="B1691" t="str">
            <v xml:space="preserve">DISJUNTOR TERMOMAGNETICO PARA TRILHO DIN (IEC), BIPOLAR, 63 A                                                                                                                                                                                                                                                                                                                                                                                                                                             </v>
          </cell>
          <cell r="C1691" t="str">
            <v xml:space="preserve">UN    </v>
          </cell>
          <cell r="D1691" t="str">
            <v>CR</v>
          </cell>
          <cell r="E1691" t="str">
            <v>61,79</v>
          </cell>
        </row>
        <row r="1692">
          <cell r="A1692">
            <v>34686</v>
          </cell>
          <cell r="B1692" t="str">
            <v xml:space="preserve">DISJUNTOR TERMOMAGNETICO PARA TRILHO DIN (IEC), MONOPOLAR, 40 - 50 A, ICC - 5KA / 250 VCA                                                                                                                                                                                                                                                                                                                                                                                                                 </v>
          </cell>
          <cell r="C1692" t="str">
            <v xml:space="preserve">UN    </v>
          </cell>
          <cell r="D1692" t="str">
            <v>CR</v>
          </cell>
          <cell r="E1692" t="str">
            <v>11,33</v>
          </cell>
        </row>
        <row r="1693">
          <cell r="A1693">
            <v>34653</v>
          </cell>
          <cell r="B1693" t="str">
            <v xml:space="preserve">DISJUNTOR TERMOMAGNETICO PARA TRILHO DIN (IEC), MONOPOLAR, 6 - 32 A                                                                                                                                                                                                                                                                                                                                                                                                                                       </v>
          </cell>
          <cell r="C1693" t="str">
            <v xml:space="preserve">UN    </v>
          </cell>
          <cell r="D1693" t="str">
            <v>CR</v>
          </cell>
          <cell r="E1693" t="str">
            <v>7,64</v>
          </cell>
        </row>
        <row r="1694">
          <cell r="A1694">
            <v>34688</v>
          </cell>
          <cell r="B1694" t="str">
            <v xml:space="preserve">DISJUNTOR TERMOMAGNETICO PARA TRILHO DIN (IEC), MONOPOLAR, 63 A                                                                                                                                                                                                                                                                                                                                                                                                                                           </v>
          </cell>
          <cell r="C1694" t="str">
            <v xml:space="preserve">UN    </v>
          </cell>
          <cell r="D1694" t="str">
            <v>CR</v>
          </cell>
          <cell r="E1694" t="str">
            <v>13,85</v>
          </cell>
        </row>
        <row r="1695">
          <cell r="A1695">
            <v>34709</v>
          </cell>
          <cell r="B1695" t="str">
            <v xml:space="preserve">DISJUNTOR TERMOMAGNETICO PARA TRILHO DIN (IEC), TRIPOLAR, 10 - 50 A                                                                                                                                                                                                                                                                                                                                                                                                                                       </v>
          </cell>
          <cell r="C1695" t="str">
            <v xml:space="preserve">UN    </v>
          </cell>
          <cell r="D1695" t="str">
            <v>CR</v>
          </cell>
          <cell r="E1695" t="str">
            <v>53,68</v>
          </cell>
        </row>
        <row r="1696">
          <cell r="A1696">
            <v>34714</v>
          </cell>
          <cell r="B1696" t="str">
            <v xml:space="preserve">DISJUNTOR TERMOMAGNETICO PARA TRILHO DIN (IEC), TRIPOLAR, 63 A                                                                                                                                                                                                                                                                                                                                                                                                                                            </v>
          </cell>
          <cell r="C1696" t="str">
            <v xml:space="preserve">UN    </v>
          </cell>
          <cell r="D1696" t="str">
            <v>CR</v>
          </cell>
          <cell r="E1696" t="str">
            <v>64,11</v>
          </cell>
        </row>
        <row r="1697">
          <cell r="A1697">
            <v>2391</v>
          </cell>
          <cell r="B1697" t="str">
            <v xml:space="preserve">DISJUNTOR TERMOMAGNETICO TRIPOLAR 125 A / 425 V / ICC - 25 KA                                                                                                                                                                                                                                                                                                                                                                                                                                             </v>
          </cell>
          <cell r="C1697" t="str">
            <v xml:space="preserve">UN    </v>
          </cell>
          <cell r="D1697" t="str">
            <v>CR</v>
          </cell>
          <cell r="E1697" t="str">
            <v>292,82</v>
          </cell>
        </row>
        <row r="1698">
          <cell r="A1698">
            <v>2374</v>
          </cell>
          <cell r="B1698" t="str">
            <v xml:space="preserve">DISJUNTOR TERMOMAGNETICO TRIPOLAR 150 A / 600 V, TIPO FXD / ICC - 35 KA                                                                                                                                                                                                                                                                                                                                                                                                                                   </v>
          </cell>
          <cell r="C1698" t="str">
            <v xml:space="preserve">UN    </v>
          </cell>
          <cell r="D1698" t="str">
            <v>CR</v>
          </cell>
          <cell r="E1698" t="str">
            <v>332,19</v>
          </cell>
        </row>
        <row r="1699">
          <cell r="A1699">
            <v>2377</v>
          </cell>
          <cell r="B1699" t="str">
            <v xml:space="preserve">DISJUNTOR TERMOMAGNETICO TRIPOLAR 200 A / 600 V, TIPO FXD / ICC - 35 KA                                                                                                                                                                                                                                                                                                                                                                                                                                   </v>
          </cell>
          <cell r="C1699" t="str">
            <v xml:space="preserve">UN    </v>
          </cell>
          <cell r="D1699" t="str">
            <v>CR</v>
          </cell>
          <cell r="E1699" t="str">
            <v>466,20</v>
          </cell>
        </row>
        <row r="1700">
          <cell r="A1700">
            <v>2393</v>
          </cell>
          <cell r="B1700" t="str">
            <v xml:space="preserve">DISJUNTOR TERMOMAGNETICO TRIPOLAR 250 A / 600 V, TIPO FXD                                                                                                                                                                                                                                                                                                                                                                                                                                                 </v>
          </cell>
          <cell r="C1700" t="str">
            <v xml:space="preserve">UN    </v>
          </cell>
          <cell r="D1700" t="str">
            <v>CR</v>
          </cell>
          <cell r="E1700" t="str">
            <v>780,71</v>
          </cell>
        </row>
        <row r="1701">
          <cell r="A1701">
            <v>34705</v>
          </cell>
          <cell r="B1701" t="str">
            <v xml:space="preserve">DISJUNTOR TERMOMAGNETICO TRIPOLAR 3  X 250 A/ICC - 25 KA                                                                                                                                                                                                                                                                                                                                                                                                                                                  </v>
          </cell>
          <cell r="C1701" t="str">
            <v xml:space="preserve">UN    </v>
          </cell>
          <cell r="D1701" t="str">
            <v>CR</v>
          </cell>
          <cell r="E1701" t="str">
            <v>682,84</v>
          </cell>
        </row>
        <row r="1702">
          <cell r="A1702">
            <v>34707</v>
          </cell>
          <cell r="B1702" t="str">
            <v xml:space="preserve">DISJUNTOR TERMOMAGNETICO TRIPOLAR 3 X 350 A/ICC - 25 KA                                                                                                                                                                                                                                                                                                                                                                                                                                                   </v>
          </cell>
          <cell r="C1702" t="str">
            <v xml:space="preserve">UN    </v>
          </cell>
          <cell r="D1702" t="str">
            <v>CR</v>
          </cell>
          <cell r="E1702" t="str">
            <v>1.265,32</v>
          </cell>
        </row>
        <row r="1703">
          <cell r="A1703">
            <v>2378</v>
          </cell>
          <cell r="B1703" t="str">
            <v xml:space="preserve">DISJUNTOR TERMOMAGNETICO TRIPOLAR 300 A / 600 V, TIPO JXD / ICC - 40 KA                                                                                                                                                                                                                                                                                                                                                                                                                                   </v>
          </cell>
          <cell r="C1703" t="str">
            <v xml:space="preserve">UN    </v>
          </cell>
          <cell r="D1703" t="str">
            <v>CR</v>
          </cell>
          <cell r="E1703" t="str">
            <v>1.072,41</v>
          </cell>
        </row>
        <row r="1704">
          <cell r="A1704">
            <v>2379</v>
          </cell>
          <cell r="B1704" t="str">
            <v xml:space="preserve">DISJUNTOR TERMOMAGNETICO TRIPOLAR 400 A / 600 V, TIPO JXD / ICC - 40 KA                                                                                                                                                                                                                                                                                                                                                                                                                                   </v>
          </cell>
          <cell r="C1704" t="str">
            <v xml:space="preserve">UN    </v>
          </cell>
          <cell r="D1704" t="str">
            <v>CR</v>
          </cell>
          <cell r="E1704" t="str">
            <v>1.072,41</v>
          </cell>
        </row>
        <row r="1705">
          <cell r="A1705">
            <v>2376</v>
          </cell>
          <cell r="B1705" t="str">
            <v xml:space="preserve">DISJUNTOR TERMOMAGNETICO TRIPOLAR 600 A / 600 V, TIPO LXD / ICC - 40 KA                                                                                                                                                                                                                                                                                                                                                                                                                                   </v>
          </cell>
          <cell r="C1705" t="str">
            <v xml:space="preserve">UN    </v>
          </cell>
          <cell r="D1705" t="str">
            <v>CR</v>
          </cell>
          <cell r="E1705" t="str">
            <v>1.766,26</v>
          </cell>
        </row>
        <row r="1706">
          <cell r="A1706">
            <v>2394</v>
          </cell>
          <cell r="B1706" t="str">
            <v xml:space="preserve">DISJUNTOR TERMOMAGNETICO TRIPOLAR 800 A / 600 V, TIPO LMXD                                                                                                                                                                                                                                                                                                                                                                                                                                                </v>
          </cell>
          <cell r="C1706" t="str">
            <v xml:space="preserve">UN    </v>
          </cell>
          <cell r="D1706" t="str">
            <v>CR</v>
          </cell>
          <cell r="E1706" t="str">
            <v>3.775,94</v>
          </cell>
        </row>
        <row r="1707">
          <cell r="A1707">
            <v>2388</v>
          </cell>
          <cell r="B1707" t="str">
            <v xml:space="preserve">DISJUNTOR TIPO NEMA, BIPOLAR 10  ATE  50 A, TENSAO MAXIMA 415 V                                                                                                                                                                                                                                                                                                                                                                                                                                           </v>
          </cell>
          <cell r="C1707" t="str">
            <v xml:space="preserve">UN    </v>
          </cell>
          <cell r="D1707" t="str">
            <v>CR</v>
          </cell>
          <cell r="E1707" t="str">
            <v>53,28</v>
          </cell>
        </row>
        <row r="1708">
          <cell r="A1708">
            <v>34606</v>
          </cell>
          <cell r="B1708" t="str">
            <v xml:space="preserve">DISJUNTOR TIPO NEMA, BIPOLAR 60 ATE 100A, TENSAO MAXIMA 415 V                                                                                                                                                                                                                                                                                                                                                                                                                                             </v>
          </cell>
          <cell r="C1708" t="str">
            <v xml:space="preserve">UN    </v>
          </cell>
          <cell r="D1708" t="str">
            <v>CR</v>
          </cell>
          <cell r="E1708" t="str">
            <v>81,73</v>
          </cell>
        </row>
        <row r="1709">
          <cell r="A1709">
            <v>34689</v>
          </cell>
          <cell r="B1709" t="str">
            <v xml:space="preserve">DISJUNTOR TIPO NEMA, MONOPOLAR DE 60 ATE 70A, TENSAO MAXIMA DE 240 V                                                                                                                                                                                                                                                                                                                                                                                                                                      </v>
          </cell>
          <cell r="C1709" t="str">
            <v xml:space="preserve">UN    </v>
          </cell>
          <cell r="D1709" t="str">
            <v>CR</v>
          </cell>
          <cell r="E1709" t="str">
            <v>26,02</v>
          </cell>
        </row>
        <row r="1710">
          <cell r="A1710">
            <v>2370</v>
          </cell>
          <cell r="B1710" t="str">
            <v xml:space="preserve">DISJUNTOR TIPO NEMA, MONOPOLAR 10 ATE 30A, TENSAO MAXIMA DE 240 V                                                                                                                                                                                                                                                                                                                                                                                                                                         </v>
          </cell>
          <cell r="C1710" t="str">
            <v xml:space="preserve">UN    </v>
          </cell>
          <cell r="D1710" t="str">
            <v xml:space="preserve">C </v>
          </cell>
          <cell r="E1710" t="str">
            <v>9,90</v>
          </cell>
        </row>
        <row r="1711">
          <cell r="A1711">
            <v>2386</v>
          </cell>
          <cell r="B1711" t="str">
            <v xml:space="preserve">DISJUNTOR TIPO NEMA, MONOPOLAR 35  ATE  50 A, TENSAO MAXIMA DE 240 V                                                                                                                                                                                                                                                                                                                                                                                                                                      </v>
          </cell>
          <cell r="C1711" t="str">
            <v xml:space="preserve">UN    </v>
          </cell>
          <cell r="D1711" t="str">
            <v>CR</v>
          </cell>
          <cell r="E1711" t="str">
            <v>16,60</v>
          </cell>
        </row>
        <row r="1712">
          <cell r="A1712">
            <v>2392</v>
          </cell>
          <cell r="B1712" t="str">
            <v xml:space="preserve">DISJUNTOR TIPO NEMA, TRIPOLAR 10  ATE  50A, TENSAO MAXIMA DE 415 V                                                                                                                                                                                                                                                                                                                                                                                                                                        </v>
          </cell>
          <cell r="C1712" t="str">
            <v xml:space="preserve">UN    </v>
          </cell>
          <cell r="D1712" t="str">
            <v>CR</v>
          </cell>
          <cell r="E1712" t="str">
            <v>66,45</v>
          </cell>
        </row>
        <row r="1713">
          <cell r="A1713">
            <v>2373</v>
          </cell>
          <cell r="B1713" t="str">
            <v xml:space="preserve">DISJUNTOR TIPO NEMA, TRIPOLAR 60 ATE 100 A, TENSAO MAXIMA DE 415 V                                                                                                                                                                                                                                                                                                                                                                                                                                        </v>
          </cell>
          <cell r="C1713" t="str">
            <v xml:space="preserve">UN    </v>
          </cell>
          <cell r="D1713" t="str">
            <v>CR</v>
          </cell>
          <cell r="E1713" t="str">
            <v>93,63</v>
          </cell>
        </row>
        <row r="1714">
          <cell r="A1714">
            <v>39465</v>
          </cell>
          <cell r="B1714" t="str">
            <v xml:space="preserve">DISPOSITIVO DPS CLASSE II, 1 POLO, TENSAO MAXIMA DE 175 V, CORRENTE MAXIMA DE *20* KA (TIPO AC)                                                                                                                                                                                                                                                                                                                                                                                                           </v>
          </cell>
          <cell r="C1714" t="str">
            <v xml:space="preserve">UN    </v>
          </cell>
          <cell r="D1714" t="str">
            <v>CR</v>
          </cell>
          <cell r="E1714" t="str">
            <v>57,20</v>
          </cell>
        </row>
        <row r="1715">
          <cell r="A1715">
            <v>39466</v>
          </cell>
          <cell r="B1715" t="str">
            <v xml:space="preserve">DISPOSITIVO DPS CLASSE II, 1 POLO, TENSAO MAXIMA DE 175 V, CORRENTE MAXIMA DE *30* KA (TIPO AC)                                                                                                                                                                                                                                                                                                                                                                                                           </v>
          </cell>
          <cell r="C1715" t="str">
            <v xml:space="preserve">UN    </v>
          </cell>
          <cell r="D1715" t="str">
            <v>CR</v>
          </cell>
          <cell r="E1715" t="str">
            <v>64,35</v>
          </cell>
        </row>
        <row r="1716">
          <cell r="A1716">
            <v>39467</v>
          </cell>
          <cell r="B1716" t="str">
            <v xml:space="preserve">DISPOSITIVO DPS CLASSE II, 1 POLO, TENSAO MAXIMA DE 175 V, CORRENTE MAXIMA DE *45* KA (TIPO AC)                                                                                                                                                                                                                                                                                                                                                                                                           </v>
          </cell>
          <cell r="C1716" t="str">
            <v xml:space="preserve">UN    </v>
          </cell>
          <cell r="D1716" t="str">
            <v>CR</v>
          </cell>
          <cell r="E1716" t="str">
            <v>82,31</v>
          </cell>
        </row>
        <row r="1717">
          <cell r="A1717">
            <v>39468</v>
          </cell>
          <cell r="B1717" t="str">
            <v xml:space="preserve">DISPOSITIVO DPS CLASSE II, 1 POLO, TENSAO MAXIMA DE 175 V, CORRENTE MAXIMA DE *90* KA (TIPO AC)                                                                                                                                                                                                                                                                                                                                                                                                           </v>
          </cell>
          <cell r="C1717" t="str">
            <v xml:space="preserve">UN    </v>
          </cell>
          <cell r="D1717" t="str">
            <v>CR</v>
          </cell>
          <cell r="E1717" t="str">
            <v>146,30</v>
          </cell>
        </row>
        <row r="1718">
          <cell r="A1718">
            <v>39469</v>
          </cell>
          <cell r="B1718" t="str">
            <v xml:space="preserve">DISPOSITIVO DPS CLASSE II, 1 POLO, TENSAO MAXIMA DE 275 V, CORRENTE MAXIMA DE *20* KA (TIPO AC)                                                                                                                                                                                                                                                                                                                                                                                                           </v>
          </cell>
          <cell r="C1718" t="str">
            <v xml:space="preserve">UN    </v>
          </cell>
          <cell r="D1718" t="str">
            <v>CR</v>
          </cell>
          <cell r="E1718" t="str">
            <v>59,59</v>
          </cell>
        </row>
        <row r="1719">
          <cell r="A1719">
            <v>39470</v>
          </cell>
          <cell r="B1719" t="str">
            <v xml:space="preserve">DISPOSITIVO DPS CLASSE II, 1 POLO, TENSAO MAXIMA DE 275 V, CORRENTE MAXIMA DE *30* KA (TIPO AC)                                                                                                                                                                                                                                                                                                                                                                                                           </v>
          </cell>
          <cell r="C1719" t="str">
            <v xml:space="preserve">UN    </v>
          </cell>
          <cell r="D1719" t="str">
            <v>CR</v>
          </cell>
          <cell r="E1719" t="str">
            <v>73,22</v>
          </cell>
        </row>
        <row r="1720">
          <cell r="A1720">
            <v>39471</v>
          </cell>
          <cell r="B1720" t="str">
            <v xml:space="preserve">DISPOSITIVO DPS CLASSE II, 1 POLO, TENSAO MAXIMA DE 275 V, CORRENTE MAXIMA DE *45* KA (TIPO AC)                                                                                                                                                                                                                                                                                                                                                                                                           </v>
          </cell>
          <cell r="C1720" t="str">
            <v xml:space="preserve">UN    </v>
          </cell>
          <cell r="D1720" t="str">
            <v>CR</v>
          </cell>
          <cell r="E1720" t="str">
            <v>88,00</v>
          </cell>
        </row>
        <row r="1721">
          <cell r="A1721">
            <v>39472</v>
          </cell>
          <cell r="B1721" t="str">
            <v xml:space="preserve">DISPOSITIVO DPS CLASSE II, 1 POLO, TENSAO MAXIMA DE 275 V, CORRENTE MAXIMA DE *90* KA (TIPO AC)                                                                                                                                                                                                                                                                                                                                                                                                           </v>
          </cell>
          <cell r="C1721" t="str">
            <v xml:space="preserve">UN    </v>
          </cell>
          <cell r="D1721" t="str">
            <v>CR</v>
          </cell>
          <cell r="E1721" t="str">
            <v>152,89</v>
          </cell>
        </row>
        <row r="1722">
          <cell r="A1722">
            <v>39473</v>
          </cell>
          <cell r="B1722" t="str">
            <v xml:space="preserve">DISPOSITIVO DPS CLASSE II, 1 POLO, TENSAO MAXIMA DE 385 V, CORRENTE MAXIMA DE *20* KA (TIPO AC)                                                                                                                                                                                                                                                                                                                                                                                                           </v>
          </cell>
          <cell r="C1722" t="str">
            <v xml:space="preserve">UN    </v>
          </cell>
          <cell r="D1722" t="str">
            <v>CR</v>
          </cell>
          <cell r="E1722" t="str">
            <v>98,77</v>
          </cell>
        </row>
        <row r="1723">
          <cell r="A1723">
            <v>39474</v>
          </cell>
          <cell r="B1723" t="str">
            <v xml:space="preserve">DISPOSITIVO DPS CLASSE II, 1 POLO, TENSAO MAXIMA DE 385 V, CORRENTE MAXIMA DE *30* KA (TIPO AC)                                                                                                                                                                                                                                                                                                                                                                                                           </v>
          </cell>
          <cell r="C1723" t="str">
            <v xml:space="preserve">UN    </v>
          </cell>
          <cell r="D1723" t="str">
            <v>CR</v>
          </cell>
          <cell r="E1723" t="str">
            <v>105,29</v>
          </cell>
        </row>
        <row r="1724">
          <cell r="A1724">
            <v>39475</v>
          </cell>
          <cell r="B1724" t="str">
            <v xml:space="preserve">DISPOSITIVO DPS CLASSE II, 1 POLO, TENSAO MAXIMA DE 385 V, CORRENTE MAXIMA DE *45* KA (TIPO AC)                                                                                                                                                                                                                                                                                                                                                                                                           </v>
          </cell>
          <cell r="C1724" t="str">
            <v xml:space="preserve">UN    </v>
          </cell>
          <cell r="D1724" t="str">
            <v>CR</v>
          </cell>
          <cell r="E1724" t="str">
            <v>119,47</v>
          </cell>
        </row>
        <row r="1725">
          <cell r="A1725">
            <v>39476</v>
          </cell>
          <cell r="B1725" t="str">
            <v xml:space="preserve">DISPOSITIVO DPS CLASSE II, 1 POLO, TENSAO MAXIMA DE 385 V, CORRENTE MAXIMA DE *90* KA (TIPO AC)                                                                                                                                                                                                                                                                                                                                                                                                           </v>
          </cell>
          <cell r="C1725" t="str">
            <v xml:space="preserve">UN    </v>
          </cell>
          <cell r="D1725" t="str">
            <v>CR</v>
          </cell>
          <cell r="E1725" t="str">
            <v>224,89</v>
          </cell>
        </row>
        <row r="1726">
          <cell r="A1726">
            <v>39477</v>
          </cell>
          <cell r="B1726" t="str">
            <v xml:space="preserve">DISPOSITIVO DPS CLASSE II, 1 POLO, TENSAO MAXIMA DE 460 V, CORRENTE MAXIMA DE *20* KA (TIPO AC)                                                                                                                                                                                                                                                                                                                                                                                                           </v>
          </cell>
          <cell r="C1726" t="str">
            <v xml:space="preserve">UN    </v>
          </cell>
          <cell r="D1726" t="str">
            <v>CR</v>
          </cell>
          <cell r="E1726" t="str">
            <v>110,19</v>
          </cell>
        </row>
        <row r="1727">
          <cell r="A1727">
            <v>39478</v>
          </cell>
          <cell r="B1727" t="str">
            <v xml:space="preserve">DISPOSITIVO DPS CLASSE II, 1 POLO, TENSAO MAXIMA DE 460 V, CORRENTE MAXIMA DE *30* KA (TIPO AC)                                                                                                                                                                                                                                                                                                                                                                                                           </v>
          </cell>
          <cell r="C1727" t="str">
            <v xml:space="preserve">UN    </v>
          </cell>
          <cell r="D1727" t="str">
            <v>CR</v>
          </cell>
          <cell r="E1727" t="str">
            <v>113,60</v>
          </cell>
        </row>
        <row r="1728">
          <cell r="A1728">
            <v>39479</v>
          </cell>
          <cell r="B1728" t="str">
            <v xml:space="preserve">DISPOSITIVO DPS CLASSE II, 1 POLO, TENSAO MAXIMA DE 460 V, CORRENTE MAXIMA DE *45* KA (TIPO AC)                                                                                                                                                                                                                                                                                                                                                                                                           </v>
          </cell>
          <cell r="C1728" t="str">
            <v xml:space="preserve">UN    </v>
          </cell>
          <cell r="D1728" t="str">
            <v>CR</v>
          </cell>
          <cell r="E1728" t="str">
            <v>133,84</v>
          </cell>
        </row>
        <row r="1729">
          <cell r="A1729">
            <v>39480</v>
          </cell>
          <cell r="B1729" t="str">
            <v xml:space="preserve">DISPOSITIVO DPS CLASSE II, 1 POLO, TENSAO MAXIMA DE 460 V, CORRENTE MAXIMA DE *90* KA (TIPO AC)                                                                                                                                                                                                                                                                                                                                                                                                           </v>
          </cell>
          <cell r="C1729" t="str">
            <v xml:space="preserve">UN    </v>
          </cell>
          <cell r="D1729" t="str">
            <v>CR</v>
          </cell>
          <cell r="E1729" t="str">
            <v>276,18</v>
          </cell>
        </row>
        <row r="1730">
          <cell r="A1730">
            <v>39459</v>
          </cell>
          <cell r="B1730" t="str">
            <v xml:space="preserve">DISPOSITIVO DR, 2 POLOS, SENSIBILIDADE DE 30 MA, CORRENTE DE 100 A, TIPO AC                                                                                                                                                                                                                                                                                                                                                                                                                               </v>
          </cell>
          <cell r="C1730" t="str">
            <v xml:space="preserve">UN    </v>
          </cell>
          <cell r="D1730" t="str">
            <v>CR</v>
          </cell>
          <cell r="E1730" t="str">
            <v>234,41</v>
          </cell>
        </row>
        <row r="1731">
          <cell r="A1731">
            <v>39445</v>
          </cell>
          <cell r="B1731" t="str">
            <v xml:space="preserve">DISPOSITIVO DR, 2 POLOS, SENSIBILIDADE DE 30 MA, CORRENTE DE 25 A, TIPO AC                                                                                                                                                                                                                                                                                                                                                                                                                                </v>
          </cell>
          <cell r="C1731" t="str">
            <v xml:space="preserve">UN    </v>
          </cell>
          <cell r="D1731" t="str">
            <v>CR</v>
          </cell>
          <cell r="E1731" t="str">
            <v>117,70</v>
          </cell>
        </row>
        <row r="1732">
          <cell r="A1732">
            <v>39446</v>
          </cell>
          <cell r="B1732" t="str">
            <v xml:space="preserve">DISPOSITIVO DR, 2 POLOS, SENSIBILIDADE DE 30 MA, CORRENTE DE 40 A, TIPO AC                                                                                                                                                                                                                                                                                                                                                                                                                                </v>
          </cell>
          <cell r="C1732" t="str">
            <v xml:space="preserve">UN    </v>
          </cell>
          <cell r="D1732" t="str">
            <v>CR</v>
          </cell>
          <cell r="E1732" t="str">
            <v>119,79</v>
          </cell>
        </row>
        <row r="1733">
          <cell r="A1733">
            <v>39447</v>
          </cell>
          <cell r="B1733" t="str">
            <v xml:space="preserve">DISPOSITIVO DR, 2 POLOS, SENSIBILIDADE DE 30 MA, CORRENTE DE 63 A, TIPO AC                                                                                                                                                                                                                                                                                                                                                                                                                                </v>
          </cell>
          <cell r="C1733" t="str">
            <v xml:space="preserve">UN    </v>
          </cell>
          <cell r="D1733" t="str">
            <v>CR</v>
          </cell>
          <cell r="E1733" t="str">
            <v>128,10</v>
          </cell>
        </row>
        <row r="1734">
          <cell r="A1734">
            <v>39448</v>
          </cell>
          <cell r="B1734" t="str">
            <v xml:space="preserve">DISPOSITIVO DR, 2 POLOS, SENSIBILIDADE DE 30 MA, CORRENTE DE 80 A, TIPO AC                                                                                                                                                                                                                                                                                                                                                                                                                                </v>
          </cell>
          <cell r="C1734" t="str">
            <v xml:space="preserve">UN    </v>
          </cell>
          <cell r="D1734" t="str">
            <v>CR</v>
          </cell>
          <cell r="E1734" t="str">
            <v>218,44</v>
          </cell>
        </row>
        <row r="1735">
          <cell r="A1735">
            <v>39450</v>
          </cell>
          <cell r="B1735" t="str">
            <v xml:space="preserve">DISPOSITIVO DR, 2 POLOS, SENSIBILIDADE DE 300 MA, CORRENTE DE 25 A, TIPO AC                                                                                                                                                                                                                                                                                                                                                                                                                               </v>
          </cell>
          <cell r="C1735" t="str">
            <v xml:space="preserve">UN    </v>
          </cell>
          <cell r="D1735" t="str">
            <v>CR</v>
          </cell>
          <cell r="E1735" t="str">
            <v>133,27</v>
          </cell>
        </row>
        <row r="1736">
          <cell r="A1736">
            <v>39451</v>
          </cell>
          <cell r="B1736" t="str">
            <v xml:space="preserve">DISPOSITIVO DR, 2 POLOS, SENSIBILIDADE DE 300 MA, CORRENTE DE 40 A, TIPO AC                                                                                                                                                                                                                                                                                                                                                                                                                               </v>
          </cell>
          <cell r="C1736" t="str">
            <v xml:space="preserve">UN    </v>
          </cell>
          <cell r="D1736" t="str">
            <v>CR</v>
          </cell>
          <cell r="E1736" t="str">
            <v>145,36</v>
          </cell>
        </row>
        <row r="1737">
          <cell r="A1737">
            <v>39452</v>
          </cell>
          <cell r="B1737" t="str">
            <v xml:space="preserve">DISPOSITIVO DR, 2 POLOS, SENSIBILIDADE DE 300 MA, CORRENTE DE 63 A, TIPO AC                                                                                                                                                                                                                                                                                                                                                                                                                               </v>
          </cell>
          <cell r="C1737" t="str">
            <v xml:space="preserve">UN    </v>
          </cell>
          <cell r="D1737" t="str">
            <v>CR</v>
          </cell>
          <cell r="E1737" t="str">
            <v>146,23</v>
          </cell>
        </row>
        <row r="1738">
          <cell r="A1738">
            <v>39523</v>
          </cell>
          <cell r="B1738" t="str">
            <v xml:space="preserve">DISPOSITIVO DR, 2 POLOS, SENSIBILIDADE DE 300 MA, CORRENTE DE 80 A, TIPO  AC                                                                                                                                                                                                                                                                                                                                                                                                                              </v>
          </cell>
          <cell r="C1738" t="str">
            <v xml:space="preserve">UN    </v>
          </cell>
          <cell r="D1738" t="str">
            <v>CR</v>
          </cell>
          <cell r="E1738" t="str">
            <v>244,71</v>
          </cell>
        </row>
        <row r="1739">
          <cell r="A1739">
            <v>39449</v>
          </cell>
          <cell r="B1739" t="str">
            <v xml:space="preserve">DISPOSITIVO DR, 4 POLOS, SENSIBILIDADE DE 30 MA, CORRENTE DE 100 A, TIPO AC                                                                                                                                                                                                                                                                                                                                                                                                                               </v>
          </cell>
          <cell r="C1739" t="str">
            <v xml:space="preserve">UN    </v>
          </cell>
          <cell r="D1739" t="str">
            <v>CR</v>
          </cell>
          <cell r="E1739" t="str">
            <v>271,00</v>
          </cell>
        </row>
        <row r="1740">
          <cell r="A1740">
            <v>39455</v>
          </cell>
          <cell r="B1740" t="str">
            <v xml:space="preserve">DISPOSITIVO DR, 4 POLOS, SENSIBILIDADE DE 30 MA, CORRENTE DE 25 A, TIPO AC                                                                                                                                                                                                                                                                                                                                                                                                                                </v>
          </cell>
          <cell r="C1740" t="str">
            <v xml:space="preserve">UN    </v>
          </cell>
          <cell r="D1740" t="str">
            <v>CR</v>
          </cell>
          <cell r="E1740" t="str">
            <v>134,10</v>
          </cell>
        </row>
        <row r="1741">
          <cell r="A1741">
            <v>39456</v>
          </cell>
          <cell r="B1741" t="str">
            <v xml:space="preserve">DISPOSITIVO DR, 4 POLOS, SENSIBILIDADE DE 30 MA, CORRENTE DE 40 A, TIPO AC                                                                                                                                                                                                                                                                                                                                                                                                                                </v>
          </cell>
          <cell r="C1741" t="str">
            <v xml:space="preserve">UN    </v>
          </cell>
          <cell r="D1741" t="str">
            <v>CR</v>
          </cell>
          <cell r="E1741" t="str">
            <v>134,20</v>
          </cell>
        </row>
        <row r="1742">
          <cell r="A1742">
            <v>39457</v>
          </cell>
          <cell r="B1742" t="str">
            <v xml:space="preserve">DISPOSITIVO DR, 4 POLOS, SENSIBILIDADE DE 30 MA, CORRENTE DE 63 A, TIPO AC                                                                                                                                                                                                                                                                                                                                                                                                                                </v>
          </cell>
          <cell r="C1742" t="str">
            <v xml:space="preserve">UN    </v>
          </cell>
          <cell r="D1742" t="str">
            <v>CR</v>
          </cell>
          <cell r="E1742" t="str">
            <v>146,30</v>
          </cell>
        </row>
        <row r="1743">
          <cell r="A1743">
            <v>39458</v>
          </cell>
          <cell r="B1743" t="str">
            <v xml:space="preserve">DISPOSITIVO DR, 4 POLOS, SENSIBILIDADE DE 30 MA, CORRENTE DE 80 A, TIPO AC                                                                                                                                                                                                                                                                                                                                                                                                                                </v>
          </cell>
          <cell r="C1743" t="str">
            <v xml:space="preserve">UN    </v>
          </cell>
          <cell r="D1743" t="str">
            <v>CR</v>
          </cell>
          <cell r="E1743" t="str">
            <v>273,00</v>
          </cell>
        </row>
        <row r="1744">
          <cell r="A1744">
            <v>39464</v>
          </cell>
          <cell r="B1744" t="str">
            <v xml:space="preserve">DISPOSITIVO DR, 4 POLOS, SENSIBILIDADE DE 300 MA, CORRENTE DE 100 A, TIPO AC                                                                                                                                                                                                                                                                                                                                                                                                                              </v>
          </cell>
          <cell r="C1744" t="str">
            <v xml:space="preserve">UN    </v>
          </cell>
          <cell r="D1744" t="str">
            <v>CR</v>
          </cell>
          <cell r="E1744" t="str">
            <v>439,00</v>
          </cell>
        </row>
        <row r="1745">
          <cell r="A1745">
            <v>39460</v>
          </cell>
          <cell r="B1745" t="str">
            <v xml:space="preserve">DISPOSITIVO DR, 4 POLOS, SENSIBILIDADE DE 300 MA, CORRENTE DE 25 A, TIPO AC                                                                                                                                                                                                                                                                                                                                                                                                                               </v>
          </cell>
          <cell r="C1745" t="str">
            <v xml:space="preserve">UN    </v>
          </cell>
          <cell r="D1745" t="str">
            <v>CR</v>
          </cell>
          <cell r="E1745" t="str">
            <v>166,50</v>
          </cell>
        </row>
        <row r="1746">
          <cell r="A1746">
            <v>39461</v>
          </cell>
          <cell r="B1746" t="str">
            <v xml:space="preserve">DISPOSITIVO DR, 4 POLOS, SENSIBILIDADE DE 300 MA, CORRENTE DE 40 A, TIPO AC                                                                                                                                                                                                                                                                                                                                                                                                                               </v>
          </cell>
          <cell r="C1746" t="str">
            <v xml:space="preserve">UN    </v>
          </cell>
          <cell r="D1746" t="str">
            <v>CR</v>
          </cell>
          <cell r="E1746" t="str">
            <v>195,10</v>
          </cell>
        </row>
        <row r="1747">
          <cell r="A1747">
            <v>39462</v>
          </cell>
          <cell r="B1747" t="str">
            <v xml:space="preserve">DISPOSITIVO DR, 4 POLOS, SENSIBILIDADE DE 300 MA, CORRENTE DE 63 A, TIPO AC                                                                                                                                                                                                                                                                                                                                                                                                                               </v>
          </cell>
          <cell r="C1747" t="str">
            <v xml:space="preserve">UN    </v>
          </cell>
          <cell r="D1747" t="str">
            <v>CR</v>
          </cell>
          <cell r="E1747" t="str">
            <v>188,03</v>
          </cell>
        </row>
        <row r="1748">
          <cell r="A1748">
            <v>39463</v>
          </cell>
          <cell r="B1748" t="str">
            <v xml:space="preserve">DISPOSITIVO DR, 4 POLOS, SENSIBILIDADE DE 300 MA, CORRENTE DE 80 A, TIPO AC                                                                                                                                                                                                                                                                                                                                                                                                                               </v>
          </cell>
          <cell r="C1748" t="str">
            <v xml:space="preserve">UN    </v>
          </cell>
          <cell r="D1748" t="str">
            <v>CR</v>
          </cell>
          <cell r="E1748" t="str">
            <v>435,60</v>
          </cell>
        </row>
        <row r="1749">
          <cell r="A1749">
            <v>26039</v>
          </cell>
          <cell r="B1749" t="str">
            <v xml:space="preserve">DISTRIBUIDOR DE AGREGADOS AUTOPROPELIDO, CAP 3 M3, A DIESEL, 6 CC, 176 CV                                                                                                                                                                                                                                                                                                                                                                                                                                 </v>
          </cell>
          <cell r="C1749" t="str">
            <v xml:space="preserve">UN    </v>
          </cell>
          <cell r="D1749" t="str">
            <v>CR</v>
          </cell>
          <cell r="E1749" t="str">
            <v>391.246,87</v>
          </cell>
        </row>
        <row r="1750">
          <cell r="A1750">
            <v>2401</v>
          </cell>
          <cell r="B1750" t="str">
            <v xml:space="preserve">DISTRIBUIDOR DE AGREGADOS REBOCAVEL, CAPACIDADE 1,9 M3, LARGURA DE TRABALHO 3,66 M                                                                                                                                                                                                                                                                                                                                                                                                                        </v>
          </cell>
          <cell r="C1750" t="str">
            <v xml:space="preserve">UN    </v>
          </cell>
          <cell r="D1750" t="str">
            <v>CR</v>
          </cell>
          <cell r="E1750" t="str">
            <v>89.991,11</v>
          </cell>
        </row>
        <row r="1751">
          <cell r="A1751">
            <v>38870</v>
          </cell>
          <cell r="B1751" t="str">
            <v xml:space="preserve">DISTRIBUIDOR METALICO, COM ROSCA, 2 SAIDAS, DN 1" X 1/2", PARA CONEXAO COM ANEL DESLIZANTE EM TUBO PEX PARA INST. AGUA QUENTE/FRIA                                                                                                                                                                                                                                                                                                                                                                        </v>
          </cell>
          <cell r="C1751" t="str">
            <v xml:space="preserve">UN    </v>
          </cell>
          <cell r="D1751" t="str">
            <v>CR</v>
          </cell>
          <cell r="E1751" t="str">
            <v>29,51</v>
          </cell>
        </row>
        <row r="1752">
          <cell r="A1752">
            <v>38869</v>
          </cell>
          <cell r="B1752" t="str">
            <v xml:space="preserve">DISTRIBUIDOR METALICO, COM ROSCA, 2 SAIDAS, DN 3/4" X 1/2", PARA CONEXAO COM ANEL DESLIZANTE EM TUBO PEX PARA INST. AGUA QUENTE/FRIA                                                                                                                                                                                                                                                                                                                                                                      </v>
          </cell>
          <cell r="C1752" t="str">
            <v xml:space="preserve">UN    </v>
          </cell>
          <cell r="D1752" t="str">
            <v>CR</v>
          </cell>
          <cell r="E1752" t="str">
            <v>19,91</v>
          </cell>
        </row>
        <row r="1753">
          <cell r="A1753">
            <v>38872</v>
          </cell>
          <cell r="B1753" t="str">
            <v xml:space="preserve">DISTRIBUIDOR METALICO, COM ROSCA, 3 SAIDAS, DN 1" X 1/2", PARA CONEXAO COM ANEL DESLIZANTE EM TUBO PEX PARA INST. AGUA QUENTE/FRIA                                                                                                                                                                                                                                                                                                                                                                        </v>
          </cell>
          <cell r="C1753" t="str">
            <v xml:space="preserve">UN    </v>
          </cell>
          <cell r="D1753" t="str">
            <v>CR</v>
          </cell>
          <cell r="E1753" t="str">
            <v>37,59</v>
          </cell>
        </row>
        <row r="1754">
          <cell r="A1754">
            <v>38871</v>
          </cell>
          <cell r="B1754" t="str">
            <v xml:space="preserve">DISTRIBUIDOR METALICO, COM ROSCA, 3 SAIDAS, DN 3/4" X 1/2", PARA CONEXAO COM ANEL DESLIZANTE EM TUBO PEX PARA INST. AGUA QUENTE/FRIA                                                                                                                                                                                                                                                                                                                                                                      </v>
          </cell>
          <cell r="C1754" t="str">
            <v xml:space="preserve">UN    </v>
          </cell>
          <cell r="D1754" t="str">
            <v>CR</v>
          </cell>
          <cell r="E1754" t="str">
            <v>25,99</v>
          </cell>
        </row>
        <row r="1755">
          <cell r="A1755">
            <v>39283</v>
          </cell>
          <cell r="B1755" t="str">
            <v xml:space="preserve">DISTRIBUIDOR, PLASTICO, 2 SAIDAS, DN 32 X 16 MM, PARA CONEXAO COM CRIMPAGEM, EM TUBO PEX PARA INST. AGUA QUENTE/FRIA                                                                                                                                                                                                                                                                                                                                                                                      </v>
          </cell>
          <cell r="C1755" t="str">
            <v xml:space="preserve">UN    </v>
          </cell>
          <cell r="D1755" t="str">
            <v>CR</v>
          </cell>
          <cell r="E1755" t="str">
            <v>121,76</v>
          </cell>
        </row>
        <row r="1756">
          <cell r="A1756">
            <v>39285</v>
          </cell>
          <cell r="B1756" t="str">
            <v xml:space="preserve">DISTRIBUIDOR, PLASTICO, 2 SAIDAS, DN 32 X 25 MM, PARA CONEXAO COM CRIMPAGEM, EM TUBO PEX PARA INST. AGUA QUENTE/FRIA                                                                                                                                                                                                                                                                                                                                                                                      </v>
          </cell>
          <cell r="C1756" t="str">
            <v xml:space="preserve">UN    </v>
          </cell>
          <cell r="D1756" t="str">
            <v>CR</v>
          </cell>
          <cell r="E1756" t="str">
            <v>139,16</v>
          </cell>
        </row>
        <row r="1757">
          <cell r="A1757">
            <v>39286</v>
          </cell>
          <cell r="B1757" t="str">
            <v xml:space="preserve">DISTRIBUIDOR, PLASTICO, 3 SAIDAS, DN 32 X 16 MM, PARA CONEXAO COM CRIMPAGEM, EM TUBO PEX PARA INST. AGUA QUENTE/FRIA                                                                                                                                                                                                                                                                                                                                                                                      </v>
          </cell>
          <cell r="C1757" t="str">
            <v xml:space="preserve">UN    </v>
          </cell>
          <cell r="D1757" t="str">
            <v>CR</v>
          </cell>
          <cell r="E1757" t="str">
            <v>133,37</v>
          </cell>
        </row>
        <row r="1758">
          <cell r="A1758">
            <v>39288</v>
          </cell>
          <cell r="B1758" t="str">
            <v xml:space="preserve">DISTRIBUIDOR, PLASTICO, 3 SAIDAS, DN 32 X 25 MM, PARA CONEXAO COM CRIMPAGEM, EM TUBO PEX PARA INST. AGUA QUENTE/FRIA                                                                                                                                                                                                                                                                                                                                                                                      </v>
          </cell>
          <cell r="C1758" t="str">
            <v xml:space="preserve">UN    </v>
          </cell>
          <cell r="D1758" t="str">
            <v>CR</v>
          </cell>
          <cell r="E1758" t="str">
            <v>162,34</v>
          </cell>
        </row>
        <row r="1759">
          <cell r="A1759">
            <v>44476</v>
          </cell>
          <cell r="B1759" t="str">
            <v xml:space="preserve">DIVISORIA EM GRANITO, COM DUAS FACES POLIDAS, TIPO ANDORINHA/ QUARTZ/ CASTELO/ CORUMBA OU OUTROS EQUIVALENTES DA REGIAO, E=  *3,0*  CM                                                                                                                                                                                                                                                                                                                                                                    </v>
          </cell>
          <cell r="C1759" t="str">
            <v xml:space="preserve">M2    </v>
          </cell>
          <cell r="D1759" t="str">
            <v>CR</v>
          </cell>
          <cell r="E1759" t="str">
            <v>757,01</v>
          </cell>
        </row>
        <row r="1760">
          <cell r="A1760">
            <v>10629</v>
          </cell>
          <cell r="B1760" t="str">
            <v xml:space="preserve">DIVISORIA EM MARMORE, COM DUAS FACES POLIDAS, BRANCO COMUM, E=  *3,0* CM                                                                                                                                                                                                                                                                                                                                                                                                                                  </v>
          </cell>
          <cell r="C1760" t="str">
            <v xml:space="preserve">M2    </v>
          </cell>
          <cell r="D1760" t="str">
            <v>CR</v>
          </cell>
          <cell r="E1760" t="str">
            <v>815,31</v>
          </cell>
        </row>
        <row r="1761">
          <cell r="A1761">
            <v>10698</v>
          </cell>
          <cell r="B1761" t="str">
            <v xml:space="preserve">DIVISORIA, PLACA  PRE-MOLDADA EM GRANILITE, MARMORITE OU GRANITINA,  E = *3 CM                                                                                                                                                                                                                                                                                                                                                                                                                            </v>
          </cell>
          <cell r="C1761" t="str">
            <v xml:space="preserve">M2    </v>
          </cell>
          <cell r="D1761" t="str">
            <v>CR</v>
          </cell>
          <cell r="E1761" t="str">
            <v>229,56</v>
          </cell>
        </row>
        <row r="1762">
          <cell r="A1762">
            <v>40521</v>
          </cell>
          <cell r="B1762" t="str">
            <v xml:space="preserve">DOBRADEIRA ELETROMECANICA DE VERGALHAO, PARA ACO DE DIAMETRO ATE 1 1/2", MOTOR ELETRICO TRIFASICO, POTENCIA DE 3 HP ATE 5 HP                                                                                                                                                                                                                                                                                                                                                                              </v>
          </cell>
          <cell r="C1762" t="str">
            <v xml:space="preserve">UN    </v>
          </cell>
          <cell r="D1762" t="str">
            <v>CR</v>
          </cell>
          <cell r="E1762" t="str">
            <v>102.600,00</v>
          </cell>
        </row>
        <row r="1763">
          <cell r="A1763">
            <v>2432</v>
          </cell>
          <cell r="B1763" t="str">
            <v xml:space="preserve">DOBRADICA EM ACO/FERRO, 3 1/2" X  3", E= 1,9  A 2 MM, COM ANEL,  CROMADO OU ZINCADO, TAMPA BOLA, COM PARAFUSOS                                                                                                                                                                                                                                                                                                                                                                                            </v>
          </cell>
          <cell r="C1763" t="str">
            <v xml:space="preserve">UN    </v>
          </cell>
          <cell r="D1763" t="str">
            <v>CR</v>
          </cell>
          <cell r="E1763" t="str">
            <v>31,77</v>
          </cell>
        </row>
        <row r="1764">
          <cell r="A1764">
            <v>2433</v>
          </cell>
          <cell r="B1764" t="str">
            <v xml:space="preserve">DOBRADICA EM ACO/FERRO, 3" X 2 1/2", E= 1,2 A 1,8 MM, SEM ANEL,  CROMADO OU ZINCADO, TAMPA CHATA, COM PARAFUSOS                                                                                                                                                                                                                                                                                                                                                                                           </v>
          </cell>
          <cell r="C1764" t="str">
            <v xml:space="preserve">UN    </v>
          </cell>
          <cell r="D1764" t="str">
            <v>CR</v>
          </cell>
          <cell r="E1764" t="str">
            <v>10,76</v>
          </cell>
        </row>
        <row r="1765">
          <cell r="A1765">
            <v>2418</v>
          </cell>
          <cell r="B1765" t="str">
            <v xml:space="preserve">DOBRADICA EM ACO/FERRO, 3" X 2 1/2", E= 1,2 A 1,8 MM, SEM ANEL, CROMADO OU ZINCADO, TAMPA BOLA, COM PARAFUSOS                                                                                                                                                                                                                                                                                                                                                                                             </v>
          </cell>
          <cell r="C1765" t="str">
            <v xml:space="preserve">UN    </v>
          </cell>
          <cell r="D1765" t="str">
            <v xml:space="preserve">C </v>
          </cell>
          <cell r="E1765" t="str">
            <v>14,74</v>
          </cell>
        </row>
        <row r="1766">
          <cell r="A1766">
            <v>2420</v>
          </cell>
          <cell r="B1766" t="str">
            <v xml:space="preserve">DOBRADICA EM ACO/FERRO, 3" X 2 1/2", E= 1,9 A 2 MM, SEM ANEL,  CROMADO OU ZINCADO, TAMPA BOLA, COM PARAFUSOS                                                                                                                                                                                                                                                                                                                                                                                              </v>
          </cell>
          <cell r="C1766" t="str">
            <v xml:space="preserve">UN    </v>
          </cell>
          <cell r="D1766" t="str">
            <v>CR</v>
          </cell>
          <cell r="E1766" t="str">
            <v>18,49</v>
          </cell>
        </row>
        <row r="1767">
          <cell r="A1767">
            <v>11447</v>
          </cell>
          <cell r="B1767" t="str">
            <v xml:space="preserve">DOBRADICA EM LATAO, 3 " X 2 1/2 ", E= 1,9 A 2 MM, COM ANEL, CROMADO, TAMPA BOLA, COM PARAFUSOS                                                                                                                                                                                                                                                                                                                                                                                                            </v>
          </cell>
          <cell r="C1767" t="str">
            <v xml:space="preserve">UN    </v>
          </cell>
          <cell r="D1767" t="str">
            <v>CR</v>
          </cell>
          <cell r="E1767" t="str">
            <v>36,53</v>
          </cell>
        </row>
        <row r="1768">
          <cell r="A1768">
            <v>11451</v>
          </cell>
          <cell r="B1768" t="str">
            <v xml:space="preserve">DOBRADICA TIPO VAI-E-VEM EM ACO/FERRO, TAMANHO 3'', GALVANIZADO, COM PARAFUSOS                                                                                                                                                                                                                                                                                                                                                                                                                            </v>
          </cell>
          <cell r="C1768" t="str">
            <v xml:space="preserve">UN    </v>
          </cell>
          <cell r="D1768" t="str">
            <v>CR</v>
          </cell>
          <cell r="E1768" t="str">
            <v>97,95</v>
          </cell>
        </row>
        <row r="1769">
          <cell r="A1769">
            <v>11116</v>
          </cell>
          <cell r="B1769" t="str">
            <v xml:space="preserve">DOMOS INDIVIDUAL EM ACRILICO BRANCO *95 X 95* CM, SEM INSTALACAO                                                                                                                                                                                                                                                                                                                                                                                                                                          </v>
          </cell>
          <cell r="C1769" t="str">
            <v xml:space="preserve">UN    </v>
          </cell>
          <cell r="D1769" t="str">
            <v>CR</v>
          </cell>
          <cell r="E1769" t="str">
            <v>805,43</v>
          </cell>
        </row>
        <row r="1770">
          <cell r="A1770">
            <v>38411</v>
          </cell>
          <cell r="B1770" t="str">
            <v xml:space="preserve">DOSADOR DE AREIA, CAPACIDADE DE *26* LITROS                                                                                                                                                                                                                                                                                                                                                                                                                                                               </v>
          </cell>
          <cell r="C1770" t="str">
            <v xml:space="preserve">UN    </v>
          </cell>
          <cell r="D1770" t="str">
            <v>CR</v>
          </cell>
          <cell r="E1770" t="str">
            <v>1.590,28</v>
          </cell>
        </row>
        <row r="1771">
          <cell r="A1771">
            <v>38189</v>
          </cell>
          <cell r="B1771" t="str">
            <v xml:space="preserve">DUCHA / CHUVEIRO METALICO, DE PAREDE, ARTICULAVEL, COM BRACO/CANO, SEM DESVIADOR                                                                                                                                                                                                                                                                                                                                                                                                                          </v>
          </cell>
          <cell r="C1771" t="str">
            <v xml:space="preserve">UN    </v>
          </cell>
          <cell r="D1771" t="str">
            <v>CR</v>
          </cell>
          <cell r="E1771" t="str">
            <v>144,65</v>
          </cell>
        </row>
        <row r="1772">
          <cell r="A1772">
            <v>38190</v>
          </cell>
          <cell r="B1772" t="str">
            <v xml:space="preserve">DUCHA / CHUVEIRO METALICO, DE PAREDE, ARTICULAVEL, COM DESVIADOR E DUCHA MANUAL                                                                                                                                                                                                                                                                                                                                                                                                                           </v>
          </cell>
          <cell r="C1772" t="str">
            <v xml:space="preserve">UN    </v>
          </cell>
          <cell r="D1772" t="str">
            <v>CR</v>
          </cell>
          <cell r="E1772" t="str">
            <v>304,73</v>
          </cell>
        </row>
        <row r="1773">
          <cell r="A1773">
            <v>7608</v>
          </cell>
          <cell r="B1773" t="str">
            <v xml:space="preserve">DUCHA / CHUVEIRO PLASTICO SIMPLES, 5 '', BRANCO, PARA ACOPLAR EM HASTE 1/2 ", AGUA FRIA                                                                                                                                                                                                                                                                                                                                                                                                                   </v>
          </cell>
          <cell r="C1773" t="str">
            <v xml:space="preserve">UN    </v>
          </cell>
          <cell r="D1773" t="str">
            <v>CR</v>
          </cell>
          <cell r="E1773" t="str">
            <v>13,13</v>
          </cell>
        </row>
        <row r="1774">
          <cell r="A1774">
            <v>1370</v>
          </cell>
          <cell r="B1774" t="str">
            <v xml:space="preserve">DUCHA HIGIENICA PLASTICA COM REGISTRO METALICO 1/2 "                                                                                                                                                                                                                                                                                                                                                                                                                                                      </v>
          </cell>
          <cell r="C1774" t="str">
            <v xml:space="preserve">UN    </v>
          </cell>
          <cell r="D1774" t="str">
            <v>CR</v>
          </cell>
          <cell r="E1774" t="str">
            <v>122,42</v>
          </cell>
        </row>
        <row r="1775">
          <cell r="A1775">
            <v>36516</v>
          </cell>
          <cell r="B1775" t="str">
            <v xml:space="preserve">DUMPER COM CAPACIDADE DE CARGA DE 1700 KG, PARTIDA ELETRICA, MOTOR DIESEL COM POTENCIA DE 16 CV                                                                                                                                                                                                                                                                                                                                                                                                           </v>
          </cell>
          <cell r="C1775" t="str">
            <v xml:space="preserve">UN    </v>
          </cell>
          <cell r="D1775" t="str">
            <v>CR</v>
          </cell>
          <cell r="E1775" t="str">
            <v>130.448,97</v>
          </cell>
        </row>
        <row r="1776">
          <cell r="A1776">
            <v>34777</v>
          </cell>
          <cell r="B1776" t="str">
            <v xml:space="preserve">ELEMENTO VAZADO CERAMICO DIAGONAL (TIPO FLOR/QUADRADO/XIS) 25 X 18 X 7 CM                                                                                                                                                                                                                                                                                                                                                                                                                                 </v>
          </cell>
          <cell r="C1776" t="str">
            <v xml:space="preserve">UN    </v>
          </cell>
          <cell r="D1776" t="str">
            <v>CR</v>
          </cell>
          <cell r="E1776" t="str">
            <v>2,87</v>
          </cell>
        </row>
        <row r="1777">
          <cell r="A1777">
            <v>7272</v>
          </cell>
          <cell r="B1777" t="str">
            <v xml:space="preserve">ELEMENTO VAZADO CERAMICO QUADRADO (TIPO RETO OU REDONDO), *7 A 9 X 20 X 20* CM (L X A X C)                                                                                                                                                                                                                                                                                                                                                                                                                </v>
          </cell>
          <cell r="C1777" t="str">
            <v xml:space="preserve">UN    </v>
          </cell>
          <cell r="D1777" t="str">
            <v>CR</v>
          </cell>
          <cell r="E1777" t="str">
            <v>2,42</v>
          </cell>
        </row>
        <row r="1778">
          <cell r="A1778">
            <v>10605</v>
          </cell>
          <cell r="B1778" t="str">
            <v xml:space="preserve">ELEMENTO VAZADO DE CONCRETO, QUADRICULADO, 1 FURO *10 X 10 X 10* CM                                                                                                                                                                                                                                                                                                                                                                                                                                       </v>
          </cell>
          <cell r="C1778" t="str">
            <v xml:space="preserve">UN    </v>
          </cell>
          <cell r="D1778" t="str">
            <v>CR</v>
          </cell>
          <cell r="E1778" t="str">
            <v>5,32</v>
          </cell>
        </row>
        <row r="1779">
          <cell r="A1779">
            <v>10604</v>
          </cell>
          <cell r="B1779" t="str">
            <v xml:space="preserve">ELEMENTO VAZADO DE CONCRETO, QUADRICULADO, 1 FURO *20 X 10 X 7* CM                                                                                                                                                                                                                                                                                                                                                                                                                                        </v>
          </cell>
          <cell r="C1779" t="str">
            <v xml:space="preserve">UN    </v>
          </cell>
          <cell r="D1779" t="str">
            <v>CR</v>
          </cell>
          <cell r="E1779" t="str">
            <v>12,40</v>
          </cell>
        </row>
        <row r="1780">
          <cell r="A1780">
            <v>672</v>
          </cell>
          <cell r="B1780" t="str">
            <v xml:space="preserve">ELEMENTO VAZADO DE CONCRETO, QUADRICULADO, 1 FURO *20 X 20 X 6,5* CM                                                                                                                                                                                                                                                                                                                                                                                                                                      </v>
          </cell>
          <cell r="C1780" t="str">
            <v xml:space="preserve">UN    </v>
          </cell>
          <cell r="D1780" t="str">
            <v>CR</v>
          </cell>
          <cell r="E1780" t="str">
            <v>17,06</v>
          </cell>
        </row>
        <row r="1781">
          <cell r="A1781">
            <v>668</v>
          </cell>
          <cell r="B1781" t="str">
            <v xml:space="preserve">ELEMENTO VAZADO DE CONCRETO, QUADRICULADO, 16 FUROS *29 X 29 X 6* CM                                                                                                                                                                                                                                                                                                                                                                                                                                      </v>
          </cell>
          <cell r="C1781" t="str">
            <v xml:space="preserve">UN    </v>
          </cell>
          <cell r="D1781" t="str">
            <v>CR</v>
          </cell>
          <cell r="E1781" t="str">
            <v>20,59</v>
          </cell>
        </row>
        <row r="1782">
          <cell r="A1782">
            <v>10578</v>
          </cell>
          <cell r="B1782" t="str">
            <v xml:space="preserve">ELEMENTO VAZADO DE CONCRETO, QUADRICULADO, 16 FUROS *33 X 33 X 10* CM                                                                                                                                                                                                                                                                                                                                                                                                                                     </v>
          </cell>
          <cell r="C1782" t="str">
            <v xml:space="preserve">UN    </v>
          </cell>
          <cell r="D1782" t="str">
            <v>CR</v>
          </cell>
          <cell r="E1782" t="str">
            <v>23,98</v>
          </cell>
        </row>
        <row r="1783">
          <cell r="A1783">
            <v>666</v>
          </cell>
          <cell r="B1783" t="str">
            <v xml:space="preserve">ELEMENTO VAZADO DE CONCRETO, QUADRICULADO, 16 FUROS *40 X 40 X 7* CM                                                                                                                                                                                                                                                                                                                                                                                                                                      </v>
          </cell>
          <cell r="C1783" t="str">
            <v xml:space="preserve">UN    </v>
          </cell>
          <cell r="D1783" t="str">
            <v>CR</v>
          </cell>
          <cell r="E1783" t="str">
            <v>26,67</v>
          </cell>
        </row>
        <row r="1784">
          <cell r="A1784">
            <v>665</v>
          </cell>
          <cell r="B1784" t="str">
            <v xml:space="preserve">ELEMENTO VAZADO DE CONCRETO, QUADRICULADO, 16 FUROS *50 X 50 X 7* CM                                                                                                                                                                                                                                                                                                                                                                                                                                      </v>
          </cell>
          <cell r="C1784" t="str">
            <v xml:space="preserve">UN    </v>
          </cell>
          <cell r="D1784" t="str">
            <v>CR</v>
          </cell>
          <cell r="E1784" t="str">
            <v>35,67</v>
          </cell>
        </row>
        <row r="1785">
          <cell r="A1785">
            <v>10577</v>
          </cell>
          <cell r="B1785" t="str">
            <v xml:space="preserve">ELEMENTO VAZADO DE CONCRETO, QUADRICULADO, 25 FUROS *50 X 50 X 5* CM                                                                                                                                                                                                                                                                                                                                                                                                                                      </v>
          </cell>
          <cell r="C1785" t="str">
            <v xml:space="preserve">UN    </v>
          </cell>
          <cell r="D1785" t="str">
            <v>CR</v>
          </cell>
          <cell r="E1785" t="str">
            <v>31,64</v>
          </cell>
        </row>
        <row r="1786">
          <cell r="A1786">
            <v>10583</v>
          </cell>
          <cell r="B1786" t="str">
            <v xml:space="preserve">ELEMENTO VAZADO DE CONCRETO, VENEZIANA *39 X 22 X 15* CM                                                                                                                                                                                                                                                                                                                                                                                                                                                  </v>
          </cell>
          <cell r="C1786" t="str">
            <v xml:space="preserve">UN    </v>
          </cell>
          <cell r="D1786" t="str">
            <v>CR</v>
          </cell>
          <cell r="E1786" t="str">
            <v>16,44</v>
          </cell>
        </row>
        <row r="1787">
          <cell r="A1787">
            <v>10579</v>
          </cell>
          <cell r="B1787" t="str">
            <v xml:space="preserve">ELEMENTO VAZADO DE CONCRETO, VENEZIANA *39 X 29 X 10* CM                                                                                                                                                                                                                                                                                                                                                                                                                                                  </v>
          </cell>
          <cell r="C1787" t="str">
            <v xml:space="preserve">UN    </v>
          </cell>
          <cell r="D1787" t="str">
            <v>CR</v>
          </cell>
          <cell r="E1787" t="str">
            <v>28,65</v>
          </cell>
        </row>
        <row r="1788">
          <cell r="A1788">
            <v>10582</v>
          </cell>
          <cell r="B1788" t="str">
            <v xml:space="preserve">ELEMENTO VAZADO DE CONCRETO, VENEZIANA *40 X 10 X 10* CM                                                                                                                                                                                                                                                                                                                                                                                                                                                  </v>
          </cell>
          <cell r="C1788" t="str">
            <v xml:space="preserve">UN    </v>
          </cell>
          <cell r="D1788" t="str">
            <v>CR</v>
          </cell>
          <cell r="E1788" t="str">
            <v>14,47</v>
          </cell>
        </row>
        <row r="1789">
          <cell r="A1789">
            <v>2436</v>
          </cell>
          <cell r="B1789" t="str">
            <v xml:space="preserve">ELETRICISTA (HORISTA)                                                                                                                                                                                                                                                                                                                                                                                                                                                                                     </v>
          </cell>
          <cell r="C1789" t="str">
            <v xml:space="preserve">H     </v>
          </cell>
          <cell r="D1789" t="str">
            <v xml:space="preserve">C </v>
          </cell>
          <cell r="E1789" t="str">
            <v>31,53</v>
          </cell>
        </row>
        <row r="1790">
          <cell r="A1790">
            <v>40918</v>
          </cell>
          <cell r="B1790" t="str">
            <v xml:space="preserve">ELETRICISTA (MENSALISTA)                                                                                                                                                                                                                                                                                                                                                                                                                                                                                  </v>
          </cell>
          <cell r="C1790" t="str">
            <v xml:space="preserve">MES   </v>
          </cell>
          <cell r="D1790" t="str">
            <v>CR</v>
          </cell>
          <cell r="E1790" t="str">
            <v>5.518,61</v>
          </cell>
        </row>
        <row r="1791">
          <cell r="A1791">
            <v>2439</v>
          </cell>
          <cell r="B1791" t="str">
            <v xml:space="preserve">ELETRICISTA DE MANUTENCAO INDUSTRIAL (HORISTA)                                                                                                                                                                                                                                                                                                                                                                                                                                                            </v>
          </cell>
          <cell r="C1791" t="str">
            <v xml:space="preserve">H     </v>
          </cell>
          <cell r="D1791" t="str">
            <v>CR</v>
          </cell>
          <cell r="E1791" t="str">
            <v>29,39</v>
          </cell>
        </row>
        <row r="1792">
          <cell r="A1792">
            <v>40923</v>
          </cell>
          <cell r="B1792" t="str">
            <v xml:space="preserve">ELETRICISTA DE MANUTENCAO INDUSTRIAL (MENSALISTA)                                                                                                                                                                                                                                                                                                                                                                                                                                                         </v>
          </cell>
          <cell r="C1792" t="str">
            <v xml:space="preserve">MES   </v>
          </cell>
          <cell r="D1792" t="str">
            <v>CR</v>
          </cell>
          <cell r="E1792" t="str">
            <v>5.146,14</v>
          </cell>
        </row>
        <row r="1793">
          <cell r="A1793">
            <v>10998</v>
          </cell>
          <cell r="B1793" t="str">
            <v xml:space="preserve">ELETRODO REVESTIDO AWS - E-6010, DIAMETRO IGUAL A 4,00 MM                                                                                                                                                                                                                                                                                                                                                                                                                                                 </v>
          </cell>
          <cell r="C1793" t="str">
            <v xml:space="preserve">KG    </v>
          </cell>
          <cell r="D1793" t="str">
            <v>CR</v>
          </cell>
          <cell r="E1793" t="str">
            <v>50,31</v>
          </cell>
        </row>
        <row r="1794">
          <cell r="A1794">
            <v>11002</v>
          </cell>
          <cell r="B1794" t="str">
            <v xml:space="preserve">ELETRODO REVESTIDO AWS - E6013, DIAMETRO IGUAL A 2,50 MM                                                                                                                                                                                                                                                                                                                                                                                                                                                  </v>
          </cell>
          <cell r="C1794" t="str">
            <v xml:space="preserve">KG    </v>
          </cell>
          <cell r="D1794" t="str">
            <v>CR</v>
          </cell>
          <cell r="E1794" t="str">
            <v>46,09</v>
          </cell>
        </row>
        <row r="1795">
          <cell r="A1795">
            <v>10999</v>
          </cell>
          <cell r="B1795" t="str">
            <v xml:space="preserve">ELETRODO REVESTIDO AWS - E6013, DIAMETRO IGUAL A 4,00 MM                                                                                                                                                                                                                                                                                                                                                                                                                                                  </v>
          </cell>
          <cell r="C1795" t="str">
            <v xml:space="preserve">KG    </v>
          </cell>
          <cell r="D1795" t="str">
            <v>CR</v>
          </cell>
          <cell r="E1795" t="str">
            <v>44,29</v>
          </cell>
        </row>
        <row r="1796">
          <cell r="A1796">
            <v>10997</v>
          </cell>
          <cell r="B1796" t="str">
            <v xml:space="preserve">ELETRODO REVESTIDO AWS - E7018, DIAMETRO IGUAL A 4,00 MM                                                                                                                                                                                                                                                                                                                                                                                                                                                  </v>
          </cell>
          <cell r="C1796" t="str">
            <v xml:space="preserve">KG    </v>
          </cell>
          <cell r="D1796" t="str">
            <v xml:space="preserve">C </v>
          </cell>
          <cell r="E1796" t="str">
            <v>48,00</v>
          </cell>
        </row>
        <row r="1797">
          <cell r="A1797">
            <v>2685</v>
          </cell>
          <cell r="B1797" t="str">
            <v xml:space="preserve">ELETRODUTO DE PVC RIGIDO ROSCAVEL DE 1 ", SEM LUVA                                                                                                                                                                                                                                                                                                                                                                                                                                                        </v>
          </cell>
          <cell r="C1797" t="str">
            <v xml:space="preserve">M     </v>
          </cell>
          <cell r="D1797" t="str">
            <v>CR</v>
          </cell>
          <cell r="E1797" t="str">
            <v>6,87</v>
          </cell>
        </row>
        <row r="1798">
          <cell r="A1798">
            <v>2680</v>
          </cell>
          <cell r="B1798" t="str">
            <v xml:space="preserve">ELETRODUTO DE PVC RIGIDO ROSCAVEL DE 1 1/2 ", SEM LUVA                                                                                                                                                                                                                                                                                                                                                                                                                                                    </v>
          </cell>
          <cell r="C1798" t="str">
            <v xml:space="preserve">M     </v>
          </cell>
          <cell r="D1798" t="str">
            <v>CR</v>
          </cell>
          <cell r="E1798" t="str">
            <v>10,05</v>
          </cell>
        </row>
        <row r="1799">
          <cell r="A1799">
            <v>2684</v>
          </cell>
          <cell r="B1799" t="str">
            <v xml:space="preserve">ELETRODUTO DE PVC RIGIDO ROSCAVEL DE 1 1/4 ", SEM LUVA                                                                                                                                                                                                                                                                                                                                                                                                                                                    </v>
          </cell>
          <cell r="C1799" t="str">
            <v xml:space="preserve">M     </v>
          </cell>
          <cell r="D1799" t="str">
            <v>CR</v>
          </cell>
          <cell r="E1799" t="str">
            <v>9,14</v>
          </cell>
        </row>
        <row r="1800">
          <cell r="A1800">
            <v>2673</v>
          </cell>
          <cell r="B1800" t="str">
            <v xml:space="preserve">ELETRODUTO DE PVC RIGIDO ROSCAVEL DE 1/2 ", SEM LUVA                                                                                                                                                                                                                                                                                                                                                                                                                                                      </v>
          </cell>
          <cell r="C1800" t="str">
            <v xml:space="preserve">M     </v>
          </cell>
          <cell r="D1800" t="str">
            <v xml:space="preserve">C </v>
          </cell>
          <cell r="E1800" t="str">
            <v>3,53</v>
          </cell>
        </row>
        <row r="1801">
          <cell r="A1801">
            <v>2681</v>
          </cell>
          <cell r="B1801" t="str">
            <v xml:space="preserve">ELETRODUTO DE PVC RIGIDO ROSCAVEL DE 2 ", SEM LUVA                                                                                                                                                                                                                                                                                                                                                                                                                                                        </v>
          </cell>
          <cell r="C1801" t="str">
            <v xml:space="preserve">M     </v>
          </cell>
          <cell r="D1801" t="str">
            <v>CR</v>
          </cell>
          <cell r="E1801" t="str">
            <v>16,42</v>
          </cell>
        </row>
        <row r="1802">
          <cell r="A1802">
            <v>2682</v>
          </cell>
          <cell r="B1802" t="str">
            <v xml:space="preserve">ELETRODUTO DE PVC RIGIDO ROSCAVEL DE 2 1/2 ", SEM LUVA                                                                                                                                                                                                                                                                                                                                                                                                                                                    </v>
          </cell>
          <cell r="C1802" t="str">
            <v xml:space="preserve">M     </v>
          </cell>
          <cell r="D1802" t="str">
            <v>CR</v>
          </cell>
          <cell r="E1802" t="str">
            <v>23,96</v>
          </cell>
        </row>
        <row r="1803">
          <cell r="A1803">
            <v>2686</v>
          </cell>
          <cell r="B1803" t="str">
            <v xml:space="preserve">ELETRODUTO DE PVC RIGIDO ROSCAVEL DE 3 ", SEM LUVA                                                                                                                                                                                                                                                                                                                                                                                                                                                        </v>
          </cell>
          <cell r="C1803" t="str">
            <v xml:space="preserve">M     </v>
          </cell>
          <cell r="D1803" t="str">
            <v>CR</v>
          </cell>
          <cell r="E1803" t="str">
            <v>30,05</v>
          </cell>
        </row>
        <row r="1804">
          <cell r="A1804">
            <v>2674</v>
          </cell>
          <cell r="B1804" t="str">
            <v xml:space="preserve">ELETRODUTO DE PVC RIGIDO ROSCAVEL DE 3/4 ", SEM LUVA                                                                                                                                                                                                                                                                                                                                                                                                                                                      </v>
          </cell>
          <cell r="C1804" t="str">
            <v xml:space="preserve">M     </v>
          </cell>
          <cell r="D1804" t="str">
            <v>CR</v>
          </cell>
          <cell r="E1804" t="str">
            <v>4,39</v>
          </cell>
        </row>
        <row r="1805">
          <cell r="A1805">
            <v>2683</v>
          </cell>
          <cell r="B1805" t="str">
            <v xml:space="preserve">ELETRODUTO DE PVC RIGIDO ROSCAVEL DE 4 ", SEM LUVA                                                                                                                                                                                                                                                                                                                                                                                                                                                        </v>
          </cell>
          <cell r="C1805" t="str">
            <v xml:space="preserve">M     </v>
          </cell>
          <cell r="D1805" t="str">
            <v>CR</v>
          </cell>
          <cell r="E1805" t="str">
            <v>47,35</v>
          </cell>
        </row>
        <row r="1806">
          <cell r="A1806">
            <v>2676</v>
          </cell>
          <cell r="B1806" t="str">
            <v xml:space="preserve">ELETRODUTO DE PVC RIGIDO SOLDAVEL, CLASSE B, DE 20 MM                                                                                                                                                                                                                                                                                                                                                                                                                                                     </v>
          </cell>
          <cell r="C1806" t="str">
            <v xml:space="preserve">M     </v>
          </cell>
          <cell r="D1806" t="str">
            <v>CR</v>
          </cell>
          <cell r="E1806" t="str">
            <v>2,05</v>
          </cell>
        </row>
        <row r="1807">
          <cell r="A1807">
            <v>2678</v>
          </cell>
          <cell r="B1807" t="str">
            <v xml:space="preserve">ELETRODUTO DE PVC RIGIDO SOLDAVEL, CLASSE B, DE 25 MM                                                                                                                                                                                                                                                                                                                                                                                                                                                     </v>
          </cell>
          <cell r="C1807" t="str">
            <v xml:space="preserve">M     </v>
          </cell>
          <cell r="D1807" t="str">
            <v>CR</v>
          </cell>
          <cell r="E1807" t="str">
            <v>2,57</v>
          </cell>
        </row>
        <row r="1808">
          <cell r="A1808">
            <v>2679</v>
          </cell>
          <cell r="B1808" t="str">
            <v xml:space="preserve">ELETRODUTO DE PVC RIGIDO SOLDAVEL, CLASSE B, DE 32 MM                                                                                                                                                                                                                                                                                                                                                                                                                                                     </v>
          </cell>
          <cell r="C1808" t="str">
            <v xml:space="preserve">M     </v>
          </cell>
          <cell r="D1808" t="str">
            <v>CR</v>
          </cell>
          <cell r="E1808" t="str">
            <v>3,96</v>
          </cell>
        </row>
        <row r="1809">
          <cell r="A1809">
            <v>12070</v>
          </cell>
          <cell r="B1809" t="str">
            <v xml:space="preserve">ELETRODUTO DE PVC RIGIDO SOLDAVEL, CLASSE B, DE 40 MM                                                                                                                                                                                                                                                                                                                                                                                                                                                     </v>
          </cell>
          <cell r="C1809" t="str">
            <v xml:space="preserve">M     </v>
          </cell>
          <cell r="D1809" t="str">
            <v>CR</v>
          </cell>
          <cell r="E1809" t="str">
            <v>5,51</v>
          </cell>
        </row>
        <row r="1810">
          <cell r="A1810">
            <v>2675</v>
          </cell>
          <cell r="B1810" t="str">
            <v xml:space="preserve">ELETRODUTO DE PVC RIGIDO SOLDAVEL, CLASSE B, DE 50 MM                                                                                                                                                                                                                                                                                                                                                                                                                                                     </v>
          </cell>
          <cell r="C1810" t="str">
            <v xml:space="preserve">M     </v>
          </cell>
          <cell r="D1810" t="str">
            <v>CR</v>
          </cell>
          <cell r="E1810" t="str">
            <v>7,17</v>
          </cell>
        </row>
        <row r="1811">
          <cell r="A1811">
            <v>12067</v>
          </cell>
          <cell r="B1811" t="str">
            <v xml:space="preserve">ELETRODUTO DE PVC RIGIDO SOLDAVEL, CLASSE B, DE 60 MM                                                                                                                                                                                                                                                                                                                                                                                                                                                     </v>
          </cell>
          <cell r="C1811" t="str">
            <v xml:space="preserve">M     </v>
          </cell>
          <cell r="D1811" t="str">
            <v>CR</v>
          </cell>
          <cell r="E1811" t="str">
            <v>9,73</v>
          </cell>
        </row>
        <row r="1812">
          <cell r="A1812">
            <v>21136</v>
          </cell>
          <cell r="B1812" t="str">
            <v xml:space="preserve">ELETRODUTO EM ACO GALVANIZADO ELETROLITICO, LEVE, DIAMETRO 1", PAREDE DE 0,90 MM                                                                                                                                                                                                                                                                                                                                                                                                                          </v>
          </cell>
          <cell r="C1812" t="str">
            <v xml:space="preserve">M     </v>
          </cell>
          <cell r="D1812" t="str">
            <v>CR</v>
          </cell>
          <cell r="E1812" t="str">
            <v>12,49</v>
          </cell>
        </row>
        <row r="1813">
          <cell r="A1813">
            <v>21128</v>
          </cell>
          <cell r="B1813" t="str">
            <v xml:space="preserve">ELETRODUTO EM ACO GALVANIZADO ELETROLITICO, LEVE, DIAMETRO 3/4", PAREDE DE 0,90 MM                                                                                                                                                                                                                                                                                                                                                                                                                        </v>
          </cell>
          <cell r="C1813" t="str">
            <v xml:space="preserve">M     </v>
          </cell>
          <cell r="D1813" t="str">
            <v xml:space="preserve">C </v>
          </cell>
          <cell r="E1813" t="str">
            <v>9,67</v>
          </cell>
        </row>
        <row r="1814">
          <cell r="A1814">
            <v>21130</v>
          </cell>
          <cell r="B1814" t="str">
            <v xml:space="preserve">ELETRODUTO EM ACO GALVANIZADO ELETROLITICO, SEMI-PESADO, DIAMETRO 1 1/2", PAREDE DE 1,20 MM                                                                                                                                                                                                                                                                                                                                                                                                               </v>
          </cell>
          <cell r="C1814" t="str">
            <v xml:space="preserve">M     </v>
          </cell>
          <cell r="D1814" t="str">
            <v>CR</v>
          </cell>
          <cell r="E1814" t="str">
            <v>24,42</v>
          </cell>
        </row>
        <row r="1815">
          <cell r="A1815">
            <v>21135</v>
          </cell>
          <cell r="B1815" t="str">
            <v xml:space="preserve">ELETRODUTO EM ACO GALVANIZADO ELETROLITICO, SEMI-PESADO, DIAMETRO 1 1/4", PAREDE DE 1,20 MM                                                                                                                                                                                                                                                                                                                                                                                                               </v>
          </cell>
          <cell r="C1815" t="str">
            <v xml:space="preserve">M     </v>
          </cell>
          <cell r="D1815" t="str">
            <v>CR</v>
          </cell>
          <cell r="E1815" t="str">
            <v>24,04</v>
          </cell>
        </row>
        <row r="1816">
          <cell r="A1816">
            <v>40401</v>
          </cell>
          <cell r="B1816" t="str">
            <v xml:space="preserve">ELETRODUTO FLEXIVEL PLANO EM PEAD, COR PRETA E LARANJA,  DIAMETRO 32 MM                                                                                                                                                                                                                                                                                                                                                                                                                                   </v>
          </cell>
          <cell r="C1816" t="str">
            <v xml:space="preserve">M     </v>
          </cell>
          <cell r="D1816" t="str">
            <v>CR</v>
          </cell>
          <cell r="E1816" t="str">
            <v>3,05</v>
          </cell>
        </row>
        <row r="1817">
          <cell r="A1817">
            <v>40402</v>
          </cell>
          <cell r="B1817" t="str">
            <v xml:space="preserve">ELETRODUTO FLEXIVEL PLANO EM PEAD, COR PRETA E LARANJA,  DIAMETRO 40 MM                                                                                                                                                                                                                                                                                                                                                                                                                                   </v>
          </cell>
          <cell r="C1817" t="str">
            <v xml:space="preserve">M     </v>
          </cell>
          <cell r="D1817" t="str">
            <v>CR</v>
          </cell>
          <cell r="E1817" t="str">
            <v>3,91</v>
          </cell>
        </row>
        <row r="1818">
          <cell r="A1818">
            <v>40400</v>
          </cell>
          <cell r="B1818" t="str">
            <v xml:space="preserve">ELETRODUTO FLEXIVEL PLANO EM PEAD, COR PRETA E LARANJA, DIAMETRO 25 MM                                                                                                                                                                                                                                                                                                                                                                                                                                    </v>
          </cell>
          <cell r="C1818" t="str">
            <v xml:space="preserve">M     </v>
          </cell>
          <cell r="D1818" t="str">
            <v>CR</v>
          </cell>
          <cell r="E1818" t="str">
            <v>2,07</v>
          </cell>
        </row>
        <row r="1819">
          <cell r="A1819">
            <v>2504</v>
          </cell>
          <cell r="B1819" t="str">
            <v xml:space="preserve">ELETRODUTO FLEXIVEL, EM ACO GALVANIZADO, REVESTIDO EXTERNAMENTE COM PVC PRETO, DIAMETRO EXTERNO DE 25 MM (3/4"), TIPO SEALTUBO                                                                                                                                                                                                                                                                                                                                                                            </v>
          </cell>
          <cell r="C1819" t="str">
            <v xml:space="preserve">M     </v>
          </cell>
          <cell r="D1819" t="str">
            <v>CR</v>
          </cell>
          <cell r="E1819" t="str">
            <v>10,73</v>
          </cell>
        </row>
        <row r="1820">
          <cell r="A1820">
            <v>2501</v>
          </cell>
          <cell r="B1820" t="str">
            <v xml:space="preserve">ELETRODUTO FLEXIVEL, EM ACO GALVANIZADO, REVESTIDO EXTERNAMENTE COM PVC PRETO, DIAMETRO EXTERNO DE 32 MM (1"), TIPO SEALTUBO                                                                                                                                                                                                                                                                                                                                                                              </v>
          </cell>
          <cell r="C1820" t="str">
            <v xml:space="preserve">M     </v>
          </cell>
          <cell r="D1820" t="str">
            <v>CR</v>
          </cell>
          <cell r="E1820" t="str">
            <v>14,07</v>
          </cell>
        </row>
        <row r="1821">
          <cell r="A1821">
            <v>2502</v>
          </cell>
          <cell r="B1821" t="str">
            <v xml:space="preserve">ELETRODUTO FLEXIVEL, EM ACO GALVANIZADO, REVESTIDO EXTERNAMENTE COM PVC PRETO, DIAMETRO EXTERNO DE 40 MM (1 1/4"), TIPO SEALTUBO                                                                                                                                                                                                                                                                                                                                                                          </v>
          </cell>
          <cell r="C1821" t="str">
            <v xml:space="preserve">M     </v>
          </cell>
          <cell r="D1821" t="str">
            <v>CR</v>
          </cell>
          <cell r="E1821" t="str">
            <v>21,23</v>
          </cell>
        </row>
        <row r="1822">
          <cell r="A1822">
            <v>2503</v>
          </cell>
          <cell r="B1822" t="str">
            <v xml:space="preserve">ELETRODUTO FLEXIVEL, EM ACO GALVANIZADO, REVESTIDO EXTERNAMENTE COM PVC PRETO, DIAMETRO EXTERNO DE 50 MM( 1 1/2"), TIPO SEALTUBO                                                                                                                                                                                                                                                                                                                                                                          </v>
          </cell>
          <cell r="C1822" t="str">
            <v xml:space="preserve">M     </v>
          </cell>
          <cell r="D1822" t="str">
            <v>CR</v>
          </cell>
          <cell r="E1822" t="str">
            <v>27,32</v>
          </cell>
        </row>
        <row r="1823">
          <cell r="A1823">
            <v>2500</v>
          </cell>
          <cell r="B1823" t="str">
            <v xml:space="preserve">ELETRODUTO FLEXIVEL, EM ACO GALVANIZADO, REVESTIDO EXTERNAMENTE COM PVC PRETO, DIAMETRO EXTERNO DE 60 MM (2"), TIPO SEALTUBO                                                                                                                                                                                                                                                                                                                                                                              </v>
          </cell>
          <cell r="C1823" t="str">
            <v xml:space="preserve">M     </v>
          </cell>
          <cell r="D1823" t="str">
            <v>CR</v>
          </cell>
          <cell r="E1823" t="str">
            <v>36,39</v>
          </cell>
        </row>
        <row r="1824">
          <cell r="A1824">
            <v>2505</v>
          </cell>
          <cell r="B1824" t="str">
            <v xml:space="preserve">ELETRODUTO FLEXIVEL, EM ACO GALVANIZADO, REVESTIDO EXTERNAMENTE COM PVC PRETO, DIAMETRO EXTERNO DE 75 MM (2 1/2"), TIPO SEALTUBO                                                                                                                                                                                                                                                                                                                                                                          </v>
          </cell>
          <cell r="C1824" t="str">
            <v xml:space="preserve">M     </v>
          </cell>
          <cell r="D1824" t="str">
            <v>CR</v>
          </cell>
          <cell r="E1824" t="str">
            <v>56,72</v>
          </cell>
        </row>
        <row r="1825">
          <cell r="A1825">
            <v>12056</v>
          </cell>
          <cell r="B1825" t="str">
            <v xml:space="preserve">ELETRODUTO FLEXIVEL, EM ACO, TIPO CONDUITE, DIAMETRO DE 1 1/2"                                                                                                                                                                                                                                                                                                                                                                                                                                            </v>
          </cell>
          <cell r="C1825" t="str">
            <v xml:space="preserve">M     </v>
          </cell>
          <cell r="D1825" t="str">
            <v>CR</v>
          </cell>
          <cell r="E1825" t="str">
            <v>22,92</v>
          </cell>
        </row>
        <row r="1826">
          <cell r="A1826">
            <v>12057</v>
          </cell>
          <cell r="B1826" t="str">
            <v xml:space="preserve">ELETRODUTO FLEXIVEL, EM ACO, TIPO CONDUITE, DIAMETRO DE 1 1/4"                                                                                                                                                                                                                                                                                                                                                                                                                                            </v>
          </cell>
          <cell r="C1826" t="str">
            <v xml:space="preserve">M     </v>
          </cell>
          <cell r="D1826" t="str">
            <v>CR</v>
          </cell>
          <cell r="E1826" t="str">
            <v>19,47</v>
          </cell>
        </row>
        <row r="1827">
          <cell r="A1827">
            <v>12059</v>
          </cell>
          <cell r="B1827" t="str">
            <v xml:space="preserve">ELETRODUTO FLEXIVEL, EM ACO, TIPO CONDUITE, DIAMETRO DE 1/2"                                                                                                                                                                                                                                                                                                                                                                                                                                              </v>
          </cell>
          <cell r="C1827" t="str">
            <v xml:space="preserve">M     </v>
          </cell>
          <cell r="D1827" t="str">
            <v>CR</v>
          </cell>
          <cell r="E1827" t="str">
            <v>6,83</v>
          </cell>
        </row>
        <row r="1828">
          <cell r="A1828">
            <v>12058</v>
          </cell>
          <cell r="B1828" t="str">
            <v xml:space="preserve">ELETRODUTO FLEXIVEL, EM ACO, TIPO CONDUITE, DIAMETRO DE 1"                                                                                                                                                                                                                                                                                                                                                                                                                                                </v>
          </cell>
          <cell r="C1828" t="str">
            <v xml:space="preserve">M     </v>
          </cell>
          <cell r="D1828" t="str">
            <v>CR</v>
          </cell>
          <cell r="E1828" t="str">
            <v>12,13</v>
          </cell>
        </row>
        <row r="1829">
          <cell r="A1829">
            <v>12060</v>
          </cell>
          <cell r="B1829" t="str">
            <v xml:space="preserve">ELETRODUTO FLEXIVEL, EM ACO, TIPO CONDUITE, DIAMETRO DE 2 1/2"                                                                                                                                                                                                                                                                                                                                                                                                                                            </v>
          </cell>
          <cell r="C1829" t="str">
            <v xml:space="preserve">M     </v>
          </cell>
          <cell r="D1829" t="str">
            <v>CR</v>
          </cell>
          <cell r="E1829" t="str">
            <v>50,58</v>
          </cell>
        </row>
        <row r="1830">
          <cell r="A1830">
            <v>12061</v>
          </cell>
          <cell r="B1830" t="str">
            <v xml:space="preserve">ELETRODUTO FLEXIVEL, EM ACO, TIPO CONDUITE, DIAMETRO DE 2"                                                                                                                                                                                                                                                                                                                                                                                                                                                </v>
          </cell>
          <cell r="C1830" t="str">
            <v xml:space="preserve">M     </v>
          </cell>
          <cell r="D1830" t="str">
            <v>CR</v>
          </cell>
          <cell r="E1830" t="str">
            <v>30,88</v>
          </cell>
        </row>
        <row r="1831">
          <cell r="A1831">
            <v>12062</v>
          </cell>
          <cell r="B1831" t="str">
            <v xml:space="preserve">ELETRODUTO FLEXIVEL, EM ACO, TIPO CONDUITE, DIAMETRO DE 3"                                                                                                                                                                                                                                                                                                                                                                                                                                                </v>
          </cell>
          <cell r="C1831" t="str">
            <v xml:space="preserve">M     </v>
          </cell>
          <cell r="D1831" t="str">
            <v>CR</v>
          </cell>
          <cell r="E1831" t="str">
            <v>56,95</v>
          </cell>
        </row>
        <row r="1832">
          <cell r="A1832">
            <v>21137</v>
          </cell>
          <cell r="B1832" t="str">
            <v xml:space="preserve">ELETRODUTO METALICO FLEXIVEL REVESTIDO COM PVC PRETO, DIAMETRO EXTERNO DE 15 MM (3/8"), TIPO COPEX                                                                                                                                                                                                                                                                                                                                                                                                        </v>
          </cell>
          <cell r="C1832" t="str">
            <v xml:space="preserve">M     </v>
          </cell>
          <cell r="D1832" t="str">
            <v>CR</v>
          </cell>
          <cell r="E1832" t="str">
            <v>9,90</v>
          </cell>
        </row>
        <row r="1833">
          <cell r="A1833">
            <v>2687</v>
          </cell>
          <cell r="B1833" t="str">
            <v xml:space="preserve">ELETRODUTO PVC FLEXIVEL CORRUGADO, COR AMARELA, DE 16 MM                                                                                                                                                                                                                                                                                                                                                                                                                                                  </v>
          </cell>
          <cell r="C1833" t="str">
            <v xml:space="preserve">M     </v>
          </cell>
          <cell r="D1833" t="str">
            <v>CR</v>
          </cell>
          <cell r="E1833" t="str">
            <v>1,79</v>
          </cell>
        </row>
        <row r="1834">
          <cell r="A1834">
            <v>2689</v>
          </cell>
          <cell r="B1834" t="str">
            <v xml:space="preserve">ELETRODUTO PVC FLEXIVEL CORRUGADO, COR AMARELA, DE 20 MM                                                                                                                                                                                                                                                                                                                                                                                                                                                  </v>
          </cell>
          <cell r="C1834" t="str">
            <v xml:space="preserve">M     </v>
          </cell>
          <cell r="D1834" t="str">
            <v>CR</v>
          </cell>
          <cell r="E1834" t="str">
            <v>2,13</v>
          </cell>
        </row>
        <row r="1835">
          <cell r="A1835">
            <v>2688</v>
          </cell>
          <cell r="B1835" t="str">
            <v xml:space="preserve">ELETRODUTO PVC FLEXIVEL CORRUGADO, COR AMARELA, DE 25 MM                                                                                                                                                                                                                                                                                                                                                                                                                                                  </v>
          </cell>
          <cell r="C1835" t="str">
            <v xml:space="preserve">M     </v>
          </cell>
          <cell r="D1835" t="str">
            <v>CR</v>
          </cell>
          <cell r="E1835" t="str">
            <v>2,31</v>
          </cell>
        </row>
        <row r="1836">
          <cell r="A1836">
            <v>2690</v>
          </cell>
          <cell r="B1836" t="str">
            <v xml:space="preserve">ELETRODUTO PVC FLEXIVEL CORRUGADO, COR AMARELA, DE 32 MM                                                                                                                                                                                                                                                                                                                                                                                                                                                  </v>
          </cell>
          <cell r="C1836" t="str">
            <v xml:space="preserve">M     </v>
          </cell>
          <cell r="D1836" t="str">
            <v>CR</v>
          </cell>
          <cell r="E1836" t="str">
            <v>3,95</v>
          </cell>
        </row>
        <row r="1837">
          <cell r="A1837">
            <v>39243</v>
          </cell>
          <cell r="B1837" t="str">
            <v xml:space="preserve">ELETRODUTO PVC FLEXIVEL CORRUGADO, REFORCADO, COR LARANJA, DE 20 MM, PARA LAJES E PISOS                                                                                                                                                                                                                                                                                                                                                                                                                   </v>
          </cell>
          <cell r="C1837" t="str">
            <v xml:space="preserve">M     </v>
          </cell>
          <cell r="D1837" t="str">
            <v>CR</v>
          </cell>
          <cell r="E1837" t="str">
            <v>2,60</v>
          </cell>
        </row>
        <row r="1838">
          <cell r="A1838">
            <v>39244</v>
          </cell>
          <cell r="B1838" t="str">
            <v xml:space="preserve">ELETRODUTO PVC FLEXIVEL CORRUGADO, REFORCADO, COR LARANJA, DE 25 MM, PARA LAJES E PISOS                                                                                                                                                                                                                                                                                                                                                                                                                   </v>
          </cell>
          <cell r="C1838" t="str">
            <v xml:space="preserve">M     </v>
          </cell>
          <cell r="D1838" t="str">
            <v>CR</v>
          </cell>
          <cell r="E1838" t="str">
            <v>3,52</v>
          </cell>
        </row>
        <row r="1839">
          <cell r="A1839">
            <v>39245</v>
          </cell>
          <cell r="B1839" t="str">
            <v xml:space="preserve">ELETRODUTO PVC FLEXIVEL CORRUGADO, REFORCADO, COR LARANJA, DE 32 MM, PARA LAJES E PISOS                                                                                                                                                                                                                                                                                                                                                                                                                   </v>
          </cell>
          <cell r="C1839" t="str">
            <v xml:space="preserve">M     </v>
          </cell>
          <cell r="D1839" t="str">
            <v>CR</v>
          </cell>
          <cell r="E1839" t="str">
            <v>6,78</v>
          </cell>
        </row>
        <row r="1840">
          <cell r="A1840">
            <v>39254</v>
          </cell>
          <cell r="B1840" t="str">
            <v xml:space="preserve">ELETRODUTO/CONDULETE DE PVC RIGIDO, LISO, COR CINZA, DE 1/2", PARA INSTALACOES APARENTES (NBR 5410)                                                                                                                                                                                                                                                                                                                                                                                                       </v>
          </cell>
          <cell r="C1840" t="str">
            <v xml:space="preserve">M     </v>
          </cell>
          <cell r="D1840" t="str">
            <v>CR</v>
          </cell>
          <cell r="E1840" t="str">
            <v>10,14</v>
          </cell>
        </row>
        <row r="1841">
          <cell r="A1841">
            <v>39255</v>
          </cell>
          <cell r="B1841" t="str">
            <v xml:space="preserve">ELETRODUTO/CONDULETE DE PVC RIGIDO, LISO, COR CINZA, DE 1", PARA INSTALACOES APARENTES (NBR 5410)                                                                                                                                                                                                                                                                                                                                                                                                         </v>
          </cell>
          <cell r="C1841" t="str">
            <v xml:space="preserve">M     </v>
          </cell>
          <cell r="D1841" t="str">
            <v>CR</v>
          </cell>
          <cell r="E1841" t="str">
            <v>18,76</v>
          </cell>
        </row>
        <row r="1842">
          <cell r="A1842">
            <v>39253</v>
          </cell>
          <cell r="B1842" t="str">
            <v xml:space="preserve">ELETRODUTO/CONDULETE DE PVC RIGIDO, LISO, COR CINZA, DE 3/4", PARA INSTALACOES APARENTES (NBR 5410)                                                                                                                                                                                                                                                                                                                                                                                                       </v>
          </cell>
          <cell r="C1842" t="str">
            <v xml:space="preserve">M     </v>
          </cell>
          <cell r="D1842" t="str">
            <v>CR</v>
          </cell>
          <cell r="E1842" t="str">
            <v>12,92</v>
          </cell>
        </row>
        <row r="1843">
          <cell r="A1843">
            <v>39246</v>
          </cell>
          <cell r="B1843" t="str">
            <v xml:space="preserve">ELETRODUTO/DUTO PEAD FLEXIVEL PAREDE SIMPLES, CORRUGACAO HELICOIDAL, COR PRETA, SEM ROSCA, DE 1 1/2", CRC 680 N, PARA CABEAMENTO SUBTERRANEO (NBR 15715)                                                                                                                                                                                                                                                                                                                                                  </v>
          </cell>
          <cell r="C1843" t="str">
            <v xml:space="preserve">M     </v>
          </cell>
          <cell r="D1843" t="str">
            <v>CR</v>
          </cell>
          <cell r="E1843" t="str">
            <v>5,30</v>
          </cell>
        </row>
        <row r="1844">
          <cell r="A1844">
            <v>39247</v>
          </cell>
          <cell r="B1844" t="str">
            <v xml:space="preserve">ELETRODUTO/DUTO PEAD FLEXIVEL PAREDE SIMPLES, CORRUGACAO HELICOIDAL, COR PRETA, SEM ROSCA, DE 1 1/4", CRC 680 N, PARA CABEAMENTO SUBTERRANEO (NBR 15715)                                                                                                                                                                                                                                                                                                                                                  </v>
          </cell>
          <cell r="C1844" t="str">
            <v xml:space="preserve">M     </v>
          </cell>
          <cell r="D1844" t="str">
            <v>CR</v>
          </cell>
          <cell r="E1844" t="str">
            <v>4,62</v>
          </cell>
        </row>
        <row r="1845">
          <cell r="A1845">
            <v>2446</v>
          </cell>
          <cell r="B1845" t="str">
            <v xml:space="preserve">ELETRODUTO/DUTO PEAD FLEXIVEL PAREDE SIMPLES, CORRUGACAO HELICOIDAL, COR PRETA, SEM ROSCA, DE 2", CRC 680 N, PARA CABEAMENTO SUBTERRANEO (NBR 15715)                                                                                                                                                                                                                                                                                                                                                      </v>
          </cell>
          <cell r="C1845" t="str">
            <v xml:space="preserve">M     </v>
          </cell>
          <cell r="D1845" t="str">
            <v xml:space="preserve">C </v>
          </cell>
          <cell r="E1845" t="str">
            <v>7,61</v>
          </cell>
        </row>
        <row r="1846">
          <cell r="A1846">
            <v>2442</v>
          </cell>
          <cell r="B1846" t="str">
            <v xml:space="preserve">ELETRODUTO/DUTO PEAD FLEXIVEL PAREDE SIMPLES, CORRUGACAO HELICOIDAL, COR PRETA, SEM ROSCA, DE 3", CRC 680 N, PARA CABEAMENTO SUBTERRANEO (NBR 15715)                                                                                                                                                                                                                                                                                                                                                      </v>
          </cell>
          <cell r="C1846" t="str">
            <v xml:space="preserve">M     </v>
          </cell>
          <cell r="D1846" t="str">
            <v>CR</v>
          </cell>
          <cell r="E1846" t="str">
            <v>10,66</v>
          </cell>
        </row>
        <row r="1847">
          <cell r="A1847">
            <v>39248</v>
          </cell>
          <cell r="B1847" t="str">
            <v xml:space="preserve">ELETRODUTO/DUTO PEAD FLEXIVEL PAREDE SIMPLES, CORRUGACAO HELICOIDAL, COR PRETA, SEM ROSCA, DE 4", CRC 680 N, PARA CABEAMENTO SUBTERRANEO (NBR 15715)                                                                                                                                                                                                                                                                                                                                                      </v>
          </cell>
          <cell r="C1847" t="str">
            <v xml:space="preserve">M     </v>
          </cell>
          <cell r="D1847" t="str">
            <v>CR</v>
          </cell>
          <cell r="E1847" t="str">
            <v>14,86</v>
          </cell>
        </row>
        <row r="1848">
          <cell r="A1848">
            <v>2438</v>
          </cell>
          <cell r="B1848" t="str">
            <v xml:space="preserve">ELETROTECNICO (HORISTA)                                                                                                                                                                                                                                                                                                                                                                                                                                                                                   </v>
          </cell>
          <cell r="C1848" t="str">
            <v xml:space="preserve">H     </v>
          </cell>
          <cell r="D1848" t="str">
            <v>CR</v>
          </cell>
          <cell r="E1848" t="str">
            <v>37,09</v>
          </cell>
        </row>
        <row r="1849">
          <cell r="A1849">
            <v>40922</v>
          </cell>
          <cell r="B1849" t="str">
            <v xml:space="preserve">ELETROTECNICO (MENSALISTA)                                                                                                                                                                                                                                                                                                                                                                                                                                                                                </v>
          </cell>
          <cell r="C1849" t="str">
            <v xml:space="preserve">MES   </v>
          </cell>
          <cell r="D1849" t="str">
            <v>CR</v>
          </cell>
          <cell r="E1849" t="str">
            <v>6.493,84</v>
          </cell>
        </row>
        <row r="1850">
          <cell r="A1850">
            <v>36486</v>
          </cell>
          <cell r="B1850" t="str">
            <v xml:space="preserve">ELEVADOR DE CARGA A CABO, CABINE SEMI FECHADA 2,0 X 1,5 X 2,0 M, CAPACIDADE DE CARGA 1000 KG, TORRE  2,38 X 2,21 X 15 M, GUINCHO DE EMBREAGEM, FREIO DE SEGURANCA, LIMITADOR DE VELOCIDADE E CANCELA                                                                                                                                                                                                                                                                                                      </v>
          </cell>
          <cell r="C1850" t="str">
            <v xml:space="preserve">UN    </v>
          </cell>
          <cell r="D1850" t="str">
            <v>CR</v>
          </cell>
          <cell r="E1850" t="str">
            <v>70.127,20</v>
          </cell>
        </row>
        <row r="1851">
          <cell r="A1851">
            <v>37777</v>
          </cell>
          <cell r="B1851" t="str">
            <v xml:space="preserve">ELEVADOR DE CREMALHEIRA CABINE FECHADA 1,5 X 2,5 X 2,35 M (UMA POR TORRE), CAPACIDADE DE CARGA 1200 KG (15 PESSOAS), TORRE  24 M (16 MODULOS), FREIO DE SEGURANCA, LIMITADOR DE CARGA                                                                                                                                                                                                                                                                                                                     </v>
          </cell>
          <cell r="C1851" t="str">
            <v xml:space="preserve">UN    </v>
          </cell>
          <cell r="D1851" t="str">
            <v>CR</v>
          </cell>
          <cell r="E1851" t="str">
            <v>330.157,49</v>
          </cell>
        </row>
        <row r="1852">
          <cell r="A1852">
            <v>12624</v>
          </cell>
          <cell r="B1852" t="str">
            <v xml:space="preserve">EMENDA PARA CALHA PLUVIAL, PVC, DIAMETRO ENTRE 119 E 170 MM, PARA DRENAGEM PLUVIAL PREDIAL                                                                                                                                                                                                                                                                                                                                                                                                                </v>
          </cell>
          <cell r="C1852" t="str">
            <v xml:space="preserve">UN    </v>
          </cell>
          <cell r="D1852" t="str">
            <v>CR</v>
          </cell>
          <cell r="E1852" t="str">
            <v>31,60</v>
          </cell>
        </row>
        <row r="1853">
          <cell r="A1853">
            <v>517</v>
          </cell>
          <cell r="B1853" t="str">
            <v xml:space="preserve">EMULSAO ASFALTICA ANIONICA                                                                                                                                                                                                                                                                                                                                                                                                                                                                                </v>
          </cell>
          <cell r="C1853" t="str">
            <v xml:space="preserve">L     </v>
          </cell>
          <cell r="D1853" t="str">
            <v>CR</v>
          </cell>
          <cell r="E1853" t="str">
            <v>9,95</v>
          </cell>
        </row>
        <row r="1854">
          <cell r="A1854">
            <v>37534</v>
          </cell>
          <cell r="B1854" t="str">
            <v xml:space="preserve">EMULSAO EXPLOSIVA EM CARTUCHOS DE 1" X 12", DENSIDADE 1.15 G/CM3, INICIACAO ESPOLETA N. 8 / CORDEL                                                                                                                                                                                                                                                                                                                                                                                                        </v>
          </cell>
          <cell r="C1854" t="str">
            <v xml:space="preserve">KG    </v>
          </cell>
          <cell r="D1854" t="str">
            <v>CR</v>
          </cell>
          <cell r="E1854" t="str">
            <v>20,98</v>
          </cell>
        </row>
        <row r="1855">
          <cell r="A1855">
            <v>37535</v>
          </cell>
          <cell r="B1855" t="str">
            <v xml:space="preserve">EMULSAO EXPLOSIVA EM CARTUCHOS DE 1" X 24", DENSIDADE 1.15 G/CM3, INICIACAO ESPOLETA N. 8 / CORDEL                                                                                                                                                                                                                                                                                                                                                                                                        </v>
          </cell>
          <cell r="C1855" t="str">
            <v xml:space="preserve">KG    </v>
          </cell>
          <cell r="D1855" t="str">
            <v>CR</v>
          </cell>
          <cell r="E1855" t="str">
            <v>20,98</v>
          </cell>
        </row>
        <row r="1856">
          <cell r="A1856">
            <v>37533</v>
          </cell>
          <cell r="B1856" t="str">
            <v xml:space="preserve">EMULSAO EXPLOSIVA EM CARTUCHOS DE 1" X 8", DENSIDADE 1.15 G/CM3, INICIACAO ESPOLETA N. 8 / CORDEL                                                                                                                                                                                                                                                                                                                                                                                                         </v>
          </cell>
          <cell r="C1856" t="str">
            <v xml:space="preserve">KG    </v>
          </cell>
          <cell r="D1856" t="str">
            <v>CR</v>
          </cell>
          <cell r="E1856" t="str">
            <v>20,98</v>
          </cell>
        </row>
        <row r="1857">
          <cell r="A1857">
            <v>37537</v>
          </cell>
          <cell r="B1857" t="str">
            <v xml:space="preserve">EMULSAO EXPLOSIVA EM CARTUCHOS DE 2 1/2" X 24", DENSIDADE 1.15 G/CM3, INICIACAO ESPOLETA N. 8 / CORDEL                                                                                                                                                                                                                                                                                                                                                                                                    </v>
          </cell>
          <cell r="C1857" t="str">
            <v xml:space="preserve">KG    </v>
          </cell>
          <cell r="D1857" t="str">
            <v>CR</v>
          </cell>
          <cell r="E1857" t="str">
            <v>15,88</v>
          </cell>
        </row>
        <row r="1858">
          <cell r="A1858">
            <v>37536</v>
          </cell>
          <cell r="B1858" t="str">
            <v xml:space="preserve">EMULSAO EXPLOSIVA EM CARTUCHOS DE 2 1/4" X 24", DENSIDADE 1.15 G/CM3, INICIACAO ESPOLETA N. 8 / CORDEL                                                                                                                                                                                                                                                                                                                                                                                                    </v>
          </cell>
          <cell r="C1858" t="str">
            <v xml:space="preserve">KG    </v>
          </cell>
          <cell r="D1858" t="str">
            <v>CR</v>
          </cell>
          <cell r="E1858" t="str">
            <v>15,88</v>
          </cell>
        </row>
        <row r="1859">
          <cell r="A1859">
            <v>37532</v>
          </cell>
          <cell r="B1859" t="str">
            <v xml:space="preserve">EMULSAO EXPLOSIVA EM CARTUCHOS DE 2" X 24", DENSIDADE 1.15 G/CM3, INICIACAO ESPOLETA N. 8 / CORDEL                                                                                                                                                                                                                                                                                                                                                                                                        </v>
          </cell>
          <cell r="C1859" t="str">
            <v xml:space="preserve">KG    </v>
          </cell>
          <cell r="D1859" t="str">
            <v xml:space="preserve">C </v>
          </cell>
          <cell r="E1859" t="str">
            <v>15,88</v>
          </cell>
        </row>
        <row r="1860">
          <cell r="A1860">
            <v>2696</v>
          </cell>
          <cell r="B1860" t="str">
            <v xml:space="preserve">ENCANADOR OU BOMBEIRO HIDRAULICO (HORISTA)                                                                                                                                                                                                                                                                                                                                                                                                                                                                </v>
          </cell>
          <cell r="C1860" t="str">
            <v xml:space="preserve">H     </v>
          </cell>
          <cell r="D1860" t="str">
            <v xml:space="preserve">C </v>
          </cell>
          <cell r="E1860" t="str">
            <v>27,37</v>
          </cell>
        </row>
        <row r="1861">
          <cell r="A1861">
            <v>40928</v>
          </cell>
          <cell r="B1861" t="str">
            <v xml:space="preserve">ENCANADOR OU BOMBEIRO HIDRAULICO (MENSALISTA)                                                                                                                                                                                                                                                                                                                                                                                                                                                             </v>
          </cell>
          <cell r="C1861" t="str">
            <v xml:space="preserve">MES   </v>
          </cell>
          <cell r="D1861" t="str">
            <v>CR</v>
          </cell>
          <cell r="E1861" t="str">
            <v>4.790,59</v>
          </cell>
        </row>
        <row r="1862">
          <cell r="A1862">
            <v>4083</v>
          </cell>
          <cell r="B1862" t="str">
            <v xml:space="preserve">ENCARREGADO GERAL DE OBRAS (HORISTA)                                                                                                                                                                                                                                                                                                                                                                                                                                                                      </v>
          </cell>
          <cell r="C1862" t="str">
            <v xml:space="preserve">H     </v>
          </cell>
          <cell r="D1862" t="str">
            <v xml:space="preserve">C </v>
          </cell>
          <cell r="E1862" t="str">
            <v>43,77</v>
          </cell>
        </row>
        <row r="1863">
          <cell r="A1863">
            <v>40818</v>
          </cell>
          <cell r="B1863" t="str">
            <v xml:space="preserve">ENCARREGADO GERAL DE OBRAS (MENSALISTA)                                                                                                                                                                                                                                                                                                                                                                                                                                                                   </v>
          </cell>
          <cell r="C1863" t="str">
            <v xml:space="preserve">MES   </v>
          </cell>
          <cell r="D1863" t="str">
            <v>CR</v>
          </cell>
          <cell r="E1863" t="str">
            <v>7.661,17</v>
          </cell>
        </row>
        <row r="1864">
          <cell r="A1864">
            <v>43146</v>
          </cell>
          <cell r="B1864" t="str">
            <v xml:space="preserve">ENDURECEDOR MINERAL DE BASE CIMENTICIA PARA PISO DE CONCRETO                                                                                                                                                                                                                                                                                                                                                                                                                                              </v>
          </cell>
          <cell r="C1864" t="str">
            <v xml:space="preserve">KG    </v>
          </cell>
          <cell r="D1864" t="str">
            <v>CR</v>
          </cell>
          <cell r="E1864" t="str">
            <v>8,75</v>
          </cell>
        </row>
        <row r="1865">
          <cell r="A1865">
            <v>2705</v>
          </cell>
          <cell r="B1865" t="str">
            <v xml:space="preserve">ENERGIA ELETRICA ATE 2000 KWH INDUSTRIAL, SEM DEMANDA                                                                                                                                                                                                                                                                                                                                                                                                                                                     </v>
          </cell>
          <cell r="C1865" t="str">
            <v xml:space="preserve">KWH   </v>
          </cell>
          <cell r="D1865" t="str">
            <v>CR</v>
          </cell>
          <cell r="E1865" t="str">
            <v>0,74</v>
          </cell>
        </row>
        <row r="1866">
          <cell r="A1866">
            <v>14250</v>
          </cell>
          <cell r="B1866" t="str">
            <v xml:space="preserve">ENERGIA ELETRICA COMERCIAL, BAIXA TENSAO, RELATIVA AO CONSUMO DE ATE 100 KWH, INCLUINDO ICMS, PIS/PASEP E COFINS                                                                                                                                                                                                                                                                                                                                                                                          </v>
          </cell>
          <cell r="C1866" t="str">
            <v xml:space="preserve">KWH   </v>
          </cell>
          <cell r="D1866" t="str">
            <v xml:space="preserve">C </v>
          </cell>
          <cell r="E1866" t="str">
            <v>0,76</v>
          </cell>
        </row>
        <row r="1867">
          <cell r="A1867">
            <v>11683</v>
          </cell>
          <cell r="B1867" t="str">
            <v xml:space="preserve">ENGATE / RABICHO FLEXIVEL INOX 1/2 " X 30 CM                                                                                                                                                                                                                                                                                                                                                                                                                                                              </v>
          </cell>
          <cell r="C1867" t="str">
            <v xml:space="preserve">UN    </v>
          </cell>
          <cell r="D1867" t="str">
            <v>CR</v>
          </cell>
          <cell r="E1867" t="str">
            <v>41,61</v>
          </cell>
        </row>
        <row r="1868">
          <cell r="A1868">
            <v>11684</v>
          </cell>
          <cell r="B1868" t="str">
            <v xml:space="preserve">ENGATE / RABICHO FLEXIVEL INOX 1/2 " X 40 CM                                                                                                                                                                                                                                                                                                                                                                                                                                                              </v>
          </cell>
          <cell r="C1868" t="str">
            <v xml:space="preserve">UN    </v>
          </cell>
          <cell r="D1868" t="str">
            <v>CR</v>
          </cell>
          <cell r="E1868" t="str">
            <v>45,54</v>
          </cell>
        </row>
        <row r="1869">
          <cell r="A1869">
            <v>6141</v>
          </cell>
          <cell r="B1869" t="str">
            <v xml:space="preserve">ENGATE/RABICHO FLEXIVEL PLASTICO (PVC OU ABS) BRANCO 1/2 " X 30 CM                                                                                                                                                                                                                                                                                                                                                                                                                                        </v>
          </cell>
          <cell r="C1869" t="str">
            <v xml:space="preserve">UN    </v>
          </cell>
          <cell r="D1869" t="str">
            <v>CR</v>
          </cell>
          <cell r="E1869" t="str">
            <v>6,64</v>
          </cell>
        </row>
        <row r="1870">
          <cell r="A1870">
            <v>11681</v>
          </cell>
          <cell r="B1870" t="str">
            <v xml:space="preserve">ENGATE/RABICHO FLEXIVEL PLASTICO (PVC OU ABS) BRANCO 1/2 " X 40 CM                                                                                                                                                                                                                                                                                                                                                                                                                                        </v>
          </cell>
          <cell r="C1870" t="str">
            <v xml:space="preserve">UN    </v>
          </cell>
          <cell r="D1870" t="str">
            <v>CR</v>
          </cell>
          <cell r="E1870" t="str">
            <v>8,37</v>
          </cell>
        </row>
        <row r="1871">
          <cell r="A1871">
            <v>2706</v>
          </cell>
          <cell r="B1871" t="str">
            <v xml:space="preserve">ENGENHEIRO CIVIL DE OBRA JUNIOR (HORISTA)                                                                                                                                                                                                                                                                                                                                                                                                                                                                 </v>
          </cell>
          <cell r="C1871" t="str">
            <v xml:space="preserve">H     </v>
          </cell>
          <cell r="D1871" t="str">
            <v xml:space="preserve">C </v>
          </cell>
          <cell r="E1871" t="str">
            <v>117,57</v>
          </cell>
        </row>
        <row r="1872">
          <cell r="A1872">
            <v>40811</v>
          </cell>
          <cell r="B1872" t="str">
            <v xml:space="preserve">ENGENHEIRO CIVIL DE OBRA JUNIOR (MENSALISTA)                                                                                                                                                                                                                                                                                                                                                                                                                                                              </v>
          </cell>
          <cell r="C1872" t="str">
            <v xml:space="preserve">MES   </v>
          </cell>
          <cell r="D1872" t="str">
            <v>CR</v>
          </cell>
          <cell r="E1872" t="str">
            <v>20.576,91</v>
          </cell>
        </row>
        <row r="1873">
          <cell r="A1873">
            <v>2707</v>
          </cell>
          <cell r="B1873" t="str">
            <v xml:space="preserve">ENGENHEIRO CIVIL DE OBRA PLENO (HORISTA)                                                                                                                                                                                                                                                                                                                                                                                                                                                                  </v>
          </cell>
          <cell r="C1873" t="str">
            <v xml:space="preserve">H     </v>
          </cell>
          <cell r="D1873" t="str">
            <v>CR</v>
          </cell>
          <cell r="E1873" t="str">
            <v>119,60</v>
          </cell>
        </row>
        <row r="1874">
          <cell r="A1874">
            <v>40813</v>
          </cell>
          <cell r="B1874" t="str">
            <v xml:space="preserve">ENGENHEIRO CIVIL DE OBRA PLENO (MENSALISTA)                                                                                                                                                                                                                                                                                                                                                                                                                                                               </v>
          </cell>
          <cell r="C1874" t="str">
            <v xml:space="preserve">MES   </v>
          </cell>
          <cell r="D1874" t="str">
            <v>CR</v>
          </cell>
          <cell r="E1874" t="str">
            <v>20.932,12</v>
          </cell>
        </row>
        <row r="1875">
          <cell r="A1875">
            <v>2708</v>
          </cell>
          <cell r="B1875" t="str">
            <v xml:space="preserve">ENGENHEIRO CIVIL DE OBRA SENIOR (HORISTA)                                                                                                                                                                                                                                                                                                                                                                                                                                                                 </v>
          </cell>
          <cell r="C1875" t="str">
            <v xml:space="preserve">H     </v>
          </cell>
          <cell r="D1875" t="str">
            <v>CR</v>
          </cell>
          <cell r="E1875" t="str">
            <v>167,53</v>
          </cell>
        </row>
        <row r="1876">
          <cell r="A1876">
            <v>40814</v>
          </cell>
          <cell r="B1876" t="str">
            <v xml:space="preserve">ENGENHEIRO CIVIL DE OBRA SENIOR (MENSALISTA)                                                                                                                                                                                                                                                                                                                                                                                                                                                              </v>
          </cell>
          <cell r="C1876" t="str">
            <v xml:space="preserve">MES   </v>
          </cell>
          <cell r="D1876" t="str">
            <v>CR</v>
          </cell>
          <cell r="E1876" t="str">
            <v>29.321,64</v>
          </cell>
        </row>
        <row r="1877">
          <cell r="A1877">
            <v>38403</v>
          </cell>
          <cell r="B1877" t="str">
            <v xml:space="preserve">ENXADA ESTREITA *25 X 23* CM COM CABO                                                                                                                                                                                                                                                                                                                                                                                                                                                                     </v>
          </cell>
          <cell r="C1877" t="str">
            <v xml:space="preserve">UN    </v>
          </cell>
          <cell r="D1877" t="str">
            <v>CR</v>
          </cell>
          <cell r="E1877" t="str">
            <v>54,00</v>
          </cell>
        </row>
        <row r="1878">
          <cell r="A1878">
            <v>43482</v>
          </cell>
          <cell r="B1878" t="str">
            <v xml:space="preserve">EPI - FAMILIA ALMOXARIFE - HORISTA (ENCARGOS COMPLEMENTARES - COLETADO CAIXA)                                                                                                                                                                                                                                                                                                                                                                                                                             </v>
          </cell>
          <cell r="C1878" t="str">
            <v xml:space="preserve">H     </v>
          </cell>
          <cell r="D1878" t="str">
            <v xml:space="preserve">C </v>
          </cell>
          <cell r="E1878" t="str">
            <v>0,79</v>
          </cell>
        </row>
        <row r="1879">
          <cell r="A1879">
            <v>43494</v>
          </cell>
          <cell r="B1879" t="str">
            <v xml:space="preserve">EPI - FAMILIA ALMOXARIFE - MENSALISTA (ENCARGOS COMPLEMENTARES - COLETADO CAIXA)                                                                                                                                                                                                                                                                                                                                                                                                                          </v>
          </cell>
          <cell r="C1879" t="str">
            <v xml:space="preserve">MES   </v>
          </cell>
          <cell r="D1879" t="str">
            <v xml:space="preserve">C </v>
          </cell>
          <cell r="E1879" t="str">
            <v>148,04</v>
          </cell>
        </row>
        <row r="1880">
          <cell r="A1880">
            <v>43483</v>
          </cell>
          <cell r="B1880" t="str">
            <v xml:space="preserve">EPI - FAMILIA CARPINTEIRO DE FORMAS - HORISTA (ENCARGOS COMPLEMENTARES - COLETADO CAIXA)                                                                                                                                                                                                                                                                                                                                                                                                                  </v>
          </cell>
          <cell r="C1880" t="str">
            <v xml:space="preserve">H     </v>
          </cell>
          <cell r="D1880" t="str">
            <v xml:space="preserve">C </v>
          </cell>
          <cell r="E1880" t="str">
            <v>1,43</v>
          </cell>
        </row>
        <row r="1881">
          <cell r="A1881">
            <v>43495</v>
          </cell>
          <cell r="B1881" t="str">
            <v xml:space="preserve">EPI - FAMILIA CARPINTEIRO DE FORMAS - MENSALISTA (ENCARGOS COMPLEMENTARES - COLETADO CAIXA)                                                                                                                                                                                                                                                                                                                                                                                                               </v>
          </cell>
          <cell r="C1881" t="str">
            <v xml:space="preserve">MES   </v>
          </cell>
          <cell r="D1881" t="str">
            <v xml:space="preserve">C </v>
          </cell>
          <cell r="E1881" t="str">
            <v>269,97</v>
          </cell>
        </row>
        <row r="1882">
          <cell r="A1882">
            <v>43484</v>
          </cell>
          <cell r="B1882" t="str">
            <v xml:space="preserve">EPI - FAMILIA ELETRICISTA - HORISTA (ENCARGOS COMPLEMENTARES - COLETADO CAIXA)                                                                                                                                                                                                                                                                                                                                                                                                                            </v>
          </cell>
          <cell r="C1882" t="str">
            <v xml:space="preserve">H     </v>
          </cell>
          <cell r="D1882" t="str">
            <v xml:space="preserve">C </v>
          </cell>
          <cell r="E1882" t="str">
            <v>1,20</v>
          </cell>
        </row>
        <row r="1883">
          <cell r="A1883">
            <v>43496</v>
          </cell>
          <cell r="B1883" t="str">
            <v xml:space="preserve">EPI - FAMILIA ELETRICISTA - MENSALISTA (ENCARGOS COMPLEMENTARES - COLETADO CAIXA)                                                                                                                                                                                                                                                                                                                                                                                                                         </v>
          </cell>
          <cell r="C1883" t="str">
            <v xml:space="preserve">MES   </v>
          </cell>
          <cell r="D1883" t="str">
            <v xml:space="preserve">C </v>
          </cell>
          <cell r="E1883" t="str">
            <v>226,41</v>
          </cell>
        </row>
        <row r="1884">
          <cell r="A1884">
            <v>43485</v>
          </cell>
          <cell r="B1884" t="str">
            <v xml:space="preserve">EPI - FAMILIA ENCANADOR - HORISTA (ENCARGOS COMPLEMENTARES - COLETADO CAIXA)                                                                                                                                                                                                                                                                                                                                                                                                                              </v>
          </cell>
          <cell r="C1884" t="str">
            <v xml:space="preserve">H     </v>
          </cell>
          <cell r="D1884" t="str">
            <v xml:space="preserve">C </v>
          </cell>
          <cell r="E1884" t="str">
            <v>1,06</v>
          </cell>
        </row>
        <row r="1885">
          <cell r="A1885">
            <v>43497</v>
          </cell>
          <cell r="B1885" t="str">
            <v xml:space="preserve">EPI - FAMILIA ENCANADOR - MENSALISTA (ENCARGOS COMPLEMENTARES - COLETADO CAIXA)                                                                                                                                                                                                                                                                                                                                                                                                                           </v>
          </cell>
          <cell r="C1885" t="str">
            <v xml:space="preserve">MES   </v>
          </cell>
          <cell r="D1885" t="str">
            <v xml:space="preserve">C </v>
          </cell>
          <cell r="E1885" t="str">
            <v>199,20</v>
          </cell>
        </row>
        <row r="1886">
          <cell r="A1886">
            <v>43487</v>
          </cell>
          <cell r="B1886" t="str">
            <v xml:space="preserve">EPI - FAMILIA ENCARREGADO GERAL - HORISTA (ENCARGOS COMPLEMENTARES - COLETADO CAIXA)                                                                                                                                                                                                                                                                                                                                                                                                                      </v>
          </cell>
          <cell r="C1886" t="str">
            <v xml:space="preserve">H     </v>
          </cell>
          <cell r="D1886" t="str">
            <v xml:space="preserve">C </v>
          </cell>
          <cell r="E1886" t="str">
            <v>1,25</v>
          </cell>
        </row>
        <row r="1887">
          <cell r="A1887">
            <v>43499</v>
          </cell>
          <cell r="B1887" t="str">
            <v xml:space="preserve">EPI - FAMILIA ENCARREGADO GERAL - MENSALISTA (ENCARGOS COMPLEMENTARES - COLETADO CAIXA)                                                                                                                                                                                                                                                                                                                                                                                                                   </v>
          </cell>
          <cell r="C1887" t="str">
            <v xml:space="preserve">MES   </v>
          </cell>
          <cell r="D1887" t="str">
            <v xml:space="preserve">C </v>
          </cell>
          <cell r="E1887" t="str">
            <v>236,16</v>
          </cell>
        </row>
        <row r="1888">
          <cell r="A1888">
            <v>43486</v>
          </cell>
          <cell r="B1888" t="str">
            <v xml:space="preserve">EPI - FAMILIA ENGENHEIRO CIVIL - HORISTA (ENCARGOS COMPLEMENTARES - COLETADO CAIXA)                                                                                                                                                                                                                                                                                                                                                                                                                       </v>
          </cell>
          <cell r="C1888" t="str">
            <v xml:space="preserve">H     </v>
          </cell>
          <cell r="D1888" t="str">
            <v xml:space="preserve">C </v>
          </cell>
          <cell r="E1888" t="str">
            <v>0,74</v>
          </cell>
        </row>
        <row r="1889">
          <cell r="A1889">
            <v>43498</v>
          </cell>
          <cell r="B1889" t="str">
            <v xml:space="preserve">EPI - FAMILIA ENGENHEIRO CIVIL - MENSALISTA (ENCARGOS COMPLEMENTARES - COLETADO CAIXA)                                                                                                                                                                                                                                                                                                                                                                                                                    </v>
          </cell>
          <cell r="C1889" t="str">
            <v xml:space="preserve">MES   </v>
          </cell>
          <cell r="D1889" t="str">
            <v xml:space="preserve">C </v>
          </cell>
          <cell r="E1889" t="str">
            <v>140,23</v>
          </cell>
        </row>
        <row r="1890">
          <cell r="A1890">
            <v>43488</v>
          </cell>
          <cell r="B1890" t="str">
            <v xml:space="preserve">EPI - FAMILIA OPERADOR ESCAVADEIRA - HORISTA (ENCARGOS COMPLEMENTARES - COLETADO CAIXA)                                                                                                                                                                                                                                                                                                                                                                                                                   </v>
          </cell>
          <cell r="C1890" t="str">
            <v xml:space="preserve">H     </v>
          </cell>
          <cell r="D1890" t="str">
            <v xml:space="preserve">C </v>
          </cell>
          <cell r="E1890" t="str">
            <v>0,86</v>
          </cell>
        </row>
        <row r="1891">
          <cell r="A1891">
            <v>43500</v>
          </cell>
          <cell r="B1891" t="str">
            <v xml:space="preserve">EPI - FAMILIA OPERADOR ESCAVADEIRA - MENSALISTA (ENCARGOS COMPLEMENTARES - COLETADO CAIXA)                                                                                                                                                                                                                                                                                                                                                                                                                </v>
          </cell>
          <cell r="C1891" t="str">
            <v xml:space="preserve">MES   </v>
          </cell>
          <cell r="D1891" t="str">
            <v xml:space="preserve">C </v>
          </cell>
          <cell r="E1891" t="str">
            <v>162,97</v>
          </cell>
        </row>
        <row r="1892">
          <cell r="A1892">
            <v>43489</v>
          </cell>
          <cell r="B1892" t="str">
            <v xml:space="preserve">EPI - FAMILIA PEDREIRO - HORISTA (ENCARGOS COMPLEMENTARES - COLETADO CAIXA)                                                                                                                                                                                                                                                                                                                                                                                                                               </v>
          </cell>
          <cell r="C1892" t="str">
            <v xml:space="preserve">H     </v>
          </cell>
          <cell r="D1892" t="str">
            <v xml:space="preserve">C </v>
          </cell>
          <cell r="E1892" t="str">
            <v>1,24</v>
          </cell>
        </row>
        <row r="1893">
          <cell r="A1893">
            <v>43501</v>
          </cell>
          <cell r="B1893" t="str">
            <v xml:space="preserve">EPI - FAMILIA PEDREIRO - MENSALISTA (ENCARGOS COMPLEMENTARES - COLETADO CAIXA)                                                                                                                                                                                                                                                                                                                                                                                                                            </v>
          </cell>
          <cell r="C1893" t="str">
            <v xml:space="preserve">MES   </v>
          </cell>
          <cell r="D1893" t="str">
            <v xml:space="preserve">C </v>
          </cell>
          <cell r="E1893" t="str">
            <v>233,35</v>
          </cell>
        </row>
        <row r="1894">
          <cell r="A1894">
            <v>43490</v>
          </cell>
          <cell r="B1894" t="str">
            <v xml:space="preserve">EPI - FAMILIA PINTOR - HORISTA (ENCARGOS COMPLEMENTARES - COLETADO CAIXA)                                                                                                                                                                                                                                                                                                                                                                                                                                 </v>
          </cell>
          <cell r="C1894" t="str">
            <v xml:space="preserve">H     </v>
          </cell>
          <cell r="D1894" t="str">
            <v xml:space="preserve">C </v>
          </cell>
          <cell r="E1894" t="str">
            <v>1,73</v>
          </cell>
        </row>
        <row r="1895">
          <cell r="A1895">
            <v>43502</v>
          </cell>
          <cell r="B1895" t="str">
            <v xml:space="preserve">EPI - FAMILIA PINTOR - MENSALISTA (ENCARGOS COMPLEMENTARES - COLETADO CAIXA)                                                                                                                                                                                                                                                                                                                                                                                                                              </v>
          </cell>
          <cell r="C1895" t="str">
            <v xml:space="preserve">MES   </v>
          </cell>
          <cell r="D1895" t="str">
            <v xml:space="preserve">C </v>
          </cell>
          <cell r="E1895" t="str">
            <v>325,51</v>
          </cell>
        </row>
        <row r="1896">
          <cell r="A1896">
            <v>43491</v>
          </cell>
          <cell r="B1896" t="str">
            <v xml:space="preserve">EPI - FAMILIA SERVENTE - HORISTA (ENCARGOS COMPLEMENTARES - COLETADO CAIXA)                                                                                                                                                                                                                                                                                                                                                                                                                               </v>
          </cell>
          <cell r="C1896" t="str">
            <v xml:space="preserve">H     </v>
          </cell>
          <cell r="D1896" t="str">
            <v xml:space="preserve">C </v>
          </cell>
          <cell r="E1896" t="str">
            <v>1,33</v>
          </cell>
        </row>
        <row r="1897">
          <cell r="A1897">
            <v>43503</v>
          </cell>
          <cell r="B1897" t="str">
            <v xml:space="preserve">EPI - FAMILIA SERVENTE - MENSALISTA (ENCARGOS COMPLEMENTARES - COLETADO CAIXA)                                                                                                                                                                                                                                                                                                                                                                                                                            </v>
          </cell>
          <cell r="C1897" t="str">
            <v xml:space="preserve">MES   </v>
          </cell>
          <cell r="D1897" t="str">
            <v xml:space="preserve">C </v>
          </cell>
          <cell r="E1897" t="str">
            <v>250,24</v>
          </cell>
        </row>
        <row r="1898">
          <cell r="A1898">
            <v>43492</v>
          </cell>
          <cell r="B1898" t="str">
            <v xml:space="preserve">EPI - FAMILIA SOLDADOR - HORISTA (ENCARGOS COMPLEMENTARES - COLETADO CAIXA)                                                                                                                                                                                                                                                                                                                                                                                                                               </v>
          </cell>
          <cell r="C1898" t="str">
            <v xml:space="preserve">H     </v>
          </cell>
          <cell r="D1898" t="str">
            <v xml:space="preserve">C </v>
          </cell>
          <cell r="E1898" t="str">
            <v>1,79</v>
          </cell>
        </row>
        <row r="1899">
          <cell r="A1899">
            <v>43504</v>
          </cell>
          <cell r="B1899" t="str">
            <v xml:space="preserve">EPI - FAMILIA SOLDADOR - MENSALISTA (ENCARGOS COMPLEMENTARES - COLETADO CAIXA)                                                                                                                                                                                                                                                                                                                                                                                                                            </v>
          </cell>
          <cell r="C1899" t="str">
            <v xml:space="preserve">MES   </v>
          </cell>
          <cell r="D1899" t="str">
            <v xml:space="preserve">C </v>
          </cell>
          <cell r="E1899" t="str">
            <v>337,87</v>
          </cell>
        </row>
        <row r="1900">
          <cell r="A1900">
            <v>43493</v>
          </cell>
          <cell r="B1900" t="str">
            <v xml:space="preserve">EPI - FAMILIA TOPOGRAFO - HORISTA (ENCARGOS COMPLEMENTARES - COLETADO CAIXA)                                                                                                                                                                                                                                                                                                                                                                                                                              </v>
          </cell>
          <cell r="C1900" t="str">
            <v xml:space="preserve">H     </v>
          </cell>
          <cell r="D1900" t="str">
            <v xml:space="preserve">C </v>
          </cell>
          <cell r="E1900" t="str">
            <v>0,71</v>
          </cell>
        </row>
        <row r="1901">
          <cell r="A1901">
            <v>43505</v>
          </cell>
          <cell r="B1901" t="str">
            <v xml:space="preserve">EPI - FAMILIA TOPOGRAFO - MENSALISTA (ENCARGOS COMPLEMENTARES - COLETADO CAIXA)                                                                                                                                                                                                                                                                                                                                                                                                                           </v>
          </cell>
          <cell r="C1901" t="str">
            <v xml:space="preserve">MES   </v>
          </cell>
          <cell r="D1901" t="str">
            <v xml:space="preserve">C </v>
          </cell>
          <cell r="E1901" t="str">
            <v>132,94</v>
          </cell>
        </row>
        <row r="1902">
          <cell r="A1902">
            <v>37774</v>
          </cell>
          <cell r="B1902" t="str">
            <v xml:space="preserve">EQUIPAMENTO DE LIMPEZA COMBINADO (VACUO/ALTA PRESSAO) 95% VACUO, TANQUE 7000 L, BOMBA 140 KGF/CM2 66 L/MIN COM MOTOR INDEPENDENTE A DIESEL DE 60 CV (INCLUI MONTAGEM, NAO INCLUI CAMINHAO)                                                                                                                                                                                                                                                                                                                </v>
          </cell>
          <cell r="C1902" t="str">
            <v xml:space="preserve">UN    </v>
          </cell>
          <cell r="D1902" t="str">
            <v>CR</v>
          </cell>
          <cell r="E1902" t="str">
            <v>565.124,71</v>
          </cell>
        </row>
        <row r="1903">
          <cell r="A1903">
            <v>38629</v>
          </cell>
          <cell r="B1903" t="str">
            <v xml:space="preserve">EQUIPAMENTO P/ DEMARCACAO DE FAIXAS DE TRAFEGO A QUENTE, A SER MONTADO SOBRE CAMINHAO DE PBT MIN. DE 17 T, DIST. MIN. ENTRE EIXOS 5,2 M, CAPACIDADE PARA 1.000 KG DE MATERIAL TERMOPLASTICO (INCLUI MONTAGEM, NAO INCLUI CAMINHAO, NEM COMPRESSOR DE AR)                                                                                                                                                                                                                                                  </v>
          </cell>
          <cell r="C1903" t="str">
            <v xml:space="preserve">UN    </v>
          </cell>
          <cell r="D1903" t="str">
            <v>CR</v>
          </cell>
          <cell r="E1903" t="str">
            <v>2.602.792,96</v>
          </cell>
        </row>
        <row r="1904">
          <cell r="A1904">
            <v>38630</v>
          </cell>
          <cell r="B1904" t="str">
            <v xml:space="preserve">EQUIPAMENTO PARA DEMARCACAO DE FAIXAS DE TRAFEGO A FRIO, A SER MONTADO SOBRE CAMINHAO DE PBT MINIMO DE 9 T E DISTANCIA MINIMA ENTRE EIXOS DE 4,3 M, CAPACIDADE PARA 800 L DE TINTA (INCLUI MONTAGEM, NAO INCLUI CAMINHAO)                                                                                                                                                                                                                                                                                 </v>
          </cell>
          <cell r="C1904" t="str">
            <v xml:space="preserve">UN    </v>
          </cell>
          <cell r="D1904" t="str">
            <v>CR</v>
          </cell>
          <cell r="E1904" t="str">
            <v>1.748.542,96</v>
          </cell>
        </row>
        <row r="1905">
          <cell r="A1905">
            <v>38476</v>
          </cell>
          <cell r="B1905" t="str">
            <v xml:space="preserve">ESCADA DUPLA DE ABRIR EM ALUMINIO, MODELO PINTOR, 8 DEGRAUS                                                                                                                                                                                                                                                                                                                                                                                                                                               </v>
          </cell>
          <cell r="C1905" t="str">
            <v xml:space="preserve">UN    </v>
          </cell>
          <cell r="D1905" t="str">
            <v>CR</v>
          </cell>
          <cell r="E1905" t="str">
            <v>405,86</v>
          </cell>
        </row>
        <row r="1906">
          <cell r="A1906">
            <v>38477</v>
          </cell>
          <cell r="B1906" t="str">
            <v xml:space="preserve">ESCADA EXTENSIVEL EM ALUMINIO COM 6,00 M ESTENDIDA                                                                                                                                                                                                                                                                                                                                                                                                                                                        </v>
          </cell>
          <cell r="C1906" t="str">
            <v xml:space="preserve">UN    </v>
          </cell>
          <cell r="D1906" t="str">
            <v>CR</v>
          </cell>
          <cell r="E1906" t="str">
            <v>1.149,41</v>
          </cell>
        </row>
        <row r="1907">
          <cell r="A1907">
            <v>40635</v>
          </cell>
          <cell r="B1907" t="str">
            <v xml:space="preserve">ESCAVADEIRA HIDRAULICA SOBRE ESTEIRA, COM GARRA GIRATORIA DE MANDIBULAS, PESO OPERACIONAL ENTRE 22,00 E 25,50 TON, POTENCIA LIQUIDA ENTRE 150 E 160 HP                                                                                                                                                                                                                                                                                                                                                    </v>
          </cell>
          <cell r="C1907" t="str">
            <v xml:space="preserve">UN    </v>
          </cell>
          <cell r="D1907" t="str">
            <v>CR</v>
          </cell>
          <cell r="E1907" t="str">
            <v>960.591,47</v>
          </cell>
        </row>
        <row r="1908">
          <cell r="A1908">
            <v>36483</v>
          </cell>
          <cell r="B1908" t="str">
            <v xml:space="preserve">ESCAVADEIRA HIDRAULICA SOBRE ESTEIRAS CACAMBA 0,40 A 1,20 M3, PESO OPERACIONAL 21,19 T, POTENCIA LIQUIDA 173 HP                                                                                                                                                                                                                                                                                                                                                                                           </v>
          </cell>
          <cell r="C1908" t="str">
            <v xml:space="preserve">UN    </v>
          </cell>
          <cell r="D1908" t="str">
            <v>CR</v>
          </cell>
          <cell r="E1908" t="str">
            <v>870.449,74</v>
          </cell>
        </row>
        <row r="1909">
          <cell r="A1909">
            <v>14525</v>
          </cell>
          <cell r="B1909" t="str">
            <v xml:space="preserve">ESCAVADEIRA HIDRAULICA SOBRE ESTEIRAS COM CACAMBA DE 1,20 M3, PESO OPERACIONAL 21 T, POTENCIA BRUTA 155 HP                                                                                                                                                                                                                                                                                                                                                                                                </v>
          </cell>
          <cell r="C1909" t="str">
            <v xml:space="preserve">UN    </v>
          </cell>
          <cell r="D1909" t="str">
            <v>CR</v>
          </cell>
          <cell r="E1909" t="str">
            <v>911.412,08</v>
          </cell>
        </row>
        <row r="1910">
          <cell r="A1910">
            <v>36482</v>
          </cell>
          <cell r="B1910" t="str">
            <v xml:space="preserve">ESCAVADEIRA HIDRAULICA SOBRE ESTEIRAS, CACAMBA  0,80 M3, PESO OPERACIONAL 17,8 T, POTENCIA LIQUIDA 110 HP                                                                                                                                                                                                                                                                                                                                                                                                 </v>
          </cell>
          <cell r="C1910" t="str">
            <v xml:space="preserve">UN    </v>
          </cell>
          <cell r="D1910" t="str">
            <v>CR</v>
          </cell>
          <cell r="E1910" t="str">
            <v>781.662,80</v>
          </cell>
        </row>
        <row r="1911">
          <cell r="A1911">
            <v>36408</v>
          </cell>
          <cell r="B1911" t="str">
            <v xml:space="preserve">ESCAVADEIRA HIDRAULICA SOBRE ESTEIRAS, CACAMBA 0,4 A 1,70 M3, PESO OPERACIONAL 23,2 T, POTENCIA BRUTA 183 HP                                                                                                                                                                                                                                                                                                                                                                                              </v>
          </cell>
          <cell r="C1911" t="str">
            <v xml:space="preserve">UN    </v>
          </cell>
          <cell r="D1911" t="str">
            <v>CR</v>
          </cell>
          <cell r="E1911" t="str">
            <v>933.941,37</v>
          </cell>
        </row>
        <row r="1912">
          <cell r="A1912">
            <v>2723</v>
          </cell>
          <cell r="B1912" t="str">
            <v xml:space="preserve">ESCAVADEIRA HIDRAULICA SOBRE ESTEIRAS, CACAMBA 0,62M3, PESO OPERACIONAL 12,61T, POTENCIA LIQUIDA 95HP                                                                                                                                                                                                                                                                                                                                                                                                     </v>
          </cell>
          <cell r="C1912" t="str">
            <v xml:space="preserve">UN    </v>
          </cell>
          <cell r="D1912" t="str">
            <v>CR</v>
          </cell>
          <cell r="E1912" t="str">
            <v>716.840,96</v>
          </cell>
        </row>
        <row r="1913">
          <cell r="A1913">
            <v>36481</v>
          </cell>
          <cell r="B1913" t="str">
            <v xml:space="preserve">ESCAVADEIRA HIDRAULICA SOBRE ESTEIRAS, CACAMBA 0,80 A 1,30 M3, PESO OPERACIONAL 22,18 T, POTENCIA LIQUIDA 170 HP                                                                                                                                                                                                                                                                                                                                                                                          </v>
          </cell>
          <cell r="C1913" t="str">
            <v xml:space="preserve">UN    </v>
          </cell>
          <cell r="D1913" t="str">
            <v>CR</v>
          </cell>
          <cell r="E1913" t="str">
            <v>855.088,86</v>
          </cell>
        </row>
        <row r="1914">
          <cell r="A1914">
            <v>10685</v>
          </cell>
          <cell r="B1914" t="str">
            <v xml:space="preserve">ESCAVADEIRA HIDRAULICA SOBRE ESTEIRAS, CACAMBA 0,80M3, PESO OPERACIONAL 17T, POTENCIA BRUTA 111HP                                                                                                                                                                                                                                                                                                                                                                                                         </v>
          </cell>
          <cell r="C1914" t="str">
            <v xml:space="preserve">UN    </v>
          </cell>
          <cell r="D1914" t="str">
            <v xml:space="preserve">C </v>
          </cell>
          <cell r="E1914" t="str">
            <v>819.246,82</v>
          </cell>
        </row>
        <row r="1915">
          <cell r="A1915">
            <v>40636</v>
          </cell>
          <cell r="B1915" t="str">
            <v xml:space="preserve">ESCAVADEIRA HIDRAULICA SOBRE ESTEIRAS, CAPACIDADE DA CACAMBA ENTRE 1,20 E 1,50 M3, PESO OPERACIONAL ENTRE 20,00 E 22,00 TON, POTENCIA LIQUIDA ENTRE 150 E 155 HP, EQUIPADA COM CLAMSHELL                                                                                                                                                                                                                                                                                                                  </v>
          </cell>
          <cell r="C1915" t="str">
            <v xml:space="preserve">UN    </v>
          </cell>
          <cell r="D1915" t="str">
            <v>CR</v>
          </cell>
          <cell r="E1915" t="str">
            <v>924.749,42</v>
          </cell>
        </row>
        <row r="1916">
          <cell r="A1916">
            <v>4111</v>
          </cell>
          <cell r="B1916" t="str">
            <v xml:space="preserve">ESCORA PRE-MOLDADA EM CONCRETO, *10 X 10* CM, H = 2,30M                                                                                                                                                                                                                                                                                                                                                                                                                                                   </v>
          </cell>
          <cell r="C1916" t="str">
            <v xml:space="preserve">UN    </v>
          </cell>
          <cell r="D1916" t="str">
            <v>CR</v>
          </cell>
          <cell r="E1916" t="str">
            <v>47,99</v>
          </cell>
        </row>
        <row r="1917">
          <cell r="A1917">
            <v>44538</v>
          </cell>
          <cell r="B1917" t="str">
            <v xml:space="preserve">ESCOVA CIRCULAR EM ACO LATONADO, 6 X 1 " (DIAMETRO X ESPESSURA), FURO DE 1 1/4 ", FIO ONDULADO *0,30*  MM                                                                                                                                                                                                                                                                                                                                                                                                 </v>
          </cell>
          <cell r="C1917" t="str">
            <v xml:space="preserve">UN    </v>
          </cell>
          <cell r="D1917" t="str">
            <v>CR</v>
          </cell>
          <cell r="E1917" t="str">
            <v>82,42</v>
          </cell>
        </row>
        <row r="1918">
          <cell r="A1918">
            <v>12</v>
          </cell>
          <cell r="B1918" t="str">
            <v xml:space="preserve">ESCOVA DE ACO, COM CABO, *4  X 15* FILEIRAS DE CERDAS                                                                                                                                                                                                                                                                                                                                                                                                                                                     </v>
          </cell>
          <cell r="C1918" t="str">
            <v xml:space="preserve">UN    </v>
          </cell>
          <cell r="D1918" t="str">
            <v xml:space="preserve">C </v>
          </cell>
          <cell r="E1918" t="str">
            <v>8,90</v>
          </cell>
        </row>
        <row r="1919">
          <cell r="A1919">
            <v>37554</v>
          </cell>
          <cell r="B1919" t="str">
            <v xml:space="preserve">ESGUICHO JATO REGULAVEL, TIPO ELKHART, ENGATE RAPIDO 1 1/2", PARA COMBATE A INCENDIO                                                                                                                                                                                                                                                                                                                                                                                                                      </v>
          </cell>
          <cell r="C1919" t="str">
            <v xml:space="preserve">UN    </v>
          </cell>
          <cell r="D1919" t="str">
            <v>CR</v>
          </cell>
          <cell r="E1919" t="str">
            <v>352,31</v>
          </cell>
        </row>
        <row r="1920">
          <cell r="A1920">
            <v>37555</v>
          </cell>
          <cell r="B1920" t="str">
            <v xml:space="preserve">ESGUICHO JATO REGULAVEL, TIPO ELKHART, ENGATE RAPIDO 2 1/2", PARA COMBATE A INCENDIO                                                                                                                                                                                                                                                                                                                                                                                                                      </v>
          </cell>
          <cell r="C1920" t="str">
            <v xml:space="preserve">UN    </v>
          </cell>
          <cell r="D1920" t="str">
            <v>CR</v>
          </cell>
          <cell r="E1920" t="str">
            <v>428,57</v>
          </cell>
        </row>
        <row r="1921">
          <cell r="A1921">
            <v>10902</v>
          </cell>
          <cell r="B1921" t="str">
            <v xml:space="preserve">ESGUICHO TIPO JATO SOLIDO, EM LATAO, ENGATE RAPIDO 1 1/2" X 13 MM, PARA MANGUEIRA EM INSTALACAO PREDIAL COMBATE A INCENDIO                                                                                                                                                                                                                                                                                                                                                                                </v>
          </cell>
          <cell r="C1921" t="str">
            <v xml:space="preserve">UN    </v>
          </cell>
          <cell r="D1921" t="str">
            <v>CR</v>
          </cell>
          <cell r="E1921" t="str">
            <v>107,54</v>
          </cell>
        </row>
        <row r="1922">
          <cell r="A1922">
            <v>20965</v>
          </cell>
          <cell r="B1922" t="str">
            <v xml:space="preserve">ESGUICHO TIPO JATO SOLIDO, EM LATAO, ENGATE RAPIDO 1 1/2" X 16 MM, PARA MANGUEIRA EM INSTALACAO PREDIAL COMBATE A INCENDIO                                                                                                                                                                                                                                                                                                                                                                                </v>
          </cell>
          <cell r="C1922" t="str">
            <v xml:space="preserve">UN    </v>
          </cell>
          <cell r="D1922" t="str">
            <v>CR</v>
          </cell>
          <cell r="E1922" t="str">
            <v>108,54</v>
          </cell>
        </row>
        <row r="1923">
          <cell r="A1923">
            <v>20966</v>
          </cell>
          <cell r="B1923" t="str">
            <v xml:space="preserve">ESGUICHO TIPO JATO SOLIDO, EM LATAO, ENGATE RAPIDO 1 1/2" X 19 MM, PARA MANGUEIRA EM INSTALACAO PREDIAL COMBATE A INCENDIO                                                                                                                                                                                                                                                                                                                                                                                </v>
          </cell>
          <cell r="C1923" t="str">
            <v xml:space="preserve">UN    </v>
          </cell>
          <cell r="D1923" t="str">
            <v>CR</v>
          </cell>
          <cell r="E1923" t="str">
            <v>116,87</v>
          </cell>
        </row>
        <row r="1924">
          <cell r="A1924">
            <v>10903</v>
          </cell>
          <cell r="B1924" t="str">
            <v xml:space="preserve">ESGUICHO TIPO JATO SOLIDO, EM LATAO, ENGATE RAPIDO 2 1/2" X 13 MM, PARA MANGUEIRA EM INSTALACAO PREDIAL COMBATE A INCENDIO                                                                                                                                                                                                                                                                                                                                                                                </v>
          </cell>
          <cell r="C1924" t="str">
            <v xml:space="preserve">UN    </v>
          </cell>
          <cell r="D1924" t="str">
            <v>CR</v>
          </cell>
          <cell r="E1924" t="str">
            <v>177,14</v>
          </cell>
        </row>
        <row r="1925">
          <cell r="A1925">
            <v>20967</v>
          </cell>
          <cell r="B1925" t="str">
            <v xml:space="preserve">ESGUICHO TIPO JATO SOLIDO, EM LATAO, ENGATE RAPIDO 2 1/2" X 16 MM, PARA MANGUEIRA EM INSTALACAO PREDIAL COMBATE A INCENDIO                                                                                                                                                                                                                                                                                                                                                                                </v>
          </cell>
          <cell r="C1925" t="str">
            <v xml:space="preserve">UN    </v>
          </cell>
          <cell r="D1925" t="str">
            <v>CR</v>
          </cell>
          <cell r="E1925" t="str">
            <v>177,14</v>
          </cell>
        </row>
        <row r="1926">
          <cell r="A1926">
            <v>20968</v>
          </cell>
          <cell r="B1926" t="str">
            <v xml:space="preserve">ESGUICHO TIPO JATO SOLIDO, EM LATAO, ENGATE RAPIDO 2 1/2" X 19 MM, PARA MANGUEIRA EM INSTALACAO PREDIAL COMBATE A INCENDIO                                                                                                                                                                                                                                                                                                                                                                                </v>
          </cell>
          <cell r="C1926" t="str">
            <v xml:space="preserve">UN    </v>
          </cell>
          <cell r="D1926" t="str">
            <v>CR</v>
          </cell>
          <cell r="E1926" t="str">
            <v>194,28</v>
          </cell>
        </row>
        <row r="1927">
          <cell r="A1927">
            <v>11359</v>
          </cell>
          <cell r="B1927" t="str">
            <v xml:space="preserve">ESMERILHADEIRA ANGULAR ELETRICA, DIAMETRO DO DISCO 7 '' (180 MM), ROTACAO 8500 RPM, POTENCIA 2400 W                                                                                                                                                                                                                                                                                                                                                                                                       </v>
          </cell>
          <cell r="C1927" t="str">
            <v xml:space="preserve">UN    </v>
          </cell>
          <cell r="D1927" t="str">
            <v xml:space="preserve">C </v>
          </cell>
          <cell r="E1927" t="str">
            <v>850,00</v>
          </cell>
        </row>
        <row r="1928">
          <cell r="A1928">
            <v>39017</v>
          </cell>
          <cell r="B1928" t="str">
            <v xml:space="preserve">ESPACADOR / DISTANCIADOR CIRCULAR COM ENTRADA LATERAL, EM PLASTICO, PARA VERGALHAO *4,2 A 12,5* MM, COBRIMENTO 20 MM                                                                                                                                                                                                                                                                                                                                                                                      </v>
          </cell>
          <cell r="C1928" t="str">
            <v xml:space="preserve">UN    </v>
          </cell>
          <cell r="D1928" t="str">
            <v>CR</v>
          </cell>
          <cell r="E1928" t="str">
            <v>0,22</v>
          </cell>
        </row>
        <row r="1929">
          <cell r="A1929">
            <v>39315</v>
          </cell>
          <cell r="B1929" t="str">
            <v xml:space="preserve">ESPACADOR / DISTANCIADOR TIPO GARRA DUPLA, EM PLASTICO, COBRIMENTO *20* MM, PARA FERRAGENS DE LAJES E FUNDO DE VIGAS                                                                                                                                                                                                                                                                                                                                                                                      </v>
          </cell>
          <cell r="C1929" t="str">
            <v xml:space="preserve">UN    </v>
          </cell>
          <cell r="D1929" t="str">
            <v>CR</v>
          </cell>
          <cell r="E1929" t="str">
            <v>0,35</v>
          </cell>
        </row>
        <row r="1930">
          <cell r="A1930">
            <v>39016</v>
          </cell>
          <cell r="B1930" t="str">
            <v xml:space="preserve">ESPACADOR / DISTANCIADOR TIPO PINO EM PLASTICO, PARA VERGALHAO ATE 10 MM, PARA APOIO DE ARMADURA                                                                                                                                                                                                                                                                                                                                                                                                          </v>
          </cell>
          <cell r="C1930" t="str">
            <v xml:space="preserve">UN    </v>
          </cell>
          <cell r="D1930" t="str">
            <v>CR</v>
          </cell>
          <cell r="E1930" t="str">
            <v>0,36</v>
          </cell>
        </row>
        <row r="1931">
          <cell r="A1931">
            <v>39481</v>
          </cell>
          <cell r="B1931" t="str">
            <v xml:space="preserve">ESPACADOR OU DISTANCIADOR, EM PLASTICO, TIPO APOIO DE CORDOALHA (CARANGUEJO), PARA ARMADURA NEGATIVA E PROTENSAO, COBRIMENTO 50 MM                                                                                                                                                                                                                                                                                                                                                                        </v>
          </cell>
          <cell r="C1931" t="str">
            <v xml:space="preserve">UN    </v>
          </cell>
          <cell r="D1931" t="str">
            <v>CR</v>
          </cell>
          <cell r="E1931" t="str">
            <v>1,74</v>
          </cell>
        </row>
        <row r="1932">
          <cell r="A1932">
            <v>39013</v>
          </cell>
          <cell r="B1932" t="str">
            <v xml:space="preserve">ESPACADOR/SEPARADOR /CENTRALIZADOR DE BARRA DE ACO, PLASTICO, (CHUMBADOR TIPO CARAMBOLA - CB), DIAMETRO INTERNO ATE 20 MM                                                                                                                                                                                                                                                                                                                                                                                 </v>
          </cell>
          <cell r="C1932" t="str">
            <v xml:space="preserve">UN    </v>
          </cell>
          <cell r="D1932" t="str">
            <v>CR</v>
          </cell>
          <cell r="E1932" t="str">
            <v>1,48</v>
          </cell>
        </row>
        <row r="1933">
          <cell r="A1933">
            <v>44919</v>
          </cell>
          <cell r="B1933" t="str">
            <v xml:space="preserve">ESPACADOR/SEPARADOR /CENTRALIZADOR DE BARRA DE ACO, PLASTICO, (CHUMBADOR TIPO CARAMBOLA - CB), DIAMETRO INTERNO ENTRE 25 A 32 MM                                                                                                                                                                                                                                                                                                                                                                          </v>
          </cell>
          <cell r="C1933" t="str">
            <v xml:space="preserve">UN    </v>
          </cell>
          <cell r="D1933" t="str">
            <v>CR</v>
          </cell>
          <cell r="E1933" t="str">
            <v>2,77</v>
          </cell>
        </row>
        <row r="1934">
          <cell r="A1934">
            <v>40433</v>
          </cell>
          <cell r="B1934" t="str">
            <v xml:space="preserve">ESPACADOR/SEPARADOR DE CORDOALHA TIPO DISCO 12 FUROS DE 14 MM, PARA TIRANTES                                                                                                                                                                                                                                                                                                                                                                                                                              </v>
          </cell>
          <cell r="C1934" t="str">
            <v xml:space="preserve">UN    </v>
          </cell>
          <cell r="D1934" t="str">
            <v>CR</v>
          </cell>
          <cell r="E1934" t="str">
            <v>1,53</v>
          </cell>
        </row>
        <row r="1935">
          <cell r="A1935">
            <v>20219</v>
          </cell>
          <cell r="B1935" t="str">
            <v xml:space="preserve">ESPARGIDOR DE ASFALTO PRESSURIZADO, REBOCAVEL, TANQUE DE 2500 L, PNEUMATICO,  COM MOTOR A GASOLINA 3,4HP                                                                                                                                                                                                                                                                                                                                                                                                  </v>
          </cell>
          <cell r="C1935" t="str">
            <v xml:space="preserve">UN    </v>
          </cell>
          <cell r="D1935" t="str">
            <v xml:space="preserve">C </v>
          </cell>
          <cell r="E1935" t="str">
            <v>116.000,00</v>
          </cell>
        </row>
        <row r="1936">
          <cell r="A1936">
            <v>36484</v>
          </cell>
          <cell r="B1936" t="str">
            <v xml:space="preserve">ESPARGIDOR DE ASFALTO PRESSURIZADO, TANQUE 6 M3 COM ISOLACAO TERMICA, AQUECIDO COM 2 MACARICOS, COM BARRA ESPARGIDORA 3,60 M, A SER MONTADO SOBRE CAMINHAO                                                                                                                                                                                                                                                                                                                                                </v>
          </cell>
          <cell r="C1936" t="str">
            <v xml:space="preserve">UN    </v>
          </cell>
          <cell r="D1936" t="str">
            <v>CR</v>
          </cell>
          <cell r="E1936" t="str">
            <v>246.246,87</v>
          </cell>
        </row>
        <row r="1937">
          <cell r="A1937">
            <v>38367</v>
          </cell>
          <cell r="B1937" t="str">
            <v xml:space="preserve">ESPATULA DE ACO INOX COM CABO DE MADEIRA, LARGURA 8 CM                                                                                                                                                                                                                                                                                                                                                                                                                                                    </v>
          </cell>
          <cell r="C1937" t="str">
            <v xml:space="preserve">UN    </v>
          </cell>
          <cell r="D1937" t="str">
            <v>CR</v>
          </cell>
          <cell r="E1937" t="str">
            <v>21,80</v>
          </cell>
        </row>
        <row r="1938">
          <cell r="A1938">
            <v>38368</v>
          </cell>
          <cell r="B1938" t="str">
            <v xml:space="preserve">ESPATULA DE PLASTICO LISA, LARGURA 10 CM                                                                                                                                                                                                                                                                                                                                                                                                                                                                  </v>
          </cell>
          <cell r="C1938" t="str">
            <v xml:space="preserve">UN    </v>
          </cell>
          <cell r="D1938" t="str">
            <v>CR</v>
          </cell>
          <cell r="E1938" t="str">
            <v>9,40</v>
          </cell>
        </row>
        <row r="1939">
          <cell r="A1939">
            <v>38091</v>
          </cell>
          <cell r="B1939" t="str">
            <v xml:space="preserve">ESPELHO / PLACA CEGA 4" X 2", PARA INSTALACAO DE TOMADAS E INTERRUPTORES                                                                                                                                                                                                                                                                                                                                                                                                                                  </v>
          </cell>
          <cell r="C1939" t="str">
            <v xml:space="preserve">UN    </v>
          </cell>
          <cell r="D1939" t="str">
            <v>CR</v>
          </cell>
          <cell r="E1939" t="str">
            <v>2,61</v>
          </cell>
        </row>
        <row r="1940">
          <cell r="A1940">
            <v>38095</v>
          </cell>
          <cell r="B1940" t="str">
            <v xml:space="preserve">ESPELHO / PLACA CEGA 4" X 4", PARA INSTALACAO DE TOMADAS E INTERRUPTORES                                                                                                                                                                                                                                                                                                                                                                                                                                  </v>
          </cell>
          <cell r="C1940" t="str">
            <v xml:space="preserve">UN    </v>
          </cell>
          <cell r="D1940" t="str">
            <v>CR</v>
          </cell>
          <cell r="E1940" t="str">
            <v>5,53</v>
          </cell>
        </row>
        <row r="1941">
          <cell r="A1941">
            <v>38092</v>
          </cell>
          <cell r="B1941" t="str">
            <v xml:space="preserve">ESPELHO / PLACA DE 1 POSTO 4" X 2", PARA INSTALACAO DE TOMADAS E INTERRUPTORES                                                                                                                                                                                                                                                                                                                                                                                                                            </v>
          </cell>
          <cell r="C1941" t="str">
            <v xml:space="preserve">UN    </v>
          </cell>
          <cell r="D1941" t="str">
            <v>CR</v>
          </cell>
          <cell r="E1941" t="str">
            <v>2,47</v>
          </cell>
        </row>
        <row r="1942">
          <cell r="A1942">
            <v>38093</v>
          </cell>
          <cell r="B1942" t="str">
            <v xml:space="preserve">ESPELHO / PLACA DE 2 POSTOS 4" X 2", PARA INSTALACAO DE TOMADAS E INTERRUPTORES                                                                                                                                                                                                                                                                                                                                                                                                                           </v>
          </cell>
          <cell r="C1942" t="str">
            <v xml:space="preserve">UN    </v>
          </cell>
          <cell r="D1942" t="str">
            <v>CR</v>
          </cell>
          <cell r="E1942" t="str">
            <v>2,56</v>
          </cell>
        </row>
        <row r="1943">
          <cell r="A1943">
            <v>38096</v>
          </cell>
          <cell r="B1943" t="str">
            <v xml:space="preserve">ESPELHO / PLACA DE 2 POSTOS 4" X 4", PARA INSTALACAO DE TOMADAS E INTERRUPTORES                                                                                                                                                                                                                                                                                                                                                                                                                           </v>
          </cell>
          <cell r="C1943" t="str">
            <v xml:space="preserve">UN    </v>
          </cell>
          <cell r="D1943" t="str">
            <v>CR</v>
          </cell>
          <cell r="E1943" t="str">
            <v>5,94</v>
          </cell>
        </row>
        <row r="1944">
          <cell r="A1944">
            <v>38094</v>
          </cell>
          <cell r="B1944" t="str">
            <v xml:space="preserve">ESPELHO / PLACA DE 3 POSTOS 4" X 2", PARA INSTALACAO DE TOMADAS E INTERRUPTORES                                                                                                                                                                                                                                                                                                                                                                                                                           </v>
          </cell>
          <cell r="C1944" t="str">
            <v xml:space="preserve">UN    </v>
          </cell>
          <cell r="D1944" t="str">
            <v>CR</v>
          </cell>
          <cell r="E1944" t="str">
            <v>3,14</v>
          </cell>
        </row>
        <row r="1945">
          <cell r="A1945">
            <v>38097</v>
          </cell>
          <cell r="B1945" t="str">
            <v xml:space="preserve">ESPELHO / PLACA DE 4 POSTOS 4" X 4", PARA INSTALACAO DE TOMADAS E INTERRUPTORES                                                                                                                                                                                                                                                                                                                                                                                                                           </v>
          </cell>
          <cell r="C1945" t="str">
            <v xml:space="preserve">UN    </v>
          </cell>
          <cell r="D1945" t="str">
            <v>CR</v>
          </cell>
          <cell r="E1945" t="str">
            <v>6,37</v>
          </cell>
        </row>
        <row r="1946">
          <cell r="A1946">
            <v>38098</v>
          </cell>
          <cell r="B1946" t="str">
            <v xml:space="preserve">ESPELHO / PLACA DE 6 POSTOS 4" X 4", PARA INSTALACAO DE TOMADAS E INTERRUPTORES                                                                                                                                                                                                                                                                                                                                                                                                                           </v>
          </cell>
          <cell r="C1946" t="str">
            <v xml:space="preserve">UN    </v>
          </cell>
          <cell r="D1946" t="str">
            <v>CR</v>
          </cell>
          <cell r="E1946" t="str">
            <v>6,37</v>
          </cell>
        </row>
        <row r="1947">
          <cell r="A1947">
            <v>11186</v>
          </cell>
          <cell r="B1947" t="str">
            <v xml:space="preserve">ESPELHO CRISTAL E = 4 MM                                                                                                                                                                                                                                                                                                                                                                                                                                                                                  </v>
          </cell>
          <cell r="C1947" t="str">
            <v xml:space="preserve">M2    </v>
          </cell>
          <cell r="D1947" t="str">
            <v>CR</v>
          </cell>
          <cell r="E1947" t="str">
            <v>451,50</v>
          </cell>
        </row>
        <row r="1948">
          <cell r="A1948">
            <v>11558</v>
          </cell>
          <cell r="B1948" t="str">
            <v xml:space="preserve">ESPELHO, RETO OU CURVO, EM LATAO CROMADO, ESPESSURA ATE 6 MM, LARGURA *40*MM, ALTURA *180*MM - PARA FECHADURA DE EMBUTIR                                                                                                                                                                                                                                                                                                                                                                                  </v>
          </cell>
          <cell r="C1948" t="str">
            <v xml:space="preserve">PAR   </v>
          </cell>
          <cell r="D1948" t="str">
            <v>CR</v>
          </cell>
          <cell r="E1948" t="str">
            <v>13,04</v>
          </cell>
        </row>
        <row r="1949">
          <cell r="A1949">
            <v>11557</v>
          </cell>
          <cell r="B1949" t="str">
            <v xml:space="preserve">ESPELHO, RETO OU CURVO, EM LATAO CROMADO, ESPESSURA MINIMA 6 MM, LARGURA *43*MM, ALTURA *230*MM - PARA FECHADURA DE EMBUTIR                                                                                                                                                                                                                                                                                                                                                                               </v>
          </cell>
          <cell r="C1949" t="str">
            <v xml:space="preserve">PAR   </v>
          </cell>
          <cell r="D1949" t="str">
            <v>CR</v>
          </cell>
          <cell r="E1949" t="str">
            <v>33,03</v>
          </cell>
        </row>
        <row r="1950">
          <cell r="A1950">
            <v>2759</v>
          </cell>
          <cell r="B1950" t="str">
            <v xml:space="preserve">ESPOLETA SIMPLES N 8.                                                                                                                                                                                                                                                                                                                                                                                                                                                                                     </v>
          </cell>
          <cell r="C1950" t="str">
            <v xml:space="preserve">UN    </v>
          </cell>
          <cell r="D1950" t="str">
            <v xml:space="preserve">C </v>
          </cell>
          <cell r="E1950" t="str">
            <v>10,43</v>
          </cell>
        </row>
        <row r="1951">
          <cell r="A1951">
            <v>38124</v>
          </cell>
          <cell r="B1951" t="str">
            <v xml:space="preserve">ESPUMA EXPANSIVA DE POLIURETANO, APLICACAO MANUAL - 500 ML                                                                                                                                                                                                                                                                                                                                                                                                                                                </v>
          </cell>
          <cell r="C1951" t="str">
            <v xml:space="preserve">UN    </v>
          </cell>
          <cell r="D1951" t="str">
            <v xml:space="preserve">C </v>
          </cell>
          <cell r="E1951" t="str">
            <v>31,25</v>
          </cell>
        </row>
        <row r="1952">
          <cell r="A1952">
            <v>38380</v>
          </cell>
          <cell r="B1952" t="str">
            <v xml:space="preserve">ESQUADRO DE ACO 12 " (300 MM), CABO DE ALUMINIO                                                                                                                                                                                                                                                                                                                                                                                                                                                           </v>
          </cell>
          <cell r="C1952" t="str">
            <v xml:space="preserve">UN    </v>
          </cell>
          <cell r="D1952" t="str">
            <v>CR</v>
          </cell>
          <cell r="E1952" t="str">
            <v>34,65</v>
          </cell>
        </row>
        <row r="1953">
          <cell r="A1953">
            <v>42429</v>
          </cell>
          <cell r="B1953" t="str">
            <v xml:space="preserve">ESQUI TRIPLO, EM TUBO DE ACO CARBONO, PINTURA NO PROCESSO ELETROSTATICO - EQUIPAMENTO DE GINASTICA PARA ACADEMIA AO AR LIVRE / ACADEMIA DA TERCEIRA IDADE - ATI                                                                                                                                                                                                                                                                                                                                           </v>
          </cell>
          <cell r="C1953" t="str">
            <v xml:space="preserve">UN    </v>
          </cell>
          <cell r="D1953" t="str">
            <v>CR</v>
          </cell>
          <cell r="E1953" t="str">
            <v>6.025,10</v>
          </cell>
        </row>
        <row r="1954">
          <cell r="A1954">
            <v>39616</v>
          </cell>
          <cell r="B1954" t="str">
            <v xml:space="preserve">ESTABILIZADOR BIVOLT AUTOMATICO, 1000 VA                                                                                                                                                                                                                                                                                                                                                                                                                                                                  </v>
          </cell>
          <cell r="C1954" t="str">
            <v xml:space="preserve">UN    </v>
          </cell>
          <cell r="D1954" t="str">
            <v xml:space="preserve">C </v>
          </cell>
          <cell r="E1954" t="str">
            <v>378,72</v>
          </cell>
        </row>
        <row r="1955">
          <cell r="A1955">
            <v>39618</v>
          </cell>
          <cell r="B1955" t="str">
            <v xml:space="preserve">ESTABILIZADOR BIVOLT AUTOMATICO, 1500 VA                                                                                                                                                                                                                                                                                                                                                                                                                                                                  </v>
          </cell>
          <cell r="C1955" t="str">
            <v xml:space="preserve">UN    </v>
          </cell>
          <cell r="D1955" t="str">
            <v>CR</v>
          </cell>
          <cell r="E1955" t="str">
            <v>686,93</v>
          </cell>
        </row>
        <row r="1956">
          <cell r="A1956">
            <v>39619</v>
          </cell>
          <cell r="B1956" t="str">
            <v xml:space="preserve">ESTABILIZADOR BIVOLT AUTOMATICO, 2000 VA                                                                                                                                                                                                                                                                                                                                                                                                                                                                  </v>
          </cell>
          <cell r="C1956" t="str">
            <v xml:space="preserve">UN    </v>
          </cell>
          <cell r="D1956" t="str">
            <v>CR</v>
          </cell>
          <cell r="E1956" t="str">
            <v>940,82</v>
          </cell>
        </row>
        <row r="1957">
          <cell r="A1957">
            <v>39613</v>
          </cell>
          <cell r="B1957" t="str">
            <v xml:space="preserve">ESTABILIZADOR BIVOLT AUTOMATICO, 300 VA                                                                                                                                                                                                                                                                                                                                                                                                                                                                   </v>
          </cell>
          <cell r="C1957" t="str">
            <v xml:space="preserve">UN    </v>
          </cell>
          <cell r="D1957" t="str">
            <v>CR</v>
          </cell>
          <cell r="E1957" t="str">
            <v>150,43</v>
          </cell>
        </row>
        <row r="1958">
          <cell r="A1958">
            <v>39614</v>
          </cell>
          <cell r="B1958" t="str">
            <v xml:space="preserve">ESTABILIZADOR BIVOLT AUTOMATICO, 500 VA                                                                                                                                                                                                                                                                                                                                                                                                                                                                   </v>
          </cell>
          <cell r="C1958" t="str">
            <v xml:space="preserve">UN    </v>
          </cell>
          <cell r="D1958" t="str">
            <v>CR</v>
          </cell>
          <cell r="E1958" t="str">
            <v>219,47</v>
          </cell>
        </row>
        <row r="1959">
          <cell r="A1959">
            <v>38538</v>
          </cell>
          <cell r="B1959" t="str">
            <v xml:space="preserve">ESTACA PRE-MOLDADA MACICA DE CONCRETO VIBRADO ARMADO, PARA CARGA DE 25 T, SECAO QUADRADA DE *16 X 16*, COM ANEL METALICO INCORPORADO A PECA (SOMENTE FORNECIMENTO)                                                                                                                                                                                                                                                                                                                                        </v>
          </cell>
          <cell r="C1959" t="str">
            <v xml:space="preserve">M     </v>
          </cell>
          <cell r="D1959" t="str">
            <v xml:space="preserve">C </v>
          </cell>
          <cell r="E1959" t="str">
            <v>77,60</v>
          </cell>
        </row>
        <row r="1960">
          <cell r="A1960">
            <v>38539</v>
          </cell>
          <cell r="B1960" t="str">
            <v xml:space="preserve">ESTACA PRE-MOLDADA MACICA DE CONCRETO VIBRADO ARMADO, PARA CARGA DE 50 T, SECAO QUADRADA, COM ANEL METALICO INCORPORADO A PECA (SOMENTE FORNECIMENTO)                                                                                                                                                                                                                                                                                                                                                     </v>
          </cell>
          <cell r="C1960" t="str">
            <v xml:space="preserve">M     </v>
          </cell>
          <cell r="D1960" t="str">
            <v>CR</v>
          </cell>
          <cell r="E1960" t="str">
            <v>105,52</v>
          </cell>
        </row>
        <row r="1961">
          <cell r="A1961">
            <v>38540</v>
          </cell>
          <cell r="B1961" t="str">
            <v xml:space="preserve">ESTACA PRE-MOLDADA VAZADA DE CONCRETO CENTRIFUGADO, PARA CARGA DE 100 T, SECAO CIRCULAR, COM ANEL METALICO INCORPORADO A PECA (SOMENTE FORNECIMENTO)                                                                                                                                                                                                                                                                                                                                                      </v>
          </cell>
          <cell r="C1961" t="str">
            <v xml:space="preserve">M     </v>
          </cell>
          <cell r="D1961" t="str">
            <v>CR</v>
          </cell>
          <cell r="E1961" t="str">
            <v>270,44</v>
          </cell>
        </row>
        <row r="1962">
          <cell r="A1962">
            <v>38384</v>
          </cell>
          <cell r="B1962" t="str">
            <v xml:space="preserve">ESTILETE DE METAL, LAMINA 18 MM                                                                                                                                                                                                                                                                                                                                                                                                                                                                           </v>
          </cell>
          <cell r="C1962" t="str">
            <v xml:space="preserve">UN    </v>
          </cell>
          <cell r="D1962" t="str">
            <v>CR</v>
          </cell>
          <cell r="E1962" t="str">
            <v>24,35</v>
          </cell>
        </row>
        <row r="1963">
          <cell r="A1963">
            <v>13</v>
          </cell>
          <cell r="B1963" t="str">
            <v xml:space="preserve">ESTOPA                                                                                                                                                                                                                                                                                                                                                                                                                                                                                                    </v>
          </cell>
          <cell r="C1963" t="str">
            <v xml:space="preserve">KG    </v>
          </cell>
          <cell r="D1963" t="str">
            <v>CR</v>
          </cell>
          <cell r="E1963" t="str">
            <v>13,70</v>
          </cell>
        </row>
        <row r="1964">
          <cell r="A1964">
            <v>2762</v>
          </cell>
          <cell r="B1964" t="str">
            <v xml:space="preserve">ESTOPIM SIMPLES                                                                                                                                                                                                                                                                                                                                                                                                                                                                                           </v>
          </cell>
          <cell r="C1964" t="str">
            <v xml:space="preserve">M     </v>
          </cell>
          <cell r="D1964" t="str">
            <v>CR</v>
          </cell>
          <cell r="E1964" t="str">
            <v>13,03</v>
          </cell>
        </row>
        <row r="1965">
          <cell r="A1965">
            <v>21142</v>
          </cell>
          <cell r="B1965" t="str">
            <v xml:space="preserve">ESTRIBO COM PARAFUSO EM CHAPA DE FERRO FUNDIDO DE 2" X 3/16" X 35 CM, SECAO "U", PARA MADEIRAMENTO DE TELHADO                                                                                                                                                                                                                                                                                                                                                                                             </v>
          </cell>
          <cell r="C1965" t="str">
            <v xml:space="preserve">UN    </v>
          </cell>
          <cell r="D1965" t="str">
            <v>CR</v>
          </cell>
          <cell r="E1965" t="str">
            <v>35,35</v>
          </cell>
        </row>
        <row r="1966">
          <cell r="A1966">
            <v>4223</v>
          </cell>
          <cell r="B1966" t="str">
            <v xml:space="preserve">ETANOL                                                                                                                                                                                                                                                                                                                                                                                                                                                                                                    </v>
          </cell>
          <cell r="C1966" t="str">
            <v xml:space="preserve">L     </v>
          </cell>
          <cell r="D1966" t="str">
            <v xml:space="preserve">C </v>
          </cell>
          <cell r="E1966" t="str">
            <v>3,42</v>
          </cell>
        </row>
        <row r="1967">
          <cell r="A1967">
            <v>37372</v>
          </cell>
          <cell r="B1967" t="str">
            <v xml:space="preserve">EXAMES - HORISTA (COLETADO CAIXA - ENCARGOS COMPLEMENTARES)                                                                                                                                                                                                                                                                                                                                                                                                                                               </v>
          </cell>
          <cell r="C1967" t="str">
            <v xml:space="preserve">H     </v>
          </cell>
          <cell r="D1967" t="str">
            <v xml:space="preserve">C </v>
          </cell>
          <cell r="E1967" t="str">
            <v>1,34</v>
          </cell>
        </row>
        <row r="1968">
          <cell r="A1968">
            <v>40863</v>
          </cell>
          <cell r="B1968" t="str">
            <v xml:space="preserve">EXAMES - MENSALISTA (COLETADO CAIXA - ENCARGOS COMPLEMENTARES)                                                                                                                                                                                                                                                                                                                                                                                                                                            </v>
          </cell>
          <cell r="C1968" t="str">
            <v xml:space="preserve">MES   </v>
          </cell>
          <cell r="D1968" t="str">
            <v xml:space="preserve">C </v>
          </cell>
          <cell r="E1968" t="str">
            <v>252,08</v>
          </cell>
        </row>
        <row r="1969">
          <cell r="A1969">
            <v>38475</v>
          </cell>
          <cell r="B1969" t="str">
            <v xml:space="preserve">EXTENSAO DE SOLDA 201 ACETILENO, E = *1,5 A 2,5* MM                                                                                                                                                                                                                                                                                                                                                                                                                                                       </v>
          </cell>
          <cell r="C1969" t="str">
            <v xml:space="preserve">UN    </v>
          </cell>
          <cell r="D1969" t="str">
            <v>CR</v>
          </cell>
          <cell r="E1969" t="str">
            <v>41,36</v>
          </cell>
        </row>
        <row r="1970">
          <cell r="A1970">
            <v>38474</v>
          </cell>
          <cell r="B1970" t="str">
            <v xml:space="preserve">EXTENSAO DE SOLDA 201 GLP, E = *2,5 A 4,0* MM                                                                                                                                                                                                                                                                                                                                                                                                                                                             </v>
          </cell>
          <cell r="C1970" t="str">
            <v xml:space="preserve">UN    </v>
          </cell>
          <cell r="D1970" t="str">
            <v>CR</v>
          </cell>
          <cell r="E1970" t="str">
            <v>51,13</v>
          </cell>
        </row>
        <row r="1971">
          <cell r="A1971">
            <v>10886</v>
          </cell>
          <cell r="B1971" t="str">
            <v xml:space="preserve">EXTINTOR DE INCENDIO PORTATIL COM CARGA DE AGUA PRESSURIZADA DE 10 L, CLASSE A                                                                                                                                                                                                                                                                                                                                                                                                                            </v>
          </cell>
          <cell r="C1971" t="str">
            <v xml:space="preserve">UN    </v>
          </cell>
          <cell r="D1971" t="str">
            <v>CR</v>
          </cell>
          <cell r="E1971" t="str">
            <v>198,45</v>
          </cell>
        </row>
        <row r="1972">
          <cell r="A1972">
            <v>10888</v>
          </cell>
          <cell r="B1972" t="str">
            <v xml:space="preserve">EXTINTOR DE INCENDIO PORTATIL COM CARGA DE GAS CARBONICO CO2 DE 4 KG, CLASSE BC                                                                                                                                                                                                                                                                                                                                                                                                                           </v>
          </cell>
          <cell r="C1972" t="str">
            <v xml:space="preserve">UN    </v>
          </cell>
          <cell r="D1972" t="str">
            <v>CR</v>
          </cell>
          <cell r="E1972" t="str">
            <v>628,06</v>
          </cell>
        </row>
        <row r="1973">
          <cell r="A1973">
            <v>10889</v>
          </cell>
          <cell r="B1973" t="str">
            <v xml:space="preserve">EXTINTOR DE INCENDIO PORTATIL COM CARGA DE GAS CARBONICO CO2 DE 6 KG, CLASSE BC                                                                                                                                                                                                                                                                                                                                                                                                                           </v>
          </cell>
          <cell r="C1973" t="str">
            <v xml:space="preserve">UN    </v>
          </cell>
          <cell r="D1973" t="str">
            <v>CR</v>
          </cell>
          <cell r="E1973" t="str">
            <v>680,40</v>
          </cell>
        </row>
        <row r="1974">
          <cell r="A1974">
            <v>10890</v>
          </cell>
          <cell r="B1974" t="str">
            <v xml:space="preserve">EXTINTOR DE INCENDIO PORTATIL COM CARGA DE PO QUIMICO SECO (PQS) DE 12 KG, CLASSE BC                                                                                                                                                                                                                                                                                                                                                                                                                      </v>
          </cell>
          <cell r="C1974" t="str">
            <v xml:space="preserve">UN    </v>
          </cell>
          <cell r="D1974" t="str">
            <v>CR</v>
          </cell>
          <cell r="E1974" t="str">
            <v>314,03</v>
          </cell>
        </row>
        <row r="1975">
          <cell r="A1975">
            <v>10891</v>
          </cell>
          <cell r="B1975" t="str">
            <v xml:space="preserve">EXTINTOR DE INCENDIO PORTATIL COM CARGA DE PO QUIMICO SECO (PQS) DE 4 KG, CLASSE BC                                                                                                                                                                                                                                                                                                                                                                                                                       </v>
          </cell>
          <cell r="C1975" t="str">
            <v xml:space="preserve">UN    </v>
          </cell>
          <cell r="D1975" t="str">
            <v>CR</v>
          </cell>
          <cell r="E1975" t="str">
            <v>191,90</v>
          </cell>
        </row>
        <row r="1976">
          <cell r="A1976">
            <v>10892</v>
          </cell>
          <cell r="B1976" t="str">
            <v xml:space="preserve">EXTINTOR DE INCENDIO PORTATIL COM CARGA DE PO QUIMICO SECO (PQS) DE 6 KG, CLASSE BC                                                                                                                                                                                                                                                                                                                                                                                                                       </v>
          </cell>
          <cell r="C1976" t="str">
            <v xml:space="preserve">UN    </v>
          </cell>
          <cell r="D1976" t="str">
            <v xml:space="preserve">C </v>
          </cell>
          <cell r="E1976" t="str">
            <v>226,80</v>
          </cell>
        </row>
        <row r="1977">
          <cell r="A1977">
            <v>20977</v>
          </cell>
          <cell r="B1977" t="str">
            <v xml:space="preserve">EXTINTOR DE INCENDIO PORTATIL COM CARGA DE PO QUIMICO SECO (PQS) DE 8 KG, CLASSE BC                                                                                                                                                                                                                                                                                                                                                                                                                       </v>
          </cell>
          <cell r="C1977" t="str">
            <v xml:space="preserve">UN    </v>
          </cell>
          <cell r="D1977" t="str">
            <v>CR</v>
          </cell>
          <cell r="E1977" t="str">
            <v>270,41</v>
          </cell>
        </row>
        <row r="1978">
          <cell r="A1978">
            <v>3073</v>
          </cell>
          <cell r="B1978" t="str">
            <v xml:space="preserve">EXTREMIDADE PVC PBA, BF, JE, DN 100/ DE 110 MM (NBR 10351)                                                                                                                                                                                                                                                                                                                                                                                                                                                </v>
          </cell>
          <cell r="C1978" t="str">
            <v xml:space="preserve">UN    </v>
          </cell>
          <cell r="D1978" t="str">
            <v>CR</v>
          </cell>
          <cell r="E1978" t="str">
            <v>180,78</v>
          </cell>
        </row>
        <row r="1979">
          <cell r="A1979">
            <v>3074</v>
          </cell>
          <cell r="B1979" t="str">
            <v xml:space="preserve">EXTREMIDADE PVC PBA, BF, JE, DN 75/ DE 85 MM (NBR 10351)                                                                                                                                                                                                                                                                                                                                                                                                                                                  </v>
          </cell>
          <cell r="C1979" t="str">
            <v xml:space="preserve">UN    </v>
          </cell>
          <cell r="D1979" t="str">
            <v>CR</v>
          </cell>
          <cell r="E1979" t="str">
            <v>114,13</v>
          </cell>
        </row>
        <row r="1980">
          <cell r="A1980">
            <v>3076</v>
          </cell>
          <cell r="B1980" t="str">
            <v xml:space="preserve">EXTREMIDADE PVC PBA, PF, JE, DN 100 / DE 110 MM (NBR 10351)                                                                                                                                                                                                                                                                                                                                                                                                                                               </v>
          </cell>
          <cell r="C1980" t="str">
            <v xml:space="preserve">UN    </v>
          </cell>
          <cell r="D1980" t="str">
            <v>CR</v>
          </cell>
          <cell r="E1980" t="str">
            <v>148,62</v>
          </cell>
        </row>
        <row r="1981">
          <cell r="A1981">
            <v>3075</v>
          </cell>
          <cell r="B1981" t="str">
            <v xml:space="preserve">EXTREMIDADE PVC PBA, PF, JE, DN 75 / DE 85 MM (NBR 10351)                                                                                                                                                                                                                                                                                                                                                                                                                                                 </v>
          </cell>
          <cell r="C1981" t="str">
            <v xml:space="preserve">UN    </v>
          </cell>
          <cell r="D1981" t="str">
            <v>CR</v>
          </cell>
          <cell r="E1981" t="str">
            <v>93,92</v>
          </cell>
        </row>
        <row r="1982">
          <cell r="A1982">
            <v>10781</v>
          </cell>
          <cell r="B1982" t="str">
            <v xml:space="preserve">EXTREMIDADE/TUBETE PARA HIDROMETRO PVC, COM ROSCA, CURTA, COM BUCHA LATAO, 3/4"                                                                                                                                                                                                                                                                                                                                                                                                                           </v>
          </cell>
          <cell r="C1982" t="str">
            <v xml:space="preserve">UN    </v>
          </cell>
          <cell r="D1982" t="str">
            <v>CR</v>
          </cell>
          <cell r="E1982" t="str">
            <v>12,73</v>
          </cell>
        </row>
        <row r="1983">
          <cell r="A1983">
            <v>43612</v>
          </cell>
          <cell r="B1983" t="str">
            <v xml:space="preserve">FECHADRUA BICO DE PAPAGAIO PARA PORTA DE CORRER EXTERNA, EM ACO INOX COM ACABAMENTO CROMADO, MAQUINA COM 45 MM, INCLUINDO CHAVE TIPO CILINDRO                                                                                                                                                                                                                                                                                                                                                             </v>
          </cell>
          <cell r="C1983" t="str">
            <v xml:space="preserve">CJ    </v>
          </cell>
          <cell r="D1983" t="str">
            <v>CR</v>
          </cell>
          <cell r="E1983" t="str">
            <v>149,95</v>
          </cell>
        </row>
        <row r="1984">
          <cell r="A1984">
            <v>43613</v>
          </cell>
          <cell r="B1984" t="str">
            <v xml:space="preserve">FECHADRUA BICO DE PAPAGAIO PARA PORTA DE CORRER INTERNA, EM ACO INOX COM ACABAMENTO CROMADO, MAQUINA COM 45 MM, INCLUINDO CHAVE TIPO BIPARTIDA                                                                                                                                                                                                                                                                                                                                                            </v>
          </cell>
          <cell r="C1984" t="str">
            <v xml:space="preserve">CJ    </v>
          </cell>
          <cell r="D1984" t="str">
            <v>CR</v>
          </cell>
          <cell r="E1984" t="str">
            <v>124,14</v>
          </cell>
        </row>
        <row r="1985">
          <cell r="A1985">
            <v>11480</v>
          </cell>
          <cell r="B1985" t="str">
            <v xml:space="preserve">FECHADURA AUXILIAR DE SEGURANCA PARA PORTA EXTERNA, EM ACO INOX, BROCA DE 45 A 55 MM, LINGUETA COM 3 AVANCOS, INCLUINDO 2 CHAVES TIPO CILINDRO                                                                                                                                                                                                                                                                                                                                                            </v>
          </cell>
          <cell r="C1985" t="str">
            <v xml:space="preserve">CJ    </v>
          </cell>
          <cell r="D1985" t="str">
            <v>CR</v>
          </cell>
          <cell r="E1985" t="str">
            <v>190,51</v>
          </cell>
        </row>
        <row r="1986">
          <cell r="A1986">
            <v>11469</v>
          </cell>
          <cell r="B1986" t="str">
            <v xml:space="preserve">FECHADURA DE EMBUTIR PARA GAVETA E MOVEIS DE MADEIRA, EM ACO INOX COM ACABAMENTO CROMADO, COM ABAS LATERAIS, CILINDRO COM 22 MM DE DIAMETRO, INCLUINDO CHAVE COM PERFIL METALICO E CAPA ESCAMOTEAVEL                                                                                                                                                                                                                                                                                                      </v>
          </cell>
          <cell r="C1986" t="str">
            <v xml:space="preserve">UN    </v>
          </cell>
          <cell r="D1986" t="str">
            <v>CR</v>
          </cell>
          <cell r="E1986" t="str">
            <v>20,34</v>
          </cell>
        </row>
        <row r="1987">
          <cell r="A1987">
            <v>11468</v>
          </cell>
          <cell r="B1987" t="str">
            <v xml:space="preserve">FECHADURA DE SOBREPOR PARA GAVETAS E ARMARIOS, EM ACO INOX COM ACABAMENTO CROMADO, COM CILINDRO DE APROX 20 MM                                                                                                                                                                                                                                                                                                                                                                                            </v>
          </cell>
          <cell r="C1987" t="str">
            <v xml:space="preserve">UN    </v>
          </cell>
          <cell r="D1987" t="str">
            <v>CR</v>
          </cell>
          <cell r="E1987" t="str">
            <v>20,35</v>
          </cell>
        </row>
        <row r="1988">
          <cell r="A1988">
            <v>11484</v>
          </cell>
          <cell r="B1988" t="str">
            <v xml:space="preserve">FECHADURA DE SOBREPOR PARA PORTAO, EM ACO INOX COM ACABAMENTO CROMADO, CAIXA DE 100 MM, INCLUINDO CHAVE TIPO CILINDRO                                                                                                                                                                                                                                                                                                                                                                                     </v>
          </cell>
          <cell r="C1988" t="str">
            <v xml:space="preserve">UN    </v>
          </cell>
          <cell r="D1988" t="str">
            <v>CR</v>
          </cell>
          <cell r="E1988" t="str">
            <v>89,38</v>
          </cell>
        </row>
        <row r="1989">
          <cell r="A1989">
            <v>38155</v>
          </cell>
          <cell r="B1989" t="str">
            <v xml:space="preserve">FECHADURA DE SOBREPOR PARA PORTAO, EM ACO INOX COM ACABAMENTO CROMADO, CAIXA DE 100 MM, INCLUINDO CHAVE TIPO TETRA                                                                                                                                                                                                                                                                                                                                                                                        </v>
          </cell>
          <cell r="C1989" t="str">
            <v xml:space="preserve">UN    </v>
          </cell>
          <cell r="D1989" t="str">
            <v>CR</v>
          </cell>
          <cell r="E1989" t="str">
            <v>138,76</v>
          </cell>
        </row>
        <row r="1990">
          <cell r="A1990">
            <v>11467</v>
          </cell>
          <cell r="B1990" t="str">
            <v xml:space="preserve">FECHADURA DE SOBREPOR TIPO CAIXAO, EM FERRO COM ACABAMENTO RESINADO, SEM MACANETA, SEM CILINDRO, INCLUINDO CHAVE TIPO SIMPLES                                                                                                                                                                                                                                                                                                                                                                             </v>
          </cell>
          <cell r="C1990" t="str">
            <v xml:space="preserve">UN    </v>
          </cell>
          <cell r="D1990" t="str">
            <v>CR</v>
          </cell>
          <cell r="E1990" t="str">
            <v>31,71</v>
          </cell>
        </row>
        <row r="1991">
          <cell r="A1991">
            <v>38153</v>
          </cell>
          <cell r="B1991" t="str">
            <v xml:space="preserve">FECHADURA ESPELHO PARA PORTA DE BANHEIRO, EM ACO INOX (MAQUINA, TESTA E CONTRA-TESTA) E EM ZAMAC (MACANETA, LINGUETA E TRINCOS) COM ACABAMENTO CROMADO, MAQUINA DE 40 MM, INCLUINDO CHAVE TIPO TRANQUETA                                                                                                                                                                                                                                                                                                  </v>
          </cell>
          <cell r="C1991" t="str">
            <v xml:space="preserve">CJ    </v>
          </cell>
          <cell r="D1991" t="str">
            <v>CR</v>
          </cell>
          <cell r="E1991" t="str">
            <v>80,99</v>
          </cell>
        </row>
        <row r="1992">
          <cell r="A1992">
            <v>43607</v>
          </cell>
          <cell r="B1992" t="str">
            <v xml:space="preserve">FECHADURA ESPELHO PARA PORTA DE BANHEIRO, EM ACO INOX (MAQUINA, TESTA E CONTRA-TESTA) E EM ZAMAC (MACANETA, LINGUETA E TRINCOS) COM ACABAMENTO CROMADO, MAQUINA DE 55 MM, INCLUINDO CHAVE TIPO TRANQUETA  (CONJUNTO DE FECHADURAS)                                                                                                                                                                                                                                                                        </v>
          </cell>
          <cell r="C1992" t="str">
            <v xml:space="preserve">CJ    </v>
          </cell>
          <cell r="D1992" t="str">
            <v>CR</v>
          </cell>
          <cell r="E1992" t="str">
            <v>153,19</v>
          </cell>
        </row>
        <row r="1993">
          <cell r="A1993">
            <v>3080</v>
          </cell>
          <cell r="B1993" t="str">
            <v xml:space="preserve">FECHADURA ESPELHO PARA PORTA EXTERNA, EM ACO INOX (MAQUINA, TESTA E CONTRA-TESTA) E EM ZAMAC (MACANETA, LINGUETA E TRINCOS) COM ACABAMENTO CROMADO, MAQUINA DE 40 MM, INCLUINDO CHAVE TIPO CILINDRO                                                                                                                                                                                                                                                                                                       </v>
          </cell>
          <cell r="C1993" t="str">
            <v xml:space="preserve">CJ    </v>
          </cell>
          <cell r="D1993" t="str">
            <v xml:space="preserve">C </v>
          </cell>
          <cell r="E1993" t="str">
            <v>103,00</v>
          </cell>
        </row>
        <row r="1994">
          <cell r="A1994">
            <v>3081</v>
          </cell>
          <cell r="B1994" t="str">
            <v xml:space="preserve">FECHADURA ESPELHO PARA PORTA EXTERNA, EM ACO INOX (MAQUINA, TESTA E CONTRA-TESTA) E EM ZAMAC (MACANETA, LINGUETA E TRINCOS) COM ACABAMENTO CROMADO, MAQUINA DE 55 MM, INCLUINDO CHAVE TIPO CILINDRO                                                                                                                                                                                                                                                                                                       </v>
          </cell>
          <cell r="C1994" t="str">
            <v xml:space="preserve">CJ    </v>
          </cell>
          <cell r="D1994" t="str">
            <v>CR</v>
          </cell>
          <cell r="E1994" t="str">
            <v>203,78</v>
          </cell>
        </row>
        <row r="1995">
          <cell r="A1995">
            <v>3090</v>
          </cell>
          <cell r="B1995" t="str">
            <v xml:space="preserve">FECHADURA ESPELHO PARA PORTA INTERNA, EM ACO INOX (MAQUINA, TESTA E CONTRA-TESTA) E EM ZAMAC (MACANETA, LINGUETA E TRINCOS) COM ACABAMENTO CROMADO, MAQUINA DE 40 MM, INCLUINDO CHAVE TIPO INTERNA                                                                                                                                                                                                                                                                                                        </v>
          </cell>
          <cell r="C1995" t="str">
            <v xml:space="preserve">CJ    </v>
          </cell>
          <cell r="D1995" t="str">
            <v>CR</v>
          </cell>
          <cell r="E1995" t="str">
            <v>91,93</v>
          </cell>
        </row>
        <row r="1996">
          <cell r="A1996">
            <v>43611</v>
          </cell>
          <cell r="B1996" t="str">
            <v xml:space="preserve">FECHADURA ESPELHO PARA PORTA INTERNA, EM ACO INOX (MAQUINA, TESTA E CONTRA-TESTA) E EM ZAMAC (MACANETA, LINGUETA E TRINCOS) COM ACABAMENTO CROMADO, MAQUINA DE 55 MM, INCLUINDO CHAVE TIPO INTERNA                                                                                                                                                                                                                                                                                                        </v>
          </cell>
          <cell r="C1996" t="str">
            <v xml:space="preserve">CJ    </v>
          </cell>
          <cell r="D1996" t="str">
            <v>CR</v>
          </cell>
          <cell r="E1996" t="str">
            <v>152,55</v>
          </cell>
        </row>
        <row r="1997">
          <cell r="A1997">
            <v>3103</v>
          </cell>
          <cell r="B1997" t="str">
            <v xml:space="preserve">FECHADURA PARA PORTA PIVOTANTE DE VIDRO TEMPERADO, EM ACO INOX COM ACABAMENTO CROMADO, RECORTE PADRAO SANTA MARINA, COM CILINDRO EM LATAO, INCLUINDO CHAVE TIPO CILINDRO                                                                                                                                                                                                                                                                                                                                  </v>
          </cell>
          <cell r="C1997" t="str">
            <v xml:space="preserve">UN    </v>
          </cell>
          <cell r="D1997" t="str">
            <v>CR</v>
          </cell>
          <cell r="E1997" t="str">
            <v>76,22</v>
          </cell>
        </row>
        <row r="1998">
          <cell r="A1998">
            <v>3097</v>
          </cell>
          <cell r="B1998" t="str">
            <v xml:space="preserve">FECHADURA ROSETA REDONDA PARA PORTA DE BANHEIRO, EM ACO INOX (MAQUINA, TESTA E CONTRA-TESTA) E EM ZAMAC (MACANETA, LINGUETA E TRINCOS) COM ACABAMENTO CROMADO, MAQUINA DE 40 MM, INCLUINDO CHAVE TIPO TRANQUETA                                                                                                                                                                                                                                                                                           </v>
          </cell>
          <cell r="C1998" t="str">
            <v xml:space="preserve">CJ    </v>
          </cell>
          <cell r="D1998" t="str">
            <v>CR</v>
          </cell>
          <cell r="E1998" t="str">
            <v>115,32</v>
          </cell>
        </row>
        <row r="1999">
          <cell r="A1999">
            <v>3099</v>
          </cell>
          <cell r="B1999" t="str">
            <v xml:space="preserve">FECHADURA ROSETA REDONDA PARA PORTA DE BANHEIRO, EM ACO INOX (MAQUINA, TESTA E CONTRA-TESTA) E EM ZAMAC (MACANETA, LINGUETA E TRINCOS) COM ACABAMENTO CROMADO, MAQUINA DE 55 MM, INCLUINDO CHAVE TIPO TRANQUETA                                                                                                                                                                                                                                                                                           </v>
          </cell>
          <cell r="C1999" t="str">
            <v xml:space="preserve">CJ    </v>
          </cell>
          <cell r="D1999" t="str">
            <v>CR</v>
          </cell>
          <cell r="E1999" t="str">
            <v>184,66</v>
          </cell>
        </row>
        <row r="2000">
          <cell r="A2000">
            <v>38151</v>
          </cell>
          <cell r="B2000" t="str">
            <v xml:space="preserve">FECHADURA ROSETA REDONDA PARA PORTA EXTERNA, EM ACO INOX (MAQUINA, TESTA E CONTRA-TESTA) E EM ZAMAC (MACANETA, LINGUETA E TRINCOS) COM ACABAMENTO CROMADO, MAQUINA DE 40 MM, INCLUINDO CHAVE TIPO CILINDRO                                                                                                                                                                                                                                                                                                </v>
          </cell>
          <cell r="C2000" t="str">
            <v xml:space="preserve">CJ    </v>
          </cell>
          <cell r="D2000" t="str">
            <v>CR</v>
          </cell>
          <cell r="E2000" t="str">
            <v>133,87</v>
          </cell>
        </row>
        <row r="2001">
          <cell r="A2001">
            <v>38152</v>
          </cell>
          <cell r="B2001" t="str">
            <v xml:space="preserve">FECHADURA ROSETA REDONDA PARA PORTA EXTERNA, EM ACO INOX (MAQUINA, TESTA E CONTRA-TESTA) E EM ZAMAC (MACANETA, LINGUETA E TRINCOS) COM ACABAMENTO CROMADO, MAQUINA DE 55 MM, INCLUINDO CHAVE TIPO CILINDRO                                                                                                                                                                                                                                                                                                </v>
          </cell>
          <cell r="C2001" t="str">
            <v xml:space="preserve">CJ    </v>
          </cell>
          <cell r="D2001" t="str">
            <v>CR</v>
          </cell>
          <cell r="E2001" t="str">
            <v>215,95</v>
          </cell>
        </row>
        <row r="2002">
          <cell r="A2002">
            <v>43610</v>
          </cell>
          <cell r="B2002" t="str">
            <v xml:space="preserve">FECHADURA ROSETA REDONDA PARA PORTA INTERNA, EM ACO INOX (MAQUINA, TESTA E CONTRA-TESTA) E EM ZAMAC (MACANETA, LINGUETA E TRINCOS) COM ACABAMENTO CROMADO, MAQUINA DE 40 MM, INCLUINDO CHAVE TIPO INTERNA (CONJUNTO DE FECHADURAS)                                                                                                                                                                                                                                                                        </v>
          </cell>
          <cell r="C2002" t="str">
            <v xml:space="preserve">CJ    </v>
          </cell>
          <cell r="D2002" t="str">
            <v>CR</v>
          </cell>
          <cell r="E2002" t="str">
            <v>114,43</v>
          </cell>
        </row>
        <row r="2003">
          <cell r="A2003">
            <v>3093</v>
          </cell>
          <cell r="B2003" t="str">
            <v xml:space="preserve">FECHADURA ROSETA REDONDA PARA PORTA INTERNA, EM ACO INOX (MAQUINA, TESTA E CONTRA-TESTA) E EM ZAMAC (MACANETA, LINGUETA E TRINCOS) COM ACABAMENTO CROMADO, MAQUINA DE 55 MM, INCLUINDO CHAVE TIPO INTERNA                                                                                                                                                                                                                                                                                                 </v>
          </cell>
          <cell r="C2003" t="str">
            <v xml:space="preserve">CJ    </v>
          </cell>
          <cell r="D2003" t="str">
            <v>CR</v>
          </cell>
          <cell r="E2003" t="str">
            <v>184,66</v>
          </cell>
        </row>
        <row r="2004">
          <cell r="A2004">
            <v>38165</v>
          </cell>
          <cell r="B2004" t="str">
            <v xml:space="preserve">FECHO / FECHADURA COM PUXADOR CONCHA, COM TRANCA TIPO TRAVA, PARA JANELA / PORTA DE CORRER (INCLUI TESTA, FECHADURA, PUXADOR) - COMPLETA                                                                                                                                                                                                                                                                                                                                                                  </v>
          </cell>
          <cell r="C2004" t="str">
            <v xml:space="preserve">CJ    </v>
          </cell>
          <cell r="D2004" t="str">
            <v>CR</v>
          </cell>
          <cell r="E2004" t="str">
            <v>62,76</v>
          </cell>
        </row>
        <row r="2005">
          <cell r="A2005">
            <v>38177</v>
          </cell>
          <cell r="B2005" t="str">
            <v xml:space="preserve">FECHO / TRINCO TIPO AVIAO, EM ZAMAC CROMADO, *60* MM, PARA JANELAS - INCLUI PARAFUSOS                                                                                                                                                                                                                                                                                                                                                                                                                     </v>
          </cell>
          <cell r="C2005" t="str">
            <v xml:space="preserve">UN    </v>
          </cell>
          <cell r="D2005" t="str">
            <v>CR</v>
          </cell>
          <cell r="E2005" t="str">
            <v>18,65</v>
          </cell>
        </row>
        <row r="2006">
          <cell r="A2006">
            <v>11458</v>
          </cell>
          <cell r="B2006" t="str">
            <v xml:space="preserve">FECHO DE SEGURANCA, TIPO BATOM, EM LATAO / ZAMAC, CROMADO, PARA PORTAS E JANELAS - INCLUI PARAFUSOS                                                                                                                                                                                                                                                                                                                                                                                                       </v>
          </cell>
          <cell r="C2006" t="str">
            <v xml:space="preserve">UN    </v>
          </cell>
          <cell r="D2006" t="str">
            <v>CR</v>
          </cell>
          <cell r="E2006" t="str">
            <v>22,26</v>
          </cell>
        </row>
        <row r="2007">
          <cell r="A2007">
            <v>3108</v>
          </cell>
          <cell r="B2007" t="str">
            <v xml:space="preserve">FECHO QUEBRA UNHA, EM LATAO COM ACABAMENTO CROMADO, DE EMBUTIR, COM COMANDO ALAVANCA, ALTURA DE DE 22 CM, LARGURA MINIMA DE 1,90 CM E ESPESSURA MINIMA DE 1,90 MM, PARA PORTAS E JANELAS (INCLUI PARAFUSOS)                                                                                                                                                                                                                                                                                               </v>
          </cell>
          <cell r="C2007" t="str">
            <v xml:space="preserve">UN    </v>
          </cell>
          <cell r="D2007" t="str">
            <v>CR</v>
          </cell>
          <cell r="E2007" t="str">
            <v>94,65</v>
          </cell>
        </row>
        <row r="2008">
          <cell r="A2008">
            <v>3105</v>
          </cell>
          <cell r="B2008" t="str">
            <v xml:space="preserve">FECHO QUEBRA UNHA, EM LATAO COM ACABAMENTO CROMADO, DE EMBUTIR, COM COMANDO ALAVANCA, ALTURA DE DE 40 CM, LARGURA MINIMA DE 1,90 CM E ESPESSURA MINIMA DE 1,90 MM, PARA PORTAS E JANELAS (INCLUI PARAFUSOS)                                                                                                                                                                                                                                                                                               </v>
          </cell>
          <cell r="C2008" t="str">
            <v xml:space="preserve">UN    </v>
          </cell>
          <cell r="D2008" t="str">
            <v>CR</v>
          </cell>
          <cell r="E2008" t="str">
            <v>123,80</v>
          </cell>
        </row>
        <row r="2009">
          <cell r="A2009">
            <v>38178</v>
          </cell>
          <cell r="B2009" t="str">
            <v xml:space="preserve">FECHO QUEBRA UNHA, EM LATAO COM ACABAMENTO CROMADO, DE EMBUTIR, COM COMANDO DESLIZANTE, ALTURA DE 12 CM, LARGURA MINIMA DE 1,90 CM E ESPESSURA MINIMA DE 1,90 MM                                                                                                                                                                                                                                                                                                                                          </v>
          </cell>
          <cell r="C2009" t="str">
            <v xml:space="preserve">UN    </v>
          </cell>
          <cell r="D2009" t="str">
            <v>CR</v>
          </cell>
          <cell r="E2009" t="str">
            <v>20,52</v>
          </cell>
        </row>
        <row r="2010">
          <cell r="A2010">
            <v>43575</v>
          </cell>
          <cell r="B2010" t="str">
            <v xml:space="preserve">FECHO QUEBRA UNHA, EM LATAO COM ACABAMENTO CROMADO, DE EMBUTIR, COM COMANDO DESLIZANTE, ALTURA DE 22 CM, LARGURA MINIMA DE 1,90 CM E ESPESSURA MINIMA DE 1,90 MM                                                                                                                                                                                                                                                                                                                                          </v>
          </cell>
          <cell r="C2010" t="str">
            <v xml:space="preserve">UN    </v>
          </cell>
          <cell r="D2010" t="str">
            <v>CR</v>
          </cell>
          <cell r="E2010" t="str">
            <v>44,46</v>
          </cell>
        </row>
        <row r="2011">
          <cell r="A2011">
            <v>43577</v>
          </cell>
          <cell r="B2011" t="str">
            <v xml:space="preserve">FECHO QUEBRA UNHA, EM LATAO COM ACABAMENTO CROMADO, DE EMBUTIR, COM COMANDO DESLIZANTE, ALTURA DE 40 CM, LARGURA MINIMA DE 1,90 CM E ESPESSURA MINIMA DE 1,90 MM                                                                                                                                                                                                                                                                                                                                          </v>
          </cell>
          <cell r="C2011" t="str">
            <v xml:space="preserve">UN    </v>
          </cell>
          <cell r="D2011" t="str">
            <v>CR</v>
          </cell>
          <cell r="E2011" t="str">
            <v>77,30</v>
          </cell>
        </row>
        <row r="2012">
          <cell r="A2012">
            <v>43458</v>
          </cell>
          <cell r="B2012" t="str">
            <v xml:space="preserve">FERRAMENTAS - FAMILIA ALMOXARIFE - HORISTA (ENCARGOS COMPLEMENTARES - COLETADO CAIXA)                                                                                                                                                                                                                                                                                                                                                                                                                     </v>
          </cell>
          <cell r="C2012" t="str">
            <v xml:space="preserve">H     </v>
          </cell>
          <cell r="D2012" t="str">
            <v xml:space="preserve">C </v>
          </cell>
          <cell r="E2012" t="str">
            <v>0,06</v>
          </cell>
        </row>
        <row r="2013">
          <cell r="A2013">
            <v>43470</v>
          </cell>
          <cell r="B2013" t="str">
            <v xml:space="preserve">FERRAMENTAS - FAMILIA ALMOXARIFE - MENSALISTA (ENCARGOS COMPLEMENTARES - COLETADO CAIXA)                                                                                                                                                                                                                                                                                                                                                                                                                  </v>
          </cell>
          <cell r="C2013" t="str">
            <v xml:space="preserve">MES   </v>
          </cell>
          <cell r="D2013" t="str">
            <v xml:space="preserve">C </v>
          </cell>
          <cell r="E2013" t="str">
            <v>10,89</v>
          </cell>
        </row>
        <row r="2014">
          <cell r="A2014">
            <v>43459</v>
          </cell>
          <cell r="B2014" t="str">
            <v xml:space="preserve">FERRAMENTAS - FAMILIA CARPINTEIRO DE FORMAS - HORISTA (ENCARGOS COMPLEMENTARES - COLETADO CAIXA)                                                                                                                                                                                                                                                                                                                                                                                                          </v>
          </cell>
          <cell r="C2014" t="str">
            <v xml:space="preserve">H     </v>
          </cell>
          <cell r="D2014" t="str">
            <v xml:space="preserve">C </v>
          </cell>
          <cell r="E2014" t="str">
            <v>0,49</v>
          </cell>
        </row>
        <row r="2015">
          <cell r="A2015">
            <v>43471</v>
          </cell>
          <cell r="B2015" t="str">
            <v xml:space="preserve">FERRAMENTAS - FAMILIA CARPINTEIRO DE FORMAS - MENSALISTA (ENCARGOS COMPLEMENTARES - COLETADO CAIXA)                                                                                                                                                                                                                                                                                                                                                                                                       </v>
          </cell>
          <cell r="C2015" t="str">
            <v xml:space="preserve">MES   </v>
          </cell>
          <cell r="D2015" t="str">
            <v xml:space="preserve">C </v>
          </cell>
          <cell r="E2015" t="str">
            <v>92,26</v>
          </cell>
        </row>
        <row r="2016">
          <cell r="A2016">
            <v>43460</v>
          </cell>
          <cell r="B2016" t="str">
            <v xml:space="preserve">FERRAMENTAS - FAMILIA ELETRICISTA - HORISTA (ENCARGOS COMPLEMENTARES - COLETADO CAIXA)                                                                                                                                                                                                                                                                                                                                                                                                                    </v>
          </cell>
          <cell r="C2016" t="str">
            <v xml:space="preserve">H     </v>
          </cell>
          <cell r="D2016" t="str">
            <v xml:space="preserve">C </v>
          </cell>
          <cell r="E2016" t="str">
            <v>0,85</v>
          </cell>
        </row>
        <row r="2017">
          <cell r="A2017">
            <v>43472</v>
          </cell>
          <cell r="B2017" t="str">
            <v xml:space="preserve">FERRAMENTAS - FAMILIA ELETRICISTA - MENSALISTA (ENCARGOS COMPLEMENTARES - COLETADO CAIXA)                                                                                                                                                                                                                                                                                                                                                                                                                 </v>
          </cell>
          <cell r="C2017" t="str">
            <v xml:space="preserve">MES   </v>
          </cell>
          <cell r="D2017" t="str">
            <v xml:space="preserve">C </v>
          </cell>
          <cell r="E2017" t="str">
            <v>159,73</v>
          </cell>
        </row>
        <row r="2018">
          <cell r="A2018">
            <v>43461</v>
          </cell>
          <cell r="B2018" t="str">
            <v xml:space="preserve">FERRAMENTAS - FAMILIA ENCANADOR - HORISTA (ENCARGOS COMPLEMENTARES - COLETADO CAIXA)                                                                                                                                                                                                                                                                                                                                                                                                                      </v>
          </cell>
          <cell r="C2018" t="str">
            <v xml:space="preserve">H     </v>
          </cell>
          <cell r="D2018" t="str">
            <v xml:space="preserve">C </v>
          </cell>
          <cell r="E2018" t="str">
            <v>0,31</v>
          </cell>
        </row>
        <row r="2019">
          <cell r="A2019">
            <v>43473</v>
          </cell>
          <cell r="B2019" t="str">
            <v xml:space="preserve">FERRAMENTAS - FAMILIA ENCANADOR - MENSALISTA (ENCARGOS COMPLEMENTARES - COLETADO CAIXA)                                                                                                                                                                                                                                                                                                                                                                                                                   </v>
          </cell>
          <cell r="C2019" t="str">
            <v xml:space="preserve">MES   </v>
          </cell>
          <cell r="D2019" t="str">
            <v xml:space="preserve">C </v>
          </cell>
          <cell r="E2019" t="str">
            <v>59,28</v>
          </cell>
        </row>
        <row r="2020">
          <cell r="A2020">
            <v>43463</v>
          </cell>
          <cell r="B2020" t="str">
            <v xml:space="preserve">FERRAMENTAS - FAMILIA ENCARREGADO GERAL - HORISTA (ENCARGOS COMPLEMENTARES - COLETADO CAIXA)                                                                                                                                                                                                                                                                                                                                                                                                              </v>
          </cell>
          <cell r="C2020" t="str">
            <v xml:space="preserve">H     </v>
          </cell>
          <cell r="D2020" t="str">
            <v xml:space="preserve">C </v>
          </cell>
          <cell r="E2020" t="str">
            <v>0,10</v>
          </cell>
        </row>
        <row r="2021">
          <cell r="A2021">
            <v>43475</v>
          </cell>
          <cell r="B2021" t="str">
            <v xml:space="preserve">FERRAMENTAS - FAMILIA ENCARREGADO GERAL - MENSALISTA (ENCARGOS COMPLEMENTARES - COLETADO CAIXA)                                                                                                                                                                                                                                                                                                                                                                                                           </v>
          </cell>
          <cell r="C2021" t="str">
            <v xml:space="preserve">MES   </v>
          </cell>
          <cell r="D2021" t="str">
            <v xml:space="preserve">C </v>
          </cell>
          <cell r="E2021" t="str">
            <v>18,73</v>
          </cell>
        </row>
        <row r="2022">
          <cell r="A2022">
            <v>43462</v>
          </cell>
          <cell r="B2022" t="str">
            <v xml:space="preserve">FERRAMENTAS - FAMILIA ENGENHEIRO CIVIL - HORISTA (ENCARGOS COMPLEMENTARES - COLETADO CAIXA)                                                                                                                                                                                                                                                                                                                                                                                                               </v>
          </cell>
          <cell r="C2022" t="str">
            <v xml:space="preserve">H     </v>
          </cell>
          <cell r="D2022" t="str">
            <v xml:space="preserve">C </v>
          </cell>
          <cell r="E2022" t="str">
            <v>0,01</v>
          </cell>
        </row>
        <row r="2023">
          <cell r="A2023">
            <v>43474</v>
          </cell>
          <cell r="B2023" t="str">
            <v xml:space="preserve">FERRAMENTAS - FAMILIA ENGENHEIRO CIVIL - MENSALISTA (ENCARGOS COMPLEMENTARES - COLETADO CAIXA)                                                                                                                                                                                                                                                                                                                                                                                                            </v>
          </cell>
          <cell r="C2023" t="str">
            <v xml:space="preserve">MES   </v>
          </cell>
          <cell r="D2023" t="str">
            <v xml:space="preserve">C </v>
          </cell>
          <cell r="E2023" t="str">
            <v>2,29</v>
          </cell>
        </row>
        <row r="2024">
          <cell r="A2024">
            <v>43464</v>
          </cell>
          <cell r="B2024" t="str">
            <v xml:space="preserve">FERRAMENTAS - FAMILIA OPERADOR ESCAVADEIRA - HORISTA (ENCARGOS COMPLEMENTARES - COLETADO CAIXA)                                                                                                                                                                                                                                                                                                                                                                                                           </v>
          </cell>
          <cell r="C2024" t="str">
            <v xml:space="preserve">H     </v>
          </cell>
          <cell r="D2024" t="str">
            <v xml:space="preserve">C </v>
          </cell>
          <cell r="E2024" t="str">
            <v>0,01</v>
          </cell>
        </row>
        <row r="2025">
          <cell r="A2025">
            <v>43476</v>
          </cell>
          <cell r="B2025" t="str">
            <v xml:space="preserve">FERRAMENTAS - FAMILIA OPERADOR ESCAVADEIRA - MENSALISTA (ENCARGOS COMPLEMENTARES - COLETADO CAIXA)                                                                                                                                                                                                                                                                                                                                                                                                        </v>
          </cell>
          <cell r="C2025" t="str">
            <v xml:space="preserve">MES   </v>
          </cell>
          <cell r="D2025" t="str">
            <v xml:space="preserve">C </v>
          </cell>
          <cell r="E2025" t="str">
            <v>0,01</v>
          </cell>
        </row>
        <row r="2026">
          <cell r="A2026">
            <v>43465</v>
          </cell>
          <cell r="B2026" t="str">
            <v xml:space="preserve">FERRAMENTAS - FAMILIA PEDREIRO - HORISTA (ENCARGOS COMPLEMENTARES - COLETADO CAIXA)                                                                                                                                                                                                                                                                                                                                                                                                                       </v>
          </cell>
          <cell r="C2026" t="str">
            <v xml:space="preserve">H     </v>
          </cell>
          <cell r="D2026" t="str">
            <v xml:space="preserve">C </v>
          </cell>
          <cell r="E2026" t="str">
            <v>0,82</v>
          </cell>
        </row>
        <row r="2027">
          <cell r="A2027">
            <v>43477</v>
          </cell>
          <cell r="B2027" t="str">
            <v xml:space="preserve">FERRAMENTAS - FAMILIA PEDREIRO - MENSALISTA (ENCARGOS COMPLEMENTARES - COLETADO CAIXA)                                                                                                                                                                                                                                                                                                                                                                                                                    </v>
          </cell>
          <cell r="C2027" t="str">
            <v xml:space="preserve">MES   </v>
          </cell>
          <cell r="D2027" t="str">
            <v xml:space="preserve">C </v>
          </cell>
          <cell r="E2027" t="str">
            <v>155,21</v>
          </cell>
        </row>
        <row r="2028">
          <cell r="A2028">
            <v>43466</v>
          </cell>
          <cell r="B2028" t="str">
            <v xml:space="preserve">FERRAMENTAS - FAMILIA PINTOR - HORISTA (ENCARGOS COMPLEMENTARES - COLETADO CAIXA)                                                                                                                                                                                                                                                                                                                                                                                                                         </v>
          </cell>
          <cell r="C2028" t="str">
            <v xml:space="preserve">H     </v>
          </cell>
          <cell r="D2028" t="str">
            <v xml:space="preserve">C </v>
          </cell>
          <cell r="E2028" t="str">
            <v>1,97</v>
          </cell>
        </row>
        <row r="2029">
          <cell r="A2029">
            <v>43478</v>
          </cell>
          <cell r="B2029" t="str">
            <v xml:space="preserve">FERRAMENTAS - FAMILIA PINTOR - MENSALISTA (ENCARGOS COMPLEMENTARES - COLETADO CAIXA)                                                                                                                                                                                                                                                                                                                                                                                                                      </v>
          </cell>
          <cell r="C2029" t="str">
            <v xml:space="preserve">MES   </v>
          </cell>
          <cell r="D2029" t="str">
            <v xml:space="preserve">C </v>
          </cell>
          <cell r="E2029" t="str">
            <v>371,21</v>
          </cell>
        </row>
        <row r="2030">
          <cell r="A2030">
            <v>43467</v>
          </cell>
          <cell r="B2030" t="str">
            <v xml:space="preserve">FERRAMENTAS - FAMILIA SERVENTE - HORISTA (ENCARGOS COMPLEMENTARES - COLETADO CAIXA)                                                                                                                                                                                                                                                                                                                                                                                                                       </v>
          </cell>
          <cell r="C2030" t="str">
            <v xml:space="preserve">H     </v>
          </cell>
          <cell r="D2030" t="str">
            <v xml:space="preserve">C </v>
          </cell>
          <cell r="E2030" t="str">
            <v>0,61</v>
          </cell>
        </row>
        <row r="2031">
          <cell r="A2031">
            <v>43479</v>
          </cell>
          <cell r="B2031" t="str">
            <v xml:space="preserve">FERRAMENTAS - FAMILIA SERVENTE - MENSALISTA (ENCARGOS COMPLEMENTARES - COLETADO CAIXA)                                                                                                                                                                                                                                                                                                                                                                                                                    </v>
          </cell>
          <cell r="C2031" t="str">
            <v xml:space="preserve">MES   </v>
          </cell>
          <cell r="D2031" t="str">
            <v xml:space="preserve">C </v>
          </cell>
          <cell r="E2031" t="str">
            <v>114,72</v>
          </cell>
        </row>
        <row r="2032">
          <cell r="A2032">
            <v>43468</v>
          </cell>
          <cell r="B2032" t="str">
            <v xml:space="preserve">FERRAMENTAS - FAMILIA SOLDADOR - HORISTA (ENCARGOS COMPLEMENTARES - COLETADO CAIXA)                                                                                                                                                                                                                                                                                                                                                                                                                       </v>
          </cell>
          <cell r="C2032" t="str">
            <v xml:space="preserve">H     </v>
          </cell>
          <cell r="D2032" t="str">
            <v xml:space="preserve">C </v>
          </cell>
          <cell r="E2032" t="str">
            <v>1,23</v>
          </cell>
        </row>
        <row r="2033">
          <cell r="A2033">
            <v>43480</v>
          </cell>
          <cell r="B2033" t="str">
            <v xml:space="preserve">FERRAMENTAS - FAMILIA SOLDADOR - MENSALISTA (ENCARGOS COMPLEMENTARES - COLETADO CAIXA)                                                                                                                                                                                                                                                                                                                                                                                                                    </v>
          </cell>
          <cell r="C2033" t="str">
            <v xml:space="preserve">MES   </v>
          </cell>
          <cell r="D2033" t="str">
            <v xml:space="preserve">C </v>
          </cell>
          <cell r="E2033" t="str">
            <v>232,31</v>
          </cell>
        </row>
        <row r="2034">
          <cell r="A2034">
            <v>43469</v>
          </cell>
          <cell r="B2034" t="str">
            <v xml:space="preserve">FERRAMENTAS - FAMILIA TOPOGRAFO - HORISTA (ENCARGOS COMPLEMENTARES - COLETADO CAIXA)                                                                                                                                                                                                                                                                                                                                                                                                                      </v>
          </cell>
          <cell r="C2034" t="str">
            <v xml:space="preserve">H     </v>
          </cell>
          <cell r="D2034" t="str">
            <v xml:space="preserve">C </v>
          </cell>
          <cell r="E2034" t="str">
            <v>0,07</v>
          </cell>
        </row>
        <row r="2035">
          <cell r="A2035">
            <v>43481</v>
          </cell>
          <cell r="B2035" t="str">
            <v xml:space="preserve">FERRAMENTAS - FAMILIA TOPOGRAFO - MENSALISTA (ENCARGOS COMPLEMENTARES - COLETADO CAIXA)                                                                                                                                                                                                                                                                                                                                                                                                                   </v>
          </cell>
          <cell r="C2035" t="str">
            <v xml:space="preserve">MES   </v>
          </cell>
          <cell r="D2035" t="str">
            <v xml:space="preserve">C </v>
          </cell>
          <cell r="E2035" t="str">
            <v>12,77</v>
          </cell>
        </row>
        <row r="2036">
          <cell r="A2036">
            <v>3119</v>
          </cell>
          <cell r="B2036" t="str">
            <v xml:space="preserve">FERROLHO COM FECHO / TRINCO REDONDO, EM ACO GALVANIZADO / ZINCADO, DE SOBREPOR, COM COMPRIMENTO DE 2" E ESPESSURA MINIMA DA CHAPA DE 0,90 MM, PARA PORTAS E JANELAS                                                                                                                                                                                                                                                                                                                                       </v>
          </cell>
          <cell r="C2036" t="str">
            <v xml:space="preserve">UN    </v>
          </cell>
          <cell r="D2036" t="str">
            <v>CR</v>
          </cell>
          <cell r="E2036" t="str">
            <v>2,41</v>
          </cell>
        </row>
        <row r="2037">
          <cell r="A2037">
            <v>3122</v>
          </cell>
          <cell r="B2037" t="str">
            <v xml:space="preserve">FERROLHO COM FECHO / TRINCO REDONDO, EM ACO GALVANIZADO / ZINCADO, DE SOBREPOR, COM COMPRIMENTO DE 3" A 4" E ESPESSURA MINIMA DA CHAPA DE 0,90 MM                                                                                                                                                                                                                                                                                                                                                         </v>
          </cell>
          <cell r="C2037" t="str">
            <v xml:space="preserve">UN    </v>
          </cell>
          <cell r="D2037" t="str">
            <v>CR</v>
          </cell>
          <cell r="E2037" t="str">
            <v>4,90</v>
          </cell>
        </row>
        <row r="2038">
          <cell r="A2038">
            <v>3121</v>
          </cell>
          <cell r="B2038" t="str">
            <v xml:space="preserve">FERROLHO COM FECHO / TRINCO REDONDO, EM ACO GALVANIZADO / ZINCADO, DE SOBREPOR, COM COMPRIMENTO DE 5" E ESPESSURA MINIMA DA CHAPA DE 0,90 MM                                                                                                                                                                                                                                                                                                                                                              </v>
          </cell>
          <cell r="C2038" t="str">
            <v xml:space="preserve">UN    </v>
          </cell>
          <cell r="D2038" t="str">
            <v>CR</v>
          </cell>
          <cell r="E2038" t="str">
            <v>5,56</v>
          </cell>
        </row>
        <row r="2039">
          <cell r="A2039">
            <v>3120</v>
          </cell>
          <cell r="B2039" t="str">
            <v xml:space="preserve">FERROLHO COM FECHO / TRINCO REDONDO, EM ACO GALVANIZADO / ZINCADO, DE SOBREPOR, COM COMPRIMENTO DE 6" E ESPESSURA MINIMA DA CHAPA DE 1,50 MM                                                                                                                                                                                                                                                                                                                                                              </v>
          </cell>
          <cell r="C2039" t="str">
            <v xml:space="preserve">UN    </v>
          </cell>
          <cell r="D2039" t="str">
            <v>CR</v>
          </cell>
          <cell r="E2039" t="str">
            <v>10,54</v>
          </cell>
        </row>
        <row r="2040">
          <cell r="A2040">
            <v>11455</v>
          </cell>
          <cell r="B2040" t="str">
            <v xml:space="preserve">FERROLHO COM FECHO / TRINCO REDONDO, EM ACO GALVANIZADO / ZINCADO, DE SOBREPOR, COM COMPRIMENTO DE 8" E ESPESSURA MINIMA DA CHAPA DE 1,50 MM                                                                                                                                                                                                                                                                                                                                                              </v>
          </cell>
          <cell r="C2040" t="str">
            <v xml:space="preserve">UN    </v>
          </cell>
          <cell r="D2040" t="str">
            <v>CR</v>
          </cell>
          <cell r="E2040" t="str">
            <v>15,24</v>
          </cell>
        </row>
        <row r="2041">
          <cell r="A2041">
            <v>11456</v>
          </cell>
          <cell r="B2041" t="str">
            <v xml:space="preserve">FERROLHO COM FECHO /TRINCO REDONDO, EM ACO GALVANIZADO / ZINCADO, DE SOBREPOR, COM COMPRIMENTO DE 10" A 12" E ESPESSURA MINIMA DA CHAPA DE 1,50 MM                                                                                                                                                                                                                                                                                                                                                        </v>
          </cell>
          <cell r="C2041" t="str">
            <v xml:space="preserve">UN    </v>
          </cell>
          <cell r="D2041" t="str">
            <v>CR</v>
          </cell>
          <cell r="E2041" t="str">
            <v>18,22</v>
          </cell>
        </row>
        <row r="2042">
          <cell r="A2042">
            <v>3107</v>
          </cell>
          <cell r="B2042" t="str">
            <v xml:space="preserve">FERROLHO COM FECHO CHATO E PORTA CADEADO , EM ACO GALVANIZADO / ZINCADO, DE SOBREPOR, COM COMPRIMENTO DE 3" A 4", CHAPA COM ESPESSURA MINIMA DE 0,90 MM E LARGURA MINIMA DE 3,20 CM (FECHO SIMPLES / LEVE) (INCLUI PARAFUSOS)                                                                                                                                                                                                                                                                             </v>
          </cell>
          <cell r="C2042" t="str">
            <v xml:space="preserve">UN    </v>
          </cell>
          <cell r="D2042" t="str">
            <v>CR</v>
          </cell>
          <cell r="E2042" t="str">
            <v>7,68</v>
          </cell>
        </row>
        <row r="2043">
          <cell r="A2043">
            <v>43583</v>
          </cell>
          <cell r="B2043" t="str">
            <v xml:space="preserve">FERROLHO COM FECHO CHATO E PORTA CADEADO , EM ACO GALVANIZADO / ZINCADO, DE SOBREPOR, COM COMPRIMENTO DE 3" A 4", CHAPA COM ESPESSURA MINIMA DE 1,70 MM E LARGURA MINIMA DE 5,00 CM (FECHO REFORCADO)                                                                                                                                                                                                                                                                                                     </v>
          </cell>
          <cell r="C2043" t="str">
            <v xml:space="preserve">UN    </v>
          </cell>
          <cell r="D2043" t="str">
            <v>CR</v>
          </cell>
          <cell r="E2043" t="str">
            <v>8,67</v>
          </cell>
        </row>
        <row r="2044">
          <cell r="A2044">
            <v>43586</v>
          </cell>
          <cell r="B2044" t="str">
            <v xml:space="preserve">FERROLHO COM FECHO CHATO E PORTA CADEADO , EM ACO GALVANIZADO / ZINCADO, DE SOBREPOR, COM COMPRIMENTO DE 5", CHAPA COM ESPESSURA MINIMA DE 0,90 MM E LARGURA MINIMA DE 3,20 CM (FECHO SIMPLES)                                                                                                                                                                                                                                                                                                            </v>
          </cell>
          <cell r="C2044" t="str">
            <v xml:space="preserve">UN    </v>
          </cell>
          <cell r="D2044" t="str">
            <v>CR</v>
          </cell>
          <cell r="E2044" t="str">
            <v>8,88</v>
          </cell>
        </row>
        <row r="2045">
          <cell r="A2045">
            <v>11461</v>
          </cell>
          <cell r="B2045" t="str">
            <v xml:space="preserve">FERROLHO COM FECHO CHATO E PORTA CADEADO , EM ACO GALVANIZADO / ZINCADO, DE SOBREPOR, COM COMPRIMENTO DE 5", CHAPA COM ESPESSURA MINIMA DE 1,70 MM E LARGURA MINIMA DE 5,00 CM (FECHO REFORCADO)                                                                                                                                                                                                                                                                                                          </v>
          </cell>
          <cell r="C2045" t="str">
            <v xml:space="preserve">UN    </v>
          </cell>
          <cell r="D2045" t="str">
            <v>CR</v>
          </cell>
          <cell r="E2045" t="str">
            <v>9,68</v>
          </cell>
        </row>
        <row r="2046">
          <cell r="A2046">
            <v>43587</v>
          </cell>
          <cell r="B2046" t="str">
            <v xml:space="preserve">FERROLHO COM FECHO CHATO E PORTA CADEADO , EM ACO GALVANIZADO / ZINCADO, DE SOBREPOR, COM COMPRIMENTO DE 6", CHAPA COM ESPESSURA MINIMA DE 0,90 MM E LARGURA MINIMA DE 3,80 CM (FECHO SIMPLES)                                                                                                                                                                                                                                                                                                            </v>
          </cell>
          <cell r="C2046" t="str">
            <v xml:space="preserve">UN    </v>
          </cell>
          <cell r="D2046" t="str">
            <v>CR</v>
          </cell>
          <cell r="E2046" t="str">
            <v>11,17</v>
          </cell>
        </row>
        <row r="2047">
          <cell r="A2047">
            <v>3106</v>
          </cell>
          <cell r="B2047" t="str">
            <v xml:space="preserve">FERROLHO COM FECHO CHATO E PORTA CADEADO , EM ACO GALVANIZADO / ZINCADO, DE SOBREPOR, COM COMPRIMENTO DE 6", CHAPA COM ESPESSURA MINIMA DE 1,70 MM E LARGURA /MINIMA DE 5,00 CM (FECHO REFORCADO) (INCLUI PARAFUSOS)                                                                                                                                                                                                                                                                                      </v>
          </cell>
          <cell r="C2047" t="str">
            <v xml:space="preserve">UN    </v>
          </cell>
          <cell r="D2047" t="str">
            <v>CR</v>
          </cell>
          <cell r="E2047" t="str">
            <v>14,17</v>
          </cell>
        </row>
        <row r="2048">
          <cell r="A2048">
            <v>44539</v>
          </cell>
          <cell r="B2048" t="str">
            <v xml:space="preserve">FERTILIZANTE NPK -  10:10:10                                                                                                                                                                                                                                                                                                                                                                                                                                                                              </v>
          </cell>
          <cell r="C2048" t="str">
            <v xml:space="preserve">KG    </v>
          </cell>
          <cell r="D2048" t="str">
            <v>CR</v>
          </cell>
          <cell r="E2048" t="str">
            <v>2,79</v>
          </cell>
        </row>
        <row r="2049">
          <cell r="A2049">
            <v>3123</v>
          </cell>
          <cell r="B2049" t="str">
            <v xml:space="preserve">FERTILIZANTE NPK - 4: 14: 8                                                                                                                                                                                                                                                                                                                                                                                                                                                                               </v>
          </cell>
          <cell r="C2049" t="str">
            <v xml:space="preserve">KG    </v>
          </cell>
          <cell r="D2049" t="str">
            <v xml:space="preserve">C </v>
          </cell>
          <cell r="E2049" t="str">
            <v>2,60</v>
          </cell>
        </row>
        <row r="2050">
          <cell r="A2050">
            <v>38125</v>
          </cell>
          <cell r="B2050" t="str">
            <v xml:space="preserve">FERTILIZANTE ORGANICO COMPOSTO, CLASSE A                                                                                                                                                                                                                                                                                                                                                                                                                                                                  </v>
          </cell>
          <cell r="C2050" t="str">
            <v xml:space="preserve">KG    </v>
          </cell>
          <cell r="D2050" t="str">
            <v>CR</v>
          </cell>
          <cell r="E2050" t="str">
            <v>1,71</v>
          </cell>
        </row>
        <row r="2051">
          <cell r="A2051">
            <v>39014</v>
          </cell>
          <cell r="B2051" t="str">
            <v xml:space="preserve">FIBRA DE ACO PARA REFORCO DO CONCRETO, SOLTA, TIPO A-I, FATOR DE FORMA *50* L / D, COMPRIMENTO DE *30* MM E RESISTENCIA A TRACAO DO ACO MAIOR 1000 MPA                                                                                                                                                                                                                                                                                                                                                    </v>
          </cell>
          <cell r="C2051" t="str">
            <v xml:space="preserve">KG    </v>
          </cell>
          <cell r="D2051" t="str">
            <v>CR</v>
          </cell>
          <cell r="E2051" t="str">
            <v>9,36</v>
          </cell>
        </row>
        <row r="2052">
          <cell r="A2052">
            <v>39365</v>
          </cell>
          <cell r="B2052" t="str">
            <v xml:space="preserve">FILTRO ANAEROBIO, EM POLIETILENO DE ALTA DENSIDADE (PEAD), CAPACIDADE *1100* LITROS (NBR 13969)                                                                                                                                                                                                                                                                                                                                                                                                           </v>
          </cell>
          <cell r="C2052" t="str">
            <v xml:space="preserve">UN    </v>
          </cell>
          <cell r="D2052" t="str">
            <v>CR</v>
          </cell>
          <cell r="E2052" t="str">
            <v>1.878,12</v>
          </cell>
        </row>
        <row r="2053">
          <cell r="A2053">
            <v>39366</v>
          </cell>
          <cell r="B2053" t="str">
            <v xml:space="preserve">FILTRO ANAEROBIO, EM POLIETILENO DE ALTA DENSIDADE (PEAD), CAPACIDADE *2800* LITROS (NBR 13969)                                                                                                                                                                                                                                                                                                                                                                                                           </v>
          </cell>
          <cell r="C2053" t="str">
            <v xml:space="preserve">UN    </v>
          </cell>
          <cell r="D2053" t="str">
            <v>CR</v>
          </cell>
          <cell r="E2053" t="str">
            <v>2.849,42</v>
          </cell>
        </row>
        <row r="2054">
          <cell r="A2054">
            <v>39367</v>
          </cell>
          <cell r="B2054" t="str">
            <v xml:space="preserve">FILTRO ANAEROBIO, EM POLIETILENO DE ALTA DENSIDADE (PEAD), CAPACIDADE *5000* LITROS (NBR 13969)                                                                                                                                                                                                                                                                                                                                                                                                           </v>
          </cell>
          <cell r="C2054" t="str">
            <v xml:space="preserve">UN    </v>
          </cell>
          <cell r="D2054" t="str">
            <v>CR</v>
          </cell>
          <cell r="E2054" t="str">
            <v>4.882,30</v>
          </cell>
        </row>
        <row r="2055">
          <cell r="A2055">
            <v>37394</v>
          </cell>
          <cell r="B2055" t="str">
            <v xml:space="preserve">FINCAPINO CURTO CALIBRE 22, CARGA MEDIA POTENCIA 5 (PARA FERRAMENTA DE ACAO DIRETA) COR VERMELHA                                                                                                                                                                                                                                                                                                                                                                                                          </v>
          </cell>
          <cell r="C2055" t="str">
            <v xml:space="preserve">CENTO </v>
          </cell>
          <cell r="D2055" t="str">
            <v>CR</v>
          </cell>
          <cell r="E2055" t="str">
            <v>42,47</v>
          </cell>
        </row>
        <row r="2056">
          <cell r="A2056">
            <v>14146</v>
          </cell>
          <cell r="B2056" t="str">
            <v xml:space="preserve">FINCAPINO LONGO CALIBRE 22, CARGA FORTE POTENCIA 7 (PARA FERRAMENTA DE ACAO DIRETA), COR AMARELA                                                                                                                                                                                                                                                                                                                                                                                                          </v>
          </cell>
          <cell r="C2056" t="str">
            <v xml:space="preserve">CENTO </v>
          </cell>
          <cell r="D2056" t="str">
            <v xml:space="preserve">C </v>
          </cell>
          <cell r="E2056" t="str">
            <v>68,30</v>
          </cell>
        </row>
        <row r="2057">
          <cell r="A2057">
            <v>938</v>
          </cell>
          <cell r="B2057" t="str">
            <v xml:space="preserve">FIO DE COBRE, SOLIDO, CLASSE 1, ISOLACAO EM PVC/A, ANTICHAMA BWF-B, 450/750V, SECAO NOMINAL 1,5 MM2                                                                                                                                                                                                                                                                                                                                                                                                       </v>
          </cell>
          <cell r="C2057" t="str">
            <v xml:space="preserve">M     </v>
          </cell>
          <cell r="D2057" t="str">
            <v>CR</v>
          </cell>
          <cell r="E2057" t="str">
            <v>1,25</v>
          </cell>
        </row>
        <row r="2058">
          <cell r="A2058">
            <v>937</v>
          </cell>
          <cell r="B2058" t="str">
            <v xml:space="preserve">FIO DE COBRE, SOLIDO, CLASSE 1, ISOLACAO EM PVC/A, ANTICHAMA BWF-B, 450/750V, SECAO NOMINAL 10 MM2                                                                                                                                                                                                                                                                                                                                                                                                        </v>
          </cell>
          <cell r="C2058" t="str">
            <v xml:space="preserve">M     </v>
          </cell>
          <cell r="D2058" t="str">
            <v>CR</v>
          </cell>
          <cell r="E2058" t="str">
            <v>7,28</v>
          </cell>
        </row>
        <row r="2059">
          <cell r="A2059">
            <v>939</v>
          </cell>
          <cell r="B2059" t="str">
            <v xml:space="preserve">FIO DE COBRE, SOLIDO, CLASSE 1, ISOLACAO EM PVC/A, ANTICHAMA BWF-B, 450/750V, SECAO NOMINAL 2,5 MM2                                                                                                                                                                                                                                                                                                                                                                                                       </v>
          </cell>
          <cell r="C2059" t="str">
            <v xml:space="preserve">M     </v>
          </cell>
          <cell r="D2059" t="str">
            <v>CR</v>
          </cell>
          <cell r="E2059" t="str">
            <v>2,02</v>
          </cell>
        </row>
        <row r="2060">
          <cell r="A2060">
            <v>944</v>
          </cell>
          <cell r="B2060" t="str">
            <v xml:space="preserve">FIO DE COBRE, SOLIDO, CLASSE 1, ISOLACAO EM PVC/A, ANTICHAMA BWF-B, 450/750V, SECAO NOMINAL 4 MM2                                                                                                                                                                                                                                                                                                                                                                                                         </v>
          </cell>
          <cell r="C2060" t="str">
            <v xml:space="preserve">M     </v>
          </cell>
          <cell r="D2060" t="str">
            <v>CR</v>
          </cell>
          <cell r="E2060" t="str">
            <v>3,19</v>
          </cell>
        </row>
        <row r="2061">
          <cell r="A2061">
            <v>940</v>
          </cell>
          <cell r="B2061" t="str">
            <v xml:space="preserve">FIO DE COBRE, SOLIDO, CLASSE 1, ISOLACAO EM PVC/A, ANTICHAMA BWF-B, 450/750V, SECAO NOMINAL 6 MM2                                                                                                                                                                                                                                                                                                                                                                                                         </v>
          </cell>
          <cell r="C2061" t="str">
            <v xml:space="preserve">M     </v>
          </cell>
          <cell r="D2061" t="str">
            <v>CR</v>
          </cell>
          <cell r="E2061" t="str">
            <v>4,61</v>
          </cell>
        </row>
        <row r="2062">
          <cell r="A2062">
            <v>44397</v>
          </cell>
          <cell r="B2062" t="str">
            <v xml:space="preserve">FITA / CINTA AUTOADESIVA ELASTOMERICA PARA VEDACAO, L= 50 MM, E = 3 MM                                                                                                                                                                                                                                                                                                                                                                                                                                    </v>
          </cell>
          <cell r="C2062" t="str">
            <v xml:space="preserve">M     </v>
          </cell>
          <cell r="D2062" t="str">
            <v>CR</v>
          </cell>
          <cell r="E2062" t="str">
            <v>3,77</v>
          </cell>
        </row>
        <row r="2063">
          <cell r="A2063">
            <v>406</v>
          </cell>
          <cell r="B2063" t="str">
            <v xml:space="preserve">FITA ACO INOX PARA CINTAR POSTE, L = 19 MM, E = 0,5 MM (ROLO DE 30M)                                                                                                                                                                                                                                                                                                                                                                                                                                      </v>
          </cell>
          <cell r="C2063" t="str">
            <v xml:space="preserve">UN    </v>
          </cell>
          <cell r="D2063" t="str">
            <v>CR</v>
          </cell>
          <cell r="E2063" t="str">
            <v>74,00</v>
          </cell>
        </row>
        <row r="2064">
          <cell r="A2064">
            <v>42529</v>
          </cell>
          <cell r="B2064" t="str">
            <v xml:space="preserve">FITA ADESIVA ALUMINIZADA, PARA INSTALACAO DE MANTAS DE SUBCOBERTURA,  L = *5* CM                                                                                                                                                                                                                                                                                                                                                                                                                          </v>
          </cell>
          <cell r="C2064" t="str">
            <v xml:space="preserve">M     </v>
          </cell>
          <cell r="D2064" t="str">
            <v>CR</v>
          </cell>
          <cell r="E2064" t="str">
            <v>1,35</v>
          </cell>
        </row>
        <row r="2065">
          <cell r="A2065">
            <v>39634</v>
          </cell>
          <cell r="B2065" t="str">
            <v xml:space="preserve">FITA ADESIVA ANTICORROSIVA DE PVC FLEXIVEL, COR PRETA, PARA PROTECAO TUBULACAO, 50 MM X 30 M (L X C), E= *0,25* MM                                                                                                                                                                                                                                                                                                                                                                                        </v>
          </cell>
          <cell r="C2065" t="str">
            <v xml:space="preserve">M     </v>
          </cell>
          <cell r="D2065" t="str">
            <v>CR</v>
          </cell>
          <cell r="E2065" t="str">
            <v>4,26</v>
          </cell>
        </row>
        <row r="2066">
          <cell r="A2066">
            <v>39701</v>
          </cell>
          <cell r="B2066" t="str">
            <v xml:space="preserve">FITA ADESIVA ASFALTICA ALUMINIZADA MULTIUSO, L = 10 CM, ROLO DE 10 M                                                                                                                                                                                                                                                                                                                                                                                                                                      </v>
          </cell>
          <cell r="C2066" t="str">
            <v xml:space="preserve">UN    </v>
          </cell>
          <cell r="D2066" t="str">
            <v>CR</v>
          </cell>
          <cell r="E2066" t="str">
            <v>109,23</v>
          </cell>
        </row>
        <row r="2067">
          <cell r="A2067">
            <v>12815</v>
          </cell>
          <cell r="B2067" t="str">
            <v xml:space="preserve">FITA CREPE ROLO DE 25 MM X 50 M                                                                                                                                                                                                                                                                                                                                                                                                                                                                           </v>
          </cell>
          <cell r="C2067" t="str">
            <v xml:space="preserve">UN    </v>
          </cell>
          <cell r="D2067" t="str">
            <v>CR</v>
          </cell>
          <cell r="E2067" t="str">
            <v>10,72</v>
          </cell>
        </row>
        <row r="2068">
          <cell r="A2068">
            <v>39431</v>
          </cell>
          <cell r="B2068" t="str">
            <v xml:space="preserve">FITA DE PAPEL MICROPERFURADO, 50 X 150 MM, PARA TRATAMENTO DE JUNTAS DE CHAPA DE GESSO PARA DRYWALL                                                                                                                                                                                                                                                                                                                                                                                                       </v>
          </cell>
          <cell r="C2068" t="str">
            <v xml:space="preserve">M     </v>
          </cell>
          <cell r="D2068" t="str">
            <v>CR</v>
          </cell>
          <cell r="E2068" t="str">
            <v>0,29</v>
          </cell>
        </row>
        <row r="2069">
          <cell r="A2069">
            <v>39432</v>
          </cell>
          <cell r="B2069" t="str">
            <v xml:space="preserve">FITA DE PAPEL REFORCADA COM LAMINA DE METAL PARA REFORCO DE CANTOS DE CHAPA DE GESSO PARA DRYWALL                                                                                                                                                                                                                                                                                                                                                                                                         </v>
          </cell>
          <cell r="C2069" t="str">
            <v xml:space="preserve">M     </v>
          </cell>
          <cell r="D2069" t="str">
            <v>CR</v>
          </cell>
          <cell r="E2069" t="str">
            <v>2,62</v>
          </cell>
        </row>
        <row r="2070">
          <cell r="A2070">
            <v>20111</v>
          </cell>
          <cell r="B2070" t="str">
            <v xml:space="preserve">FITA ISOLANTE ADESIVA ANTICHAMA, USO ATE 750 V, EM ROLO DE 19 MM X 20 M                                                                                                                                                                                                                                                                                                                                                                                                                                   </v>
          </cell>
          <cell r="C2070" t="str">
            <v xml:space="preserve">UN    </v>
          </cell>
          <cell r="D2070" t="str">
            <v xml:space="preserve">C </v>
          </cell>
          <cell r="E2070" t="str">
            <v>18,13</v>
          </cell>
        </row>
        <row r="2071">
          <cell r="A2071">
            <v>21127</v>
          </cell>
          <cell r="B2071" t="str">
            <v xml:space="preserve">FITA ISOLANTE ADESIVA ANTICHAMA, USO ATE 750 V, EM ROLO DE 19 MM X 5 M                                                                                                                                                                                                                                                                                                                                                                                                                                    </v>
          </cell>
          <cell r="C2071" t="str">
            <v xml:space="preserve">UN    </v>
          </cell>
          <cell r="D2071" t="str">
            <v>CR</v>
          </cell>
          <cell r="E2071" t="str">
            <v>6,85</v>
          </cell>
        </row>
        <row r="2072">
          <cell r="A2072">
            <v>404</v>
          </cell>
          <cell r="B2072" t="str">
            <v xml:space="preserve">FITA ISOLANTE DE BORRACHA AUTOFUSAO, USO ATE 69 KV (ALTA TENSAO)                                                                                                                                                                                                                                                                                                                                                                                                                                          </v>
          </cell>
          <cell r="C2072" t="str">
            <v xml:space="preserve">M     </v>
          </cell>
          <cell r="D2072" t="str">
            <v>CR</v>
          </cell>
          <cell r="E2072" t="str">
            <v>2,47</v>
          </cell>
        </row>
        <row r="2073">
          <cell r="A2073">
            <v>14151</v>
          </cell>
          <cell r="B2073" t="str">
            <v xml:space="preserve">FITA METALICA GRAVADA, L = 17 MM, ROLO DE 25 M, CARGA RECOMENDADA = *120* KGF                                                                                                                                                                                                                                                                                                                                                                                                                             </v>
          </cell>
          <cell r="C2073" t="str">
            <v xml:space="preserve">UN    </v>
          </cell>
          <cell r="D2073" t="str">
            <v>CR</v>
          </cell>
          <cell r="E2073" t="str">
            <v>49,09</v>
          </cell>
        </row>
        <row r="2074">
          <cell r="A2074">
            <v>14153</v>
          </cell>
          <cell r="B2074" t="str">
            <v xml:space="preserve">FITA METALICA PERFURADA, L = *18* MM, ROLO DE 30 M, CARGA RECOMENDADA = *30* KGF                                                                                                                                                                                                                                                                                                                                                                                                                          </v>
          </cell>
          <cell r="C2074" t="str">
            <v xml:space="preserve">UN    </v>
          </cell>
          <cell r="D2074" t="str">
            <v>CR</v>
          </cell>
          <cell r="E2074" t="str">
            <v>55,49</v>
          </cell>
        </row>
        <row r="2075">
          <cell r="A2075">
            <v>14152</v>
          </cell>
          <cell r="B2075" t="str">
            <v xml:space="preserve">FITA METALICA PERFURADA, L = 17 MM, ROLO DE 30 M, CARGA RECOMENDADA = *19* KGF                                                                                                                                                                                                                                                                                                                                                                                                                            </v>
          </cell>
          <cell r="C2075" t="str">
            <v xml:space="preserve">UN    </v>
          </cell>
          <cell r="D2075" t="str">
            <v>CR</v>
          </cell>
          <cell r="E2075" t="str">
            <v>42,60</v>
          </cell>
        </row>
        <row r="2076">
          <cell r="A2076">
            <v>14154</v>
          </cell>
          <cell r="B2076" t="str">
            <v xml:space="preserve">FITA METALICA PERFURADA, L = 25 MM, ROLO DE 30 M, CARGA RECOMENDADA = *222,5* KGF                                                                                                                                                                                                                                                                                                                                                                                                                         </v>
          </cell>
          <cell r="C2076" t="str">
            <v xml:space="preserve">UN    </v>
          </cell>
          <cell r="D2076" t="str">
            <v>CR</v>
          </cell>
          <cell r="E2076" t="str">
            <v>149,10</v>
          </cell>
        </row>
        <row r="2077">
          <cell r="A2077">
            <v>3146</v>
          </cell>
          <cell r="B2077" t="str">
            <v xml:space="preserve">FITA VEDA ROSCA EM ROLOS DE 18 MM X 10 M (L X C)                                                                                                                                                                                                                                                                                                                                                                                                                                                          </v>
          </cell>
          <cell r="C2077" t="str">
            <v xml:space="preserve">UN    </v>
          </cell>
          <cell r="D2077" t="str">
            <v xml:space="preserve">C </v>
          </cell>
          <cell r="E2077" t="str">
            <v>2,19</v>
          </cell>
        </row>
        <row r="2078">
          <cell r="A2078">
            <v>3143</v>
          </cell>
          <cell r="B2078" t="str">
            <v xml:space="preserve">FITA VEDA ROSCA EM ROLOS DE 18 MM X 25 M (L X C)                                                                                                                                                                                                                                                                                                                                                                                                                                                          </v>
          </cell>
          <cell r="C2078" t="str">
            <v xml:space="preserve">UN    </v>
          </cell>
          <cell r="D2078" t="str">
            <v>CR</v>
          </cell>
          <cell r="E2078" t="str">
            <v>4,98</v>
          </cell>
        </row>
        <row r="2079">
          <cell r="A2079">
            <v>3148</v>
          </cell>
          <cell r="B2079" t="str">
            <v xml:space="preserve">FITA VEDA ROSCA EM ROLOS DE 18 MM X 50 M (L X C)                                                                                                                                                                                                                                                                                                                                                                                                                                                          </v>
          </cell>
          <cell r="C2079" t="str">
            <v xml:space="preserve">UN    </v>
          </cell>
          <cell r="D2079" t="str">
            <v>CR</v>
          </cell>
          <cell r="E2079" t="str">
            <v>8,07</v>
          </cell>
        </row>
        <row r="2080">
          <cell r="A2080">
            <v>4310</v>
          </cell>
          <cell r="B2080" t="str">
            <v xml:space="preserve">FIXADOR DE ABA AUTOTRAVANTE PARA TELHA DE FIBROCIMENTO, TIPO CANALETE 90 OU KALHETAO                                                                                                                                                                                                                                                                                                                                                                                                                      </v>
          </cell>
          <cell r="C2080" t="str">
            <v xml:space="preserve">UN    </v>
          </cell>
          <cell r="D2080" t="str">
            <v>CR</v>
          </cell>
          <cell r="E2080" t="str">
            <v>3,38</v>
          </cell>
        </row>
        <row r="2081">
          <cell r="A2081">
            <v>4311</v>
          </cell>
          <cell r="B2081" t="str">
            <v xml:space="preserve">FIXADOR DE ABA SIMPLES PARA TELHA DE FIBROCIMENTO, TIPO CANALETA 49 OU KALHETA                                                                                                                                                                                                                                                                                                                                                                                                                            </v>
          </cell>
          <cell r="C2081" t="str">
            <v xml:space="preserve">UN    </v>
          </cell>
          <cell r="D2081" t="str">
            <v>CR</v>
          </cell>
          <cell r="E2081" t="str">
            <v>2,38</v>
          </cell>
        </row>
        <row r="2082">
          <cell r="A2082">
            <v>4312</v>
          </cell>
          <cell r="B2082" t="str">
            <v xml:space="preserve">FIXADOR DE ABA SIMPLES PARA TELHA DE FIBROCIMENTO, TIPO CANALETA 90 OU KALHETAO                                                                                                                                                                                                                                                                                                                                                                                                                           </v>
          </cell>
          <cell r="C2082" t="str">
            <v xml:space="preserve">UN    </v>
          </cell>
          <cell r="D2082" t="str">
            <v>CR</v>
          </cell>
          <cell r="E2082" t="str">
            <v>3,33</v>
          </cell>
        </row>
        <row r="2083">
          <cell r="A2083">
            <v>13261</v>
          </cell>
          <cell r="B2083" t="str">
            <v xml:space="preserve">FLANELA *30 X 40* CM                                                                                                                                                                                                                                                                                                                                                                                                                                                                                      </v>
          </cell>
          <cell r="C2083" t="str">
            <v xml:space="preserve">UN    </v>
          </cell>
          <cell r="D2083" t="str">
            <v>CR</v>
          </cell>
          <cell r="E2083" t="str">
            <v>2,10</v>
          </cell>
        </row>
        <row r="2084">
          <cell r="A2084">
            <v>3272</v>
          </cell>
          <cell r="B2084" t="str">
            <v xml:space="preserve">FLANGE SEXTAVADO DE FERRO GALVANIZADO, COM ROSCA BSP, DE 1 1/2"                                                                                                                                                                                                                                                                                                                                                                                                                                           </v>
          </cell>
          <cell r="C2084" t="str">
            <v xml:space="preserve">UN    </v>
          </cell>
          <cell r="D2084" t="str">
            <v>CR</v>
          </cell>
          <cell r="E2084" t="str">
            <v>59,03</v>
          </cell>
        </row>
        <row r="2085">
          <cell r="A2085">
            <v>3265</v>
          </cell>
          <cell r="B2085" t="str">
            <v xml:space="preserve">FLANGE SEXTAVADO DE FERRO GALVANIZADO, COM ROSCA BSP, DE 1 1/4"                                                                                                                                                                                                                                                                                                                                                                                                                                           </v>
          </cell>
          <cell r="C2085" t="str">
            <v xml:space="preserve">UN    </v>
          </cell>
          <cell r="D2085" t="str">
            <v>CR</v>
          </cell>
          <cell r="E2085" t="str">
            <v>46,90</v>
          </cell>
        </row>
        <row r="2086">
          <cell r="A2086">
            <v>3262</v>
          </cell>
          <cell r="B2086" t="str">
            <v xml:space="preserve">FLANGE SEXTAVADO DE FERRO GALVANIZADO, COM ROSCA BSP, DE 1/2"                                                                                                                                                                                                                                                                                                                                                                                                                                             </v>
          </cell>
          <cell r="C2086" t="str">
            <v xml:space="preserve">UN    </v>
          </cell>
          <cell r="D2086" t="str">
            <v>CR</v>
          </cell>
          <cell r="E2086" t="str">
            <v>20,53</v>
          </cell>
        </row>
        <row r="2087">
          <cell r="A2087">
            <v>3264</v>
          </cell>
          <cell r="B2087" t="str">
            <v xml:space="preserve">FLANGE SEXTAVADO DE FERRO GALVANIZADO, COM ROSCA BSP, DE 1"                                                                                                                                                                                                                                                                                                                                                                                                                                               </v>
          </cell>
          <cell r="C2087" t="str">
            <v xml:space="preserve">UN    </v>
          </cell>
          <cell r="D2087" t="str">
            <v>CR</v>
          </cell>
          <cell r="E2087" t="str">
            <v>33,72</v>
          </cell>
        </row>
        <row r="2088">
          <cell r="A2088">
            <v>3267</v>
          </cell>
          <cell r="B2088" t="str">
            <v xml:space="preserve">FLANGE SEXTAVADO DE FERRO GALVANIZADO, COM ROSCA BSP, DE 2 1/2"                                                                                                                                                                                                                                                                                                                                                                                                                                           </v>
          </cell>
          <cell r="C2088" t="str">
            <v xml:space="preserve">UN    </v>
          </cell>
          <cell r="D2088" t="str">
            <v>CR</v>
          </cell>
          <cell r="E2088" t="str">
            <v>110,13</v>
          </cell>
        </row>
        <row r="2089">
          <cell r="A2089">
            <v>3266</v>
          </cell>
          <cell r="B2089" t="str">
            <v xml:space="preserve">FLANGE SEXTAVADO DE FERRO GALVANIZADO, COM ROSCA BSP, DE 2"                                                                                                                                                                                                                                                                                                                                                                                                                                               </v>
          </cell>
          <cell r="C2089" t="str">
            <v xml:space="preserve">UN    </v>
          </cell>
          <cell r="D2089" t="str">
            <v>CR</v>
          </cell>
          <cell r="E2089" t="str">
            <v>70,07</v>
          </cell>
        </row>
        <row r="2090">
          <cell r="A2090">
            <v>3263</v>
          </cell>
          <cell r="B2090" t="str">
            <v xml:space="preserve">FLANGE SEXTAVADO DE FERRO GALVANIZADO, COM ROSCA BSP, DE 3/4"                                                                                                                                                                                                                                                                                                                                                                                                                                             </v>
          </cell>
          <cell r="C2090" t="str">
            <v xml:space="preserve">UN    </v>
          </cell>
          <cell r="D2090" t="str">
            <v>CR</v>
          </cell>
          <cell r="E2090" t="str">
            <v>28,04</v>
          </cell>
        </row>
        <row r="2091">
          <cell r="A2091">
            <v>3268</v>
          </cell>
          <cell r="B2091" t="str">
            <v xml:space="preserve">FLANGE SEXTAVADO DE FERRO GALVANIZADO, COM ROSCA BSP, DE 3"                                                                                                                                                                                                                                                                                                                                                                                                                                               </v>
          </cell>
          <cell r="C2091" t="str">
            <v xml:space="preserve">UN    </v>
          </cell>
          <cell r="D2091" t="str">
            <v>CR</v>
          </cell>
          <cell r="E2091" t="str">
            <v>148,90</v>
          </cell>
        </row>
        <row r="2092">
          <cell r="A2092">
            <v>3271</v>
          </cell>
          <cell r="B2092" t="str">
            <v xml:space="preserve">FLANGE SEXTAVADO DE FERRO GALVANIZADO, COM ROSCA BSP, DE 4"                                                                                                                                                                                                                                                                                                                                                                                                                                               </v>
          </cell>
          <cell r="C2092" t="str">
            <v xml:space="preserve">UN    </v>
          </cell>
          <cell r="D2092" t="str">
            <v>CR</v>
          </cell>
          <cell r="E2092" t="str">
            <v>220,14</v>
          </cell>
        </row>
        <row r="2093">
          <cell r="A2093">
            <v>3270</v>
          </cell>
          <cell r="B2093" t="str">
            <v xml:space="preserve">FLANGE SEXTAVADO DE FERRO GALVANIZADO, COM ROSCA BSP, DE 6"                                                                                                                                                                                                                                                                                                                                                                                                                                               </v>
          </cell>
          <cell r="C2093" t="str">
            <v xml:space="preserve">UN    </v>
          </cell>
          <cell r="D2093" t="str">
            <v>CR</v>
          </cell>
          <cell r="E2093" t="str">
            <v>369,85</v>
          </cell>
        </row>
        <row r="2094">
          <cell r="A2094">
            <v>3275</v>
          </cell>
          <cell r="B2094" t="str">
            <v xml:space="preserve">FORRO COMPOSTO POR PAINEIS DE LA DE VIDRO, REVESTIDOS EM PVC MICROPERFURADO, DE *1250 X 625* MM, ESPESSURA 15 MM (COM COLOCACAO)                                                                                                                                                                                                                                                                                                                                                                          </v>
          </cell>
          <cell r="C2094" t="str">
            <v xml:space="preserve">M2    </v>
          </cell>
          <cell r="D2094" t="str">
            <v>CR</v>
          </cell>
          <cell r="E2094" t="str">
            <v>122,16</v>
          </cell>
        </row>
        <row r="2095">
          <cell r="A2095">
            <v>39512</v>
          </cell>
          <cell r="B2095" t="str">
            <v xml:space="preserve">FORRO DE FIBRA MINERAL EM PLACAS DE 1250 X 625 MM, E = 15 MM, BORDA RETA, COM PINTURA ANTIMOFO, APOIADO EM PERFIL DE ACO GALVANIZADO COM 24 MM DE BASE - INSTALADO                                                                                                                                                                                                                                                                                                                                        </v>
          </cell>
          <cell r="C2095" t="str">
            <v xml:space="preserve">M2    </v>
          </cell>
          <cell r="D2095" t="str">
            <v>CR</v>
          </cell>
          <cell r="E2095" t="str">
            <v>115,82</v>
          </cell>
        </row>
        <row r="2096">
          <cell r="A2096">
            <v>39511</v>
          </cell>
          <cell r="B2096" t="str">
            <v xml:space="preserve">FORRO DE FIBRA MINERAL EM PLACAS DE 625 X 625 MM, E = 15 MM, BORDA RETA, COM PINTURA ANTIMOFO, APOIADO EM PERFIL DE ACO GALVANIZADO COM 24 MM DE BASE - INSTALADO                                                                                                                                                                                                                                                                                                                                         </v>
          </cell>
          <cell r="C2096" t="str">
            <v xml:space="preserve">M2    </v>
          </cell>
          <cell r="D2096" t="str">
            <v>CR</v>
          </cell>
          <cell r="E2096" t="str">
            <v>126,32</v>
          </cell>
        </row>
        <row r="2097">
          <cell r="A2097">
            <v>39513</v>
          </cell>
          <cell r="B2097" t="str">
            <v xml:space="preserve">FORRO DE FIBRA MINERAL EM PLACAS DE 625 X 625 MM, E = 15/16 MM, BORDA REBAIXADA, COM PINTURA ANTIMOFO, APOIADO EM PERFIL DE ACO GALVANIZADO COM 24 MM DE BASE - INSTALADO                                                                                                                                                                                                                                                                                                                                 </v>
          </cell>
          <cell r="C2097" t="str">
            <v xml:space="preserve">M2    </v>
          </cell>
          <cell r="D2097" t="str">
            <v>CR</v>
          </cell>
          <cell r="E2097" t="str">
            <v>135,49</v>
          </cell>
        </row>
        <row r="2098">
          <cell r="A2098">
            <v>3286</v>
          </cell>
          <cell r="B2098" t="str">
            <v xml:space="preserve">FORRO DE MADEIRA CEDRINHO OU EQUIVALENTE DA REGIAO, ENCAIXE MACHO/FEMEA COM FRISO, *10 X 1* CM (SEM COLOCACAO)                                                                                                                                                                                                                                                                                                                                                                                            </v>
          </cell>
          <cell r="C2098" t="str">
            <v xml:space="preserve">M2    </v>
          </cell>
          <cell r="D2098" t="str">
            <v>CR</v>
          </cell>
          <cell r="E2098" t="str">
            <v>79,41</v>
          </cell>
        </row>
        <row r="2099">
          <cell r="A2099">
            <v>3287</v>
          </cell>
          <cell r="B2099" t="str">
            <v xml:space="preserve">FORRO DE MADEIRA CUMARU/IPE CHAMPANHE OU EQUIVALENTE DA REGIAO, ENCAIXE MACHO/FEMEA COM FRISO, *10 X 1* CM (SEM COLOCACAO)                                                                                                                                                                                                                                                                                                                                                                                </v>
          </cell>
          <cell r="C2099" t="str">
            <v xml:space="preserve">M2    </v>
          </cell>
          <cell r="D2099" t="str">
            <v>CR</v>
          </cell>
          <cell r="E2099" t="str">
            <v>120,00</v>
          </cell>
        </row>
        <row r="2100">
          <cell r="A2100">
            <v>3283</v>
          </cell>
          <cell r="B2100" t="str">
            <v xml:space="preserve">FORRO DE MADEIRA PINUS OU EQUIVALENTE DA REGIAO, ENCAIXE MACHO/FEMEA COM FRISO, *10 X 1* CM (SEM COLOCACAO)                                                                                                                                                                                                                                                                                                                                                                                               </v>
          </cell>
          <cell r="C2100" t="str">
            <v xml:space="preserve">M2    </v>
          </cell>
          <cell r="D2100" t="str">
            <v>CR</v>
          </cell>
          <cell r="E2100" t="str">
            <v>25,20</v>
          </cell>
        </row>
        <row r="2101">
          <cell r="A2101">
            <v>11587</v>
          </cell>
          <cell r="B2101" t="str">
            <v xml:space="preserve">FORRO DE PVC LISO, BRANCO, REGUA DE 10 CM, ESPESSURA DE 8 MM A 10 MM (COM COLOCACAO / SEM ESTRUTURA METALICA)                                                                                                                                                                                                                                                                                                                                                                                             </v>
          </cell>
          <cell r="C2101" t="str">
            <v xml:space="preserve">M2    </v>
          </cell>
          <cell r="D2101" t="str">
            <v>CR</v>
          </cell>
          <cell r="E2101" t="str">
            <v>83,76</v>
          </cell>
        </row>
        <row r="2102">
          <cell r="A2102">
            <v>36225</v>
          </cell>
          <cell r="B2102" t="str">
            <v xml:space="preserve">FORRO DE PVC LISO, BRANCO, REGUA DE 20 CM, ESPESSURA DE 8 MM A 10 MM, COMPRIMENTO 6 M (SEM COLOCACAO)                                                                                                                                                                                                                                                                                                                                                                                                     </v>
          </cell>
          <cell r="C2102" t="str">
            <v xml:space="preserve">M2    </v>
          </cell>
          <cell r="D2102" t="str">
            <v>CR</v>
          </cell>
          <cell r="E2102" t="str">
            <v>34,03</v>
          </cell>
        </row>
        <row r="2103">
          <cell r="A2103">
            <v>36230</v>
          </cell>
          <cell r="B2103" t="str">
            <v xml:space="preserve">FORRO DE PVC, FRISADO, BRANCO, REGUA DE 10 CM, ESPESSURA DE 8 MM A 10 MM E COMPRIMENTO 6 M (SEM COLOCACAO)                                                                                                                                                                                                                                                                                                                                                                                                </v>
          </cell>
          <cell r="C2103" t="str">
            <v xml:space="preserve">M2    </v>
          </cell>
          <cell r="D2103" t="str">
            <v xml:space="preserve">C </v>
          </cell>
          <cell r="E2103" t="str">
            <v>25,00</v>
          </cell>
        </row>
        <row r="2104">
          <cell r="A2104">
            <v>36238</v>
          </cell>
          <cell r="B2104" t="str">
            <v xml:space="preserve">FORRO DE PVC, FRISADO, BRANCO, REGUA DE 20 CM, ESPESSURA DE 8 MM A 10 MM E COMPRIMENTO 6 M (SEM COLOCACAO)                                                                                                                                                                                                                                                                                                                                                                                                </v>
          </cell>
          <cell r="C2104" t="str">
            <v xml:space="preserve">M2    </v>
          </cell>
          <cell r="D2104" t="str">
            <v>CR</v>
          </cell>
          <cell r="E2104" t="str">
            <v>24,43</v>
          </cell>
        </row>
        <row r="2105">
          <cell r="A2105">
            <v>39363</v>
          </cell>
          <cell r="B2105" t="str">
            <v xml:space="preserve">FOSSA SEPTICA, SEM FILTRO, EM POLIETILENO DE ALTA DENSIDADE (PEAD), PARA 15 A 30 CONTRIBUINTES, CILINDRICA, COM TAMPA, CAPACIDADE APROXIMADA DE *5500* LITROS (NBR 7229)                                                                                                                                                                                                                                                                                                                                  </v>
          </cell>
          <cell r="C2105" t="str">
            <v xml:space="preserve">UN    </v>
          </cell>
          <cell r="D2105" t="str">
            <v>CR</v>
          </cell>
          <cell r="E2105" t="str">
            <v>5.536,07</v>
          </cell>
        </row>
        <row r="2106">
          <cell r="A2106">
            <v>39361</v>
          </cell>
          <cell r="B2106" t="str">
            <v xml:space="preserve">FOSSA SEPTICA, SEM FILTRO, EM POLIETILENO DE ALTA DENSIDADE (PEAD), PARA 4 A 7 CONTRIBUINTES, CILINDRICA, COM TAMPA, CAPACIDADE APROXIMADA DE *1100* LITROS (NBR 7229)                                                                                                                                                                                                                                                                                                                                    </v>
          </cell>
          <cell r="C2106" t="str">
            <v xml:space="preserve">UN    </v>
          </cell>
          <cell r="D2106" t="str">
            <v>CR</v>
          </cell>
          <cell r="E2106" t="str">
            <v>1.691,31</v>
          </cell>
        </row>
        <row r="2107">
          <cell r="A2107">
            <v>39362</v>
          </cell>
          <cell r="B2107" t="str">
            <v xml:space="preserve">FOSSA SEPTICA, SEM FILTRO, EM POLIETILENO DE ALTA DENSIDADE (PEAD), PARA 8 A 14 CONTRIBUINTES, CILINDRICA, COM TAMPA, CAPACIDADE APROXIMADA DE *3000* LITROS (NBR 7229)                                                                                                                                                                                                                                                                                                                                   </v>
          </cell>
          <cell r="C2107" t="str">
            <v xml:space="preserve">UN    </v>
          </cell>
          <cell r="D2107" t="str">
            <v>CR</v>
          </cell>
          <cell r="E2107" t="str">
            <v>2.987,78</v>
          </cell>
        </row>
        <row r="2108">
          <cell r="A2108">
            <v>39364</v>
          </cell>
          <cell r="B2108" t="str">
            <v xml:space="preserve">FOSSA SEPTICA,SEM FILTRO, EM POLIETILENO DE ALTA DENSIDADE (PEAD), PARA 40 A 52 CONTRIBUINTES, CILINDRICA, COM TAMPA, CAPACIDADE APROXIMADA DE *10000* LITROS (NBR 7229)                                                                                                                                                                                                                                                                                                                                  </v>
          </cell>
          <cell r="C2108" t="str">
            <v xml:space="preserve">UN    </v>
          </cell>
          <cell r="D2108" t="str">
            <v>CR</v>
          </cell>
          <cell r="E2108" t="str">
            <v>11.677,04</v>
          </cell>
        </row>
        <row r="2109">
          <cell r="A2109">
            <v>14576</v>
          </cell>
          <cell r="B2109" t="str">
            <v xml:space="preserve">FRESADORA DE ASFALTO A FRIO SOBRE ESTEIRAS, LARG. FRESAGEM 2,00 M, POT. 410 KW/550 HP                                                                                                                                                                                                                                                                                                                                                                                                                     </v>
          </cell>
          <cell r="C2109" t="str">
            <v xml:space="preserve">UN    </v>
          </cell>
          <cell r="D2109" t="str">
            <v>CR</v>
          </cell>
          <cell r="E2109" t="str">
            <v>5.377.090,31</v>
          </cell>
        </row>
        <row r="2110">
          <cell r="A2110">
            <v>13877</v>
          </cell>
          <cell r="B2110" t="str">
            <v xml:space="preserve">FRESADORA DE ASFALTO A FRIO SOBRE RODAS, LARG. FRESAGEM 1,00 M, POT. 155 KW/208 HP                                                                                                                                                                                                                                                                                                                                                                                                                        </v>
          </cell>
          <cell r="C2110" t="str">
            <v xml:space="preserve">UN    </v>
          </cell>
          <cell r="D2110" t="str">
            <v>CR</v>
          </cell>
          <cell r="E2110" t="str">
            <v>2.301.852,16</v>
          </cell>
        </row>
        <row r="2111">
          <cell r="A2111">
            <v>7307</v>
          </cell>
          <cell r="B2111" t="str">
            <v xml:space="preserve">FUNDO ANTICORROSIVO PARA METAIS FERROSOS (ZARCAO)                                                                                                                                                                                                                                                                                                                                                                                                                                                         </v>
          </cell>
          <cell r="C2111" t="str">
            <v xml:space="preserve">L     </v>
          </cell>
          <cell r="D2111" t="str">
            <v>CR</v>
          </cell>
          <cell r="E2111" t="str">
            <v>44,61</v>
          </cell>
        </row>
        <row r="2112">
          <cell r="A2112">
            <v>38122</v>
          </cell>
          <cell r="B2112" t="str">
            <v xml:space="preserve">FUNDO PREPARADOR ACRILICO BASE AGUA                                                                                                                                                                                                                                                                                                                                                                                                                                                                       </v>
          </cell>
          <cell r="C2112" t="str">
            <v xml:space="preserve">L     </v>
          </cell>
          <cell r="D2112" t="str">
            <v>CR</v>
          </cell>
          <cell r="E2112" t="str">
            <v>19,71</v>
          </cell>
        </row>
        <row r="2113">
          <cell r="A2113">
            <v>43653</v>
          </cell>
          <cell r="B2113" t="str">
            <v xml:space="preserve">FUNDO SINTETICO NIVELADOR BRANCO FOSCO PARA MADEIRA                                                                                                                                                                                                                                                                                                                                                                                                                                                       </v>
          </cell>
          <cell r="C2113" t="str">
            <v xml:space="preserve">L     </v>
          </cell>
          <cell r="D2113" t="str">
            <v>CR</v>
          </cell>
          <cell r="E2113" t="str">
            <v>35,41</v>
          </cell>
        </row>
        <row r="2114">
          <cell r="A2114">
            <v>38633</v>
          </cell>
          <cell r="B2114" t="str">
            <v xml:space="preserve">FURO PARA TORNEIRA OU OUTROS ACESSORIOS  EM BANCADA DE MARMORE/ GRANITO OU OUTRO TIPO DE PEDRA NATURAL                                                                                                                                                                                                                                                                                                                                                                                                    </v>
          </cell>
          <cell r="C2114" t="str">
            <v xml:space="preserve">UN    </v>
          </cell>
          <cell r="D2114" t="str">
            <v>CR</v>
          </cell>
          <cell r="E2114" t="str">
            <v>28,51</v>
          </cell>
        </row>
        <row r="2115">
          <cell r="A2115">
            <v>12344</v>
          </cell>
          <cell r="B2115" t="str">
            <v xml:space="preserve">FUSIVEL DIAZED 20 A TAMANHO DII, CAPACIDADE DE INTERRUPCAO DE 50 KA EM VCA E 8 KA EM VCC, TENSAO NOMIMNAL DE 500 V                                                                                                                                                                                                                                                                                                                                                                                        </v>
          </cell>
          <cell r="C2115" t="str">
            <v xml:space="preserve">UN    </v>
          </cell>
          <cell r="D2115" t="str">
            <v>CR</v>
          </cell>
          <cell r="E2115" t="str">
            <v>4,34</v>
          </cell>
        </row>
        <row r="2116">
          <cell r="A2116">
            <v>12343</v>
          </cell>
          <cell r="B2116" t="str">
            <v xml:space="preserve">FUSIVEL DIAZED 35 A TAMANHO DIII, CAPACIDADE DE INTERRUPCAO DE 50 KA EM VCA E 8 KA EM VCC, TENSAO NOMIMNAL DE 500 V                                                                                                                                                                                                                                                                                                                                                                                       </v>
          </cell>
          <cell r="C2116" t="str">
            <v xml:space="preserve">UN    </v>
          </cell>
          <cell r="D2116" t="str">
            <v>CR</v>
          </cell>
          <cell r="E2116" t="str">
            <v>6,72</v>
          </cell>
        </row>
        <row r="2117">
          <cell r="A2117">
            <v>3295</v>
          </cell>
          <cell r="B2117" t="str">
            <v xml:space="preserve">FUSIVEL NH *36* A 80 AMPERES, TAMANHO 00, CAPACIDADE DE INTERRUPCAO DE 120 KA, TENSAO NOMIMNAL DE 500 V                                                                                                                                                                                                                                                                                                                                                                                                   </v>
          </cell>
          <cell r="C2117" t="str">
            <v xml:space="preserve">UN    </v>
          </cell>
          <cell r="D2117" t="str">
            <v>CR</v>
          </cell>
          <cell r="E2117" t="str">
            <v>23,48</v>
          </cell>
        </row>
        <row r="2118">
          <cell r="A2118">
            <v>3302</v>
          </cell>
          <cell r="B2118" t="str">
            <v xml:space="preserve">FUSIVEL NH 100 A TAMANHO 00, CAPACIDADE DE INTERRUPCAO DE 120 KA, TENSAO NOMIMNAL DE 500 V                                                                                                                                                                                                                                                                                                                                                                                                                </v>
          </cell>
          <cell r="C2118" t="str">
            <v xml:space="preserve">UN    </v>
          </cell>
          <cell r="D2118" t="str">
            <v>CR</v>
          </cell>
          <cell r="E2118" t="str">
            <v>24,55</v>
          </cell>
        </row>
        <row r="2119">
          <cell r="A2119">
            <v>3297</v>
          </cell>
          <cell r="B2119" t="str">
            <v xml:space="preserve">FUSIVEL NH 125 A TAMANHO 00, CAPACIDADE DE INTERRUPCAO DE 120 KA, TENSAO NOMIMNAL DE 500 V                                                                                                                                                                                                                                                                                                                                                                                                                </v>
          </cell>
          <cell r="C2119" t="str">
            <v xml:space="preserve">UN    </v>
          </cell>
          <cell r="D2119" t="str">
            <v>CR</v>
          </cell>
          <cell r="E2119" t="str">
            <v>26,21</v>
          </cell>
        </row>
        <row r="2120">
          <cell r="A2120">
            <v>3294</v>
          </cell>
          <cell r="B2120" t="str">
            <v xml:space="preserve">FUSIVEL NH 160 A TAMANHO 00, CAPACIDADE DE INTERRUPCAO DE 120 KA, TENSAO NOMIMNAL DE 500 V                                                                                                                                                                                                                                                                                                                                                                                                                </v>
          </cell>
          <cell r="C2120" t="str">
            <v xml:space="preserve">UN    </v>
          </cell>
          <cell r="D2120" t="str">
            <v>CR</v>
          </cell>
          <cell r="E2120" t="str">
            <v>26,61</v>
          </cell>
        </row>
        <row r="2121">
          <cell r="A2121">
            <v>3292</v>
          </cell>
          <cell r="B2121" t="str">
            <v xml:space="preserve">FUSIVEL NH 20 A TAMANHO 000, CAPACIDADE DE INTERRUPCAO DE 120 KA, TENSAO NOMIMNAL DE 500 V                                                                                                                                                                                                                                                                                                                                                                                                                </v>
          </cell>
          <cell r="C2121" t="str">
            <v xml:space="preserve">UN    </v>
          </cell>
          <cell r="D2121" t="str">
            <v xml:space="preserve">C </v>
          </cell>
          <cell r="E2121" t="str">
            <v>25,00</v>
          </cell>
        </row>
        <row r="2122">
          <cell r="A2122">
            <v>3298</v>
          </cell>
          <cell r="B2122" t="str">
            <v xml:space="preserve">FUSIVEL NH 200 A 250 AMPERES, TAMANHO 1, CAPACIDADE DE INTERRUPCAO DE 120 KA, TENSAO NOMIMNAL DE 500 V                                                                                                                                                                                                                                                                                                                                                                                                    </v>
          </cell>
          <cell r="C2122" t="str">
            <v xml:space="preserve">UN    </v>
          </cell>
          <cell r="D2122" t="str">
            <v>CR</v>
          </cell>
          <cell r="E2122" t="str">
            <v>58,59</v>
          </cell>
        </row>
        <row r="2123">
          <cell r="A2123">
            <v>11596</v>
          </cell>
          <cell r="B2123" t="str">
            <v xml:space="preserve">GABIAO  TIPO CAIXA, MALHA HEXAGONAL 8 X 10 CM (ZN/AL), FIO 2,7 MM, DIMENSOES 2,0 X 1,0 X 0,5 M (C X L X A)                                                                                                                                                                                                                                                                                                                                                                                                </v>
          </cell>
          <cell r="C2123" t="str">
            <v xml:space="preserve">UN    </v>
          </cell>
          <cell r="D2123" t="str">
            <v>CR</v>
          </cell>
          <cell r="E2123" t="str">
            <v>424,60</v>
          </cell>
        </row>
        <row r="2124">
          <cell r="A2124">
            <v>34802</v>
          </cell>
          <cell r="B2124" t="str">
            <v xml:space="preserve">GABIAO MANTA (COLCHAO) MALHA HEXAGONAL 6 X 8 CM (ZN/AL REVESTIDO COM POLIMERO), DIMENSOES 4,0 X 2,0 X 0,17 M (C X L X A) FIO 2 MM                                                                                                                                                                                                                                                                                                                                                                         </v>
          </cell>
          <cell r="C2124" t="str">
            <v xml:space="preserve">UN    </v>
          </cell>
          <cell r="D2124" t="str">
            <v>CR</v>
          </cell>
          <cell r="E2124" t="str">
            <v>1.166,09</v>
          </cell>
        </row>
        <row r="2125">
          <cell r="A2125">
            <v>11588</v>
          </cell>
          <cell r="B2125" t="str">
            <v xml:space="preserve">GABIAO MANTA (COLCHAO) MALHA HEXAGONAL 6 X 8 CM (ZN/AL REVESTIDO COM POLIMERO), FIO 2 MM, DIMENSOES 4,0 X 2,0 X 0,23 M (C X L X A)                                                                                                                                                                                                                                                                                                                                                                        </v>
          </cell>
          <cell r="C2125" t="str">
            <v xml:space="preserve">UN    </v>
          </cell>
          <cell r="D2125" t="str">
            <v>CR</v>
          </cell>
          <cell r="E2125" t="str">
            <v>1.258,02</v>
          </cell>
        </row>
        <row r="2126">
          <cell r="A2126">
            <v>34383</v>
          </cell>
          <cell r="B2126" t="str">
            <v xml:space="preserve">GABIAO MANTA (COLCHAO) MALHA HEXAGONAL 6 X 8 CM (ZN/AL REVESTIDO COM POLIMERO), FIO 2 MM, DIMENSOES 4,0 X 2,0 X 0,3 M (C X L X A)                                                                                                                                                                                                                                                                                                                                                                         </v>
          </cell>
          <cell r="C2126" t="str">
            <v xml:space="preserve">UN    </v>
          </cell>
          <cell r="D2126" t="str">
            <v>CR</v>
          </cell>
          <cell r="E2126" t="str">
            <v>1.383,91</v>
          </cell>
        </row>
        <row r="2127">
          <cell r="A2127">
            <v>40451</v>
          </cell>
          <cell r="B2127" t="str">
            <v xml:space="preserve">GABIAO MANTA (COLCHAO) MALHA HEXAGONAL 6 X 8 CM (ZN/AL REVESTIDO COM POLIMERO), FIO 2,0 MM, DIMENSOES 5,0 X 2,0 X 0,17 M (C X L X A)                                                                                                                                                                                                                                                                                                                                                                      </v>
          </cell>
          <cell r="C2127" t="str">
            <v xml:space="preserve">M2    </v>
          </cell>
          <cell r="D2127" t="str">
            <v>CR</v>
          </cell>
          <cell r="E2127" t="str">
            <v>111,86</v>
          </cell>
        </row>
        <row r="2128">
          <cell r="A2128">
            <v>40453</v>
          </cell>
          <cell r="B2128" t="str">
            <v xml:space="preserve">GABIAO MANTA (COLCHAO) MALHA HEXAGONAL 6 X 8 CM (ZN/AL REVESTIDO COM POLIMERO), FIO 2,0 MM, DIMENSOES 5,0 X 2,0 X 0,23 M (C X L X A)                                                                                                                                                                                                                                                                                                                                                                      </v>
          </cell>
          <cell r="C2128" t="str">
            <v xml:space="preserve">M2    </v>
          </cell>
          <cell r="D2128" t="str">
            <v>CR</v>
          </cell>
          <cell r="E2128" t="str">
            <v>121,04</v>
          </cell>
        </row>
        <row r="2129">
          <cell r="A2129">
            <v>40452</v>
          </cell>
          <cell r="B2129" t="str">
            <v xml:space="preserve">GABIAO MANTA (COLCHAO) MALHA HEXAGONAL 6 X 8 CM (ZN/AL REVESTIDO COM POLIMERO), FIO 2,0 MM, DIMENSOES 5,0 X 2,0 X 0,30 M (C X L X A)                                                                                                                                                                                                                                                                                                                                                                      </v>
          </cell>
          <cell r="C2129" t="str">
            <v xml:space="preserve">M2    </v>
          </cell>
          <cell r="D2129" t="str">
            <v>CR</v>
          </cell>
          <cell r="E2129" t="str">
            <v>132,76</v>
          </cell>
        </row>
        <row r="2130">
          <cell r="A2130">
            <v>11594</v>
          </cell>
          <cell r="B2130" t="str">
            <v xml:space="preserve">GABIAO SACO MALHA HEXAGONAL 8 X 10 CM (ZN/AL REVESTIDO COM POLIMERO),  FIO 2,4 MM, DIMENSOES 3,0 X 0,65 M                                                                                                                                                                                                                                                                                                                                                                                                 </v>
          </cell>
          <cell r="C2130" t="str">
            <v xml:space="preserve">UN    </v>
          </cell>
          <cell r="D2130" t="str">
            <v>CR</v>
          </cell>
          <cell r="E2130" t="str">
            <v>400,97</v>
          </cell>
        </row>
        <row r="2131">
          <cell r="A2131">
            <v>3311</v>
          </cell>
          <cell r="B2131" t="str">
            <v xml:space="preserve">GABIAO SACO MALHA HEXAGONAL 8 X 10 CM (ZN/AL REVESTIDO COM POLIMERO), FIO 2,4 MM, H = 0,65 M                                                                                                                                                                                                                                                                                                                                                                                                              </v>
          </cell>
          <cell r="C2131" t="str">
            <v xml:space="preserve">M3    </v>
          </cell>
          <cell r="D2131" t="str">
            <v>CR</v>
          </cell>
          <cell r="E2131" t="str">
            <v>400,97</v>
          </cell>
        </row>
        <row r="2132">
          <cell r="A2132">
            <v>11599</v>
          </cell>
          <cell r="B2132" t="str">
            <v xml:space="preserve">GABIAO SACO MALHA HEXAGONAL 8 X 10 CM (ZN/AL), FIO 2,7 MM, DIMENSOES 4,0 X 0,65 M                                                                                                                                                                                                                                                                                                                                                                                                                         </v>
          </cell>
          <cell r="C2132" t="str">
            <v xml:space="preserve">UN    </v>
          </cell>
          <cell r="D2132" t="str">
            <v>CR</v>
          </cell>
          <cell r="E2132" t="str">
            <v>533,24</v>
          </cell>
        </row>
        <row r="2133">
          <cell r="A2133">
            <v>11593</v>
          </cell>
          <cell r="B2133" t="str">
            <v xml:space="preserve">GABIAO TIPO CAIXA MALHA HEXAGONAL 8 X 10 CM (ZN/AL REVESTIDO COM POLIMERO),  FIO 2,4 MM, DIMENSOES 2,0 X 1,0 X 1,0 M (C X L X A)                                                                                                                                                                                                                                                                                                                                                                          </v>
          </cell>
          <cell r="C2133" t="str">
            <v xml:space="preserve">UN    </v>
          </cell>
          <cell r="D2133" t="str">
            <v>CR</v>
          </cell>
          <cell r="E2133" t="str">
            <v>747,57</v>
          </cell>
        </row>
        <row r="2134">
          <cell r="A2134">
            <v>3314</v>
          </cell>
          <cell r="B2134" t="str">
            <v xml:space="preserve">GABIAO TIPO CAIXA MALHA HEXAGONAL 8 X 10 CM (ZN/AL REVESTIDO COM POLIMERO),  FIO 2,4 MM, H = 0,50 M                                                                                                                                                                                                                                                                                                                                                                                                       </v>
          </cell>
          <cell r="C2134" t="str">
            <v xml:space="preserve">M3    </v>
          </cell>
          <cell r="D2134" t="str">
            <v>CR</v>
          </cell>
          <cell r="E2134" t="str">
            <v>534,66</v>
          </cell>
        </row>
        <row r="2135">
          <cell r="A2135">
            <v>11597</v>
          </cell>
          <cell r="B2135" t="str">
            <v xml:space="preserve">GABIAO TIPO CAIXA MALHA HEXAGONAL 8 X 10 CM (ZN/AL), FIO 2,7 MM, DIMENSOES 2,0 X 1,0 X 1,0 M (C X L X A)                                                                                                                                                                                                                                                                                                                                                                                                  </v>
          </cell>
          <cell r="C2135" t="str">
            <v xml:space="preserve">UN    </v>
          </cell>
          <cell r="D2135" t="str">
            <v>CR</v>
          </cell>
          <cell r="E2135" t="str">
            <v>621,75</v>
          </cell>
        </row>
        <row r="2136">
          <cell r="A2136">
            <v>3309</v>
          </cell>
          <cell r="B2136" t="str">
            <v xml:space="preserve">GABIAO TIPO CAIXA MALHA HEXAGONAL 8 X 10 CM (ZN/AL), FIO 2,7 MM, H = 0,50 M                                                                                                                                                                                                                                                                                                                                                                                                                               </v>
          </cell>
          <cell r="C2136" t="str">
            <v xml:space="preserve">M3    </v>
          </cell>
          <cell r="D2136" t="str">
            <v>CR</v>
          </cell>
          <cell r="E2136" t="str">
            <v>424,60</v>
          </cell>
        </row>
        <row r="2137">
          <cell r="A2137">
            <v>34612</v>
          </cell>
          <cell r="B2137" t="str">
            <v xml:space="preserve">GABIAO TIPO CAIXA PARA SOLO REFORCADO, MALHA HEXAGONAL DE DUPLA TORCAO 8 X 10 CM (ZN/AL REVESTIDO COM POLIMERO), FIO 2,7 MM, DIMENSOES 2,0 X 1,0 X 0,5 M, COM CAUDA DE 3,0 M                                                                                                                                                                                                                                                                                                                              </v>
          </cell>
          <cell r="C2137" t="str">
            <v xml:space="preserve">UN    </v>
          </cell>
          <cell r="D2137" t="str">
            <v>CR</v>
          </cell>
          <cell r="E2137" t="str">
            <v>768,99</v>
          </cell>
        </row>
        <row r="2138">
          <cell r="A2138">
            <v>34635</v>
          </cell>
          <cell r="B2138" t="str">
            <v xml:space="preserve">GABIAO TIPO CAIXA PARA SOLO REFORCADO, MALHA HEXAGONAL DE DUPLA TORCAO 8 X 10 CM (ZN/AL REVESTIDO COM POLIMERO), FIO 2,7 MM, DIMENSOES 2,0 X 1,0 X 1,0 M, COM CAUDA DE 3,0 M                                                                                                                                                                                                                                                                                                                              </v>
          </cell>
          <cell r="C2138" t="str">
            <v xml:space="preserve">UN    </v>
          </cell>
          <cell r="D2138" t="str">
            <v>CR</v>
          </cell>
          <cell r="E2138" t="str">
            <v>988,89</v>
          </cell>
        </row>
        <row r="2139">
          <cell r="A2139">
            <v>34633</v>
          </cell>
          <cell r="B2139" t="str">
            <v xml:space="preserve">GABIAO TIPO CAIXA PARA SOLO REFORCADO, MALHA HEXAGONAL DE DUPLA TORCAO 8 X 10 CM (ZN/AL REVESTIDO COM POLIMERO), FIO 2,7 MM, DIMENSOES 2,0 X 1,0 X 1,0 M, COM CAUDA DE 4,0 M                                                                                                                                                                                                                                                                                                                              </v>
          </cell>
          <cell r="C2139" t="str">
            <v xml:space="preserve">UN    </v>
          </cell>
          <cell r="D2139" t="str">
            <v>CR</v>
          </cell>
          <cell r="E2139" t="str">
            <v>1.090,02</v>
          </cell>
        </row>
        <row r="2140">
          <cell r="A2140">
            <v>40440</v>
          </cell>
          <cell r="B2140" t="str">
            <v xml:space="preserve">GABIAO TIPO CAIXA PARA SOLO REFORCADO, MALHA HEXAGONAL 8 X 10 CM (ZN/AL REVESTIDO COM POLIMERO), FIO 2,7 MM, DIMENSOES 2,0 X 1,0 X 0,5 M, COM CAUDA DE 4,0 M                                                                                                                                                                                                                                                                                                                                              </v>
          </cell>
          <cell r="C2140" t="str">
            <v xml:space="preserve">M3    </v>
          </cell>
          <cell r="D2140" t="str">
            <v>CR</v>
          </cell>
          <cell r="E2140" t="str">
            <v>556,90</v>
          </cell>
        </row>
        <row r="2141">
          <cell r="A2141">
            <v>40441</v>
          </cell>
          <cell r="B2141" t="str">
            <v xml:space="preserve">GABIAO TIPO CAIXA PARA SOLO REFORCADO, MALHA HEXAGONAL 8 X 10 CM (ZN/AL REVESTIDO COM POLIMERO), FIO 2,7 MM, DIMENSOES 2,0 X 1,0 X 1,0 M, COM CAUDA DE 4,0 M                                                                                                                                                                                                                                                                                                                                              </v>
          </cell>
          <cell r="C2141" t="str">
            <v xml:space="preserve">M3    </v>
          </cell>
          <cell r="D2141" t="str">
            <v>CR</v>
          </cell>
          <cell r="E2141" t="str">
            <v>355,55</v>
          </cell>
        </row>
        <row r="2142">
          <cell r="A2142">
            <v>40449</v>
          </cell>
          <cell r="B2142" t="str">
            <v xml:space="preserve">GABIAO TIPO CAIXA TRAPEZOIDAL, MALHA HEXAGONAL 10 X 12 CM (ZN/AL REVESTIDO COM POLIMERO) FIO 2,7 MM, FACE COM 65 GRAUS, COM GEOSSINTETICO, DIMENSOES 2,0 X 1,5 X 1,0 M (C X L X A)                                                                                                                                                                                                                                                                                                                        </v>
          </cell>
          <cell r="C2142" t="str">
            <v xml:space="preserve">M3    </v>
          </cell>
          <cell r="D2142" t="str">
            <v>CR</v>
          </cell>
          <cell r="E2142" t="str">
            <v>298,90</v>
          </cell>
        </row>
        <row r="2143">
          <cell r="A2143">
            <v>34800</v>
          </cell>
          <cell r="B2143" t="str">
            <v xml:space="preserve">GABIAO TIPO CAIXA, MALHA HEXAGONAL 8 X 10 CM (ZN/AL REVESTIDO COM POLIMERO), FIO DE 2,4 MM, DIMENSOES 2,0 x 1,0 x 1,0 M (C X L X A)                                                                                                                                                                                                                                                                                                                                                                       </v>
          </cell>
          <cell r="C2143" t="str">
            <v xml:space="preserve">M3    </v>
          </cell>
          <cell r="D2143" t="str">
            <v>CR</v>
          </cell>
          <cell r="E2143" t="str">
            <v>373,78</v>
          </cell>
        </row>
        <row r="2144">
          <cell r="A2144">
            <v>11592</v>
          </cell>
          <cell r="B2144" t="str">
            <v xml:space="preserve">GABIAO TIPO CAIXA, MALHA HEXAGONAL 8 X 10 CM (ZN/AL REVESTIDO COM POLIMERO), FIO 2,4 MM, DIMENSOES 2,0 X 1,0 X 0,5 M (C X L X A)                                                                                                                                                                                                                                                                                                                                                                          </v>
          </cell>
          <cell r="C2144" t="str">
            <v xml:space="preserve">UN    </v>
          </cell>
          <cell r="D2144" t="str">
            <v>CR</v>
          </cell>
          <cell r="E2144" t="str">
            <v>534,66</v>
          </cell>
        </row>
        <row r="2145">
          <cell r="A2145">
            <v>40438</v>
          </cell>
          <cell r="B2145" t="str">
            <v xml:space="preserve">GABIAO TIPO CAIXA, MALHA HEXAGONAL 8 X 10 CM (ZN/AL), FIO DE 2,7 MM, DIMENSOES 2,0 X 1,0 X 1,0 M (C X L X A)                                                                                                                                                                                                                                                                                                                                                                                              </v>
          </cell>
          <cell r="C2145" t="str">
            <v xml:space="preserve">M3    </v>
          </cell>
          <cell r="D2145" t="str">
            <v>CR</v>
          </cell>
          <cell r="E2145" t="str">
            <v>249,02</v>
          </cell>
        </row>
        <row r="2146">
          <cell r="A2146">
            <v>40436</v>
          </cell>
          <cell r="B2146" t="str">
            <v xml:space="preserve">GABIAO TIPO CAIXA, MALHA HEXAGONAL 8 X 10 CM (ZN/AL), FIO DE 2,7 MM, DIMENSOES 5,0 X 1,0 X 1,0 M (C X L X A)                                                                                                                                                                                                                                                                                                                                                                                              </v>
          </cell>
          <cell r="C2146" t="str">
            <v xml:space="preserve">M3    </v>
          </cell>
          <cell r="D2146" t="str">
            <v>CR</v>
          </cell>
          <cell r="E2146" t="str">
            <v>310,50</v>
          </cell>
        </row>
        <row r="2147">
          <cell r="A2147">
            <v>4315</v>
          </cell>
          <cell r="B2147" t="str">
            <v xml:space="preserve">GANCHO CHATO EM ACO GALVANIZADO, L = 110 MM, RECOBRIMENTO = 100MM, SECAO 1/8 X 1/2" (3 MM X 12 MM), PARA FIXAR TELHA DE FIBROCIMENTO ONDULADA                                                                                                                                                                                                                                                                                                                                                             </v>
          </cell>
          <cell r="C2147" t="str">
            <v xml:space="preserve">UN    </v>
          </cell>
          <cell r="D2147" t="str">
            <v>CR</v>
          </cell>
          <cell r="E2147" t="str">
            <v>2,45</v>
          </cell>
        </row>
        <row r="2148">
          <cell r="A2148">
            <v>402</v>
          </cell>
          <cell r="B2148" t="str">
            <v xml:space="preserve">GANCHO OLHAL EM ACO GALVANIZADO, ESPESSURA 16MM, ABERTURA 21MM                                                                                                                                                                                                                                                                                                                                                                                                                                            </v>
          </cell>
          <cell r="C2148" t="str">
            <v xml:space="preserve">UN    </v>
          </cell>
          <cell r="D2148" t="str">
            <v>CR</v>
          </cell>
          <cell r="E2148" t="str">
            <v>11,67</v>
          </cell>
        </row>
        <row r="2149">
          <cell r="A2149">
            <v>4226</v>
          </cell>
          <cell r="B2149" t="str">
            <v xml:space="preserve">GAS DE COZINHA - GLP                                                                                                                                                                                                                                                                                                                                                                                                                                                                                      </v>
          </cell>
          <cell r="C2149" t="str">
            <v xml:space="preserve">KG    </v>
          </cell>
          <cell r="D2149" t="str">
            <v xml:space="preserve">C </v>
          </cell>
          <cell r="E2149" t="str">
            <v>7,83</v>
          </cell>
        </row>
        <row r="2150">
          <cell r="A2150">
            <v>4222</v>
          </cell>
          <cell r="B2150" t="str">
            <v xml:space="preserve">GASOLINA COMUM                                                                                                                                                                                                                                                                                                                                                                                                                                                                                            </v>
          </cell>
          <cell r="C2150" t="str">
            <v xml:space="preserve">L     </v>
          </cell>
          <cell r="D2150" t="str">
            <v xml:space="preserve">C </v>
          </cell>
          <cell r="E2150" t="str">
            <v>5,60</v>
          </cell>
        </row>
        <row r="2151">
          <cell r="A2151">
            <v>34804</v>
          </cell>
          <cell r="B2151" t="str">
            <v xml:space="preserve">GEOGRELHA TECIDA COM FILAMENTOS DE POLIESTER + PVC, RESISTENCIA LONGITUDINAL: 90 KN/M, RESISTENCIA TRANSVERSAL: 30 KN/M, ALONGAMENTO = 12 POR CENTO                                                                                                                                                                                                                                                                                                                                                       </v>
          </cell>
          <cell r="C2151" t="str">
            <v xml:space="preserve">M2    </v>
          </cell>
          <cell r="D2151" t="str">
            <v>CR</v>
          </cell>
          <cell r="E2151" t="str">
            <v>45,13</v>
          </cell>
        </row>
        <row r="2152">
          <cell r="A2152">
            <v>4013</v>
          </cell>
          <cell r="B2152" t="str">
            <v xml:space="preserve">GEOTEXTIL NAO TECIDO AGULHADO DE FILAMENTOS CONTINUOS 100% POLIESTER, RESITENCIA A TRACAO = 09 KN/M                                                                                                                                                                                                                                                                                                                                                                                                       </v>
          </cell>
          <cell r="C2152" t="str">
            <v xml:space="preserve">M2    </v>
          </cell>
          <cell r="D2152" t="str">
            <v>CR</v>
          </cell>
          <cell r="E2152" t="str">
            <v>7,70</v>
          </cell>
        </row>
        <row r="2153">
          <cell r="A2153">
            <v>4011</v>
          </cell>
          <cell r="B2153" t="str">
            <v xml:space="preserve">GEOTEXTIL NAO TECIDO AGULHADO DE FILAMENTOS CONTINUOS 100% POLIESTER, RESITENCIA A TRACAO = 10 KN/M                                                                                                                                                                                                                                                                                                                                                                                                       </v>
          </cell>
          <cell r="C2153" t="str">
            <v xml:space="preserve">M2    </v>
          </cell>
          <cell r="D2153" t="str">
            <v>CR</v>
          </cell>
          <cell r="E2153" t="str">
            <v>8,60</v>
          </cell>
        </row>
        <row r="2154">
          <cell r="A2154">
            <v>4021</v>
          </cell>
          <cell r="B2154" t="str">
            <v xml:space="preserve">GEOTEXTIL NAO TECIDO AGULHADO DE FILAMENTOS CONTINUOS 100% POLIESTER, RESITENCIA A TRACAO = 14 KN/M                                                                                                                                                                                                                                                                                                                                                                                                       </v>
          </cell>
          <cell r="C2154" t="str">
            <v xml:space="preserve">M2    </v>
          </cell>
          <cell r="D2154" t="str">
            <v>CR</v>
          </cell>
          <cell r="E2154" t="str">
            <v>10,73</v>
          </cell>
        </row>
        <row r="2155">
          <cell r="A2155">
            <v>4019</v>
          </cell>
          <cell r="B2155" t="str">
            <v xml:space="preserve">GEOTEXTIL NAO TECIDO AGULHADO DE FILAMENTOS CONTINUOS 100% POLIESTER, RESITENCIA A TRACAO = 16 KN/M                                                                                                                                                                                                                                                                                                                                                                                                       </v>
          </cell>
          <cell r="C2155" t="str">
            <v xml:space="preserve">M2    </v>
          </cell>
          <cell r="D2155" t="str">
            <v>CR</v>
          </cell>
          <cell r="E2155" t="str">
            <v>12,88</v>
          </cell>
        </row>
        <row r="2156">
          <cell r="A2156">
            <v>4012</v>
          </cell>
          <cell r="B2156" t="str">
            <v xml:space="preserve">GEOTEXTIL NAO TECIDO AGULHADO DE FILAMENTOS CONTINUOS 100% POLIESTER, RESITENCIA A TRACAO = 21 KN/M                                                                                                                                                                                                                                                                                                                                                                                                       </v>
          </cell>
          <cell r="C2156" t="str">
            <v xml:space="preserve">M2    </v>
          </cell>
          <cell r="D2156" t="str">
            <v>CR</v>
          </cell>
          <cell r="E2156" t="str">
            <v>17,26</v>
          </cell>
        </row>
        <row r="2157">
          <cell r="A2157">
            <v>4020</v>
          </cell>
          <cell r="B2157" t="str">
            <v xml:space="preserve">GEOTEXTIL NAO TECIDO AGULHADO DE FILAMENTOS CONTINUOS 100% POLIESTER, RESITENCIA A TRACAO = 26 KN/M                                                                                                                                                                                                                                                                                                                                                                                                       </v>
          </cell>
          <cell r="C2157" t="str">
            <v xml:space="preserve">M2    </v>
          </cell>
          <cell r="D2157" t="str">
            <v>CR</v>
          </cell>
          <cell r="E2157" t="str">
            <v>21,62</v>
          </cell>
        </row>
        <row r="2158">
          <cell r="A2158">
            <v>4018</v>
          </cell>
          <cell r="B2158" t="str">
            <v xml:space="preserve">GEOTEXTIL NAO TECIDO AGULHADO DE FILAMENTOS CONTINUOS 100% POLIESTER, RESITENCIA A TRACAO = 31 KN/M                                                                                                                                                                                                                                                                                                                                                                                                       </v>
          </cell>
          <cell r="C2158" t="str">
            <v xml:space="preserve">M2    </v>
          </cell>
          <cell r="D2158" t="str">
            <v>CR</v>
          </cell>
          <cell r="E2158" t="str">
            <v>25,90</v>
          </cell>
        </row>
        <row r="2159">
          <cell r="A2159">
            <v>36498</v>
          </cell>
          <cell r="B2159" t="str">
            <v xml:space="preserve">GERADOR PORTATIL MONOFASICO, POTENCIA 5500 VA, MOTOR A GASOLINA, POTENCIA DO MOTOR 13 CV                                                                                                                                                                                                                                                                                                                                                                                                                  </v>
          </cell>
          <cell r="C2159" t="str">
            <v xml:space="preserve">UN    </v>
          </cell>
          <cell r="D2159" t="str">
            <v>CR</v>
          </cell>
          <cell r="E2159" t="str">
            <v>8.600,61</v>
          </cell>
        </row>
        <row r="2160">
          <cell r="A2160">
            <v>12872</v>
          </cell>
          <cell r="B2160" t="str">
            <v xml:space="preserve">GESSEIRO (HORISTA)                                                                                                                                                                                                                                                                                                                                                                                                                                                                                        </v>
          </cell>
          <cell r="C2160" t="str">
            <v xml:space="preserve">H     </v>
          </cell>
          <cell r="D2160" t="str">
            <v>CR</v>
          </cell>
          <cell r="E2160" t="str">
            <v>23,55</v>
          </cell>
        </row>
        <row r="2161">
          <cell r="A2161">
            <v>41075</v>
          </cell>
          <cell r="B2161" t="str">
            <v xml:space="preserve">GESSEIRO (MENSALISTA)                                                                                                                                                                                                                                                                                                                                                                                                                                                                                     </v>
          </cell>
          <cell r="C2161" t="str">
            <v xml:space="preserve">MES   </v>
          </cell>
          <cell r="D2161" t="str">
            <v>CR</v>
          </cell>
          <cell r="E2161" t="str">
            <v>4.122,92</v>
          </cell>
        </row>
        <row r="2162">
          <cell r="A2162">
            <v>44324</v>
          </cell>
          <cell r="B2162" t="str">
            <v xml:space="preserve">GESSO COLA, EM PO, PARA FIXACAO DE MOLDURAS, SANCAS E BLOCOS DE GESSO                                                                                                                                                                                                                                                                                                                                                                                                                                     </v>
          </cell>
          <cell r="C2162" t="str">
            <v xml:space="preserve">KG    </v>
          </cell>
          <cell r="D2162" t="str">
            <v>CR</v>
          </cell>
          <cell r="E2162" t="str">
            <v>2,59</v>
          </cell>
        </row>
        <row r="2163">
          <cell r="A2163">
            <v>3315</v>
          </cell>
          <cell r="B2163" t="str">
            <v xml:space="preserve">GESSO EM PO PARA REVESTIMENTOS/MOLDURAS/SANCAS E USO GERAL                                                                                                                                                                                                                                                                                                                                                                                                                                                </v>
          </cell>
          <cell r="C2163" t="str">
            <v xml:space="preserve">KG    </v>
          </cell>
          <cell r="D2163" t="str">
            <v>CR</v>
          </cell>
          <cell r="E2163" t="str">
            <v>0,75</v>
          </cell>
        </row>
        <row r="2164">
          <cell r="A2164">
            <v>36870</v>
          </cell>
          <cell r="B2164" t="str">
            <v xml:space="preserve">GESSO PROJETADO                                                                                                                                                                                                                                                                                                                                                                                                                                                                                           </v>
          </cell>
          <cell r="C2164" t="str">
            <v xml:space="preserve">KG    </v>
          </cell>
          <cell r="D2164" t="str">
            <v>CR</v>
          </cell>
          <cell r="E2164" t="str">
            <v>0,58</v>
          </cell>
        </row>
        <row r="2165">
          <cell r="A2165">
            <v>5092</v>
          </cell>
          <cell r="B2165" t="str">
            <v xml:space="preserve">GONZO DE EMBUTIR, EM LATAO / ZAMAC, *20 X 48* MM, PARA JANELA BASCULANTE / PIVOTANTE, JOGO COM 4 PECAS (PAR)  - INCLUI PARAFUSOS                                                                                                                                                                                                                                                                                                                                                                          </v>
          </cell>
          <cell r="C2165" t="str">
            <v xml:space="preserve">PAR   </v>
          </cell>
          <cell r="D2165" t="str">
            <v>CR</v>
          </cell>
          <cell r="E2165" t="str">
            <v>15,97</v>
          </cell>
        </row>
        <row r="2166">
          <cell r="A2166">
            <v>11462</v>
          </cell>
          <cell r="B2166" t="str">
            <v xml:space="preserve">GONZO DE SOBREPOR, EM LATAO / ZAMAC, PARA JANELA PIVOTANTE - INCLUI PARAFUSOS                                                                                                                                                                                                                                                                                                                                                                                                                             </v>
          </cell>
          <cell r="C2166" t="str">
            <v xml:space="preserve">PAR   </v>
          </cell>
          <cell r="D2166" t="str">
            <v>CR</v>
          </cell>
          <cell r="E2166" t="str">
            <v>16,33</v>
          </cell>
        </row>
        <row r="2167">
          <cell r="A2167">
            <v>36529</v>
          </cell>
          <cell r="B2167" t="str">
            <v xml:space="preserve">GRADE DE DISCOS COM CONTROLE REMOTO, REBOCAVEL, COM 24 DISCOS 24" X 6 MM, COM PNEUS PARA TRANSPORTE                                                                                                                                                                                                                                                                                                                                                                                                       </v>
          </cell>
          <cell r="C2167" t="str">
            <v xml:space="preserve">UN    </v>
          </cell>
          <cell r="D2167" t="str">
            <v>CR</v>
          </cell>
          <cell r="E2167" t="str">
            <v>66.326,53</v>
          </cell>
        </row>
        <row r="2168">
          <cell r="A2168">
            <v>3318</v>
          </cell>
          <cell r="B2168" t="str">
            <v xml:space="preserve">GRADE DE DISCOS MECANICA 20X24" COM 20 DISCOS 24" X 6MM  COM PNEUS PARA TRANSPORTE                                                                                                                                                                                                                                                                                                                                                                                                                        </v>
          </cell>
          <cell r="C2168" t="str">
            <v xml:space="preserve">UN    </v>
          </cell>
          <cell r="D2168" t="str">
            <v xml:space="preserve">C </v>
          </cell>
          <cell r="E2168" t="str">
            <v>52.000,00</v>
          </cell>
        </row>
        <row r="2169">
          <cell r="A2169">
            <v>3324</v>
          </cell>
          <cell r="B2169" t="str">
            <v xml:space="preserve">GRAMA BATATAIS EM PLACAS, SEM PLANTIO                                                                                                                                                                                                                                                                                                                                                                                                                                                                     </v>
          </cell>
          <cell r="C2169" t="str">
            <v xml:space="preserve">M2    </v>
          </cell>
          <cell r="D2169" t="str">
            <v>CR</v>
          </cell>
          <cell r="E2169" t="str">
            <v>12,07</v>
          </cell>
        </row>
        <row r="2170">
          <cell r="A2170">
            <v>3322</v>
          </cell>
          <cell r="B2170" t="str">
            <v xml:space="preserve">GRAMA ESMERALDA OU SAO CARLOS OU CURITIBANA, EM PLACAS, SEM PLANTIO                                                                                                                                                                                                                                                                                                                                                                                                                                       </v>
          </cell>
          <cell r="C2170" t="str">
            <v xml:space="preserve">M2    </v>
          </cell>
          <cell r="D2170" t="str">
            <v xml:space="preserve">C </v>
          </cell>
          <cell r="E2170" t="str">
            <v>16,90</v>
          </cell>
        </row>
        <row r="2171">
          <cell r="A2171">
            <v>5076</v>
          </cell>
          <cell r="B2171" t="str">
            <v xml:space="preserve">GRAMPO DE ACO POLIDO 1 " X 9                                                                                                                                                                                                                                                                                                                                                                                                                                                                              </v>
          </cell>
          <cell r="C2171" t="str">
            <v xml:space="preserve">KG    </v>
          </cell>
          <cell r="D2171" t="str">
            <v>CR</v>
          </cell>
          <cell r="E2171" t="str">
            <v>14,80</v>
          </cell>
        </row>
        <row r="2172">
          <cell r="A2172">
            <v>5077</v>
          </cell>
          <cell r="B2172" t="str">
            <v xml:space="preserve">GRAMPO DE ACO POLIDO 7/8 " X 9                                                                                                                                                                                                                                                                                                                                                                                                                                                                            </v>
          </cell>
          <cell r="C2172" t="str">
            <v xml:space="preserve">KG    </v>
          </cell>
          <cell r="D2172" t="str">
            <v>CR</v>
          </cell>
          <cell r="E2172" t="str">
            <v>16,35</v>
          </cell>
        </row>
        <row r="2173">
          <cell r="A2173">
            <v>11837</v>
          </cell>
          <cell r="B2173" t="str">
            <v xml:space="preserve">GRAMPO LINHA VIVA DE LATAO ESTANHADO, DIAMETRO DO CONDUTOR PRINCIPAL DE 10 A 120 MM2, DIAMETRO DA DERIVACAO DE 10 A 70 MM2                                                                                                                                                                                                                                                                                                                                                                                </v>
          </cell>
          <cell r="C2173" t="str">
            <v xml:space="preserve">UN    </v>
          </cell>
          <cell r="D2173" t="str">
            <v>CR</v>
          </cell>
          <cell r="E2173" t="str">
            <v>86,34</v>
          </cell>
        </row>
        <row r="2174">
          <cell r="A2174">
            <v>38055</v>
          </cell>
          <cell r="B2174" t="str">
            <v xml:space="preserve">GRAMPO METALICO TIPO OLHAL PARA HASTE DE ATERRAMENTO DE 1/2'', CONDUTOR DE *10* A 50 MM2                                                                                                                                                                                                                                                                                                                                                                                                                  </v>
          </cell>
          <cell r="C2174" t="str">
            <v xml:space="preserve">UN    </v>
          </cell>
          <cell r="D2174" t="str">
            <v>CR</v>
          </cell>
          <cell r="E2174" t="str">
            <v>7,83</v>
          </cell>
        </row>
        <row r="2175">
          <cell r="A2175">
            <v>415</v>
          </cell>
          <cell r="B2175" t="str">
            <v xml:space="preserve">GRAMPO METALICO TIPO OLHAL PARA HASTE DE ATERRAMENTO DE 1'', CONDUTOR DE *10* A 50 MM2                                                                                                                                                                                                                                                                                                                                                                                                                    </v>
          </cell>
          <cell r="C2175" t="str">
            <v xml:space="preserve">UN    </v>
          </cell>
          <cell r="D2175" t="str">
            <v>CR</v>
          </cell>
          <cell r="E2175" t="str">
            <v>35,40</v>
          </cell>
        </row>
        <row r="2176">
          <cell r="A2176">
            <v>416</v>
          </cell>
          <cell r="B2176" t="str">
            <v xml:space="preserve">GRAMPO METALICO TIPO OLHAL PARA HASTE DE ATERRAMENTO DE 3/4'', CONDUTOR DE *10* A 50 MM2                                                                                                                                                                                                                                                                                                                                                                                                                  </v>
          </cell>
          <cell r="C2176" t="str">
            <v xml:space="preserve">UN    </v>
          </cell>
          <cell r="D2176" t="str">
            <v>CR</v>
          </cell>
          <cell r="E2176" t="str">
            <v>12,96</v>
          </cell>
        </row>
        <row r="2177">
          <cell r="A2177">
            <v>425</v>
          </cell>
          <cell r="B2177" t="str">
            <v xml:space="preserve">GRAMPO METALICO TIPO OLHAL PARA HASTE DE ATERRAMENTO DE 5/8'', CONDUTOR DE *10* A 50 MM2                                                                                                                                                                                                                                                                                                                                                                                                                  </v>
          </cell>
          <cell r="C2177" t="str">
            <v xml:space="preserve">UN    </v>
          </cell>
          <cell r="D2177" t="str">
            <v>CR</v>
          </cell>
          <cell r="E2177" t="str">
            <v>8,03</v>
          </cell>
        </row>
        <row r="2178">
          <cell r="A2178">
            <v>426</v>
          </cell>
          <cell r="B2178" t="str">
            <v xml:space="preserve">GRAMPO METALICO TIPO U PARA HASTE DE ATERRAMENTO DE ATE 3/4'', CONDUTOR DE 10 A 25 MM2                                                                                                                                                                                                                                                                                                                                                                                                                    </v>
          </cell>
          <cell r="C2178" t="str">
            <v xml:space="preserve">UN    </v>
          </cell>
          <cell r="D2178" t="str">
            <v>CR</v>
          </cell>
          <cell r="E2178" t="str">
            <v>44,25</v>
          </cell>
        </row>
        <row r="2179">
          <cell r="A2179">
            <v>38056</v>
          </cell>
          <cell r="B2179" t="str">
            <v xml:space="preserve">GRAMPO METALICO TIPO U PARA HASTE DE ATERRAMENTO DE ATE 5/8'', CONDUTOR DE 10 A 25 MM2                                                                                                                                                                                                                                                                                                                                                                                                                    </v>
          </cell>
          <cell r="C2179" t="str">
            <v xml:space="preserve">UN    </v>
          </cell>
          <cell r="D2179" t="str">
            <v>CR</v>
          </cell>
          <cell r="E2179" t="str">
            <v>43,21</v>
          </cell>
        </row>
        <row r="2180">
          <cell r="A2180">
            <v>1564</v>
          </cell>
          <cell r="B2180" t="str">
            <v xml:space="preserve">GRAMPO PARALELO METALICO PARA CABO DE 6 A 50 MM2, COM 2 PARAFUSOS                                                                                                                                                                                                                                                                                                                                                                                                                                         </v>
          </cell>
          <cell r="C2180" t="str">
            <v xml:space="preserve">UN    </v>
          </cell>
          <cell r="D2180" t="str">
            <v>CR</v>
          </cell>
          <cell r="E2180" t="str">
            <v>16,49</v>
          </cell>
        </row>
        <row r="2181">
          <cell r="A2181">
            <v>11032</v>
          </cell>
          <cell r="B2181" t="str">
            <v xml:space="preserve">GRAMPO U DE 5/8 " N8 EM ACO GALVANIZADO                                                                                                                                                                                                                                                                                                                                                                                                                                                                   </v>
          </cell>
          <cell r="C2181" t="str">
            <v xml:space="preserve">UN    </v>
          </cell>
          <cell r="D2181" t="str">
            <v>CR</v>
          </cell>
          <cell r="E2181" t="str">
            <v>13,80</v>
          </cell>
        </row>
        <row r="2182">
          <cell r="A2182">
            <v>36786</v>
          </cell>
          <cell r="B2182" t="str">
            <v xml:space="preserve">GRANALHA DE ACO, ANGULAR (GRIT), PARA JATEAMENTO, PENEIRA 0,117 A 1,00 MM, (SAE G-40 A G-80)                                                                                                                                                                                                                                                                                                                                                                                                              </v>
          </cell>
          <cell r="C2182" t="str">
            <v>SC25KG</v>
          </cell>
          <cell r="D2182" t="str">
            <v>CR</v>
          </cell>
          <cell r="E2182" t="str">
            <v>154,64</v>
          </cell>
        </row>
        <row r="2183">
          <cell r="A2183">
            <v>36785</v>
          </cell>
          <cell r="B2183" t="str">
            <v xml:space="preserve">GRANALHA DE ACO, ANGULAR (GRIT), PARA JATEAMENTO, PENEIRA 1,41 A 1,19 MM (SAE G16)                                                                                                                                                                                                                                                                                                                                                                                                                        </v>
          </cell>
          <cell r="C2183" t="str">
            <v>SC25KG</v>
          </cell>
          <cell r="D2183" t="str">
            <v>CR</v>
          </cell>
          <cell r="E2183" t="str">
            <v>134,38</v>
          </cell>
        </row>
        <row r="2184">
          <cell r="A2184">
            <v>36782</v>
          </cell>
          <cell r="B2184" t="str">
            <v xml:space="preserve">GRANALHA DE ACO, ESFERICA (SHOT), PARA JATEAMENTO, PENEIRA 0,40 A 1,00 MM (SAE S-170 A S-280)                                                                                                                                                                                                                                                                                                                                                                                                             </v>
          </cell>
          <cell r="C2184" t="str">
            <v>SC25KG</v>
          </cell>
          <cell r="D2184" t="str">
            <v>CR</v>
          </cell>
          <cell r="E2184" t="str">
            <v>160,40</v>
          </cell>
        </row>
        <row r="2185">
          <cell r="A2185">
            <v>44481</v>
          </cell>
          <cell r="B2185" t="str">
            <v xml:space="preserve">GRANALHA DE ACO, ESFERICA (SHOT), PARA JATEAMENTO, PENEIRA 1,19 A 1,00 MM  (SAE S390)                                                                                                                                                                                                                                                                                                                                                                                                                     </v>
          </cell>
          <cell r="C2185" t="str">
            <v>SC25KG</v>
          </cell>
          <cell r="D2185" t="str">
            <v xml:space="preserve">C </v>
          </cell>
          <cell r="E2185" t="str">
            <v>180,68</v>
          </cell>
        </row>
        <row r="2186">
          <cell r="A2186">
            <v>4824</v>
          </cell>
          <cell r="B2186" t="str">
            <v xml:space="preserve">GRANILHA/ GRANA/ PEDRISCO OU AGREGADO EM MARMORE/ GRANITO/ QUARTZO E CALCARIO, PRETO, CINZA, PALHA OU BRANCO                                                                                                                                                                                                                                                                                                                                                                                              </v>
          </cell>
          <cell r="C2186" t="str">
            <v xml:space="preserve">KG    </v>
          </cell>
          <cell r="D2186" t="str">
            <v>CR</v>
          </cell>
          <cell r="E2186" t="str">
            <v>0,76</v>
          </cell>
        </row>
        <row r="2187">
          <cell r="A2187">
            <v>11795</v>
          </cell>
          <cell r="B2187" t="str">
            <v xml:space="preserve">GRANITO PARA BANCADA, POLIDO, TIPO ANDORINHA/ QUARTZ/ CASTELO/ CORUMBA OU OUTROS EQUIVALENTES DA REGIAO, E=  *2,5* CM                                                                                                                                                                                                                                                                                                                                                                                     </v>
          </cell>
          <cell r="C2187" t="str">
            <v xml:space="preserve">M2    </v>
          </cell>
          <cell r="D2187" t="str">
            <v>CR</v>
          </cell>
          <cell r="E2187" t="str">
            <v>683,01</v>
          </cell>
        </row>
        <row r="2188">
          <cell r="A2188">
            <v>134</v>
          </cell>
          <cell r="B2188" t="str">
            <v xml:space="preserve">GRAUTE CIMENTICIO PARA USO GERAL                                                                                                                                                                                                                                                                                                                                                                                                                                                                          </v>
          </cell>
          <cell r="C2188" t="str">
            <v xml:space="preserve">KG    </v>
          </cell>
          <cell r="D2188" t="str">
            <v>CR</v>
          </cell>
          <cell r="E2188" t="str">
            <v>1,67</v>
          </cell>
        </row>
        <row r="2189">
          <cell r="A2189">
            <v>4229</v>
          </cell>
          <cell r="B2189" t="str">
            <v xml:space="preserve">GRAXA LUBRIFICANTE A BASE DE LITIO, DE MULTIPLAS APLICACOES E CONTENDO ADITIVOS DE EXTREMA PRESSAO (GRAU DE VISCOSIDADE NLGI 2)                                                                                                                                                                                                                                                                                                                                                                           </v>
          </cell>
          <cell r="C2189" t="str">
            <v xml:space="preserve">KG    </v>
          </cell>
          <cell r="D2189" t="str">
            <v>CR</v>
          </cell>
          <cell r="E2189" t="str">
            <v>44,02</v>
          </cell>
        </row>
        <row r="2190">
          <cell r="A2190">
            <v>11731</v>
          </cell>
          <cell r="B2190" t="str">
            <v xml:space="preserve">GRELHA FIXA, EM PVC BRANCA, QUADRADA, 150 X 150 MM, PARA RALOS E CAIXAS                                                                                                                                                                                                                                                                                                                                                                                                                                   </v>
          </cell>
          <cell r="C2190" t="str">
            <v xml:space="preserve">UN    </v>
          </cell>
          <cell r="D2190" t="str">
            <v>CR</v>
          </cell>
          <cell r="E2190" t="str">
            <v>10,96</v>
          </cell>
        </row>
        <row r="2191">
          <cell r="A2191">
            <v>11732</v>
          </cell>
          <cell r="B2191" t="str">
            <v xml:space="preserve">GRELHA FIXA, PVC CROMADA, REDONDA, 150 MM, PARA RALOS E CAIXAS                                                                                                                                                                                                                                                                                                                                                                                                                                            </v>
          </cell>
          <cell r="C2191" t="str">
            <v xml:space="preserve">UN    </v>
          </cell>
          <cell r="D2191" t="str">
            <v>CR</v>
          </cell>
          <cell r="E2191" t="str">
            <v>28,72</v>
          </cell>
        </row>
        <row r="2192">
          <cell r="A2192">
            <v>11244</v>
          </cell>
          <cell r="B2192" t="str">
            <v xml:space="preserve">GRELHA FOFO ARTICULADA, CARGA MAXIMA 1,5 T, *300 X 1000* MM, E= *15* MM                                                                                                                                                                                                                                                                                                                                                                                                                                   </v>
          </cell>
          <cell r="C2192" t="str">
            <v xml:space="preserve">UN    </v>
          </cell>
          <cell r="D2192" t="str">
            <v>CR</v>
          </cell>
          <cell r="E2192" t="str">
            <v>285,24</v>
          </cell>
        </row>
        <row r="2193">
          <cell r="A2193">
            <v>11245</v>
          </cell>
          <cell r="B2193" t="str">
            <v xml:space="preserve">GRELHA FOFO SIMPLES COM REQUADRO, CARGA MAXIMA  12,5 T, *300 X 1000* MM, E= *15* MM, AREA ESTACIONAMENTO CARRO PASSEIO                                                                                                                                                                                                                                                                                                                                                                                    </v>
          </cell>
          <cell r="C2193" t="str">
            <v xml:space="preserve">UN    </v>
          </cell>
          <cell r="D2193" t="str">
            <v>CR</v>
          </cell>
          <cell r="E2193" t="str">
            <v>394,53</v>
          </cell>
        </row>
        <row r="2194">
          <cell r="A2194">
            <v>11235</v>
          </cell>
          <cell r="B2194" t="str">
            <v xml:space="preserve">GRELHA FOFO SIMPLES COM REQUADRO, CARGA MAXIMA 1,5 T, 150 X 1000 MM, E= *15* MM                                                                                                                                                                                                                                                                                                                                                                                                                           </v>
          </cell>
          <cell r="C2194" t="str">
            <v xml:space="preserve">UN    </v>
          </cell>
          <cell r="D2194" t="str">
            <v>CR</v>
          </cell>
          <cell r="E2194" t="str">
            <v>217,67</v>
          </cell>
        </row>
        <row r="2195">
          <cell r="A2195">
            <v>11236</v>
          </cell>
          <cell r="B2195" t="str">
            <v xml:space="preserve">GRELHA FOFO SIMPLES COM REQUADRO, CARGA MAXIMA 1,5 T, 200 X 1000 MM, E= *15* MM                                                                                                                                                                                                                                                                                                                                                                                                                           </v>
          </cell>
          <cell r="C2195" t="str">
            <v xml:space="preserve">UN    </v>
          </cell>
          <cell r="D2195" t="str">
            <v>CR</v>
          </cell>
          <cell r="E2195" t="str">
            <v>276,62</v>
          </cell>
        </row>
        <row r="2196">
          <cell r="A2196">
            <v>36494</v>
          </cell>
          <cell r="B2196" t="str">
            <v xml:space="preserve">GRUA ASCENCIONAL, LANCA DE 30 M, CAPACIDADE DE 1,0 T A 30 M, ALTURA ATE 39 M                                                                                                                                                                                                                                                                                                                                                                                                                              </v>
          </cell>
          <cell r="C2196" t="str">
            <v xml:space="preserve">UN    </v>
          </cell>
          <cell r="D2196" t="str">
            <v>CR</v>
          </cell>
          <cell r="E2196" t="str">
            <v>719.505,07</v>
          </cell>
        </row>
        <row r="2197">
          <cell r="A2197">
            <v>36493</v>
          </cell>
          <cell r="B2197" t="str">
            <v xml:space="preserve">GRUA ASCENCIONAL, LANCA DE 42 M, CAPACIDADE DE 1,5 T A 30 M, ALTURA ATE 39 M                                                                                                                                                                                                                                                                                                                                                                                                                              </v>
          </cell>
          <cell r="C2197" t="str">
            <v xml:space="preserve">UN    </v>
          </cell>
          <cell r="D2197" t="str">
            <v>CR</v>
          </cell>
          <cell r="E2197" t="str">
            <v>815.170,02</v>
          </cell>
        </row>
        <row r="2198">
          <cell r="A2198">
            <v>36492</v>
          </cell>
          <cell r="B2198" t="str">
            <v xml:space="preserve">GRUA ASCENCIONAL, LANCA DE 50 M, CAPACIDADE DE 2,33 T A 30 M, ALTURA ATE 48 M                                                                                                                                                                                                                                                                                                                                                                                                                             </v>
          </cell>
          <cell r="C2198" t="str">
            <v xml:space="preserve">UN    </v>
          </cell>
          <cell r="D2198" t="str">
            <v>CR</v>
          </cell>
          <cell r="E2198" t="str">
            <v>1.514.276,75</v>
          </cell>
        </row>
        <row r="2199">
          <cell r="A2199">
            <v>36499</v>
          </cell>
          <cell r="B2199" t="str">
            <v xml:space="preserve">GRUPO GERADOR A GASOLINA, POTENCIA NOMINAL 2,2 KW, TENSAO DE SAIDA 110/220 V, MOTOR POTENCIA 6,5 HP                                                                                                                                                                                                                                                                                                                                                                                                       </v>
          </cell>
          <cell r="C2199" t="str">
            <v xml:space="preserve">UN    </v>
          </cell>
          <cell r="D2199" t="str">
            <v>CR</v>
          </cell>
          <cell r="E2199" t="str">
            <v>4.644,33</v>
          </cell>
        </row>
        <row r="2200">
          <cell r="A2200">
            <v>13533</v>
          </cell>
          <cell r="B2200" t="str">
            <v xml:space="preserve">GRUPO GERADOR DE SOLDA ELETRICA, COM MAQUINA DE SOLDA, ATE 400 AMPERES E GERADOR A DIESEL 30 CV, MOTOR 4 CILINDROS, TANQUE COMBUST., CARENAGEM DE PROTECAO SOBRE RODAS                                                                                                                                                                                                                                                                                                                                    </v>
          </cell>
          <cell r="C2200" t="str">
            <v xml:space="preserve">UN    </v>
          </cell>
          <cell r="D2200" t="str">
            <v>CR</v>
          </cell>
          <cell r="E2200" t="str">
            <v>212.898,11</v>
          </cell>
        </row>
        <row r="2201">
          <cell r="A2201">
            <v>13333</v>
          </cell>
          <cell r="B2201" t="str">
            <v xml:space="preserve">GRUPO GERADOR DE SOLDA ELETRICA, COM MAQUINA DE SOLDA, ATE 400 AMPERES E GERADOR A DIESEL 60 CV, MOTOR 4 CILINDROS, TANQUE COMBUST., CARENAGEM DE PROTECAO SOBRE RODAS                                                                                                                                                                                                                                                                                                                                    </v>
          </cell>
          <cell r="C2201" t="str">
            <v xml:space="preserve">UN    </v>
          </cell>
          <cell r="D2201" t="str">
            <v>CR</v>
          </cell>
          <cell r="E2201" t="str">
            <v>238.170,66</v>
          </cell>
        </row>
        <row r="2202">
          <cell r="A2202">
            <v>39585</v>
          </cell>
          <cell r="B2202" t="str">
            <v xml:space="preserve">GRUPO GERADOR DIESEL, COM CARENAGEM, POTENCIA STANDART ENTRE 100 E 110 KVA, VELOCIDADE DE 1800 RPM, FREQUENCIA DE 60 HZ                                                                                                                                                                                                                                                                                                                                                                                   </v>
          </cell>
          <cell r="C2202" t="str">
            <v xml:space="preserve">UN    </v>
          </cell>
          <cell r="D2202" t="str">
            <v>CR</v>
          </cell>
          <cell r="E2202" t="str">
            <v>153.786,79</v>
          </cell>
        </row>
        <row r="2203">
          <cell r="A2203">
            <v>39586</v>
          </cell>
          <cell r="B2203" t="str">
            <v xml:space="preserve">GRUPO GERADOR DIESEL, COM CARENAGEM, POTENCIA STANDART ENTRE 140 E 150 KVA, VELOCIDADE DE 1800 RPM, FREQUENCIA DE 60 HZ                                                                                                                                                                                                                                                                                                                                                                                   </v>
          </cell>
          <cell r="C2203" t="str">
            <v xml:space="preserve">UN    </v>
          </cell>
          <cell r="D2203" t="str">
            <v>CR</v>
          </cell>
          <cell r="E2203" t="str">
            <v>180.381,49</v>
          </cell>
        </row>
        <row r="2204">
          <cell r="A2204">
            <v>39587</v>
          </cell>
          <cell r="B2204" t="str">
            <v xml:space="preserve">GRUPO GERADOR DIESEL, COM CARENAGEM, POTENCIA STANDART ENTRE 210 E 220 KVA, VELOCIDADE DE 1800 RPM, FREQUENCIA DE 60 HZ                                                                                                                                                                                                                                                                                                                                                                                   </v>
          </cell>
          <cell r="C2204" t="str">
            <v xml:space="preserve">UN    </v>
          </cell>
          <cell r="D2204" t="str">
            <v>CR</v>
          </cell>
          <cell r="E2204" t="str">
            <v>219.695,42</v>
          </cell>
        </row>
        <row r="2205">
          <cell r="A2205">
            <v>39588</v>
          </cell>
          <cell r="B2205" t="str">
            <v xml:space="preserve">GRUPO GERADOR DIESEL, COM CARENAGEM, POTENCIA STANDART ENTRE 250 E 260 KVA, VELOCIDADE DE 1800 RPM, FREQUENCIA DE 60 HZ                                                                                                                                                                                                                                                                                                                                                                                   </v>
          </cell>
          <cell r="C2205" t="str">
            <v xml:space="preserve">UN    </v>
          </cell>
          <cell r="D2205" t="str">
            <v>CR</v>
          </cell>
          <cell r="E2205" t="str">
            <v>254.384,16</v>
          </cell>
        </row>
        <row r="2206">
          <cell r="A2206">
            <v>39584</v>
          </cell>
          <cell r="B2206" t="str">
            <v xml:space="preserve">GRUPO GERADOR DIESEL, COM CARENAGEM, POTENCIA STANDART ENTRE 50 E 55 KVA, VELOCIDADE DE 1800 RPM, FREQUENCIA DE 60 HZ                                                                                                                                                                                                                                                                                                                                                                                     </v>
          </cell>
          <cell r="C2206" t="str">
            <v xml:space="preserve">UN    </v>
          </cell>
          <cell r="D2206" t="str">
            <v>CR</v>
          </cell>
          <cell r="E2206" t="str">
            <v>136.951,18</v>
          </cell>
        </row>
        <row r="2207">
          <cell r="A2207">
            <v>39590</v>
          </cell>
          <cell r="B2207" t="str">
            <v xml:space="preserve">GRUPO GERADOR DIESEL, SEM CARENAGEM, POTENCIA STANDART ENTRE 100 E 110 KVA, VELOCIDADE DE 1800 RPM, FREQUENCIA DE 60 HZ                                                                                                                                                                                                                                                                                                                                                                                   </v>
          </cell>
          <cell r="C2207" t="str">
            <v xml:space="preserve">UN    </v>
          </cell>
          <cell r="D2207" t="str">
            <v>CR</v>
          </cell>
          <cell r="E2207" t="str">
            <v>133.667,32</v>
          </cell>
        </row>
        <row r="2208">
          <cell r="A2208">
            <v>39592</v>
          </cell>
          <cell r="B2208" t="str">
            <v xml:space="preserve">GRUPO GERADOR DIESEL, SEM CARENAGEM, POTENCIA STANDART ENTRE 210 E 220 KVA, VELOCIDADE DE 1800 RPM, FREQUENCIA DE 60 HZ                                                                                                                                                                                                                                                                                                                                                                                   </v>
          </cell>
          <cell r="C2208" t="str">
            <v xml:space="preserve">UN    </v>
          </cell>
          <cell r="D2208" t="str">
            <v>CR</v>
          </cell>
          <cell r="E2208" t="str">
            <v>192.083,16</v>
          </cell>
        </row>
        <row r="2209">
          <cell r="A2209">
            <v>39593</v>
          </cell>
          <cell r="B2209" t="str">
            <v xml:space="preserve">GRUPO GERADOR DIESEL, SEM CARENAGEM, POTENCIA STANDART ENTRE 250 E 260 KVA, VELOCIDADE DE 1800 RPM, FREQUENCIA DE 60 HZ                                                                                                                                                                                                                                                                                                                                                                                   </v>
          </cell>
          <cell r="C2209" t="str">
            <v xml:space="preserve">UN    </v>
          </cell>
          <cell r="D2209" t="str">
            <v>CR</v>
          </cell>
          <cell r="E2209" t="str">
            <v>219.695,42</v>
          </cell>
        </row>
        <row r="2210">
          <cell r="A2210">
            <v>14254</v>
          </cell>
          <cell r="B2210" t="str">
            <v xml:space="preserve">GRUPO GERADOR DIESEL, SEM CARENAGEM, POTENCIA STANDART ENTRE 80 E 90 KVA, VELOCIDADE DE 1800 RPM, FREQUENCIA DE 60 HZ                                                                                                                                                                                                                                                                                                                                                                                     </v>
          </cell>
          <cell r="C2210" t="str">
            <v xml:space="preserve">UN    </v>
          </cell>
          <cell r="D2210" t="str">
            <v xml:space="preserve">C </v>
          </cell>
          <cell r="E2210" t="str">
            <v>124.879,50</v>
          </cell>
        </row>
        <row r="2211">
          <cell r="A2211">
            <v>44494</v>
          </cell>
          <cell r="B2211" t="str">
            <v xml:space="preserve">GRUPO GERADOR ESTACIONARIO SILENCIADO, POTENCIA 50 KVA, MOTOR  DIESEL                                                                                                                                                                                                                                                                                                                                                                                                                                     </v>
          </cell>
          <cell r="C2211" t="str">
            <v xml:space="preserve">UN    </v>
          </cell>
          <cell r="D2211" t="str">
            <v>CR</v>
          </cell>
          <cell r="E2211" t="str">
            <v>104.284,34</v>
          </cell>
        </row>
        <row r="2212">
          <cell r="A2212">
            <v>25019</v>
          </cell>
          <cell r="B2212" t="str">
            <v xml:space="preserve">GRUPO GERADOR ESTACIONARIO, MOTOR DIESEL POTENCIA 170 KVA                                                                                                                                                                                                                                                                                                                                                                                                                                                 </v>
          </cell>
          <cell r="C2212" t="str">
            <v xml:space="preserve">UN    </v>
          </cell>
          <cell r="D2212" t="str">
            <v>CR</v>
          </cell>
          <cell r="E2212" t="str">
            <v>178.755,02</v>
          </cell>
        </row>
        <row r="2213">
          <cell r="A2213">
            <v>36501</v>
          </cell>
          <cell r="B2213" t="str">
            <v xml:space="preserve">GRUPO GERADOR ESTACIONARIO, POTENCIA 150 KVA, MOTOR DIESEL                                                                                                                                                                                                                                                                                                                                                                                                                                                </v>
          </cell>
          <cell r="C2213" t="str">
            <v xml:space="preserve">UN    </v>
          </cell>
          <cell r="D2213" t="str">
            <v>CR</v>
          </cell>
          <cell r="E2213" t="str">
            <v>159.153,57</v>
          </cell>
        </row>
        <row r="2214">
          <cell r="A2214">
            <v>44493</v>
          </cell>
          <cell r="B2214" t="str">
            <v xml:space="preserve">GRUPO GERADOR ESTACIONARIO, SILENCIADO, POTENCIA 180 KVA, MOTOR  DIESEL                                                                                                                                                                                                                                                                                                                                                                                                                                   </v>
          </cell>
          <cell r="C2214" t="str">
            <v xml:space="preserve">UN    </v>
          </cell>
          <cell r="D2214" t="str">
            <v>CR</v>
          </cell>
          <cell r="E2214" t="str">
            <v>191.333,08</v>
          </cell>
        </row>
        <row r="2215">
          <cell r="A2215">
            <v>36500</v>
          </cell>
          <cell r="B2215" t="str">
            <v xml:space="preserve">GRUPO GERADOR REBOCAVEL, POTENCIA *66* KVA, MOTOR A DIESEL                                                                                                                                                                                                                                                                                                                                                                                                                                                </v>
          </cell>
          <cell r="C2215" t="str">
            <v xml:space="preserve">UN    </v>
          </cell>
          <cell r="D2215" t="str">
            <v>CR</v>
          </cell>
          <cell r="E2215" t="str">
            <v>112.469,48</v>
          </cell>
        </row>
        <row r="2216">
          <cell r="A2216">
            <v>20017</v>
          </cell>
          <cell r="B2216" t="str">
            <v xml:space="preserve">GUARNICAO / ALIZAR / VISTA LISA EM MADEIRA MACICA, PARA PORTA  , E = *1* CM, L = *5* CM, CEDRINHO / ANGELIM COMERCIAL / TAURI/ CURUPIXA / PEROBA / CUMARU OU EQUIVALENTE DA REGIAO                                                                                                                                                                                                                                                                                                                        </v>
          </cell>
          <cell r="C2216" t="str">
            <v xml:space="preserve">M     </v>
          </cell>
          <cell r="D2216" t="str">
            <v>CR</v>
          </cell>
          <cell r="E2216" t="str">
            <v>10,18</v>
          </cell>
        </row>
        <row r="2217">
          <cell r="A2217">
            <v>20007</v>
          </cell>
          <cell r="B2217" t="str">
            <v xml:space="preserve">GUARNICAO / ALIZAR / VISTA LISA EM MADEIRA MACICA, PARA PORTA , E = *1* CM, L = *5* CM,  PINUS /EUCALIPTO / VIROLA OU EQUIVALENTE DA REGIAO                                                                                                                                                                                                                                                                                                                                                               </v>
          </cell>
          <cell r="C2217" t="str">
            <v xml:space="preserve">M     </v>
          </cell>
          <cell r="D2217" t="str">
            <v>CR</v>
          </cell>
          <cell r="E2217" t="str">
            <v>6,07</v>
          </cell>
        </row>
        <row r="2218">
          <cell r="A2218">
            <v>39831</v>
          </cell>
          <cell r="B2218" t="str">
            <v xml:space="preserve">GUARNICAO / ALIZAR / VISTA, E = *1,5* CM, L = *5,0* CM, EM POLIESTIRENO, BRANCO (JOGO PARA 1 FACE)                                                                                                                                                                                                                                                                                                                                                                                                        </v>
          </cell>
          <cell r="C2218" t="str">
            <v xml:space="preserve">JG    </v>
          </cell>
          <cell r="D2218" t="str">
            <v>CR</v>
          </cell>
          <cell r="E2218" t="str">
            <v>272,09</v>
          </cell>
        </row>
        <row r="2219">
          <cell r="A2219">
            <v>36888</v>
          </cell>
          <cell r="B2219" t="str">
            <v xml:space="preserve">GUARNICAO / MOLDURA / ARREMATE DE ACABAMENTO PARA ESQUADRIA, EM ALUMINIO PERFIL 25, ACABAMENTO ANODIZADO BRANCO OU BRILHANTE, PARA 1 FACE                                                                                                                                                                                                                                                                                                                                                                 </v>
          </cell>
          <cell r="C2219" t="str">
            <v xml:space="preserve">M     </v>
          </cell>
          <cell r="D2219" t="str">
            <v>CR</v>
          </cell>
          <cell r="E2219" t="str">
            <v>28,22</v>
          </cell>
        </row>
        <row r="2220">
          <cell r="A2220">
            <v>39836</v>
          </cell>
          <cell r="B2220" t="str">
            <v xml:space="preserve">GUARNICAO/ALIZAR/VISTA, E = *1,3* CM, L = *5,0* CM HASTE REGULAVEL = *35* MM, EM MDF/PVC WOOD/ POLIESTIRENO OU MADEIRA LAMINADA, PRIMER BRANCO (JOGO PARA 1 FACE)                                                                                                                                                                                                                                                                                                                                         </v>
          </cell>
          <cell r="C2220" t="str">
            <v xml:space="preserve">JG    </v>
          </cell>
          <cell r="D2220" t="str">
            <v>CR</v>
          </cell>
          <cell r="E2220" t="str">
            <v>239,08</v>
          </cell>
        </row>
        <row r="2221">
          <cell r="A2221">
            <v>39830</v>
          </cell>
          <cell r="B2221" t="str">
            <v xml:space="preserve">GUARNICAO/ALIZAR/VISTA, E = *1,3* CM, L = *7,0* CM, EM POLIESTIRENO, BRANCO (JOGO PARA 1 FACE)                                                                                                                                                                                                                                                                                                                                                                                                            </v>
          </cell>
          <cell r="C2221" t="str">
            <v xml:space="preserve">JG    </v>
          </cell>
          <cell r="D2221" t="str">
            <v>CR</v>
          </cell>
          <cell r="E2221" t="str">
            <v>272,67</v>
          </cell>
        </row>
        <row r="2222">
          <cell r="A2222">
            <v>40527</v>
          </cell>
          <cell r="B2222" t="str">
            <v xml:space="preserve">GUINCHO DE ALAVANCA MANUAL, CAPACIDADE DE 1,6 T, COM 20 M DE CABO DE ACO (AQUISICAO)                                                                                                                                                                                                                                                                                                                                                                                                                      </v>
          </cell>
          <cell r="C2222" t="str">
            <v xml:space="preserve">UN    </v>
          </cell>
          <cell r="D2222" t="str">
            <v>CR</v>
          </cell>
          <cell r="E2222" t="str">
            <v>2.370,70</v>
          </cell>
        </row>
        <row r="2223">
          <cell r="A2223">
            <v>36497</v>
          </cell>
          <cell r="B2223" t="str">
            <v xml:space="preserve">GUINCHO DE ALAVANCA MANUAL, CAPACIDADE 3,2 T COM 20 M DE CABO DE ACO DIAMETRO 16,3 MM                                                                                                                                                                                                                                                                                                                                                                                                                     </v>
          </cell>
          <cell r="C2223" t="str">
            <v xml:space="preserve">UN    </v>
          </cell>
          <cell r="D2223" t="str">
            <v>CR</v>
          </cell>
          <cell r="E2223" t="str">
            <v>2.706,41</v>
          </cell>
        </row>
        <row r="2224">
          <cell r="A2224">
            <v>36487</v>
          </cell>
          <cell r="B2224" t="str">
            <v xml:space="preserve">GUINCHO ELETRICO DE COLUNA, CAPACIDADE 400 KG, COM MOTO FREIO, MOTOR TRIFASICO DE 1,25 CV                                                                                                                                                                                                                                                                                                                                                                                                                 </v>
          </cell>
          <cell r="C2224" t="str">
            <v xml:space="preserve">UN    </v>
          </cell>
          <cell r="D2224" t="str">
            <v>CR</v>
          </cell>
          <cell r="E2224" t="str">
            <v>4.712,28</v>
          </cell>
        </row>
        <row r="2225">
          <cell r="A2225">
            <v>44475</v>
          </cell>
          <cell r="B2225" t="str">
            <v xml:space="preserve">GUINDASTE HIDRAULICO AUTOPROPELIDO, COM LANCA TELESCOPICA 28,80 M, CAPACIDADE MAXIMA 30 T, POTENCIA 97 KW, TRACAO  4 X 4                                                                                                                                                                                                                                                                                                                                                                                  </v>
          </cell>
          <cell r="C2225" t="str">
            <v xml:space="preserve">UN    </v>
          </cell>
          <cell r="D2225" t="str">
            <v>CR</v>
          </cell>
          <cell r="E2225" t="str">
            <v>1.258.165,24</v>
          </cell>
        </row>
        <row r="2226">
          <cell r="A2226">
            <v>44474</v>
          </cell>
          <cell r="B2226" t="str">
            <v xml:space="preserve">GUINDASTE HIDRAULICO AUTOPROPELIDO, COM LANCA TELESCOPICA 40 M, CAPACIDADE MAXIMA 60 T, POTENCIA 260 KW, TRACAO  6 X 6                                                                                                                                                                                                                                                                                                                                                                                    </v>
          </cell>
          <cell r="C2226" t="str">
            <v xml:space="preserve">UN    </v>
          </cell>
          <cell r="D2226" t="str">
            <v>CR</v>
          </cell>
          <cell r="E2226" t="str">
            <v>2.419.548,54</v>
          </cell>
        </row>
        <row r="2227">
          <cell r="A2227">
            <v>44490</v>
          </cell>
          <cell r="B2227" t="str">
            <v xml:space="preserve">GUINDASTE HIDRAULICO AUTOPROPELIDO, COM LANCA TELESCOPICA 50 M, CAPACIDADE MAXIMA 100 T, POTENCIA 350 KW,  TRACAO 10 X 6                                                                                                                                                                                                                                                                                                                                                                                  </v>
          </cell>
          <cell r="C2227" t="str">
            <v xml:space="preserve">UN    </v>
          </cell>
          <cell r="D2227" t="str">
            <v>CR</v>
          </cell>
          <cell r="E2227" t="str">
            <v>4.113.232,50</v>
          </cell>
        </row>
        <row r="2228">
          <cell r="A2228">
            <v>37776</v>
          </cell>
          <cell r="B2228" t="str">
            <v xml:space="preserve">GUINDAUTO HIDRAULICO, CAPACIDADE MAXIMA DE CARGA 10000 KG, MOMENTO MAXIMO DE CARGA 23 TM , ALCANCE MAXIMO HORIZONTAL 11,80 M, PARA MONTAGEM SOBRE CHASSI DE CAMINHAO PBT MINIMO 15000 KG (INCLUI MONTAGEM, NAO INCLUI CAMINHAO)                                                                                                                                                                                                                                                                           </v>
          </cell>
          <cell r="C2228" t="str">
            <v xml:space="preserve">UN    </v>
          </cell>
          <cell r="D2228" t="str">
            <v>CR</v>
          </cell>
          <cell r="E2228" t="str">
            <v>252.088,58</v>
          </cell>
        </row>
        <row r="2229">
          <cell r="A2229">
            <v>37775</v>
          </cell>
          <cell r="B2229" t="str">
            <v xml:space="preserve">GUINDAUTO HIDRAULICO, CAPACIDADE MAXIMA DE CARGA 14340 KG, MOMENTO MAXIMO DE CARGA 42,3 TM, ALCANCE MAXIMO HORIZONTAL 16,80 M, PARA MONTAGEM SOBRE CHASSI DE CAMINHAO PBT MINIMO 23000 KG (INCLUI MONTAGEM, NAO INCLUI CAMINHAO)                                                                                                                                                                                                                                                                          </v>
          </cell>
          <cell r="C2229" t="str">
            <v xml:space="preserve">UN    </v>
          </cell>
          <cell r="D2229" t="str">
            <v>CR</v>
          </cell>
          <cell r="E2229" t="str">
            <v>397.058,59</v>
          </cell>
        </row>
        <row r="2230">
          <cell r="A2230">
            <v>36491</v>
          </cell>
          <cell r="B2230" t="str">
            <v xml:space="preserve">GUINDAUTO HIDRAULICO, CAPACIDADE MAXIMA DE CARGA 30000 KG, MOMENTO MAXIMO DE CARGA 92,2 TM , ALCANCE MAXIMO HORIZONTAL  22,00 M, PARA MONTAGEM SOBRE CHASSI DE CAMINHAO PBT MINIMO 30000 KG (INCLUI MONTAGEM, NAO INCLUI CAMINHAO)                                                                                                                                                                                                                                                                        </v>
          </cell>
          <cell r="C2230" t="str">
            <v xml:space="preserve">UN    </v>
          </cell>
          <cell r="D2230" t="str">
            <v>CR</v>
          </cell>
          <cell r="E2230" t="str">
            <v>1.470.425,78</v>
          </cell>
        </row>
        <row r="2231">
          <cell r="A2231">
            <v>10712</v>
          </cell>
          <cell r="B2231" t="str">
            <v xml:space="preserve">GUINDAUTO HIDRAULICO, CAPACIDADE MAXIMA DE CARGA 3300 KG, MOMENTO MAXIMO DE CARGA 5,8 TM , ALCANCE MAXIMO HORIZONTAL  7,60 M, PARA MONTAGEM SOBRE CHASSI DE CAMINHAO PBT MINIMO 8000 KG (INCLUI MONTAGEM, NAO INCLUI CAMINHAO)                                                                                                                                                                                                                                                                            </v>
          </cell>
          <cell r="C2231" t="str">
            <v xml:space="preserve">UN    </v>
          </cell>
          <cell r="D2231" t="str">
            <v>CR</v>
          </cell>
          <cell r="E2231" t="str">
            <v>99.264,64</v>
          </cell>
        </row>
        <row r="2232">
          <cell r="A2232">
            <v>3363</v>
          </cell>
          <cell r="B2232" t="str">
            <v xml:space="preserve">GUINDAUTO HIDRAULICO, CAPACIDADE MAXIMA DE CARGA 6200 KG, MOMENTO MAXIMO DE CARGA 11,7 TM , ALCANCE MAXIMO HORIZONTAL  9,70 M, PARA MONTAGEM SOBRE CHASSI DE CAMINHAO PBT MINIMO 13000 KG (INCLUI MONTAGEM, NAO INCLUI CAMINHAO)                                                                                                                                                                                                                                                                          </v>
          </cell>
          <cell r="C2232" t="str">
            <v xml:space="preserve">UN    </v>
          </cell>
          <cell r="D2232" t="str">
            <v xml:space="preserve">C </v>
          </cell>
          <cell r="E2232" t="str">
            <v>139.625,00</v>
          </cell>
        </row>
        <row r="2233">
          <cell r="A2233">
            <v>3365</v>
          </cell>
          <cell r="B2233" t="str">
            <v xml:space="preserve">GUINDAUTO HIDRAULICO, CAPACIDADE MAXIMA DE CARGA 8500 KG, MOMENTO MAXIMO DE CARGA 30,4 TM , ALCANCE MAXIMO HORIZONTAL  14,30 M, PARA MONTAGEM SOBRE CHASSI DE CAMINHAO PBT MINIMO 23000 KG (INCLUI MONTAGEM, NAO INCLUI CAMINHAO)                                                                                                                                                                                                                                                                         </v>
          </cell>
          <cell r="C2233" t="str">
            <v xml:space="preserve">UN    </v>
          </cell>
          <cell r="D2233" t="str">
            <v>CR</v>
          </cell>
          <cell r="E2233" t="str">
            <v>326.373,43</v>
          </cell>
        </row>
        <row r="2234">
          <cell r="A2234">
            <v>7569</v>
          </cell>
          <cell r="B2234" t="str">
            <v xml:space="preserve">HASTE ANCORA EM ACO GALVANIZADO, DIMENSOES 16 MM X 2000 MM                                                                                                                                                                                                                                                                                                                                                                                                                                                </v>
          </cell>
          <cell r="C2234" t="str">
            <v xml:space="preserve">UN    </v>
          </cell>
          <cell r="D2234" t="str">
            <v>CR</v>
          </cell>
          <cell r="E2234" t="str">
            <v>54,51</v>
          </cell>
        </row>
        <row r="2235">
          <cell r="A2235">
            <v>3378</v>
          </cell>
          <cell r="B2235" t="str">
            <v xml:space="preserve">HASTE DE ATERRAMENTO EM ACO COM 3,00 M DE COMPRIMENTO E DN = 3/4", REVESTIDA COM BAIXA CAMADA DE COBRE, SEM CONECTOR                                                                                                                                                                                                                                                                                                                                                                                      </v>
          </cell>
          <cell r="C2235" t="str">
            <v xml:space="preserve">UN    </v>
          </cell>
          <cell r="D2235" t="str">
            <v>CR</v>
          </cell>
          <cell r="E2235" t="str">
            <v>125,32</v>
          </cell>
        </row>
        <row r="2236">
          <cell r="A2236">
            <v>3380</v>
          </cell>
          <cell r="B2236" t="str">
            <v xml:space="preserve">HASTE DE ATERRAMENTO EM ACO COM 3,00 M DE COMPRIMENTO E DN = 5/8", REVESTIDA COM BAIXA CAMADA DE COBRE, COM CONECTOR TIPO GRAMPO                                                                                                                                                                                                                                                                                                                                                                          </v>
          </cell>
          <cell r="C2236" t="str">
            <v xml:space="preserve">UN    </v>
          </cell>
          <cell r="D2236" t="str">
            <v xml:space="preserve">C </v>
          </cell>
          <cell r="E2236" t="str">
            <v>87,73</v>
          </cell>
        </row>
        <row r="2237">
          <cell r="A2237">
            <v>3379</v>
          </cell>
          <cell r="B2237" t="str">
            <v xml:space="preserve">HASTE DE ATERRAMENTO EM ACO COM 3,00 M DE COMPRIMENTO E DN = 5/8", REVESTIDA COM BAIXA CAMADA DE COBRE, SEM CONECTOR                                                                                                                                                                                                                                                                                                                                                                                      </v>
          </cell>
          <cell r="C2237" t="str">
            <v xml:space="preserve">UN    </v>
          </cell>
          <cell r="D2237" t="str">
            <v>CR</v>
          </cell>
          <cell r="E2237" t="str">
            <v>84,70</v>
          </cell>
        </row>
        <row r="2238">
          <cell r="A2238">
            <v>11991</v>
          </cell>
          <cell r="B2238" t="str">
            <v xml:space="preserve">HASTE DE ATERRAMENTO EM ACO GALVANIZADO TIPO CANTONEIRA COM 2,00 M DE COMPRIMENTO, 25 X 25 MM E CHAPA DE 3/16"                                                                                                                                                                                                                                                                                                                                                                                            </v>
          </cell>
          <cell r="C2238" t="str">
            <v xml:space="preserve">UN    </v>
          </cell>
          <cell r="D2238" t="str">
            <v>CR</v>
          </cell>
          <cell r="E2238" t="str">
            <v>98,34</v>
          </cell>
        </row>
        <row r="2239">
          <cell r="A2239">
            <v>34349</v>
          </cell>
          <cell r="B2239" t="str">
            <v xml:space="preserve">HASTE RETA DE ACO GALVANIZADO, H = *30* CM, BASE RETANGULAR, PARA FIXACAO DE CONCERTINA SIMPLES DE 30 CM (NAO INCLUI OS FIXADORES)                                                                                                                                                                                                                                                                                                                                                                        </v>
          </cell>
          <cell r="C2239" t="str">
            <v xml:space="preserve">UN    </v>
          </cell>
          <cell r="D2239" t="str">
            <v>CR</v>
          </cell>
          <cell r="E2239" t="str">
            <v>25,64</v>
          </cell>
        </row>
        <row r="2240">
          <cell r="A2240">
            <v>11029</v>
          </cell>
          <cell r="B2240" t="str">
            <v xml:space="preserve">HASTE RETA PARA GANCHO DE FERRO GALVANIZADO, COM ROSCA 1/4 " X 30 CM PARA FIXACAO DE TELHA METALICA, INCLUI PORCA E ARRUELAS DE VEDACAO                                                                                                                                                                                                                                                                                                                                                                   </v>
          </cell>
          <cell r="C2240" t="str">
            <v xml:space="preserve">CJ    </v>
          </cell>
          <cell r="D2240" t="str">
            <v>CR</v>
          </cell>
          <cell r="E2240" t="str">
            <v>2,11</v>
          </cell>
        </row>
        <row r="2241">
          <cell r="A2241">
            <v>4316</v>
          </cell>
          <cell r="B2241" t="str">
            <v xml:space="preserve">HASTE RETA PARA GANCHO DE FERRO GALVANIZADO, COM ROSCA 1/4 " X 40 CM PARA FIXACAO DE TELHA DE FIBROCIMENTO, INCLUI PORCA SEXTAVADA DE  ZINCO                                                                                                                                                                                                                                                                                                                                                              </v>
          </cell>
          <cell r="C2241" t="str">
            <v xml:space="preserve">UN    </v>
          </cell>
          <cell r="D2241" t="str">
            <v>CR</v>
          </cell>
          <cell r="E2241" t="str">
            <v>2,14</v>
          </cell>
        </row>
        <row r="2242">
          <cell r="A2242">
            <v>4313</v>
          </cell>
          <cell r="B2242" t="str">
            <v xml:space="preserve">HASTE RETA PARA GANCHO DE FERRO GALVANIZADO, COM ROSCA 5/16" X 35 CM PARA FIXACAO DE TELHA DE FIBROCIMENTO, INCLUI PORCA E ARRUELAS DE VEDACAO                                                                                                                                                                                                                                                                                                                                                            </v>
          </cell>
          <cell r="C2242" t="str">
            <v xml:space="preserve">CJ    </v>
          </cell>
          <cell r="D2242" t="str">
            <v>CR</v>
          </cell>
          <cell r="E2242" t="str">
            <v>3,07</v>
          </cell>
        </row>
        <row r="2243">
          <cell r="A2243">
            <v>4317</v>
          </cell>
          <cell r="B2243" t="str">
            <v xml:space="preserve">HASTE RETA PARA GANCHO DE FERRO GALVANIZADO, COM ROSCA 5/16" X 40 CM PARA FIXACAO DE TELHA DE FIBROCIMENTO, INCLUI PORCA SEXTAVADA DE  ZINCO                                                                                                                                                                                                                                                                                                                                                              </v>
          </cell>
          <cell r="C2243" t="str">
            <v xml:space="preserve">UN    </v>
          </cell>
          <cell r="D2243" t="str">
            <v>CR</v>
          </cell>
          <cell r="E2243" t="str">
            <v>3,49</v>
          </cell>
        </row>
        <row r="2244">
          <cell r="A2244">
            <v>4314</v>
          </cell>
          <cell r="B2244" t="str">
            <v xml:space="preserve">HASTE RETA PARA GANCHO DE FERRO GALVANIZADO, COM ROSCA 5/16" X 45 CM PARA FIXACAO DE TELHA DE FIBROCIMENTO, INCLUI PORCA E ARRUELAS DE VEDACAO                                                                                                                                                                                                                                                                                                                                                            </v>
          </cell>
          <cell r="C2244" t="str">
            <v xml:space="preserve">CJ    </v>
          </cell>
          <cell r="D2244" t="str">
            <v>CR</v>
          </cell>
          <cell r="E2244" t="str">
            <v>4,09</v>
          </cell>
        </row>
        <row r="2245">
          <cell r="A2245">
            <v>10921</v>
          </cell>
          <cell r="B2245" t="str">
            <v xml:space="preserve">HIDRANTE DE COLUNA COMPLETO, EM FERRO FUNDIDO, DN = 100 MM, COM REGISTRO, CUNHA DE BORRACHA, CURVA DESSIMETRICA, EXTREMIDADE E TAMPAS (INCLUI KIT FIXACAO)                                                                                                                                                                                                                                                                                                                                                </v>
          </cell>
          <cell r="C2245" t="str">
            <v xml:space="preserve">UN    </v>
          </cell>
          <cell r="D2245" t="str">
            <v xml:space="preserve">C </v>
          </cell>
          <cell r="E2245" t="str">
            <v>5.890,00</v>
          </cell>
        </row>
        <row r="2246">
          <cell r="A2246">
            <v>10922</v>
          </cell>
          <cell r="B2246" t="str">
            <v xml:space="preserve">HIDRANTE DE COLUNA COMPLETO, EM FERRO FUNDIDO, DN = 75 MM, COM REGISTRO, CUNHA DE BORRACHA, CURVA DESSIMETRICA, EXTREMIDADE E TAMPAS (INCLUI KIT FIXACAO)                                                                                                                                                                                                                                                                                                                                                 </v>
          </cell>
          <cell r="C2246" t="str">
            <v xml:space="preserve">UN    </v>
          </cell>
          <cell r="D2246" t="str">
            <v>CR</v>
          </cell>
          <cell r="E2246" t="str">
            <v>5.335,01</v>
          </cell>
        </row>
        <row r="2247">
          <cell r="A2247">
            <v>10923</v>
          </cell>
          <cell r="B2247" t="str">
            <v xml:space="preserve">HIDRANTE SUBTERRANEO, EM FERRO FUNDIDO, COM CURVA CURTA E CAIXA, DN 75 MM                                                                                                                                                                                                                                                                                                                                                                                                                                 </v>
          </cell>
          <cell r="C2247" t="str">
            <v xml:space="preserve">UN    </v>
          </cell>
          <cell r="D2247" t="str">
            <v>CR</v>
          </cell>
          <cell r="E2247" t="str">
            <v>3.153,22</v>
          </cell>
        </row>
        <row r="2248">
          <cell r="A2248">
            <v>10924</v>
          </cell>
          <cell r="B2248" t="str">
            <v xml:space="preserve">HIDRANTE SUBTERRANEO, EM FERRO FUNDIDO, COM CURVA LONGA E CAIXA, DN 75 MM                                                                                                                                                                                                                                                                                                                                                                                                                                 </v>
          </cell>
          <cell r="C2248" t="str">
            <v xml:space="preserve">UN    </v>
          </cell>
          <cell r="D2248" t="str">
            <v>CR</v>
          </cell>
          <cell r="E2248" t="str">
            <v>3.320,95</v>
          </cell>
        </row>
        <row r="2249">
          <cell r="A2249">
            <v>37772</v>
          </cell>
          <cell r="B2249" t="str">
            <v xml:space="preserve">HIDROJATEADORA PARA DESOBSTRUCAO DE REDES E GALERIAS, TANQUE 7000 L, BOMBA TRIPLEX 120 KGF/CM2 128 L/MIN (INCLUI MONTAGEM, NAO INCLUI CAMINHAO)                                                                                                                                                                                                                                                                                                                                                           </v>
          </cell>
          <cell r="C2249" t="str">
            <v xml:space="preserve">UN    </v>
          </cell>
          <cell r="D2249" t="str">
            <v>CR</v>
          </cell>
          <cell r="E2249" t="str">
            <v>342.998,80</v>
          </cell>
        </row>
        <row r="2250">
          <cell r="A2250">
            <v>37771</v>
          </cell>
          <cell r="B2250" t="str">
            <v xml:space="preserve">HIDROJATEADORA PARA DESOBSTRUCAO DE REDES E GALERIAS, TANQUE 7000 L, BOMBA TRIPLEX 140 KGF/CM2 260 L/MIN ALIMENTADA POR MOTOR INDEPENDENTE A DIESEL POTENCIA 125 CV (INCLUI MONTAGEM, NAO INCLUI CAMINHAO)                                                                                                                                                                                                                                                                                                </v>
          </cell>
          <cell r="C2250" t="str">
            <v xml:space="preserve">UN    </v>
          </cell>
          <cell r="D2250" t="str">
            <v>CR</v>
          </cell>
          <cell r="E2250" t="str">
            <v>364.896,09</v>
          </cell>
        </row>
        <row r="2251">
          <cell r="A2251">
            <v>12772</v>
          </cell>
          <cell r="B2251" t="str">
            <v xml:space="preserve">HIDROMETRO MULTIJATO / MEDIDOR DE AGUA, DN 1 1/2", VAZAO MAXIMA DE 20 M3/H, PARA AGUA POTAVEL FRIA, RELOJOARIA PLANA, CLASSE B, HORIZONTAL (SEM CONEXOES)                                                                                                                                                                                                                                                                                                                                                 </v>
          </cell>
          <cell r="C2251" t="str">
            <v xml:space="preserve">UN    </v>
          </cell>
          <cell r="D2251" t="str">
            <v>CR</v>
          </cell>
          <cell r="E2251" t="str">
            <v>815,58</v>
          </cell>
        </row>
        <row r="2252">
          <cell r="A2252">
            <v>12770</v>
          </cell>
          <cell r="B2252" t="str">
            <v xml:space="preserve">HIDROMETRO MULTIJATO / MEDIDOR DE AGUA, DN 1", VAZAO MAXIMA DE 10 M3/H, PARA AGUA POTAVEL FRIA, RELOJOARIA PLANA, CLASSE B, HORIZONTAL (SEM CONEXOES)                                                                                                                                                                                                                                                                                                                                                     </v>
          </cell>
          <cell r="C2252" t="str">
            <v xml:space="preserve">UN    </v>
          </cell>
          <cell r="D2252" t="str">
            <v>CR</v>
          </cell>
          <cell r="E2252" t="str">
            <v>490,73</v>
          </cell>
        </row>
        <row r="2253">
          <cell r="A2253">
            <v>12775</v>
          </cell>
          <cell r="B2253" t="str">
            <v xml:space="preserve">HIDROMETRO MULTIJATO / MEDIDOR DE AGUA, DN 1", VAZAO MAXIMA DE 7 M3/H, PARA AGUA POTAVEL FRIA, RELOJOARIA PLANA, CLASSE B, HORIZONTAL (SEM CONEXOES)                                                                                                                                                                                                                                                                                                                                                      </v>
          </cell>
          <cell r="C2253" t="str">
            <v xml:space="preserve">UN    </v>
          </cell>
          <cell r="D2253" t="str">
            <v>CR</v>
          </cell>
          <cell r="E2253" t="str">
            <v>359,41</v>
          </cell>
        </row>
        <row r="2254">
          <cell r="A2254">
            <v>12768</v>
          </cell>
          <cell r="B2254" t="str">
            <v xml:space="preserve">HIDROMETRO MULTIJATO / MEDIDOR DE AGUA, DN 2", VAZAO MAXIMA DE 30 M3/H, PARA AGUA POTAVEL FRIA, RELOJOARIA PLANA, CLASSE B, HORIZONTAL (SEM CONEXOES)                                                                                                                                                                                                                                                                                                                                                     </v>
          </cell>
          <cell r="C2254" t="str">
            <v xml:space="preserve">UN    </v>
          </cell>
          <cell r="D2254" t="str">
            <v>CR</v>
          </cell>
          <cell r="E2254" t="str">
            <v>1.147,35</v>
          </cell>
        </row>
        <row r="2255">
          <cell r="A2255">
            <v>12769</v>
          </cell>
          <cell r="B2255" t="str">
            <v xml:space="preserve">HIDROMETRO UNIJATO / MEDIDOR DE AGUA, DN 1/2", VAZAO MAXIMA DE 1,5 M3/H, PARA AGUA POTAVEL FRIA, RELOJOARIA PLANA, CLASSE B, HORIZONTAL (SEM CONEXOES)                                                                                                                                                                                                                                                                                                                                                    </v>
          </cell>
          <cell r="C2255" t="str">
            <v xml:space="preserve">UN    </v>
          </cell>
          <cell r="D2255" t="str">
            <v xml:space="preserve">C </v>
          </cell>
          <cell r="E2255" t="str">
            <v>94,00</v>
          </cell>
        </row>
        <row r="2256">
          <cell r="A2256">
            <v>12773</v>
          </cell>
          <cell r="B2256" t="str">
            <v xml:space="preserve">HIDROMETRO UNIJATO / MEDIDOR DE AGUA, DN 1/2", VAZAO MAXIMA DE 3 M3/H, PARA AGUA POTAVEL FRIA, RELOJOARIA PLANA, CLASSE B, HORIZONTAL (SEM CONEXOES)                                                                                                                                                                                                                                                                                                                                                      </v>
          </cell>
          <cell r="C2256" t="str">
            <v xml:space="preserve">UN    </v>
          </cell>
          <cell r="D2256" t="str">
            <v>CR</v>
          </cell>
          <cell r="E2256" t="str">
            <v>100,91</v>
          </cell>
        </row>
        <row r="2257">
          <cell r="A2257">
            <v>12774</v>
          </cell>
          <cell r="B2257" t="str">
            <v xml:space="preserve">HIDROMETRO UNIJATO / MEDIDOR DE AGUA, DN 3/4", VAZAO MAXIMA DE 5 M3/H, PARA AGUA POTAVEL FRIA, RELOJOARIA PLANA, CLASSE B, HORIZONTAL (SEM CONEXOES)0,                                                                                                                                                                                                                                                                                                                                                    </v>
          </cell>
          <cell r="C2257" t="str">
            <v xml:space="preserve">UN    </v>
          </cell>
          <cell r="D2257" t="str">
            <v>CR</v>
          </cell>
          <cell r="E2257" t="str">
            <v>124,41</v>
          </cell>
        </row>
        <row r="2258">
          <cell r="A2258">
            <v>12776</v>
          </cell>
          <cell r="B2258" t="str">
            <v xml:space="preserve">HIDROMETRO WOLTMANN, DN 2", VAZAO MAXIMA DE 50 M3/H, PARA AGUA POTAVEL FRIA, RELOJOARIA PLANA, TURBINA HORIZONTAL, EQUIPADO COM TELIMETRIA (SEM CONEXOES)                                                                                                                                                                                                                                                                                                                                                 </v>
          </cell>
          <cell r="C2258" t="str">
            <v xml:space="preserve">UN    </v>
          </cell>
          <cell r="D2258" t="str">
            <v>CR</v>
          </cell>
          <cell r="E2258" t="str">
            <v>1.852,35</v>
          </cell>
        </row>
        <row r="2259">
          <cell r="A2259">
            <v>12777</v>
          </cell>
          <cell r="B2259" t="str">
            <v xml:space="preserve">HIDROMETRO WOLTMANN, DN 3", VAZAO MAXIMA DE 80 M3/H, PARA AGUA POTAVEL FRIA, RELOJOARIA PLANA, TURBINA HORIZONTAL, EQUIPADO COM TELIMETRIA (SEM CONEXOES)                                                                                                                                                                                                                                                                                                                                                 </v>
          </cell>
          <cell r="C2259" t="str">
            <v xml:space="preserve">UN    </v>
          </cell>
          <cell r="D2259" t="str">
            <v>CR</v>
          </cell>
          <cell r="E2259" t="str">
            <v>2.419,11</v>
          </cell>
        </row>
        <row r="2260">
          <cell r="A2260">
            <v>3391</v>
          </cell>
          <cell r="B2260" t="str">
            <v xml:space="preserve">IGNITOR PARA LAMPADA DE VAPOR DE SODIO / VAPOR METALICO ATE 2000 W, TENSAO DE PULSO ENTRE 600 A 750 V                                                                                                                                                                                                                                                                                                                                                                                                     </v>
          </cell>
          <cell r="C2260" t="str">
            <v xml:space="preserve">UN    </v>
          </cell>
          <cell r="D2260" t="str">
            <v>CR</v>
          </cell>
          <cell r="E2260" t="str">
            <v>49,34</v>
          </cell>
        </row>
        <row r="2261">
          <cell r="A2261">
            <v>3389</v>
          </cell>
          <cell r="B2261" t="str">
            <v xml:space="preserve">IGNITOR PARA LAMPADA DE VAPOR DE SODIO / VAPOR METALICO ATE 400 W, TENSAO DE PULSO ENTRE 3000 A 4500 V                                                                                                                                                                                                                                                                                                                                                                                                    </v>
          </cell>
          <cell r="C2261" t="str">
            <v xml:space="preserve">UN    </v>
          </cell>
          <cell r="D2261" t="str">
            <v xml:space="preserve">C </v>
          </cell>
          <cell r="E2261" t="str">
            <v>25,60</v>
          </cell>
        </row>
        <row r="2262">
          <cell r="A2262">
            <v>3390</v>
          </cell>
          <cell r="B2262" t="str">
            <v xml:space="preserve">IGNITOR PARA LAMPADA DE VAPOR DE SODIO / VAPOR METALICO ATE 400 W, TENSAO DE PULSO ENTRE 580 A 750 V                                                                                                                                                                                                                                                                                                                                                                                                      </v>
          </cell>
          <cell r="C2262" t="str">
            <v xml:space="preserve">UN    </v>
          </cell>
          <cell r="D2262" t="str">
            <v>CR</v>
          </cell>
          <cell r="E2262" t="str">
            <v>28,81</v>
          </cell>
        </row>
        <row r="2263">
          <cell r="A2263">
            <v>12873</v>
          </cell>
          <cell r="B2263" t="str">
            <v xml:space="preserve">IMPERMEABILIZADOR (HORISTA)                                                                                                                                                                                                                                                                                                                                                                                                                                                                               </v>
          </cell>
          <cell r="C2263" t="str">
            <v xml:space="preserve">H     </v>
          </cell>
          <cell r="D2263" t="str">
            <v>CR</v>
          </cell>
          <cell r="E2263" t="str">
            <v>23,55</v>
          </cell>
        </row>
        <row r="2264">
          <cell r="A2264">
            <v>41076</v>
          </cell>
          <cell r="B2264" t="str">
            <v xml:space="preserve">IMPERMEABILIZADOR (MENSALISTA)                                                                                                                                                                                                                                                                                                                                                                                                                                                                            </v>
          </cell>
          <cell r="C2264" t="str">
            <v xml:space="preserve">MES   </v>
          </cell>
          <cell r="D2264" t="str">
            <v>CR</v>
          </cell>
          <cell r="E2264" t="str">
            <v>4.122,92</v>
          </cell>
        </row>
        <row r="2265">
          <cell r="A2265">
            <v>140</v>
          </cell>
          <cell r="B2265" t="str">
            <v xml:space="preserve">IMPERMEABILIZANTE FLEXIVEL BRANCO DE BASE ACRILICA PARA COBERTURAS                                                                                                                                                                                                                                                                                                                                                                                                                                        </v>
          </cell>
          <cell r="C2265" t="str">
            <v xml:space="preserve">KG    </v>
          </cell>
          <cell r="D2265" t="str">
            <v>CR</v>
          </cell>
          <cell r="E2265" t="str">
            <v>18,69</v>
          </cell>
        </row>
        <row r="2266">
          <cell r="A2266">
            <v>151</v>
          </cell>
          <cell r="B2266" t="str">
            <v xml:space="preserve">IMPERMEABILIZANTE INCOLOR,  BASE SILICONE, PARA TRATAMENTO DE FACHADAS, TELHAS, PEDRAS E OUTRAS SUPERFICIES                                                                                                                                                                                                                                                                                                                                                                                               </v>
          </cell>
          <cell r="C2266" t="str">
            <v xml:space="preserve">L     </v>
          </cell>
          <cell r="D2266" t="str">
            <v>CR</v>
          </cell>
          <cell r="E2266" t="str">
            <v>27,58</v>
          </cell>
        </row>
        <row r="2267">
          <cell r="A2267">
            <v>7340</v>
          </cell>
          <cell r="B2267" t="str">
            <v xml:space="preserve">IMUNIZANTE PARA MADEIRA, INCOLOR                                                                                                                                                                                                                                                                                                                                                                                                                                                                          </v>
          </cell>
          <cell r="C2267" t="str">
            <v xml:space="preserve">L     </v>
          </cell>
          <cell r="D2267" t="str">
            <v>CR</v>
          </cell>
          <cell r="E2267" t="str">
            <v>35,21</v>
          </cell>
        </row>
        <row r="2268">
          <cell r="A2268">
            <v>40929</v>
          </cell>
          <cell r="B2268" t="str">
            <v xml:space="preserve">INSTALADOR DE TUBULACOES (TUBOS/EQUIPAMENTOS) (MENSALISTA)                                                                                                                                                                                                                                                                                                                                                                                                                                                </v>
          </cell>
          <cell r="C2268" t="str">
            <v xml:space="preserve">MES   </v>
          </cell>
          <cell r="D2268" t="str">
            <v>CR</v>
          </cell>
          <cell r="E2268" t="str">
            <v>4.585,23</v>
          </cell>
        </row>
        <row r="2269">
          <cell r="A2269">
            <v>2701</v>
          </cell>
          <cell r="B2269" t="str">
            <v xml:space="preserve">INSTALADOR DE TUBULACOES - TUBOS/EQUIPAMENTOS (HORISTA)                                                                                                                                                                                                                                                                                                                                                                                                                                                   </v>
          </cell>
          <cell r="C2269" t="str">
            <v xml:space="preserve">H     </v>
          </cell>
          <cell r="D2269" t="str">
            <v>CR</v>
          </cell>
          <cell r="E2269" t="str">
            <v>26,18</v>
          </cell>
        </row>
        <row r="2270">
          <cell r="A2270">
            <v>38114</v>
          </cell>
          <cell r="B2270" t="str">
            <v xml:space="preserve">INTERRUPTOR BIPOLAR SIMPLES 10 A, 250 V (APENAS MODULO)                                                                                                                                                                                                                                                                                                                                                                                                                                                   </v>
          </cell>
          <cell r="C2270" t="str">
            <v xml:space="preserve">UN    </v>
          </cell>
          <cell r="D2270" t="str">
            <v>CR</v>
          </cell>
          <cell r="E2270" t="str">
            <v>19,18</v>
          </cell>
        </row>
        <row r="2271">
          <cell r="A2271">
            <v>38064</v>
          </cell>
          <cell r="B2271" t="str">
            <v xml:space="preserve">INTERRUPTOR BIPOLAR 10A, 250V, CONJUNTO MONTADO PARA EMBUTIR 4" X 2" (PLACA + SUPORTE + MODULO)                                                                                                                                                                                                                                                                                                                                                                                                           </v>
          </cell>
          <cell r="C2271" t="str">
            <v xml:space="preserve">UN    </v>
          </cell>
          <cell r="D2271" t="str">
            <v>CR</v>
          </cell>
          <cell r="E2271" t="str">
            <v>21,45</v>
          </cell>
        </row>
        <row r="2272">
          <cell r="A2272">
            <v>38115</v>
          </cell>
          <cell r="B2272" t="str">
            <v xml:space="preserve">INTERRUPTOR INTERMEDIARIO 10 A, 250 V (APENAS MODULO)                                                                                                                                                                                                                                                                                                                                                                                                                                                     </v>
          </cell>
          <cell r="C2272" t="str">
            <v xml:space="preserve">UN    </v>
          </cell>
          <cell r="D2272" t="str">
            <v>CR</v>
          </cell>
          <cell r="E2272" t="str">
            <v>20,48</v>
          </cell>
        </row>
        <row r="2273">
          <cell r="A2273">
            <v>38065</v>
          </cell>
          <cell r="B2273" t="str">
            <v xml:space="preserve">INTERRUPTOR INTERMEDIARIO 10A, 250V, CONJUNTO MONTADO PARA EMBUTIR 4" X 2" (PLACA + SUPORTE + MODULO)                                                                                                                                                                                                                                                                                                                                                                                                     </v>
          </cell>
          <cell r="C2273" t="str">
            <v xml:space="preserve">UN    </v>
          </cell>
          <cell r="D2273" t="str">
            <v>CR</v>
          </cell>
          <cell r="E2273" t="str">
            <v>30,43</v>
          </cell>
        </row>
        <row r="2274">
          <cell r="A2274">
            <v>38078</v>
          </cell>
          <cell r="B2274" t="str">
            <v xml:space="preserve">INTERRUPTOR PARALELO + TOMADA 2P+T 10A, 250V, CONJUNTO MONTADO PARA EMBUTIR 4" X 2" (PLACA + SUPORTE + MODULOS)                                                                                                                                                                                                                                                                                                                                                                                           </v>
          </cell>
          <cell r="C2274" t="str">
            <v xml:space="preserve">UN    </v>
          </cell>
          <cell r="D2274" t="str">
            <v>CR</v>
          </cell>
          <cell r="E2274" t="str">
            <v>17,75</v>
          </cell>
        </row>
        <row r="2275">
          <cell r="A2275">
            <v>38113</v>
          </cell>
          <cell r="B2275" t="str">
            <v xml:space="preserve">INTERRUPTOR PARALELO 10A, 250V (APENAS MODULO)                                                                                                                                                                                                                                                                                                                                                                                                                                                            </v>
          </cell>
          <cell r="C2275" t="str">
            <v xml:space="preserve">UN    </v>
          </cell>
          <cell r="D2275" t="str">
            <v>CR</v>
          </cell>
          <cell r="E2275" t="str">
            <v>9,64</v>
          </cell>
        </row>
        <row r="2276">
          <cell r="A2276">
            <v>38063</v>
          </cell>
          <cell r="B2276" t="str">
            <v xml:space="preserve">INTERRUPTOR PARALELO 10A, 250V, CONJUNTO MONTADO PARA EMBUTIR 4" X 2" (PLACA + SUPORTE + MODULO)                                                                                                                                                                                                                                                                                                                                                                                                          </v>
          </cell>
          <cell r="C2276" t="str">
            <v xml:space="preserve">UN    </v>
          </cell>
          <cell r="D2276" t="str">
            <v>CR</v>
          </cell>
          <cell r="E2276" t="str">
            <v>10,34</v>
          </cell>
        </row>
        <row r="2277">
          <cell r="A2277">
            <v>38080</v>
          </cell>
          <cell r="B2277" t="str">
            <v xml:space="preserve">INTERRUPTOR SIMPLES + INTERRUPTOR PARALELO + TOMADA 2P+T 10A, 250V, CONJUNTO MONTADO PARA EMBUTIR 4" X 2" (PLACA + SUPORTE + MODULOS)                                                                                                                                                                                                                                                                                                                                                                     </v>
          </cell>
          <cell r="C2277" t="str">
            <v xml:space="preserve">UN    </v>
          </cell>
          <cell r="D2277" t="str">
            <v>CR</v>
          </cell>
          <cell r="E2277" t="str">
            <v>30,83</v>
          </cell>
        </row>
        <row r="2278">
          <cell r="A2278">
            <v>38069</v>
          </cell>
          <cell r="B2278" t="str">
            <v xml:space="preserve">INTERRUPTOR SIMPLES + INTERRUPTOR PARALELO 10A, 250V, CONJUNTO MONTADO PARA EMBUTIR 4" X 2" (PLACA + SUPORTE + MODULOS)                                                                                                                                                                                                                                                                                                                                                                                   </v>
          </cell>
          <cell r="C2278" t="str">
            <v xml:space="preserve">UN    </v>
          </cell>
          <cell r="D2278" t="str">
            <v>CR</v>
          </cell>
          <cell r="E2278" t="str">
            <v>16,86</v>
          </cell>
        </row>
        <row r="2279">
          <cell r="A2279">
            <v>38077</v>
          </cell>
          <cell r="B2279" t="str">
            <v xml:space="preserve">INTERRUPTOR SIMPLES + TOMADA 2P+T 10A, 250V, CONJUNTO MONTADO PARA EMBUTIR 4" X 2" (PLACA + SUPORTE + MODULOS)                                                                                                                                                                                                                                                                                                                                                                                            </v>
          </cell>
          <cell r="C2279" t="str">
            <v xml:space="preserve">UN    </v>
          </cell>
          <cell r="D2279" t="str">
            <v>CR</v>
          </cell>
          <cell r="E2279" t="str">
            <v>16,48</v>
          </cell>
        </row>
        <row r="2280">
          <cell r="A2280">
            <v>38073</v>
          </cell>
          <cell r="B2280" t="str">
            <v xml:space="preserve">INTERRUPTOR SIMPLES + 2 INTERRUPTORES PARALELOS 10A, 250V, CONJUNTO MONTADO PARA EMBUTIR 4" X 2" (PLACA + SUPORTE + MODULOS)                                                                                                                                                                                                                                                                                                                                                                              </v>
          </cell>
          <cell r="C2280" t="str">
            <v xml:space="preserve">UN    </v>
          </cell>
          <cell r="D2280" t="str">
            <v>CR</v>
          </cell>
          <cell r="E2280" t="str">
            <v>25,10</v>
          </cell>
        </row>
        <row r="2281">
          <cell r="A2281">
            <v>38112</v>
          </cell>
          <cell r="B2281" t="str">
            <v xml:space="preserve">INTERRUPTOR SIMPLES 10A, 250V (APENAS MODULO)                                                                                                                                                                                                                                                                                                                                                                                                                                                             </v>
          </cell>
          <cell r="C2281" t="str">
            <v xml:space="preserve">UN    </v>
          </cell>
          <cell r="D2281" t="str">
            <v>CR</v>
          </cell>
          <cell r="E2281" t="str">
            <v>7,40</v>
          </cell>
        </row>
        <row r="2282">
          <cell r="A2282">
            <v>38062</v>
          </cell>
          <cell r="B2282" t="str">
            <v xml:space="preserve">INTERRUPTOR SIMPLES 10A, 250V, CONJUNTO MONTADO PARA EMBUTIR 4" X 2" (PLACA + SUPORTE + MODULO)                                                                                                                                                                                                                                                                                                                                                                                                           </v>
          </cell>
          <cell r="C2282" t="str">
            <v xml:space="preserve">UN    </v>
          </cell>
          <cell r="D2282" t="str">
            <v>CR</v>
          </cell>
          <cell r="E2282" t="str">
            <v>7,60</v>
          </cell>
        </row>
        <row r="2283">
          <cell r="A2283">
            <v>12128</v>
          </cell>
          <cell r="B2283" t="str">
            <v xml:space="preserve">INTERRUPTOR SIMPLES 10A, 250V, CONJUNTO MONTADO PARA SOBREPOR 4" X 2" (CAIXA + MODULO)                                                                                                                                                                                                                                                                                                                                                                                                                    </v>
          </cell>
          <cell r="C2283" t="str">
            <v xml:space="preserve">UN    </v>
          </cell>
          <cell r="D2283" t="str">
            <v>CR</v>
          </cell>
          <cell r="E2283" t="str">
            <v>10,16</v>
          </cell>
        </row>
        <row r="2284">
          <cell r="A2284">
            <v>12129</v>
          </cell>
          <cell r="B2284" t="str">
            <v xml:space="preserve">INTERRUPTOR SIMPLES 10A, 250V, CONJUNTO MONTADO PARA SOBREPOR 4" X 2" (CAIXA + 2 MODULOS)                                                                                                                                                                                                                                                                                                                                                                                                                 </v>
          </cell>
          <cell r="C2284" t="str">
            <v xml:space="preserve">UN    </v>
          </cell>
          <cell r="D2284" t="str">
            <v>CR</v>
          </cell>
          <cell r="E2284" t="str">
            <v>13,42</v>
          </cell>
        </row>
        <row r="2285">
          <cell r="A2285">
            <v>38081</v>
          </cell>
          <cell r="B2285" t="str">
            <v xml:space="preserve">INTERRUPTORES PARALELOS (2 MODULOS) + TOMADA 2P+T 10A, 250V, CONJUNTO MONTADO PARA EMBUTIR 4" X 2" (PLACA + SUPORTE + MODULOS)                                                                                                                                                                                                                                                                                                                                                                            </v>
          </cell>
          <cell r="C2285" t="str">
            <v xml:space="preserve">UN    </v>
          </cell>
          <cell r="D2285" t="str">
            <v>CR</v>
          </cell>
          <cell r="E2285" t="str">
            <v>26,15</v>
          </cell>
        </row>
        <row r="2286">
          <cell r="A2286">
            <v>38070</v>
          </cell>
          <cell r="B2286" t="str">
            <v xml:space="preserve">INTERRUPTORES PARALELOS (2 MODULOS) 10A, 250V, CONJUNTO MONTADO PARA EMBUTIR 4" X 2" (PLACA + SUPORTE + MODULOS)                                                                                                                                                                                                                                                                                                                                                                                          </v>
          </cell>
          <cell r="C2286" t="str">
            <v xml:space="preserve">UN    </v>
          </cell>
          <cell r="D2286" t="str">
            <v>CR</v>
          </cell>
          <cell r="E2286" t="str">
            <v>18,02</v>
          </cell>
        </row>
        <row r="2287">
          <cell r="A2287">
            <v>38074</v>
          </cell>
          <cell r="B2287" t="str">
            <v xml:space="preserve">INTERRUPTORES PARALELOS (3 MODULOS) 10A, 250V, CONJUNTO MONTADO PARA EMBUTIR 4" X 2" (PLACA + SUPORTE + MODULO)                                                                                                                                                                                                                                                                                                                                                                                           </v>
          </cell>
          <cell r="C2287" t="str">
            <v xml:space="preserve">UN    </v>
          </cell>
          <cell r="D2287" t="str">
            <v>CR</v>
          </cell>
          <cell r="E2287" t="str">
            <v>27,40</v>
          </cell>
        </row>
        <row r="2288">
          <cell r="A2288">
            <v>38079</v>
          </cell>
          <cell r="B2288" t="str">
            <v xml:space="preserve">INTERRUPTORES SIMPLES (2 MODULOS) + TOMADA 2P+T 10A, 250V, CONJUNTO MONTADO PARA EMBUTIR 4" X 2" (PLACA + SUPORTE + MODULOS)                                                                                                                                                                                                                                                                                                                                                                              </v>
          </cell>
          <cell r="C2288" t="str">
            <v xml:space="preserve">UN    </v>
          </cell>
          <cell r="D2288" t="str">
            <v>CR</v>
          </cell>
          <cell r="E2288" t="str">
            <v>23,52</v>
          </cell>
        </row>
        <row r="2289">
          <cell r="A2289">
            <v>38072</v>
          </cell>
          <cell r="B2289" t="str">
            <v xml:space="preserve">INTERRUPTORES SIMPLES (2 MODULOS) + 1 INTERRUPTOR PARALELO 10A, 250V, CONJUNTO MONTADO PARA EMBUTIR 4" X 2" (PLACA + SUPORTE + MODULOS)                                                                                                                                                                                                                                                                                                                                                                   </v>
          </cell>
          <cell r="C2289" t="str">
            <v xml:space="preserve">UN    </v>
          </cell>
          <cell r="D2289" t="str">
            <v>CR</v>
          </cell>
          <cell r="E2289" t="str">
            <v>22,60</v>
          </cell>
        </row>
        <row r="2290">
          <cell r="A2290">
            <v>38068</v>
          </cell>
          <cell r="B2290" t="str">
            <v xml:space="preserve">INTERRUPTORES SIMPLES (2 MODULOS) 10A, 250V, CONJUNTO MONTADO PARA EMBUTIR 4" X 2" (PLACA + SUPORTE + MODULOS)                                                                                                                                                                                                                                                                                                                                                                                            </v>
          </cell>
          <cell r="C2290" t="str">
            <v xml:space="preserve">UN    </v>
          </cell>
          <cell r="D2290" t="str">
            <v>CR</v>
          </cell>
          <cell r="E2290" t="str">
            <v>15,60</v>
          </cell>
        </row>
        <row r="2291">
          <cell r="A2291">
            <v>38071</v>
          </cell>
          <cell r="B2291" t="str">
            <v xml:space="preserve">INTERRUPTORES SIMPLES (3 MODULOS) 10A, 250V, CONJUNTO MONTADO PARA EMBUTIR 4" X 2" (PLACA + SUPORTE + MODULOS)                                                                                                                                                                                                                                                                                                                                                                                            </v>
          </cell>
          <cell r="C2291" t="str">
            <v xml:space="preserve">UN    </v>
          </cell>
          <cell r="D2291" t="str">
            <v>CR</v>
          </cell>
          <cell r="E2291" t="str">
            <v>18,65</v>
          </cell>
        </row>
        <row r="2292">
          <cell r="A2292">
            <v>38412</v>
          </cell>
          <cell r="B2292" t="str">
            <v xml:space="preserve">INVERSOR DE SOLDA MONOFASICO DE 160 A, POTENCIA DE 5400 W, TENSAO DE 220 V, TURBO VENTILADO, PROTECAO POR FUSIVEL TERMICO, PARA ELETRODOS DE 2,0 A 4,0 MM                                                                                                                                                                                                                                                                                                                                                 </v>
          </cell>
          <cell r="C2292" t="str">
            <v xml:space="preserve">UN    </v>
          </cell>
          <cell r="D2292" t="str">
            <v xml:space="preserve">C </v>
          </cell>
          <cell r="E2292" t="str">
            <v>839,00</v>
          </cell>
        </row>
        <row r="2293">
          <cell r="A2293">
            <v>3405</v>
          </cell>
          <cell r="B2293" t="str">
            <v xml:space="preserve">ISOLADOR DE PORCELANA SUSPENSO, DISCO TIPO GARFO OLHAL, DIAMETRO DE 152 MM, PARA TENSAO DE *15* KV                                                                                                                                                                                                                                                                                                                                                                                                        </v>
          </cell>
          <cell r="C2293" t="str">
            <v xml:space="preserve">UN    </v>
          </cell>
          <cell r="D2293" t="str">
            <v>CR</v>
          </cell>
          <cell r="E2293" t="str">
            <v>96,54</v>
          </cell>
        </row>
        <row r="2294">
          <cell r="A2294">
            <v>3394</v>
          </cell>
          <cell r="B2294" t="str">
            <v xml:space="preserve">ISOLADOR DE PORCELANA, TIPO BUCHA, PARA TENSAO DE *15* KV                                                                                                                                                                                                                                                                                                                                                                                                                                                 </v>
          </cell>
          <cell r="C2294" t="str">
            <v xml:space="preserve">UN    </v>
          </cell>
          <cell r="D2294" t="str">
            <v>CR</v>
          </cell>
          <cell r="E2294" t="str">
            <v>509,60</v>
          </cell>
        </row>
        <row r="2295">
          <cell r="A2295">
            <v>3393</v>
          </cell>
          <cell r="B2295" t="str">
            <v xml:space="preserve">ISOLADOR DE PORCELANA, TIPO BUCHA, PARA TENSAO DE *35* KV                                                                                                                                                                                                                                                                                                                                                                                                                                                 </v>
          </cell>
          <cell r="C2295" t="str">
            <v xml:space="preserve">UN    </v>
          </cell>
          <cell r="D2295" t="str">
            <v>CR</v>
          </cell>
          <cell r="E2295" t="str">
            <v>867,65</v>
          </cell>
        </row>
        <row r="2296">
          <cell r="A2296">
            <v>3406</v>
          </cell>
          <cell r="B2296" t="str">
            <v xml:space="preserve">ISOLADOR DE PORCELANA, TIPO PINO MONOCORPO, PARA TENSAO DE *15* KV                                                                                                                                                                                                                                                                                                                                                                                                                                        </v>
          </cell>
          <cell r="C2296" t="str">
            <v xml:space="preserve">UN    </v>
          </cell>
          <cell r="D2296" t="str">
            <v xml:space="preserve">C </v>
          </cell>
          <cell r="E2296" t="str">
            <v>29,55</v>
          </cell>
        </row>
        <row r="2297">
          <cell r="A2297">
            <v>3395</v>
          </cell>
          <cell r="B2297" t="str">
            <v xml:space="preserve">ISOLADOR DE PORCELANA, TIPO PINO MONOCORPO, PARA TENSAO DE *35* KV                                                                                                                                                                                                                                                                                                                                                                                                                                        </v>
          </cell>
          <cell r="C2297" t="str">
            <v xml:space="preserve">UN    </v>
          </cell>
          <cell r="D2297" t="str">
            <v>CR</v>
          </cell>
          <cell r="E2297" t="str">
            <v>124,65</v>
          </cell>
        </row>
        <row r="2298">
          <cell r="A2298">
            <v>3398</v>
          </cell>
          <cell r="B2298" t="str">
            <v xml:space="preserve">ISOLADOR DE PORCELANA, TIPO ROLDANA, DIMENSOES DE *72* X *72* MM, PARA USO EM BAIXA TENSAO                                                                                                                                                                                                                                                                                                                                                                                                                </v>
          </cell>
          <cell r="C2298" t="str">
            <v xml:space="preserve">UN    </v>
          </cell>
          <cell r="D2298" t="str">
            <v>CR</v>
          </cell>
          <cell r="E2298" t="str">
            <v>5,92</v>
          </cell>
        </row>
        <row r="2299">
          <cell r="A2299">
            <v>40662</v>
          </cell>
          <cell r="B2299" t="str">
            <v xml:space="preserve">JANELA BASCULANTE EM MADEIRA PINUS/ EUCALIPTO/ TAUARI/ VIROLA OU EQUIVALENTE DA REGIAO, *60 X 60*, CAIXA DO BATENTE/ MARCO E = *10* CM, 2 BASCULAS PARA VIDRO, COM FERRAGENS (SEM VIDRO, SEM GUARNICAO/ALIZAR E SEM ACABAMENTO)                                                                                                                                                                                                                                                                           </v>
          </cell>
          <cell r="C2299" t="str">
            <v xml:space="preserve">UN    </v>
          </cell>
          <cell r="D2299" t="str">
            <v>CR</v>
          </cell>
          <cell r="E2299" t="str">
            <v>348,79</v>
          </cell>
        </row>
        <row r="2300">
          <cell r="A2300">
            <v>3437</v>
          </cell>
          <cell r="B2300" t="str">
            <v xml:space="preserve">JANELA BASCULANTE EM MADEIRA PINUS/ EUCALIPTO/ TAUARI/ VIROLA OU EQUIVALENTE DA REGIAO, CAIXA DO BATENTE/ MARCO *10* CM, *2* FOLHAS BASCULANTES PARA VIDRO, COM FERRAGENS (SEM VIDRO, SEM GUARNICAO/ALIZAR E SEM ACABAMENTO)                                                                                                                                                                                                                                                                              </v>
          </cell>
          <cell r="C2300" t="str">
            <v xml:space="preserve">M2    </v>
          </cell>
          <cell r="D2300" t="str">
            <v>CR</v>
          </cell>
          <cell r="E2300" t="str">
            <v>968,87</v>
          </cell>
        </row>
        <row r="2301">
          <cell r="A2301">
            <v>11190</v>
          </cell>
          <cell r="B2301" t="str">
            <v xml:space="preserve">JANELA BASCULANTE, ACO, COM BATENTE/REQUADRO, 60 X 60 CM (SEM VIDROS)                                                                                                                                                                                                                                                                                                                                                                                                                                     </v>
          </cell>
          <cell r="C2301" t="str">
            <v xml:space="preserve">UN    </v>
          </cell>
          <cell r="D2301" t="str">
            <v xml:space="preserve">C </v>
          </cell>
          <cell r="E2301" t="str">
            <v>164,90</v>
          </cell>
        </row>
        <row r="2302">
          <cell r="A2302">
            <v>34377</v>
          </cell>
          <cell r="B2302" t="str">
            <v xml:space="preserve">JANELA BASCULANTE, EM ALUMINIO PERFIL 20, 80 X 60 CM (A X L), 4 FLS (1 FIXA E 3 MOVEIS), ACABAMENTO BRANCO OU BRILHANTE, BATENTE DE 3 A 4 CM, COM VIDRO 4 MM, SEM GUARNICAO                                                                                                                                                                                                                                                                                                                               </v>
          </cell>
          <cell r="C2302" t="str">
            <v xml:space="preserve">UN    </v>
          </cell>
          <cell r="D2302" t="str">
            <v>CR</v>
          </cell>
          <cell r="E2302" t="str">
            <v>198,73</v>
          </cell>
        </row>
        <row r="2303">
          <cell r="A2303">
            <v>3428</v>
          </cell>
          <cell r="B2303" t="str">
            <v xml:space="preserve">JANELA DE ABRIR EM MADEIRA IMBUIA/CEDRO ARANA/CEDRO ROSA OU EQUIVALENTE DA REGIAO, CAIXA DO BATENTE/MARCO *10* CM, 2 FOLHAS DE ABRIR TIPO VENEZIANA E 2 FOLHAS DE ABRIR PARA VIDRO, COM GUARNICAO/ALIZAR, COM FERRAGENS, (SEM VIDRO E SEM ACABAMENTO)                                                                                                                                                                                                                                                     </v>
          </cell>
          <cell r="C2303" t="str">
            <v xml:space="preserve">M2    </v>
          </cell>
          <cell r="D2303" t="str">
            <v xml:space="preserve">C </v>
          </cell>
          <cell r="E2303" t="str">
            <v>1.437,16</v>
          </cell>
        </row>
        <row r="2304">
          <cell r="A2304">
            <v>3429</v>
          </cell>
          <cell r="B2304" t="str">
            <v xml:space="preserve">JANELA DE ABRIR EM MADEIRA PINUS/EUCALIPTO/ TAUARI/ VIROLA OU EQUIVALENTE DA REGIAO, CAIXA DO BATENTE/MARCO *10* CM, 2 FOLHAS DE ABRIR TIPO VENEZIANA E 2 FOLHAS GUILHOTINA PARA VIDRO, COM FERRAGENS (SEM VIDRO,SEM GUARNICAO/ALIZAR E SEM ACABAMENTO)                                                                                                                                                                                                                                                   </v>
          </cell>
          <cell r="C2304" t="str">
            <v xml:space="preserve">M2    </v>
          </cell>
          <cell r="D2304" t="str">
            <v>CR</v>
          </cell>
          <cell r="E2304" t="str">
            <v>821,11</v>
          </cell>
        </row>
        <row r="2305">
          <cell r="A2305">
            <v>11199</v>
          </cell>
          <cell r="B2305" t="str">
            <v xml:space="preserve">JANELA DE CORRER, ACO, BATENTE/REQUADRO DE 6 A 14 CM, COM DIVISAO HORIZ , PINT ANTICORROSIVA, SEM VIDRO, BANDEIRA COM BASCULA, 4 FLS, 120 X 150 CM (A X L)                                                                                                                                                                                                                                                                                                                                                </v>
          </cell>
          <cell r="C2305" t="str">
            <v xml:space="preserve">UN    </v>
          </cell>
          <cell r="D2305" t="str">
            <v>CR</v>
          </cell>
          <cell r="E2305" t="str">
            <v>910,71</v>
          </cell>
        </row>
        <row r="2306">
          <cell r="A2306">
            <v>34369</v>
          </cell>
          <cell r="B2306" t="str">
            <v xml:space="preserve">JANELA DE CORRER, EM ALUMINIO PEFIL 25, 100 X 200 CM (A X L), 4 FLS, SEM BANDEIRA, ACABAMENTO BRANCO OU BRILHANTE, BATENTE DE 6 A 7 CM, COM VIDRO 4 MM, SEM GUARNICAO/ALIZAR                                                                                                                                                                                                                                                                                                                              </v>
          </cell>
          <cell r="C2306" t="str">
            <v xml:space="preserve">UN    </v>
          </cell>
          <cell r="D2306" t="str">
            <v>CR</v>
          </cell>
          <cell r="E2306" t="str">
            <v>691,21</v>
          </cell>
        </row>
        <row r="2307">
          <cell r="A2307">
            <v>36896</v>
          </cell>
          <cell r="B2307" t="str">
            <v xml:space="preserve">JANELA DE CORRER, EM ALUMINIO PERFIL 25, 100 X 120 CM (A X L), 2 FLS MOVEIS, SEM BANDEIRA, ACABAMENTO BRANCO OU BRILHANTE, BATENTE DE 6 A 7 CM, COM VIDRO 4 MM, SEM GUARNICAO                                                                                                                                                                                                                                                                                                                             </v>
          </cell>
          <cell r="C2307" t="str">
            <v xml:space="preserve">UN    </v>
          </cell>
          <cell r="D2307" t="str">
            <v xml:space="preserve">C </v>
          </cell>
          <cell r="E2307" t="str">
            <v>384,90</v>
          </cell>
        </row>
        <row r="2308">
          <cell r="A2308">
            <v>34367</v>
          </cell>
          <cell r="B2308" t="str">
            <v xml:space="preserve">JANELA DE CORRER, EM ALUMINIO PERFIL 25, 100 X 150 CM (A X L), 2 FLS MOVEIS, SEM BANDEIRA, ACABAMENTO BRANCO OU BRILHANTE, BATENTE DE 6 A 7 CM, COM VIDRO 4 MM, SEM GUARNICAO                                                                                                                                                                                                                                                                                                                             </v>
          </cell>
          <cell r="C2308" t="str">
            <v xml:space="preserve">UN    </v>
          </cell>
          <cell r="D2308" t="str">
            <v>CR</v>
          </cell>
          <cell r="E2308" t="str">
            <v>496,07</v>
          </cell>
        </row>
        <row r="2309">
          <cell r="A2309">
            <v>36897</v>
          </cell>
          <cell r="B2309" t="str">
            <v xml:space="preserve">JANELA DE CORRER, EM ALUMINIO PERFIL 25, 100 X 150 CM (A X L), 4 FLS MOVEIS, SEM BANDEIRA, ACABAMENTO BRANCO OU BRILHANTE, BATENTE DE 6 A 7 CM, COM VIDRO 4 MM, SEM GUARNICAO/ALIZAR                                                                                                                                                                                                                                                                                                                      </v>
          </cell>
          <cell r="C2309" t="str">
            <v xml:space="preserve">UN    </v>
          </cell>
          <cell r="D2309" t="str">
            <v>CR</v>
          </cell>
          <cell r="E2309" t="str">
            <v>600,63</v>
          </cell>
        </row>
        <row r="2310">
          <cell r="A2310">
            <v>34364</v>
          </cell>
          <cell r="B2310" t="str">
            <v xml:space="preserve">JANELA DE CORRER, EM ALUMINIO PERFIL 25, 120 X 150 CM (A X L), 4 FLS, BANDEIRA COM BASCULA, ACABAMENTO BRANCO OU BRILHANTE, BATENTE/REQUADRO DE 6 A 14 CM, COM VIDRO 4 MM, SEM GUARNICAO/ALIZAR                                                                                                                                                                                                                                                                                                           </v>
          </cell>
          <cell r="C2310" t="str">
            <v xml:space="preserve">UN    </v>
          </cell>
          <cell r="D2310" t="str">
            <v>CR</v>
          </cell>
          <cell r="E2310" t="str">
            <v>652,08</v>
          </cell>
        </row>
        <row r="2311">
          <cell r="A2311">
            <v>40659</v>
          </cell>
          <cell r="B2311" t="str">
            <v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v>
          </cell>
          <cell r="C2311" t="str">
            <v xml:space="preserve">M2    </v>
          </cell>
          <cell r="D2311" t="str">
            <v>CR</v>
          </cell>
          <cell r="E2311" t="str">
            <v>1.370,82</v>
          </cell>
        </row>
        <row r="2312">
          <cell r="A2312">
            <v>40660</v>
          </cell>
          <cell r="B2312" t="str">
            <v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v>
          </cell>
          <cell r="C2312" t="str">
            <v xml:space="preserve">M2    </v>
          </cell>
          <cell r="D2312" t="str">
            <v>CR</v>
          </cell>
          <cell r="E2312" t="str">
            <v>1.737,35</v>
          </cell>
        </row>
        <row r="2313">
          <cell r="A2313">
            <v>40661</v>
          </cell>
          <cell r="B2313" t="str">
            <v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v>
          </cell>
          <cell r="C2313" t="str">
            <v xml:space="preserve">M2    </v>
          </cell>
          <cell r="D2313" t="str">
            <v>CR</v>
          </cell>
          <cell r="E2313" t="str">
            <v>1.068,17</v>
          </cell>
        </row>
        <row r="2314">
          <cell r="A2314">
            <v>3421</v>
          </cell>
          <cell r="B2314" t="str">
            <v xml:space="preserve">JANELA EM MADEIRA CEDRINHO/ ANGELIM COMERCIAL/ CURUPIXA/ CUMARU OU EQUIVALENTE DA REGIAO, CAIXA DO BATENTE/MARCO *10* CM, 2 FOLHAS DE ABRIR TIPO VENEZIANA E 2 FOLHAS GUILHOTINA PARA VIDRO, COM GUARNICAO/ALIZAR, COM FERRAGENS (SEM VIDRO E SEM ACABAMENTO)                                                                                                                                                                                                                                             </v>
          </cell>
          <cell r="C2314" t="str">
            <v xml:space="preserve">M2    </v>
          </cell>
          <cell r="D2314" t="str">
            <v>CR</v>
          </cell>
          <cell r="E2314" t="str">
            <v>1.076,34</v>
          </cell>
        </row>
        <row r="2315">
          <cell r="A2315">
            <v>599</v>
          </cell>
          <cell r="B2315" t="str">
            <v xml:space="preserve">JANELA FIXA, EM ALUMINIO PERFIL 20, 60  X 80 CM (A X L), BATENTE/REQUADRO DE 3 A 14 CM, COM VIDRO 4 MM, SEM GUARNICAO/ALIZAR, ACABAMENTO ALUM BRANCO OU BRILHANTE                                                                                                                                                                                                                                                                                                                                         </v>
          </cell>
          <cell r="C2315" t="str">
            <v xml:space="preserve">M2    </v>
          </cell>
          <cell r="D2315" t="str">
            <v>CR</v>
          </cell>
          <cell r="E2315" t="str">
            <v>701,97</v>
          </cell>
        </row>
        <row r="2316">
          <cell r="A2316">
            <v>44053</v>
          </cell>
          <cell r="B2316" t="str">
            <v xml:space="preserve">JANELA INTEGRADA VENEZIANA EM ALUMINIO PERFIL 25, 120 X 120 CM (A X L), 2 FLS ( 2 VIDROS) E VENEZIANA COM ACIONAMENTO MANUAL, SEM BANDEIRA, ACABAMENTO BRILHANTE, BATENTE DE 11,50 A 12,50 CM, COM VIDRO 4 MM, INCLUSO GUARNICAO                                                                                                                                                                                                                                                                          </v>
          </cell>
          <cell r="C2316" t="str">
            <v xml:space="preserve">UN    </v>
          </cell>
          <cell r="D2316" t="str">
            <v>CR</v>
          </cell>
          <cell r="E2316" t="str">
            <v>1.558,05</v>
          </cell>
        </row>
        <row r="2317">
          <cell r="A2317">
            <v>3423</v>
          </cell>
          <cell r="B2317" t="str">
            <v xml:space="preserve">JANELA MAXIM AR EM MADEIRA CEDRINHO/ ANGELIM COMERCIAL/ CURUPIXA/ CUMARU OU EQUIVALENTE DA REGIAO, CAIXA DO BATENTE/MARCO *10* CM, 1 FOLHA  PARA VIDRO, COM GUARNICAO/ALIZAR, COM FERRAGENS, (SEM VIDRO E SEM ACABAMENTO)                                                                                                                                                                                                                                                                                 </v>
          </cell>
          <cell r="C2317" t="str">
            <v xml:space="preserve">M2    </v>
          </cell>
          <cell r="D2317" t="str">
            <v>CR</v>
          </cell>
          <cell r="E2317" t="str">
            <v>1.517,90</v>
          </cell>
        </row>
        <row r="2318">
          <cell r="A2318">
            <v>34381</v>
          </cell>
          <cell r="B2318" t="str">
            <v xml:space="preserve">JANELA MAXIM AR, EM ALUMINIO PERFIL 25, 60 X 80 CM (A X L), ACABAMENTO BRANCO OU BRILHANTE, BATENTE DE 4 A 5 CM, COM VIDRO 4 MM, SEM GUARNICAO/ALIZAR                                                                                                                                                                                                                                                                                                                                                     </v>
          </cell>
          <cell r="C2318" t="str">
            <v xml:space="preserve">UN    </v>
          </cell>
          <cell r="D2318" t="str">
            <v>CR</v>
          </cell>
          <cell r="E2318" t="str">
            <v>283,44</v>
          </cell>
        </row>
        <row r="2319">
          <cell r="A2319">
            <v>34797</v>
          </cell>
          <cell r="B2319" t="str">
            <v xml:space="preserve">JANELA MAXIMO AR, ACO, BATENTE / REQUADRO DE 6 A 14 CM, PINT ANTICORROSIVA, SEM VIDRO, COM GRADE, 1 FL, 60  X 80 CM (A X L)                                                                                                                                                                                                                                                                                                                                                                               </v>
          </cell>
          <cell r="C2319" t="str">
            <v xml:space="preserve">UN    </v>
          </cell>
          <cell r="D2319" t="str">
            <v>CR</v>
          </cell>
          <cell r="E2319" t="str">
            <v>359,18</v>
          </cell>
        </row>
        <row r="2320">
          <cell r="A2320">
            <v>44054</v>
          </cell>
          <cell r="B2320" t="str">
            <v xml:space="preserve">JANELA VENEZIANA DE CORRER, EM ALUMINIO PERFIL 25, 100 X 120 CM (A X L), 3 FLS (2 VENEZIANAS E 1 VIDRO), SEM BANDEIRA, ACABAMENTO BRANCO OU BRILHANTE, BATENTE DE 8 A 9 CM, COM VIDRO 4 MM, SEM GUARNICAO/ALIZAR                                                                                                                                                                                                                                                                                          </v>
          </cell>
          <cell r="C2320" t="str">
            <v xml:space="preserve">UN    </v>
          </cell>
          <cell r="D2320" t="str">
            <v>CR</v>
          </cell>
          <cell r="E2320" t="str">
            <v>558,93</v>
          </cell>
        </row>
        <row r="2321">
          <cell r="A2321">
            <v>44399</v>
          </cell>
          <cell r="B2321" t="str">
            <v xml:space="preserve">JANELA VENEZIANA DE CORRER, EM ALUMINIO PERFIL 25, 100 X 150 CM (A X L), 6 FLS (4 VENEZIANAS E 2 VIDROS), SEM BANDEIRA, ACABAMENTO BRANCO OU BRILHANTE, BATENTE DE 8 A 9 CM, COM VIDRO 4 MM, SEM GUARNICAO / ALIZAR                                                                                                                                                                                                                                                                                       </v>
          </cell>
          <cell r="C2321" t="str">
            <v xml:space="preserve">UN    </v>
          </cell>
          <cell r="D2321" t="str">
            <v>CR</v>
          </cell>
          <cell r="E2321" t="str">
            <v>763,69</v>
          </cell>
        </row>
        <row r="2322">
          <cell r="A2322">
            <v>44503</v>
          </cell>
          <cell r="B2322" t="str">
            <v xml:space="preserve">JARDINEIRO (HORISTA)                                                                                                                                                                                                                                                                                                                                                                                                                                                                                      </v>
          </cell>
          <cell r="C2322" t="str">
            <v xml:space="preserve">H     </v>
          </cell>
          <cell r="D2322" t="str">
            <v>CR</v>
          </cell>
          <cell r="E2322" t="str">
            <v>20,75</v>
          </cell>
        </row>
        <row r="2323">
          <cell r="A2323">
            <v>41077</v>
          </cell>
          <cell r="B2323" t="str">
            <v xml:space="preserve">JARDINEIRO (MENSALISTA)                                                                                                                                                                                                                                                                                                                                                                                                                                                                                   </v>
          </cell>
          <cell r="C2323" t="str">
            <v xml:space="preserve">MES   </v>
          </cell>
          <cell r="D2323" t="str">
            <v>CR</v>
          </cell>
          <cell r="E2323" t="str">
            <v>3.635,48</v>
          </cell>
        </row>
        <row r="2324">
          <cell r="A2324">
            <v>37963</v>
          </cell>
          <cell r="B2324" t="str">
            <v xml:space="preserve">JOELHO CPVC, SOLDAVEL, 45 GRAUS, 15 MM, PARA AGUA QUENTE                                                                                                                                                                                                                                                                                                                                                                                                                                                  </v>
          </cell>
          <cell r="C2324" t="str">
            <v xml:space="preserve">UN    </v>
          </cell>
          <cell r="D2324" t="str">
            <v>CR</v>
          </cell>
          <cell r="E2324" t="str">
            <v>3,61</v>
          </cell>
        </row>
        <row r="2325">
          <cell r="A2325">
            <v>37964</v>
          </cell>
          <cell r="B2325" t="str">
            <v xml:space="preserve">JOELHO CPVC, SOLDAVEL, 45 GRAUS, 22 MM, PARA AGUA QUENTE                                                                                                                                                                                                                                                                                                                                                                                                                                                  </v>
          </cell>
          <cell r="C2325" t="str">
            <v xml:space="preserve">UN    </v>
          </cell>
          <cell r="D2325" t="str">
            <v>CR</v>
          </cell>
          <cell r="E2325" t="str">
            <v>4,82</v>
          </cell>
        </row>
        <row r="2326">
          <cell r="A2326">
            <v>37965</v>
          </cell>
          <cell r="B2326" t="str">
            <v xml:space="preserve">JOELHO CPVC, SOLDAVEL, 45 GRAUS, 28 MM, PARA AGUA QUENTE                                                                                                                                                                                                                                                                                                                                                                                                                                                  </v>
          </cell>
          <cell r="C2326" t="str">
            <v xml:space="preserve">UN    </v>
          </cell>
          <cell r="D2326" t="str">
            <v>CR</v>
          </cell>
          <cell r="E2326" t="str">
            <v>6,95</v>
          </cell>
        </row>
        <row r="2327">
          <cell r="A2327">
            <v>37966</v>
          </cell>
          <cell r="B2327" t="str">
            <v xml:space="preserve">JOELHO CPVC, SOLDAVEL, 45 GRAUS, 35 MM, PARA AGUA QUENTE                                                                                                                                                                                                                                                                                                                                                                                                                                                  </v>
          </cell>
          <cell r="C2327" t="str">
            <v xml:space="preserve">UN    </v>
          </cell>
          <cell r="D2327" t="str">
            <v>CR</v>
          </cell>
          <cell r="E2327" t="str">
            <v>12,21</v>
          </cell>
        </row>
        <row r="2328">
          <cell r="A2328">
            <v>37967</v>
          </cell>
          <cell r="B2328" t="str">
            <v xml:space="preserve">JOELHO CPVC, SOLDAVEL, 45 GRAUS, 42 MM, PARA AGUA QUENTE                                                                                                                                                                                                                                                                                                                                                                                                                                                  </v>
          </cell>
          <cell r="C2328" t="str">
            <v xml:space="preserve">UN    </v>
          </cell>
          <cell r="D2328" t="str">
            <v>CR</v>
          </cell>
          <cell r="E2328" t="str">
            <v>20,52</v>
          </cell>
        </row>
        <row r="2329">
          <cell r="A2329">
            <v>37968</v>
          </cell>
          <cell r="B2329" t="str">
            <v xml:space="preserve">JOELHO CPVC, SOLDAVEL, 45 GRAUS, 54 MM, PARA AGUA QUENTE                                                                                                                                                                                                                                                                                                                                                                                                                                                  </v>
          </cell>
          <cell r="C2329" t="str">
            <v xml:space="preserve">UN    </v>
          </cell>
          <cell r="D2329" t="str">
            <v>CR</v>
          </cell>
          <cell r="E2329" t="str">
            <v>43,57</v>
          </cell>
        </row>
        <row r="2330">
          <cell r="A2330">
            <v>37969</v>
          </cell>
          <cell r="B2330" t="str">
            <v xml:space="preserve">JOELHO CPVC, SOLDAVEL, 45 GRAUS, 73 MM, PARA AGUA QUENTE                                                                                                                                                                                                                                                                                                                                                                                                                                                  </v>
          </cell>
          <cell r="C2330" t="str">
            <v xml:space="preserve">UN    </v>
          </cell>
          <cell r="D2330" t="str">
            <v>CR</v>
          </cell>
          <cell r="E2330" t="str">
            <v>110,10</v>
          </cell>
        </row>
        <row r="2331">
          <cell r="A2331">
            <v>37970</v>
          </cell>
          <cell r="B2331" t="str">
            <v xml:space="preserve">JOELHO CPVC, SOLDAVEL, 45 GRAUS, 89 MM, PARA AGUA QUENTE                                                                                                                                                                                                                                                                                                                                                                                                                                                  </v>
          </cell>
          <cell r="C2331" t="str">
            <v xml:space="preserve">UN    </v>
          </cell>
          <cell r="D2331" t="str">
            <v>CR</v>
          </cell>
          <cell r="E2331" t="str">
            <v>159,30</v>
          </cell>
        </row>
        <row r="2332">
          <cell r="A2332">
            <v>44251</v>
          </cell>
          <cell r="B2332" t="str">
            <v xml:space="preserve">JOELHO CPVC, SOLDAVEL, 90 GRAUS, 114 MM, PARA AGUA QUENTE                                                                                                                                                                                                                                                                                                                                                                                                                                                 </v>
          </cell>
          <cell r="C2332" t="str">
            <v xml:space="preserve">UN    </v>
          </cell>
          <cell r="D2332" t="str">
            <v>CR</v>
          </cell>
          <cell r="E2332" t="str">
            <v>184,00</v>
          </cell>
        </row>
        <row r="2333">
          <cell r="A2333">
            <v>21118</v>
          </cell>
          <cell r="B2333" t="str">
            <v xml:space="preserve">JOELHO CPVC, SOLDAVEL, 90 GRAUS, 15 MM, PARA AGUA QUENTE                                                                                                                                                                                                                                                                                                                                                                                                                                                  </v>
          </cell>
          <cell r="C2333" t="str">
            <v xml:space="preserve">UN    </v>
          </cell>
          <cell r="D2333" t="str">
            <v>CR</v>
          </cell>
          <cell r="E2333" t="str">
            <v>2,86</v>
          </cell>
        </row>
        <row r="2334">
          <cell r="A2334">
            <v>37956</v>
          </cell>
          <cell r="B2334" t="str">
            <v xml:space="preserve">JOELHO CPVC, SOLDAVEL, 90 GRAUS, 22 MM, PARA AGUA QUENTE                                                                                                                                                                                                                                                                                                                                                                                                                                                  </v>
          </cell>
          <cell r="C2334" t="str">
            <v xml:space="preserve">UN    </v>
          </cell>
          <cell r="D2334" t="str">
            <v>CR</v>
          </cell>
          <cell r="E2334" t="str">
            <v>3,52</v>
          </cell>
        </row>
        <row r="2335">
          <cell r="A2335">
            <v>37957</v>
          </cell>
          <cell r="B2335" t="str">
            <v xml:space="preserve">JOELHO CPVC, SOLDAVEL, 90 GRAUS, 28 MM, PARA AGUA QUENTE                                                                                                                                                                                                                                                                                                                                                                                                                                                  </v>
          </cell>
          <cell r="C2335" t="str">
            <v xml:space="preserve">UN    </v>
          </cell>
          <cell r="D2335" t="str">
            <v>CR</v>
          </cell>
          <cell r="E2335" t="str">
            <v>7,49</v>
          </cell>
        </row>
        <row r="2336">
          <cell r="A2336">
            <v>37958</v>
          </cell>
          <cell r="B2336" t="str">
            <v xml:space="preserve">JOELHO CPVC, SOLDAVEL, 90 GRAUS, 35 MM, PARA AGUA QUENTE                                                                                                                                                                                                                                                                                                                                                                                                                                                  </v>
          </cell>
          <cell r="C2336" t="str">
            <v xml:space="preserve">UN    </v>
          </cell>
          <cell r="D2336" t="str">
            <v>CR</v>
          </cell>
          <cell r="E2336" t="str">
            <v>13,54</v>
          </cell>
        </row>
        <row r="2337">
          <cell r="A2337">
            <v>37959</v>
          </cell>
          <cell r="B2337" t="str">
            <v xml:space="preserve">JOELHO CPVC, SOLDAVEL, 90 GRAUS, 42 MM, PARA AGUA QUENTE                                                                                                                                                                                                                                                                                                                                                                                                                                                  </v>
          </cell>
          <cell r="C2337" t="str">
            <v xml:space="preserve">UN    </v>
          </cell>
          <cell r="D2337" t="str">
            <v>CR</v>
          </cell>
          <cell r="E2337" t="str">
            <v>20,85</v>
          </cell>
        </row>
        <row r="2338">
          <cell r="A2338">
            <v>37960</v>
          </cell>
          <cell r="B2338" t="str">
            <v xml:space="preserve">JOELHO CPVC, SOLDAVEL, 90 GRAUS, 54 MM, PARA AGUA QUENTE                                                                                                                                                                                                                                                                                                                                                                                                                                                  </v>
          </cell>
          <cell r="C2338" t="str">
            <v xml:space="preserve">UN    </v>
          </cell>
          <cell r="D2338" t="str">
            <v>CR</v>
          </cell>
          <cell r="E2338" t="str">
            <v>53,27</v>
          </cell>
        </row>
        <row r="2339">
          <cell r="A2339">
            <v>37961</v>
          </cell>
          <cell r="B2339" t="str">
            <v xml:space="preserve">JOELHO CPVC, SOLDAVEL, 90 GRAUS, 73 MM, PARA AGUA QUENTE                                                                                                                                                                                                                                                                                                                                                                                                                                                  </v>
          </cell>
          <cell r="C2339" t="str">
            <v xml:space="preserve">UN    </v>
          </cell>
          <cell r="D2339" t="str">
            <v>CR</v>
          </cell>
          <cell r="E2339" t="str">
            <v>114,49</v>
          </cell>
        </row>
        <row r="2340">
          <cell r="A2340">
            <v>37962</v>
          </cell>
          <cell r="B2340" t="str">
            <v xml:space="preserve">JOELHO CPVC, SOLDAVEL, 90 GRAUS, 89 MM, PARA AGUA QUENTE                                                                                                                                                                                                                                                                                                                                                                                                                                                  </v>
          </cell>
          <cell r="C2340" t="str">
            <v xml:space="preserve">UN    </v>
          </cell>
          <cell r="D2340" t="str">
            <v>CR</v>
          </cell>
          <cell r="E2340" t="str">
            <v>131,99</v>
          </cell>
        </row>
        <row r="2341">
          <cell r="A2341">
            <v>3533</v>
          </cell>
          <cell r="B2341" t="str">
            <v xml:space="preserve">JOELHO DE REDUCAO, PVC SOLDAVEL, 90 GRAUS, 25 MM X 20 MM, COR MARROM, PARA AGUA FRIA PREDIAL                                                                                                                                                                                                                                                                                                                                                                                                              </v>
          </cell>
          <cell r="C2341" t="str">
            <v xml:space="preserve">UN    </v>
          </cell>
          <cell r="D2341" t="str">
            <v>CR</v>
          </cell>
          <cell r="E2341" t="str">
            <v>2,42</v>
          </cell>
        </row>
        <row r="2342">
          <cell r="A2342">
            <v>3538</v>
          </cell>
          <cell r="B2342" t="str">
            <v xml:space="preserve">JOELHO DE REDUCAO, PVC SOLDAVEL, 90 GRAUS, 32 MM X 25 MM, COR MARROM, PARA AGUA FRIA PREDIAL                                                                                                                                                                                                                                                                                                                                                                                                              </v>
          </cell>
          <cell r="C2342" t="str">
            <v xml:space="preserve">UN    </v>
          </cell>
          <cell r="D2342" t="str">
            <v>CR</v>
          </cell>
          <cell r="E2342" t="str">
            <v>4,57</v>
          </cell>
        </row>
        <row r="2343">
          <cell r="A2343">
            <v>3498</v>
          </cell>
          <cell r="B2343" t="str">
            <v xml:space="preserve">JOELHO DE REDUCAO, PVC, ROSCAVEL, 90 GRAUS, 1" X 3/4", COR BRANCA, PARA AGUA FRIA PREDIAL                                                                                                                                                                                                                                                                                                                                                                                                                 </v>
          </cell>
          <cell r="C2343" t="str">
            <v xml:space="preserve">UN    </v>
          </cell>
          <cell r="D2343" t="str">
            <v>CR</v>
          </cell>
          <cell r="E2343" t="str">
            <v>4,44</v>
          </cell>
        </row>
        <row r="2344">
          <cell r="A2344">
            <v>3496</v>
          </cell>
          <cell r="B2344" t="str">
            <v xml:space="preserve">JOELHO DE REDUCAO, PVC, ROSCAVEL, 90 GRAUS, 3/4" X 1/2", COR BRANCA, PARA AGUA FRIA PREDIAL                                                                                                                                                                                                                                                                                                                                                                                                               </v>
          </cell>
          <cell r="C2344" t="str">
            <v xml:space="preserve">UN    </v>
          </cell>
          <cell r="D2344" t="str">
            <v>CR</v>
          </cell>
          <cell r="E2344" t="str">
            <v>2,97</v>
          </cell>
        </row>
        <row r="2345">
          <cell r="A2345">
            <v>38429</v>
          </cell>
          <cell r="B2345" t="str">
            <v xml:space="preserve">JOELHO DE TRANSICAO, CPVC, SOLDAVEL, 90 GRAUS, 15 MM X 1/2", PARA AGUA QUENTE                                                                                                                                                                                                                                                                                                                                                                                                                             </v>
          </cell>
          <cell r="C2345" t="str">
            <v xml:space="preserve">UN    </v>
          </cell>
          <cell r="D2345" t="str">
            <v>CR</v>
          </cell>
          <cell r="E2345" t="str">
            <v>9,75</v>
          </cell>
        </row>
        <row r="2346">
          <cell r="A2346">
            <v>38431</v>
          </cell>
          <cell r="B2346" t="str">
            <v xml:space="preserve">JOELHO DE TRANSICAO, CPVC, SOLDAVEL, 90 GRAUS, 22 MM X 1/2", PARA AGUA QUENTE                                                                                                                                                                                                                                                                                                                                                                                                                             </v>
          </cell>
          <cell r="C2346" t="str">
            <v xml:space="preserve">UN    </v>
          </cell>
          <cell r="D2346" t="str">
            <v>CR</v>
          </cell>
          <cell r="E2346" t="str">
            <v>12,23</v>
          </cell>
        </row>
        <row r="2347">
          <cell r="A2347">
            <v>38430</v>
          </cell>
          <cell r="B2347" t="str">
            <v xml:space="preserve">JOELHO DE TRANSICAO, CPVC, SOLDAVEL, 90 GRAUS, 22 MM X 3/4", PARA AGUA QUENTE                                                                                                                                                                                                                                                                                                                                                                                                                             </v>
          </cell>
          <cell r="C2347" t="str">
            <v xml:space="preserve">UN    </v>
          </cell>
          <cell r="D2347" t="str">
            <v>CR</v>
          </cell>
          <cell r="E2347" t="str">
            <v>18,96</v>
          </cell>
        </row>
        <row r="2348">
          <cell r="A2348">
            <v>36348</v>
          </cell>
          <cell r="B2348" t="str">
            <v xml:space="preserve">JOELHO PPR 45 GRAUS, SOLDAVEL, F/F, DN 20 MM, PARA AGUA QUENTE PREDIAL                                                                                                                                                                                                                                                                                                                                                                                                                                    </v>
          </cell>
          <cell r="C2348" t="str">
            <v xml:space="preserve">UN    </v>
          </cell>
          <cell r="D2348" t="str">
            <v>CR</v>
          </cell>
          <cell r="E2348" t="str">
            <v>1,96</v>
          </cell>
        </row>
        <row r="2349">
          <cell r="A2349">
            <v>36349</v>
          </cell>
          <cell r="B2349" t="str">
            <v xml:space="preserve">JOELHO PPR 45 GRAUS, SOLDAVEL, F/F, DN 25 MM, PARA AGUA QUENTE PREDIAL                                                                                                                                                                                                                                                                                                                                                                                                                                    </v>
          </cell>
          <cell r="C2349" t="str">
            <v xml:space="preserve">UN    </v>
          </cell>
          <cell r="D2349" t="str">
            <v>CR</v>
          </cell>
          <cell r="E2349" t="str">
            <v>2,70</v>
          </cell>
        </row>
        <row r="2350">
          <cell r="A2350">
            <v>38987</v>
          </cell>
          <cell r="B2350" t="str">
            <v xml:space="preserve">JOELHO PPR 45 GRAUS, SOLDAVEL, F/F, DN 40 MM, PARA AQUA QUENTE E FRIA PREDIAL                                                                                                                                                                                                                                                                                                                                                                                                                             </v>
          </cell>
          <cell r="C2350" t="str">
            <v xml:space="preserve">UN    </v>
          </cell>
          <cell r="D2350" t="str">
            <v>CR</v>
          </cell>
          <cell r="E2350" t="str">
            <v>12,98</v>
          </cell>
        </row>
        <row r="2351">
          <cell r="A2351">
            <v>38988</v>
          </cell>
          <cell r="B2351" t="str">
            <v xml:space="preserve">JOELHO PPR 45 GRAUS, SOLDAVEL, F/F, DN 50 MM, PARA AQUA QUENTE E FRIA PREDIAL                                                                                                                                                                                                                                                                                                                                                                                                                             </v>
          </cell>
          <cell r="C2351" t="str">
            <v xml:space="preserve">UN    </v>
          </cell>
          <cell r="D2351" t="str">
            <v>CR</v>
          </cell>
          <cell r="E2351" t="str">
            <v>21,15</v>
          </cell>
        </row>
        <row r="2352">
          <cell r="A2352">
            <v>38989</v>
          </cell>
          <cell r="B2352" t="str">
            <v xml:space="preserve">JOELHO PPR 45 GRAUS, SOLDAVEL, F/F, DN 63 MM, PARA AQUA QUENTE E FRIA PREDIAL                                                                                                                                                                                                                                                                                                                                                                                                                             </v>
          </cell>
          <cell r="C2352" t="str">
            <v xml:space="preserve">UN    </v>
          </cell>
          <cell r="D2352" t="str">
            <v>CR</v>
          </cell>
          <cell r="E2352" t="str">
            <v>35,59</v>
          </cell>
        </row>
        <row r="2353">
          <cell r="A2353">
            <v>38990</v>
          </cell>
          <cell r="B2353" t="str">
            <v xml:space="preserve">JOELHO PPR 45 GRAUS, SOLDAVEL, F/F, DN 75 MM, PARA AQUA QUENTE E FRIA PREDIAL                                                                                                                                                                                                                                                                                                                                                                                                                             </v>
          </cell>
          <cell r="C2353" t="str">
            <v xml:space="preserve">UN    </v>
          </cell>
          <cell r="D2353" t="str">
            <v>CR</v>
          </cell>
          <cell r="E2353" t="str">
            <v>71,12</v>
          </cell>
        </row>
        <row r="2354">
          <cell r="A2354">
            <v>38991</v>
          </cell>
          <cell r="B2354" t="str">
            <v xml:space="preserve">JOELHO PPR 45 GRAUS, SOLDAVEL, F/F, DN 90 MM, PARA AQUA QUENTE E FRIA PREDIAL                                                                                                                                                                                                                                                                                                                                                                                                                             </v>
          </cell>
          <cell r="C2354" t="str">
            <v xml:space="preserve">UN    </v>
          </cell>
          <cell r="D2354" t="str">
            <v>CR</v>
          </cell>
          <cell r="E2354" t="str">
            <v>127,97</v>
          </cell>
        </row>
        <row r="2355">
          <cell r="A2355">
            <v>38433</v>
          </cell>
          <cell r="B2355" t="str">
            <v xml:space="preserve">JOELHO PPR, 45 GRAUS, SOLDAVEL, F/F, DN 32 MM, PARA AGUA QUENTE PREDIAL                                                                                                                                                                                                                                                                                                                                                                                                                                   </v>
          </cell>
          <cell r="C2355" t="str">
            <v xml:space="preserve">UN    </v>
          </cell>
          <cell r="D2355" t="str">
            <v>CR</v>
          </cell>
          <cell r="E2355" t="str">
            <v>6,61</v>
          </cell>
        </row>
        <row r="2356">
          <cell r="A2356">
            <v>38440</v>
          </cell>
          <cell r="B2356" t="str">
            <v xml:space="preserve">JOELHO PPR, 90 GRAUS, SOLDAVEL, F/F, DN 110 MM, PARA AGUA QUENTE PREDIAL                                                                                                                                                                                                                                                                                                                                                                                                                                  </v>
          </cell>
          <cell r="C2356" t="str">
            <v xml:space="preserve">UN    </v>
          </cell>
          <cell r="D2356" t="str">
            <v>CR</v>
          </cell>
          <cell r="E2356" t="str">
            <v>278,90</v>
          </cell>
        </row>
        <row r="2357">
          <cell r="A2357">
            <v>36359</v>
          </cell>
          <cell r="B2357" t="str">
            <v xml:space="preserve">JOELHO PPR, 90 GRAUS, SOLDAVEL, F/F, DN 20 MM, PARA AGUA QUENTE PREDIAL                                                                                                                                                                                                                                                                                                                                                                                                                                   </v>
          </cell>
          <cell r="C2357" t="str">
            <v xml:space="preserve">UN    </v>
          </cell>
          <cell r="D2357" t="str">
            <v>CR</v>
          </cell>
          <cell r="E2357" t="str">
            <v>1,74</v>
          </cell>
        </row>
        <row r="2358">
          <cell r="A2358">
            <v>36360</v>
          </cell>
          <cell r="B2358" t="str">
            <v xml:space="preserve">JOELHO PPR, 90 GRAUS, SOLDAVEL, F/F, DN 25 MM, PARA AGUA QUENTE PREDIAL                                                                                                                                                                                                                                                                                                                                                                                                                                   </v>
          </cell>
          <cell r="C2358" t="str">
            <v xml:space="preserve">UN    </v>
          </cell>
          <cell r="D2358" t="str">
            <v>CR</v>
          </cell>
          <cell r="E2358" t="str">
            <v>2,34</v>
          </cell>
        </row>
        <row r="2359">
          <cell r="A2359">
            <v>38434</v>
          </cell>
          <cell r="B2359" t="str">
            <v xml:space="preserve">JOELHO PPR, 90 GRAUS, SOLDAVEL, F/F, DN 32 MM, PARA AGUA QUENTE PREDIAL                                                                                                                                                                                                                                                                                                                                                                                                                                   </v>
          </cell>
          <cell r="C2359" t="str">
            <v xml:space="preserve">UN    </v>
          </cell>
          <cell r="D2359" t="str">
            <v>CR</v>
          </cell>
          <cell r="E2359" t="str">
            <v>3,56</v>
          </cell>
        </row>
        <row r="2360">
          <cell r="A2360">
            <v>38435</v>
          </cell>
          <cell r="B2360" t="str">
            <v xml:space="preserve">JOELHO PPR, 90 GRAUS, SOLDAVEL, F/F, DN 40 MM, PARA AGUA QUENTE PREDIAL                                                                                                                                                                                                                                                                                                                                                                                                                                   </v>
          </cell>
          <cell r="C2360" t="str">
            <v xml:space="preserve">UN    </v>
          </cell>
          <cell r="D2360" t="str">
            <v>CR</v>
          </cell>
          <cell r="E2360" t="str">
            <v>8,02</v>
          </cell>
        </row>
        <row r="2361">
          <cell r="A2361">
            <v>38436</v>
          </cell>
          <cell r="B2361" t="str">
            <v xml:space="preserve">JOELHO PPR, 90 GRAUS, SOLDAVEL, F/F, DN 50 MM, PARA AGUA QUENTE PREDIAL                                                                                                                                                                                                                                                                                                                                                                                                                                   </v>
          </cell>
          <cell r="C2361" t="str">
            <v xml:space="preserve">UN    </v>
          </cell>
          <cell r="D2361" t="str">
            <v>CR</v>
          </cell>
          <cell r="E2361" t="str">
            <v>13,30</v>
          </cell>
        </row>
        <row r="2362">
          <cell r="A2362">
            <v>38437</v>
          </cell>
          <cell r="B2362" t="str">
            <v xml:space="preserve">JOELHO PPR, 90 GRAUS, SOLDAVEL, F/F, DN 63 MM, PARA AGUA QUENTE PREDIAL                                                                                                                                                                                                                                                                                                                                                                                                                                   </v>
          </cell>
          <cell r="C2362" t="str">
            <v xml:space="preserve">UN    </v>
          </cell>
          <cell r="D2362" t="str">
            <v>CR</v>
          </cell>
          <cell r="E2362" t="str">
            <v>21,57</v>
          </cell>
        </row>
        <row r="2363">
          <cell r="A2363">
            <v>38438</v>
          </cell>
          <cell r="B2363" t="str">
            <v xml:space="preserve">JOELHO PPR, 90 GRAUS, SOLDAVEL, F/F, DN 75 MM, PARA AGUA QUENTE PREDIAL                                                                                                                                                                                                                                                                                                                                                                                                                                   </v>
          </cell>
          <cell r="C2363" t="str">
            <v xml:space="preserve">UN    </v>
          </cell>
          <cell r="D2363" t="str">
            <v>CR</v>
          </cell>
          <cell r="E2363" t="str">
            <v>62,57</v>
          </cell>
        </row>
        <row r="2364">
          <cell r="A2364">
            <v>38439</v>
          </cell>
          <cell r="B2364" t="str">
            <v xml:space="preserve">JOELHO PPR, 90 GRAUS, SOLDAVEL, F/F, DN 90 MM, PARA AGUA QUENTE PREDIAL                                                                                                                                                                                                                                                                                                                                                                                                                                   </v>
          </cell>
          <cell r="C2364" t="str">
            <v xml:space="preserve">UN    </v>
          </cell>
          <cell r="D2364" t="str">
            <v>CR</v>
          </cell>
          <cell r="E2364" t="str">
            <v>79,50</v>
          </cell>
        </row>
        <row r="2365">
          <cell r="A2365">
            <v>10836</v>
          </cell>
          <cell r="B2365" t="str">
            <v xml:space="preserve">JOELHO PVC COM VISITA, 90 GRAUS, DN 100 X 50 MM, SERIE NORMAL, PARA ESGOTO PREDIAL                                                                                                                                                                                                                                                                                                                                                                                                                        </v>
          </cell>
          <cell r="C2365" t="str">
            <v xml:space="preserve">UN    </v>
          </cell>
          <cell r="D2365" t="str">
            <v>CR</v>
          </cell>
          <cell r="E2365" t="str">
            <v>20,01</v>
          </cell>
        </row>
        <row r="2366">
          <cell r="A2366">
            <v>10835</v>
          </cell>
          <cell r="B2366" t="str">
            <v xml:space="preserve">JOELHO PVC, COM BOLSA E ANEL, 90 GRAUS, DN 40 X *38* MM, SERIE NORMAL, PARA ESGOTO PREDIAL                                                                                                                                                                                                                                                                                                                                                                                                                </v>
          </cell>
          <cell r="C2366" t="str">
            <v xml:space="preserve">UN    </v>
          </cell>
          <cell r="D2366" t="str">
            <v>CR</v>
          </cell>
          <cell r="E2366" t="str">
            <v>5,59</v>
          </cell>
        </row>
        <row r="2367">
          <cell r="A2367">
            <v>3475</v>
          </cell>
          <cell r="B2367" t="str">
            <v xml:space="preserve">JOELHO PVC, ROSCAVEL, 45 GRAUS, 1/2", COR BRANCA, PARA AGUA FRIA PREDIAL                                                                                                                                                                                                                                                                                                                                                                                                                                  </v>
          </cell>
          <cell r="C2367" t="str">
            <v xml:space="preserve">UN    </v>
          </cell>
          <cell r="D2367" t="str">
            <v>CR</v>
          </cell>
          <cell r="E2367" t="str">
            <v>4,24</v>
          </cell>
        </row>
        <row r="2368">
          <cell r="A2368">
            <v>3485</v>
          </cell>
          <cell r="B2368" t="str">
            <v xml:space="preserve">JOELHO PVC, ROSCAVEL, 45 GRAUS, 1", COR BRANCA, PARA AGUA FRIA PREDIAL                                                                                                                                                                                                                                                                                                                                                                                                                                    </v>
          </cell>
          <cell r="C2368" t="str">
            <v xml:space="preserve">UN    </v>
          </cell>
          <cell r="D2368" t="str">
            <v>CR</v>
          </cell>
          <cell r="E2368" t="str">
            <v>11,71</v>
          </cell>
        </row>
        <row r="2369">
          <cell r="A2369">
            <v>3534</v>
          </cell>
          <cell r="B2369" t="str">
            <v xml:space="preserve">JOELHO PVC, ROSCAVEL, 45 GRAUS, 3/4", COR BRANCA, PARA AGUA FRIA PREDIAL                                                                                                                                                                                                                                                                                                                                                                                                                                  </v>
          </cell>
          <cell r="C2369" t="str">
            <v xml:space="preserve">UN    </v>
          </cell>
          <cell r="D2369" t="str">
            <v>CR</v>
          </cell>
          <cell r="E2369" t="str">
            <v>6,71</v>
          </cell>
        </row>
        <row r="2370">
          <cell r="A2370">
            <v>3543</v>
          </cell>
          <cell r="B2370" t="str">
            <v xml:space="preserve">JOELHO PVC, ROSCAVEL, 90 GRAUS, 1/2", COR BRANCA, PARA AGUA FRIA PREDIAL                                                                                                                                                                                                                                                                                                                                                                                                                                  </v>
          </cell>
          <cell r="C2370" t="str">
            <v xml:space="preserve">UN    </v>
          </cell>
          <cell r="D2370" t="str">
            <v>CR</v>
          </cell>
          <cell r="E2370" t="str">
            <v>1,56</v>
          </cell>
        </row>
        <row r="2371">
          <cell r="A2371">
            <v>3482</v>
          </cell>
          <cell r="B2371" t="str">
            <v xml:space="preserve">JOELHO PVC, ROSCAVEL, 90 GRAUS, 1", COR BRANCA, PARA AGUA FRIA PREDIAL                                                                                                                                                                                                                                                                                                                                                                                                                                    </v>
          </cell>
          <cell r="C2371" t="str">
            <v xml:space="preserve">UN    </v>
          </cell>
          <cell r="D2371" t="str">
            <v>CR</v>
          </cell>
          <cell r="E2371" t="str">
            <v>4,80</v>
          </cell>
        </row>
        <row r="2372">
          <cell r="A2372">
            <v>3505</v>
          </cell>
          <cell r="B2372" t="str">
            <v xml:space="preserve">JOELHO PVC, ROSCAVEL, 90 GRAUS, 3/4", COR BRANCA, PARA AGUA FRIA PREDIAL                                                                                                                                                                                                                                                                                                                                                                                                                                  </v>
          </cell>
          <cell r="C2372" t="str">
            <v xml:space="preserve">UN    </v>
          </cell>
          <cell r="D2372" t="str">
            <v>CR</v>
          </cell>
          <cell r="E2372" t="str">
            <v>2,32</v>
          </cell>
        </row>
        <row r="2373">
          <cell r="A2373">
            <v>3521</v>
          </cell>
          <cell r="B2373" t="str">
            <v xml:space="preserve">JOELHO PVC, SOLDAVEL COM ROSCA, 90 GRAUS, 20 MM X 1/2", COR MARROM, PARA AGUA FRIA PREDIAL                                                                                                                                                                                                                                                                                                                                                                                                                </v>
          </cell>
          <cell r="C2373" t="str">
            <v xml:space="preserve">UN    </v>
          </cell>
          <cell r="D2373" t="str">
            <v>CR</v>
          </cell>
          <cell r="E2373" t="str">
            <v>1,75</v>
          </cell>
        </row>
        <row r="2374">
          <cell r="A2374">
            <v>3531</v>
          </cell>
          <cell r="B2374" t="str">
            <v xml:space="preserve">JOELHO PVC, SOLDAVEL COM ROSCA, 90 GRAUS, 25 MM X 1/2", COR MARROM, PARA AGUA FRIA PREDIAL                                                                                                                                                                                                                                                                                                                                                                                                                </v>
          </cell>
          <cell r="C2374" t="str">
            <v xml:space="preserve">UN    </v>
          </cell>
          <cell r="D2374" t="str">
            <v>CR</v>
          </cell>
          <cell r="E2374" t="str">
            <v>3,33</v>
          </cell>
        </row>
        <row r="2375">
          <cell r="A2375">
            <v>3522</v>
          </cell>
          <cell r="B2375" t="str">
            <v xml:space="preserve">JOELHO PVC, SOLDAVEL COM ROSCA, 90 GRAUS, 25 MM X 3/4", COR MARROM, PARA AGUA FRIA PREDIAL                                                                                                                                                                                                                                                                                                                                                                                                                </v>
          </cell>
          <cell r="C2375" t="str">
            <v xml:space="preserve">UN    </v>
          </cell>
          <cell r="D2375" t="str">
            <v>CR</v>
          </cell>
          <cell r="E2375" t="str">
            <v>2,14</v>
          </cell>
        </row>
        <row r="2376">
          <cell r="A2376">
            <v>3527</v>
          </cell>
          <cell r="B2376" t="str">
            <v xml:space="preserve">JOELHO PVC, SOLDAVEL COM ROSCA, 90 GRAUS, 32 MM X 3/4", COR MARROM, PARA AGUA FRIA PREDIAL                                                                                                                                                                                                                                                                                                                                                                                                                </v>
          </cell>
          <cell r="C2376" t="str">
            <v xml:space="preserve">UN    </v>
          </cell>
          <cell r="D2376" t="str">
            <v>CR</v>
          </cell>
          <cell r="E2376" t="str">
            <v>11,28</v>
          </cell>
        </row>
        <row r="2377">
          <cell r="A2377">
            <v>3516</v>
          </cell>
          <cell r="B2377" t="str">
            <v xml:space="preserve">JOELHO PVC, SOLDAVEL, BB, 45 GRAUS, DN 40 MM, PARA ESGOTO PREDIAL                                                                                                                                                                                                                                                                                                                                                                                                                                         </v>
          </cell>
          <cell r="C2377" t="str">
            <v xml:space="preserve">UN    </v>
          </cell>
          <cell r="D2377" t="str">
            <v>CR</v>
          </cell>
          <cell r="E2377" t="str">
            <v>2,31</v>
          </cell>
        </row>
        <row r="2378">
          <cell r="A2378">
            <v>3517</v>
          </cell>
          <cell r="B2378" t="str">
            <v xml:space="preserve">JOELHO PVC, SOLDAVEL, BB, 90 GRAUS, SEM ANEL, DN 40 MM, PARA ESGOTO PREDIAL SECUNDARIO                                                                                                                                                                                                                                                                                                                                                                                                                    </v>
          </cell>
          <cell r="C2378" t="str">
            <v xml:space="preserve">UN    </v>
          </cell>
          <cell r="D2378" t="str">
            <v>CR</v>
          </cell>
          <cell r="E2378" t="str">
            <v>2,08</v>
          </cell>
        </row>
        <row r="2379">
          <cell r="A2379">
            <v>3515</v>
          </cell>
          <cell r="B2379" t="str">
            <v xml:space="preserve">JOELHO PVC, SOLDAVEL, COM BUCHA DE LATAO, 90 GRAUS, 20 MM X 1/2", PARA AGUA FRIA PREDIAL                                                                                                                                                                                                                                                                                                                                                                                                                  </v>
          </cell>
          <cell r="C2379" t="str">
            <v xml:space="preserve">UN    </v>
          </cell>
          <cell r="D2379" t="str">
            <v>CR</v>
          </cell>
          <cell r="E2379" t="str">
            <v>5,75</v>
          </cell>
        </row>
        <row r="2380">
          <cell r="A2380">
            <v>20147</v>
          </cell>
          <cell r="B2380" t="str">
            <v xml:space="preserve">JOELHO PVC, SOLDAVEL, COM BUCHA DE LATAO, 90 GRAUS, 25 MM X 1/2", PARA AGUA FRIA PREDIAL                                                                                                                                                                                                                                                                                                                                                                                                                  </v>
          </cell>
          <cell r="C2380" t="str">
            <v xml:space="preserve">UN    </v>
          </cell>
          <cell r="D2380" t="str">
            <v>CR</v>
          </cell>
          <cell r="E2380" t="str">
            <v>4,73</v>
          </cell>
        </row>
        <row r="2381">
          <cell r="A2381">
            <v>3524</v>
          </cell>
          <cell r="B2381" t="str">
            <v xml:space="preserve">JOELHO PVC, SOLDAVEL, COM BUCHA DE LATAO, 90 GRAUS, 25 MM X 3/4", PARA AGUA FRIA PREDIAL                                                                                                                                                                                                                                                                                                                                                                                                                  </v>
          </cell>
          <cell r="C2381" t="str">
            <v xml:space="preserve">UN    </v>
          </cell>
          <cell r="D2381" t="str">
            <v>CR</v>
          </cell>
          <cell r="E2381" t="str">
            <v>7,12</v>
          </cell>
        </row>
        <row r="2382">
          <cell r="A2382">
            <v>3532</v>
          </cell>
          <cell r="B2382" t="str">
            <v xml:space="preserve">JOELHO PVC, SOLDAVEL, COM BUCHA DE LATAO, 90 GRAUS, 32 MM X 3/4", PARA AGUA FRIA PREDIAL                                                                                                                                                                                                                                                                                                                                                                                                                  </v>
          </cell>
          <cell r="C2382" t="str">
            <v xml:space="preserve">UN    </v>
          </cell>
          <cell r="D2382" t="str">
            <v>CR</v>
          </cell>
          <cell r="E2382" t="str">
            <v>16,46</v>
          </cell>
        </row>
        <row r="2383">
          <cell r="A2383">
            <v>3528</v>
          </cell>
          <cell r="B2383" t="str">
            <v xml:space="preserve">JOELHO PVC, SOLDAVEL, PB, 45 GRAUS, DN 100 MM, PARA ESGOTO PREDIAL                                                                                                                                                                                                                                                                                                                                                                                                                                        </v>
          </cell>
          <cell r="C2383" t="str">
            <v xml:space="preserve">UN    </v>
          </cell>
          <cell r="D2383" t="str">
            <v>CR</v>
          </cell>
          <cell r="E2383" t="str">
            <v>9,01</v>
          </cell>
        </row>
        <row r="2384">
          <cell r="A2384">
            <v>37952</v>
          </cell>
          <cell r="B2384" t="str">
            <v xml:space="preserve">JOELHO PVC, SOLDAVEL, PB, 45 GRAUS, DN 150 MM, PARA ESGOTO PREDIAL                                                                                                                                                                                                                                                                                                                                                                                                                                        </v>
          </cell>
          <cell r="C2384" t="str">
            <v xml:space="preserve">UN    </v>
          </cell>
          <cell r="D2384" t="str">
            <v>CR</v>
          </cell>
          <cell r="E2384" t="str">
            <v>64,58</v>
          </cell>
        </row>
        <row r="2385">
          <cell r="A2385">
            <v>37951</v>
          </cell>
          <cell r="B2385" t="str">
            <v xml:space="preserve">JOELHO PVC, SOLDAVEL, PB, 45 GRAUS, DN 40 MM, PARA ESGOTO PREDIAL                                                                                                                                                                                                                                                                                                                                                                                                                                         </v>
          </cell>
          <cell r="C2385" t="str">
            <v xml:space="preserve">UN    </v>
          </cell>
          <cell r="D2385" t="str">
            <v>CR</v>
          </cell>
          <cell r="E2385" t="str">
            <v>2,43</v>
          </cell>
        </row>
        <row r="2386">
          <cell r="A2386">
            <v>3518</v>
          </cell>
          <cell r="B2386" t="str">
            <v xml:space="preserve">JOELHO PVC, SOLDAVEL, PB, 45 GRAUS, DN 50 MM, PARA ESGOTO PREDIAL                                                                                                                                                                                                                                                                                                                                                                                                                                         </v>
          </cell>
          <cell r="C2386" t="str">
            <v xml:space="preserve">UN    </v>
          </cell>
          <cell r="D2386" t="str">
            <v>CR</v>
          </cell>
          <cell r="E2386" t="str">
            <v>3,73</v>
          </cell>
        </row>
        <row r="2387">
          <cell r="A2387">
            <v>3519</v>
          </cell>
          <cell r="B2387" t="str">
            <v xml:space="preserve">JOELHO PVC, SOLDAVEL, PB, 45 GRAUS, DN 75 MM, PARA ESGOTO PREDIAL                                                                                                                                                                                                                                                                                                                                                                                                                                         </v>
          </cell>
          <cell r="C2387" t="str">
            <v xml:space="preserve">UN    </v>
          </cell>
          <cell r="D2387" t="str">
            <v>CR</v>
          </cell>
          <cell r="E2387" t="str">
            <v>7,81</v>
          </cell>
        </row>
        <row r="2388">
          <cell r="A2388">
            <v>3520</v>
          </cell>
          <cell r="B2388" t="str">
            <v xml:space="preserve">JOELHO PVC, SOLDAVEL, PB, 90 GRAUS, DN 100 MM, PARA ESGOTO PREDIAL                                                                                                                                                                                                                                                                                                                                                                                                                                        </v>
          </cell>
          <cell r="C2388" t="str">
            <v xml:space="preserve">UN    </v>
          </cell>
          <cell r="D2388" t="str">
            <v>CR</v>
          </cell>
          <cell r="E2388" t="str">
            <v>8,19</v>
          </cell>
        </row>
        <row r="2389">
          <cell r="A2389">
            <v>37950</v>
          </cell>
          <cell r="B2389" t="str">
            <v xml:space="preserve">JOELHO PVC, SOLDAVEL, PB, 90 GRAUS, DN 150 MM, PARA ESGOTO PREDIAL                                                                                                                                                                                                                                                                                                                                                                                                                                        </v>
          </cell>
          <cell r="C2389" t="str">
            <v xml:space="preserve">UN    </v>
          </cell>
          <cell r="D2389" t="str">
            <v>CR</v>
          </cell>
          <cell r="E2389" t="str">
            <v>59,45</v>
          </cell>
        </row>
        <row r="2390">
          <cell r="A2390">
            <v>37949</v>
          </cell>
          <cell r="B2390" t="str">
            <v xml:space="preserve">JOELHO PVC, SOLDAVEL, PB, 90 GRAUS, DN 40 MM, PARA ESGOTO PREDIAL                                                                                                                                                                                                                                                                                                                                                                                                                                         </v>
          </cell>
          <cell r="C2390" t="str">
            <v xml:space="preserve">UN    </v>
          </cell>
          <cell r="D2390" t="str">
            <v>CR</v>
          </cell>
          <cell r="E2390" t="str">
            <v>2,19</v>
          </cell>
        </row>
        <row r="2391">
          <cell r="A2391">
            <v>3526</v>
          </cell>
          <cell r="B2391" t="str">
            <v xml:space="preserve">JOELHO PVC, SOLDAVEL, PB, 90 GRAUS, DN 50 MM, PARA ESGOTO PREDIAL                                                                                                                                                                                                                                                                                                                                                                                                                                         </v>
          </cell>
          <cell r="C2391" t="str">
            <v xml:space="preserve">UN    </v>
          </cell>
          <cell r="D2391" t="str">
            <v>CR</v>
          </cell>
          <cell r="E2391" t="str">
            <v>3,02</v>
          </cell>
        </row>
        <row r="2392">
          <cell r="A2392">
            <v>3509</v>
          </cell>
          <cell r="B2392" t="str">
            <v xml:space="preserve">JOELHO PVC, SOLDAVEL, PB, 90 GRAUS, DN 75 MM, PARA ESGOTO PREDIAL                                                                                                                                                                                                                                                                                                                                                                                                                                         </v>
          </cell>
          <cell r="C2392" t="str">
            <v xml:space="preserve">UN    </v>
          </cell>
          <cell r="D2392" t="str">
            <v>CR</v>
          </cell>
          <cell r="E2392" t="str">
            <v>6,85</v>
          </cell>
        </row>
        <row r="2393">
          <cell r="A2393">
            <v>3530</v>
          </cell>
          <cell r="B2393" t="str">
            <v xml:space="preserve">JOELHO PVC, SOLDAVEL, 90 GRAUS, 110 MM, COR MARROM, PARA AGUA FRIA PREDIAL                                                                                                                                                                                                                                                                                                                                                                                                                                </v>
          </cell>
          <cell r="C2393" t="str">
            <v xml:space="preserve">UN    </v>
          </cell>
          <cell r="D2393" t="str">
            <v>CR</v>
          </cell>
          <cell r="E2393" t="str">
            <v>182,76</v>
          </cell>
        </row>
        <row r="2394">
          <cell r="A2394">
            <v>3542</v>
          </cell>
          <cell r="B2394" t="str">
            <v xml:space="preserve">JOELHO PVC, SOLDAVEL, 90 GRAUS, 20 MM, COR MARROM, PARA AGUA FRIA PREDIAL                                                                                                                                                                                                                                                                                                                                                                                                                                 </v>
          </cell>
          <cell r="C2394" t="str">
            <v xml:space="preserve">UN    </v>
          </cell>
          <cell r="D2394" t="str">
            <v>CR</v>
          </cell>
          <cell r="E2394" t="str">
            <v>0,52</v>
          </cell>
        </row>
        <row r="2395">
          <cell r="A2395">
            <v>3529</v>
          </cell>
          <cell r="B2395" t="str">
            <v xml:space="preserve">JOELHO PVC, SOLDAVEL, 90 GRAUS, 25 MM, COR MARROM, PARA AGUA FRIA PREDIAL                                                                                                                                                                                                                                                                                                                                                                                                                                 </v>
          </cell>
          <cell r="C2395" t="str">
            <v xml:space="preserve">UN    </v>
          </cell>
          <cell r="D2395" t="str">
            <v>CR</v>
          </cell>
          <cell r="E2395" t="str">
            <v>0,64</v>
          </cell>
        </row>
        <row r="2396">
          <cell r="A2396">
            <v>3536</v>
          </cell>
          <cell r="B2396" t="str">
            <v xml:space="preserve">JOELHO PVC, SOLDAVEL, 90 GRAUS, 32 MM, COR MARROM, PARA AGUA FRIA PREDIAL                                                                                                                                                                                                                                                                                                                                                                                                                                 </v>
          </cell>
          <cell r="C2396" t="str">
            <v xml:space="preserve">UN    </v>
          </cell>
          <cell r="D2396" t="str">
            <v>CR</v>
          </cell>
          <cell r="E2396" t="str">
            <v>2,14</v>
          </cell>
        </row>
        <row r="2397">
          <cell r="A2397">
            <v>3535</v>
          </cell>
          <cell r="B2397" t="str">
            <v xml:space="preserve">JOELHO PVC, SOLDAVEL, 90 GRAUS, 40 MM, COR MARROM, PARA AGUA FRIA PREDIAL                                                                                                                                                                                                                                                                                                                                                                                                                                 </v>
          </cell>
          <cell r="C2397" t="str">
            <v xml:space="preserve">UN    </v>
          </cell>
          <cell r="D2397" t="str">
            <v>CR</v>
          </cell>
          <cell r="E2397" t="str">
            <v>5,21</v>
          </cell>
        </row>
        <row r="2398">
          <cell r="A2398">
            <v>3540</v>
          </cell>
          <cell r="B2398" t="str">
            <v xml:space="preserve">JOELHO PVC, SOLDAVEL, 90 GRAUS, 50 MM, COR MARROM, PARA AGUA FRIA PREDIAL                                                                                                                                                                                                                                                                                                                                                                                                                                 </v>
          </cell>
          <cell r="C2398" t="str">
            <v xml:space="preserve">UN    </v>
          </cell>
          <cell r="D2398" t="str">
            <v>CR</v>
          </cell>
          <cell r="E2398" t="str">
            <v>4,41</v>
          </cell>
        </row>
        <row r="2399">
          <cell r="A2399">
            <v>3539</v>
          </cell>
          <cell r="B2399" t="str">
            <v xml:space="preserve">JOELHO PVC, SOLDAVEL, 90 GRAUS, 60 MM, COR MARROM, PARA AGUA FRIA PREDIAL                                                                                                                                                                                                                                                                                                                                                                                                                                 </v>
          </cell>
          <cell r="C2399" t="str">
            <v xml:space="preserve">UN    </v>
          </cell>
          <cell r="D2399" t="str">
            <v>CR</v>
          </cell>
          <cell r="E2399" t="str">
            <v>25,58</v>
          </cell>
        </row>
        <row r="2400">
          <cell r="A2400">
            <v>3513</v>
          </cell>
          <cell r="B2400" t="str">
            <v xml:space="preserve">JOELHO PVC, SOLDAVEL, 90 GRAUS, 85 MM, COR MARROM, PARA AGUA FRIA PREDIAL                                                                                                                                                                                                                                                                                                                                                                                                                                 </v>
          </cell>
          <cell r="C2400" t="str">
            <v xml:space="preserve">UN    </v>
          </cell>
          <cell r="D2400" t="str">
            <v>CR</v>
          </cell>
          <cell r="E2400" t="str">
            <v>90,20</v>
          </cell>
        </row>
        <row r="2401">
          <cell r="A2401">
            <v>3510</v>
          </cell>
          <cell r="B2401" t="str">
            <v xml:space="preserve">JOELHO PVC, 90 GRAUS, ROSCAVEL, 1 1/4", COR BRANCA, AGUA FRIA PREDIAL                                                                                                                                                                                                                                                                                                                                                                                                                                     </v>
          </cell>
          <cell r="C2401" t="str">
            <v xml:space="preserve">UN    </v>
          </cell>
          <cell r="D2401" t="str">
            <v>CR</v>
          </cell>
          <cell r="E2401" t="str">
            <v>11,14</v>
          </cell>
        </row>
        <row r="2402">
          <cell r="A2402">
            <v>38913</v>
          </cell>
          <cell r="B2402" t="str">
            <v xml:space="preserve">JOELHO/COTOVELO 90 GRAUS, METALICO, PARA CONEXAO COM ANEL DESLIZANTE, DN 16 MM, EM TUBO PEX PARA INST. AGUA QUENTE/FRIA                                                                                                                                                                                                                                                                                                                                                                                   </v>
          </cell>
          <cell r="C2402" t="str">
            <v xml:space="preserve">UN    </v>
          </cell>
          <cell r="D2402" t="str">
            <v>CR</v>
          </cell>
          <cell r="E2402" t="str">
            <v>9,42</v>
          </cell>
        </row>
        <row r="2403">
          <cell r="A2403">
            <v>38914</v>
          </cell>
          <cell r="B2403" t="str">
            <v xml:space="preserve">JOELHO/COTOVELO 90 GRAUS, METALICO, PARA CONEXAO COM ANEL DESLIZANTE, DN 20 MM, EM TUBO PEX PARA INST. AGUA QUENTE/FRIA                                                                                                                                                                                                                                                                                                                                                                                   </v>
          </cell>
          <cell r="C2403" t="str">
            <v xml:space="preserve">UN    </v>
          </cell>
          <cell r="D2403" t="str">
            <v>CR</v>
          </cell>
          <cell r="E2403" t="str">
            <v>11,57</v>
          </cell>
        </row>
        <row r="2404">
          <cell r="A2404">
            <v>38915</v>
          </cell>
          <cell r="B2404" t="str">
            <v xml:space="preserve">JOELHO/COTOVELO 90 GRAUS, METALICO, PARA CONEXAO COM ANEL DESLIZANTE, DN 25 MM, EM TUBO PEX PARA INST. AGUA QUENTE/FRIA                                                                                                                                                                                                                                                                                                                                                                                   </v>
          </cell>
          <cell r="C2404" t="str">
            <v xml:space="preserve">UN    </v>
          </cell>
          <cell r="D2404" t="str">
            <v>CR</v>
          </cell>
          <cell r="E2404" t="str">
            <v>22,29</v>
          </cell>
        </row>
        <row r="2405">
          <cell r="A2405">
            <v>38916</v>
          </cell>
          <cell r="B2405" t="str">
            <v xml:space="preserve">JOELHO/COTOVELO 90 GRAUS, METALICO, PARA CONEXAO COM ANEL DESLIZANTE, DN 32 MM, EM TUBO PEX PARA INST. AGUA QUENTE/FRIA                                                                                                                                                                                                                                                                                                                                                                                   </v>
          </cell>
          <cell r="C2405" t="str">
            <v xml:space="preserve">UN    </v>
          </cell>
          <cell r="D2405" t="str">
            <v>CR</v>
          </cell>
          <cell r="E2405" t="str">
            <v>30,85</v>
          </cell>
        </row>
        <row r="2406">
          <cell r="A2406">
            <v>39300</v>
          </cell>
          <cell r="B2406" t="str">
            <v xml:space="preserve">JOELHO/COTOVELO 90 GRAUS, PLASTICO, PARA CONEXAO COM CRIMPAGEM, DN 16 MM, EM TUBO PEX PARA INST. AGUA QUENTE/FRIA                                                                                                                                                                                                                                                                                                                                                                                         </v>
          </cell>
          <cell r="C2406" t="str">
            <v xml:space="preserve">UN    </v>
          </cell>
          <cell r="D2406" t="str">
            <v>CR</v>
          </cell>
          <cell r="E2406" t="str">
            <v>8,41</v>
          </cell>
        </row>
        <row r="2407">
          <cell r="A2407">
            <v>39301</v>
          </cell>
          <cell r="B2407" t="str">
            <v xml:space="preserve">JOELHO/COTOVELO 90 GRAUS, PLASTICO, PARA CONEXAO COM CRIMPAGEM, DN 20 MM, EM TUBO PEX PARA INST. AGUA QUENTE/FRIA                                                                                                                                                                                                                                                                                                                                                                                         </v>
          </cell>
          <cell r="C2407" t="str">
            <v xml:space="preserve">UN    </v>
          </cell>
          <cell r="D2407" t="str">
            <v>CR</v>
          </cell>
          <cell r="E2407" t="str">
            <v>11,26</v>
          </cell>
        </row>
        <row r="2408">
          <cell r="A2408">
            <v>39302</v>
          </cell>
          <cell r="B2408" t="str">
            <v xml:space="preserve">JOELHO/COTOVELO 90 GRAUS, PLASTICO, PARA CONEXAO COM CRIMPAGEM, DN 25 MM, EM TUBO PEX PARA INST. AGUA QUENTE/FRIA                                                                                                                                                                                                                                                                                                                                                                                         </v>
          </cell>
          <cell r="C2408" t="str">
            <v xml:space="preserve">UN    </v>
          </cell>
          <cell r="D2408" t="str">
            <v>CR</v>
          </cell>
          <cell r="E2408" t="str">
            <v>20,47</v>
          </cell>
        </row>
        <row r="2409">
          <cell r="A2409">
            <v>38941</v>
          </cell>
          <cell r="B2409" t="str">
            <v xml:space="preserve">JOELHO/COTOVELO 90 GRAUS, ROSCA FEMEA MOVEL, METALICO, PARA CONEXAO COM ANEL DESLIZANTE, DN 20 MM X 3/4", EM TUBO PEX PARA INST. AGUA QUENTE/FRIA                                                                                                                                                                                                                                                                                                                                                         </v>
          </cell>
          <cell r="C2409" t="str">
            <v xml:space="preserve">UN    </v>
          </cell>
          <cell r="D2409" t="str">
            <v>CR</v>
          </cell>
          <cell r="E2409" t="str">
            <v>15,20</v>
          </cell>
        </row>
        <row r="2410">
          <cell r="A2410">
            <v>38923</v>
          </cell>
          <cell r="B2410" t="str">
            <v xml:space="preserve">JOELHO/COTOVELO 90 GRAUS, ROSCA FEMEA TERMINAL, METALICO, PARA CONEXAO COM ANEL DESLIZANTE, DN 16 MM X 1/2", EM TUBO PEX PARA INST. AGUA QUENTE/FRIA                                                                                                                                                                                                                                                                                                                                                      </v>
          </cell>
          <cell r="C2410" t="str">
            <v xml:space="preserve">UN    </v>
          </cell>
          <cell r="D2410" t="str">
            <v>CR</v>
          </cell>
          <cell r="E2410" t="str">
            <v>10,08</v>
          </cell>
        </row>
        <row r="2411">
          <cell r="A2411">
            <v>38925</v>
          </cell>
          <cell r="B2411" t="str">
            <v xml:space="preserve">JOELHO/COTOVELO 90 GRAUS, ROSCA FEMEA TERMINAL, METALICO, PARA CONEXAO COM ANEL DESLIZANTE, DN 20 MM X 1/2", EM TUBO PEX PARA INST. AGUA QUENTE/FRIA                                                                                                                                                                                                                                                                                                                                                      </v>
          </cell>
          <cell r="C2411" t="str">
            <v xml:space="preserve">UN    </v>
          </cell>
          <cell r="D2411" t="str">
            <v>CR</v>
          </cell>
          <cell r="E2411" t="str">
            <v>11,70</v>
          </cell>
        </row>
        <row r="2412">
          <cell r="A2412">
            <v>38926</v>
          </cell>
          <cell r="B2412" t="str">
            <v xml:space="preserve">JOELHO/COTOVELO 90 GRAUS, ROSCA FEMEA TERMINAL, METALICO, PARA CONEXAO COM ANEL DESLIZANTE, DN 20 MM X 3/4", EM TUBO PEX PARA INST. AGUA QUENTE/FRIA                                                                                                                                                                                                                                                                                                                                                      </v>
          </cell>
          <cell r="C2412" t="str">
            <v xml:space="preserve">UN    </v>
          </cell>
          <cell r="D2412" t="str">
            <v>CR</v>
          </cell>
          <cell r="E2412" t="str">
            <v>13,87</v>
          </cell>
        </row>
        <row r="2413">
          <cell r="A2413">
            <v>38927</v>
          </cell>
          <cell r="B2413" t="str">
            <v xml:space="preserve">JOELHO/COTOVELO 90 GRAUS, ROSCA FEMEA TERMINAL, METALICO, PARA CONEXAO COM ANEL DESLIZANTE, DN 25 MM X 3/4", EM TUBO PEX PARA INST. AGUA QUENTE/FRIA                                                                                                                                                                                                                                                                                                                                                      </v>
          </cell>
          <cell r="C2413" t="str">
            <v xml:space="preserve">UN    </v>
          </cell>
          <cell r="D2413" t="str">
            <v>CR</v>
          </cell>
          <cell r="E2413" t="str">
            <v>17,52</v>
          </cell>
        </row>
        <row r="2414">
          <cell r="A2414">
            <v>39304</v>
          </cell>
          <cell r="B2414" t="str">
            <v xml:space="preserve">JOELHO/COTOVELO 90 GRAUS, ROSCA FEMEA TERMINAL, PLASTICO, PARA CONEXAO COM CRIMPAGEM, DN 16 MM X 1/2", EM TUBO PEX PARA INST. AGUA QUENTE/FRIA                                                                                                                                                                                                                                                                                                                                                            </v>
          </cell>
          <cell r="C2414" t="str">
            <v xml:space="preserve">UN    </v>
          </cell>
          <cell r="D2414" t="str">
            <v>CR</v>
          </cell>
          <cell r="E2414" t="str">
            <v>9,95</v>
          </cell>
        </row>
        <row r="2415">
          <cell r="A2415">
            <v>39305</v>
          </cell>
          <cell r="B2415" t="str">
            <v xml:space="preserve">JOELHO/COTOVELO 90 GRAUS, ROSCA FEMEA TERMINAL, PLASTICO, PARA CONEXAO COM CRIMPAGEM, DN 20 MM X 1/2", EM TUBO PEX PARA INST. AGUA QUENTE/FRIA                                                                                                                                                                                                                                                                                                                                                            </v>
          </cell>
          <cell r="C2415" t="str">
            <v xml:space="preserve">UN    </v>
          </cell>
          <cell r="D2415" t="str">
            <v>CR</v>
          </cell>
          <cell r="E2415" t="str">
            <v>10,91</v>
          </cell>
        </row>
        <row r="2416">
          <cell r="A2416">
            <v>39306</v>
          </cell>
          <cell r="B2416" t="str">
            <v xml:space="preserve">JOELHO/COTOVELO 90 GRAUS, ROSCA FEMEA TERMINAL, PLASTICO, PARA CONEXAO COM CRIMPAGEM, DN 20 MM X 3/4", EM TUBO PEX PARA INST. AGUA QUENTE/FRIA                                                                                                                                                                                                                                                                                                                                                            </v>
          </cell>
          <cell r="C2416" t="str">
            <v xml:space="preserve">UN    </v>
          </cell>
          <cell r="D2416" t="str">
            <v>CR</v>
          </cell>
          <cell r="E2416" t="str">
            <v>14,67</v>
          </cell>
        </row>
        <row r="2417">
          <cell r="A2417">
            <v>38928</v>
          </cell>
          <cell r="B2417" t="str">
            <v xml:space="preserve">JOELHO/COTOVELO 90 GRAUS, ROSCA FEMEA TERMINAL, PLASTICO, PARA CONEXAO COM CRIMPAGEM, DN 25 MM X 1/2", EM TUBO PEX PARA INST. AGUA QUENTE/FRIA                                                                                                                                                                                                                                                                                                                                                            </v>
          </cell>
          <cell r="C2417" t="str">
            <v xml:space="preserve">UN    </v>
          </cell>
          <cell r="D2417" t="str">
            <v>CR</v>
          </cell>
          <cell r="E2417" t="str">
            <v>19,39</v>
          </cell>
        </row>
        <row r="2418">
          <cell r="A2418">
            <v>38917</v>
          </cell>
          <cell r="B2418" t="str">
            <v xml:space="preserve">JOELHO/COTOVELO 90 GRAUS, ROSCA FEMEA, COM BASE FIXA, METALICO, PARA CONEXAO COM ANEL DESLIZANTE, DN 16 MM X 1/2", EM TUBO PEX PARA INST. AGUA QUENTE/FRIA                                                                                                                                                                                                                                                                                                                                                </v>
          </cell>
          <cell r="C2418" t="str">
            <v xml:space="preserve">UN    </v>
          </cell>
          <cell r="D2418" t="str">
            <v>CR</v>
          </cell>
          <cell r="E2418" t="str">
            <v>10,84</v>
          </cell>
        </row>
        <row r="2419">
          <cell r="A2419">
            <v>38919</v>
          </cell>
          <cell r="B2419" t="str">
            <v xml:space="preserve">JOELHO/COTOVELO 90 GRAUS, ROSCA FEMEA, COM BASE FIXA, METALICO, PARA CONEXAO COM ANEL DESLIZANTE, DN 20 MM X 1/2", EM TUBO PEX PARA INST. AGUA QUENTE/FRIA                                                                                                                                                                                                                                                                                                                                                </v>
          </cell>
          <cell r="C2419" t="str">
            <v xml:space="preserve">UN    </v>
          </cell>
          <cell r="D2419" t="str">
            <v>CR</v>
          </cell>
          <cell r="E2419" t="str">
            <v>12,72</v>
          </cell>
        </row>
        <row r="2420">
          <cell r="A2420">
            <v>38922</v>
          </cell>
          <cell r="B2420" t="str">
            <v xml:space="preserve">JOELHO/COTOVELO 90 GRAUS, ROSCA FEMEA, COM BASE FIXA, METALICO, PARA CONEXAO COM ANEL DESLIZANTE, DN 25 MM X 3/4", EM TUBO PEX PARA INST. AGUA QUENTE/FRIA                                                                                                                                                                                                                                                                                                                                                </v>
          </cell>
          <cell r="C2420" t="str">
            <v xml:space="preserve">UN    </v>
          </cell>
          <cell r="D2420" t="str">
            <v>CR</v>
          </cell>
          <cell r="E2420" t="str">
            <v>17,07</v>
          </cell>
        </row>
        <row r="2421">
          <cell r="A2421">
            <v>20151</v>
          </cell>
          <cell r="B2421" t="str">
            <v xml:space="preserve">JOELHO, PVC SERIE R, 45 GRAUS, DN 100 MM, PARA ESGOTO PREDIAL                                                                                                                                                                                                                                                                                                                                                                                                                                             </v>
          </cell>
          <cell r="C2421" t="str">
            <v xml:space="preserve">UN    </v>
          </cell>
          <cell r="D2421" t="str">
            <v>CR</v>
          </cell>
          <cell r="E2421" t="str">
            <v>20,14</v>
          </cell>
        </row>
        <row r="2422">
          <cell r="A2422">
            <v>20152</v>
          </cell>
          <cell r="B2422" t="str">
            <v xml:space="preserve">JOELHO, PVC SERIE R, 45 GRAUS, DN 150 MM, PARA ESGOTO PREDIAL                                                                                                                                                                                                                                                                                                                                                                                                                                             </v>
          </cell>
          <cell r="C2422" t="str">
            <v xml:space="preserve">UN    </v>
          </cell>
          <cell r="D2422" t="str">
            <v>CR</v>
          </cell>
          <cell r="E2422" t="str">
            <v>72,87</v>
          </cell>
        </row>
        <row r="2423">
          <cell r="A2423">
            <v>20148</v>
          </cell>
          <cell r="B2423" t="str">
            <v xml:space="preserve">JOELHO, PVC SERIE R, 45 GRAUS, DN 40 MM, PARA ESGOTO PREDIAL                                                                                                                                                                                                                                                                                                                                                                                                                                              </v>
          </cell>
          <cell r="C2423" t="str">
            <v xml:space="preserve">UN    </v>
          </cell>
          <cell r="D2423" t="str">
            <v>CR</v>
          </cell>
          <cell r="E2423" t="str">
            <v>3,96</v>
          </cell>
        </row>
        <row r="2424">
          <cell r="A2424">
            <v>20149</v>
          </cell>
          <cell r="B2424" t="str">
            <v xml:space="preserve">JOELHO, PVC SERIE R, 45 GRAUS, DN 50 MM, PARA ESGOTO PREDIAL                                                                                                                                                                                                                                                                                                                                                                                                                                              </v>
          </cell>
          <cell r="C2424" t="str">
            <v xml:space="preserve">UN    </v>
          </cell>
          <cell r="D2424" t="str">
            <v>CR</v>
          </cell>
          <cell r="E2424" t="str">
            <v>6,61</v>
          </cell>
        </row>
        <row r="2425">
          <cell r="A2425">
            <v>20150</v>
          </cell>
          <cell r="B2425" t="str">
            <v xml:space="preserve">JOELHO, PVC SERIE R, 45 GRAUS, DN 75 MM, PARA ESGOTO PREDIAL                                                                                                                                                                                                                                                                                                                                                                                                                                              </v>
          </cell>
          <cell r="C2425" t="str">
            <v xml:space="preserve">UN    </v>
          </cell>
          <cell r="D2425" t="str">
            <v>CR</v>
          </cell>
          <cell r="E2425" t="str">
            <v>17,04</v>
          </cell>
        </row>
        <row r="2426">
          <cell r="A2426">
            <v>20157</v>
          </cell>
          <cell r="B2426" t="str">
            <v xml:space="preserve">JOELHO, PVC SERIE R, 90 GRAUS, DN 100 MM, PARA ESGOTO PREDIAL                                                                                                                                                                                                                                                                                                                                                                                                                                             </v>
          </cell>
          <cell r="C2426" t="str">
            <v xml:space="preserve">UN    </v>
          </cell>
          <cell r="D2426" t="str">
            <v>CR</v>
          </cell>
          <cell r="E2426" t="str">
            <v>19,13</v>
          </cell>
        </row>
        <row r="2427">
          <cell r="A2427">
            <v>20158</v>
          </cell>
          <cell r="B2427" t="str">
            <v xml:space="preserve">JOELHO, PVC SERIE R, 90 GRAUS, DN 150 MM, PARA ESGOTO PREDIAL                                                                                                                                                                                                                                                                                                                                                                                                                                             </v>
          </cell>
          <cell r="C2427" t="str">
            <v xml:space="preserve">UN    </v>
          </cell>
          <cell r="D2427" t="str">
            <v>CR</v>
          </cell>
          <cell r="E2427" t="str">
            <v>75,96</v>
          </cell>
        </row>
        <row r="2428">
          <cell r="A2428">
            <v>20154</v>
          </cell>
          <cell r="B2428" t="str">
            <v xml:space="preserve">JOELHO, PVC SERIE R, 90 GRAUS, DN 40 MM, PARA ESGOTO PREDIAL                                                                                                                                                                                                                                                                                                                                                                                                                                              </v>
          </cell>
          <cell r="C2428" t="str">
            <v xml:space="preserve">UN    </v>
          </cell>
          <cell r="D2428" t="str">
            <v>CR</v>
          </cell>
          <cell r="E2428" t="str">
            <v>3,88</v>
          </cell>
        </row>
        <row r="2429">
          <cell r="A2429">
            <v>20155</v>
          </cell>
          <cell r="B2429" t="str">
            <v xml:space="preserve">JOELHO, PVC SERIE R, 90 GRAUS, DN 50 MM, PARA ESGOTO PREDIAL                                                                                                                                                                                                                                                                                                                                                                                                                                              </v>
          </cell>
          <cell r="C2429" t="str">
            <v xml:space="preserve">UN    </v>
          </cell>
          <cell r="D2429" t="str">
            <v>CR</v>
          </cell>
          <cell r="E2429" t="str">
            <v>5,90</v>
          </cell>
        </row>
        <row r="2430">
          <cell r="A2430">
            <v>20156</v>
          </cell>
          <cell r="B2430" t="str">
            <v xml:space="preserve">JOELHO, PVC SERIE R, 90 GRAUS, DN 75 MM, PARA ESGOTO PREDIAL                                                                                                                                                                                                                                                                                                                                                                                                                                              </v>
          </cell>
          <cell r="C2430" t="str">
            <v xml:space="preserve">UN    </v>
          </cell>
          <cell r="D2430" t="str">
            <v>CR</v>
          </cell>
          <cell r="E2430" t="str">
            <v>16,59</v>
          </cell>
        </row>
        <row r="2431">
          <cell r="A2431">
            <v>3499</v>
          </cell>
          <cell r="B2431" t="str">
            <v xml:space="preserve">JOELHO, PVC SOLDAVEL, 45 GRAUS, 20 MM, COR MARROM, PARA AGUA FRIA PREDIAL                                                                                                                                                                                                                                                                                                                                                                                                                                 </v>
          </cell>
          <cell r="C2431" t="str">
            <v xml:space="preserve">UN    </v>
          </cell>
          <cell r="D2431" t="str">
            <v>CR</v>
          </cell>
          <cell r="E2431" t="str">
            <v>1,00</v>
          </cell>
        </row>
        <row r="2432">
          <cell r="A2432">
            <v>3500</v>
          </cell>
          <cell r="B2432" t="str">
            <v xml:space="preserve">JOELHO, PVC SOLDAVEL, 45 GRAUS, 25 MM, COR MARROM, PARA AGUA FRIA PREDIAL                                                                                                                                                                                                                                                                                                                                                                                                                                 </v>
          </cell>
          <cell r="C2432" t="str">
            <v xml:space="preserve">UN    </v>
          </cell>
          <cell r="D2432" t="str">
            <v>CR</v>
          </cell>
          <cell r="E2432" t="str">
            <v>1,32</v>
          </cell>
        </row>
        <row r="2433">
          <cell r="A2433">
            <v>3501</v>
          </cell>
          <cell r="B2433" t="str">
            <v xml:space="preserve">JOELHO, PVC SOLDAVEL, 45 GRAUS, 32 MM, COR MARROM, PARA AGUA FRIA PREDIAL                                                                                                                                                                                                                                                                                                                                                                                                                                 </v>
          </cell>
          <cell r="C2433" t="str">
            <v xml:space="preserve">UN    </v>
          </cell>
          <cell r="D2433" t="str">
            <v>CR</v>
          </cell>
          <cell r="E2433" t="str">
            <v>3,66</v>
          </cell>
        </row>
        <row r="2434">
          <cell r="A2434">
            <v>3502</v>
          </cell>
          <cell r="B2434" t="str">
            <v xml:space="preserve">JOELHO, PVC SOLDAVEL, 45 GRAUS, 40 MM, COR MARROM, PARA AGUA FRIA PREDIAL                                                                                                                                                                                                                                                                                                                                                                                                                                 </v>
          </cell>
          <cell r="C2434" t="str">
            <v xml:space="preserve">UN    </v>
          </cell>
          <cell r="D2434" t="str">
            <v>CR</v>
          </cell>
          <cell r="E2434" t="str">
            <v>5,26</v>
          </cell>
        </row>
        <row r="2435">
          <cell r="A2435">
            <v>3503</v>
          </cell>
          <cell r="B2435" t="str">
            <v xml:space="preserve">JOELHO, PVC SOLDAVEL, 45 GRAUS, 50 MM, COR MARROM, PARA AGUA FRIA PREDIAL                                                                                                                                                                                                                                                                                                                                                                                                                                 </v>
          </cell>
          <cell r="C2435" t="str">
            <v xml:space="preserve">UN    </v>
          </cell>
          <cell r="D2435" t="str">
            <v>CR</v>
          </cell>
          <cell r="E2435" t="str">
            <v>6,61</v>
          </cell>
        </row>
        <row r="2436">
          <cell r="A2436">
            <v>3477</v>
          </cell>
          <cell r="B2436" t="str">
            <v xml:space="preserve">JOELHO, PVC SOLDAVEL, 45 GRAUS, 60 MM, COR MARROM, PARA AGUA FRIA PREDIAL                                                                                                                                                                                                                                                                                                                                                                                                                                 </v>
          </cell>
          <cell r="C2436" t="str">
            <v xml:space="preserve">UN    </v>
          </cell>
          <cell r="D2436" t="str">
            <v>CR</v>
          </cell>
          <cell r="E2436" t="str">
            <v>24,04</v>
          </cell>
        </row>
        <row r="2437">
          <cell r="A2437">
            <v>3478</v>
          </cell>
          <cell r="B2437" t="str">
            <v xml:space="preserve">JOELHO, PVC SOLDAVEL, 45 GRAUS, 75 MM, COR MARROM, PARA AGUA FRIA PREDIAL                                                                                                                                                                                                                                                                                                                                                                                                                                 </v>
          </cell>
          <cell r="C2437" t="str">
            <v xml:space="preserve">UN    </v>
          </cell>
          <cell r="D2437" t="str">
            <v>CR</v>
          </cell>
          <cell r="E2437" t="str">
            <v>57,63</v>
          </cell>
        </row>
        <row r="2438">
          <cell r="A2438">
            <v>3525</v>
          </cell>
          <cell r="B2438" t="str">
            <v xml:space="preserve">JOELHO, PVC SOLDAVEL, 45 GRAUS, 85 MM, COR MARROM, PARA AGUA FRIA PREDIAL                                                                                                                                                                                                                                                                                                                                                                                                                                 </v>
          </cell>
          <cell r="C2438" t="str">
            <v xml:space="preserve">UN    </v>
          </cell>
          <cell r="D2438" t="str">
            <v>CR</v>
          </cell>
          <cell r="E2438" t="str">
            <v>71,12</v>
          </cell>
        </row>
        <row r="2439">
          <cell r="A2439">
            <v>3511</v>
          </cell>
          <cell r="B2439" t="str">
            <v xml:space="preserve">JOELHO, PVC SOLDAVEL, 90 GRAUS, 75 MM, COR MARROM, PARA AGUA FRIA PREDIAL                                                                                                                                                                                                                                                                                                                                                                                                                                 </v>
          </cell>
          <cell r="C2439" t="str">
            <v xml:space="preserve">UN    </v>
          </cell>
          <cell r="D2439" t="str">
            <v>CR</v>
          </cell>
          <cell r="E2439" t="str">
            <v>75,44</v>
          </cell>
        </row>
        <row r="2440">
          <cell r="A2440">
            <v>12032</v>
          </cell>
          <cell r="B2440" t="str">
            <v xml:space="preserve">JOGO DE TRANQUETA E ROSETA QUADRADA DE SOBREPOR SEM FUROS, EM LATAO CROMADO, *50 X 50* MM, PARA FECHADURA DE PORTA DE BANHEIRO                                                                                                                                                                                                                                                                                                                                                                            </v>
          </cell>
          <cell r="C2440" t="str">
            <v xml:space="preserve">JG    </v>
          </cell>
          <cell r="D2440" t="str">
            <v>CR</v>
          </cell>
          <cell r="E2440" t="str">
            <v>49,70</v>
          </cell>
        </row>
        <row r="2441">
          <cell r="A2441">
            <v>12030</v>
          </cell>
          <cell r="B2441" t="str">
            <v xml:space="preserve">JOGO DE TRANQUETA E ROSETA REDONDA DE SOBREPOR SEM FUROS, EM LATAO CROMADO, DIAMETRO *50* MM, PARA FECHADURA DE PORTA DE BANHEIRO                                                                                                                                                                                                                                                                                                                                                                         </v>
          </cell>
          <cell r="C2441" t="str">
            <v xml:space="preserve">JG    </v>
          </cell>
          <cell r="D2441" t="str">
            <v>CR</v>
          </cell>
          <cell r="E2441" t="str">
            <v>46,70</v>
          </cell>
        </row>
        <row r="2442">
          <cell r="A2442">
            <v>10908</v>
          </cell>
          <cell r="B2442" t="str">
            <v xml:space="preserve">JUNCAO DE REDUCAO INVERTIDA, PVC SOLDAVEL, 100 X 50 MM, SERIE NORMAL PARA ESGOTO PREDIAL                                                                                                                                                                                                                                                                                                                                                                                                                  </v>
          </cell>
          <cell r="C2442" t="str">
            <v xml:space="preserve">UN    </v>
          </cell>
          <cell r="D2442" t="str">
            <v>CR</v>
          </cell>
          <cell r="E2442" t="str">
            <v>18,80</v>
          </cell>
        </row>
        <row r="2443">
          <cell r="A2443">
            <v>10909</v>
          </cell>
          <cell r="B2443" t="str">
            <v xml:space="preserve">JUNCAO DE REDUCAO INVERTIDA, PVC SOLDAVEL, 100 X 75 MM, SERIE NORMAL PARA ESGOTO PREDIAL                                                                                                                                                                                                                                                                                                                                                                                                                  </v>
          </cell>
          <cell r="C2443" t="str">
            <v xml:space="preserve">UN    </v>
          </cell>
          <cell r="D2443" t="str">
            <v>CR</v>
          </cell>
          <cell r="E2443" t="str">
            <v>21,87</v>
          </cell>
        </row>
        <row r="2444">
          <cell r="A2444">
            <v>3669</v>
          </cell>
          <cell r="B2444" t="str">
            <v xml:space="preserve">JUNCAO DE REDUCAO INVERTIDA, PVC SOLDAVEL, 75 X 50 MM, SERIE NORMAL PARA ESGOTO PREDIAL                                                                                                                                                                                                                                                                                                                                                                                                                   </v>
          </cell>
          <cell r="C2444" t="str">
            <v xml:space="preserve">UN    </v>
          </cell>
          <cell r="D2444" t="str">
            <v>CR</v>
          </cell>
          <cell r="E2444" t="str">
            <v>13,44</v>
          </cell>
        </row>
        <row r="2445">
          <cell r="A2445">
            <v>20139</v>
          </cell>
          <cell r="B2445" t="str">
            <v xml:space="preserve">JUNCAO DUPLA, PVC SERIE R, DN 100 X 100 X 100 MM, PARA ESGOTO PREDIAL                                                                                                                                                                                                                                                                                                                                                                                                                                     </v>
          </cell>
          <cell r="C2445" t="str">
            <v xml:space="preserve">UN    </v>
          </cell>
          <cell r="D2445" t="str">
            <v>CR</v>
          </cell>
          <cell r="E2445" t="str">
            <v>115,57</v>
          </cell>
        </row>
        <row r="2446">
          <cell r="A2446">
            <v>3668</v>
          </cell>
          <cell r="B2446" t="str">
            <v xml:space="preserve">JUNCAO DUPLA, PVC SOLDAVEL, DN 100 X 100 X 100 MM , SERIE NORMAL PARA ESGOTO PREDIAL                                                                                                                                                                                                                                                                                                                                                                                                                      </v>
          </cell>
          <cell r="C2446" t="str">
            <v xml:space="preserve">UN    </v>
          </cell>
          <cell r="D2446" t="str">
            <v>CR</v>
          </cell>
          <cell r="E2446" t="str">
            <v>41,28</v>
          </cell>
        </row>
        <row r="2447">
          <cell r="A2447">
            <v>10911</v>
          </cell>
          <cell r="B2447" t="str">
            <v xml:space="preserve">JUNCAO INVERTIDA, PVC SOLDAVEL, 75 X 75 MM, SERIE NORMAL PARA ESGOTO PREDIAL                                                                                                                                                                                                                                                                                                                                                                                                                              </v>
          </cell>
          <cell r="C2447" t="str">
            <v xml:space="preserve">UN    </v>
          </cell>
          <cell r="D2447" t="str">
            <v>CR</v>
          </cell>
          <cell r="E2447" t="str">
            <v>18,10</v>
          </cell>
        </row>
        <row r="2448">
          <cell r="A2448">
            <v>3659</v>
          </cell>
          <cell r="B2448" t="str">
            <v xml:space="preserve">JUNCAO SIMPLES DE REDUCAO, PVC, DN 100 X 50 MM, SERIE NORMAL PARA ESGOTO PREDIAL                                                                                                                                                                                                                                                                                                                                                                                                                          </v>
          </cell>
          <cell r="C2448" t="str">
            <v xml:space="preserve">UN    </v>
          </cell>
          <cell r="D2448" t="str">
            <v>CR</v>
          </cell>
          <cell r="E2448" t="str">
            <v>18,44</v>
          </cell>
        </row>
        <row r="2449">
          <cell r="A2449">
            <v>3660</v>
          </cell>
          <cell r="B2449" t="str">
            <v xml:space="preserve">JUNCAO SIMPLES DE REDUCAO, PVC, DN 100 X 75 MM, SERIE NORMAL PARA ESGOTO PREDIAL                                                                                                                                                                                                                                                                                                                                                                                                                          </v>
          </cell>
          <cell r="C2449" t="str">
            <v xml:space="preserve">UN    </v>
          </cell>
          <cell r="D2449" t="str">
            <v>CR</v>
          </cell>
          <cell r="E2449" t="str">
            <v>23,84</v>
          </cell>
        </row>
        <row r="2450">
          <cell r="A2450">
            <v>20144</v>
          </cell>
          <cell r="B2450" t="str">
            <v xml:space="preserve">JUNCAO SIMPLES, PVC SERIE R, DN 100 X 100 MM, PARA ESGOTO PREDIAL                                                                                                                                                                                                                                                                                                                                                                                                                                         </v>
          </cell>
          <cell r="C2450" t="str">
            <v xml:space="preserve">UN    </v>
          </cell>
          <cell r="D2450" t="str">
            <v>CR</v>
          </cell>
          <cell r="E2450" t="str">
            <v>53,40</v>
          </cell>
        </row>
        <row r="2451">
          <cell r="A2451">
            <v>20143</v>
          </cell>
          <cell r="B2451" t="str">
            <v xml:space="preserve">JUNCAO SIMPLES, PVC SERIE R, DN 100 X 75 MM, PARA ESGOTO PREDIAL                                                                                                                                                                                                                                                                                                                                                                                                                                          </v>
          </cell>
          <cell r="C2451" t="str">
            <v xml:space="preserve">UN    </v>
          </cell>
          <cell r="D2451" t="str">
            <v>CR</v>
          </cell>
          <cell r="E2451" t="str">
            <v>68,32</v>
          </cell>
        </row>
        <row r="2452">
          <cell r="A2452">
            <v>20145</v>
          </cell>
          <cell r="B2452" t="str">
            <v xml:space="preserve">JUNCAO SIMPLES, PVC SERIE R, DN 150 X 100 MM, PARA ESGOTO PREDIAL                                                                                                                                                                                                                                                                                                                                                                                                                                         </v>
          </cell>
          <cell r="C2452" t="str">
            <v xml:space="preserve">UN    </v>
          </cell>
          <cell r="D2452" t="str">
            <v>CR</v>
          </cell>
          <cell r="E2452" t="str">
            <v>131,78</v>
          </cell>
        </row>
        <row r="2453">
          <cell r="A2453">
            <v>20146</v>
          </cell>
          <cell r="B2453" t="str">
            <v xml:space="preserve">JUNCAO SIMPLES, PVC SERIE R, DN 150 X 150 MM, PARA ESGOTO PREDIAL                                                                                                                                                                                                                                                                                                                                                                                                                                         </v>
          </cell>
          <cell r="C2453" t="str">
            <v xml:space="preserve">UN    </v>
          </cell>
          <cell r="D2453" t="str">
            <v>CR</v>
          </cell>
          <cell r="E2453" t="str">
            <v>180,15</v>
          </cell>
        </row>
        <row r="2454">
          <cell r="A2454">
            <v>20140</v>
          </cell>
          <cell r="B2454" t="str">
            <v xml:space="preserve">JUNCAO SIMPLES, PVC SERIE R, DN 40 X 40 MM, PARA ESGOTO PREDIAL                                                                                                                                                                                                                                                                                                                                                                                                                                           </v>
          </cell>
          <cell r="C2454" t="str">
            <v xml:space="preserve">UN    </v>
          </cell>
          <cell r="D2454" t="str">
            <v>CR</v>
          </cell>
          <cell r="E2454" t="str">
            <v>8,45</v>
          </cell>
        </row>
        <row r="2455">
          <cell r="A2455">
            <v>20141</v>
          </cell>
          <cell r="B2455" t="str">
            <v xml:space="preserve">JUNCAO SIMPLES, PVC SERIE R, DN 50 X 50 MM, PARA ESGOTO PREDIAL                                                                                                                                                                                                                                                                                                                                                                                                                                           </v>
          </cell>
          <cell r="C2455" t="str">
            <v xml:space="preserve">UN    </v>
          </cell>
          <cell r="D2455" t="str">
            <v>CR</v>
          </cell>
          <cell r="E2455" t="str">
            <v>20,70</v>
          </cell>
        </row>
        <row r="2456">
          <cell r="A2456">
            <v>20142</v>
          </cell>
          <cell r="B2456" t="str">
            <v xml:space="preserve">JUNCAO SIMPLES, PVC SERIE R, DN 75 X 75 MM, PARA ESGOTO PREDIAL                                                                                                                                                                                                                                                                                                                                                                                                                                           </v>
          </cell>
          <cell r="C2456" t="str">
            <v xml:space="preserve">UN    </v>
          </cell>
          <cell r="D2456" t="str">
            <v>CR</v>
          </cell>
          <cell r="E2456" t="str">
            <v>36,41</v>
          </cell>
        </row>
        <row r="2457">
          <cell r="A2457">
            <v>3670</v>
          </cell>
          <cell r="B2457" t="str">
            <v xml:space="preserve">JUNCAO SIMPLES, PVC, 45 GRAUS, DN 100 X 100 MM, SERIE NORMAL PARA ESGOTO PREDIAL                                                                                                                                                                                                                                                                                                                                                                                                                          </v>
          </cell>
          <cell r="C2457" t="str">
            <v xml:space="preserve">UN    </v>
          </cell>
          <cell r="D2457" t="str">
            <v>CR</v>
          </cell>
          <cell r="E2457" t="str">
            <v>23,68</v>
          </cell>
        </row>
        <row r="2458">
          <cell r="A2458">
            <v>3666</v>
          </cell>
          <cell r="B2458" t="str">
            <v xml:space="preserve">JUNCAO SIMPLES, PVC, 45 GRAUS, DN 40 X 40 MM, SERIE NORMAL PARA ESGOTO PREDIAL                                                                                                                                                                                                                                                                                                                                                                                                                            </v>
          </cell>
          <cell r="C2458" t="str">
            <v xml:space="preserve">UN    </v>
          </cell>
          <cell r="D2458" t="str">
            <v>CR</v>
          </cell>
          <cell r="E2458" t="str">
            <v>3,72</v>
          </cell>
        </row>
        <row r="2459">
          <cell r="A2459">
            <v>3662</v>
          </cell>
          <cell r="B2459" t="str">
            <v xml:space="preserve">JUNCAO SIMPLES, PVC, 45 GRAUS, DN 50 X 50 MM, SERIE NORMAL PARA ESGOTO PREDIAL                                                                                                                                                                                                                                                                                                                                                                                                                            </v>
          </cell>
          <cell r="C2459" t="str">
            <v xml:space="preserve">UN    </v>
          </cell>
          <cell r="D2459" t="str">
            <v>CR</v>
          </cell>
          <cell r="E2459" t="str">
            <v>9,72</v>
          </cell>
        </row>
        <row r="2460">
          <cell r="A2460">
            <v>3658</v>
          </cell>
          <cell r="B2460" t="str">
            <v xml:space="preserve">JUNCAO SIMPLES, PVC, 45 GRAUS, DN 75 X 75 MM, SERIE NORMAL PARA ESGOTO PREDIAL                                                                                                                                                                                                                                                                                                                                                                                                                            </v>
          </cell>
          <cell r="C2460" t="str">
            <v xml:space="preserve">UN    </v>
          </cell>
          <cell r="D2460" t="str">
            <v>CR</v>
          </cell>
          <cell r="E2460" t="str">
            <v>18,41</v>
          </cell>
        </row>
        <row r="2461">
          <cell r="A2461">
            <v>14157</v>
          </cell>
          <cell r="B2461" t="str">
            <v xml:space="preserve">JUNCAO 2 GARRAS PARA FITA PERFURADA                                                                                                                                                                                                                                                                                                                                                                                                                                                                       </v>
          </cell>
          <cell r="C2461" t="str">
            <v xml:space="preserve">UN    </v>
          </cell>
          <cell r="D2461" t="str">
            <v>CR</v>
          </cell>
          <cell r="E2461" t="str">
            <v>1,27</v>
          </cell>
        </row>
        <row r="2462">
          <cell r="A2462">
            <v>42696</v>
          </cell>
          <cell r="B2462" t="str">
            <v xml:space="preserve">JUNCAO, PVC, 45 GRAUS, JE, BBB, DN 150 MM, PARA TUBO CORRUGADO E/OU LISO, REDE COLETORA DE ESGOTO                                                                                                                                                                                                                                                                                                                                                                                                         </v>
          </cell>
          <cell r="C2462" t="str">
            <v xml:space="preserve">UN    </v>
          </cell>
          <cell r="D2462" t="str">
            <v>CR</v>
          </cell>
          <cell r="E2462" t="str">
            <v>145,98</v>
          </cell>
        </row>
        <row r="2463">
          <cell r="A2463">
            <v>39875</v>
          </cell>
          <cell r="B2463" t="str">
            <v xml:space="preserve">JUNTA DE EXPANSAO BRONZE/LATAO (REF 900), PONTA X PONTA, 35 MM                                                                                                                                                                                                                                                                                                                                                                                                                                            </v>
          </cell>
          <cell r="C2463" t="str">
            <v xml:space="preserve">UN    </v>
          </cell>
          <cell r="D2463" t="str">
            <v>CR</v>
          </cell>
          <cell r="E2463" t="str">
            <v>616,89</v>
          </cell>
        </row>
        <row r="2464">
          <cell r="A2464">
            <v>39876</v>
          </cell>
          <cell r="B2464" t="str">
            <v xml:space="preserve">JUNTA DE EXPANSAO BRONZE/LATAO (REF 900), PONTA X PONTA, 42 MM                                                                                                                                                                                                                                                                                                                                                                                                                                            </v>
          </cell>
          <cell r="C2464" t="str">
            <v xml:space="preserve">UN    </v>
          </cell>
          <cell r="D2464" t="str">
            <v>CR</v>
          </cell>
          <cell r="E2464" t="str">
            <v>772,35</v>
          </cell>
        </row>
        <row r="2465">
          <cell r="A2465">
            <v>39877</v>
          </cell>
          <cell r="B2465" t="str">
            <v xml:space="preserve">JUNTA DE EXPANSAO BRONZE/LATAO (REF 900), PONTA X PONTA, 54 MM                                                                                                                                                                                                                                                                                                                                                                                                                                            </v>
          </cell>
          <cell r="C2465" t="str">
            <v xml:space="preserve">UN    </v>
          </cell>
          <cell r="D2465" t="str">
            <v>CR</v>
          </cell>
          <cell r="E2465" t="str">
            <v>1.071,21</v>
          </cell>
        </row>
        <row r="2466">
          <cell r="A2466">
            <v>39878</v>
          </cell>
          <cell r="B2466" t="str">
            <v xml:space="preserve">JUNTA DE EXPANSAO BRONZE/LATAO (REF 900), PONTA X PONTA, 66 MM                                                                                                                                                                                                                                                                                                                                                                                                                                            </v>
          </cell>
          <cell r="C2466" t="str">
            <v xml:space="preserve">UN    </v>
          </cell>
          <cell r="D2466" t="str">
            <v>CR</v>
          </cell>
          <cell r="E2466" t="str">
            <v>1.414,90</v>
          </cell>
        </row>
        <row r="2467">
          <cell r="A2467">
            <v>39872</v>
          </cell>
          <cell r="B2467" t="str">
            <v xml:space="preserve">JUNTA DE EXPANSAO DE COBRE (REF 900), PONTA X PONTA, 15 MM                                                                                                                                                                                                                                                                                                                                                                                                                                                </v>
          </cell>
          <cell r="C2467" t="str">
            <v xml:space="preserve">UN    </v>
          </cell>
          <cell r="D2467" t="str">
            <v>CR</v>
          </cell>
          <cell r="E2467" t="str">
            <v>423,05</v>
          </cell>
        </row>
        <row r="2468">
          <cell r="A2468">
            <v>39873</v>
          </cell>
          <cell r="B2468" t="str">
            <v xml:space="preserve">JUNTA DE EXPANSAO DE COBRE (REF 900), PONTA X PONTA, 22 MM                                                                                                                                                                                                                                                                                                                                                                                                                                                </v>
          </cell>
          <cell r="C2468" t="str">
            <v xml:space="preserve">UN    </v>
          </cell>
          <cell r="D2468" t="str">
            <v>CR</v>
          </cell>
          <cell r="E2468" t="str">
            <v>490,71</v>
          </cell>
        </row>
        <row r="2469">
          <cell r="A2469">
            <v>39874</v>
          </cell>
          <cell r="B2469" t="str">
            <v xml:space="preserve">JUNTA DE EXPANSAO DE COBRE (REF 900), PONTA X PONTA, 28 MM                                                                                                                                                                                                                                                                                                                                                                                                                                                </v>
          </cell>
          <cell r="C2469" t="str">
            <v xml:space="preserve">UN    </v>
          </cell>
          <cell r="D2469" t="str">
            <v>CR</v>
          </cell>
          <cell r="E2469" t="str">
            <v>538,98</v>
          </cell>
        </row>
        <row r="2470">
          <cell r="A2470">
            <v>3674</v>
          </cell>
          <cell r="B2470" t="str">
            <v xml:space="preserve">JUNTA DILATACAO ELASTICA PARA CONCRETO (FUGENBAND) O-12, ATE 5 MCA                                                                                                                                                                                                                                                                                                                                                                                                                                        </v>
          </cell>
          <cell r="C2470" t="str">
            <v xml:space="preserve">M     </v>
          </cell>
          <cell r="D2470" t="str">
            <v>CR</v>
          </cell>
          <cell r="E2470" t="str">
            <v>86,56</v>
          </cell>
        </row>
        <row r="2471">
          <cell r="A2471">
            <v>3681</v>
          </cell>
          <cell r="B2471" t="str">
            <v xml:space="preserve">JUNTA DILATACAO ELASTICA PARA CONCRETO (FUGENBAND) O-22, ATE 30 MCA                                                                                                                                                                                                                                                                                                                                                                                                                                       </v>
          </cell>
          <cell r="C2471" t="str">
            <v xml:space="preserve">M     </v>
          </cell>
          <cell r="D2471" t="str">
            <v>CR</v>
          </cell>
          <cell r="E2471" t="str">
            <v>128,78</v>
          </cell>
        </row>
        <row r="2472">
          <cell r="A2472">
            <v>3676</v>
          </cell>
          <cell r="B2472" t="str">
            <v xml:space="preserve">JUNTA DILATACAO ELASTICA PARA CONCRETO (FUGENBAND) O-35/10, ATE 100 MCA                                                                                                                                                                                                                                                                                                                                                                                                                                   </v>
          </cell>
          <cell r="C2472" t="str">
            <v xml:space="preserve">M     </v>
          </cell>
          <cell r="D2472" t="str">
            <v>CR</v>
          </cell>
          <cell r="E2472" t="str">
            <v>484,67</v>
          </cell>
        </row>
        <row r="2473">
          <cell r="A2473">
            <v>3679</v>
          </cell>
          <cell r="B2473" t="str">
            <v xml:space="preserve">JUNTA DILATACAO ELASTICA PARA CONCRETO (FUGENBAND) O-35/6, ATE 100 MCA                                                                                                                                                                                                                                                                                                                                                                                                                                    </v>
          </cell>
          <cell r="C2473" t="str">
            <v xml:space="preserve">M     </v>
          </cell>
          <cell r="D2473" t="str">
            <v>CR</v>
          </cell>
          <cell r="E2473" t="str">
            <v>400,97</v>
          </cell>
        </row>
        <row r="2474">
          <cell r="A2474">
            <v>3672</v>
          </cell>
          <cell r="B2474" t="str">
            <v xml:space="preserve">JUNTA PLASTICA DE DILATACAO PARA PISOS, COR CINZA, 10 X 4,5 MM (ALTURA X ESPESSURA)                                                                                                                                                                                                                                                                                                                                                                                                                       </v>
          </cell>
          <cell r="C2474" t="str">
            <v xml:space="preserve">M     </v>
          </cell>
          <cell r="D2474" t="str">
            <v>CR</v>
          </cell>
          <cell r="E2474" t="str">
            <v>1,36</v>
          </cell>
        </row>
        <row r="2475">
          <cell r="A2475">
            <v>3671</v>
          </cell>
          <cell r="B2475" t="str">
            <v xml:space="preserve">JUNTA PLASTICA DE DILATACAO PARA PISOS, COR CINZA, 17 X 3 MM (ALTURA X ESPESSURA)                                                                                                                                                                                                                                                                                                                                                                                                                         </v>
          </cell>
          <cell r="C2475" t="str">
            <v xml:space="preserve">M     </v>
          </cell>
          <cell r="D2475" t="str">
            <v xml:space="preserve">C </v>
          </cell>
          <cell r="E2475" t="str">
            <v>1,29</v>
          </cell>
        </row>
        <row r="2476">
          <cell r="A2476">
            <v>3673</v>
          </cell>
          <cell r="B2476" t="str">
            <v xml:space="preserve">JUNTA PLASTICA DE DILATACAO PARA PISOS, COR CINZA, 27 X 3 MM (ALTURA X ESPESSURA)                                                                                                                                                                                                                                                                                                                                                                                                                         </v>
          </cell>
          <cell r="C2476" t="str">
            <v xml:space="preserve">M     </v>
          </cell>
          <cell r="D2476" t="str">
            <v>CR</v>
          </cell>
          <cell r="E2476" t="str">
            <v>2,02</v>
          </cell>
        </row>
        <row r="2477">
          <cell r="A2477">
            <v>38394</v>
          </cell>
          <cell r="B2477" t="str">
            <v xml:space="preserve">KIT ACESSORIOS PARA COMPRESSOR DE AR, 5 PECAS (PISTOLAS PINTURA, LIMPEZA E PULVERIZACAO, CALIBRADOR E MANGUEIRA)                                                                                                                                                                                                                                                                                                                                                                                          </v>
          </cell>
          <cell r="C2477" t="str">
            <v xml:space="preserve">UN    </v>
          </cell>
          <cell r="D2477" t="str">
            <v>CR</v>
          </cell>
          <cell r="E2477" t="str">
            <v>384,27</v>
          </cell>
        </row>
        <row r="2478">
          <cell r="A2478">
            <v>3729</v>
          </cell>
          <cell r="B2478" t="str">
            <v xml:space="preserve">KIT CAVALETE, PVC, COM REGISTRO, PARA HIDROMETRO, BITOLAS 1/2" OU 3/4" - COMPLETO                                                                                                                                                                                                                                                                                                                                                                                                                         </v>
          </cell>
          <cell r="C2478" t="str">
            <v xml:space="preserve">UN    </v>
          </cell>
          <cell r="D2478" t="str">
            <v>CR</v>
          </cell>
          <cell r="E2478" t="str">
            <v>122,54</v>
          </cell>
        </row>
        <row r="2479">
          <cell r="A2479">
            <v>39357</v>
          </cell>
          <cell r="B2479" t="str">
            <v xml:space="preserve">KIT CHASSI COZINHA, CUBA SIMPLES SEM MAQUINA LAVAR LOUCA, INSTAL. PEX, QUADRO METALICO C/ TRAVESSA C/ FURO P/ESGOTO DN 50 MM E FUROS SUPERIORES P/AGUA, *340* X *650* MM (L X H), P/ CONEXAO COM ANEL DESLIZANTE (CONJUNTO COMPLETO)                                                                                                                                                                                                                                                                      </v>
          </cell>
          <cell r="C2479" t="str">
            <v xml:space="preserve">UN    </v>
          </cell>
          <cell r="D2479" t="str">
            <v>CR</v>
          </cell>
          <cell r="E2479" t="str">
            <v>52,21</v>
          </cell>
        </row>
        <row r="2480">
          <cell r="A2480">
            <v>39358</v>
          </cell>
          <cell r="B2480" t="str">
            <v xml:space="preserve">KIT CHASSI COZINHA, CUBA SIMPLES SEM MAQUINA LAVAR LOUCA, INSTAL. PEX, QUADRO METALICO C/ TRAVESSA COM FURO P/ESGOTO DN 50 MM E FUROS SUPERIORES P/AGUA, *340* X *650* MM (L X H), P/ CONEXAO COM CRIMPAGEM (CONJUNTO COMPLETO)                                                                                                                                                                                                                                                                           </v>
          </cell>
          <cell r="C2480" t="str">
            <v xml:space="preserve">UN    </v>
          </cell>
          <cell r="D2480" t="str">
            <v>CR</v>
          </cell>
          <cell r="E2480" t="str">
            <v>52,21</v>
          </cell>
        </row>
        <row r="2481">
          <cell r="A2481">
            <v>39355</v>
          </cell>
          <cell r="B2481" t="str">
            <v xml:space="preserve">KIT CHASSI TANQUE E MAQUINA LAVAR ROUPA, INSTAL. PEX, QUADRO METALICO C/ TRAVESSA C/ FURO P/ ESGOTO DN 50 MM, FURO LATERAL P/ MAQUINA E FUROS SUPERIORES P/ AGUA, *344* X *442* MM (L X H), P/ CONEXAO COM ANEL DESLIZANTE (CONJUNTO COMPLETO)                                                                                                                                                                                                                                                            </v>
          </cell>
          <cell r="C2481" t="str">
            <v xml:space="preserve">UN    </v>
          </cell>
          <cell r="D2481" t="str">
            <v>CR</v>
          </cell>
          <cell r="E2481" t="str">
            <v>76,07</v>
          </cell>
        </row>
        <row r="2482">
          <cell r="A2482">
            <v>39356</v>
          </cell>
          <cell r="B2482" t="str">
            <v xml:space="preserve">KIT CHASSI TANQUE E MAQUINA LAVAR ROUPA, INSTAL. PEX, QUADRO METALICO C/ TRAVESSA C/ FURO P/ ESGOTO DN 50 MM, FURO LATERAL P/MAQUINA E FUROS SUPERIORES P/AGUA, *344* X *442* MM (L X H), P/ CONEXAO COM CRIMPAGEM (CONJUNTO COMPLETO)                                                                                                                                                                                                                                                                    </v>
          </cell>
          <cell r="C2482" t="str">
            <v xml:space="preserve">UN    </v>
          </cell>
          <cell r="D2482" t="str">
            <v>CR</v>
          </cell>
          <cell r="E2482" t="str">
            <v>72,60</v>
          </cell>
        </row>
        <row r="2483">
          <cell r="A2483">
            <v>39353</v>
          </cell>
          <cell r="B2483" t="str">
            <v xml:space="preserve">KIT CHUVEIRO, INSTAL. PEX, QUADRO METALICO C/ 2 TRAVESSAS, SUPERIOR C/ ESPERA P/ CHUVEIRO, INFERIOR C/ 2 REGISTROS DE PRESSAO 1/2 ", *390* X *900* MM (L X H), CONEXAO COM ANEL DESLIZANTE (CONJUNTO COMPLETO)                                                                                                                                                                                                                                                                                            </v>
          </cell>
          <cell r="C2483" t="str">
            <v xml:space="preserve">UN    </v>
          </cell>
          <cell r="D2483" t="str">
            <v>CR</v>
          </cell>
          <cell r="E2483" t="str">
            <v>166,66</v>
          </cell>
        </row>
        <row r="2484">
          <cell r="A2484">
            <v>39354</v>
          </cell>
          <cell r="B2484" t="str">
            <v xml:space="preserve">KIT CHUVEIRO, INSTAL. PEX, QUADRO METALICO C/2 TRAVESSAS, SUPERIOR C/ ESPERA P/ CHUVEIRO E INFERIOR C/2 REGISTROS DE PRESSAO 1/2 ", *390* X *900* MM (L X H), CONEXAO COM CRIMPAGEM (CONJUNTO COMPLETO)                                                                                                                                                                                                                                                                                                   </v>
          </cell>
          <cell r="C2484" t="str">
            <v xml:space="preserve">UN    </v>
          </cell>
          <cell r="D2484" t="str">
            <v>CR</v>
          </cell>
          <cell r="E2484" t="str">
            <v>351,63</v>
          </cell>
        </row>
        <row r="2485">
          <cell r="A2485">
            <v>39398</v>
          </cell>
          <cell r="B2485" t="str">
            <v xml:space="preserve">KIT DE ACESSORIOS PARA BANHEIRO EM METAL CROMADO, 5 PECAS                                                                                                                                                                                                                                                                                                                                                                                                                                                 </v>
          </cell>
          <cell r="C2485" t="str">
            <v xml:space="preserve">UN    </v>
          </cell>
          <cell r="D2485" t="str">
            <v>CR</v>
          </cell>
          <cell r="E2485" t="str">
            <v>123,62</v>
          </cell>
        </row>
        <row r="2486">
          <cell r="A2486">
            <v>13343</v>
          </cell>
          <cell r="B2486" t="str">
            <v xml:space="preserve">KIT DE MATERIAIS PARA BRACADEIRA PARA FIXACAO EM POSTE CIRCULAR, CONTEM TRES FIXADORES E UM ROLO DE FITA DE 3 M EM ACO CARBONO                                                                                                                                                                                                                                                                                                                                                                            </v>
          </cell>
          <cell r="C2486" t="str">
            <v xml:space="preserve">UN    </v>
          </cell>
          <cell r="D2486" t="str">
            <v>CR</v>
          </cell>
          <cell r="E2486" t="str">
            <v>47,19</v>
          </cell>
        </row>
        <row r="2487">
          <cell r="A2487">
            <v>12118</v>
          </cell>
          <cell r="B2487" t="str">
            <v xml:space="preserve">KIT DE PROTECAO ARSTOP PARA AR CONDICIONADO, TOMADA PADRAO 2P+T 20 A, COM DISJUNTOR UNIPOLAR DIN 20A                                                                                                                                                                                                                                                                                                                                                                                                      </v>
          </cell>
          <cell r="C2487" t="str">
            <v xml:space="preserve">UN    </v>
          </cell>
          <cell r="D2487" t="str">
            <v>CR</v>
          </cell>
          <cell r="E2487" t="str">
            <v>24,37</v>
          </cell>
        </row>
        <row r="2488">
          <cell r="A2488">
            <v>39482</v>
          </cell>
          <cell r="B2488" t="str">
            <v xml:space="preserve">KIT PORTA PRONTA DE MADEIRA, FOLHA LEVE (NBR 15930) DE 600 X 2100 MM OU 700 X 2100 MM, DE 35 MM A 40 MM DE ESPESSURA, COM MARCO EM ACO, NUCLEO COLMEIA, CAPA LISA EM HDF, ACABAMENTO MELAMINICO BRANCO (INCLUI MARCO, ALIZARES, DOBRADICAS E FECHADURA)                                                                                                                                                                                                                                                   </v>
          </cell>
          <cell r="C2488" t="str">
            <v xml:space="preserve">UN    </v>
          </cell>
          <cell r="D2488" t="str">
            <v>CR</v>
          </cell>
          <cell r="E2488" t="str">
            <v>687,44</v>
          </cell>
        </row>
        <row r="2489">
          <cell r="A2489">
            <v>39486</v>
          </cell>
          <cell r="B2489" t="str">
            <v xml:space="preserve">KIT PORTA PRONTA DE MADEIRA, FOLHA LEVE (NBR 15930) DE 600 X 2100 MM OU 700 X 2100 MM, DE 35 MM A 40 MM DE ESPESSURA, NUCLEO COLMEIA, ESTRUTURA USINADA PARA FECHADURA, CAPA LISA EM HDF, ACABAMENTO EM PRIMER PARA PINTURA (INCLUI MARCO, ALIZARES E DOBRADICAS)                                                                                                                                                                                                                                         </v>
          </cell>
          <cell r="C2489" t="str">
            <v xml:space="preserve">UN    </v>
          </cell>
          <cell r="D2489" t="str">
            <v>CR</v>
          </cell>
          <cell r="E2489" t="str">
            <v>561,05</v>
          </cell>
        </row>
        <row r="2490">
          <cell r="A2490">
            <v>39484</v>
          </cell>
          <cell r="B2490" t="str">
            <v xml:space="preserve">KIT PORTA PRONTA DE MADEIRA, FOLHA LEVE (NBR 15930) DE 800 X 2100 MM, DE 35 MM A 40 MM DE ESPESSURA, COM MARCO EM ACO, NUCLEO COLMEIA, CAPA LISA EM HDF, ACABAMENTO MELAMINICO BRANCO (INCLUI MARCO, ALIZARES, DOBRADICAS E FECHADURA)                                                                                                                                                                                                                                                                    </v>
          </cell>
          <cell r="C2490" t="str">
            <v xml:space="preserve">UN    </v>
          </cell>
          <cell r="D2490" t="str">
            <v>CR</v>
          </cell>
          <cell r="E2490" t="str">
            <v>687,44</v>
          </cell>
        </row>
        <row r="2491">
          <cell r="A2491">
            <v>39488</v>
          </cell>
          <cell r="B2491" t="str">
            <v xml:space="preserve">KIT PORTA PRONTA DE MADEIRA, FOLHA LEVE (NBR 15930) DE 800 X 2100 MM, DE 35 MM A 40 MM DE ESPESSURA, NUCLEO COLMEIA, ESTRUTURA USINADA PARA FECHADURA, CAPA LISA EM HDF, ACABAMENTO EM PRIMER PARA PINTURA (INCLUI MARCO, ALIZARES E DOBRADICAS)                                                                                                                                                                                                                                                          </v>
          </cell>
          <cell r="C2491" t="str">
            <v xml:space="preserve">UN    </v>
          </cell>
          <cell r="D2491" t="str">
            <v>CR</v>
          </cell>
          <cell r="E2491" t="str">
            <v>570,24</v>
          </cell>
        </row>
        <row r="2492">
          <cell r="A2492">
            <v>39485</v>
          </cell>
          <cell r="B2492" t="str">
            <v xml:space="preserve">KIT PORTA PRONTA DE MADEIRA, FOLHA LEVE (NBR 15930) DE 900 X 2100 MM, DE 35 MM A 40 MM DE ESPESSURA, COM MARCO EM ACO, NUCLEO COLMEIA, CAPA LISA EM HDF, ACABAMENTO MELAMINICO BRANCO (INCLUI MARCO, ALIZARES, DOBRADICAS E FECHADURA)                                                                                                                                                                                                                                                                    </v>
          </cell>
          <cell r="C2492" t="str">
            <v xml:space="preserve">UN    </v>
          </cell>
          <cell r="D2492" t="str">
            <v>CR</v>
          </cell>
          <cell r="E2492" t="str">
            <v>687,44</v>
          </cell>
        </row>
        <row r="2493">
          <cell r="A2493">
            <v>39489</v>
          </cell>
          <cell r="B2493" t="str">
            <v xml:space="preserve">KIT PORTA PRONTA DE MADEIRA, FOLHA LEVE (NBR 15930) DE 900 X 2100 MM, DE 35 MM A 40 MM DE ESPESSURA, NUCLEO COLMEIA, ESTRUTURA USINADA PARA FECHADURA, CAPA LISA EM HDF, ACABAMENTO EM PRIMER PARA PINTURA (INCLUI MARCO, ALIZARES E DOBRADICAS)                                                                                                                                                                                                                                                          </v>
          </cell>
          <cell r="C2493" t="str">
            <v xml:space="preserve">UN    </v>
          </cell>
          <cell r="D2493" t="str">
            <v>CR</v>
          </cell>
          <cell r="E2493" t="str">
            <v>579,90</v>
          </cell>
        </row>
        <row r="2494">
          <cell r="A2494">
            <v>39490</v>
          </cell>
          <cell r="B2494" t="str">
            <v xml:space="preserve">KIT PORTA PRONTA DE MADEIRA, FOLHA MEDIA (NBR 15930) DE 600 X 2100 MM OU 700 X 2100 MM, DE 35 MM A 40 MM DE ESPESSURA, NUCLEO SEMI-SOLIDO (SARRAFEADO), ESTRUTURA USINADA PARA FECHADURA, CAPA LISA EM HDF, ACABAMENTO MELAMINICO BRANCO (INCLUI MARCO, ALIZARES E DOBRADICAS)                                                                                                                                                                                                                            </v>
          </cell>
          <cell r="C2494" t="str">
            <v xml:space="preserve">UN    </v>
          </cell>
          <cell r="D2494" t="str">
            <v>CR</v>
          </cell>
          <cell r="E2494" t="str">
            <v>864,13</v>
          </cell>
        </row>
        <row r="2495">
          <cell r="A2495">
            <v>39494</v>
          </cell>
          <cell r="B2495" t="str">
            <v xml:space="preserve">KIT PORTA PRONTA DE MADEIRA, FOLHA MEDIA (NBR 15930) DE 600 X 2100 MM, DE 35 MM A 40 MM DE ESPESSURA, NUCLEO SEMI-SOLIDO (SARRAFEADO), ESTRUTURA USINADA PARA FECHADURA, CAPA LISA EM HDF, ACABAMENTO EM PRIMER PARA PINTURA (INCLUI MARCO, ALIZARES E DOBRADICAS)                                                                                                                                                                                                                                        </v>
          </cell>
          <cell r="C2495" t="str">
            <v xml:space="preserve">UN    </v>
          </cell>
          <cell r="D2495" t="str">
            <v>CR</v>
          </cell>
          <cell r="E2495" t="str">
            <v>620,52</v>
          </cell>
        </row>
        <row r="2496">
          <cell r="A2496">
            <v>39495</v>
          </cell>
          <cell r="B2496" t="str">
            <v xml:space="preserve">KIT PORTA PRONTA DE MADEIRA, FOLHA MEDIA (NBR 15930) DE 700 X 2100 MM, DE 35 MM A 40 MM DE ESPESSURA, NUCLEO SEMI-SOLIDO (SARRAFEADO), ESTRUTURA USINADA PARA FECHADURA, CAPA LISA EM HDF, ACABAMENTO EM PRIMER PARA PINTURA (INCLUI MARCO, ALIZARES E DOBRADICAS)                                                                                                                                                                                                                                        </v>
          </cell>
          <cell r="C2496" t="str">
            <v xml:space="preserve">UN    </v>
          </cell>
          <cell r="D2496" t="str">
            <v>CR</v>
          </cell>
          <cell r="E2496" t="str">
            <v>699,24</v>
          </cell>
        </row>
        <row r="2497">
          <cell r="A2497">
            <v>39496</v>
          </cell>
          <cell r="B2497" t="str">
            <v xml:space="preserve">KIT PORTA PRONTA DE MADEIRA, FOLHA MEDIA (NBR 15930) DE 800 X 2100 MM, DE 35 MM A 40 MM DE ESPESSURA,  NUCLEO SEMI-SOLIDO (SARRAFEADO), ESTRUTURA USINADA PARA FECHADURA, CAPA LISA EM HDF, ACABAMENTO EM PRIMER PARA PINTURA (INCLUI MARCO, ALIZARES E DOBRADICAS)                                                                                                                                                                                                                                       </v>
          </cell>
          <cell r="C2497" t="str">
            <v xml:space="preserve">UN    </v>
          </cell>
          <cell r="D2497" t="str">
            <v>CR</v>
          </cell>
          <cell r="E2497" t="str">
            <v>769,16</v>
          </cell>
        </row>
        <row r="2498">
          <cell r="A2498">
            <v>39492</v>
          </cell>
          <cell r="B2498" t="str">
            <v xml:space="preserve">KIT PORTA PRONTA DE MADEIRA, FOLHA MEDIA (NBR 15930) DE 800 X 2100 MM, DE 35 MM A 40 MM DE ESPESSURA, NUCLEO SEMI-SOLIDO (SARRAFEADO), ESTRUTURA USINADA PARA FECHADURA, CAPA LISA EM HDF, ACABAMENTO MELAMINICO BRANCO (INCLUI MARCO, ALIZARES E DOBRADICAS)                                                                                                                                                                                                                                             </v>
          </cell>
          <cell r="C2498" t="str">
            <v xml:space="preserve">UN    </v>
          </cell>
          <cell r="D2498" t="str">
            <v>CR</v>
          </cell>
          <cell r="E2498" t="str">
            <v>890,48</v>
          </cell>
        </row>
        <row r="2499">
          <cell r="A2499">
            <v>39497</v>
          </cell>
          <cell r="B2499" t="str">
            <v xml:space="preserve">KIT PORTA PRONTA DE MADEIRA, FOLHA MEDIA (NBR 15930) DE 900 X 2100 MM, DE 35 MM A 40 MM DE ESPESSURA, NUCLEO SEMI-SOLIDO (SARRAFEADO), ESTRUTURA USINADA PARA FECHADURA, CAPA LISA EM HDF, ACABAMENTO EM PRIMER PARA PINTURA (INCLUI MARCO, ALIZARES E DOBRADICAS)                                                                                                                                                                                                                                        </v>
          </cell>
          <cell r="C2499" t="str">
            <v xml:space="preserve">UN    </v>
          </cell>
          <cell r="D2499" t="str">
            <v>CR</v>
          </cell>
          <cell r="E2499" t="str">
            <v>804,34</v>
          </cell>
        </row>
        <row r="2500">
          <cell r="A2500">
            <v>39493</v>
          </cell>
          <cell r="B2500" t="str">
            <v xml:space="preserve">KIT PORTA PRONTA DE MADEIRA, FOLHA MEDIA (NBR 15930) DE 900 X 2100 MM, DE 35 MM A 40 MM DE ESPESSURA, NUCLEO SEMI-SOLIDO (SARRAFEADO), ESTRUTURA USINADA PARA FECHADURA, CAPA LISA EM HDF, ACABAMENTO MELAMINICO BRANCO (INCLUI MARCO, ALIZARES E DOBRADICAS)                                                                                                                                                                                                                                             </v>
          </cell>
          <cell r="C2500" t="str">
            <v xml:space="preserve">UN    </v>
          </cell>
          <cell r="D2500" t="str">
            <v>CR</v>
          </cell>
          <cell r="E2500" t="str">
            <v>955,13</v>
          </cell>
        </row>
        <row r="2501">
          <cell r="A2501">
            <v>39500</v>
          </cell>
          <cell r="B2501" t="str">
            <v xml:space="preserve">KIT PORTA PRONTA DE MADEIRA, FOLHA PESADA (NBR 15930) DE 800 X 2100 MM, DE 40 MM  A 45 MM DE ESPESSURA, NUCLEO SOLIDO, CAPA LISA EM HDF, ACABAMENTO MELAMINICO BRANCO (INCLUI MARCO, ALIZARES, DOBRADICAS E FECHADURA EXTERNA)                                                                                                                                                                                                                                                                            </v>
          </cell>
          <cell r="C2501" t="str">
            <v xml:space="preserve">UN    </v>
          </cell>
          <cell r="D2501" t="str">
            <v>CR</v>
          </cell>
          <cell r="E2501" t="str">
            <v>1.042,12</v>
          </cell>
        </row>
        <row r="2502">
          <cell r="A2502">
            <v>39498</v>
          </cell>
          <cell r="B2502" t="str">
            <v xml:space="preserve">KIT PORTA PRONTA DE MADEIRA, FOLHA PESADA (NBR 15930) DE 800 X 2100 MM, DE 40 MM A 45 MM DE ESPESSURA , NUCLEO SOLIDO, ESTRUTURA USINADA PARA FECHADURA, CAPA LISA EM HDF, ACABAMENTO EM LAMINADO NATURAL COM VERNIZ (INCLUI MARCO, ALIZARES E DOBRADICAS)                                                                                                                                                                                                                                                </v>
          </cell>
          <cell r="C2502" t="str">
            <v xml:space="preserve">UN    </v>
          </cell>
          <cell r="D2502" t="str">
            <v>CR</v>
          </cell>
          <cell r="E2502" t="str">
            <v>1.285,28</v>
          </cell>
        </row>
        <row r="2503">
          <cell r="A2503">
            <v>43628</v>
          </cell>
          <cell r="B2503" t="str">
            <v xml:space="preserve">KIT PORTA PRONTA DE MADEIRA, FOLHA PESADA (NBR 15930) DE 800 X 2100 MM, DE 40 MM A 45 MM DE ESPESSURA, COM MARCO EM ACO, NUCLEO SOLIDO, CAPA LISA EM HDF, ACABAMENTO MELAMINICO BRANCO (INCLUI MARCO, ALIZARES, DOBRADICAS E FECHADURA)                                                                                                                                                                                                                                                                   </v>
          </cell>
          <cell r="C2503" t="str">
            <v xml:space="preserve">UN    </v>
          </cell>
          <cell r="D2503" t="str">
            <v>CR</v>
          </cell>
          <cell r="E2503" t="str">
            <v>1.013,08</v>
          </cell>
        </row>
        <row r="2504">
          <cell r="A2504">
            <v>39501</v>
          </cell>
          <cell r="B2504" t="str">
            <v xml:space="preserve">KIT PORTA PRONTA DE MADEIRA, FOLHA PESADA (NBR 15930) DE 900 X 2100 MM, DE 40 MM  A 45 MM DE ESPESSURA, NUCLEO SOLIDO, CAPA LISA EM HDF, ACABAMENTO MELAMINICO BRANCO (INCLUI MARCO, ALIZARES, DOBRADICAS E FECHADURA EXTERNA)                                                                                                                                                                                                                                                                            </v>
          </cell>
          <cell r="C2504" t="str">
            <v xml:space="preserve">UN    </v>
          </cell>
          <cell r="D2504" t="str">
            <v>CR</v>
          </cell>
          <cell r="E2504" t="str">
            <v>1.070,34</v>
          </cell>
        </row>
        <row r="2505">
          <cell r="A2505">
            <v>39499</v>
          </cell>
          <cell r="B2505" t="str">
            <v xml:space="preserve">KIT PORTA PRONTA DE MADEIRA, FOLHA PESADA (NBR 15930) DE 900 X 2100 MM, DE 40 MM A 45 MM DE ESPESSURA , NUCLEO SOLIDO, ESTRUTURA USINADA PARA FECHADURA, CAPA LISA EM HDF, ACABAMENTO EM LAMINADO NATURAL COM VERNIZ (INCLUI MARCO, ALIZARES E DOBRADICAS)                                                                                                                                                                                                                                                </v>
          </cell>
          <cell r="C2505" t="str">
            <v xml:space="preserve">UN    </v>
          </cell>
          <cell r="D2505" t="str">
            <v>CR</v>
          </cell>
          <cell r="E2505" t="str">
            <v>1.303,53</v>
          </cell>
        </row>
        <row r="2506">
          <cell r="A2506">
            <v>43621</v>
          </cell>
          <cell r="B2506" t="str">
            <v xml:space="preserve">KIT PORTA PRONTA DE MADEIRA, FOLHA PESADA (NBR 15930) DE 900 X 2100 MM, DE 40 MM A 45 MM DE ESPESSURA, COM MARCO EM ACO, NUCLEO SOLIDO, CAPA LISA EM HDF, ACABAMENTO MELAMINICO BRANCO (INCLUI MARCO, ALIZARES, DOBRADICAS E FECHADURA)                                                                                                                                                                                                                                                                   </v>
          </cell>
          <cell r="C2506" t="str">
            <v xml:space="preserve">UN    </v>
          </cell>
          <cell r="D2506" t="str">
            <v>CR</v>
          </cell>
          <cell r="E2506" t="str">
            <v>1.076,39</v>
          </cell>
        </row>
        <row r="2507">
          <cell r="A2507">
            <v>3733</v>
          </cell>
          <cell r="B2507" t="str">
            <v xml:space="preserve">LADRILHO HIDRAULICO, *20 x 20* CM, E= 2 CM, PADRAO COPACABANA, 2 CORES (PRETO E BRANCO)                                                                                                                                                                                                                                                                                                                                                                                                                   </v>
          </cell>
          <cell r="C2507" t="str">
            <v xml:space="preserve">M2    </v>
          </cell>
          <cell r="D2507" t="str">
            <v>CR</v>
          </cell>
          <cell r="E2507" t="str">
            <v>70,02</v>
          </cell>
        </row>
        <row r="2508">
          <cell r="A2508">
            <v>3731</v>
          </cell>
          <cell r="B2508" t="str">
            <v xml:space="preserve">LADRILHO HIDRAULICO, *20 X 20* CM, E= 2 CM, DADOS, COR NATURAL                                                                                                                                                                                                                                                                                                                                                                                                                                            </v>
          </cell>
          <cell r="C2508" t="str">
            <v xml:space="preserve">M2    </v>
          </cell>
          <cell r="D2508" t="str">
            <v xml:space="preserve">C </v>
          </cell>
          <cell r="E2508" t="str">
            <v>65,00</v>
          </cell>
        </row>
        <row r="2509">
          <cell r="A2509">
            <v>38137</v>
          </cell>
          <cell r="B2509" t="str">
            <v xml:space="preserve">LADRILHO HIDRAULICO, *20 X 20* CM, E= 2 CM, RAMPA, NATURAL                                                                                                                                                                                                                                                                                                                                                                                                                                                </v>
          </cell>
          <cell r="C2509" t="str">
            <v xml:space="preserve">M2    </v>
          </cell>
          <cell r="D2509" t="str">
            <v>CR</v>
          </cell>
          <cell r="E2509" t="str">
            <v>65,38</v>
          </cell>
        </row>
        <row r="2510">
          <cell r="A2510">
            <v>38135</v>
          </cell>
          <cell r="B2510" t="str">
            <v xml:space="preserve">LADRILHO HIDRAULICO, *20 X 20* CM, E= 2 CM, TATIL ALERTA OU DIRECIONAL, AMARELO                                                                                                                                                                                                                                                                                                                                                                                                                           </v>
          </cell>
          <cell r="C2510" t="str">
            <v xml:space="preserve">M2    </v>
          </cell>
          <cell r="D2510" t="str">
            <v>CR</v>
          </cell>
          <cell r="E2510" t="str">
            <v>82,88</v>
          </cell>
        </row>
        <row r="2511">
          <cell r="A2511">
            <v>38138</v>
          </cell>
          <cell r="B2511" t="str">
            <v xml:space="preserve">LADRILHO HIDRAULICO, *30 X 30* CM, E= 2 CM, MILANO, NATURAL                                                                                                                                                                                                                                                                                                                                                                                                                                               </v>
          </cell>
          <cell r="C2511" t="str">
            <v xml:space="preserve">M2    </v>
          </cell>
          <cell r="D2511" t="str">
            <v>CR</v>
          </cell>
          <cell r="E2511" t="str">
            <v>64,20</v>
          </cell>
        </row>
        <row r="2512">
          <cell r="A2512">
            <v>3736</v>
          </cell>
          <cell r="B2512" t="str">
            <v xml:space="preserve">LAJE PRE-MOLDADA CONVENCIONAL (LAJOTAS + VIGOTAS) PARA FORRO, UNIDIRECIONAL, SOBRECARGA DE 100 KG/M2, VAO ATE 4,00 M (SEM COLOCACAO)                                                                                                                                                                                                                                                                                                                                                                      </v>
          </cell>
          <cell r="C2512" t="str">
            <v xml:space="preserve">M2    </v>
          </cell>
          <cell r="D2512" t="str">
            <v xml:space="preserve">C </v>
          </cell>
          <cell r="E2512" t="str">
            <v>45,80</v>
          </cell>
        </row>
        <row r="2513">
          <cell r="A2513">
            <v>3741</v>
          </cell>
          <cell r="B2513" t="str">
            <v xml:space="preserve">LAJE PRE-MOLDADA CONVENCIONAL (LAJOTAS + VIGOTAS) PARA FORRO, UNIDIRECIONAL, SOBRECARGA DE 100 KG/M2, VAO ATE 4,50 M (SEM COLOCACAO)                                                                                                                                                                                                                                                                                                                                                                      </v>
          </cell>
          <cell r="C2513" t="str">
            <v xml:space="preserve">M2    </v>
          </cell>
          <cell r="D2513" t="str">
            <v>CR</v>
          </cell>
          <cell r="E2513" t="str">
            <v>47,74</v>
          </cell>
        </row>
        <row r="2514">
          <cell r="A2514">
            <v>3745</v>
          </cell>
          <cell r="B2514" t="str">
            <v xml:space="preserve">LAJE PRE-MOLDADA CONVENCIONAL (LAJOTAS + VIGOTAS) PARA FORRO, UNIDIRECIONAL, SOBRECARGA 100 KG/M2, VAO ATE 5,00 M (SEM COLOCACAO)                                                                                                                                                                                                                                                                                                                                                                         </v>
          </cell>
          <cell r="C2514" t="str">
            <v xml:space="preserve">M2    </v>
          </cell>
          <cell r="D2514" t="str">
            <v>CR</v>
          </cell>
          <cell r="E2514" t="str">
            <v>51,48</v>
          </cell>
        </row>
        <row r="2515">
          <cell r="A2515">
            <v>3743</v>
          </cell>
          <cell r="B2515" t="str">
            <v xml:space="preserve">LAJE PRE-MOLDADA CONVENCIONAL (LAJOTAS + VIGOTAS) PARA PISO, UNIDIRECIONAL, SOBRECARGA DE 200 KG/M2, VAO ATE 3,50 M (SEM COLOCACAO)                                                                                                                                                                                                                                                                                                                                                                       </v>
          </cell>
          <cell r="C2515" t="str">
            <v xml:space="preserve">M2    </v>
          </cell>
          <cell r="D2515" t="str">
            <v>CR</v>
          </cell>
          <cell r="E2515" t="str">
            <v>47,57</v>
          </cell>
        </row>
        <row r="2516">
          <cell r="A2516">
            <v>3744</v>
          </cell>
          <cell r="B2516" t="str">
            <v xml:space="preserve">LAJE PRE-MOLDADA CONVENCIONAL (LAJOTAS + VIGOTAS) PARA PISO, UNIDIRECIONAL, SOBRECARGA DE 200 KG/M2, VAO ATE 4,50 M (SEM COLOCACAO)                                                                                                                                                                                                                                                                                                                                                                       </v>
          </cell>
          <cell r="C2516" t="str">
            <v xml:space="preserve">M2    </v>
          </cell>
          <cell r="D2516" t="str">
            <v>CR</v>
          </cell>
          <cell r="E2516" t="str">
            <v>52,36</v>
          </cell>
        </row>
        <row r="2517">
          <cell r="A2517">
            <v>3739</v>
          </cell>
          <cell r="B2517" t="str">
            <v xml:space="preserve">LAJE PRE-MOLDADA CONVENCIONAL (LAJOTAS + VIGOTAS) PARA PISO, UNIDIRECIONAL, SOBRECARGA DE 200 KG/M2, VAO ATE 5,00 M (SEM COLOCACAO)                                                                                                                                                                                                                                                                                                                                                                       </v>
          </cell>
          <cell r="C2517" t="str">
            <v xml:space="preserve">M2    </v>
          </cell>
          <cell r="D2517" t="str">
            <v>CR</v>
          </cell>
          <cell r="E2517" t="str">
            <v>55,03</v>
          </cell>
        </row>
        <row r="2518">
          <cell r="A2518">
            <v>3737</v>
          </cell>
          <cell r="B2518" t="str">
            <v xml:space="preserve">LAJE PRE-MOLDADA CONVENCIONAL (LAJOTAS + VIGOTAS) PARA PISO, UNIDIRECIONAL, SOBRECARGA DE 350 KG/M2, VAO ATE 4,50 M (SEM COLOCACAO)                                                                                                                                                                                                                                                                                                                                                                       </v>
          </cell>
          <cell r="C2518" t="str">
            <v xml:space="preserve">M2    </v>
          </cell>
          <cell r="D2518" t="str">
            <v>CR</v>
          </cell>
          <cell r="E2518" t="str">
            <v>57,69</v>
          </cell>
        </row>
        <row r="2519">
          <cell r="A2519">
            <v>3738</v>
          </cell>
          <cell r="B2519" t="str">
            <v xml:space="preserve">LAJE PRE-MOLDADA CONVENCIONAL (LAJOTAS + VIGOTAS) PARA PISO, UNIDIRECIONAL, SOBRECARGA DE 350 KG/M2, VAO ATE 5,00 M (SEM COLOCACAO)                                                                                                                                                                                                                                                                                                                                                                       </v>
          </cell>
          <cell r="C2519" t="str">
            <v xml:space="preserve">M2    </v>
          </cell>
          <cell r="D2519" t="str">
            <v>CR</v>
          </cell>
          <cell r="E2519" t="str">
            <v>66,56</v>
          </cell>
        </row>
        <row r="2520">
          <cell r="A2520">
            <v>3747</v>
          </cell>
          <cell r="B2520" t="str">
            <v xml:space="preserve">LAJE PRE-MOLDADA CONVENCIONAL (LAJOTAS + VIGOTAS) PARA PISO, UNIDIRECIONAL, SOBRECARGA 350 KG/M2 VAO ATE 3,50 M (SEM COLOCACAO)                                                                                                                                                                                                                                                                                                                                                                           </v>
          </cell>
          <cell r="C2520" t="str">
            <v xml:space="preserve">M2    </v>
          </cell>
          <cell r="D2520" t="str">
            <v>CR</v>
          </cell>
          <cell r="E2520" t="str">
            <v>52,36</v>
          </cell>
        </row>
        <row r="2521">
          <cell r="A2521">
            <v>11649</v>
          </cell>
          <cell r="B2521" t="str">
            <v xml:space="preserve">LAJE PRE-MOLDADA DE TRANSICAO EXCENTRICA EM CONCRETO ARMADO, DN 1200 MM, FURO CIRCULAR DN 600 MM, ESPESSURA 12 CM                                                                                                                                                                                                                                                                                                                                                                                         </v>
          </cell>
          <cell r="C2521" t="str">
            <v xml:space="preserve">UN    </v>
          </cell>
          <cell r="D2521" t="str">
            <v>CR</v>
          </cell>
          <cell r="E2521" t="str">
            <v>379,89</v>
          </cell>
        </row>
        <row r="2522">
          <cell r="A2522">
            <v>11650</v>
          </cell>
          <cell r="B2522" t="str">
            <v xml:space="preserve">LAJE PRE-MOLDADA DE TRANSICAO EXCENTRICA EM CONCRETO ARMADO, DN 1500 MM, FURO CIRCULAR DN 530 MM, ESPESSURA 15 CM                                                                                                                                                                                                                                                                                                                                                                                         </v>
          </cell>
          <cell r="C2522" t="str">
            <v xml:space="preserve">UN    </v>
          </cell>
          <cell r="D2522" t="str">
            <v>CR</v>
          </cell>
          <cell r="E2522" t="str">
            <v>647,50</v>
          </cell>
        </row>
        <row r="2523">
          <cell r="A2523">
            <v>3742</v>
          </cell>
          <cell r="B2523" t="str">
            <v xml:space="preserve">LAJE PRE-MOLDADA TRELICADA (LAJOTAS + VIGOTAS) PARA FORRO, UNIDIRECIONAL, SOBRECARGA DE 100 KG/M2, VAO ATE 6,00 M (SEM COLOCACAO)                                                                                                                                                                                                                                                                                                                                                                         </v>
          </cell>
          <cell r="C2523" t="str">
            <v xml:space="preserve">M2    </v>
          </cell>
          <cell r="D2523" t="str">
            <v>CR</v>
          </cell>
          <cell r="E2523" t="str">
            <v>69,05</v>
          </cell>
        </row>
        <row r="2524">
          <cell r="A2524">
            <v>3746</v>
          </cell>
          <cell r="B2524" t="str">
            <v xml:space="preserve">LAJE PRE-MOLDADA TRELICADA (LAJOTAS + VIGOTAS) PARA PISO, UNIDIRECIONAL, SOBRECARGA DE 200 KG/M2, VAO ATE 6,00 M (SEM COLOCACAO)                                                                                                                                                                                                                                                                                                                                                                          </v>
          </cell>
          <cell r="C2524" t="str">
            <v xml:space="preserve">M2    </v>
          </cell>
          <cell r="D2524" t="str">
            <v>CR</v>
          </cell>
          <cell r="E2524" t="str">
            <v>80,62</v>
          </cell>
        </row>
        <row r="2525">
          <cell r="A2525">
            <v>21106</v>
          </cell>
          <cell r="B2525" t="str">
            <v xml:space="preserve">LAMBRI EM ALUMINIO, DE APROXIMADAMENTE 0,6 KG/M, COM APROXIMADAMENTE 168,0 MM DE LARGURA, 6,0 MM DE ALTURA E 6,0 M DE EXTENSAO                                                                                                                                                                                                                                                                                                                                                                            </v>
          </cell>
          <cell r="C2525" t="str">
            <v xml:space="preserve">KG    </v>
          </cell>
          <cell r="D2525" t="str">
            <v>CR</v>
          </cell>
          <cell r="E2525" t="str">
            <v>34,41</v>
          </cell>
        </row>
        <row r="2526">
          <cell r="A2526">
            <v>39377</v>
          </cell>
          <cell r="B2526" t="str">
            <v xml:space="preserve">LAMPADA FLUORESCENTE COMPACTA BRANCA 135 W, BASE E40 (127/220 V)                                                                                                                                                                                                                                                                                                                                                                                                                                          </v>
          </cell>
          <cell r="C2526" t="str">
            <v xml:space="preserve">UN    </v>
          </cell>
          <cell r="D2526" t="str">
            <v>CR</v>
          </cell>
          <cell r="E2526" t="str">
            <v>226,49</v>
          </cell>
        </row>
        <row r="2527">
          <cell r="A2527">
            <v>38191</v>
          </cell>
          <cell r="B2527" t="str">
            <v xml:space="preserve">LAMPADA FLUORESCENTE COMPACTA 2U BRANCA 15 W, BASE E27 (127/220 V)                                                                                                                                                                                                                                                                                                                                                                                                                                        </v>
          </cell>
          <cell r="C2527" t="str">
            <v xml:space="preserve">UN    </v>
          </cell>
          <cell r="D2527" t="str">
            <v>CR</v>
          </cell>
          <cell r="E2527" t="str">
            <v>16,86</v>
          </cell>
        </row>
        <row r="2528">
          <cell r="A2528">
            <v>39381</v>
          </cell>
          <cell r="B2528" t="str">
            <v xml:space="preserve">LAMPADA FLUORESCENTE COMPACTA 2U/3U BRANCA 9/10 W, BASE E27 (127/220 V)                                                                                                                                                                                                                                                                                                                                                                                                                                   </v>
          </cell>
          <cell r="C2528" t="str">
            <v xml:space="preserve">UN    </v>
          </cell>
          <cell r="D2528" t="str">
            <v>CR</v>
          </cell>
          <cell r="E2528" t="str">
            <v>15,73</v>
          </cell>
        </row>
        <row r="2529">
          <cell r="A2529">
            <v>38780</v>
          </cell>
          <cell r="B2529" t="str">
            <v xml:space="preserve">LAMPADA FLUORESCENTE COMPACTA 3U BRANCA 20 W, BASE E27 (127/220 V)                                                                                                                                                                                                                                                                                                                                                                                                                                        </v>
          </cell>
          <cell r="C2529" t="str">
            <v xml:space="preserve">UN    </v>
          </cell>
          <cell r="D2529" t="str">
            <v>CR</v>
          </cell>
          <cell r="E2529" t="str">
            <v>19,24</v>
          </cell>
        </row>
        <row r="2530">
          <cell r="A2530">
            <v>38781</v>
          </cell>
          <cell r="B2530" t="str">
            <v xml:space="preserve">LAMPADA FLUORESCENTE ESPIRAL BRANCA 45 W, BASE E27 (127/220 V)                                                                                                                                                                                                                                                                                                                                                                                                                                            </v>
          </cell>
          <cell r="C2530" t="str">
            <v xml:space="preserve">UN    </v>
          </cell>
          <cell r="D2530" t="str">
            <v>CR</v>
          </cell>
          <cell r="E2530" t="str">
            <v>64,96</v>
          </cell>
        </row>
        <row r="2531">
          <cell r="A2531">
            <v>38192</v>
          </cell>
          <cell r="B2531" t="str">
            <v xml:space="preserve">LAMPADA FLUORESCENTE ESPIRAL BRANCA 65 W, BASE E27 (127/220 V)                                                                                                                                                                                                                                                                                                                                                                                                                                            </v>
          </cell>
          <cell r="C2531" t="str">
            <v xml:space="preserve">UN    </v>
          </cell>
          <cell r="D2531" t="str">
            <v>CR</v>
          </cell>
          <cell r="E2531" t="str">
            <v>117,55</v>
          </cell>
        </row>
        <row r="2532">
          <cell r="A2532">
            <v>3753</v>
          </cell>
          <cell r="B2532" t="str">
            <v xml:space="preserve">LAMPADA FLUORESCENTE TUBULAR T10, DE 20 OU 40 W, BIVOLT                                                                                                                                                                                                                                                                                                                                                                                                                                                   </v>
          </cell>
          <cell r="C2532" t="str">
            <v xml:space="preserve">UN    </v>
          </cell>
          <cell r="D2532" t="str">
            <v>CR</v>
          </cell>
          <cell r="E2532" t="str">
            <v>10,29</v>
          </cell>
        </row>
        <row r="2533">
          <cell r="A2533">
            <v>38782</v>
          </cell>
          <cell r="B2533" t="str">
            <v xml:space="preserve">LAMPADA FLUORESCENTE TUBULAR T5 DE 14 W, BIVOLT                                                                                                                                                                                                                                                                                                                                                                                                                                                           </v>
          </cell>
          <cell r="C2533" t="str">
            <v xml:space="preserve">UN    </v>
          </cell>
          <cell r="D2533" t="str">
            <v>CR</v>
          </cell>
          <cell r="E2533" t="str">
            <v>13,40</v>
          </cell>
        </row>
        <row r="2534">
          <cell r="A2534">
            <v>38778</v>
          </cell>
          <cell r="B2534" t="str">
            <v xml:space="preserve">LAMPADA FLUORESCENTE TUBULAR T8 DE 16/18 W, BIVOLT                                                                                                                                                                                                                                                                                                                                                                                                                                                        </v>
          </cell>
          <cell r="C2534" t="str">
            <v xml:space="preserve">UN    </v>
          </cell>
          <cell r="D2534" t="str">
            <v>CR</v>
          </cell>
          <cell r="E2534" t="str">
            <v>10,06</v>
          </cell>
        </row>
        <row r="2535">
          <cell r="A2535">
            <v>38779</v>
          </cell>
          <cell r="B2535" t="str">
            <v xml:space="preserve">LAMPADA FLUORESCENTE TUBULAR T8 DE 32/36 W, BIVOLT                                                                                                                                                                                                                                                                                                                                                                                                                                                        </v>
          </cell>
          <cell r="C2535" t="str">
            <v xml:space="preserve">UN    </v>
          </cell>
          <cell r="D2535" t="str">
            <v>CR</v>
          </cell>
          <cell r="E2535" t="str">
            <v>10,66</v>
          </cell>
        </row>
        <row r="2536">
          <cell r="A2536">
            <v>39388</v>
          </cell>
          <cell r="B2536" t="str">
            <v xml:space="preserve">LAMPADA LED TIPO DICROICA BIVOLT, LUZ BRANCA, 5 W (BASE GU10)                                                                                                                                                                                                                                                                                                                                                                                                                                             </v>
          </cell>
          <cell r="C2536" t="str">
            <v xml:space="preserve">UN    </v>
          </cell>
          <cell r="D2536" t="str">
            <v>CR</v>
          </cell>
          <cell r="E2536" t="str">
            <v>7,38</v>
          </cell>
        </row>
        <row r="2537">
          <cell r="A2537">
            <v>39387</v>
          </cell>
          <cell r="B2537" t="str">
            <v xml:space="preserve">LAMPADA LED TUBULAR BIVOLT 18/20 W, BASE G13                                                                                                                                                                                                                                                                                                                                                                                                                                                              </v>
          </cell>
          <cell r="C2537" t="str">
            <v xml:space="preserve">UN    </v>
          </cell>
          <cell r="D2537" t="str">
            <v>CR</v>
          </cell>
          <cell r="E2537" t="str">
            <v>11,50</v>
          </cell>
        </row>
        <row r="2538">
          <cell r="A2538">
            <v>39386</v>
          </cell>
          <cell r="B2538" t="str">
            <v xml:space="preserve">LAMPADA LED TUBULAR BIVOLT 9/10 W, BASE G13                                                                                                                                                                                                                                                                                                                                                                                                                                                               </v>
          </cell>
          <cell r="C2538" t="str">
            <v xml:space="preserve">UN    </v>
          </cell>
          <cell r="D2538" t="str">
            <v>CR</v>
          </cell>
          <cell r="E2538" t="str">
            <v>8,02</v>
          </cell>
        </row>
        <row r="2539">
          <cell r="A2539">
            <v>38194</v>
          </cell>
          <cell r="B2539" t="str">
            <v xml:space="preserve">LAMPADA LED 10 W BIVOLT BRANCA, FORMATO TRADICIONAL (BASE E27)                                                                                                                                                                                                                                                                                                                                                                                                                                            </v>
          </cell>
          <cell r="C2539" t="str">
            <v xml:space="preserve">UN    </v>
          </cell>
          <cell r="D2539" t="str">
            <v xml:space="preserve">C </v>
          </cell>
          <cell r="E2539" t="str">
            <v>6,00</v>
          </cell>
        </row>
        <row r="2540">
          <cell r="A2540">
            <v>38193</v>
          </cell>
          <cell r="B2540" t="str">
            <v xml:space="preserve">LAMPADA LED 6 W BIVOLT BRANCA, FORMATO TRADICIONAL (BASE E27)                                                                                                                                                                                                                                                                                                                                                                                                                                             </v>
          </cell>
          <cell r="C2540" t="str">
            <v xml:space="preserve">UN    </v>
          </cell>
          <cell r="D2540" t="str">
            <v>CR</v>
          </cell>
          <cell r="E2540" t="str">
            <v>5,21</v>
          </cell>
        </row>
        <row r="2541">
          <cell r="A2541">
            <v>12216</v>
          </cell>
          <cell r="B2541" t="str">
            <v xml:space="preserve">LAMPADA VAPOR DE SODIO OVOIDE 150 W (BASE E40)                                                                                                                                                                                                                                                                                                                                                                                                                                                            </v>
          </cell>
          <cell r="C2541" t="str">
            <v xml:space="preserve">UN    </v>
          </cell>
          <cell r="D2541" t="str">
            <v>CR</v>
          </cell>
          <cell r="E2541" t="str">
            <v>58,78</v>
          </cell>
        </row>
        <row r="2542">
          <cell r="A2542">
            <v>3757</v>
          </cell>
          <cell r="B2542" t="str">
            <v xml:space="preserve">LAMPADA VAPOR DE SODIO OVOIDE 250 W (BASE E40)                                                                                                                                                                                                                                                                                                                                                                                                                                                            </v>
          </cell>
          <cell r="C2542" t="str">
            <v xml:space="preserve">UN    </v>
          </cell>
          <cell r="D2542" t="str">
            <v>CR</v>
          </cell>
          <cell r="E2542" t="str">
            <v>67,97</v>
          </cell>
        </row>
        <row r="2543">
          <cell r="A2543">
            <v>3758</v>
          </cell>
          <cell r="B2543" t="str">
            <v xml:space="preserve">LAMPADA VAPOR DE SODIO OVOIDE 400 W (BASE E40)                                                                                                                                                                                                                                                                                                                                                                                                                                                            </v>
          </cell>
          <cell r="C2543" t="str">
            <v xml:space="preserve">UN    </v>
          </cell>
          <cell r="D2543" t="str">
            <v>CR</v>
          </cell>
          <cell r="E2543" t="str">
            <v>79,26</v>
          </cell>
        </row>
        <row r="2544">
          <cell r="A2544">
            <v>12214</v>
          </cell>
          <cell r="B2544" t="str">
            <v xml:space="preserve">LAMPADA VAPOR MERCURIO 125 W (BASE E27)                                                                                                                                                                                                                                                                                                                                                                                                                                                                   </v>
          </cell>
          <cell r="C2544" t="str">
            <v xml:space="preserve">UN    </v>
          </cell>
          <cell r="D2544" t="str">
            <v>CR</v>
          </cell>
          <cell r="E2544" t="str">
            <v>27,14</v>
          </cell>
        </row>
        <row r="2545">
          <cell r="A2545">
            <v>3749</v>
          </cell>
          <cell r="B2545" t="str">
            <v xml:space="preserve">LAMPADA VAPOR MERCURIO 250 W (BASE E40)                                                                                                                                                                                                                                                                                                                                                                                                                                                                   </v>
          </cell>
          <cell r="C2545" t="str">
            <v xml:space="preserve">UN    </v>
          </cell>
          <cell r="D2545" t="str">
            <v xml:space="preserve">C </v>
          </cell>
          <cell r="E2545" t="str">
            <v>48,37</v>
          </cell>
        </row>
        <row r="2546">
          <cell r="A2546">
            <v>3751</v>
          </cell>
          <cell r="B2546" t="str">
            <v xml:space="preserve">LAMPADA VAPOR MERCURIO 400 W (BASE E40)                                                                                                                                                                                                                                                                                                                                                                                                                                                                   </v>
          </cell>
          <cell r="C2546" t="str">
            <v xml:space="preserve">UN    </v>
          </cell>
          <cell r="D2546" t="str">
            <v>CR</v>
          </cell>
          <cell r="E2546" t="str">
            <v>66,01</v>
          </cell>
        </row>
        <row r="2547">
          <cell r="A2547">
            <v>39376</v>
          </cell>
          <cell r="B2547" t="str">
            <v xml:space="preserve">LAMPADA VAPOR METALICO OVOIDE 150 W, BASE E27/E40                                                                                                                                                                                                                                                                                                                                                                                                                                                         </v>
          </cell>
          <cell r="C2547" t="str">
            <v xml:space="preserve">UN    </v>
          </cell>
          <cell r="D2547" t="str">
            <v>CR</v>
          </cell>
          <cell r="E2547" t="str">
            <v>55,65</v>
          </cell>
        </row>
        <row r="2548">
          <cell r="A2548">
            <v>3752</v>
          </cell>
          <cell r="B2548" t="str">
            <v xml:space="preserve">LAMPADA VAPOR METALICO TUBULAR 400 W (BASE E40)                                                                                                                                                                                                                                                                                                                                                                                                                                                           </v>
          </cell>
          <cell r="C2548" t="str">
            <v xml:space="preserve">UN    </v>
          </cell>
          <cell r="D2548" t="str">
            <v>CR</v>
          </cell>
          <cell r="E2548" t="str">
            <v>108,89</v>
          </cell>
        </row>
        <row r="2549">
          <cell r="A2549">
            <v>746</v>
          </cell>
          <cell r="B2549" t="str">
            <v xml:space="preserve">LAVADORA DE ALTA PRESSAO (LAVA - JATO) PARA AGUA FRIA, PRESSAO DE OPERACAO ENTRE 1400 E 1900 LIB/POL2, VAZAO MAXIMA ENTRE  400 E 700 L/H, POTENCIA DE OPERACAO ENTRE 2,50 E 3,00 CV                                                                                                                                                                                                                                                                                                                       </v>
          </cell>
          <cell r="C2549" t="str">
            <v xml:space="preserve">UN    </v>
          </cell>
          <cell r="D2549" t="str">
            <v xml:space="preserve">C </v>
          </cell>
          <cell r="E2549" t="str">
            <v>2.714,00</v>
          </cell>
        </row>
        <row r="2550">
          <cell r="A2550">
            <v>20269</v>
          </cell>
          <cell r="B2550" t="str">
            <v xml:space="preserve">LAVATORIO / CUBA DE EMBUTIR, OVAL, DE LOUCA BRANCA, SEM LADRAO, DIMENSOES *50 X 35* CM (L X C)                                                                                                                                                                                                                                                                                                                                                                                                            </v>
          </cell>
          <cell r="C2550" t="str">
            <v xml:space="preserve">UN    </v>
          </cell>
          <cell r="D2550" t="str">
            <v>CR</v>
          </cell>
          <cell r="E2550" t="str">
            <v>92,97</v>
          </cell>
        </row>
        <row r="2551">
          <cell r="A2551">
            <v>20270</v>
          </cell>
          <cell r="B2551" t="str">
            <v xml:space="preserve">LAVATORIO / CUBA DE EMBUTIR, OVAL, DE LOUCA COLORIDA, SEM LADRAO, DIMENSOES *50 X 35* CM (L X C)                                                                                                                                                                                                                                                                                                                                                                                                          </v>
          </cell>
          <cell r="C2551" t="str">
            <v xml:space="preserve">UN    </v>
          </cell>
          <cell r="D2551" t="str">
            <v>CR</v>
          </cell>
          <cell r="E2551" t="str">
            <v>102,72</v>
          </cell>
        </row>
        <row r="2552">
          <cell r="A2552">
            <v>11696</v>
          </cell>
          <cell r="B2552" t="str">
            <v xml:space="preserve">LAVATORIO / CUBA DE SOBREPOR, OVAL PEQUENA, DE LOUCA BRANCA, SEM LADRAO, DIMENSOES *44 X 31* CM (L X C)                                                                                                                                                                                                                                                                                                                                                                                                   </v>
          </cell>
          <cell r="C2552" t="str">
            <v xml:space="preserve">UN    </v>
          </cell>
          <cell r="D2552" t="str">
            <v>CR</v>
          </cell>
          <cell r="E2552" t="str">
            <v>164,44</v>
          </cell>
        </row>
        <row r="2553">
          <cell r="A2553">
            <v>10427</v>
          </cell>
          <cell r="B2553" t="str">
            <v xml:space="preserve">LAVATORIO / CUBA DE SOBREPOR, RETANGULAR, DE LOUCA BRANCA, COM LADRAO, DIMENSOES *52 X 45* CM (L X C)                                                                                                                                                                                                                                                                                                                                                                                                     </v>
          </cell>
          <cell r="C2553" t="str">
            <v xml:space="preserve">UN    </v>
          </cell>
          <cell r="D2553" t="str">
            <v>CR</v>
          </cell>
          <cell r="E2553" t="str">
            <v>460,17</v>
          </cell>
        </row>
        <row r="2554">
          <cell r="A2554">
            <v>10428</v>
          </cell>
          <cell r="B2554" t="str">
            <v xml:space="preserve">LAVATORIO / CUBA DE SOBREPOR, RETANGULAR, DE LOUCA COLORIDA, COM LADRAO, DIMENSOES *52 X 45* CM (L X C)                                                                                                                                                                                                                                                                                                                                                                                                   </v>
          </cell>
          <cell r="C2554" t="str">
            <v xml:space="preserve">UN    </v>
          </cell>
          <cell r="D2554" t="str">
            <v>CR</v>
          </cell>
          <cell r="E2554" t="str">
            <v>474,12</v>
          </cell>
        </row>
        <row r="2555">
          <cell r="A2555">
            <v>36521</v>
          </cell>
          <cell r="B2555" t="str">
            <v xml:space="preserve">LAVATORIO DE CANTO DE LOUCA BRANCA, SUSPENSO (SEM COLUNA), DIMENSOES *40 X 30* CM (L X C)                                                                                                                                                                                                                                                                                                                                                                                                                 </v>
          </cell>
          <cell r="C2555" t="str">
            <v xml:space="preserve">UN    </v>
          </cell>
          <cell r="D2555" t="str">
            <v>CR</v>
          </cell>
          <cell r="E2555" t="str">
            <v>147,93</v>
          </cell>
        </row>
        <row r="2556">
          <cell r="A2556">
            <v>36794</v>
          </cell>
          <cell r="B2556" t="str">
            <v xml:space="preserve">LAVATORIO DE LOUCA BRANCA, COM COLUNA, DIMENSOES *44 X 35* CM (L X C)                                                                                                                                                                                                                                                                                                                                                                                                                                     </v>
          </cell>
          <cell r="C2556" t="str">
            <v xml:space="preserve">UN    </v>
          </cell>
          <cell r="D2556" t="str">
            <v>CR</v>
          </cell>
          <cell r="E2556" t="str">
            <v>157,48</v>
          </cell>
        </row>
        <row r="2557">
          <cell r="A2557">
            <v>10426</v>
          </cell>
          <cell r="B2557" t="str">
            <v xml:space="preserve">LAVATORIO DE LOUCA BRANCA, COM COLUNA, DIMENSOES *54 X 44* CM (L X C)                                                                                                                                                                                                                                                                                                                                                                                                                                     </v>
          </cell>
          <cell r="C2557" t="str">
            <v xml:space="preserve">UN    </v>
          </cell>
          <cell r="D2557" t="str">
            <v>CR</v>
          </cell>
          <cell r="E2557" t="str">
            <v>176,35</v>
          </cell>
        </row>
        <row r="2558">
          <cell r="A2558">
            <v>10425</v>
          </cell>
          <cell r="B2558" t="str">
            <v xml:space="preserve">LAVATORIO DE LOUCA BRANCA, SUSPENSO (SEM COLUNA), DIMENSOES *40 X 30* CM                                                                                                                                                                                                                                                                                                                                                                                                                                  </v>
          </cell>
          <cell r="C2558" t="str">
            <v xml:space="preserve">UN    </v>
          </cell>
          <cell r="D2558" t="str">
            <v>CR</v>
          </cell>
          <cell r="E2558" t="str">
            <v>89,46</v>
          </cell>
        </row>
        <row r="2559">
          <cell r="A2559">
            <v>10431</v>
          </cell>
          <cell r="B2559" t="str">
            <v xml:space="preserve">LAVATORIO DE LOUCA COLORIDA, COM COLUNA, DIMENSOES *54 X 44* CM (L X C)                                                                                                                                                                                                                                                                                                                                                                                                                                   </v>
          </cell>
          <cell r="C2559" t="str">
            <v xml:space="preserve">UN    </v>
          </cell>
          <cell r="D2559" t="str">
            <v>CR</v>
          </cell>
          <cell r="E2559" t="str">
            <v>306,30</v>
          </cell>
        </row>
        <row r="2560">
          <cell r="A2560">
            <v>10429</v>
          </cell>
          <cell r="B2560" t="str">
            <v xml:space="preserve">LAVATORIO DE LOUCA COLORIDA, SUSPENSO (SEM COLUNA), DIMENSOES *40 X 30* CM (L X C)                                                                                                                                                                                                                                                                                                                                                                                                                        </v>
          </cell>
          <cell r="C2560" t="str">
            <v xml:space="preserve">UN    </v>
          </cell>
          <cell r="D2560" t="str">
            <v>CR</v>
          </cell>
          <cell r="E2560" t="str">
            <v>151,10</v>
          </cell>
        </row>
        <row r="2561">
          <cell r="A2561">
            <v>10853</v>
          </cell>
          <cell r="B2561" t="str">
            <v xml:space="preserve">LETRA ACO INOX (AISI 304), CHAPA NUM. 22, RECORTADO, H= 20 CM (SEM RELEVO)                                                                                                                                                                                                                                                                                                                                                                                                                                </v>
          </cell>
          <cell r="C2561" t="str">
            <v xml:space="preserve">UN    </v>
          </cell>
          <cell r="D2561" t="str">
            <v>CR</v>
          </cell>
          <cell r="E2561" t="str">
            <v>87,45</v>
          </cell>
        </row>
        <row r="2562">
          <cell r="A2562">
            <v>5093</v>
          </cell>
          <cell r="B2562" t="str">
            <v xml:space="preserve">LEVANTADOR DE JANELA GUILHOTINA, EM LATAO CROMADO                                                                                                                                                                                                                                                                                                                                                                                                                                                         </v>
          </cell>
          <cell r="C2562" t="str">
            <v xml:space="preserve">PAR   </v>
          </cell>
          <cell r="D2562" t="str">
            <v>CR</v>
          </cell>
          <cell r="E2562" t="str">
            <v>15,79</v>
          </cell>
        </row>
        <row r="2563">
          <cell r="A2563">
            <v>44331</v>
          </cell>
          <cell r="B2563" t="str">
            <v xml:space="preserve">LIMPA VIDROS COM PULVERIZADOR                                                                                                                                                                                                                                                                                                                                                                                                                                                                             </v>
          </cell>
          <cell r="C2563" t="str">
            <v xml:space="preserve">L     </v>
          </cell>
          <cell r="D2563" t="str">
            <v>CR</v>
          </cell>
          <cell r="E2563" t="str">
            <v>48,50</v>
          </cell>
        </row>
        <row r="2564">
          <cell r="A2564">
            <v>37768</v>
          </cell>
          <cell r="B2564" t="str">
            <v xml:space="preserve">LIMPADORA A SUCCAO, TANQUE 12000 L, BASCULAMENTO HIDRAULICO, BOMBA 12 M3/MIN 95% VACUO (INCLUI MONTAGEM, NAO INCLUI CAMINHAO)                                                                                                                                                                                                                                                                                                                                                                             </v>
          </cell>
          <cell r="C2564" t="str">
            <v xml:space="preserve">UN    </v>
          </cell>
          <cell r="D2564" t="str">
            <v xml:space="preserve">C </v>
          </cell>
          <cell r="E2564" t="str">
            <v>295.000,00</v>
          </cell>
        </row>
        <row r="2565">
          <cell r="A2565">
            <v>37773</v>
          </cell>
          <cell r="B2565" t="str">
            <v xml:space="preserve">LIMPADORA DE SUCCAO TANQUE 7000 L, BOMBA 12 M3/MIN 95% VACUO (INCLUI MONTAGEM, NAO INCLUI CAMINHAO)                                                                                                                                                                                                                                                                                                                                                                                                       </v>
          </cell>
          <cell r="C2565" t="str">
            <v xml:space="preserve">UN    </v>
          </cell>
          <cell r="D2565" t="str">
            <v>CR</v>
          </cell>
          <cell r="E2565" t="str">
            <v>250.504,73</v>
          </cell>
        </row>
        <row r="2566">
          <cell r="A2566">
            <v>37769</v>
          </cell>
          <cell r="B2566" t="str">
            <v xml:space="preserve">LIMPADORA DE SUCCAO, TANQUE 11000 L, BOMBA 340 M3/MIN (INCLUI MONTAGEM, NAO INCLUI CAMINHAO)                                                                                                                                                                                                                                                                                                                                                                                                              </v>
          </cell>
          <cell r="C2566" t="str">
            <v xml:space="preserve">UN    </v>
          </cell>
          <cell r="D2566" t="str">
            <v>CR</v>
          </cell>
          <cell r="E2566" t="str">
            <v>419.376,48</v>
          </cell>
        </row>
        <row r="2567">
          <cell r="A2567">
            <v>37770</v>
          </cell>
          <cell r="B2567" t="str">
            <v xml:space="preserve">LIMPADORA DE SUCCAO, TANQUE 5500 L, BOMBA 60M3/MIN, VACUO 500 MBAR (INCLUI MONTAGEM, NAO INCLUI CAMINHAO)                                                                                                                                                                                                                                                                                                                                                                                                 </v>
          </cell>
          <cell r="C2567" t="str">
            <v xml:space="preserve">UN    </v>
          </cell>
          <cell r="D2567" t="str">
            <v>CR</v>
          </cell>
          <cell r="E2567" t="str">
            <v>711.748,80</v>
          </cell>
        </row>
        <row r="2568">
          <cell r="A2568">
            <v>38382</v>
          </cell>
          <cell r="B2568" t="str">
            <v xml:space="preserve">LINHA DE PEDREIRO LISA 100 M                                                                                                                                                                                                                                                                                                                                                                                                                                                                              </v>
          </cell>
          <cell r="C2568" t="str">
            <v xml:space="preserve">UN    </v>
          </cell>
          <cell r="D2568" t="str">
            <v>CR</v>
          </cell>
          <cell r="E2568" t="str">
            <v>13,98</v>
          </cell>
        </row>
        <row r="2569">
          <cell r="A2569">
            <v>38383</v>
          </cell>
          <cell r="B2569" t="str">
            <v xml:space="preserve">LIXA D'AGUA EM FOLHA, GRAO 100                                                                                                                                                                                                                                                                                                                                                                                                                                                                            </v>
          </cell>
          <cell r="C2569" t="str">
            <v xml:space="preserve">UN    </v>
          </cell>
          <cell r="D2569" t="str">
            <v>CR</v>
          </cell>
          <cell r="E2569" t="str">
            <v>2,62</v>
          </cell>
        </row>
        <row r="2570">
          <cell r="A2570">
            <v>3768</v>
          </cell>
          <cell r="B2570" t="str">
            <v xml:space="preserve">LIXA EM FOLHA PARA FERRO, NUMERO 150                                                                                                                                                                                                                                                                                                                                                                                                                                                                      </v>
          </cell>
          <cell r="C2570" t="str">
            <v xml:space="preserve">UN    </v>
          </cell>
          <cell r="D2570" t="str">
            <v>CR</v>
          </cell>
          <cell r="E2570" t="str">
            <v>3,63</v>
          </cell>
        </row>
        <row r="2571">
          <cell r="A2571">
            <v>3767</v>
          </cell>
          <cell r="B2571" t="str">
            <v xml:space="preserve">LIXA EM FOLHA PARA PAREDE OU MADEIRA, NUMERO 120, COR VERMELHA                                                                                                                                                                                                                                                                                                                                                                                                                                            </v>
          </cell>
          <cell r="C2571" t="str">
            <v xml:space="preserve">UN    </v>
          </cell>
          <cell r="D2571" t="str">
            <v>CR</v>
          </cell>
          <cell r="E2571" t="str">
            <v>1,21</v>
          </cell>
        </row>
        <row r="2572">
          <cell r="A2572">
            <v>13192</v>
          </cell>
          <cell r="B2572" t="str">
            <v xml:space="preserve">LIXADEIRA ELETRICA ANGULAR PARA CONCRETO, POTENCIA 1.400 W, PRATO DIAMANTADO DE 5''                                                                                                                                                                                                                                                                                                                                                                                                                       </v>
          </cell>
          <cell r="C2572" t="str">
            <v xml:space="preserve">UN    </v>
          </cell>
          <cell r="D2572" t="str">
            <v>CR</v>
          </cell>
          <cell r="E2572" t="str">
            <v>5.298,79</v>
          </cell>
        </row>
        <row r="2573">
          <cell r="A2573">
            <v>38413</v>
          </cell>
          <cell r="B2573" t="str">
            <v xml:space="preserve">LIXADEIRA ELETRICA ANGULAR, PARA DISCO DE 7 " (180 MM), POTENCIA DE 2.200 W, *5.000* RPM, 220 V                                                                                                                                                                                                                                                                                                                                                                                                           </v>
          </cell>
          <cell r="C2573" t="str">
            <v xml:space="preserve">UN    </v>
          </cell>
          <cell r="D2573" t="str">
            <v>CR</v>
          </cell>
          <cell r="E2573" t="str">
            <v>876,34</v>
          </cell>
        </row>
        <row r="2574">
          <cell r="A2574">
            <v>42440</v>
          </cell>
          <cell r="B2574" t="str">
            <v xml:space="preserve">LIXEIRA DUPLA, COM CAPACIDADE VOLUMETRICA DE 60L*, FABRICADA EM TUBO DE ACO CARBONO, CESTOS EM CHAPA DE ACO E PINTURA NO PROCESSO ELETROSTATICO - PARA ACADEMIA AO AR LIVRE / ACADEMIA DA TERCEIRA IDADE - ATI                                                                                                                                                                                                                                                                                            </v>
          </cell>
          <cell r="C2574" t="str">
            <v xml:space="preserve">UN    </v>
          </cell>
          <cell r="D2574" t="str">
            <v>CR</v>
          </cell>
          <cell r="E2574" t="str">
            <v>1.235,91</v>
          </cell>
        </row>
        <row r="2575">
          <cell r="A2575">
            <v>20193</v>
          </cell>
          <cell r="B2575" t="str">
            <v xml:space="preserve">LOCACAO DE ANDAIME METALICO TIPO FACHADEIRO, PECAS COM APROXIMADAMENTE 1,20 M DE LARGURA E 2,0 M DE ALTURA, INCLUINDO DIAGONAIS EM X, BARRAS DE LIGACAO, SAPATAS E DEMAIS ITENS NECESSARIOS A MONTAGEM (NAO INCLUI INSTALACAO)                                                                                                                                                                                                                                                                            </v>
          </cell>
          <cell r="C2575" t="str">
            <v>M2XMES</v>
          </cell>
          <cell r="D2575" t="str">
            <v>CR</v>
          </cell>
          <cell r="E2575" t="str">
            <v>18,75</v>
          </cell>
        </row>
        <row r="2576">
          <cell r="A2576">
            <v>10527</v>
          </cell>
          <cell r="B2576" t="str">
            <v xml:space="preserve">LOCACAO DE ANDAIME METALICO TUBULAR DE ENCAIXE, TIPO DE TORRE, CADA PAINEL COM LARGURA DE 1 ATE 1,5 M E ALTURA DE *1,00* M, INCLUINDO DIAGONAL, BARRAS DE LIGACAO, SAPATAS OU RODIZIOS E DEMAIS ITENS NECESSARIOS A MONTAGEM (NAO INCLUI INSTALACAO)                                                                                                                                                                                                                                                      </v>
          </cell>
          <cell r="C2576" t="str">
            <v xml:space="preserve">MXMES </v>
          </cell>
          <cell r="D2576" t="str">
            <v xml:space="preserve">C </v>
          </cell>
          <cell r="E2576" t="str">
            <v>25,00</v>
          </cell>
        </row>
        <row r="2577">
          <cell r="A2577">
            <v>41805</v>
          </cell>
          <cell r="B2577" t="str">
            <v xml:space="preserve">LOCACAO DE ANDAIME SUSPENSO OU BALANCIM MANUAL, CAPACIDADE DE CARGA TOTAL DE APROXIMADAMENTE 250 KG/M2, PLATAFORMA DE 1,50 M X 0,80 M (C X L), CABO DE 45 M                                                                                                                                                                                                                                                                                                                                               </v>
          </cell>
          <cell r="C2577" t="str">
            <v xml:space="preserve">MES   </v>
          </cell>
          <cell r="D2577" t="str">
            <v>CR</v>
          </cell>
          <cell r="E2577" t="str">
            <v>718,75</v>
          </cell>
        </row>
        <row r="2578">
          <cell r="A2578">
            <v>40271</v>
          </cell>
          <cell r="B2578" t="str">
            <v xml:space="preserve">LOCACAO DE APRUMADOR METALICO DE PILAR, COM ALTURA E ANGULO REGULAVEIS, EXTENSAO DE *1,50* A *2,80* M                                                                                                                                                                                                                                                                                                                                                                                                     </v>
          </cell>
          <cell r="C2578" t="str">
            <v>UNXMES</v>
          </cell>
          <cell r="D2578" t="str">
            <v>CR</v>
          </cell>
          <cell r="E2578" t="str">
            <v>19,13</v>
          </cell>
        </row>
        <row r="2579">
          <cell r="A2579">
            <v>40287</v>
          </cell>
          <cell r="B2579" t="str">
            <v xml:space="preserve">LOCACAO DE BARRA DE ANCORAGEM DE 0,80 A 1,20 M DE EXTENSAO, COM ROSCA DE 5/8", INCLUINDO PORCA E FLANGE                                                                                                                                                                                                                                                                                                                                                                                                   </v>
          </cell>
          <cell r="C2579" t="str">
            <v xml:space="preserve">MES   </v>
          </cell>
          <cell r="D2579" t="str">
            <v>CR</v>
          </cell>
          <cell r="E2579" t="str">
            <v>7,36</v>
          </cell>
        </row>
        <row r="2580">
          <cell r="A2580">
            <v>4084</v>
          </cell>
          <cell r="B2580" t="str">
            <v xml:space="preserve">LOCACAO DE BOMBA SUBMERSIVEL PARA DRENAGEM E ESGOTAMENTO, MOTOR ELETRICO TRIFASICO, POTENCIA DE 1 CV, DIAMETRO DE RECALQUE DE 2". FAIXA DE OPERACAO Q=25 M3/H (+ OU - 1 M3/H) E AMT=2 M, Q=12 M3/H (+ OU - 2 M3/H) E AMT = 12 M (+ OU - 2 M)                                                                                                                                                                                                                                                              </v>
          </cell>
          <cell r="C2580" t="str">
            <v xml:space="preserve">H     </v>
          </cell>
          <cell r="D2580" t="str">
            <v>CR</v>
          </cell>
          <cell r="E2580" t="str">
            <v>1,89</v>
          </cell>
        </row>
        <row r="2581">
          <cell r="A2581">
            <v>743</v>
          </cell>
          <cell r="B2581" t="str">
            <v xml:space="preserve">LOCACAO DE BOMBA SUBMERSIVEL PARA DRENAGEM E ESGOTAMENTO, MOTOR ELETRICO TRIFASICO, POTENCIA DE 2 CV, DIAMETRO DE RECALQUE DE 2", FAIXA DE OPERACAO Q=35 M3/H (+ OU - 3 M3/H) E AMT=2 M, Q=13 M3/H (+ OU - 3 M3/H) E AMT = 17 M (+ OU - 3 M)                                                                                                                                                                                                                                                              </v>
          </cell>
          <cell r="C2581" t="str">
            <v xml:space="preserve">H     </v>
          </cell>
          <cell r="D2581" t="str">
            <v xml:space="preserve">C </v>
          </cell>
          <cell r="E2581" t="str">
            <v>1,89</v>
          </cell>
        </row>
        <row r="2582">
          <cell r="A2582">
            <v>40293</v>
          </cell>
          <cell r="B2582" t="str">
            <v xml:space="preserve">LOCACAO DE BOMBA SUBMERSIVEL PARA DRENAGEM E ESGOTAMENTO, MOTOR ELETRICO TRIFASICO, POTENCIA DE 2 CV, DIAMETRO DE RECALQUE DE 3". FAIXA DE OPERACAO Q=70 M3/H (+ OU - 2 M3/H) E AMT=2 M, Q=9,5 M3/H (+ OU - 3,5 M3/H) E AMT = 10 M (+ OU - 2 M)                                                                                                                                                                                                                                                           </v>
          </cell>
          <cell r="C2582" t="str">
            <v xml:space="preserve">H     </v>
          </cell>
          <cell r="D2582" t="str">
            <v>CR</v>
          </cell>
          <cell r="E2582" t="str">
            <v>2,26</v>
          </cell>
        </row>
        <row r="2583">
          <cell r="A2583">
            <v>40294</v>
          </cell>
          <cell r="B2583" t="str">
            <v xml:space="preserve">LOCACAO DE BOMBA SUBMERSIVEL PARA DRENAGEM E ESGOTAMENTO, MOTOR ELETRICO TRIFASICO, POTENCIA DE 3 CV, DIAMETRO DE RECALQUE DE 2", FAIXA DE OPERACAO Q=84 M3/H (+ OU - 2,5 M3/H) E AMT=2 M, Q=9,1 M3/H (+ OU - 2 M3/H) E AMT = 12 M (+ OU - 2 M)                                                                                                                                                                                                                                                           </v>
          </cell>
          <cell r="C2583" t="str">
            <v xml:space="preserve">H     </v>
          </cell>
          <cell r="D2583" t="str">
            <v>CR</v>
          </cell>
          <cell r="E2583" t="str">
            <v>1,89</v>
          </cell>
        </row>
        <row r="2584">
          <cell r="A2584">
            <v>4085</v>
          </cell>
          <cell r="B2584" t="str">
            <v xml:space="preserve">LOCACAO DE BOMBA SUBMERSIVEL PARA DRENAGEM E ESGOTAMENTO, MOTOR ELETRICO TRIFASICO, POTENCIA DE 4 CV, DIAMETRO DE RECALQUE DE 3". FAIXA DE OPERACAO Q=60 M3/H (+ OU - 1 M3/H) E AMT=2 M, Q=11 M3/H (+ OU - 1 M3/H) E AMT = 23 M (+ OU - 1 M)                                                                                                                                                                                                                                                              </v>
          </cell>
          <cell r="C2584" t="str">
            <v xml:space="preserve">H     </v>
          </cell>
          <cell r="D2584" t="str">
            <v>CR</v>
          </cell>
          <cell r="E2584" t="str">
            <v>2,64</v>
          </cell>
        </row>
        <row r="2585">
          <cell r="A2585">
            <v>10779</v>
          </cell>
          <cell r="B2585" t="str">
            <v xml:space="preserve">LOCACAO DE CONTAINER 2,30 X 4,30 M, ALT. 2,50 M, P/ SANITARIO, C/ 5 BACIAS, 1 LAVATORIO E 4 MICTORIOS (NAO INCLUI MOBILIZACAO/DESMOBILIZACAO)                                                                                                                                                                                                                                                                                                                                                             </v>
          </cell>
          <cell r="C2585" t="str">
            <v xml:space="preserve">MES   </v>
          </cell>
          <cell r="D2585" t="str">
            <v>CR</v>
          </cell>
          <cell r="E2585" t="str">
            <v>1.077,75</v>
          </cell>
        </row>
        <row r="2586">
          <cell r="A2586">
            <v>10777</v>
          </cell>
          <cell r="B2586" t="str">
            <v xml:space="preserve">LOCACAO DE CONTAINER 2,30 X 4,30 M, ALT. 2,50 M, PARA SANITARIO, COM 3 BACIAS, 4 CHUVEIROS, 1 LAVATORIO E 1 MICTORIO (NAO INCLUI MOBILIZACAO/DESMOBILIZACAO)                                                                                                                                                                                                                                                                                                                                              </v>
          </cell>
          <cell r="C2586" t="str">
            <v xml:space="preserve">MES   </v>
          </cell>
          <cell r="D2586" t="str">
            <v>CR</v>
          </cell>
          <cell r="E2586" t="str">
            <v>978,95</v>
          </cell>
        </row>
        <row r="2587">
          <cell r="A2587">
            <v>10775</v>
          </cell>
          <cell r="B2587" t="str">
            <v xml:space="preserve">LOCACAO DE CONTAINER 2,30 X 6,00 M, ALT. 2,50 M, COM 1 SANITARIO, PARA ESCRITORIO, COMPLETO, SEM DIVISORIAS INTERNAS (NAO INCLUI MOBILIZACAO/DESMOBILIZACAO)                                                                                                                                                                                                                                                                                                                                              </v>
          </cell>
          <cell r="C2587" t="str">
            <v xml:space="preserve">MES   </v>
          </cell>
          <cell r="D2587" t="str">
            <v xml:space="preserve">C </v>
          </cell>
          <cell r="E2587" t="str">
            <v>862,20</v>
          </cell>
        </row>
        <row r="2588">
          <cell r="A2588">
            <v>10776</v>
          </cell>
          <cell r="B2588" t="str">
            <v xml:space="preserve">LOCACAO DE CONTAINER 2,30 X 6,00 M, ALT. 2,50 M, PARA ESCRITORIO, SEM DIVISORIAS INTERNAS E SEM SANITARIO (NAO INCLUI MOBILIZACAO/DESMOBILIZACAO)                                                                                                                                                                                                                                                                                                                                                         </v>
          </cell>
          <cell r="C2588" t="str">
            <v xml:space="preserve">MES   </v>
          </cell>
          <cell r="D2588" t="str">
            <v>CR</v>
          </cell>
          <cell r="E2588" t="str">
            <v>673,59</v>
          </cell>
        </row>
        <row r="2589">
          <cell r="A2589">
            <v>10778</v>
          </cell>
          <cell r="B2589" t="str">
            <v xml:space="preserve">LOCACAO DE CONTAINER 2,30 X 6,00 M, ALT. 2,50 M, PARA SANITARIO, COM 4 BACIAS, 8 CHUVEIROS,1 LAVATORIO E 1 MICTORIO (NAO INCLUI MOBILIZACAO/DESMOBILIZACAO)                                                                                                                                                                                                                                                                                                                                               </v>
          </cell>
          <cell r="C2589" t="str">
            <v xml:space="preserve">MES   </v>
          </cell>
          <cell r="D2589" t="str">
            <v>CR</v>
          </cell>
          <cell r="E2589" t="str">
            <v>1.077,75</v>
          </cell>
        </row>
        <row r="2590">
          <cell r="A2590">
            <v>40339</v>
          </cell>
          <cell r="B2590" t="str">
            <v xml:space="preserve">LOCACAO DE CRUZETA, SIMPLES, PARA ESCORA METALICA, COMPRIMENTO ENTRE 50 A 60 CM, PARA ESCORA DE 1,80 A 3,20 METROS E TUBO EXTERNO ATE 48 MM DE DIAMETRO                                                                                                                                                                                                                                                                                                                                                   </v>
          </cell>
          <cell r="C2590" t="str">
            <v>UNXMES</v>
          </cell>
          <cell r="D2590" t="str">
            <v>CR</v>
          </cell>
          <cell r="E2590" t="str">
            <v>6,71</v>
          </cell>
        </row>
        <row r="2591">
          <cell r="A2591">
            <v>10749</v>
          </cell>
          <cell r="B2591" t="str">
            <v xml:space="preserve">LOCACAO DE ESCORA METALICA TELESCOPICA, COM ALTURA REGULAVEL DE *1,80* A *3,20* M, COM CAPACIDADE DE CARGA DE NO MINIMO 1000 KGF (10 KN), INCLUSO TRIPE E FORCADO                                                                                                                                                                                                                                                                                                                                         </v>
          </cell>
          <cell r="C2591" t="str">
            <v>UNXMES</v>
          </cell>
          <cell r="D2591" t="str">
            <v>CR</v>
          </cell>
          <cell r="E2591" t="str">
            <v>22,18</v>
          </cell>
        </row>
        <row r="2592">
          <cell r="A2592">
            <v>40290</v>
          </cell>
          <cell r="B2592" t="str">
            <v xml:space="preserve">LOCACAO DE FORMA PLASTICA PARA LAJE NERVURADA, DIMENSOES *60* X *60* X *16* CM                                                                                                                                                                                                                                                                                                                                                                                                                            </v>
          </cell>
          <cell r="C2592" t="str">
            <v>UNXMES</v>
          </cell>
          <cell r="D2592" t="str">
            <v>CR</v>
          </cell>
          <cell r="E2592" t="str">
            <v>12,00</v>
          </cell>
        </row>
        <row r="2593">
          <cell r="A2593">
            <v>3346</v>
          </cell>
          <cell r="B2593" t="str">
            <v xml:space="preserve">LOCACAO DE GRUPO GERADOR *80 A 125* KVA, MOTOR DIESEL, REBOCAVEL, ACIONAMENTO MANUAL                                                                                                                                                                                                                                                                                                                                                                                                                      </v>
          </cell>
          <cell r="C2593" t="str">
            <v xml:space="preserve">H     </v>
          </cell>
          <cell r="D2593" t="str">
            <v xml:space="preserve">C </v>
          </cell>
          <cell r="E2593" t="str">
            <v>19,31</v>
          </cell>
        </row>
        <row r="2594">
          <cell r="A2594">
            <v>3348</v>
          </cell>
          <cell r="B2594" t="str">
            <v xml:space="preserve">LOCACAO DE GRUPO GERADOR ACIMA DE * 125 ATE 180* KVA, MOTOR DIESEL, REBOCAVEL, ACIONAMENTO MANUAL                                                                                                                                                                                                                                                                                                                                                                                                         </v>
          </cell>
          <cell r="C2594" t="str">
            <v xml:space="preserve">H     </v>
          </cell>
          <cell r="D2594" t="str">
            <v>CR</v>
          </cell>
          <cell r="E2594" t="str">
            <v>23,10</v>
          </cell>
        </row>
        <row r="2595">
          <cell r="A2595">
            <v>39833</v>
          </cell>
          <cell r="B2595" t="str">
            <v xml:space="preserve">LOCACAO DE GRUPO GERADOR DE *260* KVA, DIESEL REBOCAVEL, ACIONAMENTO MANUAL                                                                                                                                                                                                                                                                                                                                                                                                                               </v>
          </cell>
          <cell r="C2595" t="str">
            <v xml:space="preserve">H     </v>
          </cell>
          <cell r="D2595" t="str">
            <v>CR</v>
          </cell>
          <cell r="E2595" t="str">
            <v>31,64</v>
          </cell>
        </row>
        <row r="2596">
          <cell r="A2596">
            <v>7252</v>
          </cell>
          <cell r="B2596" t="str">
            <v xml:space="preserve">LOCACAO DE NIVEL OPTICO, COM PRECISAO DE 0,7 MM, AUMENTO DE 32X                                                                                                                                                                                                                                                                                                                                                                                                                                           </v>
          </cell>
          <cell r="C2596" t="str">
            <v xml:space="preserve">H     </v>
          </cell>
          <cell r="D2596" t="str">
            <v>CR</v>
          </cell>
          <cell r="E2596" t="str">
            <v>2,32</v>
          </cell>
        </row>
        <row r="2597">
          <cell r="A2597">
            <v>7247</v>
          </cell>
          <cell r="B2597" t="str">
            <v xml:space="preserve">LOCACAO DE TEODOLITO ELETRONICO, PRECISAO ANGULAR DE 5 A 7 SEGUNDOS, INCLUINDO TRIPE                                                                                                                                                                                                                                                                                                                                                                                                                      </v>
          </cell>
          <cell r="C2597" t="str">
            <v xml:space="preserve">H     </v>
          </cell>
          <cell r="D2597" t="str">
            <v xml:space="preserve">C </v>
          </cell>
          <cell r="E2597" t="str">
            <v>2,32</v>
          </cell>
        </row>
        <row r="2598">
          <cell r="A2598">
            <v>40291</v>
          </cell>
          <cell r="B2598" t="str">
            <v xml:space="preserve">LOCACAO DE TORRE METALICA COMPLETA PARA UMA CARGA DE 8 TF (80 KN)  E PE DIREITO DE 6 M, INCLUINDO MODULOS , DIAGONAIS, SAPATAS E FORCADOS                                                                                                                                                                                                                                                                                                                                                                 </v>
          </cell>
          <cell r="C2598" t="str">
            <v>UNXMES</v>
          </cell>
          <cell r="D2598" t="str">
            <v>CR</v>
          </cell>
          <cell r="E2598" t="str">
            <v>625,00</v>
          </cell>
        </row>
        <row r="2599">
          <cell r="A2599">
            <v>40275</v>
          </cell>
          <cell r="B2599" t="str">
            <v xml:space="preserve">LOCACAO DE VIGA SANDUICHE METALICA VAZADA PARA TRAVAMENTO DE PILARES, ALTURA DE *8* CM, LARGURA DE *6* CM E EXTENSAO DE 2 M                                                                                                                                                                                                                                                                                                                                                                               </v>
          </cell>
          <cell r="C2599" t="str">
            <v>UNXMES</v>
          </cell>
          <cell r="D2599" t="str">
            <v>CR</v>
          </cell>
          <cell r="E2599" t="str">
            <v>20,00</v>
          </cell>
        </row>
        <row r="2600">
          <cell r="A2600">
            <v>42408</v>
          </cell>
          <cell r="B2600" t="str">
            <v xml:space="preserve">LONA PLASTICA EXTRA FORTE PRETA, E = 200 MICRA                                                                                                                                                                                                                                                                                                                                                                                                                                                            </v>
          </cell>
          <cell r="C2600" t="str">
            <v xml:space="preserve">M2    </v>
          </cell>
          <cell r="D2600" t="str">
            <v>CR</v>
          </cell>
          <cell r="E2600" t="str">
            <v>1,15</v>
          </cell>
        </row>
        <row r="2601">
          <cell r="A2601">
            <v>3777</v>
          </cell>
          <cell r="B2601" t="str">
            <v xml:space="preserve">LONA PLASTICA PESADA PRETA, E = 150 MICRA                                                                                                                                                                                                                                                                                                                                                                                                                                                                 </v>
          </cell>
          <cell r="C2601" t="str">
            <v xml:space="preserve">M2    </v>
          </cell>
          <cell r="D2601" t="str">
            <v xml:space="preserve">C </v>
          </cell>
          <cell r="E2601" t="str">
            <v>0,83</v>
          </cell>
        </row>
        <row r="2602">
          <cell r="A2602">
            <v>44699</v>
          </cell>
          <cell r="B2602" t="str">
            <v xml:space="preserve">LUBRIFICANTE REDUTOR DE TORQUE E ARRASTO DE ALTO DESEMPENHO, PARA PERFURACAO HORIZONTAL DIRECIONAL, HDD                                                                                                                                                                                                                                                                                                                                                                                                   </v>
          </cell>
          <cell r="C2602" t="str">
            <v xml:space="preserve">KG    </v>
          </cell>
          <cell r="D2602" t="str">
            <v>CR</v>
          </cell>
          <cell r="E2602" t="str">
            <v>47,19</v>
          </cell>
        </row>
        <row r="2603">
          <cell r="A2603">
            <v>3798</v>
          </cell>
          <cell r="B2603" t="str">
            <v xml:space="preserve">LUMINARIA ABERTA P/ ILUMINACAO PUBLICA, TIPO X-57 PETERCO OU EQUIV                                                                                                                                                                                                                                                                                                                                                                                                                                        </v>
          </cell>
          <cell r="C2603" t="str">
            <v xml:space="preserve">UN    </v>
          </cell>
          <cell r="D2603" t="str">
            <v>CR</v>
          </cell>
          <cell r="E2603" t="str">
            <v>93,74</v>
          </cell>
        </row>
        <row r="2604">
          <cell r="A2604">
            <v>38769</v>
          </cell>
          <cell r="B2604" t="str">
            <v xml:space="preserve">LUMINARIA ARANDELA TIPO MEIA-LUA COM VIDRO FOSCO *30 X 15* CM, PARA 1 LAMPADA, BASE E27, POTENCIA MAXIMA 40/60 W (NAO INCLUI LAMPADA)                                                                                                                                                                                                                                                                                                                                                                     </v>
          </cell>
          <cell r="C2604" t="str">
            <v xml:space="preserve">UN    </v>
          </cell>
          <cell r="D2604" t="str">
            <v>CR</v>
          </cell>
          <cell r="E2604" t="str">
            <v>73,21</v>
          </cell>
        </row>
        <row r="2605">
          <cell r="A2605">
            <v>39510</v>
          </cell>
          <cell r="B2605" t="str">
            <v xml:space="preserve">LUMINARIA DE EMBUTIR EM CHAPA DE ACO PARA 2 LAMPADAS FLUORESCENTES DE 14 W COM REFLETOR E ALETAS EM ALUMINIO, COMPLETA (INCLUI REATOR E LAMPADAS)                                                                                                                                                                                                                                                                                                                                                         </v>
          </cell>
          <cell r="C2605" t="str">
            <v xml:space="preserve">UN    </v>
          </cell>
          <cell r="D2605" t="str">
            <v>CR</v>
          </cell>
          <cell r="E2605" t="str">
            <v>296,28</v>
          </cell>
        </row>
        <row r="2606">
          <cell r="A2606">
            <v>38776</v>
          </cell>
          <cell r="B2606" t="str">
            <v xml:space="preserve">LUMINARIA DE EMBUTIR EM CHAPA DE ACO PARA 4 LAMPADAS FLUORESCENTES DE 14 W *60 X 60 CM* ALETADA (NAO INCLUI REATOR E LAMPADAS)                                                                                                                                                                                                                                                                                                                                                                            </v>
          </cell>
          <cell r="C2606" t="str">
            <v xml:space="preserve">UN    </v>
          </cell>
          <cell r="D2606" t="str">
            <v>CR</v>
          </cell>
          <cell r="E2606" t="str">
            <v>314,44</v>
          </cell>
        </row>
        <row r="2607">
          <cell r="A2607">
            <v>38774</v>
          </cell>
          <cell r="B2607" t="str">
            <v xml:space="preserve">LUMINARIA DE EMERGENCIA 30 LEDS, POTENCIA 2 W, BATERIA DE LITIO, AUTONOMIA DE 6 HORAS                                                                                                                                                                                                                                                                                                                                                                                                                     </v>
          </cell>
          <cell r="C2607" t="str">
            <v xml:space="preserve">UN    </v>
          </cell>
          <cell r="D2607" t="str">
            <v>CR</v>
          </cell>
          <cell r="E2607" t="str">
            <v>15,07</v>
          </cell>
        </row>
        <row r="2608">
          <cell r="A2608">
            <v>42247</v>
          </cell>
          <cell r="B2608" t="str">
            <v xml:space="preserve">LUMINARIA DE LED PARA ILUMINACAO PUBLICA, DE 138 W ATE 180 W, INVOLUCRO EM ALUMINIO OU ACO INOX                                                                                                                                                                                                                                                                                                                                                                                                           </v>
          </cell>
          <cell r="C2608" t="str">
            <v xml:space="preserve">UN    </v>
          </cell>
          <cell r="D2608" t="str">
            <v>CR</v>
          </cell>
          <cell r="E2608" t="str">
            <v>514,49</v>
          </cell>
        </row>
        <row r="2609">
          <cell r="A2609">
            <v>42248</v>
          </cell>
          <cell r="B2609" t="str">
            <v xml:space="preserve">LUMINARIA DE LED PARA ILUMINACAO PUBLICA, DE 181 W ATE 239 W, INVOLUCRO EM ALUMINIO OU ACO INOX                                                                                                                                                                                                                                                                                                                                                                                                           </v>
          </cell>
          <cell r="C2609" t="str">
            <v xml:space="preserve">UN    </v>
          </cell>
          <cell r="D2609" t="str">
            <v>CR</v>
          </cell>
          <cell r="E2609" t="str">
            <v>597,62</v>
          </cell>
        </row>
        <row r="2610">
          <cell r="A2610">
            <v>42249</v>
          </cell>
          <cell r="B2610" t="str">
            <v xml:space="preserve">LUMINARIA DE LED PARA ILUMINACAO PUBLICA, DE 240 W ATE 350 W, INVOLUCRO EM ALUMINIO OU ACO INOX                                                                                                                                                                                                                                                                                                                                                                                                           </v>
          </cell>
          <cell r="C2610" t="str">
            <v xml:space="preserve">UN    </v>
          </cell>
          <cell r="D2610" t="str">
            <v>CR</v>
          </cell>
          <cell r="E2610" t="str">
            <v>990,05</v>
          </cell>
        </row>
        <row r="2611">
          <cell r="A2611">
            <v>42244</v>
          </cell>
          <cell r="B2611" t="str">
            <v xml:space="preserve">LUMINARIA DE LED PARA ILUMINACAO PUBLICA, DE 33 W ATE 50 W, INVOLUCRO EM ALUMINIO OU ACO INOX                                                                                                                                                                                                                                                                                                                                                                                                             </v>
          </cell>
          <cell r="C2611" t="str">
            <v xml:space="preserve">UN    </v>
          </cell>
          <cell r="D2611" t="str">
            <v>CR</v>
          </cell>
          <cell r="E2611" t="str">
            <v>154,61</v>
          </cell>
        </row>
        <row r="2612">
          <cell r="A2612">
            <v>42245</v>
          </cell>
          <cell r="B2612" t="str">
            <v xml:space="preserve">LUMINARIA DE LED PARA ILUMINACAO PUBLICA, DE 51 W ATE 67 W, INVOLUCRO EM ALUMINIO OU ACO INOX                                                                                                                                                                                                                                                                                                                                                                                                             </v>
          </cell>
          <cell r="C2612" t="str">
            <v xml:space="preserve">UN    </v>
          </cell>
          <cell r="D2612" t="str">
            <v>CR</v>
          </cell>
          <cell r="E2612" t="str">
            <v>285,31</v>
          </cell>
        </row>
        <row r="2613">
          <cell r="A2613">
            <v>42246</v>
          </cell>
          <cell r="B2613" t="str">
            <v xml:space="preserve">LUMINARIA DE LED PARA ILUMINACAO PUBLICA, DE 68 W ATE 97 W, INVOLUCRO EM ALUMINIO OU ACO INOX                                                                                                                                                                                                                                                                                                                                                                                                             </v>
          </cell>
          <cell r="C2613" t="str">
            <v xml:space="preserve">UN    </v>
          </cell>
          <cell r="D2613" t="str">
            <v>CR</v>
          </cell>
          <cell r="E2613" t="str">
            <v>315,83</v>
          </cell>
        </row>
        <row r="2614">
          <cell r="A2614">
            <v>42243</v>
          </cell>
          <cell r="B2614" t="str">
            <v xml:space="preserve">LUMINARIA DE LED PARA ILUMINACAO PUBLICA, DE 98 W ATE 137 W, INVOLUCRO EM ALUMINIO OU ACO INOX                                                                                                                                                                                                                                                                                                                                                                                                            </v>
          </cell>
          <cell r="C2614" t="str">
            <v xml:space="preserve">UN    </v>
          </cell>
          <cell r="D2614" t="str">
            <v>CR</v>
          </cell>
          <cell r="E2614" t="str">
            <v>380,83</v>
          </cell>
        </row>
        <row r="2615">
          <cell r="A2615">
            <v>38889</v>
          </cell>
          <cell r="B2615" t="str">
            <v xml:space="preserve">LUMINARIA DE SOBREPOR EM CHAPA DE ACO COM ALETAS PLASTICAS, PARA 1 LAMPADA, BASE E27, POTENCIA MAXIMA 40/60 W (NAO INCLUI LAMPADA)                                                                                                                                                                                                                                                                                                                                                                        </v>
          </cell>
          <cell r="C2615" t="str">
            <v xml:space="preserve">UN    </v>
          </cell>
          <cell r="D2615" t="str">
            <v>CR</v>
          </cell>
          <cell r="E2615" t="str">
            <v>56,11</v>
          </cell>
        </row>
        <row r="2616">
          <cell r="A2616">
            <v>38784</v>
          </cell>
          <cell r="B2616" t="str">
            <v xml:space="preserve">LUMINARIA DE SOBREPOR EM CHAPA DE ACO COM ALETAS PLASTICAS, PARA 2 LAMPADAS, BASE E27, POTENCIA MAXIMA 40/60 W (NAO INCLUI LAMPADAS)                                                                                                                                                                                                                                                                                                                                                                      </v>
          </cell>
          <cell r="C2616" t="str">
            <v xml:space="preserve">UN    </v>
          </cell>
          <cell r="D2616" t="str">
            <v>CR</v>
          </cell>
          <cell r="E2616" t="str">
            <v>75,07</v>
          </cell>
        </row>
        <row r="2617">
          <cell r="A2617">
            <v>3788</v>
          </cell>
          <cell r="B2617" t="str">
            <v xml:space="preserve">LUMINARIA DE SOBREPOR EM CHAPA DE ACO PARA 1 LAMPADA FLUORESCENTE DE *18* W, ALETADA, COMPLETA (LAMPADA E REATOR INCLUSOS)                                                                                                                                                                                                                                                                                                                                                                                </v>
          </cell>
          <cell r="C2617" t="str">
            <v xml:space="preserve">UN    </v>
          </cell>
          <cell r="D2617" t="str">
            <v>CR</v>
          </cell>
          <cell r="E2617" t="str">
            <v>78,23</v>
          </cell>
        </row>
        <row r="2618">
          <cell r="A2618">
            <v>12230</v>
          </cell>
          <cell r="B2618" t="str">
            <v xml:space="preserve">LUMINARIA DE SOBREPOR EM CHAPA DE ACO PARA 1 LAMPADA FLUORESCENTE DE *18* W, PERFIL COMERCIAL (NAO INCLUI REATOR E LAMPADA)                                                                                                                                                                                                                                                                                                                                                                               </v>
          </cell>
          <cell r="C2618" t="str">
            <v xml:space="preserve">UN    </v>
          </cell>
          <cell r="D2618" t="str">
            <v>CR</v>
          </cell>
          <cell r="E2618" t="str">
            <v>20,12</v>
          </cell>
        </row>
        <row r="2619">
          <cell r="A2619">
            <v>3780</v>
          </cell>
          <cell r="B2619" t="str">
            <v xml:space="preserve">LUMINARIA DE SOBREPOR EM CHAPA DE ACO PARA 1 LAMPADA FLUORESCENTE DE *36* W, ALETADA, COMPLETA (LAMPADA E REATOR INCLUSOS)                                                                                                                                                                                                                                                                                                                                                                                </v>
          </cell>
          <cell r="C2619" t="str">
            <v xml:space="preserve">UN    </v>
          </cell>
          <cell r="D2619" t="str">
            <v xml:space="preserve">C </v>
          </cell>
          <cell r="E2619" t="str">
            <v>115,42</v>
          </cell>
        </row>
        <row r="2620">
          <cell r="A2620">
            <v>12231</v>
          </cell>
          <cell r="B2620" t="str">
            <v xml:space="preserve">LUMINARIA DE SOBREPOR EM CHAPA DE ACO PARA 1 LAMPADA FLUORESCENTE DE *36* W, PERFIL COMERCIAL (NAO INCLUI REATOR E LAMPADA)                                                                                                                                                                                                                                                                                                                                                                               </v>
          </cell>
          <cell r="C2620" t="str">
            <v xml:space="preserve">UN    </v>
          </cell>
          <cell r="D2620" t="str">
            <v>CR</v>
          </cell>
          <cell r="E2620" t="str">
            <v>33,46</v>
          </cell>
        </row>
        <row r="2621">
          <cell r="A2621">
            <v>3811</v>
          </cell>
          <cell r="B2621" t="str">
            <v xml:space="preserve">LUMINARIA DE SOBREPOR EM CHAPA DE ACO PARA 2 LAMPADAS FLUORESCENTES DE *18* W, ALETADA, COMPLETA (LAMPADAS E REATOR INCLUSOS)                                                                                                                                                                                                                                                                                                                                                                             </v>
          </cell>
          <cell r="C2621" t="str">
            <v xml:space="preserve">UN    </v>
          </cell>
          <cell r="D2621" t="str">
            <v>CR</v>
          </cell>
          <cell r="E2621" t="str">
            <v>108,41</v>
          </cell>
        </row>
        <row r="2622">
          <cell r="A2622">
            <v>12232</v>
          </cell>
          <cell r="B2622" t="str">
            <v xml:space="preserve">LUMINARIA DE SOBREPOR EM CHAPA DE ACO PARA 2 LAMPADAS FLUORESCENTES DE *18* W, PERFIL COMERCIAL (NAO INCLUI REATOR E LAMPADAS)                                                                                                                                                                                                                                                                                                                                                                            </v>
          </cell>
          <cell r="C2622" t="str">
            <v xml:space="preserve">UN    </v>
          </cell>
          <cell r="D2622" t="str">
            <v>CR</v>
          </cell>
          <cell r="E2622" t="str">
            <v>35,06</v>
          </cell>
        </row>
        <row r="2623">
          <cell r="A2623">
            <v>3799</v>
          </cell>
          <cell r="B2623" t="str">
            <v xml:space="preserve">LUMINARIA DE SOBREPOR EM CHAPA DE ACO PARA 2 LAMPADAS FLUORESCENTES DE *36* W, ALETADA, COMPLETA (LAMPADAS E REATOR INCLUSOS)                                                                                                                                                                                                                                                                                                                                                                             </v>
          </cell>
          <cell r="C2623" t="str">
            <v xml:space="preserve">UN    </v>
          </cell>
          <cell r="D2623" t="str">
            <v>CR</v>
          </cell>
          <cell r="E2623" t="str">
            <v>153,32</v>
          </cell>
        </row>
        <row r="2624">
          <cell r="A2624">
            <v>12239</v>
          </cell>
          <cell r="B2624" t="str">
            <v xml:space="preserve">LUMINARIA DE SOBREPOR EM CHAPA DE ACO PARA 2 LAMPADAS FLUORESCENTES DE *36* W, PERFIL COMERCIAL (NAO INCLUI REATOR E LAMPADAS)                                                                                                                                                                                                                                                                                                                                                                            </v>
          </cell>
          <cell r="C2624" t="str">
            <v xml:space="preserve">UN    </v>
          </cell>
          <cell r="D2624" t="str">
            <v>CR</v>
          </cell>
          <cell r="E2624" t="str">
            <v>45,90</v>
          </cell>
        </row>
        <row r="2625">
          <cell r="A2625">
            <v>38773</v>
          </cell>
          <cell r="B2625" t="str">
            <v xml:space="preserve">LUMINARIA DE TETO PLAFON/PLAFONIER EM PLASTICO COM BASE E27, POTENCIA MAXIMA 60 W (NAO INCLUI LAMPADA)                                                                                                                                                                                                                                                                                                                                                                                                    </v>
          </cell>
          <cell r="C2625" t="str">
            <v xml:space="preserve">UN    </v>
          </cell>
          <cell r="D2625" t="str">
            <v>CR</v>
          </cell>
          <cell r="E2625" t="str">
            <v>7,36</v>
          </cell>
        </row>
        <row r="2626">
          <cell r="A2626">
            <v>12271</v>
          </cell>
          <cell r="B2626" t="str">
            <v xml:space="preserve">LUMINARIA DUPLA P/SINALIZACAO, TIPO WETZEL AS-2/110 OU EQUIV                                                                                                                                                                                                                                                                                                                                                                                                                                              </v>
          </cell>
          <cell r="C2626" t="str">
            <v xml:space="preserve">UN    </v>
          </cell>
          <cell r="D2626" t="str">
            <v>CR</v>
          </cell>
          <cell r="E2626" t="str">
            <v>410,53</v>
          </cell>
        </row>
        <row r="2627">
          <cell r="A2627">
            <v>38785</v>
          </cell>
          <cell r="B2627" t="str">
            <v xml:space="preserve">LUMINARIA HERMETICA IP-65 PARA 2 DUAS LAMPADAS DE 14/16/18/20 W (NAO INCLUI REATOR E LAMPADAS)                                                                                                                                                                                                                                                                                                                                                                                                            </v>
          </cell>
          <cell r="C2627" t="str">
            <v xml:space="preserve">UN    </v>
          </cell>
          <cell r="D2627" t="str">
            <v>CR</v>
          </cell>
          <cell r="E2627" t="str">
            <v>194,36</v>
          </cell>
        </row>
        <row r="2628">
          <cell r="A2628">
            <v>38786</v>
          </cell>
          <cell r="B2628" t="str">
            <v xml:space="preserve">LUMINARIA HERMETICA IP-65 PARA 2 DUAS LAMPADAS DE 28/32/36/40 W (NAO INCLUI REATOR E LAMPADAS)                                                                                                                                                                                                                                                                                                                                                                                                            </v>
          </cell>
          <cell r="C2628" t="str">
            <v xml:space="preserve">UN    </v>
          </cell>
          <cell r="D2628" t="str">
            <v>CR</v>
          </cell>
          <cell r="E2628" t="str">
            <v>239,41</v>
          </cell>
        </row>
        <row r="2629">
          <cell r="A2629">
            <v>39385</v>
          </cell>
          <cell r="B2629" t="str">
            <v xml:space="preserve">LUMINARIA LED PLAFON REDONDO DE SOBREPOR BIVOLT 12/13 W,  D = *17* CM                                                                                                                                                                                                                                                                                                                                                                                                                                     </v>
          </cell>
          <cell r="C2629" t="str">
            <v xml:space="preserve">UN    </v>
          </cell>
          <cell r="D2629" t="str">
            <v>CR</v>
          </cell>
          <cell r="E2629" t="str">
            <v>13,78</v>
          </cell>
        </row>
        <row r="2630">
          <cell r="A2630">
            <v>39389</v>
          </cell>
          <cell r="B2630" t="str">
            <v xml:space="preserve">LUMINARIA LED REFLETOR RETANGULAR BIVOLT, LUZ BRANCA, 10 W                                                                                                                                                                                                                                                                                                                                                                                                                                                </v>
          </cell>
          <cell r="C2630" t="str">
            <v xml:space="preserve">UN    </v>
          </cell>
          <cell r="D2630" t="str">
            <v>CR</v>
          </cell>
          <cell r="E2630" t="str">
            <v>14,96</v>
          </cell>
        </row>
        <row r="2631">
          <cell r="A2631">
            <v>39390</v>
          </cell>
          <cell r="B2631" t="str">
            <v xml:space="preserve">LUMINARIA LED REFLETOR RETANGULAR BIVOLT, LUZ BRANCA, 30 W                                                                                                                                                                                                                                                                                                                                                                                                                                                </v>
          </cell>
          <cell r="C2631" t="str">
            <v xml:space="preserve">UN    </v>
          </cell>
          <cell r="D2631" t="str">
            <v>CR</v>
          </cell>
          <cell r="E2631" t="str">
            <v>31,35</v>
          </cell>
        </row>
        <row r="2632">
          <cell r="A2632">
            <v>39391</v>
          </cell>
          <cell r="B2632" t="str">
            <v xml:space="preserve">LUMINARIA LED REFLETOR RETANGULAR BIVOLT, LUZ BRANCA, 50 W                                                                                                                                                                                                                                                                                                                                                                                                                                                </v>
          </cell>
          <cell r="C2632" t="str">
            <v xml:space="preserve">UN    </v>
          </cell>
          <cell r="D2632" t="str">
            <v>CR</v>
          </cell>
          <cell r="E2632" t="str">
            <v>35,20</v>
          </cell>
        </row>
        <row r="2633">
          <cell r="A2633">
            <v>3803</v>
          </cell>
          <cell r="B2633" t="str">
            <v xml:space="preserve">LUMINARIA PLAFON REDONDO COM VIDRO FOSCO DIAMETRO *25* CM, PARA 1 LAMPADA, BASE E27, POTENCIA MAXIMA 40/60 W (NAO INCLUI LAMPADA)                                                                                                                                                                                                                                                                                                                                                                         </v>
          </cell>
          <cell r="C2633" t="str">
            <v xml:space="preserve">UN    </v>
          </cell>
          <cell r="D2633" t="str">
            <v>CR</v>
          </cell>
          <cell r="E2633" t="str">
            <v>69,42</v>
          </cell>
        </row>
        <row r="2634">
          <cell r="A2634">
            <v>38770</v>
          </cell>
          <cell r="B2634" t="str">
            <v xml:space="preserve">LUMINARIA PLAFON REDONDO COM VIDRO FOSCO DIAMETRO *30* CM, PARA 2 LAMPADAS, BASE E27, POTENCIA MAXIMA 40/60 W (NAO INCLUI LAMPADAS)                                                                                                                                                                                                                                                                                                                                                                       </v>
          </cell>
          <cell r="C2634" t="str">
            <v xml:space="preserve">UN    </v>
          </cell>
          <cell r="D2634" t="str">
            <v>CR</v>
          </cell>
          <cell r="E2634" t="str">
            <v>80,38</v>
          </cell>
        </row>
        <row r="2635">
          <cell r="A2635">
            <v>12267</v>
          </cell>
          <cell r="B2635" t="str">
            <v xml:space="preserve">LUMINARIA PROVA DE TEMPO PETERCO Y.31/1                                                                                                                                                                                                                                                                                                                                                                                                                                                                   </v>
          </cell>
          <cell r="C2635" t="str">
            <v xml:space="preserve">UN    </v>
          </cell>
          <cell r="D2635" t="str">
            <v>CR</v>
          </cell>
          <cell r="E2635" t="str">
            <v>235,55</v>
          </cell>
        </row>
        <row r="2636">
          <cell r="A2636">
            <v>43265</v>
          </cell>
          <cell r="B2636" t="str">
            <v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v>
          </cell>
          <cell r="C2636" t="str">
            <v xml:space="preserve">UN    </v>
          </cell>
          <cell r="D2636" t="str">
            <v>CR</v>
          </cell>
          <cell r="E2636" t="str">
            <v>43,11</v>
          </cell>
        </row>
        <row r="2637">
          <cell r="A2637">
            <v>12266</v>
          </cell>
          <cell r="B2637" t="str">
            <v xml:space="preserve">LUMINARIA SPOT DE SOBREPOR EM ALUMINIO COM ALETA PLASTICA PARA 1 LAMPADA, BASE E27, POTENCIA MAXIMA 40/60 W (NAO INCLUI LAMPADA)                                                                                                                                                                                                                                                                                                                                                                          </v>
          </cell>
          <cell r="C2637" t="str">
            <v xml:space="preserve">UN    </v>
          </cell>
          <cell r="D2637" t="str">
            <v>CR</v>
          </cell>
          <cell r="E2637" t="str">
            <v>120,56</v>
          </cell>
        </row>
        <row r="2638">
          <cell r="A2638">
            <v>39378</v>
          </cell>
          <cell r="B2638" t="str">
            <v xml:space="preserve">LUMINARIA SPOT DE SOBREPOR EM ALUMINIO COM ALETA PLASTICA PARA 2 LAMPADAS, BASE E27, POTENCIA MAXIMA 40/60 W (NAO INCLUI LAMPADA)                                                                                                                                                                                                                                                                                                                                                                         </v>
          </cell>
          <cell r="C2638" t="str">
            <v xml:space="preserve">UN    </v>
          </cell>
          <cell r="D2638" t="str">
            <v>CR</v>
          </cell>
          <cell r="E2638" t="str">
            <v>85,47</v>
          </cell>
        </row>
        <row r="2639">
          <cell r="A2639">
            <v>43543</v>
          </cell>
          <cell r="B2639" t="str">
            <v xml:space="preserve">LUMINARIA TIPO TARTARUGA A PROVA DE TEMPO, GASES, VAPOR E PO, EM ALUMINIO, COM GRADE, BASE E27, POTENCIA MAXIMA 100 W - REF Y 25/1 (NAO INCLUI LAMPADA)                                                                                                                                                                                                                                                                                                                                                   </v>
          </cell>
          <cell r="C2639" t="str">
            <v xml:space="preserve">UN    </v>
          </cell>
          <cell r="D2639" t="str">
            <v>CR</v>
          </cell>
          <cell r="E2639" t="str">
            <v>178,07</v>
          </cell>
        </row>
        <row r="2640">
          <cell r="A2640">
            <v>38775</v>
          </cell>
          <cell r="B2640" t="str">
            <v xml:space="preserve">LUMINARIA TIPO TARTARUGA PARA AREA EXTERNA EM ALUMINIO, COM GRADE, PARA 1 LAMPADA, BASE E27, POTENCIA MAXIMA 40/60 W (NAO INCLUI LAMPADA)                                                                                                                                                                                                                                                                                                                                                                 </v>
          </cell>
          <cell r="C2640" t="str">
            <v xml:space="preserve">UN    </v>
          </cell>
          <cell r="D2640" t="str">
            <v>CR</v>
          </cell>
          <cell r="E2640" t="str">
            <v>90,62</v>
          </cell>
        </row>
        <row r="2641">
          <cell r="A2641">
            <v>44252</v>
          </cell>
          <cell r="B2641" t="str">
            <v xml:space="preserve">LUVA CPVC, SOLDAVEL, 114 MM, PARA AGUA QUENTE PREDIAL                                                                                                                                                                                                                                                                                                                                                                                                                                                     </v>
          </cell>
          <cell r="C2641" t="str">
            <v xml:space="preserve">UN    </v>
          </cell>
          <cell r="D2641" t="str">
            <v>CR</v>
          </cell>
          <cell r="E2641" t="str">
            <v>150,58</v>
          </cell>
        </row>
        <row r="2642">
          <cell r="A2642">
            <v>21119</v>
          </cell>
          <cell r="B2642" t="str">
            <v xml:space="preserve">LUVA CPVC, SOLDAVEL, 15 MM, PARA AGUA QUENTE PREDIAL                                                                                                                                                                                                                                                                                                                                                                                                                                                      </v>
          </cell>
          <cell r="C2642" t="str">
            <v xml:space="preserve">UN    </v>
          </cell>
          <cell r="D2642" t="str">
            <v>CR</v>
          </cell>
          <cell r="E2642" t="str">
            <v>1,51</v>
          </cell>
        </row>
        <row r="2643">
          <cell r="A2643">
            <v>37974</v>
          </cell>
          <cell r="B2643" t="str">
            <v xml:space="preserve">LUVA CPVC, SOLDAVEL, 22 MM, PARA AGUA QUENTE PREDIAL                                                                                                                                                                                                                                                                                                                                                                                                                                                      </v>
          </cell>
          <cell r="C2643" t="str">
            <v xml:space="preserve">UN    </v>
          </cell>
          <cell r="D2643" t="str">
            <v>CR</v>
          </cell>
          <cell r="E2643" t="str">
            <v>1,95</v>
          </cell>
        </row>
        <row r="2644">
          <cell r="A2644">
            <v>37975</v>
          </cell>
          <cell r="B2644" t="str">
            <v xml:space="preserve">LUVA CPVC, SOLDAVEL, 28 MM, PARA AGUA QUENTE PREDIAL                                                                                                                                                                                                                                                                                                                                                                                                                                                      </v>
          </cell>
          <cell r="C2644" t="str">
            <v xml:space="preserve">UN    </v>
          </cell>
          <cell r="D2644" t="str">
            <v>CR</v>
          </cell>
          <cell r="E2644" t="str">
            <v>4,35</v>
          </cell>
        </row>
        <row r="2645">
          <cell r="A2645">
            <v>37976</v>
          </cell>
          <cell r="B2645" t="str">
            <v xml:space="preserve">LUVA CPVC, SOLDAVEL, 35 MM, PARA AGUA QUENTE PREDIAL                                                                                                                                                                                                                                                                                                                                                                                                                                                      </v>
          </cell>
          <cell r="C2645" t="str">
            <v xml:space="preserve">UN    </v>
          </cell>
          <cell r="D2645" t="str">
            <v>CR</v>
          </cell>
          <cell r="E2645" t="str">
            <v>9,68</v>
          </cell>
        </row>
        <row r="2646">
          <cell r="A2646">
            <v>37977</v>
          </cell>
          <cell r="B2646" t="str">
            <v xml:space="preserve">LUVA CPVC, SOLDAVEL, 42 MM, PARA AGUA QUENTE PREDIAL                                                                                                                                                                                                                                                                                                                                                                                                                                                      </v>
          </cell>
          <cell r="C2646" t="str">
            <v xml:space="preserve">UN    </v>
          </cell>
          <cell r="D2646" t="str">
            <v>CR</v>
          </cell>
          <cell r="E2646" t="str">
            <v>13,40</v>
          </cell>
        </row>
        <row r="2647">
          <cell r="A2647">
            <v>37978</v>
          </cell>
          <cell r="B2647" t="str">
            <v xml:space="preserve">LUVA CPVC, SOLDAVEL, 54 MM, PARA AGUA QUENTE PREDIAL                                                                                                                                                                                                                                                                                                                                                                                                                                                      </v>
          </cell>
          <cell r="C2647" t="str">
            <v xml:space="preserve">UN    </v>
          </cell>
          <cell r="D2647" t="str">
            <v>CR</v>
          </cell>
          <cell r="E2647" t="str">
            <v>26,56</v>
          </cell>
        </row>
        <row r="2648">
          <cell r="A2648">
            <v>37979</v>
          </cell>
          <cell r="B2648" t="str">
            <v xml:space="preserve">LUVA CPVC, SOLDAVEL, 73 MM, PARA AGUA QUENTE PREDIAL                                                                                                                                                                                                                                                                                                                                                                                                                                                      </v>
          </cell>
          <cell r="C2648" t="str">
            <v xml:space="preserve">UN    </v>
          </cell>
          <cell r="D2648" t="str">
            <v>CR</v>
          </cell>
          <cell r="E2648" t="str">
            <v>112,73</v>
          </cell>
        </row>
        <row r="2649">
          <cell r="A2649">
            <v>37980</v>
          </cell>
          <cell r="B2649" t="str">
            <v xml:space="preserve">LUVA CPVC, SOLDAVEL, 89 MM, PARA AGUA QUENTE PREDIAL                                                                                                                                                                                                                                                                                                                                                                                                                                                      </v>
          </cell>
          <cell r="C2649" t="str">
            <v xml:space="preserve">UN    </v>
          </cell>
          <cell r="D2649" t="str">
            <v>CR</v>
          </cell>
          <cell r="E2649" t="str">
            <v>129,50</v>
          </cell>
        </row>
        <row r="2650">
          <cell r="A2650">
            <v>36147</v>
          </cell>
          <cell r="B2650" t="str">
            <v xml:space="preserve">LUVA DE BORRACHA ISOLANTE PARA ALTA TENSAO, RESISTENTE A OZONIO, TENSAO DE ENSAIO 2,5 KV (PAR)                                                                                                                                                                                                                                                                                                                                                                                                            </v>
          </cell>
          <cell r="C2650" t="str">
            <v xml:space="preserve">PAR   </v>
          </cell>
          <cell r="D2650" t="str">
            <v>CR</v>
          </cell>
          <cell r="E2650" t="str">
            <v>388,14</v>
          </cell>
        </row>
        <row r="2651">
          <cell r="A2651">
            <v>12731</v>
          </cell>
          <cell r="B2651" t="str">
            <v xml:space="preserve">LUVA DE COBRE (REF 600) SEM ANEL DE SOLDA, BOLSA X BOLSA, 104 MM                                                                                                                                                                                                                                                                                                                                                                                                                                          </v>
          </cell>
          <cell r="C2651" t="str">
            <v xml:space="preserve">UN    </v>
          </cell>
          <cell r="D2651" t="str">
            <v>CR</v>
          </cell>
          <cell r="E2651" t="str">
            <v>352,06</v>
          </cell>
        </row>
        <row r="2652">
          <cell r="A2652">
            <v>12723</v>
          </cell>
          <cell r="B2652" t="str">
            <v xml:space="preserve">LUVA DE COBRE (REF 600) SEM ANEL DE SOLDA, BOLSA X BOLSA, 15 MM                                                                                                                                                                                                                                                                                                                                                                                                                                           </v>
          </cell>
          <cell r="C2652" t="str">
            <v xml:space="preserve">UN    </v>
          </cell>
          <cell r="D2652" t="str">
            <v>CR</v>
          </cell>
          <cell r="E2652" t="str">
            <v>2,73</v>
          </cell>
        </row>
        <row r="2653">
          <cell r="A2653">
            <v>12724</v>
          </cell>
          <cell r="B2653" t="str">
            <v xml:space="preserve">LUVA DE COBRE (REF 600) SEM ANEL DE SOLDA, BOLSA X BOLSA, 22 MM                                                                                                                                                                                                                                                                                                                                                                                                                                           </v>
          </cell>
          <cell r="C2653" t="str">
            <v xml:space="preserve">UN    </v>
          </cell>
          <cell r="D2653" t="str">
            <v>CR</v>
          </cell>
          <cell r="E2653" t="str">
            <v>5,24</v>
          </cell>
        </row>
        <row r="2654">
          <cell r="A2654">
            <v>12725</v>
          </cell>
          <cell r="B2654" t="str">
            <v xml:space="preserve">LUVA DE COBRE (REF 600) SEM ANEL DE SOLDA, BOLSA X BOLSA, 28 MM                                                                                                                                                                                                                                                                                                                                                                                                                                           </v>
          </cell>
          <cell r="C2654" t="str">
            <v xml:space="preserve">UN    </v>
          </cell>
          <cell r="D2654" t="str">
            <v>CR</v>
          </cell>
          <cell r="E2654" t="str">
            <v>10,52</v>
          </cell>
        </row>
        <row r="2655">
          <cell r="A2655">
            <v>12726</v>
          </cell>
          <cell r="B2655" t="str">
            <v xml:space="preserve">LUVA DE COBRE (REF 600) SEM ANEL DE SOLDA, BOLSA X BOLSA, 35 MM                                                                                                                                                                                                                                                                                                                                                                                                                                           </v>
          </cell>
          <cell r="C2655" t="str">
            <v xml:space="preserve">UN    </v>
          </cell>
          <cell r="D2655" t="str">
            <v>CR</v>
          </cell>
          <cell r="E2655" t="str">
            <v>23,22</v>
          </cell>
        </row>
        <row r="2656">
          <cell r="A2656">
            <v>12727</v>
          </cell>
          <cell r="B2656" t="str">
            <v xml:space="preserve">LUVA DE COBRE (REF 600) SEM ANEL DE SOLDA, BOLSA X BOLSA, 42 MM                                                                                                                                                                                                                                                                                                                                                                                                                                           </v>
          </cell>
          <cell r="C2656" t="str">
            <v xml:space="preserve">UN    </v>
          </cell>
          <cell r="D2656" t="str">
            <v>CR</v>
          </cell>
          <cell r="E2656" t="str">
            <v>29,45</v>
          </cell>
        </row>
        <row r="2657">
          <cell r="A2657">
            <v>12728</v>
          </cell>
          <cell r="B2657" t="str">
            <v xml:space="preserve">LUVA DE COBRE (REF 600) SEM ANEL DE SOLDA, BOLSA X BOLSA, 54 MM                                                                                                                                                                                                                                                                                                                                                                                                                                           </v>
          </cell>
          <cell r="C2657" t="str">
            <v xml:space="preserve">UN    </v>
          </cell>
          <cell r="D2657" t="str">
            <v>CR</v>
          </cell>
          <cell r="E2657" t="str">
            <v>48,11</v>
          </cell>
        </row>
        <row r="2658">
          <cell r="A2658">
            <v>12729</v>
          </cell>
          <cell r="B2658" t="str">
            <v xml:space="preserve">LUVA DE COBRE (REF 600) SEM ANEL DE SOLDA, BOLSA X BOLSA, 66 MM                                                                                                                                                                                                                                                                                                                                                                                                                                           </v>
          </cell>
          <cell r="C2658" t="str">
            <v xml:space="preserve">UN    </v>
          </cell>
          <cell r="D2658" t="str">
            <v>CR</v>
          </cell>
          <cell r="E2658" t="str">
            <v>157,69</v>
          </cell>
        </row>
        <row r="2659">
          <cell r="A2659">
            <v>12730</v>
          </cell>
          <cell r="B2659" t="str">
            <v xml:space="preserve">LUVA DE COBRE (REF 600) SEM ANEL DE SOLDA, BOLSA X BOLSA, 79 MM                                                                                                                                                                                                                                                                                                                                                                                                                                           </v>
          </cell>
          <cell r="C2659" t="str">
            <v xml:space="preserve">UN    </v>
          </cell>
          <cell r="D2659" t="str">
            <v>CR</v>
          </cell>
          <cell r="E2659" t="str">
            <v>241,43</v>
          </cell>
        </row>
        <row r="2660">
          <cell r="A2660">
            <v>3840</v>
          </cell>
          <cell r="B2660" t="str">
            <v xml:space="preserve">LUVA DE CORRER DEFOFO, PVC, JE, DN 100 MM                                                                                                                                                                                                                                                                                                                                                                                                                                                                 </v>
          </cell>
          <cell r="C2660" t="str">
            <v xml:space="preserve">UN    </v>
          </cell>
          <cell r="D2660" t="str">
            <v>CR</v>
          </cell>
          <cell r="E2660" t="str">
            <v>47,52</v>
          </cell>
        </row>
        <row r="2661">
          <cell r="A2661">
            <v>3838</v>
          </cell>
          <cell r="B2661" t="str">
            <v xml:space="preserve">LUVA DE CORRER DEFOFO, PVC, JE, DN 150 MM                                                                                                                                                                                                                                                                                                                                                                                                                                                                 </v>
          </cell>
          <cell r="C2661" t="str">
            <v xml:space="preserve">UN    </v>
          </cell>
          <cell r="D2661" t="str">
            <v>CR</v>
          </cell>
          <cell r="E2661" t="str">
            <v>104,89</v>
          </cell>
        </row>
        <row r="2662">
          <cell r="A2662">
            <v>3844</v>
          </cell>
          <cell r="B2662" t="str">
            <v xml:space="preserve">LUVA DE CORRER DEFOFO, PVC, JE, DN 200 MM                                                                                                                                                                                                                                                                                                                                                                                                                                                                 </v>
          </cell>
          <cell r="C2662" t="str">
            <v xml:space="preserve">UN    </v>
          </cell>
          <cell r="D2662" t="str">
            <v>CR</v>
          </cell>
          <cell r="E2662" t="str">
            <v>187,09</v>
          </cell>
        </row>
        <row r="2663">
          <cell r="A2663">
            <v>3839</v>
          </cell>
          <cell r="B2663" t="str">
            <v xml:space="preserve">LUVA DE CORRER DEFOFO, PVC, JE, DN 250 MM                                                                                                                                                                                                                                                                                                                                                                                                                                                                 </v>
          </cell>
          <cell r="C2663" t="str">
            <v xml:space="preserve">UN    </v>
          </cell>
          <cell r="D2663" t="str">
            <v>CR</v>
          </cell>
          <cell r="E2663" t="str">
            <v>340,78</v>
          </cell>
        </row>
        <row r="2664">
          <cell r="A2664">
            <v>3843</v>
          </cell>
          <cell r="B2664" t="str">
            <v xml:space="preserve">LUVA DE CORRER DEFOFO, PVC, JE, DN 300 MM                                                                                                                                                                                                                                                                                                                                                                                                                                                                 </v>
          </cell>
          <cell r="C2664" t="str">
            <v xml:space="preserve">UN    </v>
          </cell>
          <cell r="D2664" t="str">
            <v>CR</v>
          </cell>
          <cell r="E2664" t="str">
            <v>467,73</v>
          </cell>
        </row>
        <row r="2665">
          <cell r="A2665">
            <v>3900</v>
          </cell>
          <cell r="B2665" t="str">
            <v xml:space="preserve">LUVA DE CORRER PARA TUBO ROSCAVEL, PVC, 1 1/2", PARA AGUA FRIA PREDIAL                                                                                                                                                                                                                                                                                                                                                                                                                                    </v>
          </cell>
          <cell r="C2665" t="str">
            <v xml:space="preserve">UN    </v>
          </cell>
          <cell r="D2665" t="str">
            <v>CR</v>
          </cell>
          <cell r="E2665" t="str">
            <v>41,20</v>
          </cell>
        </row>
        <row r="2666">
          <cell r="A2666">
            <v>3846</v>
          </cell>
          <cell r="B2666" t="str">
            <v xml:space="preserve">LUVA DE CORRER PARA TUBO ROSCAVEL, PVC, 1/2", PARA AGUA FRIA PREDIAL                                                                                                                                                                                                                                                                                                                                                                                                                                      </v>
          </cell>
          <cell r="C2666" t="str">
            <v xml:space="preserve">UN    </v>
          </cell>
          <cell r="D2666" t="str">
            <v>CR</v>
          </cell>
          <cell r="E2666" t="str">
            <v>12,38</v>
          </cell>
        </row>
        <row r="2667">
          <cell r="A2667">
            <v>3886</v>
          </cell>
          <cell r="B2667" t="str">
            <v xml:space="preserve">LUVA DE CORRER PARA TUBO ROSCAVEL, PVC, 3/4", PARA AGUA FRIA PREDIAL                                                                                                                                                                                                                                                                                                                                                                                                                                      </v>
          </cell>
          <cell r="C2667" t="str">
            <v xml:space="preserve">UN    </v>
          </cell>
          <cell r="D2667" t="str">
            <v>CR</v>
          </cell>
          <cell r="E2667" t="str">
            <v>16,43</v>
          </cell>
        </row>
        <row r="2668">
          <cell r="A2668">
            <v>3854</v>
          </cell>
          <cell r="B2668" t="str">
            <v xml:space="preserve">LUVA DE CORRER PARA TUBO SOLDAVEL, PVC, 20 MM, PARA AGUA FRIA PREDIAL                                                                                                                                                                                                                                                                                                                                                                                                                                     </v>
          </cell>
          <cell r="C2668" t="str">
            <v xml:space="preserve">UN    </v>
          </cell>
          <cell r="D2668" t="str">
            <v>CR</v>
          </cell>
          <cell r="E2668" t="str">
            <v>9,37</v>
          </cell>
        </row>
        <row r="2669">
          <cell r="A2669">
            <v>3873</v>
          </cell>
          <cell r="B2669" t="str">
            <v xml:space="preserve">LUVA DE CORRER PARA TUBO SOLDAVEL, PVC, 25 MM, PARA AGUA FRIA PREDIAL                                                                                                                                                                                                                                                                                                                                                                                                                                     </v>
          </cell>
          <cell r="C2669" t="str">
            <v xml:space="preserve">UN    </v>
          </cell>
          <cell r="D2669" t="str">
            <v>CR</v>
          </cell>
          <cell r="E2669" t="str">
            <v>10,90</v>
          </cell>
        </row>
        <row r="2670">
          <cell r="A2670">
            <v>38021</v>
          </cell>
          <cell r="B2670" t="str">
            <v xml:space="preserve">LUVA DE CORRER PARA TUBO SOLDAVEL, PVC, 32 MM, PARA AGUA FRIA PREDIAL                                                                                                                                                                                                                                                                                                                                                                                                                                     </v>
          </cell>
          <cell r="C2670" t="str">
            <v xml:space="preserve">UN    </v>
          </cell>
          <cell r="D2670" t="str">
            <v>CR</v>
          </cell>
          <cell r="E2670" t="str">
            <v>19,36</v>
          </cell>
        </row>
        <row r="2671">
          <cell r="A2671">
            <v>43838</v>
          </cell>
          <cell r="B2671" t="str">
            <v xml:space="preserve">LUVA DE CORRER PARA TUBO SOLDAVEL, PVC, 40 MM, PARA AGUA FRIA PREDIAL                                                                                                                                                                                                                                                                                                                                                                                                                                     </v>
          </cell>
          <cell r="C2671" t="str">
            <v xml:space="preserve">UN    </v>
          </cell>
          <cell r="D2671" t="str">
            <v>CR</v>
          </cell>
          <cell r="E2671" t="str">
            <v>25,03</v>
          </cell>
        </row>
        <row r="2672">
          <cell r="A2672">
            <v>3847</v>
          </cell>
          <cell r="B2672" t="str">
            <v xml:space="preserve">LUVA DE CORRER PARA TUBO SOLDAVEL, PVC, 50 MM, PARA AGUA FRIA PREDIAL                                                                                                                                                                                                                                                                                                                                                                                                                                     </v>
          </cell>
          <cell r="C2672" t="str">
            <v xml:space="preserve">UN    </v>
          </cell>
          <cell r="D2672" t="str">
            <v>CR</v>
          </cell>
          <cell r="E2672" t="str">
            <v>25,24</v>
          </cell>
        </row>
        <row r="2673">
          <cell r="A2673">
            <v>38022</v>
          </cell>
          <cell r="B2673" t="str">
            <v xml:space="preserve">LUVA DE CORRER PARA TUBO SOLDAVEL, PVC, 60 MM, PARA AGUA FRIA PREDIAL                                                                                                                                                                                                                                                                                                                                                                                                                                     </v>
          </cell>
          <cell r="C2673" t="str">
            <v xml:space="preserve">UN    </v>
          </cell>
          <cell r="D2673" t="str">
            <v>CR</v>
          </cell>
          <cell r="E2673" t="str">
            <v>34,69</v>
          </cell>
        </row>
        <row r="2674">
          <cell r="A2674">
            <v>3830</v>
          </cell>
          <cell r="B2674" t="str">
            <v xml:space="preserve">LUVA DE CORRER PVC, JE, DN 250 MM, PARA REDE COLETORA DE ESGOTO                                                                                                                                                                                                                                                                                                                                                                                                                                           </v>
          </cell>
          <cell r="C2674" t="str">
            <v xml:space="preserve">UN    </v>
          </cell>
          <cell r="D2674" t="str">
            <v>CR</v>
          </cell>
          <cell r="E2674" t="str">
            <v>194,84</v>
          </cell>
        </row>
        <row r="2675">
          <cell r="A2675">
            <v>37981</v>
          </cell>
          <cell r="B2675" t="str">
            <v xml:space="preserve">LUVA DE CORRER, CPVC, SOLDAVEL, 15 MM, PARA AGUA QUENTE PREDIAL                                                                                                                                                                                                                                                                                                                                                                                                                                           </v>
          </cell>
          <cell r="C2675" t="str">
            <v xml:space="preserve">UN    </v>
          </cell>
          <cell r="D2675" t="str">
            <v>CR</v>
          </cell>
          <cell r="E2675" t="str">
            <v>5,64</v>
          </cell>
        </row>
        <row r="2676">
          <cell r="A2676">
            <v>37982</v>
          </cell>
          <cell r="B2676" t="str">
            <v xml:space="preserve">LUVA DE CORRER, CPVC, SOLDAVEL, 22 MM, PARA AGUA QUENTE PREDIAL                                                                                                                                                                                                                                                                                                                                                                                                                                           </v>
          </cell>
          <cell r="C2676" t="str">
            <v xml:space="preserve">UN    </v>
          </cell>
          <cell r="D2676" t="str">
            <v>CR</v>
          </cell>
          <cell r="E2676" t="str">
            <v>8,18</v>
          </cell>
        </row>
        <row r="2677">
          <cell r="A2677">
            <v>37983</v>
          </cell>
          <cell r="B2677" t="str">
            <v xml:space="preserve">LUVA DE CORRER, CPVC, SOLDAVEL, 28 MM, PARA AGUA QUENTE PREDIAL                                                                                                                                                                                                                                                                                                                                                                                                                                           </v>
          </cell>
          <cell r="C2677" t="str">
            <v xml:space="preserve">UN    </v>
          </cell>
          <cell r="D2677" t="str">
            <v>CR</v>
          </cell>
          <cell r="E2677" t="str">
            <v>12,10</v>
          </cell>
        </row>
        <row r="2678">
          <cell r="A2678">
            <v>37984</v>
          </cell>
          <cell r="B2678" t="str">
            <v xml:space="preserve">LUVA DE CORRER, CPVC, SOLDAVEL, 35 MM, PARA AGUA QUENTE PREDIAL                                                                                                                                                                                                                                                                                                                                                                                                                                           </v>
          </cell>
          <cell r="C2678" t="str">
            <v xml:space="preserve">UN    </v>
          </cell>
          <cell r="D2678" t="str">
            <v>CR</v>
          </cell>
          <cell r="E2678" t="str">
            <v>17,00</v>
          </cell>
        </row>
        <row r="2679">
          <cell r="A2679">
            <v>37985</v>
          </cell>
          <cell r="B2679" t="str">
            <v xml:space="preserve">LUVA DE CORRER, CPVC, SOLDAVEL, 42 MM, PARA AGUA QUENTE PREDIAL                                                                                                                                                                                                                                                                                                                                                                                                                                           </v>
          </cell>
          <cell r="C2679" t="str">
            <v xml:space="preserve">UN    </v>
          </cell>
          <cell r="D2679" t="str">
            <v>CR</v>
          </cell>
          <cell r="E2679" t="str">
            <v>24,15</v>
          </cell>
        </row>
        <row r="2680">
          <cell r="A2680">
            <v>3826</v>
          </cell>
          <cell r="B2680" t="str">
            <v xml:space="preserve">LUVA DE CORRER, PVC PBA, JE, DN 100 / DE 110 MM, PARA REDE AGUA (NBR 10351)                                                                                                                                                                                                                                                                                                                                                                                                                               </v>
          </cell>
          <cell r="C2680" t="str">
            <v xml:space="preserve">UN    </v>
          </cell>
          <cell r="D2680" t="str">
            <v>CR</v>
          </cell>
          <cell r="E2680" t="str">
            <v>47,16</v>
          </cell>
        </row>
        <row r="2681">
          <cell r="A2681">
            <v>3825</v>
          </cell>
          <cell r="B2681" t="str">
            <v xml:space="preserve">LUVA DE CORRER, PVC PBA, JE, DN 50 / DE 60 MM, PARA REDE AGUA (NBR 10351)                                                                                                                                                                                                                                                                                                                                                                                                                                 </v>
          </cell>
          <cell r="C2681" t="str">
            <v xml:space="preserve">UN    </v>
          </cell>
          <cell r="D2681" t="str">
            <v>CR</v>
          </cell>
          <cell r="E2681" t="str">
            <v>13,56</v>
          </cell>
        </row>
        <row r="2682">
          <cell r="A2682">
            <v>3827</v>
          </cell>
          <cell r="B2682" t="str">
            <v xml:space="preserve">LUVA DE CORRER, PVC PBA, JE, DN 75 / DE 85 MM, PARA REDE AGUA (NBR 10351)                                                                                                                                                                                                                                                                                                                                                                                                                                 </v>
          </cell>
          <cell r="C2682" t="str">
            <v xml:space="preserve">UN    </v>
          </cell>
          <cell r="D2682" t="str">
            <v>CR</v>
          </cell>
          <cell r="E2682" t="str">
            <v>29,63</v>
          </cell>
        </row>
        <row r="2683">
          <cell r="A2683">
            <v>20165</v>
          </cell>
          <cell r="B2683" t="str">
            <v xml:space="preserve">LUVA DE CORRER, PVC SERIE R, 100 MM, PARA ESGOTO PREDIAL                                                                                                                                                                                                                                                                                                                                                                                                                                                  </v>
          </cell>
          <cell r="C2683" t="str">
            <v xml:space="preserve">UN    </v>
          </cell>
          <cell r="D2683" t="str">
            <v>CR</v>
          </cell>
          <cell r="E2683" t="str">
            <v>24,15</v>
          </cell>
        </row>
        <row r="2684">
          <cell r="A2684">
            <v>20166</v>
          </cell>
          <cell r="B2684" t="str">
            <v xml:space="preserve">LUVA DE CORRER, PVC SERIE R, 150 MM, PARA ESGOTO PREDIAL                                                                                                                                                                                                                                                                                                                                                                                                                                                  </v>
          </cell>
          <cell r="C2684" t="str">
            <v xml:space="preserve">UN    </v>
          </cell>
          <cell r="D2684" t="str">
            <v>CR</v>
          </cell>
          <cell r="E2684" t="str">
            <v>73,77</v>
          </cell>
        </row>
        <row r="2685">
          <cell r="A2685">
            <v>20164</v>
          </cell>
          <cell r="B2685" t="str">
            <v xml:space="preserve">LUVA DE CORRER, PVC SERIE R, 75 MM, PARA ESGOTO PREDIAL                                                                                                                                                                                                                                                                                                                                                                                                                                                   </v>
          </cell>
          <cell r="C2685" t="str">
            <v xml:space="preserve">UN    </v>
          </cell>
          <cell r="D2685" t="str">
            <v>CR</v>
          </cell>
          <cell r="E2685" t="str">
            <v>11,60</v>
          </cell>
        </row>
        <row r="2686">
          <cell r="A2686">
            <v>3893</v>
          </cell>
          <cell r="B2686" t="str">
            <v xml:space="preserve">LUVA DE CORRER, PVC, DN 100 MM, PARA ESGOTO PREDIAL                                                                                                                                                                                                                                                                                                                                                                                                                                                       </v>
          </cell>
          <cell r="C2686" t="str">
            <v xml:space="preserve">UN    </v>
          </cell>
          <cell r="D2686" t="str">
            <v>CR</v>
          </cell>
          <cell r="E2686" t="str">
            <v>18,19</v>
          </cell>
        </row>
        <row r="2687">
          <cell r="A2687">
            <v>3848</v>
          </cell>
          <cell r="B2687" t="str">
            <v xml:space="preserve">LUVA DE CORRER, PVC, DN 50 MM, PARA ESGOTO PREDIAL                                                                                                                                                                                                                                                                                                                                                                                                                                                        </v>
          </cell>
          <cell r="C2687" t="str">
            <v xml:space="preserve">UN    </v>
          </cell>
          <cell r="D2687" t="str">
            <v>CR</v>
          </cell>
          <cell r="E2687" t="str">
            <v>11,09</v>
          </cell>
        </row>
        <row r="2688">
          <cell r="A2688">
            <v>3895</v>
          </cell>
          <cell r="B2688" t="str">
            <v xml:space="preserve">LUVA DE CORRER, PVC, DN 75 MM, PARA ESGOTO PREDIAL                                                                                                                                                                                                                                                                                                                                                                                                                                                        </v>
          </cell>
          <cell r="C2688" t="str">
            <v xml:space="preserve">UN    </v>
          </cell>
          <cell r="D2688" t="str">
            <v>CR</v>
          </cell>
          <cell r="E2688" t="str">
            <v>12,32</v>
          </cell>
        </row>
        <row r="2689">
          <cell r="A2689">
            <v>12404</v>
          </cell>
          <cell r="B2689" t="str">
            <v xml:space="preserve">LUVA DE FERRO GALVANIZADO, COM ROSCA BSP MACHO/FEMEA, DE 3/4"                                                                                                                                                                                                                                                                                                                                                                                                                                             </v>
          </cell>
          <cell r="C2689" t="str">
            <v xml:space="preserve">UN    </v>
          </cell>
          <cell r="D2689" t="str">
            <v>CR</v>
          </cell>
          <cell r="E2689" t="str">
            <v>12,43</v>
          </cell>
        </row>
        <row r="2690">
          <cell r="A2690">
            <v>3939</v>
          </cell>
          <cell r="B2690" t="str">
            <v xml:space="preserve">LUVA DE FERRO GALVANIZADO, COM ROSCA BSP, DE 1 1/2"                                                                                                                                                                                                                                                                                                                                                                                                                                                       </v>
          </cell>
          <cell r="C2690" t="str">
            <v xml:space="preserve">UN    </v>
          </cell>
          <cell r="D2690" t="str">
            <v>CR</v>
          </cell>
          <cell r="E2690" t="str">
            <v>25,60</v>
          </cell>
        </row>
        <row r="2691">
          <cell r="A2691">
            <v>3911</v>
          </cell>
          <cell r="B2691" t="str">
            <v xml:space="preserve">LUVA DE FERRO GALVANIZADO, COM ROSCA BSP, DE 1 1/4"                                                                                                                                                                                                                                                                                                                                                                                                                                                       </v>
          </cell>
          <cell r="C2691" t="str">
            <v xml:space="preserve">UN    </v>
          </cell>
          <cell r="D2691" t="str">
            <v>CR</v>
          </cell>
          <cell r="E2691" t="str">
            <v>20,92</v>
          </cell>
        </row>
        <row r="2692">
          <cell r="A2692">
            <v>3908</v>
          </cell>
          <cell r="B2692" t="str">
            <v xml:space="preserve">LUVA DE FERRO GALVANIZADO, COM ROSCA BSP, DE 1/2"                                                                                                                                                                                                                                                                                                                                                                                                                                                         </v>
          </cell>
          <cell r="C2692" t="str">
            <v xml:space="preserve">UN    </v>
          </cell>
          <cell r="D2692" t="str">
            <v>CR</v>
          </cell>
          <cell r="E2692" t="str">
            <v>6,76</v>
          </cell>
        </row>
        <row r="2693">
          <cell r="A2693">
            <v>3910</v>
          </cell>
          <cell r="B2693" t="str">
            <v xml:space="preserve">LUVA DE FERRO GALVANIZADO, COM ROSCA BSP, DE 1"                                                                                                                                                                                                                                                                                                                                                                                                                                                           </v>
          </cell>
          <cell r="C2693" t="str">
            <v xml:space="preserve">UN    </v>
          </cell>
          <cell r="D2693" t="str">
            <v>CR</v>
          </cell>
          <cell r="E2693" t="str">
            <v>14,96</v>
          </cell>
        </row>
        <row r="2694">
          <cell r="A2694">
            <v>3913</v>
          </cell>
          <cell r="B2694" t="str">
            <v xml:space="preserve">LUVA DE FERRO GALVANIZADO, COM ROSCA BSP, DE 2 1/2"                                                                                                                                                                                                                                                                                                                                                                                                                                                       </v>
          </cell>
          <cell r="C2694" t="str">
            <v xml:space="preserve">UN    </v>
          </cell>
          <cell r="D2694" t="str">
            <v>CR</v>
          </cell>
          <cell r="E2694" t="str">
            <v>71,53</v>
          </cell>
        </row>
        <row r="2695">
          <cell r="A2695">
            <v>3912</v>
          </cell>
          <cell r="B2695" t="str">
            <v xml:space="preserve">LUVA DE FERRO GALVANIZADO, COM ROSCA BSP, DE 2"                                                                                                                                                                                                                                                                                                                                                                                                                                                           </v>
          </cell>
          <cell r="C2695" t="str">
            <v xml:space="preserve">UN    </v>
          </cell>
          <cell r="D2695" t="str">
            <v>CR</v>
          </cell>
          <cell r="E2695" t="str">
            <v>39,21</v>
          </cell>
        </row>
        <row r="2696">
          <cell r="A2696">
            <v>3909</v>
          </cell>
          <cell r="B2696" t="str">
            <v xml:space="preserve">LUVA DE FERRO GALVANIZADO, COM ROSCA BSP, DE 3/4"                                                                                                                                                                                                                                                                                                                                                                                                                                                         </v>
          </cell>
          <cell r="C2696" t="str">
            <v xml:space="preserve">UN    </v>
          </cell>
          <cell r="D2696" t="str">
            <v>CR</v>
          </cell>
          <cell r="E2696" t="str">
            <v>9,20</v>
          </cell>
        </row>
        <row r="2697">
          <cell r="A2697">
            <v>3914</v>
          </cell>
          <cell r="B2697" t="str">
            <v xml:space="preserve">LUVA DE FERRO GALVANIZADO, COM ROSCA BSP, DE 3"                                                                                                                                                                                                                                                                                                                                                                                                                                                           </v>
          </cell>
          <cell r="C2697" t="str">
            <v xml:space="preserve">UN    </v>
          </cell>
          <cell r="D2697" t="str">
            <v>CR</v>
          </cell>
          <cell r="E2697" t="str">
            <v>107,91</v>
          </cell>
        </row>
        <row r="2698">
          <cell r="A2698">
            <v>3915</v>
          </cell>
          <cell r="B2698" t="str">
            <v xml:space="preserve">LUVA DE FERRO GALVANIZADO, COM ROSCA BSP, DE 4"                                                                                                                                                                                                                                                                                                                                                                                                                                                           </v>
          </cell>
          <cell r="C2698" t="str">
            <v xml:space="preserve">UN    </v>
          </cell>
          <cell r="D2698" t="str">
            <v>CR</v>
          </cell>
          <cell r="E2698" t="str">
            <v>170,17</v>
          </cell>
        </row>
        <row r="2699">
          <cell r="A2699">
            <v>3916</v>
          </cell>
          <cell r="B2699" t="str">
            <v xml:space="preserve">LUVA DE FERRO GALVANIZADO, COM ROSCA BSP, DE 5"                                                                                                                                                                                                                                                                                                                                                                                                                                                           </v>
          </cell>
          <cell r="C2699" t="str">
            <v xml:space="preserve">UN    </v>
          </cell>
          <cell r="D2699" t="str">
            <v>CR</v>
          </cell>
          <cell r="E2699" t="str">
            <v>310,02</v>
          </cell>
        </row>
        <row r="2700">
          <cell r="A2700">
            <v>3917</v>
          </cell>
          <cell r="B2700" t="str">
            <v xml:space="preserve">LUVA DE FERRO GALVANIZADO, COM ROSCA BSP, DE 6"                                                                                                                                                                                                                                                                                                                                                                                                                                                           </v>
          </cell>
          <cell r="C2700" t="str">
            <v xml:space="preserve">UN    </v>
          </cell>
          <cell r="D2700" t="str">
            <v>CR</v>
          </cell>
          <cell r="E2700" t="str">
            <v>511,33</v>
          </cell>
        </row>
        <row r="2701">
          <cell r="A2701">
            <v>1904</v>
          </cell>
          <cell r="B2701" t="str">
            <v xml:space="preserve">LUVA DE PRESSAO, EM PVC, DE 20 MM, PARA ELETRODUTO FLEXIVEL                                                                                                                                                                                                                                                                                                                                                                                                                                               </v>
          </cell>
          <cell r="C2701" t="str">
            <v xml:space="preserve">UN    </v>
          </cell>
          <cell r="D2701" t="str">
            <v>CR</v>
          </cell>
          <cell r="E2701" t="str">
            <v>0,90</v>
          </cell>
        </row>
        <row r="2702">
          <cell r="A2702">
            <v>1899</v>
          </cell>
          <cell r="B2702" t="str">
            <v xml:space="preserve">LUVA DE PRESSAO, EM PVC, DE 25 MM, PARA ELETRODUTO FLEXIVEL                                                                                                                                                                                                                                                                                                                                                                                                                                               </v>
          </cell>
          <cell r="C2702" t="str">
            <v xml:space="preserve">UN    </v>
          </cell>
          <cell r="D2702" t="str">
            <v>CR</v>
          </cell>
          <cell r="E2702" t="str">
            <v>1,02</v>
          </cell>
        </row>
        <row r="2703">
          <cell r="A2703">
            <v>1900</v>
          </cell>
          <cell r="B2703" t="str">
            <v xml:space="preserve">LUVA DE PRESSAO, EM PVC, DE 32 MM, PARA ELETRODUTO FLEXIVEL                                                                                                                                                                                                                                                                                                                                                                                                                                               </v>
          </cell>
          <cell r="C2703" t="str">
            <v xml:space="preserve">UN    </v>
          </cell>
          <cell r="D2703" t="str">
            <v>CR</v>
          </cell>
          <cell r="E2703" t="str">
            <v>1,65</v>
          </cell>
        </row>
        <row r="2704">
          <cell r="A2704">
            <v>12407</v>
          </cell>
          <cell r="B2704" t="str">
            <v xml:space="preserve">LUVA DE REDUCAO DE FERRO GALVANIZADO, COM ROSCA BSP MACHO/FEMEA, DE 1 1/2" X 1"                                                                                                                                                                                                                                                                                                                                                                                                                           </v>
          </cell>
          <cell r="C2704" t="str">
            <v xml:space="preserve">UN    </v>
          </cell>
          <cell r="D2704" t="str">
            <v>CR</v>
          </cell>
          <cell r="E2704" t="str">
            <v>38,71</v>
          </cell>
        </row>
        <row r="2705">
          <cell r="A2705">
            <v>12408</v>
          </cell>
          <cell r="B2705" t="str">
            <v xml:space="preserve">LUVA DE REDUCAO DE FERRO GALVANIZADO, COM ROSCA BSP MACHO/FEMEA, DE 1" X 1/2"                                                                                                                                                                                                                                                                                                                                                                                                                             </v>
          </cell>
          <cell r="C2705" t="str">
            <v xml:space="preserve">UN    </v>
          </cell>
          <cell r="D2705" t="str">
            <v>CR</v>
          </cell>
          <cell r="E2705" t="str">
            <v>21,85</v>
          </cell>
        </row>
        <row r="2706">
          <cell r="A2706">
            <v>12409</v>
          </cell>
          <cell r="B2706" t="str">
            <v xml:space="preserve">LUVA DE REDUCAO DE FERRO GALVANIZADO, COM ROSCA BSP MACHO/FEMEA, DE 1" X 3/4"                                                                                                                                                                                                                                                                                                                                                                                                                             </v>
          </cell>
          <cell r="C2706" t="str">
            <v xml:space="preserve">UN    </v>
          </cell>
          <cell r="D2706" t="str">
            <v>CR</v>
          </cell>
          <cell r="E2706" t="str">
            <v>21,85</v>
          </cell>
        </row>
        <row r="2707">
          <cell r="A2707">
            <v>12410</v>
          </cell>
          <cell r="B2707" t="str">
            <v xml:space="preserve">LUVA DE REDUCAO DE FERRO GALVANIZADO, COM ROSCA BSP MACHO/FEMEA, DE 3/4" X 1/2"                                                                                                                                                                                                                                                                                                                                                                                                                           </v>
          </cell>
          <cell r="C2707" t="str">
            <v xml:space="preserve">UN    </v>
          </cell>
          <cell r="D2707" t="str">
            <v>CR</v>
          </cell>
          <cell r="E2707" t="str">
            <v>15,05</v>
          </cell>
        </row>
        <row r="2708">
          <cell r="A2708">
            <v>3936</v>
          </cell>
          <cell r="B2708" t="str">
            <v xml:space="preserve">LUVA DE REDUCAO DE FERRO GALVANIZADO, COM ROSCA BSP, DE 1 1/2" X 1 1/4"                                                                                                                                                                                                                                                                                                                                                                                                                                   </v>
          </cell>
          <cell r="C2708" t="str">
            <v xml:space="preserve">UN    </v>
          </cell>
          <cell r="D2708" t="str">
            <v>CR</v>
          </cell>
          <cell r="E2708" t="str">
            <v>27,20</v>
          </cell>
        </row>
        <row r="2709">
          <cell r="A2709">
            <v>3922</v>
          </cell>
          <cell r="B2709" t="str">
            <v xml:space="preserve">LUVA DE REDUCAO DE FERRO GALVANIZADO, COM ROSCA BSP, DE 1 1/2" X 1/2"                                                                                                                                                                                                                                                                                                                                                                                                                                     </v>
          </cell>
          <cell r="C2709" t="str">
            <v xml:space="preserve">UN    </v>
          </cell>
          <cell r="D2709" t="str">
            <v>CR</v>
          </cell>
          <cell r="E2709" t="str">
            <v>25,02</v>
          </cell>
        </row>
        <row r="2710">
          <cell r="A2710">
            <v>3924</v>
          </cell>
          <cell r="B2710" t="str">
            <v xml:space="preserve">LUVA DE REDUCAO DE FERRO GALVANIZADO, COM ROSCA BSP, DE 1 1/2" X 1"                                                                                                                                                                                                                                                                                                                                                                                                                                       </v>
          </cell>
          <cell r="C2710" t="str">
            <v xml:space="preserve">UN    </v>
          </cell>
          <cell r="D2710" t="str">
            <v>CR</v>
          </cell>
          <cell r="E2710" t="str">
            <v>27,20</v>
          </cell>
        </row>
        <row r="2711">
          <cell r="A2711">
            <v>3923</v>
          </cell>
          <cell r="B2711" t="str">
            <v xml:space="preserve">LUVA DE REDUCAO DE FERRO GALVANIZADO, COM ROSCA BSP, DE 1 1/2" X 3/4"                                                                                                                                                                                                                                                                                                                                                                                                                                     </v>
          </cell>
          <cell r="C2711" t="str">
            <v xml:space="preserve">UN    </v>
          </cell>
          <cell r="D2711" t="str">
            <v>CR</v>
          </cell>
          <cell r="E2711" t="str">
            <v>27,20</v>
          </cell>
        </row>
        <row r="2712">
          <cell r="A2712">
            <v>3937</v>
          </cell>
          <cell r="B2712" t="str">
            <v xml:space="preserve">LUVA DE REDUCAO DE FERRO GALVANIZADO, COM ROSCA BSP, DE 1 1/4" X 1/2"                                                                                                                                                                                                                                                                                                                                                                                                                                     </v>
          </cell>
          <cell r="C2712" t="str">
            <v xml:space="preserve">UN    </v>
          </cell>
          <cell r="D2712" t="str">
            <v>CR</v>
          </cell>
          <cell r="E2712" t="str">
            <v>22,44</v>
          </cell>
        </row>
        <row r="2713">
          <cell r="A2713">
            <v>3921</v>
          </cell>
          <cell r="B2713" t="str">
            <v xml:space="preserve">LUVA DE REDUCAO DE FERRO GALVANIZADO, COM ROSCA BSP, DE 1 1/4" X 1"                                                                                                                                                                                                                                                                                                                                                                                                                                       </v>
          </cell>
          <cell r="C2713" t="str">
            <v xml:space="preserve">UN    </v>
          </cell>
          <cell r="D2713" t="str">
            <v>CR</v>
          </cell>
          <cell r="E2713" t="str">
            <v>22,45</v>
          </cell>
        </row>
        <row r="2714">
          <cell r="A2714">
            <v>3920</v>
          </cell>
          <cell r="B2714" t="str">
            <v xml:space="preserve">LUVA DE REDUCAO DE FERRO GALVANIZADO, COM ROSCA BSP, DE 1 1/4" X 3/4"                                                                                                                                                                                                                                                                                                                                                                                                                                     </v>
          </cell>
          <cell r="C2714" t="str">
            <v xml:space="preserve">UN    </v>
          </cell>
          <cell r="D2714" t="str">
            <v>CR</v>
          </cell>
          <cell r="E2714" t="str">
            <v>22,44</v>
          </cell>
        </row>
        <row r="2715">
          <cell r="A2715">
            <v>3938</v>
          </cell>
          <cell r="B2715" t="str">
            <v xml:space="preserve">LUVA DE REDUCAO DE FERRO GALVANIZADO, COM ROSCA BSP, DE 1" X 1/2"                                                                                                                                                                                                                                                                                                                                                                                                                                         </v>
          </cell>
          <cell r="C2715" t="str">
            <v xml:space="preserve">UN    </v>
          </cell>
          <cell r="D2715" t="str">
            <v>CR</v>
          </cell>
          <cell r="E2715" t="str">
            <v>14,79</v>
          </cell>
        </row>
        <row r="2716">
          <cell r="A2716">
            <v>3919</v>
          </cell>
          <cell r="B2716" t="str">
            <v xml:space="preserve">LUVA DE REDUCAO DE FERRO GALVANIZADO, COM ROSCA BSP, DE 1" X 3/4"                                                                                                                                                                                                                                                                                                                                                                                                                                         </v>
          </cell>
          <cell r="C2716" t="str">
            <v xml:space="preserve">UN    </v>
          </cell>
          <cell r="D2716" t="str">
            <v>CR</v>
          </cell>
          <cell r="E2716" t="str">
            <v>15,08</v>
          </cell>
        </row>
        <row r="2717">
          <cell r="A2717">
            <v>3927</v>
          </cell>
          <cell r="B2717" t="str">
            <v xml:space="preserve">LUVA DE REDUCAO DE FERRO GALVANIZADO, COM ROSCA BSP, DE 2 1/2" X 1 1/2"                                                                                                                                                                                                                                                                                                                                                                                                                                   </v>
          </cell>
          <cell r="C2717" t="str">
            <v xml:space="preserve">UN    </v>
          </cell>
          <cell r="D2717" t="str">
            <v>CR</v>
          </cell>
          <cell r="E2717" t="str">
            <v>76,38</v>
          </cell>
        </row>
        <row r="2718">
          <cell r="A2718">
            <v>3928</v>
          </cell>
          <cell r="B2718" t="str">
            <v xml:space="preserve">LUVA DE REDUCAO DE FERRO GALVANIZADO, COM ROSCA BSP, DE 2 1/2" X 2"                                                                                                                                                                                                                                                                                                                                                                                                                                       </v>
          </cell>
          <cell r="C2718" t="str">
            <v xml:space="preserve">UN    </v>
          </cell>
          <cell r="D2718" t="str">
            <v>CR</v>
          </cell>
          <cell r="E2718" t="str">
            <v>76,38</v>
          </cell>
        </row>
        <row r="2719">
          <cell r="A2719">
            <v>3926</v>
          </cell>
          <cell r="B2719" t="str">
            <v xml:space="preserve">LUVA DE REDUCAO DE FERRO GALVANIZADO, COM ROSCA BSP, DE 2" X 1 1/2"                                                                                                                                                                                                                                                                                                                                                                                                                                       </v>
          </cell>
          <cell r="C2719" t="str">
            <v xml:space="preserve">UN    </v>
          </cell>
          <cell r="D2719" t="str">
            <v>CR</v>
          </cell>
          <cell r="E2719" t="str">
            <v>43,54</v>
          </cell>
        </row>
        <row r="2720">
          <cell r="A2720">
            <v>3935</v>
          </cell>
          <cell r="B2720" t="str">
            <v xml:space="preserve">LUVA DE REDUCAO DE FERRO GALVANIZADO, COM ROSCA BSP, DE 2" X 1 1/4"                                                                                                                                                                                                                                                                                                                                                                                                                                       </v>
          </cell>
          <cell r="C2720" t="str">
            <v xml:space="preserve">UN    </v>
          </cell>
          <cell r="D2720" t="str">
            <v>CR</v>
          </cell>
          <cell r="E2720" t="str">
            <v>43,54</v>
          </cell>
        </row>
        <row r="2721">
          <cell r="A2721">
            <v>3925</v>
          </cell>
          <cell r="B2721" t="str">
            <v xml:space="preserve">LUVA DE REDUCAO DE FERRO GALVANIZADO, COM ROSCA BSP, DE 2" X 1"                                                                                                                                                                                                                                                                                                                                                                                                                                           </v>
          </cell>
          <cell r="C2721" t="str">
            <v xml:space="preserve">UN    </v>
          </cell>
          <cell r="D2721" t="str">
            <v>CR</v>
          </cell>
          <cell r="E2721" t="str">
            <v>43,54</v>
          </cell>
        </row>
        <row r="2722">
          <cell r="A2722">
            <v>12406</v>
          </cell>
          <cell r="B2722" t="str">
            <v xml:space="preserve">LUVA DE REDUCAO DE FERRO GALVANIZADO, COM ROSCA BSP, DE 3/4" X 1/2"                                                                                                                                                                                                                                                                                                                                                                                                                                       </v>
          </cell>
          <cell r="C2722" t="str">
            <v xml:space="preserve">UN    </v>
          </cell>
          <cell r="D2722" t="str">
            <v>CR</v>
          </cell>
          <cell r="E2722" t="str">
            <v>10,69</v>
          </cell>
        </row>
        <row r="2723">
          <cell r="A2723">
            <v>3929</v>
          </cell>
          <cell r="B2723" t="str">
            <v xml:space="preserve">LUVA DE REDUCAO DE FERRO GALVANIZADO, COM ROSCA BSP, DE 3" X 1 1/2"                                                                                                                                                                                                                                                                                                                                                                                                                                       </v>
          </cell>
          <cell r="C2723" t="str">
            <v xml:space="preserve">UN    </v>
          </cell>
          <cell r="D2723" t="str">
            <v>CR</v>
          </cell>
          <cell r="E2723" t="str">
            <v>116,37</v>
          </cell>
        </row>
        <row r="2724">
          <cell r="A2724">
            <v>3931</v>
          </cell>
          <cell r="B2724" t="str">
            <v xml:space="preserve">LUVA DE REDUCAO DE FERRO GALVANIZADO, COM ROSCA BSP, DE 3" X 2 1/2"                                                                                                                                                                                                                                                                                                                                                                                                                                       </v>
          </cell>
          <cell r="C2724" t="str">
            <v xml:space="preserve">UN    </v>
          </cell>
          <cell r="D2724" t="str">
            <v>CR</v>
          </cell>
          <cell r="E2724" t="str">
            <v>116,37</v>
          </cell>
        </row>
        <row r="2725">
          <cell r="A2725">
            <v>3930</v>
          </cell>
          <cell r="B2725" t="str">
            <v xml:space="preserve">LUVA DE REDUCAO DE FERRO GALVANIZADO, COM ROSCA BSP, DE 3" X 2"                                                                                                                                                                                                                                                                                                                                                                                                                                           </v>
          </cell>
          <cell r="C2725" t="str">
            <v xml:space="preserve">UN    </v>
          </cell>
          <cell r="D2725" t="str">
            <v>CR</v>
          </cell>
          <cell r="E2725" t="str">
            <v>116,37</v>
          </cell>
        </row>
        <row r="2726">
          <cell r="A2726">
            <v>3932</v>
          </cell>
          <cell r="B2726" t="str">
            <v xml:space="preserve">LUVA DE REDUCAO DE FERRO GALVANIZADO, COM ROSCA BSP, DE 4" X 2 1/2"                                                                                                                                                                                                                                                                                                                                                                                                                                       </v>
          </cell>
          <cell r="C2726" t="str">
            <v xml:space="preserve">UN    </v>
          </cell>
          <cell r="D2726" t="str">
            <v>CR</v>
          </cell>
          <cell r="E2726" t="str">
            <v>200,94</v>
          </cell>
        </row>
        <row r="2727">
          <cell r="A2727">
            <v>3933</v>
          </cell>
          <cell r="B2727" t="str">
            <v xml:space="preserve">LUVA DE REDUCAO DE FERRO GALVANIZADO, COM ROSCA BSP, DE 4" X 2"                                                                                                                                                                                                                                                                                                                                                                                                                                           </v>
          </cell>
          <cell r="C2727" t="str">
            <v xml:space="preserve">UN    </v>
          </cell>
          <cell r="D2727" t="str">
            <v>CR</v>
          </cell>
          <cell r="E2727" t="str">
            <v>200,94</v>
          </cell>
        </row>
        <row r="2728">
          <cell r="A2728">
            <v>3934</v>
          </cell>
          <cell r="B2728" t="str">
            <v xml:space="preserve">LUVA DE REDUCAO DE FERRO GALVANIZADO, COM ROSCA BSP, DE 4" X 3"                                                                                                                                                                                                                                                                                                                                                                                                                                           </v>
          </cell>
          <cell r="C2728" t="str">
            <v xml:space="preserve">UN    </v>
          </cell>
          <cell r="D2728" t="str">
            <v>CR</v>
          </cell>
          <cell r="E2728" t="str">
            <v>200,94</v>
          </cell>
        </row>
        <row r="2729">
          <cell r="A2729">
            <v>40355</v>
          </cell>
          <cell r="B2729" t="str">
            <v xml:space="preserve">LUVA DE REDUCAO EM ACO CARBONO, COM ENCAIXE PARA SOLDA DN SW, PRESSAO 3.000 LBS,  3/4 " X 1/2"                                                                                                                                                                                                                                                                                                                                                                                                            </v>
          </cell>
          <cell r="C2729" t="str">
            <v xml:space="preserve">UN    </v>
          </cell>
          <cell r="D2729" t="str">
            <v>CR</v>
          </cell>
          <cell r="E2729" t="str">
            <v>12,72</v>
          </cell>
        </row>
        <row r="2730">
          <cell r="A2730">
            <v>40364</v>
          </cell>
          <cell r="B2730" t="str">
            <v xml:space="preserve">LUVA DE REDUCAO EM ACO CARBONO, COM ENCAIXE PARA SOLDA DN SW, PRESSAO 3.000 LBS, DN 1 1/2" X 1 1/4"                                                                                                                                                                                                                                                                                                                                                                                                       </v>
          </cell>
          <cell r="C2730" t="str">
            <v xml:space="preserve">UN    </v>
          </cell>
          <cell r="D2730" t="str">
            <v>CR</v>
          </cell>
          <cell r="E2730" t="str">
            <v>59,60</v>
          </cell>
        </row>
        <row r="2731">
          <cell r="A2731">
            <v>40361</v>
          </cell>
          <cell r="B2731" t="str">
            <v xml:space="preserve">LUVA DE REDUCAO EM ACO CARBONO, COM ENCAIXE PARA SOLDA DN SW, PRESSAO 3.000 LBS, DN 1 1/4"  X 1"                                                                                                                                                                                                                                                                                                                                                                                                          </v>
          </cell>
          <cell r="C2731" t="str">
            <v xml:space="preserve">UN    </v>
          </cell>
          <cell r="D2731" t="str">
            <v>CR</v>
          </cell>
          <cell r="E2731" t="str">
            <v>46,60</v>
          </cell>
        </row>
        <row r="2732">
          <cell r="A2732">
            <v>40358</v>
          </cell>
          <cell r="B2732" t="str">
            <v xml:space="preserve">LUVA DE REDUCAO EM ACO CARBONO, COM ENCAIXE PARA SOLDA DN SW, PRESSAO 3.000 LBS, DN 1" X 3/4"                                                                                                                                                                                                                                                                                                                                                                                                             </v>
          </cell>
          <cell r="C2732" t="str">
            <v xml:space="preserve">UN    </v>
          </cell>
          <cell r="D2732" t="str">
            <v>CR</v>
          </cell>
          <cell r="E2732" t="str">
            <v>17,76</v>
          </cell>
        </row>
        <row r="2733">
          <cell r="A2733">
            <v>40370</v>
          </cell>
          <cell r="B2733" t="str">
            <v xml:space="preserve">LUVA DE REDUCAO EM ACO CARBONO, COM ENCAIXE PARA SOLDA DN SW, PRESSAO 3.000 LBS, DN 2 1/2" X 2"                                                                                                                                                                                                                                                                                                                                                                                                           </v>
          </cell>
          <cell r="C2733" t="str">
            <v xml:space="preserve">UN    </v>
          </cell>
          <cell r="D2733" t="str">
            <v>CR</v>
          </cell>
          <cell r="E2733" t="str">
            <v>189,10</v>
          </cell>
        </row>
        <row r="2734">
          <cell r="A2734">
            <v>40367</v>
          </cell>
          <cell r="B2734" t="str">
            <v xml:space="preserve">LUVA DE REDUCAO EM ACO CARBONO, COM ENCAIXE PARA SOLDA DN SW, PRESSAO 3.000 LBS, DN 2" X 1 1/2"                                                                                                                                                                                                                                                                                                                                                                                                           </v>
          </cell>
          <cell r="C2734" t="str">
            <v xml:space="preserve">UN    </v>
          </cell>
          <cell r="D2734" t="str">
            <v>CR</v>
          </cell>
          <cell r="E2734" t="str">
            <v>93,99</v>
          </cell>
        </row>
        <row r="2735">
          <cell r="A2735">
            <v>40373</v>
          </cell>
          <cell r="B2735" t="str">
            <v xml:space="preserve">LUVA DE REDUCAO EM ACO CARBONO, COM ENCAIXE PARA SOLDA DN SW, PRESSAO 3.000 LBS, DN 3" X 2 1/2"                                                                                                                                                                                                                                                                                                                                                                                                           </v>
          </cell>
          <cell r="C2735" t="str">
            <v xml:space="preserve">UN    </v>
          </cell>
          <cell r="D2735" t="str">
            <v>CR</v>
          </cell>
          <cell r="E2735" t="str">
            <v>255,72</v>
          </cell>
        </row>
        <row r="2736">
          <cell r="A2736">
            <v>3907</v>
          </cell>
          <cell r="B2736" t="str">
            <v xml:space="preserve">LUVA DE REDUCAO ROSCAVEL, PVC, 1" X 3/4", PARA AGUA FRIA PREDIAL                                                                                                                                                                                                                                                                                                                                                                                                                                          </v>
          </cell>
          <cell r="C2736" t="str">
            <v xml:space="preserve">UN    </v>
          </cell>
          <cell r="D2736" t="str">
            <v>CR</v>
          </cell>
          <cell r="E2736" t="str">
            <v>4,74</v>
          </cell>
        </row>
        <row r="2737">
          <cell r="A2737">
            <v>3889</v>
          </cell>
          <cell r="B2737" t="str">
            <v xml:space="preserve">LUVA DE REDUCAO ROSCAVEL, PVC, 3/4" X 1/2", PARA AGUA FRIA PREDIAL                                                                                                                                                                                                                                                                                                                                                                                                                                        </v>
          </cell>
          <cell r="C2737" t="str">
            <v xml:space="preserve">UN    </v>
          </cell>
          <cell r="D2737" t="str">
            <v>CR</v>
          </cell>
          <cell r="E2737" t="str">
            <v>3,37</v>
          </cell>
        </row>
        <row r="2738">
          <cell r="A2738">
            <v>3868</v>
          </cell>
          <cell r="B2738" t="str">
            <v xml:space="preserve">LUVA DE REDUCAO SOLDAVEL, PVC, 25 MM X 20 MM, PARA AGUA FRIA PREDIAL                                                                                                                                                                                                                                                                                                                                                                                                                                      </v>
          </cell>
          <cell r="C2738" t="str">
            <v xml:space="preserve">UN    </v>
          </cell>
          <cell r="D2738" t="str">
            <v>CR</v>
          </cell>
          <cell r="E2738" t="str">
            <v>1,24</v>
          </cell>
        </row>
        <row r="2739">
          <cell r="A2739">
            <v>3869</v>
          </cell>
          <cell r="B2739" t="str">
            <v xml:space="preserve">LUVA DE REDUCAO SOLDAVEL, PVC, 32 MM X 25 MM, PARA AGUA FRIA PREDIAL                                                                                                                                                                                                                                                                                                                                                                                                                                      </v>
          </cell>
          <cell r="C2739" t="str">
            <v xml:space="preserve">UN    </v>
          </cell>
          <cell r="D2739" t="str">
            <v>CR</v>
          </cell>
          <cell r="E2739" t="str">
            <v>2,74</v>
          </cell>
        </row>
        <row r="2740">
          <cell r="A2740">
            <v>3872</v>
          </cell>
          <cell r="B2740" t="str">
            <v xml:space="preserve">LUVA DE REDUCAO SOLDAVEL, PVC, 40 MM X 32 MM, PARA AGUA FRIA PREDIAL                                                                                                                                                                                                                                                                                                                                                                                                                                      </v>
          </cell>
          <cell r="C2740" t="str">
            <v xml:space="preserve">UN    </v>
          </cell>
          <cell r="D2740" t="str">
            <v>CR</v>
          </cell>
          <cell r="E2740" t="str">
            <v>4,68</v>
          </cell>
        </row>
        <row r="2741">
          <cell r="A2741">
            <v>3850</v>
          </cell>
          <cell r="B2741" t="str">
            <v xml:space="preserve">LUVA DE REDUCAO SOLDAVEL, PVC, 60 MM X 50 MM, PARA AGUA FRIA PREDIAL                                                                                                                                                                                                                                                                                                                                                                                                                                      </v>
          </cell>
          <cell r="C2741" t="str">
            <v xml:space="preserve">UN    </v>
          </cell>
          <cell r="D2741" t="str">
            <v>CR</v>
          </cell>
          <cell r="E2741" t="str">
            <v>10,80</v>
          </cell>
        </row>
        <row r="2742">
          <cell r="A2742">
            <v>38023</v>
          </cell>
          <cell r="B2742" t="str">
            <v xml:space="preserve">LUVA DE REDUCAO, SOLDAVEL, PVC, 50 X 25 MM, PARA AGUA FRIA PREDIAL                                                                                                                                                                                                                                                                                                                                                                                                                                        </v>
          </cell>
          <cell r="C2742" t="str">
            <v xml:space="preserve">UN    </v>
          </cell>
          <cell r="D2742" t="str">
            <v>CR</v>
          </cell>
          <cell r="E2742" t="str">
            <v>5,50</v>
          </cell>
        </row>
        <row r="2743">
          <cell r="A2743">
            <v>37986</v>
          </cell>
          <cell r="B2743" t="str">
            <v xml:space="preserve">LUVA DE TRANSICAO DE CPVC X PVC, SOLDAVEL, 22 X 25 MM, PARA AGUA QUENTE                                                                                                                                                                                                                                                                                                                                                                                                                                   </v>
          </cell>
          <cell r="C2743" t="str">
            <v xml:space="preserve">UN    </v>
          </cell>
          <cell r="D2743" t="str">
            <v>CR</v>
          </cell>
          <cell r="E2743" t="str">
            <v>1,92</v>
          </cell>
        </row>
        <row r="2744">
          <cell r="A2744">
            <v>37987</v>
          </cell>
          <cell r="B2744" t="str">
            <v xml:space="preserve">LUVA DE TRANSICAO, CPVC, SOLDAVEL, 42 MM X 1 1/2", PARA AGUA QUENTE                                                                                                                                                                                                                                                                                                                                                                                                                                       </v>
          </cell>
          <cell r="C2744" t="str">
            <v xml:space="preserve">UN    </v>
          </cell>
          <cell r="D2744" t="str">
            <v>CR</v>
          </cell>
          <cell r="E2744" t="str">
            <v>96,06</v>
          </cell>
        </row>
        <row r="2745">
          <cell r="A2745">
            <v>37988</v>
          </cell>
          <cell r="B2745" t="str">
            <v xml:space="preserve">LUVA DE TRANSICAO, CPVC, SOLDAVEL, 54 MM X 2", PARA AGUA QUENTE PREDIAL                                                                                                                                                                                                                                                                                                                                                                                                                                   </v>
          </cell>
          <cell r="C2745" t="str">
            <v xml:space="preserve">UN    </v>
          </cell>
          <cell r="D2745" t="str">
            <v>CR</v>
          </cell>
          <cell r="E2745" t="str">
            <v>152,65</v>
          </cell>
        </row>
        <row r="2746">
          <cell r="A2746">
            <v>21120</v>
          </cell>
          <cell r="B2746" t="str">
            <v xml:space="preserve">LUVA DE TRANSICAO, CPVC, 15 MM X 1/2", PARA AGUA QUENTE PREDIAL                                                                                                                                                                                                                                                                                                                                                                                                                                           </v>
          </cell>
          <cell r="C2746" t="str">
            <v xml:space="preserve">UN    </v>
          </cell>
          <cell r="D2746" t="str">
            <v>CR</v>
          </cell>
          <cell r="E2746" t="str">
            <v>9,82</v>
          </cell>
        </row>
        <row r="2747">
          <cell r="A2747">
            <v>39318</v>
          </cell>
          <cell r="B2747" t="str">
            <v xml:space="preserve">LUVA DE TRANSICAO, CPVC, 22 MM X 1/2", PARA AGUA QUENTE                                                                                                                                                                                                                                                                                                                                                                                                                                                   </v>
          </cell>
          <cell r="C2747" t="str">
            <v xml:space="preserve">UN    </v>
          </cell>
          <cell r="D2747" t="str">
            <v>CR</v>
          </cell>
          <cell r="E2747" t="str">
            <v>9,13</v>
          </cell>
        </row>
        <row r="2748">
          <cell r="A2748">
            <v>40366</v>
          </cell>
          <cell r="B2748" t="str">
            <v xml:space="preserve">LUVA EM ACO CARBONO, SOLDAVEL, PRESSAO 3.000 LBS, DN 1 1/2"                                                                                                                                                                                                                                                                                                                                                                                                                                               </v>
          </cell>
          <cell r="C2748" t="str">
            <v xml:space="preserve">UN    </v>
          </cell>
          <cell r="D2748" t="str">
            <v>CR</v>
          </cell>
          <cell r="E2748" t="str">
            <v>46,49</v>
          </cell>
        </row>
        <row r="2749">
          <cell r="A2749">
            <v>40363</v>
          </cell>
          <cell r="B2749" t="str">
            <v xml:space="preserve">LUVA EM ACO CARBONO, SOLDAVEL, PRESSAO 3.000 LBS, DN 1 1/4"                                                                                                                                                                                                                                                                                                                                                                                                                                               </v>
          </cell>
          <cell r="C2749" t="str">
            <v xml:space="preserve">UN    </v>
          </cell>
          <cell r="D2749" t="str">
            <v>CR</v>
          </cell>
          <cell r="E2749" t="str">
            <v>36,36</v>
          </cell>
        </row>
        <row r="2750">
          <cell r="A2750">
            <v>40354</v>
          </cell>
          <cell r="B2750" t="str">
            <v xml:space="preserve">LUVA EM ACO CARBONO, SOLDAVEL, PRESSAO 3.000 LBS, DN 1/2"                                                                                                                                                                                                                                                                                                                                                                                                                                                 </v>
          </cell>
          <cell r="C2750" t="str">
            <v xml:space="preserve">UN    </v>
          </cell>
          <cell r="D2750" t="str">
            <v xml:space="preserve">C </v>
          </cell>
          <cell r="E2750" t="str">
            <v>15,83</v>
          </cell>
        </row>
        <row r="2751">
          <cell r="A2751">
            <v>40360</v>
          </cell>
          <cell r="B2751" t="str">
            <v xml:space="preserve">LUVA EM ACO CARBONO, SOLDAVEL, PRESSAO 3.000 LBS, DN 1"                                                                                                                                                                                                                                                                                                                                                                                                                                                   </v>
          </cell>
          <cell r="C2751" t="str">
            <v xml:space="preserve">UN    </v>
          </cell>
          <cell r="D2751" t="str">
            <v>CR</v>
          </cell>
          <cell r="E2751" t="str">
            <v>23,84</v>
          </cell>
        </row>
        <row r="2752">
          <cell r="A2752">
            <v>40372</v>
          </cell>
          <cell r="B2752" t="str">
            <v xml:space="preserve">LUVA EM ACO CARBONO, SOLDAVEL, PRESSAO 3.000 LBS, DN 2 1/2"                                                                                                                                                                                                                                                                                                                                                                                                                                               </v>
          </cell>
          <cell r="C2752" t="str">
            <v xml:space="preserve">UN    </v>
          </cell>
          <cell r="D2752" t="str">
            <v>CR</v>
          </cell>
          <cell r="E2752" t="str">
            <v>147,20</v>
          </cell>
        </row>
        <row r="2753">
          <cell r="A2753">
            <v>40369</v>
          </cell>
          <cell r="B2753" t="str">
            <v xml:space="preserve">LUVA EM ACO CARBONO, SOLDAVEL, PRESSAO 3.000 LBS, DN 2"                                                                                                                                                                                                                                                                                                                                                                                                                                                   </v>
          </cell>
          <cell r="C2753" t="str">
            <v xml:space="preserve">UN    </v>
          </cell>
          <cell r="D2753" t="str">
            <v>CR</v>
          </cell>
          <cell r="E2753" t="str">
            <v>73,26</v>
          </cell>
        </row>
        <row r="2754">
          <cell r="A2754">
            <v>40357</v>
          </cell>
          <cell r="B2754" t="str">
            <v xml:space="preserve">LUVA EM ACO CARBONO, SOLDAVEL, PRESSAO 3.000 LBS, DN 3/4"                                                                                                                                                                                                                                                                                                                                                                                                                                                 </v>
          </cell>
          <cell r="C2754" t="str">
            <v xml:space="preserve">UN    </v>
          </cell>
          <cell r="D2754" t="str">
            <v>CR</v>
          </cell>
          <cell r="E2754" t="str">
            <v>17,76</v>
          </cell>
        </row>
        <row r="2755">
          <cell r="A2755">
            <v>40375</v>
          </cell>
          <cell r="B2755" t="str">
            <v xml:space="preserve">LUVA EM ACO CARBONO, SOLDAVEL, PRESSAO 3.000 LBS, DN 3"                                                                                                                                                                                                                                                                                                                                                                                                                                                   </v>
          </cell>
          <cell r="C2755" t="str">
            <v xml:space="preserve">UN    </v>
          </cell>
          <cell r="D2755" t="str">
            <v>CR</v>
          </cell>
          <cell r="E2755" t="str">
            <v>199,28</v>
          </cell>
        </row>
        <row r="2756">
          <cell r="A2756">
            <v>1893</v>
          </cell>
          <cell r="B2756" t="str">
            <v xml:space="preserve">LUVA EM PVC RIGIDO ROSCAVEL, DE 1 1/2", PARA ELETRODUTO                                                                                                                                                                                                                                                                                                                                                                                                                                                   </v>
          </cell>
          <cell r="C2756" t="str">
            <v xml:space="preserve">UN    </v>
          </cell>
          <cell r="D2756" t="str">
            <v>CR</v>
          </cell>
          <cell r="E2756" t="str">
            <v>3,39</v>
          </cell>
        </row>
        <row r="2757">
          <cell r="A2757">
            <v>1902</v>
          </cell>
          <cell r="B2757" t="str">
            <v xml:space="preserve">LUVA EM PVC RIGIDO ROSCAVEL, DE 1 1/4", PARA ELETRODUTO                                                                                                                                                                                                                                                                                                                                                                                                                                                   </v>
          </cell>
          <cell r="C2757" t="str">
            <v xml:space="preserve">UN    </v>
          </cell>
          <cell r="D2757" t="str">
            <v>CR</v>
          </cell>
          <cell r="E2757" t="str">
            <v>2,46</v>
          </cell>
        </row>
        <row r="2758">
          <cell r="A2758">
            <v>1901</v>
          </cell>
          <cell r="B2758" t="str">
            <v xml:space="preserve">LUVA EM PVC RIGIDO ROSCAVEL, DE 1/2", PARA ELETRODUTO                                                                                                                                                                                                                                                                                                                                                                                                                                                     </v>
          </cell>
          <cell r="C2758" t="str">
            <v xml:space="preserve">UN    </v>
          </cell>
          <cell r="D2758" t="str">
            <v>CR</v>
          </cell>
          <cell r="E2758" t="str">
            <v>0,77</v>
          </cell>
        </row>
        <row r="2759">
          <cell r="A2759">
            <v>1892</v>
          </cell>
          <cell r="B2759" t="str">
            <v xml:space="preserve">LUVA EM PVC RIGIDO ROSCAVEL, DE 1", PARA ELETRODUTO                                                                                                                                                                                                                                                                                                                                                                                                                                                       </v>
          </cell>
          <cell r="C2759" t="str">
            <v xml:space="preserve">UN    </v>
          </cell>
          <cell r="D2759" t="str">
            <v>CR</v>
          </cell>
          <cell r="E2759" t="str">
            <v>1,59</v>
          </cell>
        </row>
        <row r="2760">
          <cell r="A2760">
            <v>1907</v>
          </cell>
          <cell r="B2760" t="str">
            <v xml:space="preserve">LUVA EM PVC RIGIDO ROSCAVEL, DE 2 1/2", PARA ELETRODUTO                                                                                                                                                                                                                                                                                                                                                                                                                                                   </v>
          </cell>
          <cell r="C2760" t="str">
            <v xml:space="preserve">UN    </v>
          </cell>
          <cell r="D2760" t="str">
            <v>CR</v>
          </cell>
          <cell r="E2760" t="str">
            <v>10,91</v>
          </cell>
        </row>
        <row r="2761">
          <cell r="A2761">
            <v>1894</v>
          </cell>
          <cell r="B2761" t="str">
            <v xml:space="preserve">LUVA EM PVC RIGIDO ROSCAVEL, DE 2", PARA ELETRODUTO                                                                                                                                                                                                                                                                                                                                                                                                                                                       </v>
          </cell>
          <cell r="C2761" t="str">
            <v xml:space="preserve">UN    </v>
          </cell>
          <cell r="D2761" t="str">
            <v>CR</v>
          </cell>
          <cell r="E2761" t="str">
            <v>4,90</v>
          </cell>
        </row>
        <row r="2762">
          <cell r="A2762">
            <v>1891</v>
          </cell>
          <cell r="B2762" t="str">
            <v xml:space="preserve">LUVA EM PVC RIGIDO ROSCAVEL, DE 3/4", PARA ELETRODUTO                                                                                                                                                                                                                                                                                                                                                                                                                                                     </v>
          </cell>
          <cell r="C2762" t="str">
            <v xml:space="preserve">UN    </v>
          </cell>
          <cell r="D2762" t="str">
            <v>CR</v>
          </cell>
          <cell r="E2762" t="str">
            <v>1,14</v>
          </cell>
        </row>
        <row r="2763">
          <cell r="A2763">
            <v>1896</v>
          </cell>
          <cell r="B2763" t="str">
            <v xml:space="preserve">LUVA EM PVC RIGIDO ROSCAVEL, DE 3", PARA ELETRODUTO                                                                                                                                                                                                                                                                                                                                                                                                                                                       </v>
          </cell>
          <cell r="C2763" t="str">
            <v xml:space="preserve">UN    </v>
          </cell>
          <cell r="D2763" t="str">
            <v>CR</v>
          </cell>
          <cell r="E2763" t="str">
            <v>14,65</v>
          </cell>
        </row>
        <row r="2764">
          <cell r="A2764">
            <v>1895</v>
          </cell>
          <cell r="B2764" t="str">
            <v xml:space="preserve">LUVA EM PVC RIGIDO ROSCAVEL, DE 4", PARA ELETRODUTO                                                                                                                                                                                                                                                                                                                                                                                                                                                       </v>
          </cell>
          <cell r="C2764" t="str">
            <v xml:space="preserve">UN    </v>
          </cell>
          <cell r="D2764" t="str">
            <v>CR</v>
          </cell>
          <cell r="E2764" t="str">
            <v>25,74</v>
          </cell>
        </row>
        <row r="2765">
          <cell r="A2765">
            <v>2641</v>
          </cell>
          <cell r="B2765" t="str">
            <v xml:space="preserve">LUVA PARA ELETRODUTO, EM ACO GALVANIZADO ELETROLITICO, DIAMETRO DE 100 MM (4")                                                                                                                                                                                                                                                                                                                                                                                                                            </v>
          </cell>
          <cell r="C2765" t="str">
            <v xml:space="preserve">UN    </v>
          </cell>
          <cell r="D2765" t="str">
            <v>CR</v>
          </cell>
          <cell r="E2765" t="str">
            <v>25,99</v>
          </cell>
        </row>
        <row r="2766">
          <cell r="A2766">
            <v>2636</v>
          </cell>
          <cell r="B2766" t="str">
            <v xml:space="preserve">LUVA PARA ELETRODUTO, EM ACO GALVANIZADO ELETROLITICO, DIAMETRO DE 15 MM (1/2")                                                                                                                                                                                                                                                                                                                                                                                                                           </v>
          </cell>
          <cell r="C2766" t="str">
            <v xml:space="preserve">UN    </v>
          </cell>
          <cell r="D2766" t="str">
            <v>CR</v>
          </cell>
          <cell r="E2766" t="str">
            <v>1,67</v>
          </cell>
        </row>
        <row r="2767">
          <cell r="A2767">
            <v>2637</v>
          </cell>
          <cell r="B2767" t="str">
            <v xml:space="preserve">LUVA PARA ELETRODUTO, EM ACO GALVANIZADO ELETROLITICO, DIAMETRO DE 20 MM (3/4")                                                                                                                                                                                                                                                                                                                                                                                                                           </v>
          </cell>
          <cell r="C2767" t="str">
            <v xml:space="preserve">UN    </v>
          </cell>
          <cell r="D2767" t="str">
            <v>CR</v>
          </cell>
          <cell r="E2767" t="str">
            <v>1,78</v>
          </cell>
        </row>
        <row r="2768">
          <cell r="A2768">
            <v>2638</v>
          </cell>
          <cell r="B2768" t="str">
            <v xml:space="preserve">LUVA PARA ELETRODUTO, EM ACO GALVANIZADO ELETROLITICO, DIAMETRO DE 25 MM (1")                                                                                                                                                                                                                                                                                                                                                                                                                             </v>
          </cell>
          <cell r="C2768" t="str">
            <v xml:space="preserve">UN    </v>
          </cell>
          <cell r="D2768" t="str">
            <v>CR</v>
          </cell>
          <cell r="E2768" t="str">
            <v>2,07</v>
          </cell>
        </row>
        <row r="2769">
          <cell r="A2769">
            <v>2639</v>
          </cell>
          <cell r="B2769" t="str">
            <v xml:space="preserve">LUVA PARA ELETRODUTO, EM ACO GALVANIZADO ELETROLITICO, DIAMETRO DE 32 MM (1 1/4")                                                                                                                                                                                                                                                                                                                                                                                                                         </v>
          </cell>
          <cell r="C2769" t="str">
            <v xml:space="preserve">UN    </v>
          </cell>
          <cell r="D2769" t="str">
            <v>CR</v>
          </cell>
          <cell r="E2769" t="str">
            <v>3,67</v>
          </cell>
        </row>
        <row r="2770">
          <cell r="A2770">
            <v>2644</v>
          </cell>
          <cell r="B2770" t="str">
            <v xml:space="preserve">LUVA PARA ELETRODUTO, EM ACO GALVANIZADO ELETROLITICO, DIAMETRO DE 40 MM (1 1/2")                                                                                                                                                                                                                                                                                                                                                                                                                         </v>
          </cell>
          <cell r="C2770" t="str">
            <v xml:space="preserve">UN    </v>
          </cell>
          <cell r="D2770" t="str">
            <v>CR</v>
          </cell>
          <cell r="E2770" t="str">
            <v>5,31</v>
          </cell>
        </row>
        <row r="2771">
          <cell r="A2771">
            <v>2643</v>
          </cell>
          <cell r="B2771" t="str">
            <v xml:space="preserve">LUVA PARA ELETRODUTO, EM ACO GALVANIZADO ELETROLITICO, DIAMETRO DE 50 MM (2")                                                                                                                                                                                                                                                                                                                                                                                                                             </v>
          </cell>
          <cell r="C2771" t="str">
            <v xml:space="preserve">UN    </v>
          </cell>
          <cell r="D2771" t="str">
            <v>CR</v>
          </cell>
          <cell r="E2771" t="str">
            <v>7,41</v>
          </cell>
        </row>
        <row r="2772">
          <cell r="A2772">
            <v>2640</v>
          </cell>
          <cell r="B2772" t="str">
            <v xml:space="preserve">LUVA PARA ELETRODUTO, EM ACO GALVANIZADO ELETROLITICO, DIAMETRO DE 65 MM (2 1/2")                                                                                                                                                                                                                                                                                                                                                                                                                         </v>
          </cell>
          <cell r="C2772" t="str">
            <v xml:space="preserve">UN    </v>
          </cell>
          <cell r="D2772" t="str">
            <v>CR</v>
          </cell>
          <cell r="E2772" t="str">
            <v>10,81</v>
          </cell>
        </row>
        <row r="2773">
          <cell r="A2773">
            <v>2642</v>
          </cell>
          <cell r="B2773" t="str">
            <v xml:space="preserve">LUVA PARA ELETRODUTO, EM ACO GALVANIZADO ELETROLITICO, DIAMETRO DE 80 MM (3")                                                                                                                                                                                                                                                                                                                                                                                                                             </v>
          </cell>
          <cell r="C2773" t="str">
            <v xml:space="preserve">UN    </v>
          </cell>
          <cell r="D2773" t="str">
            <v>CR</v>
          </cell>
          <cell r="E2773" t="str">
            <v>16,47</v>
          </cell>
        </row>
        <row r="2774">
          <cell r="A2774">
            <v>39855</v>
          </cell>
          <cell r="B2774" t="str">
            <v xml:space="preserve">LUVA PASSANTE DE COBRE (REF 601) SEM ANEL DE SOLDA, BOLSA 15 MM                                                                                                                                                                                                                                                                                                                                                                                                                                           </v>
          </cell>
          <cell r="C2774" t="str">
            <v xml:space="preserve">UN    </v>
          </cell>
          <cell r="D2774" t="str">
            <v>CR</v>
          </cell>
          <cell r="E2774" t="str">
            <v>2,76</v>
          </cell>
        </row>
        <row r="2775">
          <cell r="A2775">
            <v>39856</v>
          </cell>
          <cell r="B2775" t="str">
            <v xml:space="preserve">LUVA PASSANTE DE COBRE (REF 601) SEM ANEL DE SOLDA, BOLSA 22 MM                                                                                                                                                                                                                                                                                                                                                                                                                                           </v>
          </cell>
          <cell r="C2775" t="str">
            <v xml:space="preserve">UN    </v>
          </cell>
          <cell r="D2775" t="str">
            <v>CR</v>
          </cell>
          <cell r="E2775" t="str">
            <v>6,50</v>
          </cell>
        </row>
        <row r="2776">
          <cell r="A2776">
            <v>39857</v>
          </cell>
          <cell r="B2776" t="str">
            <v xml:space="preserve">LUVA PASSANTE DE COBRE (REF 601) SEM ANEL DE SOLDA, BOLSA 28 MM                                                                                                                                                                                                                                                                                                                                                                                                                                           </v>
          </cell>
          <cell r="C2776" t="str">
            <v xml:space="preserve">UN    </v>
          </cell>
          <cell r="D2776" t="str">
            <v>CR</v>
          </cell>
          <cell r="E2776" t="str">
            <v>10,52</v>
          </cell>
        </row>
        <row r="2777">
          <cell r="A2777">
            <v>39858</v>
          </cell>
          <cell r="B2777" t="str">
            <v xml:space="preserve">LUVA PASSANTE DE COBRE (REF 601) SEM ANEL DE SOLDA, BOLSA 35 MM                                                                                                                                                                                                                                                                                                                                                                                                                                           </v>
          </cell>
          <cell r="C2777" t="str">
            <v xml:space="preserve">UN    </v>
          </cell>
          <cell r="D2777" t="str">
            <v>CR</v>
          </cell>
          <cell r="E2777" t="str">
            <v>23,35</v>
          </cell>
        </row>
        <row r="2778">
          <cell r="A2778">
            <v>39859</v>
          </cell>
          <cell r="B2778" t="str">
            <v xml:space="preserve">LUVA PASSANTE DE COBRE (REF 601) SEM ANEL DE SOLDA, BOLSA 42 MM                                                                                                                                                                                                                                                                                                                                                                                                                                           </v>
          </cell>
          <cell r="C2778" t="str">
            <v xml:space="preserve">UN    </v>
          </cell>
          <cell r="D2778" t="str">
            <v>CR</v>
          </cell>
          <cell r="E2778" t="str">
            <v>35,99</v>
          </cell>
        </row>
        <row r="2779">
          <cell r="A2779">
            <v>39860</v>
          </cell>
          <cell r="B2779" t="str">
            <v xml:space="preserve">LUVA PASSANTE DE COBRE (REF 601) SEM ANEL DE SOLDA, BOLSA 54 MM                                                                                                                                                                                                                                                                                                                                                                                                                                           </v>
          </cell>
          <cell r="C2779" t="str">
            <v xml:space="preserve">UN    </v>
          </cell>
          <cell r="D2779" t="str">
            <v>CR</v>
          </cell>
          <cell r="E2779" t="str">
            <v>55,23</v>
          </cell>
        </row>
        <row r="2780">
          <cell r="A2780">
            <v>39861</v>
          </cell>
          <cell r="B2780" t="str">
            <v xml:space="preserve">LUVA PASSANTE DE COBRE (REF 601) SEM ANEL DE SOLDA, BOLSA 66 MM                                                                                                                                                                                                                                                                                                                                                                                                                                           </v>
          </cell>
          <cell r="C2780" t="str">
            <v xml:space="preserve">UN    </v>
          </cell>
          <cell r="D2780" t="str">
            <v>CR</v>
          </cell>
          <cell r="E2780" t="str">
            <v>157,69</v>
          </cell>
        </row>
        <row r="2781">
          <cell r="A2781">
            <v>3867</v>
          </cell>
          <cell r="B2781" t="str">
            <v xml:space="preserve">LUVA PVC SOLDAVEL, 110 MM, PARA AGUA FRIA PREDIAL                                                                                                                                                                                                                                                                                                                                                                                                                                                         </v>
          </cell>
          <cell r="C2781" t="str">
            <v xml:space="preserve">UN    </v>
          </cell>
          <cell r="D2781" t="str">
            <v>CR</v>
          </cell>
          <cell r="E2781" t="str">
            <v>65,80</v>
          </cell>
        </row>
        <row r="2782">
          <cell r="A2782">
            <v>3861</v>
          </cell>
          <cell r="B2782" t="str">
            <v xml:space="preserve">LUVA PVC SOLDAVEL, 20 MM, PARA AGUA FRIA PREDIAL                                                                                                                                                                                                                                                                                                                                                                                                                                                          </v>
          </cell>
          <cell r="C2782" t="str">
            <v xml:space="preserve">UN    </v>
          </cell>
          <cell r="D2782" t="str">
            <v>CR</v>
          </cell>
          <cell r="E2782" t="str">
            <v>0,68</v>
          </cell>
        </row>
        <row r="2783">
          <cell r="A2783">
            <v>3904</v>
          </cell>
          <cell r="B2783" t="str">
            <v xml:space="preserve">LUVA PVC SOLDAVEL, 25 MM, PARA AGUA FRIA PREDIAL                                                                                                                                                                                                                                                                                                                                                                                                                                                          </v>
          </cell>
          <cell r="C2783" t="str">
            <v xml:space="preserve">UN    </v>
          </cell>
          <cell r="D2783" t="str">
            <v>CR</v>
          </cell>
          <cell r="E2783" t="str">
            <v>0,72</v>
          </cell>
        </row>
        <row r="2784">
          <cell r="A2784">
            <v>3903</v>
          </cell>
          <cell r="B2784" t="str">
            <v xml:space="preserve">LUVA PVC SOLDAVEL, 32 MM, PARA AGUA FRIA PREDIAL                                                                                                                                                                                                                                                                                                                                                                                                                                                          </v>
          </cell>
          <cell r="C2784" t="str">
            <v xml:space="preserve">UN    </v>
          </cell>
          <cell r="D2784" t="str">
            <v>CR</v>
          </cell>
          <cell r="E2784" t="str">
            <v>1,76</v>
          </cell>
        </row>
        <row r="2785">
          <cell r="A2785">
            <v>3862</v>
          </cell>
          <cell r="B2785" t="str">
            <v xml:space="preserve">LUVA PVC SOLDAVEL, 40 MM, PARA AGUA FRIA PREDIAL                                                                                                                                                                                                                                                                                                                                                                                                                                                          </v>
          </cell>
          <cell r="C2785" t="str">
            <v xml:space="preserve">UN    </v>
          </cell>
          <cell r="D2785" t="str">
            <v>CR</v>
          </cell>
          <cell r="E2785" t="str">
            <v>3,76</v>
          </cell>
        </row>
        <row r="2786">
          <cell r="A2786">
            <v>3863</v>
          </cell>
          <cell r="B2786" t="str">
            <v xml:space="preserve">LUVA PVC SOLDAVEL, 50 MM, PARA AGUA FRIA PREDIAL                                                                                                                                                                                                                                                                                                                                                                                                                                                          </v>
          </cell>
          <cell r="C2786" t="str">
            <v xml:space="preserve">UN    </v>
          </cell>
          <cell r="D2786" t="str">
            <v>CR</v>
          </cell>
          <cell r="E2786" t="str">
            <v>3,85</v>
          </cell>
        </row>
        <row r="2787">
          <cell r="A2787">
            <v>3864</v>
          </cell>
          <cell r="B2787" t="str">
            <v xml:space="preserve">LUVA PVC SOLDAVEL, 60 MM, PARA AGUA FRIA PREDIAL                                                                                                                                                                                                                                                                                                                                                                                                                                                          </v>
          </cell>
          <cell r="C2787" t="str">
            <v xml:space="preserve">UN    </v>
          </cell>
          <cell r="D2787" t="str">
            <v>CR</v>
          </cell>
          <cell r="E2787" t="str">
            <v>11,80</v>
          </cell>
        </row>
        <row r="2788">
          <cell r="A2788">
            <v>3865</v>
          </cell>
          <cell r="B2788" t="str">
            <v xml:space="preserve">LUVA PVC SOLDAVEL, 75 MM, PARA AGUA FRIA PREDIAL                                                                                                                                                                                                                                                                                                                                                                                                                                                          </v>
          </cell>
          <cell r="C2788" t="str">
            <v xml:space="preserve">UN    </v>
          </cell>
          <cell r="D2788" t="str">
            <v>CR</v>
          </cell>
          <cell r="E2788" t="str">
            <v>17,26</v>
          </cell>
        </row>
        <row r="2789">
          <cell r="A2789">
            <v>3866</v>
          </cell>
          <cell r="B2789" t="str">
            <v xml:space="preserve">LUVA PVC SOLDAVEL, 85 MM, PARA AGUA FRIA PREDIAL                                                                                                                                                                                                                                                                                                                                                                                                                                                          </v>
          </cell>
          <cell r="C2789" t="str">
            <v xml:space="preserve">UN    </v>
          </cell>
          <cell r="D2789" t="str">
            <v>CR</v>
          </cell>
          <cell r="E2789" t="str">
            <v>38,75</v>
          </cell>
        </row>
        <row r="2790">
          <cell r="A2790">
            <v>3878</v>
          </cell>
          <cell r="B2790" t="str">
            <v xml:space="preserve">LUVA PVC, ROSCAVEL, 1 1/2",  AGUA FRIA PREDIAL                                                                                                                                                                                                                                                                                                                                                                                                                                                            </v>
          </cell>
          <cell r="C2790" t="str">
            <v xml:space="preserve">UN    </v>
          </cell>
          <cell r="D2790" t="str">
            <v>CR</v>
          </cell>
          <cell r="E2790" t="str">
            <v>10,57</v>
          </cell>
        </row>
        <row r="2791">
          <cell r="A2791">
            <v>3883</v>
          </cell>
          <cell r="B2791" t="str">
            <v xml:space="preserve">LUVA PVC, ROSCAVEL, 1/2", AGUA FRIA PREDIAL                                                                                                                                                                                                                                                                                                                                                                                                                                                               </v>
          </cell>
          <cell r="C2791" t="str">
            <v xml:space="preserve">UN    </v>
          </cell>
          <cell r="D2791" t="str">
            <v>CR</v>
          </cell>
          <cell r="E2791" t="str">
            <v>1,35</v>
          </cell>
        </row>
        <row r="2792">
          <cell r="A2792">
            <v>3876</v>
          </cell>
          <cell r="B2792" t="str">
            <v xml:space="preserve">LUVA PVC, ROSCAVEL, 1", AGUA FRIA PREDIAL                                                                                                                                                                                                                                                                                                                                                                                                                                                                 </v>
          </cell>
          <cell r="C2792" t="str">
            <v xml:space="preserve">UN    </v>
          </cell>
          <cell r="D2792" t="str">
            <v>CR</v>
          </cell>
          <cell r="E2792" t="str">
            <v>4,20</v>
          </cell>
        </row>
        <row r="2793">
          <cell r="A2793">
            <v>3884</v>
          </cell>
          <cell r="B2793" t="str">
            <v xml:space="preserve">LUVA PVC, ROSCAVEL, 3/4", AGUA FRIA PREDIAL                                                                                                                                                                                                                                                                                                                                                                                                                                                               </v>
          </cell>
          <cell r="C2793" t="str">
            <v xml:space="preserve">UN    </v>
          </cell>
          <cell r="D2793" t="str">
            <v>CR</v>
          </cell>
          <cell r="E2793" t="str">
            <v>2,14</v>
          </cell>
        </row>
        <row r="2794">
          <cell r="A2794">
            <v>12892</v>
          </cell>
          <cell r="B2794" t="str">
            <v xml:space="preserve">LUVA RASPA DE COURO, CANO CURTO (PUNHO *7* CM)                                                                                                                                                                                                                                                                                                                                                                                                                                                            </v>
          </cell>
          <cell r="C2794" t="str">
            <v xml:space="preserve">PAR   </v>
          </cell>
          <cell r="D2794" t="str">
            <v>CR</v>
          </cell>
          <cell r="E2794" t="str">
            <v>13,50</v>
          </cell>
        </row>
        <row r="2795">
          <cell r="A2795">
            <v>38447</v>
          </cell>
          <cell r="B2795" t="str">
            <v xml:space="preserve">LUVA SIMPLES PPR, F/F, SOLDAVEL, DN 110 MM, PARA AGUA QUENTE PREDIAL                                                                                                                                                                                                                                                                                                                                                                                                                                      </v>
          </cell>
          <cell r="C2795" t="str">
            <v xml:space="preserve">UN    </v>
          </cell>
          <cell r="D2795" t="str">
            <v>CR</v>
          </cell>
          <cell r="E2795" t="str">
            <v>81,65</v>
          </cell>
        </row>
        <row r="2796">
          <cell r="A2796">
            <v>36320</v>
          </cell>
          <cell r="B2796" t="str">
            <v xml:space="preserve">LUVA SIMPLES PPR, F/F, SOLDAVEL, DN 20 MM, PARA AGUA QUENTE PREDIAL                                                                                                                                                                                                                                                                                                                                                                                                                                       </v>
          </cell>
          <cell r="C2796" t="str">
            <v xml:space="preserve">UN    </v>
          </cell>
          <cell r="D2796" t="str">
            <v>CR</v>
          </cell>
          <cell r="E2796" t="str">
            <v>2,19</v>
          </cell>
        </row>
        <row r="2797">
          <cell r="A2797">
            <v>36324</v>
          </cell>
          <cell r="B2797" t="str">
            <v xml:space="preserve">LUVA SIMPLES PPR, F/F, SOLDAVEL, DN 25 MM, PARA AGUA QUENTE PREDIAL                                                                                                                                                                                                                                                                                                                                                                                                                                       </v>
          </cell>
          <cell r="C2797" t="str">
            <v xml:space="preserve">UN    </v>
          </cell>
          <cell r="D2797" t="str">
            <v>CR</v>
          </cell>
          <cell r="E2797" t="str">
            <v>2,00</v>
          </cell>
        </row>
        <row r="2798">
          <cell r="A2798">
            <v>38441</v>
          </cell>
          <cell r="B2798" t="str">
            <v xml:space="preserve">LUVA SIMPLES PPR, F/F, SOLDAVEL, DN 32 MM, PARA AGUA QUENTE PREDIAL                                                                                                                                                                                                                                                                                                                                                                                                                                       </v>
          </cell>
          <cell r="C2798" t="str">
            <v xml:space="preserve">UN    </v>
          </cell>
          <cell r="D2798" t="str">
            <v>CR</v>
          </cell>
          <cell r="E2798" t="str">
            <v>3,59</v>
          </cell>
        </row>
        <row r="2799">
          <cell r="A2799">
            <v>38442</v>
          </cell>
          <cell r="B2799" t="str">
            <v xml:space="preserve">LUVA SIMPLES PPR, F/F, SOLDAVEL, DN 40 MM, PARA AGUA QUENTE PREDIAL                                                                                                                                                                                                                                                                                                                                                                                                                                       </v>
          </cell>
          <cell r="C2799" t="str">
            <v xml:space="preserve">UN    </v>
          </cell>
          <cell r="D2799" t="str">
            <v>CR</v>
          </cell>
          <cell r="E2799" t="str">
            <v>10,20</v>
          </cell>
        </row>
        <row r="2800">
          <cell r="A2800">
            <v>38443</v>
          </cell>
          <cell r="B2800" t="str">
            <v xml:space="preserve">LUVA SIMPLES PPR, F/F, SOLDAVEL, DN 50 MM, PARA AGUA QUENTE PREDIAL                                                                                                                                                                                                                                                                                                                                                                                                                                       </v>
          </cell>
          <cell r="C2800" t="str">
            <v xml:space="preserve">UN    </v>
          </cell>
          <cell r="D2800" t="str">
            <v>CR</v>
          </cell>
          <cell r="E2800" t="str">
            <v>12,38</v>
          </cell>
        </row>
        <row r="2801">
          <cell r="A2801">
            <v>38444</v>
          </cell>
          <cell r="B2801" t="str">
            <v xml:space="preserve">LUVA SIMPLES PPR, F/F, SOLDAVEL, DN 63 MM, PARA AGUA QUENTE PREDIAL                                                                                                                                                                                                                                                                                                                                                                                                                                       </v>
          </cell>
          <cell r="C2801" t="str">
            <v xml:space="preserve">UN    </v>
          </cell>
          <cell r="D2801" t="str">
            <v>CR</v>
          </cell>
          <cell r="E2801" t="str">
            <v>20,79</v>
          </cell>
        </row>
        <row r="2802">
          <cell r="A2802">
            <v>38445</v>
          </cell>
          <cell r="B2802" t="str">
            <v xml:space="preserve">LUVA SIMPLES PPR, F/F, SOLDAVEL, DN 75 MM, PARA AGUA QUENTE PREDIAL                                                                                                                                                                                                                                                                                                                                                                                                                                       </v>
          </cell>
          <cell r="C2802" t="str">
            <v xml:space="preserve">UN    </v>
          </cell>
          <cell r="D2802" t="str">
            <v>CR</v>
          </cell>
          <cell r="E2802" t="str">
            <v>38,54</v>
          </cell>
        </row>
        <row r="2803">
          <cell r="A2803">
            <v>38446</v>
          </cell>
          <cell r="B2803" t="str">
            <v xml:space="preserve">LUVA SIMPLES PPR, F/F, SOLDAVEL, DN 90 MM, PARA AGUA QUENTE PREDIAL                                                                                                                                                                                                                                                                                                                                                                                                                                       </v>
          </cell>
          <cell r="C2803" t="str">
            <v xml:space="preserve">UN    </v>
          </cell>
          <cell r="D2803" t="str">
            <v>CR</v>
          </cell>
          <cell r="E2803" t="str">
            <v>63,08</v>
          </cell>
        </row>
        <row r="2804">
          <cell r="A2804">
            <v>3837</v>
          </cell>
          <cell r="B2804" t="str">
            <v xml:space="preserve">LUVA SIMPLES, PVC PBA, JE, DN 100 / DE 110 MM, PARA REDE AGUA (NBR 10351)                                                                                                                                                                                                                                                                                                                                                                                                                                 </v>
          </cell>
          <cell r="C2804" t="str">
            <v xml:space="preserve">UN    </v>
          </cell>
          <cell r="D2804" t="str">
            <v>CR</v>
          </cell>
          <cell r="E2804" t="str">
            <v>40,93</v>
          </cell>
        </row>
        <row r="2805">
          <cell r="A2805">
            <v>3845</v>
          </cell>
          <cell r="B2805" t="str">
            <v xml:space="preserve">LUVA SIMPLES, PVC PBA, JE, DN 50 / DE 60 MM, PARA REDE AGUA (NBR 10351)                                                                                                                                                                                                                                                                                                                                                                                                                                   </v>
          </cell>
          <cell r="C2805" t="str">
            <v xml:space="preserve">UN    </v>
          </cell>
          <cell r="D2805" t="str">
            <v>CR</v>
          </cell>
          <cell r="E2805" t="str">
            <v>14,95</v>
          </cell>
        </row>
        <row r="2806">
          <cell r="A2806">
            <v>11045</v>
          </cell>
          <cell r="B2806" t="str">
            <v xml:space="preserve">LUVA SIMPLES, PVC PBA, JE, DN 75 / DE 85 MM, PARA REDE AGUA (NBR 10351)                                                                                                                                                                                                                                                                                                                                                                                                                                   </v>
          </cell>
          <cell r="C2806" t="str">
            <v xml:space="preserve">UN    </v>
          </cell>
          <cell r="D2806" t="str">
            <v>CR</v>
          </cell>
          <cell r="E2806" t="str">
            <v>28,84</v>
          </cell>
        </row>
        <row r="2807">
          <cell r="A2807">
            <v>20170</v>
          </cell>
          <cell r="B2807" t="str">
            <v xml:space="preserve">LUVA SIMPLES, PVC SERIE R, 100 MM, PARA ESGOTO PREDIAL                                                                                                                                                                                                                                                                                                                                                                                                                                                    </v>
          </cell>
          <cell r="C2807" t="str">
            <v xml:space="preserve">UN    </v>
          </cell>
          <cell r="D2807" t="str">
            <v>CR</v>
          </cell>
          <cell r="E2807" t="str">
            <v>13,38</v>
          </cell>
        </row>
        <row r="2808">
          <cell r="A2808">
            <v>20171</v>
          </cell>
          <cell r="B2808" t="str">
            <v xml:space="preserve">LUVA SIMPLES, PVC SERIE R, 150 MM, PARA ESGOTO PREDIAL                                                                                                                                                                                                                                                                                                                                                                                                                                                    </v>
          </cell>
          <cell r="C2808" t="str">
            <v xml:space="preserve">UN    </v>
          </cell>
          <cell r="D2808" t="str">
            <v>CR</v>
          </cell>
          <cell r="E2808" t="str">
            <v>38,58</v>
          </cell>
        </row>
        <row r="2809">
          <cell r="A2809">
            <v>20167</v>
          </cell>
          <cell r="B2809" t="str">
            <v xml:space="preserve">LUVA SIMPLES, PVC SERIE R, 40 MM, PARA ESGOTO PREDIAL                                                                                                                                                                                                                                                                                                                                                                                                                                                     </v>
          </cell>
          <cell r="C2809" t="str">
            <v xml:space="preserve">UN    </v>
          </cell>
          <cell r="D2809" t="str">
            <v>CR</v>
          </cell>
          <cell r="E2809" t="str">
            <v>4,85</v>
          </cell>
        </row>
        <row r="2810">
          <cell r="A2810">
            <v>20168</v>
          </cell>
          <cell r="B2810" t="str">
            <v xml:space="preserve">LUVA SIMPLES, PVC SERIE R, 50 MM, PARA ESGOTO PREDIAL                                                                                                                                                                                                                                                                                                                                                                                                                                                     </v>
          </cell>
          <cell r="C2810" t="str">
            <v xml:space="preserve">UN    </v>
          </cell>
          <cell r="D2810" t="str">
            <v>CR</v>
          </cell>
          <cell r="E2810" t="str">
            <v>9,98</v>
          </cell>
        </row>
        <row r="2811">
          <cell r="A2811">
            <v>20169</v>
          </cell>
          <cell r="B2811" t="str">
            <v xml:space="preserve">LUVA SIMPLES, PVC SERIE R, 75 MM, PARA ESGOTO PREDIAL                                                                                                                                                                                                                                                                                                                                                                                                                                                     </v>
          </cell>
          <cell r="C2811" t="str">
            <v xml:space="preserve">UN    </v>
          </cell>
          <cell r="D2811" t="str">
            <v>CR</v>
          </cell>
          <cell r="E2811" t="str">
            <v>11,65</v>
          </cell>
        </row>
        <row r="2812">
          <cell r="A2812">
            <v>3899</v>
          </cell>
          <cell r="B2812" t="str">
            <v xml:space="preserve">LUVA SIMPLES, PVC, SOLDAVEL, DN 100 MM, SERIE NORMAL, PARA ESGOTO PREDIAL                                                                                                                                                                                                                                                                                                                                                                                                                                 </v>
          </cell>
          <cell r="C2812" t="str">
            <v xml:space="preserve">UN    </v>
          </cell>
          <cell r="D2812" t="str">
            <v>CR</v>
          </cell>
          <cell r="E2812" t="str">
            <v>6,46</v>
          </cell>
        </row>
        <row r="2813">
          <cell r="A2813">
            <v>38676</v>
          </cell>
          <cell r="B2813" t="str">
            <v xml:space="preserve">LUVA SIMPLES, PVC, SOLDAVEL, DN 150 MM, SERIE NORMAL, PARA ESGOTO PREDIAL                                                                                                                                                                                                                                                                                                                                                                                                                                 </v>
          </cell>
          <cell r="C2813" t="str">
            <v xml:space="preserve">UN    </v>
          </cell>
          <cell r="D2813" t="str">
            <v>CR</v>
          </cell>
          <cell r="E2813" t="str">
            <v>32,33</v>
          </cell>
        </row>
        <row r="2814">
          <cell r="A2814">
            <v>3897</v>
          </cell>
          <cell r="B2814" t="str">
            <v xml:space="preserve">LUVA SIMPLES, PVC, SOLDAVEL, DN 40 MM, SERIE NORMAL, PARA ESGOTO PREDIAL                                                                                                                                                                                                                                                                                                                                                                                                                                  </v>
          </cell>
          <cell r="C2814" t="str">
            <v xml:space="preserve">UN    </v>
          </cell>
          <cell r="D2814" t="str">
            <v>CR</v>
          </cell>
          <cell r="E2814" t="str">
            <v>1,58</v>
          </cell>
        </row>
        <row r="2815">
          <cell r="A2815">
            <v>3875</v>
          </cell>
          <cell r="B2815" t="str">
            <v xml:space="preserve">LUVA SIMPLES, PVC, SOLDAVEL, DN 50 MM, SERIE NORMAL, PARA ESGOTO PREDIAL                                                                                                                                                                                                                                                                                                                                                                                                                                  </v>
          </cell>
          <cell r="C2815" t="str">
            <v xml:space="preserve">UN    </v>
          </cell>
          <cell r="D2815" t="str">
            <v>CR</v>
          </cell>
          <cell r="E2815" t="str">
            <v>3,26</v>
          </cell>
        </row>
        <row r="2816">
          <cell r="A2816">
            <v>3898</v>
          </cell>
          <cell r="B2816" t="str">
            <v xml:space="preserve">LUVA SIMPLES, PVC, SOLDAVEL, DN 75 MM, SERIE NORMAL, PARA ESGOTO PREDIAL                                                                                                                                                                                                                                                                                                                                                                                                                                  </v>
          </cell>
          <cell r="C2816" t="str">
            <v xml:space="preserve">UN    </v>
          </cell>
          <cell r="D2816" t="str">
            <v>CR</v>
          </cell>
          <cell r="E2816" t="str">
            <v>6,61</v>
          </cell>
        </row>
        <row r="2817">
          <cell r="A2817">
            <v>3855</v>
          </cell>
          <cell r="B2817" t="str">
            <v xml:space="preserve">LUVA SOLDAVEL COM BUCHA DE LATAO, PVC, 20 MM X 1/2"                                                                                                                                                                                                                                                                                                                                                                                                                                                       </v>
          </cell>
          <cell r="C2817" t="str">
            <v xml:space="preserve">UN    </v>
          </cell>
          <cell r="D2817" t="str">
            <v>CR</v>
          </cell>
          <cell r="E2817" t="str">
            <v>4,56</v>
          </cell>
        </row>
        <row r="2818">
          <cell r="A2818">
            <v>3874</v>
          </cell>
          <cell r="B2818" t="str">
            <v xml:space="preserve">LUVA SOLDAVEL COM BUCHA DE LATAO, PVC, 25 MM X 1/2"                                                                                                                                                                                                                                                                                                                                                                                                                                                       </v>
          </cell>
          <cell r="C2818" t="str">
            <v xml:space="preserve">UN    </v>
          </cell>
          <cell r="D2818" t="str">
            <v>CR</v>
          </cell>
          <cell r="E2818" t="str">
            <v>5,29</v>
          </cell>
        </row>
        <row r="2819">
          <cell r="A2819">
            <v>3870</v>
          </cell>
          <cell r="B2819" t="str">
            <v xml:space="preserve">LUVA SOLDAVEL COM BUCHA DE LATAO, PVC, 25 MM X 3/4"                                                                                                                                                                                                                                                                                                                                                                                                                                                       </v>
          </cell>
          <cell r="C2819" t="str">
            <v xml:space="preserve">UN    </v>
          </cell>
          <cell r="D2819" t="str">
            <v>CR</v>
          </cell>
          <cell r="E2819" t="str">
            <v>5,80</v>
          </cell>
        </row>
        <row r="2820">
          <cell r="A2820">
            <v>38678</v>
          </cell>
          <cell r="B2820" t="str">
            <v xml:space="preserve">LUVA SOLDAVEL COM BUCHA DE LATAO, PVC, 32 MM X 1"                                                                                                                                                                                                                                                                                                                                                                                                                                                         </v>
          </cell>
          <cell r="C2820" t="str">
            <v xml:space="preserve">UN    </v>
          </cell>
          <cell r="D2820" t="str">
            <v>CR</v>
          </cell>
          <cell r="E2820" t="str">
            <v>15,35</v>
          </cell>
        </row>
        <row r="2821">
          <cell r="A2821">
            <v>3859</v>
          </cell>
          <cell r="B2821" t="str">
            <v xml:space="preserve">LUVA SOLDAVEL COM ROSCA, PVC, 20 MM X 1/2", PARA AGUA FRIA PREDIAL                                                                                                                                                                                                                                                                                                                                                                                                                                        </v>
          </cell>
          <cell r="C2821" t="str">
            <v xml:space="preserve">UN    </v>
          </cell>
          <cell r="D2821" t="str">
            <v>CR</v>
          </cell>
          <cell r="E2821" t="str">
            <v>1,17</v>
          </cell>
        </row>
        <row r="2822">
          <cell r="A2822">
            <v>3856</v>
          </cell>
          <cell r="B2822" t="str">
            <v xml:space="preserve">LUVA SOLDAVEL COM ROSCA, PVC, 25 MM X 1/2", PARA AGUA FRIA PREDIAL                                                                                                                                                                                                                                                                                                                                                                                                                                        </v>
          </cell>
          <cell r="C2822" t="str">
            <v xml:space="preserve">UN    </v>
          </cell>
          <cell r="D2822" t="str">
            <v>CR</v>
          </cell>
          <cell r="E2822" t="str">
            <v>1,62</v>
          </cell>
        </row>
        <row r="2823">
          <cell r="A2823">
            <v>3906</v>
          </cell>
          <cell r="B2823" t="str">
            <v xml:space="preserve">LUVA SOLDAVEL COM ROSCA, PVC, 25 MM X 3/4", PARA AGUA FRIA PREDIAL                                                                                                                                                                                                                                                                                                                                                                                                                                        </v>
          </cell>
          <cell r="C2823" t="str">
            <v xml:space="preserve">UN    </v>
          </cell>
          <cell r="D2823" t="str">
            <v>CR</v>
          </cell>
          <cell r="E2823" t="str">
            <v>1,34</v>
          </cell>
        </row>
        <row r="2824">
          <cell r="A2824">
            <v>3860</v>
          </cell>
          <cell r="B2824" t="str">
            <v xml:space="preserve">LUVA SOLDAVEL COM ROSCA, PVC, 32 MM X 1", PARA AGUA FRIA PREDIAL                                                                                                                                                                                                                                                                                                                                                                                                                                          </v>
          </cell>
          <cell r="C2824" t="str">
            <v xml:space="preserve">UN    </v>
          </cell>
          <cell r="D2824" t="str">
            <v>CR</v>
          </cell>
          <cell r="E2824" t="str">
            <v>3,98</v>
          </cell>
        </row>
        <row r="2825">
          <cell r="A2825">
            <v>3905</v>
          </cell>
          <cell r="B2825" t="str">
            <v xml:space="preserve">LUVA SOLDAVEL COM ROSCA, PVC, 40 MM X 1 1/4", PARA AGUA FRIA PREDIAL                                                                                                                                                                                                                                                                                                                                                                                                                                      </v>
          </cell>
          <cell r="C2825" t="str">
            <v xml:space="preserve">UN    </v>
          </cell>
          <cell r="D2825" t="str">
            <v>CR</v>
          </cell>
          <cell r="E2825" t="str">
            <v>9,12</v>
          </cell>
        </row>
        <row r="2826">
          <cell r="A2826">
            <v>3871</v>
          </cell>
          <cell r="B2826" t="str">
            <v xml:space="preserve">LUVA SOLDAVEL COM ROSCA, PVC, 50 MM X 1 1/2", PARA AGUA FRIA PREDIAL                                                                                                                                                                                                                                                                                                                                                                                                                                      </v>
          </cell>
          <cell r="C2826" t="str">
            <v xml:space="preserve">UN    </v>
          </cell>
          <cell r="D2826" t="str">
            <v>CR</v>
          </cell>
          <cell r="E2826" t="str">
            <v>16,14</v>
          </cell>
        </row>
        <row r="2827">
          <cell r="A2827">
            <v>39292</v>
          </cell>
          <cell r="B2827" t="str">
            <v xml:space="preserve">LUVA/UNIAO DE REDUCAO METALICA, PARA CONEXAO COM ANEL DESLIZANTE, DN 20 X 16 MM, EM TUBO PEX PARA INST. AGUA QUENTE/FRIA                                                                                                                                                                                                                                                                                                                                                                                  </v>
          </cell>
          <cell r="C2827" t="str">
            <v xml:space="preserve">UN    </v>
          </cell>
          <cell r="D2827" t="str">
            <v>CR</v>
          </cell>
          <cell r="E2827" t="str">
            <v>7,58</v>
          </cell>
        </row>
        <row r="2828">
          <cell r="A2828">
            <v>39293</v>
          </cell>
          <cell r="B2828" t="str">
            <v xml:space="preserve">LUVA/UNIAO DE REDUCAO METALICA, PARA CONEXAO COM ANEL DESLIZANTE, DN 25 X 16 MM, EM TUBO PEX PARA INST. AGUA QUENTE/FRIA                                                                                                                                                                                                                                                                                                                                                                                  </v>
          </cell>
          <cell r="C2828" t="str">
            <v xml:space="preserve">UN    </v>
          </cell>
          <cell r="D2828" t="str">
            <v>CR</v>
          </cell>
          <cell r="E2828" t="str">
            <v>11,78</v>
          </cell>
        </row>
        <row r="2829">
          <cell r="A2829">
            <v>39294</v>
          </cell>
          <cell r="B2829" t="str">
            <v xml:space="preserve">LUVA/UNIAO DE REDUCAO METALICA, PARA CONEXAO COM ANEL DESLIZANTE, DN 25 X 20 MM, EM TUBO PEX PARA INST. AGUA QUENTE/FRIA                                                                                                                                                                                                                                                                                                                                                                                  </v>
          </cell>
          <cell r="C2829" t="str">
            <v xml:space="preserve">UN    </v>
          </cell>
          <cell r="D2829" t="str">
            <v>CR</v>
          </cell>
          <cell r="E2829" t="str">
            <v>12,59</v>
          </cell>
        </row>
        <row r="2830">
          <cell r="A2830">
            <v>39295</v>
          </cell>
          <cell r="B2830" t="str">
            <v xml:space="preserve">LUVA/UNIAO DE REDUCAO METALICA, PARA CONEXAO COM ANEL DESLIZANTE, DN 32 X 25 MM, EM TUBO PEX PARA INST. AGUA QUENTE/FRIA                                                                                                                                                                                                                                                                                                                                                                                  </v>
          </cell>
          <cell r="C2830" t="str">
            <v xml:space="preserve">UN    </v>
          </cell>
          <cell r="D2830" t="str">
            <v>CR</v>
          </cell>
          <cell r="E2830" t="str">
            <v>17,32</v>
          </cell>
        </row>
        <row r="2831">
          <cell r="A2831">
            <v>39312</v>
          </cell>
          <cell r="B2831" t="str">
            <v xml:space="preserve">LUVA/UNIAO DE REDUCAO, PLASTICA, PARA CONEXAO COM CRIMPAGEM, DN 20 X 16 MM, EM TUBO PEX PARA INST. AGUA QUENTE/FRIA                                                                                                                                                                                                                                                                                                                                                                                       </v>
          </cell>
          <cell r="C2831" t="str">
            <v xml:space="preserve">UN    </v>
          </cell>
          <cell r="D2831" t="str">
            <v>CR</v>
          </cell>
          <cell r="E2831" t="str">
            <v>11,62</v>
          </cell>
        </row>
        <row r="2832">
          <cell r="A2832">
            <v>39313</v>
          </cell>
          <cell r="B2832" t="str">
            <v xml:space="preserve">LUVA/UNIAO DE REDUCAO, PLASTICA, PARA CONEXAO COM CRIMPAGEM, DN 25 X 16 MM, EM TUBO PEX PARA INST. AGUA QUENTE/FRIA                                                                                                                                                                                                                                                                                                                                                                                       </v>
          </cell>
          <cell r="C2832" t="str">
            <v xml:space="preserve">UN    </v>
          </cell>
          <cell r="D2832" t="str">
            <v>CR</v>
          </cell>
          <cell r="E2832" t="str">
            <v>15,61</v>
          </cell>
        </row>
        <row r="2833">
          <cell r="A2833">
            <v>39314</v>
          </cell>
          <cell r="B2833" t="str">
            <v xml:space="preserve">LUVA/UNIAO DE REDUCAO, PLASTICA, PARA CONEXAO COM CRIMPAGEM, DN 32 X 25 MM, EM TUBO PEX PARA INST. AGUA QUENTE/FRIA                                                                                                                                                                                                                                                                                                                                                                                       </v>
          </cell>
          <cell r="C2833" t="str">
            <v xml:space="preserve">UN    </v>
          </cell>
          <cell r="D2833" t="str">
            <v>CR</v>
          </cell>
          <cell r="E2833" t="str">
            <v>22,97</v>
          </cell>
        </row>
        <row r="2834">
          <cell r="A2834">
            <v>39296</v>
          </cell>
          <cell r="B2834" t="str">
            <v xml:space="preserve">LUVA/UNIAO METALICA, PARA CONEXAO COM ANEL DESLIZANTE, DN 16 MM, EM TUBO PEX PARA INST. AGUA QUENTE/FRIA                                                                                                                                                                                                                                                                                                                                                                                                  </v>
          </cell>
          <cell r="C2834" t="str">
            <v xml:space="preserve">UN    </v>
          </cell>
          <cell r="D2834" t="str">
            <v>CR</v>
          </cell>
          <cell r="E2834" t="str">
            <v>6,91</v>
          </cell>
        </row>
        <row r="2835">
          <cell r="A2835">
            <v>39297</v>
          </cell>
          <cell r="B2835" t="str">
            <v xml:space="preserve">LUVA/UNIAO METALICA, PARA CONEXAO COM ANEL DESLIZANTE, DN 20 MM, EM TUBO PEX PARA INST. AGUA QUENTE/FRIA                                                                                                                                                                                                                                                                                                                                                                                                  </v>
          </cell>
          <cell r="C2835" t="str">
            <v xml:space="preserve">UN    </v>
          </cell>
          <cell r="D2835" t="str">
            <v>CR</v>
          </cell>
          <cell r="E2835" t="str">
            <v>9,37</v>
          </cell>
        </row>
        <row r="2836">
          <cell r="A2836">
            <v>39298</v>
          </cell>
          <cell r="B2836" t="str">
            <v xml:space="preserve">LUVA/UNIAO METALICA, PARA CONEXAO COM ANEL DESLIZANTE, DN 25 MM, EM TUBO PEX PARA INST. AGUA QUENTE/FRIA                                                                                                                                                                                                                                                                                                                                                                                                  </v>
          </cell>
          <cell r="C2836" t="str">
            <v xml:space="preserve">UN    </v>
          </cell>
          <cell r="D2836" t="str">
            <v>CR</v>
          </cell>
          <cell r="E2836" t="str">
            <v>17,99</v>
          </cell>
        </row>
        <row r="2837">
          <cell r="A2837">
            <v>39299</v>
          </cell>
          <cell r="B2837" t="str">
            <v xml:space="preserve">LUVA/UNIAO METALICA, PARA CONEXAO COM ANEL DESLIZANTE, DN 32 MM, EM TUBO PEX PARA INST. AGUA QUENTE/FRIA                                                                                                                                                                                                                                                                                                                                                                                                  </v>
          </cell>
          <cell r="C2837" t="str">
            <v xml:space="preserve">UN    </v>
          </cell>
          <cell r="D2837" t="str">
            <v>CR</v>
          </cell>
          <cell r="E2837" t="str">
            <v>21,32</v>
          </cell>
        </row>
        <row r="2838">
          <cell r="A2838">
            <v>39308</v>
          </cell>
          <cell r="B2838" t="str">
            <v xml:space="preserve">LUVA/UNIAO, PLASTICA, PARA CONEXAO COM CRIMPAGEM, DN 16 MM, EM TUBO PEX PARA INST. AGUA QUENTE/FRIA                                                                                                                                                                                                                                                                                                                                                                                                       </v>
          </cell>
          <cell r="C2838" t="str">
            <v xml:space="preserve">UN    </v>
          </cell>
          <cell r="D2838" t="str">
            <v>CR</v>
          </cell>
          <cell r="E2838" t="str">
            <v>5,76</v>
          </cell>
        </row>
        <row r="2839">
          <cell r="A2839">
            <v>39309</v>
          </cell>
          <cell r="B2839" t="str">
            <v xml:space="preserve">LUVA/UNIAO, PLASTICA, PARA CONEXAO COM CRIMPAGEM, DN 20 MM, EM TUBO PEX PARA INST. AGUA QUENTE/FRIA                                                                                                                                                                                                                                                                                                                                                                                                       </v>
          </cell>
          <cell r="C2839" t="str">
            <v xml:space="preserve">UN    </v>
          </cell>
          <cell r="D2839" t="str">
            <v>CR</v>
          </cell>
          <cell r="E2839" t="str">
            <v>6,57</v>
          </cell>
        </row>
        <row r="2840">
          <cell r="A2840">
            <v>39310</v>
          </cell>
          <cell r="B2840" t="str">
            <v xml:space="preserve">LUVA/UNIAO, PLASTICA, PARA CONEXAO COM CRIMPAGEM, DN 25 MM, EM TUBO PEX PARA INST. AGUA QUENTE/FRIA                                                                                                                                                                                                                                                                                                                                                                                                       </v>
          </cell>
          <cell r="C2840" t="str">
            <v xml:space="preserve">UN    </v>
          </cell>
          <cell r="D2840" t="str">
            <v>CR</v>
          </cell>
          <cell r="E2840" t="str">
            <v>12,27</v>
          </cell>
        </row>
        <row r="2841">
          <cell r="A2841">
            <v>39311</v>
          </cell>
          <cell r="B2841" t="str">
            <v xml:space="preserve">LUVA/UNIAO, PLASTICA, PARA CONEXAO COM CRIMPAGEM, DN 32 MM, EM TUBO PEX PARA INST. AGUA QUENTE/FRIA                                                                                                                                                                                                                                                                                                                                                                                                       </v>
          </cell>
          <cell r="C2841" t="str">
            <v xml:space="preserve">UN    </v>
          </cell>
          <cell r="D2841" t="str">
            <v>CR</v>
          </cell>
          <cell r="E2841" t="str">
            <v>17,37</v>
          </cell>
        </row>
        <row r="2842">
          <cell r="A2842">
            <v>37429</v>
          </cell>
          <cell r="B2842" t="str">
            <v xml:space="preserve">LUVA, PEAD PE 100,  DE 400 MM, PARA ELETROFUSAO                                                                                                                                                                                                                                                                                                                                                                                                                                                           </v>
          </cell>
          <cell r="C2842" t="str">
            <v xml:space="preserve">UN    </v>
          </cell>
          <cell r="D2842" t="str">
            <v>CR</v>
          </cell>
          <cell r="E2842" t="str">
            <v>2.640,33</v>
          </cell>
        </row>
        <row r="2843">
          <cell r="A2843">
            <v>37426</v>
          </cell>
          <cell r="B2843" t="str">
            <v xml:space="preserve">LUVA, PEAD PE 100,  DE 63 MM, PARA ELETROFUSAO                                                                                                                                                                                                                                                                                                                                                                                                                                                            </v>
          </cell>
          <cell r="C2843" t="str">
            <v xml:space="preserve">UN    </v>
          </cell>
          <cell r="D2843" t="str">
            <v>CR</v>
          </cell>
          <cell r="E2843" t="str">
            <v>25,40</v>
          </cell>
        </row>
        <row r="2844">
          <cell r="A2844">
            <v>37427</v>
          </cell>
          <cell r="B2844" t="str">
            <v xml:space="preserve">LUVA, PEAD PE 100, DE 125 MM, PARA ELETROFUSAO                                                                                                                                                                                                                                                                                                                                                                                                                                                            </v>
          </cell>
          <cell r="C2844" t="str">
            <v xml:space="preserve">UN    </v>
          </cell>
          <cell r="D2844" t="str">
            <v>CR</v>
          </cell>
          <cell r="E2844" t="str">
            <v>60,58</v>
          </cell>
        </row>
        <row r="2845">
          <cell r="A2845">
            <v>37424</v>
          </cell>
          <cell r="B2845" t="str">
            <v xml:space="preserve">LUVA, PEAD PE 100, DE 20 MM, PARA ELETROFUSAO                                                                                                                                                                                                                                                                                                                                                                                                                                                             </v>
          </cell>
          <cell r="C2845" t="str">
            <v xml:space="preserve">UN    </v>
          </cell>
          <cell r="D2845" t="str">
            <v>CR</v>
          </cell>
          <cell r="E2845" t="str">
            <v>11,67</v>
          </cell>
        </row>
        <row r="2846">
          <cell r="A2846">
            <v>37428</v>
          </cell>
          <cell r="B2846" t="str">
            <v xml:space="preserve">LUVA, PEAD PE 100, DE 200 MM, PARA ELETROFUSAO                                                                                                                                                                                                                                                                                                                                                                                                                                                            </v>
          </cell>
          <cell r="C2846" t="str">
            <v xml:space="preserve">UN    </v>
          </cell>
          <cell r="D2846" t="str">
            <v>CR</v>
          </cell>
          <cell r="E2846" t="str">
            <v>208,79</v>
          </cell>
        </row>
        <row r="2847">
          <cell r="A2847">
            <v>37425</v>
          </cell>
          <cell r="B2847" t="str">
            <v xml:space="preserve">LUVA, PEAD PE 100, DE 32 MM, PARA ELETROFUSAO                                                                                                                                                                                                                                                                                                                                                                                                                                                             </v>
          </cell>
          <cell r="C2847" t="str">
            <v xml:space="preserve">UN    </v>
          </cell>
          <cell r="D2847" t="str">
            <v>CR</v>
          </cell>
          <cell r="E2847" t="str">
            <v>12,58</v>
          </cell>
        </row>
        <row r="2848">
          <cell r="A2848">
            <v>11519</v>
          </cell>
          <cell r="B2848" t="str">
            <v xml:space="preserve">MACANETA ALAVANCA RETA OCA, EM ZAMAC COM ACABAMENTO CROMADO, COMPRIMENTO APROX DE 15 CM                                                                                                                                                                                                                                                                                                                                                                                                                   </v>
          </cell>
          <cell r="C2848" t="str">
            <v xml:space="preserve">PAR   </v>
          </cell>
          <cell r="D2848" t="str">
            <v>CR</v>
          </cell>
          <cell r="E2848" t="str">
            <v>77,09</v>
          </cell>
        </row>
        <row r="2849">
          <cell r="A2849">
            <v>11520</v>
          </cell>
          <cell r="B2849" t="str">
            <v xml:space="preserve">MACANETA ALAVANCA, RETA SIMPLES / OCA, CROMADA, COMPRIMENTO DE 10 A 16 CM, ACABAMENTO PADRAO POPULAR - SOMENTE MACANETAS                                                                                                                                                                                                                                                                                                                                                                                  </v>
          </cell>
          <cell r="C2849" t="str">
            <v xml:space="preserve">PAR   </v>
          </cell>
          <cell r="D2849" t="str">
            <v>CR</v>
          </cell>
          <cell r="E2849" t="str">
            <v>35,64</v>
          </cell>
        </row>
        <row r="2850">
          <cell r="A2850">
            <v>11518</v>
          </cell>
          <cell r="B2850" t="str">
            <v xml:space="preserve">MACANETA BOLA, EM ZAMAC COM ACABAMENTO CROMADO, DIAMETRO DE APROX 2 1/2"                                                                                                                                                                                                                                                                                                                                                                                                                                  </v>
          </cell>
          <cell r="C2850" t="str">
            <v xml:space="preserve">PAR   </v>
          </cell>
          <cell r="D2850" t="str">
            <v>CR</v>
          </cell>
          <cell r="E2850" t="str">
            <v>129,58</v>
          </cell>
        </row>
        <row r="2851">
          <cell r="A2851">
            <v>38473</v>
          </cell>
          <cell r="B2851" t="str">
            <v xml:space="preserve">MACARICO DE SOLDA 201 PARA EXTENSAO GLP OU ACETILENO                                                                                                                                                                                                                                                                                                                                                                                                                                                      </v>
          </cell>
          <cell r="C2851" t="str">
            <v xml:space="preserve">UN    </v>
          </cell>
          <cell r="D2851" t="str">
            <v>CR</v>
          </cell>
          <cell r="E2851" t="str">
            <v>172,09</v>
          </cell>
        </row>
        <row r="2852">
          <cell r="A2852">
            <v>4244</v>
          </cell>
          <cell r="B2852" t="str">
            <v xml:space="preserve">MACARIQUEIRO (HORISTA)                                                                                                                                                                                                                                                                                                                                                                                                                                                                                    </v>
          </cell>
          <cell r="C2852" t="str">
            <v xml:space="preserve">H     </v>
          </cell>
          <cell r="D2852" t="str">
            <v>CR</v>
          </cell>
          <cell r="E2852" t="str">
            <v>26,81</v>
          </cell>
        </row>
        <row r="2853">
          <cell r="A2853">
            <v>40977</v>
          </cell>
          <cell r="B2853" t="str">
            <v xml:space="preserve">MACARIQUEIRO (MENSALISTA)                                                                                                                                                                                                                                                                                                                                                                                                                                                                                 </v>
          </cell>
          <cell r="C2853" t="str">
            <v xml:space="preserve">MES   </v>
          </cell>
          <cell r="D2853" t="str">
            <v>CR</v>
          </cell>
          <cell r="E2853" t="str">
            <v>4.693,99</v>
          </cell>
        </row>
        <row r="2854">
          <cell r="A2854">
            <v>4115</v>
          </cell>
          <cell r="B2854" t="str">
            <v xml:space="preserve">MADEIRA ROLICA TRATADA, D = 12 A 15 CM, H = 3,00 M, EM EUCALIPTO OU EQUIVALENTE DA REGIAO                                                                                                                                                                                                                                                                                                                                                                                                                 </v>
          </cell>
          <cell r="C2854" t="str">
            <v xml:space="preserve">M     </v>
          </cell>
          <cell r="D2854" t="str">
            <v>CR</v>
          </cell>
          <cell r="E2854" t="str">
            <v>24,41</v>
          </cell>
        </row>
        <row r="2855">
          <cell r="A2855">
            <v>4119</v>
          </cell>
          <cell r="B2855" t="str">
            <v xml:space="preserve">MADEIRA ROLICA TRATADA, D = 16 A 20 CM, H = 6,00 M, EM EUCALIPTO OU EQUIVALENTE DA REGIAO                                                                                                                                                                                                                                                                                                                                                                                                                 </v>
          </cell>
          <cell r="C2855" t="str">
            <v xml:space="preserve">M     </v>
          </cell>
          <cell r="D2855" t="str">
            <v>CR</v>
          </cell>
          <cell r="E2855" t="str">
            <v>49,30</v>
          </cell>
        </row>
        <row r="2856">
          <cell r="A2856">
            <v>2794</v>
          </cell>
          <cell r="B2856" t="str">
            <v xml:space="preserve">MADEIRA ROLICA TRATADA, D = 25 A 29 CM, H = 6,50 M, EM EUCALIPTO OU EQUIVALENTE DA REGIAO                                                                                                                                                                                                                                                                                                                                                                                                                 </v>
          </cell>
          <cell r="C2856" t="str">
            <v xml:space="preserve">M     </v>
          </cell>
          <cell r="D2856" t="str">
            <v>CR</v>
          </cell>
          <cell r="E2856" t="str">
            <v>130,78</v>
          </cell>
        </row>
        <row r="2857">
          <cell r="A2857">
            <v>2788</v>
          </cell>
          <cell r="B2857" t="str">
            <v xml:space="preserve">MADEIRA ROLICA TRATADA, D = 30 A 34 CM, H = 6,50 M, EM EUCALIPTO OU EQUIVALENTE DA REGIAO                                                                                                                                                                                                                                                                                                                                                                                                                 </v>
          </cell>
          <cell r="C2857" t="str">
            <v xml:space="preserve">M     </v>
          </cell>
          <cell r="D2857" t="str">
            <v>CR</v>
          </cell>
          <cell r="E2857" t="str">
            <v>190,52</v>
          </cell>
        </row>
        <row r="2858">
          <cell r="A2858">
            <v>4006</v>
          </cell>
          <cell r="B2858" t="str">
            <v xml:space="preserve">MADEIRA SERRADA EM PINUS, MISTA OU EQUIVALENTE DA REGIAO - BRUTA                                                                                                                                                                                                                                                                                                                                                                                                                                          </v>
          </cell>
          <cell r="C2858" t="str">
            <v xml:space="preserve">M3    </v>
          </cell>
          <cell r="D2858" t="str">
            <v>CR</v>
          </cell>
          <cell r="E2858" t="str">
            <v>1.694,06</v>
          </cell>
        </row>
        <row r="2859">
          <cell r="A2859">
            <v>36151</v>
          </cell>
          <cell r="B2859" t="str">
            <v xml:space="preserve">MANGOTE DE SEGURANCA EM RASPA DE COURO                                                                                                                                                                                                                                                                                                                                                                                                                                                                    </v>
          </cell>
          <cell r="C2859" t="str">
            <v xml:space="preserve">UN    </v>
          </cell>
          <cell r="D2859" t="str">
            <v>CR</v>
          </cell>
          <cell r="E2859" t="str">
            <v>30,00</v>
          </cell>
        </row>
        <row r="2860">
          <cell r="A2860">
            <v>37457</v>
          </cell>
          <cell r="B2860" t="str">
            <v xml:space="preserve">MANGUEIRA CRISTAL PARA NIVEL, LISA, PVC TRANSPARENTE, 3/8" X1,5 MM                                                                                                                                                                                                                                                                                                                                                                                                                                        </v>
          </cell>
          <cell r="C2860" t="str">
            <v xml:space="preserve">M     </v>
          </cell>
          <cell r="D2860" t="str">
            <v>CR</v>
          </cell>
          <cell r="E2860" t="str">
            <v>3,39</v>
          </cell>
        </row>
        <row r="2861">
          <cell r="A2861">
            <v>37456</v>
          </cell>
          <cell r="B2861" t="str">
            <v xml:space="preserve">MANGUEIRA CRISTAL PARA NIVEL, LISA, PVC TRANSPARENTE, 5/16" X1 MM                                                                                                                                                                                                                                                                                                                                                                                                                                         </v>
          </cell>
          <cell r="C2861" t="str">
            <v xml:space="preserve">M     </v>
          </cell>
          <cell r="D2861" t="str">
            <v>CR</v>
          </cell>
          <cell r="E2861" t="str">
            <v>1,79</v>
          </cell>
        </row>
        <row r="2862">
          <cell r="A2862">
            <v>37461</v>
          </cell>
          <cell r="B2862" t="str">
            <v xml:space="preserve">MANGUEIRA CRISTAL TRANCADA, PVC COM REFORCO, COM PRESSAO DE TRABALHO (PT) 250 LBS/POL2, DE 3/4" X *2,8* MM                                                                                                                                                                                                                                                                                                                                                                                                </v>
          </cell>
          <cell r="C2862" t="str">
            <v xml:space="preserve">M     </v>
          </cell>
          <cell r="D2862" t="str">
            <v>CR</v>
          </cell>
          <cell r="E2862" t="str">
            <v>12,59</v>
          </cell>
        </row>
        <row r="2863">
          <cell r="A2863">
            <v>37460</v>
          </cell>
          <cell r="B2863" t="str">
            <v xml:space="preserve">MANGUEIRA CRISTAL TRANCADA, PVC COM REFORCO, PRESSAO DE TRABALHO (PT) 250 LBS/POL2, DE 1" X *3,4* MM                                                                                                                                                                                                                                                                                                                                                                                                      </v>
          </cell>
          <cell r="C2863" t="str">
            <v xml:space="preserve">M     </v>
          </cell>
          <cell r="D2863" t="str">
            <v>CR</v>
          </cell>
          <cell r="E2863" t="str">
            <v>17,19</v>
          </cell>
        </row>
        <row r="2864">
          <cell r="A2864">
            <v>37458</v>
          </cell>
          <cell r="B2864" t="str">
            <v xml:space="preserve">MANGUEIRA CRISTAL, LISA, PVC TRANSPARENTE, 1/2" X 2 MM                                                                                                                                                                                                                                                                                                                                                                                                                                                    </v>
          </cell>
          <cell r="C2864" t="str">
            <v xml:space="preserve">M     </v>
          </cell>
          <cell r="D2864" t="str">
            <v xml:space="preserve">C </v>
          </cell>
          <cell r="E2864" t="str">
            <v>5,04</v>
          </cell>
        </row>
        <row r="2865">
          <cell r="A2865">
            <v>37454</v>
          </cell>
          <cell r="B2865" t="str">
            <v xml:space="preserve">MANGUEIRA CRISTAL, LISA, PVC TRANSPARENTE, 1/4" X1 MM                                                                                                                                                                                                                                                                                                                                                                                                                                                     </v>
          </cell>
          <cell r="C2865" t="str">
            <v xml:space="preserve">M     </v>
          </cell>
          <cell r="D2865" t="str">
            <v>CR</v>
          </cell>
          <cell r="E2865" t="str">
            <v>1,32</v>
          </cell>
        </row>
        <row r="2866">
          <cell r="A2866">
            <v>37455</v>
          </cell>
          <cell r="B2866" t="str">
            <v xml:space="preserve">MANGUEIRA CRISTAL, LISA, PVC TRANSPARENTE, 1/4" X1,5 MM                                                                                                                                                                                                                                                                                                                                                                                                                                                   </v>
          </cell>
          <cell r="C2866" t="str">
            <v xml:space="preserve">M     </v>
          </cell>
          <cell r="D2866" t="str">
            <v>CR</v>
          </cell>
          <cell r="E2866" t="str">
            <v>2,22</v>
          </cell>
        </row>
        <row r="2867">
          <cell r="A2867">
            <v>37459</v>
          </cell>
          <cell r="B2867" t="str">
            <v xml:space="preserve">MANGUEIRA CRISTAL, LISA, PVC TRANSPARENTE, 3/4" X 2 MM                                                                                                                                                                                                                                                                                                                                                                                                                                                    </v>
          </cell>
          <cell r="C2867" t="str">
            <v xml:space="preserve">M     </v>
          </cell>
          <cell r="D2867" t="str">
            <v>CR</v>
          </cell>
          <cell r="E2867" t="str">
            <v>7,07</v>
          </cell>
        </row>
        <row r="2868">
          <cell r="A2868">
            <v>21029</v>
          </cell>
          <cell r="B2868" t="str">
            <v xml:space="preserve">MANGUEIRA DE INCENDIO, TIPO 1, DE 1 1/2", COMPRIMENTO = 15 M, TECIDO EM FIO DE POLIESTER E TUBO INTERNO EM BORRACHA SINTETICA, COM UNIOES ENGATE RAPIDO                                                                                                                                                                                                                                                                                                                                                   </v>
          </cell>
          <cell r="C2868" t="str">
            <v xml:space="preserve">UN    </v>
          </cell>
          <cell r="D2868" t="str">
            <v xml:space="preserve">C </v>
          </cell>
          <cell r="E2868" t="str">
            <v>303,81</v>
          </cell>
        </row>
        <row r="2869">
          <cell r="A2869">
            <v>21030</v>
          </cell>
          <cell r="B2869" t="str">
            <v xml:space="preserve">MANGUEIRA DE INCENDIO, TIPO 1, DE 1 1/2", COMPRIMENTO = 20 M, TECIDO EM FIO DE POLIESTER E TUBO INTERNO EM BORRACHA SINTETICA, COM UNIOES ENGATE RAPIDO                                                                                                                                                                                                                                                                                                                                                   </v>
          </cell>
          <cell r="C2869" t="str">
            <v xml:space="preserve">UN    </v>
          </cell>
          <cell r="D2869" t="str">
            <v>CR</v>
          </cell>
          <cell r="E2869" t="str">
            <v>374,49</v>
          </cell>
        </row>
        <row r="2870">
          <cell r="A2870">
            <v>21031</v>
          </cell>
          <cell r="B2870" t="str">
            <v xml:space="preserve">MANGUEIRA DE INCENDIO, TIPO 1, DE 1 1/2", COMPRIMENTO = 25 M, TECIDO EM FIO DE POLIESTER E TUBO INTERNO EM BORRACHA SINTETICA, COM UNIOES ENGATE RAPIDO                                                                                                                                                                                                                                                                                                                                                   </v>
          </cell>
          <cell r="C2870" t="str">
            <v xml:space="preserve">UN    </v>
          </cell>
          <cell r="D2870" t="str">
            <v>CR</v>
          </cell>
          <cell r="E2870" t="str">
            <v>466,24</v>
          </cell>
        </row>
        <row r="2871">
          <cell r="A2871">
            <v>21032</v>
          </cell>
          <cell r="B2871" t="str">
            <v xml:space="preserve">MANGUEIRA DE INCENDIO, TIPO 1, DE 1 1/2", COMPRIMENTO = 30 M, TECIDO EM FIO DE POLIESTER E TUBO INTERNO EM BORRACHA SINTETICA, COM UNIOES ENGATE RAPIDO                                                                                                                                                                                                                                                                                                                                                   </v>
          </cell>
          <cell r="C2871" t="str">
            <v xml:space="preserve">UN    </v>
          </cell>
          <cell r="D2871" t="str">
            <v>CR</v>
          </cell>
          <cell r="E2871" t="str">
            <v>497,82</v>
          </cell>
        </row>
        <row r="2872">
          <cell r="A2872">
            <v>37527</v>
          </cell>
          <cell r="B2872" t="str">
            <v xml:space="preserve">MANGUEIRA DE INCENDIO, TIPO 2, DE 1 1/2", COMPRIMENTO = 15 M, TECIDO EM FIO DE POLIESTER E TUBO INTERNO EM BORRACHA SINTETICA, COM UNIOES ENGATE RAPIDO                                                                                                                                                                                                                                                                                                                                                   </v>
          </cell>
          <cell r="C2872" t="str">
            <v xml:space="preserve">UN    </v>
          </cell>
          <cell r="D2872" t="str">
            <v>CR</v>
          </cell>
          <cell r="E2872" t="str">
            <v>449,69</v>
          </cell>
        </row>
        <row r="2873">
          <cell r="A2873">
            <v>37528</v>
          </cell>
          <cell r="B2873" t="str">
            <v xml:space="preserve">MANGUEIRA DE INCENDIO, TIPO 2, DE 1 1/2", COMPRIMENTO = 20 M, TECIDO EM FIO DE POLIESTER E TUBO INTERNO EM BORRACHA SINTETICA, COM UNIOES                                                                                                                                                                                                                                                                                                                                                                 </v>
          </cell>
          <cell r="C2873" t="str">
            <v xml:space="preserve">UN    </v>
          </cell>
          <cell r="D2873" t="str">
            <v>CR</v>
          </cell>
          <cell r="E2873" t="str">
            <v>536,17</v>
          </cell>
        </row>
        <row r="2874">
          <cell r="A2874">
            <v>37529</v>
          </cell>
          <cell r="B2874" t="str">
            <v xml:space="preserve">MANGUEIRA DE INCENDIO, TIPO 2, DE 1 1/2", COMPRIMENTO = 25 M, TECIDO EM FIO DE POLIESTER E TUBO INTERNO EM BORRACHA SINTETICA, COM UNIOES                                                                                                                                                                                                                                                                                                                                                                 </v>
          </cell>
          <cell r="C2874" t="str">
            <v xml:space="preserve">UN    </v>
          </cell>
          <cell r="D2874" t="str">
            <v>CR</v>
          </cell>
          <cell r="E2874" t="str">
            <v>541,44</v>
          </cell>
        </row>
        <row r="2875">
          <cell r="A2875">
            <v>37530</v>
          </cell>
          <cell r="B2875" t="str">
            <v xml:space="preserve">MANGUEIRA DE INCENDIO, TIPO 2, DE 1 1/2", COMPRIMENTO = 30 M, TECIDO EM FIO DE POLIESTER E TUBO INTERNO EM BORRACHA SINTETICA, COM UNIOES                                                                                                                                                                                                                                                                                                                                                                 </v>
          </cell>
          <cell r="C2875" t="str">
            <v xml:space="preserve">UN    </v>
          </cell>
          <cell r="D2875" t="str">
            <v>CR</v>
          </cell>
          <cell r="E2875" t="str">
            <v>706,88</v>
          </cell>
        </row>
        <row r="2876">
          <cell r="A2876">
            <v>21034</v>
          </cell>
          <cell r="B2876" t="str">
            <v xml:space="preserve">MANGUEIRA DE INCENDIO, TIPO 2, DE 2 1/2", COMPRIMENTO = 15 M, TECIDO EM FIO DE POLIESTER E TUBO INTERNO EM BORRACHA SINTETICA, COM UNIOES ENGATE RAPIDO                                                                                                                                                                                                                                                                                                                                                   </v>
          </cell>
          <cell r="C2876" t="str">
            <v xml:space="preserve">UN    </v>
          </cell>
          <cell r="D2876" t="str">
            <v>CR</v>
          </cell>
          <cell r="E2876" t="str">
            <v>603,10</v>
          </cell>
        </row>
        <row r="2877">
          <cell r="A2877">
            <v>37531</v>
          </cell>
          <cell r="B2877" t="str">
            <v xml:space="preserve">MANGUEIRA DE INCENDIO, TIPO 2, DE 2 1/2", COMPRIMENTO = 20 M, TECIDO EM FIO DE POLIESTER E TUBO INTERNO EM BORRACHA SINTETICA, COM UNIOES                                                                                                                                                                                                                                                                                                                                                                 </v>
          </cell>
          <cell r="C2877" t="str">
            <v xml:space="preserve">UN    </v>
          </cell>
          <cell r="D2877" t="str">
            <v>CR</v>
          </cell>
          <cell r="E2877" t="str">
            <v>759,52</v>
          </cell>
        </row>
        <row r="2878">
          <cell r="A2878">
            <v>21036</v>
          </cell>
          <cell r="B2878" t="str">
            <v xml:space="preserve">MANGUEIRA DE INCENDIO, TIPO 2, DE 2 1/2", COMPRIMENTO = 25 M, TECIDO EM FIO DE POLIESTER E TUBO INTERNO EM BORRACHA SINTETICA, COM UNIOES ENGATE RAPIDO                                                                                                                                                                                                                                                                                                                                                   </v>
          </cell>
          <cell r="C2878" t="str">
            <v xml:space="preserve">UN    </v>
          </cell>
          <cell r="D2878" t="str">
            <v>CR</v>
          </cell>
          <cell r="E2878" t="str">
            <v>923,46</v>
          </cell>
        </row>
        <row r="2879">
          <cell r="A2879">
            <v>21037</v>
          </cell>
          <cell r="B2879" t="str">
            <v xml:space="preserve">MANGUEIRA DE INCENDIO, TIPO 2, DE 2 1/2", COMPRIMENTO = 30 M, TECIDO EM FIO DE POLIESTER E TUBO INTERNO EM BORRACHA SINTETICA, COM UNIOES ENGATE RAPIDO                                                                                                                                                                                                                                                                                                                                                   </v>
          </cell>
          <cell r="C2879" t="str">
            <v xml:space="preserve">UN    </v>
          </cell>
          <cell r="D2879" t="str">
            <v>CR</v>
          </cell>
          <cell r="E2879" t="str">
            <v>1.052,80</v>
          </cell>
        </row>
        <row r="2880">
          <cell r="A2880">
            <v>20185</v>
          </cell>
          <cell r="B2880" t="str">
            <v xml:space="preserve">MANGUEIRA DE PVC FLEXIVEL,TIPO FLAT/ACHATADA, COR LARANJA, D = 1 1/2" (40 MM), PARA CONDUCAO DE AGUA, SERVICOS LEVES E MEDIOS                                                                                                                                                                                                                                                                                                                                                                             </v>
          </cell>
          <cell r="C2880" t="str">
            <v xml:space="preserve">M     </v>
          </cell>
          <cell r="D2880" t="str">
            <v>CR</v>
          </cell>
          <cell r="E2880" t="str">
            <v>20,47</v>
          </cell>
        </row>
        <row r="2881">
          <cell r="A2881">
            <v>20260</v>
          </cell>
          <cell r="B2881" t="str">
            <v xml:space="preserve">MANGUEIRA PARA GAS - GLP, PVC, TRANCADA, DIAMETRO DE 3/8", COMPRIMENTO DE 1M (NORMATIZADA)                                                                                                                                                                                                                                                                                                                                                                                                                </v>
          </cell>
          <cell r="C2881" t="str">
            <v xml:space="preserve">UN    </v>
          </cell>
          <cell r="D2881" t="str">
            <v>CR</v>
          </cell>
          <cell r="E2881" t="str">
            <v>16,46</v>
          </cell>
        </row>
        <row r="2882">
          <cell r="A2882">
            <v>37523</v>
          </cell>
          <cell r="B2882" t="str">
            <v xml:space="preserve">MANIPULADOR TELESCOPICO, POTENCIA DE 101 HP, CAPACIDADE DE CARGA DE 3.500 KG, ALTURA MAXIMA DE ELEVACAO DE 12 M                                                                                                                                                                                                                                                                                                                                                                                           </v>
          </cell>
          <cell r="C2882" t="str">
            <v xml:space="preserve">UN    </v>
          </cell>
          <cell r="D2882" t="str">
            <v>CR</v>
          </cell>
          <cell r="E2882" t="str">
            <v>579.269,27</v>
          </cell>
        </row>
        <row r="2883">
          <cell r="A2883">
            <v>37515</v>
          </cell>
          <cell r="B2883" t="str">
            <v xml:space="preserve">MANIPULADOR TELESCOPICO, POTENCIA DE 85 HP, CAPACIDADE DE CARGA DE 3.500 KG, ALTURA MAXIMA DE ELEVACAO DE 12,3 M                                                                                                                                                                                                                                                                                                                                                                                          </v>
          </cell>
          <cell r="C2883" t="str">
            <v xml:space="preserve">UN    </v>
          </cell>
          <cell r="D2883" t="str">
            <v xml:space="preserve">C </v>
          </cell>
          <cell r="E2883" t="str">
            <v>515.000,00</v>
          </cell>
        </row>
        <row r="2884">
          <cell r="A2884">
            <v>12899</v>
          </cell>
          <cell r="B2884" t="str">
            <v xml:space="preserve">MANOMETRO COM CAIXA EM ACO PINTADO, ESCALA *10* KGF/CM2 (*10* BAR), DIAMETRO NOMINAL DE *63* MM, CONEXAO DE 1/4"                                                                                                                                                                                                                                                                                                                                                                                          </v>
          </cell>
          <cell r="C2884" t="str">
            <v xml:space="preserve">UN    </v>
          </cell>
          <cell r="D2884" t="str">
            <v>CR</v>
          </cell>
          <cell r="E2884" t="str">
            <v>104,89</v>
          </cell>
        </row>
        <row r="2885">
          <cell r="A2885">
            <v>12898</v>
          </cell>
          <cell r="B2885" t="str">
            <v xml:space="preserve">MANOMETRO COM CAIXA EM ACO PINTADO, ESCALA *10* KGF/CM2 (*10* BAR), DIAMETRO NOMINAL DE 100 MM, CONEXAO DE 1/2"                                                                                                                                                                                                                                                                                                                                                                                           </v>
          </cell>
          <cell r="C2885" t="str">
            <v xml:space="preserve">UN    </v>
          </cell>
          <cell r="D2885" t="str">
            <v xml:space="preserve">C </v>
          </cell>
          <cell r="E2885" t="str">
            <v>166,38</v>
          </cell>
        </row>
        <row r="2886">
          <cell r="A2886">
            <v>39699</v>
          </cell>
          <cell r="B2886" t="str">
            <v xml:space="preserve">MANTA / LENCOL DE BORRACHA, SBR, ANTIRRUIDO, E = 5 MM                                                                                                                                                                                                                                                                                                                                                                                                                                                     </v>
          </cell>
          <cell r="C2886" t="str">
            <v xml:space="preserve">M2    </v>
          </cell>
          <cell r="D2886" t="str">
            <v>CR</v>
          </cell>
          <cell r="E2886" t="str">
            <v>13,33</v>
          </cell>
        </row>
        <row r="2887">
          <cell r="A2887">
            <v>42528</v>
          </cell>
          <cell r="B2887" t="str">
            <v xml:space="preserve">MANTA ALUMINIZADA NAS DUAS FACES, PARA SUBCOBERTURA,  E = *2* MM                                                                                                                                                                                                                                                                                                                                                                                                                                          </v>
          </cell>
          <cell r="C2887" t="str">
            <v xml:space="preserve">M2    </v>
          </cell>
          <cell r="D2887" t="str">
            <v>CR</v>
          </cell>
          <cell r="E2887" t="str">
            <v>9,10</v>
          </cell>
        </row>
        <row r="2888">
          <cell r="A2888">
            <v>39696</v>
          </cell>
          <cell r="B2888" t="str">
            <v xml:space="preserve">MANTA ALUMINIZADA 1 FACE PARA SUBCOBERTURA, E = *1* MM                                                                                                                                                                                                                                                                                                                                                                                                                                                    </v>
          </cell>
          <cell r="C2888" t="str">
            <v xml:space="preserve">M2    </v>
          </cell>
          <cell r="D2888" t="str">
            <v xml:space="preserve">C </v>
          </cell>
          <cell r="E2888" t="str">
            <v>6,40</v>
          </cell>
        </row>
        <row r="2889">
          <cell r="A2889">
            <v>39700</v>
          </cell>
          <cell r="B2889" t="str">
            <v xml:space="preserve">MANTA ANTIRRUIDO DE POLIESTER (PET) PARA CONTRAPISO E = *8* MM                                                                                                                                                                                                                                                                                                                                                                                                                                            </v>
          </cell>
          <cell r="C2889" t="str">
            <v xml:space="preserve">M2    </v>
          </cell>
          <cell r="D2889" t="str">
            <v>CR</v>
          </cell>
          <cell r="E2889" t="str">
            <v>29,59</v>
          </cell>
        </row>
        <row r="2890">
          <cell r="A2890">
            <v>11621</v>
          </cell>
          <cell r="B2890" t="str">
            <v xml:space="preserve">MANTA ASFALTICA ELASTOMERICA EM POLIESTER ALUMINIZADA 3 MM, TIPO III, CLASSE B (NBR 9952)                                                                                                                                                                                                                                                                                                                                                                                                                 </v>
          </cell>
          <cell r="C2890" t="str">
            <v xml:space="preserve">M2    </v>
          </cell>
          <cell r="D2890" t="str">
            <v>CR</v>
          </cell>
          <cell r="E2890" t="str">
            <v>58,89</v>
          </cell>
        </row>
        <row r="2891">
          <cell r="A2891">
            <v>4014</v>
          </cell>
          <cell r="B2891" t="str">
            <v xml:space="preserve">MANTA ASFALTICA ELASTOMERICA EM POLIESTER 3 MM, TIPO III, CLASSE B, ACABAMENTO PP (NBR 9952)                                                                                                                                                                                                                                                                                                                                                                                                              </v>
          </cell>
          <cell r="C2891" t="str">
            <v xml:space="preserve">M2    </v>
          </cell>
          <cell r="D2891" t="str">
            <v>CR</v>
          </cell>
          <cell r="E2891" t="str">
            <v>60,93</v>
          </cell>
        </row>
        <row r="2892">
          <cell r="A2892">
            <v>4015</v>
          </cell>
          <cell r="B2892" t="str">
            <v xml:space="preserve">MANTA ASFALTICA ELASTOMERICA EM POLIESTER 4 MM, TIPO III, CLASSE B, ACABAMENTO PP (NBR 9952)                                                                                                                                                                                                                                                                                                                                                                                                              </v>
          </cell>
          <cell r="C2892" t="str">
            <v xml:space="preserve">M2    </v>
          </cell>
          <cell r="D2892" t="str">
            <v>CR</v>
          </cell>
          <cell r="E2892" t="str">
            <v>74,82</v>
          </cell>
        </row>
        <row r="2893">
          <cell r="A2893">
            <v>4017</v>
          </cell>
          <cell r="B2893" t="str">
            <v xml:space="preserve">MANTA ASFALTICA ELASTOMERICA EM POLIESTER 5 MM, TIPO III, CLASSE B, ACABAMENTO PP (NBR 9952)                                                                                                                                                                                                                                                                                                                                                                                                              </v>
          </cell>
          <cell r="C2893" t="str">
            <v xml:space="preserve">M2    </v>
          </cell>
          <cell r="D2893" t="str">
            <v>CR</v>
          </cell>
          <cell r="E2893" t="str">
            <v>108,87</v>
          </cell>
        </row>
        <row r="2894">
          <cell r="A2894">
            <v>4016</v>
          </cell>
          <cell r="B2894" t="str">
            <v xml:space="preserve">MANTA ASFALTICA ELASTOMERICA TIPO GLASS 3 MM, TIPO II, CLASSE C, ACABAMENTO PP (NBR 9952)                                                                                                                                                                                                                                                                                                                                                                                                                 </v>
          </cell>
          <cell r="C2894" t="str">
            <v xml:space="preserve">M2    </v>
          </cell>
          <cell r="D2894" t="str">
            <v xml:space="preserve">C </v>
          </cell>
          <cell r="E2894" t="str">
            <v>43,00</v>
          </cell>
        </row>
        <row r="2895">
          <cell r="A2895">
            <v>38544</v>
          </cell>
          <cell r="B2895" t="str">
            <v xml:space="preserve">MANTA DE POLIETILENO EXPANDIDO (PEBD) ANTICHAMAS, E = 8 MM                                                                                                                                                                                                                                                                                                                                                                                                                                                </v>
          </cell>
          <cell r="C2895" t="str">
            <v xml:space="preserve">M2    </v>
          </cell>
          <cell r="D2895" t="str">
            <v>CR</v>
          </cell>
          <cell r="E2895" t="str">
            <v>11,03</v>
          </cell>
        </row>
        <row r="2896">
          <cell r="A2896">
            <v>38545</v>
          </cell>
          <cell r="B2896" t="str">
            <v xml:space="preserve">MANTA DE POLIETILENO EXPANDIDO (PEBD), E = 5 MM                                                                                                                                                                                                                                                                                                                                                                                                                                                           </v>
          </cell>
          <cell r="C2896" t="str">
            <v xml:space="preserve">M2    </v>
          </cell>
          <cell r="D2896" t="str">
            <v>CR</v>
          </cell>
          <cell r="E2896" t="str">
            <v>7,09</v>
          </cell>
        </row>
        <row r="2897">
          <cell r="A2897">
            <v>42527</v>
          </cell>
          <cell r="B2897" t="str">
            <v xml:space="preserve">MANTA DE POLIETILENO EXPANDIDO, COM 1 FACE METALIZADA PARA SUBCOBERTURA,  E = *5* MM                                                                                                                                                                                                                                                                                                                                                                                                                      </v>
          </cell>
          <cell r="C2897" t="str">
            <v xml:space="preserve">M2    </v>
          </cell>
          <cell r="D2897" t="str">
            <v>CR</v>
          </cell>
          <cell r="E2897" t="str">
            <v>24,05</v>
          </cell>
        </row>
        <row r="2898">
          <cell r="A2898">
            <v>39323</v>
          </cell>
          <cell r="B2898" t="str">
            <v xml:space="preserve">MANTA GEOTEXTIL TECIDO DE LAMINETES DE POLIPROPILENO, RESISTENCIA A TRACAO = *25* KN/M                                                                                                                                                                                                                                                                                                                                                                                                                    </v>
          </cell>
          <cell r="C2898" t="str">
            <v xml:space="preserve">M2    </v>
          </cell>
          <cell r="D2898" t="str">
            <v>CR</v>
          </cell>
          <cell r="E2898" t="str">
            <v>27,05</v>
          </cell>
        </row>
        <row r="2899">
          <cell r="A2899">
            <v>626</v>
          </cell>
          <cell r="B2899" t="str">
            <v xml:space="preserve">MANTA LIQUIDA DE BASE ASFALTICA MODIFICADA COM A ADICAO DE ELASTOMEROS DILUIDOS EM SOLVENTE ORGANICO, APLICACAO A FRIO (MEMBRANA IMPERMEABILIZANTE ASFASTICA)                                                                                                                                                                                                                                                                                                                                             </v>
          </cell>
          <cell r="C2899" t="str">
            <v xml:space="preserve">KG    </v>
          </cell>
          <cell r="D2899" t="str">
            <v xml:space="preserve">C </v>
          </cell>
          <cell r="E2899" t="str">
            <v>23,29</v>
          </cell>
        </row>
        <row r="2900">
          <cell r="A2900">
            <v>44504</v>
          </cell>
          <cell r="B2900" t="str">
            <v xml:space="preserve">MANTA TERMOPLASTICA, PEAD, GEOMEMBRANA LISA, E = 0,50 MM  ( NBR 15352)                                                                                                                                                                                                                                                                                                                                                                                                                                    </v>
          </cell>
          <cell r="C2900" t="str">
            <v xml:space="preserve">M2    </v>
          </cell>
          <cell r="D2900" t="str">
            <v>CR</v>
          </cell>
          <cell r="E2900" t="str">
            <v>13,32</v>
          </cell>
        </row>
        <row r="2901">
          <cell r="A2901">
            <v>44505</v>
          </cell>
          <cell r="B2901" t="str">
            <v xml:space="preserve">MANTA TERMOPLASTICA, PEAD, GEOMEMBRANA LISA, E = 0,75 MM (NBR 15352)                                                                                                                                                                                                                                                                                                                                                                                                                                      </v>
          </cell>
          <cell r="C2901" t="str">
            <v xml:space="preserve">M2    </v>
          </cell>
          <cell r="D2901" t="str">
            <v>CR</v>
          </cell>
          <cell r="E2901" t="str">
            <v>20,11</v>
          </cell>
        </row>
        <row r="2902">
          <cell r="A2902">
            <v>44506</v>
          </cell>
          <cell r="B2902" t="str">
            <v xml:space="preserve">MANTA TERMOPLASTICA, PEAD, GEOMEMBRANA LISA, E = 0,80 MM (NBR 15352)                                                                                                                                                                                                                                                                                                                                                                                                                                      </v>
          </cell>
          <cell r="C2902" t="str">
            <v xml:space="preserve">M2    </v>
          </cell>
          <cell r="D2902" t="str">
            <v>CR</v>
          </cell>
          <cell r="E2902" t="str">
            <v>21,34</v>
          </cell>
        </row>
        <row r="2903">
          <cell r="A2903">
            <v>44507</v>
          </cell>
          <cell r="B2903" t="str">
            <v xml:space="preserve">MANTA TERMOPLASTICA, PEAD, GEOMEMBRANA LISA, E = 1,00 MM (NBR 15352)                                                                                                                                                                                                                                                                                                                                                                                                                                      </v>
          </cell>
          <cell r="C2903" t="str">
            <v xml:space="preserve">M2    </v>
          </cell>
          <cell r="D2903" t="str">
            <v>CR</v>
          </cell>
          <cell r="E2903" t="str">
            <v>26,68</v>
          </cell>
        </row>
        <row r="2904">
          <cell r="A2904">
            <v>44508</v>
          </cell>
          <cell r="B2904" t="str">
            <v xml:space="preserve">MANTA TERMOPLASTICA, PEAD, GEOMEMBRANA LISA, E = 1,50 MM (NBR 15352)                                                                                                                                                                                                                                                                                                                                                                                                                                      </v>
          </cell>
          <cell r="C2904" t="str">
            <v xml:space="preserve">M2    </v>
          </cell>
          <cell r="D2904" t="str">
            <v>CR</v>
          </cell>
          <cell r="E2904" t="str">
            <v>40,01</v>
          </cell>
        </row>
        <row r="2905">
          <cell r="A2905">
            <v>44509</v>
          </cell>
          <cell r="B2905" t="str">
            <v xml:space="preserve">MANTA TERMOPLASTICA, PEAD, GEOMEMBRANA LISA, E = 2,00 MM (NBR 15352)                                                                                                                                                                                                                                                                                                                                                                                                                                      </v>
          </cell>
          <cell r="C2905" t="str">
            <v xml:space="preserve">M2    </v>
          </cell>
          <cell r="D2905" t="str">
            <v>CR</v>
          </cell>
          <cell r="E2905" t="str">
            <v>53,59</v>
          </cell>
        </row>
        <row r="2906">
          <cell r="A2906">
            <v>44510</v>
          </cell>
          <cell r="B2906" t="str">
            <v xml:space="preserve">MANTA TERMOPLASTICA, PEAD, GEOMEMBRANA LISA, E = 2,50 MM (NBR 15352)                                                                                                                                                                                                                                                                                                                                                                                                                                      </v>
          </cell>
          <cell r="C2906" t="str">
            <v xml:space="preserve">M2    </v>
          </cell>
          <cell r="D2906" t="str">
            <v>CR</v>
          </cell>
          <cell r="E2906" t="str">
            <v>66,55</v>
          </cell>
        </row>
        <row r="2907">
          <cell r="A2907">
            <v>44512</v>
          </cell>
          <cell r="B2907" t="str">
            <v xml:space="preserve">MANTA TERMOPLASTICA, PEAD, GEOMEMBRANA TEXTURIZADA EM AMBAS AS FACES, E = 0,50 MM ( NBR 15352)                                                                                                                                                                                                                                                                                                                                                                                                            </v>
          </cell>
          <cell r="C2907" t="str">
            <v xml:space="preserve">M2    </v>
          </cell>
          <cell r="D2907" t="str">
            <v>CR</v>
          </cell>
          <cell r="E2907" t="str">
            <v>14,85</v>
          </cell>
        </row>
        <row r="2908">
          <cell r="A2908">
            <v>44513</v>
          </cell>
          <cell r="B2908" t="str">
            <v xml:space="preserve">MANTA TERMOPLASTICA, PEAD, GEOMEMBRANA TEXTURIZADA EM AMBAS AS FACES, E = 0,75 MM ( NBR 15352)                                                                                                                                                                                                                                                                                                                                                                                                            </v>
          </cell>
          <cell r="C2908" t="str">
            <v xml:space="preserve">M2    </v>
          </cell>
          <cell r="D2908" t="str">
            <v>CR</v>
          </cell>
          <cell r="E2908" t="str">
            <v>20,97</v>
          </cell>
        </row>
        <row r="2909">
          <cell r="A2909">
            <v>44514</v>
          </cell>
          <cell r="B2909" t="str">
            <v xml:space="preserve">MANTA TERMOPLASTICA, PEAD, GEOMEMBRANA TEXTURIZADA EM AMBAS AS FACES, E = 0,80 MM ( NBR 15352)                                                                                                                                                                                                                                                                                                                                                                                                            </v>
          </cell>
          <cell r="C2909" t="str">
            <v xml:space="preserve">M2    </v>
          </cell>
          <cell r="D2909" t="str">
            <v>CR</v>
          </cell>
          <cell r="E2909" t="str">
            <v>23,76</v>
          </cell>
        </row>
        <row r="2910">
          <cell r="A2910">
            <v>44515</v>
          </cell>
          <cell r="B2910" t="str">
            <v xml:space="preserve">MANTA TERMOPLASTICA, PEAD, GEOMEMBRANA TEXTURIZADA EM AMBAS AS FACES, E = 1,00 MM ( NBR 15352)                                                                                                                                                                                                                                                                                                                                                                                                            </v>
          </cell>
          <cell r="C2910" t="str">
            <v xml:space="preserve">M2    </v>
          </cell>
          <cell r="D2910" t="str">
            <v>CR</v>
          </cell>
          <cell r="E2910" t="str">
            <v>29,18</v>
          </cell>
        </row>
        <row r="2911">
          <cell r="A2911">
            <v>44511</v>
          </cell>
          <cell r="B2911" t="str">
            <v xml:space="preserve">MANTA TERMOPLASTICA, PEAD, GEOMEMBRANA TEXTURIZADA EM AMBAS AS FACES, E = 1,50 MM ( NBR 15352)                                                                                                                                                                                                                                                                                                                                                                                                            </v>
          </cell>
          <cell r="C2911" t="str">
            <v xml:space="preserve">M2    </v>
          </cell>
          <cell r="D2911" t="str">
            <v>CR</v>
          </cell>
          <cell r="E2911" t="str">
            <v>43,20</v>
          </cell>
        </row>
        <row r="2912">
          <cell r="A2912">
            <v>44516</v>
          </cell>
          <cell r="B2912" t="str">
            <v xml:space="preserve">MANTA TERMOPLASTICA, PEAD, GEOMEMBRANA TEXTURIZADA EM AMBAS AS FACES, E = 2,00 MM ( NBR 15352)                                                                                                                                                                                                                                                                                                                                                                                                            </v>
          </cell>
          <cell r="C2912" t="str">
            <v xml:space="preserve">M2    </v>
          </cell>
          <cell r="D2912" t="str">
            <v>CR</v>
          </cell>
          <cell r="E2912" t="str">
            <v>58,38</v>
          </cell>
        </row>
        <row r="2913">
          <cell r="A2913">
            <v>44517</v>
          </cell>
          <cell r="B2913" t="str">
            <v xml:space="preserve">MANTA TERMOPLASTICA, PEAD, GEOMEMBRANA TEXTURIZADA EM AMBAS AS FACES, E = 2,50 MM ( NBR 15352)                                                                                                                                                                                                                                                                                                                                                                                                            </v>
          </cell>
          <cell r="C2913" t="str">
            <v xml:space="preserve">M2    </v>
          </cell>
          <cell r="D2913" t="str">
            <v>CR</v>
          </cell>
          <cell r="E2913" t="str">
            <v>72,82</v>
          </cell>
        </row>
        <row r="2914">
          <cell r="A2914">
            <v>11479</v>
          </cell>
          <cell r="B2914" t="str">
            <v xml:space="preserve">MAQUINA DE 40 MM PARA FECHADURA DE EMBUTIR EXTERNA, EM ACO INOX                                                                                                                                                                                                                                                                                                                                                                                                                                           </v>
          </cell>
          <cell r="C2914" t="str">
            <v xml:space="preserve">UN    </v>
          </cell>
          <cell r="D2914" t="str">
            <v>CR</v>
          </cell>
          <cell r="E2914" t="str">
            <v>54,13</v>
          </cell>
        </row>
        <row r="2915">
          <cell r="A2915">
            <v>11481</v>
          </cell>
          <cell r="B2915" t="str">
            <v xml:space="preserve">MAQUINA DE 40 MM PARA FECHADURA, PARA PORTA DE BANHEIRO, EM ACO INOX                                                                                                                                                                                                                                                                                                                                                                                                                                      </v>
          </cell>
          <cell r="C2915" t="str">
            <v xml:space="preserve">UN    </v>
          </cell>
          <cell r="D2915" t="str">
            <v>CR</v>
          </cell>
          <cell r="E2915" t="str">
            <v>48,96</v>
          </cell>
        </row>
        <row r="2916">
          <cell r="A2916">
            <v>43609</v>
          </cell>
          <cell r="B2916" t="str">
            <v xml:space="preserve">MAQUINA DE 40 MM PARA FECHADURA, PARA PORTA INTERNA, EM ACO INOX                                                                                                                                                                                                                                                                                                                                                                                                                                          </v>
          </cell>
          <cell r="C2916" t="str">
            <v xml:space="preserve">UN    </v>
          </cell>
          <cell r="D2916" t="str">
            <v>CR</v>
          </cell>
          <cell r="E2916" t="str">
            <v>48,96</v>
          </cell>
        </row>
        <row r="2917">
          <cell r="A2917">
            <v>11478</v>
          </cell>
          <cell r="B2917" t="str">
            <v xml:space="preserve">MAQUINA DE 55 MM PARA FECHADURA DE EMBUTIR EXTERNA, EM ACO INOX                                                                                                                                                                                                                                                                                                                                                                                                                                           </v>
          </cell>
          <cell r="C2917" t="str">
            <v xml:space="preserve">UN    </v>
          </cell>
          <cell r="D2917" t="str">
            <v>CR</v>
          </cell>
          <cell r="E2917" t="str">
            <v>92,87</v>
          </cell>
        </row>
        <row r="2918">
          <cell r="A2918">
            <v>43608</v>
          </cell>
          <cell r="B2918" t="str">
            <v xml:space="preserve">MAQUINA DE 55 MM PARA FECHADURA, PARA PORTA DE BANHEIRO, EM ACO INOX                                                                                                                                                                                                                                                                                                                                                                                                                                      </v>
          </cell>
          <cell r="C2918" t="str">
            <v xml:space="preserve">UN    </v>
          </cell>
          <cell r="D2918" t="str">
            <v>CR</v>
          </cell>
          <cell r="E2918" t="str">
            <v>70,87</v>
          </cell>
        </row>
        <row r="2919">
          <cell r="A2919">
            <v>11476</v>
          </cell>
          <cell r="B2919" t="str">
            <v xml:space="preserve">MAQUINA DE 55 MM PARA FECHADURA, PARA PORTA INTERNA, EM ACO INOX                                                                                                                                                                                                                                                                                                                                                                                                                                          </v>
          </cell>
          <cell r="C2919" t="str">
            <v xml:space="preserve">UN    </v>
          </cell>
          <cell r="D2919" t="str">
            <v>CR</v>
          </cell>
          <cell r="E2919" t="str">
            <v>70,87</v>
          </cell>
        </row>
        <row r="2920">
          <cell r="A2920">
            <v>40637</v>
          </cell>
          <cell r="B2920" t="str">
            <v xml:space="preserve">MAQUINA DEMARCADORA DE FAIXA DE TRAFEGO A FRIO, AUTOPROPELIDA, MOTOR DIESEL 38 HP                                                                                                                                                                                                                                                                                                                                                                                                                         </v>
          </cell>
          <cell r="C2920" t="str">
            <v xml:space="preserve">UN    </v>
          </cell>
          <cell r="D2920" t="str">
            <v>CR</v>
          </cell>
          <cell r="E2920" t="str">
            <v>793.072,01</v>
          </cell>
        </row>
        <row r="2921">
          <cell r="A2921">
            <v>13836</v>
          </cell>
          <cell r="B2921" t="str">
            <v xml:space="preserve">MAQUINA EXTRUSORA DE CONCRETO PARA GUIAS E SARJETAS, COM MOTOR A DIESEL DE 14 CV                                                                                                                                                                                                                                                                                                                                                                                                                          </v>
          </cell>
          <cell r="C2921" t="str">
            <v xml:space="preserve">UN    </v>
          </cell>
          <cell r="D2921" t="str">
            <v>CR</v>
          </cell>
          <cell r="E2921" t="str">
            <v>67.210,86</v>
          </cell>
        </row>
        <row r="2922">
          <cell r="A2922">
            <v>14534</v>
          </cell>
          <cell r="B2922" t="str">
            <v xml:space="preserve">MAQUINA MANUAL TIPO PRENSA PARA PRODUCAO DE BLOCOS E PAVIMENTOS DE CONCRETO, COM MOTOR ELETRICO TRIFASICO PARA VIBRACAO, POTENCIA TOTAL INSTALADA DE 1,5 KW                                                                                                                                                                                                                                                                                                                                               </v>
          </cell>
          <cell r="C2922" t="str">
            <v xml:space="preserve">UN    </v>
          </cell>
          <cell r="D2922" t="str">
            <v>CR</v>
          </cell>
          <cell r="E2922" t="str">
            <v>28.136,25</v>
          </cell>
        </row>
        <row r="2923">
          <cell r="A2923">
            <v>14619</v>
          </cell>
          <cell r="B2923" t="str">
            <v xml:space="preserve">MAQUINA PARA CORTE COM DISCO ABRASIVO DE DIAMETRO DE 18'' (450 MM), COM MOTOR ELETRICO TRIFASICO DE 10 CV                                                                                                                                                                                                                                                                                                                                                                                                 </v>
          </cell>
          <cell r="C2923" t="str">
            <v xml:space="preserve">UN    </v>
          </cell>
          <cell r="D2923" t="str">
            <v>CR</v>
          </cell>
          <cell r="E2923" t="str">
            <v>14.978,23</v>
          </cell>
        </row>
        <row r="2924">
          <cell r="A2924">
            <v>14535</v>
          </cell>
          <cell r="B2924" t="str">
            <v xml:space="preserve">MAQUINA TIPO PRENSA HIDRAULICA, PARA FABRICACAO DE TUBOS DE CONCRETO PARA AGUAS PLUVIAIS, DN 200 A DN 600 MM X 1000 MM DE COMPRIMENTO, COM MOTOR PRINCIPAL DE 20 CV                                                                                                                                                                                                                                                                                                                                       </v>
          </cell>
          <cell r="C2924" t="str">
            <v xml:space="preserve">UN    </v>
          </cell>
          <cell r="D2924" t="str">
            <v>CR</v>
          </cell>
          <cell r="E2924" t="str">
            <v>279.254,93</v>
          </cell>
        </row>
        <row r="2925">
          <cell r="A2925">
            <v>39813</v>
          </cell>
          <cell r="B2925" t="str">
            <v xml:space="preserve">MAQUINA TIPO VASO/TANQUE/JATO DE PRESSAO PORTATIL P/ JATEAMENTO, CONTROLE AUTOMATICO E REMOTO, CAMARA DE 1 SAIDA, 280 L, DIAM. *670* MM, BICO JATO CURTO VENTURI 5/16", MANGUEIRA 1" DE 10 M, COMPLETA (VALVULAS POP UP E DOSADORA, FUNDO CONICO ETC)                                                                                                                                                                                                                                                     </v>
          </cell>
          <cell r="C2925" t="str">
            <v xml:space="preserve">UN    </v>
          </cell>
          <cell r="D2925" t="str">
            <v>CR</v>
          </cell>
          <cell r="E2925" t="str">
            <v>38.352,75</v>
          </cell>
        </row>
        <row r="2926">
          <cell r="A2926">
            <v>40403</v>
          </cell>
          <cell r="B2926" t="str">
            <v xml:space="preserve">MAQUINA TRANSFORMADORA MONOFASICA PARA SOLDA ELETRICA, TENSAO DE 220 V, FREQUENCIA DE 60 HZ, FAIXA DE CORRENTE ENTRE 80 A (+/- 10 A) E 250 A, POTENCIA ENTRE 14,00 KVA E 15,0 KVA, CICLO DE TRABALHO ENTRE 10% E 20% A 250 A                                                                                                                                                                                                                                                                              </v>
          </cell>
          <cell r="C2926" t="str">
            <v xml:space="preserve">UN    </v>
          </cell>
          <cell r="D2926" t="str">
            <v>CR</v>
          </cell>
          <cell r="E2926" t="str">
            <v>407,20</v>
          </cell>
        </row>
        <row r="2927">
          <cell r="A2927">
            <v>12868</v>
          </cell>
          <cell r="B2927" t="str">
            <v xml:space="preserve">MARCENEIRO (HORISTA)                                                                                                                                                                                                                                                                                                                                                                                                                                                                                      </v>
          </cell>
          <cell r="C2927" t="str">
            <v xml:space="preserve">H     </v>
          </cell>
          <cell r="D2927" t="str">
            <v>CR</v>
          </cell>
          <cell r="E2927" t="str">
            <v>23,55</v>
          </cell>
        </row>
        <row r="2928">
          <cell r="A2928">
            <v>40916</v>
          </cell>
          <cell r="B2928" t="str">
            <v xml:space="preserve">MARCENEIRO (MENSALISTA)                                                                                                                                                                                                                                                                                                                                                                                                                                                                                   </v>
          </cell>
          <cell r="C2928" t="str">
            <v xml:space="preserve">MES   </v>
          </cell>
          <cell r="D2928" t="str">
            <v>CR</v>
          </cell>
          <cell r="E2928" t="str">
            <v>4.122,92</v>
          </cell>
        </row>
        <row r="2929">
          <cell r="A2929">
            <v>4755</v>
          </cell>
          <cell r="B2929" t="str">
            <v xml:space="preserve">MARMORISTA / GRANITEIRO (HORISTA)                                                                                                                                                                                                                                                                                                                                                                                                                                                                         </v>
          </cell>
          <cell r="C2929" t="str">
            <v xml:space="preserve">H     </v>
          </cell>
          <cell r="D2929" t="str">
            <v>CR</v>
          </cell>
          <cell r="E2929" t="str">
            <v>24,39</v>
          </cell>
        </row>
        <row r="2930">
          <cell r="A2930">
            <v>41067</v>
          </cell>
          <cell r="B2930" t="str">
            <v xml:space="preserve">MARMORISTA / GRANITEIRO (MENSALISTA)                                                                                                                                                                                                                                                                                                                                                                                                                                                                      </v>
          </cell>
          <cell r="C2930" t="str">
            <v xml:space="preserve">MES   </v>
          </cell>
          <cell r="D2930" t="str">
            <v>CR</v>
          </cell>
          <cell r="E2930" t="str">
            <v>4.272,37</v>
          </cell>
        </row>
        <row r="2931">
          <cell r="A2931">
            <v>38463</v>
          </cell>
          <cell r="B2931" t="str">
            <v xml:space="preserve">MARTELO DE SOLDADOR/PICADOR DE SOLDA                                                                                                                                                                                                                                                                                                                                                                                                                                                                      </v>
          </cell>
          <cell r="C2931" t="str">
            <v xml:space="preserve">UN    </v>
          </cell>
          <cell r="D2931" t="str">
            <v>CR</v>
          </cell>
          <cell r="E2931" t="str">
            <v>41,81</v>
          </cell>
        </row>
        <row r="2932">
          <cell r="A2932">
            <v>40703</v>
          </cell>
          <cell r="B2932" t="str">
            <v xml:space="preserve">MARTELO DEMOLIDOR ELETRICO, COM POTENCIA DE 2.000 W, FREQUENCIA DE 1.000 IMPACTOS POR MINUTO, FORÇA DE IMPACTO ENTRE 60 E 65 J, PESO DE 30 KG                                                                                                                                                                                                                                                                                                                                                             </v>
          </cell>
          <cell r="C2932" t="str">
            <v xml:space="preserve">UN    </v>
          </cell>
          <cell r="D2932" t="str">
            <v xml:space="preserve">C </v>
          </cell>
          <cell r="E2932" t="str">
            <v>10.172,25</v>
          </cell>
        </row>
        <row r="2933">
          <cell r="A2933">
            <v>14531</v>
          </cell>
          <cell r="B2933" t="str">
            <v xml:space="preserve">MARTELO DEMOLIDOR PNEUMATICO MANUAL, COM REDUCAO DE VIBRACAO, PESO DE 21 KG                                                                                                                                                                                                                                                                                                                                                                                                                               </v>
          </cell>
          <cell r="C2933" t="str">
            <v xml:space="preserve">UN    </v>
          </cell>
          <cell r="D2933" t="str">
            <v>CR</v>
          </cell>
          <cell r="E2933" t="str">
            <v>18.964,90</v>
          </cell>
        </row>
        <row r="2934">
          <cell r="A2934">
            <v>36533</v>
          </cell>
          <cell r="B2934" t="str">
            <v xml:space="preserve">MARTELO DEMOLIDOR PNEUMATICO MANUAL, COM REDUCAO DE VIBRACAO, PESO DE 31,5 KG                                                                                                                                                                                                                                                                                                                                                                                                                             </v>
          </cell>
          <cell r="C2934" t="str">
            <v xml:space="preserve">UN    </v>
          </cell>
          <cell r="D2934" t="str">
            <v>CR</v>
          </cell>
          <cell r="E2934" t="str">
            <v>21.823,76</v>
          </cell>
        </row>
        <row r="2935">
          <cell r="A2935">
            <v>11616</v>
          </cell>
          <cell r="B2935" t="str">
            <v xml:space="preserve">MARTELO DEMOLIDOR PNEUMATICO MANUAL, PADRAO, PESO DE 32 KG                                                                                                                                                                                                                                                                                                                                                                                                                                                </v>
          </cell>
          <cell r="C2935" t="str">
            <v xml:space="preserve">UN    </v>
          </cell>
          <cell r="D2935" t="str">
            <v>CR</v>
          </cell>
          <cell r="E2935" t="str">
            <v>20.612,21</v>
          </cell>
        </row>
        <row r="2936">
          <cell r="A2936">
            <v>41898</v>
          </cell>
          <cell r="B2936" t="str">
            <v xml:space="preserve">MARTELO DEMOLIDOR PNEUMATICO MANUAL, PESO  DE 28 KG, COM SILENCIADOR                                                                                                                                                                                                                                                                                                                                                                                                                                      </v>
          </cell>
          <cell r="C2936" t="str">
            <v xml:space="preserve">UN    </v>
          </cell>
          <cell r="D2936" t="str">
            <v>CR</v>
          </cell>
          <cell r="E2936" t="str">
            <v>23.191,55</v>
          </cell>
        </row>
        <row r="2937">
          <cell r="A2937">
            <v>13447</v>
          </cell>
          <cell r="B2937" t="str">
            <v xml:space="preserve">MARTELO PERFURADOR PNEUMATICO MANUAL, DE SUPERFICIE, COM AVANCO DE COLUNA, PESO DE 22 KG                                                                                                                                                                                                                                                                                                                                                                                                                  </v>
          </cell>
          <cell r="C2937" t="str">
            <v xml:space="preserve">UN    </v>
          </cell>
          <cell r="D2937" t="str">
            <v>CR</v>
          </cell>
          <cell r="E2937" t="str">
            <v>42.674,04</v>
          </cell>
        </row>
        <row r="2938">
          <cell r="A2938">
            <v>14529</v>
          </cell>
          <cell r="B2938" t="str">
            <v xml:space="preserve">MARTELO PERFURADOR PNEUMATICO MANUAL, HASTE 25 X 75 MM, 21 KG                                                                                                                                                                                                                                                                                                                                                                                                                                             </v>
          </cell>
          <cell r="C2938" t="str">
            <v xml:space="preserve">UN    </v>
          </cell>
          <cell r="D2938" t="str">
            <v>CR</v>
          </cell>
          <cell r="E2938" t="str">
            <v>23.866,51</v>
          </cell>
        </row>
        <row r="2939">
          <cell r="A2939">
            <v>10747</v>
          </cell>
          <cell r="B2939" t="str">
            <v xml:space="preserve">MARTELO PERFURADOR PNEUMATICO MANUAL, PESO DE 25 KG, COM SILENCIADOR                                                                                                                                                                                                                                                                                                                                                                                                                                      </v>
          </cell>
          <cell r="C2939" t="str">
            <v xml:space="preserve">UN    </v>
          </cell>
          <cell r="D2939" t="str">
            <v>CR</v>
          </cell>
          <cell r="E2939" t="str">
            <v>23.416,69</v>
          </cell>
        </row>
        <row r="2940">
          <cell r="A2940">
            <v>36141</v>
          </cell>
          <cell r="B2940" t="str">
            <v xml:space="preserve">MASCARA DE SEGURANCA PARA SOLDA COM ESCUDO DE CELERON E CARNEIRA DE PLASTICO COM REGULAGEM                                                                                                                                                                                                                                                                                                                                                                                                                </v>
          </cell>
          <cell r="C2940" t="str">
            <v xml:space="preserve">UN    </v>
          </cell>
          <cell r="D2940" t="str">
            <v>CR</v>
          </cell>
          <cell r="E2940" t="str">
            <v>40,50</v>
          </cell>
        </row>
        <row r="2941">
          <cell r="A2941">
            <v>43651</v>
          </cell>
          <cell r="B2941" t="str">
            <v xml:space="preserve">MASSA ACRILICA PARA SUPERFICIES INTERNAS E EXTERNAS                                                                                                                                                                                                                                                                                                                                                                                                                                                       </v>
          </cell>
          <cell r="C2941" t="str">
            <v xml:space="preserve">KG    </v>
          </cell>
          <cell r="D2941" t="str">
            <v>CR</v>
          </cell>
          <cell r="E2941" t="str">
            <v>6,47</v>
          </cell>
        </row>
        <row r="2942">
          <cell r="A2942">
            <v>43626</v>
          </cell>
          <cell r="B2942" t="str">
            <v xml:space="preserve">MASSA CORRIDA PARA SUPERFICIES DE AMBIENTES INTERNOS                                                                                                                                                                                                                                                                                                                                                                                                                                                      </v>
          </cell>
          <cell r="C2942" t="str">
            <v xml:space="preserve">KG    </v>
          </cell>
          <cell r="D2942" t="str">
            <v xml:space="preserve">C </v>
          </cell>
          <cell r="E2942" t="str">
            <v>3,60</v>
          </cell>
        </row>
        <row r="2943">
          <cell r="A2943">
            <v>39434</v>
          </cell>
          <cell r="B2943" t="str">
            <v xml:space="preserve">MASSA DE REJUNTE EM PO PARA DRYWALL, A BASE DE GESSO, SECAGEM RAPIDA, PARA TRATAMENTO DE JUNTAS DE CHAPA DE GESSO (NECESSITA ADICAO DE AGUA)                                                                                                                                                                                                                                                                                                                                                              </v>
          </cell>
          <cell r="C2943" t="str">
            <v xml:space="preserve">KG    </v>
          </cell>
          <cell r="D2943" t="str">
            <v>CR</v>
          </cell>
          <cell r="E2943" t="str">
            <v>3,28</v>
          </cell>
        </row>
        <row r="2944">
          <cell r="A2944">
            <v>39433</v>
          </cell>
          <cell r="B2944" t="str">
            <v xml:space="preserve">MASSA DE REJUNTE PRONTA PARA TRATAMENTO DE JUNTAS DE CHAPA DE GESSO PARA DRYWALL, SEM ADICAO DE AGUA                                                                                                                                                                                                                                                                                                                                                                                                      </v>
          </cell>
          <cell r="C2944" t="str">
            <v xml:space="preserve">KG    </v>
          </cell>
          <cell r="D2944" t="str">
            <v>CR</v>
          </cell>
          <cell r="E2944" t="str">
            <v>2,60</v>
          </cell>
        </row>
        <row r="2945">
          <cell r="A2945">
            <v>4049</v>
          </cell>
          <cell r="B2945" t="str">
            <v xml:space="preserve">MASSA EPOXI BICOMPONENTE (MASSA + CATALIZADOR)                                                                                                                                                                                                                                                                                                                                                                                                                                                            </v>
          </cell>
          <cell r="C2945" t="str">
            <v xml:space="preserve">L     </v>
          </cell>
          <cell r="D2945" t="str">
            <v>CR</v>
          </cell>
          <cell r="E2945" t="str">
            <v>72,25</v>
          </cell>
        </row>
        <row r="2946">
          <cell r="A2946">
            <v>38120</v>
          </cell>
          <cell r="B2946" t="str">
            <v xml:space="preserve">MASSA EPOXI BICOMPONENTE PARA REPAROS                                                                                                                                                                                                                                                                                                                                                                                                                                                                     </v>
          </cell>
          <cell r="C2946" t="str">
            <v xml:space="preserve">KG    </v>
          </cell>
          <cell r="D2946" t="str">
            <v>CR</v>
          </cell>
          <cell r="E2946" t="str">
            <v>165,74</v>
          </cell>
        </row>
        <row r="2947">
          <cell r="A2947">
            <v>43652</v>
          </cell>
          <cell r="B2947" t="str">
            <v xml:space="preserve">MASSA PARA MADEIRA - INTERIOR E EXTERIOR                                                                                                                                                                                                                                                                                                                                                                                                                                                                  </v>
          </cell>
          <cell r="C2947" t="str">
            <v xml:space="preserve">KG    </v>
          </cell>
          <cell r="D2947" t="str">
            <v>CR</v>
          </cell>
          <cell r="E2947" t="str">
            <v>14,51</v>
          </cell>
        </row>
        <row r="2948">
          <cell r="A2948">
            <v>10498</v>
          </cell>
          <cell r="B2948" t="str">
            <v xml:space="preserve">MASSA PARA VIDRO                                                                                                                                                                                                                                                                                                                                                                                                                                                                                          </v>
          </cell>
          <cell r="C2948" t="str">
            <v xml:space="preserve">KG    </v>
          </cell>
          <cell r="D2948" t="str">
            <v>CR</v>
          </cell>
          <cell r="E2948" t="str">
            <v>10,02</v>
          </cell>
        </row>
        <row r="2949">
          <cell r="A2949">
            <v>4823</v>
          </cell>
          <cell r="B2949" t="str">
            <v xml:space="preserve">MASSA PLASTICA PARA MARMORE/GRANITO                                                                                                                                                                                                                                                                                                                                                                                                                                                                       </v>
          </cell>
          <cell r="C2949" t="str">
            <v xml:space="preserve">KG    </v>
          </cell>
          <cell r="D2949" t="str">
            <v>CR</v>
          </cell>
          <cell r="E2949" t="str">
            <v>39,91</v>
          </cell>
        </row>
        <row r="2950">
          <cell r="A2950">
            <v>38877</v>
          </cell>
          <cell r="B2950" t="str">
            <v xml:space="preserve">MASSA PREMIUM PARA TEXTURA LISA DE BASE ACRILICA, USO INTERNO E EXTERNO                                                                                                                                                                                                                                                                                                                                                                                                                                   </v>
          </cell>
          <cell r="C2950" t="str">
            <v xml:space="preserve">KG    </v>
          </cell>
          <cell r="D2950" t="str">
            <v>CR</v>
          </cell>
          <cell r="E2950" t="str">
            <v>7,35</v>
          </cell>
        </row>
        <row r="2951">
          <cell r="A2951">
            <v>34546</v>
          </cell>
          <cell r="B2951" t="str">
            <v xml:space="preserve">MASSA PREMIUM PARA TEXTURA RUSTICA DE BASE ACRILICA, COR BRANCA, USO INTERNO E EXTERNO                                                                                                                                                                                                                                                                                                                                                                                                                    </v>
          </cell>
          <cell r="C2951" t="str">
            <v xml:space="preserve">KG    </v>
          </cell>
          <cell r="D2951" t="str">
            <v>CR</v>
          </cell>
          <cell r="E2951" t="str">
            <v>7,56</v>
          </cell>
        </row>
        <row r="2952">
          <cell r="A2952">
            <v>41387</v>
          </cell>
          <cell r="B2952" t="str">
            <v xml:space="preserve">MASTRO SIMPLES GALVANIZADO DIAMETRO NOMINAL 1 1/2"                                                                                                                                                                                                                                                                                                                                                                                                                                                        </v>
          </cell>
          <cell r="C2952" t="str">
            <v xml:space="preserve">M     </v>
          </cell>
          <cell r="D2952" t="str">
            <v>CR</v>
          </cell>
          <cell r="E2952" t="str">
            <v>57,04</v>
          </cell>
        </row>
        <row r="2953">
          <cell r="A2953">
            <v>41388</v>
          </cell>
          <cell r="B2953" t="str">
            <v xml:space="preserve">MASTRO SIMPLES GALVANIZADO DIAMETRO NOMINAL 2"                                                                                                                                                                                                                                                                                                                                                                                                                                                            </v>
          </cell>
          <cell r="C2953" t="str">
            <v xml:space="preserve">M     </v>
          </cell>
          <cell r="D2953" t="str">
            <v>CR</v>
          </cell>
          <cell r="E2953" t="str">
            <v>68,44</v>
          </cell>
        </row>
        <row r="2954">
          <cell r="A2954">
            <v>41380</v>
          </cell>
          <cell r="B2954" t="str">
            <v xml:space="preserve">MASTRO TELESCOPICO DE 4 METROS (3 M X DN= 2" + 1 M X DN= 1 1/2")                                                                                                                                                                                                                                                                                                                                                                                                                                          </v>
          </cell>
          <cell r="C2954" t="str">
            <v xml:space="preserve">UN    </v>
          </cell>
          <cell r="D2954" t="str">
            <v>CR</v>
          </cell>
          <cell r="E2954" t="str">
            <v>455,36</v>
          </cell>
        </row>
        <row r="2955">
          <cell r="A2955">
            <v>41381</v>
          </cell>
          <cell r="B2955" t="str">
            <v xml:space="preserve">MASTRO TELESCOPICO GALVANIZADO 5 METROS (3 M X DN= 2" + 2 M X DN= 1 1/2")                                                                                                                                                                                                                                                                                                                                                                                                                                 </v>
          </cell>
          <cell r="C2955" t="str">
            <v xml:space="preserve">UN    </v>
          </cell>
          <cell r="D2955" t="str">
            <v>CR</v>
          </cell>
          <cell r="E2955" t="str">
            <v>477,05</v>
          </cell>
        </row>
        <row r="2956">
          <cell r="A2956">
            <v>41382</v>
          </cell>
          <cell r="B2956" t="str">
            <v xml:space="preserve">MASTRO TELESCOPICO GALVANIZADO 6 METROS (3 M X DN= 2" + 3 M X DN= 1Â½")                                                                                                                                                                                                                                                                                                                                                                                                                                   </v>
          </cell>
          <cell r="C2956" t="str">
            <v xml:space="preserve">UN    </v>
          </cell>
          <cell r="D2956" t="str">
            <v>CR</v>
          </cell>
          <cell r="E2956" t="str">
            <v>461,75</v>
          </cell>
        </row>
        <row r="2957">
          <cell r="A2957">
            <v>41383</v>
          </cell>
          <cell r="B2957" t="str">
            <v xml:space="preserve">MASTRO TELESCOPICO GALVANIZADO 7 METROS (6 M X DN= 2" + 1 M X DN= 1 1/2")                                                                                                                                                                                                                                                                                                                                                                                                                                 </v>
          </cell>
          <cell r="C2957" t="str">
            <v xml:space="preserve">UN    </v>
          </cell>
          <cell r="D2957" t="str">
            <v>CR</v>
          </cell>
          <cell r="E2957" t="str">
            <v>626,74</v>
          </cell>
        </row>
        <row r="2958">
          <cell r="A2958">
            <v>41385</v>
          </cell>
          <cell r="B2958" t="str">
            <v xml:space="preserve">MASTRO TELESCOPICO GALVANIZADO 9 METROS (6 M X DN= 2" + 3 M X DN= 1 1/2")                                                                                                                                                                                                                                                                                                                                                                                                                                 </v>
          </cell>
          <cell r="C2958" t="str">
            <v xml:space="preserve">UN    </v>
          </cell>
          <cell r="D2958" t="str">
            <v>CR</v>
          </cell>
          <cell r="E2958" t="str">
            <v>779,89</v>
          </cell>
        </row>
        <row r="2959">
          <cell r="A2959">
            <v>11079</v>
          </cell>
          <cell r="B2959" t="str">
            <v xml:space="preserve">MATERIAL FILTRANTE (PEDREGULHO) 0,6 A 25,46 MM (POSTO PEDREIRA/FORNECEDOR, SEM FRETE)                                                                                                                                                                                                                                                                                                                                                                                                                     </v>
          </cell>
          <cell r="C2959" t="str">
            <v xml:space="preserve">M3    </v>
          </cell>
          <cell r="D2959" t="str">
            <v>CR</v>
          </cell>
          <cell r="E2959" t="str">
            <v>1.450,34</v>
          </cell>
        </row>
        <row r="2960">
          <cell r="A2960">
            <v>11082</v>
          </cell>
          <cell r="B2960" t="str">
            <v xml:space="preserve">MATERIAL FILTRANTE (PEDREGULHO) 38 A 25,4 MM (POSTO PEDREIRA/FORNECEDOR, SEM FRETE)                                                                                                                                                                                                                                                                                                                                                                                                                       </v>
          </cell>
          <cell r="C2960" t="str">
            <v xml:space="preserve">M3    </v>
          </cell>
          <cell r="D2960" t="str">
            <v>CR</v>
          </cell>
          <cell r="E2960" t="str">
            <v>1.450,34</v>
          </cell>
        </row>
        <row r="2961">
          <cell r="A2961">
            <v>4058</v>
          </cell>
          <cell r="B2961" t="str">
            <v xml:space="preserve">MECANICO DE EQUIPAMENTOS PESADOS (HORISTA)                                                                                                                                                                                                                                                                                                                                                                                                                                                                </v>
          </cell>
          <cell r="C2961" t="str">
            <v xml:space="preserve">H     </v>
          </cell>
          <cell r="D2961" t="str">
            <v>CR</v>
          </cell>
          <cell r="E2961" t="str">
            <v>32,22</v>
          </cell>
        </row>
        <row r="2962">
          <cell r="A2962">
            <v>40974</v>
          </cell>
          <cell r="B2962" t="str">
            <v xml:space="preserve">MECANICO DE EQUIPAMENTOS PESADOS (MENSALISTA)                                                                                                                                                                                                                                                                                                                                                                                                                                                             </v>
          </cell>
          <cell r="C2962" t="str">
            <v xml:space="preserve">MES   </v>
          </cell>
          <cell r="D2962" t="str">
            <v>CR</v>
          </cell>
          <cell r="E2962" t="str">
            <v>5.642,62</v>
          </cell>
        </row>
        <row r="2963">
          <cell r="A2963">
            <v>34794</v>
          </cell>
          <cell r="B2963" t="str">
            <v xml:space="preserve">MECANICO DE REFRIGERACAO (HORISTA)                                                                                                                                                                                                                                                                                                                                                                                                                                                                        </v>
          </cell>
          <cell r="C2963" t="str">
            <v xml:space="preserve">H     </v>
          </cell>
          <cell r="D2963" t="str">
            <v>CR</v>
          </cell>
          <cell r="E2963" t="str">
            <v>31,55</v>
          </cell>
        </row>
        <row r="2964">
          <cell r="A2964">
            <v>40925</v>
          </cell>
          <cell r="B2964" t="str">
            <v xml:space="preserve">MECANICO DE REFRIGERACAO (MENSALISTA)                                                                                                                                                                                                                                                                                                                                                                                                                                                                     </v>
          </cell>
          <cell r="C2964" t="str">
            <v xml:space="preserve">MES   </v>
          </cell>
          <cell r="D2964" t="str">
            <v>CR</v>
          </cell>
          <cell r="E2964" t="str">
            <v>5.525,22</v>
          </cell>
        </row>
        <row r="2965">
          <cell r="A2965">
            <v>13741</v>
          </cell>
          <cell r="B2965" t="str">
            <v xml:space="preserve">MEDIDOR DE NIVEL ESTATICO E DINAMICO PARA POCO, COMPRIMENTO DE 200 M                                                                                                                                                                                                                                                                                                                                                                                                                                      </v>
          </cell>
          <cell r="C2965" t="str">
            <v xml:space="preserve">UN    </v>
          </cell>
          <cell r="D2965" t="str">
            <v>CR</v>
          </cell>
          <cell r="E2965" t="str">
            <v>2.285,82</v>
          </cell>
        </row>
        <row r="2966">
          <cell r="A2966">
            <v>3288</v>
          </cell>
          <cell r="B2966" t="str">
            <v xml:space="preserve">MEIA CANA DE MADEIRA CEDRINHO OU EQUIVALENTE DA REGIAO, ACABAMENTO PARA FORRO PAULISTA, *2,5 X 2,5* CM                                                                                                                                                                                                                                                                                                                                                                                                    </v>
          </cell>
          <cell r="C2966" t="str">
            <v xml:space="preserve">M     </v>
          </cell>
          <cell r="D2966" t="str">
            <v xml:space="preserve">C </v>
          </cell>
          <cell r="E2966" t="str">
            <v>6,00</v>
          </cell>
        </row>
        <row r="2967">
          <cell r="A2967">
            <v>13587</v>
          </cell>
          <cell r="B2967" t="str">
            <v xml:space="preserve">MEIA CANA DE MADEIRA PINUS OU EQUIVALENTE DA REGIAO, ACABAMENTO PARA FORRO PAULISTA, *2,5 X 2,5* CM                                                                                                                                                                                                                                                                                                                                                                                                       </v>
          </cell>
          <cell r="C2967" t="str">
            <v xml:space="preserve">M     </v>
          </cell>
          <cell r="D2967" t="str">
            <v>CR</v>
          </cell>
          <cell r="E2967" t="str">
            <v>3,62</v>
          </cell>
        </row>
        <row r="2968">
          <cell r="A2968">
            <v>38598</v>
          </cell>
          <cell r="B2968" t="str">
            <v xml:space="preserve">MEIA CANALETA DE CONCRETO ESTRUTURAL 14 X 19 X 19 CM, FBK 14 MPA (NBR 6136)                                                                                                                                                                                                                                                                                                                                                                                                                               </v>
          </cell>
          <cell r="C2968" t="str">
            <v xml:space="preserve">UN    </v>
          </cell>
          <cell r="D2968" t="str">
            <v>CR</v>
          </cell>
          <cell r="E2968" t="str">
            <v>3,45</v>
          </cell>
        </row>
        <row r="2969">
          <cell r="A2969">
            <v>38595</v>
          </cell>
          <cell r="B2969" t="str">
            <v xml:space="preserve">MEIA CANALETA DE CONCRETO ESTRUTURAL 14 X 19 X 19 CM, FBK 4,5 MPA (NBR 6136)                                                                                                                                                                                                                                                                                                                                                                                                                              </v>
          </cell>
          <cell r="C2969" t="str">
            <v xml:space="preserve">UN    </v>
          </cell>
          <cell r="D2969" t="str">
            <v>CR</v>
          </cell>
          <cell r="E2969" t="str">
            <v>2,92</v>
          </cell>
        </row>
        <row r="2970">
          <cell r="A2970">
            <v>38592</v>
          </cell>
          <cell r="B2970" t="str">
            <v xml:space="preserve">MEIO BLOCO DE CONCRETO ESTRUTURAL 14 X 19 X 14 CM, FBK 14 MPA (NBR 6136)                                                                                                                                                                                                                                                                                                                                                                                                                                  </v>
          </cell>
          <cell r="C2970" t="str">
            <v xml:space="preserve">UN    </v>
          </cell>
          <cell r="D2970" t="str">
            <v>CR</v>
          </cell>
          <cell r="E2970" t="str">
            <v>2,95</v>
          </cell>
        </row>
        <row r="2971">
          <cell r="A2971">
            <v>38588</v>
          </cell>
          <cell r="B2971" t="str">
            <v xml:space="preserve">MEIO BLOCO DE CONCRETO ESTRUTURAL 14 X 19 X 14 CM, FBK 4,5 MPA (NBR 6136)                                                                                                                                                                                                                                                                                                                                                                                                                                 </v>
          </cell>
          <cell r="C2971" t="str">
            <v xml:space="preserve">UN    </v>
          </cell>
          <cell r="D2971" t="str">
            <v>CR</v>
          </cell>
          <cell r="E2971" t="str">
            <v>2,36</v>
          </cell>
        </row>
        <row r="2972">
          <cell r="A2972">
            <v>38593</v>
          </cell>
          <cell r="B2972" t="str">
            <v xml:space="preserve">MEIO BLOCO DE CONCRETO ESTRUTURAL 14 X 19 X 19 CM, FBK 14 MPA (NBR 6136)                                                                                                                                                                                                                                                                                                                                                                                                                                  </v>
          </cell>
          <cell r="C2972" t="str">
            <v xml:space="preserve">UN    </v>
          </cell>
          <cell r="D2972" t="str">
            <v>CR</v>
          </cell>
          <cell r="E2972" t="str">
            <v>3,26</v>
          </cell>
        </row>
        <row r="2973">
          <cell r="A2973">
            <v>38589</v>
          </cell>
          <cell r="B2973" t="str">
            <v xml:space="preserve">MEIO BLOCO DE CONCRETO ESTRUTURAL 14 X 19 X 19 CM, FBK 4,5 MPA (NBR 6136)                                                                                                                                                                                                                                                                                                                                                                                                                                 </v>
          </cell>
          <cell r="C2973" t="str">
            <v xml:space="preserve">UN    </v>
          </cell>
          <cell r="D2973" t="str">
            <v>CR</v>
          </cell>
          <cell r="E2973" t="str">
            <v>2,48</v>
          </cell>
        </row>
        <row r="2974">
          <cell r="A2974">
            <v>38594</v>
          </cell>
          <cell r="B2974" t="str">
            <v xml:space="preserve">MEIO BLOCO DE CONCRETO ESTRUTURAL 14 X 19 X 34 CM, FBK 14 MPA (NBR 6136)                                                                                                                                                                                                                                                                                                                                                                                                                                  </v>
          </cell>
          <cell r="C2974" t="str">
            <v xml:space="preserve">UN    </v>
          </cell>
          <cell r="D2974" t="str">
            <v>CR</v>
          </cell>
          <cell r="E2974" t="str">
            <v>5,14</v>
          </cell>
        </row>
        <row r="2975">
          <cell r="A2975">
            <v>34773</v>
          </cell>
          <cell r="B2975" t="str">
            <v xml:space="preserve">MEIO BLOCO DE VEDACAO DE CONCRETO APARENTE 14 X 19 X 19 CM  (CLASSE C - NBR 6136)                                                                                                                                                                                                                                                                                                                                                                                                                         </v>
          </cell>
          <cell r="C2975" t="str">
            <v xml:space="preserve">UN    </v>
          </cell>
          <cell r="D2975" t="str">
            <v>CR</v>
          </cell>
          <cell r="E2975" t="str">
            <v>2,44</v>
          </cell>
        </row>
        <row r="2976">
          <cell r="A2976">
            <v>34769</v>
          </cell>
          <cell r="B2976" t="str">
            <v xml:space="preserve">MEIO BLOCO DE VEDACAO DE CONCRETO APARENTE 19 X 19 X 19 CM (CLASSE C - NBR 6136)                                                                                                                                                                                                                                                                                                                                                                                                                          </v>
          </cell>
          <cell r="C2976" t="str">
            <v xml:space="preserve">UN    </v>
          </cell>
          <cell r="D2976" t="str">
            <v>CR</v>
          </cell>
          <cell r="E2976" t="str">
            <v>3,01</v>
          </cell>
        </row>
        <row r="2977">
          <cell r="A2977">
            <v>34763</v>
          </cell>
          <cell r="B2977" t="str">
            <v xml:space="preserve">MEIO BLOCO DE VEDACAO DE CONCRETO APARENTE 9  X 19 X 19 CM (CLASSE C - NBR 6136)                                                                                                                                                                                                                                                                                                                                                                                                                          </v>
          </cell>
          <cell r="C2977" t="str">
            <v xml:space="preserve">UN    </v>
          </cell>
          <cell r="D2977" t="str">
            <v>CR</v>
          </cell>
          <cell r="E2977" t="str">
            <v>1,86</v>
          </cell>
        </row>
        <row r="2978">
          <cell r="A2978">
            <v>34774</v>
          </cell>
          <cell r="B2978" t="str">
            <v xml:space="preserve">MEIO BLOCO DE VEDACAO DE CONCRETO 14 X 19 X 19 CM (CLASSE C - NBR 6136)                                                                                                                                                                                                                                                                                                                                                                                                                                   </v>
          </cell>
          <cell r="C2978" t="str">
            <v xml:space="preserve">UN    </v>
          </cell>
          <cell r="D2978" t="str">
            <v>CR</v>
          </cell>
          <cell r="E2978" t="str">
            <v>2,31</v>
          </cell>
        </row>
        <row r="2979">
          <cell r="A2979">
            <v>34771</v>
          </cell>
          <cell r="B2979" t="str">
            <v xml:space="preserve">MEIO BLOCO DE VEDACAO DE CONCRETO 19 X 19 X 19 CM (CLASSE C - NBR 6136)                                                                                                                                                                                                                                                                                                                                                                                                                                   </v>
          </cell>
          <cell r="C2979" t="str">
            <v xml:space="preserve">UN    </v>
          </cell>
          <cell r="D2979" t="str">
            <v>CR</v>
          </cell>
          <cell r="E2979" t="str">
            <v>2,79</v>
          </cell>
        </row>
        <row r="2980">
          <cell r="A2980">
            <v>34764</v>
          </cell>
          <cell r="B2980" t="str">
            <v xml:space="preserve">MEIO BLOCO DE VEDACAO DE CONCRETO 9 X 19 X 19 CM (CLASSE C - NBR 6136)                                                                                                                                                                                                                                                                                                                                                                                                                                    </v>
          </cell>
          <cell r="C2980" t="str">
            <v xml:space="preserve">UN    </v>
          </cell>
          <cell r="D2980" t="str">
            <v>CR</v>
          </cell>
          <cell r="E2980" t="str">
            <v>1,83</v>
          </cell>
        </row>
        <row r="2981">
          <cell r="A2981">
            <v>34788</v>
          </cell>
          <cell r="B2981" t="str">
            <v xml:space="preserve">MEIO BLOCO ESTRUTURAL CERAMICO 14 X 19 X 14 CM, 6,0 MPA (NBR 15270)                                                                                                                                                                                                                                                                                                                                                                                                                                       </v>
          </cell>
          <cell r="C2981" t="str">
            <v xml:space="preserve">UN    </v>
          </cell>
          <cell r="D2981" t="str">
            <v>CR</v>
          </cell>
          <cell r="E2981" t="str">
            <v>1,42</v>
          </cell>
        </row>
        <row r="2982">
          <cell r="A2982">
            <v>34781</v>
          </cell>
          <cell r="B2982" t="str">
            <v xml:space="preserve">MEIO BLOCO ESTRUTURAL CERAMICO 14 X 19 X 19 CM, 6,0 MPA (NBR 15270)                                                                                                                                                                                                                                                                                                                                                                                                                                       </v>
          </cell>
          <cell r="C2982" t="str">
            <v xml:space="preserve">UN    </v>
          </cell>
          <cell r="D2982" t="str">
            <v>CR</v>
          </cell>
          <cell r="E2982" t="str">
            <v>1,61</v>
          </cell>
        </row>
        <row r="2983">
          <cell r="A2983">
            <v>41682</v>
          </cell>
          <cell r="B2983" t="str">
            <v xml:space="preserve">MEIO-FIO OU GUIA DE CONCRETO PRE MOLDADO, COMP 1 M, *30 X 10/12* CM (H X L1/L2)                                                                                                                                                                                                                                                                                                                                                                                                                           </v>
          </cell>
          <cell r="C2983" t="str">
            <v xml:space="preserve">UN    </v>
          </cell>
          <cell r="D2983" t="str">
            <v>CR</v>
          </cell>
          <cell r="E2983" t="str">
            <v>29,72</v>
          </cell>
        </row>
        <row r="2984">
          <cell r="A2984">
            <v>41683</v>
          </cell>
          <cell r="B2984" t="str">
            <v xml:space="preserve">MEIO-FIO OU GUIA DE CONCRETO PRE MOLDADO, COMP 80 CM, *30 X 10/10* (H X L1/L2)                                                                                                                                                                                                                                                                                                                                                                                                                            </v>
          </cell>
          <cell r="C2984" t="str">
            <v xml:space="preserve">UN    </v>
          </cell>
          <cell r="D2984" t="str">
            <v>CR</v>
          </cell>
          <cell r="E2984" t="str">
            <v>21,86</v>
          </cell>
        </row>
        <row r="2985">
          <cell r="A2985">
            <v>41680</v>
          </cell>
          <cell r="B2985" t="str">
            <v xml:space="preserve">MEIO-FIO OU GUIA DE CONCRETO PRE-MOLDADO, COMP *39* CM, *19 X 6,5/6,5* CM (H X L1/L2)                                                                                                                                                                                                                                                                                                                                                                                                                     </v>
          </cell>
          <cell r="C2985" t="str">
            <v xml:space="preserve">UN    </v>
          </cell>
          <cell r="D2985" t="str">
            <v>CR</v>
          </cell>
          <cell r="E2985" t="str">
            <v>11,77</v>
          </cell>
        </row>
        <row r="2986">
          <cell r="A2986">
            <v>41679</v>
          </cell>
          <cell r="B2986" t="str">
            <v xml:space="preserve">MEIO-FIO OU GUIA DE CONCRETO PRE-MOLDADO, COMP 1 M, *20 X 12/15* CM (H X L1/L2)                                                                                                                                                                                                                                                                                                                                                                                                                           </v>
          </cell>
          <cell r="C2986" t="str">
            <v xml:space="preserve">UN    </v>
          </cell>
          <cell r="D2986" t="str">
            <v>CR</v>
          </cell>
          <cell r="E2986" t="str">
            <v>26,91</v>
          </cell>
        </row>
        <row r="2987">
          <cell r="A2987">
            <v>41681</v>
          </cell>
          <cell r="B2987" t="str">
            <v xml:space="preserve">MEIO-FIO OU GUIA DE CONCRETO PRE-MOLDADO, COMP 80 CM, *25 X 08/08* CM (H X L1/L2)                                                                                                                                                                                                                                                                                                                                                                                                                         </v>
          </cell>
          <cell r="C2987" t="str">
            <v xml:space="preserve">UN    </v>
          </cell>
          <cell r="D2987" t="str">
            <v>CR</v>
          </cell>
          <cell r="E2987" t="str">
            <v>18,41</v>
          </cell>
        </row>
        <row r="2988">
          <cell r="A2988">
            <v>43386</v>
          </cell>
          <cell r="B2988" t="str">
            <v xml:space="preserve">MEIO-FIO OU GUIA DE CONCRETO PRE-MOLDADO, TIPO CHAPEU PARA BOCA DE LOBO,  DIMENSOES *1,20* X 0,15 X 0,30 M                                                                                                                                                                                                                                                                                                                                                                                                </v>
          </cell>
          <cell r="C2988" t="str">
            <v xml:space="preserve">UN    </v>
          </cell>
          <cell r="D2988" t="str">
            <v>CR</v>
          </cell>
          <cell r="E2988" t="str">
            <v>42,05</v>
          </cell>
        </row>
        <row r="2989">
          <cell r="A2989">
            <v>4059</v>
          </cell>
          <cell r="B2989" t="str">
            <v xml:space="preserve">MEIO-FIO OU GUIA DE CONCRETO, PRE-MOLDADO, COMP 1 M, *30 X 12/15* CM (H X L1/L2)                                                                                                                                                                                                                                                                                                                                                                                                                          </v>
          </cell>
          <cell r="C2989" t="str">
            <v xml:space="preserve">M     </v>
          </cell>
          <cell r="D2989" t="str">
            <v>CR</v>
          </cell>
          <cell r="E2989" t="str">
            <v>29,72</v>
          </cell>
        </row>
        <row r="2990">
          <cell r="A2990">
            <v>4062</v>
          </cell>
          <cell r="B2990" t="str">
            <v xml:space="preserve">MEIO-FIO OU GUIA DE CONCRETO, PRE-MOLDADO, COMP 1 M, *30 X 15* CM (H X L)                                                                                                                                                                                                                                                                                                                                                                                                                                 </v>
          </cell>
          <cell r="C2990" t="str">
            <v xml:space="preserve">UN    </v>
          </cell>
          <cell r="D2990" t="str">
            <v>CR</v>
          </cell>
          <cell r="E2990" t="str">
            <v>29,72</v>
          </cell>
        </row>
        <row r="2991">
          <cell r="A2991">
            <v>4061</v>
          </cell>
          <cell r="B2991" t="str">
            <v xml:space="preserve">MEIO-FIO OU GUIA DE CONCRETO, PRE-MOLDADO, COMP 80 CM, *45 X 12/18* CM (H X L1/L2)                                                                                                                                                                                                                                                                                                                                                                                                                        </v>
          </cell>
          <cell r="C2991" t="str">
            <v xml:space="preserve">UN    </v>
          </cell>
          <cell r="D2991" t="str">
            <v>CR</v>
          </cell>
          <cell r="E2991" t="str">
            <v>37,00</v>
          </cell>
        </row>
        <row r="2992">
          <cell r="A2992">
            <v>41315</v>
          </cell>
          <cell r="B2992" t="str">
            <v xml:space="preserve">MEMBRANA IMPERMEABILIZANTE A BASE DE POLIUREIA, BICOMPONENTE, APLICACAO A FRIO                                                                                                                                                                                                                                                                                                                                                                                                                            </v>
          </cell>
          <cell r="C2992" t="str">
            <v xml:space="preserve">KG    </v>
          </cell>
          <cell r="D2992" t="str">
            <v>CR</v>
          </cell>
          <cell r="E2992" t="str">
            <v>87,13</v>
          </cell>
        </row>
        <row r="2993">
          <cell r="A2993">
            <v>43148</v>
          </cell>
          <cell r="B2993" t="str">
            <v xml:space="preserve">MEMBRANA IMPERMEABILIZANTE A BASE DE POLIURETANO                                                                                                                                                                                                                                                                                                                                                                                                                                                          </v>
          </cell>
          <cell r="C2993" t="str">
            <v xml:space="preserve">KG    </v>
          </cell>
          <cell r="D2993" t="str">
            <v>CR</v>
          </cell>
          <cell r="E2993" t="str">
            <v>59,14</v>
          </cell>
        </row>
        <row r="2994">
          <cell r="A2994">
            <v>43147</v>
          </cell>
          <cell r="B2994" t="str">
            <v xml:space="preserve">MEMBRANA IMPERMEABILIZANTE ACRILICA MONOCOMPONENTE                                                                                                                                                                                                                                                                                                                                                                                                                                                        </v>
          </cell>
          <cell r="C2994" t="str">
            <v xml:space="preserve">KG    </v>
          </cell>
          <cell r="D2994" t="str">
            <v>CR</v>
          </cell>
          <cell r="E2994" t="str">
            <v>22,90</v>
          </cell>
        </row>
        <row r="2995">
          <cell r="A2995">
            <v>10608</v>
          </cell>
          <cell r="B2995" t="str">
            <v xml:space="preserve">MESA VIBRATORIA COM DIMENSOES DE 2,0 X 1,0 M, COM MOTOR ELETRICO DE 2 POLOS E POTENCIA DE 3 CV                                                                                                                                                                                                                                                                                                                                                                                                            </v>
          </cell>
          <cell r="C2995" t="str">
            <v xml:space="preserve">UN    </v>
          </cell>
          <cell r="D2995" t="str">
            <v xml:space="preserve">C </v>
          </cell>
          <cell r="E2995" t="str">
            <v>9.614,80</v>
          </cell>
        </row>
        <row r="2996">
          <cell r="A2996">
            <v>4069</v>
          </cell>
          <cell r="B2996" t="str">
            <v xml:space="preserve">MESTRE DE OBRAS (HORISTA)                                                                                                                                                                                                                                                                                                                                                                                                                                                                                 </v>
          </cell>
          <cell r="C2996" t="str">
            <v xml:space="preserve">H     </v>
          </cell>
          <cell r="D2996" t="str">
            <v>CR</v>
          </cell>
          <cell r="E2996" t="str">
            <v>71,40</v>
          </cell>
        </row>
        <row r="2997">
          <cell r="A2997">
            <v>40819</v>
          </cell>
          <cell r="B2997" t="str">
            <v xml:space="preserve">MESTRE DE OBRAS (MENSALISTA)                                                                                                                                                                                                                                                                                                                                                                                                                                                                              </v>
          </cell>
          <cell r="C2997" t="str">
            <v xml:space="preserve">MES   </v>
          </cell>
          <cell r="D2997" t="str">
            <v>CR</v>
          </cell>
          <cell r="E2997" t="str">
            <v>12.497,22</v>
          </cell>
        </row>
        <row r="2998">
          <cell r="A2998">
            <v>34361</v>
          </cell>
          <cell r="B2998" t="str">
            <v xml:space="preserve">METACAULIM DE ALTA REATIVIDADE/CAULIM CALCINADO                                                                                                                                                                                                                                                                                                                                                                                                                                                           </v>
          </cell>
          <cell r="C2998" t="str">
            <v xml:space="preserve">KG    </v>
          </cell>
          <cell r="D2998" t="str">
            <v>CR</v>
          </cell>
          <cell r="E2998" t="str">
            <v>16,67</v>
          </cell>
        </row>
        <row r="2999">
          <cell r="A2999">
            <v>36512</v>
          </cell>
          <cell r="B2999" t="str">
            <v xml:space="preserve">MICRO-TRATOR CORTADOR DE GRAMA COM LARGURA DO CORTE DE 107 CM, COM  2 LAMINAS E DESCARTE LATERAL                                                                                                                                                                                                                                                                                                                                                                                                          </v>
          </cell>
          <cell r="C2999" t="str">
            <v xml:space="preserve">UN    </v>
          </cell>
          <cell r="D2999" t="str">
            <v>CR</v>
          </cell>
          <cell r="E2999" t="str">
            <v>19.278,72</v>
          </cell>
        </row>
        <row r="3000">
          <cell r="A3000">
            <v>44478</v>
          </cell>
          <cell r="B3000" t="str">
            <v xml:space="preserve">MICROESFERAS DE VIDRO PARA SINALIZACAO HORIZONTAL VIARIA, TIPO I-B (PREMIX) - NBR  16184                                                                                                                                                                                                                                                                                                                                                                                                                  </v>
          </cell>
          <cell r="C3000" t="str">
            <v xml:space="preserve">KG    </v>
          </cell>
          <cell r="D3000" t="str">
            <v>CR</v>
          </cell>
          <cell r="E3000" t="str">
            <v>13,12</v>
          </cell>
        </row>
        <row r="3001">
          <cell r="A3001">
            <v>44477</v>
          </cell>
          <cell r="B3001" t="str">
            <v xml:space="preserve">MICROESFERAS DE VIDRO PARA SINALIZACAO HORIZONTAL VIARIA, TIPO II-A (DROP-ON) - NBR  16184                                                                                                                                                                                                                                                                                                                                                                                                                </v>
          </cell>
          <cell r="C3001" t="str">
            <v xml:space="preserve">KG    </v>
          </cell>
          <cell r="D3001" t="str">
            <v>CR</v>
          </cell>
          <cell r="E3001" t="str">
            <v>13,12</v>
          </cell>
        </row>
        <row r="3002">
          <cell r="A3002">
            <v>11697</v>
          </cell>
          <cell r="B3002" t="str">
            <v xml:space="preserve">MICTORIO COLETIVO ACO INOX (AISI 304), E = 0,8 MM, DE *100 X 40 X 30* CM (C X A X P)                                                                                                                                                                                                                                                                                                                                                                                                                      </v>
          </cell>
          <cell r="C3002" t="str">
            <v xml:space="preserve">UN    </v>
          </cell>
          <cell r="D3002" t="str">
            <v>CR</v>
          </cell>
          <cell r="E3002" t="str">
            <v>598,35</v>
          </cell>
        </row>
        <row r="3003">
          <cell r="A3003">
            <v>11698</v>
          </cell>
          <cell r="B3003" t="str">
            <v xml:space="preserve">MICTORIO COLETIVO ACO INOX (AISI 304), E = 0,8 MM, DE *100 X 50 X 35* CM (C X A X P)                                                                                                                                                                                                                                                                                                                                                                                                                      </v>
          </cell>
          <cell r="C3003" t="str">
            <v xml:space="preserve">UN    </v>
          </cell>
          <cell r="D3003" t="str">
            <v>CR</v>
          </cell>
          <cell r="E3003" t="str">
            <v>713,79</v>
          </cell>
        </row>
        <row r="3004">
          <cell r="A3004">
            <v>11699</v>
          </cell>
          <cell r="B3004" t="str">
            <v xml:space="preserve">MICTORIO INDIVIDUAL ACO INOX (AISI 304), E = 0,8 MM, DE *50  X 45  X 35* (C X A X P)                                                                                                                                                                                                                                                                                                                                                                                                                      </v>
          </cell>
          <cell r="C3004" t="str">
            <v xml:space="preserve">UN    </v>
          </cell>
          <cell r="D3004" t="str">
            <v>CR</v>
          </cell>
          <cell r="E3004" t="str">
            <v>788,90</v>
          </cell>
        </row>
        <row r="3005">
          <cell r="A3005">
            <v>10432</v>
          </cell>
          <cell r="B3005" t="str">
            <v xml:space="preserve">MICTORIO INDIVIDUAL, SIFONADO, DE LOUCA BRANCA, SEM COMPLEMENTOS                                                                                                                                                                                                                                                                                                                                                                                                                                          </v>
          </cell>
          <cell r="C3005" t="str">
            <v xml:space="preserve">UN    </v>
          </cell>
          <cell r="D3005" t="str">
            <v>CR</v>
          </cell>
          <cell r="E3005" t="str">
            <v>344,05</v>
          </cell>
        </row>
        <row r="3006">
          <cell r="A3006">
            <v>44020</v>
          </cell>
          <cell r="B3006" t="str">
            <v xml:space="preserve">MICTORIO INDIVIDUAL, SIFONADO, VALVULA EMBUTIDA, DE LOUCA BRANCA, SEM COMPLEMENTOS - PADRAO ALTO                                                                                                                                                                                                                                                                                                                                                                                                          </v>
          </cell>
          <cell r="C3006" t="str">
            <v xml:space="preserve">UN    </v>
          </cell>
          <cell r="D3006" t="str">
            <v>CR</v>
          </cell>
          <cell r="E3006" t="str">
            <v>848,82</v>
          </cell>
        </row>
        <row r="3007">
          <cell r="A3007">
            <v>41420</v>
          </cell>
          <cell r="B3007" t="str">
            <v xml:space="preserve">MINICAPTOR, EM ACO GALVANIZADO A FOGO, FIXACAO COM ROSCA SOBERBA OU MECANICA, H=600 MM X DN=10 MM                                                                                                                                                                                                                                                                                                                                                                                                         </v>
          </cell>
          <cell r="C3007" t="str">
            <v xml:space="preserve">UN    </v>
          </cell>
          <cell r="D3007" t="str">
            <v>CR</v>
          </cell>
          <cell r="E3007" t="str">
            <v>11,61</v>
          </cell>
        </row>
        <row r="3008">
          <cell r="A3008">
            <v>41422</v>
          </cell>
          <cell r="B3008" t="str">
            <v xml:space="preserve">MINICAPTOR, EM ACO GALVANIZADO A FOGO, FIXACAO HORIZONTAL COM BANDEIRA A 20 CM, H=600 MM E X DN=10 MM                                                                                                                                                                                                                                                                                                                                                                                                     </v>
          </cell>
          <cell r="C3008" t="str">
            <v xml:space="preserve">UN    </v>
          </cell>
          <cell r="D3008" t="str">
            <v>CR</v>
          </cell>
          <cell r="E3008" t="str">
            <v>15,85</v>
          </cell>
        </row>
        <row r="3009">
          <cell r="A3009">
            <v>41425</v>
          </cell>
          <cell r="B3009" t="str">
            <v xml:space="preserve">MINICAPTOR, EM ACO GALVANIZADO A FOGO, FIXACAO HORIZONTAL DE 1 FUROS, SEM BANDEIRA, H=300 MM X DN=10 MM                                                                                                                                                                                                                                                                                                                                                                                                   </v>
          </cell>
          <cell r="C3009" t="str">
            <v xml:space="preserve">UN    </v>
          </cell>
          <cell r="D3009" t="str">
            <v>CR</v>
          </cell>
          <cell r="E3009" t="str">
            <v>8,11</v>
          </cell>
        </row>
        <row r="3010">
          <cell r="A3010">
            <v>41426</v>
          </cell>
          <cell r="B3010" t="str">
            <v xml:space="preserve">MINICAPTOR, EM ACO GALVANIZADO A FOGO, FIXACAO HORIZONTAL DE 2 FUROS, SEM BANDEIRA, H=600 MM X DN=10 MM                                                                                                                                                                                                                                                                                                                                                                                                   </v>
          </cell>
          <cell r="C3010" t="str">
            <v xml:space="preserve">UN    </v>
          </cell>
          <cell r="D3010" t="str">
            <v>CR</v>
          </cell>
          <cell r="E3010" t="str">
            <v>14,63</v>
          </cell>
        </row>
        <row r="3011">
          <cell r="A3011">
            <v>41419</v>
          </cell>
          <cell r="B3011" t="str">
            <v xml:space="preserve">MINICAPTOR, EM ACO GALVANIZADO A FOGO,Â  FIXACAO COM ROSCA SOBERBA OU MECANICA, H=300 MM X DN=10 MM                                                                                                                                                                                                                                                                                                                                                                                                       </v>
          </cell>
          <cell r="C3011" t="str">
            <v xml:space="preserve">UN    </v>
          </cell>
          <cell r="D3011" t="str">
            <v>CR</v>
          </cell>
          <cell r="E3011" t="str">
            <v>8,53</v>
          </cell>
        </row>
        <row r="3012">
          <cell r="A3012">
            <v>41421</v>
          </cell>
          <cell r="B3012" t="str">
            <v xml:space="preserve">MINICAPTOR, EM ACO GALVANIZADO A FOGO,Â  FIXACAO HORIZONTAL COM BANDEIRA A 20 CM, H=300 MM E X DN=10 MM                                                                                                                                                                                                                                                                                                                                                                                                   </v>
          </cell>
          <cell r="C3012" t="str">
            <v xml:space="preserve">UN    </v>
          </cell>
          <cell r="D3012" t="str">
            <v>CR</v>
          </cell>
          <cell r="E3012" t="str">
            <v>11,58</v>
          </cell>
        </row>
        <row r="3013">
          <cell r="A3013">
            <v>41414</v>
          </cell>
          <cell r="B3013" t="str">
            <v xml:space="preserve">MINICAPTORES DE INSERCAO, EM ACO GALVANIZADO A FOGO, H=300 MM X DN=10 MM                                                                                                                                                                                                                                                                                                                                                                                                                                  </v>
          </cell>
          <cell r="C3013" t="str">
            <v xml:space="preserve">UN    </v>
          </cell>
          <cell r="D3013" t="str">
            <v>CR</v>
          </cell>
          <cell r="E3013" t="str">
            <v>26,85</v>
          </cell>
        </row>
        <row r="3014">
          <cell r="A3014">
            <v>41415</v>
          </cell>
          <cell r="B3014" t="str">
            <v xml:space="preserve">MINICAPTORES DE INSERCAO, EM ACO GALVANIZADO A FOGO, H=600,MM X DN=10,MM                                                                                                                                                                                                                                                                                                                                                                                                                                  </v>
          </cell>
          <cell r="C3014" t="str">
            <v xml:space="preserve">UN    </v>
          </cell>
          <cell r="D3014" t="str">
            <v>CR</v>
          </cell>
          <cell r="E3014" t="str">
            <v>31,27</v>
          </cell>
        </row>
        <row r="3015">
          <cell r="A3015">
            <v>37514</v>
          </cell>
          <cell r="B3015" t="str">
            <v xml:space="preserve">MINICARREGADEIRA SOBRE RODAS, POTENCIA LIQUIDA DE *47* HP, CAPACIDADE NOMINAL DE OPERACAO DE *646* KG                                                                                                                                                                                                                                                                                                                                                                                                     </v>
          </cell>
          <cell r="C3015" t="str">
            <v xml:space="preserve">UN    </v>
          </cell>
          <cell r="D3015" t="str">
            <v xml:space="preserve">C </v>
          </cell>
          <cell r="E3015" t="str">
            <v>320.000,00</v>
          </cell>
        </row>
        <row r="3016">
          <cell r="A3016">
            <v>37519</v>
          </cell>
          <cell r="B3016" t="str">
            <v xml:space="preserve">MINICARREGADEIRA SOBRE RODAS, POTENCIA LIQUIDA DE *72* HP, CAPACIDADE NOMINAL DE OPERACAO DE *1200* KG                                                                                                                                                                                                                                                                                                                                                                                                    </v>
          </cell>
          <cell r="C3016" t="str">
            <v xml:space="preserve">UN    </v>
          </cell>
          <cell r="D3016" t="str">
            <v>CR</v>
          </cell>
          <cell r="E3016" t="str">
            <v>493.853,88</v>
          </cell>
        </row>
        <row r="3017">
          <cell r="A3017">
            <v>37520</v>
          </cell>
          <cell r="B3017" t="str">
            <v xml:space="preserve">MINIESCAVADEIRA SOBRE ESTEIRAS, POTENCIA LIQUIDA DE *30* HP, PESO OPERACIONAL DE *3.500* KG                                                                                                                                                                                                                                                                                                                                                                                                               </v>
          </cell>
          <cell r="C3017" t="str">
            <v xml:space="preserve">UN    </v>
          </cell>
          <cell r="D3017" t="str">
            <v>CR</v>
          </cell>
          <cell r="E3017" t="str">
            <v>485.757,92</v>
          </cell>
        </row>
        <row r="3018">
          <cell r="A3018">
            <v>37521</v>
          </cell>
          <cell r="B3018" t="str">
            <v xml:space="preserve">MINIESCAVADEIRA SOBRE ESTEIRAS, POTENCIA LIQUIDA DE *42* HP, PESO OPERACIONAL DE *4.500* KG                                                                                                                                                                                                                                                                                                                                                                                                               </v>
          </cell>
          <cell r="C3018" t="str">
            <v xml:space="preserve">UN    </v>
          </cell>
          <cell r="D3018" t="str">
            <v>CR</v>
          </cell>
          <cell r="E3018" t="str">
            <v>592.624,67</v>
          </cell>
        </row>
        <row r="3019">
          <cell r="A3019">
            <v>37522</v>
          </cell>
          <cell r="B3019" t="str">
            <v xml:space="preserve">MINIESCAVADEIRA SOBRE ESTEIRAS, POTENCIA LIQUIDA DE *42* HP, PESO OPERACIONAL DE *5.300* KG                                                                                                                                                                                                                                                                                                                                                                                                               </v>
          </cell>
          <cell r="C3019" t="str">
            <v xml:space="preserve">UN    </v>
          </cell>
          <cell r="D3019" t="str">
            <v>CR</v>
          </cell>
          <cell r="E3019" t="str">
            <v>610.454,24</v>
          </cell>
        </row>
        <row r="3020">
          <cell r="A3020">
            <v>21109</v>
          </cell>
          <cell r="B3020" t="str">
            <v xml:space="preserve">MINUTERIA ELETRONICA COLETIVA COM POTENCIA MAXIMA RESISTIVA PARA LAMPADAS FLUORESCENTES DE *300* W ( 110 V ) / *600* W ( 110 V )                                                                                                                                                                                                                                                                                                                                                                          </v>
          </cell>
          <cell r="C3020" t="str">
            <v xml:space="preserve">UN    </v>
          </cell>
          <cell r="D3020" t="str">
            <v>CR</v>
          </cell>
          <cell r="E3020" t="str">
            <v>66,54</v>
          </cell>
        </row>
        <row r="3021">
          <cell r="A3021">
            <v>37546</v>
          </cell>
          <cell r="B3021" t="str">
            <v xml:space="preserve">MISTURADOR DE ARGAMASSA, EIXO HORIZONTAL, CAPACIDADE DE MISTURA 160 KG, MOTOR ELETRICO TRIFASICO 220/380 V, POTENCIA 3 CV                                                                                                                                                                                                                                                                                                                                                                                 </v>
          </cell>
          <cell r="C3021" t="str">
            <v xml:space="preserve">UN    </v>
          </cell>
          <cell r="D3021" t="str">
            <v>CR</v>
          </cell>
          <cell r="E3021" t="str">
            <v>12.028,65</v>
          </cell>
        </row>
        <row r="3022">
          <cell r="A3022">
            <v>37544</v>
          </cell>
          <cell r="B3022" t="str">
            <v xml:space="preserve">MISTURADOR DE ARGAMASSA, EIXO HORIZONTAL, CAPACIDADE DE MISTURA 300 KG, MOTOR ELETRICO TRIFASICO 220/380 V, POTENCIA 5 CV                                                                                                                                                                                                                                                                                                                                                                                 </v>
          </cell>
          <cell r="C3022" t="str">
            <v xml:space="preserve">UN    </v>
          </cell>
          <cell r="D3022" t="str">
            <v>CR</v>
          </cell>
          <cell r="E3022" t="str">
            <v>12.722,32</v>
          </cell>
        </row>
        <row r="3023">
          <cell r="A3023">
            <v>37545</v>
          </cell>
          <cell r="B3023" t="str">
            <v xml:space="preserve">MISTURADOR DE ARGAMASSA, EIXO HORIZONTAL, CAPACIDADE DE MISTURA 600 KG, MOTOR ELETRICO TRIFASICO 220/380 V, POTENCIA 7,5 CV                                                                                                                                                                                                                                                                                                                                                                               </v>
          </cell>
          <cell r="C3023" t="str">
            <v xml:space="preserve">UN    </v>
          </cell>
          <cell r="D3023" t="str">
            <v>CR</v>
          </cell>
          <cell r="E3023" t="str">
            <v>15.137,86</v>
          </cell>
        </row>
        <row r="3024">
          <cell r="A3024">
            <v>36793</v>
          </cell>
          <cell r="B3024" t="str">
            <v xml:space="preserve">MISTURADOR DE METAL CROMADO DE PAREDE PARA LAVATORIO (REF 1878)                                                                                                                                                                                                                                                                                                                                                                                                                                           </v>
          </cell>
          <cell r="C3024" t="str">
            <v xml:space="preserve">UN    </v>
          </cell>
          <cell r="D3024" t="str">
            <v>CR</v>
          </cell>
          <cell r="E3024" t="str">
            <v>736,51</v>
          </cell>
        </row>
        <row r="3025">
          <cell r="A3025">
            <v>11769</v>
          </cell>
          <cell r="B3025" t="str">
            <v xml:space="preserve">MISTURADOR DE METAL CROMADO, DE MESA/BANCADA, COM BICA BAIXA, PARA LAVATORIO (REF 1875)                                                                                                                                                                                                                                                                                                                                                                                                                   </v>
          </cell>
          <cell r="C3025" t="str">
            <v xml:space="preserve">UN    </v>
          </cell>
          <cell r="D3025" t="str">
            <v>CR</v>
          </cell>
          <cell r="E3025" t="str">
            <v>325,48</v>
          </cell>
        </row>
        <row r="3026">
          <cell r="A3026">
            <v>11771</v>
          </cell>
          <cell r="B3026" t="str">
            <v xml:space="preserve">MISTURADOR DE PAREDE, DE METAL CROMADO, PARA COZINHA, BICA ALTA MOVEL, COM AREJADOR ARTICULADO (REF 1258)                                                                                                                                                                                                                                                                                                                                                                                                 </v>
          </cell>
          <cell r="C3026" t="str">
            <v xml:space="preserve">UN    </v>
          </cell>
          <cell r="D3026" t="str">
            <v>CR</v>
          </cell>
          <cell r="E3026" t="str">
            <v>398,67</v>
          </cell>
        </row>
        <row r="3027">
          <cell r="A3027">
            <v>39919</v>
          </cell>
          <cell r="B3027" t="str">
            <v xml:space="preserve">MISTURADOR DUPLO HORIZONTAL DE ALTA TURBULENCIA, CAPACIDADE / VOLUME 2 X 500 LITROS, MOTORES ELETRICOS MINIMO 5 CV CADA,  PARA NATA CIMENTO, ARGAMASSA E OUTROS                                                                                                                                                                                                                                                                                                                                           </v>
          </cell>
          <cell r="C3027" t="str">
            <v xml:space="preserve">UN    </v>
          </cell>
          <cell r="D3027" t="str">
            <v>CR</v>
          </cell>
          <cell r="E3027" t="str">
            <v>60.210,08</v>
          </cell>
        </row>
        <row r="3028">
          <cell r="A3028">
            <v>38385</v>
          </cell>
          <cell r="B3028" t="str">
            <v xml:space="preserve">MISTURADOR MANUAL DE TINTAS PARA FURADEIRA, HASTE METALICA *60* CM, COM HELICE  (MEXEDOR DE TINTA)                                                                                                                                                                                                                                                                                                                                                                                                        </v>
          </cell>
          <cell r="C3028" t="str">
            <v xml:space="preserve">UN    </v>
          </cell>
          <cell r="D3028" t="str">
            <v>CR</v>
          </cell>
          <cell r="E3028" t="str">
            <v>57,31</v>
          </cell>
        </row>
        <row r="3029">
          <cell r="A3029">
            <v>36800</v>
          </cell>
          <cell r="B3029" t="str">
            <v xml:space="preserve">MISTURADOR METALICO, BASE PARA CHUVEIRO/BANHEIRA, 1/2 " OU 3/4 ", SOLDAVEL OU ROSCAVEL (NAO INCLUI ACABAMENTOS)                                                                                                                                                                                                                                                                                                                                                                                           </v>
          </cell>
          <cell r="C3029" t="str">
            <v xml:space="preserve">UN    </v>
          </cell>
          <cell r="D3029" t="str">
            <v>CR</v>
          </cell>
          <cell r="E3029" t="str">
            <v>195,57</v>
          </cell>
        </row>
        <row r="3030">
          <cell r="A3030">
            <v>37587</v>
          </cell>
          <cell r="B3030" t="str">
            <v xml:space="preserve">MISTURADOR MONOCOMANDO PARA CHUVEIRO, BASE BRUTA, METALICO COM ACABAMENTO CROMADO                                                                                                                                                                                                                                                                                                                                                                                                                         </v>
          </cell>
          <cell r="C3030" t="str">
            <v xml:space="preserve">UN    </v>
          </cell>
          <cell r="D3030" t="str">
            <v>CR</v>
          </cell>
          <cell r="E3030" t="str">
            <v>429,68</v>
          </cell>
        </row>
        <row r="3031">
          <cell r="A3031">
            <v>11561</v>
          </cell>
          <cell r="B3031" t="str">
            <v xml:space="preserve">MOLA HIDRAULICA AEREA, PARA PORTAS DE ATE 1.100 MM E PESO DE ATE 85 KG, COM CORPO EM ALUMINIO E BRACO EM ACO, SEM BRACO DE PARADA                                                                                                                                                                                                                                                                                                                                                                         </v>
          </cell>
          <cell r="C3031" t="str">
            <v xml:space="preserve">UN    </v>
          </cell>
          <cell r="D3031" t="str">
            <v>CR</v>
          </cell>
          <cell r="E3031" t="str">
            <v>210,75</v>
          </cell>
        </row>
        <row r="3032">
          <cell r="A3032">
            <v>43604</v>
          </cell>
          <cell r="B3032" t="str">
            <v xml:space="preserve">MOLA HIDRAULICA AEREA, PARA PORTAS DE ATE 850 MM E PESO DE ATE 50 KG, COM CORPO EM ALUMINIO E BRACO EM ACO, SEM BRACO DE PARADA                                                                                                                                                                                                                                                                                                                                                                           </v>
          </cell>
          <cell r="C3032" t="str">
            <v xml:space="preserve">UN    </v>
          </cell>
          <cell r="D3032" t="str">
            <v>CR</v>
          </cell>
          <cell r="E3032" t="str">
            <v>112,35</v>
          </cell>
        </row>
        <row r="3033">
          <cell r="A3033">
            <v>11560</v>
          </cell>
          <cell r="B3033" t="str">
            <v xml:space="preserve">MOLA HIDRAULICA AEREA, PARA PORTAS DE ATE 950 MM E PESO DE ATE 65 KG, COM CORPO EM ALUMINIO E BRACO EM ACO, SEM BRACO DE PARADA                                                                                                                                                                                                                                                                                                                                                                           </v>
          </cell>
          <cell r="C3033" t="str">
            <v xml:space="preserve">UN    </v>
          </cell>
          <cell r="D3033" t="str">
            <v>CR</v>
          </cell>
          <cell r="E3033" t="str">
            <v>162,66</v>
          </cell>
        </row>
        <row r="3034">
          <cell r="A3034">
            <v>11499</v>
          </cell>
          <cell r="B3034" t="str">
            <v xml:space="preserve">MOLA HIDRAULICA DE PISO, PARA PORTAS DE ATE 1100 MM E PESO DE ATE 120 KG, COM CORPO EM ACO INOX                                                                                                                                                                                                                                                                                                                                                                                                           </v>
          </cell>
          <cell r="C3034" t="str">
            <v xml:space="preserve">UN    </v>
          </cell>
          <cell r="D3034" t="str">
            <v>CR</v>
          </cell>
          <cell r="E3034" t="str">
            <v>1.279,37</v>
          </cell>
        </row>
        <row r="3035">
          <cell r="A3035">
            <v>34761</v>
          </cell>
          <cell r="B3035" t="str">
            <v xml:space="preserve">MONTADOR DE ELETROELETRONICOS (HORISTA)                                                                                                                                                                                                                                                                                                                                                                                                                                                                   </v>
          </cell>
          <cell r="C3035" t="str">
            <v xml:space="preserve">H     </v>
          </cell>
          <cell r="D3035" t="str">
            <v>CR</v>
          </cell>
          <cell r="E3035" t="str">
            <v>31,14</v>
          </cell>
        </row>
        <row r="3036">
          <cell r="A3036">
            <v>40924</v>
          </cell>
          <cell r="B3036" t="str">
            <v xml:space="preserve">MONTADOR DE ELETROELETRONICOS (MENSALISTA)                                                                                                                                                                                                                                                                                                                                                                                                                                                                </v>
          </cell>
          <cell r="C3036" t="str">
            <v xml:space="preserve">MES   </v>
          </cell>
          <cell r="D3036" t="str">
            <v>CR</v>
          </cell>
          <cell r="E3036" t="str">
            <v>5.452,10</v>
          </cell>
        </row>
        <row r="3037">
          <cell r="A3037">
            <v>40983</v>
          </cell>
          <cell r="B3037" t="str">
            <v xml:space="preserve">MONTADOR DE ESTRUTURAS METALICAS (MENSALISTA)                                                                                                                                                                                                                                                                                                                                                                                                                                                             </v>
          </cell>
          <cell r="C3037" t="str">
            <v xml:space="preserve">MES   </v>
          </cell>
          <cell r="D3037" t="str">
            <v>CR</v>
          </cell>
          <cell r="E3037" t="str">
            <v>3.585,48</v>
          </cell>
        </row>
        <row r="3038">
          <cell r="A3038">
            <v>44497</v>
          </cell>
          <cell r="B3038" t="str">
            <v xml:space="preserve">MONTADOR DE ESTRUTURAS METALICAS HORISTA                                                                                                                                                                                                                                                                                                                                                                                                                                                                  </v>
          </cell>
          <cell r="C3038" t="str">
            <v xml:space="preserve">H     </v>
          </cell>
          <cell r="D3038" t="str">
            <v>CR</v>
          </cell>
          <cell r="E3038" t="str">
            <v>20,47</v>
          </cell>
        </row>
        <row r="3039">
          <cell r="A3039">
            <v>2437</v>
          </cell>
          <cell r="B3039" t="str">
            <v xml:space="preserve">MONTADOR DE MAQUINAS (HORISTA)                                                                                                                                                                                                                                                                                                                                                                                                                                                                            </v>
          </cell>
          <cell r="C3039" t="str">
            <v xml:space="preserve">H     </v>
          </cell>
          <cell r="D3039" t="str">
            <v>CR</v>
          </cell>
          <cell r="E3039" t="str">
            <v>24,55</v>
          </cell>
        </row>
        <row r="3040">
          <cell r="A3040">
            <v>40921</v>
          </cell>
          <cell r="B3040" t="str">
            <v xml:space="preserve">MONTADOR DE MAQUINAS (MENSALISTA)                                                                                                                                                                                                                                                                                                                                                                                                                                                                         </v>
          </cell>
          <cell r="C3040" t="str">
            <v xml:space="preserve">MES   </v>
          </cell>
          <cell r="D3040" t="str">
            <v>CR</v>
          </cell>
          <cell r="E3040" t="str">
            <v>4.296,51</v>
          </cell>
        </row>
        <row r="3041">
          <cell r="A3041">
            <v>14252</v>
          </cell>
          <cell r="B3041" t="str">
            <v xml:space="preserve">MOTOBOMBA AUTOESCORVANTE MOTOR A GASOLINA, POTENCIA 6,0HP, BOCAIS 3" X 3", HM/Q = 5 MCA / 24 M3/H A 52,5 MCA / 5,0 M3/H                                                                                                                                                                                                                                                                                                                                                                                   </v>
          </cell>
          <cell r="C3041" t="str">
            <v xml:space="preserve">UN    </v>
          </cell>
          <cell r="D3041" t="str">
            <v>CR</v>
          </cell>
          <cell r="E3041" t="str">
            <v>4.302,77</v>
          </cell>
        </row>
        <row r="3042">
          <cell r="A3042">
            <v>730</v>
          </cell>
          <cell r="B3042" t="str">
            <v xml:space="preserve">MOTOBOMBA AUTOESCORVANTE MOTOR ELETRICO TRIFASICO 7,4HP BOCA DIAMETRO DE SUCCAO X RECLAQUE: 2"X2", HM/ Q = 10 M / 73,5 M3/H A 28 M / 8,2 M3 /H                                                                                                                                                                                                                                                                                                                                                            </v>
          </cell>
          <cell r="C3042" t="str">
            <v xml:space="preserve">UN    </v>
          </cell>
          <cell r="D3042" t="str">
            <v>CR</v>
          </cell>
          <cell r="E3042" t="str">
            <v>11.496,19</v>
          </cell>
        </row>
        <row r="3043">
          <cell r="A3043">
            <v>723</v>
          </cell>
          <cell r="B3043" t="str">
            <v xml:space="preserve">MOTOBOMBA AUTOESCORVANTE POTENCIA 5,42 HP, BOCAIS SUCCAO X RECALQUE 2" X 2", A GASOLINA, DIAMETRO DO ROTOR 122 MM HM/Q = 6 MCA / 33,0 M3/H A 28 MCA / 8,0 M3/H                                                                                                                                                                                                                                                                                                                                            </v>
          </cell>
          <cell r="C3043" t="str">
            <v xml:space="preserve">UN    </v>
          </cell>
          <cell r="D3043" t="str">
            <v>CR</v>
          </cell>
          <cell r="E3043" t="str">
            <v>5.714,01</v>
          </cell>
        </row>
        <row r="3044">
          <cell r="A3044">
            <v>36502</v>
          </cell>
          <cell r="B3044" t="str">
            <v xml:space="preserve">MOTOBOMBA CENTRIFUGA, MOTOR A GASOLINA, POTENCIA 5,42 HP, BOCAIS 1 1/2" X 1", DIAMETRO ROTOR 143 MM HM/Q = 6 MCA / 16,8 M3/H A 38 MCA / 6,6 M3/H                                                                                                                                                                                                                                                                                                                                                          </v>
          </cell>
          <cell r="C3044" t="str">
            <v xml:space="preserve">UN    </v>
          </cell>
          <cell r="D3044" t="str">
            <v>CR</v>
          </cell>
          <cell r="E3044" t="str">
            <v>5.370,49</v>
          </cell>
        </row>
        <row r="3045">
          <cell r="A3045">
            <v>36503</v>
          </cell>
          <cell r="B3045" t="str">
            <v xml:space="preserve">MOTOBOMBA TRASH (PARA AGUA SUJA) AUTO ESCORVANTE, MOTOR GASOLINA DE 6,41 HP, DIAMETROS DE SUCCAO X RECALQUE: 3" X 3", HM/Q: 10/60 A 23/0                                                                                                                                                                                                                                                                                                                                                                  </v>
          </cell>
          <cell r="C3045" t="str">
            <v xml:space="preserve">UN    </v>
          </cell>
          <cell r="D3045" t="str">
            <v>CR</v>
          </cell>
          <cell r="E3045" t="str">
            <v>6.622,44</v>
          </cell>
        </row>
        <row r="3046">
          <cell r="A3046">
            <v>4090</v>
          </cell>
          <cell r="B3046" t="str">
            <v xml:space="preserve">MOTONIVELADORA POTENCIA BASICA LIQUIDA (PRIMEIRA MARCHA) 125 HP , PESO BRUTO 13843 KG, LARGURA DA LAMINA DE 3,7 M                                                                                                                                                                                                                                                                                                                                                                                         </v>
          </cell>
          <cell r="C3046" t="str">
            <v xml:space="preserve">UN    </v>
          </cell>
          <cell r="D3046" t="str">
            <v xml:space="preserve">C </v>
          </cell>
          <cell r="E3046" t="str">
            <v>1.170.000,00</v>
          </cell>
        </row>
        <row r="3047">
          <cell r="A3047">
            <v>13227</v>
          </cell>
          <cell r="B3047" t="str">
            <v xml:space="preserve">MOTONIVELADORA POTENCIA BASICA LIQUIDA (PRIMEIRA MARCHA) 171 HP, PESO BRUTO 14768 KG, LARGURA DA LAMINA DE 3,7 M                                                                                                                                                                                                                                                                                                                                                                                          </v>
          </cell>
          <cell r="C3047" t="str">
            <v xml:space="preserve">UN    </v>
          </cell>
          <cell r="D3047" t="str">
            <v>CR</v>
          </cell>
          <cell r="E3047" t="str">
            <v>1.453.870,89</v>
          </cell>
        </row>
        <row r="3048">
          <cell r="A3048">
            <v>10597</v>
          </cell>
          <cell r="B3048" t="str">
            <v xml:space="preserve">MOTONIVELADORA POTENCIA BASICA LIQUIDA (PRIMEIRA MARCHA) 186 HP, PESO BRUTO 15785 KG, LARGURA DA LAMINA DE 4,3 M                                                                                                                                                                                                                                                                                                                                                                                          </v>
          </cell>
          <cell r="C3048" t="str">
            <v xml:space="preserve">UN    </v>
          </cell>
          <cell r="D3048" t="str">
            <v>CR</v>
          </cell>
          <cell r="E3048" t="str">
            <v>1.530.386,67</v>
          </cell>
        </row>
        <row r="3049">
          <cell r="A3049">
            <v>39628</v>
          </cell>
          <cell r="B3049" t="str">
            <v xml:space="preserve">MOTOR A DIESEL PARA VIBRADOR DE IMERSAO, DE *4,7* CV                                                                                                                                                                                                                                                                                                                                                                                                                                                      </v>
          </cell>
          <cell r="C3049" t="str">
            <v xml:space="preserve">UN    </v>
          </cell>
          <cell r="D3049" t="str">
            <v>CR</v>
          </cell>
          <cell r="E3049" t="str">
            <v>4.176,50</v>
          </cell>
        </row>
        <row r="3050">
          <cell r="A3050">
            <v>39404</v>
          </cell>
          <cell r="B3050" t="str">
            <v xml:space="preserve">MOTOR A GASOLINA PARA VIBRADOR DE IMERSAO, 4 TEMPOS, DE 5,5 CV                                                                                                                                                                                                                                                                                                                                                                                                                                            </v>
          </cell>
          <cell r="C3050" t="str">
            <v xml:space="preserve">UN    </v>
          </cell>
          <cell r="D3050" t="str">
            <v>CR</v>
          </cell>
          <cell r="E3050" t="str">
            <v>2.070,99</v>
          </cell>
        </row>
        <row r="3051">
          <cell r="A3051">
            <v>39402</v>
          </cell>
          <cell r="B3051" t="str">
            <v xml:space="preserve">MOTOR ELETRICO PARA VIBRADOR DE IMERSAO, DE 2 CV, MONOFASICO, 110/220 V                                                                                                                                                                                                                                                                                                                                                                                                                                   </v>
          </cell>
          <cell r="C3051" t="str">
            <v xml:space="preserve">UN    </v>
          </cell>
          <cell r="D3051" t="str">
            <v>CR</v>
          </cell>
          <cell r="E3051" t="str">
            <v>1.706,10</v>
          </cell>
        </row>
        <row r="3052">
          <cell r="A3052">
            <v>39403</v>
          </cell>
          <cell r="B3052" t="str">
            <v xml:space="preserve">MOTOR ELETRICO PARA VIBRADOR DE IMERSAO, DE 2 CV, TRIFASICO, 220/380 V                                                                                                                                                                                                                                                                                                                                                                                                                                    </v>
          </cell>
          <cell r="C3052" t="str">
            <v xml:space="preserve">UN    </v>
          </cell>
          <cell r="D3052" t="str">
            <v>CR</v>
          </cell>
          <cell r="E3052" t="str">
            <v>1.668,99</v>
          </cell>
        </row>
        <row r="3053">
          <cell r="A3053">
            <v>4093</v>
          </cell>
          <cell r="B3053" t="str">
            <v xml:space="preserve">MOTORISTA DE CAMINHAO (HORISTA)                                                                                                                                                                                                                                                                                                                                                                                                                                                                           </v>
          </cell>
          <cell r="C3053" t="str">
            <v xml:space="preserve">H     </v>
          </cell>
          <cell r="D3053" t="str">
            <v xml:space="preserve">C </v>
          </cell>
          <cell r="E3053" t="str">
            <v>26,61</v>
          </cell>
        </row>
        <row r="3054">
          <cell r="A3054">
            <v>10512</v>
          </cell>
          <cell r="B3054" t="str">
            <v xml:space="preserve">MOTORISTA DE CAMINHAO (MENSALISTA)                                                                                                                                                                                                                                                                                                                                                                                                                                                                        </v>
          </cell>
          <cell r="C3054" t="str">
            <v xml:space="preserve">MES   </v>
          </cell>
          <cell r="D3054" t="str">
            <v>CR</v>
          </cell>
          <cell r="E3054" t="str">
            <v>4.658,56</v>
          </cell>
        </row>
        <row r="3055">
          <cell r="A3055">
            <v>4243</v>
          </cell>
          <cell r="B3055" t="str">
            <v xml:space="preserve">MOTORISTA DE CAMINHAO BETONEIRA (HORISTA)                                                                                                                                                                                                                                                                                                                                                                                                                                                                 </v>
          </cell>
          <cell r="C3055" t="str">
            <v xml:space="preserve">H     </v>
          </cell>
          <cell r="D3055" t="str">
            <v>CR</v>
          </cell>
          <cell r="E3055" t="str">
            <v>22,11</v>
          </cell>
        </row>
        <row r="3056">
          <cell r="A3056">
            <v>20020</v>
          </cell>
          <cell r="B3056" t="str">
            <v xml:space="preserve">MOTORISTA DE CAMINHAO-BASCULANTE (HORISTA)                                                                                                                                                                                                                                                                                                                                                                                                                                                                </v>
          </cell>
          <cell r="C3056" t="str">
            <v xml:space="preserve">H     </v>
          </cell>
          <cell r="D3056" t="str">
            <v>CR</v>
          </cell>
          <cell r="E3056" t="str">
            <v>27,65</v>
          </cell>
        </row>
        <row r="3057">
          <cell r="A3057">
            <v>41038</v>
          </cell>
          <cell r="B3057" t="str">
            <v xml:space="preserve">MOTORISTA DE CAMINHAO-BASCULANTE (MENSALISTA)                                                                                                                                                                                                                                                                                                                                                                                                                                                             </v>
          </cell>
          <cell r="C3057" t="str">
            <v xml:space="preserve">MES   </v>
          </cell>
          <cell r="D3057" t="str">
            <v>CR</v>
          </cell>
          <cell r="E3057" t="str">
            <v>4.841,20</v>
          </cell>
        </row>
        <row r="3058">
          <cell r="A3058">
            <v>4094</v>
          </cell>
          <cell r="B3058" t="str">
            <v xml:space="preserve">MOTORISTA DE CAMINHAO-CARRETA (HORISTA)                                                                                                                                                                                                                                                                                                                                                                                                                                                                   </v>
          </cell>
          <cell r="C3058" t="str">
            <v xml:space="preserve">H     </v>
          </cell>
          <cell r="D3058" t="str">
            <v>CR</v>
          </cell>
          <cell r="E3058" t="str">
            <v>33,10</v>
          </cell>
        </row>
        <row r="3059">
          <cell r="A3059">
            <v>40988</v>
          </cell>
          <cell r="B3059" t="str">
            <v xml:space="preserve">MOTORISTA DE CAMINHAO-CARRETA (MENSALISTA)                                                                                                                                                                                                                                                                                                                                                                                                                                                                </v>
          </cell>
          <cell r="C3059" t="str">
            <v xml:space="preserve">MES   </v>
          </cell>
          <cell r="D3059" t="str">
            <v>CR</v>
          </cell>
          <cell r="E3059" t="str">
            <v>5.794,42</v>
          </cell>
        </row>
        <row r="3060">
          <cell r="A3060">
            <v>4095</v>
          </cell>
          <cell r="B3060" t="str">
            <v xml:space="preserve">MOTORISTA DE CARRO DE PASSEIO (HORISTA)                                                                                                                                                                                                                                                                                                                                                                                                                                                                   </v>
          </cell>
          <cell r="C3060" t="str">
            <v xml:space="preserve">H     </v>
          </cell>
          <cell r="D3060" t="str">
            <v>CR</v>
          </cell>
          <cell r="E3060" t="str">
            <v>22,15</v>
          </cell>
        </row>
        <row r="3061">
          <cell r="A3061">
            <v>40990</v>
          </cell>
          <cell r="B3061" t="str">
            <v xml:space="preserve">MOTORISTA DE CARRO DE PASSEIO (MENSALISTA)                                                                                                                                                                                                                                                                                                                                                                                                                                                                </v>
          </cell>
          <cell r="C3061" t="str">
            <v xml:space="preserve">MES   </v>
          </cell>
          <cell r="D3061" t="str">
            <v>CR</v>
          </cell>
          <cell r="E3061" t="str">
            <v>3.880,46</v>
          </cell>
        </row>
        <row r="3062">
          <cell r="A3062">
            <v>4096</v>
          </cell>
          <cell r="B3062" t="str">
            <v xml:space="preserve">MOTORISTA OPERADOR DE CAMINHAO COM MUNCK (HORISTA)                                                                                                                                                                                                                                                                                                                                                                                                                                                        </v>
          </cell>
          <cell r="C3062" t="str">
            <v xml:space="preserve">H     </v>
          </cell>
          <cell r="D3062" t="str">
            <v>CR</v>
          </cell>
          <cell r="E3062" t="str">
            <v>29,83</v>
          </cell>
        </row>
        <row r="3063">
          <cell r="A3063">
            <v>40992</v>
          </cell>
          <cell r="B3063" t="str">
            <v xml:space="preserve">MOTORISTA OPERADOR DE CAMINHAO COM MUNCK (MENSALISTA)                                                                                                                                                                                                                                                                                                                                                                                                                                                     </v>
          </cell>
          <cell r="C3063" t="str">
            <v xml:space="preserve">MES   </v>
          </cell>
          <cell r="D3063" t="str">
            <v>CR</v>
          </cell>
          <cell r="E3063" t="str">
            <v>5.223,99</v>
          </cell>
        </row>
        <row r="3064">
          <cell r="A3064">
            <v>4114</v>
          </cell>
          <cell r="B3064" t="str">
            <v xml:space="preserve">MOURAO CONCRETO CURVO, SECAO "T", H = 2,80 M + CURVA COM 0,45 M, COM FUROS PARA FIOS                                                                                                                                                                                                                                                                                                                                                                                                                      </v>
          </cell>
          <cell r="C3064" t="str">
            <v xml:space="preserve">UN    </v>
          </cell>
          <cell r="D3064" t="str">
            <v>CR</v>
          </cell>
          <cell r="E3064" t="str">
            <v>68,12</v>
          </cell>
        </row>
        <row r="3065">
          <cell r="A3065">
            <v>36797</v>
          </cell>
          <cell r="B3065" t="str">
            <v xml:space="preserve">MOURAO DE CONCRETO CURVO, *10 X 10* CM, H= *2,60* M + CURVA DE 0,40 M                                                                                                                                                                                                                                                                                                                                                                                                                                     </v>
          </cell>
          <cell r="C3065" t="str">
            <v xml:space="preserve">UN    </v>
          </cell>
          <cell r="D3065" t="str">
            <v>CR</v>
          </cell>
          <cell r="E3065" t="str">
            <v>60,65</v>
          </cell>
        </row>
        <row r="3066">
          <cell r="A3066">
            <v>4107</v>
          </cell>
          <cell r="B3066" t="str">
            <v xml:space="preserve">MOURAO DE CONCRETO RETO, SECAO QUADARA *10 X 10* CM, H= *2,30* M                                                                                                                                                                                                                                                                                                                                                                                                                                          </v>
          </cell>
          <cell r="C3066" t="str">
            <v xml:space="preserve">UN    </v>
          </cell>
          <cell r="D3066" t="str">
            <v>CR</v>
          </cell>
          <cell r="E3066" t="str">
            <v>57,19</v>
          </cell>
        </row>
        <row r="3067">
          <cell r="A3067">
            <v>4102</v>
          </cell>
          <cell r="B3067" t="str">
            <v xml:space="preserve">MOURAO DE CONCRETO RETO, SECAO QUADRADA, *10 X 10* CM, H= 3,00 M                                                                                                                                                                                                                                                                                                                                                                                                                                          </v>
          </cell>
          <cell r="C3067" t="str">
            <v xml:space="preserve">UN    </v>
          </cell>
          <cell r="D3067" t="str">
            <v xml:space="preserve">C </v>
          </cell>
          <cell r="E3067" t="str">
            <v>69,81</v>
          </cell>
        </row>
        <row r="3068">
          <cell r="A3068">
            <v>36799</v>
          </cell>
          <cell r="B3068" t="str">
            <v xml:space="preserve">MOURAO DE CONCRETO RETO, TIPO ESTICADOR, *10 X 10* CM, H= 2,50 M                                                                                                                                                                                                                                                                                                                                                                                                                                          </v>
          </cell>
          <cell r="C3068" t="str">
            <v xml:space="preserve">UN    </v>
          </cell>
          <cell r="D3068" t="str">
            <v>CR</v>
          </cell>
          <cell r="E3068" t="str">
            <v>58,87</v>
          </cell>
        </row>
        <row r="3069">
          <cell r="A3069">
            <v>2747</v>
          </cell>
          <cell r="B3069" t="str">
            <v xml:space="preserve">MOURAO ROLICO DE MADEIRA TRATADA, D = 16 A 20 CM, H = 2,20 M, EM EUCALIPTO OU EQUIVALENTE DA REGIAO (PARA CERCA)                                                                                                                                                                                                                                                                                                                                                                                          </v>
          </cell>
          <cell r="C3069" t="str">
            <v xml:space="preserve">M     </v>
          </cell>
          <cell r="D3069" t="str">
            <v>CR</v>
          </cell>
          <cell r="E3069" t="str">
            <v>27,66</v>
          </cell>
        </row>
        <row r="3070">
          <cell r="A3070">
            <v>21138</v>
          </cell>
          <cell r="B3070" t="str">
            <v xml:space="preserve">MOURAO ROLICO DE MADEIRA TRATADA, D = 8 A 11 CM, H = 2,20 M, EM EUCALIPTO OU EQUIVALENTE DA REGIAO (PARA CERCA)                                                                                                                                                                                                                                                                                                                                                                                           </v>
          </cell>
          <cell r="C3070" t="str">
            <v xml:space="preserve">M     </v>
          </cell>
          <cell r="D3070" t="str">
            <v xml:space="preserve">C </v>
          </cell>
          <cell r="E3070" t="str">
            <v>8,77</v>
          </cell>
        </row>
        <row r="3071">
          <cell r="A3071">
            <v>10826</v>
          </cell>
          <cell r="B3071" t="str">
            <v xml:space="preserve">MUDA DE ARBUSTO FLORIFERO, CLUSIA/GARDENIA/MOREIA BRANCA/ AZALEIA OU EQUIVALENTE DA REGIAO, H= *50 A 70* CM                                                                                                                                                                                                                                                                                                                                                                                               </v>
          </cell>
          <cell r="C3071" t="str">
            <v xml:space="preserve">UN    </v>
          </cell>
          <cell r="D3071" t="str">
            <v>CR</v>
          </cell>
          <cell r="E3071" t="str">
            <v>66,95</v>
          </cell>
        </row>
        <row r="3072">
          <cell r="A3072">
            <v>365</v>
          </cell>
          <cell r="B3072" t="str">
            <v xml:space="preserve">MUDA DE ARBUSTO FOLHAGEM, SANSAO-DO-CAMPO OU EQUIVALENTE DA REGIAO, H= *50 A 70* CM                                                                                                                                                                                                                                                                                                                                                                                                                       </v>
          </cell>
          <cell r="C3072" t="str">
            <v xml:space="preserve">UN    </v>
          </cell>
          <cell r="D3072" t="str">
            <v>CR</v>
          </cell>
          <cell r="E3072" t="str">
            <v>41,51</v>
          </cell>
        </row>
        <row r="3073">
          <cell r="A3073">
            <v>38639</v>
          </cell>
          <cell r="B3073" t="str">
            <v xml:space="preserve">MUDA DE ARBUSTO, BUXINHO, H= *50* CM                                                                                                                                                                                                                                                                                                                                                                                                                                                                      </v>
          </cell>
          <cell r="C3073" t="str">
            <v xml:space="preserve">UN    </v>
          </cell>
          <cell r="D3073" t="str">
            <v>CR</v>
          </cell>
          <cell r="E3073" t="str">
            <v>160,68</v>
          </cell>
        </row>
        <row r="3074">
          <cell r="A3074">
            <v>38640</v>
          </cell>
          <cell r="B3074" t="str">
            <v xml:space="preserve">MUDA DE ARBUSTO, PINGO DE OURO/ VIOLETEIRA, H = *10 A 20* CM                                                                                                                                                                                                                                                                                                                                                                                                                                              </v>
          </cell>
          <cell r="C3074" t="str">
            <v xml:space="preserve">UN    </v>
          </cell>
          <cell r="D3074" t="str">
            <v>CR</v>
          </cell>
          <cell r="E3074" t="str">
            <v>2,41</v>
          </cell>
        </row>
        <row r="3075">
          <cell r="A3075">
            <v>358</v>
          </cell>
          <cell r="B3075" t="str">
            <v xml:space="preserve">MUDA DE ARVORE ORNAMENTAL, OITI/AROEIRA SALSA/ANGICO/IPE/JACARANDA OU EQUIVALENTE  DA REGIAO, H= *1* M                                                                                                                                                                                                                                                                                                                                                                                                    </v>
          </cell>
          <cell r="C3075" t="str">
            <v xml:space="preserve">UN    </v>
          </cell>
          <cell r="D3075" t="str">
            <v>CR</v>
          </cell>
          <cell r="E3075" t="str">
            <v>49,54</v>
          </cell>
        </row>
        <row r="3076">
          <cell r="A3076">
            <v>359</v>
          </cell>
          <cell r="B3076" t="str">
            <v xml:space="preserve">MUDA DE ARVORE ORNAMENTAL, OITI/AROEIRA SALSA/ANGICO/IPE/JACARANDA OU EQUIVALENTE  DA REGIAO, H= *2* M                                                                                                                                                                                                                                                                                                                                                                                                    </v>
          </cell>
          <cell r="C3076" t="str">
            <v xml:space="preserve">UN    </v>
          </cell>
          <cell r="D3076" t="str">
            <v>CR</v>
          </cell>
          <cell r="E3076" t="str">
            <v>101,77</v>
          </cell>
        </row>
        <row r="3077">
          <cell r="A3077">
            <v>38641</v>
          </cell>
          <cell r="B3077" t="str">
            <v xml:space="preserve">MUDA DE PALMEIRA ARECA, H= *1,50* M                                                                                                                                                                                                                                                                                                                                                                                                                                                                       </v>
          </cell>
          <cell r="C3077" t="str">
            <v xml:space="preserve">UN    </v>
          </cell>
          <cell r="D3077" t="str">
            <v>CR</v>
          </cell>
          <cell r="E3077" t="str">
            <v>100,43</v>
          </cell>
        </row>
        <row r="3078">
          <cell r="A3078">
            <v>360</v>
          </cell>
          <cell r="B3078" t="str">
            <v xml:space="preserve">MUDA DE RASTEIRA/FORRACAO, AMENDOIM RASTEIRO/ONZE HORAS/AZULZINHA/IMPATIENS OU EQUIVALENTE DA REGIAO                                                                                                                                                                                                                                                                                                                                                                                                      </v>
          </cell>
          <cell r="C3078" t="str">
            <v xml:space="preserve">UN    </v>
          </cell>
          <cell r="D3078" t="str">
            <v xml:space="preserve">C </v>
          </cell>
          <cell r="E3078" t="str">
            <v>2,33</v>
          </cell>
        </row>
        <row r="3079">
          <cell r="A3079">
            <v>42430</v>
          </cell>
          <cell r="B3079" t="str">
            <v xml:space="preserve">MULTIEXERCITADOR COM SEIS FUNCOES, EM TUBO DE ACO CARBONO, PINTURA NO PROCESSO ELETROSTATICO - EQUIPAMENTO DE GINASTICA PARA ACADEMIA AO AR LIVRE / ACADEMIA DA TERCEIRA IDADE - ATI                                                                                                                                                                                                                                                                                                                      </v>
          </cell>
          <cell r="C3079" t="str">
            <v xml:space="preserve">UN    </v>
          </cell>
          <cell r="D3079" t="str">
            <v>CR</v>
          </cell>
          <cell r="E3079" t="str">
            <v>6.434,22</v>
          </cell>
        </row>
        <row r="3080">
          <cell r="A3080">
            <v>4209</v>
          </cell>
          <cell r="B3080" t="str">
            <v xml:space="preserve">NIPLE DE FERRO GALVANIZADO, COM ROSCA BSP, DE 1 1/2"                                                                                                                                                                                                                                                                                                                                                                                                                                                      </v>
          </cell>
          <cell r="C3080" t="str">
            <v xml:space="preserve">UN    </v>
          </cell>
          <cell r="D3080" t="str">
            <v>CR</v>
          </cell>
          <cell r="E3080" t="str">
            <v>25,23</v>
          </cell>
        </row>
        <row r="3081">
          <cell r="A3081">
            <v>4180</v>
          </cell>
          <cell r="B3081" t="str">
            <v xml:space="preserve">NIPLE DE FERRO GALVANIZADO, COM ROSCA BSP, DE 1 1/4"                                                                                                                                                                                                                                                                                                                                                                                                                                                      </v>
          </cell>
          <cell r="C3081" t="str">
            <v xml:space="preserve">UN    </v>
          </cell>
          <cell r="D3081" t="str">
            <v>CR</v>
          </cell>
          <cell r="E3081" t="str">
            <v>18,99</v>
          </cell>
        </row>
        <row r="3082">
          <cell r="A3082">
            <v>4177</v>
          </cell>
          <cell r="B3082" t="str">
            <v xml:space="preserve">NIPLE DE FERRO GALVANIZADO, COM ROSCA BSP, DE 1/2"                                                                                                                                                                                                                                                                                                                                                                                                                                                        </v>
          </cell>
          <cell r="C3082" t="str">
            <v xml:space="preserve">UN    </v>
          </cell>
          <cell r="D3082" t="str">
            <v>CR</v>
          </cell>
          <cell r="E3082" t="str">
            <v>6,30</v>
          </cell>
        </row>
        <row r="3083">
          <cell r="A3083">
            <v>4179</v>
          </cell>
          <cell r="B3083" t="str">
            <v xml:space="preserve">NIPLE DE FERRO GALVANIZADO, COM ROSCA BSP, DE 1"                                                                                                                                                                                                                                                                                                                                                                                                                                                          </v>
          </cell>
          <cell r="C3083" t="str">
            <v xml:space="preserve">UN    </v>
          </cell>
          <cell r="D3083" t="str">
            <v>CR</v>
          </cell>
          <cell r="E3083" t="str">
            <v>12,90</v>
          </cell>
        </row>
        <row r="3084">
          <cell r="A3084">
            <v>4208</v>
          </cell>
          <cell r="B3084" t="str">
            <v xml:space="preserve">NIPLE DE FERRO GALVANIZADO, COM ROSCA BSP, DE 2 1/2"                                                                                                                                                                                                                                                                                                                                                                                                                                                      </v>
          </cell>
          <cell r="C3084" t="str">
            <v xml:space="preserve">UN    </v>
          </cell>
          <cell r="D3084" t="str">
            <v>CR</v>
          </cell>
          <cell r="E3084" t="str">
            <v>60,06</v>
          </cell>
        </row>
        <row r="3085">
          <cell r="A3085">
            <v>4181</v>
          </cell>
          <cell r="B3085" t="str">
            <v xml:space="preserve">NIPLE DE FERRO GALVANIZADO, COM ROSCA BSP, DE 2"                                                                                                                                                                                                                                                                                                                                                                                                                                                          </v>
          </cell>
          <cell r="C3085" t="str">
            <v xml:space="preserve">UN    </v>
          </cell>
          <cell r="D3085" t="str">
            <v>CR</v>
          </cell>
          <cell r="E3085" t="str">
            <v>39,24</v>
          </cell>
        </row>
        <row r="3086">
          <cell r="A3086">
            <v>4178</v>
          </cell>
          <cell r="B3086" t="str">
            <v xml:space="preserve">NIPLE DE FERRO GALVANIZADO, COM ROSCA BSP, DE 3/4"                                                                                                                                                                                                                                                                                                                                                                                                                                                        </v>
          </cell>
          <cell r="C3086" t="str">
            <v xml:space="preserve">UN    </v>
          </cell>
          <cell r="D3086" t="str">
            <v>CR</v>
          </cell>
          <cell r="E3086" t="str">
            <v>8,74</v>
          </cell>
        </row>
        <row r="3087">
          <cell r="A3087">
            <v>4182</v>
          </cell>
          <cell r="B3087" t="str">
            <v xml:space="preserve">NIPLE DE FERRO GALVANIZADO, COM ROSCA BSP, DE 3"                                                                                                                                                                                                                                                                                                                                                                                                                                                          </v>
          </cell>
          <cell r="C3087" t="str">
            <v xml:space="preserve">UN    </v>
          </cell>
          <cell r="D3087" t="str">
            <v>CR</v>
          </cell>
          <cell r="E3087" t="str">
            <v>97,70</v>
          </cell>
        </row>
        <row r="3088">
          <cell r="A3088">
            <v>4183</v>
          </cell>
          <cell r="B3088" t="str">
            <v xml:space="preserve">NIPLE DE FERRO GALVANIZADO, COM ROSCA BSP, DE 4"                                                                                                                                                                                                                                                                                                                                                                                                                                                          </v>
          </cell>
          <cell r="C3088" t="str">
            <v xml:space="preserve">UN    </v>
          </cell>
          <cell r="D3088" t="str">
            <v>CR</v>
          </cell>
          <cell r="E3088" t="str">
            <v>157,29</v>
          </cell>
        </row>
        <row r="3089">
          <cell r="A3089">
            <v>4184</v>
          </cell>
          <cell r="B3089" t="str">
            <v xml:space="preserve">NIPLE DE FERRO GALVANIZADO, COM ROSCA BSP, DE 5"                                                                                                                                                                                                                                                                                                                                                                                                                                                          </v>
          </cell>
          <cell r="C3089" t="str">
            <v xml:space="preserve">UN    </v>
          </cell>
          <cell r="D3089" t="str">
            <v>CR</v>
          </cell>
          <cell r="E3089" t="str">
            <v>347,21</v>
          </cell>
        </row>
        <row r="3090">
          <cell r="A3090">
            <v>4185</v>
          </cell>
          <cell r="B3090" t="str">
            <v xml:space="preserve">NIPLE DE FERRO GALVANIZADO, COM ROSCA BSP, DE 6"                                                                                                                                                                                                                                                                                                                                                                                                                                                          </v>
          </cell>
          <cell r="C3090" t="str">
            <v xml:space="preserve">UN    </v>
          </cell>
          <cell r="D3090" t="str">
            <v>CR</v>
          </cell>
          <cell r="E3090" t="str">
            <v>576,91</v>
          </cell>
        </row>
        <row r="3091">
          <cell r="A3091">
            <v>4205</v>
          </cell>
          <cell r="B3091" t="str">
            <v xml:space="preserve">NIPLE DE REDUCAO DE FERRO GALVANIZADO, COM ROSCA BSP, DE 1 1/2" X 1 1/4"                                                                                                                                                                                                                                                                                                                                                                                                                                  </v>
          </cell>
          <cell r="C3091" t="str">
            <v xml:space="preserve">UN    </v>
          </cell>
          <cell r="D3091" t="str">
            <v>CR</v>
          </cell>
          <cell r="E3091" t="str">
            <v>33,32</v>
          </cell>
        </row>
        <row r="3092">
          <cell r="A3092">
            <v>4192</v>
          </cell>
          <cell r="B3092" t="str">
            <v xml:space="preserve">NIPLE DE REDUCAO DE FERRO GALVANIZADO, COM ROSCA BSP, DE 1 1/2" X 1"                                                                                                                                                                                                                                                                                                                                                                                                                                      </v>
          </cell>
          <cell r="C3092" t="str">
            <v xml:space="preserve">UN    </v>
          </cell>
          <cell r="D3092" t="str">
            <v>CR</v>
          </cell>
          <cell r="E3092" t="str">
            <v>33,32</v>
          </cell>
        </row>
        <row r="3093">
          <cell r="A3093">
            <v>4191</v>
          </cell>
          <cell r="B3093" t="str">
            <v xml:space="preserve">NIPLE DE REDUCAO DE FERRO GALVANIZADO, COM ROSCA BSP, DE 1 1/2" X 3/4"                                                                                                                                                                                                                                                                                                                                                                                                                                    </v>
          </cell>
          <cell r="C3093" t="str">
            <v xml:space="preserve">UN    </v>
          </cell>
          <cell r="D3093" t="str">
            <v>CR</v>
          </cell>
          <cell r="E3093" t="str">
            <v>33,32</v>
          </cell>
        </row>
        <row r="3094">
          <cell r="A3094">
            <v>4207</v>
          </cell>
          <cell r="B3094" t="str">
            <v xml:space="preserve">NIPLE DE REDUCAO DE FERRO GALVANIZADO, COM ROSCA BSP, DE 1 1/4" X 1/2"                                                                                                                                                                                                                                                                                                                                                                                                                                    </v>
          </cell>
          <cell r="C3094" t="str">
            <v xml:space="preserve">UN    </v>
          </cell>
          <cell r="D3094" t="str">
            <v>CR</v>
          </cell>
          <cell r="E3094" t="str">
            <v>26,81</v>
          </cell>
        </row>
        <row r="3095">
          <cell r="A3095">
            <v>4206</v>
          </cell>
          <cell r="B3095" t="str">
            <v xml:space="preserve">NIPLE DE REDUCAO DE FERRO GALVANIZADO, COM ROSCA BSP, DE 1 1/4" X 1"                                                                                                                                                                                                                                                                                                                                                                                                                                      </v>
          </cell>
          <cell r="C3095" t="str">
            <v xml:space="preserve">UN    </v>
          </cell>
          <cell r="D3095" t="str">
            <v>CR</v>
          </cell>
          <cell r="E3095" t="str">
            <v>26,03</v>
          </cell>
        </row>
        <row r="3096">
          <cell r="A3096">
            <v>4190</v>
          </cell>
          <cell r="B3096" t="str">
            <v xml:space="preserve">NIPLE DE REDUCAO DE FERRO GALVANIZADO, COM ROSCA BSP, DE 1 1/4" X 3/4"                                                                                                                                                                                                                                                                                                                                                                                                                                    </v>
          </cell>
          <cell r="C3096" t="str">
            <v xml:space="preserve">UN    </v>
          </cell>
          <cell r="D3096" t="str">
            <v>CR</v>
          </cell>
          <cell r="E3096" t="str">
            <v>26,03</v>
          </cell>
        </row>
        <row r="3097">
          <cell r="A3097">
            <v>4186</v>
          </cell>
          <cell r="B3097" t="str">
            <v xml:space="preserve">NIPLE DE REDUCAO DE FERRO GALVANIZADO, COM ROSCA BSP, DE 1/2" X 1/4"                                                                                                                                                                                                                                                                                                                                                                                                                                      </v>
          </cell>
          <cell r="C3097" t="str">
            <v xml:space="preserve">UN    </v>
          </cell>
          <cell r="D3097" t="str">
            <v>CR</v>
          </cell>
          <cell r="E3097" t="str">
            <v>7,69</v>
          </cell>
        </row>
        <row r="3098">
          <cell r="A3098">
            <v>4188</v>
          </cell>
          <cell r="B3098" t="str">
            <v xml:space="preserve">NIPLE DE REDUCAO DE FERRO GALVANIZADO, COM ROSCA BSP, DE 1" X 1/2"                                                                                                                                                                                                                                                                                                                                                                                                                                        </v>
          </cell>
          <cell r="C3098" t="str">
            <v xml:space="preserve">UN    </v>
          </cell>
          <cell r="D3098" t="str">
            <v>CR</v>
          </cell>
          <cell r="E3098" t="str">
            <v>15,71</v>
          </cell>
        </row>
        <row r="3099">
          <cell r="A3099">
            <v>4189</v>
          </cell>
          <cell r="B3099" t="str">
            <v xml:space="preserve">NIPLE DE REDUCAO DE FERRO GALVANIZADO, COM ROSCA BSP, DE 1" X 3/4"                                                                                                                                                                                                                                                                                                                                                                                                                                        </v>
          </cell>
          <cell r="C3099" t="str">
            <v xml:space="preserve">UN    </v>
          </cell>
          <cell r="D3099" t="str">
            <v>CR</v>
          </cell>
          <cell r="E3099" t="str">
            <v>15,71</v>
          </cell>
        </row>
        <row r="3100">
          <cell r="A3100">
            <v>4197</v>
          </cell>
          <cell r="B3100" t="str">
            <v xml:space="preserve">NIPLE DE REDUCAO DE FERRO GALVANIZADO, COM ROSCA BSP, DE 2 1/2" X 2"                                                                                                                                                                                                                                                                                                                                                                                                                                      </v>
          </cell>
          <cell r="C3100" t="str">
            <v xml:space="preserve">UN    </v>
          </cell>
          <cell r="D3100" t="str">
            <v>CR</v>
          </cell>
          <cell r="E3100" t="str">
            <v>83,19</v>
          </cell>
        </row>
        <row r="3101">
          <cell r="A3101">
            <v>4194</v>
          </cell>
          <cell r="B3101" t="str">
            <v xml:space="preserve">NIPLE DE REDUCAO DE FERRO GALVANIZADO, COM ROSCA BSP, DE 2" X 1 1/2"                                                                                                                                                                                                                                                                                                                                                                                                                                      </v>
          </cell>
          <cell r="C3101" t="str">
            <v xml:space="preserve">UN    </v>
          </cell>
          <cell r="D3101" t="str">
            <v>CR</v>
          </cell>
          <cell r="E3101" t="str">
            <v>50,27</v>
          </cell>
        </row>
        <row r="3102">
          <cell r="A3102">
            <v>4193</v>
          </cell>
          <cell r="B3102" t="str">
            <v xml:space="preserve">NIPLE DE REDUCAO DE FERRO GALVANIZADO, COM ROSCA BSP, DE 2" X 1 1/4"                                                                                                                                                                                                                                                                                                                                                                                                                                      </v>
          </cell>
          <cell r="C3102" t="str">
            <v xml:space="preserve">UN    </v>
          </cell>
          <cell r="D3102" t="str">
            <v>CR</v>
          </cell>
          <cell r="E3102" t="str">
            <v>50,27</v>
          </cell>
        </row>
        <row r="3103">
          <cell r="A3103">
            <v>4204</v>
          </cell>
          <cell r="B3103" t="str">
            <v xml:space="preserve">NIPLE DE REDUCAO DE FERRO GALVANIZADO, COM ROSCA BSP, DE 2" X 1"                                                                                                                                                                                                                                                                                                                                                                                                                                          </v>
          </cell>
          <cell r="C3103" t="str">
            <v xml:space="preserve">UN    </v>
          </cell>
          <cell r="D3103" t="str">
            <v>CR</v>
          </cell>
          <cell r="E3103" t="str">
            <v>50,27</v>
          </cell>
        </row>
        <row r="3104">
          <cell r="A3104">
            <v>4187</v>
          </cell>
          <cell r="B3104" t="str">
            <v xml:space="preserve">NIPLE DE REDUCAO DE FERRO GALVANIZADO, COM ROSCA BSP, DE 3/4" X 1/2"                                                                                                                                                                                                                                                                                                                                                                                                                                      </v>
          </cell>
          <cell r="C3104" t="str">
            <v xml:space="preserve">UN    </v>
          </cell>
          <cell r="D3104" t="str">
            <v>CR</v>
          </cell>
          <cell r="E3104" t="str">
            <v>10,02</v>
          </cell>
        </row>
        <row r="3105">
          <cell r="A3105">
            <v>4202</v>
          </cell>
          <cell r="B3105" t="str">
            <v xml:space="preserve">NIPLE DE REDUCAO DE FERRO GALVANIZADO, COM ROSCA BSP, DE 3" X 2 1/2"                                                                                                                                                                                                                                                                                                                                                                                                                                      </v>
          </cell>
          <cell r="C3105" t="str">
            <v xml:space="preserve">UN    </v>
          </cell>
          <cell r="D3105" t="str">
            <v>CR</v>
          </cell>
          <cell r="E3105" t="str">
            <v>151,93</v>
          </cell>
        </row>
        <row r="3106">
          <cell r="A3106">
            <v>4203</v>
          </cell>
          <cell r="B3106" t="str">
            <v xml:space="preserve">NIPLE DE REDUCAO DE FERRO GALVANIZADO, COM ROSCA BSP, DE 3" X 2"                                                                                                                                                                                                                                                                                                                                                                                                                                          </v>
          </cell>
          <cell r="C3106" t="str">
            <v xml:space="preserve">UN    </v>
          </cell>
          <cell r="D3106" t="str">
            <v>CR</v>
          </cell>
          <cell r="E3106" t="str">
            <v>134,18</v>
          </cell>
        </row>
        <row r="3107">
          <cell r="A3107">
            <v>40368</v>
          </cell>
          <cell r="B3107" t="str">
            <v xml:space="preserve">NIPLE SEXTAVADO EM ACO CARBONO, COM ROSCA BSP, PRESSAO 3.000 LBS, DN 1 1/2"                                                                                                                                                                                                                                                                                                                                                                                                                               </v>
          </cell>
          <cell r="C3107" t="str">
            <v xml:space="preserve">UN    </v>
          </cell>
          <cell r="D3107" t="str">
            <v>CR</v>
          </cell>
          <cell r="E3107" t="str">
            <v>56,95</v>
          </cell>
        </row>
        <row r="3108">
          <cell r="A3108">
            <v>40365</v>
          </cell>
          <cell r="B3108" t="str">
            <v xml:space="preserve">NIPLE SEXTAVADO EM ACO CARBONO, COM ROSCA BSP, PRESSAO 3.000 LBS, DN 1 1/4"                                                                                                                                                                                                                                                                                                                                                                                                                               </v>
          </cell>
          <cell r="C3108" t="str">
            <v xml:space="preserve">UN    </v>
          </cell>
          <cell r="D3108" t="str">
            <v>CR</v>
          </cell>
          <cell r="E3108" t="str">
            <v>38,42</v>
          </cell>
        </row>
        <row r="3109">
          <cell r="A3109">
            <v>40356</v>
          </cell>
          <cell r="B3109" t="str">
            <v xml:space="preserve">NIPLE SEXTAVADO EM ACO CARBONO, COM ROSCA BSP, PRESSAO 3.000 LBS, DN 1/2"                                                                                                                                                                                                                                                                                                                                                                                                                                 </v>
          </cell>
          <cell r="C3109" t="str">
            <v xml:space="preserve">UN    </v>
          </cell>
          <cell r="D3109" t="str">
            <v>CR</v>
          </cell>
          <cell r="E3109" t="str">
            <v>13,13</v>
          </cell>
        </row>
        <row r="3110">
          <cell r="A3110">
            <v>40362</v>
          </cell>
          <cell r="B3110" t="str">
            <v xml:space="preserve">NIPLE SEXTAVADO EM ACO CARBONO, COM ROSCA BSP, PRESSAO 3.000 LBS, DN 1"                                                                                                                                                                                                                                                                                                                                                                                                                                   </v>
          </cell>
          <cell r="C3110" t="str">
            <v xml:space="preserve">UN    </v>
          </cell>
          <cell r="D3110" t="str">
            <v>CR</v>
          </cell>
          <cell r="E3110" t="str">
            <v>25,45</v>
          </cell>
        </row>
        <row r="3111">
          <cell r="A3111">
            <v>40374</v>
          </cell>
          <cell r="B3111" t="str">
            <v xml:space="preserve">NIPLE SEXTAVADO EM ACO CARBONO, COM ROSCA BSP, PRESSAO 3.000 LBS, DN 2 1/2"                                                                                                                                                                                                                                                                                                                                                                                                                               </v>
          </cell>
          <cell r="C3111" t="str">
            <v xml:space="preserve">UN    </v>
          </cell>
          <cell r="D3111" t="str">
            <v>CR</v>
          </cell>
          <cell r="E3111" t="str">
            <v>148,85</v>
          </cell>
        </row>
        <row r="3112">
          <cell r="A3112">
            <v>40371</v>
          </cell>
          <cell r="B3112" t="str">
            <v xml:space="preserve">NIPLE SEXTAVADO EM ACO CARBONO, COM ROSCA BSP, PRESSAO 3.000 LBS, DN 2"                                                                                                                                                                                                                                                                                                                                                                                                                                   </v>
          </cell>
          <cell r="C3112" t="str">
            <v xml:space="preserve">UN    </v>
          </cell>
          <cell r="D3112" t="str">
            <v>CR</v>
          </cell>
          <cell r="E3112" t="str">
            <v>93,70</v>
          </cell>
        </row>
        <row r="3113">
          <cell r="A3113">
            <v>40359</v>
          </cell>
          <cell r="B3113" t="str">
            <v xml:space="preserve">NIPLE SEXTAVADO EM ACO CARBONO, COM ROSCA BSP, PRESSAO 3.000 LBS, DN 3/4"                                                                                                                                                                                                                                                                                                                                                                                                                                 </v>
          </cell>
          <cell r="C3113" t="str">
            <v xml:space="preserve">UN    </v>
          </cell>
          <cell r="D3113" t="str">
            <v>CR</v>
          </cell>
          <cell r="E3113" t="str">
            <v>16,96</v>
          </cell>
        </row>
        <row r="3114">
          <cell r="A3114">
            <v>7595</v>
          </cell>
          <cell r="B3114" t="str">
            <v xml:space="preserve">NIVELADOR (HORISTA)                                                                                                                                                                                                                                                                                                                                                                                                                                                                                       </v>
          </cell>
          <cell r="C3114" t="str">
            <v xml:space="preserve">H     </v>
          </cell>
          <cell r="D3114" t="str">
            <v>CR</v>
          </cell>
          <cell r="E3114" t="str">
            <v>21,57</v>
          </cell>
        </row>
        <row r="3115">
          <cell r="A3115">
            <v>41094</v>
          </cell>
          <cell r="B3115" t="str">
            <v xml:space="preserve">NIVELADOR (MENSALISTA)                                                                                                                                                                                                                                                                                                                                                                                                                                                                                    </v>
          </cell>
          <cell r="C3115" t="str">
            <v xml:space="preserve">MES   </v>
          </cell>
          <cell r="D3115" t="str">
            <v>CR</v>
          </cell>
          <cell r="E3115" t="str">
            <v>3.777,04</v>
          </cell>
        </row>
        <row r="3116">
          <cell r="A3116">
            <v>39609</v>
          </cell>
          <cell r="B3116" t="str">
            <v xml:space="preserve">NOBREAK TRIFASICO, DE 10 KVA FATOR DE POTENCIA DE 0,8, AUTONOMIA MINIMA DE 30 MINUTOS A PLENA CARGA                                                                                                                                                                                                                                                                                                                                                                                                       </v>
          </cell>
          <cell r="C3116" t="str">
            <v xml:space="preserve">UN    </v>
          </cell>
          <cell r="D3116" t="str">
            <v>CR</v>
          </cell>
          <cell r="E3116" t="str">
            <v>52.457,03</v>
          </cell>
        </row>
        <row r="3117">
          <cell r="A3117">
            <v>39610</v>
          </cell>
          <cell r="B3117" t="str">
            <v xml:space="preserve">NOBREAK TRIFASICO, DE 15 KVA FATOR DE POTENCIA DE 0,8, AUTONOMIA MINIMA DE 30 MINUTOS A PLENA CARGA                                                                                                                                                                                                                                                                                                                                                                                                       </v>
          </cell>
          <cell r="C3117" t="str">
            <v xml:space="preserve">UN    </v>
          </cell>
          <cell r="D3117" t="str">
            <v>CR</v>
          </cell>
          <cell r="E3117" t="str">
            <v>76.570,90</v>
          </cell>
        </row>
        <row r="3118">
          <cell r="A3118">
            <v>39611</v>
          </cell>
          <cell r="B3118" t="str">
            <v xml:space="preserve">NOBREAK TRIFASICO, DE 20 KVA FATOR DE POTENCIA DE 0,8, AUTONOMIA MINIMA DE 30 MINUTOS A PLENA CARGA                                                                                                                                                                                                                                                                                                                                                                                                       </v>
          </cell>
          <cell r="C3118" t="str">
            <v xml:space="preserve">UN    </v>
          </cell>
          <cell r="D3118" t="str">
            <v>CR</v>
          </cell>
          <cell r="E3118" t="str">
            <v>92.663,33</v>
          </cell>
        </row>
        <row r="3119">
          <cell r="A3119">
            <v>39612</v>
          </cell>
          <cell r="B3119" t="str">
            <v xml:space="preserve">NOBREAK TRIFASICO, DE 25 KVA FATOR DE POTENCIA DE 0,8, AUTONOMIA MINIMA DE 30 MINUTOS A PLENA CARGA                                                                                                                                                                                                                                                                                                                                                                                                       </v>
          </cell>
          <cell r="C3119" t="str">
            <v xml:space="preserve">UN    </v>
          </cell>
          <cell r="D3119" t="str">
            <v>CR</v>
          </cell>
          <cell r="E3119" t="str">
            <v>145.159,19</v>
          </cell>
        </row>
        <row r="3120">
          <cell r="A3120">
            <v>39608</v>
          </cell>
          <cell r="B3120" t="str">
            <v xml:space="preserve">NOBREAK TRIFASICO, DE 5 KVA FATOR DE POTENCIA DE 0,8, AUTONOMIA MINIMA DE 30 MINUTOS A PLENA CARGA                                                                                                                                                                                                                                                                                                                                                                                                        </v>
          </cell>
          <cell r="C3120" t="str">
            <v xml:space="preserve">UN    </v>
          </cell>
          <cell r="D3120" t="str">
            <v>CR</v>
          </cell>
          <cell r="E3120" t="str">
            <v>41.944,09</v>
          </cell>
        </row>
        <row r="3121">
          <cell r="A3121">
            <v>38175</v>
          </cell>
          <cell r="B3121" t="str">
            <v xml:space="preserve">NUMERO / ALGARISMO PARA RESIDENCIA (FACHADA), EM ZAMAC, COM ALTURA DE APROX *45* MM, INCLUSIVE PARAFUSOS                                                                                                                                                                                                                                                                                                                                                                                                  </v>
          </cell>
          <cell r="C3121" t="str">
            <v xml:space="preserve">UN    </v>
          </cell>
          <cell r="D3121" t="str">
            <v>CR</v>
          </cell>
          <cell r="E3121" t="str">
            <v>4,22</v>
          </cell>
        </row>
        <row r="3122">
          <cell r="A3122">
            <v>38176</v>
          </cell>
          <cell r="B3122" t="str">
            <v xml:space="preserve">NUMERO / ALGARISMO PARA RESIDENCIA (FACHADA), EM ZAMAC, COM ALTURA DE APROX 125 MM, INCLUSIVE PARAFUSOS                                                                                                                                                                                                                                                                                                                                                                                                   </v>
          </cell>
          <cell r="C3122" t="str">
            <v xml:space="preserve">UN    </v>
          </cell>
          <cell r="D3122" t="str">
            <v>CR</v>
          </cell>
          <cell r="E3122" t="str">
            <v>12,43</v>
          </cell>
        </row>
        <row r="3123">
          <cell r="A3123">
            <v>36152</v>
          </cell>
          <cell r="B3123" t="str">
            <v xml:space="preserve">OCULOS DE SEGURANCA CONTRA IMPACTOS COM LENTE INCOLOR, ARMACAO NYLON, COM PROTECAO UVA E UVB                                                                                                                                                                                                                                                                                                                                                                                                              </v>
          </cell>
          <cell r="C3123" t="str">
            <v xml:space="preserve">UN    </v>
          </cell>
          <cell r="D3123" t="str">
            <v>CR</v>
          </cell>
          <cell r="E3123" t="str">
            <v>5,85</v>
          </cell>
        </row>
        <row r="3124">
          <cell r="A3124">
            <v>4221</v>
          </cell>
          <cell r="B3124" t="str">
            <v xml:space="preserve">OLEO DIESEL COMBUSTIVEL COMUM METROPOLITANO S-10 OU S-500                                                                                                                                                                                                                                                                                                                                                                                                                                                 </v>
          </cell>
          <cell r="C3124" t="str">
            <v xml:space="preserve">L     </v>
          </cell>
          <cell r="D3124" t="str">
            <v xml:space="preserve">C </v>
          </cell>
          <cell r="E3124" t="str">
            <v>5,91</v>
          </cell>
        </row>
        <row r="3125">
          <cell r="A3125">
            <v>4227</v>
          </cell>
          <cell r="B3125" t="str">
            <v xml:space="preserve">OLEO LUBRIFICANTE MINERAL MONOVISCOSO, SAE 40, PARA MOTORES DE EQUIPAMENTOS PESADOS (CAMINHOES, TRATORES, RETROS E ETC)                                                                                                                                                                                                                                                                                                                                                                                   </v>
          </cell>
          <cell r="C3125" t="str">
            <v xml:space="preserve">L     </v>
          </cell>
          <cell r="D3125" t="str">
            <v>CR</v>
          </cell>
          <cell r="E3125" t="str">
            <v>27,56</v>
          </cell>
        </row>
        <row r="3126">
          <cell r="A3126">
            <v>38170</v>
          </cell>
          <cell r="B3126" t="str">
            <v xml:space="preserve">OLHO MAGICO PARA PORTAS, EM LATAO, COM LENTE DE POLICARBONATO, ANGULO DE *200* GRAUS, ESPESSURA ENTRE *25 E 46* MM, INCLUINDO FECHO JANELA                                                                                                                                                                                                                                                                                                                                                                </v>
          </cell>
          <cell r="C3126" t="str">
            <v xml:space="preserve">UN    </v>
          </cell>
          <cell r="D3126" t="str">
            <v>CR</v>
          </cell>
          <cell r="E3126" t="str">
            <v>18,47</v>
          </cell>
        </row>
        <row r="3127">
          <cell r="A3127">
            <v>4252</v>
          </cell>
          <cell r="B3127" t="str">
            <v xml:space="preserve">OPERADOR DE BATE-ESTACAS (HORISTA)                                                                                                                                                                                                                                                                                                                                                                                                                                                                        </v>
          </cell>
          <cell r="C3127" t="str">
            <v xml:space="preserve">H     </v>
          </cell>
          <cell r="D3127" t="str">
            <v>CR</v>
          </cell>
          <cell r="E3127" t="str">
            <v>24,01</v>
          </cell>
        </row>
        <row r="3128">
          <cell r="A3128">
            <v>40980</v>
          </cell>
          <cell r="B3128" t="str">
            <v xml:space="preserve">OPERADOR DE BATE-ESTACAS (MENSALISTA)                                                                                                                                                                                                                                                                                                                                                                                                                                                                     </v>
          </cell>
          <cell r="C3128" t="str">
            <v xml:space="preserve">MES   </v>
          </cell>
          <cell r="D3128" t="str">
            <v>CR</v>
          </cell>
          <cell r="E3128" t="str">
            <v>4.204,74</v>
          </cell>
        </row>
        <row r="3129">
          <cell r="A3129">
            <v>41031</v>
          </cell>
          <cell r="B3129" t="str">
            <v xml:space="preserve">OPERADOR DE BETONEIRA (CAMINHAO) (MENSALISTA)                                                                                                                                                                                                                                                                                                                                                                                                                                                             </v>
          </cell>
          <cell r="C3129" t="str">
            <v xml:space="preserve">MES   </v>
          </cell>
          <cell r="D3129" t="str">
            <v>CR</v>
          </cell>
          <cell r="E3129" t="str">
            <v>3.871,03</v>
          </cell>
        </row>
        <row r="3130">
          <cell r="A3130">
            <v>37666</v>
          </cell>
          <cell r="B3130" t="str">
            <v xml:space="preserve">OPERADOR DE BETONEIRA ESTACIONARIA / MISTURADOR (HORISTA)                                                                                                                                                                                                                                                                                                                                                                                                                                                 </v>
          </cell>
          <cell r="C3130" t="str">
            <v xml:space="preserve">H     </v>
          </cell>
          <cell r="D3130" t="str">
            <v>CR</v>
          </cell>
          <cell r="E3130" t="str">
            <v>20,04</v>
          </cell>
        </row>
        <row r="3131">
          <cell r="A3131">
            <v>40986</v>
          </cell>
          <cell r="B3131" t="str">
            <v xml:space="preserve">OPERADOR DE BETONEIRA ESTACIONARIA / MISTURADOR (MENSALISTA)                                                                                                                                                                                                                                                                                                                                                                                                                                              </v>
          </cell>
          <cell r="C3131" t="str">
            <v xml:space="preserve">MES   </v>
          </cell>
          <cell r="D3131" t="str">
            <v>CR</v>
          </cell>
          <cell r="E3131" t="str">
            <v>3.510,09</v>
          </cell>
        </row>
        <row r="3132">
          <cell r="A3132">
            <v>4250</v>
          </cell>
          <cell r="B3132" t="str">
            <v xml:space="preserve">OPERADOR DE COMPRESSOR DE AR OU COMPRESSORISTA (HORISTA)                                                                                                                                                                                                                                                                                                                                                                                                                                                  </v>
          </cell>
          <cell r="C3132" t="str">
            <v xml:space="preserve">H     </v>
          </cell>
          <cell r="D3132" t="str">
            <v>CR</v>
          </cell>
          <cell r="E3132" t="str">
            <v>18,77</v>
          </cell>
        </row>
        <row r="3133">
          <cell r="A3133">
            <v>40978</v>
          </cell>
          <cell r="B3133" t="str">
            <v xml:space="preserve">OPERADOR DE COMPRESSOR DE AR OU COMPRESSORISTA (MENSALISTA)                                                                                                                                                                                                                                                                                                                                                                                                                                               </v>
          </cell>
          <cell r="C3133" t="str">
            <v xml:space="preserve">MES   </v>
          </cell>
          <cell r="D3133" t="str">
            <v>CR</v>
          </cell>
          <cell r="E3133" t="str">
            <v>3.286,75</v>
          </cell>
        </row>
        <row r="3134">
          <cell r="A3134">
            <v>44501</v>
          </cell>
          <cell r="B3134" t="str">
            <v xml:space="preserve">OPERADOR DE DEMARCADORA DE FAIXAS DE TRAFEGO (HORISTA)                                                                                                                                                                                                                                                                                                                                                                                                                                                    </v>
          </cell>
          <cell r="C3134" t="str">
            <v xml:space="preserve">H     </v>
          </cell>
          <cell r="D3134" t="str">
            <v>CR</v>
          </cell>
          <cell r="E3134" t="str">
            <v>22,11</v>
          </cell>
        </row>
        <row r="3135">
          <cell r="A3135">
            <v>41043</v>
          </cell>
          <cell r="B3135" t="str">
            <v xml:space="preserve">OPERADOR DE DEMARCADORA DE FAIXAS DE TRAFEGO (MENSALISTA)                                                                                                                                                                                                                                                                                                                                                                                                                                                 </v>
          </cell>
          <cell r="C3135" t="str">
            <v xml:space="preserve">MES   </v>
          </cell>
          <cell r="D3135" t="str">
            <v>CR</v>
          </cell>
          <cell r="E3135" t="str">
            <v>3.871,03</v>
          </cell>
        </row>
        <row r="3136">
          <cell r="A3136">
            <v>4234</v>
          </cell>
          <cell r="B3136" t="str">
            <v xml:space="preserve">OPERADOR DE ESCAVADEIRA (HORISTA)                                                                                                                                                                                                                                                                                                                                                                                                                                                                         </v>
          </cell>
          <cell r="C3136" t="str">
            <v xml:space="preserve">H     </v>
          </cell>
          <cell r="D3136" t="str">
            <v xml:space="preserve">C </v>
          </cell>
          <cell r="E3136" t="str">
            <v>29,50</v>
          </cell>
        </row>
        <row r="3137">
          <cell r="A3137">
            <v>40987</v>
          </cell>
          <cell r="B3137" t="str">
            <v xml:space="preserve">OPERADOR DE ESCAVADEIRA (MENSALISTA)                                                                                                                                                                                                                                                                                                                                                                                                                                                                      </v>
          </cell>
          <cell r="C3137" t="str">
            <v xml:space="preserve">MES   </v>
          </cell>
          <cell r="D3137" t="str">
            <v>CR</v>
          </cell>
          <cell r="E3137" t="str">
            <v>5.164,03</v>
          </cell>
        </row>
        <row r="3138">
          <cell r="A3138">
            <v>4253</v>
          </cell>
          <cell r="B3138" t="str">
            <v xml:space="preserve">OPERADOR DE GUINCHO OU GUINCHEIRO (HORISTA)                                                                                                                                                                                                                                                                                                                                                                                                                                                               </v>
          </cell>
          <cell r="C3138" t="str">
            <v xml:space="preserve">H     </v>
          </cell>
          <cell r="D3138" t="str">
            <v>CR</v>
          </cell>
          <cell r="E3138" t="str">
            <v>20,47</v>
          </cell>
        </row>
        <row r="3139">
          <cell r="A3139">
            <v>40981</v>
          </cell>
          <cell r="B3139" t="str">
            <v xml:space="preserve">OPERADOR DE GUINCHO OU GUINCHEIRO (MENSALISTA)                                                                                                                                                                                                                                                                                                                                                                                                                                                            </v>
          </cell>
          <cell r="C3139" t="str">
            <v xml:space="preserve">MES   </v>
          </cell>
          <cell r="D3139" t="str">
            <v>CR</v>
          </cell>
          <cell r="E3139" t="str">
            <v>3.585,48</v>
          </cell>
        </row>
        <row r="3140">
          <cell r="A3140">
            <v>4254</v>
          </cell>
          <cell r="B3140" t="str">
            <v xml:space="preserve">OPERADOR DE GUINDASTE (HORISTA)                                                                                                                                                                                                                                                                                                                                                                                                                                                                           </v>
          </cell>
          <cell r="C3140" t="str">
            <v xml:space="preserve">H     </v>
          </cell>
          <cell r="D3140" t="str">
            <v>CR</v>
          </cell>
          <cell r="E3140" t="str">
            <v>21,18</v>
          </cell>
        </row>
        <row r="3141">
          <cell r="A3141">
            <v>41036</v>
          </cell>
          <cell r="B3141" t="str">
            <v xml:space="preserve">OPERADOR DE GUINDASTE (MENSALISTA)                                                                                                                                                                                                                                                                                                                                                                                                                                                                        </v>
          </cell>
          <cell r="C3141" t="str">
            <v xml:space="preserve">MES   </v>
          </cell>
          <cell r="D3141" t="str">
            <v>CR</v>
          </cell>
          <cell r="E3141" t="str">
            <v>3.708,76</v>
          </cell>
        </row>
        <row r="3142">
          <cell r="A3142">
            <v>4251</v>
          </cell>
          <cell r="B3142" t="str">
            <v xml:space="preserve">OPERADOR DE JATO ABRASIVO OU JATISTA (HORISTA)                                                                                                                                                                                                                                                                                                                                                                                                                                                            </v>
          </cell>
          <cell r="C3142" t="str">
            <v xml:space="preserve">H     </v>
          </cell>
          <cell r="D3142" t="str">
            <v>CR</v>
          </cell>
          <cell r="E3142" t="str">
            <v>16,40</v>
          </cell>
        </row>
        <row r="3143">
          <cell r="A3143">
            <v>40979</v>
          </cell>
          <cell r="B3143" t="str">
            <v xml:space="preserve">OPERADOR DE JATO ABRASIVO OU JATISTA (MENSALISTA)                                                                                                                                                                                                                                                                                                                                                                                                                                                         </v>
          </cell>
          <cell r="C3143" t="str">
            <v xml:space="preserve">MES   </v>
          </cell>
          <cell r="D3143" t="str">
            <v>CR</v>
          </cell>
          <cell r="E3143" t="str">
            <v>2.873,41</v>
          </cell>
        </row>
        <row r="3144">
          <cell r="A3144">
            <v>4230</v>
          </cell>
          <cell r="B3144" t="str">
            <v xml:space="preserve">OPERADOR DE MAQUINAS E TRATORES DIVERSOS - TERRAPLANAGEM (HORISTA)                                                                                                                                                                                                                                                                                                                                                                                                                                        </v>
          </cell>
          <cell r="C3144" t="str">
            <v xml:space="preserve">H     </v>
          </cell>
          <cell r="D3144" t="str">
            <v>CR</v>
          </cell>
          <cell r="E3144" t="str">
            <v>23,73</v>
          </cell>
        </row>
        <row r="3145">
          <cell r="A3145">
            <v>40998</v>
          </cell>
          <cell r="B3145" t="str">
            <v xml:space="preserve">OPERADOR DE MAQUINAS E TRATORES DIVERSOS - TERRAPLANAGEM (MENSALISTA)                                                                                                                                                                                                                                                                                                                                                                                                                                     </v>
          </cell>
          <cell r="C3145" t="str">
            <v xml:space="preserve">MES   </v>
          </cell>
          <cell r="D3145" t="str">
            <v>CR</v>
          </cell>
          <cell r="E3145" t="str">
            <v>4.153,46</v>
          </cell>
        </row>
        <row r="3146">
          <cell r="A3146">
            <v>4257</v>
          </cell>
          <cell r="B3146" t="str">
            <v xml:space="preserve">OPERADOR DE MARTELETE OU MARTELETEIRO (HORISTA)                                                                                                                                                                                                                                                                                                                                                                                                                                                           </v>
          </cell>
          <cell r="C3146" t="str">
            <v xml:space="preserve">H     </v>
          </cell>
          <cell r="D3146" t="str">
            <v>CR</v>
          </cell>
          <cell r="E3146" t="str">
            <v>20,47</v>
          </cell>
        </row>
        <row r="3147">
          <cell r="A3147">
            <v>40982</v>
          </cell>
          <cell r="B3147" t="str">
            <v xml:space="preserve">OPERADOR DE MARTELETE OU MARTELETEIRO (MENSALISTA)                                                                                                                                                                                                                                                                                                                                                                                                                                                        </v>
          </cell>
          <cell r="C3147" t="str">
            <v xml:space="preserve">MES   </v>
          </cell>
          <cell r="D3147" t="str">
            <v>CR</v>
          </cell>
          <cell r="E3147" t="str">
            <v>3.585,48</v>
          </cell>
        </row>
        <row r="3148">
          <cell r="A3148">
            <v>4240</v>
          </cell>
          <cell r="B3148" t="str">
            <v xml:space="preserve">OPERADOR DE MOTO SCRAPER (HORISTA)                                                                                                                                                                                                                                                                                                                                                                                                                                                                        </v>
          </cell>
          <cell r="C3148" t="str">
            <v xml:space="preserve">H     </v>
          </cell>
          <cell r="D3148" t="str">
            <v>CR</v>
          </cell>
          <cell r="E3148" t="str">
            <v>30,56</v>
          </cell>
        </row>
        <row r="3149">
          <cell r="A3149">
            <v>41026</v>
          </cell>
          <cell r="B3149" t="str">
            <v xml:space="preserve">OPERADOR DE MOTO SCRAPER (MENSALISTA)                                                                                                                                                                                                                                                                                                                                                                                                                                                                     </v>
          </cell>
          <cell r="C3149" t="str">
            <v xml:space="preserve">MES   </v>
          </cell>
          <cell r="D3149" t="str">
            <v>CR</v>
          </cell>
          <cell r="E3149" t="str">
            <v>5.350,16</v>
          </cell>
        </row>
        <row r="3150">
          <cell r="A3150">
            <v>4239</v>
          </cell>
          <cell r="B3150" t="str">
            <v xml:space="preserve">OPERADOR DE MOTONIVELADORA (HORISTA)                                                                                                                                                                                                                                                                                                                                                                                                                                                                      </v>
          </cell>
          <cell r="C3150" t="str">
            <v xml:space="preserve">H     </v>
          </cell>
          <cell r="D3150" t="str">
            <v>CR</v>
          </cell>
          <cell r="E3150" t="str">
            <v>30,56</v>
          </cell>
        </row>
        <row r="3151">
          <cell r="A3151">
            <v>41024</v>
          </cell>
          <cell r="B3151" t="str">
            <v xml:space="preserve">OPERADOR DE MOTONIVELADORA (MENSALISTA)                                                                                                                                                                                                                                                                                                                                                                                                                                                                   </v>
          </cell>
          <cell r="C3151" t="str">
            <v xml:space="preserve">MES   </v>
          </cell>
          <cell r="D3151" t="str">
            <v>CR</v>
          </cell>
          <cell r="E3151" t="str">
            <v>5.350,16</v>
          </cell>
        </row>
        <row r="3152">
          <cell r="A3152">
            <v>4248</v>
          </cell>
          <cell r="B3152" t="str">
            <v xml:space="preserve">OPERADOR DE PA CARREGADEIRA (HORISTA)                                                                                                                                                                                                                                                                                                                                                                                                                                                                     </v>
          </cell>
          <cell r="C3152" t="str">
            <v xml:space="preserve">H     </v>
          </cell>
          <cell r="D3152" t="str">
            <v>CR</v>
          </cell>
          <cell r="E3152" t="str">
            <v>22,11</v>
          </cell>
        </row>
        <row r="3153">
          <cell r="A3153">
            <v>41033</v>
          </cell>
          <cell r="B3153" t="str">
            <v xml:space="preserve">OPERADOR DE PA CARREGADEIRA (MENSALISTA)                                                                                                                                                                                                                                                                                                                                                                                                                                                                  </v>
          </cell>
          <cell r="C3153" t="str">
            <v xml:space="preserve">MES   </v>
          </cell>
          <cell r="D3153" t="str">
            <v>CR</v>
          </cell>
          <cell r="E3153" t="str">
            <v>3.871,03</v>
          </cell>
        </row>
        <row r="3154">
          <cell r="A3154">
            <v>44500</v>
          </cell>
          <cell r="B3154" t="str">
            <v xml:space="preserve">OPERADOR DE PAVIMENTADORA / MESA VIBROACABADORA (HORISTA)                                                                                                                                                                                                                                                                                                                                                                                                                                                 </v>
          </cell>
          <cell r="C3154" t="str">
            <v xml:space="preserve">H     </v>
          </cell>
          <cell r="D3154" t="str">
            <v>CR</v>
          </cell>
          <cell r="E3154" t="str">
            <v>22,11</v>
          </cell>
        </row>
        <row r="3155">
          <cell r="A3155">
            <v>41040</v>
          </cell>
          <cell r="B3155" t="str">
            <v xml:space="preserve">OPERADOR DE PAVIMENTADORA / MESA VIBROACABADORA (MENSALISTA)                                                                                                                                                                                                                                                                                                                                                                                                                                              </v>
          </cell>
          <cell r="C3155" t="str">
            <v xml:space="preserve">MES   </v>
          </cell>
          <cell r="D3155" t="str">
            <v>CR</v>
          </cell>
          <cell r="E3155" t="str">
            <v>3.871,03</v>
          </cell>
        </row>
        <row r="3156">
          <cell r="A3156">
            <v>4238</v>
          </cell>
          <cell r="B3156" t="str">
            <v xml:space="preserve">OPERADOR DE ROLO COMPACTADOR (HORISTA)                                                                                                                                                                                                                                                                                                                                                                                                                                                                    </v>
          </cell>
          <cell r="C3156" t="str">
            <v xml:space="preserve">H     </v>
          </cell>
          <cell r="D3156" t="str">
            <v>CR</v>
          </cell>
          <cell r="E3156" t="str">
            <v>22,50</v>
          </cell>
        </row>
        <row r="3157">
          <cell r="A3157">
            <v>41012</v>
          </cell>
          <cell r="B3157" t="str">
            <v xml:space="preserve">OPERADOR DE ROLO COMPACTADOR (MENSALISTA)                                                                                                                                                                                                                                                                                                                                                                                                                                                                 </v>
          </cell>
          <cell r="C3157" t="str">
            <v xml:space="preserve">MES   </v>
          </cell>
          <cell r="D3157" t="str">
            <v>CR</v>
          </cell>
          <cell r="E3157" t="str">
            <v>3.939,77</v>
          </cell>
        </row>
        <row r="3158">
          <cell r="A3158">
            <v>4233</v>
          </cell>
          <cell r="B3158" t="str">
            <v xml:space="preserve">OPERADOR DE USINA DE ASFALTO, DE SOLOS OU DE CONCRETO (HORISTA)                                                                                                                                                                                                                                                                                                                                                                                                                                           </v>
          </cell>
          <cell r="C3158" t="str">
            <v xml:space="preserve">H     </v>
          </cell>
          <cell r="D3158" t="str">
            <v>CR</v>
          </cell>
          <cell r="E3158" t="str">
            <v>30,56</v>
          </cell>
        </row>
        <row r="3159">
          <cell r="A3159">
            <v>41001</v>
          </cell>
          <cell r="B3159" t="str">
            <v xml:space="preserve">OPERADOR DE USINA DE ASFALTO, DE SOLOS OU DE CONCRETO (MENSALISTA)                                                                                                                                                                                                                                                                                                                                                                                                                                        </v>
          </cell>
          <cell r="C3159" t="str">
            <v xml:space="preserve">MES   </v>
          </cell>
          <cell r="D3159" t="str">
            <v>CR</v>
          </cell>
          <cell r="E3159" t="str">
            <v>5.350,16</v>
          </cell>
        </row>
        <row r="3160">
          <cell r="A3160">
            <v>2</v>
          </cell>
          <cell r="B3160" t="str">
            <v xml:space="preserve">OXIGENIO, RECARGA PARA CILINDRO DE CONJUNTO OXICORTE GRANDE                                                                                                                                                                                                                                                                                                                                                                                                                                               </v>
          </cell>
          <cell r="C3160" t="str">
            <v xml:space="preserve">M3    </v>
          </cell>
          <cell r="D3160" t="str">
            <v>CR</v>
          </cell>
          <cell r="E3160" t="str">
            <v>19,06</v>
          </cell>
        </row>
        <row r="3161">
          <cell r="A3161">
            <v>36517</v>
          </cell>
          <cell r="B3161" t="str">
            <v xml:space="preserve">PA CARREGADEIRA SOBRE RODAS, POTENCIA BRUTA *127* CV, CAPACIDADE DA CACAMBA DE 2,0 A 2,4 M3, PESO OPERACIONAL MAXIMO DE 10330 KG                                                                                                                                                                                                                                                                                                                                                                          </v>
          </cell>
          <cell r="C3161" t="str">
            <v xml:space="preserve">UN    </v>
          </cell>
          <cell r="D3161" t="str">
            <v>CR</v>
          </cell>
          <cell r="E3161" t="str">
            <v>550.560,00</v>
          </cell>
        </row>
        <row r="3162">
          <cell r="A3162">
            <v>4262</v>
          </cell>
          <cell r="B3162" t="str">
            <v xml:space="preserve">PA CARREGADEIRA SOBRE RODAS, POTENCIA LIQUIDA 128 HP, CAPACIDADE DA CACAMBA DE 1,7 A 2,8 M3, PESO OPERACIONAL MAXIMO DE 11632 KG                                                                                                                                                                                                                                                                                                                                                                          </v>
          </cell>
          <cell r="C3162" t="str">
            <v xml:space="preserve">UN    </v>
          </cell>
          <cell r="D3162" t="str">
            <v xml:space="preserve">C </v>
          </cell>
          <cell r="E3162" t="str">
            <v>620.000,00</v>
          </cell>
        </row>
        <row r="3163">
          <cell r="A3163">
            <v>4263</v>
          </cell>
          <cell r="B3163" t="str">
            <v xml:space="preserve">PA CARREGADEIRA SOBRE RODAS, POTENCIA LIQUIDA 197 HP, CAPACIDADE DA CACAMBA DE 2,5 A 3,5 M3, PESO OPERACIONAL MAXIMO DE 18338 KG                                                                                                                                                                                                                                                                                                                                                                          </v>
          </cell>
          <cell r="C3163" t="str">
            <v xml:space="preserve">UN    </v>
          </cell>
          <cell r="D3163" t="str">
            <v>CR</v>
          </cell>
          <cell r="E3163" t="str">
            <v>859.733,29</v>
          </cell>
        </row>
        <row r="3164">
          <cell r="A3164">
            <v>36518</v>
          </cell>
          <cell r="B3164" t="str">
            <v xml:space="preserve">PA CARREGADEIRA SOBRE RODAS, POTENCIA LIQUIDA 213 HP, CAPACIDADE DA CACAMBA DE 1,9 A 3,5 M3, PESO OPERACIONAL MAXIMO DE 19234 KG                                                                                                                                                                                                                                                                                                                                                                          </v>
          </cell>
          <cell r="C3164" t="str">
            <v xml:space="preserve">UN    </v>
          </cell>
          <cell r="D3164" t="str">
            <v>CR</v>
          </cell>
          <cell r="E3164" t="str">
            <v>978.773,29</v>
          </cell>
        </row>
        <row r="3165">
          <cell r="A3165">
            <v>14221</v>
          </cell>
          <cell r="B3165" t="str">
            <v xml:space="preserve">PA CARREGADEIRA SOBRE RODAS, POTENCIA 152 HP, CAPACIDADE DA CACAMBA DE 1,53 A 2,30 M3, PESO OPERACIONAL MAXIMO DE 10216 KG                                                                                                                                                                                                                                                                                                                                                                                </v>
          </cell>
          <cell r="C3165" t="str">
            <v xml:space="preserve">UN    </v>
          </cell>
          <cell r="D3165" t="str">
            <v>CR</v>
          </cell>
          <cell r="E3165" t="str">
            <v>571.226,64</v>
          </cell>
        </row>
        <row r="3166">
          <cell r="A3166">
            <v>38402</v>
          </cell>
          <cell r="B3166" t="str">
            <v xml:space="preserve">PA DE LIXO PLASTICA, CABO LONGO                                                                                                                                                                                                                                                                                                                                                                                                                                                                           </v>
          </cell>
          <cell r="C3166" t="str">
            <v xml:space="preserve">UN    </v>
          </cell>
          <cell r="D3166" t="str">
            <v>CR</v>
          </cell>
          <cell r="E3166" t="str">
            <v>8,61</v>
          </cell>
        </row>
        <row r="3167">
          <cell r="A3167">
            <v>3412</v>
          </cell>
          <cell r="B3167" t="str">
            <v xml:space="preserve">PAINEL DE LA DE VIDRO SEM REVESTIMENTO PSI 20, E = 25 MM, DE 1200 X 600 MM                                                                                                                                                                                                                                                                                                                                                                                                                                </v>
          </cell>
          <cell r="C3167" t="str">
            <v xml:space="preserve">M2    </v>
          </cell>
          <cell r="D3167" t="str">
            <v>CR</v>
          </cell>
          <cell r="E3167" t="str">
            <v>27,18</v>
          </cell>
        </row>
        <row r="3168">
          <cell r="A3168">
            <v>3413</v>
          </cell>
          <cell r="B3168" t="str">
            <v xml:space="preserve">PAINEL DE LA DE VIDRO SEM REVESTIMENTO PSI 20, E = 50 MM, DE 1200 X 600 MM                                                                                                                                                                                                                                                                                                                                                                                                                                </v>
          </cell>
          <cell r="C3168" t="str">
            <v xml:space="preserve">M2    </v>
          </cell>
          <cell r="D3168" t="str">
            <v>CR</v>
          </cell>
          <cell r="E3168" t="str">
            <v>61,18</v>
          </cell>
        </row>
        <row r="3169">
          <cell r="A3169">
            <v>39744</v>
          </cell>
          <cell r="B3169" t="str">
            <v xml:space="preserve">PAINEL DE LA DE VIDRO SEM REVESTIMENTO PSI 40, E = 25 MM, DE 1200 X 600 MM                                                                                                                                                                                                                                                                                                                                                                                                                                </v>
          </cell>
          <cell r="C3169" t="str">
            <v xml:space="preserve">M2    </v>
          </cell>
          <cell r="D3169" t="str">
            <v>CR</v>
          </cell>
          <cell r="E3169" t="str">
            <v>47,50</v>
          </cell>
        </row>
        <row r="3170">
          <cell r="A3170">
            <v>39745</v>
          </cell>
          <cell r="B3170" t="str">
            <v xml:space="preserve">PAINEL DE LA DE VIDRO SEM REVESTIMENTO PSI 40, E = 50 MM, DE 1200 X 600 MM                                                                                                                                                                                                                                                                                                                                                                                                                                </v>
          </cell>
          <cell r="C3170" t="str">
            <v xml:space="preserve">M2    </v>
          </cell>
          <cell r="D3170" t="str">
            <v>CR</v>
          </cell>
          <cell r="E3170" t="str">
            <v>100,26</v>
          </cell>
        </row>
        <row r="3171">
          <cell r="A3171">
            <v>39637</v>
          </cell>
          <cell r="B3171" t="str">
            <v xml:space="preserve">PAINEL ESTRUTURAL PARA LAJE SECA REVESTIDO EM PLACA CIMENTICIA, DE 1,20 X 2,50 M, E = 23 MM                                                                                                                                                                                                                                                                                                                                                                                                               </v>
          </cell>
          <cell r="C3171" t="str">
            <v xml:space="preserve">M2    </v>
          </cell>
          <cell r="D3171" t="str">
            <v>CR</v>
          </cell>
          <cell r="E3171" t="str">
            <v>87,34</v>
          </cell>
        </row>
        <row r="3172">
          <cell r="A3172">
            <v>39638</v>
          </cell>
          <cell r="B3172" t="str">
            <v xml:space="preserve">PAINEL ESTRUTURAL PARA LAJE SECA REVESTIDO EM PLACA CIMENTICIA, DE 1,20 X 2,50 M, E = 40 MM                                                                                                                                                                                                                                                                                                                                                                                                               </v>
          </cell>
          <cell r="C3172" t="str">
            <v xml:space="preserve">M2    </v>
          </cell>
          <cell r="D3172" t="str">
            <v>CR</v>
          </cell>
          <cell r="E3172" t="str">
            <v>98,84</v>
          </cell>
        </row>
        <row r="3173">
          <cell r="A3173">
            <v>39639</v>
          </cell>
          <cell r="B3173" t="str">
            <v xml:space="preserve">PAINEL ESTRUTURAL PARA LAJE SECA REVESTIDO EM PLACA CIMENTICIA, DE 1,20 X 2,50 M, E = 55 MM                                                                                                                                                                                                                                                                                                                                                                                                               </v>
          </cell>
          <cell r="C3173" t="str">
            <v xml:space="preserve">M2    </v>
          </cell>
          <cell r="D3173" t="str">
            <v>CR</v>
          </cell>
          <cell r="E3173" t="str">
            <v>149,12</v>
          </cell>
        </row>
        <row r="3174">
          <cell r="A3174">
            <v>39517</v>
          </cell>
          <cell r="B3174" t="str">
            <v xml:space="preserve">PAINEL TERMOISOLANTE PARA FECHAMENTOS VERTICAIS (INCLUI PARAFUSOS DE FIXACAO) REVESTIDO EM ACO GALVALUME, LARGURA UTIL DE 1100 MM, REVESTIMENTO COM ESPESSURA DE 0,50 MM, COM PRE-PINTURA NAS DUAS FACES, NUCLEO EM POLIURETANO (PUR) COM ESPESSURA 40/50 MM                                                                                                                                                                                                                                              </v>
          </cell>
          <cell r="C3174" t="str">
            <v xml:space="preserve">M2    </v>
          </cell>
          <cell r="D3174" t="str">
            <v>CR</v>
          </cell>
          <cell r="E3174" t="str">
            <v>230,62</v>
          </cell>
        </row>
        <row r="3175">
          <cell r="A3175">
            <v>39518</v>
          </cell>
          <cell r="B3175" t="str">
            <v xml:space="preserve">PAINEL TERMOISOLANTE PARA FECHAMENTOS VERTICAIS (INCLUI PARAFUSOS DE FIXACAO) REVESTIDO EM ACO GALVALUME, LARGURA UTIL DE 1100 MM, REVESTIMENTO COM ESPESSURA DE 0,50 MM, COM PRE-PINTURA NAS DUAS FACES, NUCLEO EM POLIURETANO (PUR) COM ESPESSURA 70/80 MM                                                                                                                                                                                                                                              </v>
          </cell>
          <cell r="C3175" t="str">
            <v xml:space="preserve">M2    </v>
          </cell>
          <cell r="D3175" t="str">
            <v>CR</v>
          </cell>
          <cell r="E3175" t="str">
            <v>273,41</v>
          </cell>
        </row>
        <row r="3176">
          <cell r="A3176">
            <v>38366</v>
          </cell>
          <cell r="B3176" t="str">
            <v xml:space="preserve">PAPEL KRAFT BETUMADO                                                                                                                                                                                                                                                                                                                                                                                                                                                                                      </v>
          </cell>
          <cell r="C3176" t="str">
            <v xml:space="preserve">M2    </v>
          </cell>
          <cell r="D3176" t="str">
            <v>CR</v>
          </cell>
          <cell r="E3176" t="str">
            <v>6,25</v>
          </cell>
        </row>
        <row r="3177">
          <cell r="A3177">
            <v>11703</v>
          </cell>
          <cell r="B3177" t="str">
            <v xml:space="preserve">PAPELEIRA DE PAREDE EM METAL CROMADO SEM TAMPA                                                                                                                                                                                                                                                                                                                                                                                                                                                            </v>
          </cell>
          <cell r="C3177" t="str">
            <v xml:space="preserve">UN    </v>
          </cell>
          <cell r="D3177" t="str">
            <v>CR</v>
          </cell>
          <cell r="E3177" t="str">
            <v>48,10</v>
          </cell>
        </row>
        <row r="3178">
          <cell r="A3178">
            <v>37400</v>
          </cell>
          <cell r="B3178" t="str">
            <v xml:space="preserve">PAPELEIRA PLASTICA TIPO DISPENSER PARA PAPEL HIGIENICO ROLAO                                                                                                                                                                                                                                                                                                                                                                                                                                              </v>
          </cell>
          <cell r="C3178" t="str">
            <v xml:space="preserve">UN    </v>
          </cell>
          <cell r="D3178" t="str">
            <v>CR</v>
          </cell>
          <cell r="E3178" t="str">
            <v>68,18</v>
          </cell>
        </row>
        <row r="3179">
          <cell r="A3179">
            <v>25400</v>
          </cell>
          <cell r="B3179" t="str">
            <v xml:space="preserve">PAR DE TABELAS DE BASQUETE EM COMPENSADO NAVAL, OFICIAL, 1800 X 1200 MM, INCLUINDO ARO DE METAL E REDE EM POLIPROPILENO 100% (SEM SUPORTE DE FIXACAO)                                                                                                                                                                                                                                                                                                                                                     </v>
          </cell>
          <cell r="C3179" t="str">
            <v xml:space="preserve">UN    </v>
          </cell>
          <cell r="D3179" t="str">
            <v>CR</v>
          </cell>
          <cell r="E3179" t="str">
            <v>2.489,04</v>
          </cell>
        </row>
        <row r="3180">
          <cell r="A3180">
            <v>4276</v>
          </cell>
          <cell r="B3180" t="str">
            <v xml:space="preserve">PARA-RAIOS DE DISTRIBUICAO, TENSAO NOMINAL 15 KV, CORRENTE NOMINAL DE DESCARGA 5 KA                                                                                                                                                                                                                                                                                                                                                                                                                       </v>
          </cell>
          <cell r="C3180" t="str">
            <v xml:space="preserve">UN    </v>
          </cell>
          <cell r="D3180" t="str">
            <v>CR</v>
          </cell>
          <cell r="E3180" t="str">
            <v>216,09</v>
          </cell>
        </row>
        <row r="3181">
          <cell r="A3181">
            <v>4273</v>
          </cell>
          <cell r="B3181" t="str">
            <v xml:space="preserve">PARA-RAIOS DE DISTRIBUICAO, TENSAO NOMINAL 30 KV, CORRENTE NOMINAL DE DESCARGA 10 KA                                                                                                                                                                                                                                                                                                                                                                                                                      </v>
          </cell>
          <cell r="C3181" t="str">
            <v xml:space="preserve">UN    </v>
          </cell>
          <cell r="D3181" t="str">
            <v>CR</v>
          </cell>
          <cell r="E3181" t="str">
            <v>392,33</v>
          </cell>
        </row>
        <row r="3182">
          <cell r="A3182">
            <v>4274</v>
          </cell>
          <cell r="B3182" t="str">
            <v xml:space="preserve">PARA-RAIOS TIPO FRANKLIN 350 MM, EM LATAO CROMADO, DUAS DESCIDAS, PARA PROTECAO DE EDIFICACOES CONTRA DESCARGAS ATMOSFERICAS                                                                                                                                                                                                                                                                                                                                                                              </v>
          </cell>
          <cell r="C3182" t="str">
            <v xml:space="preserve">UN    </v>
          </cell>
          <cell r="D3182" t="str">
            <v xml:space="preserve">C </v>
          </cell>
          <cell r="E3182" t="str">
            <v>143,53</v>
          </cell>
        </row>
        <row r="3183">
          <cell r="A3183">
            <v>39438</v>
          </cell>
          <cell r="B3183" t="str">
            <v xml:space="preserve">PARAFUSO CABECA TROMBETA E PONTA AGULHA (GN55), COMPRIMENTO 55 MM, EM ACO FOSFATIZADO, PARA FIXAR CHAPA DE GESSO EM PERFIL DRYWALL METALICO MAXIMO 0,7 MM                                                                                                                                                                                                                                                                                                                                                 </v>
          </cell>
          <cell r="C3183" t="str">
            <v xml:space="preserve">UN    </v>
          </cell>
          <cell r="D3183" t="str">
            <v>CR</v>
          </cell>
          <cell r="E3183" t="str">
            <v>0,27</v>
          </cell>
        </row>
        <row r="3184">
          <cell r="A3184">
            <v>4379</v>
          </cell>
          <cell r="B3184" t="str">
            <v xml:space="preserve">PARAFUSO DE ACO ZINCADO COM ROSCA SOBERBA, CABECA CHATA E FENDA SIMPLES, DIAMETRO 2,5 MM, COMPRIMENTO * 9,5 * MM                                                                                                                                                                                                                                                                                                                                                                                          </v>
          </cell>
          <cell r="C3184" t="str">
            <v xml:space="preserve">UN    </v>
          </cell>
          <cell r="D3184" t="str">
            <v>CR</v>
          </cell>
          <cell r="E3184" t="str">
            <v>0,05</v>
          </cell>
        </row>
        <row r="3185">
          <cell r="A3185">
            <v>4377</v>
          </cell>
          <cell r="B3185" t="str">
            <v xml:space="preserve">PARAFUSO DE ACO ZINCADO COM ROSCA SOBERBA, CABECA CHATA E FENDA SIMPLES, DIAMETRO 4,2 MM, COMPRIMENTO * 32 * MM                                                                                                                                                                                                                                                                                                                                                                                           </v>
          </cell>
          <cell r="C3185" t="str">
            <v xml:space="preserve">UN    </v>
          </cell>
          <cell r="D3185" t="str">
            <v>CR</v>
          </cell>
          <cell r="E3185" t="str">
            <v>0,19</v>
          </cell>
        </row>
        <row r="3186">
          <cell r="A3186">
            <v>4356</v>
          </cell>
          <cell r="B3186" t="str">
            <v xml:space="preserve">PARAFUSO DE ACO ZINCADO COM ROSCA SOBERBA, CABECA CHATA E FENDA SIMPLES, DIAMETRO 4,8 MM, COMPRIMENTO 45 MM                                                                                                                                                                                                                                                                                                                                                                                               </v>
          </cell>
          <cell r="C3186" t="str">
            <v xml:space="preserve">UN    </v>
          </cell>
          <cell r="D3186" t="str">
            <v>CR</v>
          </cell>
          <cell r="E3186" t="str">
            <v>0,27</v>
          </cell>
        </row>
        <row r="3187">
          <cell r="A3187">
            <v>13246</v>
          </cell>
          <cell r="B3187" t="str">
            <v xml:space="preserve">PARAFUSO DE ACO ZINCADO, SEXTAVADO, COM ROSCA INTEIRA, DIAMETRO 5/16", COMPRIMENTO 3/4", COM PORCA E ARRUELA LISA LEVE                                                                                                                                                                                                                                                                                                                                                                                    </v>
          </cell>
          <cell r="C3187" t="str">
            <v xml:space="preserve">UN    </v>
          </cell>
          <cell r="D3187" t="str">
            <v>CR</v>
          </cell>
          <cell r="E3187" t="str">
            <v>0,47</v>
          </cell>
        </row>
        <row r="3188">
          <cell r="A3188">
            <v>13294</v>
          </cell>
          <cell r="B3188" t="str">
            <v xml:space="preserve">PARAFUSO DE ACO ZINCADO, SEXTAVADO, COM ROSCA SOBERBA, DIAMETRO 3/8", COMPRIMENTO 80 MM                                                                                                                                                                                                                                                                                                                                                                                                                   </v>
          </cell>
          <cell r="C3188" t="str">
            <v xml:space="preserve">UN    </v>
          </cell>
          <cell r="D3188" t="str">
            <v>CR</v>
          </cell>
          <cell r="E3188" t="str">
            <v>1,59</v>
          </cell>
        </row>
        <row r="3189">
          <cell r="A3189">
            <v>11963</v>
          </cell>
          <cell r="B3189" t="str">
            <v xml:space="preserve">PARAFUSO DE ACO ZINCADO, TIPO CHUMBADOR PARABOLT, DIAMETRO 1/2", COMPRIMENTO 75 MM                                                                                                                                                                                                                                                                                                                                                                                                                        </v>
          </cell>
          <cell r="C3189" t="str">
            <v xml:space="preserve">UN    </v>
          </cell>
          <cell r="D3189" t="str">
            <v>CR</v>
          </cell>
          <cell r="E3189" t="str">
            <v>10,01</v>
          </cell>
        </row>
        <row r="3190">
          <cell r="A3190">
            <v>11964</v>
          </cell>
          <cell r="B3190" t="str">
            <v xml:space="preserve">PARAFUSO DE ACO ZINCADO, TIPO CHUMBADOR PARABOLT, DIAMETRO 3/8", COMPRIMENTO 75 MM                                                                                                                                                                                                                                                                                                                                                                                                                        </v>
          </cell>
          <cell r="C3190" t="str">
            <v xml:space="preserve">UN    </v>
          </cell>
          <cell r="D3190" t="str">
            <v>CR</v>
          </cell>
          <cell r="E3190" t="str">
            <v>2,52</v>
          </cell>
        </row>
        <row r="3191">
          <cell r="A3191">
            <v>4346</v>
          </cell>
          <cell r="B3191" t="str">
            <v xml:space="preserve">PARAFUSO DE FERRO POLIDO, SEXTAVADO, COM ROSCA PARCIAL, DIAMETRO 5/8", COMPRIMENTO 6", COM PORCA E ARRUELA DE PRESSAO MEDIA                                                                                                                                                                                                                                                                                                                                                                               </v>
          </cell>
          <cell r="C3191" t="str">
            <v xml:space="preserve">UN    </v>
          </cell>
          <cell r="D3191" t="str">
            <v>CR</v>
          </cell>
          <cell r="E3191" t="str">
            <v>10,73</v>
          </cell>
        </row>
        <row r="3192">
          <cell r="A3192">
            <v>11955</v>
          </cell>
          <cell r="B3192" t="str">
            <v xml:space="preserve">PARAFUSO DE LATAO COM ACABAMENTO CROMADO PARA FIXAR PECA SANITARIA, INCLUI PORCA CEGA, ARRUELA E BUCHA DE NYLON TAMANHO S-10                                                                                                                                                                                                                                                                                                                                                                              </v>
          </cell>
          <cell r="C3192" t="str">
            <v xml:space="preserve">UN    </v>
          </cell>
          <cell r="D3192" t="str">
            <v>CR</v>
          </cell>
          <cell r="E3192" t="str">
            <v>4,69</v>
          </cell>
        </row>
        <row r="3193">
          <cell r="A3193">
            <v>11960</v>
          </cell>
          <cell r="B3193" t="str">
            <v xml:space="preserve">PARAFUSO DE LATAO COM ROSCA SOBERBA, CABECA CHATA E FENDA SIMPLES, DIAMETRO 2,5 MM, COMPRIMENTO 12 MM                                                                                                                                                                                                                                                                                                                                                                                                     </v>
          </cell>
          <cell r="C3193" t="str">
            <v xml:space="preserve">UN    </v>
          </cell>
          <cell r="D3193" t="str">
            <v>CR</v>
          </cell>
          <cell r="E3193" t="str">
            <v>0,15</v>
          </cell>
        </row>
        <row r="3194">
          <cell r="A3194">
            <v>4333</v>
          </cell>
          <cell r="B3194" t="str">
            <v xml:space="preserve">PARAFUSO DE LATAO COM ROSCA SOBERBA, CABECA CHATA E FENDA SIMPLES, DIAMETRO 3,2 MM, COMPRIMENTO 16 MM                                                                                                                                                                                                                                                                                                                                                                                                     </v>
          </cell>
          <cell r="C3194" t="str">
            <v xml:space="preserve">UN    </v>
          </cell>
          <cell r="D3194" t="str">
            <v>CR</v>
          </cell>
          <cell r="E3194" t="str">
            <v>0,27</v>
          </cell>
        </row>
        <row r="3195">
          <cell r="A3195">
            <v>4358</v>
          </cell>
          <cell r="B3195" t="str">
            <v xml:space="preserve">PARAFUSO DE LATAO COM ROSCA SOBERBA, CABECA CHATA E FENDA SIMPLES, DIAMETRO 4,8 MM, COMPRIMENTO 65 MM                                                                                                                                                                                                                                                                                                                                                                                                     </v>
          </cell>
          <cell r="C3195" t="str">
            <v xml:space="preserve">UN    </v>
          </cell>
          <cell r="D3195" t="str">
            <v>CR</v>
          </cell>
          <cell r="E3195" t="str">
            <v>2,15</v>
          </cell>
        </row>
        <row r="3196">
          <cell r="A3196">
            <v>39435</v>
          </cell>
          <cell r="B3196" t="str">
            <v xml:space="preserve">PARAFUSO DRY WALL, EM ACO FOSFATIZADO, CABECA TROMBETA E PONTA AGULHA (TA), COMPRIMENTO 25 MM                                                                                                                                                                                                                                                                                                                                                                                                             </v>
          </cell>
          <cell r="C3196" t="str">
            <v xml:space="preserve">UN    </v>
          </cell>
          <cell r="D3196" t="str">
            <v>CR</v>
          </cell>
          <cell r="E3196" t="str">
            <v>0,11</v>
          </cell>
        </row>
        <row r="3197">
          <cell r="A3197">
            <v>39436</v>
          </cell>
          <cell r="B3197" t="str">
            <v xml:space="preserve">PARAFUSO DRY WALL, EM ACO FOSFATIZADO, CABECA TROMBETA E PONTA AGULHA (TA), COMPRIMENTO 35 MM                                                                                                                                                                                                                                                                                                                                                                                                             </v>
          </cell>
          <cell r="C3197" t="str">
            <v xml:space="preserve">UN    </v>
          </cell>
          <cell r="D3197" t="str">
            <v>CR</v>
          </cell>
          <cell r="E3197" t="str">
            <v>0,18</v>
          </cell>
        </row>
        <row r="3198">
          <cell r="A3198">
            <v>39437</v>
          </cell>
          <cell r="B3198" t="str">
            <v xml:space="preserve">PARAFUSO DRY WALL, EM ACO FOSFATIZADO, CABECA TROMBETA E PONTA AGULHA (TA), COMPRIMENTO 45 MM                                                                                                                                                                                                                                                                                                                                                                                                             </v>
          </cell>
          <cell r="C3198" t="str">
            <v xml:space="preserve">UN    </v>
          </cell>
          <cell r="D3198" t="str">
            <v>CR</v>
          </cell>
          <cell r="E3198" t="str">
            <v>0,24</v>
          </cell>
        </row>
        <row r="3199">
          <cell r="A3199">
            <v>39439</v>
          </cell>
          <cell r="B3199" t="str">
            <v xml:space="preserve">PARAFUSO DRY WALL, EM ACO FOSFATIZADO, CABECA TROMBETA E PONTA BROCA (TB), COMPRIMENTO 25 MM                                                                                                                                                                                                                                                                                                                                                                                                              </v>
          </cell>
          <cell r="C3199" t="str">
            <v xml:space="preserve">UN    </v>
          </cell>
          <cell r="D3199" t="str">
            <v>CR</v>
          </cell>
          <cell r="E3199" t="str">
            <v>0,16</v>
          </cell>
        </row>
        <row r="3200">
          <cell r="A3200">
            <v>39440</v>
          </cell>
          <cell r="B3200" t="str">
            <v xml:space="preserve">PARAFUSO DRY WALL, EM ACO FOSFATIZADO, CABECA TROMBETA E PONTA BROCA (TB), COMPRIMENTO 35 MM                                                                                                                                                                                                                                                                                                                                                                                                              </v>
          </cell>
          <cell r="C3200" t="str">
            <v xml:space="preserve">UN    </v>
          </cell>
          <cell r="D3200" t="str">
            <v>CR</v>
          </cell>
          <cell r="E3200" t="str">
            <v>0,21</v>
          </cell>
        </row>
        <row r="3201">
          <cell r="A3201">
            <v>39441</v>
          </cell>
          <cell r="B3201" t="str">
            <v xml:space="preserve">PARAFUSO DRY WALL, EM ACO FOSFATIZADO, CABECA TROMBETA E PONTA BROCA (TB), COMPRIMENTO 45 MM                                                                                                                                                                                                                                                                                                                                                                                                              </v>
          </cell>
          <cell r="C3201" t="str">
            <v xml:space="preserve">UN    </v>
          </cell>
          <cell r="D3201" t="str">
            <v>CR</v>
          </cell>
          <cell r="E3201" t="str">
            <v>0,27</v>
          </cell>
        </row>
        <row r="3202">
          <cell r="A3202">
            <v>39442</v>
          </cell>
          <cell r="B3202" t="str">
            <v xml:space="preserve">PARAFUSO DRY WALL, EM ACO ZINCADO, CABECA LENTILHA E PONTA AGULHA (LA), LARGURA 4,2 MM, COMPRIMENTO 13 MM                                                                                                                                                                                                                                                                                                                                                                                                 </v>
          </cell>
          <cell r="C3202" t="str">
            <v xml:space="preserve">UN    </v>
          </cell>
          <cell r="D3202" t="str">
            <v>CR</v>
          </cell>
          <cell r="E3202" t="str">
            <v>0,19</v>
          </cell>
        </row>
        <row r="3203">
          <cell r="A3203">
            <v>39443</v>
          </cell>
          <cell r="B3203" t="str">
            <v xml:space="preserve">PARAFUSO DRY WALL, EM ACO ZINCADO, CABECA LENTILHA E PONTA BROCA (LB), LARGURA 4,2 MM, COMPRIMENTO 13 MM                                                                                                                                                                                                                                                                                                                                                                                                  </v>
          </cell>
          <cell r="C3203" t="str">
            <v xml:space="preserve">UN    </v>
          </cell>
          <cell r="D3203" t="str">
            <v>CR</v>
          </cell>
          <cell r="E3203" t="str">
            <v>0,25</v>
          </cell>
        </row>
        <row r="3204">
          <cell r="A3204">
            <v>4329</v>
          </cell>
          <cell r="B3204" t="str">
            <v xml:space="preserve">PARAFUSO EM ACO GALVANIZADO, TIPO MAQUINA, SEXTAVADO, SEM PORCA, DIAMETRO 1/2", COMPRIMENTO 2"                                                                                                                                                                                                                                                                                                                                                                                                            </v>
          </cell>
          <cell r="C3204" t="str">
            <v xml:space="preserve">UN    </v>
          </cell>
          <cell r="D3204" t="str">
            <v xml:space="preserve">C </v>
          </cell>
          <cell r="E3204" t="str">
            <v>2,29</v>
          </cell>
        </row>
        <row r="3205">
          <cell r="A3205">
            <v>4383</v>
          </cell>
          <cell r="B3205" t="str">
            <v xml:space="preserve">PARAFUSO FRANCES METRICO ZINCADO, DIAMETRO 12 MM, COMPRIMENTO 140MM, COM PORCA SEXTAVADA E ARRUELA DE PRESSAO MEDIA                                                                                                                                                                                                                                                                                                                                                                                       </v>
          </cell>
          <cell r="C3205" t="str">
            <v xml:space="preserve">UN    </v>
          </cell>
          <cell r="D3205" t="str">
            <v>CR</v>
          </cell>
          <cell r="E3205" t="str">
            <v>20,70</v>
          </cell>
        </row>
        <row r="3206">
          <cell r="A3206">
            <v>4344</v>
          </cell>
          <cell r="B3206" t="str">
            <v xml:space="preserve">PARAFUSO FRANCES METRICO ZINCADO, DIAMETRO 12 MM, COMPRIMENTO 150 MM, COM PORCA SEXTAVADA E ARRUELA DE PRESSAO MEDIA                                                                                                                                                                                                                                                                                                                                                                                      </v>
          </cell>
          <cell r="C3206" t="str">
            <v xml:space="preserve">UN    </v>
          </cell>
          <cell r="D3206" t="str">
            <v>CR</v>
          </cell>
          <cell r="E3206" t="str">
            <v>21,70</v>
          </cell>
        </row>
        <row r="3207">
          <cell r="A3207">
            <v>436</v>
          </cell>
          <cell r="B3207" t="str">
            <v xml:space="preserve">PARAFUSO FRANCES M16 EM ACO GALVANIZADO, COMPRIMENTO = 150 MM, DIAMETRO = 16 MM, CABECA ABAULADA                                                                                                                                                                                                                                                                                                                                                                                                          </v>
          </cell>
          <cell r="C3207" t="str">
            <v xml:space="preserve">UN    </v>
          </cell>
          <cell r="D3207" t="str">
            <v>CR</v>
          </cell>
          <cell r="E3207" t="str">
            <v>13,25</v>
          </cell>
        </row>
        <row r="3208">
          <cell r="A3208">
            <v>442</v>
          </cell>
          <cell r="B3208" t="str">
            <v xml:space="preserve">PARAFUSO FRANCES M16 EM ACO GALVANIZADO, COMPRIMENTO = 45 MM, DIAMETRO = 16 MM, CABECA ABAULADA                                                                                                                                                                                                                                                                                                                                                                                                           </v>
          </cell>
          <cell r="C3208" t="str">
            <v xml:space="preserve">UN    </v>
          </cell>
          <cell r="D3208" t="str">
            <v>CR</v>
          </cell>
          <cell r="E3208" t="str">
            <v>7,83</v>
          </cell>
        </row>
        <row r="3209">
          <cell r="A3209">
            <v>11953</v>
          </cell>
          <cell r="B3209" t="str">
            <v xml:space="preserve">PARAFUSO FRANCES ZINCADO, DIAMETRO 1/2'', COMPRIMENTO 2'', COM PORCA E ARRUELA                                                                                                                                                                                                                                                                                                                                                                                                                            </v>
          </cell>
          <cell r="C3209" t="str">
            <v xml:space="preserve">UN    </v>
          </cell>
          <cell r="D3209" t="str">
            <v>CR</v>
          </cell>
          <cell r="E3209" t="str">
            <v>3,44</v>
          </cell>
        </row>
        <row r="3210">
          <cell r="A3210">
            <v>4335</v>
          </cell>
          <cell r="B3210" t="str">
            <v xml:space="preserve">PARAFUSO FRANCES ZINCADO, DIAMETRO 1/2", COMPRIMENTO 12", COM PORCA E ARRUELA LISA MEDIA                                                                                                                                                                                                                                                                                                                                                                                                                  </v>
          </cell>
          <cell r="C3210" t="str">
            <v xml:space="preserve">UN    </v>
          </cell>
          <cell r="D3210" t="str">
            <v>CR</v>
          </cell>
          <cell r="E3210" t="str">
            <v>14,57</v>
          </cell>
        </row>
        <row r="3211">
          <cell r="A3211">
            <v>4334</v>
          </cell>
          <cell r="B3211" t="str">
            <v xml:space="preserve">PARAFUSO FRANCES ZINCADO, DIAMETRO 1/2", COMPRIMENTO 15", COM PORCA E ARRUELA LISA MEDIA                                                                                                                                                                                                                                                                                                                                                                                                                  </v>
          </cell>
          <cell r="C3211" t="str">
            <v xml:space="preserve">UN    </v>
          </cell>
          <cell r="D3211" t="str">
            <v>CR</v>
          </cell>
          <cell r="E3211" t="str">
            <v>19,99</v>
          </cell>
        </row>
        <row r="3212">
          <cell r="A3212">
            <v>4343</v>
          </cell>
          <cell r="B3212" t="str">
            <v xml:space="preserve">PARAFUSO FRANCES ZINCADO, DIAMETRO 1/2", COMPRIMENTO 4", COM PORCA E ARRUELA                                                                                                                                                                                                                                                                                                                                                                                                                              </v>
          </cell>
          <cell r="C3212" t="str">
            <v xml:space="preserve">UN    </v>
          </cell>
          <cell r="D3212" t="str">
            <v>CR</v>
          </cell>
          <cell r="E3212" t="str">
            <v>4,91</v>
          </cell>
        </row>
        <row r="3213">
          <cell r="A3213">
            <v>430</v>
          </cell>
          <cell r="B3213" t="str">
            <v xml:space="preserve">PARAFUSO M16 EM ACO GALVANIZADO, COMPRIMENTO = 125 MM, DIAMETRO = 16 MM, ROSCA MAQUINA, CABECA QUADRADA                                                                                                                                                                                                                                                                                                                                                                                                   </v>
          </cell>
          <cell r="C3213" t="str">
            <v xml:space="preserve">UN    </v>
          </cell>
          <cell r="D3213" t="str">
            <v>CR</v>
          </cell>
          <cell r="E3213" t="str">
            <v>11,85</v>
          </cell>
        </row>
        <row r="3214">
          <cell r="A3214">
            <v>441</v>
          </cell>
          <cell r="B3214" t="str">
            <v xml:space="preserve">PARAFUSO M16 EM ACO GALVANIZADO, COMPRIMENTO = 150 MM, DIAMETRO = 16 MM, ROSCA MAQUINA, CABECA QUADRADA                                                                                                                                                                                                                                                                                                                                                                                                   </v>
          </cell>
          <cell r="C3214" t="str">
            <v xml:space="preserve">UN    </v>
          </cell>
          <cell r="D3214" t="str">
            <v>CR</v>
          </cell>
          <cell r="E3214" t="str">
            <v>13,05</v>
          </cell>
        </row>
        <row r="3215">
          <cell r="A3215">
            <v>431</v>
          </cell>
          <cell r="B3215" t="str">
            <v xml:space="preserve">PARAFUSO M16 EM ACO GALVANIZADO, COMPRIMENTO = 200 MM, DIAMETRO = 16 MM, ROSCA MAQUINA, CABECA QUADRADA                                                                                                                                                                                                                                                                                                                                                                                                   </v>
          </cell>
          <cell r="C3215" t="str">
            <v xml:space="preserve">UN    </v>
          </cell>
          <cell r="D3215" t="str">
            <v>CR</v>
          </cell>
          <cell r="E3215" t="str">
            <v>15,75</v>
          </cell>
        </row>
        <row r="3216">
          <cell r="A3216">
            <v>432</v>
          </cell>
          <cell r="B3216" t="str">
            <v xml:space="preserve">PARAFUSO M16 EM ACO GALVANIZADO, COMPRIMENTO = 250 MM, DIAMETRO = 16 MM, ROSCA MAQUINA, CABECA QUADRADA                                                                                                                                                                                                                                                                                                                                                                                                   </v>
          </cell>
          <cell r="C3216" t="str">
            <v xml:space="preserve">UN    </v>
          </cell>
          <cell r="D3216" t="str">
            <v>CR</v>
          </cell>
          <cell r="E3216" t="str">
            <v>17,38</v>
          </cell>
        </row>
        <row r="3217">
          <cell r="A3217">
            <v>429</v>
          </cell>
          <cell r="B3217" t="str">
            <v xml:space="preserve">PARAFUSO M16 EM ACO GALVANIZADO, COMPRIMENTO = 300 MM, DIAMETRO = 16 MM, ROSCA DUPLA                                                                                                                                                                                                                                                                                                                                                                                                                      </v>
          </cell>
          <cell r="C3217" t="str">
            <v xml:space="preserve">UN    </v>
          </cell>
          <cell r="D3217" t="str">
            <v>CR</v>
          </cell>
          <cell r="E3217" t="str">
            <v>23,43</v>
          </cell>
        </row>
        <row r="3218">
          <cell r="A3218">
            <v>439</v>
          </cell>
          <cell r="B3218" t="str">
            <v xml:space="preserve">PARAFUSO M16 EM ACO GALVANIZADO, COMPRIMENTO = 300 MM, DIAMETRO = 16 MM, ROSCA MAQUINA, CABECA QUADRADA                                                                                                                                                                                                                                                                                                                                                                                                   </v>
          </cell>
          <cell r="C3218" t="str">
            <v xml:space="preserve">UN    </v>
          </cell>
          <cell r="D3218" t="str">
            <v>CR</v>
          </cell>
          <cell r="E3218" t="str">
            <v>19,97</v>
          </cell>
        </row>
        <row r="3219">
          <cell r="A3219">
            <v>433</v>
          </cell>
          <cell r="B3219" t="str">
            <v xml:space="preserve">PARAFUSO M16 EM ACO GALVANIZADO, COMPRIMENTO = 350 MM, DIAMETRO = 16 MM, ROSCA MAQUINA, CABECA QUADRADA                                                                                                                                                                                                                                                                                                                                                                                                   </v>
          </cell>
          <cell r="C3219" t="str">
            <v xml:space="preserve">UN    </v>
          </cell>
          <cell r="D3219" t="str">
            <v>CR</v>
          </cell>
          <cell r="E3219" t="str">
            <v>23,31</v>
          </cell>
        </row>
        <row r="3220">
          <cell r="A3220">
            <v>437</v>
          </cell>
          <cell r="B3220" t="str">
            <v xml:space="preserve">PARAFUSO M16 EM ACO GALVANIZADO, COMPRIMENTO = 400 MM, DIAMETRO = 16 MM, ROSCA DUPLA                                                                                                                                                                                                                                                                                                                                                                                                                      </v>
          </cell>
          <cell r="C3220" t="str">
            <v xml:space="preserve">UN    </v>
          </cell>
          <cell r="D3220" t="str">
            <v>CR</v>
          </cell>
          <cell r="E3220" t="str">
            <v>30,97</v>
          </cell>
        </row>
        <row r="3221">
          <cell r="A3221">
            <v>11790</v>
          </cell>
          <cell r="B3221" t="str">
            <v xml:space="preserve">PARAFUSO M16 EM ACO GALVANIZADO, COMPRIMENTO = 450 MM, DIAMETRO = 16 MM, ROSCA MAQUINA, CABECA QUADRADA                                                                                                                                                                                                                                                                                                                                                                                                   </v>
          </cell>
          <cell r="C3221" t="str">
            <v xml:space="preserve">UN    </v>
          </cell>
          <cell r="D3221" t="str">
            <v>CR</v>
          </cell>
          <cell r="E3221" t="str">
            <v>35,13</v>
          </cell>
        </row>
        <row r="3222">
          <cell r="A3222">
            <v>428</v>
          </cell>
          <cell r="B3222" t="str">
            <v xml:space="preserve">PARAFUSO M16 EM ACO GALVANIZADO, COMPRIMENTO = 500 MM, DIAMETRO = 16 MM, ROSCA MAQUINA, COM CABECA SEXTAVADA E PORCA                                                                                                                                                                                                                                                                                                                                                                                      </v>
          </cell>
          <cell r="C3222" t="str">
            <v xml:space="preserve">UN    </v>
          </cell>
          <cell r="D3222" t="str">
            <v xml:space="preserve">C </v>
          </cell>
          <cell r="E3222" t="str">
            <v>38,20</v>
          </cell>
        </row>
        <row r="3223">
          <cell r="A3223">
            <v>4384</v>
          </cell>
          <cell r="B3223" t="str">
            <v xml:space="preserve">PARAFUSO NIQUELADO COM ACABAMENTO CROMADO PARA FIXAR PECA SANITARIA, INCLUI PORCA CEGA, ARRUELA E BUCHA DE NYLON TAMANHO S-10                                                                                                                                                                                                                                                                                                                                                                             </v>
          </cell>
          <cell r="C3223" t="str">
            <v xml:space="preserve">UN    </v>
          </cell>
          <cell r="D3223" t="str">
            <v>CR</v>
          </cell>
          <cell r="E3223" t="str">
            <v>23,79</v>
          </cell>
        </row>
        <row r="3224">
          <cell r="A3224">
            <v>4351</v>
          </cell>
          <cell r="B3224" t="str">
            <v xml:space="preserve">PARAFUSO NIQUELADO 3 1/2" COM ACABAMENTO CROMADO PARA FIXAR PECA SANITARIA, INCLUI PORCA CEGA, ARRUELA E BUCHA DE NYLON TAMANHO S-8                                                                                                                                                                                                                                                                                                                                                                       </v>
          </cell>
          <cell r="C3224" t="str">
            <v xml:space="preserve">UN    </v>
          </cell>
          <cell r="D3224" t="str">
            <v>CR</v>
          </cell>
          <cell r="E3224" t="str">
            <v>17,64</v>
          </cell>
        </row>
        <row r="3225">
          <cell r="A3225">
            <v>11054</v>
          </cell>
          <cell r="B3225" t="str">
            <v xml:space="preserve">PARAFUSO ROSCA SOBERBA ZINCADO CABECA CHATA FENDA SIMPLES 3,2 X 20 MM (3/4 ")                                                                                                                                                                                                                                                                                                                                                                                                                             </v>
          </cell>
          <cell r="C3225" t="str">
            <v xml:space="preserve">UN    </v>
          </cell>
          <cell r="D3225" t="str">
            <v>CR</v>
          </cell>
          <cell r="E3225" t="str">
            <v>0,05</v>
          </cell>
        </row>
        <row r="3226">
          <cell r="A3226">
            <v>11055</v>
          </cell>
          <cell r="B3226" t="str">
            <v xml:space="preserve">PARAFUSO ROSCA SOBERBA ZINCADO CABECA CHATA FENDA SIMPLES 3,5 X 25 MM (1 ")                                                                                                                                                                                                                                                                                                                                                                                                                               </v>
          </cell>
          <cell r="C3226" t="str">
            <v xml:space="preserve">UN    </v>
          </cell>
          <cell r="D3226" t="str">
            <v>CR</v>
          </cell>
          <cell r="E3226" t="str">
            <v>0,08</v>
          </cell>
        </row>
        <row r="3227">
          <cell r="A3227">
            <v>11056</v>
          </cell>
          <cell r="B3227" t="str">
            <v xml:space="preserve">PARAFUSO ROSCA SOBERBA ZINCADO CABECA CHATA FENDA SIMPLES 3,8 X 30 MM (1.1/4 ")                                                                                                                                                                                                                                                                                                                                                                                                                           </v>
          </cell>
          <cell r="C3227" t="str">
            <v xml:space="preserve">UN    </v>
          </cell>
          <cell r="D3227" t="str">
            <v>CR</v>
          </cell>
          <cell r="E3227" t="str">
            <v>0,09</v>
          </cell>
        </row>
        <row r="3228">
          <cell r="A3228">
            <v>11057</v>
          </cell>
          <cell r="B3228" t="str">
            <v xml:space="preserve">PARAFUSO ROSCA SOBERBA ZINCADO CABECA CHATA FENDA SIMPLES 4,8 X 40 MM (1.1/2 ")                                                                                                                                                                                                                                                                                                                                                                                                                           </v>
          </cell>
          <cell r="C3228" t="str">
            <v xml:space="preserve">UN    </v>
          </cell>
          <cell r="D3228" t="str">
            <v>CR</v>
          </cell>
          <cell r="E3228" t="str">
            <v>0,19</v>
          </cell>
        </row>
        <row r="3229">
          <cell r="A3229">
            <v>11059</v>
          </cell>
          <cell r="B3229" t="str">
            <v xml:space="preserve">PARAFUSO ROSCA SOBERBA ZINCADO CABECA CHATA FENDA SIMPLES 5,5 X 50 MM (2 ")                                                                                                                                                                                                                                                                                                                                                                                                                               </v>
          </cell>
          <cell r="C3229" t="str">
            <v xml:space="preserve">UN    </v>
          </cell>
          <cell r="D3229" t="str">
            <v>CR</v>
          </cell>
          <cell r="E3229" t="str">
            <v>0,36</v>
          </cell>
        </row>
        <row r="3230">
          <cell r="A3230">
            <v>11058</v>
          </cell>
          <cell r="B3230" t="str">
            <v xml:space="preserve">PARAFUSO ROSCA SOBERBA ZINCADO CABECA CHATA FENDA SIMPLES 5,5 X 65 MM (2.1/2 ")                                                                                                                                                                                                                                                                                                                                                                                                                           </v>
          </cell>
          <cell r="C3230" t="str">
            <v xml:space="preserve">UN    </v>
          </cell>
          <cell r="D3230" t="str">
            <v>CR</v>
          </cell>
          <cell r="E3230" t="str">
            <v>0,47</v>
          </cell>
        </row>
        <row r="3231">
          <cell r="A3231">
            <v>4380</v>
          </cell>
          <cell r="B3231" t="str">
            <v xml:space="preserve">PARAFUSO ZINCADO ROSCA SOBERBA 5/16 " X 120 MM PARA TELHA FIBROCIMENTO                                                                                                                                                                                                                                                                                                                                                                                                                                    </v>
          </cell>
          <cell r="C3231" t="str">
            <v xml:space="preserve">UN    </v>
          </cell>
          <cell r="D3231" t="str">
            <v>CR</v>
          </cell>
          <cell r="E3231" t="str">
            <v>1,59</v>
          </cell>
        </row>
        <row r="3232">
          <cell r="A3232">
            <v>4299</v>
          </cell>
          <cell r="B3232" t="str">
            <v xml:space="preserve">PARAFUSO ZINCADO ROSCA SOBERBA, CABECA SEXTAVADA, 5/16 " X 110 MM, PARA FIXACAO DE TELHA EM MADEIRA                                                                                                                                                                                                                                                                                                                                                                                                       </v>
          </cell>
          <cell r="C3232" t="str">
            <v xml:space="preserve">UN    </v>
          </cell>
          <cell r="D3232" t="str">
            <v xml:space="preserve">C </v>
          </cell>
          <cell r="E3232" t="str">
            <v>1,50</v>
          </cell>
        </row>
        <row r="3233">
          <cell r="A3233">
            <v>4304</v>
          </cell>
          <cell r="B3233" t="str">
            <v xml:space="preserve">PARAFUSO ZINCADO ROSCA SOBERBA, CABECA SEXTAVADA, 5/16 " X 150 MM, PARA FIXACAO DE TELHA EM MADEIRA                                                                                                                                                                                                                                                                                                                                                                                                       </v>
          </cell>
          <cell r="C3233" t="str">
            <v xml:space="preserve">UN    </v>
          </cell>
          <cell r="D3233" t="str">
            <v>CR</v>
          </cell>
          <cell r="E3233" t="str">
            <v>2,04</v>
          </cell>
        </row>
        <row r="3234">
          <cell r="A3234">
            <v>4305</v>
          </cell>
          <cell r="B3234" t="str">
            <v xml:space="preserve">PARAFUSO ZINCADO ROSCA SOBERBA, CABECA SEXTAVADA, 5/16 " X 180 MM, PARA FIXACAO DE TELHA EM MADEIRA                                                                                                                                                                                                                                                                                                                                                                                                       </v>
          </cell>
          <cell r="C3234" t="str">
            <v xml:space="preserve">UN    </v>
          </cell>
          <cell r="D3234" t="str">
            <v>CR</v>
          </cell>
          <cell r="E3234" t="str">
            <v>2,38</v>
          </cell>
        </row>
        <row r="3235">
          <cell r="A3235">
            <v>4306</v>
          </cell>
          <cell r="B3235" t="str">
            <v xml:space="preserve">PARAFUSO ZINCADO ROSCA SOBERBA, CABECA SEXTAVADA, 5/16 " X 200 MM, PARA FIXACAO DE TELHA EM MADEIRA                                                                                                                                                                                                                                                                                                                                                                                                       </v>
          </cell>
          <cell r="C3235" t="str">
            <v xml:space="preserve">UN    </v>
          </cell>
          <cell r="D3235" t="str">
            <v>CR</v>
          </cell>
          <cell r="E3235" t="str">
            <v>2,76</v>
          </cell>
        </row>
        <row r="3236">
          <cell r="A3236">
            <v>4308</v>
          </cell>
          <cell r="B3236" t="str">
            <v xml:space="preserve">PARAFUSO ZINCADO ROSCA SOBERBA, CABECA SEXTAVADA, 5/16 " X 230 MM, PARA FIXACAO DE TELHA EM MADEIRA                                                                                                                                                                                                                                                                                                                                                                                                       </v>
          </cell>
          <cell r="C3236" t="str">
            <v xml:space="preserve">UN    </v>
          </cell>
          <cell r="D3236" t="str">
            <v>CR</v>
          </cell>
          <cell r="E3236" t="str">
            <v>5,71</v>
          </cell>
        </row>
        <row r="3237">
          <cell r="A3237">
            <v>4302</v>
          </cell>
          <cell r="B3237" t="str">
            <v xml:space="preserve">PARAFUSO ZINCADO ROSCA SOBERBA, CABECA SEXTAVADA, 5/16 " X 250 MM, PARA FIXACAO DE TELHA EM MADEIRA                                                                                                                                                                                                                                                                                                                                                                                                       </v>
          </cell>
          <cell r="C3237" t="str">
            <v xml:space="preserve">UN    </v>
          </cell>
          <cell r="D3237" t="str">
            <v>CR</v>
          </cell>
          <cell r="E3237" t="str">
            <v>4,28</v>
          </cell>
        </row>
        <row r="3238">
          <cell r="A3238">
            <v>4300</v>
          </cell>
          <cell r="B3238" t="str">
            <v xml:space="preserve">PARAFUSO ZINCADO ROSCA SOBERBA, CABECA SEXTAVADA, 5/16 " X 50 MM, PARA FIXACAO DE TELHA EM MADEIRA                                                                                                                                                                                                                                                                                                                                                                                                        </v>
          </cell>
          <cell r="C3238" t="str">
            <v xml:space="preserve">UN    </v>
          </cell>
          <cell r="D3238" t="str">
            <v>CR</v>
          </cell>
          <cell r="E3238" t="str">
            <v>1,02</v>
          </cell>
        </row>
        <row r="3239">
          <cell r="A3239">
            <v>4301</v>
          </cell>
          <cell r="B3239" t="str">
            <v xml:space="preserve">PARAFUSO ZINCADO ROSCA SOBERBA, CABECA SEXTAVADA, 5/16 " X 85 MM, PARA FIXACAO DE TELHA EM MADEIRA                                                                                                                                                                                                                                                                                                                                                                                                        </v>
          </cell>
          <cell r="C3239" t="str">
            <v xml:space="preserve">UN    </v>
          </cell>
          <cell r="D3239" t="str">
            <v>CR</v>
          </cell>
          <cell r="E3239" t="str">
            <v>1,24</v>
          </cell>
        </row>
        <row r="3240">
          <cell r="A3240">
            <v>4320</v>
          </cell>
          <cell r="B3240" t="str">
            <v xml:space="preserve">PARAFUSO ZINCADO 5/16 " X 250 MM PARA FIXACAO DE TELHA DE FIBROCIMENTO CANALETE 49, INCLUI BUCHA NYLON S-10                                                                                                                                                                                                                                                                                                                                                                                               </v>
          </cell>
          <cell r="C3240" t="str">
            <v xml:space="preserve">UN    </v>
          </cell>
          <cell r="D3240" t="str">
            <v>CR</v>
          </cell>
          <cell r="E3240" t="str">
            <v>3,78</v>
          </cell>
        </row>
        <row r="3241">
          <cell r="A3241">
            <v>4318</v>
          </cell>
          <cell r="B3241" t="str">
            <v xml:space="preserve">PARAFUSO ZINCADO 5/16 " X 85 MM PARA FIXACAO DE TELHA DE FIBROCIMENTO CANALETE 90, INCLUI BUCHA NYLON S-10                                                                                                                                                                                                                                                                                                                                                                                                </v>
          </cell>
          <cell r="C3241" t="str">
            <v xml:space="preserve">UN    </v>
          </cell>
          <cell r="D3241" t="str">
            <v>CR</v>
          </cell>
          <cell r="E3241" t="str">
            <v>1,84</v>
          </cell>
        </row>
        <row r="3242">
          <cell r="A3242">
            <v>40547</v>
          </cell>
          <cell r="B3242" t="str">
            <v xml:space="preserve">PARAFUSO ZINCADO, AUTOBROCANTE, FLANGEADO, 4,2 MM X 19 MM                                                                                                                                                                                                                                                                                                                                                                                                                                                 </v>
          </cell>
          <cell r="C3242" t="str">
            <v xml:space="preserve">CENTO </v>
          </cell>
          <cell r="D3242" t="str">
            <v>CR</v>
          </cell>
          <cell r="E3242" t="str">
            <v>28,91</v>
          </cell>
        </row>
        <row r="3243">
          <cell r="A3243">
            <v>11962</v>
          </cell>
          <cell r="B3243" t="str">
            <v xml:space="preserve">PARAFUSO ZINCADO, SEXTAVADO, COM ROSCA INTEIRA, DIAMETRO 1/4", COMPRIMENTO 1/2"                                                                                                                                                                                                                                                                                                                                                                                                                           </v>
          </cell>
          <cell r="C3243" t="str">
            <v xml:space="preserve">UN    </v>
          </cell>
          <cell r="D3243" t="str">
            <v>CR</v>
          </cell>
          <cell r="E3243" t="str">
            <v>0,23</v>
          </cell>
        </row>
        <row r="3244">
          <cell r="A3244">
            <v>4332</v>
          </cell>
          <cell r="B3244" t="str">
            <v xml:space="preserve">PARAFUSO ZINCADO, SEXTAVADO, COM ROSCA INTEIRA, DIAMETRO 3/8", COMPRIMENTO 2"                                                                                                                                                                                                                                                                                                                                                                                                                             </v>
          </cell>
          <cell r="C3244" t="str">
            <v xml:space="preserve">UN    </v>
          </cell>
          <cell r="D3244" t="str">
            <v>CR</v>
          </cell>
          <cell r="E3244" t="str">
            <v>1,15</v>
          </cell>
        </row>
        <row r="3245">
          <cell r="A3245">
            <v>4331</v>
          </cell>
          <cell r="B3245" t="str">
            <v xml:space="preserve">PARAFUSO ZINCADO, SEXTAVADO, COM ROSCA INTEIRA, DIAMETRO 5/8", COMPRIMENTO 2 1/4"                                                                                                                                                                                                                                                                                                                                                                                                                         </v>
          </cell>
          <cell r="C3245" t="str">
            <v xml:space="preserve">UN    </v>
          </cell>
          <cell r="D3245" t="str">
            <v>CR</v>
          </cell>
          <cell r="E3245" t="str">
            <v>4,34</v>
          </cell>
        </row>
        <row r="3246">
          <cell r="A3246">
            <v>4336</v>
          </cell>
          <cell r="B3246" t="str">
            <v xml:space="preserve">PARAFUSO ZINCADO, SEXTAVADO, COM ROSCA INTEIRA, DIAMETRO 5/8", COMPRIMENTO 3", COM PORCA E ARRUELA DE PRESSAO MEDIA                                                                                                                                                                                                                                                                                                                                                                                       </v>
          </cell>
          <cell r="C3246" t="str">
            <v xml:space="preserve">UN    </v>
          </cell>
          <cell r="D3246" t="str">
            <v>CR</v>
          </cell>
          <cell r="E3246" t="str">
            <v>5,55</v>
          </cell>
        </row>
        <row r="3247">
          <cell r="A3247">
            <v>11948</v>
          </cell>
          <cell r="B3247" t="str">
            <v xml:space="preserve">PARAFUSO ZINCADO, SEXTAVADO, COM ROSCA SOBERBA, DIAMETRO 5/16", COMPRIMENTO 40 MM                                                                                                                                                                                                                                                                                                                                                                                                                         </v>
          </cell>
          <cell r="C3247" t="str">
            <v xml:space="preserve">UN    </v>
          </cell>
          <cell r="D3247" t="str">
            <v>CR</v>
          </cell>
          <cell r="E3247" t="str">
            <v>0,71</v>
          </cell>
        </row>
        <row r="3248">
          <cell r="A3248">
            <v>4382</v>
          </cell>
          <cell r="B3248" t="str">
            <v xml:space="preserve">PARAFUSO ZINCADO, SEXTAVADO, COM ROSCA SOBERBA, DIAMETRO 5/16", COMPRIMENTO 80 MM                                                                                                                                                                                                                                                                                                                                                                                                                         </v>
          </cell>
          <cell r="C3248" t="str">
            <v xml:space="preserve">UN    </v>
          </cell>
          <cell r="D3248" t="str">
            <v>CR</v>
          </cell>
          <cell r="E3248" t="str">
            <v>1,19</v>
          </cell>
        </row>
        <row r="3249">
          <cell r="A3249">
            <v>4354</v>
          </cell>
          <cell r="B3249" t="str">
            <v xml:space="preserve">PARAFUSO ZINCADO, SEXTAVADO, GRAU 5, ROSCA INTEIRA, DIAMETRO 1 1/2", COMPRIMENTO 4"                                                                                                                                                                                                                                                                                                                                                                                                                       </v>
          </cell>
          <cell r="C3249" t="str">
            <v xml:space="preserve">UN    </v>
          </cell>
          <cell r="D3249" t="str">
            <v>CR</v>
          </cell>
          <cell r="E3249" t="str">
            <v>49,78</v>
          </cell>
        </row>
        <row r="3250">
          <cell r="A3250">
            <v>40839</v>
          </cell>
          <cell r="B3250" t="str">
            <v xml:space="preserve">PARAFUSO, ASTM A307 - GRAU A, SEXTAVADO, ZINCADO, DIAMETRO 3/8" (9,52 MM), COMPRIMENTO 1 " (25,4 MM)                                                                                                                                                                                                                                                                                                                                                                                                      </v>
          </cell>
          <cell r="C3250" t="str">
            <v xml:space="preserve">CENTO </v>
          </cell>
          <cell r="D3250" t="str">
            <v>CR</v>
          </cell>
          <cell r="E3250" t="str">
            <v>119,78</v>
          </cell>
        </row>
        <row r="3251">
          <cell r="A3251">
            <v>40552</v>
          </cell>
          <cell r="B3251" t="str">
            <v xml:space="preserve">PARAFUSO, AUTOATARRAXANTE, CABECA CHATA, FENDA SIMPLES, EM ACO ZINCADO, 1/4" (6,35 MM) X 25 MM                                                                                                                                                                                                                                                                                                                                                                                                            </v>
          </cell>
          <cell r="C3251" t="str">
            <v xml:space="preserve">CENTO </v>
          </cell>
          <cell r="D3251" t="str">
            <v>CR</v>
          </cell>
          <cell r="E3251" t="str">
            <v>49,56</v>
          </cell>
        </row>
        <row r="3252">
          <cell r="A3252">
            <v>40549</v>
          </cell>
          <cell r="B3252" t="str">
            <v xml:space="preserve">PARAFUSO, COMUM, ASTM A307, SEXTAVADO, DIAMETRO 1/2" (12,7 MM), COMPRIMENTO 1" (25,4 MM)                                                                                                                                                                                                                                                                                                                                                                                                                  </v>
          </cell>
          <cell r="C3252" t="str">
            <v xml:space="preserve">CENTO </v>
          </cell>
          <cell r="D3252" t="str">
            <v>CR</v>
          </cell>
          <cell r="E3252" t="str">
            <v>196,20</v>
          </cell>
        </row>
        <row r="3253">
          <cell r="A3253">
            <v>4385</v>
          </cell>
          <cell r="B3253" t="str">
            <v xml:space="preserve">PARALELEPIPEDO GRANITICO OU BASALTICO, PARA PAVIMENTACAO, SEM FRETE (VARIACAO REGIONAL DE PECAS POR M2)                                                                                                                                                                                                                                                                                                                                                                                                   </v>
          </cell>
          <cell r="C3253" t="str">
            <v xml:space="preserve">MIL   </v>
          </cell>
          <cell r="D3253" t="str">
            <v>CR</v>
          </cell>
          <cell r="E3253" t="str">
            <v>2.598,60</v>
          </cell>
        </row>
        <row r="3254">
          <cell r="A3254">
            <v>20078</v>
          </cell>
          <cell r="B3254" t="str">
            <v xml:space="preserve">PASTA LUBRIFICANTE PARA TUBOS E CONEXOES COM JUNTA ELASTICA, EMBALAGEM DE *400* GR (USO EM PVC, ACO, POLIETILENO E OUTROS)                                                                                                                                                                                                                                                                                                                                                                                </v>
          </cell>
          <cell r="C3254" t="str">
            <v xml:space="preserve">UN    </v>
          </cell>
          <cell r="D3254" t="str">
            <v>CR</v>
          </cell>
          <cell r="E3254" t="str">
            <v>21,91</v>
          </cell>
        </row>
        <row r="3255">
          <cell r="A3255">
            <v>39897</v>
          </cell>
          <cell r="B3255" t="str">
            <v xml:space="preserve">PASTA PARA SOLDA DE TUBOS E CONEXOES DE COBRE (EMBALAGEM COM 250 G)                                                                                                                                                                                                                                                                                                                                                                                                                                       </v>
          </cell>
          <cell r="C3255" t="str">
            <v xml:space="preserve">UN    </v>
          </cell>
          <cell r="D3255" t="str">
            <v>CR</v>
          </cell>
          <cell r="E3255" t="str">
            <v>50,63</v>
          </cell>
        </row>
        <row r="3256">
          <cell r="A3256">
            <v>118</v>
          </cell>
          <cell r="B3256" t="str">
            <v xml:space="preserve">PASTA VEDA JUNTAS/ROSCA, EMBALAGEM DE *500* G, PARA INSTALACOES DE AGUA, GAS E OUTROS                                                                                                                                                                                                                                                                                                                                                                                                                     </v>
          </cell>
          <cell r="C3256" t="str">
            <v xml:space="preserve">UN    </v>
          </cell>
          <cell r="D3256" t="str">
            <v>CR</v>
          </cell>
          <cell r="E3256" t="str">
            <v>46,32</v>
          </cell>
        </row>
        <row r="3257">
          <cell r="A3257">
            <v>4396</v>
          </cell>
          <cell r="B3257" t="str">
            <v xml:space="preserve">PASTILHA CERAMICA/PORCELANA, REVEST INT/EXT E  PISCINA, CORES BRANCA OU FRIAS, SOLIDAS, SEM MESCLAGEM/MISTURA, ACABAMENTO LISO *2,5 X 2,5* CM                                                                                                                                                                                                                                                                                                                                                             </v>
          </cell>
          <cell r="C3257" t="str">
            <v xml:space="preserve">M2    </v>
          </cell>
          <cell r="D3257" t="str">
            <v>CR</v>
          </cell>
          <cell r="E3257" t="str">
            <v>257,75</v>
          </cell>
        </row>
        <row r="3258">
          <cell r="A3258">
            <v>36881</v>
          </cell>
          <cell r="B3258" t="str">
            <v xml:space="preserve">PASTILHA CERAMICA/PORCELANA, REVEST INT/EXT E  PISCINA, CORES BRANCA OU FRIAS, SOLIDAS, SEM MESCLAGEM/MISTURA, ACABAMENTO LISO *5 X 5* CM                                                                                                                                                                                                                                                                                                                                                                 </v>
          </cell>
          <cell r="C3258" t="str">
            <v xml:space="preserve">M2    </v>
          </cell>
          <cell r="D3258" t="str">
            <v>CR</v>
          </cell>
          <cell r="E3258" t="str">
            <v>166,00</v>
          </cell>
        </row>
        <row r="3259">
          <cell r="A3259">
            <v>4397</v>
          </cell>
          <cell r="B3259" t="str">
            <v xml:space="preserve">PASTILHA CERAMICA/PORCELANA, REVEST INT/EXT E  PISCINA, CORES LISAS/SOLIDAS, QUENTES, SEM MESCLAGEM/MISTURA, *2,5 X 2,5* CM                                                                                                                                                                                                                                                                                                                                                                               </v>
          </cell>
          <cell r="C3259" t="str">
            <v xml:space="preserve">M2    </v>
          </cell>
          <cell r="D3259" t="str">
            <v>CR</v>
          </cell>
          <cell r="E3259" t="str">
            <v>280,38</v>
          </cell>
        </row>
        <row r="3260">
          <cell r="A3260">
            <v>36882</v>
          </cell>
          <cell r="B3260" t="str">
            <v xml:space="preserve">PASTILHA CERAMICA/PORCELANA, REVEST INT/EXT E  PISCINA, CORES LISAS/SOLIDAS, QUENTES, SEM MESCLAGEM/MISTURA, *5 X 5* CM                                                                                                                                                                                                                                                                                                                                                                                   </v>
          </cell>
          <cell r="C3260" t="str">
            <v xml:space="preserve">M2    </v>
          </cell>
          <cell r="D3260" t="str">
            <v>CR</v>
          </cell>
          <cell r="E3260" t="str">
            <v>198,50</v>
          </cell>
        </row>
        <row r="3261">
          <cell r="A3261">
            <v>4751</v>
          </cell>
          <cell r="B3261" t="str">
            <v xml:space="preserve">PASTILHEIRO (HORISTA)                                                                                                                                                                                                                                                                                                                                                                                                                                                                                     </v>
          </cell>
          <cell r="C3261" t="str">
            <v xml:space="preserve">H     </v>
          </cell>
          <cell r="D3261" t="str">
            <v>CR</v>
          </cell>
          <cell r="E3261" t="str">
            <v>23,55</v>
          </cell>
        </row>
        <row r="3262">
          <cell r="A3262">
            <v>41066</v>
          </cell>
          <cell r="B3262" t="str">
            <v xml:space="preserve">PASTILHEIRO (MENSALISTA)                                                                                                                                                                                                                                                                                                                                                                                                                                                                                  </v>
          </cell>
          <cell r="C3262" t="str">
            <v xml:space="preserve">MES   </v>
          </cell>
          <cell r="D3262" t="str">
            <v>CR</v>
          </cell>
          <cell r="E3262" t="str">
            <v>4.122,92</v>
          </cell>
        </row>
        <row r="3263">
          <cell r="A3263">
            <v>39604</v>
          </cell>
          <cell r="B3263" t="str">
            <v xml:space="preserve">PATCH CORD (CABO DE REDE), CATEGORIA 5 E (CAT 5E) UTP, 24 AWG, 4 PARES, EXTENSAO DE 1,50 M                                                                                                                                                                                                                                                                                                                                                                                                                </v>
          </cell>
          <cell r="C3263" t="str">
            <v xml:space="preserve">UN    </v>
          </cell>
          <cell r="D3263" t="str">
            <v>CR</v>
          </cell>
          <cell r="E3263" t="str">
            <v>14,27</v>
          </cell>
        </row>
        <row r="3264">
          <cell r="A3264">
            <v>39605</v>
          </cell>
          <cell r="B3264" t="str">
            <v xml:space="preserve">PATCH CORD (CABO DE REDE), CATEGORIA 5 E (CAT 5E) UTP, 24 AWG, 4 PARES, EXTENSAO DE 2,50 M                                                                                                                                                                                                                                                                                                                                                                                                                </v>
          </cell>
          <cell r="C3264" t="str">
            <v xml:space="preserve">UN    </v>
          </cell>
          <cell r="D3264" t="str">
            <v>CR</v>
          </cell>
          <cell r="E3264" t="str">
            <v>15,50</v>
          </cell>
        </row>
        <row r="3265">
          <cell r="A3265">
            <v>39606</v>
          </cell>
          <cell r="B3265" t="str">
            <v xml:space="preserve">PATCH CORD (CABO DE REDE), CATEGORIA 6 (CAT 6) UTP, 23 AWG, 4 PARES, EXTENSAO DE 1,50 M                                                                                                                                                                                                                                                                                                                                                                                                                   </v>
          </cell>
          <cell r="C3265" t="str">
            <v xml:space="preserve">UN    </v>
          </cell>
          <cell r="D3265" t="str">
            <v>CR</v>
          </cell>
          <cell r="E3265" t="str">
            <v>27,14</v>
          </cell>
        </row>
        <row r="3266">
          <cell r="A3266">
            <v>39607</v>
          </cell>
          <cell r="B3266" t="str">
            <v xml:space="preserve">PATCH CORD (CABO DE REDE), CATEGORIA 6 (CAT 6) UTP, 23 AWG, 4 PARES, EXTENSAO DE 2,50 M                                                                                                                                                                                                                                                                                                                                                                                                                   </v>
          </cell>
          <cell r="C3266" t="str">
            <v xml:space="preserve">UN    </v>
          </cell>
          <cell r="D3266" t="str">
            <v>CR</v>
          </cell>
          <cell r="E3266" t="str">
            <v>36,72</v>
          </cell>
        </row>
        <row r="3267">
          <cell r="A3267">
            <v>39594</v>
          </cell>
          <cell r="B3267" t="str">
            <v xml:space="preserve">PATCH PANEL, 24 PORTAS, CATEGORIA 5E, COM RACKS DE 19" DE LARGURA E 1 U DE ALTURA                                                                                                                                                                                                                                                                                                                                                                                                                         </v>
          </cell>
          <cell r="C3267" t="str">
            <v xml:space="preserve">UN    </v>
          </cell>
          <cell r="D3267" t="str">
            <v xml:space="preserve">C </v>
          </cell>
          <cell r="E3267" t="str">
            <v>257,00</v>
          </cell>
        </row>
        <row r="3268">
          <cell r="A3268">
            <v>39596</v>
          </cell>
          <cell r="B3268" t="str">
            <v xml:space="preserve">PATCH PANEL, 24 PORTAS, CATEGORIA 6, COM RACKS DE 19" DE LARGURA E 1 U DE ALTURA                                                                                                                                                                                                                                                                                                                                                                                                                          </v>
          </cell>
          <cell r="C3268" t="str">
            <v xml:space="preserve">UN    </v>
          </cell>
          <cell r="D3268" t="str">
            <v>CR</v>
          </cell>
          <cell r="E3268" t="str">
            <v>688,26</v>
          </cell>
        </row>
        <row r="3269">
          <cell r="A3269">
            <v>39595</v>
          </cell>
          <cell r="B3269" t="str">
            <v xml:space="preserve">PATCH PANEL, 48 PORTAS, CATEGORIA 5E, COM RACKS DE 19" DE LARGURA E 2 U DE ALTURA                                                                                                                                                                                                                                                                                                                                                                                                                         </v>
          </cell>
          <cell r="C3269" t="str">
            <v xml:space="preserve">UN    </v>
          </cell>
          <cell r="D3269" t="str">
            <v>CR</v>
          </cell>
          <cell r="E3269" t="str">
            <v>1.546,44</v>
          </cell>
        </row>
        <row r="3270">
          <cell r="A3270">
            <v>39597</v>
          </cell>
          <cell r="B3270" t="str">
            <v xml:space="preserve">PATCH PANEL, 48 PORTAS, CATEGORIA 6, COM RACKS DE 19" DE LARGURA E 2 U DE ALTURA                                                                                                                                                                                                                                                                                                                                                                                                                          </v>
          </cell>
          <cell r="C3270" t="str">
            <v xml:space="preserve">UN    </v>
          </cell>
          <cell r="D3270" t="str">
            <v>CR</v>
          </cell>
          <cell r="E3270" t="str">
            <v>2.425,80</v>
          </cell>
        </row>
        <row r="3271">
          <cell r="A3271">
            <v>10731</v>
          </cell>
          <cell r="B3271" t="str">
            <v xml:space="preserve">PEDRA ARDOSIA, CINZA, *40 X 40* CM, E= *1 CM                                                                                                                                                                                                                                                                                                                                                                                                                                                              </v>
          </cell>
          <cell r="C3271" t="str">
            <v xml:space="preserve">M2    </v>
          </cell>
          <cell r="D3271" t="str">
            <v xml:space="preserve">C </v>
          </cell>
          <cell r="E3271" t="str">
            <v>42,00</v>
          </cell>
        </row>
        <row r="3272">
          <cell r="A3272">
            <v>4704</v>
          </cell>
          <cell r="B3272" t="str">
            <v xml:space="preserve">PEDRA ARDOSIA, CINZA, 20  X  40 CM,  E=  *1 CM                                                                                                                                                                                                                                                                                                                                                                                                                                                            </v>
          </cell>
          <cell r="C3272" t="str">
            <v xml:space="preserve">M2    </v>
          </cell>
          <cell r="D3272" t="str">
            <v>CR</v>
          </cell>
          <cell r="E3272" t="str">
            <v>37,90</v>
          </cell>
        </row>
        <row r="3273">
          <cell r="A3273">
            <v>10730</v>
          </cell>
          <cell r="B3273" t="str">
            <v xml:space="preserve">PEDRA ARDOSIA, CINZA, 30  X  30,  E= *1 CM                                                                                                                                                                                                                                                                                                                                                                                                                                                                </v>
          </cell>
          <cell r="C3273" t="str">
            <v xml:space="preserve">M2    </v>
          </cell>
          <cell r="D3273" t="str">
            <v>CR</v>
          </cell>
          <cell r="E3273" t="str">
            <v>40,61</v>
          </cell>
        </row>
        <row r="3274">
          <cell r="A3274">
            <v>4729</v>
          </cell>
          <cell r="B3274" t="str">
            <v xml:space="preserve">PEDRA BRITADA GRADUADA, CLASSIFICADA (POSTO PEDREIRA/FORNECEDOR, SEM FRETE)                                                                                                                                                                                                                                                                                                                                                                                                                               </v>
          </cell>
          <cell r="C3274" t="str">
            <v xml:space="preserve">M3    </v>
          </cell>
          <cell r="D3274" t="str">
            <v>CR</v>
          </cell>
          <cell r="E3274" t="str">
            <v>70,16</v>
          </cell>
        </row>
        <row r="3275">
          <cell r="A3275">
            <v>4720</v>
          </cell>
          <cell r="B3275" t="str">
            <v xml:space="preserve">PEDRA BRITADA N. 0, OU PEDRISCO (4,8 A 9,5 MM) POSTO PEDREIRA/FORNECEDOR, SEM FRETE                                                                                                                                                                                                                                                                                                                                                                                                                       </v>
          </cell>
          <cell r="C3275" t="str">
            <v xml:space="preserve">M3    </v>
          </cell>
          <cell r="D3275" t="str">
            <v>CR</v>
          </cell>
          <cell r="E3275" t="str">
            <v>80,39</v>
          </cell>
        </row>
        <row r="3276">
          <cell r="A3276">
            <v>4721</v>
          </cell>
          <cell r="B3276" t="str">
            <v xml:space="preserve">PEDRA BRITADA N. 1 (9,5 a 19 MM) POSTO PEDREIRA/FORNECEDOR, SEM FRETE                                                                                                                                                                                                                                                                                                                                                                                                                                     </v>
          </cell>
          <cell r="C3276" t="str">
            <v xml:space="preserve">M3    </v>
          </cell>
          <cell r="D3276" t="str">
            <v>CR</v>
          </cell>
          <cell r="E3276" t="str">
            <v>69,63</v>
          </cell>
        </row>
        <row r="3277">
          <cell r="A3277">
            <v>4718</v>
          </cell>
          <cell r="B3277" t="str">
            <v xml:space="preserve">PEDRA BRITADA N. 2 (19 A 38 MM) POSTO PEDREIRA/FORNECEDOR, SEM FRETE                                                                                                                                                                                                                                                                                                                                                                                                                                      </v>
          </cell>
          <cell r="C3277" t="str">
            <v xml:space="preserve">M3    </v>
          </cell>
          <cell r="D3277" t="str">
            <v xml:space="preserve">C </v>
          </cell>
          <cell r="E3277" t="str">
            <v>70,00</v>
          </cell>
        </row>
        <row r="3278">
          <cell r="A3278">
            <v>4722</v>
          </cell>
          <cell r="B3278" t="str">
            <v xml:space="preserve">PEDRA BRITADA N. 3 (38 A 50 MM) POSTO PEDREIRA/FORNECEDOR, SEM FRETE                                                                                                                                                                                                                                                                                                                                                                                                                                      </v>
          </cell>
          <cell r="C3278" t="str">
            <v xml:space="preserve">M3    </v>
          </cell>
          <cell r="D3278" t="str">
            <v>CR</v>
          </cell>
          <cell r="E3278" t="str">
            <v>65,77</v>
          </cell>
        </row>
        <row r="3279">
          <cell r="A3279">
            <v>4723</v>
          </cell>
          <cell r="B3279" t="str">
            <v xml:space="preserve">PEDRA BRITADA N. 4 (50 A 76 MM) POSTO PEDREIRA/FORNECEDOR, SEM FRETE                                                                                                                                                                                                                                                                                                                                                                                                                                      </v>
          </cell>
          <cell r="C3279" t="str">
            <v xml:space="preserve">M3    </v>
          </cell>
          <cell r="D3279" t="str">
            <v>CR</v>
          </cell>
          <cell r="E3279" t="str">
            <v>65,20</v>
          </cell>
        </row>
        <row r="3280">
          <cell r="A3280">
            <v>4727</v>
          </cell>
          <cell r="B3280" t="str">
            <v xml:space="preserve">PEDRA BRITADA N. 5 (76 A 100 MM) POSTO PEDREIRA/FORNECEDOR, SEM FRETE                                                                                                                                                                                                                                                                                                                                                                                                                                     </v>
          </cell>
          <cell r="C3280" t="str">
            <v xml:space="preserve">M3    </v>
          </cell>
          <cell r="D3280" t="str">
            <v>CR</v>
          </cell>
          <cell r="E3280" t="str">
            <v>59,68</v>
          </cell>
        </row>
        <row r="3281">
          <cell r="A3281">
            <v>4748</v>
          </cell>
          <cell r="B3281" t="str">
            <v xml:space="preserve">PEDRA BRITADA OU BICA CORRIDA, NAO CLASSIFICADA (POSTO PEDREIRA/FORNECEDOR, SEM FRETE)                                                                                                                                                                                                                                                                                                                                                                                                                    </v>
          </cell>
          <cell r="C3281" t="str">
            <v xml:space="preserve">M3    </v>
          </cell>
          <cell r="D3281" t="str">
            <v>CR</v>
          </cell>
          <cell r="E3281" t="str">
            <v>64,31</v>
          </cell>
        </row>
        <row r="3282">
          <cell r="A3282">
            <v>4730</v>
          </cell>
          <cell r="B3282" t="str">
            <v xml:space="preserve">PEDRA DE MAO OU PEDRA RACHAO PARA ARRIMO/FUNDACAO (POSTO PEDREIRA/FORNECEDOR, SEM FRETE)                                                                                                                                                                                                                                                                                                                                                                                                                  </v>
          </cell>
          <cell r="C3282" t="str">
            <v xml:space="preserve">M3    </v>
          </cell>
          <cell r="D3282" t="str">
            <v>CR</v>
          </cell>
          <cell r="E3282" t="str">
            <v>65,45</v>
          </cell>
        </row>
        <row r="3283">
          <cell r="A3283">
            <v>13186</v>
          </cell>
          <cell r="B3283" t="str">
            <v xml:space="preserve">PEDRA GRANITICA OU BASALTICA IRREGULAR, FAIXA GRANULOMETRICA 100 A 150 MM PARA PAVIMENTACAO OU CALCAMENTO POLIEDRICO, POSTO PEDREIRA / FORNECEDOR (SEM FRETE)                                                                                                                                                                                                                                                                                                                                             </v>
          </cell>
          <cell r="C3283" t="str">
            <v xml:space="preserve">M3    </v>
          </cell>
          <cell r="D3283" t="str">
            <v>CR</v>
          </cell>
          <cell r="E3283" t="str">
            <v>75,52</v>
          </cell>
        </row>
        <row r="3284">
          <cell r="A3284">
            <v>10737</v>
          </cell>
          <cell r="B3284" t="str">
            <v xml:space="preserve">PEDRA GRANITICA OU BASALTO, CACO, RETALHO, CAVACO, TIPO MIRACEMA, MADEIRA, PADUANA, RACHINHA, SANTA ISABEL OU OUTRAS SIMILARES, E=  *1,0 A *2,0 CM                                                                                                                                                                                                                                                                                                                                                        </v>
          </cell>
          <cell r="C3284" t="str">
            <v xml:space="preserve">M2    </v>
          </cell>
          <cell r="D3284" t="str">
            <v>CR</v>
          </cell>
          <cell r="E3284" t="str">
            <v>131,99</v>
          </cell>
        </row>
        <row r="3285">
          <cell r="A3285">
            <v>10734</v>
          </cell>
          <cell r="B3285" t="str">
            <v xml:space="preserve">PEDRA GRANITICA, SERRADA, TIPO MIRACEMA, MADEIRA, PADUANA, RACHINHA, SANTA ISABEL OU OUTRAS SIMILARES, *11,5 X  *23 CM, E=  *1,0 A *2,0 CM                                                                                                                                                                                                                                                                                                                                                                </v>
          </cell>
          <cell r="C3285" t="str">
            <v xml:space="preserve">M2    </v>
          </cell>
          <cell r="D3285" t="str">
            <v>CR</v>
          </cell>
          <cell r="E3285" t="str">
            <v>78,51</v>
          </cell>
        </row>
        <row r="3286">
          <cell r="A3286">
            <v>4708</v>
          </cell>
          <cell r="B3286" t="str">
            <v xml:space="preserve">PEDRA PORTUGUESA  OU PETIT PAVE, BRANCA OU PRETA                                                                                                                                                                                                                                                                                                                                                                                                                                                          </v>
          </cell>
          <cell r="C3286" t="str">
            <v xml:space="preserve">M2    </v>
          </cell>
          <cell r="D3286" t="str">
            <v>CR</v>
          </cell>
          <cell r="E3286" t="str">
            <v>152,29</v>
          </cell>
        </row>
        <row r="3287">
          <cell r="A3287">
            <v>4712</v>
          </cell>
          <cell r="B3287" t="str">
            <v xml:space="preserve">PEDRA QUARTZITO OU CALCARIO LAMINADO, CACO, TIPO CARIRI, ITACOLOMI, LAGOA SANTA, LUMINARIA, PIRENOPOLIS, SAO TOME OU OUTRAS SIMILARES DA REGIAO, E=  *1,5 A *2,5 CM                                                                                                                                                                                                                                                                                                                                       </v>
          </cell>
          <cell r="C3287" t="str">
            <v xml:space="preserve">M2    </v>
          </cell>
          <cell r="D3287" t="str">
            <v>CR</v>
          </cell>
          <cell r="E3287" t="str">
            <v>74,45</v>
          </cell>
        </row>
        <row r="3288">
          <cell r="A3288">
            <v>4710</v>
          </cell>
          <cell r="B3288" t="str">
            <v xml:space="preserve">PEDRA QUARTZITO OU CALCARIO LAMINADO, SERRADA, TIPO CARIRI, ITACOLOMI, LAGOA SANTA, LUMINARIA, PIRENOPOLIS, SAO TOME OU OUTRAS SIMILARES DA REGIAO, *20 X *40 CM, E=  *1,5 A *2,5 CM                                                                                                                                                                                                                                                                                                                      </v>
          </cell>
          <cell r="C3288" t="str">
            <v xml:space="preserve">M2    </v>
          </cell>
          <cell r="D3288" t="str">
            <v>CR</v>
          </cell>
          <cell r="E3288" t="str">
            <v>238,76</v>
          </cell>
        </row>
        <row r="3289">
          <cell r="A3289">
            <v>4746</v>
          </cell>
          <cell r="B3289" t="str">
            <v xml:space="preserve">PEDREGULHO OU PICARRA DE JAZIDA, AO NATURAL, PARA BASE DE PAVIMENTACAO (RETIRADO NA JAZIDA, SEM TRANSPORTE)                                                                                                                                                                                                                                                                                                                                                                                               </v>
          </cell>
          <cell r="C3289" t="str">
            <v xml:space="preserve">M3    </v>
          </cell>
          <cell r="D3289" t="str">
            <v>CR</v>
          </cell>
          <cell r="E3289" t="str">
            <v>48,88</v>
          </cell>
        </row>
        <row r="3290">
          <cell r="A3290">
            <v>4750</v>
          </cell>
          <cell r="B3290" t="str">
            <v xml:space="preserve">PEDREIRO (HORISTA)                                                                                                                                                                                                                                                                                                                                                                                                                                                                                        </v>
          </cell>
          <cell r="C3290" t="str">
            <v xml:space="preserve">H     </v>
          </cell>
          <cell r="D3290" t="str">
            <v xml:space="preserve">C </v>
          </cell>
          <cell r="E3290" t="str">
            <v>23,55</v>
          </cell>
        </row>
        <row r="3291">
          <cell r="A3291">
            <v>41065</v>
          </cell>
          <cell r="B3291" t="str">
            <v xml:space="preserve">PEDREIRO (MENSALISTA)                                                                                                                                                                                                                                                                                                                                                                                                                                                                                     </v>
          </cell>
          <cell r="C3291" t="str">
            <v xml:space="preserve">MES   </v>
          </cell>
          <cell r="D3291" t="str">
            <v>CR</v>
          </cell>
          <cell r="E3291" t="str">
            <v>4.122,92</v>
          </cell>
        </row>
        <row r="3292">
          <cell r="A3292">
            <v>34747</v>
          </cell>
          <cell r="B3292" t="str">
            <v xml:space="preserve">PEITORIL EM MARMORE, POLIDO, BRANCO COMUM, L= *15* CM, E=  *2,0* CM, COM PINGADEIRA                                                                                                                                                                                                                                                                                                                                                                                                                       </v>
          </cell>
          <cell r="C3292" t="str">
            <v xml:space="preserve">M     </v>
          </cell>
          <cell r="D3292" t="str">
            <v>CR</v>
          </cell>
          <cell r="E3292" t="str">
            <v>126,31</v>
          </cell>
        </row>
        <row r="3293">
          <cell r="A3293">
            <v>4826</v>
          </cell>
          <cell r="B3293" t="str">
            <v xml:space="preserve">PEITORIL EM MARMORE, POLIDO, BRANCO COMUM, L= *15* CM, E=  *3* CM, CORTE RETO                                                                                                                                                                                                                                                                                                                                                                                                                             </v>
          </cell>
          <cell r="C3293" t="str">
            <v xml:space="preserve">M     </v>
          </cell>
          <cell r="D3293" t="str">
            <v>CR</v>
          </cell>
          <cell r="E3293" t="str">
            <v>135,82</v>
          </cell>
        </row>
        <row r="3294">
          <cell r="A3294">
            <v>41975</v>
          </cell>
          <cell r="B3294" t="str">
            <v xml:space="preserve">PEITORIL PRE-MOLDADO EM GRANILITE, MARMORITE OU GRANITINA, L = *15* CM                                                                                                                                                                                                                                                                                                                                                                                                                                    </v>
          </cell>
          <cell r="C3294" t="str">
            <v xml:space="preserve">M2    </v>
          </cell>
          <cell r="D3294" t="str">
            <v>CR</v>
          </cell>
          <cell r="E3294" t="str">
            <v>104,34</v>
          </cell>
        </row>
        <row r="3295">
          <cell r="A3295">
            <v>4825</v>
          </cell>
          <cell r="B3295" t="str">
            <v xml:space="preserve">PEITORIL/ SOLEIRA EM MARMORE, POLIDO, BRANCO COMUM, L= *25* CM, E=  *3* CM, CORTE RETO                                                                                                                                                                                                                                                                                                                                                                                                                    </v>
          </cell>
          <cell r="C3295" t="str">
            <v xml:space="preserve">M     </v>
          </cell>
          <cell r="D3295" t="str">
            <v>CR</v>
          </cell>
          <cell r="E3295" t="str">
            <v>188,00</v>
          </cell>
        </row>
        <row r="3296">
          <cell r="A3296">
            <v>34744</v>
          </cell>
          <cell r="B3296" t="str">
            <v xml:space="preserve">PELICULA REFLETIVA, GT 7 ANOS PARA SINALIZACAO VERTICAL                                                                                                                                                                                                                                                                                                                                                                                                                                                   </v>
          </cell>
          <cell r="C3296" t="str">
            <v xml:space="preserve">M2    </v>
          </cell>
          <cell r="D3296" t="str">
            <v>CR</v>
          </cell>
          <cell r="E3296" t="str">
            <v>23,25</v>
          </cell>
        </row>
        <row r="3297">
          <cell r="A3297">
            <v>39430</v>
          </cell>
          <cell r="B3297" t="str">
            <v xml:space="preserve">PENDURAL OU PRESILHA REGULADORA, EM ACO GALVANIZADO, COM CORPO, MOLA E REBITE, PARA PERFIL TIPO CANALETA DE ESTRUTURA EM FORROS DRYWALL                                                                                                                                                                                                                                                                                                                                                                   </v>
          </cell>
          <cell r="C3297" t="str">
            <v xml:space="preserve">UN    </v>
          </cell>
          <cell r="D3297" t="str">
            <v>CR</v>
          </cell>
          <cell r="E3297" t="str">
            <v>1,73</v>
          </cell>
        </row>
        <row r="3298">
          <cell r="A3298">
            <v>39573</v>
          </cell>
          <cell r="B3298" t="str">
            <v xml:space="preserve">PENDURAL OU REGULADOR, COM MOLA, EM ACO GALVANIZADO, PARA PERFIL TIPO T CLICADO DE FORROS REMOVIVEL                                                                                                                                                                                                                                                                                                                                                                                                       </v>
          </cell>
          <cell r="C3298" t="str">
            <v xml:space="preserve">UN    </v>
          </cell>
          <cell r="D3298" t="str">
            <v>CR</v>
          </cell>
          <cell r="E3298" t="str">
            <v>1,70</v>
          </cell>
        </row>
        <row r="3299">
          <cell r="A3299">
            <v>38410</v>
          </cell>
          <cell r="B3299" t="str">
            <v xml:space="preserve">PENEIRA ROTATIVA COM MOTOR ELETRICO TRIFASICO DE 2 CV, CILINDRO DE 1 M X 0,60 M, COM FUROS DE 3,17 MM                                                                                                                                                                                                                                                                                                                                                                                                     </v>
          </cell>
          <cell r="C3299" t="str">
            <v xml:space="preserve">UN    </v>
          </cell>
          <cell r="D3299" t="str">
            <v>CR</v>
          </cell>
          <cell r="E3299" t="str">
            <v>14.085,38</v>
          </cell>
        </row>
        <row r="3300">
          <cell r="A3300">
            <v>43082</v>
          </cell>
          <cell r="B3300" t="str">
            <v xml:space="preserve">PERFIL "I" OU "W" EM ACO LAMINADO, QUAISQUER DIMENSOES                                                                                                                                                                                                                                                                                                                                                                                                                                                    </v>
          </cell>
          <cell r="C3300" t="str">
            <v xml:space="preserve">KG    </v>
          </cell>
          <cell r="D3300" t="str">
            <v xml:space="preserve">C </v>
          </cell>
          <cell r="E3300" t="str">
            <v>10,00</v>
          </cell>
        </row>
        <row r="3301">
          <cell r="A3301">
            <v>43083</v>
          </cell>
          <cell r="B3301" t="str">
            <v xml:space="preserve">PERFIL "U" ENRIJECIDO, EM CHAPA DOBRADA DE ACO LAMINADO, E = 3,75 MM, H = 200 MM, L = 75 MM (9,94 KG/M)                                                                                                                                                                                                                                                                                                                                                                                                   </v>
          </cell>
          <cell r="C3301" t="str">
            <v xml:space="preserve">KG    </v>
          </cell>
          <cell r="D3301" t="str">
            <v>CR</v>
          </cell>
          <cell r="E3301" t="str">
            <v>8,66</v>
          </cell>
        </row>
        <row r="3302">
          <cell r="A3302">
            <v>40535</v>
          </cell>
          <cell r="B3302" t="str">
            <v xml:space="preserve">PERFIL "U" SIMPLES, EM CHAPA DOBRADA DE ACO LAMINADO, E = 2,65 MM, H = 75 MM, L = 40 MM (3,04 KG/M)                                                                                                                                                                                                                                                                                                                                                                                                       </v>
          </cell>
          <cell r="C3302" t="str">
            <v xml:space="preserve">KG    </v>
          </cell>
          <cell r="D3302" t="str">
            <v>CR</v>
          </cell>
          <cell r="E3302" t="str">
            <v>8,66</v>
          </cell>
        </row>
        <row r="3303">
          <cell r="A3303">
            <v>40598</v>
          </cell>
          <cell r="B3303" t="str">
            <v xml:space="preserve">PERFIL "U" SIMPLES, EM CHAPA DOBRADA DE ACO LAMINADO, E = 3 MM, H = 125 MM, L = 50 MM (5,07 KG/M)                                                                                                                                                                                                                                                                                                                                                                                                         </v>
          </cell>
          <cell r="C3303" t="str">
            <v xml:space="preserve">KG    </v>
          </cell>
          <cell r="D3303" t="str">
            <v>CR</v>
          </cell>
          <cell r="E3303" t="str">
            <v>8,45</v>
          </cell>
        </row>
        <row r="3304">
          <cell r="A3304">
            <v>43692</v>
          </cell>
          <cell r="B3304" t="str">
            <v xml:space="preserve">PERFIL "U" SIMPLES, EM CHAPA DOBRADA DE ACO LAMINADO, E = 3 MM, H = 200 MM, L = 50 MM (6,83 KG/M)                                                                                                                                                                                                                                                                                                                                                                                                         </v>
          </cell>
          <cell r="C3304" t="str">
            <v xml:space="preserve">KG    </v>
          </cell>
          <cell r="D3304" t="str">
            <v>CR</v>
          </cell>
          <cell r="E3304" t="str">
            <v>9,12</v>
          </cell>
        </row>
        <row r="3305">
          <cell r="A3305">
            <v>43665</v>
          </cell>
          <cell r="B3305" t="str">
            <v xml:space="preserve">PERFIL "U" SIMPLES, EM CHAPA DOBRADA DE ACO LAMINADO, E = 4,75 MM, H = 100 MM, L = 75 MM (8,74 KG/M)                                                                                                                                                                                                                                                                                                                                                                                                      </v>
          </cell>
          <cell r="C3305" t="str">
            <v xml:space="preserve">KG    </v>
          </cell>
          <cell r="D3305" t="str">
            <v>CR</v>
          </cell>
          <cell r="E3305" t="str">
            <v>8,59</v>
          </cell>
        </row>
        <row r="3306">
          <cell r="A3306">
            <v>10966</v>
          </cell>
          <cell r="B3306" t="str">
            <v xml:space="preserve">PERFIL "U" SIMPLES, EM CHAPA DOBRADA DE ACO LAMINADO, E = 8 MM, H = 150 MM, L = 75 MM (16,97 KG/M)                                                                                                                                                                                                                                                                                                                                                                                                        </v>
          </cell>
          <cell r="C3306" t="str">
            <v xml:space="preserve">KG    </v>
          </cell>
          <cell r="D3306" t="str">
            <v>CR</v>
          </cell>
          <cell r="E3306" t="str">
            <v>9,12</v>
          </cell>
        </row>
        <row r="3307">
          <cell r="A3307">
            <v>39427</v>
          </cell>
          <cell r="B3307" t="str">
            <v xml:space="preserve">PERFIL CANALETA, FORMATO C, EM ACO ZINCADO, PARA ESTRUTURA FORRO DRYWALL, E = 0,5 MM, *46 X 18* (L X H), COMPRIMENTO 3 M                                                                                                                                                                                                                                                                                                                                                                                  </v>
          </cell>
          <cell r="C3307" t="str">
            <v xml:space="preserve">M     </v>
          </cell>
          <cell r="D3307" t="str">
            <v>CR</v>
          </cell>
          <cell r="E3307" t="str">
            <v>4,60</v>
          </cell>
        </row>
        <row r="3308">
          <cell r="A3308">
            <v>39424</v>
          </cell>
          <cell r="B3308" t="str">
            <v xml:space="preserve">PERFIL CANTONEIRA L, LISA, EM ACO, 25 X 30 MM, E = 0,5 MM, PARA ESTRUTURA DRYWALL                                                                                                                                                                                                                                                                                                                                                                                                                         </v>
          </cell>
          <cell r="C3308" t="str">
            <v xml:space="preserve">M     </v>
          </cell>
          <cell r="D3308" t="str">
            <v>CR</v>
          </cell>
          <cell r="E3308" t="str">
            <v>2,73</v>
          </cell>
        </row>
        <row r="3309">
          <cell r="A3309">
            <v>39425</v>
          </cell>
          <cell r="B3309" t="str">
            <v xml:space="preserve">PERFIL CANTONEIRA L, PERFURADA, EM ACO, 23 X 23 MM, E = 0,5 MM, PARA ESTRUTURA DRYWALL                                                                                                                                                                                                                                                                                                                                                                                                                    </v>
          </cell>
          <cell r="C3309" t="str">
            <v xml:space="preserve">M     </v>
          </cell>
          <cell r="D3309" t="str">
            <v>CR</v>
          </cell>
          <cell r="E3309" t="str">
            <v>2,70</v>
          </cell>
        </row>
        <row r="3310">
          <cell r="A3310">
            <v>40664</v>
          </cell>
          <cell r="B3310" t="str">
            <v xml:space="preserve">PERFIL CARTOLA DE ACO GALVANIZADO, *20 X 30 X 10* MM, E =  0,8 MM                                                                                                                                                                                                                                                                                                                                                                                                                                         </v>
          </cell>
          <cell r="C3310" t="str">
            <v xml:space="preserve">KG    </v>
          </cell>
          <cell r="D3310" t="str">
            <v>CR</v>
          </cell>
          <cell r="E3310" t="str">
            <v>17,77</v>
          </cell>
        </row>
        <row r="3311">
          <cell r="A3311">
            <v>34360</v>
          </cell>
          <cell r="B3311" t="str">
            <v xml:space="preserve">PERFIL DE ALUMINIO ANODIZADO                                                                                                                                                                                                                                                                                                                                                                                                                                                                              </v>
          </cell>
          <cell r="C3311" t="str">
            <v xml:space="preserve">KG    </v>
          </cell>
          <cell r="D3311" t="str">
            <v>CR</v>
          </cell>
          <cell r="E3311" t="str">
            <v>36,56</v>
          </cell>
        </row>
        <row r="3312">
          <cell r="A3312">
            <v>20259</v>
          </cell>
          <cell r="B3312" t="str">
            <v xml:space="preserve">PERFIL DE BORRACHA EPDM MACICO *12 X 15* MM PARA ESQUADRIAS                                                                                                                                                                                                                                                                                                                                                                                                                                               </v>
          </cell>
          <cell r="C3312" t="str">
            <v xml:space="preserve">M     </v>
          </cell>
          <cell r="D3312" t="str">
            <v>CR</v>
          </cell>
          <cell r="E3312" t="str">
            <v>12,90</v>
          </cell>
        </row>
        <row r="3313">
          <cell r="A3313">
            <v>14077</v>
          </cell>
          <cell r="B3313" t="str">
            <v xml:space="preserve">PERFIL ELASTOMERICO PRE-FORMADO EM EPMD, PARA JUNTA DE DILATACAO DE PISOS COM POUCA SOLICITACAO, 15 MM DE LARGURA, MOVIMENTACAO DE *11 A 19* MM                                                                                                                                                                                                                                                                                                                                                           </v>
          </cell>
          <cell r="C3313" t="str">
            <v xml:space="preserve">M     </v>
          </cell>
          <cell r="D3313" t="str">
            <v>CR</v>
          </cell>
          <cell r="E3313" t="str">
            <v>197,44</v>
          </cell>
        </row>
        <row r="3314">
          <cell r="A3314">
            <v>3678</v>
          </cell>
          <cell r="B3314" t="str">
            <v xml:space="preserve">PERFIL ELASTOMERICO PRE-FORMADO EM EPMD, PARA JUNTA DE DILATACAO DE USO GERAL EM MEDIAS SOLICITACOES, 8 MM DE LARGURA, MOVIMENTACAO DE *5 A 11* MM                                                                                                                                                                                                                                                                                                                                                        </v>
          </cell>
          <cell r="C3314" t="str">
            <v xml:space="preserve">M     </v>
          </cell>
          <cell r="D3314" t="str">
            <v>CR</v>
          </cell>
          <cell r="E3314" t="str">
            <v>89,24</v>
          </cell>
        </row>
        <row r="3315">
          <cell r="A3315">
            <v>585</v>
          </cell>
          <cell r="B3315" t="str">
            <v xml:space="preserve">PERFIL EM ALUMINIO, FORMATO U, ABAS IGUAIS, LARGURA DE 25,4 MM (1"), ESPESSURA DE 2,38 MM (3/32") E PESO LINEAR DE APROXIMADAMENTE 0,460 KG/M                                                                                                                                                                                                                                                                                                                                                             </v>
          </cell>
          <cell r="C3315" t="str">
            <v xml:space="preserve">KG    </v>
          </cell>
          <cell r="D3315" t="str">
            <v>CR</v>
          </cell>
          <cell r="E3315" t="str">
            <v>29,25</v>
          </cell>
        </row>
        <row r="3316">
          <cell r="A3316">
            <v>39418</v>
          </cell>
          <cell r="B3316" t="str">
            <v xml:space="preserve">PERFIL GUIA, FORMATO U, EM ACO ZINCADO, PARA ESTRUTURA PAREDE DRYWALL, E = 0,5 MM, 48  X 3000 MM (L X C)                                                                                                                                                                                                                                                                                                                                                                                                  </v>
          </cell>
          <cell r="C3316" t="str">
            <v xml:space="preserve">M     </v>
          </cell>
          <cell r="D3316" t="str">
            <v>CR</v>
          </cell>
          <cell r="E3316" t="str">
            <v>5,13</v>
          </cell>
        </row>
        <row r="3317">
          <cell r="A3317">
            <v>39419</v>
          </cell>
          <cell r="B3317" t="str">
            <v xml:space="preserve">PERFIL GUIA, FORMATO U, EM ACO ZINCADO, PARA ESTRUTURA PAREDE DRYWALL, E = 0,5 MM, 70 X 3000 MM (L X C)                                                                                                                                                                                                                                                                                                                                                                                                   </v>
          </cell>
          <cell r="C3317" t="str">
            <v xml:space="preserve">M     </v>
          </cell>
          <cell r="D3317" t="str">
            <v>CR</v>
          </cell>
          <cell r="E3317" t="str">
            <v>6,25</v>
          </cell>
        </row>
        <row r="3318">
          <cell r="A3318">
            <v>39420</v>
          </cell>
          <cell r="B3318" t="str">
            <v xml:space="preserve">PERFIL GUIA, FORMATO U, EM ACO ZINCADO, PARA ESTRUTURA PAREDE DRYWALL, E = 0,5 MM, 90 X 3000 MM (L X C)                                                                                                                                                                                                                                                                                                                                                                                                   </v>
          </cell>
          <cell r="C3318" t="str">
            <v xml:space="preserve">M     </v>
          </cell>
          <cell r="D3318" t="str">
            <v>CR</v>
          </cell>
          <cell r="E3318" t="str">
            <v>6,90</v>
          </cell>
        </row>
        <row r="3319">
          <cell r="A3319">
            <v>39571</v>
          </cell>
          <cell r="B3319" t="str">
            <v xml:space="preserve">PERFIL LONGARINA (PRINCIPAL), T CLICADO, EM ACO, BRANCO NAS FACES APARENTES, PARA FORRO REMOVIVEL, 24 X 32 X 3750 MM (L X H X C                                                                                                                                                                                                                                                                                                                                                                           </v>
          </cell>
          <cell r="C3319" t="str">
            <v xml:space="preserve">M     </v>
          </cell>
          <cell r="D3319" t="str">
            <v>CR</v>
          </cell>
          <cell r="E3319" t="str">
            <v>4,17</v>
          </cell>
        </row>
        <row r="3320">
          <cell r="A3320">
            <v>39421</v>
          </cell>
          <cell r="B3320" t="str">
            <v xml:space="preserve">PERFIL MONTANTE, FORMATO C, EM ACO ZINCADO, PARA ESTRUTURA PAREDE DRYWALL, E = 0,5 MM, 48 X 3000 MM (L X C)                                                                                                                                                                                                                                                                                                                                                                                               </v>
          </cell>
          <cell r="C3320" t="str">
            <v xml:space="preserve">M     </v>
          </cell>
          <cell r="D3320" t="str">
            <v>CR</v>
          </cell>
          <cell r="E3320" t="str">
            <v>6,07</v>
          </cell>
        </row>
        <row r="3321">
          <cell r="A3321">
            <v>39422</v>
          </cell>
          <cell r="B3321" t="str">
            <v xml:space="preserve">PERFIL MONTANTE, FORMATO C, EM ACO ZINCADO, PARA ESTRUTURA PAREDE DRYWALL, E = 0,5 MM, 70 X 3000 MM (L X C)                                                                                                                                                                                                                                                                                                                                                                                               </v>
          </cell>
          <cell r="C3321" t="str">
            <v xml:space="preserve">M     </v>
          </cell>
          <cell r="D3321" t="str">
            <v xml:space="preserve">C </v>
          </cell>
          <cell r="E3321" t="str">
            <v>7,09</v>
          </cell>
        </row>
        <row r="3322">
          <cell r="A3322">
            <v>39423</v>
          </cell>
          <cell r="B3322" t="str">
            <v xml:space="preserve">PERFIL MONTANTE, FORMATO C, EM ACO ZINCADO, PARA ESTRUTURA PAREDE DRYWALL, E = 0,5 MM, 90 X 3000 MM (L X C)                                                                                                                                                                                                                                                                                                                                                                                               </v>
          </cell>
          <cell r="C3322" t="str">
            <v xml:space="preserve">M     </v>
          </cell>
          <cell r="D3322" t="str">
            <v>CR</v>
          </cell>
          <cell r="E3322" t="str">
            <v>8,23</v>
          </cell>
        </row>
        <row r="3323">
          <cell r="A3323">
            <v>39426</v>
          </cell>
          <cell r="B3323" t="str">
            <v xml:space="preserve">PERFIL RODAPE DE IMPERMEABILIZACAO, FORMATO L, EM ACO ZINCADO, PARA ESTRUTURA DRYWALL, E = 0,5 MM, 220 X 3000 MM (H X C)                                                                                                                                                                                                                                                                                                                                                                                  </v>
          </cell>
          <cell r="C3323" t="str">
            <v xml:space="preserve">M     </v>
          </cell>
          <cell r="D3323" t="str">
            <v>CR</v>
          </cell>
          <cell r="E3323" t="str">
            <v>18,50</v>
          </cell>
        </row>
        <row r="3324">
          <cell r="A3324">
            <v>39429</v>
          </cell>
          <cell r="B3324" t="str">
            <v xml:space="preserve">PERFIL TABICA ABERTA, PERFURADA, FORMATO Z, EM ACO GALVANIZADO NATURAL, LARGURA APROXIMADA 40 MM, PARA ESTRUTURA FORRO DRYWALL                                                                                                                                                                                                                                                                                                                                                                            </v>
          </cell>
          <cell r="C3324" t="str">
            <v xml:space="preserve">M     </v>
          </cell>
          <cell r="D3324" t="str">
            <v>CR</v>
          </cell>
          <cell r="E3324" t="str">
            <v>5,83</v>
          </cell>
        </row>
        <row r="3325">
          <cell r="A3325">
            <v>39428</v>
          </cell>
          <cell r="B3325" t="str">
            <v xml:space="preserve">PERFIL TABICA FECHADA, LISA, FORMATO Z, EM ACO GALVANIZADO NATURAL, LARGURA TOTAL NA HORIZONTAL *40* MM, PARA ESTRUTURA FORRO DRYWALL                                                                                                                                                                                                                                                                                                                                                                     </v>
          </cell>
          <cell r="C3325" t="str">
            <v xml:space="preserve">M     </v>
          </cell>
          <cell r="D3325" t="str">
            <v>CR</v>
          </cell>
          <cell r="E3325" t="str">
            <v>4,46</v>
          </cell>
        </row>
        <row r="3326">
          <cell r="A3326">
            <v>39572</v>
          </cell>
          <cell r="B3326" t="str">
            <v xml:space="preserve">PERFIL TIPO CANTONEIRA EM L, EM ACO GALVANIZADO, BRANCO, PARA FORRO REMOVIVEL, *23* X 3000 MM (L X C)                                                                                                                                                                                                                                                                                                                                                                                                     </v>
          </cell>
          <cell r="C3326" t="str">
            <v xml:space="preserve">M     </v>
          </cell>
          <cell r="D3326" t="str">
            <v>CR</v>
          </cell>
          <cell r="E3326" t="str">
            <v>3,86</v>
          </cell>
        </row>
        <row r="3327">
          <cell r="A3327">
            <v>39570</v>
          </cell>
          <cell r="B3327" t="str">
            <v xml:space="preserve">PERFIL TRAVESSA (SECUNDARIO), T CLICADO, EM ACO GALVANIZADO , BRANCO, PARA FORRO REMOVIVEL, 24 X 1250 MM (L X C)                                                                                                                                                                                                                                                                                                                                                                                          </v>
          </cell>
          <cell r="C3327" t="str">
            <v xml:space="preserve">M     </v>
          </cell>
          <cell r="D3327" t="str">
            <v>CR</v>
          </cell>
          <cell r="E3327" t="str">
            <v>4,09</v>
          </cell>
        </row>
        <row r="3328">
          <cell r="A3328">
            <v>39569</v>
          </cell>
          <cell r="B3328" t="str">
            <v xml:space="preserve">PERFIL TRAVESSA (SECUNDARIO), T CLICADO, EM ACO GALVANIZADO, BRANCO, PARA FORRO REMOVIVEL, 24 X 625 MM (L X C)                                                                                                                                                                                                                                                                                                                                                                                            </v>
          </cell>
          <cell r="C3328" t="str">
            <v xml:space="preserve">M     </v>
          </cell>
          <cell r="D3328" t="str">
            <v>CR</v>
          </cell>
          <cell r="E3328" t="str">
            <v>4,04</v>
          </cell>
        </row>
        <row r="3329">
          <cell r="A3329">
            <v>11552</v>
          </cell>
          <cell r="B3329" t="str">
            <v xml:space="preserve">PERFIL U DE ABAS IGUAIS, EM ALUMINIO, 1/2" (1,27 X 1,27 CM), PARA PORTA OU JANELA DE CORRER                                                                                                                                                                                                                                                                                                                                                                                                               </v>
          </cell>
          <cell r="C3329" t="str">
            <v xml:space="preserve">M     </v>
          </cell>
          <cell r="D3329" t="str">
            <v>CR</v>
          </cell>
          <cell r="E3329" t="str">
            <v>6,52</v>
          </cell>
        </row>
        <row r="3330">
          <cell r="A3330">
            <v>39029</v>
          </cell>
          <cell r="B3330" t="str">
            <v xml:space="preserve">PERFILADO PERFURADO DUPLO 38 X 76 MM, CHAPA 22                                                                                                                                                                                                                                                                                                                                                                                                                                                            </v>
          </cell>
          <cell r="C3330" t="str">
            <v xml:space="preserve">M     </v>
          </cell>
          <cell r="D3330" t="str">
            <v>CR</v>
          </cell>
          <cell r="E3330" t="str">
            <v>13,06</v>
          </cell>
        </row>
        <row r="3331">
          <cell r="A3331">
            <v>39028</v>
          </cell>
          <cell r="B3331" t="str">
            <v xml:space="preserve">PERFILADO PERFURADO SIMPLES 38 X 38 MM, CHAPA 22                                                                                                                                                                                                                                                                                                                                                                                                                                                          </v>
          </cell>
          <cell r="C3331" t="str">
            <v xml:space="preserve">M     </v>
          </cell>
          <cell r="D3331" t="str">
            <v>CR</v>
          </cell>
          <cell r="E3331" t="str">
            <v>7,60</v>
          </cell>
        </row>
        <row r="3332">
          <cell r="A3332">
            <v>39328</v>
          </cell>
          <cell r="B3332" t="str">
            <v xml:space="preserve">PERFILADO PERFURADO 19 X 38 MM, CHAPA 22                                                                                                                                                                                                                                                                                                                                                                                                                                                                  </v>
          </cell>
          <cell r="C3332" t="str">
            <v xml:space="preserve">M     </v>
          </cell>
          <cell r="D3332" t="str">
            <v>CR</v>
          </cell>
          <cell r="E3332" t="str">
            <v>4,18</v>
          </cell>
        </row>
        <row r="3333">
          <cell r="A3333">
            <v>38541</v>
          </cell>
          <cell r="B3333" t="str">
            <v xml:space="preserve">PERFURATRIZ COM TORRE METALICA PARA EXECUCAO DE ESTACA HELICE CONTINUA, PROFUNDIDADE MAXIMA DE 30 M, DIAMETRO MAXIMO DE 800 MM, POTENCIA INSTALADA DE 268 HP, MESA ROTATIVA COM TORQUE MAXIMO DE 170 KNM                                                                                                                                                                                                                                                                                                  </v>
          </cell>
          <cell r="C3333" t="str">
            <v xml:space="preserve">UN    </v>
          </cell>
          <cell r="D3333" t="str">
            <v>CR</v>
          </cell>
          <cell r="E3333" t="str">
            <v>4.020.777,12</v>
          </cell>
        </row>
        <row r="3334">
          <cell r="A3334">
            <v>38542</v>
          </cell>
          <cell r="B3334" t="str">
            <v xml:space="preserve">PERFURATRIZ COM TORRE METALICA PARA EXECUCAO DE ESTACA HELICE CONTINUA, PROFUNDIDADE MAXIMA DE 32 M, DIAMETRO MAXIMO DE 1000 MM, POTENCIA INSTALADA DE 350 HP, MESA ROTATIVA COM TORQUE MAXIMO DE 263 KNM                                                                                                                                                                                                                                                                                                 </v>
          </cell>
          <cell r="C3334" t="str">
            <v xml:space="preserve">UN    </v>
          </cell>
          <cell r="D3334" t="str">
            <v>CR</v>
          </cell>
          <cell r="E3334" t="str">
            <v>6.252.146,74</v>
          </cell>
        </row>
        <row r="3335">
          <cell r="A3335">
            <v>38543</v>
          </cell>
          <cell r="B3335" t="str">
            <v xml:space="preserve">PERFURATRIZ HIDRAULICA COM TRADO CURTO ACOPLADO, PROFUNDIDADE MAXIMA DE 20 M, DIAMETRO MAXIMO DE 1500 MM, POTENCIA INSTALADA DE 137 HP, MESA ROTATIVA COM TORQUE MAXIMO DE 30 KNM (INCLUI MONTAGEM, NAO INCLUI CAMINHAO)                                                                                                                                                                                                                                                                                  </v>
          </cell>
          <cell r="C3335" t="str">
            <v xml:space="preserve">UN    </v>
          </cell>
          <cell r="D3335" t="str">
            <v>CR</v>
          </cell>
          <cell r="E3335" t="str">
            <v>1.530.698,04</v>
          </cell>
        </row>
        <row r="3336">
          <cell r="A3336">
            <v>40406</v>
          </cell>
          <cell r="B3336" t="str">
            <v xml:space="preserve">PERFURATRIZ MANUAL, TORQUE MAXIMO 55 KGF.M, POTENCIA 5 CV, COM DIAMETRO MAXIMO 8 1/2" (INCLUI SUPORTE/CHASSI TIPO MESA)                                                                                                                                                                                                                                                                                                                                                                                   </v>
          </cell>
          <cell r="C3336" t="str">
            <v xml:space="preserve">UN    </v>
          </cell>
          <cell r="D3336" t="str">
            <v>CR</v>
          </cell>
          <cell r="E3336" t="str">
            <v>68.502,31</v>
          </cell>
        </row>
        <row r="3337">
          <cell r="A3337">
            <v>40789</v>
          </cell>
          <cell r="B3337" t="str">
            <v xml:space="preserve">PERFURATRIZ MANUAL, TORQUE MAXIMO 83 N.M, POTENCIA 5 CV, COM DIAMETRO MAXIMO 4" (NAO INCLUI SUPORTE / CHASSI)                                                                                                                                                                                                                                                                                                                                                                                             </v>
          </cell>
          <cell r="C3337" t="str">
            <v xml:space="preserve">UN    </v>
          </cell>
          <cell r="D3337" t="str">
            <v>CR</v>
          </cell>
          <cell r="E3337" t="str">
            <v>9.871,88</v>
          </cell>
        </row>
        <row r="3338">
          <cell r="A3338">
            <v>40791</v>
          </cell>
          <cell r="B3338" t="str">
            <v xml:space="preserve">PERFURATRIZ MANUAL, TORQUE MAXIMO 83 N.M, POTENCIA 5 CV, COM DIAMETRO MAXIMO 4", PARA SOLO GRAMPEADO (INCLUI SUPORTE OU CHASSI TIPO MESA)                                                                                                                                                                                                                                                                                                                                                                 </v>
          </cell>
          <cell r="C3338" t="str">
            <v xml:space="preserve">UN    </v>
          </cell>
          <cell r="D3338" t="str">
            <v>CR</v>
          </cell>
          <cell r="E3338" t="str">
            <v>30.903,29</v>
          </cell>
        </row>
        <row r="3339">
          <cell r="A3339">
            <v>11651</v>
          </cell>
          <cell r="B3339" t="str">
            <v xml:space="preserve">PERFURATRIZ PNEUMATICA MANUAL DE PESO MEDIO, 18KG, COMPRIMENTO DE CURSO DE 6 M, DIAMETRO DO PISTAO DE 5,5 CM                                                                                                                                                                                                                                                                                                                                                                                              </v>
          </cell>
          <cell r="C3339" t="str">
            <v xml:space="preserve">UN    </v>
          </cell>
          <cell r="D3339" t="str">
            <v>CR</v>
          </cell>
          <cell r="E3339" t="str">
            <v>16.901,45</v>
          </cell>
        </row>
        <row r="3340">
          <cell r="A3340">
            <v>40435</v>
          </cell>
          <cell r="B3340" t="str">
            <v xml:space="preserve">PERFURATRIZ SOBRE ESTEIRA, TORQUE MAXIMO DE 600 KGF, POTENCIA ENTRE 50 E 60 HP, DIAMETRO MAXIMO DE 10"                                                                                                                                                                                                                                                                                                                                                                                                    </v>
          </cell>
          <cell r="C3340" t="str">
            <v xml:space="preserve">UN    </v>
          </cell>
          <cell r="D3340" t="str">
            <v>CR</v>
          </cell>
          <cell r="E3340" t="str">
            <v>839.727,99</v>
          </cell>
        </row>
        <row r="3341">
          <cell r="A3341">
            <v>39012</v>
          </cell>
          <cell r="B3341" t="str">
            <v xml:space="preserve">PERFURATRIZ SOBRE ESTEIRA, TORQUE MAXIMO 600 KGF, PESO MEDIO 1000 KG, POTENCIA 20 HP, DIAMETRO MAXIMO 10"                                                                                                                                                                                                                                                                                                                                                                                                 </v>
          </cell>
          <cell r="C3341" t="str">
            <v xml:space="preserve">UN    </v>
          </cell>
          <cell r="D3341" t="str">
            <v>CR</v>
          </cell>
          <cell r="E3341" t="str">
            <v>876.140,07</v>
          </cell>
        </row>
        <row r="3342">
          <cell r="A3342">
            <v>13617</v>
          </cell>
          <cell r="B3342" t="str">
            <v xml:space="preserve">PICAPE CABINE SIMPLES COM MOTOR 1.6 FLEX, CAMBIO MANUAL, POTENCIA 101/104 CV, 2 PORTAS                                                                                                                                                                                                                                                                                                                                                                                                                    </v>
          </cell>
          <cell r="C3342" t="str">
            <v xml:space="preserve">UN    </v>
          </cell>
          <cell r="D3342" t="str">
            <v>CR</v>
          </cell>
          <cell r="E3342" t="str">
            <v>102.815,43</v>
          </cell>
        </row>
        <row r="3343">
          <cell r="A3343">
            <v>35274</v>
          </cell>
          <cell r="B3343" t="str">
            <v xml:space="preserve">PILAR QUADRADO NAO APARELHADO *10 X 10* CM, EM MACARANDUBA/MASSARANDUBA, ANGELIM OU EQUIVALENTE DA REGIAO - BRUTA                                                                                                                                                                                                                                                                                                                                                                                         </v>
          </cell>
          <cell r="C3343" t="str">
            <v xml:space="preserve">M     </v>
          </cell>
          <cell r="D3343" t="str">
            <v>CR</v>
          </cell>
          <cell r="E3343" t="str">
            <v>62,15</v>
          </cell>
        </row>
        <row r="3344">
          <cell r="A3344">
            <v>35275</v>
          </cell>
          <cell r="B3344" t="str">
            <v xml:space="preserve">PILAR QUADRADO NAO APARELHADO *15 X 15* CM, EM MACARANDUBA/MASSARANDUBA, ANGELIM OU EQUIVALENTE DA REGIAO - BRUTA                                                                                                                                                                                                                                                                                                                                                                                         </v>
          </cell>
          <cell r="C3344" t="str">
            <v xml:space="preserve">M     </v>
          </cell>
          <cell r="D3344" t="str">
            <v>CR</v>
          </cell>
          <cell r="E3344" t="str">
            <v>131,92</v>
          </cell>
        </row>
        <row r="3345">
          <cell r="A3345">
            <v>35276</v>
          </cell>
          <cell r="B3345" t="str">
            <v xml:space="preserve">PILAR QUADRADO NAO APARELHADO *20 X 20* CM, EM MACARANDUBA/MASSARANDUBA, ANGELIM OU EQUIVALENTE DA REGIAO - BRUTA                                                                                                                                                                                                                                                                                                                                                                                         </v>
          </cell>
          <cell r="C3345" t="str">
            <v xml:space="preserve">M     </v>
          </cell>
          <cell r="D3345" t="str">
            <v>CR</v>
          </cell>
          <cell r="E3345" t="str">
            <v>229,54</v>
          </cell>
        </row>
        <row r="3346">
          <cell r="A3346">
            <v>38386</v>
          </cell>
          <cell r="B3346" t="str">
            <v xml:space="preserve">PINCEL CHATO (TRINCHA) CERDAS GRIS 1.1/2 " (38 MM)                                                                                                                                                                                                                                                                                                                                                                                                                                                        </v>
          </cell>
          <cell r="C3346" t="str">
            <v xml:space="preserve">UN    </v>
          </cell>
          <cell r="D3346" t="str">
            <v>CR</v>
          </cell>
          <cell r="E3346" t="str">
            <v>6,15</v>
          </cell>
        </row>
        <row r="3347">
          <cell r="A3347">
            <v>11091</v>
          </cell>
          <cell r="B3347" t="str">
            <v xml:space="preserve">PINGADEIRA PLASTICA PARA TELHA DE FIBROCIMENTO CANALETE 49/KALHETA OU CANALETE 90/KALHETAO                                                                                                                                                                                                                                                                                                                                                                                                                </v>
          </cell>
          <cell r="C3347" t="str">
            <v xml:space="preserve">UN    </v>
          </cell>
          <cell r="D3347" t="str">
            <v>CR</v>
          </cell>
          <cell r="E3347" t="str">
            <v>1,83</v>
          </cell>
        </row>
        <row r="3348">
          <cell r="A3348">
            <v>37586</v>
          </cell>
          <cell r="B3348" t="str">
            <v xml:space="preserve">PINO DE ACO COM ARRUELA CONICA, DIAMETRO ARRUELA = *23* MM E COMP HASTE = *27* MM (ACAO INDIRETA)                                                                                                                                                                                                                                                                                                                                                                                                         </v>
          </cell>
          <cell r="C3348" t="str">
            <v xml:space="preserve">CENTO </v>
          </cell>
          <cell r="D3348" t="str">
            <v>CR</v>
          </cell>
          <cell r="E3348" t="str">
            <v>46,91</v>
          </cell>
        </row>
        <row r="3349">
          <cell r="A3349">
            <v>37395</v>
          </cell>
          <cell r="B3349" t="str">
            <v xml:space="preserve">PINO DE ACO COM FURO, HASTE = 27 MM (ACAO DIRETA)                                                                                                                                                                                                                                                                                                                                                                                                                                                         </v>
          </cell>
          <cell r="C3349" t="str">
            <v xml:space="preserve">CENTO </v>
          </cell>
          <cell r="D3349" t="str">
            <v>CR</v>
          </cell>
          <cell r="E3349" t="str">
            <v>40,33</v>
          </cell>
        </row>
        <row r="3350">
          <cell r="A3350">
            <v>14147</v>
          </cell>
          <cell r="B3350" t="str">
            <v xml:space="preserve">PINO DE ACO COM ROSCA 1/4 ", COMPRIMENTO DA HASTE = 30 MM E ROSCA = 20 MM (ACAO DIRETA)                                                                                                                                                                                                                                                                                                                                                                                                                   </v>
          </cell>
          <cell r="C3350" t="str">
            <v xml:space="preserve">CENTO </v>
          </cell>
          <cell r="D3350" t="str">
            <v>CR</v>
          </cell>
          <cell r="E3350" t="str">
            <v>53,50</v>
          </cell>
        </row>
        <row r="3351">
          <cell r="A3351">
            <v>37396</v>
          </cell>
          <cell r="B3351" t="str">
            <v xml:space="preserve">PINO DE ACO LISO 1/4 ", HASTE = *36,5* MM (ACAO DIRETA)                                                                                                                                                                                                                                                                                                                                                                                                                                                   </v>
          </cell>
          <cell r="C3351" t="str">
            <v xml:space="preserve">CENTO </v>
          </cell>
          <cell r="D3351" t="str">
            <v>CR</v>
          </cell>
          <cell r="E3351" t="str">
            <v>33,00</v>
          </cell>
        </row>
        <row r="3352">
          <cell r="A3352">
            <v>37397</v>
          </cell>
          <cell r="B3352" t="str">
            <v xml:space="preserve">PINO DE ACO LISO 1/4 ", HASTE = *53* MM (ACAO DIRETA)                                                                                                                                                                                                                                                                                                                                                                                                                                                     </v>
          </cell>
          <cell r="C3352" t="str">
            <v xml:space="preserve">CENTO </v>
          </cell>
          <cell r="D3352" t="str">
            <v>CR</v>
          </cell>
          <cell r="E3352" t="str">
            <v>34,57</v>
          </cell>
        </row>
        <row r="3353">
          <cell r="A3353">
            <v>43606</v>
          </cell>
          <cell r="B3353" t="str">
            <v xml:space="preserve">PINO GUIA RETO, EM LATAO, CHAPA COM 3 MM DE ESPESSURA E GUIA COM ROLETE DE 9 MM                                                                                                                                                                                                                                                                                                                                                                                                                           </v>
          </cell>
          <cell r="C3353" t="str">
            <v xml:space="preserve">UN    </v>
          </cell>
          <cell r="D3353" t="str">
            <v>CR</v>
          </cell>
          <cell r="E3353" t="str">
            <v>7,81</v>
          </cell>
        </row>
        <row r="3354">
          <cell r="A3354">
            <v>444</v>
          </cell>
          <cell r="B3354" t="str">
            <v xml:space="preserve">PINO ROSCA EXTERNA, EM ACO GALVANIZADO, PARA ISOLADOR DE 15KV, DIAMETRO 25 MM, COMPRIMENTO *290* MM                                                                                                                                                                                                                                                                                                                                                                                                       </v>
          </cell>
          <cell r="C3354" t="str">
            <v xml:space="preserve">UN    </v>
          </cell>
          <cell r="D3354" t="str">
            <v>CR</v>
          </cell>
          <cell r="E3354" t="str">
            <v>23,12</v>
          </cell>
        </row>
        <row r="3355">
          <cell r="A3355">
            <v>445</v>
          </cell>
          <cell r="B3355" t="str">
            <v xml:space="preserve">PINO ROSCA EXTERNA, EM ACO GALVANIZADO, PARA ISOLADOR DE 25KV, DIAMETRO 35MM, COMPRIMENTO *320* MM                                                                                                                                                                                                                                                                                                                                                                                                        </v>
          </cell>
          <cell r="C3355" t="str">
            <v xml:space="preserve">UN    </v>
          </cell>
          <cell r="D3355" t="str">
            <v>CR</v>
          </cell>
          <cell r="E3355" t="str">
            <v>31,64</v>
          </cell>
        </row>
        <row r="3356">
          <cell r="A3356">
            <v>4783</v>
          </cell>
          <cell r="B3356" t="str">
            <v xml:space="preserve">PINTOR (HORISTA)                                                                                                                                                                                                                                                                                                                                                                                                                                                                                          </v>
          </cell>
          <cell r="C3356" t="str">
            <v xml:space="preserve">H     </v>
          </cell>
          <cell r="D3356" t="str">
            <v xml:space="preserve">C </v>
          </cell>
          <cell r="E3356" t="str">
            <v>27,05</v>
          </cell>
        </row>
        <row r="3357">
          <cell r="A3357">
            <v>41079</v>
          </cell>
          <cell r="B3357" t="str">
            <v xml:space="preserve">PINTOR (MENSALISTA)                                                                                                                                                                                                                                                                                                                                                                                                                                                                                       </v>
          </cell>
          <cell r="C3357" t="str">
            <v xml:space="preserve">MES   </v>
          </cell>
          <cell r="D3357" t="str">
            <v>CR</v>
          </cell>
          <cell r="E3357" t="str">
            <v>4.734,01</v>
          </cell>
        </row>
        <row r="3358">
          <cell r="A3358">
            <v>12874</v>
          </cell>
          <cell r="B3358" t="str">
            <v xml:space="preserve">PINTOR DE LETREIROS (HORISTA)                                                                                                                                                                                                                                                                                                                                                                                                                                                                             </v>
          </cell>
          <cell r="C3358" t="str">
            <v xml:space="preserve">H     </v>
          </cell>
          <cell r="D3358" t="str">
            <v>CR</v>
          </cell>
          <cell r="E3358" t="str">
            <v>24,93</v>
          </cell>
        </row>
        <row r="3359">
          <cell r="A3359">
            <v>41082</v>
          </cell>
          <cell r="B3359" t="str">
            <v xml:space="preserve">PINTOR DE LETREIROS (MENSALISTA)                                                                                                                                                                                                                                                                                                                                                                                                                                                                          </v>
          </cell>
          <cell r="C3359" t="str">
            <v xml:space="preserve">MES   </v>
          </cell>
          <cell r="D3359" t="str">
            <v>CR</v>
          </cell>
          <cell r="E3359" t="str">
            <v>4.365,73</v>
          </cell>
        </row>
        <row r="3360">
          <cell r="A3360">
            <v>4785</v>
          </cell>
          <cell r="B3360" t="str">
            <v xml:space="preserve">PINTOR PARA TINTA EPOXI (HORISTA)                                                                                                                                                                                                                                                                                                                                                                                                                                                                         </v>
          </cell>
          <cell r="C3360" t="str">
            <v xml:space="preserve">H     </v>
          </cell>
          <cell r="D3360" t="str">
            <v>CR</v>
          </cell>
          <cell r="E3360" t="str">
            <v>27,05</v>
          </cell>
        </row>
        <row r="3361">
          <cell r="A3361">
            <v>41081</v>
          </cell>
          <cell r="B3361" t="str">
            <v xml:space="preserve">PINTOR PARA TINTA EPOXI (MENSALISTA)                                                                                                                                                                                                                                                                                                                                                                                                                                                                      </v>
          </cell>
          <cell r="C3361" t="str">
            <v xml:space="preserve">MES   </v>
          </cell>
          <cell r="D3361" t="str">
            <v>CR</v>
          </cell>
          <cell r="E3361" t="str">
            <v>4.734,01</v>
          </cell>
        </row>
        <row r="3362">
          <cell r="A3362">
            <v>4801</v>
          </cell>
          <cell r="B3362" t="str">
            <v xml:space="preserve">PISO DE BORRACHA CANELADO EM PLACAS 50 X 50 CM, E = *3,5* MM, PARA COLA                                                                                                                                                                                                                                                                                                                                                                                                                                   </v>
          </cell>
          <cell r="C3362" t="str">
            <v xml:space="preserve">M2    </v>
          </cell>
          <cell r="D3362" t="str">
            <v>CR</v>
          </cell>
          <cell r="E3362" t="str">
            <v>63,55</v>
          </cell>
        </row>
        <row r="3363">
          <cell r="A3363">
            <v>4794</v>
          </cell>
          <cell r="B3363" t="str">
            <v xml:space="preserve">PISO DE BORRACHA ESPORTIVO EM PLACAS 50 X 50 CM, E = 15 MM, PARA ARGAMASSA, PRETO                                                                                                                                                                                                                                                                                                                                                                                                                         </v>
          </cell>
          <cell r="C3363" t="str">
            <v xml:space="preserve">M2    </v>
          </cell>
          <cell r="D3363" t="str">
            <v>CR</v>
          </cell>
          <cell r="E3363" t="str">
            <v>289,46</v>
          </cell>
        </row>
        <row r="3364">
          <cell r="A3364">
            <v>4796</v>
          </cell>
          <cell r="B3364" t="str">
            <v xml:space="preserve">PISO DE BORRACHA FRISADO OU PASTILHADO, PRETO, EM PLACAS 50 X 50 CM, E = 7 MM, PARA ARGAMASSA                                                                                                                                                                                                                                                                                                                                                                                                             </v>
          </cell>
          <cell r="C3364" t="str">
            <v xml:space="preserve">M2    </v>
          </cell>
          <cell r="D3364" t="str">
            <v>CR</v>
          </cell>
          <cell r="E3364" t="str">
            <v>175,82</v>
          </cell>
        </row>
        <row r="3365">
          <cell r="A3365">
            <v>4800</v>
          </cell>
          <cell r="B3365" t="str">
            <v xml:space="preserve">PISO DE BORRACHA PASTILHADO EM PLACAS 50 X 50 CM, E = *3,5* MM, PARA COLA, PRETO                                                                                                                                                                                                                                                                                                                                                                                                                          </v>
          </cell>
          <cell r="C3365" t="str">
            <v xml:space="preserve">M2    </v>
          </cell>
          <cell r="D3365" t="str">
            <v>CR</v>
          </cell>
          <cell r="E3365" t="str">
            <v>48,35</v>
          </cell>
        </row>
        <row r="3366">
          <cell r="A3366">
            <v>4795</v>
          </cell>
          <cell r="B3366" t="str">
            <v xml:space="preserve">PISO DE BORRACHA PASTILHADO EM PLACAS 50 X 50 CM, E = 15 MM, PARA ARGAMASSA, PRETO                                                                                                                                                                                                                                                                                                                                                                                                                        </v>
          </cell>
          <cell r="C3366" t="str">
            <v xml:space="preserve">M2    </v>
          </cell>
          <cell r="D3366" t="str">
            <v>CR</v>
          </cell>
          <cell r="E3366" t="str">
            <v>281,78</v>
          </cell>
        </row>
        <row r="3367">
          <cell r="A3367">
            <v>39694</v>
          </cell>
          <cell r="B3367" t="str">
            <v xml:space="preserve">PISO ELEVADO COM 2 PLACAS DE ACO COM ENCHIMENTO DE CONCRETO CELULAR, INCLUSO BASE/HASTE/CRUZETAS, 60 X 60 CM, H = *28* CM, RESISTENCIA CARGA CONCENTRADA 496 KG (COM COLOCACAO)                                                                                                                                                                                                                                                                                                                           </v>
          </cell>
          <cell r="C3367" t="str">
            <v xml:space="preserve">M2    </v>
          </cell>
          <cell r="D3367" t="str">
            <v>CR</v>
          </cell>
          <cell r="E3367" t="str">
            <v>392,67</v>
          </cell>
        </row>
        <row r="3368">
          <cell r="A3368">
            <v>1292</v>
          </cell>
          <cell r="B3368" t="str">
            <v xml:space="preserve">PISO EM CERAMICA ESMALTADA EXTRA, COR LISA, PEI MAIOR OU IGUAL A 4, FORMATO MAIOR QUE 2025 CM2                                                                                                                                                                                                                                                                                                                                                                                                            </v>
          </cell>
          <cell r="C3368" t="str">
            <v xml:space="preserve">M2    </v>
          </cell>
          <cell r="D3368" t="str">
            <v>CR</v>
          </cell>
          <cell r="E3368" t="str">
            <v>79,48</v>
          </cell>
        </row>
        <row r="3369">
          <cell r="A3369">
            <v>1287</v>
          </cell>
          <cell r="B3369" t="str">
            <v xml:space="preserve">PISO EM CERAMICA ESMALTADA EXTRA, COR LISA, PEI MAIOR OU IGUAL A 4, FORMATO MENOR OU IGUAL A 2025 CM2                                                                                                                                                                                                                                                                                                                                                                                                     </v>
          </cell>
          <cell r="C3369" t="str">
            <v xml:space="preserve">M2    </v>
          </cell>
          <cell r="D3369" t="str">
            <v xml:space="preserve">C </v>
          </cell>
          <cell r="E3369" t="str">
            <v>38,99</v>
          </cell>
        </row>
        <row r="3370">
          <cell r="A3370">
            <v>1297</v>
          </cell>
          <cell r="B3370" t="str">
            <v xml:space="preserve">PISO EM CERAMICA ESMALTADA, COMERCIAL (PADRAO POPULAR), COR LISA, PEI MAIOR OU IGUAL A 3, FORMATO MENOR OU IGUAL A 2025 CM2                                                                                                                                                                                                                                                                                                                                                                               </v>
          </cell>
          <cell r="C3370" t="str">
            <v xml:space="preserve">M2    </v>
          </cell>
          <cell r="D3370" t="str">
            <v>CR</v>
          </cell>
          <cell r="E3370" t="str">
            <v>32,34</v>
          </cell>
        </row>
        <row r="3371">
          <cell r="A3371">
            <v>4786</v>
          </cell>
          <cell r="B3371" t="str">
            <v xml:space="preserve">PISO EM GRANILITE, MARMORITE OU GRANITINA, AGREGADO COR PRETO, CINZA, PALHA OU BRANCO, E=  *8* MM (INCLUSO EXECUCAO)                                                                                                                                                                                                                                                                                                                                                                                      </v>
          </cell>
          <cell r="C3371" t="str">
            <v xml:space="preserve">M2    </v>
          </cell>
          <cell r="D3371" t="str">
            <v xml:space="preserve">C </v>
          </cell>
          <cell r="E3371" t="str">
            <v>120,00</v>
          </cell>
        </row>
        <row r="3372">
          <cell r="A3372">
            <v>10840</v>
          </cell>
          <cell r="B3372" t="str">
            <v xml:space="preserve">PISO EM GRANITO, POLIDO, TIPO AMENDOA/ AMARELO CAPRI/ AMARELO DOURADO CARIOCA OU OUTROS EQUIVALENTES DA REGIAO, FORMATO MENOR OU IGUAL A 3025 CM2, E=  *2* CM                                                                                                                                                                                                                                                                                                                                             </v>
          </cell>
          <cell r="C3372" t="str">
            <v xml:space="preserve">M2    </v>
          </cell>
          <cell r="D3372" t="str">
            <v xml:space="preserve">C </v>
          </cell>
          <cell r="E3372" t="str">
            <v>452,50</v>
          </cell>
        </row>
        <row r="3373">
          <cell r="A3373">
            <v>10841</v>
          </cell>
          <cell r="B3373" t="str">
            <v xml:space="preserve">PISO EM GRANITO, POLIDO, TIPO ANDORINHA/ QUARTZ/ CASTELO/ CORUMBA OU OUTROS EQUIVALENTES DA REGIAO, FORMATO MENOR OU IGUAL A 3025 CM2, E=  *2* CM                                                                                                                                                                                                                                                                                                                                                         </v>
          </cell>
          <cell r="C3373" t="str">
            <v xml:space="preserve">M2    </v>
          </cell>
          <cell r="D3373" t="str">
            <v>CR</v>
          </cell>
          <cell r="E3373" t="str">
            <v>341,50</v>
          </cell>
        </row>
        <row r="3374">
          <cell r="A3374">
            <v>44540</v>
          </cell>
          <cell r="B3374" t="str">
            <v xml:space="preserve">PISO EM GRANITO, POLIDO, TIPO MARFIM, DALLAS, CARAVELAS OU OUTROS EQUIVALENTES DA REGIAO, FORMATO MENOR OU IGUAL A 3025 CM2, E=  *2*CM                                                                                                                                                                                                                                                                                                                                                                    </v>
          </cell>
          <cell r="C3374" t="str">
            <v xml:space="preserve">M2    </v>
          </cell>
          <cell r="D3374" t="str">
            <v>CR</v>
          </cell>
          <cell r="E3374" t="str">
            <v>436,37</v>
          </cell>
        </row>
        <row r="3375">
          <cell r="A3375">
            <v>10842</v>
          </cell>
          <cell r="B3375" t="str">
            <v xml:space="preserve">PISO EM GRANITO, POLIDO, TIPO PRETO SAO GABRIEL/ TIJUCA OU OUTROS EQUIVALENTES DA REGIAO, FORMATO MENOR OU IGUAL A 3025 CM2, E=  *2* CM                                                                                                                                                                                                                                                                                                                                                                   </v>
          </cell>
          <cell r="C3375" t="str">
            <v xml:space="preserve">M2    </v>
          </cell>
          <cell r="D3375" t="str">
            <v>CR</v>
          </cell>
          <cell r="E3375" t="str">
            <v>493,29</v>
          </cell>
        </row>
        <row r="3376">
          <cell r="A3376">
            <v>21108</v>
          </cell>
          <cell r="B3376" t="str">
            <v xml:space="preserve">PISO EM PORCELANATO RETIFICADO EXTRA, LISO, MONOCOLOR, ACETINADO OU POLIDO, FORMATO MENOR OU IGUAL A 2025 CM2                                                                                                                                                                                                                                                                                                                                                                                             </v>
          </cell>
          <cell r="C3376" t="str">
            <v xml:space="preserve">M2    </v>
          </cell>
          <cell r="D3376" t="str">
            <v>CR</v>
          </cell>
          <cell r="E3376" t="str">
            <v>105,93</v>
          </cell>
        </row>
        <row r="3377">
          <cell r="A3377">
            <v>38195</v>
          </cell>
          <cell r="B3377" t="str">
            <v xml:space="preserve">PISO EM PORCELANATO, BORDA RETA, EXTRA, LISO, MONOCOLOR, ACETINADO OU POLIDO, FORMATO MAIOR QUE 2025 CM2                                                                                                                                                                                                                                                                                                                                                                                                  </v>
          </cell>
          <cell r="C3377" t="str">
            <v xml:space="preserve">M2    </v>
          </cell>
          <cell r="D3377" t="str">
            <v>CR</v>
          </cell>
          <cell r="E3377" t="str">
            <v>125,11</v>
          </cell>
        </row>
        <row r="3378">
          <cell r="A3378">
            <v>38180</v>
          </cell>
          <cell r="B3378" t="str">
            <v xml:space="preserve">PISO EM REGUA VINILICA SEMIFLEXIVEL, ENCAIXE CLICADO, E = 4 MM (SEM COLOCACAO)                                                                                                                                                                                                                                                                                                                                                                                                                            </v>
          </cell>
          <cell r="C3378" t="str">
            <v xml:space="preserve">M2    </v>
          </cell>
          <cell r="D3378" t="str">
            <v>CR</v>
          </cell>
          <cell r="E3378" t="str">
            <v>141,55</v>
          </cell>
        </row>
        <row r="3379">
          <cell r="A3379">
            <v>40648</v>
          </cell>
          <cell r="B3379" t="str">
            <v xml:space="preserve">PISO EPOXI AUTONIVELANTE, ESPESSURA *4* MM (INCLUSO EXECUCAO)                                                                                                                                                                                                                                                                                                                                                                                                                                             </v>
          </cell>
          <cell r="C3379" t="str">
            <v xml:space="preserve">M2    </v>
          </cell>
          <cell r="D3379" t="str">
            <v>CR</v>
          </cell>
          <cell r="E3379" t="str">
            <v>230,40</v>
          </cell>
        </row>
        <row r="3380">
          <cell r="A3380">
            <v>40649</v>
          </cell>
          <cell r="B3380" t="str">
            <v xml:space="preserve">PISO EPOXI MULTILAYER, ESPESSURA *2* MM (INCLUSO EXECUCAO)                                                                                                                                                                                                                                                                                                                                                                                                                                                </v>
          </cell>
          <cell r="C3380" t="str">
            <v xml:space="preserve">M2    </v>
          </cell>
          <cell r="D3380" t="str">
            <v>CR</v>
          </cell>
          <cell r="E3380" t="str">
            <v>134,20</v>
          </cell>
        </row>
        <row r="3381">
          <cell r="A3381">
            <v>40650</v>
          </cell>
          <cell r="B3381" t="str">
            <v xml:space="preserve">PISO FULGET (GRANITO LAVADO) EM PLACAS DE *40 X 40* CM, E = 2,0 CM (SEM COLOCACAO)                                                                                                                                                                                                                                                                                                                                                                                                                        </v>
          </cell>
          <cell r="C3381" t="str">
            <v xml:space="preserve">M2    </v>
          </cell>
          <cell r="D3381" t="str">
            <v>CR</v>
          </cell>
          <cell r="E3381" t="str">
            <v>172,80</v>
          </cell>
        </row>
        <row r="3382">
          <cell r="A3382">
            <v>40651</v>
          </cell>
          <cell r="B3382" t="str">
            <v xml:space="preserve">PISO FULGET (GRANITO LAVADO) EM PLACAS DE *75 X 75* CM, E = 2,0 CM (SEM COLOCACAO)                                                                                                                                                                                                                                                                                                                                                                                                                        </v>
          </cell>
          <cell r="C3382" t="str">
            <v xml:space="preserve">M2    </v>
          </cell>
          <cell r="D3382" t="str">
            <v>CR</v>
          </cell>
          <cell r="E3382" t="str">
            <v>318,72</v>
          </cell>
        </row>
        <row r="3383">
          <cell r="A3383">
            <v>40652</v>
          </cell>
          <cell r="B3383" t="str">
            <v xml:space="preserve">PISO FULGET (GRANITO LAVADO) MOLDADO IN LOCO (INCLUSO EXECUCAO)                                                                                                                                                                                                                                                                                                                                                                                                                                           </v>
          </cell>
          <cell r="C3383" t="str">
            <v xml:space="preserve">M2    </v>
          </cell>
          <cell r="D3383" t="str">
            <v>CR</v>
          </cell>
          <cell r="E3383" t="str">
            <v>170,88</v>
          </cell>
        </row>
        <row r="3384">
          <cell r="A3384">
            <v>40647</v>
          </cell>
          <cell r="B3384" t="str">
            <v xml:space="preserve">PISO INDUSTRIAL EM CONCRETO ARMADO DE ACABAMENTO POLIDO, ESPESSURA 12 CM (CIMENTO QUEIMADO) (INCLUSO EXECUCAO)                                                                                                                                                                                                                                                                                                                                                                                            </v>
          </cell>
          <cell r="C3384" t="str">
            <v xml:space="preserve">M2    </v>
          </cell>
          <cell r="D3384" t="str">
            <v>CR</v>
          </cell>
          <cell r="E3384" t="str">
            <v>188,16</v>
          </cell>
        </row>
        <row r="3385">
          <cell r="A3385">
            <v>40653</v>
          </cell>
          <cell r="B3385" t="str">
            <v xml:space="preserve">PISO KORODUR (INCLUSO EXECUCAO)                                                                                                                                                                                                                                                                                                                                                                                                                                                                           </v>
          </cell>
          <cell r="C3385" t="str">
            <v xml:space="preserve">M2    </v>
          </cell>
          <cell r="D3385" t="str">
            <v>CR</v>
          </cell>
          <cell r="E3385" t="str">
            <v>144,00</v>
          </cell>
        </row>
        <row r="3386">
          <cell r="A3386">
            <v>36178</v>
          </cell>
          <cell r="B3386" t="str">
            <v xml:space="preserve">PISO PODOTATIL DE CONCRETO - DIRECIONAL E ALERTA, *40 X 40 X 2,5* CM                                                                                                                                                                                                                                                                                                                                                                                                                                      </v>
          </cell>
          <cell r="C3386" t="str">
            <v xml:space="preserve">UN    </v>
          </cell>
          <cell r="D3386" t="str">
            <v>CR</v>
          </cell>
          <cell r="E3386" t="str">
            <v>17,60</v>
          </cell>
        </row>
        <row r="3387">
          <cell r="A3387">
            <v>38181</v>
          </cell>
          <cell r="B3387" t="str">
            <v xml:space="preserve">PISO TATIL ALERTA OU DIRECIONAL, DE BORRACHA, COLORIDO, 25 X 25 CM, E = 5 MM, PARA COLA                                                                                                                                                                                                                                                                                                                                                                                                                   </v>
          </cell>
          <cell r="C3387" t="str">
            <v xml:space="preserve">M2    </v>
          </cell>
          <cell r="D3387" t="str">
            <v>CR</v>
          </cell>
          <cell r="E3387" t="str">
            <v>193,24</v>
          </cell>
        </row>
        <row r="3388">
          <cell r="A3388">
            <v>38182</v>
          </cell>
          <cell r="B3388" t="str">
            <v xml:space="preserve">PISO TATIL DE ALERTA OU DIRECIONAL DE BORRACHA, PRETO, 25 X 25 CM, E = 5 MM, PARA COLA                                                                                                                                                                                                                                                                                                                                                                                                                    </v>
          </cell>
          <cell r="C3388" t="str">
            <v xml:space="preserve">M2    </v>
          </cell>
          <cell r="D3388" t="str">
            <v>CR</v>
          </cell>
          <cell r="E3388" t="str">
            <v>184,07</v>
          </cell>
        </row>
        <row r="3389">
          <cell r="A3389">
            <v>38186</v>
          </cell>
          <cell r="B3389" t="str">
            <v xml:space="preserve">PISO TATIL DE ALERTA OU DIRECIONAL, DE BORRACHA, COLORIDO, 25 X 25 CM, E = 12 MM, PARA ARGAMASSA                                                                                                                                                                                                                                                                                                                                                                                                          </v>
          </cell>
          <cell r="C3389" t="str">
            <v xml:space="preserve">M2    </v>
          </cell>
          <cell r="D3389" t="str">
            <v>CR</v>
          </cell>
          <cell r="E3389" t="str">
            <v>478,47</v>
          </cell>
        </row>
        <row r="3390">
          <cell r="A3390">
            <v>38185</v>
          </cell>
          <cell r="B3390" t="str">
            <v xml:space="preserve">PISO TATIL DE ALERTA OU DIRECIONAL, DE BORRACHA, PRETO, 25 X 25 CM, E = 12 MM, PARA ARGAMASSA                                                                                                                                                                                                                                                                                                                                                                                                             </v>
          </cell>
          <cell r="C3390" t="str">
            <v xml:space="preserve">M2    </v>
          </cell>
          <cell r="D3390" t="str">
            <v>CR</v>
          </cell>
          <cell r="E3390" t="str">
            <v>426,00</v>
          </cell>
        </row>
        <row r="3391">
          <cell r="A3391">
            <v>40654</v>
          </cell>
          <cell r="B3391" t="str">
            <v xml:space="preserve">PISO URETANO, VERSAO REVESTIMENTO AUTONIVELANTE, ESPESSURA VARIÁVEL DE 3 A 4 MM (INCLUSO EXECUCAO)                                                                                                                                                                                                                                                                                                                                                                                                        </v>
          </cell>
          <cell r="C3391" t="str">
            <v xml:space="preserve">M2    </v>
          </cell>
          <cell r="D3391" t="str">
            <v>CR</v>
          </cell>
          <cell r="E3391" t="str">
            <v>223,68</v>
          </cell>
        </row>
        <row r="3392">
          <cell r="A3392">
            <v>44541</v>
          </cell>
          <cell r="B3392" t="str">
            <v xml:space="preserve">PISO/ REVESTIMENTO EM GRANITO, POLIDO, TIPO ANDORINHA/ QUARTZ/ CASTELO/ CORUMBA OU OUTROS EQUIVALENTES DA REGIAO, FORMATO MAIOR OU IGUAL A 3025 CM2, E = *2*CM                                                                                                                                                                                                                                                                                                                                            </v>
          </cell>
          <cell r="C3392" t="str">
            <v xml:space="preserve">M2    </v>
          </cell>
          <cell r="D3392" t="str">
            <v>CR</v>
          </cell>
          <cell r="E3392" t="str">
            <v>360,48</v>
          </cell>
        </row>
        <row r="3393">
          <cell r="A3393">
            <v>4822</v>
          </cell>
          <cell r="B3393" t="str">
            <v xml:space="preserve">PISO/ REVESTIMENTO EM MARMORE, POLIDO, BRANCO COMUM, FORMATO MAIOR OU IGUAL A 3025 CM2, E = *2* CM                                                                                                                                                                                                                                                                                                                                                                                                        </v>
          </cell>
          <cell r="C3393" t="str">
            <v xml:space="preserve">M2    </v>
          </cell>
          <cell r="D3393" t="str">
            <v>CR</v>
          </cell>
          <cell r="E3393" t="str">
            <v>520,38</v>
          </cell>
        </row>
        <row r="3394">
          <cell r="A3394">
            <v>4818</v>
          </cell>
          <cell r="B3394" t="str">
            <v xml:space="preserve">PISO/ REVESTIMENTO EM MARMORE, POLIDO, BRANCO COMUM, FORMATO MENOR OU IGUAL A 3025 CM2, E = *2* CM                                                                                                                                                                                                                                                                                                                                                                                                        </v>
          </cell>
          <cell r="C3394" t="str">
            <v xml:space="preserve">M2    </v>
          </cell>
          <cell r="D3394" t="str">
            <v xml:space="preserve">C </v>
          </cell>
          <cell r="E3394" t="str">
            <v>534,88</v>
          </cell>
        </row>
        <row r="3395">
          <cell r="A3395">
            <v>39567</v>
          </cell>
          <cell r="B3395" t="str">
            <v xml:space="preserve">PLACA / CHAPA DE GESSO ACARTONADO, ACABAMENTO VINILICO LISO EM UMA DAS FACES, COR BRANCA, BORDA QUADRADA, E = 9,5 MM, *625 X 1250* MM (L X C), PARA FORRO REMOVIVEL                                                                                                                                                                                                                                                                                                                                       </v>
          </cell>
          <cell r="C3395" t="str">
            <v xml:space="preserve">M2    </v>
          </cell>
          <cell r="D3395" t="str">
            <v>CR</v>
          </cell>
          <cell r="E3395" t="str">
            <v>39,68</v>
          </cell>
        </row>
        <row r="3396">
          <cell r="A3396">
            <v>39566</v>
          </cell>
          <cell r="B3396" t="str">
            <v xml:space="preserve">PLACA / CHAPA DE GESSO ACARTONADO, ACABAMENTO VINILICO LISO EM UMA DAS FACES, COR BRANCA, BORDA QUADRADA, E = 9,5 MM, *625 X 625* MM (L X C), PARA FORRO REMOVIVEL                                                                                                                                                                                                                                                                                                                                        </v>
          </cell>
          <cell r="C3396" t="str">
            <v xml:space="preserve">M2    </v>
          </cell>
          <cell r="D3396" t="str">
            <v>CR</v>
          </cell>
          <cell r="E3396" t="str">
            <v>42,00</v>
          </cell>
        </row>
        <row r="3397">
          <cell r="A3397">
            <v>39416</v>
          </cell>
          <cell r="B3397" t="str">
            <v xml:space="preserve">PLACA / CHAPA DE GESSO ACARTONADO, RESISTENTE A UMIDADE (RU), COR VERDE, E = 12,5 MM, 1200 X 1800 MM (L X C)                                                                                                                                                                                                                                                                                                                                                                                              </v>
          </cell>
          <cell r="C3397" t="str">
            <v xml:space="preserve">M2    </v>
          </cell>
          <cell r="D3397" t="str">
            <v>CR</v>
          </cell>
          <cell r="E3397" t="str">
            <v>25,59</v>
          </cell>
        </row>
        <row r="3398">
          <cell r="A3398">
            <v>39417</v>
          </cell>
          <cell r="B3398" t="str">
            <v xml:space="preserve">PLACA / CHAPA DE GESSO ACARTONADO, RESISTENTE A UMIDADE (RU), COR VERDE, E = 12,5 MM, 1200 X 2400 MM (L X C)                                                                                                                                                                                                                                                                                                                                                                                              </v>
          </cell>
          <cell r="C3398" t="str">
            <v xml:space="preserve">M2    </v>
          </cell>
          <cell r="D3398" t="str">
            <v>CR</v>
          </cell>
          <cell r="E3398" t="str">
            <v>24,96</v>
          </cell>
        </row>
        <row r="3399">
          <cell r="A3399">
            <v>43742</v>
          </cell>
          <cell r="B3399" t="str">
            <v xml:space="preserve">PLACA / CHAPA DE GESSO ACARTONADO, RESISTENTE A UMIDADE (RU), COR VERDE, E = 15 MM, 1200 X 2400 MM (L X C)                                                                                                                                                                                                                                                                                                                                                                                                </v>
          </cell>
          <cell r="C3399" t="str">
            <v xml:space="preserve">M2    </v>
          </cell>
          <cell r="D3399" t="str">
            <v>CR</v>
          </cell>
          <cell r="E3399" t="str">
            <v>26,93</v>
          </cell>
        </row>
        <row r="3400">
          <cell r="A3400">
            <v>39414</v>
          </cell>
          <cell r="B3400" t="str">
            <v xml:space="preserve">PLACA / CHAPA DE GESSO ACARTONADO, RESISTENTE AO FOGO (RF), COR ROSA, E = 12,5 MM, 1200 X 1800 MM (L X C)                                                                                                                                                                                                                                                                                                                                                                                                 </v>
          </cell>
          <cell r="C3400" t="str">
            <v xml:space="preserve">M2    </v>
          </cell>
          <cell r="D3400" t="str">
            <v>CR</v>
          </cell>
          <cell r="E3400" t="str">
            <v>24,24</v>
          </cell>
        </row>
        <row r="3401">
          <cell r="A3401">
            <v>39415</v>
          </cell>
          <cell r="B3401" t="str">
            <v xml:space="preserve">PLACA / CHAPA DE GESSO ACARTONADO, RESISTENTE AO FOGO (RF), COR ROSA, E = 12,5 MM, 1200 X 2400 MM (L X C)                                                                                                                                                                                                                                                                                                                                                                                                 </v>
          </cell>
          <cell r="C3401" t="str">
            <v xml:space="preserve">M2    </v>
          </cell>
          <cell r="D3401" t="str">
            <v>CR</v>
          </cell>
          <cell r="E3401" t="str">
            <v>20,89</v>
          </cell>
        </row>
        <row r="3402">
          <cell r="A3402">
            <v>43740</v>
          </cell>
          <cell r="B3402" t="str">
            <v xml:space="preserve">PLACA / CHAPA DE GESSO ACARTONADO, RESISTENTE AO FOGO (RF), COR ROSA, E = 15 MM, 1200 X 2400 MM (L X C)                                                                                                                                                                                                                                                                                                                                                                                                   </v>
          </cell>
          <cell r="C3402" t="str">
            <v xml:space="preserve">M2    </v>
          </cell>
          <cell r="D3402" t="str">
            <v>CR</v>
          </cell>
          <cell r="E3402" t="str">
            <v>25,52</v>
          </cell>
        </row>
        <row r="3403">
          <cell r="A3403">
            <v>39412</v>
          </cell>
          <cell r="B3403" t="str">
            <v xml:space="preserve">PLACA / CHAPA DE GESSO ACARTONADO, STANDARD (ST), COR BRANCA, E = 12,5 MM, 1200 X 1800 MM (L X C)                                                                                                                                                                                                                                                                                                                                                                                                         </v>
          </cell>
          <cell r="C3403" t="str">
            <v xml:space="preserve">M2    </v>
          </cell>
          <cell r="D3403" t="str">
            <v xml:space="preserve">C </v>
          </cell>
          <cell r="E3403" t="str">
            <v>17,50</v>
          </cell>
        </row>
        <row r="3404">
          <cell r="A3404">
            <v>39413</v>
          </cell>
          <cell r="B3404" t="str">
            <v xml:space="preserve">PLACA / CHAPA DE GESSO ACARTONADO, STANDARD (ST), COR BRANCA, E = 12,5 MM, 1200 X 2400 MM (L X C)                                                                                                                                                                                                                                                                                                                                                                                                         </v>
          </cell>
          <cell r="C3404" t="str">
            <v xml:space="preserve">M2    </v>
          </cell>
          <cell r="D3404" t="str">
            <v>CR</v>
          </cell>
          <cell r="E3404" t="str">
            <v>18,92</v>
          </cell>
        </row>
        <row r="3405">
          <cell r="A3405">
            <v>43741</v>
          </cell>
          <cell r="B3405" t="str">
            <v xml:space="preserve">PLACA / CHAPA DE GESSO ACARTONADO, STANDARD (ST), COR BRANCA, E = 15 MM, 1200 X 2400 MM (L X C)                                                                                                                                                                                                                                                                                                                                                                                                           </v>
          </cell>
          <cell r="C3405" t="str">
            <v xml:space="preserve">M2    </v>
          </cell>
          <cell r="D3405" t="str">
            <v>CR</v>
          </cell>
          <cell r="E3405" t="str">
            <v>20,17</v>
          </cell>
        </row>
        <row r="3406">
          <cell r="A3406">
            <v>11062</v>
          </cell>
          <cell r="B3406" t="str">
            <v xml:space="preserve">PLACA CIMENTICIA LISA E = 10 MM, DE 1,20 X *2,50* M (SEM AMIANTO)                                                                                                                                                                                                                                                                                                                                                                                                                                         </v>
          </cell>
          <cell r="C3406" t="str">
            <v xml:space="preserve">M2    </v>
          </cell>
          <cell r="D3406" t="str">
            <v>CR</v>
          </cell>
          <cell r="E3406" t="str">
            <v>45,46</v>
          </cell>
        </row>
        <row r="3407">
          <cell r="A3407">
            <v>11063</v>
          </cell>
          <cell r="B3407" t="str">
            <v xml:space="preserve">PLACA CIMENTICIA LISA E = 6 MM, DE 1,20 X *2,50* M (SEM AMIANTO)                                                                                                                                                                                                                                                                                                                                                                                                                                          </v>
          </cell>
          <cell r="C3407" t="str">
            <v xml:space="preserve">M2    </v>
          </cell>
          <cell r="D3407" t="str">
            <v>CR</v>
          </cell>
          <cell r="E3407" t="str">
            <v>27,82</v>
          </cell>
        </row>
        <row r="3408">
          <cell r="A3408">
            <v>13521</v>
          </cell>
          <cell r="B3408" t="str">
            <v xml:space="preserve">PLACA DE ACO ESMALTADA PARA  IDENTIFICACAO DE RUA, *45 CM X 20* CM                                                                                                                                                                                                                                                                                                                                                                                                                                        </v>
          </cell>
          <cell r="C3408" t="str">
            <v xml:space="preserve">UN    </v>
          </cell>
          <cell r="D3408" t="str">
            <v>CR</v>
          </cell>
          <cell r="E3408" t="str">
            <v>82,50</v>
          </cell>
        </row>
        <row r="3409">
          <cell r="A3409">
            <v>10851</v>
          </cell>
          <cell r="B3409" t="str">
            <v xml:space="preserve">PLACA DE ACRILICO TRANSPARENTE ADESIVADA PARA SINALIZACAO DE PORTAS, BORDA POLIDA, DE *25 X 8*, E = 6 MM (NAO INCLUI ACESSORIOS PARA FIXACAO)                                                                                                                                                                                                                                                                                                                                                             </v>
          </cell>
          <cell r="C3409" t="str">
            <v xml:space="preserve">UN    </v>
          </cell>
          <cell r="D3409" t="str">
            <v>CR</v>
          </cell>
          <cell r="E3409" t="str">
            <v>79,34</v>
          </cell>
        </row>
        <row r="3410">
          <cell r="A3410">
            <v>39515</v>
          </cell>
          <cell r="B3410" t="str">
            <v xml:space="preserve">PLACA DE FIBRA MINERAL PARA FORRO, DE 1250 X 625 MM, E = 15 MM, BORDA RETA, COM PINTURA ANTIMOFO (NAO INCLUI PERFIS)                                                                                                                                                                                                                                                                                                                                                                                      </v>
          </cell>
          <cell r="C3410" t="str">
            <v xml:space="preserve">UN    </v>
          </cell>
          <cell r="D3410" t="str">
            <v>CR</v>
          </cell>
          <cell r="E3410" t="str">
            <v>53,65</v>
          </cell>
        </row>
        <row r="3411">
          <cell r="A3411">
            <v>39516</v>
          </cell>
          <cell r="B3411" t="str">
            <v xml:space="preserve">PLACA DE FIBRA MINERAL PARA FORRO, DE 625 X 625 MM, E = 15 MM, BORDA REBAIXADA PARA PERFIL 24 MM, COM PINTURA ANTIMOFO (NAO INCLUI PERFIS)                                                                                                                                                                                                                                                                                                                                                                </v>
          </cell>
          <cell r="C3411" t="str">
            <v xml:space="preserve">UN    </v>
          </cell>
          <cell r="D3411" t="str">
            <v>CR</v>
          </cell>
          <cell r="E3411" t="str">
            <v>45,23</v>
          </cell>
        </row>
        <row r="3412">
          <cell r="A3412">
            <v>39514</v>
          </cell>
          <cell r="B3412" t="str">
            <v xml:space="preserve">PLACA DE FIBRA MINERAL PARA FORRO, DE 625 X 625 MM, E = 15 MM, BORDA RETA, COM PINTURA ANTIMOFO (NAO INCLUI PERFIS)                                                                                                                                                                                                                                                                                                                                                                                       </v>
          </cell>
          <cell r="C3412" t="str">
            <v xml:space="preserve">UN    </v>
          </cell>
          <cell r="D3412" t="str">
            <v xml:space="preserve">C </v>
          </cell>
          <cell r="E3412" t="str">
            <v>28,14</v>
          </cell>
        </row>
        <row r="3413">
          <cell r="A3413">
            <v>4812</v>
          </cell>
          <cell r="B3413" t="str">
            <v xml:space="preserve">PLACA DE GESSO PARA FORRO, *60 X 60* CM, ESPESSURA DE 12 MM (SEM COLOCACAO)                                                                                                                                                                                                                                                                                                                                                                                                                               </v>
          </cell>
          <cell r="C3413" t="str">
            <v xml:space="preserve">M2    </v>
          </cell>
          <cell r="D3413" t="str">
            <v>CR</v>
          </cell>
          <cell r="E3413" t="str">
            <v>10,50</v>
          </cell>
        </row>
        <row r="3414">
          <cell r="A3414">
            <v>10849</v>
          </cell>
          <cell r="B3414" t="str">
            <v xml:space="preserve">PLACA DE INAUGURACAO EM BRONZE *35X 50*CM                                                                                                                                                                                                                                                                                                                                                                                                                                                                 </v>
          </cell>
          <cell r="C3414" t="str">
            <v xml:space="preserve">UN    </v>
          </cell>
          <cell r="D3414" t="str">
            <v>CR</v>
          </cell>
          <cell r="E3414" t="str">
            <v>1.200,01</v>
          </cell>
        </row>
        <row r="3415">
          <cell r="A3415">
            <v>10848</v>
          </cell>
          <cell r="B3415" t="str">
            <v xml:space="preserve">PLACA DE INAUGURACAO METALICA, *40* CM X *60* CM                                                                                                                                                                                                                                                                                                                                                                                                                                                          </v>
          </cell>
          <cell r="C3415" t="str">
            <v xml:space="preserve">UN    </v>
          </cell>
          <cell r="D3415" t="str">
            <v>CR</v>
          </cell>
          <cell r="E3415" t="str">
            <v>753,75</v>
          </cell>
        </row>
        <row r="3416">
          <cell r="A3416">
            <v>4813</v>
          </cell>
          <cell r="B3416" t="str">
            <v xml:space="preserve">PLACA DE OBRA (PARA CONSTRUCAO CIVIL) EM CHAPA GALVANIZADA *N. 22*, ADESIVADA, DE *2,4 X 1,2* M (SEM POSTES PARA FIXACAO)                                                                                                                                                                                                                                                                                                                                                                                 </v>
          </cell>
          <cell r="C3416" t="str">
            <v xml:space="preserve">M2    </v>
          </cell>
          <cell r="D3416" t="str">
            <v xml:space="preserve">C </v>
          </cell>
          <cell r="E3416" t="str">
            <v>250,00</v>
          </cell>
        </row>
        <row r="3417">
          <cell r="A3417">
            <v>37560</v>
          </cell>
          <cell r="B3417" t="str">
            <v xml:space="preserve">PLACA DE SINALIZACAO DE SEGURANCA CONTRA INCENDIO - ALERTA, TRIANGULAR, BASE DE *30* CM, EM PVC *2* MM ANTI-CHAMAS (SIMBOLOS, CORES E PICTOGRAMAS CONFORME NBR 16820)                                                                                                                                                                                                                                                                                                                                     </v>
          </cell>
          <cell r="C3417" t="str">
            <v xml:space="preserve">UN    </v>
          </cell>
          <cell r="D3417" t="str">
            <v>CR</v>
          </cell>
          <cell r="E3417" t="str">
            <v>35,24</v>
          </cell>
        </row>
        <row r="3418">
          <cell r="A3418">
            <v>37557</v>
          </cell>
          <cell r="B3418" t="str">
            <v xml:space="preserve">PLACA DE SINALIZACAO DE SEGURANCA CONTRA INCENDIO, FOTOLUMINESCENTE, QUADRADA, *14 X 14* CM, EM PVC *2* MM ANTI-CHAMAS (SIMBOLOS, CORES E PICTOGRAMAS CONFORME NBR 16820)                                                                                                                                                                                                                                                                                                                                 </v>
          </cell>
          <cell r="C3418" t="str">
            <v xml:space="preserve">UN    </v>
          </cell>
          <cell r="D3418" t="str">
            <v>CR</v>
          </cell>
          <cell r="E3418" t="str">
            <v>10,70</v>
          </cell>
        </row>
        <row r="3419">
          <cell r="A3419">
            <v>37556</v>
          </cell>
          <cell r="B3419" t="str">
            <v xml:space="preserve">PLACA DE SINALIZACAO DE SEGURANCA CONTRA INCENDIO, FOTOLUMINESCENTE, QUADRADA, *20 X 20* CM, EM PVC *2* MM ANTI-CHAMAS (SIMBOLOS, CORES E PICTOGRAMAS CONFORME NBR 16820)                                                                                                                                                                                                                                                                                                                                 </v>
          </cell>
          <cell r="C3419" t="str">
            <v xml:space="preserve">UN    </v>
          </cell>
          <cell r="D3419" t="str">
            <v>CR</v>
          </cell>
          <cell r="E3419" t="str">
            <v>20,70</v>
          </cell>
        </row>
        <row r="3420">
          <cell r="A3420">
            <v>37559</v>
          </cell>
          <cell r="B3420" t="str">
            <v xml:space="preserve">PLACA DE SINALIZACAO DE SEGURANCA CONTRA INCENDIO, FOTOLUMINESCENTE, RETANGULAR, *12 X 40* CM, EM PVC *2* MM ANTI-CHAMAS (SIMBOLOS, CORES E PICTOGRAMAS CONFORME NBR 16820)                                                                                                                                                                                                                                                                                                                               </v>
          </cell>
          <cell r="C3420" t="str">
            <v xml:space="preserve">UN    </v>
          </cell>
          <cell r="D3420" t="str">
            <v>CR</v>
          </cell>
          <cell r="E3420" t="str">
            <v>25,39</v>
          </cell>
        </row>
        <row r="3421">
          <cell r="A3421">
            <v>37539</v>
          </cell>
          <cell r="B3421" t="str">
            <v xml:space="preserve">PLACA DE SINALIZACAO DE SEGURANCA CONTRA INCENDIO, FOTOLUMINESCENTE, RETANGULAR, *13 X 26* CM, EM PVC *2* MM ANTI-CHAMAS (SIMBOLOS, CORES E PICTOGRAMAS CONFORME NBR 16820)                                                                                                                                                                                                                                                                                                                               </v>
          </cell>
          <cell r="C3421" t="str">
            <v xml:space="preserve">UN    </v>
          </cell>
          <cell r="D3421" t="str">
            <v xml:space="preserve">C </v>
          </cell>
          <cell r="E3421" t="str">
            <v>17,90</v>
          </cell>
        </row>
        <row r="3422">
          <cell r="A3422">
            <v>37558</v>
          </cell>
          <cell r="B3422" t="str">
            <v xml:space="preserve">PLACA DE SINALIZACAO DE SEGURANCA CONTRA INCENDIO, FOTOLUMINESCENTE, RETANGULAR, *20 X 40* CM, EM PVC *2* MM ANTI-CHAMAS (SIMBOLOS, CORES E PICTOGRAMAS CONFORME NBR 16820)                                                                                                                                                                                                                                                                                                                               </v>
          </cell>
          <cell r="C3422" t="str">
            <v xml:space="preserve">UN    </v>
          </cell>
          <cell r="D3422" t="str">
            <v>CR</v>
          </cell>
          <cell r="E3422" t="str">
            <v>33,37</v>
          </cell>
        </row>
        <row r="3423">
          <cell r="A3423">
            <v>34723</v>
          </cell>
          <cell r="B3423" t="str">
            <v xml:space="preserve">PLACA DE SINALIZACAO EM CHAPA DE ACO NUM 16 COM PINTURA REFLETIVA                                                                                                                                                                                                                                                                                                                                                                                                                                         </v>
          </cell>
          <cell r="C3423" t="str">
            <v xml:space="preserve">M2    </v>
          </cell>
          <cell r="D3423" t="str">
            <v>CR</v>
          </cell>
          <cell r="E3423" t="str">
            <v>577,50</v>
          </cell>
        </row>
        <row r="3424">
          <cell r="A3424">
            <v>34721</v>
          </cell>
          <cell r="B3424" t="str">
            <v xml:space="preserve">PLACA DE SINALIZACAO EM CHAPA DE ALUMINIO COM PINTURA REFLETIVA, E = 2 MM                                                                                                                                                                                                                                                                                                                                                                                                                                 </v>
          </cell>
          <cell r="C3424" t="str">
            <v xml:space="preserve">M2    </v>
          </cell>
          <cell r="D3424" t="str">
            <v>CR</v>
          </cell>
          <cell r="E3424" t="str">
            <v>720,00</v>
          </cell>
        </row>
        <row r="3425">
          <cell r="A3425">
            <v>4309</v>
          </cell>
          <cell r="B3425" t="str">
            <v xml:space="preserve">PLACA DE VENTILACAO PARA TELHA DE FIBROCIMENTO CANALETE 49 KALHETA                                                                                                                                                                                                                                                                                                                                                                                                                                        </v>
          </cell>
          <cell r="C3425" t="str">
            <v xml:space="preserve">UN    </v>
          </cell>
          <cell r="D3425" t="str">
            <v>CR</v>
          </cell>
          <cell r="E3425" t="str">
            <v>8,21</v>
          </cell>
        </row>
        <row r="3426">
          <cell r="A3426">
            <v>4307</v>
          </cell>
          <cell r="B3426" t="str">
            <v xml:space="preserve">PLACA DE VENTILACAO PARA TELHA DE FIBROCIMENTO, CANALETE 90 OU KALHETAO                                                                                                                                                                                                                                                                                                                                                                                                                                   </v>
          </cell>
          <cell r="C3426" t="str">
            <v xml:space="preserve">UN    </v>
          </cell>
          <cell r="D3426" t="str">
            <v>CR</v>
          </cell>
          <cell r="E3426" t="str">
            <v>14,04</v>
          </cell>
        </row>
        <row r="3427">
          <cell r="A3427">
            <v>10850</v>
          </cell>
          <cell r="B3427" t="str">
            <v xml:space="preserve">PLACA NUMERACAO RESIDENCIAL EM CHAPA GALVANIZADA ESMALTADA 12 X 18 CM                                                                                                                                                                                                                                                                                                                                                                                                                                     </v>
          </cell>
          <cell r="C3427" t="str">
            <v xml:space="preserve">UN    </v>
          </cell>
          <cell r="D3427" t="str">
            <v>CR</v>
          </cell>
          <cell r="E3427" t="str">
            <v>37,50</v>
          </cell>
        </row>
        <row r="3428">
          <cell r="A3428">
            <v>42438</v>
          </cell>
          <cell r="B3428" t="str">
            <v xml:space="preserve">PLACA ORIENTATIVA SOBRE EXERCICIOS, 2,00 M X 1,00 M ( CHAPA GALVANIZADA #20), ESTRUTURA EM TUBOS REDONDOS DE ACO CARBONO, PINTURA NO PROCESSO ELETROSTATICO, ADESIVO FRENTE E VERSO - PARA ACADEMIA AO AR LIVRE / ACADEMIA DA TERCEIRA IDADE - ATI                                                                                                                                                                                                                                                        </v>
          </cell>
          <cell r="C3428" t="str">
            <v xml:space="preserve">UN    </v>
          </cell>
          <cell r="D3428" t="str">
            <v>CR</v>
          </cell>
          <cell r="E3428" t="str">
            <v>2.090,75</v>
          </cell>
        </row>
        <row r="3429">
          <cell r="A3429">
            <v>4792</v>
          </cell>
          <cell r="B3429" t="str">
            <v xml:space="preserve">PLACA VINILICA SEMIFLEXIVEL PARA PISOS, E = 3,2 MM, 30 X 30 CM (SEM COLOCACAO)                                                                                                                                                                                                                                                                                                                                                                                                                            </v>
          </cell>
          <cell r="C3429" t="str">
            <v xml:space="preserve">M2    </v>
          </cell>
          <cell r="D3429" t="str">
            <v>CR</v>
          </cell>
          <cell r="E3429" t="str">
            <v>135,88</v>
          </cell>
        </row>
        <row r="3430">
          <cell r="A3430">
            <v>4790</v>
          </cell>
          <cell r="B3430" t="str">
            <v xml:space="preserve">PLACA VINILICA SEMIFLEXIVEL PARA REVESTIMENTO DE PISOS E PAREDES, E = 2 MM (SEM COLOCACAO)                                                                                                                                                                                                                                                                                                                                                                                                                </v>
          </cell>
          <cell r="C3430" t="str">
            <v xml:space="preserve">M2    </v>
          </cell>
          <cell r="D3430" t="str">
            <v xml:space="preserve">C </v>
          </cell>
          <cell r="E3430" t="str">
            <v>81,70</v>
          </cell>
        </row>
        <row r="3431">
          <cell r="A3431">
            <v>40671</v>
          </cell>
          <cell r="B3431" t="str">
            <v xml:space="preserve">PLACA/PISO DE CONCRETO POROSO/ PAVIMENTO PERMEAVEL/BLOCO DRENANTE DE CONCRETO, 40 CM X 40 CM, E = 6 CM, COR NATURAL                                                                                                                                                                                                                                                                                                                                                                                       </v>
          </cell>
          <cell r="C3431" t="str">
            <v xml:space="preserve">M2    </v>
          </cell>
          <cell r="D3431" t="str">
            <v>CR</v>
          </cell>
          <cell r="E3431" t="str">
            <v>115,55</v>
          </cell>
        </row>
        <row r="3432">
          <cell r="A3432">
            <v>7552</v>
          </cell>
          <cell r="B3432" t="str">
            <v xml:space="preserve">PLACA/TAMPA CEGA EM LATAO ESCOVADO PARA CONDULETE EM LIGA DE ALUMINIO 4 X 4"                                                                                                                                                                                                                                                                                                                                                                                                                              </v>
          </cell>
          <cell r="C3432" t="str">
            <v xml:space="preserve">UN    </v>
          </cell>
          <cell r="D3432" t="str">
            <v>CR</v>
          </cell>
          <cell r="E3432" t="str">
            <v>24,17</v>
          </cell>
        </row>
        <row r="3433">
          <cell r="A3433">
            <v>4893</v>
          </cell>
          <cell r="B3433" t="str">
            <v xml:space="preserve">PLUG OU BUJAO DE FERRO GALVANIZADO, DE 1 1/2"                                                                                                                                                                                                                                                                                                                                                                                                                                                             </v>
          </cell>
          <cell r="C3433" t="str">
            <v xml:space="preserve">UN    </v>
          </cell>
          <cell r="D3433" t="str">
            <v>CR</v>
          </cell>
          <cell r="E3433" t="str">
            <v>15,74</v>
          </cell>
        </row>
        <row r="3434">
          <cell r="A3434">
            <v>4894</v>
          </cell>
          <cell r="B3434" t="str">
            <v xml:space="preserve">PLUG OU BUJAO DE FERRO GALVANIZADO, DE 1 1/4"                                                                                                                                                                                                                                                                                                                                                                                                                                                             </v>
          </cell>
          <cell r="C3434" t="str">
            <v xml:space="preserve">UN    </v>
          </cell>
          <cell r="D3434" t="str">
            <v>CR</v>
          </cell>
          <cell r="E3434" t="str">
            <v>13,50</v>
          </cell>
        </row>
        <row r="3435">
          <cell r="A3435">
            <v>4888</v>
          </cell>
          <cell r="B3435" t="str">
            <v xml:space="preserve">PLUG OU BUJAO DE FERRO GALVANIZADO, DE 1/2"                                                                                                                                                                                                                                                                                                                                                                                                                                                               </v>
          </cell>
          <cell r="C3435" t="str">
            <v xml:space="preserve">UN    </v>
          </cell>
          <cell r="D3435" t="str">
            <v>CR</v>
          </cell>
          <cell r="E3435" t="str">
            <v>4,60</v>
          </cell>
        </row>
        <row r="3436">
          <cell r="A3436">
            <v>4890</v>
          </cell>
          <cell r="B3436" t="str">
            <v xml:space="preserve">PLUG OU BUJAO DE FERRO GALVANIZADO, DE 1"                                                                                                                                                                                                                                                                                                                                                                                                                                                                 </v>
          </cell>
          <cell r="C3436" t="str">
            <v xml:space="preserve">UN    </v>
          </cell>
          <cell r="D3436" t="str">
            <v>CR</v>
          </cell>
          <cell r="E3436" t="str">
            <v>8,64</v>
          </cell>
        </row>
        <row r="3437">
          <cell r="A3437">
            <v>12411</v>
          </cell>
          <cell r="B3437" t="str">
            <v xml:space="preserve">PLUG OU BUJAO DE FERRO GALVANIZADO, DE 2 1/2"                                                                                                                                                                                                                                                                                                                                                                                                                                                             </v>
          </cell>
          <cell r="C3437" t="str">
            <v xml:space="preserve">UN    </v>
          </cell>
          <cell r="D3437" t="str">
            <v>CR</v>
          </cell>
          <cell r="E3437" t="str">
            <v>46,54</v>
          </cell>
        </row>
        <row r="3438">
          <cell r="A3438">
            <v>4891</v>
          </cell>
          <cell r="B3438" t="str">
            <v xml:space="preserve">PLUG OU BUJAO DE FERRO GALVANIZADO, DE 2"                                                                                                                                                                                                                                                                                                                                                                                                                                                                 </v>
          </cell>
          <cell r="C3438" t="str">
            <v xml:space="preserve">UN    </v>
          </cell>
          <cell r="D3438" t="str">
            <v>CR</v>
          </cell>
          <cell r="E3438" t="str">
            <v>23,27</v>
          </cell>
        </row>
        <row r="3439">
          <cell r="A3439">
            <v>4889</v>
          </cell>
          <cell r="B3439" t="str">
            <v xml:space="preserve">PLUG OU BUJAO DE FERRO GALVANIZADO, DE 3/4"                                                                                                                                                                                                                                                                                                                                                                                                                                                               </v>
          </cell>
          <cell r="C3439" t="str">
            <v xml:space="preserve">UN    </v>
          </cell>
          <cell r="D3439" t="str">
            <v>CR</v>
          </cell>
          <cell r="E3439" t="str">
            <v>6,22</v>
          </cell>
        </row>
        <row r="3440">
          <cell r="A3440">
            <v>4892</v>
          </cell>
          <cell r="B3440" t="str">
            <v xml:space="preserve">PLUG OU BUJAO DE FERRO GALVANIZADO, DE 3"                                                                                                                                                                                                                                                                                                                                                                                                                                                                 </v>
          </cell>
          <cell r="C3440" t="str">
            <v xml:space="preserve">UN    </v>
          </cell>
          <cell r="D3440" t="str">
            <v>CR</v>
          </cell>
          <cell r="E3440" t="str">
            <v>65,17</v>
          </cell>
        </row>
        <row r="3441">
          <cell r="A3441">
            <v>12412</v>
          </cell>
          <cell r="B3441" t="str">
            <v xml:space="preserve">PLUG OU BUJAO DE FERRO GALVANIZADO, DE 4"                                                                                                                                                                                                                                                                                                                                                                                                                                                                 </v>
          </cell>
          <cell r="C3441" t="str">
            <v xml:space="preserve">UN    </v>
          </cell>
          <cell r="D3441" t="str">
            <v>CR</v>
          </cell>
          <cell r="E3441" t="str">
            <v>121,12</v>
          </cell>
        </row>
        <row r="3442">
          <cell r="A3442">
            <v>4907</v>
          </cell>
          <cell r="B3442" t="str">
            <v xml:space="preserve">PLUG PVC, JE, DN 100 MM, PARA REDE COLETORA ESGOTO                                                                                                                                                                                                                                                                                                                                                                                                                                                        </v>
          </cell>
          <cell r="C3442" t="str">
            <v xml:space="preserve">UN    </v>
          </cell>
          <cell r="D3442" t="str">
            <v>CR</v>
          </cell>
          <cell r="E3442" t="str">
            <v>21,00</v>
          </cell>
        </row>
        <row r="3443">
          <cell r="A3443">
            <v>4902</v>
          </cell>
          <cell r="B3443" t="str">
            <v xml:space="preserve">PLUG PVC, JE, DN 150 MM, PARA REDE COLETORA ESGOTO                                                                                                                                                                                                                                                                                                                                                                                                                                                        </v>
          </cell>
          <cell r="C3443" t="str">
            <v xml:space="preserve">UN    </v>
          </cell>
          <cell r="D3443" t="str">
            <v>CR</v>
          </cell>
          <cell r="E3443" t="str">
            <v>54,48</v>
          </cell>
        </row>
        <row r="3444">
          <cell r="A3444">
            <v>11096</v>
          </cell>
          <cell r="B3444" t="str">
            <v xml:space="preserve">PO DE MARMORE (POSTO PEDREIRA/FORNECEDOR, SEM FRETE)                                                                                                                                                                                                                                                                                                                                                                                                                                                      </v>
          </cell>
          <cell r="C3444" t="str">
            <v xml:space="preserve">KG    </v>
          </cell>
          <cell r="D3444" t="str">
            <v>CR</v>
          </cell>
          <cell r="E3444" t="str">
            <v>0,95</v>
          </cell>
        </row>
        <row r="3445">
          <cell r="A3445">
            <v>4741</v>
          </cell>
          <cell r="B3445" t="str">
            <v xml:space="preserve">PO DE PEDRA (POSTO PEDREIRA/FORNECEDOR, SEM FRETE)                                                                                                                                                                                                                                                                                                                                                                                                                                                        </v>
          </cell>
          <cell r="C3445" t="str">
            <v xml:space="preserve">M3    </v>
          </cell>
          <cell r="D3445" t="str">
            <v>CR</v>
          </cell>
          <cell r="E3445" t="str">
            <v>65,77</v>
          </cell>
        </row>
        <row r="3446">
          <cell r="A3446">
            <v>4752</v>
          </cell>
          <cell r="B3446" t="str">
            <v xml:space="preserve">POCEIRO / ESCAVADOR DE VALAS E TUBULOES (HORISTA)                                                                                                                                                                                                                                                                                                                                                                                                                                                         </v>
          </cell>
          <cell r="C3446" t="str">
            <v xml:space="preserve">H     </v>
          </cell>
          <cell r="D3446" t="str">
            <v>CR</v>
          </cell>
          <cell r="E3446" t="str">
            <v>20,47</v>
          </cell>
        </row>
        <row r="3447">
          <cell r="A3447">
            <v>41091</v>
          </cell>
          <cell r="B3447" t="str">
            <v xml:space="preserve">POCEIRO / ESCAVADOR DE VALAS E TUBULOES (MENSALISTA)                                                                                                                                                                                                                                                                                                                                                                                                                                                      </v>
          </cell>
          <cell r="C3447" t="str">
            <v xml:space="preserve">MES   </v>
          </cell>
          <cell r="D3447" t="str">
            <v>CR</v>
          </cell>
          <cell r="E3447" t="str">
            <v>3.585,48</v>
          </cell>
        </row>
        <row r="3448">
          <cell r="A3448">
            <v>13954</v>
          </cell>
          <cell r="B3448" t="str">
            <v xml:space="preserve">POLIDORA DE PISO (POLITRIZ) ELETRICA, MOTOR MONOFASICO DE 4 HP, PESO DE 100 KG, DIAMETRO DO TRABALHO DE 450 MM                                                                                                                                                                                                                                                                                                                                                                                            </v>
          </cell>
          <cell r="C3448" t="str">
            <v xml:space="preserve">UN    </v>
          </cell>
          <cell r="D3448" t="str">
            <v>CR</v>
          </cell>
          <cell r="E3448" t="str">
            <v>6.768,76</v>
          </cell>
        </row>
        <row r="3449">
          <cell r="A3449">
            <v>3411</v>
          </cell>
          <cell r="B3449" t="str">
            <v xml:space="preserve">POLIESTIRENO EXPANDIDO/EPS (ISOPOR), PEROLAS, PARA CONCRETO LEVE                                                                                                                                                                                                                                                                                                                                                                                                                                          </v>
          </cell>
          <cell r="C3449" t="str">
            <v xml:space="preserve">KG    </v>
          </cell>
          <cell r="D3449" t="str">
            <v>CR</v>
          </cell>
          <cell r="E3449" t="str">
            <v>76,28</v>
          </cell>
        </row>
        <row r="3450">
          <cell r="A3450">
            <v>39995</v>
          </cell>
          <cell r="B3450" t="str">
            <v xml:space="preserve">POLIESTIRENO EXPANDIDO/EPS (ISOPOR), TIPO 2F, BLOCO                                                                                                                                                                                                                                                                                                                                                                                                                                                       </v>
          </cell>
          <cell r="C3450" t="str">
            <v xml:space="preserve">M3    </v>
          </cell>
          <cell r="D3450" t="str">
            <v>CR</v>
          </cell>
          <cell r="E3450" t="str">
            <v>586,86</v>
          </cell>
        </row>
        <row r="3451">
          <cell r="A3451">
            <v>11615</v>
          </cell>
          <cell r="B3451" t="str">
            <v xml:space="preserve">POLIESTIRENO EXPANDIDO/EPS (ISOPOR), TIPO 2F, PLACA, ISOLAMENTO TERMOACUSTICO, E = 10 MM, 1000 X 500 MM                                                                                                                                                                                                                                                                                                                                                                                                   </v>
          </cell>
          <cell r="C3451" t="str">
            <v xml:space="preserve">M2    </v>
          </cell>
          <cell r="D3451" t="str">
            <v>CR</v>
          </cell>
          <cell r="E3451" t="str">
            <v>4,98</v>
          </cell>
        </row>
        <row r="3452">
          <cell r="A3452">
            <v>3408</v>
          </cell>
          <cell r="B3452" t="str">
            <v xml:space="preserve">POLIESTIRENO EXPANDIDO/EPS (ISOPOR), TIPO 2F, PLACA, ISOLAMENTO TERMOACUSTICO, E = 20 MM, 1000 X 500 MM                                                                                                                                                                                                                                                                                                                                                                                                   </v>
          </cell>
          <cell r="C3452" t="str">
            <v xml:space="preserve">M2    </v>
          </cell>
          <cell r="D3452" t="str">
            <v xml:space="preserve">C </v>
          </cell>
          <cell r="E3452" t="str">
            <v>13,22</v>
          </cell>
        </row>
        <row r="3453">
          <cell r="A3453">
            <v>3409</v>
          </cell>
          <cell r="B3453" t="str">
            <v xml:space="preserve">POLIESTIRENO EXPANDIDO/EPS (ISOPOR), TIPO 2F, PLACA, ISOLAMENTO TERMOACUSTICO, E = 50 MM, 1000 X 500 MM                                                                                                                                                                                                                                                                                                                                                                                                   </v>
          </cell>
          <cell r="C3453" t="str">
            <v xml:space="preserve">M2    </v>
          </cell>
          <cell r="D3453" t="str">
            <v>CR</v>
          </cell>
          <cell r="E3453" t="str">
            <v>33,05</v>
          </cell>
        </row>
        <row r="3454">
          <cell r="A3454">
            <v>11427</v>
          </cell>
          <cell r="B3454" t="str">
            <v xml:space="preserve">POLVORA NEGRA                                                                                                                                                                                                                                                                                                                                                                                                                                                                                             </v>
          </cell>
          <cell r="C3454" t="str">
            <v xml:space="preserve">KG    </v>
          </cell>
          <cell r="D3454" t="str">
            <v>CR</v>
          </cell>
          <cell r="E3454" t="str">
            <v>105,86</v>
          </cell>
        </row>
        <row r="3455">
          <cell r="A3455">
            <v>4491</v>
          </cell>
          <cell r="B3455" t="str">
            <v xml:space="preserve">PONTALETE *7,5 X 7,5* CM EM PINUS, MISTA OU EQUIVALENTE DA REGIAO - BRUTA                                                                                                                                                                                                                                                                                                                                                                                                                                 </v>
          </cell>
          <cell r="C3455" t="str">
            <v xml:space="preserve">M     </v>
          </cell>
          <cell r="D3455" t="str">
            <v>CR</v>
          </cell>
          <cell r="E3455" t="str">
            <v>7,52</v>
          </cell>
        </row>
        <row r="3456">
          <cell r="A3456">
            <v>2745</v>
          </cell>
          <cell r="B3456" t="str">
            <v xml:space="preserve">PONTALETE ROLIÇO SEM TRATAMENTO, D = 8 A 11 CM, H = 3 M, EM EUCALIPTO OU EQUIVALENTE DA REGIAO - BRUTA (PARA ESCORAMENTO)                                                                                                                                                                                                                                                                                                                                                                                 </v>
          </cell>
          <cell r="C3456" t="str">
            <v xml:space="preserve">M     </v>
          </cell>
          <cell r="D3456" t="str">
            <v>CR</v>
          </cell>
          <cell r="E3456" t="str">
            <v>3,22</v>
          </cell>
        </row>
        <row r="3457">
          <cell r="A3457">
            <v>14439</v>
          </cell>
          <cell r="B3457" t="str">
            <v xml:space="preserve">PONTALETE ROLIÇO SEM TRATAMENTO, D = 8 A 11 CM, H = 6 M, EM EUCALIPTO OU EQUIVALENTE DA REGIAO - BRUTA (PARA ESCORAMENTO)                                                                                                                                                                                                                                                                                                                                                                                 </v>
          </cell>
          <cell r="C3457" t="str">
            <v xml:space="preserve">M     </v>
          </cell>
          <cell r="D3457" t="str">
            <v>CR</v>
          </cell>
          <cell r="E3457" t="str">
            <v>4,00</v>
          </cell>
        </row>
        <row r="3458">
          <cell r="A3458">
            <v>44496</v>
          </cell>
          <cell r="B3458" t="str">
            <v xml:space="preserve">PONTEIRO PARA MARTELO ROMPEDOR, DIAMETRO = *28* MM, COMPRIMENTO = *520* MM, ENCAIXE  SEXTAVADO                                                                                                                                                                                                                                                                                                                                                                                                            </v>
          </cell>
          <cell r="C3458" t="str">
            <v xml:space="preserve">UN    </v>
          </cell>
          <cell r="D3458" t="str">
            <v>CR</v>
          </cell>
          <cell r="E3458" t="str">
            <v>228,88</v>
          </cell>
        </row>
        <row r="3459">
          <cell r="A3459">
            <v>12362</v>
          </cell>
          <cell r="B3459" t="str">
            <v xml:space="preserve">PORCA OLHAL EM ACO GALVANIZADO, ESPESSURA 16MM, ABERTURA 21MM                                                                                                                                                                                                                                                                                                                                                                                                                                             </v>
          </cell>
          <cell r="C3459" t="str">
            <v xml:space="preserve">UN    </v>
          </cell>
          <cell r="D3459" t="str">
            <v>CR</v>
          </cell>
          <cell r="E3459" t="str">
            <v>12,56</v>
          </cell>
        </row>
        <row r="3460">
          <cell r="A3460">
            <v>421</v>
          </cell>
          <cell r="B3460" t="str">
            <v xml:space="preserve">PORCA OLHAL M 16,  EM ACO GALVANIZADO, DIAMETRO = 16 MM                                                                                                                                                                                                                                                                                                                                                                                                                                                   </v>
          </cell>
          <cell r="C3460" t="str">
            <v xml:space="preserve">UN    </v>
          </cell>
          <cell r="D3460" t="str">
            <v>CR</v>
          </cell>
          <cell r="E3460" t="str">
            <v>23,07</v>
          </cell>
        </row>
        <row r="3461">
          <cell r="A3461">
            <v>14148</v>
          </cell>
          <cell r="B3461" t="str">
            <v xml:space="preserve">PORCA UNIAO/JUNCAO ZINCADA SEXTAVADA 1/4 ", CHAVE 7/16 ", COMPRIMENTO = 25 MM                                                                                                                                                                                                                                                                                                                                                                                                                             </v>
          </cell>
          <cell r="C3461" t="str">
            <v xml:space="preserve">UN    </v>
          </cell>
          <cell r="D3461" t="str">
            <v>CR</v>
          </cell>
          <cell r="E3461" t="str">
            <v>0,91</v>
          </cell>
        </row>
        <row r="3462">
          <cell r="A3462">
            <v>4341</v>
          </cell>
          <cell r="B3462" t="str">
            <v xml:space="preserve">PORCA ZINCADA, QUADRADA, DIAMETRO 3/8"                                                                                                                                                                                                                                                                                                                                                                                                                                                                    </v>
          </cell>
          <cell r="C3462" t="str">
            <v xml:space="preserve">UN    </v>
          </cell>
          <cell r="D3462" t="str">
            <v>CR</v>
          </cell>
          <cell r="E3462" t="str">
            <v>1,07</v>
          </cell>
        </row>
        <row r="3463">
          <cell r="A3463">
            <v>4337</v>
          </cell>
          <cell r="B3463" t="str">
            <v xml:space="preserve">PORCA ZINCADA, QUADRADA, DIAMETRO 5/8"                                                                                                                                                                                                                                                                                                                                                                                                                                                                    </v>
          </cell>
          <cell r="C3463" t="str">
            <v xml:space="preserve">UN    </v>
          </cell>
          <cell r="D3463" t="str">
            <v>CR</v>
          </cell>
          <cell r="E3463" t="str">
            <v>2,70</v>
          </cell>
        </row>
        <row r="3464">
          <cell r="A3464">
            <v>4339</v>
          </cell>
          <cell r="B3464" t="str">
            <v xml:space="preserve">PORCA ZINCADA, SEXTAVADA, DIAMETRO 1/2"                                                                                                                                                                                                                                                                                                                                                                                                                                                                   </v>
          </cell>
          <cell r="C3464" t="str">
            <v xml:space="preserve">UN    </v>
          </cell>
          <cell r="D3464" t="str">
            <v>CR</v>
          </cell>
          <cell r="E3464" t="str">
            <v>0,57</v>
          </cell>
        </row>
        <row r="3465">
          <cell r="A3465">
            <v>39997</v>
          </cell>
          <cell r="B3465" t="str">
            <v xml:space="preserve">PORCA ZINCADA, SEXTAVADA, DIAMETRO 1/4"                                                                                                                                                                                                                                                                                                                                                                                                                                                                   </v>
          </cell>
          <cell r="C3465" t="str">
            <v xml:space="preserve">UN    </v>
          </cell>
          <cell r="D3465" t="str">
            <v>CR</v>
          </cell>
          <cell r="E3465" t="str">
            <v>0,32</v>
          </cell>
        </row>
        <row r="3466">
          <cell r="A3466">
            <v>11971</v>
          </cell>
          <cell r="B3466" t="str">
            <v xml:space="preserve">PORCA ZINCADA, SEXTAVADA, DIAMETRO 1"                                                                                                                                                                                                                                                                                                                                                                                                                                                                     </v>
          </cell>
          <cell r="C3466" t="str">
            <v xml:space="preserve">UN    </v>
          </cell>
          <cell r="D3466" t="str">
            <v>CR</v>
          </cell>
          <cell r="E3466" t="str">
            <v>4,48</v>
          </cell>
        </row>
        <row r="3467">
          <cell r="A3467">
            <v>4342</v>
          </cell>
          <cell r="B3467" t="str">
            <v xml:space="preserve">PORCA ZINCADA, SEXTAVADA, DIAMETRO 3/8"                                                                                                                                                                                                                                                                                                                                                                                                                                                                   </v>
          </cell>
          <cell r="C3467" t="str">
            <v xml:space="preserve">UN    </v>
          </cell>
          <cell r="D3467" t="str">
            <v>CR</v>
          </cell>
          <cell r="E3467" t="str">
            <v>0,23</v>
          </cell>
        </row>
        <row r="3468">
          <cell r="A3468">
            <v>4330</v>
          </cell>
          <cell r="B3468" t="str">
            <v xml:space="preserve">PORCA ZINCADA, SEXTAVADA, DIAMETRO 5/16"                                                                                                                                                                                                                                                                                                                                                                                                                                                                  </v>
          </cell>
          <cell r="C3468" t="str">
            <v xml:space="preserve">UN    </v>
          </cell>
          <cell r="D3468" t="str">
            <v>CR</v>
          </cell>
          <cell r="E3468" t="str">
            <v>0,15</v>
          </cell>
        </row>
        <row r="3469">
          <cell r="A3469">
            <v>4340</v>
          </cell>
          <cell r="B3469" t="str">
            <v xml:space="preserve">PORCA ZINCADA, SEXTAVADA, DIAMETRO 5/8"                                                                                                                                                                                                                                                                                                                                                                                                                                                                   </v>
          </cell>
          <cell r="C3469" t="str">
            <v xml:space="preserve">UN    </v>
          </cell>
          <cell r="D3469" t="str">
            <v>CR</v>
          </cell>
          <cell r="E3469" t="str">
            <v>1,25</v>
          </cell>
        </row>
        <row r="3470">
          <cell r="A3470">
            <v>5088</v>
          </cell>
          <cell r="B3470" t="str">
            <v xml:space="preserve">PORTA CADEADO EM ACO GALVANIZADO, COMPRIMENTO DE 3  1/2"                                                                                                                                                                                                                                                                                                                                                                                                                                                  </v>
          </cell>
          <cell r="C3470" t="str">
            <v xml:space="preserve">UN    </v>
          </cell>
          <cell r="D3470" t="str">
            <v>CR</v>
          </cell>
          <cell r="E3470" t="str">
            <v>6,09</v>
          </cell>
        </row>
        <row r="3471">
          <cell r="A3471">
            <v>11154</v>
          </cell>
          <cell r="B3471" t="str">
            <v xml:space="preserve">PORTA CORTA-FOGO SIMPLES PARA SAIDA DE EMERGENCIA, 1 FOLHA DE ABRIR, 5 CM, ACABAMENTO NATURAL / SEM PINTURA, COM FECHADURA TIPO TRINCO, DOBRADICAS E BATENTE, VAO LUZ DE 90 X 210 CM, CLASSE P-90 (NBR 11742)                                                                                                                                                                                                                                                                                             </v>
          </cell>
          <cell r="C3471" t="str">
            <v xml:space="preserve">UN    </v>
          </cell>
          <cell r="D3471" t="str">
            <v>CR</v>
          </cell>
          <cell r="E3471" t="str">
            <v>1.251,62</v>
          </cell>
        </row>
        <row r="3472">
          <cell r="A3472">
            <v>4989</v>
          </cell>
          <cell r="B3472" t="str">
            <v xml:space="preserve">PORTA DE ABRIR / GIRO, DE MADEIRA FOLHA MEDIA (NBR 15930) DE 1000 X 2100 MM, DE 35 MM A 40 MM DE ESPESSURA, NUCLEO SEMI-SOLIDO (SARRAFEADO), CAPA LISA EM HDF, ACABAMENTO EM LAMINADO NATURAL PARA VERNIZ                                                                                                                                                                                                                                                                                                 </v>
          </cell>
          <cell r="C3472" t="str">
            <v xml:space="preserve">UN    </v>
          </cell>
          <cell r="D3472" t="str">
            <v>CR</v>
          </cell>
          <cell r="E3472" t="str">
            <v>363,32</v>
          </cell>
        </row>
        <row r="3473">
          <cell r="A3473">
            <v>4982</v>
          </cell>
          <cell r="B3473" t="str">
            <v xml:space="preserve">PORTA DE ABRIR / GIRO, DE MADEIRA FOLHA MEDIA (NBR 15930) DE 1000 X 2100 MM, DE 35 MM A 40 MM DE ESPESSURA, NUCLEO SEMI-SOLIDO (SARRAFEADO), CAPA LISA EM HDF, ACABAMENTO EM PRIMER PARA PINTURA                                                                                                                                                                                                                                                                                                          </v>
          </cell>
          <cell r="C3473" t="str">
            <v xml:space="preserve">UN    </v>
          </cell>
          <cell r="D3473" t="str">
            <v>CR</v>
          </cell>
          <cell r="E3473" t="str">
            <v>340,77</v>
          </cell>
        </row>
        <row r="3474">
          <cell r="A3474">
            <v>4962</v>
          </cell>
          <cell r="B3474" t="str">
            <v xml:space="preserve">PORTA DE ABRIR / GIRO, DE MADEIRA FOLHA MEDIA (NBR 15930) DE 700 X 2100 MM, DE 35 MM A 40 MM DE ESPESSURA, NUCLEO SEMI-SOLIDO (SARRAFEADO), CAPA FRISADA EM HDF, ACABAMENTO MELAMINICO EM PADRAO MADEIRA                                                                                                                                                                                                                                                                                                  </v>
          </cell>
          <cell r="C3474" t="str">
            <v xml:space="preserve">UN    </v>
          </cell>
          <cell r="D3474" t="str">
            <v>CR</v>
          </cell>
          <cell r="E3474" t="str">
            <v>268,74</v>
          </cell>
        </row>
        <row r="3475">
          <cell r="A3475">
            <v>4981</v>
          </cell>
          <cell r="B3475" t="str">
            <v xml:space="preserve">PORTA DE ABRIR / GIRO, DE MADEIRA FOLHA MEDIA (NBR 15930) DE 700 X 2100 MM, DE 35 MM A 40 MM DE ESPESSURA, NUCLEO SEMI-SOLIDO (SARRAFEADO), CAPA LISA EM HDF, ACABAMENTO EM LAMINADO NATURAL PARA VERNIZ                                                                                                                                                                                                                                                                                                  </v>
          </cell>
          <cell r="C3475" t="str">
            <v xml:space="preserve">UN    </v>
          </cell>
          <cell r="D3475" t="str">
            <v xml:space="preserve">C </v>
          </cell>
          <cell r="E3475" t="str">
            <v>239,25</v>
          </cell>
        </row>
        <row r="3476">
          <cell r="A3476">
            <v>4964</v>
          </cell>
          <cell r="B3476" t="str">
            <v xml:space="preserve">PORTA DE ABRIR / GIRO, DE MADEIRA FOLHA MEDIA (NBR 15930) DE 800 X 2100 MM, DE 35 MM A 40 MM DE ESPESSURA, NUCLEO SEMI-SOLIDO (SARRAFEADO), CAPA FRISADA EM HDF, ACABAMENTO MELAMINICO EM PADRAO MADEIRA                                                                                                                                                                                                                                                                                                  </v>
          </cell>
          <cell r="C3476" t="str">
            <v xml:space="preserve">UN    </v>
          </cell>
          <cell r="D3476" t="str">
            <v>CR</v>
          </cell>
          <cell r="E3476" t="str">
            <v>303,52</v>
          </cell>
        </row>
        <row r="3477">
          <cell r="A3477">
            <v>4992</v>
          </cell>
          <cell r="B3477" t="str">
            <v xml:space="preserve">PORTA DE ABRIR / GIRO, DE MADEIRA FOLHA MEDIA (NBR 15930) DE 800 X 2100 MM, DE 35 MM A 40 MM DE ESPESSURA, NUCLEO SEMI-SOLIDO (SARRAFEADO), CAPA LISA EM HDF, ACABAMENTO EM LAMINADO NATURAL PARA VERNIZ                                                                                                                                                                                                                                                                                                  </v>
          </cell>
          <cell r="C3477" t="str">
            <v xml:space="preserve">UN    </v>
          </cell>
          <cell r="D3477" t="str">
            <v>CR</v>
          </cell>
          <cell r="E3477" t="str">
            <v>296,48</v>
          </cell>
        </row>
        <row r="3478">
          <cell r="A3478">
            <v>4987</v>
          </cell>
          <cell r="B3478" t="str">
            <v xml:space="preserve">PORTA DE ABRIR / GIRO, DE MADEIRA FOLHA MEDIA (NBR 15930) DE 900 X 2100 MM, DE 35 MM A 40 MM DE ESPESSURA, NUCLEO SEMI-SOLIDO (SARRAFEADO), CAPA LISA EM HDF, ACABAMENTO EM LAMINADO NATURAL PARA VERNIZ                                                                                                                                                                                                                                                                                                  </v>
          </cell>
          <cell r="C3478" t="str">
            <v xml:space="preserve">UN    </v>
          </cell>
          <cell r="D3478" t="str">
            <v>CR</v>
          </cell>
          <cell r="E3478" t="str">
            <v>339,20</v>
          </cell>
        </row>
        <row r="3479">
          <cell r="A3479">
            <v>4930</v>
          </cell>
          <cell r="B3479" t="str">
            <v xml:space="preserve">PORTA DE ABRIR / GIRO, EM GRADIL FERRO, COM BARRA CHATA 3 CM X 1/4", COM REQUADRO E GUARNICAO - COMPLETO - ACABAMENTO NATURAL                                                                                                                                                                                                                                                                                                                                                                             </v>
          </cell>
          <cell r="C3479" t="str">
            <v xml:space="preserve">M2    </v>
          </cell>
          <cell r="D3479" t="str">
            <v>CR</v>
          </cell>
          <cell r="E3479" t="str">
            <v>530,14</v>
          </cell>
        </row>
        <row r="3480">
          <cell r="A3480">
            <v>39021</v>
          </cell>
          <cell r="B3480" t="str">
            <v xml:space="preserve">PORTA DE ABRIR EM ACO, COM DIVISAO HORIZONTAL PARA VIDROS, 90 X 210 CM, COM FUNDO ANTICORROSIVO/PRIMER DE PROTECAO, INCLUI FECHADURA, MACANETA E PARAFUOSO, SEM GUARNICAO/ALIZAR/VISTA, VIDROS NAO INCLUSOS                                                                                                                                                                                                                                                                                               </v>
          </cell>
          <cell r="C3480" t="str">
            <v xml:space="preserve">UN    </v>
          </cell>
          <cell r="D3480" t="str">
            <v>CR</v>
          </cell>
          <cell r="E3480" t="str">
            <v>563,67</v>
          </cell>
        </row>
        <row r="3481">
          <cell r="A3481">
            <v>39022</v>
          </cell>
          <cell r="B3481" t="str">
            <v xml:space="preserve">PORTA DE ABRIR EM ACO, TIPO VENEZIANA, 90 X 210 CM, COM FUNDO ANTICORROSIVO / PRIMER DE PROTECAO, INCLUI FECHADURA, MACANETA E PARAFUSOS, SEM GUARNICAO/ALIZAR/VISTA                                                                                                                                                                                                                                                                                                                                      </v>
          </cell>
          <cell r="C3481" t="str">
            <v xml:space="preserve">UN    </v>
          </cell>
          <cell r="D3481" t="str">
            <v xml:space="preserve">C </v>
          </cell>
          <cell r="E3481" t="str">
            <v>504,90</v>
          </cell>
        </row>
        <row r="3482">
          <cell r="A3482">
            <v>39024</v>
          </cell>
          <cell r="B3482" t="str">
            <v xml:space="preserve">PORTA DE ABRIR EM ALUMINIO COM DIVISAO HORIZONTAL  PARA VIDROS,  ACABAMENTO ANODIZADO NATURAL, VIDROS INCLUSOS, SEM GUARNICAO/ALIZAR/VISTA , 87 X 210 CM                                                                                                                                                                                                                                                                                                                                                  </v>
          </cell>
          <cell r="C3482" t="str">
            <v xml:space="preserve">UN    </v>
          </cell>
          <cell r="D3482" t="str">
            <v>CR</v>
          </cell>
          <cell r="E3482" t="str">
            <v>729,73</v>
          </cell>
        </row>
        <row r="3483">
          <cell r="A3483">
            <v>4914</v>
          </cell>
          <cell r="B3483" t="str">
            <v xml:space="preserve">PORTA DE ABRIR EM ALUMINIO COM LAMBRI HORIZONTAL/LAMINADA, ACABAMENTO ANODIZADO NATURAL, SEM GUARNICAO/ALIZAR/VISTA                                                                                                                                                                                                                                                                                                                                                                                       </v>
          </cell>
          <cell r="C3483" t="str">
            <v xml:space="preserve">M2    </v>
          </cell>
          <cell r="D3483" t="str">
            <v>CR</v>
          </cell>
          <cell r="E3483" t="str">
            <v>591,68</v>
          </cell>
        </row>
        <row r="3484">
          <cell r="A3484">
            <v>4917</v>
          </cell>
          <cell r="B3484" t="str">
            <v xml:space="preserve">PORTA DE ABRIR EM ALUMINIO TIPO VENEZIANA, ACABAMENTO ANODIZADO NATURAL, SEM GUARNICAO/ALIZAR/VISTA                                                                                                                                                                                                                                                                                                                                                                                                       </v>
          </cell>
          <cell r="C3484" t="str">
            <v xml:space="preserve">M2    </v>
          </cell>
          <cell r="D3484" t="str">
            <v xml:space="preserve">C </v>
          </cell>
          <cell r="E3484" t="str">
            <v>408,62</v>
          </cell>
        </row>
        <row r="3485">
          <cell r="A3485">
            <v>39025</v>
          </cell>
          <cell r="B3485" t="str">
            <v xml:space="preserve">PORTA DE ABRIR EM ALUMINIO TIPO VENEZIANA, ACABAMENTO ANODIZADO NATURAL, SEM GUARNICAO/ALIZAR/VISTA, 87 X 210 CM                                                                                                                                                                                                                                                                                                                                                                                          </v>
          </cell>
          <cell r="C3485" t="str">
            <v xml:space="preserve">UN    </v>
          </cell>
          <cell r="D3485" t="str">
            <v>CR</v>
          </cell>
          <cell r="E3485" t="str">
            <v>748,26</v>
          </cell>
        </row>
        <row r="3486">
          <cell r="A3486">
            <v>4922</v>
          </cell>
          <cell r="B3486" t="str">
            <v xml:space="preserve">PORTA DE CORRER EM ALUMINIO, DUAS FOLHAS MOVEIS COM VIDRO, FECHADURA E PUXADOR EMBUTIDO, ACABAMENTO ANODIZADO NATURAL, SEM GUARNICAO/ALIZAR/VISTA                                                                                                                                                                                                                                                                                                                                                         </v>
          </cell>
          <cell r="C3486" t="str">
            <v xml:space="preserve">M2    </v>
          </cell>
          <cell r="D3486" t="str">
            <v>CR</v>
          </cell>
          <cell r="E3486" t="str">
            <v>379,03</v>
          </cell>
        </row>
        <row r="3487">
          <cell r="A3487">
            <v>4911</v>
          </cell>
          <cell r="B3487" t="str">
            <v xml:space="preserve">PORTA DE ENROLAR MANUAL COMPLETA, ARTICULADA RAIADA LARGA, EM ACO GALVANIZADO NATURAL, CHAPA NUMERO 24 (SEM INSTALACAO)                                                                                                                                                                                                                                                                                                                                                                                   </v>
          </cell>
          <cell r="C3487" t="str">
            <v xml:space="preserve">M2    </v>
          </cell>
          <cell r="D3487" t="str">
            <v>CR</v>
          </cell>
          <cell r="E3487" t="str">
            <v>328,16</v>
          </cell>
        </row>
        <row r="3488">
          <cell r="A3488">
            <v>37518</v>
          </cell>
          <cell r="B3488" t="str">
            <v xml:space="preserve">PORTA DE ENROLAR MANUAL COMPLETA, PERFIL MEIA CANA CEGA, EM ACO GALVANIZADO COM PINTURA ELETROSTATICA, CHAPA NUMERO 24 " (SEM INSTALACAO)                                                                                                                                                                                                                                                                                                                                                                 </v>
          </cell>
          <cell r="C3488" t="str">
            <v xml:space="preserve">M2    </v>
          </cell>
          <cell r="D3488" t="str">
            <v>CR</v>
          </cell>
          <cell r="E3488" t="str">
            <v>533,26</v>
          </cell>
        </row>
        <row r="3489">
          <cell r="A3489">
            <v>4910</v>
          </cell>
          <cell r="B3489" t="str">
            <v xml:space="preserve">PORTA DE ENROLAR MANUAL COMPLETA, PERFIL MEIA CANA CEGA, EM ACO GALVANIZADO NATURAL, CHAPA NUMERO 24 (SEM INSTALACAO)                                                                                                                                                                                                                                                                                                                                                                                     </v>
          </cell>
          <cell r="C3489" t="str">
            <v xml:space="preserve">M2    </v>
          </cell>
          <cell r="D3489" t="str">
            <v>CR</v>
          </cell>
          <cell r="E3489" t="str">
            <v>449,54</v>
          </cell>
        </row>
        <row r="3490">
          <cell r="A3490">
            <v>4943</v>
          </cell>
          <cell r="B3490" t="str">
            <v xml:space="preserve">PORTA DE ENROLAR MANUAL COMPLETA, PERFIL MEIA CANA VAZADA TIJOLINHO, EM ACO GALVANIZADO NATURAL, CHAPA NUMERO 24 (SEM INSTALACAO)                                                                                                                                                                                                                                                                                                                                                                         </v>
          </cell>
          <cell r="C3490" t="str">
            <v xml:space="preserve">M2    </v>
          </cell>
          <cell r="D3490" t="str">
            <v>CR</v>
          </cell>
          <cell r="E3490" t="str">
            <v>669,71</v>
          </cell>
        </row>
        <row r="3491">
          <cell r="A3491">
            <v>5002</v>
          </cell>
          <cell r="B3491" t="str">
            <v xml:space="preserve">PORTA DE MADEIRA QUADRICULADA PARA VIDRO, DE CORRER (EUCALIPTO OU EQUIVALENTE REGIONAL), E = *3,5* CM                                                                                                                                                                                                                                                                                                                                                                                                     </v>
          </cell>
          <cell r="C3491" t="str">
            <v xml:space="preserve">M2    </v>
          </cell>
          <cell r="D3491" t="str">
            <v>CR</v>
          </cell>
          <cell r="E3491" t="str">
            <v>477,42</v>
          </cell>
        </row>
        <row r="3492">
          <cell r="A3492">
            <v>4977</v>
          </cell>
          <cell r="B3492" t="str">
            <v xml:space="preserve">PORTA DE MADEIRA TIPO VENEZIANA (EUCALIPTO OU EQUIVALENTE REGIONAL), E = *3,5* CM                                                                                                                                                                                                                                                                                                                                                                                                                         </v>
          </cell>
          <cell r="C3492" t="str">
            <v xml:space="preserve">M2    </v>
          </cell>
          <cell r="D3492" t="str">
            <v>CR</v>
          </cell>
          <cell r="E3492" t="str">
            <v>322,28</v>
          </cell>
        </row>
        <row r="3493">
          <cell r="A3493">
            <v>5028</v>
          </cell>
          <cell r="B3493" t="str">
            <v xml:space="preserve">PORTA DE MADEIRA-DE-LEI QUADRICULADA PARA VIDRO, DE CORRER (ANGELIM OU EQUIVALENTE REGIONAL), E = *3,5* CM                                                                                                                                                                                                                                                                                                                                                                                                </v>
          </cell>
          <cell r="C3493" t="str">
            <v xml:space="preserve">M2    </v>
          </cell>
          <cell r="D3493" t="str">
            <v>CR</v>
          </cell>
          <cell r="E3493" t="str">
            <v>788,56</v>
          </cell>
        </row>
        <row r="3494">
          <cell r="A3494">
            <v>4998</v>
          </cell>
          <cell r="B3494" t="str">
            <v xml:space="preserve">PORTA DE MADEIRA-DE-LEI TIPO MEXICANA SEM EMENDA (ANGELIM OU EQUIVALENTE REGIONAL), E = *3,5* CM                                                                                                                                                                                                                                                                                                                                                                                                          </v>
          </cell>
          <cell r="C3494" t="str">
            <v xml:space="preserve">M2    </v>
          </cell>
          <cell r="D3494" t="str">
            <v>CR</v>
          </cell>
          <cell r="E3494" t="str">
            <v>654,92</v>
          </cell>
        </row>
        <row r="3495">
          <cell r="A3495">
            <v>4969</v>
          </cell>
          <cell r="B3495" t="str">
            <v xml:space="preserve">PORTA DE MADEIRA-DE-LEI TIPO VENEZIANA (ANGELIM OU EQUIVALENTE REGIONAL), E = *3,5* CM                                                                                                                                                                                                                                                                                                                                                                                                                    </v>
          </cell>
          <cell r="C3495" t="str">
            <v xml:space="preserve">M2    </v>
          </cell>
          <cell r="D3495" t="str">
            <v xml:space="preserve">C </v>
          </cell>
          <cell r="E3495" t="str">
            <v>455,80</v>
          </cell>
        </row>
        <row r="3496">
          <cell r="A3496">
            <v>11364</v>
          </cell>
          <cell r="B3496" t="str">
            <v xml:space="preserve">PORTA DE MADEIRA, FOLHA LEVE (NBR 15930) DE 600 X 2100 MM, DE 35 MM A 40 MM DE ESPESSURA, NUCLEO COLMEIA, CAPA LISA EM HDF, ACABAMENTO EM PRIMER PARA PINTURA                                                                                                                                                                                                                                                                                                                                             </v>
          </cell>
          <cell r="C3496" t="str">
            <v xml:space="preserve">UN    </v>
          </cell>
          <cell r="D3496" t="str">
            <v>CR</v>
          </cell>
          <cell r="E3496" t="str">
            <v>205,54</v>
          </cell>
        </row>
        <row r="3497">
          <cell r="A3497">
            <v>11365</v>
          </cell>
          <cell r="B3497" t="str">
            <v xml:space="preserve">PORTA DE MADEIRA, FOLHA LEVE (NBR 15930) DE 700 X 2100 MM, DE 35 MM A 40 MM DE ESPESSURA, NUCLEO COLMEIA, CAPA LISA EM HDF, ACABAMENTO EM PRIMER PARA PINTURA                                                                                                                                                                                                                                                                                                                                             </v>
          </cell>
          <cell r="C3497" t="str">
            <v xml:space="preserve">UN    </v>
          </cell>
          <cell r="D3497" t="str">
            <v>CR</v>
          </cell>
          <cell r="E3497" t="str">
            <v>213,29</v>
          </cell>
        </row>
        <row r="3498">
          <cell r="A3498">
            <v>11366</v>
          </cell>
          <cell r="B3498" t="str">
            <v xml:space="preserve">PORTA DE MADEIRA, FOLHA LEVE (NBR 15930) DE 800 X 2100 MM, DE 35 MM A 40 MM DE ESPESSURA, NUCLEO COLMEIA, CAPA LISA EM HDF, ACABAMENTO EM PRIMER PARA PINTURA                                                                                                                                                                                                                                                                                                                                             </v>
          </cell>
          <cell r="C3498" t="str">
            <v xml:space="preserve">UN    </v>
          </cell>
          <cell r="D3498" t="str">
            <v>CR</v>
          </cell>
          <cell r="E3498" t="str">
            <v>226,73</v>
          </cell>
        </row>
        <row r="3499">
          <cell r="A3499">
            <v>43777</v>
          </cell>
          <cell r="B3499" t="str">
            <v xml:space="preserve">PORTA DE MADEIRA, FOLHA LEVE (NBR 15930), DE 600 X 2100 MM, E = 35 MM, NUCLEO COLMEIA, CAPA LISA EM HDF, ACABAMENTO MELAMINICO EM PADRAO MADEIRA                                                                                                                                                                                                                                                                                                                                                          </v>
          </cell>
          <cell r="C3499" t="str">
            <v xml:space="preserve">UN    </v>
          </cell>
          <cell r="D3499" t="str">
            <v>CR</v>
          </cell>
          <cell r="E3499" t="str">
            <v>266,33</v>
          </cell>
        </row>
        <row r="3500">
          <cell r="A3500">
            <v>20322</v>
          </cell>
          <cell r="B3500" t="str">
            <v xml:space="preserve">PORTA DE MADEIRA, FOLHA MEDIA (NBR 15930) DE 600 X 2100 MM, DE 35 MM A 40 MM DE ESPESSURA, NUCLEO SEMI-SOLIDO (SARRAFEADO), CAPA FRISADA EM HDF, ACABAMENTO MELAMINICO EM PADRAO MADEIRA                                                                                                                                                                                                                                                                                                                  </v>
          </cell>
          <cell r="C3500" t="str">
            <v xml:space="preserve">UN    </v>
          </cell>
          <cell r="D3500" t="str">
            <v>CR</v>
          </cell>
          <cell r="E3500" t="str">
            <v>247,24</v>
          </cell>
        </row>
        <row r="3501">
          <cell r="A3501">
            <v>10553</v>
          </cell>
          <cell r="B3501" t="str">
            <v xml:space="preserve">PORTA DE MADEIRA, FOLHA MEDIA (NBR 15930) DE 600 X 2100 MM, DE 35 MM A 40 MM DE ESPESSURA, NUCLEO SEMI-SOLIDO (SARRAFEADO), CAPA LISA EM HDF, ACABAMENTO EM PRIMER PARA PINTURA                                                                                                                                                                                                                                                                                                                           </v>
          </cell>
          <cell r="C3501" t="str">
            <v xml:space="preserve">UN    </v>
          </cell>
          <cell r="D3501" t="str">
            <v>CR</v>
          </cell>
          <cell r="E3501" t="str">
            <v>224,49</v>
          </cell>
        </row>
        <row r="3502">
          <cell r="A3502">
            <v>5020</v>
          </cell>
          <cell r="B3502" t="str">
            <v xml:space="preserve">PORTA DE MADEIRA, FOLHA MEDIA (NBR 15930) DE 600 X 2100 MM, DE 35 MM A 40 MM DE ESPESSURA, NUCLEO SEMI-SOLIDO (SARRAFEADO), CAPA LISA EM HDF, ACABAMENTO LAMINADO NATURAL PARA VERNIZ                                                                                                                                                                                                                                                                                                                     </v>
          </cell>
          <cell r="C3502" t="str">
            <v xml:space="preserve">UN    </v>
          </cell>
          <cell r="D3502" t="str">
            <v>CR</v>
          </cell>
          <cell r="E3502" t="str">
            <v>236,68</v>
          </cell>
        </row>
        <row r="3503">
          <cell r="A3503">
            <v>10554</v>
          </cell>
          <cell r="B3503" t="str">
            <v xml:space="preserve">PORTA DE MADEIRA, FOLHA MEDIA (NBR 15930) DE 700 X 2100 MM, DE 35 MM A 40 MM DE ESPESSURA, NUCLEO SEMI-SOLIDO (SARRAFEADO), CAPA LISA EM HDF, ACABAMENTO EM PRIMER PARA PINTURA                                                                                                                                                                                                                                                                                                                           </v>
          </cell>
          <cell r="C3503" t="str">
            <v xml:space="preserve">UN    </v>
          </cell>
          <cell r="D3503" t="str">
            <v>CR</v>
          </cell>
          <cell r="E3503" t="str">
            <v>226,48</v>
          </cell>
        </row>
        <row r="3504">
          <cell r="A3504">
            <v>10555</v>
          </cell>
          <cell r="B3504" t="str">
            <v xml:space="preserve">PORTA DE MADEIRA, FOLHA MEDIA (NBR 15930) DE 800 X 2100 MM, DE 35 MM A 40 MM DE ESPESSURA, NUCLEO SEMI-SOLIDO (SARRAFEADO), CAPA LISA EM HDF, ACABAMENTO EM PRIMER PARA PINTURA                                                                                                                                                                                                                                                                                                                           </v>
          </cell>
          <cell r="C3504" t="str">
            <v xml:space="preserve">UN    </v>
          </cell>
          <cell r="D3504" t="str">
            <v>CR</v>
          </cell>
          <cell r="E3504" t="str">
            <v>246,98</v>
          </cell>
        </row>
        <row r="3505">
          <cell r="A3505">
            <v>10556</v>
          </cell>
          <cell r="B3505" t="str">
            <v xml:space="preserve">PORTA DE MADEIRA, FOLHA MEDIA (NBR 15930) DE 900 X 2100 MM, DE 35 MM A 40 MM DE ESPESSURA, NUCLEO SEMI-SOLIDO (SARRAFEADO), CAPA LISA EM HDF, ACABAMENTO EM PRIMER PARA PINTURA                                                                                                                                                                                                                                                                                                                           </v>
          </cell>
          <cell r="C3505" t="str">
            <v xml:space="preserve">UN    </v>
          </cell>
          <cell r="D3505" t="str">
            <v>CR</v>
          </cell>
          <cell r="E3505" t="str">
            <v>328,39</v>
          </cell>
        </row>
        <row r="3506">
          <cell r="A3506">
            <v>39502</v>
          </cell>
          <cell r="B3506" t="str">
            <v xml:space="preserve">PORTA DE MADEIRA, FOLHA PESADA (NBR 15930) DE 800 X 2100 MM, DE 40 MM A 45 MM DE ESPESSURA, NUCLEO SOLIDO, CAPA LISA EM HDF, ACABAMENTO EM LAMINADO NATURAL PARA VERNIZ                                                                                                                                                                                                                                                                                                                                   </v>
          </cell>
          <cell r="C3506" t="str">
            <v xml:space="preserve">UN    </v>
          </cell>
          <cell r="D3506" t="str">
            <v>CR</v>
          </cell>
          <cell r="E3506" t="str">
            <v>461,14</v>
          </cell>
        </row>
        <row r="3507">
          <cell r="A3507">
            <v>39504</v>
          </cell>
          <cell r="B3507" t="str">
            <v xml:space="preserve">PORTA DE MADEIRA, FOLHA PESADA (NBR 15930) DE 800 X 2100 MM, DE 40 MM A 45 MM DE ESPESSURA, NUCLEO SOLIDO, CAPA LISA EM HDF, ACABAMENTO EM PRIMER PARA PINTURA                                                                                                                                                                                                                                                                                                                                            </v>
          </cell>
          <cell r="C3507" t="str">
            <v xml:space="preserve">UN    </v>
          </cell>
          <cell r="D3507" t="str">
            <v>CR</v>
          </cell>
          <cell r="E3507" t="str">
            <v>509,93</v>
          </cell>
        </row>
        <row r="3508">
          <cell r="A3508">
            <v>39503</v>
          </cell>
          <cell r="B3508" t="str">
            <v xml:space="preserve">PORTA DE MADEIRA, FOLHA PESADA (NBR 15930) DE 900 X 2100 MM, DE 40 MM A 45 MM DE ESPESSURA, NUCLEO SOLIDO, CAPA LISA EM HDF, ACABAMENTO EM LAMINADO NATURAL PARA VERNIZ                                                                                                                                                                                                                                                                                                                                   </v>
          </cell>
          <cell r="C3508" t="str">
            <v xml:space="preserve">UN    </v>
          </cell>
          <cell r="D3508" t="str">
            <v>CR</v>
          </cell>
          <cell r="E3508" t="str">
            <v>536,69</v>
          </cell>
        </row>
        <row r="3509">
          <cell r="A3509">
            <v>39505</v>
          </cell>
          <cell r="B3509" t="str">
            <v xml:space="preserve">PORTA DE MADEIRA, FOLHA PESADA (NBR 15930) DE 900 X 2100 MM, DE 40 MM A 45 MM DE ESPESSURA, NUCLEO SOLIDO, CAPA LISA EM HDF, ACABAMENTO EM PRIMER PARA PINTURA                                                                                                                                                                                                                                                                                                                                            </v>
          </cell>
          <cell r="C3509" t="str">
            <v xml:space="preserve">UN    </v>
          </cell>
          <cell r="D3509" t="str">
            <v>CR</v>
          </cell>
          <cell r="E3509" t="str">
            <v>578,36</v>
          </cell>
        </row>
        <row r="3510">
          <cell r="A3510">
            <v>44471</v>
          </cell>
          <cell r="B3510" t="str">
            <v xml:space="preserve">PORTA DENTE PARA  FRESADORA                                                                                                                                                                                                                                                                                                                                                                                                                                                                               </v>
          </cell>
          <cell r="C3510" t="str">
            <v xml:space="preserve">UN    </v>
          </cell>
          <cell r="D3510" t="str">
            <v>CR</v>
          </cell>
          <cell r="E3510" t="str">
            <v>462,57</v>
          </cell>
        </row>
        <row r="3511">
          <cell r="A3511">
            <v>4944</v>
          </cell>
          <cell r="B3511" t="str">
            <v xml:space="preserve">PORTA GRADE DE ENROLAR MANUAL COMPLETA, PERFIL TUBULAR TIJOLINHO 3/4 ", EM ACO GALVANIZADO NATURAL (SEM INSTALACAO)                                                                                                                                                                                                                                                                                                                                                                                       </v>
          </cell>
          <cell r="C3511" t="str">
            <v xml:space="preserve">M2    </v>
          </cell>
          <cell r="D3511" t="str">
            <v>CR</v>
          </cell>
          <cell r="E3511" t="str">
            <v>1.001,22</v>
          </cell>
        </row>
        <row r="3512">
          <cell r="A3512">
            <v>21102</v>
          </cell>
          <cell r="B3512" t="str">
            <v xml:space="preserve">PORTA TOALHA BANHO EM METAL CROMADO, TIPO BARRA                                                                                                                                                                                                                                                                                                                                                                                                                                                           </v>
          </cell>
          <cell r="C3512" t="str">
            <v xml:space="preserve">UN    </v>
          </cell>
          <cell r="D3512" t="str">
            <v>CR</v>
          </cell>
          <cell r="E3512" t="str">
            <v>57,22</v>
          </cell>
        </row>
        <row r="3513">
          <cell r="A3513">
            <v>21101</v>
          </cell>
          <cell r="B3513" t="str">
            <v xml:space="preserve">PORTA TOALHA ROSTO EM METAL CROMADO, TIPO ARGOLA                                                                                                                                                                                                                                                                                                                                                                                                                                                          </v>
          </cell>
          <cell r="C3513" t="str">
            <v xml:space="preserve">UN    </v>
          </cell>
          <cell r="D3513" t="str">
            <v>CR</v>
          </cell>
          <cell r="E3513" t="str">
            <v>36,74</v>
          </cell>
        </row>
        <row r="3514">
          <cell r="A3514">
            <v>34713</v>
          </cell>
          <cell r="B3514" t="str">
            <v xml:space="preserve">PORTA VIDRO TEMPERADO INCOLOR, 2 FOLHAS DE CORRER, E = 10 MM (SEM FERRAGENS E SEM COLOCACAO)                                                                                                                                                                                                                                                                                                                                                                                                              </v>
          </cell>
          <cell r="C3514" t="str">
            <v xml:space="preserve">M2    </v>
          </cell>
          <cell r="D3514" t="str">
            <v>CR</v>
          </cell>
          <cell r="E3514" t="str">
            <v>452,66</v>
          </cell>
        </row>
        <row r="3515">
          <cell r="A3515">
            <v>37563</v>
          </cell>
          <cell r="B3515" t="str">
            <v xml:space="preserve">PORTAO BASCULANTE, MANUAL, EM ACO GALVANIZADO, CHAPA 26, TIPO LAMBRIL, COM REQUADRO, ACABAMENTO NATURAL                                                                                                                                                                                                                                                                                                                                                                                                   </v>
          </cell>
          <cell r="C3515" t="str">
            <v xml:space="preserve">M2    </v>
          </cell>
          <cell r="D3515" t="str">
            <v>CR</v>
          </cell>
          <cell r="E3515" t="str">
            <v>583,35</v>
          </cell>
        </row>
        <row r="3516">
          <cell r="A3516">
            <v>4948</v>
          </cell>
          <cell r="B3516" t="str">
            <v xml:space="preserve">PORTAO DE ABRIR / GIRO, EM GRADIL DE METALON REDONDO DE 3/4"  VERTICAL, COM REQUADRO, ACABAMENTO NATURAL - COMPLETO                                                                                                                                                                                                                                                                                                                                                                                       </v>
          </cell>
          <cell r="C3516" t="str">
            <v xml:space="preserve">M2    </v>
          </cell>
          <cell r="D3516" t="str">
            <v>CR</v>
          </cell>
          <cell r="E3516" t="str">
            <v>507,52</v>
          </cell>
        </row>
        <row r="3517">
          <cell r="A3517">
            <v>37561</v>
          </cell>
          <cell r="B3517" t="str">
            <v xml:space="preserve">PORTAO DE CORRER EM CHAPA TIPO PAINEL LAMBRIL QUADRADO, COM PORTA SOCIAL COMPLETA INCLUIDA, COM REQUADRO, ACABAMENTO NATURAL, COM TRILHOS E ROLDANAS                                                                                                                                                                                                                                                                                                                                                      </v>
          </cell>
          <cell r="C3517" t="str">
            <v xml:space="preserve">M2    </v>
          </cell>
          <cell r="D3517" t="str">
            <v>CR</v>
          </cell>
          <cell r="E3517" t="str">
            <v>473,34</v>
          </cell>
        </row>
        <row r="3518">
          <cell r="A3518">
            <v>37562</v>
          </cell>
          <cell r="B3518" t="str">
            <v xml:space="preserve">PORTAO DE CORRER EM GRADIL FIXO DE BARRA DE FERRO CHATA DE 3 X 1/4" NA VERTICAL, SEM REQUADRO, ACABAMENTO NATURAL, COM TRILHOS E ROLDANAS                                                                                                                                                                                                                                                                                                                                                                 </v>
          </cell>
          <cell r="C3518" t="str">
            <v xml:space="preserve">M2    </v>
          </cell>
          <cell r="D3518" t="str">
            <v>CR</v>
          </cell>
          <cell r="E3518" t="str">
            <v>620,60</v>
          </cell>
        </row>
        <row r="3519">
          <cell r="A3519">
            <v>14164</v>
          </cell>
          <cell r="B3519" t="str">
            <v xml:space="preserve">POSTE CONICO CONTINUO EM ACO GALVANIZADO, CURVO, BRACO DUPLO, ENGASTADO,  H = 9 M, DIAMETRO INFERIOR = *135* MM                                                                                                                                                                                                                                                                                                                                                                                           </v>
          </cell>
          <cell r="C3519" t="str">
            <v xml:space="preserve">UN    </v>
          </cell>
          <cell r="D3519" t="str">
            <v>CR</v>
          </cell>
          <cell r="E3519" t="str">
            <v>2.049,09</v>
          </cell>
        </row>
        <row r="3520">
          <cell r="A3520">
            <v>14163</v>
          </cell>
          <cell r="B3520" t="str">
            <v xml:space="preserve">POSTE CONICO CONTINUO EM ACO GALVANIZADO, CURVO, BRACO DUPLO, FLANGEADO,  H = 9 M, DIAMETRO INFERIOR = *135* MM                                                                                                                                                                                                                                                                                                                                                                                           </v>
          </cell>
          <cell r="C3520" t="str">
            <v xml:space="preserve">UN    </v>
          </cell>
          <cell r="D3520" t="str">
            <v>CR</v>
          </cell>
          <cell r="E3520" t="str">
            <v>2.328,92</v>
          </cell>
        </row>
        <row r="3521">
          <cell r="A3521">
            <v>5051</v>
          </cell>
          <cell r="B3521" t="str">
            <v xml:space="preserve">POSTE CONICO CONTINUO EM ACO GALVANIZADO, CURVO, BRACO SIMPLES, ENGASTADO,  H = 9 M, DIAMETRO INFERIOR = *135* MM                                                                                                                                                                                                                                                                                                                                                                                         </v>
          </cell>
          <cell r="C3521" t="str">
            <v xml:space="preserve">UN    </v>
          </cell>
          <cell r="D3521" t="str">
            <v>CR</v>
          </cell>
          <cell r="E3521" t="str">
            <v>1.980,72</v>
          </cell>
        </row>
        <row r="3522">
          <cell r="A3522">
            <v>14162</v>
          </cell>
          <cell r="B3522" t="str">
            <v xml:space="preserve">POSTE CONICO CONTINUO EM ACO GALVANIZADO, CURVO, BRACO SIMPLES, FLANGEADO,  H = 9 M, DIAMETRO INFERIOR = *135* MM                                                                                                                                                                                                                                                                                                                                                                                         </v>
          </cell>
          <cell r="C3522" t="str">
            <v xml:space="preserve">UN    </v>
          </cell>
          <cell r="D3522" t="str">
            <v>CR</v>
          </cell>
          <cell r="E3522" t="str">
            <v>1.977,84</v>
          </cell>
        </row>
        <row r="3523">
          <cell r="A3523">
            <v>5052</v>
          </cell>
          <cell r="B3523" t="str">
            <v xml:space="preserve">POSTE CONICO CONTINUO EM ACO GALVANIZADO, CURVO, BRACO SIMPLES, FLANGEADO, H = 7 M, DIAMETRO INFERIOR = *125* MM                                                                                                                                                                                                                                                                                                                                                                                          </v>
          </cell>
          <cell r="C3523" t="str">
            <v xml:space="preserve">UN    </v>
          </cell>
          <cell r="D3523" t="str">
            <v xml:space="preserve">C </v>
          </cell>
          <cell r="E3523" t="str">
            <v>1.475,75</v>
          </cell>
        </row>
        <row r="3524">
          <cell r="A3524">
            <v>14166</v>
          </cell>
          <cell r="B3524" t="str">
            <v xml:space="preserve">POSTE CONICO CONTINUO EM ACO GALVANIZADO, RETO, ENGASTADO,  H = 7 M, DIAMETRO INFERIOR = *125* MM                                                                                                                                                                                                                                                                                                                                                                                                         </v>
          </cell>
          <cell r="C3524" t="str">
            <v xml:space="preserve">UN    </v>
          </cell>
          <cell r="D3524" t="str">
            <v>CR</v>
          </cell>
          <cell r="E3524" t="str">
            <v>1.494,49</v>
          </cell>
        </row>
        <row r="3525">
          <cell r="A3525">
            <v>14165</v>
          </cell>
          <cell r="B3525" t="str">
            <v xml:space="preserve">POSTE CONICO CONTINUO EM ACO GALVANIZADO, RETO, ENGASTADO,  H = 9 M, DIAMETRO INFERIOR = *145* MM                                                                                                                                                                                                                                                                                                                                                                                                         </v>
          </cell>
          <cell r="C3525" t="str">
            <v xml:space="preserve">UN    </v>
          </cell>
          <cell r="D3525" t="str">
            <v>CR</v>
          </cell>
          <cell r="E3525" t="str">
            <v>2.070,40</v>
          </cell>
        </row>
        <row r="3526">
          <cell r="A3526">
            <v>5050</v>
          </cell>
          <cell r="B3526" t="str">
            <v xml:space="preserve">POSTE CONICO CONTINUO EM ACO GALVANIZADO, RETO, FLANGEADO,  H = 3 M, DIAMETRO INFERIOR = *95* MM                                                                                                                                                                                                                                                                                                                                                                                                          </v>
          </cell>
          <cell r="C3526" t="str">
            <v xml:space="preserve">UN    </v>
          </cell>
          <cell r="D3526" t="str">
            <v>CR</v>
          </cell>
          <cell r="E3526" t="str">
            <v>509,57</v>
          </cell>
        </row>
        <row r="3527">
          <cell r="A3527">
            <v>12366</v>
          </cell>
          <cell r="B3527" t="str">
            <v xml:space="preserve">POSTE DE CONCRETO ARMADO DE SECAO CIRCULAR, EXTENSAO DE 10,00 M, RESISTENCIA DE 150 A 200 DAN, TIPO C-14                                                                                                                                                                                                                                                                                                                                                                                                  </v>
          </cell>
          <cell r="C3527" t="str">
            <v xml:space="preserve">UN    </v>
          </cell>
          <cell r="D3527" t="str">
            <v>CR</v>
          </cell>
          <cell r="E3527" t="str">
            <v>1.026,14</v>
          </cell>
        </row>
        <row r="3528">
          <cell r="A3528">
            <v>5045</v>
          </cell>
          <cell r="B3528" t="str">
            <v xml:space="preserve">POSTE DE CONCRETO ARMADO DE SECAO CIRCULAR, EXTENSAO DE 11,00 M, RESISTENCIA DE 200 A 300 DAN, TIPO C-14                                                                                                                                                                                                                                                                                                                                                                                                  </v>
          </cell>
          <cell r="C3528" t="str">
            <v xml:space="preserve">UN    </v>
          </cell>
          <cell r="D3528" t="str">
            <v>CR</v>
          </cell>
          <cell r="E3528" t="str">
            <v>1.417,55</v>
          </cell>
        </row>
        <row r="3529">
          <cell r="A3529">
            <v>5035</v>
          </cell>
          <cell r="B3529" t="str">
            <v xml:space="preserve">POSTE DE CONCRETO ARMADO DE SECAO CIRCULAR, EXTENSAO DE 11,00 M, RESISTENCIA DE 300 A 400 DAN, TIPO C-17                                                                                                                                                                                                                                                                                                                                                                                                  </v>
          </cell>
          <cell r="C3529" t="str">
            <v xml:space="preserve">UN    </v>
          </cell>
          <cell r="D3529" t="str">
            <v>CR</v>
          </cell>
          <cell r="E3529" t="str">
            <v>1.629,84</v>
          </cell>
        </row>
        <row r="3530">
          <cell r="A3530">
            <v>41180</v>
          </cell>
          <cell r="B3530" t="str">
            <v xml:space="preserve">POSTE DE CONCRETO ARMADO DE SECAO CIRCULAR, EXTENSAO DE 13,00 M, RESISTENCIA DE 1000 DAN, TIPO C-23                                                                                                                                                                                                                                                                                                                                                                                                       </v>
          </cell>
          <cell r="C3530" t="str">
            <v xml:space="preserve">UN    </v>
          </cell>
          <cell r="D3530" t="str">
            <v>CR</v>
          </cell>
          <cell r="E3530" t="str">
            <v>3.663,87</v>
          </cell>
        </row>
        <row r="3531">
          <cell r="A3531">
            <v>41181</v>
          </cell>
          <cell r="B3531" t="str">
            <v xml:space="preserve">POSTE DE CONCRETO ARMADO DE SECAO CIRCULAR, EXTENSAO DE 13,00 M, RESISTENCIA DE 1500 DAN, TIPO C-29                                                                                                                                                                                                                                                                                                                                                                                                       </v>
          </cell>
          <cell r="C3531" t="str">
            <v xml:space="preserve">UN    </v>
          </cell>
          <cell r="D3531" t="str">
            <v>CR</v>
          </cell>
          <cell r="E3531" t="str">
            <v>4.850,85</v>
          </cell>
        </row>
        <row r="3532">
          <cell r="A3532">
            <v>41182</v>
          </cell>
          <cell r="B3532" t="str">
            <v xml:space="preserve">POSTE DE CONCRETO ARMADO DE SECAO CIRCULAR, EXTENSAO DE 13,00 M, RESISTENCIA DE 2000 DAN, TIPO C-29                                                                                                                                                                                                                                                                                                                                                                                                       </v>
          </cell>
          <cell r="C3532" t="str">
            <v xml:space="preserve">UN    </v>
          </cell>
          <cell r="D3532" t="str">
            <v>CR</v>
          </cell>
          <cell r="E3532" t="str">
            <v>6.958,94</v>
          </cell>
        </row>
        <row r="3533">
          <cell r="A3533">
            <v>41183</v>
          </cell>
          <cell r="B3533" t="str">
            <v xml:space="preserve">POSTE DE CONCRETO ARMADO DE SECAO CIRCULAR, EXTENSAO DE 13,00 M, RESISTENCIA DE 2500 DAN, TIPO C-29                                                                                                                                                                                                                                                                                                                                                                                                       </v>
          </cell>
          <cell r="C3533" t="str">
            <v xml:space="preserve">UN    </v>
          </cell>
          <cell r="D3533" t="str">
            <v>CR</v>
          </cell>
          <cell r="E3533" t="str">
            <v>8.688,38</v>
          </cell>
        </row>
        <row r="3534">
          <cell r="A3534">
            <v>41184</v>
          </cell>
          <cell r="B3534" t="str">
            <v xml:space="preserve">POSTE DE CONCRETO ARMADO DE SECAO CIRCULAR, EXTENSAO DE 13,00 M, RESISTENCIA DE 3000 DAN, TIPO C-29                                                                                                                                                                                                                                                                                                                                                                                                       </v>
          </cell>
          <cell r="C3534" t="str">
            <v xml:space="preserve">UN    </v>
          </cell>
          <cell r="D3534" t="str">
            <v>CR</v>
          </cell>
          <cell r="E3534" t="str">
            <v>13.228,59</v>
          </cell>
        </row>
        <row r="3535">
          <cell r="A3535">
            <v>41185</v>
          </cell>
          <cell r="B3535" t="str">
            <v xml:space="preserve">POSTE DE CONCRETO ARMADO DE SECAO CIRCULAR, EXTENSAO DE 14,00 M, RESISTENCIA DE 1000 DAN, TIPO C-23                                                                                                                                                                                                                                                                                                                                                                                                       </v>
          </cell>
          <cell r="C3535" t="str">
            <v xml:space="preserve">UN    </v>
          </cell>
          <cell r="D3535" t="str">
            <v>CR</v>
          </cell>
          <cell r="E3535" t="str">
            <v>4.905,76</v>
          </cell>
        </row>
        <row r="3536">
          <cell r="A3536">
            <v>41186</v>
          </cell>
          <cell r="B3536" t="str">
            <v xml:space="preserve">POSTE DE CONCRETO ARMADO DE SECAO CIRCULAR, EXTENSAO DE 14,00 M, RESISTENCIA DE 1500 DAN, TIPO C-29                                                                                                                                                                                                                                                                                                                                                                                                       </v>
          </cell>
          <cell r="C3536" t="str">
            <v xml:space="preserve">UN    </v>
          </cell>
          <cell r="D3536" t="str">
            <v>CR</v>
          </cell>
          <cell r="E3536" t="str">
            <v>6.874,85</v>
          </cell>
        </row>
        <row r="3537">
          <cell r="A3537">
            <v>41187</v>
          </cell>
          <cell r="B3537" t="str">
            <v xml:space="preserve">POSTE DE CONCRETO ARMADO DE SECAO CIRCULAR, EXTENSAO DE 14,00 M, RESISTENCIA DE 2000 DAN, TIPO C-29                                                                                                                                                                                                                                                                                                                                                                                                       </v>
          </cell>
          <cell r="C3537" t="str">
            <v xml:space="preserve">UN    </v>
          </cell>
          <cell r="D3537" t="str">
            <v>CR</v>
          </cell>
          <cell r="E3537" t="str">
            <v>9.219,74</v>
          </cell>
        </row>
        <row r="3538">
          <cell r="A3538">
            <v>41188</v>
          </cell>
          <cell r="B3538" t="str">
            <v xml:space="preserve">POSTE DE CONCRETO ARMADO DE SECAO CIRCULAR, EXTENSAO DE 14,00 M, RESISTENCIA DE 2500 DAN, TIPO C-29                                                                                                                                                                                                                                                                                                                                                                                                       </v>
          </cell>
          <cell r="C3538" t="str">
            <v xml:space="preserve">UN    </v>
          </cell>
          <cell r="D3538" t="str">
            <v>CR</v>
          </cell>
          <cell r="E3538" t="str">
            <v>11.790,00</v>
          </cell>
        </row>
        <row r="3539">
          <cell r="A3539">
            <v>5036</v>
          </cell>
          <cell r="B3539" t="str">
            <v xml:space="preserve">POSTE DE CONCRETO ARMADO DE SECAO CIRCULAR, EXTENSAO DE 14,00 M, RESISTENCIA DE 300 A 400 DAN, TIPO C-17                                                                                                                                                                                                                                                                                                                                                                                                  </v>
          </cell>
          <cell r="C3539" t="str">
            <v xml:space="preserve">UN    </v>
          </cell>
          <cell r="D3539" t="str">
            <v>CR</v>
          </cell>
          <cell r="E3539" t="str">
            <v>2.500,48</v>
          </cell>
        </row>
        <row r="3540">
          <cell r="A3540">
            <v>41189</v>
          </cell>
          <cell r="B3540" t="str">
            <v xml:space="preserve">POSTE DE CONCRETO ARMADO DE SECAO CIRCULAR, EXTENSAO DE 14,00 M, RESISTENCIA DE 3000 DAN, TIPO C-29                                                                                                                                                                                                                                                                                                                                                                                                       </v>
          </cell>
          <cell r="C3540" t="str">
            <v xml:space="preserve">UN    </v>
          </cell>
          <cell r="D3540" t="str">
            <v>CR</v>
          </cell>
          <cell r="E3540" t="str">
            <v>15.157,28</v>
          </cell>
        </row>
        <row r="3541">
          <cell r="A3541">
            <v>41190</v>
          </cell>
          <cell r="B3541" t="str">
            <v xml:space="preserve">POSTE DE CONCRETO ARMADO DE SECAO CIRCULAR, EXTENSAO DE 15,00 M, RESISTENCIA DE 1000 DAN, TIPO C-23                                                                                                                                                                                                                                                                                                                                                                                                       </v>
          </cell>
          <cell r="C3541" t="str">
            <v xml:space="preserve">UN    </v>
          </cell>
          <cell r="D3541" t="str">
            <v>CR</v>
          </cell>
          <cell r="E3541" t="str">
            <v>5.271,17</v>
          </cell>
        </row>
        <row r="3542">
          <cell r="A3542">
            <v>41191</v>
          </cell>
          <cell r="B3542" t="str">
            <v xml:space="preserve">POSTE DE CONCRETO ARMADO DE SECAO CIRCULAR, EXTENSAO DE 15,00 M, RESISTENCIA DE 1500 DAN, TIPO C-29                                                                                                                                                                                                                                                                                                                                                                                                       </v>
          </cell>
          <cell r="C3542" t="str">
            <v xml:space="preserve">UN    </v>
          </cell>
          <cell r="D3542" t="str">
            <v>CR</v>
          </cell>
          <cell r="E3542" t="str">
            <v>8.083,14</v>
          </cell>
        </row>
        <row r="3543">
          <cell r="A3543">
            <v>41192</v>
          </cell>
          <cell r="B3543" t="str">
            <v xml:space="preserve">POSTE DE CONCRETO ARMADO DE SECAO CIRCULAR, EXTENSAO DE 15,00 M, RESISTENCIA DE 2000 DAN, TIPO C-29                                                                                                                                                                                                                                                                                                                                                                                                       </v>
          </cell>
          <cell r="C3543" t="str">
            <v xml:space="preserve">UN    </v>
          </cell>
          <cell r="D3543" t="str">
            <v>CR</v>
          </cell>
          <cell r="E3543" t="str">
            <v>8.426,61</v>
          </cell>
        </row>
        <row r="3544">
          <cell r="A3544">
            <v>41193</v>
          </cell>
          <cell r="B3544" t="str">
            <v xml:space="preserve">POSTE DE CONCRETO ARMADO DE SECAO CIRCULAR, EXTENSAO DE 15,00 M, RESISTENCIA DE 2500 DAN, TIPO C-29                                                                                                                                                                                                                                                                                                                                                                                                       </v>
          </cell>
          <cell r="C3544" t="str">
            <v xml:space="preserve">UN    </v>
          </cell>
          <cell r="D3544" t="str">
            <v>CR</v>
          </cell>
          <cell r="E3544" t="str">
            <v>13.768,81</v>
          </cell>
        </row>
        <row r="3545">
          <cell r="A3545">
            <v>41194</v>
          </cell>
          <cell r="B3545" t="str">
            <v xml:space="preserve">POSTE DE CONCRETO ARMADO DE SECAO CIRCULAR, EXTENSAO DE 15,00 M, RESISTENCIA DE 3000 DAN, TIPO C-29                                                                                                                                                                                                                                                                                                                                                                                                       </v>
          </cell>
          <cell r="C3545" t="str">
            <v xml:space="preserve">UN    </v>
          </cell>
          <cell r="D3545" t="str">
            <v>CR</v>
          </cell>
          <cell r="E3545" t="str">
            <v>16.429,31</v>
          </cell>
        </row>
        <row r="3546">
          <cell r="A3546">
            <v>5044</v>
          </cell>
          <cell r="B3546" t="str">
            <v xml:space="preserve">POSTE DE CONCRETO ARMADO DE SECAO CIRCULAR, EXTENSAO DE 9,00 M, RESISTENCIA DE 200 A 300 DAN, TIPO C-14                                                                                                                                                                                                                                                                                                                                                                                                   </v>
          </cell>
          <cell r="C3546" t="str">
            <v xml:space="preserve">UN    </v>
          </cell>
          <cell r="D3546" t="str">
            <v>CR</v>
          </cell>
          <cell r="E3546" t="str">
            <v>884,06</v>
          </cell>
        </row>
        <row r="3547">
          <cell r="A3547">
            <v>5059</v>
          </cell>
          <cell r="B3547" t="str">
            <v xml:space="preserve">POSTE DE CONCRETO ARMADO DE SECAO CIRCULAR, EXTENSAO DE 9,00 M, RESISTENCIA DE 300 A 400 DAN, TIPO C-17                                                                                                                                                                                                                                                                                                                                                                                                   </v>
          </cell>
          <cell r="C3547" t="str">
            <v xml:space="preserve">UN    </v>
          </cell>
          <cell r="D3547" t="str">
            <v>CR</v>
          </cell>
          <cell r="E3547" t="str">
            <v>1.057,23</v>
          </cell>
        </row>
        <row r="3548">
          <cell r="A3548">
            <v>41201</v>
          </cell>
          <cell r="B3548" t="str">
            <v xml:space="preserve">POSTE DE CONCRETO ARMADO DE SECAO DUPLO T, EXTENSAO DE 10,00 M, RESISTENCIA DE 1000 DAN, TIPO B-1,5                                                                                                                                                                                                                                                                                                                                                                                                       </v>
          </cell>
          <cell r="C3548" t="str">
            <v xml:space="preserve">UN    </v>
          </cell>
          <cell r="D3548" t="str">
            <v>CR</v>
          </cell>
          <cell r="E3548" t="str">
            <v>2.145,56</v>
          </cell>
        </row>
        <row r="3549">
          <cell r="A3549">
            <v>41199</v>
          </cell>
          <cell r="B3549" t="str">
            <v xml:space="preserve">POSTE DE CONCRETO ARMADO DE SECAO DUPLO T, EXTENSAO DE 10,00 M, RESISTENCIA DE 150 DAN, TIPO D                                                                                                                                                                                                                                                                                                                                                                                                            </v>
          </cell>
          <cell r="C3549" t="str">
            <v xml:space="preserve">UN    </v>
          </cell>
          <cell r="D3549" t="str">
            <v>CR</v>
          </cell>
          <cell r="E3549" t="str">
            <v>689,45</v>
          </cell>
        </row>
        <row r="3550">
          <cell r="A3550">
            <v>5057</v>
          </cell>
          <cell r="B3550" t="str">
            <v xml:space="preserve">POSTE DE CONCRETO ARMADO DE SECAO DUPLO T, EXTENSAO DE 10,00 M, RESISTENCIA DE 300 A 400 DAN, TIPO B OU D                                                                                                                                                                                                                                                                                                                                                                                                 </v>
          </cell>
          <cell r="C3550" t="str">
            <v xml:space="preserve">UN    </v>
          </cell>
          <cell r="D3550" t="str">
            <v>CR</v>
          </cell>
          <cell r="E3550" t="str">
            <v>933,39</v>
          </cell>
        </row>
        <row r="3551">
          <cell r="A3551">
            <v>41200</v>
          </cell>
          <cell r="B3551" t="str">
            <v xml:space="preserve">POSTE DE CONCRETO ARMADO DE SECAO DUPLO T, EXTENSAO DE 10,00 M, RESISTENCIA DE 600 DAN, TIPO B                                                                                                                                                                                                                                                                                                                                                                                                            </v>
          </cell>
          <cell r="C3551" t="str">
            <v xml:space="preserve">UN    </v>
          </cell>
          <cell r="D3551" t="str">
            <v>CR</v>
          </cell>
          <cell r="E3551" t="str">
            <v>1.341,91</v>
          </cell>
        </row>
        <row r="3552">
          <cell r="A3552">
            <v>41205</v>
          </cell>
          <cell r="B3552" t="str">
            <v xml:space="preserve">POSTE DE CONCRETO ARMADO DE SECAO DUPLO T, EXTENSAO DE 11,00 M, RESISTENCIA DE 1000 DAN, TIPO B-1,5                                                                                                                                                                                                                                                                                                                                                                                                       </v>
          </cell>
          <cell r="C3552" t="str">
            <v xml:space="preserve">UN    </v>
          </cell>
          <cell r="D3552" t="str">
            <v>CR</v>
          </cell>
          <cell r="E3552" t="str">
            <v>2.486,54</v>
          </cell>
        </row>
        <row r="3553">
          <cell r="A3553">
            <v>41202</v>
          </cell>
          <cell r="B3553" t="str">
            <v xml:space="preserve">POSTE DE CONCRETO ARMADO DE SECAO DUPLO T, EXTENSAO DE 11,00 M, RESISTENCIA DE 150 DAN, TIPO D                                                                                                                                                                                                                                                                                                                                                                                                            </v>
          </cell>
          <cell r="C3553" t="str">
            <v xml:space="preserve">UN    </v>
          </cell>
          <cell r="D3553" t="str">
            <v>CR</v>
          </cell>
          <cell r="E3553" t="str">
            <v>725,59</v>
          </cell>
        </row>
        <row r="3554">
          <cell r="A3554">
            <v>41206</v>
          </cell>
          <cell r="B3554" t="str">
            <v xml:space="preserve">POSTE DE CONCRETO ARMADO DE SECAO DUPLO T, EXTENSAO DE 11,00 M, RESISTENCIA DE 1500 DAN, TIPO B-3,0                                                                                                                                                                                                                                                                                                                                                                                                       </v>
          </cell>
          <cell r="C3554" t="str">
            <v xml:space="preserve">UN    </v>
          </cell>
          <cell r="D3554" t="str">
            <v>CR</v>
          </cell>
          <cell r="E3554" t="str">
            <v>3.278,39</v>
          </cell>
        </row>
        <row r="3555">
          <cell r="A3555">
            <v>12372</v>
          </cell>
          <cell r="B3555" t="str">
            <v xml:space="preserve">POSTE DE CONCRETO ARMADO DE SECAO DUPLO T, EXTENSAO DE 11,00 M, RESISTENCIA DE 200 DAN, TIPO D                                                                                                                                                                                                                                                                                                                                                                                                            </v>
          </cell>
          <cell r="C3555" t="str">
            <v xml:space="preserve">UN    </v>
          </cell>
          <cell r="D3555" t="str">
            <v>CR</v>
          </cell>
          <cell r="E3555" t="str">
            <v>761,87</v>
          </cell>
        </row>
        <row r="3556">
          <cell r="A3556">
            <v>41207</v>
          </cell>
          <cell r="B3556" t="str">
            <v xml:space="preserve">POSTE DE CONCRETO ARMADO DE SECAO DUPLO T, EXTENSAO DE 11,00 M, RESISTENCIA DE 2000 DAN, TIPO B-4,5                                                                                                                                                                                                                                                                                                                                                                                                       </v>
          </cell>
          <cell r="C3556" t="str">
            <v xml:space="preserve">UN    </v>
          </cell>
          <cell r="D3556" t="str">
            <v>CR</v>
          </cell>
          <cell r="E3556" t="str">
            <v>4.413,37</v>
          </cell>
        </row>
        <row r="3557">
          <cell r="A3557">
            <v>41203</v>
          </cell>
          <cell r="B3557" t="str">
            <v xml:space="preserve">POSTE DE CONCRETO ARMADO DE SECAO DUPLO T, EXTENSAO DE 11,00 M, RESISTENCIA DE 300 DAN, TIPO B                                                                                                                                                                                                                                                                                                                                                                                                            </v>
          </cell>
          <cell r="C3557" t="str">
            <v xml:space="preserve">UN    </v>
          </cell>
          <cell r="D3557" t="str">
            <v>CR</v>
          </cell>
          <cell r="E3557" t="str">
            <v>1.162,31</v>
          </cell>
        </row>
        <row r="3558">
          <cell r="A3558">
            <v>41204</v>
          </cell>
          <cell r="B3558" t="str">
            <v xml:space="preserve">POSTE DE CONCRETO ARMADO DE SECAO DUPLO T, EXTENSAO DE 11,00 M, RESISTENCIA DE 600 DAN, TIPO B                                                                                                                                                                                                                                                                                                                                                                                                            </v>
          </cell>
          <cell r="C3558" t="str">
            <v xml:space="preserve">UN    </v>
          </cell>
          <cell r="D3558" t="str">
            <v>CR</v>
          </cell>
          <cell r="E3558" t="str">
            <v>1.643,22</v>
          </cell>
        </row>
        <row r="3559">
          <cell r="A3559">
            <v>41210</v>
          </cell>
          <cell r="B3559" t="str">
            <v xml:space="preserve">POSTE DE CONCRETO ARMADO DE SECAO DUPLO T, EXTENSAO DE 12,00 M, RESISTENCIA DE 1000 DAN, TIPO B-1,5                                                                                                                                                                                                                                                                                                                                                                                                       </v>
          </cell>
          <cell r="C3559" t="str">
            <v xml:space="preserve">UN    </v>
          </cell>
          <cell r="D3559" t="str">
            <v>CR</v>
          </cell>
          <cell r="E3559" t="str">
            <v>2.744,95</v>
          </cell>
        </row>
        <row r="3560">
          <cell r="A3560">
            <v>41208</v>
          </cell>
          <cell r="B3560" t="str">
            <v xml:space="preserve">POSTE DE CONCRETO ARMADO DE SECAO DUPLO T, EXTENSAO DE 12,00 M, RESISTENCIA DE 150 DAN, TIPO D                                                                                                                                                                                                                                                                                                                                                                                                            </v>
          </cell>
          <cell r="C3560" t="str">
            <v xml:space="preserve">UN    </v>
          </cell>
          <cell r="D3560" t="str">
            <v>CR</v>
          </cell>
          <cell r="E3560" t="str">
            <v>960,89</v>
          </cell>
        </row>
        <row r="3561">
          <cell r="A3561">
            <v>41211</v>
          </cell>
          <cell r="B3561" t="str">
            <v xml:space="preserve">POSTE DE CONCRETO ARMADO DE SECAO DUPLO T, EXTENSAO DE 12,00 M, RESISTENCIA DE 1500 DAN, TIPO B-3,0                                                                                                                                                                                                                                                                                                                                                                                                       </v>
          </cell>
          <cell r="C3561" t="str">
            <v xml:space="preserve">UN    </v>
          </cell>
          <cell r="D3561" t="str">
            <v>CR</v>
          </cell>
          <cell r="E3561" t="str">
            <v>3.867,60</v>
          </cell>
        </row>
        <row r="3562">
          <cell r="A3562">
            <v>13339</v>
          </cell>
          <cell r="B3562" t="str">
            <v xml:space="preserve">POSTE DE CONCRETO ARMADO DE SECAO DUPLO T, EXTENSAO DE 12,00 M, RESISTENCIA DE 300 A 400 DAN, TIPO B OU D                                                                                                                                                                                                                                                                                                                                                                                                 </v>
          </cell>
          <cell r="C3562" t="str">
            <v xml:space="preserve">UN    </v>
          </cell>
          <cell r="D3562" t="str">
            <v>CR</v>
          </cell>
          <cell r="E3562" t="str">
            <v>1.302,24</v>
          </cell>
        </row>
        <row r="3563">
          <cell r="A3563">
            <v>41213</v>
          </cell>
          <cell r="B3563" t="str">
            <v xml:space="preserve">POSTE DE CONCRETO ARMADO DE SECAO DUPLO T, EXTENSAO DE 12,00 M, RESISTENCIA DE 3000 DAN, TIPO B-6,0                                                                                                                                                                                                                                                                                                                                                                                                       </v>
          </cell>
          <cell r="C3563" t="str">
            <v xml:space="preserve">UN    </v>
          </cell>
          <cell r="D3563" t="str">
            <v>CR</v>
          </cell>
          <cell r="E3563" t="str">
            <v>8.016,58</v>
          </cell>
        </row>
        <row r="3564">
          <cell r="A3564">
            <v>41209</v>
          </cell>
          <cell r="B3564" t="str">
            <v xml:space="preserve">POSTE DE CONCRETO ARMADO DE SECAO DUPLO T, EXTENSAO DE 12,00 M, RESISTENCIA DE 600 DAN, TIPO B                                                                                                                                                                                                                                                                                                                                                                                                            </v>
          </cell>
          <cell r="C3564" t="str">
            <v xml:space="preserve">UN    </v>
          </cell>
          <cell r="D3564" t="str">
            <v>CR</v>
          </cell>
          <cell r="E3564" t="str">
            <v>1.791,72</v>
          </cell>
        </row>
        <row r="3565">
          <cell r="A3565">
            <v>41216</v>
          </cell>
          <cell r="B3565" t="str">
            <v xml:space="preserve">POSTE DE CONCRETO ARMADO DE SECAO DUPLO T, EXTENSAO DE 13,00 M, RESISTENCIA DE 1000 DAN, TIPO B-1,5                                                                                                                                                                                                                                                                                                                                                                                                       </v>
          </cell>
          <cell r="C3565" t="str">
            <v xml:space="preserve">UN    </v>
          </cell>
          <cell r="D3565" t="str">
            <v>CR</v>
          </cell>
          <cell r="E3565" t="str">
            <v>3.356,13</v>
          </cell>
        </row>
        <row r="3566">
          <cell r="A3566">
            <v>41217</v>
          </cell>
          <cell r="B3566" t="str">
            <v xml:space="preserve">POSTE DE CONCRETO ARMADO DE SECAO DUPLO T, EXTENSAO DE 13,00 M, RESISTENCIA DE 1500 DAN, TIPO B-3,0                                                                                                                                                                                                                                                                                                                                                                                                       </v>
          </cell>
          <cell r="C3566" t="str">
            <v xml:space="preserve">UN    </v>
          </cell>
          <cell r="D3566" t="str">
            <v>CR</v>
          </cell>
          <cell r="E3566" t="str">
            <v>5.381,07</v>
          </cell>
        </row>
        <row r="3567">
          <cell r="A3567">
            <v>41218</v>
          </cell>
          <cell r="B3567" t="str">
            <v xml:space="preserve">POSTE DE CONCRETO ARMADO DE SECAO DUPLO T, EXTENSAO DE 13,00 M, RESISTENCIA DE 2000 DAN, TIPO B-4,5                                                                                                                                                                                                                                                                                                                                                                                                       </v>
          </cell>
          <cell r="C3567" t="str">
            <v xml:space="preserve">UN    </v>
          </cell>
          <cell r="D3567" t="str">
            <v>CR</v>
          </cell>
          <cell r="E3567" t="str">
            <v>7.216,18</v>
          </cell>
        </row>
        <row r="3568">
          <cell r="A3568">
            <v>41214</v>
          </cell>
          <cell r="B3568" t="str">
            <v xml:space="preserve">POSTE DE CONCRETO ARMADO DE SECAO DUPLO T, EXTENSAO DE 13,00 M, RESISTENCIA DE 300 DAN, TIPO B                                                                                                                                                                                                                                                                                                                                                                                                            </v>
          </cell>
          <cell r="C3568" t="str">
            <v xml:space="preserve">UN    </v>
          </cell>
          <cell r="D3568" t="str">
            <v>CR</v>
          </cell>
          <cell r="E3568" t="str">
            <v>1.521,52</v>
          </cell>
        </row>
        <row r="3569">
          <cell r="A3569">
            <v>41215</v>
          </cell>
          <cell r="B3569" t="str">
            <v xml:space="preserve">POSTE DE CONCRETO ARMADO DE SECAO DUPLO T, EXTENSAO DE 13,00 M, RESISTENCIA DE 600 DAN, TIPO B                                                                                                                                                                                                                                                                                                                                                                                                            </v>
          </cell>
          <cell r="C3569" t="str">
            <v xml:space="preserve">UN    </v>
          </cell>
          <cell r="D3569" t="str">
            <v>CR</v>
          </cell>
          <cell r="E3569" t="str">
            <v>2.290,85</v>
          </cell>
        </row>
        <row r="3570">
          <cell r="A3570">
            <v>41221</v>
          </cell>
          <cell r="B3570" t="str">
            <v xml:space="preserve">POSTE DE CONCRETO ARMADO DE SECAO DUPLO T, EXTENSAO DE 15,00 M, RESISTENCIA DE 1500 DAN, TIPO B-3,0                                                                                                                                                                                                                                                                                                                                                                                                       </v>
          </cell>
          <cell r="C3570" t="str">
            <v xml:space="preserve">UN    </v>
          </cell>
          <cell r="D3570" t="str">
            <v>CR</v>
          </cell>
          <cell r="E3570" t="str">
            <v>6.633,20</v>
          </cell>
        </row>
        <row r="3571">
          <cell r="A3571">
            <v>41222</v>
          </cell>
          <cell r="B3571" t="str">
            <v xml:space="preserve">POSTE DE CONCRETO ARMADO DE SECAO DUPLO T, EXTENSAO DE 15,00 M, RESISTENCIA DE 2000 DAN, TIPO B-4,5                                                                                                                                                                                                                                                                                                                                                                                                       </v>
          </cell>
          <cell r="C3571" t="str">
            <v xml:space="preserve">UN    </v>
          </cell>
          <cell r="D3571" t="str">
            <v>CR</v>
          </cell>
          <cell r="E3571" t="str">
            <v>9.492,19</v>
          </cell>
        </row>
        <row r="3572">
          <cell r="A3572">
            <v>41195</v>
          </cell>
          <cell r="B3572" t="str">
            <v xml:space="preserve">POSTE DE CONCRETO ARMADO DE SECAO DUPLO T, EXTENSAO DE 8,00 M, RESISTENCIA DE 150 DAN, TIPO D                                                                                                                                                                                                                                                                                                                                                                                                             </v>
          </cell>
          <cell r="C3572" t="str">
            <v xml:space="preserve">UN    </v>
          </cell>
          <cell r="D3572" t="str">
            <v>CR</v>
          </cell>
          <cell r="E3572" t="str">
            <v>487,87</v>
          </cell>
        </row>
        <row r="3573">
          <cell r="A3573">
            <v>41198</v>
          </cell>
          <cell r="B3573" t="str">
            <v xml:space="preserve">POSTE DE CONCRETO ARMADO DE SECAO DUPLO T, EXTENSAO DE 9,00 M, RESISTENCIA DE 1000 DAN, TIPO B-1,5                                                                                                                                                                                                                                                                                                                                                                                                        </v>
          </cell>
          <cell r="C3573" t="str">
            <v xml:space="preserve">UN    </v>
          </cell>
          <cell r="D3573" t="str">
            <v>CR</v>
          </cell>
          <cell r="E3573" t="str">
            <v>1.906,48</v>
          </cell>
        </row>
        <row r="3574">
          <cell r="A3574">
            <v>41196</v>
          </cell>
          <cell r="B3574" t="str">
            <v xml:space="preserve">POSTE DE CONCRETO ARMADO DE SECAO DUPLO T, EXTENSAO DE 9,00 M, RESISTENCIA DE 150 DAN, TIPO D                                                                                                                                                                                                                                                                                                                                                                                                             </v>
          </cell>
          <cell r="C3574" t="str">
            <v xml:space="preserve">UN    </v>
          </cell>
          <cell r="D3574" t="str">
            <v>CR</v>
          </cell>
          <cell r="E3574" t="str">
            <v>604,74</v>
          </cell>
        </row>
        <row r="3575">
          <cell r="A3575">
            <v>5033</v>
          </cell>
          <cell r="B3575" t="str">
            <v xml:space="preserve">POSTE DE CONCRETO ARMADO DE SECAO DUPLO T, EXTENSAO DE 9,00 M, RESISTENCIA DE 300 A 400 DAN, TIPO B OU D                                                                                                                                                                                                                                                                                                                                                                                                  </v>
          </cell>
          <cell r="C3575" t="str">
            <v xml:space="preserve">UN    </v>
          </cell>
          <cell r="D3575" t="str">
            <v xml:space="preserve">C </v>
          </cell>
          <cell r="E3575" t="str">
            <v>794,00</v>
          </cell>
        </row>
        <row r="3576">
          <cell r="A3576">
            <v>41197</v>
          </cell>
          <cell r="B3576" t="str">
            <v xml:space="preserve">POSTE DE CONCRETO ARMADO DE SECAO DUPLO T, EXTENSAO DE 9,00 M, RESISTENCIA DE 600 DAN, TIPO B                                                                                                                                                                                                                                                                                                                                                                                                             </v>
          </cell>
          <cell r="C3576" t="str">
            <v xml:space="preserve">UN    </v>
          </cell>
          <cell r="D3576" t="str">
            <v>CR</v>
          </cell>
          <cell r="E3576" t="str">
            <v>1.179,38</v>
          </cell>
        </row>
        <row r="3577">
          <cell r="A3577">
            <v>12388</v>
          </cell>
          <cell r="B3577" t="str">
            <v xml:space="preserve">POSTE DECORATIVO PARA JARDIM EM ACO TUBULAR, SEM LUMINARIA, H = *2,5* M                                                                                                                                                                                                                                                                                                                                                                                                                                   </v>
          </cell>
          <cell r="C3577" t="str">
            <v xml:space="preserve">UN    </v>
          </cell>
          <cell r="D3577" t="str">
            <v>CR</v>
          </cell>
          <cell r="E3577" t="str">
            <v>301,63</v>
          </cell>
        </row>
        <row r="3578">
          <cell r="A3578">
            <v>2731</v>
          </cell>
          <cell r="B3578" t="str">
            <v xml:space="preserve">POSTE ROLICO DE MADEIRA TRATADA, D = 20 A 25 CM, H = 12,00 M, EM EUCALIPTO OU EQUIVALENTE DA REGIAO                                                                                                                                                                                                                                                                                                                                                                                                       </v>
          </cell>
          <cell r="C3578" t="str">
            <v xml:space="preserve">M     </v>
          </cell>
          <cell r="D3578" t="str">
            <v>CR</v>
          </cell>
          <cell r="E3578" t="str">
            <v>92,16</v>
          </cell>
        </row>
        <row r="3579">
          <cell r="A3579">
            <v>41457</v>
          </cell>
          <cell r="B3579" t="str">
            <v xml:space="preserve">POSTES METALICOS AUTOPORTANTES, CONICO OU TELESCOPICO, PARA SPDA, ALTURA 10 METROS LIVRES                                                                                                                                                                                                                                                                                                                                                                                                                 </v>
          </cell>
          <cell r="C3579" t="str">
            <v xml:space="preserve">UN    </v>
          </cell>
          <cell r="D3579" t="str">
            <v>CR</v>
          </cell>
          <cell r="E3579" t="str">
            <v>1.692,38</v>
          </cell>
        </row>
        <row r="3580">
          <cell r="A3580">
            <v>41458</v>
          </cell>
          <cell r="B3580" t="str">
            <v xml:space="preserve">POSTES METALICOS AUTOPORTANTES, CONICO OU TELESCOPICO, PARA SPDA, ALTURA 12 METROS LIVRES                                                                                                                                                                                                                                                                                                                                                                                                                 </v>
          </cell>
          <cell r="C3580" t="str">
            <v xml:space="preserve">UN    </v>
          </cell>
          <cell r="D3580" t="str">
            <v>CR</v>
          </cell>
          <cell r="E3580" t="str">
            <v>2.362,64</v>
          </cell>
        </row>
        <row r="3581">
          <cell r="A3581">
            <v>41459</v>
          </cell>
          <cell r="B3581" t="str">
            <v xml:space="preserve">POSTES METALICOS AUTOPORTANTES, CONICO OU TELESCOPICO, PARA SPDA, ALTURA 15 METROS LIVRES                                                                                                                                                                                                                                                                                                                                                                                                                 </v>
          </cell>
          <cell r="C3581" t="str">
            <v xml:space="preserve">UN    </v>
          </cell>
          <cell r="D3581" t="str">
            <v>CR</v>
          </cell>
          <cell r="E3581" t="str">
            <v>3.295,71</v>
          </cell>
        </row>
        <row r="3582">
          <cell r="A3582">
            <v>41461</v>
          </cell>
          <cell r="B3582" t="str">
            <v xml:space="preserve">POSTES METALICOS AUTOPORTANTES, CONICO OU TELESCOPICO, PARA SPDA, ALTURA 20 METROS LIVRES                                                                                                                                                                                                                                                                                                                                                                                                                 </v>
          </cell>
          <cell r="C3582" t="str">
            <v xml:space="preserve">UN    </v>
          </cell>
          <cell r="D3582" t="str">
            <v>CR</v>
          </cell>
          <cell r="E3582" t="str">
            <v>4.493,53</v>
          </cell>
        </row>
        <row r="3583">
          <cell r="A3583">
            <v>44537</v>
          </cell>
          <cell r="B3583" t="str">
            <v xml:space="preserve">POZOLANA DE CLASSE  C                                                                                                                                                                                                                                                                                                                                                                                                                                                                                     </v>
          </cell>
          <cell r="C3583" t="str">
            <v xml:space="preserve">T     </v>
          </cell>
          <cell r="D3583" t="str">
            <v>CR</v>
          </cell>
          <cell r="E3583" t="str">
            <v>346,27</v>
          </cell>
        </row>
        <row r="3584">
          <cell r="A3584">
            <v>11844</v>
          </cell>
          <cell r="B3584" t="str">
            <v xml:space="preserve">PRANCHA APARELHADA *4 X 30* CM, EM MACARANDUBA/MASSARANDUBA, ANGELIM OU EQUIVALENTE DA REGIAO                                                                                                                                                                                                                                                                                                                                                                                                             </v>
          </cell>
          <cell r="C3584" t="str">
            <v xml:space="preserve">M     </v>
          </cell>
          <cell r="D3584" t="str">
            <v>CR</v>
          </cell>
          <cell r="E3584" t="str">
            <v>65,08</v>
          </cell>
        </row>
        <row r="3585">
          <cell r="A3585">
            <v>4465</v>
          </cell>
          <cell r="B3585" t="str">
            <v xml:space="preserve">PRANCHA NAO APARELHADA *6 X 25* CM, EM MACARANDUBA/MASSARANDUBA, ANGELIM OU EQUIVALENTE DA REGIAO - BRUTA                                                                                                                                                                                                                                                                                                                                                                                                 </v>
          </cell>
          <cell r="C3585" t="str">
            <v xml:space="preserve">M     </v>
          </cell>
          <cell r="D3585" t="str">
            <v>CR</v>
          </cell>
          <cell r="E3585" t="str">
            <v>54,09</v>
          </cell>
        </row>
        <row r="3586">
          <cell r="A3586">
            <v>35273</v>
          </cell>
          <cell r="B3586" t="str">
            <v xml:space="preserve">PRANCHA NAO APARELHADA *6 X 30* CM, EM MACARANDUBA/MASSARANDUBA, ANGELIM OU EQUIVALENTE DA REGIAO - BRUTA                                                                                                                                                                                                                                                                                                                                                                                                 </v>
          </cell>
          <cell r="C3586" t="str">
            <v xml:space="preserve">M     </v>
          </cell>
          <cell r="D3586" t="str">
            <v>CR</v>
          </cell>
          <cell r="E3586" t="str">
            <v>64,87</v>
          </cell>
        </row>
        <row r="3587">
          <cell r="A3587">
            <v>4470</v>
          </cell>
          <cell r="B3587" t="str">
            <v xml:space="preserve">PRANCHA NAO APARELHADA *6 X 40* CM, EM MACARANDUBA/MASSARANDUBA, ANGELIM OU EQUIVALENTE DA REGIAO - BRUTA                                                                                                                                                                                                                                                                                                                                                                                                 </v>
          </cell>
          <cell r="C3587" t="str">
            <v xml:space="preserve">M     </v>
          </cell>
          <cell r="D3587" t="str">
            <v>CR</v>
          </cell>
          <cell r="E3587" t="str">
            <v>149,70</v>
          </cell>
        </row>
        <row r="3588">
          <cell r="A3588">
            <v>20204</v>
          </cell>
          <cell r="B3588" t="str">
            <v xml:space="preserve">PRANCHAO APARELHADO *7,5 X 23* CM, EM MACARANDUBA/MASSARANDUBA, ANGELIM OU EQUIVALENTE DA REGIAO                                                                                                                                                                                                                                                                                                                                                                                                          </v>
          </cell>
          <cell r="C3588" t="str">
            <v xml:space="preserve">M     </v>
          </cell>
          <cell r="D3588" t="str">
            <v>CR</v>
          </cell>
          <cell r="E3588" t="str">
            <v>99,80</v>
          </cell>
        </row>
        <row r="3589">
          <cell r="A3589">
            <v>20208</v>
          </cell>
          <cell r="B3589" t="str">
            <v xml:space="preserve">PRANCHAO APARELHADO *8 X 30* CM, EM MACARANDUBA/MASSARANDUBA, ANGELIM OU EQUIVALENTE DA REGIAO                                                                                                                                                                                                                                                                                                                                                                                                            </v>
          </cell>
          <cell r="C3589" t="str">
            <v xml:space="preserve">M     </v>
          </cell>
          <cell r="D3589" t="str">
            <v>CR</v>
          </cell>
          <cell r="E3589" t="str">
            <v>134,73</v>
          </cell>
        </row>
        <row r="3590">
          <cell r="A3590">
            <v>4437</v>
          </cell>
          <cell r="B3590" t="str">
            <v xml:space="preserve">PRANCHAO NAO APARELHADO *7,5 X 23* CM, EM MACARANDUBA/MASSARANDUBA, ANGELIM OU EQUIVALENTE DA REGIAO - BRUTA                                                                                                                                                                                                                                                                                                                                                                                              </v>
          </cell>
          <cell r="C3590" t="str">
            <v xml:space="preserve">M     </v>
          </cell>
          <cell r="D3590" t="str">
            <v>CR</v>
          </cell>
          <cell r="E3590" t="str">
            <v>112,27</v>
          </cell>
        </row>
        <row r="3591">
          <cell r="A3591">
            <v>14580</v>
          </cell>
          <cell r="B3591" t="str">
            <v xml:space="preserve">PRANCHAO NAO APARELHADO *8 X 30* CM, EM MACARANDUBA/MASSARANDUBA, ANGELIM OU EQUIVALENTE DA REGIAO - BRUTA                                                                                                                                                                                                                                                                                                                                                                                                </v>
          </cell>
          <cell r="C3591" t="str">
            <v xml:space="preserve">M     </v>
          </cell>
          <cell r="D3591" t="str">
            <v>CR</v>
          </cell>
          <cell r="E3591" t="str">
            <v>112,27</v>
          </cell>
        </row>
        <row r="3592">
          <cell r="A3592">
            <v>40304</v>
          </cell>
          <cell r="B3592" t="str">
            <v xml:space="preserve">PREGO DE ACO POLIDO COM CABECA DUPLA 17 X 27 (2 1/2 X 11)                                                                                                                                                                                                                                                                                                                                                                                                                                                 </v>
          </cell>
          <cell r="C3592" t="str">
            <v xml:space="preserve">KG    </v>
          </cell>
          <cell r="D3592" t="str">
            <v>CR</v>
          </cell>
          <cell r="E3592" t="str">
            <v>18,08</v>
          </cell>
        </row>
        <row r="3593">
          <cell r="A3593">
            <v>5065</v>
          </cell>
          <cell r="B3593" t="str">
            <v xml:space="preserve">PREGO DE ACO POLIDO COM CABECA 10 X 10 (7/8 X 17)                                                                                                                                                                                                                                                                                                                                                                                                                                                         </v>
          </cell>
          <cell r="C3593" t="str">
            <v xml:space="preserve">KG    </v>
          </cell>
          <cell r="D3593" t="str">
            <v>CR</v>
          </cell>
          <cell r="E3593" t="str">
            <v>27,86</v>
          </cell>
        </row>
        <row r="3594">
          <cell r="A3594">
            <v>5072</v>
          </cell>
          <cell r="B3594" t="str">
            <v xml:space="preserve">PREGO DE ACO POLIDO COM CABECA 10 X 11 (1 X 17)                                                                                                                                                                                                                                                                                                                                                                                                                                                           </v>
          </cell>
          <cell r="C3594" t="str">
            <v xml:space="preserve">KG    </v>
          </cell>
          <cell r="D3594" t="str">
            <v>CR</v>
          </cell>
          <cell r="E3594" t="str">
            <v>25,77</v>
          </cell>
        </row>
        <row r="3595">
          <cell r="A3595">
            <v>5066</v>
          </cell>
          <cell r="B3595" t="str">
            <v xml:space="preserve">PREGO DE ACO POLIDO COM CABECA 12 X 12                                                                                                                                                                                                                                                                                                                                                                                                                                                                    </v>
          </cell>
          <cell r="C3595" t="str">
            <v xml:space="preserve">KG    </v>
          </cell>
          <cell r="D3595" t="str">
            <v>CR</v>
          </cell>
          <cell r="E3595" t="str">
            <v>19,30</v>
          </cell>
        </row>
        <row r="3596">
          <cell r="A3596">
            <v>5063</v>
          </cell>
          <cell r="B3596" t="str">
            <v xml:space="preserve">PREGO DE ACO POLIDO COM CABECA 14 X 18 (1 1/2 X 14)                                                                                                                                                                                                                                                                                                                                                                                                                                                       </v>
          </cell>
          <cell r="C3596" t="str">
            <v xml:space="preserve">KG    </v>
          </cell>
          <cell r="D3596" t="str">
            <v>CR</v>
          </cell>
          <cell r="E3596" t="str">
            <v>17,48</v>
          </cell>
        </row>
        <row r="3597">
          <cell r="A3597">
            <v>20247</v>
          </cell>
          <cell r="B3597" t="str">
            <v xml:space="preserve">PREGO DE ACO POLIDO COM CABECA 15 X 15 (1 1/4 X 13)                                                                                                                                                                                                                                                                                                                                                                                                                                                       </v>
          </cell>
          <cell r="C3597" t="str">
            <v xml:space="preserve">KG    </v>
          </cell>
          <cell r="D3597" t="str">
            <v>CR</v>
          </cell>
          <cell r="E3597" t="str">
            <v>16,22</v>
          </cell>
        </row>
        <row r="3598">
          <cell r="A3598">
            <v>5074</v>
          </cell>
          <cell r="B3598" t="str">
            <v xml:space="preserve">PREGO DE ACO POLIDO COM CABECA 15 X 18 (1 1/2 X 13)                                                                                                                                                                                                                                                                                                                                                                                                                                                       </v>
          </cell>
          <cell r="C3598" t="str">
            <v xml:space="preserve">KG    </v>
          </cell>
          <cell r="D3598" t="str">
            <v>CR</v>
          </cell>
          <cell r="E3598" t="str">
            <v>16,41</v>
          </cell>
        </row>
        <row r="3599">
          <cell r="A3599">
            <v>5067</v>
          </cell>
          <cell r="B3599" t="str">
            <v xml:space="preserve">PREGO DE ACO POLIDO COM CABECA 16 X 24 (2 1/4 X 12)                                                                                                                                                                                                                                                                                                                                                                                                                                                       </v>
          </cell>
          <cell r="C3599" t="str">
            <v xml:space="preserve">KG    </v>
          </cell>
          <cell r="D3599" t="str">
            <v>CR</v>
          </cell>
          <cell r="E3599" t="str">
            <v>15,61</v>
          </cell>
        </row>
        <row r="3600">
          <cell r="A3600">
            <v>5078</v>
          </cell>
          <cell r="B3600" t="str">
            <v xml:space="preserve">PREGO DE ACO POLIDO COM CABECA 16 X 27 (2 1/2 X 12)                                                                                                                                                                                                                                                                                                                                                                                                                                                       </v>
          </cell>
          <cell r="C3600" t="str">
            <v xml:space="preserve">KG    </v>
          </cell>
          <cell r="D3600" t="str">
            <v>CR</v>
          </cell>
          <cell r="E3600" t="str">
            <v>15,43</v>
          </cell>
        </row>
        <row r="3601">
          <cell r="A3601">
            <v>5068</v>
          </cell>
          <cell r="B3601" t="str">
            <v xml:space="preserve">PREGO DE ACO POLIDO COM CABECA 17 X 21 (2 X 11)                                                                                                                                                                                                                                                                                                                                                                                                                                                           </v>
          </cell>
          <cell r="C3601" t="str">
            <v xml:space="preserve">KG    </v>
          </cell>
          <cell r="D3601" t="str">
            <v>CR</v>
          </cell>
          <cell r="E3601" t="str">
            <v>14,65</v>
          </cell>
        </row>
        <row r="3602">
          <cell r="A3602">
            <v>5073</v>
          </cell>
          <cell r="B3602" t="str">
            <v xml:space="preserve">PREGO DE ACO POLIDO COM CABECA 17 X 24 (2 1/4 X 11)                                                                                                                                                                                                                                                                                                                                                                                                                                                       </v>
          </cell>
          <cell r="C3602" t="str">
            <v xml:space="preserve">KG    </v>
          </cell>
          <cell r="D3602" t="str">
            <v>CR</v>
          </cell>
          <cell r="E3602" t="str">
            <v>14,93</v>
          </cell>
        </row>
        <row r="3603">
          <cell r="A3603">
            <v>5069</v>
          </cell>
          <cell r="B3603" t="str">
            <v xml:space="preserve">PREGO DE ACO POLIDO COM CABECA 17 X 27 (2 1/2 X 11)                                                                                                                                                                                                                                                                                                                                                                                                                                                       </v>
          </cell>
          <cell r="C3603" t="str">
            <v xml:space="preserve">KG    </v>
          </cell>
          <cell r="D3603" t="str">
            <v>CR</v>
          </cell>
          <cell r="E3603" t="str">
            <v>14,93</v>
          </cell>
        </row>
        <row r="3604">
          <cell r="A3604">
            <v>5070</v>
          </cell>
          <cell r="B3604" t="str">
            <v xml:space="preserve">PREGO DE ACO POLIDO COM CABECA 17 X 30 (2 3/4 X 11)                                                                                                                                                                                                                                                                                                                                                                                                                                                       </v>
          </cell>
          <cell r="C3604" t="str">
            <v xml:space="preserve">KG    </v>
          </cell>
          <cell r="D3604" t="str">
            <v>CR</v>
          </cell>
          <cell r="E3604" t="str">
            <v>15,09</v>
          </cell>
        </row>
        <row r="3605">
          <cell r="A3605">
            <v>5071</v>
          </cell>
          <cell r="B3605" t="str">
            <v xml:space="preserve">PREGO DE ACO POLIDO COM CABECA 18 X 24 (2 1/4 X 10)                                                                                                                                                                                                                                                                                                                                                                                                                                                       </v>
          </cell>
          <cell r="C3605" t="str">
            <v xml:space="preserve">KG    </v>
          </cell>
          <cell r="D3605" t="str">
            <v>CR</v>
          </cell>
          <cell r="E3605" t="str">
            <v>14,65</v>
          </cell>
        </row>
        <row r="3606">
          <cell r="A3606">
            <v>5061</v>
          </cell>
          <cell r="B3606" t="str">
            <v xml:space="preserve">PREGO DE ACO POLIDO COM CABECA 18 X 27 (2 1/2 X 10)                                                                                                                                                                                                                                                                                                                                                                                                                                                       </v>
          </cell>
          <cell r="C3606" t="str">
            <v xml:space="preserve">KG    </v>
          </cell>
          <cell r="D3606" t="str">
            <v xml:space="preserve">C </v>
          </cell>
          <cell r="E3606" t="str">
            <v>14,40</v>
          </cell>
        </row>
        <row r="3607">
          <cell r="A3607">
            <v>5075</v>
          </cell>
          <cell r="B3607" t="str">
            <v xml:space="preserve">PREGO DE ACO POLIDO COM CABECA 18 X 30 (2 3/4 X 10)                                                                                                                                                                                                                                                                                                                                                                                                                                                       </v>
          </cell>
          <cell r="C3607" t="str">
            <v xml:space="preserve">KG    </v>
          </cell>
          <cell r="D3607" t="str">
            <v>CR</v>
          </cell>
          <cell r="E3607" t="str">
            <v>14,65</v>
          </cell>
        </row>
        <row r="3608">
          <cell r="A3608">
            <v>39027</v>
          </cell>
          <cell r="B3608" t="str">
            <v xml:space="preserve">PREGO DE ACO POLIDO COM CABECA 19  X 36 (3 1/4  X  9)                                                                                                                                                                                                                                                                                                                                                                                                                                                     </v>
          </cell>
          <cell r="C3608" t="str">
            <v xml:space="preserve">KG    </v>
          </cell>
          <cell r="D3608" t="str">
            <v>CR</v>
          </cell>
          <cell r="E3608" t="str">
            <v>14,63</v>
          </cell>
        </row>
        <row r="3609">
          <cell r="A3609">
            <v>5062</v>
          </cell>
          <cell r="B3609" t="str">
            <v xml:space="preserve">PREGO DE ACO POLIDO COM CABECA 19 X 33 (3 X 9)                                                                                                                                                                                                                                                                                                                                                                                                                                                            </v>
          </cell>
          <cell r="C3609" t="str">
            <v xml:space="preserve">KG    </v>
          </cell>
          <cell r="D3609" t="str">
            <v>CR</v>
          </cell>
          <cell r="E3609" t="str">
            <v>14,84</v>
          </cell>
        </row>
        <row r="3610">
          <cell r="A3610">
            <v>40568</v>
          </cell>
          <cell r="B3610" t="str">
            <v xml:space="preserve">PREGO DE ACO POLIDO COM CABECA 22 X 48 (4 1/4 X 5)                                                                                                                                                                                                                                                                                                                                                                                                                                                        </v>
          </cell>
          <cell r="C3610" t="str">
            <v xml:space="preserve">KG    </v>
          </cell>
          <cell r="D3610" t="str">
            <v>CR</v>
          </cell>
          <cell r="E3610" t="str">
            <v>14,76</v>
          </cell>
        </row>
        <row r="3611">
          <cell r="A3611">
            <v>39026</v>
          </cell>
          <cell r="B3611" t="str">
            <v xml:space="preserve">PREGO DE ACO POLIDO SEM CABECA 15 X 15 (1 1/4 X 13)                                                                                                                                                                                                                                                                                                                                                                                                                                                       </v>
          </cell>
          <cell r="C3611" t="str">
            <v xml:space="preserve">KG    </v>
          </cell>
          <cell r="D3611" t="str">
            <v>CR</v>
          </cell>
          <cell r="E3611" t="str">
            <v>16,47</v>
          </cell>
        </row>
        <row r="3612">
          <cell r="A3612">
            <v>42431</v>
          </cell>
          <cell r="B3612" t="str">
            <v xml:space="preserve">PRESSAO DE PERNAS TRIPLO, EM TUBO DE ACO CARBONO, PINTURA NO PROCESSO ELETROSTATICO - EQUIPAMENTO DE GINASTICA PARA ACADEMIA AO AR LIVRE / ACADEMIA DA TERCEIRA IDADE - ATI                                                                                                                                                                                                                                                                                                                               </v>
          </cell>
          <cell r="C3612" t="str">
            <v xml:space="preserve">UN    </v>
          </cell>
          <cell r="D3612" t="str">
            <v>CR</v>
          </cell>
          <cell r="E3612" t="str">
            <v>3.957,85</v>
          </cell>
        </row>
        <row r="3613">
          <cell r="A3613">
            <v>44074</v>
          </cell>
          <cell r="B3613" t="str">
            <v xml:space="preserve">PRIMER DE POLIURETANO                                                                                                                                                                                                                                                                                                                                                                                                                                                                                     </v>
          </cell>
          <cell r="C3613" t="str">
            <v xml:space="preserve">L     </v>
          </cell>
          <cell r="D3613" t="str">
            <v>CR</v>
          </cell>
          <cell r="E3613" t="str">
            <v>553,09</v>
          </cell>
        </row>
        <row r="3614">
          <cell r="A3614">
            <v>44072</v>
          </cell>
          <cell r="B3614" t="str">
            <v xml:space="preserve">PRIMER EPOXI / EPOXIDICO                                                                                                                                                                                                                                                                                                                                                                                                                                                                                  </v>
          </cell>
          <cell r="C3614" t="str">
            <v xml:space="preserve">L     </v>
          </cell>
          <cell r="D3614" t="str">
            <v>CR</v>
          </cell>
          <cell r="E3614" t="str">
            <v>128,48</v>
          </cell>
        </row>
        <row r="3615">
          <cell r="A3615">
            <v>511</v>
          </cell>
          <cell r="B3615" t="str">
            <v xml:space="preserve">PRIMER PARA MANTA ASFALTICA A BASE DE ASFALTO MODIFICADO DILUIDO EM SOLVENTE, APLICACAO A FRIO                                                                                                                                                                                                                                                                                                                                                                                                            </v>
          </cell>
          <cell r="C3615" t="str">
            <v xml:space="preserve">L     </v>
          </cell>
          <cell r="D3615" t="str">
            <v xml:space="preserve">C </v>
          </cell>
          <cell r="E3615" t="str">
            <v>21,11</v>
          </cell>
        </row>
        <row r="3616">
          <cell r="A3616">
            <v>37540</v>
          </cell>
          <cell r="B3616" t="str">
            <v xml:space="preserve">PROJETOR DE ARGAMASSA, CAPACIDADE DE PROJECAO 1,5 M3/H, ALCANCE DA PROJECAO 30 ATE 60 M, MOTOR ELETRICO TRIFASICO                                                                                                                                                                                                                                                                                                                                                                                         </v>
          </cell>
          <cell r="C3616" t="str">
            <v xml:space="preserve">UN    </v>
          </cell>
          <cell r="D3616" t="str">
            <v>CR</v>
          </cell>
          <cell r="E3616" t="str">
            <v>78.265,63</v>
          </cell>
        </row>
        <row r="3617">
          <cell r="A3617">
            <v>37548</v>
          </cell>
          <cell r="B3617" t="str">
            <v xml:space="preserve">PROJETOR DE ARGAMASSA, CAPACIDADE DE PROJECAO 2,0 M3/H, ALCANCE DA PROJECAO ATE 50 M, MOTOR ELETRICO TRIFASICO                                                                                                                                                                                                                                                                                                                                                                                            </v>
          </cell>
          <cell r="C3617" t="str">
            <v xml:space="preserve">UN    </v>
          </cell>
          <cell r="D3617" t="str">
            <v>CR</v>
          </cell>
          <cell r="E3617" t="str">
            <v>103.740,69</v>
          </cell>
        </row>
        <row r="3618">
          <cell r="A3618">
            <v>39828</v>
          </cell>
          <cell r="B3618" t="str">
            <v xml:space="preserve">PROJETOR PNEUMATICO DE ARGAMASSA PARA CHAPISCO E REBOCO COM RECIPIENTE ACOPLADO, TIPO CANEQUNHA, COM VOLUME DE 1,50 L, SEM COMPRESSOR                                                                                                                                                                                                                                                                                                                                                                     </v>
          </cell>
          <cell r="C3618" t="str">
            <v xml:space="preserve">UN    </v>
          </cell>
          <cell r="D3618" t="str">
            <v>CR</v>
          </cell>
          <cell r="E3618" t="str">
            <v>622,34</v>
          </cell>
        </row>
        <row r="3619">
          <cell r="A3619">
            <v>38392</v>
          </cell>
          <cell r="B3619" t="str">
            <v xml:space="preserve">PROLONGADOR/EXTENSOR PARA ROLO DE PINTURA 3 M                                                                                                                                                                                                                                                                                                                                                                                                                                                             </v>
          </cell>
          <cell r="C3619" t="str">
            <v xml:space="preserve">UN    </v>
          </cell>
          <cell r="D3619" t="str">
            <v>CR</v>
          </cell>
          <cell r="E3619" t="str">
            <v>67,83</v>
          </cell>
        </row>
        <row r="3620">
          <cell r="A3620">
            <v>11735</v>
          </cell>
          <cell r="B3620" t="str">
            <v xml:space="preserve">PROLONGAMENTO / PROLONGADOR PARA CAIXA SIFONADA, PVC, 100 MM X 200 MM (NBR 5688)                                                                                                                                                                                                                                                                                                                                                                                                                          </v>
          </cell>
          <cell r="C3620" t="str">
            <v xml:space="preserve">UN    </v>
          </cell>
          <cell r="D3620" t="str">
            <v>CR</v>
          </cell>
          <cell r="E3620" t="str">
            <v>10,09</v>
          </cell>
        </row>
        <row r="3621">
          <cell r="A3621">
            <v>11737</v>
          </cell>
          <cell r="B3621" t="str">
            <v xml:space="preserve">PROLONGAMENTO / PROLONGADOR PARA CAIXA SIFONADA, PVC, 150 MM X 150 MM (NBR 5688)                                                                                                                                                                                                                                                                                                                                                                                                                          </v>
          </cell>
          <cell r="C3621" t="str">
            <v xml:space="preserve">UN    </v>
          </cell>
          <cell r="D3621" t="str">
            <v>CR</v>
          </cell>
          <cell r="E3621" t="str">
            <v>14,31</v>
          </cell>
        </row>
        <row r="3622">
          <cell r="A3622">
            <v>11738</v>
          </cell>
          <cell r="B3622" t="str">
            <v xml:space="preserve">PROLONGAMENTO / PROLONGADOR PARA CAIXA SIFONADA, PVC, 150 MM X 200 MM (NBR 5688)                                                                                                                                                                                                                                                                                                                                                                                                                          </v>
          </cell>
          <cell r="C3622" t="str">
            <v xml:space="preserve">UN    </v>
          </cell>
          <cell r="D3622" t="str">
            <v>CR</v>
          </cell>
          <cell r="E3622" t="str">
            <v>18,04</v>
          </cell>
        </row>
        <row r="3623">
          <cell r="A3623">
            <v>36143</v>
          </cell>
          <cell r="B3623" t="str">
            <v xml:space="preserve">PROTETOR AUDITIVO TIPO CONCHA COM ABAFADOR DE RUIDOS, ATENUACAO ACIMA DE 22 DB                                                                                                                                                                                                                                                                                                                                                                                                                            </v>
          </cell>
          <cell r="C3623" t="str">
            <v xml:space="preserve">UN    </v>
          </cell>
          <cell r="D3623" t="str">
            <v>CR</v>
          </cell>
          <cell r="E3623" t="str">
            <v>30,75</v>
          </cell>
        </row>
        <row r="3624">
          <cell r="A3624">
            <v>36142</v>
          </cell>
          <cell r="B3624" t="str">
            <v xml:space="preserve">PROTETOR AUDITIVO TIPO PLUG DE INSERCAO COM CORDAO, ATENUACAO SUPERIOR A 15 DB                                                                                                                                                                                                                                                                                                                                                                                                                            </v>
          </cell>
          <cell r="C3624" t="str">
            <v xml:space="preserve">UN    </v>
          </cell>
          <cell r="D3624" t="str">
            <v>CR</v>
          </cell>
          <cell r="E3624" t="str">
            <v>2,25</v>
          </cell>
        </row>
        <row r="3625">
          <cell r="A3625">
            <v>36146</v>
          </cell>
          <cell r="B3625" t="str">
            <v xml:space="preserve">PROTETOR SOLAR FPS 30, EMBALAGEM 2 LITROS                                                                                                                                                                                                                                                                                                                                                                                                                                                                 </v>
          </cell>
          <cell r="C3625" t="str">
            <v xml:space="preserve">UN    </v>
          </cell>
          <cell r="D3625" t="str">
            <v>CR</v>
          </cell>
          <cell r="E3625" t="str">
            <v>255,00</v>
          </cell>
        </row>
        <row r="3626">
          <cell r="A3626">
            <v>39015</v>
          </cell>
          <cell r="B3626" t="str">
            <v xml:space="preserve">PROTETOR/PONTEIRA PLASTICA PARA PONTA DE VERGALHAO DE ATE 1", TIPO PROTETOR DE ESPERA                                                                                                                                                                                                                                                                                                                                                                                                                     </v>
          </cell>
          <cell r="C3626" t="str">
            <v xml:space="preserve">UN    </v>
          </cell>
          <cell r="D3626" t="str">
            <v xml:space="preserve">C </v>
          </cell>
          <cell r="E3626" t="str">
            <v>0,97</v>
          </cell>
        </row>
        <row r="3627">
          <cell r="A3627">
            <v>38377</v>
          </cell>
          <cell r="B3627" t="str">
            <v xml:space="preserve">PRUMO DE CENTRO EM ACO *400* G                                                                                                                                                                                                                                                                                                                                                                                                                                                                            </v>
          </cell>
          <cell r="C3627" t="str">
            <v xml:space="preserve">UN    </v>
          </cell>
          <cell r="D3627" t="str">
            <v>CR</v>
          </cell>
          <cell r="E3627" t="str">
            <v>43,82</v>
          </cell>
        </row>
        <row r="3628">
          <cell r="A3628">
            <v>38376</v>
          </cell>
          <cell r="B3628" t="str">
            <v xml:space="preserve">PRUMO DE PAREDE EM ACO 700 A 750 G                                                                                                                                                                                                                                                                                                                                                                                                                                                                        </v>
          </cell>
          <cell r="C3628" t="str">
            <v xml:space="preserve">UN    </v>
          </cell>
          <cell r="D3628" t="str">
            <v>CR</v>
          </cell>
          <cell r="E3628" t="str">
            <v>49,96</v>
          </cell>
        </row>
        <row r="3629">
          <cell r="A3629">
            <v>38116</v>
          </cell>
          <cell r="B3629" t="str">
            <v xml:space="preserve">PULSADOR CAMPAINHA 10A, 250V (APENAS MODULO)                                                                                                                                                                                                                                                                                                                                                                                                                                                              </v>
          </cell>
          <cell r="C3629" t="str">
            <v xml:space="preserve">UN    </v>
          </cell>
          <cell r="D3629" t="str">
            <v>CR</v>
          </cell>
          <cell r="E3629" t="str">
            <v>6,20</v>
          </cell>
        </row>
        <row r="3630">
          <cell r="A3630">
            <v>38066</v>
          </cell>
          <cell r="B3630" t="str">
            <v xml:space="preserve">PULSADOR CAMPAINHA 10A, 250V, CONJUNTO MONTADO PARA EMBUTIR 4" X 2" (PLACA + SUPORTE + MODULO)                                                                                                                                                                                                                                                                                                                                                                                                            </v>
          </cell>
          <cell r="C3630" t="str">
            <v xml:space="preserve">UN    </v>
          </cell>
          <cell r="D3630" t="str">
            <v>CR</v>
          </cell>
          <cell r="E3630" t="str">
            <v>10,24</v>
          </cell>
        </row>
        <row r="3631">
          <cell r="A3631">
            <v>38117</v>
          </cell>
          <cell r="B3631" t="str">
            <v xml:space="preserve">PULSADOR MINUTERIA 10A, 250V (APENAS MODULO)                                                                                                                                                                                                                                                                                                                                                                                                                                                              </v>
          </cell>
          <cell r="C3631" t="str">
            <v xml:space="preserve">UN    </v>
          </cell>
          <cell r="D3631" t="str">
            <v>CR</v>
          </cell>
          <cell r="E3631" t="str">
            <v>10,56</v>
          </cell>
        </row>
        <row r="3632">
          <cell r="A3632">
            <v>38067</v>
          </cell>
          <cell r="B3632" t="str">
            <v xml:space="preserve">PULSADOR MINUTERIA 10A, 250V, CONJUNTO MONTADO PARA EMBUTIR 4" X 2" (PLACA + SUPORTE + MODULO)                                                                                                                                                                                                                                                                                                                                                                                                            </v>
          </cell>
          <cell r="C3632" t="str">
            <v xml:space="preserve">UN    </v>
          </cell>
          <cell r="D3632" t="str">
            <v>CR</v>
          </cell>
          <cell r="E3632" t="str">
            <v>14,41</v>
          </cell>
        </row>
        <row r="3633">
          <cell r="A3633">
            <v>11522</v>
          </cell>
          <cell r="B3633" t="str">
            <v xml:space="preserve">PUXADOR DE EMBUTIR TIPO CONCHA, COM FURO PARA CHAVE, EM LATAO CROMADO,  COMPRIMENTO DE APROX *100* MM E LARGURA DE APROX *40* MM                                                                                                                                                                                                                                                                                                                                                                          </v>
          </cell>
          <cell r="C3633" t="str">
            <v xml:space="preserve">UN    </v>
          </cell>
          <cell r="D3633" t="str">
            <v>CR</v>
          </cell>
          <cell r="E3633" t="str">
            <v>11,81</v>
          </cell>
        </row>
        <row r="3634">
          <cell r="A3634">
            <v>43600</v>
          </cell>
          <cell r="B3634" t="str">
            <v xml:space="preserve">PUXADOR TIPO ALCA, EM ZAMAC CROMADO, COM COMPRIMENTO DE APROX 150 MM, COM ROSETA PARA PORTAS DE MADEIRAS, INCLUINDO PARAFUSOS                                                                                                                                                                                                                                                                                                                                                                             </v>
          </cell>
          <cell r="C3634" t="str">
            <v xml:space="preserve">UN    </v>
          </cell>
          <cell r="D3634" t="str">
            <v>CR</v>
          </cell>
          <cell r="E3634" t="str">
            <v>47,34</v>
          </cell>
        </row>
        <row r="3635">
          <cell r="A3635">
            <v>5080</v>
          </cell>
          <cell r="B3635" t="str">
            <v xml:space="preserve">PUXADOR TIPO ALCA, EM ZAMAC CROMADO, COM ROSETAS, COMPRIMENTO DE APROX *100* MM, PARA PORTAS E JANELAS DE MADEIRA, INCLUINDO PARAFUSOS                                                                                                                                                                                                                                                                                                                                                                    </v>
          </cell>
          <cell r="C3635" t="str">
            <v xml:space="preserve">UN    </v>
          </cell>
          <cell r="D3635" t="str">
            <v>CR</v>
          </cell>
          <cell r="E3635" t="str">
            <v>18,46</v>
          </cell>
        </row>
        <row r="3636">
          <cell r="A3636">
            <v>38168</v>
          </cell>
          <cell r="B3636" t="str">
            <v xml:space="preserve">PUXADOR TUBULAR RETO DUPLO, EM ALUMINIO CROMADO, COMPRIMENTO DE APROX 400 MM E DIAMETRO DE 25 MM (1")                                                                                                                                                                                                                                                                                                                                                                                                     </v>
          </cell>
          <cell r="C3636" t="str">
            <v xml:space="preserve">UN    </v>
          </cell>
          <cell r="D3636" t="str">
            <v>CR</v>
          </cell>
          <cell r="E3636" t="str">
            <v>128,87</v>
          </cell>
        </row>
        <row r="3637">
          <cell r="A3637">
            <v>43601</v>
          </cell>
          <cell r="B3637" t="str">
            <v xml:space="preserve">PUXADOR TUBULAR RETO SIMPLES, EM ALUMINIO CROMADO, COM COMPRIMENTO DE APROX 400 MM E DIAMETRO DE 25 MM                                                                                                                                                                                                                                                                                                                                                                                                    </v>
          </cell>
          <cell r="C3637" t="str">
            <v xml:space="preserve">UN    </v>
          </cell>
          <cell r="D3637" t="str">
            <v>CR</v>
          </cell>
          <cell r="E3637" t="str">
            <v>64,43</v>
          </cell>
        </row>
        <row r="3638">
          <cell r="A3638">
            <v>13393</v>
          </cell>
          <cell r="B3638" t="str">
            <v xml:space="preserve">QUADRO DE DISTRIBUICAO COM BARRAMENTO TRIFASICO, DE EMBUTIR, EM CHAPA DE ACO GALVANIZADO, PARA 12 DISJUNTORES DIN, 100 A                                                                                                                                                                                                                                                                                                                                                                                  </v>
          </cell>
          <cell r="C3638" t="str">
            <v xml:space="preserve">UN    </v>
          </cell>
          <cell r="D3638" t="str">
            <v>CR</v>
          </cell>
          <cell r="E3638" t="str">
            <v>340,49</v>
          </cell>
        </row>
        <row r="3639">
          <cell r="A3639">
            <v>13395</v>
          </cell>
          <cell r="B3639" t="str">
            <v xml:space="preserve">QUADRO DE DISTRIBUICAO COM BARRAMENTO TRIFASICO, DE EMBUTIR, EM CHAPA DE ACO GALVANIZADO, PARA 18 DISJUNTORES DIN, 100 A, INCLUINDO BARRAMENTO                                                                                                                                                                                                                                                                                                                                                            </v>
          </cell>
          <cell r="C3639" t="str">
            <v xml:space="preserve">UN    </v>
          </cell>
          <cell r="D3639" t="str">
            <v>CR</v>
          </cell>
          <cell r="E3639" t="str">
            <v>477,17</v>
          </cell>
        </row>
        <row r="3640">
          <cell r="A3640">
            <v>12039</v>
          </cell>
          <cell r="B3640" t="str">
            <v xml:space="preserve">QUADRO DE DISTRIBUICAO COM BARRAMENTO TRIFASICO, DE EMBUTIR, EM CHAPA DE ACO GALVANIZADO, PARA 24 DISJUNTORES DIN, 100 A                                                                                                                                                                                                                                                                                                                                                                                  </v>
          </cell>
          <cell r="C3640" t="str">
            <v xml:space="preserve">UN    </v>
          </cell>
          <cell r="D3640" t="str">
            <v>CR</v>
          </cell>
          <cell r="E3640" t="str">
            <v>501,45</v>
          </cell>
        </row>
        <row r="3641">
          <cell r="A3641">
            <v>13396</v>
          </cell>
          <cell r="B3641" t="str">
            <v xml:space="preserve">QUADRO DE DISTRIBUICAO COM BARRAMENTO TRIFASICO, DE EMBUTIR, EM CHAPA DE ACO GALVANIZADO, PARA 28 DISJUNTORES DIN, 100 A                                                                                                                                                                                                                                                                                                                                                                                  </v>
          </cell>
          <cell r="C3641" t="str">
            <v xml:space="preserve">UN    </v>
          </cell>
          <cell r="D3641" t="str">
            <v>CR</v>
          </cell>
          <cell r="E3641" t="str">
            <v>704,26</v>
          </cell>
        </row>
        <row r="3642">
          <cell r="A3642">
            <v>12041</v>
          </cell>
          <cell r="B3642" t="str">
            <v xml:space="preserve">QUADRO DE DISTRIBUICAO COM BARRAMENTO TRIFASICO, DE EMBUTIR, EM CHAPA DE ACO GALVANIZADO, PARA 30 DISJUNTORES DIN, 150 A                                                                                                                                                                                                                                                                                                                                                                                  </v>
          </cell>
          <cell r="C3642" t="str">
            <v xml:space="preserve">UN    </v>
          </cell>
          <cell r="D3642" t="str">
            <v>CR</v>
          </cell>
          <cell r="E3642" t="str">
            <v>575,07</v>
          </cell>
        </row>
        <row r="3643">
          <cell r="A3643">
            <v>12043</v>
          </cell>
          <cell r="B3643" t="str">
            <v xml:space="preserve">QUADRO DE DISTRIBUICAO COM BARRAMENTO TRIFASICO, DE EMBUTIR, EM CHAPA DE ACO GALVANIZADO, PARA 30 DISJUNTORES DIN, 225 A                                                                                                                                                                                                                                                                                                                                                                                  </v>
          </cell>
          <cell r="C3643" t="str">
            <v xml:space="preserve">UN    </v>
          </cell>
          <cell r="D3643" t="str">
            <v>CR</v>
          </cell>
          <cell r="E3643" t="str">
            <v>1.214,17</v>
          </cell>
        </row>
        <row r="3644">
          <cell r="A3644">
            <v>39762</v>
          </cell>
          <cell r="B3644" t="str">
            <v xml:space="preserve">QUADRO DE DISTRIBUICAO COM BARRAMENTO TRIFASICO, DE EMBUTIR, EM CHAPA DE ACO GALVANIZADO, PARA 36 DISJUNTORES DIN, 100 A                                                                                                                                                                                                                                                                                                                                                                                  </v>
          </cell>
          <cell r="C3644" t="str">
            <v xml:space="preserve">UN    </v>
          </cell>
          <cell r="D3644" t="str">
            <v>CR</v>
          </cell>
          <cell r="E3644" t="str">
            <v>577,98</v>
          </cell>
        </row>
        <row r="3645">
          <cell r="A3645">
            <v>12042</v>
          </cell>
          <cell r="B3645" t="str">
            <v xml:space="preserve">QUADRO DE DISTRIBUICAO COM BARRAMENTO TRIFASICO, DE EMBUTIR, EM CHAPA DE ACO GALVANIZADO, PARA 40 DISJUNTORES DIN, 100 A                                                                                                                                                                                                                                                                                                                                                                                  </v>
          </cell>
          <cell r="C3645" t="str">
            <v xml:space="preserve">UN    </v>
          </cell>
          <cell r="D3645" t="str">
            <v>CR</v>
          </cell>
          <cell r="E3645" t="str">
            <v>843,83</v>
          </cell>
        </row>
        <row r="3646">
          <cell r="A3646">
            <v>39763</v>
          </cell>
          <cell r="B3646" t="str">
            <v xml:space="preserve">QUADRO DE DISTRIBUICAO COM BARRAMENTO TRIFASICO, DE EMBUTIR, EM CHAPA DE ACO GALVANIZADO, PARA 48 DISJUNTORES DIN, 100 A                                                                                                                                                                                                                                                                                                                                                                                  </v>
          </cell>
          <cell r="C3646" t="str">
            <v xml:space="preserve">UN    </v>
          </cell>
          <cell r="D3646" t="str">
            <v>CR</v>
          </cell>
          <cell r="E3646" t="str">
            <v>987,59</v>
          </cell>
        </row>
        <row r="3647">
          <cell r="A3647">
            <v>39760</v>
          </cell>
          <cell r="B3647" t="str">
            <v xml:space="preserve">QUADRO DE DISTRIBUICAO COM BARRAMENTO TRIFASICO, DE SOBREPOR, EM CHAPA DE ACO GALVANIZADO, PARA *42* DISJUNTORES DIN, 100 A                                                                                                                                                                                                                                                                                                                                                                               </v>
          </cell>
          <cell r="C3647" t="str">
            <v xml:space="preserve">UN    </v>
          </cell>
          <cell r="D3647" t="str">
            <v>CR</v>
          </cell>
          <cell r="E3647" t="str">
            <v>984,34</v>
          </cell>
        </row>
        <row r="3648">
          <cell r="A3648">
            <v>39756</v>
          </cell>
          <cell r="B3648" t="str">
            <v xml:space="preserve">QUADRO DE DISTRIBUICAO COM BARRAMENTO TRIFASICO, DE SOBREPOR, EM CHAPA DE ACO GALVANIZADO, PARA 12 DISJUNTORES DIN, 100 A                                                                                                                                                                                                                                                                                                                                                                                 </v>
          </cell>
          <cell r="C3648" t="str">
            <v xml:space="preserve">UN    </v>
          </cell>
          <cell r="D3648" t="str">
            <v>CR</v>
          </cell>
          <cell r="E3648" t="str">
            <v>353,44</v>
          </cell>
        </row>
        <row r="3649">
          <cell r="A3649">
            <v>12038</v>
          </cell>
          <cell r="B3649" t="str">
            <v xml:space="preserve">QUADRO DE DISTRIBUICAO COM BARRAMENTO TRIFASICO, DE SOBREPOR, EM CHAPA DE ACO GALVANIZADO, PARA 18 DISJUNTORES DIN, 100 A                                                                                                                                                                                                                                                                                                                                                                                 </v>
          </cell>
          <cell r="C3649" t="str">
            <v xml:space="preserve">UN    </v>
          </cell>
          <cell r="D3649" t="str">
            <v>CR</v>
          </cell>
          <cell r="E3649" t="str">
            <v>441,63</v>
          </cell>
        </row>
        <row r="3650">
          <cell r="A3650">
            <v>39757</v>
          </cell>
          <cell r="B3650" t="str">
            <v xml:space="preserve">QUADRO DE DISTRIBUICAO COM BARRAMENTO TRIFASICO, DE SOBREPOR, EM CHAPA DE ACO GALVANIZADO, PARA 28 DISJUNTORES DIN, 100 A                                                                                                                                                                                                                                                                                                                                                                                 </v>
          </cell>
          <cell r="C3650" t="str">
            <v xml:space="preserve">UN    </v>
          </cell>
          <cell r="D3650" t="str">
            <v>CR</v>
          </cell>
          <cell r="E3650" t="str">
            <v>408,37</v>
          </cell>
        </row>
        <row r="3651">
          <cell r="A3651">
            <v>39758</v>
          </cell>
          <cell r="B3651" t="str">
            <v xml:space="preserve">QUADRO DE DISTRIBUICAO COM BARRAMENTO TRIFASICO, DE SOBREPOR, EM CHAPA DE ACO GALVANIZADO, PARA 30 DISJUNTORES DIN, 100 A                                                                                                                                                                                                                                                                                                                                                                                 </v>
          </cell>
          <cell r="C3651" t="str">
            <v xml:space="preserve">UN    </v>
          </cell>
          <cell r="D3651" t="str">
            <v>CR</v>
          </cell>
          <cell r="E3651" t="str">
            <v>595,14</v>
          </cell>
        </row>
        <row r="3652">
          <cell r="A3652">
            <v>39759</v>
          </cell>
          <cell r="B3652" t="str">
            <v xml:space="preserve">QUADRO DE DISTRIBUICAO COM BARRAMENTO TRIFASICO, DE SOBREPOR, EM CHAPA DE ACO GALVANIZADO, PARA 36 DISJUNTORES DIN, 100 A                                                                                                                                                                                                                                                                                                                                                                                 </v>
          </cell>
          <cell r="C3652" t="str">
            <v xml:space="preserve">UN    </v>
          </cell>
          <cell r="D3652" t="str">
            <v>CR</v>
          </cell>
          <cell r="E3652" t="str">
            <v>735,01</v>
          </cell>
        </row>
        <row r="3653">
          <cell r="A3653">
            <v>39761</v>
          </cell>
          <cell r="B3653" t="str">
            <v xml:space="preserve">QUADRO DE DISTRIBUICAO COM BARRAMENTO TRIFASICO, DE SOBREPOR, EM CHAPA DE ACO GALVANIZADO, PARA 48 DISJUNTORES DIN, 100 A                                                                                                                                                                                                                                                                                                                                                                                 </v>
          </cell>
          <cell r="C3653" t="str">
            <v xml:space="preserve">UN    </v>
          </cell>
          <cell r="D3653" t="str">
            <v>CR</v>
          </cell>
          <cell r="E3653" t="str">
            <v>883,50</v>
          </cell>
        </row>
        <row r="3654">
          <cell r="A3654">
            <v>39805</v>
          </cell>
          <cell r="B3654" t="str">
            <v xml:space="preserve">QUADRO DE DISTRIBUICAO, EM PVC, DE EMBUTIR, COM BARRAMENTO TERRA / NEUTRO, PARA 12 DISJUNTORES NEMA OU 16 DISJUNTORES DIN                                                                                                                                                                                                                                                                                                                                                                                 </v>
          </cell>
          <cell r="C3654" t="str">
            <v xml:space="preserve">UN    </v>
          </cell>
          <cell r="D3654" t="str">
            <v>CR</v>
          </cell>
          <cell r="E3654" t="str">
            <v>136,16</v>
          </cell>
        </row>
        <row r="3655">
          <cell r="A3655">
            <v>39806</v>
          </cell>
          <cell r="B3655" t="str">
            <v xml:space="preserve">QUADRO DE DISTRIBUICAO, EM PVC, DE EMBUTIR, COM BARRAMENTO TERRA / NEUTRO, PARA 18 DISJUNTORES NEMA OU 24 DISJUNTORES DIN                                                                                                                                                                                                                                                                                                                                                                                 </v>
          </cell>
          <cell r="C3655" t="str">
            <v xml:space="preserve">UN    </v>
          </cell>
          <cell r="D3655" t="str">
            <v>CR</v>
          </cell>
          <cell r="E3655" t="str">
            <v>252,27</v>
          </cell>
        </row>
        <row r="3656">
          <cell r="A3656">
            <v>39807</v>
          </cell>
          <cell r="B3656" t="str">
            <v xml:space="preserve">QUADRO DE DISTRIBUICAO, EM PVC, DE EMBUTIR, COM BARRAMENTO TERRA / NEUTRO, PARA 27 DISJUNTORES NEMA OU 36 DISJUNTORES DIN                                                                                                                                                                                                                                                                                                                                                                                 </v>
          </cell>
          <cell r="C3656" t="str">
            <v xml:space="preserve">UN    </v>
          </cell>
          <cell r="D3656" t="str">
            <v>CR</v>
          </cell>
          <cell r="E3656" t="str">
            <v>546,74</v>
          </cell>
        </row>
        <row r="3657">
          <cell r="A3657">
            <v>43100</v>
          </cell>
          <cell r="B3657" t="str">
            <v xml:space="preserve">QUADRO DE DISTRIBUICAO, EM PVC, DE EMBUTIR, COM BARRAMENTO TERRA / NEUTRO, PARA 48 DISJUNTORES DIN                                                                                                                                                                                                                                                                                                                                                                                                        </v>
          </cell>
          <cell r="C3657" t="str">
            <v xml:space="preserve">UN    </v>
          </cell>
          <cell r="D3657" t="str">
            <v>CR</v>
          </cell>
          <cell r="E3657" t="str">
            <v>427,43</v>
          </cell>
        </row>
        <row r="3658">
          <cell r="A3658">
            <v>39804</v>
          </cell>
          <cell r="B3658" t="str">
            <v xml:space="preserve">QUADRO DE DISTRIBUICAO, EM PVC, DE EMBUTIR, COM BARRAMENTO TERRA / NEUTRO, PARA 6 DISJUNTORES NEMA OU 8 DISJUNTORES DIN                                                                                                                                                                                                                                                                                                                                                                                   </v>
          </cell>
          <cell r="C3658" t="str">
            <v xml:space="preserve">UN    </v>
          </cell>
          <cell r="D3658" t="str">
            <v>CR</v>
          </cell>
          <cell r="E3658" t="str">
            <v>79,95</v>
          </cell>
        </row>
        <row r="3659">
          <cell r="A3659">
            <v>39796</v>
          </cell>
          <cell r="B3659" t="str">
            <v xml:space="preserve">QUADRO DE DISTRIBUICAO, SEM BARRAMENTO, EM PVC, DE EMBUTIR, PARA 12 DISJUNTORES NEMA OU 16 DISJUNTORES DIN                                                                                                                                                                                                                                                                                                                                                                                                </v>
          </cell>
          <cell r="C3659" t="str">
            <v xml:space="preserve">UN    </v>
          </cell>
          <cell r="D3659" t="str">
            <v>CR</v>
          </cell>
          <cell r="E3659" t="str">
            <v>82,81</v>
          </cell>
        </row>
        <row r="3660">
          <cell r="A3660">
            <v>39797</v>
          </cell>
          <cell r="B3660" t="str">
            <v xml:space="preserve">QUADRO DE DISTRIBUICAO, SEM BARRAMENTO, EM PVC, DE EMBUTIR, PARA 18 DISJUNTORES NEMA OU 24 DISJUNTORES DIN                                                                                                                                                                                                                                                                                                                                                                                                </v>
          </cell>
          <cell r="C3660" t="str">
            <v xml:space="preserve">UN    </v>
          </cell>
          <cell r="D3660" t="str">
            <v xml:space="preserve">C </v>
          </cell>
          <cell r="E3660" t="str">
            <v>130,00</v>
          </cell>
        </row>
        <row r="3661">
          <cell r="A3661">
            <v>39798</v>
          </cell>
          <cell r="B3661" t="str">
            <v xml:space="preserve">QUADRO DE DISTRIBUICAO, SEM BARRAMENTO, EM PVC, DE EMBUTIR, PARA 27 DISJUNTORES NEMA OU 36 DISJUNTORES DIN                                                                                                                                                                                                                                                                                                                                                                                                </v>
          </cell>
          <cell r="C3661" t="str">
            <v xml:space="preserve">UN    </v>
          </cell>
          <cell r="D3661" t="str">
            <v>CR</v>
          </cell>
          <cell r="E3661" t="str">
            <v>222,99</v>
          </cell>
        </row>
        <row r="3662">
          <cell r="A3662">
            <v>39794</v>
          </cell>
          <cell r="B3662" t="str">
            <v xml:space="preserve">QUADRO DE DISTRIBUICAO, SEM BARRAMENTO, EM PVC, DE EMBUTIR, PARA 3 DISJUNTORES NEMA OU 4 DISJUNTORES DIN                                                                                                                                                                                                                                                                                                                                                                                                  </v>
          </cell>
          <cell r="C3662" t="str">
            <v xml:space="preserve">UN    </v>
          </cell>
          <cell r="D3662" t="str">
            <v>CR</v>
          </cell>
          <cell r="E3662" t="str">
            <v>35,15</v>
          </cell>
        </row>
        <row r="3663">
          <cell r="A3663">
            <v>39795</v>
          </cell>
          <cell r="B3663" t="str">
            <v xml:space="preserve">QUADRO DE DISTRIBUICAO, SEM BARRAMENTO, EM PVC, DE EMBUTIR, PARA 6 DISJUNTORES NEMA OU 8 DISJUNTORES DIN                                                                                                                                                                                                                                                                                                                                                                                                  </v>
          </cell>
          <cell r="C3663" t="str">
            <v xml:space="preserve">UN    </v>
          </cell>
          <cell r="D3663" t="str">
            <v>CR</v>
          </cell>
          <cell r="E3663" t="str">
            <v>55,53</v>
          </cell>
        </row>
        <row r="3664">
          <cell r="A3664">
            <v>39799</v>
          </cell>
          <cell r="B3664" t="str">
            <v xml:space="preserve">QUADRO DE DISTRIBUICAO, SEM BARRAMENTO, EM PVC, DE SOBREPOR,  PARA 3 DISJUNTORES NEMA OU 4 DISJUNTORES DIN                                                                                                                                                                                                                                                                                                                                                                                                </v>
          </cell>
          <cell r="C3664" t="str">
            <v xml:space="preserve">UN    </v>
          </cell>
          <cell r="D3664" t="str">
            <v>CR</v>
          </cell>
          <cell r="E3664" t="str">
            <v>40,97</v>
          </cell>
        </row>
        <row r="3665">
          <cell r="A3665">
            <v>39801</v>
          </cell>
          <cell r="B3665" t="str">
            <v xml:space="preserve">QUADRO DE DISTRIBUICAO, SEM BARRAMENTO, EM PVC, DE SOBREPOR, PARA 12 DISJUNTORES NEMA OU 16 DISJUNTORES DIN                                                                                                                                                                                                                                                                                                                                                                                               </v>
          </cell>
          <cell r="C3665" t="str">
            <v xml:space="preserve">UN    </v>
          </cell>
          <cell r="D3665" t="str">
            <v>CR</v>
          </cell>
          <cell r="E3665" t="str">
            <v>117,27</v>
          </cell>
        </row>
        <row r="3666">
          <cell r="A3666">
            <v>39802</v>
          </cell>
          <cell r="B3666" t="str">
            <v xml:space="preserve">QUADRO DE DISTRIBUICAO, SEM BARRAMENTO, EM PVC, DE SOBREPOR, PARA 18 DISJUNTORES NEMA OU 24 DISJUNTORES DIN                                                                                                                                                                                                                                                                                                                                                                                               </v>
          </cell>
          <cell r="C3666" t="str">
            <v xml:space="preserve">UN    </v>
          </cell>
          <cell r="D3666" t="str">
            <v>CR</v>
          </cell>
          <cell r="E3666" t="str">
            <v>171,89</v>
          </cell>
        </row>
        <row r="3667">
          <cell r="A3667">
            <v>39803</v>
          </cell>
          <cell r="B3667" t="str">
            <v xml:space="preserve">QUADRO DE DISTRIBUICAO, SEM BARRAMENTO, EM PVC, DE SOBREPOR, PARA 27 DISJUNTORES NEMA OU 36 DISJUNTORES DIN                                                                                                                                                                                                                                                                                                                                                                                               </v>
          </cell>
          <cell r="C3667" t="str">
            <v xml:space="preserve">UN    </v>
          </cell>
          <cell r="D3667" t="str">
            <v>CR</v>
          </cell>
          <cell r="E3667" t="str">
            <v>239,79</v>
          </cell>
        </row>
        <row r="3668">
          <cell r="A3668">
            <v>39800</v>
          </cell>
          <cell r="B3668" t="str">
            <v xml:space="preserve">QUADRO DE DISTRIBUICAO, SEM BARRAMENTO, EM PVC, DE SOBREPOR, PARA 6 DISJUNTORES NEMA OU 8 DISJUNTORES DIN                                                                                                                                                                                                                                                                                                                                                                                                 </v>
          </cell>
          <cell r="C3668" t="str">
            <v xml:space="preserve">UN    </v>
          </cell>
          <cell r="D3668" t="str">
            <v>CR</v>
          </cell>
          <cell r="E3668" t="str">
            <v>69,80</v>
          </cell>
        </row>
        <row r="3669">
          <cell r="A3669">
            <v>43837</v>
          </cell>
          <cell r="B3669" t="str">
            <v xml:space="preserve">RACK DE PISO PARA SERVIDOR, ABERTO, EM COLUNA, 44U X *570* MM                                                                                                                                                                                                                                                                                                                                                                                                                                             </v>
          </cell>
          <cell r="C3669" t="str">
            <v xml:space="preserve">UN    </v>
          </cell>
          <cell r="D3669" t="str">
            <v>CR</v>
          </cell>
          <cell r="E3669" t="str">
            <v>1.027,81</v>
          </cell>
        </row>
        <row r="3670">
          <cell r="A3670">
            <v>43836</v>
          </cell>
          <cell r="B3670" t="str">
            <v xml:space="preserve">RACK DE PISO PARA SERVIDOR, FECHADO, 44U, COM PORTA, 44U X *570* MM                                                                                                                                                                                                                                                                                                                                                                                                                                       </v>
          </cell>
          <cell r="C3670" t="str">
            <v xml:space="preserve">UN    </v>
          </cell>
          <cell r="D3670" t="str">
            <v>CR</v>
          </cell>
          <cell r="E3670" t="str">
            <v>2.091,42</v>
          </cell>
        </row>
        <row r="3671">
          <cell r="A3671">
            <v>21059</v>
          </cell>
          <cell r="B3671" t="str">
            <v xml:space="preserve">RALO FOFO COM REQUADRO, QUADRADO 150 X 150 MM                                                                                                                                                                                                                                                                                                                                                                                                                                                             </v>
          </cell>
          <cell r="C3671" t="str">
            <v xml:space="preserve">UN    </v>
          </cell>
          <cell r="D3671" t="str">
            <v>CR</v>
          </cell>
          <cell r="E3671" t="str">
            <v>62,58</v>
          </cell>
        </row>
        <row r="3672">
          <cell r="A3672">
            <v>11234</v>
          </cell>
          <cell r="B3672" t="str">
            <v xml:space="preserve">RALO FOFO COM REQUADRO, QUADRADO 200 X 200 MM                                                                                                                                                                                                                                                                                                                                                                                                                                                             </v>
          </cell>
          <cell r="C3672" t="str">
            <v xml:space="preserve">UN    </v>
          </cell>
          <cell r="D3672" t="str">
            <v>CR</v>
          </cell>
          <cell r="E3672" t="str">
            <v>94,32</v>
          </cell>
        </row>
        <row r="3673">
          <cell r="A3673">
            <v>21060</v>
          </cell>
          <cell r="B3673" t="str">
            <v xml:space="preserve">RALO FOFO COM REQUADRO, QUADRADO 250 X 250 MM                                                                                                                                                                                                                                                                                                                                                                                                                                                             </v>
          </cell>
          <cell r="C3673" t="str">
            <v xml:space="preserve">UN    </v>
          </cell>
          <cell r="D3673" t="str">
            <v>CR</v>
          </cell>
          <cell r="E3673" t="str">
            <v>116,09</v>
          </cell>
        </row>
        <row r="3674">
          <cell r="A3674">
            <v>21061</v>
          </cell>
          <cell r="B3674" t="str">
            <v xml:space="preserve">RALO FOFO COM REQUADRO, QUADRADO 300 X 300 MM                                                                                                                                                                                                                                                                                                                                                                                                                                                             </v>
          </cell>
          <cell r="C3674" t="str">
            <v xml:space="preserve">UN    </v>
          </cell>
          <cell r="D3674" t="str">
            <v>CR</v>
          </cell>
          <cell r="E3674" t="str">
            <v>145,11</v>
          </cell>
        </row>
        <row r="3675">
          <cell r="A3675">
            <v>21062</v>
          </cell>
          <cell r="B3675" t="str">
            <v xml:space="preserve">RALO FOFO COM REQUADRO, QUADRADO 400 X 400 MM                                                                                                                                                                                                                                                                                                                                                                                                                                                             </v>
          </cell>
          <cell r="C3675" t="str">
            <v xml:space="preserve">UN    </v>
          </cell>
          <cell r="D3675" t="str">
            <v>CR</v>
          </cell>
          <cell r="E3675" t="str">
            <v>228,55</v>
          </cell>
        </row>
        <row r="3676">
          <cell r="A3676">
            <v>11708</v>
          </cell>
          <cell r="B3676" t="str">
            <v xml:space="preserve">RALO FOFO SEMIESFERICO, 100 MM, PARA LAJES/ CALHAS                                                                                                                                                                                                                                                                                                                                                                                                                                                        </v>
          </cell>
          <cell r="C3676" t="str">
            <v xml:space="preserve">UN    </v>
          </cell>
          <cell r="D3676" t="str">
            <v>CR</v>
          </cell>
          <cell r="E3676" t="str">
            <v>24,94</v>
          </cell>
        </row>
        <row r="3677">
          <cell r="A3677">
            <v>11709</v>
          </cell>
          <cell r="B3677" t="str">
            <v xml:space="preserve">RALO FOFO SEMIESFERICO, 150 MM, PARA LAJES/ CALHAS                                                                                                                                                                                                                                                                                                                                                                                                                                                        </v>
          </cell>
          <cell r="C3677" t="str">
            <v xml:space="preserve">UN    </v>
          </cell>
          <cell r="D3677" t="str">
            <v>CR</v>
          </cell>
          <cell r="E3677" t="str">
            <v>58,59</v>
          </cell>
        </row>
        <row r="3678">
          <cell r="A3678">
            <v>11710</v>
          </cell>
          <cell r="B3678" t="str">
            <v xml:space="preserve">RALO FOFO SEMIESFERICO, 200 MM, PARA LAJES/ CALHAS                                                                                                                                                                                                                                                                                                                                                                                                                                                        </v>
          </cell>
          <cell r="C3678" t="str">
            <v xml:space="preserve">UN    </v>
          </cell>
          <cell r="D3678" t="str">
            <v>CR</v>
          </cell>
          <cell r="E3678" t="str">
            <v>134,68</v>
          </cell>
        </row>
        <row r="3679">
          <cell r="A3679">
            <v>11707</v>
          </cell>
          <cell r="B3679" t="str">
            <v xml:space="preserve">RALO FOFO SEMIESFERICO, 75 MM, PARA LAJES/ CALHAS                                                                                                                                                                                                                                                                                                                                                                                                                                                         </v>
          </cell>
          <cell r="C3679" t="str">
            <v xml:space="preserve">UN    </v>
          </cell>
          <cell r="D3679" t="str">
            <v>CR</v>
          </cell>
          <cell r="E3679" t="str">
            <v>18,68</v>
          </cell>
        </row>
        <row r="3680">
          <cell r="A3680">
            <v>5102</v>
          </cell>
          <cell r="B3680" t="str">
            <v xml:space="preserve">RALO SECO / RALO DE PASSAGEM EM PVC, QUADRADO, 100 X 100 X 53 MM, SAIDA 40 MM, COM GRELHA BRANCA                                                                                                                                                                                                                                                                                                                                                                                                          </v>
          </cell>
          <cell r="C3680" t="str">
            <v xml:space="preserve">UN    </v>
          </cell>
          <cell r="D3680" t="str">
            <v>CR</v>
          </cell>
          <cell r="E3680" t="str">
            <v>14,18</v>
          </cell>
        </row>
        <row r="3681">
          <cell r="A3681">
            <v>11739</v>
          </cell>
          <cell r="B3681" t="str">
            <v xml:space="preserve">RALO SECO CONICO, PVC, 100 X 40 MM,  COM GRELHA REDONDA BRANCA                                                                                                                                                                                                                                                                                                                                                                                                                                            </v>
          </cell>
          <cell r="C3681" t="str">
            <v xml:space="preserve">UN    </v>
          </cell>
          <cell r="D3681" t="str">
            <v>CR</v>
          </cell>
          <cell r="E3681" t="str">
            <v>10,10</v>
          </cell>
        </row>
        <row r="3682">
          <cell r="A3682">
            <v>11711</v>
          </cell>
          <cell r="B3682" t="str">
            <v xml:space="preserve">RALO SECO CONICO, PVC, 100 X 40 MM, COM GRELHA QUADRADA BRANCA                                                                                                                                                                                                                                                                                                                                                                                                                                            </v>
          </cell>
          <cell r="C3682" t="str">
            <v xml:space="preserve">UN    </v>
          </cell>
          <cell r="D3682" t="str">
            <v>CR</v>
          </cell>
          <cell r="E3682" t="str">
            <v>11,81</v>
          </cell>
        </row>
        <row r="3683">
          <cell r="A3683">
            <v>11741</v>
          </cell>
          <cell r="B3683" t="str">
            <v xml:space="preserve">RALO SIFONADO CILINDRICO, PVC, 100 X 40 MM,  COM GRELHA REDONDA BRANCA                                                                                                                                                                                                                                                                                                                                                                                                                                    </v>
          </cell>
          <cell r="C3683" t="str">
            <v xml:space="preserve">UN    </v>
          </cell>
          <cell r="D3683" t="str">
            <v>CR</v>
          </cell>
          <cell r="E3683" t="str">
            <v>12,86</v>
          </cell>
        </row>
        <row r="3684">
          <cell r="A3684">
            <v>11745</v>
          </cell>
          <cell r="B3684" t="str">
            <v xml:space="preserve">RALO SIFONADO QUADRADO, PVC, 100 X 53 MM, SAIDA 40 MM, COM GRELHA QUADRADA BRANCA                                                                                                                                                                                                                                                                                                                                                                                                                         </v>
          </cell>
          <cell r="C3684" t="str">
            <v xml:space="preserve">UN    </v>
          </cell>
          <cell r="D3684" t="str">
            <v>CR</v>
          </cell>
          <cell r="E3684" t="str">
            <v>16,95</v>
          </cell>
        </row>
        <row r="3685">
          <cell r="A3685">
            <v>11743</v>
          </cell>
          <cell r="B3685" t="str">
            <v xml:space="preserve">RALO SIFONADO REDONDO CONICO, PVC, 100 X 40 MM, COM GRELHA REDONDA BRANCA                                                                                                                                                                                                                                                                                                                                                                                                                                 </v>
          </cell>
          <cell r="C3685" t="str">
            <v xml:space="preserve">UN    </v>
          </cell>
          <cell r="D3685" t="str">
            <v>CR</v>
          </cell>
          <cell r="E3685" t="str">
            <v>10,80</v>
          </cell>
        </row>
        <row r="3686">
          <cell r="A3686">
            <v>1088</v>
          </cell>
          <cell r="B3686" t="str">
            <v xml:space="preserve">REATOR ELETRONICO BIVOLT PARA 1 LAMPADA FLUORESCENTE DE 18/20 W                                                                                                                                                                                                                                                                                                                                                                                                                                           </v>
          </cell>
          <cell r="C3686" t="str">
            <v xml:space="preserve">UN    </v>
          </cell>
          <cell r="D3686" t="str">
            <v>CR</v>
          </cell>
          <cell r="E3686" t="str">
            <v>32,18</v>
          </cell>
        </row>
        <row r="3687">
          <cell r="A3687">
            <v>1087</v>
          </cell>
          <cell r="B3687" t="str">
            <v xml:space="preserve">REATOR ELETRONICO BIVOLT PARA 1 LAMPADA FLUORESCENTE DE 36/40 W                                                                                                                                                                                                                                                                                                                                                                                                                                           </v>
          </cell>
          <cell r="C3687" t="str">
            <v xml:space="preserve">UN    </v>
          </cell>
          <cell r="D3687" t="str">
            <v>CR</v>
          </cell>
          <cell r="E3687" t="str">
            <v>40,20</v>
          </cell>
        </row>
        <row r="3688">
          <cell r="A3688">
            <v>38777</v>
          </cell>
          <cell r="B3688" t="str">
            <v xml:space="preserve">REATOR ELETRONICO BIVOLT PARA 2 LAMPADAS FLUORESCENTES DE 14 W                                                                                                                                                                                                                                                                                                                                                                                                                                            </v>
          </cell>
          <cell r="C3688" t="str">
            <v xml:space="preserve">UN    </v>
          </cell>
          <cell r="D3688" t="str">
            <v>CR</v>
          </cell>
          <cell r="E3688" t="str">
            <v>80,06</v>
          </cell>
        </row>
        <row r="3689">
          <cell r="A3689">
            <v>1086</v>
          </cell>
          <cell r="B3689" t="str">
            <v xml:space="preserve">REATOR ELETRONICO BIVOLT PARA 2 LAMPADAS FLUORESCENTES DE 18/20 W                                                                                                                                                                                                                                                                                                                                                                                                                                         </v>
          </cell>
          <cell r="C3689" t="str">
            <v xml:space="preserve">UN    </v>
          </cell>
          <cell r="D3689" t="str">
            <v>CR</v>
          </cell>
          <cell r="E3689" t="str">
            <v>42,25</v>
          </cell>
        </row>
        <row r="3690">
          <cell r="A3690">
            <v>1079</v>
          </cell>
          <cell r="B3690" t="str">
            <v xml:space="preserve">REATOR ELETRONICO BIVOLT PARA 2 LAMPADAS FLUORESCENTES DE 36/40 W                                                                                                                                                                                                                                                                                                                                                                                                                                         </v>
          </cell>
          <cell r="C3690" t="str">
            <v xml:space="preserve">UN    </v>
          </cell>
          <cell r="D3690" t="str">
            <v>CR</v>
          </cell>
          <cell r="E3690" t="str">
            <v>43,68</v>
          </cell>
        </row>
        <row r="3691">
          <cell r="A3691">
            <v>39374</v>
          </cell>
          <cell r="B3691" t="str">
            <v xml:space="preserve">REATOR INTERNO/INTEGRADO PARA LAMPADA VAPOR METALICO 400 W, ALTO FATOR DE POTENCIA                                                                                                                                                                                                                                                                                                                                                                                                                        </v>
          </cell>
          <cell r="C3691" t="str">
            <v xml:space="preserve">UN    </v>
          </cell>
          <cell r="D3691" t="str">
            <v xml:space="preserve">C </v>
          </cell>
          <cell r="E3691" t="str">
            <v>162,45</v>
          </cell>
        </row>
        <row r="3692">
          <cell r="A3692">
            <v>1082</v>
          </cell>
          <cell r="B3692" t="str">
            <v xml:space="preserve">REATOR P/ LAMPADA VAPOR DE SODIO 250W USO EXT                                                                                                                                                                                                                                                                                                                                                                                                                                                             </v>
          </cell>
          <cell r="C3692" t="str">
            <v xml:space="preserve">UN    </v>
          </cell>
          <cell r="D3692" t="str">
            <v>CR</v>
          </cell>
          <cell r="E3692" t="str">
            <v>274,58</v>
          </cell>
        </row>
        <row r="3693">
          <cell r="A3693">
            <v>5104</v>
          </cell>
          <cell r="B3693" t="str">
            <v xml:space="preserve">REBITE DE REPUXO EM ALUMINIO VAZADO, DIAMETRO 3,2 X 8 MM DE COMPRIMENTO (1KG = 1025 UNIDADES)                                                                                                                                                                                                                                                                                                                                                                                                             </v>
          </cell>
          <cell r="C3693" t="str">
            <v xml:space="preserve">KG    </v>
          </cell>
          <cell r="D3693" t="str">
            <v>CR</v>
          </cell>
          <cell r="E3693" t="str">
            <v>59,60</v>
          </cell>
        </row>
        <row r="3694">
          <cell r="A3694">
            <v>44530</v>
          </cell>
          <cell r="B3694" t="str">
            <v xml:space="preserve">REBOLO ABRASIVO RETO DE USO GERAL GRAO 36, DE 6 X 1 " ( DIAMETRO X ALTURA)                                                                                                                                                                                                                                                                                                                                                                                                                                </v>
          </cell>
          <cell r="C3694" t="str">
            <v xml:space="preserve">UN    </v>
          </cell>
          <cell r="D3694" t="str">
            <v>CR</v>
          </cell>
          <cell r="E3694" t="str">
            <v>81,31</v>
          </cell>
        </row>
        <row r="3695">
          <cell r="A3695">
            <v>2710</v>
          </cell>
          <cell r="B3695" t="str">
            <v xml:space="preserve">REBOLO ABRASIVO RETO DE USO GERAL GRAO 36, DE 6 X 3/4 " (DIAMETRO X ALTURA)                                                                                                                                                                                                                                                                                                                                                                                                                               </v>
          </cell>
          <cell r="C3695" t="str">
            <v xml:space="preserve">UN    </v>
          </cell>
          <cell r="D3695" t="str">
            <v>CR</v>
          </cell>
          <cell r="E3695" t="str">
            <v>64,93</v>
          </cell>
        </row>
        <row r="3696">
          <cell r="A3696">
            <v>14575</v>
          </cell>
          <cell r="B3696" t="str">
            <v xml:space="preserve">RECICLADORA DE ASFALTO A FRIO SOBRE RODAS, LARG. FRESAGEM 2,00 M, POT. 315 KW/422 HP                                                                                                                                                                                                                                                                                                                                                                                                                      </v>
          </cell>
          <cell r="C3696" t="str">
            <v xml:space="preserve">UN    </v>
          </cell>
          <cell r="D3696" t="str">
            <v>CR</v>
          </cell>
          <cell r="E3696" t="str">
            <v>4.672.348,12</v>
          </cell>
        </row>
        <row r="3697">
          <cell r="A3697">
            <v>20043</v>
          </cell>
          <cell r="B3697" t="str">
            <v xml:space="preserve">REDUCAO EXCENTRICA PVC, DN 100 X 50 MM, PARA ESGOTO PREDIAL                                                                                                                                                                                                                                                                                                                                                                                                                                               </v>
          </cell>
          <cell r="C3697" t="str">
            <v xml:space="preserve">UN    </v>
          </cell>
          <cell r="D3697" t="str">
            <v>CR</v>
          </cell>
          <cell r="E3697" t="str">
            <v>8,84</v>
          </cell>
        </row>
        <row r="3698">
          <cell r="A3698">
            <v>20044</v>
          </cell>
          <cell r="B3698" t="str">
            <v xml:space="preserve">REDUCAO EXCENTRICA PVC, DN 100 X 75 MM, PARA ESGOTO PREDIAL                                                                                                                                                                                                                                                                                                                                                                                                                                               </v>
          </cell>
          <cell r="C3698" t="str">
            <v xml:space="preserve">UN    </v>
          </cell>
          <cell r="D3698" t="str">
            <v>CR</v>
          </cell>
          <cell r="E3698" t="str">
            <v>10,25</v>
          </cell>
        </row>
        <row r="3699">
          <cell r="A3699">
            <v>20042</v>
          </cell>
          <cell r="B3699" t="str">
            <v xml:space="preserve">REDUCAO EXCENTRICA PVC, DN 75 X 50 MM, PARA ESGOTO PREDIAL                                                                                                                                                                                                                                                                                                                                                                                                                                                </v>
          </cell>
          <cell r="C3699" t="str">
            <v xml:space="preserve">UN    </v>
          </cell>
          <cell r="D3699" t="str">
            <v>CR</v>
          </cell>
          <cell r="E3699" t="str">
            <v>7,67</v>
          </cell>
        </row>
        <row r="3700">
          <cell r="A3700">
            <v>20046</v>
          </cell>
          <cell r="B3700" t="str">
            <v xml:space="preserve">REDUCAO EXCENTRICA PVC, SERIE R, DN 100 X 75 MM, PARA ESGOTO PREDIAL                                                                                                                                                                                                                                                                                                                                                                                                                                      </v>
          </cell>
          <cell r="C3700" t="str">
            <v xml:space="preserve">UN    </v>
          </cell>
          <cell r="D3700" t="str">
            <v>CR</v>
          </cell>
          <cell r="E3700" t="str">
            <v>18,16</v>
          </cell>
        </row>
        <row r="3701">
          <cell r="A3701">
            <v>20047</v>
          </cell>
          <cell r="B3701" t="str">
            <v xml:space="preserve">REDUCAO EXCENTRICA PVC, SERIE R, DN 150 X 100 MM, PARA ESGOTO PREDIAL                                                                                                                                                                                                                                                                                                                                                                                                                                     </v>
          </cell>
          <cell r="C3701" t="str">
            <v xml:space="preserve">UN    </v>
          </cell>
          <cell r="D3701" t="str">
            <v>CR</v>
          </cell>
          <cell r="E3701" t="str">
            <v>54,46</v>
          </cell>
        </row>
        <row r="3702">
          <cell r="A3702">
            <v>20045</v>
          </cell>
          <cell r="B3702" t="str">
            <v xml:space="preserve">REDUCAO EXCENTRICA PVC, SERIE R, DN 75 X 50 MM, PARA ESGOTO PREDIAL                                                                                                                                                                                                                                                                                                                                                                                                                                       </v>
          </cell>
          <cell r="C3702" t="str">
            <v xml:space="preserve">UN    </v>
          </cell>
          <cell r="D3702" t="str">
            <v>CR</v>
          </cell>
          <cell r="E3702" t="str">
            <v>9,19</v>
          </cell>
        </row>
        <row r="3703">
          <cell r="A3703">
            <v>20972</v>
          </cell>
          <cell r="B3703" t="str">
            <v xml:space="preserve">REDUCAO FIXA TIPO STORZ, ENGATE RAPIDO 2.1/2" X 1.1/2", EM LATAO, PARA INSTALACAO PREDIAL COMBATE A INCENDIO PREDIAL                                                                                                                                                                                                                                                                                                                                                                                      </v>
          </cell>
          <cell r="C3703" t="str">
            <v xml:space="preserve">UN    </v>
          </cell>
          <cell r="D3703" t="str">
            <v>CR</v>
          </cell>
          <cell r="E3703" t="str">
            <v>214,28</v>
          </cell>
        </row>
        <row r="3704">
          <cell r="A3704">
            <v>11321</v>
          </cell>
          <cell r="B3704" t="str">
            <v xml:space="preserve">REDUCAO PVC PBA, JE, PB, DN 100 X 50 / DE 110 X 60 MM, PARA REDE DE AGUA                                                                                                                                                                                                                                                                                                                                                                                                                                  </v>
          </cell>
          <cell r="C3704" t="str">
            <v xml:space="preserve">UN    </v>
          </cell>
          <cell r="D3704" t="str">
            <v>CR</v>
          </cell>
          <cell r="E3704" t="str">
            <v>26,60</v>
          </cell>
        </row>
        <row r="3705">
          <cell r="A3705">
            <v>11323</v>
          </cell>
          <cell r="B3705" t="str">
            <v xml:space="preserve">REDUCAO PVC PBA, JE, PB, DN 100 X 75 / DE 110 X 85 MM, PARA REDE DE AGUA                                                                                                                                                                                                                                                                                                                                                                                                                                  </v>
          </cell>
          <cell r="C3705" t="str">
            <v xml:space="preserve">UN    </v>
          </cell>
          <cell r="D3705" t="str">
            <v>CR</v>
          </cell>
          <cell r="E3705" t="str">
            <v>30,60</v>
          </cell>
        </row>
        <row r="3706">
          <cell r="A3706">
            <v>20327</v>
          </cell>
          <cell r="B3706" t="str">
            <v xml:space="preserve">REDUCAO PVC PBA, JE, PB, DN 75 X 50 / DE 85 X 60 MM, PARA REDE DE AGUA                                                                                                                                                                                                                                                                                                                                                                                                                                    </v>
          </cell>
          <cell r="C3706" t="str">
            <v xml:space="preserve">UN    </v>
          </cell>
          <cell r="D3706" t="str">
            <v>CR</v>
          </cell>
          <cell r="E3706" t="str">
            <v>17,36</v>
          </cell>
        </row>
        <row r="3707">
          <cell r="A3707">
            <v>13390</v>
          </cell>
          <cell r="B3707" t="str">
            <v xml:space="preserve">REFLETOR REDONDO EM ALUMINIO ANODIZADO PARA LAMPADA VAPOR DE MERCURIO/SODIO, CORPO EM ALUMINIO COM PINTURA EPOXI, PARA LAMPADA E-27 DE 300 W, COM SUPORTE REDONDO E ALCA REGULAVEL PARA FIXACAO.                                                                                                                                                                                                                                                                                                          </v>
          </cell>
          <cell r="C3707" t="str">
            <v xml:space="preserve">UN    </v>
          </cell>
          <cell r="D3707" t="str">
            <v>CR</v>
          </cell>
          <cell r="E3707" t="str">
            <v>158,82</v>
          </cell>
        </row>
        <row r="3708">
          <cell r="A3708">
            <v>6034</v>
          </cell>
          <cell r="B3708" t="str">
            <v xml:space="preserve">REGISTRO DE ESFERA DE PASSEIO, PVC PARA POLIETILENO, 20 MM                                                                                                                                                                                                                                                                                                                                                                                                                                                </v>
          </cell>
          <cell r="C3708" t="str">
            <v xml:space="preserve">UN    </v>
          </cell>
          <cell r="D3708" t="str">
            <v>CR</v>
          </cell>
          <cell r="E3708" t="str">
            <v>13,65</v>
          </cell>
        </row>
        <row r="3709">
          <cell r="A3709">
            <v>6036</v>
          </cell>
          <cell r="B3709" t="str">
            <v xml:space="preserve">REGISTRO DE ESFERA PVC, COM BORBOLETA, COM ROSCA EXTERNA, DE 1/2"                                                                                                                                                                                                                                                                                                                                                                                                                                         </v>
          </cell>
          <cell r="C3709" t="str">
            <v xml:space="preserve">UN    </v>
          </cell>
          <cell r="D3709" t="str">
            <v>CR</v>
          </cell>
          <cell r="E3709" t="str">
            <v>18,59</v>
          </cell>
        </row>
        <row r="3710">
          <cell r="A3710">
            <v>6031</v>
          </cell>
          <cell r="B3710" t="str">
            <v xml:space="preserve">REGISTRO DE ESFERA PVC, COM BORBOLETA, COM ROSCA EXTERNA, DE 3/4"                                                                                                                                                                                                                                                                                                                                                                                                                                         </v>
          </cell>
          <cell r="C3710" t="str">
            <v xml:space="preserve">UN    </v>
          </cell>
          <cell r="D3710" t="str">
            <v xml:space="preserve">C </v>
          </cell>
          <cell r="E3710" t="str">
            <v>21,85</v>
          </cell>
        </row>
        <row r="3711">
          <cell r="A3711">
            <v>6029</v>
          </cell>
          <cell r="B3711" t="str">
            <v xml:space="preserve">REGISTRO DE ESFERA PVC, COM CABECA QUADRADA, COM ROSCA EXTERNA, 1/2"                                                                                                                                                                                                                                                                                                                                                                                                                                      </v>
          </cell>
          <cell r="C3711" t="str">
            <v xml:space="preserve">UN    </v>
          </cell>
          <cell r="D3711" t="str">
            <v>CR</v>
          </cell>
          <cell r="E3711" t="str">
            <v>22,08</v>
          </cell>
        </row>
        <row r="3712">
          <cell r="A3712">
            <v>6033</v>
          </cell>
          <cell r="B3712" t="str">
            <v xml:space="preserve">REGISTRO DE ESFERA PVC, COM CABECA QUADRADA, COM ROSCA EXTERNA, 3/4"                                                                                                                                                                                                                                                                                                                                                                                                                                      </v>
          </cell>
          <cell r="C3712" t="str">
            <v xml:space="preserve">UN    </v>
          </cell>
          <cell r="D3712" t="str">
            <v>CR</v>
          </cell>
          <cell r="E3712" t="str">
            <v>29,10</v>
          </cell>
        </row>
        <row r="3713">
          <cell r="A3713">
            <v>11672</v>
          </cell>
          <cell r="B3713" t="str">
            <v xml:space="preserve">REGISTRO DE ESFERA, PVC, COM VOLANTE, VS, ROSCAVEL, DN 1 1/2", COM CORPO DIVIDIDO                                                                                                                                                                                                                                                                                                                                                                                                                         </v>
          </cell>
          <cell r="C3713" t="str">
            <v xml:space="preserve">UN    </v>
          </cell>
          <cell r="D3713" t="str">
            <v>CR</v>
          </cell>
          <cell r="E3713" t="str">
            <v>63,31</v>
          </cell>
        </row>
        <row r="3714">
          <cell r="A3714">
            <v>11669</v>
          </cell>
          <cell r="B3714" t="str">
            <v xml:space="preserve">REGISTRO DE ESFERA, PVC, COM VOLANTE, VS, ROSCAVEL, DN 1 1/4", COM CORPO DIVIDIDO                                                                                                                                                                                                                                                                                                                                                                                                                         </v>
          </cell>
          <cell r="C3714" t="str">
            <v xml:space="preserve">UN    </v>
          </cell>
          <cell r="D3714" t="str">
            <v>CR</v>
          </cell>
          <cell r="E3714" t="str">
            <v>60,29</v>
          </cell>
        </row>
        <row r="3715">
          <cell r="A3715">
            <v>11670</v>
          </cell>
          <cell r="B3715" t="str">
            <v xml:space="preserve">REGISTRO DE ESFERA, PVC, COM VOLANTE, VS, ROSCAVEL, DN 1/2", COM CORPO DIVIDIDO                                                                                                                                                                                                                                                                                                                                                                                                                           </v>
          </cell>
          <cell r="C3715" t="str">
            <v xml:space="preserve">UN    </v>
          </cell>
          <cell r="D3715" t="str">
            <v>CR</v>
          </cell>
          <cell r="E3715" t="str">
            <v>23,09</v>
          </cell>
        </row>
        <row r="3716">
          <cell r="A3716">
            <v>20055</v>
          </cell>
          <cell r="B3716" t="str">
            <v xml:space="preserve">REGISTRO DE ESFERA, PVC, COM VOLANTE, VS, ROSCAVEL, DN 1", COM CORPO DIVIDIDO                                                                                                                                                                                                                                                                                                                                                                                                                             </v>
          </cell>
          <cell r="C3716" t="str">
            <v xml:space="preserve">UN    </v>
          </cell>
          <cell r="D3716" t="str">
            <v>CR</v>
          </cell>
          <cell r="E3716" t="str">
            <v>45,15</v>
          </cell>
        </row>
        <row r="3717">
          <cell r="A3717">
            <v>11671</v>
          </cell>
          <cell r="B3717" t="str">
            <v xml:space="preserve">REGISTRO DE ESFERA, PVC, COM VOLANTE, VS, ROSCAVEL, DN 2", COM CORPO DIVIDIDO                                                                                                                                                                                                                                                                                                                                                                                                                             </v>
          </cell>
          <cell r="C3717" t="str">
            <v xml:space="preserve">UN    </v>
          </cell>
          <cell r="D3717" t="str">
            <v>CR</v>
          </cell>
          <cell r="E3717" t="str">
            <v>96,89</v>
          </cell>
        </row>
        <row r="3718">
          <cell r="A3718">
            <v>6032</v>
          </cell>
          <cell r="B3718" t="str">
            <v xml:space="preserve">REGISTRO DE ESFERA, PVC, COM VOLANTE, VS, ROSCAVEL, DN 3/4", COM CORPO DIVIDIDO                                                                                                                                                                                                                                                                                                                                                                                                                           </v>
          </cell>
          <cell r="C3718" t="str">
            <v xml:space="preserve">UN    </v>
          </cell>
          <cell r="D3718" t="str">
            <v>CR</v>
          </cell>
          <cell r="E3718" t="str">
            <v>27,67</v>
          </cell>
        </row>
        <row r="3719">
          <cell r="A3719">
            <v>11673</v>
          </cell>
          <cell r="B3719" t="str">
            <v xml:space="preserve">REGISTRO DE ESFERA, PVC, COM VOLANTE, VS, SOLDAVEL, DN 20 MM, COM CORPO DIVIDIDO                                                                                                                                                                                                                                                                                                                                                                                                                          </v>
          </cell>
          <cell r="C3719" t="str">
            <v xml:space="preserve">UN    </v>
          </cell>
          <cell r="D3719" t="str">
            <v>CR</v>
          </cell>
          <cell r="E3719" t="str">
            <v>21,79</v>
          </cell>
        </row>
        <row r="3720">
          <cell r="A3720">
            <v>11674</v>
          </cell>
          <cell r="B3720" t="str">
            <v xml:space="preserve">REGISTRO DE ESFERA, PVC, COM VOLANTE, VS, SOLDAVEL, DN 25 MM, COM CORPO DIVIDIDO                                                                                                                                                                                                                                                                                                                                                                                                                          </v>
          </cell>
          <cell r="C3720" t="str">
            <v xml:space="preserve">UN    </v>
          </cell>
          <cell r="D3720" t="str">
            <v>CR</v>
          </cell>
          <cell r="E3720" t="str">
            <v>28,06</v>
          </cell>
        </row>
        <row r="3721">
          <cell r="A3721">
            <v>11675</v>
          </cell>
          <cell r="B3721" t="str">
            <v xml:space="preserve">REGISTRO DE ESFERA, PVC, COM VOLANTE, VS, SOLDAVEL, DN 32 MM, COM CORPO DIVIDIDO                                                                                                                                                                                                                                                                                                                                                                                                                          </v>
          </cell>
          <cell r="C3721" t="str">
            <v xml:space="preserve">UN    </v>
          </cell>
          <cell r="D3721" t="str">
            <v>CR</v>
          </cell>
          <cell r="E3721" t="str">
            <v>44,55</v>
          </cell>
        </row>
        <row r="3722">
          <cell r="A3722">
            <v>11676</v>
          </cell>
          <cell r="B3722" t="str">
            <v xml:space="preserve">REGISTRO DE ESFERA, PVC, COM VOLANTE, VS, SOLDAVEL, DN 40 MM, COM CORPO DIVIDIDO                                                                                                                                                                                                                                                                                                                                                                                                                          </v>
          </cell>
          <cell r="C3722" t="str">
            <v xml:space="preserve">UN    </v>
          </cell>
          <cell r="D3722" t="str">
            <v>CR</v>
          </cell>
          <cell r="E3722" t="str">
            <v>59,59</v>
          </cell>
        </row>
        <row r="3723">
          <cell r="A3723">
            <v>11677</v>
          </cell>
          <cell r="B3723" t="str">
            <v xml:space="preserve">REGISTRO DE ESFERA, PVC, COM VOLANTE, VS, SOLDAVEL, DN 50 MM, COM CORPO DIVIDIDO                                                                                                                                                                                                                                                                                                                                                                                                                          </v>
          </cell>
          <cell r="C3723" t="str">
            <v xml:space="preserve">UN    </v>
          </cell>
          <cell r="D3723" t="str">
            <v>CR</v>
          </cell>
          <cell r="E3723" t="str">
            <v>61,54</v>
          </cell>
        </row>
        <row r="3724">
          <cell r="A3724">
            <v>11678</v>
          </cell>
          <cell r="B3724" t="str">
            <v xml:space="preserve">REGISTRO DE ESFERA, PVC, COM VOLANTE, VS, SOLDAVEL, DN 60 MM, COM CORPO DIVIDIDO                                                                                                                                                                                                                                                                                                                                                                                                                          </v>
          </cell>
          <cell r="C3724" t="str">
            <v xml:space="preserve">UN    </v>
          </cell>
          <cell r="D3724" t="str">
            <v>CR</v>
          </cell>
          <cell r="E3724" t="str">
            <v>112,70</v>
          </cell>
        </row>
        <row r="3725">
          <cell r="A3725">
            <v>6038</v>
          </cell>
          <cell r="B3725" t="str">
            <v xml:space="preserve">REGISTRO DE PRESSAO PVC, ROSCAVEL, VOLANTE SIMPLES, DE 1/2"                                                                                                                                                                                                                                                                                                                                                                                                                                               </v>
          </cell>
          <cell r="C3725" t="str">
            <v xml:space="preserve">UN    </v>
          </cell>
          <cell r="D3725" t="str">
            <v>CR</v>
          </cell>
          <cell r="E3725" t="str">
            <v>7,15</v>
          </cell>
        </row>
        <row r="3726">
          <cell r="A3726">
            <v>11718</v>
          </cell>
          <cell r="B3726" t="str">
            <v xml:space="preserve">REGISTRO DE PRESSAO PVC, ROSCAVEL, VOLANTE SIMPLES, DE 3/4"                                                                                                                                                                                                                                                                                                                                                                                                                                               </v>
          </cell>
          <cell r="C3726" t="str">
            <v xml:space="preserve">UN    </v>
          </cell>
          <cell r="D3726" t="str">
            <v>CR</v>
          </cell>
          <cell r="E3726" t="str">
            <v>20,39</v>
          </cell>
        </row>
        <row r="3727">
          <cell r="A3727">
            <v>6037</v>
          </cell>
          <cell r="B3727" t="str">
            <v xml:space="preserve">REGISTRO DE PRESSAO PVC, SOLDAVEL, VOLANTE SIMPLES, DE 20 MM                                                                                                                                                                                                                                                                                                                                                                                                                                              </v>
          </cell>
          <cell r="C3727" t="str">
            <v xml:space="preserve">UN    </v>
          </cell>
          <cell r="D3727" t="str">
            <v>CR</v>
          </cell>
          <cell r="E3727" t="str">
            <v>14,87</v>
          </cell>
        </row>
        <row r="3728">
          <cell r="A3728">
            <v>11719</v>
          </cell>
          <cell r="B3728" t="str">
            <v xml:space="preserve">REGISTRO DE PRESSAO PVC, SOLDAVEL, VOLANTE SIMPLES, DE 25 MM                                                                                                                                                                                                                                                                                                                                                                                                                                              </v>
          </cell>
          <cell r="C3728" t="str">
            <v xml:space="preserve">UN    </v>
          </cell>
          <cell r="D3728" t="str">
            <v>CR</v>
          </cell>
          <cell r="E3728" t="str">
            <v>16,54</v>
          </cell>
        </row>
        <row r="3729">
          <cell r="A3729">
            <v>6019</v>
          </cell>
          <cell r="B3729" t="str">
            <v xml:space="preserve">REGISTRO GAVETA BRUTO EM LATAO FORJADO, BITOLA 1 " (REF 1509)                                                                                                                                                                                                                                                                                                                                                                                                                                             </v>
          </cell>
          <cell r="C3729" t="str">
            <v xml:space="preserve">UN    </v>
          </cell>
          <cell r="D3729" t="str">
            <v>CR</v>
          </cell>
          <cell r="E3729" t="str">
            <v>45,21</v>
          </cell>
        </row>
        <row r="3730">
          <cell r="A3730">
            <v>6010</v>
          </cell>
          <cell r="B3730" t="str">
            <v xml:space="preserve">REGISTRO GAVETA BRUTO EM LATAO FORJADO, BITOLA 1 1/2 " (REF 1509)                                                                                                                                                                                                                                                                                                                                                                                                                                         </v>
          </cell>
          <cell r="C3730" t="str">
            <v xml:space="preserve">UN    </v>
          </cell>
          <cell r="D3730" t="str">
            <v>CR</v>
          </cell>
          <cell r="E3730" t="str">
            <v>77,79</v>
          </cell>
        </row>
        <row r="3731">
          <cell r="A3731">
            <v>6017</v>
          </cell>
          <cell r="B3731" t="str">
            <v xml:space="preserve">REGISTRO GAVETA BRUTO EM LATAO FORJADO, BITOLA 1 1/4 " (REF 1509)                                                                                                                                                                                                                                                                                                                                                                                                                                         </v>
          </cell>
          <cell r="C3731" t="str">
            <v xml:space="preserve">UN    </v>
          </cell>
          <cell r="D3731" t="str">
            <v>CR</v>
          </cell>
          <cell r="E3731" t="str">
            <v>61,62</v>
          </cell>
        </row>
        <row r="3732">
          <cell r="A3732">
            <v>6020</v>
          </cell>
          <cell r="B3732" t="str">
            <v xml:space="preserve">REGISTRO GAVETA BRUTO EM LATAO FORJADO, BITOLA 1/2 " (REF 1509)                                                                                                                                                                                                                                                                                                                                                                                                                                           </v>
          </cell>
          <cell r="C3732" t="str">
            <v xml:space="preserve">UN    </v>
          </cell>
          <cell r="D3732" t="str">
            <v>CR</v>
          </cell>
          <cell r="E3732" t="str">
            <v>27,15</v>
          </cell>
        </row>
        <row r="3733">
          <cell r="A3733">
            <v>6028</v>
          </cell>
          <cell r="B3733" t="str">
            <v xml:space="preserve">REGISTRO GAVETA BRUTO EM LATAO FORJADO, BITOLA 2 " (REF 1509)                                                                                                                                                                                                                                                                                                                                                                                                                                             </v>
          </cell>
          <cell r="C3733" t="str">
            <v xml:space="preserve">UN    </v>
          </cell>
          <cell r="D3733" t="str">
            <v>CR</v>
          </cell>
          <cell r="E3733" t="str">
            <v>108,36</v>
          </cell>
        </row>
        <row r="3734">
          <cell r="A3734">
            <v>6011</v>
          </cell>
          <cell r="B3734" t="str">
            <v xml:space="preserve">REGISTRO GAVETA BRUTO EM LATAO FORJADO, BITOLA 2 1/2 " (REF 1509)                                                                                                                                                                                                                                                                                                                                                                                                                                         </v>
          </cell>
          <cell r="C3734" t="str">
            <v xml:space="preserve">UN    </v>
          </cell>
          <cell r="D3734" t="str">
            <v>CR</v>
          </cell>
          <cell r="E3734" t="str">
            <v>224,72</v>
          </cell>
        </row>
        <row r="3735">
          <cell r="A3735">
            <v>6012</v>
          </cell>
          <cell r="B3735" t="str">
            <v xml:space="preserve">REGISTRO GAVETA BRUTO EM LATAO FORJADO, BITOLA 3 " (REF 1509)                                                                                                                                                                                                                                                                                                                                                                                                                                             </v>
          </cell>
          <cell r="C3735" t="str">
            <v xml:space="preserve">UN    </v>
          </cell>
          <cell r="D3735" t="str">
            <v>CR</v>
          </cell>
          <cell r="E3735" t="str">
            <v>272,07</v>
          </cell>
        </row>
        <row r="3736">
          <cell r="A3736">
            <v>6016</v>
          </cell>
          <cell r="B3736" t="str">
            <v xml:space="preserve">REGISTRO GAVETA BRUTO EM LATAO FORJADO, BITOLA 3/4 " (REF 1509)                                                                                                                                                                                                                                                                                                                                                                                                                                           </v>
          </cell>
          <cell r="C3736" t="str">
            <v xml:space="preserve">UN    </v>
          </cell>
          <cell r="D3736" t="str">
            <v>CR</v>
          </cell>
          <cell r="E3736" t="str">
            <v>28,64</v>
          </cell>
        </row>
        <row r="3737">
          <cell r="A3737">
            <v>6027</v>
          </cell>
          <cell r="B3737" t="str">
            <v xml:space="preserve">REGISTRO GAVETA BRUTO EM LATAO FORJADO, BITOLA 4 " (REF 1509)                                                                                                                                                                                                                                                                                                                                                                                                                                             </v>
          </cell>
          <cell r="C3737" t="str">
            <v xml:space="preserve">UN    </v>
          </cell>
          <cell r="D3737" t="str">
            <v>CR</v>
          </cell>
          <cell r="E3737" t="str">
            <v>566,89</v>
          </cell>
        </row>
        <row r="3738">
          <cell r="A3738">
            <v>6013</v>
          </cell>
          <cell r="B3738" t="str">
            <v xml:space="preserve">REGISTRO GAVETA COM ACABAMENTO E CANOPLA CROMADOS, SIMPLES, BITOLA 1 " (REF 1509)                                                                                                                                                                                                                                                                                                                                                                                                                         </v>
          </cell>
          <cell r="C3738" t="str">
            <v xml:space="preserve">UN    </v>
          </cell>
          <cell r="D3738" t="str">
            <v>CR</v>
          </cell>
          <cell r="E3738" t="str">
            <v>85,54</v>
          </cell>
        </row>
        <row r="3739">
          <cell r="A3739">
            <v>6015</v>
          </cell>
          <cell r="B3739" t="str">
            <v xml:space="preserve">REGISTRO GAVETA COM ACABAMENTO E CANOPLA CROMADOS, SIMPLES, BITOLA 1 1/2 " (REF 1509)                                                                                                                                                                                                                                                                                                                                                                                                                     </v>
          </cell>
          <cell r="C3739" t="str">
            <v xml:space="preserve">UN    </v>
          </cell>
          <cell r="D3739" t="str">
            <v>CR</v>
          </cell>
          <cell r="E3739" t="str">
            <v>124,40</v>
          </cell>
        </row>
        <row r="3740">
          <cell r="A3740">
            <v>6014</v>
          </cell>
          <cell r="B3740" t="str">
            <v xml:space="preserve">REGISTRO GAVETA COM ACABAMENTO E CANOPLA CROMADOS, SIMPLES, BITOLA 1 1/4 " (REF 1509)                                                                                                                                                                                                                                                                                                                                                                                                                     </v>
          </cell>
          <cell r="C3740" t="str">
            <v xml:space="preserve">UN    </v>
          </cell>
          <cell r="D3740" t="str">
            <v>CR</v>
          </cell>
          <cell r="E3740" t="str">
            <v>118,93</v>
          </cell>
        </row>
        <row r="3741">
          <cell r="A3741">
            <v>6006</v>
          </cell>
          <cell r="B3741" t="str">
            <v xml:space="preserve">REGISTRO GAVETA COM ACABAMENTO E CANOPLA CROMADOS, SIMPLES, BITOLA 1/2 " (REF 1509)                                                                                                                                                                                                                                                                                                                                                                                                                       </v>
          </cell>
          <cell r="C3741" t="str">
            <v xml:space="preserve">UN    </v>
          </cell>
          <cell r="D3741" t="str">
            <v>CR</v>
          </cell>
          <cell r="E3741" t="str">
            <v>61,94</v>
          </cell>
        </row>
        <row r="3742">
          <cell r="A3742">
            <v>6005</v>
          </cell>
          <cell r="B3742" t="str">
            <v xml:space="preserve">REGISTRO GAVETA COM ACABAMENTO E CANOPLA CROMADOS, SIMPLES, BITOLA 3/4 " (REF 1509)                                                                                                                                                                                                                                                                                                                                                                                                                       </v>
          </cell>
          <cell r="C3742" t="str">
            <v xml:space="preserve">UN    </v>
          </cell>
          <cell r="D3742" t="str">
            <v xml:space="preserve">C </v>
          </cell>
          <cell r="E3742" t="str">
            <v>69,88</v>
          </cell>
        </row>
        <row r="3743">
          <cell r="A3743">
            <v>11756</v>
          </cell>
          <cell r="B3743" t="str">
            <v xml:space="preserve">REGISTRO OU REGULADOR DE GAS COZINHA, VAZAO DE 2 KG/H, 2,8 KPA                                                                                                                                                                                                                                                                                                                                                                                                                                            </v>
          </cell>
          <cell r="C3743" t="str">
            <v xml:space="preserve">UN    </v>
          </cell>
          <cell r="D3743" t="str">
            <v>CR</v>
          </cell>
          <cell r="E3743" t="str">
            <v>33,37</v>
          </cell>
        </row>
        <row r="3744">
          <cell r="A3744">
            <v>10904</v>
          </cell>
          <cell r="B3744" t="str">
            <v xml:space="preserve">REGISTRO OU VALVULA GLOBO ANGULAR EM LATAO, PARA HIDRANTES EM INSTALACAO PREDIAL DE INCENDIO, 45 GRAUS, DIAMETRO DE 2 1/2", COM VOLANTE, CLASSE DE PRESSAO DE ATE 200 PSI                                                                                                                                                                                                                                                                                                                                 </v>
          </cell>
          <cell r="C3744" t="str">
            <v xml:space="preserve">UN    </v>
          </cell>
          <cell r="D3744" t="str">
            <v xml:space="preserve">C </v>
          </cell>
          <cell r="E3744" t="str">
            <v>300,00</v>
          </cell>
        </row>
        <row r="3745">
          <cell r="A3745">
            <v>11752</v>
          </cell>
          <cell r="B3745" t="str">
            <v xml:space="preserve">REGISTRO PRESSAO BRUTO EM LATAO FORJADO, BITOLA 1/2 " (REF 1400)                                                                                                                                                                                                                                                                                                                                                                                                                                          </v>
          </cell>
          <cell r="C3745" t="str">
            <v xml:space="preserve">UN    </v>
          </cell>
          <cell r="D3745" t="str">
            <v>CR</v>
          </cell>
          <cell r="E3745" t="str">
            <v>19,24</v>
          </cell>
        </row>
        <row r="3746">
          <cell r="A3746">
            <v>11753</v>
          </cell>
          <cell r="B3746" t="str">
            <v xml:space="preserve">REGISTRO PRESSAO BRUTO EM LATAO FORJADO, BITOLA 3/4 " (REF 1400)                                                                                                                                                                                                                                                                                                                                                                                                                                          </v>
          </cell>
          <cell r="C3746" t="str">
            <v xml:space="preserve">UN    </v>
          </cell>
          <cell r="D3746" t="str">
            <v>CR</v>
          </cell>
          <cell r="E3746" t="str">
            <v>22,97</v>
          </cell>
        </row>
        <row r="3747">
          <cell r="A3747">
            <v>6021</v>
          </cell>
          <cell r="B3747" t="str">
            <v xml:space="preserve">REGISTRO PRESSAO COM ACABAMENTO E CANOPLA CROMADA, SIMPLES, BITOLA 1/2 " (REF 1416)                                                                                                                                                                                                                                                                                                                                                                                                                       </v>
          </cell>
          <cell r="C3747" t="str">
            <v xml:space="preserve">UN    </v>
          </cell>
          <cell r="D3747" t="str">
            <v>CR</v>
          </cell>
          <cell r="E3747" t="str">
            <v>63,76</v>
          </cell>
        </row>
        <row r="3748">
          <cell r="A3748">
            <v>6024</v>
          </cell>
          <cell r="B3748" t="str">
            <v xml:space="preserve">REGISTRO PRESSAO COM ACABAMENTO E CANOPLA CROMADA, SIMPLES, BITOLA 3/4 " (REF 1416)                                                                                                                                                                                                                                                                                                                                                                                                                       </v>
          </cell>
          <cell r="C3748" t="str">
            <v xml:space="preserve">UN    </v>
          </cell>
          <cell r="D3748" t="str">
            <v>CR</v>
          </cell>
          <cell r="E3748" t="str">
            <v>65,91</v>
          </cell>
        </row>
        <row r="3749">
          <cell r="A3749">
            <v>38379</v>
          </cell>
          <cell r="B3749" t="str">
            <v xml:space="preserve">REGUA DE ALUMINIO PARA PEDREIRO 2 X 1 "                                                                                                                                                                                                                                                                                                                                                                                                                                                                   </v>
          </cell>
          <cell r="C3749" t="str">
            <v xml:space="preserve">M     </v>
          </cell>
          <cell r="D3749" t="str">
            <v>CR</v>
          </cell>
          <cell r="E3749" t="str">
            <v>58,63</v>
          </cell>
        </row>
        <row r="3750">
          <cell r="A3750">
            <v>13897</v>
          </cell>
          <cell r="B3750" t="str">
            <v xml:space="preserve">REGUA VIBRADORA DUPLA PARA CONCRETO A GASOLINA 5,5 HP, PESO DE 60 KG, COMPRIMENTO 4 M                                                                                                                                                                                                                                                                                                                                                                                                                     </v>
          </cell>
          <cell r="C3750" t="str">
            <v xml:space="preserve">UN    </v>
          </cell>
          <cell r="D3750" t="str">
            <v>CR</v>
          </cell>
          <cell r="E3750" t="str">
            <v>6.173,11</v>
          </cell>
        </row>
        <row r="3751">
          <cell r="A3751">
            <v>10640</v>
          </cell>
          <cell r="B3751" t="str">
            <v xml:space="preserve">REGUA VIBRATORIA DE CONCRETO TRELICADA, EQUIPADA COM MOTOR A GASOLINA DE 9 HP                                                                                                                                                                                                                                                                                                                                                                                                                             </v>
          </cell>
          <cell r="C3751" t="str">
            <v xml:space="preserve">UN    </v>
          </cell>
          <cell r="D3751" t="str">
            <v>CR</v>
          </cell>
          <cell r="E3751" t="str">
            <v>13.369,66</v>
          </cell>
        </row>
        <row r="3752">
          <cell r="A3752">
            <v>34357</v>
          </cell>
          <cell r="B3752" t="str">
            <v xml:space="preserve">REJUNTE CIMENTICIO, QUALQUER COR                                                                                                                                                                                                                                                                                                                                                                                                                                                                          </v>
          </cell>
          <cell r="C3752" t="str">
            <v xml:space="preserve">KG    </v>
          </cell>
          <cell r="D3752" t="str">
            <v>CR</v>
          </cell>
          <cell r="E3752" t="str">
            <v>4,40</v>
          </cell>
        </row>
        <row r="3753">
          <cell r="A3753">
            <v>37329</v>
          </cell>
          <cell r="B3753" t="str">
            <v xml:space="preserve">REJUNTE EPOXI, QUALQUER COR                                                                                                                                                                                                                                                                                                                                                                                                                                                                               </v>
          </cell>
          <cell r="C3753" t="str">
            <v xml:space="preserve">KG    </v>
          </cell>
          <cell r="D3753" t="str">
            <v>CR</v>
          </cell>
          <cell r="E3753" t="str">
            <v>92,75</v>
          </cell>
        </row>
        <row r="3754">
          <cell r="A3754">
            <v>2510</v>
          </cell>
          <cell r="B3754" t="str">
            <v xml:space="preserve">RELE FOTOELETRICO INTERNO E EXTERNO BIVOLT 1000 W, DE CONECTOR, SEM BASE                                                                                                                                                                                                                                                                                                                                                                                                                                  </v>
          </cell>
          <cell r="C3754" t="str">
            <v xml:space="preserve">UN    </v>
          </cell>
          <cell r="D3754" t="str">
            <v>CR</v>
          </cell>
          <cell r="E3754" t="str">
            <v>39,78</v>
          </cell>
        </row>
        <row r="3755">
          <cell r="A3755">
            <v>12359</v>
          </cell>
          <cell r="B3755" t="str">
            <v xml:space="preserve">RELE TERMICO BIMETAL PARA USO EM MOTORES TRIFASICOS, TENSAO 380 V, POTENCIA ATE 15 CV, CORRENTE NOMINAL MAXIMA 22 A                                                                                                                                                                                                                                                                                                                                                                                       </v>
          </cell>
          <cell r="C3755" t="str">
            <v xml:space="preserve">UN    </v>
          </cell>
          <cell r="D3755" t="str">
            <v>CR</v>
          </cell>
          <cell r="E3755" t="str">
            <v>164,12</v>
          </cell>
        </row>
        <row r="3756">
          <cell r="A3756">
            <v>7353</v>
          </cell>
          <cell r="B3756" t="str">
            <v xml:space="preserve">RESINA ACRILICA PREMIUM BASE AGUA - COR BRANCA                                                                                                                                                                                                                                                                                                                                                                                                                                                            </v>
          </cell>
          <cell r="C3756" t="str">
            <v xml:space="preserve">L     </v>
          </cell>
          <cell r="D3756" t="str">
            <v>CR</v>
          </cell>
          <cell r="E3756" t="str">
            <v>34,13</v>
          </cell>
        </row>
        <row r="3757">
          <cell r="A3757">
            <v>36144</v>
          </cell>
          <cell r="B3757" t="str">
            <v xml:space="preserve">RESPIRADOR DESCARTAVEL SEM VALVULA DE EXALACAO, PFF 1                                                                                                                                                                                                                                                                                                                                                                                                                                                     </v>
          </cell>
          <cell r="C3757" t="str">
            <v xml:space="preserve">UN    </v>
          </cell>
          <cell r="D3757" t="str">
            <v>CR</v>
          </cell>
          <cell r="E3757" t="str">
            <v>1,68</v>
          </cell>
        </row>
        <row r="3758">
          <cell r="A3758">
            <v>10518</v>
          </cell>
          <cell r="B3758" t="str">
            <v xml:space="preserve">RETARDO PARA CORDEL DETONANTE                                                                                                                                                                                                                                                                                                                                                                                                                                                                             </v>
          </cell>
          <cell r="C3758" t="str">
            <v xml:space="preserve">UN    </v>
          </cell>
          <cell r="D3758" t="str">
            <v>CR</v>
          </cell>
          <cell r="E3758" t="str">
            <v>126,02</v>
          </cell>
        </row>
        <row r="3759">
          <cell r="A3759">
            <v>36530</v>
          </cell>
          <cell r="B3759" t="str">
            <v xml:space="preserve">RETROESCAVADEIRA SOBRE RODAS COM CARREGADEIRA, TRACAO 4 X 2, POTENCIA LIQUIDA 79 HP, PESO OPERACIONAL MINIMO DE 6570 KG, CAPACIDADE DA CARREGADEIRA DE 1,00 M3 E DA  RETROESCAVADEIRA MINIMA DE 0,20 M3, PROFUNDIDADE DE ESCAVACAO MAXIMA DE 4,37 M                                                                                                                                                                                                                                                       </v>
          </cell>
          <cell r="C3759" t="str">
            <v xml:space="preserve">UN    </v>
          </cell>
          <cell r="D3759" t="str">
            <v>CR</v>
          </cell>
          <cell r="E3759" t="str">
            <v>384.914,62</v>
          </cell>
        </row>
        <row r="3760">
          <cell r="A3760">
            <v>6046</v>
          </cell>
          <cell r="B3760" t="str">
            <v xml:space="preserve">RETROESCAVADEIRA SOBRE RODAS COM CARREGADEIRA, TRACAO 4 X 4, POTENCIA LIQUIDA 72 HP, PESO OPERACIONAL MINIMO DE 7140 KG, CAPACIDADE MINIMA DA CARREGADEIRA DE 0,79 M3 E DA RETROESCAVADEIRA MINIMA DE 0,18 M3, PROFUNDIDADE DE ESCAVACAO MAXIMA DE 4,50 M                                                                                                                                                                                                                                                 </v>
          </cell>
          <cell r="C3760" t="str">
            <v xml:space="preserve">UN    </v>
          </cell>
          <cell r="D3760" t="str">
            <v xml:space="preserve">C </v>
          </cell>
          <cell r="E3760" t="str">
            <v>417.500,00</v>
          </cell>
        </row>
        <row r="3761">
          <cell r="A3761">
            <v>36531</v>
          </cell>
          <cell r="B3761" t="str">
            <v xml:space="preserve">RETROESCAVADEIRA SOBRE RODAS COM CARREGADEIRA, TRACAO 4 X 4, POTENCIA LIQUIDA 88 HP, PESO OPERACIONAL MINIMO DE 6674 KG, CAPACIDADE DA CARREGADEIRA DE 1,00 M3 E DA  RETROESCAVADEIRA MINIMA DE 0,26 M3, PROFUNDIDADE DE ESCAVACAO MAXIMA DE 4,37 M                                                                                                                                                                                                                                                       </v>
          </cell>
          <cell r="C3761" t="str">
            <v xml:space="preserve">UN    </v>
          </cell>
          <cell r="D3761" t="str">
            <v>CR</v>
          </cell>
          <cell r="E3761" t="str">
            <v>432.774,36</v>
          </cell>
        </row>
        <row r="3762">
          <cell r="A3762">
            <v>34684</v>
          </cell>
          <cell r="B3762" t="str">
            <v xml:space="preserve">REVESTIMENTO DE PAREDE EM GRANILITE, MARMORITE OU GRANITINA - ESP = 5 MM (INCLUSO EXECUCAO)                                                                                                                                                                                                                                                                                                                                                                                                               </v>
          </cell>
          <cell r="C3762" t="str">
            <v xml:space="preserve">M2    </v>
          </cell>
          <cell r="D3762" t="str">
            <v>CR</v>
          </cell>
          <cell r="E3762" t="str">
            <v>283,82</v>
          </cell>
        </row>
        <row r="3763">
          <cell r="A3763">
            <v>34683</v>
          </cell>
          <cell r="B3763" t="str">
            <v xml:space="preserve">REVESTIMENTO DE PAREDE EM GRANILITE, MARMORITE OU GRANITINA COLORIDO - ESP = 5 MM (INCLUSO EXECUCAO)                                                                                                                                                                                                                                                                                                                                                                                                      </v>
          </cell>
          <cell r="C3763" t="str">
            <v xml:space="preserve">M2    </v>
          </cell>
          <cell r="D3763" t="str">
            <v>CR</v>
          </cell>
          <cell r="E3763" t="str">
            <v>177,39</v>
          </cell>
        </row>
        <row r="3764">
          <cell r="A3764">
            <v>533</v>
          </cell>
          <cell r="B3764" t="str">
            <v xml:space="preserve">REVESTIMENTO EM CERAMICA ESMALTADA COMERCIAL, PEI MENOR OU IGUAL A 3, FORMATO MENOR OU IGUAL A 2025 CM2                                                                                                                                                                                                                                                                                                                                                                                                   </v>
          </cell>
          <cell r="C3764" t="str">
            <v xml:space="preserve">M2    </v>
          </cell>
          <cell r="D3764" t="str">
            <v>CR</v>
          </cell>
          <cell r="E3764" t="str">
            <v>30,74</v>
          </cell>
        </row>
        <row r="3765">
          <cell r="A3765">
            <v>10515</v>
          </cell>
          <cell r="B3765" t="str">
            <v xml:space="preserve">REVESTIMENTO EM CERAMICA ESMALTADA EXTRA, PEI MAIOR OU IGUAL 4, FORMATO MAIOR A 2025 CM2                                                                                                                                                                                                                                                                                                                                                                                                                  </v>
          </cell>
          <cell r="C3765" t="str">
            <v xml:space="preserve">M2    </v>
          </cell>
          <cell r="D3765" t="str">
            <v>CR</v>
          </cell>
          <cell r="E3765" t="str">
            <v>57,99</v>
          </cell>
        </row>
        <row r="3766">
          <cell r="A3766">
            <v>536</v>
          </cell>
          <cell r="B3766" t="str">
            <v xml:space="preserve">REVESTIMENTO EM CERAMICA ESMALTADA EXTRA, PEI MENOR OU IGUAL A 3, FORMATO MENOR OU IGUAL A 2025 CM2                                                                                                                                                                                                                                                                                                                                                                                                       </v>
          </cell>
          <cell r="C3766" t="str">
            <v xml:space="preserve">M2    </v>
          </cell>
          <cell r="D3766" t="str">
            <v xml:space="preserve">C </v>
          </cell>
          <cell r="E3766" t="str">
            <v>41,95</v>
          </cell>
        </row>
        <row r="3767">
          <cell r="A3767">
            <v>153</v>
          </cell>
          <cell r="B3767" t="str">
            <v xml:space="preserve">REVESTIMENTO EPOXI DE ALTA RESISTENCIA QUIMICA, ISENTO DE SOLVENTES, BICOMPONENTE                                                                                                                                                                                                                                                                                                                                                                                                                         </v>
          </cell>
          <cell r="C3767" t="str">
            <v xml:space="preserve">L     </v>
          </cell>
          <cell r="D3767" t="str">
            <v>CR</v>
          </cell>
          <cell r="E3767" t="str">
            <v>95,90</v>
          </cell>
        </row>
        <row r="3768">
          <cell r="A3768">
            <v>34682</v>
          </cell>
          <cell r="B3768" t="str">
            <v xml:space="preserve">REVESTIMENTO PARA ESCADA EM GRANILITE, MARMORITE OU GRANITINA ESP = 8 MM (INCLUSO EXECUCAO)                                                                                                                                                                                                                                                                                                                                                                                                               </v>
          </cell>
          <cell r="C3768" t="str">
            <v xml:space="preserve">M2    </v>
          </cell>
          <cell r="D3768" t="str">
            <v>CR</v>
          </cell>
          <cell r="E3768" t="str">
            <v>135,65</v>
          </cell>
        </row>
        <row r="3769">
          <cell r="A3769">
            <v>20205</v>
          </cell>
          <cell r="B3769" t="str">
            <v xml:space="preserve">RIPA APARELHADA *1,5 X 5* CM, EM MACARANDUBA/MASSARANDUBA, ANGELIM OU EQUIVALENTE DA REGIAO                                                                                                                                                                                                                                                                                                                                                                                                               </v>
          </cell>
          <cell r="C3769" t="str">
            <v xml:space="preserve">M     </v>
          </cell>
          <cell r="D3769" t="str">
            <v>CR</v>
          </cell>
          <cell r="E3769" t="str">
            <v>4,16</v>
          </cell>
        </row>
        <row r="3770">
          <cell r="A3770">
            <v>4412</v>
          </cell>
          <cell r="B3770" t="str">
            <v xml:space="preserve">RIPA NAO APARELHADA *1 X 3* CM, EM MACARANDUBA/MASSARANDUBA, ANGELIM OU EQUIVALENTE DA REGIAO - BRUTA                                                                                                                                                                                                                                                                                                                                                                                                     </v>
          </cell>
          <cell r="C3770" t="str">
            <v xml:space="preserve">M     </v>
          </cell>
          <cell r="D3770" t="str">
            <v>CR</v>
          </cell>
          <cell r="E3770" t="str">
            <v>2,49</v>
          </cell>
        </row>
        <row r="3771">
          <cell r="A3771">
            <v>4408</v>
          </cell>
          <cell r="B3771" t="str">
            <v xml:space="preserve">RIPA NAO APARELHADA, *1,5 X 5* CM, EM MACARANDUBA/MASSARANDUBA, ANGELIM OU EQUIVALENTE DA REGIAO - BRUTA                                                                                                                                                                                                                                                                                                                                                                                                  </v>
          </cell>
          <cell r="C3771" t="str">
            <v xml:space="preserve">M     </v>
          </cell>
          <cell r="D3771" t="str">
            <v>CR</v>
          </cell>
          <cell r="E3771" t="str">
            <v>3,11</v>
          </cell>
        </row>
        <row r="3772">
          <cell r="A3772">
            <v>36250</v>
          </cell>
          <cell r="B3772" t="str">
            <v xml:space="preserve">RODAFORRO EM PVC, PARA FORRO DE PVC, COMPRIMENTO 6 M                                                                                                                                                                                                                                                                                                                                                                                                                                                      </v>
          </cell>
          <cell r="C3772" t="str">
            <v xml:space="preserve">M     </v>
          </cell>
          <cell r="D3772" t="str">
            <v>CR</v>
          </cell>
          <cell r="E3772" t="str">
            <v>4,65</v>
          </cell>
        </row>
        <row r="3773">
          <cell r="A3773">
            <v>10857</v>
          </cell>
          <cell r="B3773" t="str">
            <v xml:space="preserve">RODAPE ARDOSIA, CINZA, 10 CM, E= *1CM                                                                                                                                                                                                                                                                                                                                                                                                                                                                     </v>
          </cell>
          <cell r="C3773" t="str">
            <v xml:space="preserve">M     </v>
          </cell>
          <cell r="D3773" t="str">
            <v>CR</v>
          </cell>
          <cell r="E3773" t="str">
            <v>16,36</v>
          </cell>
        </row>
        <row r="3774">
          <cell r="A3774">
            <v>4803</v>
          </cell>
          <cell r="B3774" t="str">
            <v xml:space="preserve">RODAPE DE BORRACHA LISO, H = 70 MM, E = *2* MM, PARA ARGAMASSA, PRETO                                                                                                                                                                                                                                                                                                                                                                                                                                     </v>
          </cell>
          <cell r="C3774" t="str">
            <v xml:space="preserve">M     </v>
          </cell>
          <cell r="D3774" t="str">
            <v>CR</v>
          </cell>
          <cell r="E3774" t="str">
            <v>25,84</v>
          </cell>
        </row>
        <row r="3775">
          <cell r="A3775">
            <v>6186</v>
          </cell>
          <cell r="B3775" t="str">
            <v xml:space="preserve">RODAPE DE MADEIRA MACICA CUMARU/IPE CHAMPANHE OU EQUIVALENTE DA REGIAO, *1,5 X 7 CM                                                                                                                                                                                                                                                                                                                                                                                                                       </v>
          </cell>
          <cell r="C3775" t="str">
            <v xml:space="preserve">M     </v>
          </cell>
          <cell r="D3775" t="str">
            <v>CR</v>
          </cell>
          <cell r="E3775" t="str">
            <v>18,05</v>
          </cell>
        </row>
        <row r="3776">
          <cell r="A3776">
            <v>4829</v>
          </cell>
          <cell r="B3776" t="str">
            <v xml:space="preserve">RODAPE EM MARMORE, POLIDO, BRANCO COMUM, L= *7* CM, E=  *2* CM, CORTE RETO                                                                                                                                                                                                                                                                                                                                                                                                                                </v>
          </cell>
          <cell r="C3776" t="str">
            <v xml:space="preserve">M     </v>
          </cell>
          <cell r="D3776" t="str">
            <v>CR</v>
          </cell>
          <cell r="E3776" t="str">
            <v>63,68</v>
          </cell>
        </row>
        <row r="3777">
          <cell r="A3777">
            <v>39829</v>
          </cell>
          <cell r="B3777" t="str">
            <v xml:space="preserve">RODAPE EM POLIESTIRENO, BRANCO, H = *5* CM, E = *1,5* CM                                                                                                                                                                                                                                                                                                                                                                                                                                                  </v>
          </cell>
          <cell r="C3777" t="str">
            <v xml:space="preserve">M     </v>
          </cell>
          <cell r="D3777" t="str">
            <v xml:space="preserve">C </v>
          </cell>
          <cell r="E3777" t="str">
            <v>33,45</v>
          </cell>
        </row>
        <row r="3778">
          <cell r="A3778">
            <v>20231</v>
          </cell>
          <cell r="B3778" t="str">
            <v xml:space="preserve">RODAPE OU RODABANCADA EM GRANITO, POLIDO, TIPO ANDORINHA/ QUARTZ/ CASTELO/ CORUMBA OU OUTROS EQUIVALENTES DA REGIAO, H= 10 CM, E=  *2,0* CM                                                                                                                                                                                                                                                                                                                                                               </v>
          </cell>
          <cell r="C3778" t="str">
            <v xml:space="preserve">M     </v>
          </cell>
          <cell r="D3778" t="str">
            <v>CR</v>
          </cell>
          <cell r="E3778" t="str">
            <v>67,35</v>
          </cell>
        </row>
        <row r="3779">
          <cell r="A3779">
            <v>4804</v>
          </cell>
          <cell r="B3779" t="str">
            <v xml:space="preserve">RODAPE PLANO PARA PISO VINILICO, H = 5 CM                                                                                                                                                                                                                                                                                                                                                                                                                                                                 </v>
          </cell>
          <cell r="C3779" t="str">
            <v xml:space="preserve">M     </v>
          </cell>
          <cell r="D3779" t="str">
            <v>CR</v>
          </cell>
          <cell r="E3779" t="str">
            <v>19,84</v>
          </cell>
        </row>
        <row r="3780">
          <cell r="A3780">
            <v>34680</v>
          </cell>
          <cell r="B3780" t="str">
            <v xml:space="preserve">RODAPE PRE-MOLDADO DE GRANILITE, MARMORITE OU GRANITINA L = 10 CM                                                                                                                                                                                                                                                                                                                                                                                                                                         </v>
          </cell>
          <cell r="C3780" t="str">
            <v xml:space="preserve">M     </v>
          </cell>
          <cell r="D3780" t="str">
            <v>CR</v>
          </cell>
          <cell r="E3780" t="str">
            <v>41,73</v>
          </cell>
        </row>
        <row r="3781">
          <cell r="A3781">
            <v>11573</v>
          </cell>
          <cell r="B3781" t="str">
            <v xml:space="preserve">RODIZIO TIPO NAPOLEAO PARA JANELAS DE CORRER, EM ZAMAC, COMPRIMENTO DE APROX 60 CM, COM ROLAMENTO EM ACO                                                                                                                                                                                                                                                                                                                                                                                                  </v>
          </cell>
          <cell r="C3781" t="str">
            <v xml:space="preserve">UN    </v>
          </cell>
          <cell r="D3781" t="str">
            <v>CR</v>
          </cell>
          <cell r="E3781" t="str">
            <v>5,28</v>
          </cell>
        </row>
        <row r="3782">
          <cell r="A3782">
            <v>38401</v>
          </cell>
          <cell r="B3782" t="str">
            <v xml:space="preserve">RODO PARA CHAO 40 CM COM CABO                                                                                                                                                                                                                                                                                                                                                                                                                                                                             </v>
          </cell>
          <cell r="C3782" t="str">
            <v xml:space="preserve">UN    </v>
          </cell>
          <cell r="D3782" t="str">
            <v>CR</v>
          </cell>
          <cell r="E3782" t="str">
            <v>10,25</v>
          </cell>
        </row>
        <row r="3783">
          <cell r="A3783">
            <v>11575</v>
          </cell>
          <cell r="B3783" t="str">
            <v xml:space="preserve">ROLDANA CONCAVA DUPLA, 4 RODAS, EM ZAMAC COM CHAPA DE LATAO, ROLAMENTOS EM ACO, PARA PORTAS E JANELAS DE CORRER                                                                                                                                                                                                                                                                                                                                                                                           </v>
          </cell>
          <cell r="C3783" t="str">
            <v xml:space="preserve">UN    </v>
          </cell>
          <cell r="D3783" t="str">
            <v>CR</v>
          </cell>
          <cell r="E3783" t="str">
            <v>50,97</v>
          </cell>
        </row>
        <row r="3784">
          <cell r="A3784">
            <v>38179</v>
          </cell>
          <cell r="B3784" t="str">
            <v xml:space="preserve">ROLDANA CONCAVA DUPLA, 4 RODAS, PARA PORTA DE CORRER, EM ZAMAC COM CHAPA DE ACO,  ROLAMENTO INTERNO BLINDADO DE ACO REVESTIDO EM NYLON                                                                                                                                                                                                                                                                                                                                                                    </v>
          </cell>
          <cell r="C3784" t="str">
            <v xml:space="preserve">UN    </v>
          </cell>
          <cell r="D3784" t="str">
            <v>CR</v>
          </cell>
          <cell r="E3784" t="str">
            <v>42,15</v>
          </cell>
        </row>
        <row r="3785">
          <cell r="A3785">
            <v>20256</v>
          </cell>
          <cell r="B3785" t="str">
            <v xml:space="preserve">ROLDANA PLASTICA COM PREGO, TAMANHO 30 X 30 MM, PARA INSTALACAO ELETRICA APARENTE                                                                                                                                                                                                                                                                                                                                                                                                                         </v>
          </cell>
          <cell r="C3785" t="str">
            <v xml:space="preserve">UN    </v>
          </cell>
          <cell r="D3785" t="str">
            <v>CR</v>
          </cell>
          <cell r="E3785" t="str">
            <v>0,39</v>
          </cell>
        </row>
        <row r="3786">
          <cell r="A3786">
            <v>14511</v>
          </cell>
          <cell r="B3786" t="str">
            <v xml:space="preserve">ROLO COMPACTADOR DE PNEUS, ESTATICO, PRESSAO VARIAVEL, POTENCIA 110 HP, PESO SEM/COM LASTRO 10,8/27 T, LARGURA DE ROLAGEM 2,30 M                                                                                                                                                                                                                                                                                                                                                                          </v>
          </cell>
          <cell r="C3786" t="str">
            <v xml:space="preserve">UN    </v>
          </cell>
          <cell r="D3786" t="str">
            <v>CR</v>
          </cell>
          <cell r="E3786" t="str">
            <v>997.825,41</v>
          </cell>
        </row>
        <row r="3787">
          <cell r="A3787">
            <v>10642</v>
          </cell>
          <cell r="B3787" t="str">
            <v xml:space="preserve">ROLO COMPACTADOR DE PNEUS, ESTATICO, PRESSAO VARIAVEL, POTENCIA 111 HP, PESO SEM/COM LASTRO 9,5/26,0 T, LARGURA DE ROLAGEM 1,90 M                                                                                                                                                                                                                                                                                                                                                                         </v>
          </cell>
          <cell r="C3787" t="str">
            <v xml:space="preserve">UN    </v>
          </cell>
          <cell r="D3787" t="str">
            <v xml:space="preserve">C </v>
          </cell>
          <cell r="E3787" t="str">
            <v>940.000,00</v>
          </cell>
        </row>
        <row r="3788">
          <cell r="A3788">
            <v>14489</v>
          </cell>
          <cell r="B3788" t="str">
            <v xml:space="preserve">ROLO COMPACTADOR PE DE CARNEIRO VIBRATORIO, POTENCIA 125 HP, PESO OPERACIONAL SEM/COM LASTRO 11,95/13,30 T, IMPACTO DINAMICO 38,5/22,5 T, LARGURA DE TRABALHO 2,15 M                                                                                                                                                                                                                                                                                                                                      </v>
          </cell>
          <cell r="C3788" t="str">
            <v xml:space="preserve">UN    </v>
          </cell>
          <cell r="D3788" t="str">
            <v>CR</v>
          </cell>
          <cell r="E3788" t="str">
            <v>833.762,51</v>
          </cell>
        </row>
        <row r="3789">
          <cell r="A3789">
            <v>14513</v>
          </cell>
          <cell r="B3789" t="str">
            <v xml:space="preserve">ROLO COMPACTADOR PE DE CARNEIRO VIBRATORIO, POTENCIA 80 HP, PESO OPERACIONAL SEM/COM LASTRO 7,4/8,8 T, LARGURA DE TRABALHO 1,68 M                                                                                                                                                                                                                                                                                                                                                                         </v>
          </cell>
          <cell r="C3789" t="str">
            <v xml:space="preserve">UN    </v>
          </cell>
          <cell r="D3789" t="str">
            <v>CR</v>
          </cell>
          <cell r="E3789" t="str">
            <v>625.341,67</v>
          </cell>
        </row>
        <row r="3790">
          <cell r="A3790">
            <v>13600</v>
          </cell>
          <cell r="B3790" t="str">
            <v xml:space="preserve">ROLO COMPACTADOR VIBRATORIO DE UM CILINDRO LISO DE ACO, POTENCIA 125 HP, PESO SEM/COM LASTRO 10,75/12,92 T, IMPACTO DINAMICO 31,5/18,5 T, LARGURA TRABALHO 2,15 M                                                                                                                                                                                                                                                                                                                                         </v>
          </cell>
          <cell r="C3790" t="str">
            <v xml:space="preserve">UN    </v>
          </cell>
          <cell r="D3790" t="str">
            <v>CR</v>
          </cell>
          <cell r="E3790" t="str">
            <v>806.866,86</v>
          </cell>
        </row>
        <row r="3791">
          <cell r="A3791">
            <v>10646</v>
          </cell>
          <cell r="B3791" t="str">
            <v xml:space="preserve">ROLO COMPACTADOR VIBRATORIO DE UM CILINDRO, ACO LISO, POTENCIA 80 HP, PESO OPERACIONAL MAXIMO 8,1 T, IMPACTO DINAMICO 16,15/9,5 T, LARGURA TRABALHO 1,68 M                                                                                                                                                                                                                                                                                                                                                </v>
          </cell>
          <cell r="C3791" t="str">
            <v xml:space="preserve">UN    </v>
          </cell>
          <cell r="D3791" t="str">
            <v>CR</v>
          </cell>
          <cell r="E3791" t="str">
            <v>601.465,48</v>
          </cell>
        </row>
        <row r="3792">
          <cell r="A3792">
            <v>6070</v>
          </cell>
          <cell r="B3792" t="str">
            <v xml:space="preserve">ROLO COMPACTADOR VIBRATORIO PE DE CARNEIRO, COM CONTROLE REMOTO POR RADIO, POTENCIA  12,5 KW, PESO OPERACIONAL DE 1,675 T, LARGURA DE TRABALHO 0,85 M                                                                                                                                                                                                                                                                                                                                                     </v>
          </cell>
          <cell r="C3792" t="str">
            <v xml:space="preserve">UN    </v>
          </cell>
          <cell r="D3792" t="str">
            <v>CR</v>
          </cell>
          <cell r="E3792" t="str">
            <v>821.828,55</v>
          </cell>
        </row>
        <row r="3793">
          <cell r="A3793">
            <v>6069</v>
          </cell>
          <cell r="B3793" t="str">
            <v xml:space="preserve">ROLO COMPACTADOR VIBRATORIO REBOCAVEL, CILINDRO DE ACO LISO, POTENCIA DE TRACAO DE 65 CV, PESO DE 4,7 T, IMPACTO DINAMICO TOTAL DE 18,3 T, LARGURA DO ROLO 1,67 M                                                                                                                                                                                                                                                                                                                                         </v>
          </cell>
          <cell r="C3793" t="str">
            <v xml:space="preserve">UN    </v>
          </cell>
          <cell r="D3793" t="str">
            <v>CR</v>
          </cell>
          <cell r="E3793" t="str">
            <v>181.554,32</v>
          </cell>
        </row>
        <row r="3794">
          <cell r="A3794">
            <v>14626</v>
          </cell>
          <cell r="B3794" t="str">
            <v xml:space="preserve">ROLO COMPACTADOR VIBRATORIO TANDEM, ACO LISO, POTENCIA 125 HP, PESO SEM/COM LASTRO 10,20/11,65 T, LARGURA DE TRABALHO 1,73 M                                                                                                                                                                                                                                                                                                                                                                              </v>
          </cell>
          <cell r="C3794" t="str">
            <v xml:space="preserve">UN    </v>
          </cell>
          <cell r="D3794" t="str">
            <v>CR</v>
          </cell>
          <cell r="E3794" t="str">
            <v>899.714,32</v>
          </cell>
        </row>
        <row r="3795">
          <cell r="A3795">
            <v>6067</v>
          </cell>
          <cell r="B3795" t="str">
            <v xml:space="preserve">ROLO COMPACTADOR VIBRATORIO TANDEM, ACO LISO, POTENCIA 58 CV, PESO SEM/COM LASTRO 6,5/9,4 T, LARGURA DE TRABALHO 1,20 M                                                                                                                                                                                                                                                                                                                                                                                   </v>
          </cell>
          <cell r="C3795" t="str">
            <v xml:space="preserve">UN    </v>
          </cell>
          <cell r="D3795" t="str">
            <v>CR</v>
          </cell>
          <cell r="E3795" t="str">
            <v>738.571,44</v>
          </cell>
        </row>
        <row r="3796">
          <cell r="A3796">
            <v>38393</v>
          </cell>
          <cell r="B3796" t="str">
            <v xml:space="preserve">ROLO DE ESPUMA POLIESTER 23 CM (SEM CABO)                                                                                                                                                                                                                                                                                                                                                                                                                                                                 </v>
          </cell>
          <cell r="C3796" t="str">
            <v xml:space="preserve">UN    </v>
          </cell>
          <cell r="D3796" t="str">
            <v xml:space="preserve">C </v>
          </cell>
          <cell r="E3796" t="str">
            <v>19,00</v>
          </cell>
        </row>
        <row r="3797">
          <cell r="A3797">
            <v>38390</v>
          </cell>
          <cell r="B3797" t="str">
            <v xml:space="preserve">ROLO DE LA DE CARNEIRO 23 CM (SEM CABO)                                                                                                                                                                                                                                                                                                                                                                                                                                                                   </v>
          </cell>
          <cell r="C3797" t="str">
            <v xml:space="preserve">UN    </v>
          </cell>
          <cell r="D3797" t="str">
            <v>CR</v>
          </cell>
          <cell r="E3797" t="str">
            <v>42,14</v>
          </cell>
        </row>
        <row r="3798">
          <cell r="A3798">
            <v>36532</v>
          </cell>
          <cell r="B3798" t="str">
            <v xml:space="preserve">ROMPEDOR ELETRICO PESO 26 KG, POTENCIA OPERACIONAL DE 2,5 KW                                                                                                                                                                                                                                                                                                                                                                                                                                              </v>
          </cell>
          <cell r="C3798" t="str">
            <v xml:space="preserve">UN    </v>
          </cell>
          <cell r="D3798" t="str">
            <v>CR</v>
          </cell>
          <cell r="E3798" t="str">
            <v>26.431,22</v>
          </cell>
        </row>
        <row r="3799">
          <cell r="A3799">
            <v>11578</v>
          </cell>
          <cell r="B3799" t="str">
            <v xml:space="preserve">ROSETA QUADRADA, SEM FUROS, EM ACO INOX POLIDO, LARGURA APROXIMADA DE 50 MM, PARA FECHADURA DE PORTA - PARAFUSOS INCLUIDOS                                                                                                                                                                                                                                                                                                                                                                                </v>
          </cell>
          <cell r="C3799" t="str">
            <v xml:space="preserve">UN    </v>
          </cell>
          <cell r="D3799" t="str">
            <v>CR</v>
          </cell>
          <cell r="E3799" t="str">
            <v>11,00</v>
          </cell>
        </row>
        <row r="3800">
          <cell r="A3800">
            <v>11577</v>
          </cell>
          <cell r="B3800" t="str">
            <v xml:space="preserve">ROSETA REDONDA DE SOBREPOR, SEM FUROS, EM ACO INOX POLIDO, DIAMETRO APROXIMADO DE 50 MM, PARA FECHADURA DE PORTA - PARAFUSOS INCLUIDOS                                                                                                                                                                                                                                                                                                                                                                    </v>
          </cell>
          <cell r="C3800" t="str">
            <v xml:space="preserve">UN    </v>
          </cell>
          <cell r="D3800" t="str">
            <v>CR</v>
          </cell>
          <cell r="E3800" t="str">
            <v>10,50</v>
          </cell>
        </row>
        <row r="3801">
          <cell r="A3801">
            <v>42432</v>
          </cell>
          <cell r="B3801" t="str">
            <v xml:space="preserve">ROTACAO DIAGONAL DUPLA, APARELHO TRIPLO, EM TUBO DE ACO CARBONO, PINTURA NO PROCESSO ELETROSTATICO - EQUIPAMENTO DE GINASTICA PARA ACADEMIA AO AR LIVRE / ACADEMIA DA TERCEIRA IDADE - ATI                                                                                                                                                                                                                                                                                                                </v>
          </cell>
          <cell r="C3801" t="str">
            <v xml:space="preserve">UN    </v>
          </cell>
          <cell r="D3801" t="str">
            <v>CR</v>
          </cell>
          <cell r="E3801" t="str">
            <v>2.424,64</v>
          </cell>
        </row>
        <row r="3802">
          <cell r="A3802">
            <v>42437</v>
          </cell>
          <cell r="B3802" t="str">
            <v xml:space="preserve">ROTACAO VERTICAL DUPLO, EM TUBO DE ACO CARBONO, PINTURA NO PROCESSO ELETROSTATICO - EQUIPAMENTO DE GINASTICA PARA ACADEMIA AO AR LIVRE / ACADEMIA DA TERCEIRA IDADE - ATI                                                                                                                                                                                                                                                                                                                                 </v>
          </cell>
          <cell r="C3802" t="str">
            <v xml:space="preserve">UN    </v>
          </cell>
          <cell r="D3802" t="str">
            <v>CR</v>
          </cell>
          <cell r="E3802" t="str">
            <v>1.843,37</v>
          </cell>
        </row>
        <row r="3803">
          <cell r="A3803">
            <v>1116</v>
          </cell>
          <cell r="B3803" t="str">
            <v xml:space="preserve">RUFO EXTERNO DE CHAPA DE ACO GALVANIZADA NUM 26, CORTE 25 CM                                                                                                                                                                                                                                                                                                                                                                                                                                              </v>
          </cell>
          <cell r="C3803" t="str">
            <v xml:space="preserve">M     </v>
          </cell>
          <cell r="D3803" t="str">
            <v>CR</v>
          </cell>
          <cell r="E3803" t="str">
            <v>19,56</v>
          </cell>
        </row>
        <row r="3804">
          <cell r="A3804">
            <v>1115</v>
          </cell>
          <cell r="B3804" t="str">
            <v xml:space="preserve">RUFO EXTERNO DE CHAPA DE ACO GALVANIZADA NUM 26, CORTE 28 CM                                                                                                                                                                                                                                                                                                                                                                                                                                              </v>
          </cell>
          <cell r="C3804" t="str">
            <v xml:space="preserve">M     </v>
          </cell>
          <cell r="D3804" t="str">
            <v>CR</v>
          </cell>
          <cell r="E3804" t="str">
            <v>23,44</v>
          </cell>
        </row>
        <row r="3805">
          <cell r="A3805">
            <v>1113</v>
          </cell>
          <cell r="B3805" t="str">
            <v xml:space="preserve">RUFO EXTERNO/INTERNO DE CHAPA DE ACO GALVANIZADA NUM 26, CORTE 33 CM                                                                                                                                                                                                                                                                                                                                                                                                                                      </v>
          </cell>
          <cell r="C3805" t="str">
            <v xml:space="preserve">M     </v>
          </cell>
          <cell r="D3805" t="str">
            <v>CR</v>
          </cell>
          <cell r="E3805" t="str">
            <v>27,40</v>
          </cell>
        </row>
        <row r="3806">
          <cell r="A3806">
            <v>1114</v>
          </cell>
          <cell r="B3806" t="str">
            <v xml:space="preserve">RUFO INTERNO DE CHAPA DE ACO GALVANIZADA NUM 26, CORTE 50 CM                                                                                                                                                                                                                                                                                                                                                                                                                                              </v>
          </cell>
          <cell r="C3806" t="str">
            <v xml:space="preserve">M     </v>
          </cell>
          <cell r="D3806" t="str">
            <v>CR</v>
          </cell>
          <cell r="E3806" t="str">
            <v>32,64</v>
          </cell>
        </row>
        <row r="3807">
          <cell r="A3807">
            <v>40873</v>
          </cell>
          <cell r="B3807" t="str">
            <v xml:space="preserve">RUFO INTERNO/EXTERNO DE CHAPA DE ACO GALVANIZADA NUM 24, CORTE 25 CM                                                                                                                                                                                                                                                                                                                                                                                                                                      </v>
          </cell>
          <cell r="C3807" t="str">
            <v xml:space="preserve">M     </v>
          </cell>
          <cell r="D3807" t="str">
            <v>CR</v>
          </cell>
          <cell r="E3807" t="str">
            <v>25,54</v>
          </cell>
        </row>
        <row r="3808">
          <cell r="A3808">
            <v>20214</v>
          </cell>
          <cell r="B3808" t="str">
            <v xml:space="preserve">RUFO PARA TELHA ESTRUTURAL DE FIBROCIMENTO 1 ABA (SEM AMIANTO)                                                                                                                                                                                                                                                                                                                                                                                                                                            </v>
          </cell>
          <cell r="C3808" t="str">
            <v xml:space="preserve">UN    </v>
          </cell>
          <cell r="D3808" t="str">
            <v>CR</v>
          </cell>
          <cell r="E3808" t="str">
            <v>50,99</v>
          </cell>
        </row>
        <row r="3809">
          <cell r="A3809">
            <v>7237</v>
          </cell>
          <cell r="B3809" t="str">
            <v xml:space="preserve">RUFO PARA TELHA ONDULADA DE FIBROCIMENTO, E = 6 MM, ABA *260* MM, COMPRIMENTO 1100 MM (SEM AMIANTO)                                                                                                                                                                                                                                                                                                                                                                                                       </v>
          </cell>
          <cell r="C3809" t="str">
            <v xml:space="preserve">UN    </v>
          </cell>
          <cell r="D3809" t="str">
            <v>CR</v>
          </cell>
          <cell r="E3809" t="str">
            <v>49,92</v>
          </cell>
        </row>
        <row r="3810">
          <cell r="A3810">
            <v>11757</v>
          </cell>
          <cell r="B3810" t="str">
            <v xml:space="preserve">SABONETEIRA DE PAREDE EM METAL CROMADO                                                                                                                                                                                                                                                                                                                                                                                                                                                                    </v>
          </cell>
          <cell r="C3810" t="str">
            <v xml:space="preserve">UN    </v>
          </cell>
          <cell r="D3810" t="str">
            <v xml:space="preserve">C </v>
          </cell>
          <cell r="E3810" t="str">
            <v>46,89</v>
          </cell>
        </row>
        <row r="3811">
          <cell r="A3811">
            <v>11758</v>
          </cell>
          <cell r="B3811" t="str">
            <v xml:space="preserve">SABONETEIRA PLASTICA TIPO DISPENSER PARA SABONETE LIQUIDO COM RESERVATORIO 800 A 1500 ML                                                                                                                                                                                                                                                                                                                                                                                                                  </v>
          </cell>
          <cell r="C3811" t="str">
            <v xml:space="preserve">UN    </v>
          </cell>
          <cell r="D3811" t="str">
            <v xml:space="preserve">C </v>
          </cell>
          <cell r="E3811" t="str">
            <v>65,49</v>
          </cell>
        </row>
        <row r="3812">
          <cell r="A3812">
            <v>37526</v>
          </cell>
          <cell r="B3812" t="str">
            <v xml:space="preserve">SACO DE RAFIA PARA ENTULHO, NOVO, LISO (SEM CLICHE), *60 x 90* CM                                                                                                                                                                                                                                                                                                                                                                                                                                         </v>
          </cell>
          <cell r="C3812" t="str">
            <v xml:space="preserve">UN    </v>
          </cell>
          <cell r="D3812" t="str">
            <v>CR</v>
          </cell>
          <cell r="E3812" t="str">
            <v>5,55</v>
          </cell>
        </row>
        <row r="3813">
          <cell r="A3813">
            <v>6076</v>
          </cell>
          <cell r="B3813" t="str">
            <v xml:space="preserve">SAIBRO PARA ARGAMASSA (COLETADO NO COMERCIO)                                                                                                                                                                                                                                                                                                                                                                                                                                                              </v>
          </cell>
          <cell r="C3813" t="str">
            <v xml:space="preserve">M3    </v>
          </cell>
          <cell r="D3813" t="str">
            <v xml:space="preserve">C </v>
          </cell>
          <cell r="E3813" t="str">
            <v>70,00</v>
          </cell>
        </row>
        <row r="3814">
          <cell r="A3814">
            <v>13109</v>
          </cell>
          <cell r="B3814" t="str">
            <v xml:space="preserve">SAPATA DE PVC ADITIVADO NERVURADO D = 6"                                                                                                                                                                                                                                                                                                                                                                                                                                                                  </v>
          </cell>
          <cell r="C3814" t="str">
            <v xml:space="preserve">UN    </v>
          </cell>
          <cell r="D3814" t="str">
            <v>CR</v>
          </cell>
          <cell r="E3814" t="str">
            <v>270,93</v>
          </cell>
        </row>
        <row r="3815">
          <cell r="A3815">
            <v>13110</v>
          </cell>
          <cell r="B3815" t="str">
            <v xml:space="preserve">SAPATA DE PVC ADITIVADO NERVURADO D = 8"                                                                                                                                                                                                                                                                                                                                                                                                                                                                  </v>
          </cell>
          <cell r="C3815" t="str">
            <v xml:space="preserve">UN    </v>
          </cell>
          <cell r="D3815" t="str">
            <v>CR</v>
          </cell>
          <cell r="E3815" t="str">
            <v>356,56</v>
          </cell>
        </row>
        <row r="3816">
          <cell r="A3816">
            <v>7581</v>
          </cell>
          <cell r="B3816" t="str">
            <v xml:space="preserve">SAPATILHA EM ACO GALVANIZADO PARA CABOS COM DIAMETRO NOMINAL ATE 5/8"                                                                                                                                                                                                                                                                                                                                                                                                                                     </v>
          </cell>
          <cell r="C3816" t="str">
            <v xml:space="preserve">UN    </v>
          </cell>
          <cell r="D3816" t="str">
            <v>CR</v>
          </cell>
          <cell r="E3816" t="str">
            <v>3,31</v>
          </cell>
        </row>
        <row r="3817">
          <cell r="A3817">
            <v>4509</v>
          </cell>
          <cell r="B3817" t="str">
            <v xml:space="preserve">SARRAFO *2,5 X 10* CM EM PINUS, MISTA OU EQUIVALENTE DA REGIAO - BRUTA                                                                                                                                                                                                                                                                                                                                                                                                                                    </v>
          </cell>
          <cell r="C3817" t="str">
            <v xml:space="preserve">M     </v>
          </cell>
          <cell r="D3817" t="str">
            <v>CR</v>
          </cell>
          <cell r="E3817" t="str">
            <v>3,82</v>
          </cell>
        </row>
        <row r="3818">
          <cell r="A3818">
            <v>4512</v>
          </cell>
          <cell r="B3818" t="str">
            <v xml:space="preserve">SARRAFO *2,5 X 5* CM EM PINUS, MISTA OU EQUIVALENTE DA REGIAO - BRUTA                                                                                                                                                                                                                                                                                                                                                                                                                                     </v>
          </cell>
          <cell r="C3818" t="str">
            <v xml:space="preserve">M     </v>
          </cell>
          <cell r="D3818" t="str">
            <v>CR</v>
          </cell>
          <cell r="E3818" t="str">
            <v>1,82</v>
          </cell>
        </row>
        <row r="3819">
          <cell r="A3819">
            <v>4517</v>
          </cell>
          <cell r="B3819" t="str">
            <v xml:space="preserve">SARRAFO *2,5 X 7,5* CM EM PINUS, MISTA OU EQUIVALENTE DA REGIAO - BRUTA                                                                                                                                                                                                                                                                                                                                                                                                                                   </v>
          </cell>
          <cell r="C3819" t="str">
            <v xml:space="preserve">M     </v>
          </cell>
          <cell r="D3819" t="str">
            <v>CR</v>
          </cell>
          <cell r="E3819" t="str">
            <v>2,63</v>
          </cell>
        </row>
        <row r="3820">
          <cell r="A3820">
            <v>20206</v>
          </cell>
          <cell r="B3820" t="str">
            <v xml:space="preserve">SARRAFO APARELHADO *2 X 10* CM, EM MACARANDUBA/MASSARANDUBA, ANGELIM OU EQUIVALENTE DA REGIAO                                                                                                                                                                                                                                                                                                                                                                                                             </v>
          </cell>
          <cell r="C3820" t="str">
            <v xml:space="preserve">M     </v>
          </cell>
          <cell r="D3820" t="str">
            <v>CR</v>
          </cell>
          <cell r="E3820" t="str">
            <v>11,22</v>
          </cell>
        </row>
        <row r="3821">
          <cell r="A3821">
            <v>4460</v>
          </cell>
          <cell r="B3821" t="str">
            <v xml:space="preserve">SARRAFO NAO APARELHADO *2,5 X 10* CM, EM MACARANDUBA/MASSARANDUBA, ANGELIM OU EQUIVALENTE DA REGIAO - BRUTA                                                                                                                                                                                                                                                                                                                                                                                               </v>
          </cell>
          <cell r="C3821" t="str">
            <v xml:space="preserve">M     </v>
          </cell>
          <cell r="D3821" t="str">
            <v>CR</v>
          </cell>
          <cell r="E3821" t="str">
            <v>11,52</v>
          </cell>
        </row>
        <row r="3822">
          <cell r="A3822">
            <v>4415</v>
          </cell>
          <cell r="B3822" t="str">
            <v xml:space="preserve">SARRAFO NAO APARELHADO *2,5 X 5* CM, EM MACARANDUBA/MASSARANDUBA, ANGELIM, PEROBA-ROSA OU EQUIVALENTE DA REGIAO - BRUTA                                                                                                                                                                                                                                                                                                                                                                                   </v>
          </cell>
          <cell r="C3822" t="str">
            <v xml:space="preserve">M     </v>
          </cell>
          <cell r="D3822" t="str">
            <v>CR</v>
          </cell>
          <cell r="E3822" t="str">
            <v>6,17</v>
          </cell>
        </row>
        <row r="3823">
          <cell r="A3823">
            <v>4417</v>
          </cell>
          <cell r="B3823" t="str">
            <v xml:space="preserve">SARRAFO NAO APARELHADO *2,5 X 7* CM, EM MACARANDUBA/MASSARANDUBA, ANGELIM, PEROBA-ROSA OU EQUIVALENTE DA REGIAO - BRUTA                                                                                                                                                                                                                                                                                                                                                                                   </v>
          </cell>
          <cell r="C3823" t="str">
            <v xml:space="preserve">M     </v>
          </cell>
          <cell r="D3823" t="str">
            <v>CR</v>
          </cell>
          <cell r="E3823" t="str">
            <v>8,88</v>
          </cell>
        </row>
        <row r="3824">
          <cell r="A3824">
            <v>37373</v>
          </cell>
          <cell r="B3824" t="str">
            <v xml:space="preserve">SEGURO - HORISTA (COLETADO CAIXA - ENCARGOS COMPLEMENTARES)                                                                                                                                                                                                                                                                                                                                                                                                                                               </v>
          </cell>
          <cell r="C3824" t="str">
            <v xml:space="preserve">H     </v>
          </cell>
          <cell r="D3824" t="str">
            <v xml:space="preserve">C </v>
          </cell>
          <cell r="E3824" t="str">
            <v>0,04</v>
          </cell>
        </row>
        <row r="3825">
          <cell r="A3825">
            <v>40864</v>
          </cell>
          <cell r="B3825" t="str">
            <v xml:space="preserve">SEGURO - MENSALISTA (COLETADO CAIXA - ENCARGOS COMPLEMENTARES)                                                                                                                                                                                                                                                                                                                                                                                                                                            </v>
          </cell>
          <cell r="C3825" t="str">
            <v xml:space="preserve">MES   </v>
          </cell>
          <cell r="D3825" t="str">
            <v xml:space="preserve">C </v>
          </cell>
          <cell r="E3825" t="str">
            <v>7,31</v>
          </cell>
        </row>
        <row r="3826">
          <cell r="A3826">
            <v>4734</v>
          </cell>
          <cell r="B3826" t="str">
            <v xml:space="preserve">SEIXO ROLADO PARA APLICACAO EM CONCRETO (POSTO PEDREIRA/FORNECEDOR, SEM FRETE)                                                                                                                                                                                                                                                                                                                                                                                                                            </v>
          </cell>
          <cell r="C3826" t="str">
            <v xml:space="preserve">M3    </v>
          </cell>
          <cell r="D3826" t="str">
            <v>CR</v>
          </cell>
          <cell r="E3826" t="str">
            <v>228,90</v>
          </cell>
        </row>
        <row r="3827">
          <cell r="A3827">
            <v>6085</v>
          </cell>
          <cell r="B3827" t="str">
            <v xml:space="preserve">SELADOR ACRILICO OPACO PREMIUM INTERIOR/EXTERIOR                                                                                                                                                                                                                                                                                                                                                                                                                                                          </v>
          </cell>
          <cell r="C3827" t="str">
            <v xml:space="preserve">L     </v>
          </cell>
          <cell r="D3827" t="str">
            <v xml:space="preserve">C </v>
          </cell>
          <cell r="E3827" t="str">
            <v>11,01</v>
          </cell>
        </row>
        <row r="3828">
          <cell r="A3828">
            <v>38396</v>
          </cell>
          <cell r="B3828" t="str">
            <v xml:space="preserve">SELADOR HORIZONTAL PARA FITA DE ACO 1 "                                                                                                                                                                                                                                                                                                                                                                                                                                                                   </v>
          </cell>
          <cell r="C3828" t="str">
            <v xml:space="preserve">UN    </v>
          </cell>
          <cell r="D3828" t="str">
            <v>CR</v>
          </cell>
          <cell r="E3828" t="str">
            <v>705,90</v>
          </cell>
        </row>
        <row r="3829">
          <cell r="A3829">
            <v>11622</v>
          </cell>
          <cell r="B3829" t="str">
            <v xml:space="preserve">SELANTE A BASE DE ALCATRAO E POLIURETANO PARA JUNTAS HORIZONTAIS                                                                                                                                                                                                                                                                                                                                                                                                                                          </v>
          </cell>
          <cell r="C3829" t="str">
            <v xml:space="preserve">KG    </v>
          </cell>
          <cell r="D3829" t="str">
            <v>CR</v>
          </cell>
          <cell r="E3829" t="str">
            <v>72,26</v>
          </cell>
        </row>
        <row r="3830">
          <cell r="A3830">
            <v>43143</v>
          </cell>
          <cell r="B3830" t="str">
            <v xml:space="preserve">SELANTE ACRILICO PARA TRATAMENTO / ACABAMENTO SUPERFICIAL DE CONCRETO ESTAMPADO, APARENTE, PEDRAS E OUTROS                                                                                                                                                                                                                                                                                                                                                                                                </v>
          </cell>
          <cell r="C3830" t="str">
            <v xml:space="preserve">L     </v>
          </cell>
          <cell r="D3830" t="str">
            <v>CR</v>
          </cell>
          <cell r="E3830" t="str">
            <v>27,29</v>
          </cell>
        </row>
        <row r="3831">
          <cell r="A3831">
            <v>7317</v>
          </cell>
          <cell r="B3831" t="str">
            <v xml:space="preserve">SELANTE DE BASE ASFALTICA PARA VEDACAO                                                                                                                                                                                                                                                                                                                                                                                                                                                                    </v>
          </cell>
          <cell r="C3831" t="str">
            <v xml:space="preserve">KG    </v>
          </cell>
          <cell r="D3831" t="str">
            <v>CR</v>
          </cell>
          <cell r="E3831" t="str">
            <v>49,09</v>
          </cell>
        </row>
        <row r="3832">
          <cell r="A3832">
            <v>142</v>
          </cell>
          <cell r="B3832" t="str">
            <v xml:space="preserve">SELANTE ELASTICO MONOCOMPONENTE A BASE DE POLIURETANO (PU) PARA JUNTAS DIVERSAS                                                                                                                                                                                                                                                                                                                                                                                                                           </v>
          </cell>
          <cell r="C3832" t="str">
            <v xml:space="preserve">310ML </v>
          </cell>
          <cell r="D3832" t="str">
            <v>CR</v>
          </cell>
          <cell r="E3832" t="str">
            <v>34,10</v>
          </cell>
        </row>
        <row r="3833">
          <cell r="A3833">
            <v>43142</v>
          </cell>
          <cell r="B3833" t="str">
            <v xml:space="preserve">SELANTE MONOCOMPONENTE A BASE DE SILICONE DE BAIXO MODULO, PARA JUNTAS DE PAVIMENTACAO                                                                                                                                                                                                                                                                                                                                                                                                                    </v>
          </cell>
          <cell r="C3833" t="str">
            <v xml:space="preserve">L     </v>
          </cell>
          <cell r="D3833" t="str">
            <v>CR</v>
          </cell>
          <cell r="E3833" t="str">
            <v>154,89</v>
          </cell>
        </row>
        <row r="3834">
          <cell r="A3834">
            <v>38123</v>
          </cell>
          <cell r="B3834" t="str">
            <v xml:space="preserve">SELANTE TIPO VEDA CALHA PARA METAL E FIBROCIMENTO                                                                                                                                                                                                                                                                                                                                                                                                                                                         </v>
          </cell>
          <cell r="C3834" t="str">
            <v xml:space="preserve">KG    </v>
          </cell>
          <cell r="D3834" t="str">
            <v>CR</v>
          </cell>
          <cell r="E3834" t="str">
            <v>69,60</v>
          </cell>
        </row>
        <row r="3835">
          <cell r="A3835">
            <v>42699</v>
          </cell>
          <cell r="B3835" t="str">
            <v xml:space="preserve">SELIM PVC, COM TRAVA, JE, 90 GRAUS, DN 125 X 100 MM OU 150 X 100 MM, PARA REDE COLETORA ESGOTO                                                                                                                                                                                                                                                                                                                                                                                                            </v>
          </cell>
          <cell r="C3835" t="str">
            <v xml:space="preserve">UN    </v>
          </cell>
          <cell r="D3835" t="str">
            <v>CR</v>
          </cell>
          <cell r="E3835" t="str">
            <v>31,82</v>
          </cell>
        </row>
        <row r="3836">
          <cell r="A3836">
            <v>37743</v>
          </cell>
          <cell r="B3836" t="str">
            <v xml:space="preserve">SEMIRREBOQUE COM DOIS EIXOS EM TANDEM TIPO BASCULANTE COM CACAMBA METALICA 14 M3  (INCLUI MONTAGEM, NAO INCLUI CAVALO MECANICO)                                                                                                                                                                                                                                                                                                                                                                           </v>
          </cell>
          <cell r="C3836" t="str">
            <v xml:space="preserve">UN    </v>
          </cell>
          <cell r="D3836" t="str">
            <v>CR</v>
          </cell>
          <cell r="E3836" t="str">
            <v>213.383,28</v>
          </cell>
        </row>
        <row r="3837">
          <cell r="A3837">
            <v>37744</v>
          </cell>
          <cell r="B3837" t="str">
            <v xml:space="preserve">SEMIRREBOQUE COM TRES EIXOS EM TANDEM TIPO BASCULANTE COM CACAMBA METALICA 18 M3 (INCLUI MONTAGEM, NAO INCLUI CAVALO MECANICO)                                                                                                                                                                                                                                                                                                                                                                            </v>
          </cell>
          <cell r="C3837" t="str">
            <v xml:space="preserve">UN    </v>
          </cell>
          <cell r="D3837" t="str">
            <v>CR</v>
          </cell>
          <cell r="E3837" t="str">
            <v>250.898,60</v>
          </cell>
        </row>
        <row r="3838">
          <cell r="A3838">
            <v>37741</v>
          </cell>
          <cell r="B3838" t="str">
            <v xml:space="preserve">SEMIRREBOQUE COM TRES EIXOS, PARA TRANSPORTE DE CARGA SECA, DIMENSOES APROXIMADAS 2,60 X 12,50 X 0,50 M (NAO INCLUI CAVALO MECANICO)                                                                                                                                                                                                                                                                                                                                                                      </v>
          </cell>
          <cell r="C3838" t="str">
            <v xml:space="preserve">UN    </v>
          </cell>
          <cell r="D3838" t="str">
            <v>CR</v>
          </cell>
          <cell r="E3838" t="str">
            <v>194.028,25</v>
          </cell>
        </row>
        <row r="3839">
          <cell r="A3839">
            <v>39396</v>
          </cell>
          <cell r="B3839" t="str">
            <v xml:space="preserve">SENSOR DE PRESENCA BIVOLT COM FOTOCELULA PARA QUALQUER TIPO DE LAMPADA, POTENCIA MAXIMA *1000* W, USO EXTERNO                                                                                                                                                                                                                                                                                                                                                                                             </v>
          </cell>
          <cell r="C3839" t="str">
            <v xml:space="preserve">UN    </v>
          </cell>
          <cell r="D3839" t="str">
            <v>CR</v>
          </cell>
          <cell r="E3839" t="str">
            <v>77,89</v>
          </cell>
        </row>
        <row r="3840">
          <cell r="A3840">
            <v>39392</v>
          </cell>
          <cell r="B3840" t="str">
            <v xml:space="preserve">SENSOR DE PRESENCA BIVOLT DE PAREDE COM FOTOCELULA PARA QUALQUER TIPO DE LAMPADA POTENCIA MAXIMA *1000* W, USO INTERNO                                                                                                                                                                                                                                                                                                                                                                                    </v>
          </cell>
          <cell r="C3840" t="str">
            <v xml:space="preserve">UN    </v>
          </cell>
          <cell r="D3840" t="str">
            <v>CR</v>
          </cell>
          <cell r="E3840" t="str">
            <v>87,86</v>
          </cell>
        </row>
        <row r="3841">
          <cell r="A3841">
            <v>39393</v>
          </cell>
          <cell r="B3841" t="str">
            <v xml:space="preserve">SENSOR DE PRESENCA BIVOLT DE PAREDE SEM FOTOCELULA PARA QUALQUER TIPO DE LAMPADA POTENCIA MAXIMA *1000* W, USO INTERNO                                                                                                                                                                                                                                                                                                                                                                                    </v>
          </cell>
          <cell r="C3841" t="str">
            <v xml:space="preserve">UN    </v>
          </cell>
          <cell r="D3841" t="str">
            <v>CR</v>
          </cell>
          <cell r="E3841" t="str">
            <v>54,34</v>
          </cell>
        </row>
        <row r="3842">
          <cell r="A3842">
            <v>39394</v>
          </cell>
          <cell r="B3842" t="str">
            <v xml:space="preserve">SENSOR DE PRESENCA BIVOLT DE TETO COM FOTOCELULA PARA QUALQUER TIPO DE LAMPADA POTENCIA MAXIMA *1000* W, USO INTERNO                                                                                                                                                                                                                                                                                                                                                                                      </v>
          </cell>
          <cell r="C3842" t="str">
            <v xml:space="preserve">UN    </v>
          </cell>
          <cell r="D3842" t="str">
            <v>CR</v>
          </cell>
          <cell r="E3842" t="str">
            <v>61,16</v>
          </cell>
        </row>
        <row r="3843">
          <cell r="A3843">
            <v>39395</v>
          </cell>
          <cell r="B3843" t="str">
            <v xml:space="preserve">SENSOR DE PRESENCA BIVOLT DE TETO SEM FOTOCELULA PARA QUALQUER TIPO DE LAMPADA POTENCIA MAXIMA *900* W, USO INTERNO                                                                                                                                                                                                                                                                                                                                                                                       </v>
          </cell>
          <cell r="C3843" t="str">
            <v xml:space="preserve">UN    </v>
          </cell>
          <cell r="D3843" t="str">
            <v>CR</v>
          </cell>
          <cell r="E3843" t="str">
            <v>56,87</v>
          </cell>
        </row>
        <row r="3844">
          <cell r="A3844">
            <v>14618</v>
          </cell>
          <cell r="B3844" t="str">
            <v xml:space="preserve">SERRA CIRCULAR DE BANCADA COM MOTOR ELETRICO, POTENCIA DE *1600* W, PARA DISCO DE DIAMETRO DE 10" (250 MM)                                                                                                                                                                                                                                                                                                                                                                                                </v>
          </cell>
          <cell r="C3844" t="str">
            <v xml:space="preserve">UN    </v>
          </cell>
          <cell r="D3844" t="str">
            <v>CR</v>
          </cell>
          <cell r="E3844" t="str">
            <v>1.279,01</v>
          </cell>
        </row>
        <row r="3845">
          <cell r="A3845">
            <v>40269</v>
          </cell>
          <cell r="B3845" t="str">
            <v xml:space="preserve">SERRA CIRCULAR DE BANCADA, MODELO PICA-PAU, DIAMETRO DE 350 MM. CARACTERISTICAS DO MOTOR: TRIFASICO, POTENCIA DE 5 HP, FREQUENCIA DE 60 HZ                                                                                                                                                                                                                                                                                                                                                                </v>
          </cell>
          <cell r="C3845" t="str">
            <v xml:space="preserve">UN    </v>
          </cell>
          <cell r="D3845" t="str">
            <v>CR</v>
          </cell>
          <cell r="E3845" t="str">
            <v>5.153,07</v>
          </cell>
        </row>
        <row r="3846">
          <cell r="A3846">
            <v>6110</v>
          </cell>
          <cell r="B3846" t="str">
            <v xml:space="preserve">SERRALHEIRO (HORISTA)                                                                                                                                                                                                                                                                                                                                                                                                                                                                                     </v>
          </cell>
          <cell r="C3846" t="str">
            <v xml:space="preserve">H     </v>
          </cell>
          <cell r="D3846" t="str">
            <v>CR</v>
          </cell>
          <cell r="E3846" t="str">
            <v>24,18</v>
          </cell>
        </row>
        <row r="3847">
          <cell r="A3847">
            <v>40910</v>
          </cell>
          <cell r="B3847" t="str">
            <v xml:space="preserve">SERRALHEIRO (MENSALISTA)                                                                                                                                                                                                                                                                                                                                                                                                                                                                                  </v>
          </cell>
          <cell r="C3847" t="str">
            <v xml:space="preserve">MES   </v>
          </cell>
          <cell r="D3847" t="str">
            <v>CR</v>
          </cell>
          <cell r="E3847" t="str">
            <v>4.233,93</v>
          </cell>
        </row>
        <row r="3848">
          <cell r="A3848">
            <v>6111</v>
          </cell>
          <cell r="B3848" t="str">
            <v xml:space="preserve">SERVENTE DE OBRAS (HORISTA)                                                                                                                                                                                                                                                                                                                                                                                                                                                                               </v>
          </cell>
          <cell r="C3848" t="str">
            <v xml:space="preserve">H     </v>
          </cell>
          <cell r="D3848" t="str">
            <v xml:space="preserve">C </v>
          </cell>
          <cell r="E3848" t="str">
            <v>19,37</v>
          </cell>
        </row>
        <row r="3849">
          <cell r="A3849">
            <v>41084</v>
          </cell>
          <cell r="B3849" t="str">
            <v xml:space="preserve">SERVENTE DE OBRAS (MENSALISTA)                                                                                                                                                                                                                                                                                                                                                                                                                                                                            </v>
          </cell>
          <cell r="C3849" t="str">
            <v xml:space="preserve">MES   </v>
          </cell>
          <cell r="D3849" t="str">
            <v>CR</v>
          </cell>
          <cell r="E3849" t="str">
            <v>3.391,13</v>
          </cell>
        </row>
        <row r="3850">
          <cell r="A3850">
            <v>44535</v>
          </cell>
          <cell r="B3850" t="str">
            <v xml:space="preserve">SERVICO DE BOMBEAMENTO DE CONCRETO COM CONSUMO MINIMO DE 40 M3, (DISPONIBILIZACAO DE BOMBA), SEM O LANCAMENTO                                                                                                                                                                                                                                                                                                                                                                                             </v>
          </cell>
          <cell r="C3850" t="str">
            <v xml:space="preserve">M3    </v>
          </cell>
          <cell r="D3850" t="str">
            <v>CR</v>
          </cell>
          <cell r="E3850" t="str">
            <v>45,03</v>
          </cell>
        </row>
        <row r="3851">
          <cell r="A3851">
            <v>44945</v>
          </cell>
          <cell r="B3851" t="str">
            <v xml:space="preserve">SIFAO / TUBO SINFONADO EXTENSIVEL/SANFONADO, UNIVERSAL/ SIMPLES, ENTRE *50 A 70* CM, DE PLASTICO BRANCO                                                                                                                                                                                                                                                                                                                                                                                                   </v>
          </cell>
          <cell r="C3851" t="str">
            <v xml:space="preserve">UN    </v>
          </cell>
          <cell r="D3851" t="str">
            <v xml:space="preserve">C </v>
          </cell>
          <cell r="E3851" t="str">
            <v>10,97</v>
          </cell>
        </row>
        <row r="3852">
          <cell r="A3852">
            <v>38637</v>
          </cell>
          <cell r="B3852" t="str">
            <v xml:space="preserve">SIFAO EM METAL CROMADO PARA PIA AMERICANA, 1.1/2 X 1.1/2 "                                                                                                                                                                                                                                                                                                                                                                                                                                                </v>
          </cell>
          <cell r="C3852" t="str">
            <v xml:space="preserve">UN    </v>
          </cell>
          <cell r="D3852" t="str">
            <v>CR</v>
          </cell>
          <cell r="E3852" t="str">
            <v>228,05</v>
          </cell>
        </row>
        <row r="3853">
          <cell r="A3853">
            <v>6150</v>
          </cell>
          <cell r="B3853" t="str">
            <v xml:space="preserve">SIFAO EM METAL CROMADO PARA PIA AMERICANA, 1.1/2 X 2 "                                                                                                                                                                                                                                                                                                                                                                                                                                                    </v>
          </cell>
          <cell r="C3853" t="str">
            <v xml:space="preserve">UN    </v>
          </cell>
          <cell r="D3853" t="str">
            <v>CR</v>
          </cell>
          <cell r="E3853" t="str">
            <v>230,84</v>
          </cell>
        </row>
        <row r="3854">
          <cell r="A3854">
            <v>6136</v>
          </cell>
          <cell r="B3854" t="str">
            <v xml:space="preserve">SIFAO EM METAL CROMADO PARA PIA OU LAVATORIO, 1 X 1.1/2 "                                                                                                                                                                                                                                                                                                                                                                                                                                                 </v>
          </cell>
          <cell r="C3854" t="str">
            <v xml:space="preserve">UN    </v>
          </cell>
          <cell r="D3854" t="str">
            <v xml:space="preserve">C </v>
          </cell>
          <cell r="E3854" t="str">
            <v>181,45</v>
          </cell>
        </row>
        <row r="3855">
          <cell r="A3855">
            <v>38638</v>
          </cell>
          <cell r="B3855" t="str">
            <v xml:space="preserve">SIFAO EM METAL CROMADO PARA TANQUE, 1.1/4 X 1.1/2 "                                                                                                                                                                                                                                                                                                                                                                                                                                                       </v>
          </cell>
          <cell r="C3855" t="str">
            <v xml:space="preserve">UN    </v>
          </cell>
          <cell r="D3855" t="str">
            <v>CR</v>
          </cell>
          <cell r="E3855" t="str">
            <v>192,17</v>
          </cell>
        </row>
        <row r="3856">
          <cell r="A3856">
            <v>20262</v>
          </cell>
          <cell r="B3856" t="str">
            <v xml:space="preserve">SIFAO PLASTICO EXTENSIVEL UNIVERSAL, TIPO COPO                                                                                                                                                                                                                                                                                                                                                                                                                                                            </v>
          </cell>
          <cell r="C3856" t="str">
            <v xml:space="preserve">UN    </v>
          </cell>
          <cell r="D3856" t="str">
            <v>CR</v>
          </cell>
          <cell r="E3856" t="str">
            <v>20,09</v>
          </cell>
        </row>
        <row r="3857">
          <cell r="A3857">
            <v>6145</v>
          </cell>
          <cell r="B3857" t="str">
            <v xml:space="preserve">SIFAO PLASTICO TIPO COPO PARA PIA AMERICANA 1.1/2 X 1.1/2 "                                                                                                                                                                                                                                                                                                                                                                                                                                               </v>
          </cell>
          <cell r="C3857" t="str">
            <v xml:space="preserve">UN    </v>
          </cell>
          <cell r="D3857" t="str">
            <v>CR</v>
          </cell>
          <cell r="E3857" t="str">
            <v>22,19</v>
          </cell>
        </row>
        <row r="3858">
          <cell r="A3858">
            <v>6149</v>
          </cell>
          <cell r="B3858" t="str">
            <v xml:space="preserve">SIFAO PLASTICO TIPO COPO PARA PIA OU LAVATORIO, 1 X 1.1/2 "                                                                                                                                                                                                                                                                                                                                                                                                                                               </v>
          </cell>
          <cell r="C3858" t="str">
            <v xml:space="preserve">UN    </v>
          </cell>
          <cell r="D3858" t="str">
            <v>CR</v>
          </cell>
          <cell r="E3858" t="str">
            <v>14,67</v>
          </cell>
        </row>
        <row r="3859">
          <cell r="A3859">
            <v>6146</v>
          </cell>
          <cell r="B3859" t="str">
            <v xml:space="preserve">SIFAO PLASTICO TIPO COPO PARA TANQUE, 1.1/4 X 1.1/2 "                                                                                                                                                                                                                                                                                                                                                                                                                                                     </v>
          </cell>
          <cell r="C3859" t="str">
            <v xml:space="preserve">UN    </v>
          </cell>
          <cell r="D3859" t="str">
            <v>CR</v>
          </cell>
          <cell r="E3859" t="str">
            <v>21,09</v>
          </cell>
        </row>
        <row r="3860">
          <cell r="A3860">
            <v>44536</v>
          </cell>
          <cell r="B3860" t="str">
            <v xml:space="preserve">SILICA ATIVA PARA ADICAO EM CONCRETO E  ARGAMASSA                                                                                                                                                                                                                                                                                                                                                                                                                                                         </v>
          </cell>
          <cell r="C3860" t="str">
            <v xml:space="preserve">KG    </v>
          </cell>
          <cell r="D3860" t="str">
            <v>CR</v>
          </cell>
          <cell r="E3860" t="str">
            <v>2,86</v>
          </cell>
        </row>
        <row r="3861">
          <cell r="A3861">
            <v>39961</v>
          </cell>
          <cell r="B3861" t="str">
            <v xml:space="preserve">SILICONE ACETICO USO GERAL INCOLOR 280 G                                                                                                                                                                                                                                                                                                                                                                                                                                                                  </v>
          </cell>
          <cell r="C3861" t="str">
            <v xml:space="preserve">UN    </v>
          </cell>
          <cell r="D3861" t="str">
            <v>CR</v>
          </cell>
          <cell r="E3861" t="str">
            <v>22,53</v>
          </cell>
        </row>
        <row r="3862">
          <cell r="A3862">
            <v>42433</v>
          </cell>
          <cell r="B3862" t="str">
            <v xml:space="preserve">SIMULADOR DE CAMINHADA TRIPLO, EM TUBO DE ACO CARBONO, PINTURA NO PROCESSO ELETROSTATICO - EQUIPAMENTO DE GINASTICA PARA ACADEMIA AO AR LIVRE / ACADEMIA DA TERCEIRA IDADE - ATI                                                                                                                                                                                                                                                                                                                          </v>
          </cell>
          <cell r="C3862" t="str">
            <v xml:space="preserve">UN    </v>
          </cell>
          <cell r="D3862" t="str">
            <v>CR</v>
          </cell>
          <cell r="E3862" t="str">
            <v>4.789,18</v>
          </cell>
        </row>
        <row r="3863">
          <cell r="A3863">
            <v>42434</v>
          </cell>
          <cell r="B3863" t="str">
            <v xml:space="preserve">SIMULADOR DE CAVALGADA TRIPLO, EM TUBO DE ACO CARBONO, PINTURA NO PROCESSO ELETROSTATICO - EQUIPAMENTO DE GINASTICA PARA ACADEMIA AO AR LIVRE / ACADEMIA DA TERCEIRA IDADE - ATI                                                                                                                                                                                                                                                                                                                          </v>
          </cell>
          <cell r="C3863" t="str">
            <v xml:space="preserve">UN    </v>
          </cell>
          <cell r="D3863" t="str">
            <v>CR</v>
          </cell>
          <cell r="E3863" t="str">
            <v>5.175,40</v>
          </cell>
        </row>
        <row r="3864">
          <cell r="A3864">
            <v>42435</v>
          </cell>
          <cell r="B3864" t="str">
            <v xml:space="preserve">SIMULADOR DE REMO INDIVIDUAL, EM TUBO DE ACO CARBONO, PINTURA NO PROCESSO ELETROSTATICO - EQUIPAMENTO DE GINASTICA PARA ACADEMIA AO AR LIVRE / ACADEMIA DA TERCEIRA IDADE - ATI                                                                                                                                                                                                                                                                                                                           </v>
          </cell>
          <cell r="C3864" t="str">
            <v xml:space="preserve">UN    </v>
          </cell>
          <cell r="D3864" t="str">
            <v>CR</v>
          </cell>
          <cell r="E3864" t="str">
            <v>2.580,78</v>
          </cell>
        </row>
        <row r="3865">
          <cell r="A3865">
            <v>38061</v>
          </cell>
          <cell r="B3865" t="str">
            <v xml:space="preserve">SINALIZADOR NOTURNO SIMPLES PARA PARA-RAIOS, SEM RELE FOTOELETRICO                                                                                                                                                                                                                                                                                                                                                                                                                                        </v>
          </cell>
          <cell r="C3865" t="str">
            <v xml:space="preserve">UN    </v>
          </cell>
          <cell r="D3865" t="str">
            <v>CR</v>
          </cell>
          <cell r="E3865" t="str">
            <v>51,17</v>
          </cell>
        </row>
        <row r="3866">
          <cell r="A3866">
            <v>20250</v>
          </cell>
          <cell r="B3866" t="str">
            <v xml:space="preserve">SISAL EM FIBRA / ESTOPA SISAL PARA GESSO                                                                                                                                                                                                                                                                                                                                                                                                                                                                  </v>
          </cell>
          <cell r="C3866" t="str">
            <v xml:space="preserve">KG    </v>
          </cell>
          <cell r="D3866" t="str">
            <v xml:space="preserve">C </v>
          </cell>
          <cell r="E3866" t="str">
            <v>24,99</v>
          </cell>
        </row>
        <row r="3867">
          <cell r="A3867">
            <v>13388</v>
          </cell>
          <cell r="B3867" t="str">
            <v xml:space="preserve">SOLDA EM BARRA DE ESTANHO-CHUMBO 50/50                                                                                                                                                                                                                                                                                                                                                                                                                                                                    </v>
          </cell>
          <cell r="C3867" t="str">
            <v xml:space="preserve">KG    </v>
          </cell>
          <cell r="D3867" t="str">
            <v>CR</v>
          </cell>
          <cell r="E3867" t="str">
            <v>233,59</v>
          </cell>
        </row>
        <row r="3868">
          <cell r="A3868">
            <v>39914</v>
          </cell>
          <cell r="B3868" t="str">
            <v xml:space="preserve">SOLDA EM VARETA FOSCOPER, D = *2,5* MM  X COMPRIMENTO 500 MM                                                                                                                                                                                                                                                                                                                                                                                                                                              </v>
          </cell>
          <cell r="C3868" t="str">
            <v xml:space="preserve">KG    </v>
          </cell>
          <cell r="D3868" t="str">
            <v>CR</v>
          </cell>
          <cell r="E3868" t="str">
            <v>239,35</v>
          </cell>
        </row>
        <row r="3869">
          <cell r="A3869">
            <v>12732</v>
          </cell>
          <cell r="B3869" t="str">
            <v xml:space="preserve">SOLDA ESTANHO/COBRE PARA CONEXOES DE COBRE, FIO 2,5 MM, CARRETEL 500 GR (SEM CHUMBO)                                                                                                                                                                                                                                                                                                                                                                                                                      </v>
          </cell>
          <cell r="C3869" t="str">
            <v xml:space="preserve">UN    </v>
          </cell>
          <cell r="D3869" t="str">
            <v>CR</v>
          </cell>
          <cell r="E3869" t="str">
            <v>276,17</v>
          </cell>
        </row>
        <row r="3870">
          <cell r="A3870">
            <v>6160</v>
          </cell>
          <cell r="B3870" t="str">
            <v xml:space="preserve">SOLDADOR (HORISTA)                                                                                                                                                                                                                                                                                                                                                                                                                                                                                        </v>
          </cell>
          <cell r="C3870" t="str">
            <v xml:space="preserve">H     </v>
          </cell>
          <cell r="D3870" t="str">
            <v xml:space="preserve">C </v>
          </cell>
          <cell r="E3870" t="str">
            <v>27,24</v>
          </cell>
        </row>
        <row r="3871">
          <cell r="A3871">
            <v>41087</v>
          </cell>
          <cell r="B3871" t="str">
            <v xml:space="preserve">SOLDADOR (MENSALISTA)                                                                                                                                                                                                                                                                                                                                                                                                                                                                                     </v>
          </cell>
          <cell r="C3871" t="str">
            <v xml:space="preserve">MES   </v>
          </cell>
          <cell r="D3871" t="str">
            <v>CR</v>
          </cell>
          <cell r="E3871" t="str">
            <v>4.767,95</v>
          </cell>
        </row>
        <row r="3872">
          <cell r="A3872">
            <v>6166</v>
          </cell>
          <cell r="B3872" t="str">
            <v xml:space="preserve">SOLDADOR ELETRICO (PARA SOLDA A SER TESTADA COM RAIOS "X") (HORISTA)                                                                                                                                                                                                                                                                                                                                                                                                                                      </v>
          </cell>
          <cell r="C3872" t="str">
            <v xml:space="preserve">H     </v>
          </cell>
          <cell r="D3872" t="str">
            <v>CR</v>
          </cell>
          <cell r="E3872" t="str">
            <v>29,35</v>
          </cell>
        </row>
        <row r="3873">
          <cell r="A3873">
            <v>41088</v>
          </cell>
          <cell r="B3873" t="str">
            <v xml:space="preserve">SOLDADOR ELETRICO (PARA SOLDA A SER TESTADA COM RAIOS "X") (MENSALISTA)                                                                                                                                                                                                                                                                                                                                                                                                                                   </v>
          </cell>
          <cell r="C3873" t="str">
            <v xml:space="preserve">MES   </v>
          </cell>
          <cell r="D3873" t="str">
            <v>CR</v>
          </cell>
          <cell r="E3873" t="str">
            <v>5.138,29</v>
          </cell>
        </row>
        <row r="3874">
          <cell r="A3874">
            <v>20232</v>
          </cell>
          <cell r="B3874" t="str">
            <v xml:space="preserve">SOLEIRA EM GRANITO, POLIDO, TIPO ANDORINHA/ QUARTZ/ CASTELO/ CORUMBA OU OUTROS EQUIVALENTES DA REGIAO, L= *15* CM, E=  *2,0* CM                                                                                                                                                                                                                                                                                                                                                                           </v>
          </cell>
          <cell r="C3874" t="str">
            <v xml:space="preserve">M     </v>
          </cell>
          <cell r="D3874" t="str">
            <v>CR</v>
          </cell>
          <cell r="E3874" t="str">
            <v>95,33</v>
          </cell>
        </row>
        <row r="3875">
          <cell r="A3875">
            <v>10856</v>
          </cell>
          <cell r="B3875" t="str">
            <v xml:space="preserve">SOLEIRA PRE-MOLDADA EM GRANILITE, MARMORITE OU GRANITINA, L = *15 CM                                                                                                                                                                                                                                                                                                                                                                                                                                      </v>
          </cell>
          <cell r="C3875" t="str">
            <v xml:space="preserve">M     </v>
          </cell>
          <cell r="D3875" t="str">
            <v>CR</v>
          </cell>
          <cell r="E3875" t="str">
            <v>114,78</v>
          </cell>
        </row>
        <row r="3876">
          <cell r="A3876">
            <v>4828</v>
          </cell>
          <cell r="B3876" t="str">
            <v xml:space="preserve">SOLEIRA/ PEITORIL EM MARMORE, POLIDO, BRANCO COMUM, L= *15* CM, E=  *2* CM,  CORTE RETO                                                                                                                                                                                                                                                                                                                                                                                                                   </v>
          </cell>
          <cell r="C3876" t="str">
            <v xml:space="preserve">M     </v>
          </cell>
          <cell r="D3876" t="str">
            <v>CR</v>
          </cell>
          <cell r="E3876" t="str">
            <v>95,04</v>
          </cell>
        </row>
        <row r="3877">
          <cell r="A3877">
            <v>20249</v>
          </cell>
          <cell r="B3877" t="str">
            <v xml:space="preserve">SOLEIRA/ TABEIRA EM MARMORE, POLIDO, BRANCO COMUM, L= 5 CM, E=  *2,0* CM                                                                                                                                                                                                                                                                                                                                                                                                                                  </v>
          </cell>
          <cell r="C3877" t="str">
            <v xml:space="preserve">M     </v>
          </cell>
          <cell r="D3877" t="str">
            <v>CR</v>
          </cell>
          <cell r="E3877" t="str">
            <v>52,04</v>
          </cell>
        </row>
        <row r="3878">
          <cell r="A3878">
            <v>11609</v>
          </cell>
          <cell r="B3878" t="str">
            <v xml:space="preserve">SOLUCAO ASFALTICA ELASTOMERICA PARA IMPRIMACAO, APLICACAO A FRIO                                                                                                                                                                                                                                                                                                                                                                                                                                          </v>
          </cell>
          <cell r="C3878" t="str">
            <v xml:space="preserve">L     </v>
          </cell>
          <cell r="D3878" t="str">
            <v>CR</v>
          </cell>
          <cell r="E3878" t="str">
            <v>12,01</v>
          </cell>
        </row>
        <row r="3879">
          <cell r="A3879">
            <v>20083</v>
          </cell>
          <cell r="B3879" t="str">
            <v xml:space="preserve">SOLUCAO PREPARADORA / LIMPADORA PARA PVC, FRASCO COM 1000 CM3                                                                                                                                                                                                                                                                                                                                                                                                                                             </v>
          </cell>
          <cell r="C3879" t="str">
            <v xml:space="preserve">UN    </v>
          </cell>
          <cell r="D3879" t="str">
            <v>CR</v>
          </cell>
          <cell r="E3879" t="str">
            <v>60,15</v>
          </cell>
        </row>
        <row r="3880">
          <cell r="A3880">
            <v>10691</v>
          </cell>
          <cell r="B3880" t="str">
            <v xml:space="preserve">SOLVENTE PARA COLA (PARA LAMINADO MELAMINICO) A BASE DE RESINA SINTETICA                                                                                                                                                                                                                                                                                                                                                                                                                                  </v>
          </cell>
          <cell r="C3880" t="str">
            <v xml:space="preserve">L     </v>
          </cell>
          <cell r="D3880" t="str">
            <v>CR</v>
          </cell>
          <cell r="E3880" t="str">
            <v>98,17</v>
          </cell>
        </row>
        <row r="3881">
          <cell r="A3881">
            <v>12295</v>
          </cell>
          <cell r="B3881" t="str">
            <v xml:space="preserve">SOQUETE DE BAQUELITE BASE E27, PARA LAMPADAS                                                                                                                                                                                                                                                                                                                                                                                                                                                              </v>
          </cell>
          <cell r="C3881" t="str">
            <v xml:space="preserve">UN    </v>
          </cell>
          <cell r="D3881" t="str">
            <v>CR</v>
          </cell>
          <cell r="E3881" t="str">
            <v>3,29</v>
          </cell>
        </row>
        <row r="3882">
          <cell r="A3882">
            <v>12296</v>
          </cell>
          <cell r="B3882" t="str">
            <v xml:space="preserve">SOQUETE DE PORCELANA BASE E27, FIXO DE TETO, PARA LAMPADAS                                                                                                                                                                                                                                                                                                                                                                                                                                                </v>
          </cell>
          <cell r="C3882" t="str">
            <v xml:space="preserve">UN    </v>
          </cell>
          <cell r="D3882" t="str">
            <v>CR</v>
          </cell>
          <cell r="E3882" t="str">
            <v>4,26</v>
          </cell>
        </row>
        <row r="3883">
          <cell r="A3883">
            <v>12294</v>
          </cell>
          <cell r="B3883" t="str">
            <v xml:space="preserve">SOQUETE DE PORCELANA BASE E27, PARA USO AO TEMPO, PARA LAMPADAS                                                                                                                                                                                                                                                                                                                                                                                                                                           </v>
          </cell>
          <cell r="C3883" t="str">
            <v xml:space="preserve">UN    </v>
          </cell>
          <cell r="D3883" t="str">
            <v>CR</v>
          </cell>
          <cell r="E3883" t="str">
            <v>10,24</v>
          </cell>
        </row>
        <row r="3884">
          <cell r="A3884">
            <v>14543</v>
          </cell>
          <cell r="B3884" t="str">
            <v xml:space="preserve">SOQUETE DE PVC / TERMOPLASTICO BASE E27, COM CHAVE, PARA LAMPADAS                                                                                                                                                                                                                                                                                                                                                                                                                                         </v>
          </cell>
          <cell r="C3884" t="str">
            <v xml:space="preserve">UN    </v>
          </cell>
          <cell r="D3884" t="str">
            <v>CR</v>
          </cell>
          <cell r="E3884" t="str">
            <v>7,31</v>
          </cell>
        </row>
        <row r="3885">
          <cell r="A3885">
            <v>13329</v>
          </cell>
          <cell r="B3885" t="str">
            <v xml:space="preserve">SOQUETE DE PVC / TERMOPLASTICO BASE E27, COM RABICHO, PARA LAMPADAS                                                                                                                                                                                                                                                                                                                                                                                                                                       </v>
          </cell>
          <cell r="C3885" t="str">
            <v xml:space="preserve">UN    </v>
          </cell>
          <cell r="D3885" t="str">
            <v xml:space="preserve">C </v>
          </cell>
          <cell r="E3885" t="str">
            <v>4,29</v>
          </cell>
        </row>
        <row r="3886">
          <cell r="A3886">
            <v>21047</v>
          </cell>
          <cell r="B3886" t="str">
            <v xml:space="preserve">SPRINKLER TIPO PENDENTE, BULBO AMARELO DE RESPOSTA RAPIDA, 79 GRAUS CELSIUS, ACABAMENTO CROMADO, D = 20 MM (3/4")                                                                                                                                                                                                                                                                                                                                                                                         </v>
          </cell>
          <cell r="C3886" t="str">
            <v xml:space="preserve">UN    </v>
          </cell>
          <cell r="D3886" t="str">
            <v>CR</v>
          </cell>
          <cell r="E3886" t="str">
            <v>35,19</v>
          </cell>
        </row>
        <row r="3887">
          <cell r="A3887">
            <v>21042</v>
          </cell>
          <cell r="B3887" t="str">
            <v xml:space="preserve">SPRINKLER TIPO PENDENTE, BULBO AMARELO DE RESPOSTA RAPIDA, 79 GRAUS CELSIUS, ACABAMENTO NATURAL OU CROMADO, D = 15 MM (1/2")                                                                                                                                                                                                                                                                                                                                                                              </v>
          </cell>
          <cell r="C3887" t="str">
            <v xml:space="preserve">UN    </v>
          </cell>
          <cell r="D3887" t="str">
            <v>CR</v>
          </cell>
          <cell r="E3887" t="str">
            <v>27,12</v>
          </cell>
        </row>
        <row r="3888">
          <cell r="A3888">
            <v>21043</v>
          </cell>
          <cell r="B3888" t="str">
            <v xml:space="preserve">SPRINKLER TIPO PENDENTE, BULBO AMARELO DE RESPOSTA RAPIDA, 79 GRAUS CELSIUS, ACABAMENTO NATURAL, D = 20 MM (3/4")                                                                                                                                                                                                                                                                                                                                                                                         </v>
          </cell>
          <cell r="C3888" t="str">
            <v xml:space="preserve">UN    </v>
          </cell>
          <cell r="D3888" t="str">
            <v>CR</v>
          </cell>
          <cell r="E3888" t="str">
            <v>34,26</v>
          </cell>
        </row>
        <row r="3889">
          <cell r="A3889">
            <v>21044</v>
          </cell>
          <cell r="B3889" t="str">
            <v xml:space="preserve">SPRINKLER TIPO PENDENTE, BULBO VERMELHO DE RESPOSTA RAPIDA, 68 GRAUS CELSIUS, ACABAMENTO CROMADO, D = 15 MM (1/2")                                                                                                                                                                                                                                                                                                                                                                                        </v>
          </cell>
          <cell r="C3889" t="str">
            <v xml:space="preserve">UN    </v>
          </cell>
          <cell r="D3889" t="str">
            <v>CR</v>
          </cell>
          <cell r="E3889" t="str">
            <v>23,87</v>
          </cell>
        </row>
        <row r="3890">
          <cell r="A3890">
            <v>21045</v>
          </cell>
          <cell r="B3890" t="str">
            <v xml:space="preserve">SPRINKLER TIPO PENDENTE, BULBO VERMELHO DE RESPOSTA RAPIDA, 68 GRAUS CELSIUS, ACABAMENTO CROMADO, D = 20 MM (3/4")                                                                                                                                                                                                                                                                                                                                                                                        </v>
          </cell>
          <cell r="C3890" t="str">
            <v xml:space="preserve">UN    </v>
          </cell>
          <cell r="D3890" t="str">
            <v>CR</v>
          </cell>
          <cell r="E3890" t="str">
            <v>32,69</v>
          </cell>
        </row>
        <row r="3891">
          <cell r="A3891">
            <v>21041</v>
          </cell>
          <cell r="B3891" t="str">
            <v xml:space="preserve">SPRINKLER TIPO PENDENTE, BULBO VERMELHO DE RESPOSTA RAPIDA, 68 GRAUS CELSIUS, ACABAMENTO NATURAL, D = 20 MM (3/4")                                                                                                                                                                                                                                                                                                                                                                                        </v>
          </cell>
          <cell r="C3891" t="str">
            <v xml:space="preserve">UN    </v>
          </cell>
          <cell r="D3891" t="str">
            <v>CR</v>
          </cell>
          <cell r="E3891" t="str">
            <v>28,20</v>
          </cell>
        </row>
        <row r="3892">
          <cell r="A3892">
            <v>21040</v>
          </cell>
          <cell r="B3892" t="str">
            <v xml:space="preserve">SPRINKLER TIPO PENDENTE, BULBO VERMELHO RESPOSTA RAPIDA, 68 GRAUS CELSIUS, ACABAMENTO NATURAL, D = 15 MM (1/2")                                                                                                                                                                                                                                                                                                                                                                                           </v>
          </cell>
          <cell r="C3892" t="str">
            <v xml:space="preserve">UN    </v>
          </cell>
          <cell r="D3892" t="str">
            <v xml:space="preserve">C </v>
          </cell>
          <cell r="E3892" t="str">
            <v>23,36</v>
          </cell>
        </row>
        <row r="3893">
          <cell r="A3893">
            <v>14149</v>
          </cell>
          <cell r="B3893" t="str">
            <v xml:space="preserve">SUPORTE "Y" PARA FITA PERFURADA                                                                                                                                                                                                                                                                                                                                                                                                                                                                           </v>
          </cell>
          <cell r="C3893" t="str">
            <v xml:space="preserve">CENTO </v>
          </cell>
          <cell r="D3893" t="str">
            <v>CR</v>
          </cell>
          <cell r="E3893" t="str">
            <v>190,40</v>
          </cell>
        </row>
        <row r="3894">
          <cell r="A3894">
            <v>38099</v>
          </cell>
          <cell r="B3894" t="str">
            <v xml:space="preserve">SUPORTE DE FIXACAO PARA ESPELHO / PLACA 4" X 2", PARA 3 MODULOS, PARA INSTALACAO DE TOMADAS E INTERRUPTORES (SOMENTE SUPORTE)                                                                                                                                                                                                                                                                                                                                                                             </v>
          </cell>
          <cell r="C3894" t="str">
            <v xml:space="preserve">UN    </v>
          </cell>
          <cell r="D3894" t="str">
            <v>CR</v>
          </cell>
          <cell r="E3894" t="str">
            <v>1,63</v>
          </cell>
        </row>
        <row r="3895">
          <cell r="A3895">
            <v>38100</v>
          </cell>
          <cell r="B3895" t="str">
            <v xml:space="preserve">SUPORTE DE FIXACAO PARA ESPELHO / PLACA 4" X 4", PARA 6 MODULOS, PARA INSTALACAO DE TOMADAS E INTERRUPTORES (SOMENTE SUPORTE)                                                                                                                                                                                                                                                                                                                                                                             </v>
          </cell>
          <cell r="C3895" t="str">
            <v xml:space="preserve">UN    </v>
          </cell>
          <cell r="D3895" t="str">
            <v>CR</v>
          </cell>
          <cell r="E3895" t="str">
            <v>2,66</v>
          </cell>
        </row>
        <row r="3896">
          <cell r="A3896">
            <v>7576</v>
          </cell>
          <cell r="B3896" t="str">
            <v xml:space="preserve">SUPORTE EM ACO GALVANIZADO PARA TRANSFORMADOR PARA POSTE DUPLO T 185 X 95 MM, CHAPA DE 5/16"                                                                                                                                                                                                                                                                                                                                                                                                              </v>
          </cell>
          <cell r="C3896" t="str">
            <v xml:space="preserve">UN    </v>
          </cell>
          <cell r="D3896" t="str">
            <v>CR</v>
          </cell>
          <cell r="E3896" t="str">
            <v>136,12</v>
          </cell>
        </row>
        <row r="3897">
          <cell r="A3897">
            <v>3384</v>
          </cell>
          <cell r="B3897" t="str">
            <v xml:space="preserve">SUPORTE GUIA SIMPLES COM ROLDANA EM POLIPROPILENO PARA CHUMBAR, H = 20 CM                                                                                                                                                                                                                                                                                                                                                                                                                                 </v>
          </cell>
          <cell r="C3897" t="str">
            <v xml:space="preserve">UN    </v>
          </cell>
          <cell r="D3897" t="str">
            <v>CR</v>
          </cell>
          <cell r="E3897" t="str">
            <v>10,05</v>
          </cell>
        </row>
        <row r="3898">
          <cell r="A3898">
            <v>7572</v>
          </cell>
          <cell r="B3898" t="str">
            <v xml:space="preserve">SUPORTE ISOLADOR REFORCADO DIAMETRO NOMINAL 5/16", COM ROSCA SOBERBA E BUCHA                                                                                                                                                                                                                                                                                                                                                                                                                              </v>
          </cell>
          <cell r="C3898" t="str">
            <v xml:space="preserve">UN    </v>
          </cell>
          <cell r="D3898" t="str">
            <v>CR</v>
          </cell>
          <cell r="E3898" t="str">
            <v>8,36</v>
          </cell>
        </row>
        <row r="3899">
          <cell r="A3899">
            <v>3396</v>
          </cell>
          <cell r="B3899" t="str">
            <v xml:space="preserve">SUPORTE ISOLADOR SIMPLES DIAMETRO NOMINAL 5/16", COM ROSCA SOBERBA E BUCHA                                                                                                                                                                                                                                                                                                                                                                                                                                </v>
          </cell>
          <cell r="C3899" t="str">
            <v xml:space="preserve">UN    </v>
          </cell>
          <cell r="D3899" t="str">
            <v>CR</v>
          </cell>
          <cell r="E3899" t="str">
            <v>5,65</v>
          </cell>
        </row>
        <row r="3900">
          <cell r="A3900">
            <v>37590</v>
          </cell>
          <cell r="B3900" t="str">
            <v xml:space="preserve">SUPORTE MAO-FRANCESA EM ACO, ABAS IGUAIS 30 CM, CAPACIDADE MINIMA 60 KG, BRANCO                                                                                                                                                                                                                                                                                                                                                                                                                           </v>
          </cell>
          <cell r="C3900" t="str">
            <v xml:space="preserve">UN    </v>
          </cell>
          <cell r="D3900" t="str">
            <v>CR</v>
          </cell>
          <cell r="E3900" t="str">
            <v>16,86</v>
          </cell>
        </row>
        <row r="3901">
          <cell r="A3901">
            <v>37591</v>
          </cell>
          <cell r="B3901" t="str">
            <v xml:space="preserve">SUPORTE MAO-FRANCESA EM ACO, ABAS IGUAIS 40 CM, CAPACIDADE MINIMA 70 KG, BRANCO                                                                                                                                                                                                                                                                                                                                                                                                                           </v>
          </cell>
          <cell r="C3901" t="str">
            <v xml:space="preserve">UN    </v>
          </cell>
          <cell r="D3901" t="str">
            <v>CR</v>
          </cell>
          <cell r="E3901" t="str">
            <v>20,27</v>
          </cell>
        </row>
        <row r="3902">
          <cell r="A3902">
            <v>12626</v>
          </cell>
          <cell r="B3902" t="str">
            <v xml:space="preserve">SUPORTE METALICO PARA CALHA PLUVIAL, ZINCADO, DOBRADO, DIAMETRO ENTRE 119 E 170 MM, PARA DRENAGEM PLUVIAL PREDIAL                                                                                                                                                                                                                                                                                                                                                                                         </v>
          </cell>
          <cell r="C3902" t="str">
            <v xml:space="preserve">UN    </v>
          </cell>
          <cell r="D3902" t="str">
            <v>CR</v>
          </cell>
          <cell r="E3902" t="str">
            <v>40,25</v>
          </cell>
        </row>
        <row r="3903">
          <cell r="A3903">
            <v>11033</v>
          </cell>
          <cell r="B3903" t="str">
            <v xml:space="preserve">SUPORTE PARA CALHA DE 150 MM EM ACO GALVANIZADO                                                                                                                                                                                                                                                                                                                                                                                                                                                           </v>
          </cell>
          <cell r="C3903" t="str">
            <v xml:space="preserve">UN    </v>
          </cell>
          <cell r="D3903" t="str">
            <v>CR</v>
          </cell>
          <cell r="E3903" t="str">
            <v>7,85</v>
          </cell>
        </row>
        <row r="3904">
          <cell r="A3904">
            <v>390</v>
          </cell>
          <cell r="B3904" t="str">
            <v xml:space="preserve">SUPORTE PARA TUBO DIAMETRO NOMINAL 2", COM ROSCA MECANICA                                                                                                                                                                                                                                                                                                                                                                                                                                                 </v>
          </cell>
          <cell r="C3904" t="str">
            <v xml:space="preserve">UN    </v>
          </cell>
          <cell r="D3904" t="str">
            <v>CR</v>
          </cell>
          <cell r="E3904" t="str">
            <v>10,23</v>
          </cell>
        </row>
        <row r="3905">
          <cell r="A3905">
            <v>42436</v>
          </cell>
          <cell r="B3905" t="str">
            <v xml:space="preserve">SURF DUPLO, EM TUBO DE ACO CARBONO, PINTURA NO PROCESSO ELETROSTATICO - EQUIPAMENTO DE GINASTICA PARA ACADEMIA AO AR LIVRE / ACADEMIA DA TERCEIRA IDADE - ATI                                                                                                                                                                                                                                                                                                                                             </v>
          </cell>
          <cell r="C3905" t="str">
            <v xml:space="preserve">UN    </v>
          </cell>
          <cell r="D3905" t="str">
            <v>CR</v>
          </cell>
          <cell r="E3905" t="str">
            <v>2.701,34</v>
          </cell>
        </row>
        <row r="3906">
          <cell r="A3906">
            <v>6194</v>
          </cell>
          <cell r="B3906" t="str">
            <v xml:space="preserve">TABUA *2,5 X 15 CM EM PINUS, MISTA OU EQUIVALENTE DA REGIAO - BRUTA                                                                                                                                                                                                                                                                                                                                                                                                                                       </v>
          </cell>
          <cell r="C3906" t="str">
            <v xml:space="preserve">M     </v>
          </cell>
          <cell r="D3906" t="str">
            <v>CR</v>
          </cell>
          <cell r="E3906" t="str">
            <v>5,37</v>
          </cell>
        </row>
        <row r="3907">
          <cell r="A3907">
            <v>10567</v>
          </cell>
          <cell r="B3907" t="str">
            <v xml:space="preserve">TABUA *2,5 X 23* CM EM PINUS, MISTA OU EQUIVALENTE DA REGIAO - BRUTA                                                                                                                                                                                                                                                                                                                                                                                                                                      </v>
          </cell>
          <cell r="C3907" t="str">
            <v xml:space="preserve">M     </v>
          </cell>
          <cell r="D3907" t="str">
            <v>CR</v>
          </cell>
          <cell r="E3907" t="str">
            <v>8,50</v>
          </cell>
        </row>
        <row r="3908">
          <cell r="A3908">
            <v>6212</v>
          </cell>
          <cell r="B3908" t="str">
            <v xml:space="preserve">TABUA *2,5 X 30 CM EM PINUS, MISTA OU EQUIVALENTE DA REGIAO - BRUTA                                                                                                                                                                                                                                                                                                                                                                                                                                       </v>
          </cell>
          <cell r="C3908" t="str">
            <v xml:space="preserve">M     </v>
          </cell>
          <cell r="D3908" t="str">
            <v xml:space="preserve">C </v>
          </cell>
          <cell r="E3908" t="str">
            <v>12,48</v>
          </cell>
        </row>
        <row r="3909">
          <cell r="A3909">
            <v>3993</v>
          </cell>
          <cell r="B3909" t="str">
            <v xml:space="preserve">TABUA APARELHADA *2,5 X 15* CM, EM MACARANDUBA/MASSARANDUBA, ANGELIM OU EQUIVALENTE DA REGIAO                                                                                                                                                                                                                                                                                                                                                                                                             </v>
          </cell>
          <cell r="C3909" t="str">
            <v xml:space="preserve">M2    </v>
          </cell>
          <cell r="D3909" t="str">
            <v>CR</v>
          </cell>
          <cell r="E3909" t="str">
            <v>149,16</v>
          </cell>
        </row>
        <row r="3910">
          <cell r="A3910">
            <v>3990</v>
          </cell>
          <cell r="B3910" t="str">
            <v xml:space="preserve">TABUA APARELHADA *2,5 X 25* CM, EM MACARANDUBA/MASSARANDUBA, ANGELIM OU EQUIVALENTE DA REGIAO                                                                                                                                                                                                                                                                                                                                                                                                             </v>
          </cell>
          <cell r="C3910" t="str">
            <v xml:space="preserve">M     </v>
          </cell>
          <cell r="D3910" t="str">
            <v>CR</v>
          </cell>
          <cell r="E3910" t="str">
            <v>28,06</v>
          </cell>
        </row>
        <row r="3911">
          <cell r="A3911">
            <v>3992</v>
          </cell>
          <cell r="B3911" t="str">
            <v xml:space="preserve">TABUA APARELHADA *2,5 X 30* CM, EM MACARANDUBA/MASSARANDUBA, ANGELIM OU EQUIVALENTE DA REGIAO                                                                                                                                                                                                                                                                                                                                                                                                             </v>
          </cell>
          <cell r="C3911" t="str">
            <v xml:space="preserve">M     </v>
          </cell>
          <cell r="D3911" t="str">
            <v>CR</v>
          </cell>
          <cell r="E3911" t="str">
            <v>37,89</v>
          </cell>
        </row>
        <row r="3912">
          <cell r="A3912">
            <v>6178</v>
          </cell>
          <cell r="B3912" t="str">
            <v xml:space="preserve">TABUA DE  MADEIRA PARA PISO, CUMARU/IPE CHAMPANHE OU EQUIVALENTE DA REGIAO, ENCAIXE MACHO/FEMEA, *10 X 2* CM                                                                                                                                                                                                                                                                                                                                                                                              </v>
          </cell>
          <cell r="C3912" t="str">
            <v xml:space="preserve">M2    </v>
          </cell>
          <cell r="D3912" t="str">
            <v>CR</v>
          </cell>
          <cell r="E3912" t="str">
            <v>301,13</v>
          </cell>
        </row>
        <row r="3913">
          <cell r="A3913">
            <v>6180</v>
          </cell>
          <cell r="B3913" t="str">
            <v xml:space="preserve">TABUA DE  MADEIRA PARA PISO, CUMARU/IPE CHAMPANHE OU EQUIVALENTE DA REGIAO, ENCAIXE MACHO/FEMEA, *15 X 2* CM                                                                                                                                                                                                                                                                                                                                                                                              </v>
          </cell>
          <cell r="C3913" t="str">
            <v xml:space="preserve">M2    </v>
          </cell>
          <cell r="D3913" t="str">
            <v xml:space="preserve">C </v>
          </cell>
          <cell r="E3913" t="str">
            <v>325,00</v>
          </cell>
        </row>
        <row r="3914">
          <cell r="A3914">
            <v>6182</v>
          </cell>
          <cell r="B3914" t="str">
            <v xml:space="preserve">TABUA DE  MADEIRA PARA PISO, IPE (CERNE) OU EQUIVALENTE DA REGIAO, ENCAIXE MACHO/FEMEA, *20 X 2* CM                                                                                                                                                                                                                                                                                                                                                                                                       </v>
          </cell>
          <cell r="C3914" t="str">
            <v xml:space="preserve">M2    </v>
          </cell>
          <cell r="D3914" t="str">
            <v>CR</v>
          </cell>
          <cell r="E3914" t="str">
            <v>403,40</v>
          </cell>
        </row>
        <row r="3915">
          <cell r="A3915">
            <v>43614</v>
          </cell>
          <cell r="B3915" t="str">
            <v xml:space="preserve">TABUA NAO APARELHADA *2,5 X 15* CM, EM MACARANDUBA/MASSARANDUBA, ANGELIM OU EQUIVALENTE DA REGIAO - BRUTA                                                                                                                                                                                                                                                                                                                                                                                                 </v>
          </cell>
          <cell r="C3915" t="str">
            <v xml:space="preserve">M     </v>
          </cell>
          <cell r="D3915" t="str">
            <v>CR</v>
          </cell>
          <cell r="E3915" t="str">
            <v>18,96</v>
          </cell>
        </row>
        <row r="3916">
          <cell r="A3916">
            <v>6193</v>
          </cell>
          <cell r="B3916" t="str">
            <v xml:space="preserve">TABUA NAO APARELHADA *2,5 X 20* CM, EM MACARANDUBA/MASSARANDUBA, ANGELIM OU EQUIVALENTE DA REGIAO - BRUTA                                                                                                                                                                                                                                                                                                                                                                                                 </v>
          </cell>
          <cell r="C3916" t="str">
            <v xml:space="preserve">M     </v>
          </cell>
          <cell r="D3916" t="str">
            <v>CR</v>
          </cell>
          <cell r="E3916" t="str">
            <v>23,07</v>
          </cell>
        </row>
        <row r="3917">
          <cell r="A3917">
            <v>6189</v>
          </cell>
          <cell r="B3917" t="str">
            <v xml:space="preserve">TABUA NAO APARELHADA *2,5 X 30* CM, EM MACARANDUBA/MASSARANDUBA, ANGELIM OU EQUIVALENTE DA REGIAO - BRUTA                                                                                                                                                                                                                                                                                                                                                                                                 </v>
          </cell>
          <cell r="C3917" t="str">
            <v xml:space="preserve">M     </v>
          </cell>
          <cell r="D3917" t="str">
            <v>CR</v>
          </cell>
          <cell r="E3917" t="str">
            <v>33,68</v>
          </cell>
        </row>
        <row r="3918">
          <cell r="A3918">
            <v>6214</v>
          </cell>
          <cell r="B3918" t="str">
            <v xml:space="preserve">TACO DE MADEIRA PARA PISO, IPE (CERNE) OU EQUIVALENTE DA REGIAO, 7 X 42 CM, E = 2 CM                                                                                                                                                                                                                                                                                                                                                                                                                      </v>
          </cell>
          <cell r="C3918" t="str">
            <v xml:space="preserve">M2    </v>
          </cell>
          <cell r="D3918" t="str">
            <v>CR</v>
          </cell>
          <cell r="E3918" t="str">
            <v>188,63</v>
          </cell>
        </row>
        <row r="3919">
          <cell r="A3919">
            <v>36153</v>
          </cell>
          <cell r="B3919" t="str">
            <v xml:space="preserve">TALABARTE DE SEGURANCA, 2 MOSQUETOES TRAVA DUPLA *53* MM DE ABERTURA, COM ABSORVEDOR DE ENERGIA                                                                                                                                                                                                                                                                                                                                                                                                           </v>
          </cell>
          <cell r="C3919" t="str">
            <v xml:space="preserve">UN    </v>
          </cell>
          <cell r="D3919" t="str">
            <v>CR</v>
          </cell>
          <cell r="E3919" t="str">
            <v>200,62</v>
          </cell>
        </row>
        <row r="3920">
          <cell r="A3920">
            <v>10740</v>
          </cell>
          <cell r="B3920" t="str">
            <v xml:space="preserve">TALHA ELETRICA 3 T, VELOCIDADE  2,1 M / MIN, POTENCIA 1,3 KW                                                                                                                                                                                                                                                                                                                                                                                                                                              </v>
          </cell>
          <cell r="C3920" t="str">
            <v xml:space="preserve">UN    </v>
          </cell>
          <cell r="D3920" t="str">
            <v>CR</v>
          </cell>
          <cell r="E3920" t="str">
            <v>10.507,26</v>
          </cell>
        </row>
        <row r="3921">
          <cell r="A3921">
            <v>13914</v>
          </cell>
          <cell r="B3921" t="str">
            <v xml:space="preserve">TALHA MANUAL DE CORRENTE, CAPACIDADE DE 1 T COM ELEVACAO DE 3 M                                                                                                                                                                                                                                                                                                                                                                                                                                           </v>
          </cell>
          <cell r="C3921" t="str">
            <v xml:space="preserve">UN    </v>
          </cell>
          <cell r="D3921" t="str">
            <v>CR</v>
          </cell>
          <cell r="E3921" t="str">
            <v>760,24</v>
          </cell>
        </row>
        <row r="3922">
          <cell r="A3922">
            <v>10742</v>
          </cell>
          <cell r="B3922" t="str">
            <v xml:space="preserve">TALHA MANUAL DE CORRENTE, CAPACIDADE DE 2 T COM ELEVACAO DE 3 M                                                                                                                                                                                                                                                                                                                                                                                                                                           </v>
          </cell>
          <cell r="C3922" t="str">
            <v xml:space="preserve">UN    </v>
          </cell>
          <cell r="D3922" t="str">
            <v xml:space="preserve">C </v>
          </cell>
          <cell r="E3922" t="str">
            <v>1.108,82</v>
          </cell>
        </row>
        <row r="3923">
          <cell r="A3923">
            <v>38465</v>
          </cell>
          <cell r="B3923" t="str">
            <v xml:space="preserve">TALHADEIRA COM PUNHO DE PROTECAO *20 X 250* MM                                                                                                                                                                                                                                                                                                                                                                                                                                                            </v>
          </cell>
          <cell r="C3923" t="str">
            <v xml:space="preserve">UN    </v>
          </cell>
          <cell r="D3923" t="str">
            <v>CR</v>
          </cell>
          <cell r="E3923" t="str">
            <v>42,63</v>
          </cell>
        </row>
        <row r="3924">
          <cell r="A3924">
            <v>7543</v>
          </cell>
          <cell r="B3924" t="str">
            <v xml:space="preserve">TAMPA CEGA EM PVC PARA CONDULETE 4 X 2"                                                                                                                                                                                                                                                                                                                                                                                                                                                                   </v>
          </cell>
          <cell r="C3924" t="str">
            <v xml:space="preserve">UN    </v>
          </cell>
          <cell r="D3924" t="str">
            <v>CR</v>
          </cell>
          <cell r="E3924" t="str">
            <v>5,10</v>
          </cell>
        </row>
        <row r="3925">
          <cell r="A3925">
            <v>43427</v>
          </cell>
          <cell r="B3925" t="str">
            <v xml:space="preserve">TAMPA DE CONCRETO ARMADO PARA FOSSA SEPTICA, DIAMETRO NOMINAL DE 3,00 M E ESPESSURA MINIMA DE 100 MM                                                                                                                                                                                                                                                                                                                                                                                                      </v>
          </cell>
          <cell r="C3925" t="str">
            <v xml:space="preserve">UN    </v>
          </cell>
          <cell r="D3925" t="str">
            <v>CR</v>
          </cell>
          <cell r="E3925" t="str">
            <v>1.983,06</v>
          </cell>
        </row>
        <row r="3926">
          <cell r="A3926">
            <v>41613</v>
          </cell>
          <cell r="B3926" t="str">
            <v xml:space="preserve">TAMPA DE CONCRETO ARMADO PARA FOSSA, D = *0,90* M, E = 0,05 M                                                                                                                                                                                                                                                                                                                                                                                                                                             </v>
          </cell>
          <cell r="C3926" t="str">
            <v xml:space="preserve">UN    </v>
          </cell>
          <cell r="D3926" t="str">
            <v>CR</v>
          </cell>
          <cell r="E3926" t="str">
            <v>127,47</v>
          </cell>
        </row>
        <row r="3927">
          <cell r="A3927">
            <v>41614</v>
          </cell>
          <cell r="B3927" t="str">
            <v xml:space="preserve">TAMPA DE CONCRETO ARMADO PARA FOSSA, D = *1,10* M, E = 0,05 M                                                                                                                                                                                                                                                                                                                                                                                                                                             </v>
          </cell>
          <cell r="C3927" t="str">
            <v xml:space="preserve">UN    </v>
          </cell>
          <cell r="D3927" t="str">
            <v>CR</v>
          </cell>
          <cell r="E3927" t="str">
            <v>162,42</v>
          </cell>
        </row>
        <row r="3928">
          <cell r="A3928">
            <v>41615</v>
          </cell>
          <cell r="B3928" t="str">
            <v xml:space="preserve">TAMPA DE CONCRETO ARMADO PARA FOSSA, D = *1,35* M, E = 0,05 M                                                                                                                                                                                                                                                                                                                                                                                                                                             </v>
          </cell>
          <cell r="C3928" t="str">
            <v xml:space="preserve">UN    </v>
          </cell>
          <cell r="D3928" t="str">
            <v>CR</v>
          </cell>
          <cell r="E3928" t="str">
            <v>251,04</v>
          </cell>
        </row>
        <row r="3929">
          <cell r="A3929">
            <v>41616</v>
          </cell>
          <cell r="B3929" t="str">
            <v xml:space="preserve">TAMPA DE CONCRETO ARMADO PARA FOSSA, D = 1,50 M, E = 0,05 M                                                                                                                                                                                                                                                                                                                                                                                                                                               </v>
          </cell>
          <cell r="C3929" t="str">
            <v xml:space="preserve">UN    </v>
          </cell>
          <cell r="D3929" t="str">
            <v>CR</v>
          </cell>
          <cell r="E3929" t="str">
            <v>375,09</v>
          </cell>
        </row>
        <row r="3930">
          <cell r="A3930">
            <v>41617</v>
          </cell>
          <cell r="B3930" t="str">
            <v xml:space="preserve">TAMPA DE CONCRETO ARMADO PARA FOSSA, D = 2,00 M, E = 0,05 M                                                                                                                                                                                                                                                                                                                                                                                                                                               </v>
          </cell>
          <cell r="C3930" t="str">
            <v xml:space="preserve">UN    </v>
          </cell>
          <cell r="D3930" t="str">
            <v>CR</v>
          </cell>
          <cell r="E3930" t="str">
            <v>745,83</v>
          </cell>
        </row>
        <row r="3931">
          <cell r="A3931">
            <v>41618</v>
          </cell>
          <cell r="B3931" t="str">
            <v xml:space="preserve">TAMPA DE CONCRETO ARMADO PARA FOSSA, D = 2,50 M, E = 0,05 M                                                                                                                                                                                                                                                                                                                                                                                                                                               </v>
          </cell>
          <cell r="C3931" t="str">
            <v xml:space="preserve">UN    </v>
          </cell>
          <cell r="D3931" t="str">
            <v>CR</v>
          </cell>
          <cell r="E3931" t="str">
            <v>1.373,03</v>
          </cell>
        </row>
        <row r="3932">
          <cell r="A3932">
            <v>43428</v>
          </cell>
          <cell r="B3932" t="str">
            <v xml:space="preserve">TAMPA DE CONCRETO ARMADO PARA POCO DE INSPECAO, COM FURO E TAMPINHA, DIAMETRO NOMINAL DE 3,00 M E ESPESSURA MINIMA DE 100 MM                                                                                                                                                                                                                                                                                                                                                                              </v>
          </cell>
          <cell r="C3932" t="str">
            <v xml:space="preserve">UN    </v>
          </cell>
          <cell r="D3932" t="str">
            <v>CR</v>
          </cell>
          <cell r="E3932" t="str">
            <v>2.411,74</v>
          </cell>
        </row>
        <row r="3933">
          <cell r="A3933">
            <v>41619</v>
          </cell>
          <cell r="B3933" t="str">
            <v xml:space="preserve">TAMPA DE CONCRETO ARMADO PARA POCO, COM  FURO E TAMPINHA, D = *0,90* M, E = 0,05 M                                                                                                                                                                                                                                                                                                                                                                                                                        </v>
          </cell>
          <cell r="C3933" t="str">
            <v xml:space="preserve">UN    </v>
          </cell>
          <cell r="D3933" t="str">
            <v>CR</v>
          </cell>
          <cell r="E3933" t="str">
            <v>156,25</v>
          </cell>
        </row>
        <row r="3934">
          <cell r="A3934">
            <v>41620</v>
          </cell>
          <cell r="B3934" t="str">
            <v xml:space="preserve">TAMPA DE CONCRETO ARMADO PARA POCO, COM  FURO E TAMPINHA, D = *1,10* M, E = 0,05 M                                                                                                                                                                                                                                                                                                                                                                                                                        </v>
          </cell>
          <cell r="C3934" t="str">
            <v xml:space="preserve">UN    </v>
          </cell>
          <cell r="D3934" t="str">
            <v>CR</v>
          </cell>
          <cell r="E3934" t="str">
            <v>197,38</v>
          </cell>
        </row>
        <row r="3935">
          <cell r="A3935">
            <v>41622</v>
          </cell>
          <cell r="B3935" t="str">
            <v xml:space="preserve">TAMPA DE CONCRETO ARMADO PARA POCO, COM  FURO E TAMPINHA, D = *1,35* M, E = 0,05 M                                                                                                                                                                                                                                                                                                                                                                                                                        </v>
          </cell>
          <cell r="C3935" t="str">
            <v xml:space="preserve">UN    </v>
          </cell>
          <cell r="D3935" t="str">
            <v>CR</v>
          </cell>
          <cell r="E3935" t="str">
            <v>342,33</v>
          </cell>
        </row>
        <row r="3936">
          <cell r="A3936">
            <v>41623</v>
          </cell>
          <cell r="B3936" t="str">
            <v xml:space="preserve">TAMPA DE CONCRETO ARMADO PARA POCO, COM  FURO E TAMPINHA, D = 1,50 M, E = 0,05 M                                                                                                                                                                                                                                                                                                                                                                                                                          </v>
          </cell>
          <cell r="C3936" t="str">
            <v xml:space="preserve">UN    </v>
          </cell>
          <cell r="D3936" t="str">
            <v>CR</v>
          </cell>
          <cell r="E3936" t="str">
            <v>526,34</v>
          </cell>
        </row>
        <row r="3937">
          <cell r="A3937">
            <v>41624</v>
          </cell>
          <cell r="B3937" t="str">
            <v xml:space="preserve">TAMPA DE CONCRETO ARMADO PARA POCO, COM  FURO E TAMPINHA, D = 2,00 M, E = 0,05 M                                                                                                                                                                                                                                                                                                                                                                                                                          </v>
          </cell>
          <cell r="C3937" t="str">
            <v xml:space="preserve">UN    </v>
          </cell>
          <cell r="D3937" t="str">
            <v>CR</v>
          </cell>
          <cell r="E3937" t="str">
            <v>986,90</v>
          </cell>
        </row>
        <row r="3938">
          <cell r="A3938">
            <v>41625</v>
          </cell>
          <cell r="B3938" t="str">
            <v xml:space="preserve">TAMPA DE CONCRETO ARMADO PARA POCO, COM  FURO E TAMPINHA, D = 2,50 M, E = 0,05 M                                                                                                                                                                                                                                                                                                                                                                                                                          </v>
          </cell>
          <cell r="C3938" t="str">
            <v xml:space="preserve">UN    </v>
          </cell>
          <cell r="D3938" t="str">
            <v>CR</v>
          </cell>
          <cell r="E3938" t="str">
            <v>1.518,39</v>
          </cell>
        </row>
        <row r="3939">
          <cell r="A3939">
            <v>39352</v>
          </cell>
          <cell r="B3939" t="str">
            <v xml:space="preserve">TAMPA PARA CONDULETE, EM PVC, PARA TOMADA HEXAGONAL                                                                                                                                                                                                                                                                                                                                                                                                                                                       </v>
          </cell>
          <cell r="C3939" t="str">
            <v xml:space="preserve">UN    </v>
          </cell>
          <cell r="D3939" t="str">
            <v>CR</v>
          </cell>
          <cell r="E3939" t="str">
            <v>3,15</v>
          </cell>
        </row>
        <row r="3940">
          <cell r="A3940">
            <v>39346</v>
          </cell>
          <cell r="B3940" t="str">
            <v xml:space="preserve">TAMPA PARA CONDULETE, EM PVC, PARA 1 INTERRUPTOR                                                                                                                                                                                                                                                                                                                                                                                                                                                          </v>
          </cell>
          <cell r="C3940" t="str">
            <v xml:space="preserve">UN    </v>
          </cell>
          <cell r="D3940" t="str">
            <v>CR</v>
          </cell>
          <cell r="E3940" t="str">
            <v>3,15</v>
          </cell>
        </row>
        <row r="3941">
          <cell r="A3941">
            <v>39350</v>
          </cell>
          <cell r="B3941" t="str">
            <v xml:space="preserve">TAMPA PARA CONDULETE, EM PVC, PARA 1 MODULO RJ                                                                                                                                                                                                                                                                                                                                                                                                                                                            </v>
          </cell>
          <cell r="C3941" t="str">
            <v xml:space="preserve">UN    </v>
          </cell>
          <cell r="D3941" t="str">
            <v>CR</v>
          </cell>
          <cell r="E3941" t="str">
            <v>3,39</v>
          </cell>
        </row>
        <row r="3942">
          <cell r="A3942">
            <v>39351</v>
          </cell>
          <cell r="B3942" t="str">
            <v xml:space="preserve">TAMPA PARA CONDULETE, EM PVC, PARA 2 MODULOS RJ                                                                                                                                                                                                                                                                                                                                                                                                                                                           </v>
          </cell>
          <cell r="C3942" t="str">
            <v xml:space="preserve">UN    </v>
          </cell>
          <cell r="D3942" t="str">
            <v>CR</v>
          </cell>
          <cell r="E3942" t="str">
            <v>3,92</v>
          </cell>
        </row>
        <row r="3943">
          <cell r="A3943">
            <v>38837</v>
          </cell>
          <cell r="B3943" t="str">
            <v xml:space="preserve">TAMPAO / CAP, ROSCA MACHO, DN 1", PARA TUBO PEX PARA INST. AGUA QUENTE/FRIA                                                                                                                                                                                                                                                                                                                                                                                                                               </v>
          </cell>
          <cell r="C3943" t="str">
            <v xml:space="preserve">UN    </v>
          </cell>
          <cell r="D3943" t="str">
            <v>CR</v>
          </cell>
          <cell r="E3943" t="str">
            <v>7,53</v>
          </cell>
        </row>
        <row r="3944">
          <cell r="A3944">
            <v>38836</v>
          </cell>
          <cell r="B3944" t="str">
            <v xml:space="preserve">TAMPAO / CAP, ROSCA MACHO, DN 3/4", PARA TUBO PEX PARA INST. AGUA QUENTE/FRIA                                                                                                                                                                                                                                                                                                                                                                                                                             </v>
          </cell>
          <cell r="C3944" t="str">
            <v xml:space="preserve">UN    </v>
          </cell>
          <cell r="D3944" t="str">
            <v>CR</v>
          </cell>
          <cell r="E3944" t="str">
            <v>5,26</v>
          </cell>
        </row>
        <row r="3945">
          <cell r="A3945">
            <v>2666</v>
          </cell>
          <cell r="B3945" t="str">
            <v xml:space="preserve">TAMPAO / TERMINAL / PLUG, D = 1 1/4" , PARA DUTO CORRUGADO PEAD (CABEAMENTO SUBTERRANEO)                                                                                                                                                                                                                                                                                                                                                                                                                  </v>
          </cell>
          <cell r="C3945" t="str">
            <v xml:space="preserve">UN    </v>
          </cell>
          <cell r="D3945" t="str">
            <v>CR</v>
          </cell>
          <cell r="E3945" t="str">
            <v>7,68</v>
          </cell>
        </row>
        <row r="3946">
          <cell r="A3946">
            <v>2668</v>
          </cell>
          <cell r="B3946" t="str">
            <v xml:space="preserve">TAMPAO / TERMINAL / PLUG, D = 2" , PARA DUTO CORRUGADO PEAD (CABEAMENTO SUBTERRANEO)                                                                                                                                                                                                                                                                                                                                                                                                                      </v>
          </cell>
          <cell r="C3946" t="str">
            <v xml:space="preserve">UN    </v>
          </cell>
          <cell r="D3946" t="str">
            <v>CR</v>
          </cell>
          <cell r="E3946" t="str">
            <v>8,77</v>
          </cell>
        </row>
        <row r="3947">
          <cell r="A3947">
            <v>2664</v>
          </cell>
          <cell r="B3947" t="str">
            <v xml:space="preserve">TAMPAO / TERMINAL / PLUG, D = 3" , PARA DUTO CORRUGADO PEAD (CABEAMENTO SUBTERRANEO)                                                                                                                                                                                                                                                                                                                                                                                                                      </v>
          </cell>
          <cell r="C3947" t="str">
            <v xml:space="preserve">UN    </v>
          </cell>
          <cell r="D3947" t="str">
            <v>CR</v>
          </cell>
          <cell r="E3947" t="str">
            <v>12,93</v>
          </cell>
        </row>
        <row r="3948">
          <cell r="A3948">
            <v>2662</v>
          </cell>
          <cell r="B3948" t="str">
            <v xml:space="preserve">TAMPAO / TERMINAL / PLUG, D = 4" , PARA DUTO CORRUGADO PEAD (CABEAMENTO SUBTERRANEO)                                                                                                                                                                                                                                                                                                                                                                                                                      </v>
          </cell>
          <cell r="C3948" t="str">
            <v xml:space="preserve">UN    </v>
          </cell>
          <cell r="D3948" t="str">
            <v>CR</v>
          </cell>
          <cell r="E3948" t="str">
            <v>15,87</v>
          </cell>
        </row>
        <row r="3949">
          <cell r="A3949">
            <v>20964</v>
          </cell>
          <cell r="B3949" t="str">
            <v xml:space="preserve">TAMPAO COM CORRENTE, EM LATAO, ENGATE RAPIDO 1 1/2", PARA INSTALACAO PREDIAL DE COMBATE A INCENDIO                                                                                                                                                                                                                                                                                                                                                                                                        </v>
          </cell>
          <cell r="C3949" t="str">
            <v xml:space="preserve">UN    </v>
          </cell>
          <cell r="D3949" t="str">
            <v>CR</v>
          </cell>
          <cell r="E3949" t="str">
            <v>117,14</v>
          </cell>
        </row>
        <row r="3950">
          <cell r="A3950">
            <v>10905</v>
          </cell>
          <cell r="B3950" t="str">
            <v xml:space="preserve">TAMPAO COM CORRENTE, EM LATAO, ENGATE RAPIDO 2 1/2", PARA INSTALACAO PREDIAL DE COMBATE A INCENDIO                                                                                                                                                                                                                                                                                                                                                                                                        </v>
          </cell>
          <cell r="C3950" t="str">
            <v xml:space="preserve">UN    </v>
          </cell>
          <cell r="D3950" t="str">
            <v>CR</v>
          </cell>
          <cell r="E3950" t="str">
            <v>157,14</v>
          </cell>
        </row>
        <row r="3951">
          <cell r="A3951">
            <v>11289</v>
          </cell>
          <cell r="B3951" t="str">
            <v xml:space="preserve">TAMPAO FOFO ARTICULADO P/ REGISTRO, COM BASE / REQUADRO, CLASSE A15 CARGA MAX 1,5 T, *200 X 200* MM (COM INSCRICAO EM RELEVO DO TIPO DE REDE)                                                                                                                                                                                                                                                                                                                                                             </v>
          </cell>
          <cell r="C3951" t="str">
            <v xml:space="preserve">UN    </v>
          </cell>
          <cell r="D3951" t="str">
            <v>CR</v>
          </cell>
          <cell r="E3951" t="str">
            <v>101,58</v>
          </cell>
        </row>
        <row r="3952">
          <cell r="A3952">
            <v>11241</v>
          </cell>
          <cell r="B3952" t="str">
            <v xml:space="preserve">TAMPAO FOFO ARTICULADO P/ REGISTRO, COM BASE / REQUADRO, CLASSE A15 CARGA MAXIMA 1,5 T, *400 X 400* MM (COM INSCRICAO EM RELEVO DO TIPO DE REDE)                                                                                                                                                                                                                                                                                                                                                          </v>
          </cell>
          <cell r="C3952" t="str">
            <v xml:space="preserve">UN    </v>
          </cell>
          <cell r="D3952" t="str">
            <v>CR</v>
          </cell>
          <cell r="E3952" t="str">
            <v>253,95</v>
          </cell>
        </row>
        <row r="3953">
          <cell r="A3953">
            <v>11301</v>
          </cell>
          <cell r="B3953" t="str">
            <v xml:space="preserve">TAMPAO FOFO ARTICULADO, COM BASE / REQUADRO, CLASSE B125 CARGA MAX 12,5 T, REDONDO, TAMPA 600 MM (COM INSCRICAO EM RELEVO DO TIPO DE REDE)                                                                                                                                                                                                                                                                                                                                                                </v>
          </cell>
          <cell r="C3953" t="str">
            <v xml:space="preserve">UN    </v>
          </cell>
          <cell r="D3953" t="str">
            <v>CR</v>
          </cell>
          <cell r="E3953" t="str">
            <v>643,95</v>
          </cell>
        </row>
        <row r="3954">
          <cell r="A3954">
            <v>21090</v>
          </cell>
          <cell r="B3954" t="str">
            <v xml:space="preserve">TAMPAO FOFO ARTICULADO, COM BASE / REQUADRO, CLASSE D400 CARGA MAX 40 T, REDONDO, TAMPA 600 MM (COM INSCRICAO EM RELEVO DO TIPO DE REDE)                                                                                                                                                                                                                                                                                                                                                                  </v>
          </cell>
          <cell r="C3954" t="str">
            <v xml:space="preserve">UN    </v>
          </cell>
          <cell r="D3954" t="str">
            <v>CR</v>
          </cell>
          <cell r="E3954" t="str">
            <v>789,06</v>
          </cell>
        </row>
        <row r="3955">
          <cell r="A3955">
            <v>11315</v>
          </cell>
          <cell r="B3955" t="str">
            <v xml:space="preserve">TAMPAO FOFO SIMPLES COM BASE / REQUADRO, CLASSE A15 CARGA MAX. 1,5 T, 300 X 300 MM (COM INSCRICAO EM RELEVO DO TIPO DE REDE)                                                                                                                                                                                                                                                                                                                                                                              </v>
          </cell>
          <cell r="C3955" t="str">
            <v xml:space="preserve">UN    </v>
          </cell>
          <cell r="D3955" t="str">
            <v>CR</v>
          </cell>
          <cell r="E3955" t="str">
            <v>154,18</v>
          </cell>
        </row>
        <row r="3956">
          <cell r="A3956">
            <v>21071</v>
          </cell>
          <cell r="B3956" t="str">
            <v xml:space="preserve">TAMPAO FOFO SIMPLES COM BASE / REQUADRO, CLASSE A15 CARGA MAX. 1,5 T, 400 X 400 MM (COM INSCRICAO EM RELEVO DO TIPO DE REDE)                                                                                                                                                                                                                                                                                                                                                                              </v>
          </cell>
          <cell r="C3956" t="str">
            <v xml:space="preserve">UN    </v>
          </cell>
          <cell r="D3956" t="str">
            <v>CR</v>
          </cell>
          <cell r="E3956" t="str">
            <v>235,81</v>
          </cell>
        </row>
        <row r="3957">
          <cell r="A3957">
            <v>14112</v>
          </cell>
          <cell r="B3957" t="str">
            <v xml:space="preserve">TAMPAO FOFO SIMPLES COM BASE / REQUADRO, CLASSE A15 CARGA MAX. 1,5 T, 400 X 600 MM (COM INSCRICAO EM RELEVO DO TIPO DE REDE)                                                                                                                                                                                                                                                                                                                                                                              </v>
          </cell>
          <cell r="C3957" t="str">
            <v xml:space="preserve">UN    </v>
          </cell>
          <cell r="D3957" t="str">
            <v>CR</v>
          </cell>
          <cell r="E3957" t="str">
            <v>329,23</v>
          </cell>
        </row>
        <row r="3958">
          <cell r="A3958">
            <v>11316</v>
          </cell>
          <cell r="B3958" t="str">
            <v xml:space="preserve">TAMPAO FOFO SIMPLES COM BASE / REQUADRO, CLASSE B125 CARGA MAX. 12,5 T, REDONDO, TAMPA 500 MM (COM INSCRICAO EM RELEVO DO TIPO DE REDE)                                                                                                                                                                                                                                                                                                                                                                   </v>
          </cell>
          <cell r="C3958" t="str">
            <v xml:space="preserve">UN    </v>
          </cell>
          <cell r="D3958" t="str">
            <v>CR</v>
          </cell>
          <cell r="E3958" t="str">
            <v>507,90</v>
          </cell>
        </row>
        <row r="3959">
          <cell r="A3959">
            <v>6243</v>
          </cell>
          <cell r="B3959" t="str">
            <v xml:space="preserve">TAMPAO FOFO SIMPLES COM BASE / REQUADRO, CLASSE B125 CARGA MAX. 12,5 T, REDONDO, TAMPA 600 MM (COM INSCRICAO EM RELEVO DO TIPO DE REDE)                                                                                                                                                                                                                                                                                                                                                                   </v>
          </cell>
          <cell r="C3959" t="str">
            <v xml:space="preserve">UN    </v>
          </cell>
          <cell r="D3959" t="str">
            <v xml:space="preserve">C </v>
          </cell>
          <cell r="E3959" t="str">
            <v>585,00</v>
          </cell>
        </row>
        <row r="3960">
          <cell r="A3960">
            <v>6240</v>
          </cell>
          <cell r="B3960" t="str">
            <v xml:space="preserve">TAMPAO FOFO SIMPLES COM BASE / REQUADRO, CLASSE D400 CARGA MAX. 40 T, REDONDO, TAMPA 600 MM (COM INSCRICAO EM RELEVO DO TIPO DE REDE)                                                                                                                                                                                                                                                                                                                                                                     </v>
          </cell>
          <cell r="C3960" t="str">
            <v xml:space="preserve">UN    </v>
          </cell>
          <cell r="D3960" t="str">
            <v>CR</v>
          </cell>
          <cell r="E3960" t="str">
            <v>774,55</v>
          </cell>
        </row>
        <row r="3961">
          <cell r="A3961">
            <v>11296</v>
          </cell>
          <cell r="B3961" t="str">
            <v xml:space="preserve">TAMPAO FOFO SIMPLES COM BASE / REQUADRO, CLASSE D400 CARGA MAX. 40 T, REDONDO, TAMPA 900 MM (COM INSCRICAO EM RELEVO DO TIPO DE REDE)                                                                                                                                                                                                                                                                                                                                                                     </v>
          </cell>
          <cell r="C3961" t="str">
            <v xml:space="preserve">UN    </v>
          </cell>
          <cell r="D3961" t="str">
            <v>CR</v>
          </cell>
          <cell r="E3961" t="str">
            <v>2.467,88</v>
          </cell>
        </row>
        <row r="3962">
          <cell r="A3962">
            <v>11299</v>
          </cell>
          <cell r="B3962" t="str">
            <v xml:space="preserve">TAMPAO FOFO SIMPLES COM BASE / REQUADRO, R-2, CLASSE A15 CARGA MAX. 1,5 T, 550 X 1100 MM (COM INSCRICAO EM RELEVO DO TIPO DE REDE)                                                                                                                                                                                                                                                                                                                                                                        </v>
          </cell>
          <cell r="C3962" t="str">
            <v xml:space="preserve">UN    </v>
          </cell>
          <cell r="D3962" t="str">
            <v>CR</v>
          </cell>
          <cell r="E3962" t="str">
            <v>835,32</v>
          </cell>
        </row>
        <row r="3963">
          <cell r="A3963">
            <v>11688</v>
          </cell>
          <cell r="B3963" t="str">
            <v xml:space="preserve">TANQUE ACO INOXIDAVEL (ACO 304) COM ESFREGADOR E VALVULA, DE *50 X 40 X 22* CM                                                                                                                                                                                                                                                                                                                                                                                                                            </v>
          </cell>
          <cell r="C3963" t="str">
            <v xml:space="preserve">UN    </v>
          </cell>
          <cell r="D3963" t="str">
            <v>CR</v>
          </cell>
          <cell r="E3963" t="str">
            <v>428,41</v>
          </cell>
        </row>
        <row r="3964">
          <cell r="A3964">
            <v>37736</v>
          </cell>
          <cell r="B3964" t="str">
            <v xml:space="preserve">TANQUE DE ACO CARBONO NAO REVESTIDO, PARA TRANSPORTE DE AGUA COM CAPACIDADE DE 10 M3, COM BOMBA CENTRIFUGA POR TOMADA DE FORCA, VAZAO MAXIMA *75* M3/H (INCLUI MONTAGEM, NAO INCLUI CAMINHAO)                                                                                                                                                                                                                                                                                                             </v>
          </cell>
          <cell r="C3964" t="str">
            <v xml:space="preserve">UN    </v>
          </cell>
          <cell r="D3964" t="str">
            <v xml:space="preserve">C </v>
          </cell>
          <cell r="E3964" t="str">
            <v>83.450,00</v>
          </cell>
        </row>
        <row r="3965">
          <cell r="A3965">
            <v>37739</v>
          </cell>
          <cell r="B3965" t="str">
            <v xml:space="preserve">TANQUE DE ACO PARA TRANSPORTE DE AGUA COM CAPACIDADE DE 14 M3 (INCLUI MONTAGEM, NAO INCLUI CAMINHAO)                                                                                                                                                                                                                                                                                                                                                                                                      </v>
          </cell>
          <cell r="C3965" t="str">
            <v xml:space="preserve">UN    </v>
          </cell>
          <cell r="D3965" t="str">
            <v>CR</v>
          </cell>
          <cell r="E3965" t="str">
            <v>102.707,68</v>
          </cell>
        </row>
        <row r="3966">
          <cell r="A3966">
            <v>37740</v>
          </cell>
          <cell r="B3966" t="str">
            <v xml:space="preserve">TANQUE DE ACO PARA TRANSPORTE DE AGUA COM CAPACIDADE DE 4 M3 (INCLUI MONTAGEM, NAO INCLUI CAMINHAO)                                                                                                                                                                                                                                                                                                                                                                                                       </v>
          </cell>
          <cell r="C3966" t="str">
            <v xml:space="preserve">UN    </v>
          </cell>
          <cell r="D3966" t="str">
            <v>CR</v>
          </cell>
          <cell r="E3966" t="str">
            <v>58.610,36</v>
          </cell>
        </row>
        <row r="3967">
          <cell r="A3967">
            <v>37738</v>
          </cell>
          <cell r="B3967" t="str">
            <v xml:space="preserve">TANQUE DE ACO PARA TRANSPORTE DE AGUA COM CAPACIDADE DE 6 M3 (INCLUI MONTAGEM, NAO INCLUI CAMINHAO)                                                                                                                                                                                                                                                                                                                                                                                                       </v>
          </cell>
          <cell r="C3967" t="str">
            <v xml:space="preserve">UN    </v>
          </cell>
          <cell r="D3967" t="str">
            <v>CR</v>
          </cell>
          <cell r="E3967" t="str">
            <v>69.634,70</v>
          </cell>
        </row>
        <row r="3968">
          <cell r="A3968">
            <v>37737</v>
          </cell>
          <cell r="B3968" t="str">
            <v xml:space="preserve">TANQUE DE ACO PARA TRANSPORTE DE AGUA COM CAPACIDADE DE 8 M3 (INCLUI MONTAGEM, NAO INCLUI CAMINHAO)                                                                                                                                                                                                                                                                                                                                                                                                       </v>
          </cell>
          <cell r="C3968" t="str">
            <v xml:space="preserve">UN    </v>
          </cell>
          <cell r="D3968" t="str">
            <v>CR</v>
          </cell>
          <cell r="E3968" t="str">
            <v>55.400,75</v>
          </cell>
        </row>
        <row r="3969">
          <cell r="A3969">
            <v>25014</v>
          </cell>
          <cell r="B3969" t="str">
            <v xml:space="preserve">TANQUE DE ASFALTO ESTACIONARIO COM MACARICO, CAPACIDADE 20.000 L                                                                                                                                                                                                                                                                                                                                                                                                                                          </v>
          </cell>
          <cell r="C3969" t="str">
            <v xml:space="preserve">UN    </v>
          </cell>
          <cell r="D3969" t="str">
            <v>CR</v>
          </cell>
          <cell r="E3969" t="str">
            <v>116.034,57</v>
          </cell>
        </row>
        <row r="3970">
          <cell r="A3970">
            <v>25013</v>
          </cell>
          <cell r="B3970" t="str">
            <v xml:space="preserve">TANQUE DE ASFALTO ESTACIONARIO COM SERPENTINA, CAPACIDADE 20.000 L                                                                                                                                                                                                                                                                                                                                                                                                                                        </v>
          </cell>
          <cell r="C3970" t="str">
            <v xml:space="preserve">UN    </v>
          </cell>
          <cell r="D3970" t="str">
            <v>CR</v>
          </cell>
          <cell r="E3970" t="str">
            <v>121.616,51</v>
          </cell>
        </row>
        <row r="3971">
          <cell r="A3971">
            <v>14405</v>
          </cell>
          <cell r="B3971" t="str">
            <v xml:space="preserve">TANQUE DE ASFALTO ESTACIONARIO COM SERPENTINA, CAPACIDADE 30.000 L                                                                                                                                                                                                                                                                                                                                                                                                                                        </v>
          </cell>
          <cell r="C3971" t="str">
            <v xml:space="preserve">UN    </v>
          </cell>
          <cell r="D3971" t="str">
            <v>CR</v>
          </cell>
          <cell r="E3971" t="str">
            <v>142.758,10</v>
          </cell>
        </row>
        <row r="3972">
          <cell r="A3972">
            <v>20271</v>
          </cell>
          <cell r="B3972" t="str">
            <v xml:space="preserve">TANQUE DE LOUCA BRANCA, COM COLUNA, *30* L                                                                                                                                                                                                                                                                                                                                                                                                                                                                </v>
          </cell>
          <cell r="C3972" t="str">
            <v xml:space="preserve">UN    </v>
          </cell>
          <cell r="D3972" t="str">
            <v>CR</v>
          </cell>
          <cell r="E3972" t="str">
            <v>515,49</v>
          </cell>
        </row>
        <row r="3973">
          <cell r="A3973">
            <v>10423</v>
          </cell>
          <cell r="B3973" t="str">
            <v xml:space="preserve">TANQUE DE LOUCA BRANCA, SUSPENSO, *20* L                                                                                                                                                                                                                                                                                                                                                                                                                                                                  </v>
          </cell>
          <cell r="C3973" t="str">
            <v xml:space="preserve">UN    </v>
          </cell>
          <cell r="D3973" t="str">
            <v>CR</v>
          </cell>
          <cell r="E3973" t="str">
            <v>378,48</v>
          </cell>
        </row>
        <row r="3974">
          <cell r="A3974">
            <v>36790</v>
          </cell>
          <cell r="B3974" t="str">
            <v xml:space="preserve">TANQUE DUPLO EM MARMORE SINTETICO COM CUBA LISA E ESFREGADOR, *110 X 60* CM                                                                                                                                                                                                                                                                                                                                                                                                                               </v>
          </cell>
          <cell r="C3974" t="str">
            <v xml:space="preserve">UN    </v>
          </cell>
          <cell r="D3974" t="str">
            <v>CR</v>
          </cell>
          <cell r="E3974" t="str">
            <v>328,31</v>
          </cell>
        </row>
        <row r="3975">
          <cell r="A3975">
            <v>37589</v>
          </cell>
          <cell r="B3975" t="str">
            <v xml:space="preserve">TANQUE SIMPLES EM MARMORE SINTETICO COM COLUNA, CAPACIDADE *22* L, *60 X 46* CM                                                                                                                                                                                                                                                                                                                                                                                                                           </v>
          </cell>
          <cell r="C3975" t="str">
            <v xml:space="preserve">UN    </v>
          </cell>
          <cell r="D3975" t="str">
            <v>CR</v>
          </cell>
          <cell r="E3975" t="str">
            <v>402,27</v>
          </cell>
        </row>
        <row r="3976">
          <cell r="A3976">
            <v>11690</v>
          </cell>
          <cell r="B3976" t="str">
            <v xml:space="preserve">TANQUE SIMPLES EM MARMORE SINTETICO DE FIXAR NA PAREDE, CAPACIDADE *22* L, *60 X 46* CM                                                                                                                                                                                                                                                                                                                                                                                                                   </v>
          </cell>
          <cell r="C3976" t="str">
            <v xml:space="preserve">UN    </v>
          </cell>
          <cell r="D3976" t="str">
            <v>CR</v>
          </cell>
          <cell r="E3976" t="str">
            <v>213,69</v>
          </cell>
        </row>
        <row r="3977">
          <cell r="A3977">
            <v>20234</v>
          </cell>
          <cell r="B3977" t="str">
            <v xml:space="preserve">TANQUE SIMPLES EM MARMORE SINTETICO SUSPENSO, CAPACIDADE *38* L, *60 X 60* CM                                                                                                                                                                                                                                                                                                                                                                                                                             </v>
          </cell>
          <cell r="C3977" t="str">
            <v xml:space="preserve">UN    </v>
          </cell>
          <cell r="D3977" t="str">
            <v>CR</v>
          </cell>
          <cell r="E3977" t="str">
            <v>270,44</v>
          </cell>
        </row>
        <row r="3978">
          <cell r="A3978">
            <v>44480</v>
          </cell>
          <cell r="B3978" t="str">
            <v xml:space="preserve">TARIFA "A" ENTRE  0 E 20M3 FORNECIMENTO  D'AGUA                                                                                                                                                                                                                                                                                                                                                                                                                                                           </v>
          </cell>
          <cell r="C3978" t="str">
            <v xml:space="preserve">M3    </v>
          </cell>
          <cell r="D3978" t="str">
            <v>CR</v>
          </cell>
          <cell r="E3978" t="str">
            <v>14,38</v>
          </cell>
        </row>
        <row r="3979">
          <cell r="A3979">
            <v>11457</v>
          </cell>
          <cell r="B3979" t="str">
            <v xml:space="preserve">TARJETA LIVRE / OCUPADO PARA PORTA DE BANHEIRO, CORPO EM ZAMAC E ESPELHO EM LATAO                                                                                                                                                                                                                                                                                                                                                                                                                         </v>
          </cell>
          <cell r="C3979" t="str">
            <v xml:space="preserve">UN    </v>
          </cell>
          <cell r="D3979" t="str">
            <v>CR</v>
          </cell>
          <cell r="E3979" t="str">
            <v>41,67</v>
          </cell>
        </row>
        <row r="3980">
          <cell r="A3980">
            <v>44073</v>
          </cell>
          <cell r="B3980" t="str">
            <v xml:space="preserve">TARUGO DELIMITADOR DE PROFUNDIDADE EM ESPUMA DE POLIETILENO DE BAIXA DENSIDADE 10 MM, CINZA                                                                                                                                                                                                                                                                                                                                                                                                               </v>
          </cell>
          <cell r="C3980" t="str">
            <v xml:space="preserve">M     </v>
          </cell>
          <cell r="D3980" t="str">
            <v>CR</v>
          </cell>
          <cell r="E3980" t="str">
            <v>0,69</v>
          </cell>
        </row>
        <row r="3981">
          <cell r="A3981">
            <v>44253</v>
          </cell>
          <cell r="B3981" t="str">
            <v xml:space="preserve">TE CPVC, SOLDAVEL, 90 GRAUS, 114 MM, PARA AGUA QUENTE PREDIAL                                                                                                                                                                                                                                                                                                                                                                                                                                             </v>
          </cell>
          <cell r="C3981" t="str">
            <v xml:space="preserve">UN    </v>
          </cell>
          <cell r="D3981" t="str">
            <v>CR</v>
          </cell>
          <cell r="E3981" t="str">
            <v>222,44</v>
          </cell>
        </row>
        <row r="3982">
          <cell r="A3982">
            <v>21121</v>
          </cell>
          <cell r="B3982" t="str">
            <v xml:space="preserve">TE CPVC, SOLDAVEL, 90 GRAUS, 15 MM, PARA AGUA QUENTE PREDIAL                                                                                                                                                                                                                                                                                                                                                                                                                                              </v>
          </cell>
          <cell r="C3982" t="str">
            <v xml:space="preserve">UN    </v>
          </cell>
          <cell r="D3982" t="str">
            <v>CR</v>
          </cell>
          <cell r="E3982" t="str">
            <v>3,19</v>
          </cell>
        </row>
        <row r="3983">
          <cell r="A3983">
            <v>38010</v>
          </cell>
          <cell r="B3983" t="str">
            <v xml:space="preserve">TE CPVC, SOLDAVEL, 90 GRAUS, 22 MM, PARA AGUA QUENTE PREDIAL                                                                                                                                                                                                                                                                                                                                                                                                                                              </v>
          </cell>
          <cell r="C3983" t="str">
            <v xml:space="preserve">UN    </v>
          </cell>
          <cell r="D3983" t="str">
            <v>CR</v>
          </cell>
          <cell r="E3983" t="str">
            <v>3,97</v>
          </cell>
        </row>
        <row r="3984">
          <cell r="A3984">
            <v>38011</v>
          </cell>
          <cell r="B3984" t="str">
            <v xml:space="preserve">TE CPVC, SOLDAVEL, 90 GRAUS, 28 MM, PARA AGUA QUENTE PREDIAL                                                                                                                                                                                                                                                                                                                                                                                                                                              </v>
          </cell>
          <cell r="C3984" t="str">
            <v xml:space="preserve">UN    </v>
          </cell>
          <cell r="D3984" t="str">
            <v>CR</v>
          </cell>
          <cell r="E3984" t="str">
            <v>7,96</v>
          </cell>
        </row>
        <row r="3985">
          <cell r="A3985">
            <v>38012</v>
          </cell>
          <cell r="B3985" t="str">
            <v xml:space="preserve">TE CPVC, SOLDAVEL, 90 GRAUS, 35 MM, PARA AGUA QUENTE PREDIAL                                                                                                                                                                                                                                                                                                                                                                                                                                              </v>
          </cell>
          <cell r="C3985" t="str">
            <v xml:space="preserve">UN    </v>
          </cell>
          <cell r="D3985" t="str">
            <v>CR</v>
          </cell>
          <cell r="E3985" t="str">
            <v>30,36</v>
          </cell>
        </row>
        <row r="3986">
          <cell r="A3986">
            <v>38013</v>
          </cell>
          <cell r="B3986" t="str">
            <v xml:space="preserve">TE CPVC, SOLDAVEL, 90 GRAUS, 42 MM, PARA AGUA QUENTE PREDIAL                                                                                                                                                                                                                                                                                                                                                                                                                                              </v>
          </cell>
          <cell r="C3986" t="str">
            <v xml:space="preserve">UN    </v>
          </cell>
          <cell r="D3986" t="str">
            <v>CR</v>
          </cell>
          <cell r="E3986" t="str">
            <v>39,01</v>
          </cell>
        </row>
        <row r="3987">
          <cell r="A3987">
            <v>38014</v>
          </cell>
          <cell r="B3987" t="str">
            <v xml:space="preserve">TE CPVC, SOLDAVEL, 90 GRAUS, 54 MM, PARA AGUA QUENTE PREDIAL                                                                                                                                                                                                                                                                                                                                                                                                                                              </v>
          </cell>
          <cell r="C3987" t="str">
            <v xml:space="preserve">UN    </v>
          </cell>
          <cell r="D3987" t="str">
            <v>CR</v>
          </cell>
          <cell r="E3987" t="str">
            <v>65,14</v>
          </cell>
        </row>
        <row r="3988">
          <cell r="A3988">
            <v>38015</v>
          </cell>
          <cell r="B3988" t="str">
            <v xml:space="preserve">TE CPVC, SOLDAVEL, 90 GRAUS, 73 MM, PARA AGUA QUENTE PREDIAL                                                                                                                                                                                                                                                                                                                                                                                                                                              </v>
          </cell>
          <cell r="C3988" t="str">
            <v xml:space="preserve">UN    </v>
          </cell>
          <cell r="D3988" t="str">
            <v>CR</v>
          </cell>
          <cell r="E3988" t="str">
            <v>153,15</v>
          </cell>
        </row>
        <row r="3989">
          <cell r="A3989">
            <v>38016</v>
          </cell>
          <cell r="B3989" t="str">
            <v xml:space="preserve">TE CPVC, SOLDAVEL, 90 GRAUS, 89 MM, PARA AGUA QUENTE PREDIAL                                                                                                                                                                                                                                                                                                                                                                                                                                              </v>
          </cell>
          <cell r="C3989" t="str">
            <v xml:space="preserve">UN    </v>
          </cell>
          <cell r="D3989" t="str">
            <v>CR</v>
          </cell>
          <cell r="E3989" t="str">
            <v>178,10</v>
          </cell>
        </row>
        <row r="3990">
          <cell r="A3990">
            <v>12741</v>
          </cell>
          <cell r="B3990" t="str">
            <v xml:space="preserve">TE DE COBRE (REF 611) SEM ANEL DE SOLDA, BOLSA X BOLSA X BOLSA, 104 MM                                                                                                                                                                                                                                                                                                                                                                                                                                    </v>
          </cell>
          <cell r="C3990" t="str">
            <v xml:space="preserve">UN    </v>
          </cell>
          <cell r="D3990" t="str">
            <v>CR</v>
          </cell>
          <cell r="E3990" t="str">
            <v>1.326,09</v>
          </cell>
        </row>
        <row r="3991">
          <cell r="A3991">
            <v>12733</v>
          </cell>
          <cell r="B3991" t="str">
            <v xml:space="preserve">TE DE COBRE (REF 611) SEM ANEL DE SOLDA, BOLSA X BOLSA X BOLSA, 15 MM                                                                                                                                                                                                                                                                                                                                                                                                                                     </v>
          </cell>
          <cell r="C3991" t="str">
            <v xml:space="preserve">UN    </v>
          </cell>
          <cell r="D3991" t="str">
            <v>CR</v>
          </cell>
          <cell r="E3991" t="str">
            <v>6,67</v>
          </cell>
        </row>
        <row r="3992">
          <cell r="A3992">
            <v>12734</v>
          </cell>
          <cell r="B3992" t="str">
            <v xml:space="preserve">TE DE COBRE (REF 611) SEM ANEL DE SOLDA, BOLSA X BOLSA X BOLSA, 22 MM                                                                                                                                                                                                                                                                                                                                                                                                                                     </v>
          </cell>
          <cell r="C3992" t="str">
            <v xml:space="preserve">UN    </v>
          </cell>
          <cell r="D3992" t="str">
            <v>CR</v>
          </cell>
          <cell r="E3992" t="str">
            <v>14,22</v>
          </cell>
        </row>
        <row r="3993">
          <cell r="A3993">
            <v>12735</v>
          </cell>
          <cell r="B3993" t="str">
            <v xml:space="preserve">TE DE COBRE (REF 611) SEM ANEL DE SOLDA, BOLSA X BOLSA X BOLSA, 28 MM                                                                                                                                                                                                                                                                                                                                                                                                                                     </v>
          </cell>
          <cell r="C3993" t="str">
            <v xml:space="preserve">UN    </v>
          </cell>
          <cell r="D3993" t="str">
            <v>CR</v>
          </cell>
          <cell r="E3993" t="str">
            <v>23,39</v>
          </cell>
        </row>
        <row r="3994">
          <cell r="A3994">
            <v>12736</v>
          </cell>
          <cell r="B3994" t="str">
            <v xml:space="preserve">TE DE COBRE (REF 611) SEM ANEL DE SOLDA, BOLSA X BOLSA X BOLSA, 35 MM                                                                                                                                                                                                                                                                                                                                                                                                                                     </v>
          </cell>
          <cell r="C3994" t="str">
            <v xml:space="preserve">UN    </v>
          </cell>
          <cell r="D3994" t="str">
            <v>CR</v>
          </cell>
          <cell r="E3994" t="str">
            <v>53,48</v>
          </cell>
        </row>
        <row r="3995">
          <cell r="A3995">
            <v>12737</v>
          </cell>
          <cell r="B3995" t="str">
            <v xml:space="preserve">TE DE COBRE (REF 611) SEM ANEL DE SOLDA, BOLSA X BOLSA X BOLSA, 42 MM                                                                                                                                                                                                                                                                                                                                                                                                                                     </v>
          </cell>
          <cell r="C3995" t="str">
            <v xml:space="preserve">UN    </v>
          </cell>
          <cell r="D3995" t="str">
            <v>CR</v>
          </cell>
          <cell r="E3995" t="str">
            <v>68,90</v>
          </cell>
        </row>
        <row r="3996">
          <cell r="A3996">
            <v>12738</v>
          </cell>
          <cell r="B3996" t="str">
            <v xml:space="preserve">TE DE COBRE (REF 611) SEM ANEL DE SOLDA, BOLSA X BOLSA X BOLSA, 54 MM                                                                                                                                                                                                                                                                                                                                                                                                                                     </v>
          </cell>
          <cell r="C3996" t="str">
            <v xml:space="preserve">UN    </v>
          </cell>
          <cell r="D3996" t="str">
            <v>CR</v>
          </cell>
          <cell r="E3996" t="str">
            <v>136,18</v>
          </cell>
        </row>
        <row r="3997">
          <cell r="A3997">
            <v>12739</v>
          </cell>
          <cell r="B3997" t="str">
            <v xml:space="preserve">TE DE COBRE (REF 611) SEM ANEL DE SOLDA, BOLSA X BOLSA X BOLSA, 66 MM                                                                                                                                                                                                                                                                                                                                                                                                                                     </v>
          </cell>
          <cell r="C3997" t="str">
            <v xml:space="preserve">UN    </v>
          </cell>
          <cell r="D3997" t="str">
            <v>CR</v>
          </cell>
          <cell r="E3997" t="str">
            <v>387,65</v>
          </cell>
        </row>
        <row r="3998">
          <cell r="A3998">
            <v>12740</v>
          </cell>
          <cell r="B3998" t="str">
            <v xml:space="preserve">TE DE COBRE (REF 611) SEM ANEL DE SOLDA, BOLSA X BOLSA X BOLSA, 79 MM                                                                                                                                                                                                                                                                                                                                                                                                                                     </v>
          </cell>
          <cell r="C3998" t="str">
            <v xml:space="preserve">UN    </v>
          </cell>
          <cell r="D3998" t="str">
            <v>CR</v>
          </cell>
          <cell r="E3998" t="str">
            <v>606,50</v>
          </cell>
        </row>
        <row r="3999">
          <cell r="A3999">
            <v>6297</v>
          </cell>
          <cell r="B3999" t="str">
            <v xml:space="preserve">TE DE FERRO GALVANIZADO, DE 1 1/2"                                                                                                                                                                                                                                                                                                                                                                                                                                                                        </v>
          </cell>
          <cell r="C3999" t="str">
            <v xml:space="preserve">UN    </v>
          </cell>
          <cell r="D3999" t="str">
            <v>CR</v>
          </cell>
          <cell r="E3999" t="str">
            <v>46,75</v>
          </cell>
        </row>
        <row r="4000">
          <cell r="A4000">
            <v>6296</v>
          </cell>
          <cell r="B4000" t="str">
            <v xml:space="preserve">TE DE FERRO GALVANIZADO, DE 1 1/4"                                                                                                                                                                                                                                                                                                                                                                                                                                                                        </v>
          </cell>
          <cell r="C4000" t="str">
            <v xml:space="preserve">UN    </v>
          </cell>
          <cell r="D4000" t="str">
            <v>CR</v>
          </cell>
          <cell r="E4000" t="str">
            <v>36,90</v>
          </cell>
        </row>
        <row r="4001">
          <cell r="A4001">
            <v>6294</v>
          </cell>
          <cell r="B4001" t="str">
            <v xml:space="preserve">TE DE FERRO GALVANIZADO, DE 1/2"                                                                                                                                                                                                                                                                                                                                                                                                                                                                          </v>
          </cell>
          <cell r="C4001" t="str">
            <v xml:space="preserve">UN    </v>
          </cell>
          <cell r="D4001" t="str">
            <v>CR</v>
          </cell>
          <cell r="E4001" t="str">
            <v>10,52</v>
          </cell>
        </row>
        <row r="4002">
          <cell r="A4002">
            <v>6323</v>
          </cell>
          <cell r="B4002" t="str">
            <v xml:space="preserve">TE DE FERRO GALVANIZADO, DE 1"                                                                                                                                                                                                                                                                                                                                                                                                                                                                            </v>
          </cell>
          <cell r="C4002" t="str">
            <v xml:space="preserve">UN    </v>
          </cell>
          <cell r="D4002" t="str">
            <v>CR</v>
          </cell>
          <cell r="E4002" t="str">
            <v>24,11</v>
          </cell>
        </row>
        <row r="4003">
          <cell r="A4003">
            <v>6299</v>
          </cell>
          <cell r="B4003" t="str">
            <v xml:space="preserve">TE DE FERRO GALVANIZADO, DE 2 1/2"                                                                                                                                                                                                                                                                                                                                                                                                                                                                        </v>
          </cell>
          <cell r="C4003" t="str">
            <v xml:space="preserve">UN    </v>
          </cell>
          <cell r="D4003" t="str">
            <v>CR</v>
          </cell>
          <cell r="E4003" t="str">
            <v>140,62</v>
          </cell>
        </row>
        <row r="4004">
          <cell r="A4004">
            <v>6298</v>
          </cell>
          <cell r="B4004" t="str">
            <v xml:space="preserve">TE DE FERRO GALVANIZADO, DE 2"                                                                                                                                                                                                                                                                                                                                                                                                                                                                            </v>
          </cell>
          <cell r="C4004" t="str">
            <v xml:space="preserve">UN    </v>
          </cell>
          <cell r="D4004" t="str">
            <v>CR</v>
          </cell>
          <cell r="E4004" t="str">
            <v>74,06</v>
          </cell>
        </row>
        <row r="4005">
          <cell r="A4005">
            <v>6295</v>
          </cell>
          <cell r="B4005" t="str">
            <v xml:space="preserve">TE DE FERRO GALVANIZADO, DE 3/4"                                                                                                                                                                                                                                                                                                                                                                                                                                                                          </v>
          </cell>
          <cell r="C4005" t="str">
            <v xml:space="preserve">UN    </v>
          </cell>
          <cell r="D4005" t="str">
            <v>CR</v>
          </cell>
          <cell r="E4005" t="str">
            <v>14,98</v>
          </cell>
        </row>
        <row r="4006">
          <cell r="A4006">
            <v>6322</v>
          </cell>
          <cell r="B4006" t="str">
            <v xml:space="preserve">TE DE FERRO GALVANIZADO, DE 3"                                                                                                                                                                                                                                                                                                                                                                                                                                                                            </v>
          </cell>
          <cell r="C4006" t="str">
            <v xml:space="preserve">UN    </v>
          </cell>
          <cell r="D4006" t="str">
            <v>CR</v>
          </cell>
          <cell r="E4006" t="str">
            <v>188,34</v>
          </cell>
        </row>
        <row r="4007">
          <cell r="A4007">
            <v>6300</v>
          </cell>
          <cell r="B4007" t="str">
            <v xml:space="preserve">TE DE FERRO GALVANIZADO, DE 4"                                                                                                                                                                                                                                                                                                                                                                                                                                                                            </v>
          </cell>
          <cell r="C4007" t="str">
            <v xml:space="preserve">UN    </v>
          </cell>
          <cell r="D4007" t="str">
            <v>CR</v>
          </cell>
          <cell r="E4007" t="str">
            <v>347,23</v>
          </cell>
        </row>
        <row r="4008">
          <cell r="A4008">
            <v>6321</v>
          </cell>
          <cell r="B4008" t="str">
            <v xml:space="preserve">TE DE FERRO GALVANIZADO, DE 5"                                                                                                                                                                                                                                                                                                                                                                                                                                                                            </v>
          </cell>
          <cell r="C4008" t="str">
            <v xml:space="preserve">UN    </v>
          </cell>
          <cell r="D4008" t="str">
            <v>CR</v>
          </cell>
          <cell r="E4008" t="str">
            <v>495,99</v>
          </cell>
        </row>
        <row r="4009">
          <cell r="A4009">
            <v>6301</v>
          </cell>
          <cell r="B4009" t="str">
            <v xml:space="preserve">TE DE FERRO GALVANIZADO, DE 6"                                                                                                                                                                                                                                                                                                                                                                                                                                                                            </v>
          </cell>
          <cell r="C4009" t="str">
            <v xml:space="preserve">UN    </v>
          </cell>
          <cell r="D4009" t="str">
            <v>CR</v>
          </cell>
          <cell r="E4009" t="str">
            <v>1.162,55</v>
          </cell>
        </row>
        <row r="4010">
          <cell r="A4010">
            <v>7105</v>
          </cell>
          <cell r="B4010" t="str">
            <v xml:space="preserve">TE DE INSPECAO, PVC,  100 X 75 MM, SERIE NORMAL PARA ESGOTO PREDIAL                                                                                                                                                                                                                                                                                                                                                                                                                                       </v>
          </cell>
          <cell r="C4010" t="str">
            <v xml:space="preserve">UN    </v>
          </cell>
          <cell r="D4010" t="str">
            <v>CR</v>
          </cell>
          <cell r="E4010" t="str">
            <v>40,45</v>
          </cell>
        </row>
        <row r="4011">
          <cell r="A4011">
            <v>20183</v>
          </cell>
          <cell r="B4011" t="str">
            <v xml:space="preserve">TE DE INSPECAO, PVC, SERIE R, 100 X 75 MM, PARA ESGOTO PREDIAL                                                                                                                                                                                                                                                                                                                                                                                                                                            </v>
          </cell>
          <cell r="C4011" t="str">
            <v xml:space="preserve">UN    </v>
          </cell>
          <cell r="D4011" t="str">
            <v>CR</v>
          </cell>
          <cell r="E4011" t="str">
            <v>49,83</v>
          </cell>
        </row>
        <row r="4012">
          <cell r="A4012">
            <v>38448</v>
          </cell>
          <cell r="B4012" t="str">
            <v xml:space="preserve">TE DE INSPECAO, PVC, SERIE R, 150 X 100 MM, PARA ESGOTO PREDIAL                                                                                                                                                                                                                                                                                                                                                                                                                                           </v>
          </cell>
          <cell r="C4012" t="str">
            <v xml:space="preserve">UN    </v>
          </cell>
          <cell r="D4012" t="str">
            <v>CR</v>
          </cell>
          <cell r="E4012" t="str">
            <v>226,14</v>
          </cell>
        </row>
        <row r="4013">
          <cell r="A4013">
            <v>20182</v>
          </cell>
          <cell r="B4013" t="str">
            <v xml:space="preserve">TE DE INSPECAO, PVC, SERIE R, 75 X 75 MM, PARA ESGOTO PREDIAL                                                                                                                                                                                                                                                                                                                                                                                                                                             </v>
          </cell>
          <cell r="C4013" t="str">
            <v xml:space="preserve">UN    </v>
          </cell>
          <cell r="D4013" t="str">
            <v>CR</v>
          </cell>
          <cell r="E4013" t="str">
            <v>28,97</v>
          </cell>
        </row>
        <row r="4014">
          <cell r="A4014">
            <v>7119</v>
          </cell>
          <cell r="B4014" t="str">
            <v xml:space="preserve">TE DE REDUCAO COM ROSCA, PVC, 90 GRAUS, 1 X 3/4", PARA AGUA FRIA PREDIAL                                                                                                                                                                                                                                                                                                                                                                                                                                  </v>
          </cell>
          <cell r="C4014" t="str">
            <v xml:space="preserve">UN    </v>
          </cell>
          <cell r="D4014" t="str">
            <v>CR</v>
          </cell>
          <cell r="E4014" t="str">
            <v>9,96</v>
          </cell>
        </row>
        <row r="4015">
          <cell r="A4015">
            <v>7126</v>
          </cell>
          <cell r="B4015" t="str">
            <v xml:space="preserve">TE DE REDUCAO COM ROSCA, PVC, 90 GRAUS, 1.1/2" X 3/4", AGUA FRIA PREDIAL                                                                                                                                                                                                                                                                                                                                                                                                                                  </v>
          </cell>
          <cell r="C4015" t="str">
            <v xml:space="preserve">UN    </v>
          </cell>
          <cell r="D4015" t="str">
            <v>CR</v>
          </cell>
          <cell r="E4015" t="str">
            <v>20,33</v>
          </cell>
        </row>
        <row r="4016">
          <cell r="A4016">
            <v>7120</v>
          </cell>
          <cell r="B4016" t="str">
            <v xml:space="preserve">TE DE REDUCAO COM ROSCA, PVC, 90 GRAUS, 3/4 X 1/2", PARA AGUA FRIA PREDIAL                                                                                                                                                                                                                                                                                                                                                                                                                                </v>
          </cell>
          <cell r="C4016" t="str">
            <v xml:space="preserve">UN    </v>
          </cell>
          <cell r="D4016" t="str">
            <v>CR</v>
          </cell>
          <cell r="E4016" t="str">
            <v>7,64</v>
          </cell>
        </row>
        <row r="4017">
          <cell r="A4017">
            <v>6319</v>
          </cell>
          <cell r="B4017" t="str">
            <v xml:space="preserve">TE DE REDUCAO DE FERRO GALVANIZADO, COM ROSCA BSP, DE 1 1/2" X 1"                                                                                                                                                                                                                                                                                                                                                                                                                                         </v>
          </cell>
          <cell r="C4017" t="str">
            <v xml:space="preserve">UN    </v>
          </cell>
          <cell r="D4017" t="str">
            <v>CR</v>
          </cell>
          <cell r="E4017" t="str">
            <v>54,93</v>
          </cell>
        </row>
        <row r="4018">
          <cell r="A4018">
            <v>6304</v>
          </cell>
          <cell r="B4018" t="str">
            <v xml:space="preserve">TE DE REDUCAO DE FERRO GALVANIZADO, COM ROSCA BSP, DE 1 1/2" X 3/4"                                                                                                                                                                                                                                                                                                                                                                                                                                       </v>
          </cell>
          <cell r="C4018" t="str">
            <v xml:space="preserve">UN    </v>
          </cell>
          <cell r="D4018" t="str">
            <v>CR</v>
          </cell>
          <cell r="E4018" t="str">
            <v>54,93</v>
          </cell>
        </row>
        <row r="4019">
          <cell r="A4019">
            <v>21116</v>
          </cell>
          <cell r="B4019" t="str">
            <v xml:space="preserve">TE DE REDUCAO DE FERRO GALVANIZADO, COM ROSCA BSP, DE 1 1/4" X 3/4"                                                                                                                                                                                                                                                                                                                                                                                                                                       </v>
          </cell>
          <cell r="C4019" t="str">
            <v xml:space="preserve">UN    </v>
          </cell>
          <cell r="D4019" t="str">
            <v>CR</v>
          </cell>
          <cell r="E4019" t="str">
            <v>41,59</v>
          </cell>
        </row>
        <row r="4020">
          <cell r="A4020">
            <v>6320</v>
          </cell>
          <cell r="B4020" t="str">
            <v xml:space="preserve">TE DE REDUCAO DE FERRO GALVANIZADO, COM ROSCA BSP, DE 1" X 1/2"                                                                                                                                                                                                                                                                                                                                                                                                                                           </v>
          </cell>
          <cell r="C4020" t="str">
            <v xml:space="preserve">UN    </v>
          </cell>
          <cell r="D4020" t="str">
            <v>CR</v>
          </cell>
          <cell r="E4020" t="str">
            <v>28,29</v>
          </cell>
        </row>
        <row r="4021">
          <cell r="A4021">
            <v>6303</v>
          </cell>
          <cell r="B4021" t="str">
            <v xml:space="preserve">TE DE REDUCAO DE FERRO GALVANIZADO, COM ROSCA BSP, DE 1" X 3/4"                                                                                                                                                                                                                                                                                                                                                                                                                                           </v>
          </cell>
          <cell r="C4021" t="str">
            <v xml:space="preserve">UN    </v>
          </cell>
          <cell r="D4021" t="str">
            <v>CR</v>
          </cell>
          <cell r="E4021" t="str">
            <v>28,29</v>
          </cell>
        </row>
        <row r="4022">
          <cell r="A4022">
            <v>6308</v>
          </cell>
          <cell r="B4022" t="str">
            <v xml:space="preserve">TE DE REDUCAO DE FERRO GALVANIZADO, COM ROSCA BSP, DE 2 1/2" X 1 1/2"                                                                                                                                                                                                                                                                                                                                                                                                                                     </v>
          </cell>
          <cell r="C4022" t="str">
            <v xml:space="preserve">UN    </v>
          </cell>
          <cell r="D4022" t="str">
            <v>CR</v>
          </cell>
          <cell r="E4022" t="str">
            <v>151,99</v>
          </cell>
        </row>
        <row r="4023">
          <cell r="A4023">
            <v>6317</v>
          </cell>
          <cell r="B4023" t="str">
            <v xml:space="preserve">TE DE REDUCAO DE FERRO GALVANIZADO, COM ROSCA BSP, DE 2 1/2" X 1 1/4"                                                                                                                                                                                                                                                                                                                                                                                                                                     </v>
          </cell>
          <cell r="C4023" t="str">
            <v xml:space="preserve">UN    </v>
          </cell>
          <cell r="D4023" t="str">
            <v>CR</v>
          </cell>
          <cell r="E4023" t="str">
            <v>151,99</v>
          </cell>
        </row>
        <row r="4024">
          <cell r="A4024">
            <v>6307</v>
          </cell>
          <cell r="B4024" t="str">
            <v xml:space="preserve">TE DE REDUCAO DE FERRO GALVANIZADO, COM ROSCA BSP, DE 2 1/2" X 1"                                                                                                                                                                                                                                                                                                                                                                                                                                         </v>
          </cell>
          <cell r="C4024" t="str">
            <v xml:space="preserve">UN    </v>
          </cell>
          <cell r="D4024" t="str">
            <v>CR</v>
          </cell>
          <cell r="E4024" t="str">
            <v>151,99</v>
          </cell>
        </row>
        <row r="4025">
          <cell r="A4025">
            <v>6309</v>
          </cell>
          <cell r="B4025" t="str">
            <v xml:space="preserve">TE DE REDUCAO DE FERRO GALVANIZADO, COM ROSCA BSP, DE 2 1/2" X 2"                                                                                                                                                                                                                                                                                                                                                                                                                                         </v>
          </cell>
          <cell r="C4025" t="str">
            <v xml:space="preserve">UN    </v>
          </cell>
          <cell r="D4025" t="str">
            <v>CR</v>
          </cell>
          <cell r="E4025" t="str">
            <v>156,40</v>
          </cell>
        </row>
        <row r="4026">
          <cell r="A4026">
            <v>6318</v>
          </cell>
          <cell r="B4026" t="str">
            <v xml:space="preserve">TE DE REDUCAO DE FERRO GALVANIZADO, COM ROSCA BSP, DE 2" X 1 1/2"                                                                                                                                                                                                                                                                                                                                                                                                                                         </v>
          </cell>
          <cell r="C4026" t="str">
            <v xml:space="preserve">UN    </v>
          </cell>
          <cell r="D4026" t="str">
            <v>CR</v>
          </cell>
          <cell r="E4026" t="str">
            <v>81,98</v>
          </cell>
        </row>
        <row r="4027">
          <cell r="A4027">
            <v>6306</v>
          </cell>
          <cell r="B4027" t="str">
            <v xml:space="preserve">TE DE REDUCAO DE FERRO GALVANIZADO, COM ROSCA BSP, DE 2" X 1 1/4"                                                                                                                                                                                                                                                                                                                                                                                                                                         </v>
          </cell>
          <cell r="C4027" t="str">
            <v xml:space="preserve">UN    </v>
          </cell>
          <cell r="D4027" t="str">
            <v>CR</v>
          </cell>
          <cell r="E4027" t="str">
            <v>81,98</v>
          </cell>
        </row>
        <row r="4028">
          <cell r="A4028">
            <v>6305</v>
          </cell>
          <cell r="B4028" t="str">
            <v xml:space="preserve">TE DE REDUCAO DE FERRO GALVANIZADO, COM ROSCA BSP, DE 2" X 1"                                                                                                                                                                                                                                                                                                                                                                                                                                             </v>
          </cell>
          <cell r="C4028" t="str">
            <v xml:space="preserve">UN    </v>
          </cell>
          <cell r="D4028" t="str">
            <v>CR</v>
          </cell>
          <cell r="E4028" t="str">
            <v>81,98</v>
          </cell>
        </row>
        <row r="4029">
          <cell r="A4029">
            <v>6302</v>
          </cell>
          <cell r="B4029" t="str">
            <v xml:space="preserve">TE DE REDUCAO DE FERRO GALVANIZADO, COM ROSCA BSP, DE 3/4" X 1/2"                                                                                                                                                                                                                                                                                                                                                                                                                                         </v>
          </cell>
          <cell r="C4029" t="str">
            <v xml:space="preserve">UN    </v>
          </cell>
          <cell r="D4029" t="str">
            <v>CR</v>
          </cell>
          <cell r="E4029" t="str">
            <v>17,39</v>
          </cell>
        </row>
        <row r="4030">
          <cell r="A4030">
            <v>6312</v>
          </cell>
          <cell r="B4030" t="str">
            <v xml:space="preserve">TE DE REDUCAO DE FERRO GALVANIZADO, COM ROSCA BSP, DE 3" X 1 1/2"                                                                                                                                                                                                                                                                                                                                                                                                                                         </v>
          </cell>
          <cell r="C4030" t="str">
            <v xml:space="preserve">UN    </v>
          </cell>
          <cell r="D4030" t="str">
            <v>CR</v>
          </cell>
          <cell r="E4030" t="str">
            <v>218,62</v>
          </cell>
        </row>
        <row r="4031">
          <cell r="A4031">
            <v>6311</v>
          </cell>
          <cell r="B4031" t="str">
            <v xml:space="preserve">TE DE REDUCAO DE FERRO GALVANIZADO, COM ROSCA BSP, DE 3" X 1 1/4"                                                                                                                                                                                                                                                                                                                                                                                                                                         </v>
          </cell>
          <cell r="C4031" t="str">
            <v xml:space="preserve">UN    </v>
          </cell>
          <cell r="D4031" t="str">
            <v>CR</v>
          </cell>
          <cell r="E4031" t="str">
            <v>218,62</v>
          </cell>
        </row>
        <row r="4032">
          <cell r="A4032">
            <v>6310</v>
          </cell>
          <cell r="B4032" t="str">
            <v xml:space="preserve">TE DE REDUCAO DE FERRO GALVANIZADO, COM ROSCA BSP, DE 3" X 1"                                                                                                                                                                                                                                                                                                                                                                                                                                             </v>
          </cell>
          <cell r="C4032" t="str">
            <v xml:space="preserve">UN    </v>
          </cell>
          <cell r="D4032" t="str">
            <v>CR</v>
          </cell>
          <cell r="E4032" t="str">
            <v>218,62</v>
          </cell>
        </row>
        <row r="4033">
          <cell r="A4033">
            <v>6314</v>
          </cell>
          <cell r="B4033" t="str">
            <v xml:space="preserve">TE DE REDUCAO DE FERRO GALVANIZADO, COM ROSCA BSP, DE 3" X 2 1/2"                                                                                                                                                                                                                                                                                                                                                                                                                                         </v>
          </cell>
          <cell r="C4033" t="str">
            <v xml:space="preserve">UN    </v>
          </cell>
          <cell r="D4033" t="str">
            <v>CR</v>
          </cell>
          <cell r="E4033" t="str">
            <v>218,62</v>
          </cell>
        </row>
        <row r="4034">
          <cell r="A4034">
            <v>6313</v>
          </cell>
          <cell r="B4034" t="str">
            <v xml:space="preserve">TE DE REDUCAO DE FERRO GALVANIZADO, COM ROSCA BSP, DE 3" X 2"                                                                                                                                                                                                                                                                                                                                                                                                                                             </v>
          </cell>
          <cell r="C4034" t="str">
            <v xml:space="preserve">UN    </v>
          </cell>
          <cell r="D4034" t="str">
            <v>CR</v>
          </cell>
          <cell r="E4034" t="str">
            <v>218,62</v>
          </cell>
        </row>
        <row r="4035">
          <cell r="A4035">
            <v>6315</v>
          </cell>
          <cell r="B4035" t="str">
            <v xml:space="preserve">TE DE REDUCAO DE FERRO GALVANIZADO, COM ROSCA BSP, DE 4" X 2"                                                                                                                                                                                                                                                                                                                                                                                                                                             </v>
          </cell>
          <cell r="C4035" t="str">
            <v xml:space="preserve">UN    </v>
          </cell>
          <cell r="D4035" t="str">
            <v>CR</v>
          </cell>
          <cell r="E4035" t="str">
            <v>413,94</v>
          </cell>
        </row>
        <row r="4036">
          <cell r="A4036">
            <v>6316</v>
          </cell>
          <cell r="B4036" t="str">
            <v xml:space="preserve">TE DE REDUCAO DE FERRO GALVANIZADO, COM ROSCA BSP, DE 4" X 3"                                                                                                                                                                                                                                                                                                                                                                                                                                             </v>
          </cell>
          <cell r="C4036" t="str">
            <v xml:space="preserve">UN    </v>
          </cell>
          <cell r="D4036" t="str">
            <v>CR</v>
          </cell>
          <cell r="E4036" t="str">
            <v>413,94</v>
          </cell>
        </row>
        <row r="4037">
          <cell r="A4037">
            <v>39324</v>
          </cell>
          <cell r="B4037" t="str">
            <v xml:space="preserve">TE DE REDUCAO, CPVC, 22 X 15 MM, PARA AGUA QUENTE PREDIAL                                                                                                                                                                                                                                                                                                                                                                                                                                                 </v>
          </cell>
          <cell r="C4037" t="str">
            <v xml:space="preserve">UN    </v>
          </cell>
          <cell r="D4037" t="str">
            <v>CR</v>
          </cell>
          <cell r="E4037" t="str">
            <v>4,15</v>
          </cell>
        </row>
        <row r="4038">
          <cell r="A4038">
            <v>39325</v>
          </cell>
          <cell r="B4038" t="str">
            <v xml:space="preserve">TE DE REDUCAO, CPVC, 28 X 22 MM, PARA AGUA QUENTE PREDIAL                                                                                                                                                                                                                                                                                                                                                                                                                                                 </v>
          </cell>
          <cell r="C4038" t="str">
            <v xml:space="preserve">UN    </v>
          </cell>
          <cell r="D4038" t="str">
            <v>CR</v>
          </cell>
          <cell r="E4038" t="str">
            <v>6,26</v>
          </cell>
        </row>
        <row r="4039">
          <cell r="A4039">
            <v>39326</v>
          </cell>
          <cell r="B4039" t="str">
            <v xml:space="preserve">TE DE REDUCAO, CPVC, 35 X 28 MM, PARA AGUA QUENTE PREDIAL                                                                                                                                                                                                                                                                                                                                                                                                                                                 </v>
          </cell>
          <cell r="C4039" t="str">
            <v xml:space="preserve">UN    </v>
          </cell>
          <cell r="D4039" t="str">
            <v>CR</v>
          </cell>
          <cell r="E4039" t="str">
            <v>22,45</v>
          </cell>
        </row>
        <row r="4040">
          <cell r="A4040">
            <v>39327</v>
          </cell>
          <cell r="B4040" t="str">
            <v xml:space="preserve">TE DE REDUCAO, CPVC, 42 X 35 MM, PARA AGUA QUENTE PREDIAL                                                                                                                                                                                                                                                                                                                                                                                                                                                 </v>
          </cell>
          <cell r="C4040" t="str">
            <v xml:space="preserve">UN    </v>
          </cell>
          <cell r="D4040" t="str">
            <v>CR</v>
          </cell>
          <cell r="E4040" t="str">
            <v>33,88</v>
          </cell>
        </row>
        <row r="4041">
          <cell r="A4041">
            <v>11378</v>
          </cell>
          <cell r="B4041" t="str">
            <v xml:space="preserve">TE DE REDUCAO, PVC PBA, BBB, JE, DN 100 X 50 / DE 110 X 60 MM, PARA REDE AGUA (NBR 10351)                                                                                                                                                                                                                                                                                                                                                                                                                 </v>
          </cell>
          <cell r="C4041" t="str">
            <v xml:space="preserve">UN    </v>
          </cell>
          <cell r="D4041" t="str">
            <v>CR</v>
          </cell>
          <cell r="E4041" t="str">
            <v>83,22</v>
          </cell>
        </row>
        <row r="4042">
          <cell r="A4042">
            <v>11379</v>
          </cell>
          <cell r="B4042" t="str">
            <v xml:space="preserve">TE DE REDUCAO, PVC PBA, BBB, JE, DN 100 X 75 / DE 110 X 85 MM, PARA REDE AGUA (NBR 10351)                                                                                                                                                                                                                                                                                                                                                                                                                 </v>
          </cell>
          <cell r="C4042" t="str">
            <v xml:space="preserve">UN    </v>
          </cell>
          <cell r="D4042" t="str">
            <v>CR</v>
          </cell>
          <cell r="E4042" t="str">
            <v>70,32</v>
          </cell>
        </row>
        <row r="4043">
          <cell r="A4043">
            <v>11493</v>
          </cell>
          <cell r="B4043" t="str">
            <v xml:space="preserve">TE DE REDUCAO, PVC PBA, BBB, JE, DN 75 X 50 / DE 85 X 60 MM, PARA REDE AGUA (NBR 10351)                                                                                                                                                                                                                                                                                                                                                                                                                   </v>
          </cell>
          <cell r="C4043" t="str">
            <v xml:space="preserve">UN    </v>
          </cell>
          <cell r="D4043" t="str">
            <v>CR</v>
          </cell>
          <cell r="E4043" t="str">
            <v>40,56</v>
          </cell>
        </row>
        <row r="4044">
          <cell r="A4044">
            <v>7106</v>
          </cell>
          <cell r="B4044" t="str">
            <v xml:space="preserve">TE DE REDUCAO, PVC, SOLDAVEL, 90 GRAUS, 110 MM X 60 MM, PARA AGUA FRIA PREDIAL                                                                                                                                                                                                                                                                                                                                                                                                                            </v>
          </cell>
          <cell r="C4044" t="str">
            <v xml:space="preserve">UN    </v>
          </cell>
          <cell r="D4044" t="str">
            <v>CR</v>
          </cell>
          <cell r="E4044" t="str">
            <v>125,83</v>
          </cell>
        </row>
        <row r="4045">
          <cell r="A4045">
            <v>7104</v>
          </cell>
          <cell r="B4045" t="str">
            <v xml:space="preserve">TE DE REDUCAO, PVC, SOLDAVEL, 90 GRAUS, 25 MM X 20 MM, PARA AGUA FRIA PREDIAL                                                                                                                                                                                                                                                                                                                                                                                                                             </v>
          </cell>
          <cell r="C4045" t="str">
            <v xml:space="preserve">UN    </v>
          </cell>
          <cell r="D4045" t="str">
            <v>CR</v>
          </cell>
          <cell r="E4045" t="str">
            <v>3,39</v>
          </cell>
        </row>
        <row r="4046">
          <cell r="A4046">
            <v>7136</v>
          </cell>
          <cell r="B4046" t="str">
            <v xml:space="preserve">TE DE REDUCAO, PVC, SOLDAVEL, 90 GRAUS, 32 MM X 25 MM, PARA AGUA FRIA PREDIAL                                                                                                                                                                                                                                                                                                                                                                                                                             </v>
          </cell>
          <cell r="C4046" t="str">
            <v xml:space="preserve">UN    </v>
          </cell>
          <cell r="D4046" t="str">
            <v>CR</v>
          </cell>
          <cell r="E4046" t="str">
            <v>5,90</v>
          </cell>
        </row>
        <row r="4047">
          <cell r="A4047">
            <v>7128</v>
          </cell>
          <cell r="B4047" t="str">
            <v xml:space="preserve">TE DE REDUCAO, PVC, SOLDAVEL, 90 GRAUS, 40 MM X 32 MM, PARA AGUA FRIA PREDIAL                                                                                                                                                                                                                                                                                                                                                                                                                             </v>
          </cell>
          <cell r="C4047" t="str">
            <v xml:space="preserve">UN    </v>
          </cell>
          <cell r="D4047" t="str">
            <v>CR</v>
          </cell>
          <cell r="E4047" t="str">
            <v>7,66</v>
          </cell>
        </row>
        <row r="4048">
          <cell r="A4048">
            <v>7108</v>
          </cell>
          <cell r="B4048" t="str">
            <v xml:space="preserve">TE DE REDUCAO, PVC, SOLDAVEL, 90 GRAUS, 50 MM X 20 MM, PARA AGUA FRIA PREDIAL                                                                                                                                                                                                                                                                                                                                                                                                                             </v>
          </cell>
          <cell r="C4048" t="str">
            <v xml:space="preserve">UN    </v>
          </cell>
          <cell r="D4048" t="str">
            <v>CR</v>
          </cell>
          <cell r="E4048" t="str">
            <v>7,64</v>
          </cell>
        </row>
        <row r="4049">
          <cell r="A4049">
            <v>7129</v>
          </cell>
          <cell r="B4049" t="str">
            <v xml:space="preserve">TE DE REDUCAO, PVC, SOLDAVEL, 90 GRAUS, 50 MM X 25 MM, PARA AGUA FRIA PREDIAL                                                                                                                                                                                                                                                                                                                                                                                                                             </v>
          </cell>
          <cell r="C4049" t="str">
            <v xml:space="preserve">UN    </v>
          </cell>
          <cell r="D4049" t="str">
            <v>CR</v>
          </cell>
          <cell r="E4049" t="str">
            <v>8,99</v>
          </cell>
        </row>
        <row r="4050">
          <cell r="A4050">
            <v>7130</v>
          </cell>
          <cell r="B4050" t="str">
            <v xml:space="preserve">TE DE REDUCAO, PVC, SOLDAVEL, 90 GRAUS, 50 MM X 32 MM, PARA AGUA FRIA PREDIAL                                                                                                                                                                                                                                                                                                                                                                                                                             </v>
          </cell>
          <cell r="C4050" t="str">
            <v xml:space="preserve">UN    </v>
          </cell>
          <cell r="D4050" t="str">
            <v>CR</v>
          </cell>
          <cell r="E4050" t="str">
            <v>13,07</v>
          </cell>
        </row>
        <row r="4051">
          <cell r="A4051">
            <v>7131</v>
          </cell>
          <cell r="B4051" t="str">
            <v xml:space="preserve">TE DE REDUCAO, PVC, SOLDAVEL, 90 GRAUS, 50 MM X 40 MM, PARA AGUA FRIA PREDIAL                                                                                                                                                                                                                                                                                                                                                                                                                             </v>
          </cell>
          <cell r="C4051" t="str">
            <v xml:space="preserve">UN    </v>
          </cell>
          <cell r="D4051" t="str">
            <v>CR</v>
          </cell>
          <cell r="E4051" t="str">
            <v>15,98</v>
          </cell>
        </row>
        <row r="4052">
          <cell r="A4052">
            <v>7132</v>
          </cell>
          <cell r="B4052" t="str">
            <v xml:space="preserve">TE DE REDUCAO, PVC, SOLDAVEL, 90 GRAUS, 75 MM X 50 MM, PARA AGUA FRIA PREDIAL                                                                                                                                                                                                                                                                                                                                                                                                                             </v>
          </cell>
          <cell r="C4052" t="str">
            <v xml:space="preserve">UN    </v>
          </cell>
          <cell r="D4052" t="str">
            <v>CR</v>
          </cell>
          <cell r="E4052" t="str">
            <v>37,64</v>
          </cell>
        </row>
        <row r="4053">
          <cell r="A4053">
            <v>7133</v>
          </cell>
          <cell r="B4053" t="str">
            <v xml:space="preserve">TE DE REDUCAO, PVC, SOLDAVEL, 90 GRAUS, 85 MM X 60 MM, PARA AGUA FRIA PREDIAL                                                                                                                                                                                                                                                                                                                                                                                                                             </v>
          </cell>
          <cell r="C4053" t="str">
            <v xml:space="preserve">UN    </v>
          </cell>
          <cell r="D4053" t="str">
            <v>CR</v>
          </cell>
          <cell r="E4053" t="str">
            <v>86,97</v>
          </cell>
        </row>
        <row r="4054">
          <cell r="A4054">
            <v>37420</v>
          </cell>
          <cell r="B4054" t="str">
            <v xml:space="preserve">TE DE SERVICO INTEGRADO, EM POLIPROPILENO (PP), PARA TUBOS EM PEAD/PVC, 60 X 20 MM - LIGACAO PREDIAL DE AGUA                                                                                                                                                                                                                                                                                                                                                                                              </v>
          </cell>
          <cell r="C4054" t="str">
            <v xml:space="preserve">UN    </v>
          </cell>
          <cell r="D4054" t="str">
            <v>CR</v>
          </cell>
          <cell r="E4054" t="str">
            <v>40,33</v>
          </cell>
        </row>
        <row r="4055">
          <cell r="A4055">
            <v>37421</v>
          </cell>
          <cell r="B4055" t="str">
            <v xml:space="preserve">TE DE SERVICO INTEGRADO, EM POLIPROPILENO (PP), PARA TUBOS EM PEAD/PVC, 60 X 32 MM - LIGACAO PREDIAL DE AGUA                                                                                                                                                                                                                                                                                                                                                                                              </v>
          </cell>
          <cell r="C4055" t="str">
            <v xml:space="preserve">UN    </v>
          </cell>
          <cell r="D4055" t="str">
            <v>CR</v>
          </cell>
          <cell r="E4055" t="str">
            <v>55,12</v>
          </cell>
        </row>
        <row r="4056">
          <cell r="A4056">
            <v>37422</v>
          </cell>
          <cell r="B4056" t="str">
            <v xml:space="preserve">TE DE SERVICO INTEGRADO, EM POLIPROPILENO (PP), PARA TUBOS EM PEAD, 63 X 20 MM - LIGACAO PREDIAL DE AGUA                                                                                                                                                                                                                                                                                                                                                                                                  </v>
          </cell>
          <cell r="C4056" t="str">
            <v xml:space="preserve">UN    </v>
          </cell>
          <cell r="D4056" t="str">
            <v>CR</v>
          </cell>
          <cell r="E4056" t="str">
            <v>51,59</v>
          </cell>
        </row>
        <row r="4057">
          <cell r="A4057">
            <v>37443</v>
          </cell>
          <cell r="B4057" t="str">
            <v xml:space="preserve">TE DE SERVICO, PEAD PE 100, DE 125 X 20 MM, PARA ELETROFUSAO                                                                                                                                                                                                                                                                                                                                                                                                                                              </v>
          </cell>
          <cell r="C4057" t="str">
            <v xml:space="preserve">UN    </v>
          </cell>
          <cell r="D4057" t="str">
            <v>CR</v>
          </cell>
          <cell r="E4057" t="str">
            <v>189,57</v>
          </cell>
        </row>
        <row r="4058">
          <cell r="A4058">
            <v>37444</v>
          </cell>
          <cell r="B4058" t="str">
            <v xml:space="preserve">TE DE SERVICO, PEAD PE 100, DE 125 X 32 MM, PARA ELETROFUSAO                                                                                                                                                                                                                                                                                                                                                                                                                                              </v>
          </cell>
          <cell r="C4058" t="str">
            <v xml:space="preserve">UN    </v>
          </cell>
          <cell r="D4058" t="str">
            <v>CR</v>
          </cell>
          <cell r="E4058" t="str">
            <v>192,78</v>
          </cell>
        </row>
        <row r="4059">
          <cell r="A4059">
            <v>37445</v>
          </cell>
          <cell r="B4059" t="str">
            <v xml:space="preserve">TE DE SERVICO, PEAD PE 100, DE 125 X 63 MM, PARA ELETROFUSAO                                                                                                                                                                                                                                                                                                                                                                                                                                              </v>
          </cell>
          <cell r="C4059" t="str">
            <v xml:space="preserve">UN    </v>
          </cell>
          <cell r="D4059" t="str">
            <v>CR</v>
          </cell>
          <cell r="E4059" t="str">
            <v>292,21</v>
          </cell>
        </row>
        <row r="4060">
          <cell r="A4060">
            <v>37446</v>
          </cell>
          <cell r="B4060" t="str">
            <v xml:space="preserve">TE DE SERVICO, PEAD PE 100, DE 200 X 20 MM, PARA ELETROFUSAO                                                                                                                                                                                                                                                                                                                                                                                                                                              </v>
          </cell>
          <cell r="C4060" t="str">
            <v xml:space="preserve">UN    </v>
          </cell>
          <cell r="D4060" t="str">
            <v>CR</v>
          </cell>
          <cell r="E4060" t="str">
            <v>318,55</v>
          </cell>
        </row>
        <row r="4061">
          <cell r="A4061">
            <v>37447</v>
          </cell>
          <cell r="B4061" t="str">
            <v xml:space="preserve">TE DE SERVICO, PEAD PE 100, DE 200 X 32 MM, PARA ELETROFUSAO                                                                                                                                                                                                                                                                                                                                                                                                                                              </v>
          </cell>
          <cell r="C4061" t="str">
            <v xml:space="preserve">UN    </v>
          </cell>
          <cell r="D4061" t="str">
            <v>CR</v>
          </cell>
          <cell r="E4061" t="str">
            <v>323,54</v>
          </cell>
        </row>
        <row r="4062">
          <cell r="A4062">
            <v>37448</v>
          </cell>
          <cell r="B4062" t="str">
            <v xml:space="preserve">TE DE SERVICO, PEAD PE 100, DE 200 X 63 MM, PARA ELETROFUSAO                                                                                                                                                                                                                                                                                                                                                                                                                                              </v>
          </cell>
          <cell r="C4062" t="str">
            <v xml:space="preserve">UN    </v>
          </cell>
          <cell r="D4062" t="str">
            <v>CR</v>
          </cell>
          <cell r="E4062" t="str">
            <v>443,78</v>
          </cell>
        </row>
        <row r="4063">
          <cell r="A4063">
            <v>37440</v>
          </cell>
          <cell r="B4063" t="str">
            <v xml:space="preserve">TE DE SERVICO, PEAD PE 100, DE 63 X 20 MM, PARA ELETROFUSAO                                                                                                                                                                                                                                                                                                                                                                                                                                               </v>
          </cell>
          <cell r="C4063" t="str">
            <v xml:space="preserve">UN    </v>
          </cell>
          <cell r="D4063" t="str">
            <v>CR</v>
          </cell>
          <cell r="E4063" t="str">
            <v>150,46</v>
          </cell>
        </row>
        <row r="4064">
          <cell r="A4064">
            <v>37441</v>
          </cell>
          <cell r="B4064" t="str">
            <v xml:space="preserve">TE DE SERVICO, PEAD PE 100, DE 63 X 32 MM, PARA ELETROFUSAO                                                                                                                                                                                                                                                                                                                                                                                                                                               </v>
          </cell>
          <cell r="C4064" t="str">
            <v xml:space="preserve">UN    </v>
          </cell>
          <cell r="D4064" t="str">
            <v>CR</v>
          </cell>
          <cell r="E4064" t="str">
            <v>150,46</v>
          </cell>
        </row>
        <row r="4065">
          <cell r="A4065">
            <v>37442</v>
          </cell>
          <cell r="B4065" t="str">
            <v xml:space="preserve">TE DE SERVICO, PEAD PE 100, DE 63 X 63 MM, PARA ELETROFUSAO                                                                                                                                                                                                                                                                                                                                                                                                                                               </v>
          </cell>
          <cell r="C4065" t="str">
            <v xml:space="preserve">UN    </v>
          </cell>
          <cell r="D4065" t="str">
            <v>CR</v>
          </cell>
          <cell r="E4065" t="str">
            <v>181,22</v>
          </cell>
        </row>
        <row r="4066">
          <cell r="A4066">
            <v>38017</v>
          </cell>
          <cell r="B4066" t="str">
            <v xml:space="preserve">TE DE TRANSICAO, CPVC, SOLDAVEL, 15 MM X 1/2", PARA AGUA QUENTE                                                                                                                                                                                                                                                                                                                                                                                                                                           </v>
          </cell>
          <cell r="C4066" t="str">
            <v xml:space="preserve">UN    </v>
          </cell>
          <cell r="D4066" t="str">
            <v>CR</v>
          </cell>
          <cell r="E4066" t="str">
            <v>8,49</v>
          </cell>
        </row>
        <row r="4067">
          <cell r="A4067">
            <v>38018</v>
          </cell>
          <cell r="B4067" t="str">
            <v xml:space="preserve">TE DE TRANSICAO, CPVC, SOLDAVEL, 22 MM X 1/2", PARA AGUA QUENTE                                                                                                                                                                                                                                                                                                                                                                                                                                           </v>
          </cell>
          <cell r="C4067" t="str">
            <v xml:space="preserve">UN    </v>
          </cell>
          <cell r="D4067" t="str">
            <v>CR</v>
          </cell>
          <cell r="E4067" t="str">
            <v>9,54</v>
          </cell>
        </row>
        <row r="4068">
          <cell r="A4068">
            <v>39895</v>
          </cell>
          <cell r="B4068" t="str">
            <v xml:space="preserve">TE DUPLA CURVA BRONZE/LATAO (REF 764) SEM ANEL DE SOLDA, ROSCA F X BOLSA X ROSCA F, 1/2" X 15 X 1/2"                                                                                                                                                                                                                                                                                                                                                                                                      </v>
          </cell>
          <cell r="C4068" t="str">
            <v xml:space="preserve">UN    </v>
          </cell>
          <cell r="D4068" t="str">
            <v>CR</v>
          </cell>
          <cell r="E4068" t="str">
            <v>48,17</v>
          </cell>
        </row>
        <row r="4069">
          <cell r="A4069">
            <v>39896</v>
          </cell>
          <cell r="B4069" t="str">
            <v xml:space="preserve">TE DUPLA CURVA BRONZE/LATAO (REF 764) SEM ANEL DE SOLDA, ROSCA F X BOLSA X ROSCA F, 3/4" X 22 X 3/4"                                                                                                                                                                                                                                                                                                                                                                                                      </v>
          </cell>
          <cell r="C4069" t="str">
            <v xml:space="preserve">UN    </v>
          </cell>
          <cell r="D4069" t="str">
            <v>CR</v>
          </cell>
          <cell r="E4069" t="str">
            <v>70,60</v>
          </cell>
        </row>
        <row r="4070">
          <cell r="A4070">
            <v>38873</v>
          </cell>
          <cell r="B4070" t="str">
            <v xml:space="preserve">TE METALICO, PARA CONEXAO COM ANEL DESLIZANTE, DN 16 MM, EM TUBO PEX PARA INST. AGUA QUENTE/FRIA                                                                                                                                                                                                                                                                                                                                                                                                          </v>
          </cell>
          <cell r="C4070" t="str">
            <v xml:space="preserve">UN    </v>
          </cell>
          <cell r="D4070" t="str">
            <v>CR</v>
          </cell>
          <cell r="E4070" t="str">
            <v>14,35</v>
          </cell>
        </row>
        <row r="4071">
          <cell r="A4071">
            <v>38874</v>
          </cell>
          <cell r="B4071" t="str">
            <v xml:space="preserve">TE METALICO, PARA CONEXAO COM ANEL DESLIZANTE, DN 20 MM, EM TUBO PEX PARA INST. AGUA QUENTE/FRIA                                                                                                                                                                                                                                                                                                                                                                                                          </v>
          </cell>
          <cell r="C4071" t="str">
            <v xml:space="preserve">UN    </v>
          </cell>
          <cell r="D4071" t="str">
            <v>CR</v>
          </cell>
          <cell r="E4071" t="str">
            <v>18,17</v>
          </cell>
        </row>
        <row r="4072">
          <cell r="A4072">
            <v>38875</v>
          </cell>
          <cell r="B4072" t="str">
            <v xml:space="preserve">TE METALICO, PARA CONEXAO COM ANEL DESLIZANTE, DN 25 MM, EM TUBO PEX PARA INST. AGUA QUENTE/FRIA                                                                                                                                                                                                                                                                                                                                                                                                          </v>
          </cell>
          <cell r="C4072" t="str">
            <v xml:space="preserve">UN    </v>
          </cell>
          <cell r="D4072" t="str">
            <v>CR</v>
          </cell>
          <cell r="E4072" t="str">
            <v>28,80</v>
          </cell>
        </row>
        <row r="4073">
          <cell r="A4073">
            <v>38876</v>
          </cell>
          <cell r="B4073" t="str">
            <v xml:space="preserve">TE METALICO, PARA CONEXAO COM ANEL DESLIZANTE, DN 32 MM, EM TUBO PEX PARA INST. AGUA QUENTE/FRIA                                                                                                                                                                                                                                                                                                                                                                                                          </v>
          </cell>
          <cell r="C4073" t="str">
            <v xml:space="preserve">UN    </v>
          </cell>
          <cell r="D4073" t="str">
            <v>CR</v>
          </cell>
          <cell r="E4073" t="str">
            <v>38,70</v>
          </cell>
        </row>
        <row r="4074">
          <cell r="A4074">
            <v>39000</v>
          </cell>
          <cell r="B4074" t="str">
            <v xml:space="preserve">TE MISTURADOR COM INSERTO METALICO, FEMEA, PPR, DN 25 MM X 3/4", PARA AGUA QUENTE E FRIA PREDIAL                                                                                                                                                                                                                                                                                                                                                                                                          </v>
          </cell>
          <cell r="C4074" t="str">
            <v xml:space="preserve">UN    </v>
          </cell>
          <cell r="D4074" t="str">
            <v>CR</v>
          </cell>
          <cell r="E4074" t="str">
            <v>29,79</v>
          </cell>
        </row>
        <row r="4075">
          <cell r="A4075">
            <v>38674</v>
          </cell>
          <cell r="B4075" t="str">
            <v xml:space="preserve">TE MISTURADOR DE TRANSICAO, CPVC, COM ROSCA, 22 MM X 3/4", PARA AGUA QUENTE                                                                                                                                                                                                                                                                                                                                                                                                                               </v>
          </cell>
          <cell r="C4075" t="str">
            <v xml:space="preserve">UN    </v>
          </cell>
          <cell r="D4075" t="str">
            <v>CR</v>
          </cell>
          <cell r="E4075" t="str">
            <v>28,57</v>
          </cell>
        </row>
        <row r="4076">
          <cell r="A4076">
            <v>38019</v>
          </cell>
          <cell r="B4076" t="str">
            <v xml:space="preserve">TE MISTURADOR, CPVC, SOLDAVEL, 15 MM, PARA AGUA QUENTE                                                                                                                                                                                                                                                                                                                                                                                                                                                    </v>
          </cell>
          <cell r="C4076" t="str">
            <v xml:space="preserve">UN    </v>
          </cell>
          <cell r="D4076" t="str">
            <v>CR</v>
          </cell>
          <cell r="E4076" t="str">
            <v>6,04</v>
          </cell>
        </row>
        <row r="4077">
          <cell r="A4077">
            <v>38020</v>
          </cell>
          <cell r="B4077" t="str">
            <v xml:space="preserve">TE MISTURADOR, CPVC, SOLDAVEL, 22 MM, PARA AGUA QUENTE                                                                                                                                                                                                                                                                                                                                                                                                                                                    </v>
          </cell>
          <cell r="C4077" t="str">
            <v xml:space="preserve">UN    </v>
          </cell>
          <cell r="D4077" t="str">
            <v>CR</v>
          </cell>
          <cell r="E4077" t="str">
            <v>7,44</v>
          </cell>
        </row>
        <row r="4078">
          <cell r="A4078">
            <v>38454</v>
          </cell>
          <cell r="B4078" t="str">
            <v xml:space="preserve">TE MISTURADOR, PPR, F/M/M, DN 20 X 20 MM, PARA AGUA QUENTE PREDIAL                                                                                                                                                                                                                                                                                                                                                                                                                                        </v>
          </cell>
          <cell r="C4078" t="str">
            <v xml:space="preserve">UN    </v>
          </cell>
          <cell r="D4078" t="str">
            <v>CR</v>
          </cell>
          <cell r="E4078" t="str">
            <v>11,17</v>
          </cell>
        </row>
        <row r="4079">
          <cell r="A4079">
            <v>38455</v>
          </cell>
          <cell r="B4079" t="str">
            <v xml:space="preserve">TE MISTURADOR, PPR, F/M/M, DN 25 X 25 MM, PARA AGUA QUENTE PREDIAL                                                                                                                                                                                                                                                                                                                                                                                                                                        </v>
          </cell>
          <cell r="C4079" t="str">
            <v xml:space="preserve">UN    </v>
          </cell>
          <cell r="D4079" t="str">
            <v>CR</v>
          </cell>
          <cell r="E4079" t="str">
            <v>14,95</v>
          </cell>
        </row>
        <row r="4080">
          <cell r="A4080">
            <v>38462</v>
          </cell>
          <cell r="B4080" t="str">
            <v xml:space="preserve">TE NORMAL, PPR, F/F/F, SOLDAVEL, 90 GRAUS, DN 110 X 110 X 110 MM, PARA AGUA QUENTE PREDIAL                                                                                                                                                                                                                                                                                                                                                                                                                </v>
          </cell>
          <cell r="C4080" t="str">
            <v xml:space="preserve">UN    </v>
          </cell>
          <cell r="D4080" t="str">
            <v>CR</v>
          </cell>
          <cell r="E4080" t="str">
            <v>241,08</v>
          </cell>
        </row>
        <row r="4081">
          <cell r="A4081">
            <v>36362</v>
          </cell>
          <cell r="B4081" t="str">
            <v xml:space="preserve">TE NORMAL, PPR, F/F/F, SOLDAVEL, 90 GRAUS, DN 20 X 20 X 20 MM, PARA AGUA QUENTE PREDIAL                                                                                                                                                                                                                                                                                                                                                                                                                   </v>
          </cell>
          <cell r="C4081" t="str">
            <v xml:space="preserve">UN    </v>
          </cell>
          <cell r="D4081" t="str">
            <v>CR</v>
          </cell>
          <cell r="E4081" t="str">
            <v>3,33</v>
          </cell>
        </row>
        <row r="4082">
          <cell r="A4082">
            <v>36298</v>
          </cell>
          <cell r="B4082" t="str">
            <v xml:space="preserve">TE NORMAL, PPR, F/F/F, SOLDAVEL, 90 GRAUS, DN 25 X 25 X 25 MM, PARA AGUA QUENTE PREDIAL                                                                                                                                                                                                                                                                                                                                                                                                                   </v>
          </cell>
          <cell r="C4082" t="str">
            <v xml:space="preserve">UN    </v>
          </cell>
          <cell r="D4082" t="str">
            <v>CR</v>
          </cell>
          <cell r="E4082" t="str">
            <v>2,86</v>
          </cell>
        </row>
        <row r="4083">
          <cell r="A4083">
            <v>38456</v>
          </cell>
          <cell r="B4083" t="str">
            <v xml:space="preserve">TE NORMAL, PPR, F/F/F, SOLDAVEL, 90 GRAUS, DN 32 X 32 X 32 MM, PARA AGUA QUENTE PREDIAL                                                                                                                                                                                                                                                                                                                                                                                                                   </v>
          </cell>
          <cell r="C4083" t="str">
            <v xml:space="preserve">UN    </v>
          </cell>
          <cell r="D4083" t="str">
            <v>CR</v>
          </cell>
          <cell r="E4083" t="str">
            <v>7,13</v>
          </cell>
        </row>
        <row r="4084">
          <cell r="A4084">
            <v>38457</v>
          </cell>
          <cell r="B4084" t="str">
            <v xml:space="preserve">TE NORMAL, PPR, F/F/F, SOLDAVEL, 90 GRAUS, DN 40 X 40 X 40 MM, PARA AGUA QUENTE PREDIAL                                                                                                                                                                                                                                                                                                                                                                                                                   </v>
          </cell>
          <cell r="C4084" t="str">
            <v xml:space="preserve">UN    </v>
          </cell>
          <cell r="D4084" t="str">
            <v>CR</v>
          </cell>
          <cell r="E4084" t="str">
            <v>12,99</v>
          </cell>
        </row>
        <row r="4085">
          <cell r="A4085">
            <v>38458</v>
          </cell>
          <cell r="B4085" t="str">
            <v xml:space="preserve">TE NORMAL, PPR, F/F/F, SOLDAVEL, 90 GRAUS, DN 50 X 50 X 50 MM, PARA AGUA QUENTE PREDIAL                                                                                                                                                                                                                                                                                                                                                                                                                   </v>
          </cell>
          <cell r="C4085" t="str">
            <v xml:space="preserve">UN    </v>
          </cell>
          <cell r="D4085" t="str">
            <v>CR</v>
          </cell>
          <cell r="E4085" t="str">
            <v>25,02</v>
          </cell>
        </row>
        <row r="4086">
          <cell r="A4086">
            <v>38459</v>
          </cell>
          <cell r="B4086" t="str">
            <v xml:space="preserve">TE NORMAL, PPR, F/F/F, SOLDAVEL, 90 GRAUS, DN 63 X 63 X 63 MM, PARA AGUA QUENTE PREDIAL                                                                                                                                                                                                                                                                                                                                                                                                                   </v>
          </cell>
          <cell r="C4086" t="str">
            <v xml:space="preserve">UN    </v>
          </cell>
          <cell r="D4086" t="str">
            <v>CR</v>
          </cell>
          <cell r="E4086" t="str">
            <v>39,34</v>
          </cell>
        </row>
        <row r="4087">
          <cell r="A4087">
            <v>38460</v>
          </cell>
          <cell r="B4087" t="str">
            <v xml:space="preserve">TE NORMAL, PPR, F/F/F, SOLDAVEL, 90 GRAUS, DN 75 X 75 X 75 MM, PARA AGUA QUENTE PREDIAL                                                                                                                                                                                                                                                                                                                                                                                                                   </v>
          </cell>
          <cell r="C4087" t="str">
            <v xml:space="preserve">UN    </v>
          </cell>
          <cell r="D4087" t="str">
            <v>CR</v>
          </cell>
          <cell r="E4087" t="str">
            <v>84,39</v>
          </cell>
        </row>
        <row r="4088">
          <cell r="A4088">
            <v>38461</v>
          </cell>
          <cell r="B4088" t="str">
            <v xml:space="preserve">TE NORMAL, PPR, F/F/F, SOLDAVEL, 90 GRAUS, DN 90 X 90 X 90 MM, PARA AGUA QUENTE PREDIAL                                                                                                                                                                                                                                                                                                                                                                                                                   </v>
          </cell>
          <cell r="C4088" t="str">
            <v xml:space="preserve">UN    </v>
          </cell>
          <cell r="D4088" t="str">
            <v>CR</v>
          </cell>
          <cell r="E4088" t="str">
            <v>113,25</v>
          </cell>
        </row>
        <row r="4089">
          <cell r="A4089">
            <v>7094</v>
          </cell>
          <cell r="B4089" t="str">
            <v xml:space="preserve">TE PVC ROSCAVEL 90 GRAUS, 1", PARA  AGUA FRIA PREDIAL                                                                                                                                                                                                                                                                                                                                                                                                                                                     </v>
          </cell>
          <cell r="C4089" t="str">
            <v xml:space="preserve">UN    </v>
          </cell>
          <cell r="D4089" t="str">
            <v>CR</v>
          </cell>
          <cell r="E4089" t="str">
            <v>11,07</v>
          </cell>
        </row>
        <row r="4090">
          <cell r="A4090">
            <v>7116</v>
          </cell>
          <cell r="B4090" t="str">
            <v xml:space="preserve">TE PVC SOLDAVEL, BBB, 90 GRAUS, DN 40 MM, PARA ESGOTO SECUNDARIO PREDIAL                                                                                                                                                                                                                                                                                                                                                                                                                                  </v>
          </cell>
          <cell r="C4090" t="str">
            <v xml:space="preserve">UN    </v>
          </cell>
          <cell r="D4090" t="str">
            <v>CR</v>
          </cell>
          <cell r="E4090" t="str">
            <v>3,62</v>
          </cell>
        </row>
        <row r="4091">
          <cell r="A4091">
            <v>7118</v>
          </cell>
          <cell r="B4091" t="str">
            <v xml:space="preserve">TE PVC, ROSCAVEL, 90 GRAUS, 1 1/2", AGUA FRIA PREDIAL                                                                                                                                                                                                                                                                                                                                                                                                                                                     </v>
          </cell>
          <cell r="C4091" t="str">
            <v xml:space="preserve">UN    </v>
          </cell>
          <cell r="D4091" t="str">
            <v>CR</v>
          </cell>
          <cell r="E4091" t="str">
            <v>22,77</v>
          </cell>
        </row>
        <row r="4092">
          <cell r="A4092">
            <v>7098</v>
          </cell>
          <cell r="B4092" t="str">
            <v xml:space="preserve">TE PVC, ROSCAVEL, 90 GRAUS, 1/2",  AGUA FRIA PREDIAL                                                                                                                                                                                                                                                                                                                                                                                                                                                      </v>
          </cell>
          <cell r="C4092" t="str">
            <v xml:space="preserve">UN    </v>
          </cell>
          <cell r="D4092" t="str">
            <v>CR</v>
          </cell>
          <cell r="E4092" t="str">
            <v>3,38</v>
          </cell>
        </row>
        <row r="4093">
          <cell r="A4093">
            <v>7110</v>
          </cell>
          <cell r="B4093" t="str">
            <v xml:space="preserve">TE PVC, ROSCAVEL, 90 GRAUS, 2",  AGUA FRIA PREDIAL                                                                                                                                                                                                                                                                                                                                                                                                                                                        </v>
          </cell>
          <cell r="C4093" t="str">
            <v xml:space="preserve">UN    </v>
          </cell>
          <cell r="D4093" t="str">
            <v>CR</v>
          </cell>
          <cell r="E4093" t="str">
            <v>43,29</v>
          </cell>
        </row>
        <row r="4094">
          <cell r="A4094">
            <v>7123</v>
          </cell>
          <cell r="B4094" t="str">
            <v xml:space="preserve">TE PVC, ROSCAVEL, 90 GRAUS, 3/4", AGUA FRIA PREDIAL                                                                                                                                                                                                                                                                                                                                                                                                                                                       </v>
          </cell>
          <cell r="C4094" t="str">
            <v xml:space="preserve">UN    </v>
          </cell>
          <cell r="D4094" t="str">
            <v>CR</v>
          </cell>
          <cell r="E4094" t="str">
            <v>4,09</v>
          </cell>
        </row>
        <row r="4095">
          <cell r="A4095">
            <v>7121</v>
          </cell>
          <cell r="B4095" t="str">
            <v xml:space="preserve">TE PVC, SOLDAVEL, COM BUCHA DE LATAO NA BOLSA CENTRAL, 90 GRAUS, 20 MM X 1/2", PARA AGUA FRIA PREDIAL                                                                                                                                                                                                                                                                                                                                                                                                     </v>
          </cell>
          <cell r="C4095" t="str">
            <v xml:space="preserve">UN    </v>
          </cell>
          <cell r="D4095" t="str">
            <v>CR</v>
          </cell>
          <cell r="E4095" t="str">
            <v>8,09</v>
          </cell>
        </row>
        <row r="4096">
          <cell r="A4096">
            <v>7137</v>
          </cell>
          <cell r="B4096" t="str">
            <v xml:space="preserve">TE PVC, SOLDAVEL, COM BUCHA DE LATAO NA BOLSA CENTRAL, 90 GRAUS, 25 MM X 1/2", PARA AGUA FRIA PREDIAL                                                                                                                                                                                                                                                                                                                                                                                                     </v>
          </cell>
          <cell r="C4096" t="str">
            <v xml:space="preserve">UN    </v>
          </cell>
          <cell r="D4096" t="str">
            <v>CR</v>
          </cell>
          <cell r="E4096" t="str">
            <v>8,84</v>
          </cell>
        </row>
        <row r="4097">
          <cell r="A4097">
            <v>7122</v>
          </cell>
          <cell r="B4097" t="str">
            <v xml:space="preserve">TE PVC, SOLDAVEL, COM BUCHA DE LATAO NA BOLSA CENTRAL, 90 GRAUS, 25 MM X 3/4", PARA AGUA FRIA PREDIAL                                                                                                                                                                                                                                                                                                                                                                                                     </v>
          </cell>
          <cell r="C4097" t="str">
            <v xml:space="preserve">UN    </v>
          </cell>
          <cell r="D4097" t="str">
            <v>CR</v>
          </cell>
          <cell r="E4097" t="str">
            <v>9,73</v>
          </cell>
        </row>
        <row r="4098">
          <cell r="A4098">
            <v>7114</v>
          </cell>
          <cell r="B4098" t="str">
            <v xml:space="preserve">TE PVC, SOLDAVEL, COM BUCHA DE LATAO NA BOLSA CENTRAL, 90 GRAUS, 32 MM X 3/4", PARA AGUA FRIA PREDIAL                                                                                                                                                                                                                                                                                                                                                                                                     </v>
          </cell>
          <cell r="C4098" t="str">
            <v xml:space="preserve">UN    </v>
          </cell>
          <cell r="D4098" t="str">
            <v>CR</v>
          </cell>
          <cell r="E4098" t="str">
            <v>11,32</v>
          </cell>
        </row>
        <row r="4099">
          <cell r="A4099">
            <v>7109</v>
          </cell>
          <cell r="B4099" t="str">
            <v xml:space="preserve">TE PVC, SOLDAVEL, COM ROSCA NA BOLSA CENTRAL, 90 GRAUS, 20 MM X 1/2", PARA AGUA FRIA PREDIAL                                                                                                                                                                                                                                                                                                                                                                                                              </v>
          </cell>
          <cell r="C4099" t="str">
            <v xml:space="preserve">UN    </v>
          </cell>
          <cell r="D4099" t="str">
            <v>CR</v>
          </cell>
          <cell r="E4099" t="str">
            <v>2,24</v>
          </cell>
        </row>
        <row r="4100">
          <cell r="A4100">
            <v>7135</v>
          </cell>
          <cell r="B4100" t="str">
            <v xml:space="preserve">TE PVC, SOLDAVEL, COM ROSCA NA BOLSA CENTRAL, 90 GRAUS, 25 MM X 1/2", PARA AGUA FRIA PREDIAL                                                                                                                                                                                                                                                                                                                                                                                                              </v>
          </cell>
          <cell r="C4100" t="str">
            <v xml:space="preserve">UN    </v>
          </cell>
          <cell r="D4100" t="str">
            <v>CR</v>
          </cell>
          <cell r="E4100" t="str">
            <v>4,59</v>
          </cell>
        </row>
        <row r="4101">
          <cell r="A4101">
            <v>37947</v>
          </cell>
          <cell r="B4101" t="str">
            <v xml:space="preserve">TE PVC, SOLDAVEL, COM ROSCA NA BOLSA CENTRAL, 90 GRAUS, 25 MM X 3/4", PARA AGUA FRIA PREDIAL                                                                                                                                                                                                                                                                                                                                                                                                              </v>
          </cell>
          <cell r="C4101" t="str">
            <v xml:space="preserve">UN    </v>
          </cell>
          <cell r="D4101" t="str">
            <v>CR</v>
          </cell>
          <cell r="E4101" t="str">
            <v>3,73</v>
          </cell>
        </row>
        <row r="4102">
          <cell r="A4102">
            <v>7103</v>
          </cell>
          <cell r="B4102" t="str">
            <v xml:space="preserve">TE PVC, SOLDAVEL, COM ROSCA NA BOLSA CENTRAL, 90 GRAUS, 32 MM X 3/4", PARA AGUA FRIA PREDIAL                                                                                                                                                                                                                                                                                                                                                                                                              </v>
          </cell>
          <cell r="C4102" t="str">
            <v xml:space="preserve">UN    </v>
          </cell>
          <cell r="D4102" t="str">
            <v>CR</v>
          </cell>
          <cell r="E4102" t="str">
            <v>12,17</v>
          </cell>
        </row>
        <row r="4103">
          <cell r="A4103">
            <v>40419</v>
          </cell>
          <cell r="B4103" t="str">
            <v xml:space="preserve">TE RANHURADO EM FERRO FUNDIDO, DN 50 (2")                                                                                                                                                                                                                                                                                                                                                                                                                                                                 </v>
          </cell>
          <cell r="C4103" t="str">
            <v xml:space="preserve">UN    </v>
          </cell>
          <cell r="D4103" t="str">
            <v>CR</v>
          </cell>
          <cell r="E4103" t="str">
            <v>38,44</v>
          </cell>
        </row>
        <row r="4104">
          <cell r="A4104">
            <v>40420</v>
          </cell>
          <cell r="B4104" t="str">
            <v xml:space="preserve">TE RANHURADO EM FERRO FUNDIDO, DN 65 (2 1/2")                                                                                                                                                                                                                                                                                                                                                                                                                                                             </v>
          </cell>
          <cell r="C4104" t="str">
            <v xml:space="preserve">UN    </v>
          </cell>
          <cell r="D4104" t="str">
            <v>CR</v>
          </cell>
          <cell r="E4104" t="str">
            <v>56,09</v>
          </cell>
        </row>
        <row r="4105">
          <cell r="A4105">
            <v>40421</v>
          </cell>
          <cell r="B4105" t="str">
            <v xml:space="preserve">TE RANHURADO EM FERRO FUNDIDO, DN 80 (3")                                                                                                                                                                                                                                                                                                                                                                                                                                                                 </v>
          </cell>
          <cell r="C4105" t="str">
            <v xml:space="preserve">UN    </v>
          </cell>
          <cell r="D4105" t="str">
            <v>CR</v>
          </cell>
          <cell r="E4105" t="str">
            <v>59,71</v>
          </cell>
        </row>
        <row r="4106">
          <cell r="A4106">
            <v>38905</v>
          </cell>
          <cell r="B4106" t="str">
            <v xml:space="preserve">TE ROSCA FEMEA, METALICO, PARA CONEXAO COM ANEL DESLIZANTE, DN 16 MM X 1/2", EM TUBO PEX PARA INST. AGUA QUENTE/FRIA                                                                                                                                                                                                                                                                                                                                                                                      </v>
          </cell>
          <cell r="C4106" t="str">
            <v xml:space="preserve">UN    </v>
          </cell>
          <cell r="D4106" t="str">
            <v>CR</v>
          </cell>
          <cell r="E4106" t="str">
            <v>18,57</v>
          </cell>
        </row>
        <row r="4107">
          <cell r="A4107">
            <v>38907</v>
          </cell>
          <cell r="B4107" t="str">
            <v xml:space="preserve">TE ROSCA FEMEA, METALICO, PARA CONEXAO COM ANEL DESLIZANTE, DN 20 MM X 1/2", EM TUBO PEX PARA INST. AGUA QUENTE/FRIA                                                                                                                                                                                                                                                                                                                                                                                      </v>
          </cell>
          <cell r="C4107" t="str">
            <v xml:space="preserve">UN    </v>
          </cell>
          <cell r="D4107" t="str">
            <v>CR</v>
          </cell>
          <cell r="E4107" t="str">
            <v>17,90</v>
          </cell>
        </row>
        <row r="4108">
          <cell r="A4108">
            <v>38910</v>
          </cell>
          <cell r="B4108" t="str">
            <v xml:space="preserve">TE ROSCA FEMEA, METALICO, PARA CONEXAO COM ANEL DESLIZANTE, DN 25 MM X 3/4", EM TUBO PEX PARA INST. AGUA QUENTE/FRIA                                                                                                                                                                                                                                                                                                                                                                                      </v>
          </cell>
          <cell r="C4108" t="str">
            <v xml:space="preserve">UN    </v>
          </cell>
          <cell r="D4108" t="str">
            <v>CR</v>
          </cell>
          <cell r="E4108" t="str">
            <v>20,94</v>
          </cell>
        </row>
        <row r="4109">
          <cell r="A4109">
            <v>11655</v>
          </cell>
          <cell r="B4109" t="str">
            <v xml:space="preserve">TE SANITARIO DE REDUCAO, PVC, DN 100 X 50 MM, SERIE NORMAL, PARA ESGOTO PREDIAL                                                                                                                                                                                                                                                                                                                                                                                                                           </v>
          </cell>
          <cell r="C4109" t="str">
            <v xml:space="preserve">UN    </v>
          </cell>
          <cell r="D4109" t="str">
            <v>CR</v>
          </cell>
          <cell r="E4109" t="str">
            <v>16,76</v>
          </cell>
        </row>
        <row r="4110">
          <cell r="A4110">
            <v>11656</v>
          </cell>
          <cell r="B4110" t="str">
            <v xml:space="preserve">TE SANITARIO DE REDUCAO, PVC, DN 100 X 75 MM, SERIE NORMAL PARA ESGOTO PREDIAL                                                                                                                                                                                                                                                                                                                                                                                                                            </v>
          </cell>
          <cell r="C4110" t="str">
            <v xml:space="preserve">UN    </v>
          </cell>
          <cell r="D4110" t="str">
            <v>CR</v>
          </cell>
          <cell r="E4110" t="str">
            <v>19,25</v>
          </cell>
        </row>
        <row r="4111">
          <cell r="A4111">
            <v>7091</v>
          </cell>
          <cell r="B4111" t="str">
            <v xml:space="preserve">TE SANITARIO, PVC, DN 100 X 100 MM, SERIE NORMAL, PARA ESGOTO PREDIAL                                                                                                                                                                                                                                                                                                                                                                                                                                     </v>
          </cell>
          <cell r="C4111" t="str">
            <v xml:space="preserve">UN    </v>
          </cell>
          <cell r="D4111" t="str">
            <v>CR</v>
          </cell>
          <cell r="E4111" t="str">
            <v>15,77</v>
          </cell>
        </row>
        <row r="4112">
          <cell r="A4112">
            <v>37948</v>
          </cell>
          <cell r="B4112" t="str">
            <v xml:space="preserve">TE SANITARIO, PVC, DN 40 X 40 MM, SERIE NORMAL, PARA ESGOTO PREDIAL                                                                                                                                                                                                                                                                                                                                                                                                                                       </v>
          </cell>
          <cell r="C4112" t="str">
            <v xml:space="preserve">UN    </v>
          </cell>
          <cell r="D4112" t="str">
            <v>CR</v>
          </cell>
          <cell r="E4112" t="str">
            <v>3,65</v>
          </cell>
        </row>
        <row r="4113">
          <cell r="A4113">
            <v>7097</v>
          </cell>
          <cell r="B4113" t="str">
            <v xml:space="preserve">TE SANITARIO, PVC, DN 50 X 50 MM, SERIE NORMAL, PARA ESGOTO PREDIAL                                                                                                                                                                                                                                                                                                                                                                                                                                       </v>
          </cell>
          <cell r="C4113" t="str">
            <v xml:space="preserve">UN    </v>
          </cell>
          <cell r="D4113" t="str">
            <v>CR</v>
          </cell>
          <cell r="E4113" t="str">
            <v>7,40</v>
          </cell>
        </row>
        <row r="4114">
          <cell r="A4114">
            <v>11658</v>
          </cell>
          <cell r="B4114" t="str">
            <v xml:space="preserve">TE SANITARIO, PVC, DN 75 X 75 MM, SERIE NORMAL PARA ESGOTO PREDIAL                                                                                                                                                                                                                                                                                                                                                                                                                                        </v>
          </cell>
          <cell r="C4114" t="str">
            <v xml:space="preserve">UN    </v>
          </cell>
          <cell r="D4114" t="str">
            <v>CR</v>
          </cell>
          <cell r="E4114" t="str">
            <v>16,37</v>
          </cell>
        </row>
        <row r="4115">
          <cell r="A4115">
            <v>7146</v>
          </cell>
          <cell r="B4115" t="str">
            <v xml:space="preserve">TE SOLDAVEL, PVC, 90 GRAUS, 110 MM, PARA AGUA FRIA PREDIAL (NBR 5648)                                                                                                                                                                                                                                                                                                                                                                                                                                     </v>
          </cell>
          <cell r="C4115" t="str">
            <v xml:space="preserve">UN    </v>
          </cell>
          <cell r="D4115" t="str">
            <v>CR</v>
          </cell>
          <cell r="E4115" t="str">
            <v>148,17</v>
          </cell>
        </row>
        <row r="4116">
          <cell r="A4116">
            <v>7138</v>
          </cell>
          <cell r="B4116" t="str">
            <v xml:space="preserve">TE SOLDAVEL, PVC, 90 GRAUS, 20 MM, PARA AGUA FRIA PREDIAL (NBR 5648)                                                                                                                                                                                                                                                                                                                                                                                                                                      </v>
          </cell>
          <cell r="C4116" t="str">
            <v xml:space="preserve">UN    </v>
          </cell>
          <cell r="D4116" t="str">
            <v>CR</v>
          </cell>
          <cell r="E4116" t="str">
            <v>0,94</v>
          </cell>
        </row>
        <row r="4117">
          <cell r="A4117">
            <v>7139</v>
          </cell>
          <cell r="B4117" t="str">
            <v xml:space="preserve">TE SOLDAVEL, PVC, 90 GRAUS, 25 MM, PARA AGUA FRIA PREDIAL (NBR 5648)                                                                                                                                                                                                                                                                                                                                                                                                                                      </v>
          </cell>
          <cell r="C4117" t="str">
            <v xml:space="preserve">UN    </v>
          </cell>
          <cell r="D4117" t="str">
            <v>CR</v>
          </cell>
          <cell r="E4117" t="str">
            <v>1,06</v>
          </cell>
        </row>
        <row r="4118">
          <cell r="A4118">
            <v>7140</v>
          </cell>
          <cell r="B4118" t="str">
            <v xml:space="preserve">TE SOLDAVEL, PVC, 90 GRAUS, 32 MM, PARA AGUA FRIA PREDIAL (NBR 5648)                                                                                                                                                                                                                                                                                                                                                                                                                                      </v>
          </cell>
          <cell r="C4118" t="str">
            <v xml:space="preserve">UN    </v>
          </cell>
          <cell r="D4118" t="str">
            <v>CR</v>
          </cell>
          <cell r="E4118" t="str">
            <v>3,33</v>
          </cell>
        </row>
        <row r="4119">
          <cell r="A4119">
            <v>7141</v>
          </cell>
          <cell r="B4119" t="str">
            <v xml:space="preserve">TE SOLDAVEL, PVC, 90 GRAUS, 40 MM, PARA AGUA FRIA PREDIAL (NBR 5648)                                                                                                                                                                                                                                                                                                                                                                                                                                      </v>
          </cell>
          <cell r="C4119" t="str">
            <v xml:space="preserve">UN    </v>
          </cell>
          <cell r="D4119" t="str">
            <v>CR</v>
          </cell>
          <cell r="E4119" t="str">
            <v>8,15</v>
          </cell>
        </row>
        <row r="4120">
          <cell r="A4120">
            <v>7143</v>
          </cell>
          <cell r="B4120" t="str">
            <v xml:space="preserve">TE SOLDAVEL, PVC, 90 GRAUS, 60 MM, PARA AGUA FRIA PREDIAL (NBR 5648)                                                                                                                                                                                                                                                                                                                                                                                                                                      </v>
          </cell>
          <cell r="C4120" t="str">
            <v xml:space="preserve">UN    </v>
          </cell>
          <cell r="D4120" t="str">
            <v>CR</v>
          </cell>
          <cell r="E4120" t="str">
            <v>27,35</v>
          </cell>
        </row>
        <row r="4121">
          <cell r="A4121">
            <v>7144</v>
          </cell>
          <cell r="B4121" t="str">
            <v xml:space="preserve">TE SOLDAVEL, PVC, 90 GRAUS, 75 MM, PARA AGUA FRIA PREDIAL (NBR 5648)                                                                                                                                                                                                                                                                                                                                                                                                                                      </v>
          </cell>
          <cell r="C4121" t="str">
            <v xml:space="preserve">UN    </v>
          </cell>
          <cell r="D4121" t="str">
            <v>CR</v>
          </cell>
          <cell r="E4121" t="str">
            <v>50,75</v>
          </cell>
        </row>
        <row r="4122">
          <cell r="A4122">
            <v>7145</v>
          </cell>
          <cell r="B4122" t="str">
            <v xml:space="preserve">TE SOLDAVEL, PVC, 90 GRAUS, 85 MM, PARA AGUA FRIA PREDIAL (NBR 5648)                                                                                                                                                                                                                                                                                                                                                                                                                                      </v>
          </cell>
          <cell r="C4122" t="str">
            <v xml:space="preserve">UN    </v>
          </cell>
          <cell r="D4122" t="str">
            <v>CR</v>
          </cell>
          <cell r="E4122" t="str">
            <v>69,00</v>
          </cell>
        </row>
        <row r="4123">
          <cell r="A4123">
            <v>7142</v>
          </cell>
          <cell r="B4123" t="str">
            <v xml:space="preserve">TE SOLDAVEL, PVC, 90 GRAUS,50 MM, PARA AGUA FRIA PREDIAL (NBR 5648)                                                                                                                                                                                                                                                                                                                                                                                                                                       </v>
          </cell>
          <cell r="C4123" t="str">
            <v xml:space="preserve">UN    </v>
          </cell>
          <cell r="D4123" t="str">
            <v>CR</v>
          </cell>
          <cell r="E4123" t="str">
            <v>8,52</v>
          </cell>
        </row>
        <row r="4124">
          <cell r="A4124">
            <v>3593</v>
          </cell>
          <cell r="B4124" t="str">
            <v xml:space="preserve">TE 45 GRAUS DE FERRO GALVANIZADO, COM ROSCA BSP, DE 1 1/2"                                                                                                                                                                                                                                                                                                                                                                                                                                                </v>
          </cell>
          <cell r="C4124" t="str">
            <v xml:space="preserve">UN    </v>
          </cell>
          <cell r="D4124" t="str">
            <v>CR</v>
          </cell>
          <cell r="E4124" t="str">
            <v>101,47</v>
          </cell>
        </row>
        <row r="4125">
          <cell r="A4125">
            <v>3588</v>
          </cell>
          <cell r="B4125" t="str">
            <v xml:space="preserve">TE 45 GRAUS DE FERRO GALVANIZADO, COM ROSCA BSP, DE 1 1/4"                                                                                                                                                                                                                                                                                                                                                                                                                                                </v>
          </cell>
          <cell r="C4125" t="str">
            <v xml:space="preserve">UN    </v>
          </cell>
          <cell r="D4125" t="str">
            <v>CR</v>
          </cell>
          <cell r="E4125" t="str">
            <v>78,21</v>
          </cell>
        </row>
        <row r="4126">
          <cell r="A4126">
            <v>3585</v>
          </cell>
          <cell r="B4126" t="str">
            <v xml:space="preserve">TE 45 GRAUS DE FERRO GALVANIZADO, COM ROSCA BSP, DE 1/2"                                                                                                                                                                                                                                                                                                                                                                                                                                                  </v>
          </cell>
          <cell r="C4126" t="str">
            <v xml:space="preserve">UN    </v>
          </cell>
          <cell r="D4126" t="str">
            <v>CR</v>
          </cell>
          <cell r="E4126" t="str">
            <v>24,16</v>
          </cell>
        </row>
        <row r="4127">
          <cell r="A4127">
            <v>3587</v>
          </cell>
          <cell r="B4127" t="str">
            <v xml:space="preserve">TE 45 GRAUS DE FERRO GALVANIZADO, COM ROSCA BSP, DE 1"                                                                                                                                                                                                                                                                                                                                                                                                                                                    </v>
          </cell>
          <cell r="C4127" t="str">
            <v xml:space="preserve">UN    </v>
          </cell>
          <cell r="D4127" t="str">
            <v>CR</v>
          </cell>
          <cell r="E4127" t="str">
            <v>48,53</v>
          </cell>
        </row>
        <row r="4128">
          <cell r="A4128">
            <v>3590</v>
          </cell>
          <cell r="B4128" t="str">
            <v xml:space="preserve">TE 45 GRAUS DE FERRO GALVANIZADO, COM ROSCA BSP, DE 2 1/2"                                                                                                                                                                                                                                                                                                                                                                                                                                                </v>
          </cell>
          <cell r="C4128" t="str">
            <v xml:space="preserve">UN    </v>
          </cell>
          <cell r="D4128" t="str">
            <v>CR</v>
          </cell>
          <cell r="E4128" t="str">
            <v>288,11</v>
          </cell>
        </row>
        <row r="4129">
          <cell r="A4129">
            <v>3589</v>
          </cell>
          <cell r="B4129" t="str">
            <v xml:space="preserve">TE 45 GRAUS DE FERRO GALVANIZADO, COM ROSCA BSP, DE 2"                                                                                                                                                                                                                                                                                                                                                                                                                                                    </v>
          </cell>
          <cell r="C4129" t="str">
            <v xml:space="preserve">UN    </v>
          </cell>
          <cell r="D4129" t="str">
            <v>CR</v>
          </cell>
          <cell r="E4129" t="str">
            <v>154,64</v>
          </cell>
        </row>
        <row r="4130">
          <cell r="A4130">
            <v>3586</v>
          </cell>
          <cell r="B4130" t="str">
            <v xml:space="preserve">TE 45 GRAUS DE FERRO GALVANIZADO, COM ROSCA BSP, DE 3/4"                                                                                                                                                                                                                                                                                                                                                                                                                                                  </v>
          </cell>
          <cell r="C4130" t="str">
            <v xml:space="preserve">UN    </v>
          </cell>
          <cell r="D4130" t="str">
            <v>CR</v>
          </cell>
          <cell r="E4130" t="str">
            <v>31,64</v>
          </cell>
        </row>
        <row r="4131">
          <cell r="A4131">
            <v>3592</v>
          </cell>
          <cell r="B4131" t="str">
            <v xml:space="preserve">TE 45 GRAUS DE FERRO GALVANIZADO, COM ROSCA BSP, DE 3"                                                                                                                                                                                                                                                                                                                                                                                                                                                    </v>
          </cell>
          <cell r="C4131" t="str">
            <v xml:space="preserve">UN    </v>
          </cell>
          <cell r="D4131" t="str">
            <v>CR</v>
          </cell>
          <cell r="E4131" t="str">
            <v>455,41</v>
          </cell>
        </row>
        <row r="4132">
          <cell r="A4132">
            <v>3591</v>
          </cell>
          <cell r="B4132" t="str">
            <v xml:space="preserve">TE 45 GRAUS DE FERRO GALVANIZADO, COM ROSCA BSP, DE 4"                                                                                                                                                                                                                                                                                                                                                                                                                                                    </v>
          </cell>
          <cell r="C4132" t="str">
            <v xml:space="preserve">UN    </v>
          </cell>
          <cell r="D4132" t="str">
            <v>CR</v>
          </cell>
          <cell r="E4132" t="str">
            <v>730,05</v>
          </cell>
        </row>
        <row r="4133">
          <cell r="A4133">
            <v>40396</v>
          </cell>
          <cell r="B4133" t="str">
            <v xml:space="preserve">TE 90 GRAUS EM ACO CARBONO, SOLDAVEL, PRESSAO 3.000 LBS, DN 1 1/2"                                                                                                                                                                                                                                                                                                                                                                                                                                        </v>
          </cell>
          <cell r="C4133" t="str">
            <v xml:space="preserve">UN    </v>
          </cell>
          <cell r="D4133" t="str">
            <v>CR</v>
          </cell>
          <cell r="E4133" t="str">
            <v>132,28</v>
          </cell>
        </row>
        <row r="4134">
          <cell r="A4134">
            <v>40395</v>
          </cell>
          <cell r="B4134" t="str">
            <v xml:space="preserve">TE 90 GRAUS EM ACO CARBONO, SOLDAVEL, PRESSAO 3.000 LBS, DN 1 1/4"                                                                                                                                                                                                                                                                                                                                                                                                                                        </v>
          </cell>
          <cell r="C4134" t="str">
            <v xml:space="preserve">UN    </v>
          </cell>
          <cell r="D4134" t="str">
            <v>CR</v>
          </cell>
          <cell r="E4134" t="str">
            <v>101,52</v>
          </cell>
        </row>
        <row r="4135">
          <cell r="A4135">
            <v>40392</v>
          </cell>
          <cell r="B4135" t="str">
            <v xml:space="preserve">TE 90 GRAUS EM ACO CARBONO, SOLDAVEL, PRESSAO 3.000 LBS, DN 1/2"                                                                                                                                                                                                                                                                                                                                                                                                                                          </v>
          </cell>
          <cell r="C4135" t="str">
            <v xml:space="preserve">UN    </v>
          </cell>
          <cell r="D4135" t="str">
            <v>CR</v>
          </cell>
          <cell r="E4135" t="str">
            <v>32,66</v>
          </cell>
        </row>
        <row r="4136">
          <cell r="A4136">
            <v>40394</v>
          </cell>
          <cell r="B4136" t="str">
            <v xml:space="preserve">TE 90 GRAUS EM ACO CARBONO, SOLDAVEL, PRESSAO 3.000 LBS, DN 1"                                                                                                                                                                                                                                                                                                                                                                                                                                            </v>
          </cell>
          <cell r="C4136" t="str">
            <v xml:space="preserve">UN    </v>
          </cell>
          <cell r="D4136" t="str">
            <v>CR</v>
          </cell>
          <cell r="E4136" t="str">
            <v>66,09</v>
          </cell>
        </row>
        <row r="4137">
          <cell r="A4137">
            <v>40398</v>
          </cell>
          <cell r="B4137" t="str">
            <v xml:space="preserve">TE 90 GRAUS EM ACO CARBONO, SOLDAVEL, PRESSAO 3.000 LBS, DN 2 1/2"                                                                                                                                                                                                                                                                                                                                                                                                                                        </v>
          </cell>
          <cell r="C4137" t="str">
            <v xml:space="preserve">UN    </v>
          </cell>
          <cell r="D4137" t="str">
            <v>CR</v>
          </cell>
          <cell r="E4137" t="str">
            <v>424,39</v>
          </cell>
        </row>
        <row r="4138">
          <cell r="A4138">
            <v>40397</v>
          </cell>
          <cell r="B4138" t="str">
            <v xml:space="preserve">TE 90 GRAUS EM ACO CARBONO, SOLDAVEL, PRESSAO 3.000 LBS, DN 2"                                                                                                                                                                                                                                                                                                                                                                                                                                            </v>
          </cell>
          <cell r="C4138" t="str">
            <v xml:space="preserve">UN    </v>
          </cell>
          <cell r="D4138" t="str">
            <v>CR</v>
          </cell>
          <cell r="E4138" t="str">
            <v>217,34</v>
          </cell>
        </row>
        <row r="4139">
          <cell r="A4139">
            <v>40393</v>
          </cell>
          <cell r="B4139" t="str">
            <v xml:space="preserve">TE 90 GRAUS EM ACO CARBONO, SOLDAVEL, PRESSAO 3.000 LBS, DN 3/4"                                                                                                                                                                                                                                                                                                                                                                                                                                          </v>
          </cell>
          <cell r="C4139" t="str">
            <v xml:space="preserve">UN    </v>
          </cell>
          <cell r="D4139" t="str">
            <v>CR</v>
          </cell>
          <cell r="E4139" t="str">
            <v>42,07</v>
          </cell>
        </row>
        <row r="4140">
          <cell r="A4140">
            <v>40399</v>
          </cell>
          <cell r="B4140" t="str">
            <v xml:space="preserve">TE 90 GRAUS EM ACO CARBONO, SOLDAVEL, PRESSAO 3.000 LBS, DN 3"                                                                                                                                                                                                                                                                                                                                                                                                                                            </v>
          </cell>
          <cell r="C4140" t="str">
            <v xml:space="preserve">UN    </v>
          </cell>
          <cell r="D4140" t="str">
            <v>CR</v>
          </cell>
          <cell r="E4140" t="str">
            <v>694,30</v>
          </cell>
        </row>
        <row r="4141">
          <cell r="A4141">
            <v>39322</v>
          </cell>
          <cell r="B4141" t="str">
            <v xml:space="preserve">TE, PLASTICO, DN 16 MM, PARA CONEXAO COM CRIMPAGEM, EM TUBO PEX PARA INST. AGUA QUENTE/FRIA                                                                                                                                                                                                                                                                                                                                                                                                               </v>
          </cell>
          <cell r="C4141" t="str">
            <v xml:space="preserve">UN    </v>
          </cell>
          <cell r="D4141" t="str">
            <v>CR</v>
          </cell>
          <cell r="E4141" t="str">
            <v>8,83</v>
          </cell>
        </row>
        <row r="4142">
          <cell r="A4142">
            <v>39289</v>
          </cell>
          <cell r="B4142" t="str">
            <v xml:space="preserve">TE, PLASTICO, DN 20 MM, PARA CONEXAO COM CRIMPAGEM, EM TUBO PEX PARA INST. AGUA QUENTE/FRIA                                                                                                                                                                                                                                                                                                                                                                                                               </v>
          </cell>
          <cell r="C4142" t="str">
            <v xml:space="preserve">UN    </v>
          </cell>
          <cell r="D4142" t="str">
            <v>CR</v>
          </cell>
          <cell r="E4142" t="str">
            <v>16,46</v>
          </cell>
        </row>
        <row r="4143">
          <cell r="A4143">
            <v>39290</v>
          </cell>
          <cell r="B4143" t="str">
            <v xml:space="preserve">TE, PLASTICO, DN 25 MM, PARA CONEXAO COM CRIMPAGEM, EM TUBO PEX PARA INST. AGUA QUENTE/FRIA                                                                                                                                                                                                                                                                                                                                                                                                               </v>
          </cell>
          <cell r="C4143" t="str">
            <v xml:space="preserve">UN    </v>
          </cell>
          <cell r="D4143" t="str">
            <v>CR</v>
          </cell>
          <cell r="E4143" t="str">
            <v>27,80</v>
          </cell>
        </row>
        <row r="4144">
          <cell r="A4144">
            <v>39291</v>
          </cell>
          <cell r="B4144" t="str">
            <v xml:space="preserve">TE, PLASTICO, DN 32 MM, PARA CONEXAO COM CRIMPAGEM, EM TUBO PEX PARA INST. AGUA QUENTE/FRIA                                                                                                                                                                                                                                                                                                                                                                                                               </v>
          </cell>
          <cell r="C4144" t="str">
            <v xml:space="preserve">UN    </v>
          </cell>
          <cell r="D4144" t="str">
            <v>CR</v>
          </cell>
          <cell r="E4144" t="str">
            <v>30,74</v>
          </cell>
        </row>
        <row r="4145">
          <cell r="A4145">
            <v>41892</v>
          </cell>
          <cell r="B4145" t="str">
            <v xml:space="preserve">TE, PVC PBA, BBB, 90 GRAUS, DN 100 / DE 110 MM, PARA REDE  AGUA (NBR 10351)                                                                                                                                                                                                                                                                                                                                                                                                                               </v>
          </cell>
          <cell r="C4145" t="str">
            <v xml:space="preserve">UN    </v>
          </cell>
          <cell r="D4145" t="str">
            <v>CR</v>
          </cell>
          <cell r="E4145" t="str">
            <v>104,73</v>
          </cell>
        </row>
        <row r="4146">
          <cell r="A4146">
            <v>7048</v>
          </cell>
          <cell r="B4146" t="str">
            <v xml:space="preserve">TE, PVC PBA, BBB, 90 GRAUS, DN 50 / DE 60 MM, PARA REDE AGUA (NBR 10351)                                                                                                                                                                                                                                                                                                                                                                                                                                  </v>
          </cell>
          <cell r="C4146" t="str">
            <v xml:space="preserve">UN    </v>
          </cell>
          <cell r="D4146" t="str">
            <v>CR</v>
          </cell>
          <cell r="E4146" t="str">
            <v>22,60</v>
          </cell>
        </row>
        <row r="4147">
          <cell r="A4147">
            <v>7088</v>
          </cell>
          <cell r="B4147" t="str">
            <v xml:space="preserve">TE, PVC PBA, BBB, 90 GRAUS, DN 75 / DE 85 MM, PARA REDE AGUA (NBR 10351)                                                                                                                                                                                                                                                                                                                                                                                                                                  </v>
          </cell>
          <cell r="C4147" t="str">
            <v xml:space="preserve">UN    </v>
          </cell>
          <cell r="D4147" t="str">
            <v>CR</v>
          </cell>
          <cell r="E4147" t="str">
            <v>49,43</v>
          </cell>
        </row>
        <row r="4148">
          <cell r="A4148">
            <v>20179</v>
          </cell>
          <cell r="B4148" t="str">
            <v xml:space="preserve">TE, PVC, SERIE R, 100 X 100 MM, PARA ESGOTO PREDIAL                                                                                                                                                                                                                                                                                                                                                                                                                                                       </v>
          </cell>
          <cell r="C4148" t="str">
            <v xml:space="preserve">UN    </v>
          </cell>
          <cell r="D4148" t="str">
            <v>CR</v>
          </cell>
          <cell r="E4148" t="str">
            <v>43,14</v>
          </cell>
        </row>
        <row r="4149">
          <cell r="A4149">
            <v>20178</v>
          </cell>
          <cell r="B4149" t="str">
            <v xml:space="preserve">TE, PVC, SERIE R, 100 X 75 MM, PARA ESGOTO PREDIAL                                                                                                                                                                                                                                                                                                                                                                                                                                                        </v>
          </cell>
          <cell r="C4149" t="str">
            <v xml:space="preserve">UN    </v>
          </cell>
          <cell r="D4149" t="str">
            <v>CR</v>
          </cell>
          <cell r="E4149" t="str">
            <v>51,71</v>
          </cell>
        </row>
        <row r="4150">
          <cell r="A4150">
            <v>20180</v>
          </cell>
          <cell r="B4150" t="str">
            <v xml:space="preserve">TE, PVC, SERIE R, 150 X 100 MM, PARA ESGOTO PREDIAL                                                                                                                                                                                                                                                                                                                                                                                                                                                       </v>
          </cell>
          <cell r="C4150" t="str">
            <v xml:space="preserve">UN    </v>
          </cell>
          <cell r="D4150" t="str">
            <v>CR</v>
          </cell>
          <cell r="E4150" t="str">
            <v>85,35</v>
          </cell>
        </row>
        <row r="4151">
          <cell r="A4151">
            <v>20181</v>
          </cell>
          <cell r="B4151" t="str">
            <v xml:space="preserve">TE, PVC, SERIE R, 150 X 150 MM, PARA ESGOTO PREDIAL                                                                                                                                                                                                                                                                                                                                                                                                                                                       </v>
          </cell>
          <cell r="C4151" t="str">
            <v xml:space="preserve">UN    </v>
          </cell>
          <cell r="D4151" t="str">
            <v>CR</v>
          </cell>
          <cell r="E4151" t="str">
            <v>114,28</v>
          </cell>
        </row>
        <row r="4152">
          <cell r="A4152">
            <v>20177</v>
          </cell>
          <cell r="B4152" t="str">
            <v xml:space="preserve">TE, PVC, SERIE R, 75 X 75 MM, PARA ESGOTO PREDIAL                                                                                                                                                                                                                                                                                                                                                                                                                                                         </v>
          </cell>
          <cell r="C4152" t="str">
            <v xml:space="preserve">UN    </v>
          </cell>
          <cell r="D4152" t="str">
            <v>CR</v>
          </cell>
          <cell r="E4152" t="str">
            <v>28,27</v>
          </cell>
        </row>
        <row r="4153">
          <cell r="A4153">
            <v>7070</v>
          </cell>
          <cell r="B4153" t="str">
            <v xml:space="preserve">TE, PVC, 90 GRAUS, BBB, JE, DN 200 MM, PARA REDE COLETORA ESGOTO                                                                                                                                                                                                                                                                                                                                                                                                                                          </v>
          </cell>
          <cell r="C4153" t="str">
            <v xml:space="preserve">UN    </v>
          </cell>
          <cell r="D4153" t="str">
            <v>CR</v>
          </cell>
          <cell r="E4153" t="str">
            <v>202,84</v>
          </cell>
        </row>
        <row r="4154">
          <cell r="A4154">
            <v>40945</v>
          </cell>
          <cell r="B4154" t="str">
            <v xml:space="preserve">TECNICO DE EDIFICACOES (HORISTA)                                                                                                                                                                                                                                                                                                                                                                                                                                                                          </v>
          </cell>
          <cell r="C4154" t="str">
            <v xml:space="preserve">H     </v>
          </cell>
          <cell r="D4154" t="str">
            <v>CR</v>
          </cell>
          <cell r="E4154" t="str">
            <v>53,45</v>
          </cell>
        </row>
        <row r="4155">
          <cell r="A4155">
            <v>40946</v>
          </cell>
          <cell r="B4155" t="str">
            <v xml:space="preserve">TECNICO DE EDIFICACOES (MENSALISTA)                                                                                                                                                                                                                                                                                                                                                                                                                                                                       </v>
          </cell>
          <cell r="C4155" t="str">
            <v xml:space="preserve">MES   </v>
          </cell>
          <cell r="D4155" t="str">
            <v>CR</v>
          </cell>
          <cell r="E4155" t="str">
            <v>9.358,61</v>
          </cell>
        </row>
        <row r="4156">
          <cell r="A4156">
            <v>7153</v>
          </cell>
          <cell r="B4156" t="str">
            <v xml:space="preserve">TECNICO EM LABORATORIO E CAMPO DE CONSTRUCAO CIVIL (HORISTA)                                                                                                                                                                                                                                                                                                                                                                                                                                              </v>
          </cell>
          <cell r="C4156" t="str">
            <v xml:space="preserve">H     </v>
          </cell>
          <cell r="D4156" t="str">
            <v>CR</v>
          </cell>
          <cell r="E4156" t="str">
            <v>55,30</v>
          </cell>
        </row>
        <row r="4157">
          <cell r="A4157">
            <v>41089</v>
          </cell>
          <cell r="B4157" t="str">
            <v xml:space="preserve">TECNICO EM LABORATORIO E CAMPO DE CONSTRUCAO CIVIL (MENSALISTA)                                                                                                                                                                                                                                                                                                                                                                                                                                           </v>
          </cell>
          <cell r="C4157" t="str">
            <v xml:space="preserve">MES   </v>
          </cell>
          <cell r="D4157" t="str">
            <v>CR</v>
          </cell>
          <cell r="E4157" t="str">
            <v>9.680,75</v>
          </cell>
        </row>
        <row r="4158">
          <cell r="A4158">
            <v>40943</v>
          </cell>
          <cell r="B4158" t="str">
            <v xml:space="preserve">TECNICO EM SEGURANCA DO TRABALHO (HORISTA)                                                                                                                                                                                                                                                                                                                                                                                                                                                                </v>
          </cell>
          <cell r="C4158" t="str">
            <v xml:space="preserve">H     </v>
          </cell>
          <cell r="D4158" t="str">
            <v>CR</v>
          </cell>
          <cell r="E4158" t="str">
            <v>67,48</v>
          </cell>
        </row>
        <row r="4159">
          <cell r="A4159">
            <v>40944</v>
          </cell>
          <cell r="B4159" t="str">
            <v xml:space="preserve">TECNICO EM SEGURANCA DO TRABALHO (MENSALISTA)                                                                                                                                                                                                                                                                                                                                                                                                                                                             </v>
          </cell>
          <cell r="C4159" t="str">
            <v xml:space="preserve">MES   </v>
          </cell>
          <cell r="D4159" t="str">
            <v>CR</v>
          </cell>
          <cell r="E4159" t="str">
            <v>11.812,25</v>
          </cell>
        </row>
        <row r="4160">
          <cell r="A4160">
            <v>6175</v>
          </cell>
          <cell r="B4160" t="str">
            <v xml:space="preserve">TECNICO EM SONDAGEM (HORISTA)                                                                                                                                                                                                                                                                                                                                                                                                                                                                             </v>
          </cell>
          <cell r="C4160" t="str">
            <v xml:space="preserve">H     </v>
          </cell>
          <cell r="D4160" t="str">
            <v>CR</v>
          </cell>
          <cell r="E4160" t="str">
            <v>25,92</v>
          </cell>
        </row>
        <row r="4161">
          <cell r="A4161">
            <v>41092</v>
          </cell>
          <cell r="B4161" t="str">
            <v xml:space="preserve">TECNICO EM SONDAGEM (MENSALISTA)                                                                                                                                                                                                                                                                                                                                                                                                                                                                          </v>
          </cell>
          <cell r="C4161" t="str">
            <v xml:space="preserve">MES   </v>
          </cell>
          <cell r="D4161" t="str">
            <v>CR</v>
          </cell>
          <cell r="E4161" t="str">
            <v>4.538,63</v>
          </cell>
        </row>
        <row r="4162">
          <cell r="A4162">
            <v>37712</v>
          </cell>
          <cell r="B4162" t="str">
            <v xml:space="preserve">TELA ARAME GALVANIZADO REVESTIDO COM POLIMERO, MALHA HEXAGONAL DUPLA TORCAO, 8 X 10 CM (ZN/AL REVESTIDO COM POLIMERO), FIO *2,4* MM                                                                                                                                                                                                                                                                                                                                                                       </v>
          </cell>
          <cell r="C4162" t="str">
            <v xml:space="preserve">M2    </v>
          </cell>
          <cell r="D4162" t="str">
            <v>CR</v>
          </cell>
          <cell r="E4162" t="str">
            <v>61,09</v>
          </cell>
        </row>
        <row r="4163">
          <cell r="A4163">
            <v>34547</v>
          </cell>
          <cell r="B4163" t="str">
            <v xml:space="preserve">TELA DE ACO SOLDADA GALVANIZADA/ZINCADA PARA ALVENARIA, FIO  D = *1,20 A 1,70* MM, MALHA 15 X 15 MM, (C X L) *50 X 12* CM                                                                                                                                                                                                                                                                                                                                                                                 </v>
          </cell>
          <cell r="C4163" t="str">
            <v xml:space="preserve">M     </v>
          </cell>
          <cell r="D4163" t="str">
            <v>CR</v>
          </cell>
          <cell r="E4163" t="str">
            <v>3,22</v>
          </cell>
        </row>
        <row r="4164">
          <cell r="A4164">
            <v>34548</v>
          </cell>
          <cell r="B4164" t="str">
            <v xml:space="preserve">TELA DE ACO SOLDADA GALVANIZADA/ZINCADA PARA ALVENARIA, FIO  D = *1,20 A 1,70* MM, MALHA 15 X 15 MM, (C X L) *50 X 17,5* CM                                                                                                                                                                                                                                                                                                                                                                               </v>
          </cell>
          <cell r="C4164" t="str">
            <v xml:space="preserve">M     </v>
          </cell>
          <cell r="D4164" t="str">
            <v>CR</v>
          </cell>
          <cell r="E4164" t="str">
            <v>5,29</v>
          </cell>
        </row>
        <row r="4165">
          <cell r="A4165">
            <v>34558</v>
          </cell>
          <cell r="B4165" t="str">
            <v xml:space="preserve">TELA DE ACO SOLDADA GALVANIZADA/ZINCADA PARA ALVENARIA, FIO D = *1,20 A 1,70* MM, MALHA 15 X 15 MM, (C X L) *50 X 10,5* CM                                                                                                                                                                                                                                                                                                                                                                                </v>
          </cell>
          <cell r="C4165" t="str">
            <v xml:space="preserve">M     </v>
          </cell>
          <cell r="D4165" t="str">
            <v>CR</v>
          </cell>
          <cell r="E4165" t="str">
            <v>2,62</v>
          </cell>
        </row>
        <row r="4166">
          <cell r="A4166">
            <v>34550</v>
          </cell>
          <cell r="B4166" t="str">
            <v xml:space="preserve">TELA DE ACO SOLDADA GALVANIZADA/ZINCADA PARA ALVENARIA, FIO D = *1,20 A 1,70* MM, MALHA 15 X 15 MM, (C X L) *50 X 6* CM                                                                                                                                                                                                                                                                                                                                                                                   </v>
          </cell>
          <cell r="C4166" t="str">
            <v xml:space="preserve">M     </v>
          </cell>
          <cell r="D4166" t="str">
            <v>CR</v>
          </cell>
          <cell r="E4166" t="str">
            <v>1,39</v>
          </cell>
        </row>
        <row r="4167">
          <cell r="A4167">
            <v>34557</v>
          </cell>
          <cell r="B4167" t="str">
            <v xml:space="preserve">TELA DE ACO SOLDADA GALVANIZADA/ZINCADA PARA ALVENARIA, FIO D = *1,20 A 1,70* MM, MALHA 15 X 15 MM, (C X L) *50 X 7,5* CM                                                                                                                                                                                                                                                                                                                                                                                 </v>
          </cell>
          <cell r="C4167" t="str">
            <v xml:space="preserve">M     </v>
          </cell>
          <cell r="D4167" t="str">
            <v>CR</v>
          </cell>
          <cell r="E4167" t="str">
            <v>2,04</v>
          </cell>
        </row>
        <row r="4168">
          <cell r="A4168">
            <v>37411</v>
          </cell>
          <cell r="B4168" t="str">
            <v xml:space="preserve">TELA DE ACO SOLDADA GALVANIZADA/ZINCADA PARA ALVENARIA, FIO D = *1,24 MM, MALHA 25 X 25 MM                                                                                                                                                                                                                                                                                                                                                                                                                </v>
          </cell>
          <cell r="C4168" t="str">
            <v xml:space="preserve">M2    </v>
          </cell>
          <cell r="D4168" t="str">
            <v>CR</v>
          </cell>
          <cell r="E4168" t="str">
            <v>14,93</v>
          </cell>
        </row>
        <row r="4169">
          <cell r="A4169">
            <v>39508</v>
          </cell>
          <cell r="B4169" t="str">
            <v xml:space="preserve">TELA DE ACO SOLDADA NERVURADA, CA-60, L-159, (1,69 KG/M2), DIAMETRO DO FIO = 4,5 MM, LARGURA = 2,45 M, ESPACAMENTO DA MALHA = 30 X 10 CM                                                                                                                                                                                                                                                                                                                                                                  </v>
          </cell>
          <cell r="C4169" t="str">
            <v xml:space="preserve">M2    </v>
          </cell>
          <cell r="D4169" t="str">
            <v>CR</v>
          </cell>
          <cell r="E4169" t="str">
            <v>8,38</v>
          </cell>
        </row>
        <row r="4170">
          <cell r="A4170">
            <v>39507</v>
          </cell>
          <cell r="B4170" t="str">
            <v xml:space="preserve">TELA DE ACO SOLDADA NERVURADA, CA-60, Q-113, (1,8 KG/M2), DIAMETRO DO FIO = 3,8 MM, LARGURA = 2,45 M, ESPACAMENTO DA MALHA = 10 X 10 CM                                                                                                                                                                                                                                                                                                                                                                   </v>
          </cell>
          <cell r="C4170" t="str">
            <v xml:space="preserve">M2    </v>
          </cell>
          <cell r="D4170" t="str">
            <v>CR</v>
          </cell>
          <cell r="E4170" t="str">
            <v>12,51</v>
          </cell>
        </row>
        <row r="4171">
          <cell r="A4171">
            <v>7155</v>
          </cell>
          <cell r="B4171" t="str">
            <v xml:space="preserve">TELA DE ACO SOLDADA NERVURADA, CA-60, Q-138, (2,20 KG/M2), DIAMETRO DO FIO = 4,2 MM, LARGURA = 2,45 M, ESPACAMENTO DA MALHA = 10  X 10 CM                                                                                                                                                                                                                                                                                                                                                                 </v>
          </cell>
          <cell r="C4171" t="str">
            <v xml:space="preserve">M2    </v>
          </cell>
          <cell r="D4171" t="str">
            <v>CR</v>
          </cell>
          <cell r="E4171" t="str">
            <v>16,06</v>
          </cell>
        </row>
        <row r="4172">
          <cell r="A4172">
            <v>42406</v>
          </cell>
          <cell r="B4172" t="str">
            <v xml:space="preserve">TELA DE ACO SOLDADA NERVURADA, CA-60, Q-159, (2,52 KG/M2), DIAMETRO DO FIO = 4,5 MM, LARGURA =  2,45 M, ESPACAMENTO DA MALHA = 10 X 10 CM                                                                                                                                                                                                                                                                                                                                                                 </v>
          </cell>
          <cell r="C4172" t="str">
            <v xml:space="preserve">M2    </v>
          </cell>
          <cell r="D4172" t="str">
            <v>CR</v>
          </cell>
          <cell r="E4172" t="str">
            <v>18,41</v>
          </cell>
        </row>
        <row r="4173">
          <cell r="A4173">
            <v>7156</v>
          </cell>
          <cell r="B4173" t="str">
            <v xml:space="preserve">TELA DE ACO SOLDADA NERVURADA, CA-60, Q-196, (3,11 KG/M2), DIAMETRO DO FIO = 5,0 MM, LARGURA = 2,45 M, ESPACAMENTO DA MALHA = 10 X 10 CM                                                                                                                                                                                                                                                                                                                                                                  </v>
          </cell>
          <cell r="C4173" t="str">
            <v xml:space="preserve">M2    </v>
          </cell>
          <cell r="D4173" t="str">
            <v xml:space="preserve">C </v>
          </cell>
          <cell r="E4173" t="str">
            <v>23,04</v>
          </cell>
        </row>
        <row r="4174">
          <cell r="A4174">
            <v>43127</v>
          </cell>
          <cell r="B4174" t="str">
            <v xml:space="preserve">TELA DE ACO SOLDADA NERVURADA, CA-60, Q-283 (4,48 KG/M2), DIAMETRO DO FIO = 6,0 MM, LARGURA = 2,45 X 6,00 M DE COMPRIMENTO, ESPACAMENTO DA MALHA = 10 X 10 CM                                                                                                                                                                                                                                                                                                                                             </v>
          </cell>
          <cell r="C4174" t="str">
            <v xml:space="preserve">M2    </v>
          </cell>
          <cell r="D4174" t="str">
            <v>CR</v>
          </cell>
          <cell r="E4174" t="str">
            <v>32,97</v>
          </cell>
        </row>
        <row r="4175">
          <cell r="A4175">
            <v>10917</v>
          </cell>
          <cell r="B4175" t="str">
            <v xml:space="preserve">TELA DE ACO SOLDADA NERVURADA, CA-60, Q-61, (0,97 KG/M2), DIAMETRO DO FIO = 3,4 MM, LARGURA = 2,45 M, ESPACAMENTO DA MALHA = 15 X 15 CM                                                                                                                                                                                                                                                                                                                                                                   </v>
          </cell>
          <cell r="C4175" t="str">
            <v xml:space="preserve">M2    </v>
          </cell>
          <cell r="D4175" t="str">
            <v>CR</v>
          </cell>
          <cell r="E4175" t="str">
            <v>6,96</v>
          </cell>
        </row>
        <row r="4176">
          <cell r="A4176">
            <v>21141</v>
          </cell>
          <cell r="B4176" t="str">
            <v xml:space="preserve">TELA DE ACO SOLDADA NERVURADA, CA-60, Q-92, (1,48 KG/M2), DIAMETRO DO FIO = 4,2 MM, LARGURA = 2,45 X 60 M DE COMPRIMENTO, ESPACAMENTO DA MALHA = 15  X 15 CM                                                                                                                                                                                                                                                                                                                                              </v>
          </cell>
          <cell r="C4176" t="str">
            <v xml:space="preserve">M2    </v>
          </cell>
          <cell r="D4176" t="str">
            <v>CR</v>
          </cell>
          <cell r="E4176" t="str">
            <v>10,77</v>
          </cell>
        </row>
        <row r="4177">
          <cell r="A4177">
            <v>39509</v>
          </cell>
          <cell r="B4177" t="str">
            <v xml:space="preserve">TELA DE ACO SOLDADA NERVURADA, CA-60, T-196, (2,11 KG/M2), DIAMETRO DO FIO = 5,0 MM, LARGURA = 2,45 M, ESPACAMENTO DA MALHA = 30 X 10 CM                                                                                                                                                                                                                                                                                                                                                                  </v>
          </cell>
          <cell r="C4177" t="str">
            <v xml:space="preserve">M2    </v>
          </cell>
          <cell r="D4177" t="str">
            <v>CR</v>
          </cell>
          <cell r="E4177" t="str">
            <v>10,36</v>
          </cell>
        </row>
        <row r="4178">
          <cell r="A4178">
            <v>44529</v>
          </cell>
          <cell r="B4178" t="str">
            <v xml:space="preserve">TELA DE ANIAGEM ( JUTA)                                                                                                                                                                                                                                                                                                                                                                                                                                                                                   </v>
          </cell>
          <cell r="C4178" t="str">
            <v xml:space="preserve">M2    </v>
          </cell>
          <cell r="D4178" t="str">
            <v>CR</v>
          </cell>
          <cell r="E4178" t="str">
            <v>22,44</v>
          </cell>
        </row>
        <row r="4179">
          <cell r="A4179">
            <v>7167</v>
          </cell>
          <cell r="B4179" t="str">
            <v xml:space="preserve">TELA DE ARAME GALVANIZADA QUADRANGULAR / LOSANGULAR, FIO 2,11 MM (14 BWG), MALHA 5 X 5 CM, H = 2 M                                                                                                                                                                                                                                                                                                                                                                                                        </v>
          </cell>
          <cell r="C4179" t="str">
            <v xml:space="preserve">M2    </v>
          </cell>
          <cell r="D4179" t="str">
            <v>CR</v>
          </cell>
          <cell r="E4179" t="str">
            <v>25,74</v>
          </cell>
        </row>
        <row r="4180">
          <cell r="A4180">
            <v>10928</v>
          </cell>
          <cell r="B4180" t="str">
            <v xml:space="preserve">TELA DE ARAME GALVANIZADA QUADRANGULAR / LOSANGULAR, FIO 2,11 MM (14 BWG), MALHA 8 X 8 CM, H = 2 M                                                                                                                                                                                                                                                                                                                                                                                                        </v>
          </cell>
          <cell r="C4180" t="str">
            <v xml:space="preserve">M2    </v>
          </cell>
          <cell r="D4180" t="str">
            <v>CR</v>
          </cell>
          <cell r="E4180" t="str">
            <v>14,79</v>
          </cell>
        </row>
        <row r="4181">
          <cell r="A4181">
            <v>10933</v>
          </cell>
          <cell r="B4181" t="str">
            <v xml:space="preserve">TELA DE ARAME GALVANIZADA QUADRANGULAR / LOSANGULAR, FIO 2,77 MM (12 BWG), MALHA 10 X 10 CM, H = 2 M                                                                                                                                                                                                                                                                                                                                                                                                      </v>
          </cell>
          <cell r="C4181" t="str">
            <v xml:space="preserve">M2    </v>
          </cell>
          <cell r="D4181" t="str">
            <v>CR</v>
          </cell>
          <cell r="E4181" t="str">
            <v>22,30</v>
          </cell>
        </row>
        <row r="4182">
          <cell r="A4182">
            <v>7158</v>
          </cell>
          <cell r="B4182" t="str">
            <v xml:space="preserve">TELA DE ARAME GALVANIZADA QUADRANGULAR / LOSANGULAR, FIO 2,77 MM (12 BWG), MALHA 5 X 5 CM, H = 2 M                                                                                                                                                                                                                                                                                                                                                                                                        </v>
          </cell>
          <cell r="C4182" t="str">
            <v xml:space="preserve">M2    </v>
          </cell>
          <cell r="D4182" t="str">
            <v xml:space="preserve">C </v>
          </cell>
          <cell r="E4182" t="str">
            <v>37,83</v>
          </cell>
        </row>
        <row r="4183">
          <cell r="A4183">
            <v>10927</v>
          </cell>
          <cell r="B4183" t="str">
            <v xml:space="preserve">TELA DE ARAME GALVANIZADA QUADRANGULAR / LOSANGULAR, FIO 2,77 MM (12 BWG), MALHA 8 X 8 CM, H = 2 M                                                                                                                                                                                                                                                                                                                                                                                                        </v>
          </cell>
          <cell r="C4183" t="str">
            <v xml:space="preserve">M2    </v>
          </cell>
          <cell r="D4183" t="str">
            <v>CR</v>
          </cell>
          <cell r="E4183" t="str">
            <v>24,19</v>
          </cell>
        </row>
        <row r="4184">
          <cell r="A4184">
            <v>7162</v>
          </cell>
          <cell r="B4184" t="str">
            <v xml:space="preserve">TELA DE ARAME GALVANIZADA QUADRANGULAR / LOSANGULAR, FIO 3,4 MM (10 BWG), MALHA 5 X 5 CM, H = 2 M                                                                                                                                                                                                                                                                                                                                                                                                         </v>
          </cell>
          <cell r="C4184" t="str">
            <v xml:space="preserve">M2    </v>
          </cell>
          <cell r="D4184" t="str">
            <v>CR</v>
          </cell>
          <cell r="E4184" t="str">
            <v>59,20</v>
          </cell>
        </row>
        <row r="4185">
          <cell r="A4185">
            <v>10932</v>
          </cell>
          <cell r="B4185" t="str">
            <v xml:space="preserve">TELA DE ARAME GALVANIZADA QUADRANGULAR / LOSANGULAR, FIO 4,19 MM (8 BWG), MALHA 5 X 5 CM, H = 2 M                                                                                                                                                                                                                                                                                                                                                                                                         </v>
          </cell>
          <cell r="C4185" t="str">
            <v xml:space="preserve">M2    </v>
          </cell>
          <cell r="D4185" t="str">
            <v>CR</v>
          </cell>
          <cell r="E4185" t="str">
            <v>102,97</v>
          </cell>
        </row>
        <row r="4186">
          <cell r="A4186">
            <v>10937</v>
          </cell>
          <cell r="B4186" t="str">
            <v xml:space="preserve">TELA DE ARAME GALVANIZADA REVESTIDA EM PVC, QUADRANGULAR / LOSANGULAR, FIO 2,11 MM (14 BWG), BITOLA FINAL = *2,8* MM, MALHA *8 X 8* CM, H = 2 M                                                                                                                                                                                                                                                                                                                                                           </v>
          </cell>
          <cell r="C4186" t="str">
            <v xml:space="preserve">M2    </v>
          </cell>
          <cell r="D4186" t="str">
            <v>CR</v>
          </cell>
          <cell r="E4186" t="str">
            <v>26,46</v>
          </cell>
        </row>
        <row r="4187">
          <cell r="A4187">
            <v>10935</v>
          </cell>
          <cell r="B4187" t="str">
            <v xml:space="preserve">TELA DE ARAME GALVANIZADA REVESTIDA EM PVC, QUADRANGULAR / LOSANGULAR, FIO 2,77 MM (12 BWG), BITOLA FINAL = *3,8* MM, MALHA 7,5 X 7,5 CM, H = 2 M                                                                                                                                                                                                                                                                                                                                                         </v>
          </cell>
          <cell r="C4187" t="str">
            <v xml:space="preserve">M2    </v>
          </cell>
          <cell r="D4187" t="str">
            <v>CR</v>
          </cell>
          <cell r="E4187" t="str">
            <v>45,90</v>
          </cell>
        </row>
        <row r="4188">
          <cell r="A4188">
            <v>10931</v>
          </cell>
          <cell r="B4188" t="str">
            <v xml:space="preserve">TELA DE ARAME GALVANIZADA, HEXAGONAL, FIO 0,56 MM (24 BWG), MALHA 1/2", H = 1 M                                                                                                                                                                                                                                                                                                                                                                                                                           </v>
          </cell>
          <cell r="C4188" t="str">
            <v xml:space="preserve">M2    </v>
          </cell>
          <cell r="D4188" t="str">
            <v>CR</v>
          </cell>
          <cell r="E4188" t="str">
            <v>12,91</v>
          </cell>
        </row>
        <row r="4189">
          <cell r="A4189">
            <v>7164</v>
          </cell>
          <cell r="B4189" t="str">
            <v xml:space="preserve">TELA DE ARAME ONDULADA, FIO *2,77* MM (12 BWG), MALHA 5 X 5 CM, H = 2 M                                                                                                                                                                                                                                                                                                                                                                                                                                   </v>
          </cell>
          <cell r="C4189" t="str">
            <v xml:space="preserve">M2    </v>
          </cell>
          <cell r="D4189" t="str">
            <v>CR</v>
          </cell>
          <cell r="E4189" t="str">
            <v>42,72</v>
          </cell>
        </row>
        <row r="4190">
          <cell r="A4190">
            <v>36887</v>
          </cell>
          <cell r="B4190" t="str">
            <v xml:space="preserve">TELA DE FIBRA DE VIDRO, ACABAMENTO ANTI-ALCALINO, MALHA 10 X 10 MM                                                                                                                                                                                                                                                                                                                                                                                                                                        </v>
          </cell>
          <cell r="C4190" t="str">
            <v xml:space="preserve">M2    </v>
          </cell>
          <cell r="D4190" t="str">
            <v>CR</v>
          </cell>
          <cell r="E4190" t="str">
            <v>8,87</v>
          </cell>
        </row>
        <row r="4191">
          <cell r="A4191">
            <v>34630</v>
          </cell>
          <cell r="B4191" t="str">
            <v xml:space="preserve">TELA EM MALHA HEXAGONAL DE DUPLA TORCAO 8 X 10 CM (ZN/AL REVESTIDO COM POLIMERO), FIO 2,7 MM, COM GEOMANTA OU BIOMANTA, DIMENSOES 4,0 X 2,0 X 0,6 M, COM INCLINACAO DE 70 GRAUS, PARA SOLO REFORCADO                                                                                                                                                                                                                                                                                                      </v>
          </cell>
          <cell r="C4191" t="str">
            <v xml:space="preserve">UN    </v>
          </cell>
          <cell r="D4191" t="str">
            <v>CR</v>
          </cell>
          <cell r="E4191" t="str">
            <v>992,96</v>
          </cell>
        </row>
        <row r="4192">
          <cell r="A4192">
            <v>7161</v>
          </cell>
          <cell r="B4192" t="str">
            <v xml:space="preserve">TELA EM METAL PARA ESTUQUE (DEPLOYE)                                                                                                                                                                                                                                                                                                                                                                                                                                                                      </v>
          </cell>
          <cell r="C4192" t="str">
            <v xml:space="preserve">M2    </v>
          </cell>
          <cell r="D4192" t="str">
            <v>CR</v>
          </cell>
          <cell r="E4192" t="str">
            <v>5,31</v>
          </cell>
        </row>
        <row r="4193">
          <cell r="A4193">
            <v>7170</v>
          </cell>
          <cell r="B4193" t="str">
            <v xml:space="preserve">TELA FACHADEIRA EM POLIETILENO, ROLO DE 3 X 100 M (L X C), COR BRANCA, SEM LOGOMARCA - PARA PROTECAO DE OBRAS                                                                                                                                                                                                                                                                                                                                                                                             </v>
          </cell>
          <cell r="C4193" t="str">
            <v xml:space="preserve">M2    </v>
          </cell>
          <cell r="D4193" t="str">
            <v>CR</v>
          </cell>
          <cell r="E4193" t="str">
            <v>2,14</v>
          </cell>
        </row>
        <row r="4194">
          <cell r="A4194">
            <v>37524</v>
          </cell>
          <cell r="B4194" t="str">
            <v xml:space="preserve">TELA PLASTICA LARANJA, TIPO TAPUME PARA SINALIZACAO, MALHA RETANGULAR, ROLO 1.20 X 50 M (L X C)                                                                                                                                                                                                                                                                                                                                                                                                           </v>
          </cell>
          <cell r="C4194" t="str">
            <v xml:space="preserve">M     </v>
          </cell>
          <cell r="D4194" t="str">
            <v xml:space="preserve">C </v>
          </cell>
          <cell r="E4194" t="str">
            <v>1,96</v>
          </cell>
        </row>
        <row r="4195">
          <cell r="A4195">
            <v>37525</v>
          </cell>
          <cell r="B4195" t="str">
            <v xml:space="preserve">TELA PLASTICA TECIDA LISTRADA BRANCA E LARANJA, TIPO GUARDA CORPO, EM POLIETILENO MONOFILADO, ROLO 1,20 X 50 M (L X C)                                                                                                                                                                                                                                                                                                                                                                                    </v>
          </cell>
          <cell r="C4195" t="str">
            <v xml:space="preserve">M     </v>
          </cell>
          <cell r="D4195" t="str">
            <v>CR</v>
          </cell>
          <cell r="E4195" t="str">
            <v>2,68</v>
          </cell>
        </row>
        <row r="4196">
          <cell r="A4196">
            <v>36789</v>
          </cell>
          <cell r="B4196" t="str">
            <v xml:space="preserve">TELHA CERAMICA TIPO AMERICANA, COMPRIMENTO DE *45* CM, RENDIMENTO DE *12* TELHAS/M2                                                                                                                                                                                                                                                                                                                                                                                                                       </v>
          </cell>
          <cell r="C4196" t="str">
            <v xml:space="preserve">UN    </v>
          </cell>
          <cell r="D4196" t="str">
            <v>CR</v>
          </cell>
          <cell r="E4196" t="str">
            <v>3,46</v>
          </cell>
        </row>
        <row r="4197">
          <cell r="A4197">
            <v>7173</v>
          </cell>
          <cell r="B4197" t="str">
            <v xml:space="preserve">TELHA DE BARRO / CERAMICA, NAO ESMALTADA, TIPO COLONIAL, CANAL, PLAN, PAULISTA, COMPRIMENTO DE *44 A 50* CM, RENDIMENTO DE COBERTURA DE *26* TELHAS/M2                                                                                                                                                                                                                                                                                                                                                    </v>
          </cell>
          <cell r="C4197" t="str">
            <v xml:space="preserve">MIL   </v>
          </cell>
          <cell r="D4197" t="str">
            <v xml:space="preserve">C </v>
          </cell>
          <cell r="E4197" t="str">
            <v>2.235,00</v>
          </cell>
        </row>
        <row r="4198">
          <cell r="A4198">
            <v>7175</v>
          </cell>
          <cell r="B4198" t="str">
            <v xml:space="preserve">TELHA DE BARRO / CERAMICA, NAO ESMALTADA, TIPO ROMANA, AMERICANA, PORTUGUESA, FRANCESA, COMPRIMENTO DE *41* CM,  RENDIMENTO DE *16* TELHAS/M2                                                                                                                                                                                                                                                                                                                                                             </v>
          </cell>
          <cell r="C4198" t="str">
            <v xml:space="preserve">UN    </v>
          </cell>
          <cell r="D4198" t="str">
            <v>CR</v>
          </cell>
          <cell r="E4198" t="str">
            <v>2,52</v>
          </cell>
        </row>
        <row r="4199">
          <cell r="A4199">
            <v>40741</v>
          </cell>
          <cell r="B4199" t="str">
            <v xml:space="preserve">TELHA DE CONCRETO TIPO CLASSICA, COR CINZA, COMPRIMENTO DE *42* CM,  RENDIMENTO DE *10* TELHAS/M2                                                                                                                                                                                                                                                                                                                                                                                                         </v>
          </cell>
          <cell r="C4199" t="str">
            <v xml:space="preserve">UN    </v>
          </cell>
          <cell r="D4199" t="str">
            <v>CR</v>
          </cell>
          <cell r="E4199" t="str">
            <v>3,15</v>
          </cell>
        </row>
        <row r="4200">
          <cell r="A4200">
            <v>7184</v>
          </cell>
          <cell r="B4200" t="str">
            <v xml:space="preserve">TELHA DE FIBRA DE VIDRO ONDULADA INCOLOR, E = 0,6 MM, DE *0,50 X 2,44* M                                                                                                                                                                                                                                                                                                                                                                                                                                  </v>
          </cell>
          <cell r="C4200" t="str">
            <v xml:space="preserve">M2    </v>
          </cell>
          <cell r="D4200" t="str">
            <v xml:space="preserve">C </v>
          </cell>
          <cell r="E4200" t="str">
            <v>50,49</v>
          </cell>
        </row>
        <row r="4201">
          <cell r="A4201">
            <v>34458</v>
          </cell>
          <cell r="B4201" t="str">
            <v xml:space="preserve">TELHA DE FIBROCIMENTO E = 6 MM, DE 3,00 X 1,06 M (SEM AMIANTO)                                                                                                                                                                                                                                                                                                                                                                                                                                            </v>
          </cell>
          <cell r="C4201" t="str">
            <v xml:space="preserve">UN    </v>
          </cell>
          <cell r="D4201" t="str">
            <v>CR</v>
          </cell>
          <cell r="E4201" t="str">
            <v>139,26</v>
          </cell>
        </row>
        <row r="4202">
          <cell r="A4202">
            <v>34464</v>
          </cell>
          <cell r="B4202" t="str">
            <v xml:space="preserve">TELHA DE FIBROCIMENTO E = 6 MM, DE 4,10 X 1,06 M (SEM AMIANTO)                                                                                                                                                                                                                                                                                                                                                                                                                                            </v>
          </cell>
          <cell r="C4202" t="str">
            <v xml:space="preserve">UN    </v>
          </cell>
          <cell r="D4202" t="str">
            <v>CR</v>
          </cell>
          <cell r="E4202" t="str">
            <v>207,29</v>
          </cell>
        </row>
        <row r="4203">
          <cell r="A4203">
            <v>34468</v>
          </cell>
          <cell r="B4203" t="str">
            <v xml:space="preserve">TELHA DE FIBROCIMENTO E = 6 MM, DE 4,60 X 1,06 M (SEM AMIANTO)                                                                                                                                                                                                                                                                                                                                                                                                                                            </v>
          </cell>
          <cell r="C4203" t="str">
            <v xml:space="preserve">UN    </v>
          </cell>
          <cell r="D4203" t="str">
            <v>CR</v>
          </cell>
          <cell r="E4203" t="str">
            <v>261,34</v>
          </cell>
        </row>
        <row r="4204">
          <cell r="A4204">
            <v>34473</v>
          </cell>
          <cell r="B4204" t="str">
            <v xml:space="preserve">TELHA DE FIBROCIMENTO E = 8 MM, DE 3,00 X 1,06 M (SEM AMIANTO)                                                                                                                                                                                                                                                                                                                                                                                                                                            </v>
          </cell>
          <cell r="C4204" t="str">
            <v xml:space="preserve">UN    </v>
          </cell>
          <cell r="D4204" t="str">
            <v>CR</v>
          </cell>
          <cell r="E4204" t="str">
            <v>158,53</v>
          </cell>
        </row>
        <row r="4205">
          <cell r="A4205">
            <v>34480</v>
          </cell>
          <cell r="B4205" t="str">
            <v xml:space="preserve">TELHA DE FIBROCIMENTO E = 8 MM, DE 4,10 X 1,06 M (SEM AMIANTO)                                                                                                                                                                                                                                                                                                                                                                                                                                            </v>
          </cell>
          <cell r="C4205" t="str">
            <v xml:space="preserve">UN    </v>
          </cell>
          <cell r="D4205" t="str">
            <v>CR</v>
          </cell>
          <cell r="E4205" t="str">
            <v>292,98</v>
          </cell>
        </row>
        <row r="4206">
          <cell r="A4206">
            <v>34486</v>
          </cell>
          <cell r="B4206" t="str">
            <v xml:space="preserve">TELHA DE FIBROCIMENTO E = 8 MM, DE 4,60 X 1,06 M (SEM AMIANTO)                                                                                                                                                                                                                                                                                                                                                                                                                                            </v>
          </cell>
          <cell r="C4206" t="str">
            <v xml:space="preserve">UN    </v>
          </cell>
          <cell r="D4206" t="str">
            <v>CR</v>
          </cell>
          <cell r="E4206" t="str">
            <v>346,88</v>
          </cell>
        </row>
        <row r="4207">
          <cell r="A4207">
            <v>7190</v>
          </cell>
          <cell r="B4207" t="str">
            <v xml:space="preserve">TELHA DE FIBROCIMENTO ONDULADA E = 4 MM, DE 1,22 X 0,50 M (SEM AMIANTO)                                                                                                                                                                                                                                                                                                                                                                                                                                   </v>
          </cell>
          <cell r="C4207" t="str">
            <v xml:space="preserve">UN    </v>
          </cell>
          <cell r="D4207" t="str">
            <v>CR</v>
          </cell>
          <cell r="E4207" t="str">
            <v>11,58</v>
          </cell>
        </row>
        <row r="4208">
          <cell r="A4208">
            <v>34417</v>
          </cell>
          <cell r="B4208" t="str">
            <v xml:space="preserve">TELHA DE FIBROCIMENTO ONDULADA E = 4 MM, DE 2,13 X 0,50 M (SEM AMIANTO)                                                                                                                                                                                                                                                                                                                                                                                                                                   </v>
          </cell>
          <cell r="C4208" t="str">
            <v xml:space="preserve">UN    </v>
          </cell>
          <cell r="D4208" t="str">
            <v>CR</v>
          </cell>
          <cell r="E4208" t="str">
            <v>18,53</v>
          </cell>
        </row>
        <row r="4209">
          <cell r="A4209">
            <v>7213</v>
          </cell>
          <cell r="B4209" t="str">
            <v xml:space="preserve">TELHA DE FIBROCIMENTO ONDULADA E = 4 MM, DE 2,44 X 0,50 M (SEM AMIANTO)                                                                                                                                                                                                                                                                                                                                                                                                                                   </v>
          </cell>
          <cell r="C4209" t="str">
            <v xml:space="preserve">M2    </v>
          </cell>
          <cell r="D4209" t="str">
            <v>CR</v>
          </cell>
          <cell r="E4209" t="str">
            <v>16,99</v>
          </cell>
        </row>
        <row r="4210">
          <cell r="A4210">
            <v>7195</v>
          </cell>
          <cell r="B4210" t="str">
            <v xml:space="preserve">TELHA DE FIBROCIMENTO ONDULADA E = 6 MM, DE 1,53 X 1,10 M (SEM AMIANTO)                                                                                                                                                                                                                                                                                                                                                                                                                                   </v>
          </cell>
          <cell r="C4210" t="str">
            <v xml:space="preserve">UN    </v>
          </cell>
          <cell r="D4210" t="str">
            <v>CR</v>
          </cell>
          <cell r="E4210" t="str">
            <v>49,90</v>
          </cell>
        </row>
        <row r="4211">
          <cell r="A4211">
            <v>7186</v>
          </cell>
          <cell r="B4211" t="str">
            <v xml:space="preserve">TELHA DE FIBROCIMENTO ONDULADA E = 6 MM, DE 1,83 X 1,10 M (SEM AMIANTO)                                                                                                                                                                                                                                                                                                                                                                                                                                   </v>
          </cell>
          <cell r="C4211" t="str">
            <v xml:space="preserve">UN    </v>
          </cell>
          <cell r="D4211" t="str">
            <v xml:space="preserve">C </v>
          </cell>
          <cell r="E4211" t="str">
            <v>54,36</v>
          </cell>
        </row>
        <row r="4212">
          <cell r="A4212">
            <v>7194</v>
          </cell>
          <cell r="B4212" t="str">
            <v xml:space="preserve">TELHA DE FIBROCIMENTO ONDULADA E = 6 MM, DE 2,44 X 1,10 M (SEM AMIANTO)                                                                                                                                                                                                                                                                                                                                                                                                                                   </v>
          </cell>
          <cell r="C4212" t="str">
            <v xml:space="preserve">M2    </v>
          </cell>
          <cell r="D4212" t="str">
            <v>CR</v>
          </cell>
          <cell r="E4212" t="str">
            <v>25,06</v>
          </cell>
        </row>
        <row r="4213">
          <cell r="A4213">
            <v>7197</v>
          </cell>
          <cell r="B4213" t="str">
            <v xml:space="preserve">TELHA DE FIBROCIMENTO ONDULADA E = 6 MM, DE 3,66 X 1,10 M (SEM AMIANTO)                                                                                                                                                                                                                                                                                                                                                                                                                                   </v>
          </cell>
          <cell r="C4213" t="str">
            <v xml:space="preserve">UN    </v>
          </cell>
          <cell r="D4213" t="str">
            <v>CR</v>
          </cell>
          <cell r="E4213" t="str">
            <v>105,78</v>
          </cell>
        </row>
        <row r="4214">
          <cell r="A4214">
            <v>7192</v>
          </cell>
          <cell r="B4214" t="str">
            <v xml:space="preserve">TELHA DE FIBROCIMENTO ONDULADA E = 8 MM, DE 1,53 X 1,10 M (SEM AMIANTO)                                                                                                                                                                                                                                                                                                                                                                                                                                   </v>
          </cell>
          <cell r="C4214" t="str">
            <v xml:space="preserve">UN    </v>
          </cell>
          <cell r="D4214" t="str">
            <v>CR</v>
          </cell>
          <cell r="E4214" t="str">
            <v>94,77</v>
          </cell>
        </row>
        <row r="4215">
          <cell r="A4215">
            <v>7193</v>
          </cell>
          <cell r="B4215" t="str">
            <v xml:space="preserve">TELHA DE FIBROCIMENTO ONDULADA E = 8 MM, DE 1,83 X 1,10 M (SEM AMIANTO)                                                                                                                                                                                                                                                                                                                                                                                                                                   </v>
          </cell>
          <cell r="C4215" t="str">
            <v xml:space="preserve">UN    </v>
          </cell>
          <cell r="D4215" t="str">
            <v>CR</v>
          </cell>
          <cell r="E4215" t="str">
            <v>106,70</v>
          </cell>
        </row>
        <row r="4216">
          <cell r="A4216">
            <v>7189</v>
          </cell>
          <cell r="B4216" t="str">
            <v xml:space="preserve">TELHA DE FIBROCIMENTO ONDULADA E = 8 MM, DE 2,44 X 1,10 M (SEM AMIANTO)                                                                                                                                                                                                                                                                                                                                                                                                                                   </v>
          </cell>
          <cell r="C4216" t="str">
            <v xml:space="preserve">UN    </v>
          </cell>
          <cell r="D4216" t="str">
            <v>CR</v>
          </cell>
          <cell r="E4216" t="str">
            <v>124,00</v>
          </cell>
        </row>
        <row r="4217">
          <cell r="A4217">
            <v>34402</v>
          </cell>
          <cell r="B4217" t="str">
            <v xml:space="preserve">TELHA DE FIBROCIMENTO ONDULADA E = 8 MM, DE 3,66 X 1,10 M (SEM AMIANTO)                                                                                                                                                                                                                                                                                                                                                                                                                                   </v>
          </cell>
          <cell r="C4217" t="str">
            <v xml:space="preserve">UN    </v>
          </cell>
          <cell r="D4217" t="str">
            <v>CR</v>
          </cell>
          <cell r="E4217" t="str">
            <v>175,06</v>
          </cell>
        </row>
        <row r="4218">
          <cell r="A4218">
            <v>7245</v>
          </cell>
          <cell r="B4218" t="str">
            <v xml:space="preserve">TELHA DE VIDRO TIPO FRANCESA, *39 X 23* CM                                                                                                                                                                                                                                                                                                                                                                                                                                                                </v>
          </cell>
          <cell r="C4218" t="str">
            <v xml:space="preserve">UN    </v>
          </cell>
          <cell r="D4218" t="str">
            <v>CR</v>
          </cell>
          <cell r="E4218" t="str">
            <v>30,31</v>
          </cell>
        </row>
        <row r="4219">
          <cell r="A4219">
            <v>34425</v>
          </cell>
          <cell r="B4219" t="str">
            <v xml:space="preserve">TELHA ESTRUTURAL DE FIBROCIMENTO 1 ABA, DE 0,52 X 2,00 M (SEM AMIANTO)                                                                                                                                                                                                                                                                                                                                                                                                                                    </v>
          </cell>
          <cell r="C4219" t="str">
            <v xml:space="preserve">UN    </v>
          </cell>
          <cell r="D4219" t="str">
            <v>CR</v>
          </cell>
          <cell r="E4219" t="str">
            <v>112,46</v>
          </cell>
        </row>
        <row r="4220">
          <cell r="A4220">
            <v>7223</v>
          </cell>
          <cell r="B4220" t="str">
            <v xml:space="preserve">TELHA ESTRUTURAL DE FIBROCIMENTO 1 ABA, DE 0,52 X 2,50 M (SEM AMIANTO)                                                                                                                                                                                                                                                                                                                                                                                                                                    </v>
          </cell>
          <cell r="C4220" t="str">
            <v xml:space="preserve">UN    </v>
          </cell>
          <cell r="D4220" t="str">
            <v>CR</v>
          </cell>
          <cell r="E4220" t="str">
            <v>125,32</v>
          </cell>
        </row>
        <row r="4221">
          <cell r="A4221">
            <v>7234</v>
          </cell>
          <cell r="B4221" t="str">
            <v xml:space="preserve">TELHA ESTRUTURAL DE FIBROCIMENTO 1 ABA, DE 0,52 X 3,60 M (SEM AMIANTO)                                                                                                                                                                                                                                                                                                                                                                                                                                    </v>
          </cell>
          <cell r="C4221" t="str">
            <v xml:space="preserve">UN    </v>
          </cell>
          <cell r="D4221" t="str">
            <v>CR</v>
          </cell>
          <cell r="E4221" t="str">
            <v>189,11</v>
          </cell>
        </row>
        <row r="4222">
          <cell r="A4222">
            <v>7224</v>
          </cell>
          <cell r="B4222" t="str">
            <v xml:space="preserve">TELHA ESTRUTURAL DE FIBROCIMENTO 1 ABA, DE 0,52 X 4,00 M (SEM AMIANTO)                                                                                                                                                                                                                                                                                                                                                                                                                                    </v>
          </cell>
          <cell r="C4222" t="str">
            <v xml:space="preserve">UN    </v>
          </cell>
          <cell r="D4222" t="str">
            <v>CR</v>
          </cell>
          <cell r="E4222" t="str">
            <v>230,39</v>
          </cell>
        </row>
        <row r="4223">
          <cell r="A4223">
            <v>7225</v>
          </cell>
          <cell r="B4223" t="str">
            <v xml:space="preserve">TELHA ESTRUTURAL DE FIBROCIMENTO 1 ABA, DE 0,52 X 5,00 M (SEM AMIANTO)                                                                                                                                                                                                                                                                                                                                                                                                                                    </v>
          </cell>
          <cell r="C4223" t="str">
            <v xml:space="preserve">UN    </v>
          </cell>
          <cell r="D4223" t="str">
            <v>CR</v>
          </cell>
          <cell r="E4223" t="str">
            <v>247,04</v>
          </cell>
        </row>
        <row r="4224">
          <cell r="A4224">
            <v>7226</v>
          </cell>
          <cell r="B4224" t="str">
            <v xml:space="preserve">TELHA ESTRUTURAL DE FIBROCIMENTO 1 ABA, DE 0,52 X 5,50 M (SEM AMIANTO)                                                                                                                                                                                                                                                                                                                                                                                                                                    </v>
          </cell>
          <cell r="C4224" t="str">
            <v xml:space="preserve">UN    </v>
          </cell>
          <cell r="D4224" t="str">
            <v>CR</v>
          </cell>
          <cell r="E4224" t="str">
            <v>263,62</v>
          </cell>
        </row>
        <row r="4225">
          <cell r="A4225">
            <v>7227</v>
          </cell>
          <cell r="B4225" t="str">
            <v xml:space="preserve">TELHA ESTRUTURAL DE FIBROCIMENTO 1 ABA, DE 0,52 X 6,50 M (SEM AMIANTO)                                                                                                                                                                                                                                                                                                                                                                                                                                    </v>
          </cell>
          <cell r="C4225" t="str">
            <v xml:space="preserve">UN    </v>
          </cell>
          <cell r="D4225" t="str">
            <v>CR</v>
          </cell>
          <cell r="E4225" t="str">
            <v>300,07</v>
          </cell>
        </row>
        <row r="4226">
          <cell r="A4226">
            <v>7212</v>
          </cell>
          <cell r="B4226" t="str">
            <v xml:space="preserve">TELHA ESTRUTURAL DE FIBROCIMENTO 1 ABA, DE 0,52 X 7,20 M (SEM AMIANTO)                                                                                                                                                                                                                                                                                                                                                                                                                                    </v>
          </cell>
          <cell r="C4226" t="str">
            <v xml:space="preserve">UN    </v>
          </cell>
          <cell r="D4226" t="str">
            <v>CR</v>
          </cell>
          <cell r="E4226" t="str">
            <v>329,70</v>
          </cell>
        </row>
        <row r="4227">
          <cell r="A4227">
            <v>7229</v>
          </cell>
          <cell r="B4227" t="str">
            <v xml:space="preserve">TELHA ESTRUTURAL DE FIBROCIMENTO 2 ABAS, DE 1,00 X 3,00 M (SEM AMIANTO)                                                                                                                                                                                                                                                                                                                                                                                                                                   </v>
          </cell>
          <cell r="C4227" t="str">
            <v xml:space="preserve">UN    </v>
          </cell>
          <cell r="D4227" t="str">
            <v>CR</v>
          </cell>
          <cell r="E4227" t="str">
            <v>208,99</v>
          </cell>
        </row>
        <row r="4228">
          <cell r="A4228">
            <v>7230</v>
          </cell>
          <cell r="B4228" t="str">
            <v xml:space="preserve">TELHA ESTRUTURAL DE FIBROCIMENTO 2 ABAS, DE 1,00 X 4,60 M (SEM AMIANTO)                                                                                                                                                                                                                                                                                                                                                                                                                                   </v>
          </cell>
          <cell r="C4228" t="str">
            <v xml:space="preserve">UN    </v>
          </cell>
          <cell r="D4228" t="str">
            <v>CR</v>
          </cell>
          <cell r="E4228" t="str">
            <v>347,92</v>
          </cell>
        </row>
        <row r="4229">
          <cell r="A4229">
            <v>7231</v>
          </cell>
          <cell r="B4229" t="str">
            <v xml:space="preserve">TELHA ESTRUTURAL DE FIBROCIMENTO 2 ABAS, DE 1,00 X 6,00 M (SEM AMIANTO)                                                                                                                                                                                                                                                                                                                                                                                                                                   </v>
          </cell>
          <cell r="C4229" t="str">
            <v xml:space="preserve">UN    </v>
          </cell>
          <cell r="D4229" t="str">
            <v>CR</v>
          </cell>
          <cell r="E4229" t="str">
            <v>493,56</v>
          </cell>
        </row>
        <row r="4230">
          <cell r="A4230">
            <v>7220</v>
          </cell>
          <cell r="B4230" t="str">
            <v xml:space="preserve">TELHA ESTRUTURAL DE FIBROCIMENTO 2 ABAS, DE 1,00 X 7,40 M (SEM AMIANTO)                                                                                                                                                                                                                                                                                                                                                                                                                                   </v>
          </cell>
          <cell r="C4230" t="str">
            <v xml:space="preserve">UN    </v>
          </cell>
          <cell r="D4230" t="str">
            <v>CR</v>
          </cell>
          <cell r="E4230" t="str">
            <v>609,25</v>
          </cell>
        </row>
        <row r="4231">
          <cell r="A4231">
            <v>34447</v>
          </cell>
          <cell r="B4231" t="str">
            <v xml:space="preserve">TELHA ESTRUTURAL DE FIBROCIMENTO 2 ABAS, DE 1,00 X 8,20 M (SEM AMIANTO)                                                                                                                                                                                                                                                                                                                                                                                                                                   </v>
          </cell>
          <cell r="C4231" t="str">
            <v xml:space="preserve">UN    </v>
          </cell>
          <cell r="D4231" t="str">
            <v>CR</v>
          </cell>
          <cell r="E4231" t="str">
            <v>681,23</v>
          </cell>
        </row>
        <row r="4232">
          <cell r="A4232">
            <v>7233</v>
          </cell>
          <cell r="B4232" t="str">
            <v xml:space="preserve">TELHA ESTRUTURAL DE FIBROCIMENTO 2 ABAS, DE 1,00 X 9,20 M (SEM AMIANTO)                                                                                                                                                                                                                                                                                                                                                                                                                                   </v>
          </cell>
          <cell r="C4232" t="str">
            <v xml:space="preserve">UN    </v>
          </cell>
          <cell r="D4232" t="str">
            <v>CR</v>
          </cell>
          <cell r="E4232" t="str">
            <v>781,48</v>
          </cell>
        </row>
        <row r="4233">
          <cell r="A4233">
            <v>40740</v>
          </cell>
          <cell r="B4233" t="str">
            <v xml:space="preserve">TELHA GALVALUME COM ISOLAMENTO TERMOACUSTICO EM ESPUMA RIGIDA DE POLIURETANO (PU) INJETADO, ESPESSURA DE 30 MM, DENSIDADE DE 35 KG/M3, REVESTIMENTO EM TELHA TRAPEZOIDAL NAS DUAS FACES COM ESPESSURA DE 0,50 MM CADA, ACABAMENTO NATURAL (NAO INCLUI ACESSORIOS DE FIXACAO)                                                                                                                                                                                                                              </v>
          </cell>
          <cell r="C4233" t="str">
            <v xml:space="preserve">M2    </v>
          </cell>
          <cell r="D4233" t="str">
            <v>CR</v>
          </cell>
          <cell r="E4233" t="str">
            <v>165,72</v>
          </cell>
        </row>
        <row r="4234">
          <cell r="A4234">
            <v>25007</v>
          </cell>
          <cell r="B4234" t="str">
            <v xml:space="preserve">TELHA ONDULADA EM ACO ZINCADO, ALTURA DE 17 MM, ESPESSURA DE 0,50 MM, LARGURA UTIL DE APROXIMADAMENTE 985 MM, SEM PINTURA                                                                                                                                                                                                                                                                                                                                                                                 </v>
          </cell>
          <cell r="C4234" t="str">
            <v xml:space="preserve">M2    </v>
          </cell>
          <cell r="D4234" t="str">
            <v xml:space="preserve">C </v>
          </cell>
          <cell r="E4234" t="str">
            <v>47,42</v>
          </cell>
        </row>
        <row r="4235">
          <cell r="A4235">
            <v>43071</v>
          </cell>
          <cell r="B4235" t="str">
            <v xml:space="preserve">TELHA TERMOISOLANTE REVESTIDA EM ACO GALVALUME, FACE SUPERIOR TRAPEZOIDAL E FACE INFERIOR PLANA (NAO INCLUI ACESSORIOS DE FIXACAO), REVEST COM ESPESSURA DE 0,50 MM, COM PRE-PINTURA DE COR BRANCA NAS DUAS FACES, NUCLEO EM POLIIOCIANURATO (PIR) COM ESPESSURA DE 50 MM                                                                                                                                                                                                                                 </v>
          </cell>
          <cell r="C4235" t="str">
            <v xml:space="preserve">M2    </v>
          </cell>
          <cell r="D4235" t="str">
            <v>CR</v>
          </cell>
          <cell r="E4235" t="str">
            <v>186,60</v>
          </cell>
        </row>
        <row r="4236">
          <cell r="A4236">
            <v>39520</v>
          </cell>
          <cell r="B4236" t="str">
            <v xml:space="preserve">TELHA TERMOISOLANTE REVESTIDA EM ACO GALVANIZADO, FACE SUPERIOR EM TELHA TRAPEZOIDAL E FACE INFERIOR EM CHAPA PLANA (SEM ACESSORIOS DE FIXACAO), REVESTIMENTO COM ESPESSURA DE 0,50 MM COM PRE-PINTURA NAS DUAS FACES, NUCLEO EM POLIESTIRENO (EPS) DE 30 MM                                                                                                                                                                                                                                              </v>
          </cell>
          <cell r="C4236" t="str">
            <v xml:space="preserve">M2    </v>
          </cell>
          <cell r="D4236" t="str">
            <v>CR</v>
          </cell>
          <cell r="E4236" t="str">
            <v>152,23</v>
          </cell>
        </row>
        <row r="4237">
          <cell r="A4237">
            <v>39521</v>
          </cell>
          <cell r="B4237" t="str">
            <v xml:space="preserve">TELHA TERMOISOLANTE REVESTIDA EM ACO GALVANIZADO, FACE SUPERIOR EM TELHA TRAPEZOIDAL E FACE INFERIOR EM CHAPA PLANA (SEM ACESSORIOS DE FIXACAO), REVESTIMENTO COM ESPESSURA DE 0,50 MM COM PRE-PINTURA NAS DUAS FACES, NUCLEO EM POLIESTIRENO (EPS) DE 50 MM                                                                                                                                                                                                                                              </v>
          </cell>
          <cell r="C4237" t="str">
            <v xml:space="preserve">M2    </v>
          </cell>
          <cell r="D4237" t="str">
            <v>CR</v>
          </cell>
          <cell r="E4237" t="str">
            <v>157,21</v>
          </cell>
        </row>
        <row r="4238">
          <cell r="A4238">
            <v>39522</v>
          </cell>
          <cell r="B4238" t="str">
            <v xml:space="preserve">TELHA TERMOISOLANTE REVESTIDA EM ACO GALVANIZADO, FACES SUPERIOR E INFERIOR EM TELHA TRAPEZOIDAL (SEM ACESSORIOS DE FIXACAO), REVESTIMENTO COM ESPESSURA DE 0,50 MM COM PRE-PINTURA NAS DUAS FACES, NUCLEO EM POLIESTIRENO (EPS) DE 50 MM                                                                                                                                                                                                                                                                 </v>
          </cell>
          <cell r="C4238" t="str">
            <v xml:space="preserve">M2    </v>
          </cell>
          <cell r="D4238" t="str">
            <v>CR</v>
          </cell>
          <cell r="E4238" t="str">
            <v>162,33</v>
          </cell>
        </row>
        <row r="4239">
          <cell r="A4239">
            <v>7243</v>
          </cell>
          <cell r="B4239" t="str">
            <v xml:space="preserve">TELHA TRAPEZOIDAL EM ACO ZINCADO, SEM PINTURA, ALTURA DE APROXIMADAMENTE 40 MM, ESPESSURA DE 0,50 MM E LARGURA UTIL DE 980 MM                                                                                                                                                                                                                                                                                                                                                                             </v>
          </cell>
          <cell r="C4239" t="str">
            <v xml:space="preserve">M2    </v>
          </cell>
          <cell r="D4239" t="str">
            <v>CR</v>
          </cell>
          <cell r="E4239" t="str">
            <v>49,55</v>
          </cell>
        </row>
        <row r="4240">
          <cell r="A4240">
            <v>11067</v>
          </cell>
          <cell r="B4240" t="str">
            <v xml:space="preserve">TELHA TRAPEZOIDAL EM ALUMINIO, ALTURA DE *38* MM E ESPESSURA DE 0,5 MM (LARGURA TOTAL DE 1056 MM E COMPRIMENTO DE 5000 MM)                                                                                                                                                                                                                                                                                                                                                                                </v>
          </cell>
          <cell r="C4240" t="str">
            <v xml:space="preserve">UN    </v>
          </cell>
          <cell r="D4240" t="str">
            <v>CR</v>
          </cell>
          <cell r="E4240" t="str">
            <v>350,45</v>
          </cell>
        </row>
        <row r="4241">
          <cell r="A4241">
            <v>11068</v>
          </cell>
          <cell r="B4241" t="str">
            <v xml:space="preserve">TELHA TRAPEZOIDAL EM ALUMINIO, ALTURA DE *38* MM E ESPESSURA DE 0,7 MM (LARGURA TOTAL DE 1056 MM E COMPRIMENTO DE 5000 MM)                                                                                                                                                                                                                                                                                                                                                                                </v>
          </cell>
          <cell r="C4241" t="str">
            <v xml:space="preserve">UN    </v>
          </cell>
          <cell r="D4241" t="str">
            <v>CR</v>
          </cell>
          <cell r="E4241" t="str">
            <v>442,75</v>
          </cell>
        </row>
        <row r="4242">
          <cell r="A4242">
            <v>7246</v>
          </cell>
          <cell r="B4242" t="str">
            <v xml:space="preserve">TELHA VIDRO TIPO CANAL OU COLONIAL, C = 46 A 50 CM                                                                                                                                                                                                                                                                                                                                                                                                                                                        </v>
          </cell>
          <cell r="C4242" t="str">
            <v xml:space="preserve">UN    </v>
          </cell>
          <cell r="D4242" t="str">
            <v>CR</v>
          </cell>
          <cell r="E4242" t="str">
            <v>33,47</v>
          </cell>
        </row>
        <row r="4243">
          <cell r="A4243">
            <v>41097</v>
          </cell>
          <cell r="B4243" t="str">
            <v xml:space="preserve">TELHADOR  (MENSALISTA)                                                                                                                                                                                                                                                                                                                                                                                                                                                                                    </v>
          </cell>
          <cell r="C4243" t="str">
            <v xml:space="preserve">MES   </v>
          </cell>
          <cell r="D4243" t="str">
            <v>CR</v>
          </cell>
          <cell r="E4243" t="str">
            <v>4.122,92</v>
          </cell>
        </row>
        <row r="4244">
          <cell r="A4244">
            <v>12869</v>
          </cell>
          <cell r="B4244" t="str">
            <v xml:space="preserve">TELHADOR (HORISTA)                                                                                                                                                                                                                                                                                                                                                                                                                                                                                        </v>
          </cell>
          <cell r="C4244" t="str">
            <v xml:space="preserve">H     </v>
          </cell>
          <cell r="D4244" t="str">
            <v>CR</v>
          </cell>
          <cell r="E4244" t="str">
            <v>23,55</v>
          </cell>
        </row>
        <row r="4245">
          <cell r="A4245">
            <v>1574</v>
          </cell>
          <cell r="B4245" t="str">
            <v xml:space="preserve">TERMINAL A COMPRESSAO EM COBRE ESTANHADO PARA CABO 10 MM2, 1 FURO E 1 COMPRESSAO, PARA PARAFUSO DE FIXACAO M6                                                                                                                                                                                                                                                                                                                                                                                             </v>
          </cell>
          <cell r="C4245" t="str">
            <v xml:space="preserve">UN    </v>
          </cell>
          <cell r="D4245" t="str">
            <v>CR</v>
          </cell>
          <cell r="E4245" t="str">
            <v>1,65</v>
          </cell>
        </row>
        <row r="4246">
          <cell r="A4246">
            <v>1581</v>
          </cell>
          <cell r="B4246" t="str">
            <v xml:space="preserve">TERMINAL A COMPRESSAO EM COBRE ESTANHADO PARA CABO 120 MM2, 1 FURO E 1 COMPRESSAO, PARA PARAFUSO DE FIXACAO M12                                                                                                                                                                                                                                                                                                                                                                                           </v>
          </cell>
          <cell r="C4246" t="str">
            <v xml:space="preserve">UN    </v>
          </cell>
          <cell r="D4246" t="str">
            <v>CR</v>
          </cell>
          <cell r="E4246" t="str">
            <v>11,47</v>
          </cell>
        </row>
        <row r="4247">
          <cell r="A4247">
            <v>1575</v>
          </cell>
          <cell r="B4247" t="str">
            <v xml:space="preserve">TERMINAL A COMPRESSAO EM COBRE ESTANHADO PARA CABO 16 MM2, 1 FURO E 1 COMPRESSAO, PARA PARAFUSO DE FIXACAO M6                                                                                                                                                                                                                                                                                                                                                                                             </v>
          </cell>
          <cell r="C4247" t="str">
            <v xml:space="preserve">UN    </v>
          </cell>
          <cell r="D4247" t="str">
            <v>CR</v>
          </cell>
          <cell r="E4247" t="str">
            <v>1,96</v>
          </cell>
        </row>
        <row r="4248">
          <cell r="A4248">
            <v>1570</v>
          </cell>
          <cell r="B4248" t="str">
            <v xml:space="preserve">TERMINAL A COMPRESSAO EM COBRE ESTANHADO PARA CABO 2,5 MM2, 1 FURO E 1 COMPRESSAO, PARA PARAFUSO DE FIXACAO M5                                                                                                                                                                                                                                                                                                                                                                                            </v>
          </cell>
          <cell r="C4248" t="str">
            <v xml:space="preserve">UN    </v>
          </cell>
          <cell r="D4248" t="str">
            <v>CR</v>
          </cell>
          <cell r="E4248" t="str">
            <v>0,98</v>
          </cell>
        </row>
        <row r="4249">
          <cell r="A4249">
            <v>1576</v>
          </cell>
          <cell r="B4249" t="str">
            <v xml:space="preserve">TERMINAL A COMPRESSAO EM COBRE ESTANHADO PARA CABO 25 MM2, 1 FURO E 1 COMPRESSAO, PARA PARAFUSO DE FIXACAO M8                                                                                                                                                                                                                                                                                                                                                                                             </v>
          </cell>
          <cell r="C4249" t="str">
            <v xml:space="preserve">UN    </v>
          </cell>
          <cell r="D4249" t="str">
            <v>CR</v>
          </cell>
          <cell r="E4249" t="str">
            <v>2,72</v>
          </cell>
        </row>
        <row r="4250">
          <cell r="A4250">
            <v>1577</v>
          </cell>
          <cell r="B4250" t="str">
            <v xml:space="preserve">TERMINAL A COMPRESSAO EM COBRE ESTANHADO PARA CABO 35 MM2, 1 FURO E 1 COMPRESSAO, PARA PARAFUSO DE FIXACAO M8                                                                                                                                                                                                                                                                                                                                                                                             </v>
          </cell>
          <cell r="C4250" t="str">
            <v xml:space="preserve">UN    </v>
          </cell>
          <cell r="D4250" t="str">
            <v>CR</v>
          </cell>
          <cell r="E4250" t="str">
            <v>3,06</v>
          </cell>
        </row>
        <row r="4251">
          <cell r="A4251">
            <v>1571</v>
          </cell>
          <cell r="B4251" t="str">
            <v xml:space="preserve">TERMINAL A COMPRESSAO EM COBRE ESTANHADO PARA CABO 4 MM2, 1 FURO E 1 COMPRESSAO, PARA PARAFUSO DE FIXACAO M5                                                                                                                                                                                                                                                                                                                                                                                              </v>
          </cell>
          <cell r="C4251" t="str">
            <v xml:space="preserve">UN    </v>
          </cell>
          <cell r="D4251" t="str">
            <v>CR</v>
          </cell>
          <cell r="E4251" t="str">
            <v>1,28</v>
          </cell>
        </row>
        <row r="4252">
          <cell r="A4252">
            <v>1578</v>
          </cell>
          <cell r="B4252" t="str">
            <v xml:space="preserve">TERMINAL A COMPRESSAO EM COBRE ESTANHADO PARA CABO 50 MM2, 1 FURO E 1 COMPRESSAO, PARA PARAFUSO DE FIXACAO M8                                                                                                                                                                                                                                                                                                                                                                                             </v>
          </cell>
          <cell r="C4252" t="str">
            <v xml:space="preserve">UN    </v>
          </cell>
          <cell r="D4252" t="str">
            <v>CR</v>
          </cell>
          <cell r="E4252" t="str">
            <v>5,31</v>
          </cell>
        </row>
        <row r="4253">
          <cell r="A4253">
            <v>1573</v>
          </cell>
          <cell r="B4253" t="str">
            <v xml:space="preserve">TERMINAL A COMPRESSAO EM COBRE ESTANHADO PARA CABO 6 MM2, 1 FURO E 1 COMPRESSAO, PARA PARAFUSO DE FIXACAO M6                                                                                                                                                                                                                                                                                                                                                                                              </v>
          </cell>
          <cell r="C4253" t="str">
            <v xml:space="preserve">UN    </v>
          </cell>
          <cell r="D4253" t="str">
            <v>CR</v>
          </cell>
          <cell r="E4253" t="str">
            <v>1,53</v>
          </cell>
        </row>
        <row r="4254">
          <cell r="A4254">
            <v>1579</v>
          </cell>
          <cell r="B4254" t="str">
            <v xml:space="preserve">TERMINAL A COMPRESSAO EM COBRE ESTANHADO PARA CABO 70 MM2, 1 FURO E 1 COMPRESSAO, PARA PARAFUSO DE FIXACAO M10                                                                                                                                                                                                                                                                                                                                                                                            </v>
          </cell>
          <cell r="C4254" t="str">
            <v xml:space="preserve">UN    </v>
          </cell>
          <cell r="D4254" t="str">
            <v>CR</v>
          </cell>
          <cell r="E4254" t="str">
            <v>6,62</v>
          </cell>
        </row>
        <row r="4255">
          <cell r="A4255">
            <v>1580</v>
          </cell>
          <cell r="B4255" t="str">
            <v xml:space="preserve">TERMINAL A COMPRESSAO EM COBRE ESTANHADO PARA CABO 95 MM2, 1 FURO E 1 COMPRESSAO, PARA PARAFUSO DE FIXACAO M12                                                                                                                                                                                                                                                                                                                                                                                            </v>
          </cell>
          <cell r="C4255" t="str">
            <v xml:space="preserve">UN    </v>
          </cell>
          <cell r="D4255" t="str">
            <v>CR</v>
          </cell>
          <cell r="E4255" t="str">
            <v>8,16</v>
          </cell>
        </row>
        <row r="4256">
          <cell r="A4256">
            <v>39321</v>
          </cell>
          <cell r="B4256" t="str">
            <v xml:space="preserve">TERMINAL DE VENTILACAO, 100 MM, SERIE NORMAL, ESGOTO PREDIAL                                                                                                                                                                                                                                                                                                                                                                                                                                              </v>
          </cell>
          <cell r="C4256" t="str">
            <v xml:space="preserve">UN    </v>
          </cell>
          <cell r="D4256" t="str">
            <v>CR</v>
          </cell>
          <cell r="E4256" t="str">
            <v>21,61</v>
          </cell>
        </row>
        <row r="4257">
          <cell r="A4257">
            <v>39319</v>
          </cell>
          <cell r="B4257" t="str">
            <v xml:space="preserve">TERMINAL DE VENTILACAO, 50 MM, SERIE NORMAL, ESGOTO PREDIAL                                                                                                                                                                                                                                                                                                                                                                                                                                               </v>
          </cell>
          <cell r="C4257" t="str">
            <v xml:space="preserve">UN    </v>
          </cell>
          <cell r="D4257" t="str">
            <v>CR</v>
          </cell>
          <cell r="E4257" t="str">
            <v>8,99</v>
          </cell>
        </row>
        <row r="4258">
          <cell r="A4258">
            <v>39320</v>
          </cell>
          <cell r="B4258" t="str">
            <v xml:space="preserve">TERMINAL DE VENTILACAO, 75 MM, SERIE NORMAL, ESGOTO PREDIAL                                                                                                                                                                                                                                                                                                                                                                                                                                               </v>
          </cell>
          <cell r="C4258" t="str">
            <v xml:space="preserve">UN    </v>
          </cell>
          <cell r="D4258" t="str">
            <v>CR</v>
          </cell>
          <cell r="E4258" t="str">
            <v>17,29</v>
          </cell>
        </row>
        <row r="4259">
          <cell r="A4259">
            <v>1591</v>
          </cell>
          <cell r="B4259" t="str">
            <v xml:space="preserve">TERMINAL METALICO A PRESSAO PARA 1 CABO DE 120 MM2, COM 1 FURO DE FIXACAO                                                                                                                                                                                                                                                                                                                                                                                                                                 </v>
          </cell>
          <cell r="C4259" t="str">
            <v xml:space="preserve">UN    </v>
          </cell>
          <cell r="D4259" t="str">
            <v>CR</v>
          </cell>
          <cell r="E4259" t="str">
            <v>25,30</v>
          </cell>
        </row>
        <row r="4260">
          <cell r="A4260">
            <v>1547</v>
          </cell>
          <cell r="B4260" t="str">
            <v xml:space="preserve">TERMINAL METALICO A PRESSAO PARA 1 CABO DE 150 A 185 MM2, COM 2 FUROS PARA FIXACAO                                                                                                                                                                                                                                                                                                                                                                                                                        </v>
          </cell>
          <cell r="C4260" t="str">
            <v xml:space="preserve">UN    </v>
          </cell>
          <cell r="D4260" t="str">
            <v>CR</v>
          </cell>
          <cell r="E4260" t="str">
            <v>132,56</v>
          </cell>
        </row>
        <row r="4261">
          <cell r="A4261">
            <v>38196</v>
          </cell>
          <cell r="B4261" t="str">
            <v xml:space="preserve">TERMINAL METALICO A PRESSAO PARA 1 CABO DE 150 MM2, COM 1 FURO DE FIXACAO                                                                                                                                                                                                                                                                                                                                                                                                                                 </v>
          </cell>
          <cell r="C4261" t="str">
            <v xml:space="preserve">UN    </v>
          </cell>
          <cell r="D4261" t="str">
            <v>CR</v>
          </cell>
          <cell r="E4261" t="str">
            <v>25,82</v>
          </cell>
        </row>
        <row r="4262">
          <cell r="A4262">
            <v>1543</v>
          </cell>
          <cell r="B4262" t="str">
            <v xml:space="preserve">TERMINAL METALICO A PRESSAO PARA 1 CABO DE 16 A 25 MM2, COM 2 FUROS PARA FIXACAO                                                                                                                                                                                                                                                                                                                                                                                                                          </v>
          </cell>
          <cell r="C4262" t="str">
            <v xml:space="preserve">UN    </v>
          </cell>
          <cell r="D4262" t="str">
            <v>CR</v>
          </cell>
          <cell r="E4262" t="str">
            <v>27,44</v>
          </cell>
        </row>
        <row r="4263">
          <cell r="A4263">
            <v>1585</v>
          </cell>
          <cell r="B4263" t="str">
            <v xml:space="preserve">TERMINAL METALICO A PRESSAO PARA 1 CABO DE 16 MM2, COM 1 FURO DE FIXACAO                                                                                                                                                                                                                                                                                                                                                                                                                                  </v>
          </cell>
          <cell r="C4263" t="str">
            <v xml:space="preserve">UN    </v>
          </cell>
          <cell r="D4263" t="str">
            <v>CR</v>
          </cell>
          <cell r="E4263" t="str">
            <v>5,31</v>
          </cell>
        </row>
        <row r="4264">
          <cell r="A4264">
            <v>1593</v>
          </cell>
          <cell r="B4264" t="str">
            <v xml:space="preserve">TERMINAL METALICO A PRESSAO PARA 1 CABO DE 185 MM2, COM 1 FURO DE FIXACAO                                                                                                                                                                                                                                                                                                                                                                                                                                 </v>
          </cell>
          <cell r="C4264" t="str">
            <v xml:space="preserve">UN    </v>
          </cell>
          <cell r="D4264" t="str">
            <v>CR</v>
          </cell>
          <cell r="E4264" t="str">
            <v>28,22</v>
          </cell>
        </row>
        <row r="4265">
          <cell r="A4265">
            <v>11838</v>
          </cell>
          <cell r="B4265" t="str">
            <v xml:space="preserve">TERMINAL METALICO A PRESSAO PARA 1 CABO DE 240 MM2, COM 1 FURO DE FIXACAO                                                                                                                                                                                                                                                                                                                                                                                                                                 </v>
          </cell>
          <cell r="C4265" t="str">
            <v xml:space="preserve">UN    </v>
          </cell>
          <cell r="D4265" t="str">
            <v>CR</v>
          </cell>
          <cell r="E4265" t="str">
            <v>37,23</v>
          </cell>
        </row>
        <row r="4266">
          <cell r="A4266">
            <v>1594</v>
          </cell>
          <cell r="B4266" t="str">
            <v xml:space="preserve">TERMINAL METALICO A PRESSAO PARA 1 CABO DE 25 A 35 MM2, COM 2 FUROS PARA FIXACAO                                                                                                                                                                                                                                                                                                                                                                                                                          </v>
          </cell>
          <cell r="C4266" t="str">
            <v xml:space="preserve">UN    </v>
          </cell>
          <cell r="D4266" t="str">
            <v>CR</v>
          </cell>
          <cell r="E4266" t="str">
            <v>37,64</v>
          </cell>
        </row>
        <row r="4267">
          <cell r="A4267">
            <v>1586</v>
          </cell>
          <cell r="B4267" t="str">
            <v xml:space="preserve">TERMINAL METALICO A PRESSAO PARA 1 CABO DE 25 MM2, COM 1 FURO DE FIXACAO                                                                                                                                                                                                                                                                                                                                                                                                                                  </v>
          </cell>
          <cell r="C4267" t="str">
            <v xml:space="preserve">UN    </v>
          </cell>
          <cell r="D4267" t="str">
            <v>CR</v>
          </cell>
          <cell r="E4267" t="str">
            <v>6,72</v>
          </cell>
        </row>
        <row r="4268">
          <cell r="A4268">
            <v>11839</v>
          </cell>
          <cell r="B4268" t="str">
            <v xml:space="preserve">TERMINAL METALICO A PRESSAO PARA 1 CABO DE 300 MM2, COM 1 FURO DE FIXACAO                                                                                                                                                                                                                                                                                                                                                                                                                                 </v>
          </cell>
          <cell r="C4268" t="str">
            <v xml:space="preserve">UN    </v>
          </cell>
          <cell r="D4268" t="str">
            <v>CR</v>
          </cell>
          <cell r="E4268" t="str">
            <v>54,17</v>
          </cell>
        </row>
        <row r="4269">
          <cell r="A4269">
            <v>1587</v>
          </cell>
          <cell r="B4269" t="str">
            <v xml:space="preserve">TERMINAL METALICO A PRESSAO PARA 1 CABO DE 35 MM2, COM 1 FURO DE FIXACAO                                                                                                                                                                                                                                                                                                                                                                                                                                  </v>
          </cell>
          <cell r="C4269" t="str">
            <v xml:space="preserve">UN    </v>
          </cell>
          <cell r="D4269" t="str">
            <v>CR</v>
          </cell>
          <cell r="E4269" t="str">
            <v>6,85</v>
          </cell>
        </row>
        <row r="4270">
          <cell r="A4270">
            <v>1545</v>
          </cell>
          <cell r="B4270" t="str">
            <v xml:space="preserve">TERMINAL METALICO A PRESSAO PARA 1 CABO DE 50 A 70 MM2, COM 2 FUROS PARA FIXACAO                                                                                                                                                                                                                                                                                                                                                                                                                          </v>
          </cell>
          <cell r="C4270" t="str">
            <v xml:space="preserve">UN    </v>
          </cell>
          <cell r="D4270" t="str">
            <v>CR</v>
          </cell>
          <cell r="E4270" t="str">
            <v>65,01</v>
          </cell>
        </row>
        <row r="4271">
          <cell r="A4271">
            <v>1588</v>
          </cell>
          <cell r="B4271" t="str">
            <v xml:space="preserve">TERMINAL METALICO A PRESSAO PARA 1 CABO DE 50 MM2, COM 1 FURO DE FIXACAO                                                                                                                                                                                                                                                                                                                                                                                                                                  </v>
          </cell>
          <cell r="C4271" t="str">
            <v xml:space="preserve">UN    </v>
          </cell>
          <cell r="D4271" t="str">
            <v>CR</v>
          </cell>
          <cell r="E4271" t="str">
            <v>9,39</v>
          </cell>
        </row>
        <row r="4272">
          <cell r="A4272">
            <v>1535</v>
          </cell>
          <cell r="B4272" t="str">
            <v xml:space="preserve">TERMINAL METALICO A PRESSAO PARA 1 CABO DE 6 A 10 MM2, COM 1 FURO DE FIXACAO                                                                                                                                                                                                                                                                                                                                                                                                                              </v>
          </cell>
          <cell r="C4272" t="str">
            <v xml:space="preserve">UN    </v>
          </cell>
          <cell r="D4272" t="str">
            <v>CR</v>
          </cell>
          <cell r="E4272" t="str">
            <v>5,41</v>
          </cell>
        </row>
        <row r="4273">
          <cell r="A4273">
            <v>1589</v>
          </cell>
          <cell r="B4273" t="str">
            <v xml:space="preserve">TERMINAL METALICO A PRESSAO PARA 1 CABO DE 70 MM2, COM 1 FURO DE FIXACAO                                                                                                                                                                                                                                                                                                                                                                                                                                  </v>
          </cell>
          <cell r="C4273" t="str">
            <v xml:space="preserve">UN    </v>
          </cell>
          <cell r="D4273" t="str">
            <v>CR</v>
          </cell>
          <cell r="E4273" t="str">
            <v>9,69</v>
          </cell>
        </row>
        <row r="4274">
          <cell r="A4274">
            <v>1546</v>
          </cell>
          <cell r="B4274" t="str">
            <v xml:space="preserve">TERMINAL METALICO A PRESSAO PARA 1 CABO DE 95 A 120 MM2, COM 2 FUROS PARA FIXACAO                                                                                                                                                                                                                                                                                                                                                                                                                         </v>
          </cell>
          <cell r="C4274" t="str">
            <v xml:space="preserve">UN    </v>
          </cell>
          <cell r="D4274" t="str">
            <v>CR</v>
          </cell>
          <cell r="E4274" t="str">
            <v>109,70</v>
          </cell>
        </row>
        <row r="4275">
          <cell r="A4275">
            <v>1590</v>
          </cell>
          <cell r="B4275" t="str">
            <v xml:space="preserve">TERMINAL METALICO A PRESSAO PARA 1 CABO DE 95 MM2, COM 1 FURO DE FIXACAO                                                                                                                                                                                                                                                                                                                                                                                                                                  </v>
          </cell>
          <cell r="C4275" t="str">
            <v xml:space="preserve">UN    </v>
          </cell>
          <cell r="D4275" t="str">
            <v>CR</v>
          </cell>
          <cell r="E4275" t="str">
            <v>17,06</v>
          </cell>
        </row>
        <row r="4276">
          <cell r="A4276">
            <v>1542</v>
          </cell>
          <cell r="B4276" t="str">
            <v xml:space="preserve">TERMINAL METALICO A PRESSAO 1 CABO, PARA CABOS DE 4 A 10 MM2, COM 2 FUROS PARA FIXACAO                                                                                                                                                                                                                                                                                                                                                                                                                    </v>
          </cell>
          <cell r="C4276" t="str">
            <v xml:space="preserve">UN    </v>
          </cell>
          <cell r="D4276" t="str">
            <v>CR</v>
          </cell>
          <cell r="E4276" t="str">
            <v>22,60</v>
          </cell>
        </row>
        <row r="4277">
          <cell r="A4277">
            <v>38415</v>
          </cell>
          <cell r="B4277" t="str">
            <v xml:space="preserve">TERMOFUSORA PARA TUBOS E CONEXOES EM PPR COM DIAMETROS DE 20 A 63 MM, POTENCIA DE 800 W, TENSAO 220 V                                                                                                                                                                                                                                                                                                                                                                                                     </v>
          </cell>
          <cell r="C4277" t="str">
            <v xml:space="preserve">UN    </v>
          </cell>
          <cell r="D4277" t="str">
            <v>CR</v>
          </cell>
          <cell r="E4277" t="str">
            <v>948,45</v>
          </cell>
        </row>
        <row r="4278">
          <cell r="A4278">
            <v>38414</v>
          </cell>
          <cell r="B4278" t="str">
            <v xml:space="preserve">TERMOFUSORA PARA TUBOS E CONEXOES EM PPR COM DIAMETROS DE 75 A 110 MM, POTENCIA DE *1100* W, TENSAO 220 V                                                                                                                                                                                                                                                                                                                                                                                                 </v>
          </cell>
          <cell r="C4278" t="str">
            <v xml:space="preserve">UN    </v>
          </cell>
          <cell r="D4278" t="str">
            <v>CR</v>
          </cell>
          <cell r="E4278" t="str">
            <v>1.331,15</v>
          </cell>
        </row>
        <row r="4279">
          <cell r="A4279">
            <v>38128</v>
          </cell>
          <cell r="B4279" t="str">
            <v xml:space="preserve">TERRA VEGETAL (ENSACADA)                                                                                                                                                                                                                                                                                                                                                                                                                                                                                  </v>
          </cell>
          <cell r="C4279" t="str">
            <v xml:space="preserve">KG    </v>
          </cell>
          <cell r="D4279" t="str">
            <v xml:space="preserve">C </v>
          </cell>
          <cell r="E4279" t="str">
            <v>1,00</v>
          </cell>
        </row>
        <row r="4280">
          <cell r="A4280">
            <v>7253</v>
          </cell>
          <cell r="B4280" t="str">
            <v xml:space="preserve">TERRA VEGETAL (GRANEL)                                                                                                                                                                                                                                                                                                                                                                                                                                                                                    </v>
          </cell>
          <cell r="C4280" t="str">
            <v xml:space="preserve">M3    </v>
          </cell>
          <cell r="D4280" t="str">
            <v>CR</v>
          </cell>
          <cell r="E4280" t="str">
            <v>214,28</v>
          </cell>
        </row>
        <row r="4281">
          <cell r="A4281">
            <v>4806</v>
          </cell>
          <cell r="B4281" t="str">
            <v xml:space="preserve">TESTEIRA ANTIDERRAPANTE PARA PISO VINILICO *5 X 2,5* CM, E = 2 MM                                                                                                                                                                                                                                                                                                                                                                                                                                         </v>
          </cell>
          <cell r="C4281" t="str">
            <v xml:space="preserve">M     </v>
          </cell>
          <cell r="D4281" t="str">
            <v>CR</v>
          </cell>
          <cell r="E4281" t="str">
            <v>15,00</v>
          </cell>
        </row>
        <row r="4282">
          <cell r="A4282">
            <v>34401</v>
          </cell>
          <cell r="B4282" t="str">
            <v xml:space="preserve">TIJOLO CERAMICO LAMINADO 5,5 X 11 X 23 CM (L X A X C)                                                                                                                                                                                                                                                                                                                                                                                                                                                     </v>
          </cell>
          <cell r="C4282" t="str">
            <v xml:space="preserve">UN    </v>
          </cell>
          <cell r="D4282" t="str">
            <v>CR</v>
          </cell>
          <cell r="E4282" t="str">
            <v>1,84</v>
          </cell>
        </row>
        <row r="4283">
          <cell r="A4283">
            <v>7260</v>
          </cell>
          <cell r="B4283" t="str">
            <v xml:space="preserve">TIJOLO CERAMICO MACICO APARENTE *6 X 12 X 24* CM (L X A X C)                                                                                                                                                                                                                                                                                                                                                                                                                                              </v>
          </cell>
          <cell r="C4283" t="str">
            <v xml:space="preserve">UN    </v>
          </cell>
          <cell r="D4283" t="str">
            <v>CR</v>
          </cell>
          <cell r="E4283" t="str">
            <v>1,63</v>
          </cell>
        </row>
        <row r="4284">
          <cell r="A4284">
            <v>7256</v>
          </cell>
          <cell r="B4284" t="str">
            <v xml:space="preserve">TIJOLO CERAMICO MACICO APARENTE 2 FUROS, *6,5 X 10 X 20* CM (L X A X C)                                                                                                                                                                                                                                                                                                                                                                                                                                   </v>
          </cell>
          <cell r="C4284" t="str">
            <v xml:space="preserve">UN    </v>
          </cell>
          <cell r="D4284" t="str">
            <v>CR</v>
          </cell>
          <cell r="E4284" t="str">
            <v>1,61</v>
          </cell>
        </row>
        <row r="4285">
          <cell r="A4285">
            <v>7258</v>
          </cell>
          <cell r="B4285" t="str">
            <v xml:space="preserve">TIJOLO CERAMICO MACICO COMUM *5 X 10 X 20* CM (L X A X C)                                                                                                                                                                                                                                                                                                                                                                                                                                                 </v>
          </cell>
          <cell r="C4285" t="str">
            <v xml:space="preserve">UN    </v>
          </cell>
          <cell r="D4285" t="str">
            <v>CR</v>
          </cell>
          <cell r="E4285" t="str">
            <v>0,66</v>
          </cell>
        </row>
        <row r="4286">
          <cell r="A4286">
            <v>34400</v>
          </cell>
          <cell r="B4286" t="str">
            <v xml:space="preserve">TIJOLO CERAMICO REFRATARIO 2,5 X 11,4 X 22,9 CM (L X A X C)                                                                                                                                                                                                                                                                                                                                                                                                                                               </v>
          </cell>
          <cell r="C4286" t="str">
            <v xml:space="preserve">UN    </v>
          </cell>
          <cell r="D4286" t="str">
            <v>CR</v>
          </cell>
          <cell r="E4286" t="str">
            <v>2,83</v>
          </cell>
        </row>
        <row r="4287">
          <cell r="A4287">
            <v>10617</v>
          </cell>
          <cell r="B4287" t="str">
            <v xml:space="preserve">TIJOLO CERAMICO REFRATARIO 6,3 X 11,4 X 22,9 CM (L X A X C)                                                                                                                                                                                                                                                                                                                                                                                                                                               </v>
          </cell>
          <cell r="C4287" t="str">
            <v xml:space="preserve">UN    </v>
          </cell>
          <cell r="D4287" t="str">
            <v>CR</v>
          </cell>
          <cell r="E4287" t="str">
            <v>5,41</v>
          </cell>
        </row>
        <row r="4288">
          <cell r="A4288">
            <v>44261</v>
          </cell>
          <cell r="B4288" t="str">
            <v xml:space="preserve">TIL CONDOMINIAL, PVC, DN 100 X 100 MM, PARA REDE COLETORA DE ESGOTO                                                                                                                                                                                                                                                                                                                                                                                                                                       </v>
          </cell>
          <cell r="C4288" t="str">
            <v xml:space="preserve">UN    </v>
          </cell>
          <cell r="D4288" t="str">
            <v>CR</v>
          </cell>
          <cell r="E4288" t="str">
            <v>143,62</v>
          </cell>
        </row>
        <row r="4289">
          <cell r="A4289">
            <v>7274</v>
          </cell>
          <cell r="B4289" t="str">
            <v xml:space="preserve">TIL PARA LIGACAO PREDIAL, EM PVC, JE, BBB, DN 100 X 100 MM, PARA REDE COLETORA ESGOTO                                                                                                                                                                                                                                                                                                                                                                                                                     </v>
          </cell>
          <cell r="C4289" t="str">
            <v xml:space="preserve">UN    </v>
          </cell>
          <cell r="D4289" t="str">
            <v>CR</v>
          </cell>
          <cell r="E4289" t="str">
            <v>69,53</v>
          </cell>
        </row>
        <row r="4290">
          <cell r="A4290">
            <v>44326</v>
          </cell>
          <cell r="B4290" t="str">
            <v xml:space="preserve">TIL RADIAL, PVC, JE, BBB, DN 300 X 200 MM, PARA REDE COLETORA DE ESGOTO (NBR 10.569)                                                                                                                                                                                                                                                                                                                                                                                                                      </v>
          </cell>
          <cell r="C4290" t="str">
            <v xml:space="preserve">UN    </v>
          </cell>
          <cell r="D4290" t="str">
            <v>CR</v>
          </cell>
          <cell r="E4290" t="str">
            <v>1.501,67</v>
          </cell>
        </row>
        <row r="4291">
          <cell r="A4291">
            <v>154</v>
          </cell>
          <cell r="B4291" t="str">
            <v xml:space="preserve">TINTA / REVESTIMENTO A BASE DE RESINA EPOXI COM ALCATRAO, BICOMPONENTE                                                                                                                                                                                                                                                                                                                                                                                                                                    </v>
          </cell>
          <cell r="C4291" t="str">
            <v xml:space="preserve">L     </v>
          </cell>
          <cell r="D4291" t="str">
            <v>CR</v>
          </cell>
          <cell r="E4291" t="str">
            <v>72,09</v>
          </cell>
        </row>
        <row r="4292">
          <cell r="A4292">
            <v>38121</v>
          </cell>
          <cell r="B4292" t="str">
            <v xml:space="preserve">TINTA A BASE DE RESINA ACRILICA EMULSIONADA EM AGUA, PARA SINALIZACAO HORIZONTAL VIARIA (NBR 13699:2012)                                                                                                                                                                                                                                                                                                                                                                                                  </v>
          </cell>
          <cell r="C4292" t="str">
            <v xml:space="preserve">L     </v>
          </cell>
          <cell r="D4292" t="str">
            <v>CR</v>
          </cell>
          <cell r="E4292" t="str">
            <v>20,33</v>
          </cell>
        </row>
        <row r="4293">
          <cell r="A4293">
            <v>43776</v>
          </cell>
          <cell r="B4293" t="str">
            <v xml:space="preserve">TINTA A OLEO BRILHANTE, PARA MADEIRAS E METAIS                                                                                                                                                                                                                                                                                                                                                                                                                                                            </v>
          </cell>
          <cell r="C4293" t="str">
            <v xml:space="preserve">L     </v>
          </cell>
          <cell r="D4293" t="str">
            <v>CR</v>
          </cell>
          <cell r="E4293" t="str">
            <v>28,79</v>
          </cell>
        </row>
        <row r="4294">
          <cell r="A4294">
            <v>7343</v>
          </cell>
          <cell r="B4294" t="str">
            <v xml:space="preserve">TINTA ACRILICA A BASE DE SOLVENTE, PARA SINALIZACAO HORIZONTAL VIARIA (NBR 11862)                                                                                                                                                                                                                                                                                                                                                                                                                         </v>
          </cell>
          <cell r="C4294" t="str">
            <v xml:space="preserve">L     </v>
          </cell>
          <cell r="D4294" t="str">
            <v>CR</v>
          </cell>
          <cell r="E4294" t="str">
            <v>17,98</v>
          </cell>
        </row>
        <row r="4295">
          <cell r="A4295">
            <v>7348</v>
          </cell>
          <cell r="B4295" t="str">
            <v xml:space="preserve">TINTA ACRILICA PREMIUM PARA PISO                                                                                                                                                                                                                                                                                                                                                                                                                                                                          </v>
          </cell>
          <cell r="C4295" t="str">
            <v xml:space="preserve">L     </v>
          </cell>
          <cell r="D4295" t="str">
            <v>CR</v>
          </cell>
          <cell r="E4295" t="str">
            <v>20,66</v>
          </cell>
        </row>
        <row r="4296">
          <cell r="A4296">
            <v>7313</v>
          </cell>
          <cell r="B4296" t="str">
            <v xml:space="preserve">TINTA ASFALTICA IMPERMEABILIZANTE DILUIDA EM SOLVENTE, PARA MATERIAIS CIMENTICIOS, METAL E MADEIRA                                                                                                                                                                                                                                                                                                                                                                                                        </v>
          </cell>
          <cell r="C4296" t="str">
            <v xml:space="preserve">L     </v>
          </cell>
          <cell r="D4296" t="str">
            <v>CR</v>
          </cell>
          <cell r="E4296" t="str">
            <v>25,92</v>
          </cell>
        </row>
        <row r="4297">
          <cell r="A4297">
            <v>7319</v>
          </cell>
          <cell r="B4297" t="str">
            <v xml:space="preserve">TINTA ASFALTICA IMPERMEABILIZANTE DISPERSA EM AGUA, PARA MATERIAIS CIMENTICIOS                                                                                                                                                                                                                                                                                                                                                                                                                            </v>
          </cell>
          <cell r="C4297" t="str">
            <v xml:space="preserve">L     </v>
          </cell>
          <cell r="D4297" t="str">
            <v>CR</v>
          </cell>
          <cell r="E4297" t="str">
            <v>14,83</v>
          </cell>
        </row>
        <row r="4298">
          <cell r="A4298">
            <v>7314</v>
          </cell>
          <cell r="B4298" t="str">
            <v xml:space="preserve">TINTA BORRACHA CLORADA, ACABAMENTO SEMIBRILHO, QUALQUER COR                                                                                                                                                                                                                                                                                                                                                                                                                                               </v>
          </cell>
          <cell r="C4298" t="str">
            <v xml:space="preserve">L     </v>
          </cell>
          <cell r="D4298" t="str">
            <v>CR</v>
          </cell>
          <cell r="E4298" t="str">
            <v>80,50</v>
          </cell>
        </row>
        <row r="4299">
          <cell r="A4299">
            <v>7304</v>
          </cell>
          <cell r="B4299" t="str">
            <v xml:space="preserve">TINTA EPOXI BASE AGUA PREMIUM, BRANCA                                                                                                                                                                                                                                                                                                                                                                                                                                                                     </v>
          </cell>
          <cell r="C4299" t="str">
            <v xml:space="preserve">L     </v>
          </cell>
          <cell r="D4299" t="str">
            <v>CR</v>
          </cell>
          <cell r="E4299" t="str">
            <v>85,33</v>
          </cell>
        </row>
        <row r="4300">
          <cell r="A4300">
            <v>43649</v>
          </cell>
          <cell r="B4300" t="str">
            <v xml:space="preserve">TINTA ESMALTE BASE AGUA PREMIUM ACETINADO                                                                                                                                                                                                                                                                                                                                                                                                                                                                 </v>
          </cell>
          <cell r="C4300" t="str">
            <v xml:space="preserve">L     </v>
          </cell>
          <cell r="D4300" t="str">
            <v>CR</v>
          </cell>
          <cell r="E4300" t="str">
            <v>44,13</v>
          </cell>
        </row>
        <row r="4301">
          <cell r="A4301">
            <v>43650</v>
          </cell>
          <cell r="B4301" t="str">
            <v xml:space="preserve">TINTA ESMALTE BASE AGUA PREMIUM BRILHANTE                                                                                                                                                                                                                                                                                                                                                                                                                                                                 </v>
          </cell>
          <cell r="C4301" t="str">
            <v xml:space="preserve">L     </v>
          </cell>
          <cell r="D4301" t="str">
            <v>CR</v>
          </cell>
          <cell r="E4301" t="str">
            <v>41,70</v>
          </cell>
        </row>
        <row r="4302">
          <cell r="A4302">
            <v>7311</v>
          </cell>
          <cell r="B4302" t="str">
            <v xml:space="preserve">TINTA ESMALTE SINTETICO PREMIUM ACETINADO                                                                                                                                                                                                                                                                                                                                                                                                                                                                 </v>
          </cell>
          <cell r="C4302" t="str">
            <v xml:space="preserve">L     </v>
          </cell>
          <cell r="D4302" t="str">
            <v>CR</v>
          </cell>
          <cell r="E4302" t="str">
            <v>42,72</v>
          </cell>
        </row>
        <row r="4303">
          <cell r="A4303">
            <v>7292</v>
          </cell>
          <cell r="B4303" t="str">
            <v xml:space="preserve">TINTA ESMALTE SINTETICO PREMIUM BRILHANTE                                                                                                                                                                                                                                                                                                                                                                                                                                                                 </v>
          </cell>
          <cell r="C4303" t="str">
            <v xml:space="preserve">L     </v>
          </cell>
          <cell r="D4303" t="str">
            <v xml:space="preserve">C </v>
          </cell>
          <cell r="E4303" t="str">
            <v>41,36</v>
          </cell>
        </row>
        <row r="4304">
          <cell r="A4304">
            <v>7293</v>
          </cell>
          <cell r="B4304" t="str">
            <v xml:space="preserve">TINTA ESMALTE SINTETICO PREMIUM DE DUPLA ACAO GRAFITE FOSCO PARA SUPERFICIES METALICAS FERROSAS                                                                                                                                                                                                                                                                                                                                                                                                           </v>
          </cell>
          <cell r="C4304" t="str">
            <v xml:space="preserve">L     </v>
          </cell>
          <cell r="D4304" t="str">
            <v>CR</v>
          </cell>
          <cell r="E4304" t="str">
            <v>45,76</v>
          </cell>
        </row>
        <row r="4305">
          <cell r="A4305">
            <v>7306</v>
          </cell>
          <cell r="B4305" t="str">
            <v xml:space="preserve">TINTA ESMALTE SINTETICO PREMIUM DE EFEITO PROTETOR DE SUPERFICIE METALICA ALUMINIO                                                                                                                                                                                                                                                                                                                                                                                                                        </v>
          </cell>
          <cell r="C4305" t="str">
            <v xml:space="preserve">L     </v>
          </cell>
          <cell r="D4305" t="str">
            <v>CR</v>
          </cell>
          <cell r="E4305" t="str">
            <v>50,50</v>
          </cell>
        </row>
        <row r="4306">
          <cell r="A4306">
            <v>7288</v>
          </cell>
          <cell r="B4306" t="str">
            <v xml:space="preserve">TINTA ESMALTE SINTETICO PREMIUM FOSCO                                                                                                                                                                                                                                                                                                                                                                                                                                                                     </v>
          </cell>
          <cell r="C4306" t="str">
            <v xml:space="preserve">L     </v>
          </cell>
          <cell r="D4306" t="str">
            <v>CR</v>
          </cell>
          <cell r="E4306" t="str">
            <v>41,93</v>
          </cell>
        </row>
        <row r="4307">
          <cell r="A4307">
            <v>43625</v>
          </cell>
          <cell r="B4307" t="str">
            <v xml:space="preserve">TINTA ESMALTE SINTETICO STANDARD ACETINADO                                                                                                                                                                                                                                                                                                                                                                                                                                                                </v>
          </cell>
          <cell r="C4307" t="str">
            <v xml:space="preserve">L     </v>
          </cell>
          <cell r="D4307" t="str">
            <v>CR</v>
          </cell>
          <cell r="E4307" t="str">
            <v>33,85</v>
          </cell>
        </row>
        <row r="4308">
          <cell r="A4308">
            <v>43647</v>
          </cell>
          <cell r="B4308" t="str">
            <v xml:space="preserve">TINTA ESMALTE SINTETICO STANDARD BRILHANTE                                                                                                                                                                                                                                                                                                                                                                                                                                                                </v>
          </cell>
          <cell r="C4308" t="str">
            <v xml:space="preserve">L     </v>
          </cell>
          <cell r="D4308" t="str">
            <v>CR</v>
          </cell>
          <cell r="E4308" t="str">
            <v>30,75</v>
          </cell>
        </row>
        <row r="4309">
          <cell r="A4309">
            <v>43648</v>
          </cell>
          <cell r="B4309" t="str">
            <v xml:space="preserve">TINTA ESMALTE SINTETICO STANDARD FOSCO                                                                                                                                                                                                                                                                                                                                                                                                                                                                    </v>
          </cell>
          <cell r="C4309" t="str">
            <v xml:space="preserve">L     </v>
          </cell>
          <cell r="D4309" t="str">
            <v>CR</v>
          </cell>
          <cell r="E4309" t="str">
            <v>29,67</v>
          </cell>
        </row>
        <row r="4310">
          <cell r="A4310">
            <v>35693</v>
          </cell>
          <cell r="B4310" t="str">
            <v xml:space="preserve">TINTA LATEX ACRILICA ECONOMICA, COR BRANCA                                                                                                                                                                                                                                                                                                                                                                                                                                                                </v>
          </cell>
          <cell r="C4310" t="str">
            <v xml:space="preserve">L     </v>
          </cell>
          <cell r="D4310" t="str">
            <v>CR</v>
          </cell>
          <cell r="E4310" t="str">
            <v>12,85</v>
          </cell>
        </row>
        <row r="4311">
          <cell r="A4311">
            <v>7356</v>
          </cell>
          <cell r="B4311" t="str">
            <v xml:space="preserve">TINTA LATEX ACRILICA PREMIUM, COR BRANCO FOSCO                                                                                                                                                                                                                                                                                                                                                                                                                                                            </v>
          </cell>
          <cell r="C4311" t="str">
            <v xml:space="preserve">L     </v>
          </cell>
          <cell r="D4311" t="str">
            <v xml:space="preserve">C </v>
          </cell>
          <cell r="E4311" t="str">
            <v>30,80</v>
          </cell>
        </row>
        <row r="4312">
          <cell r="A4312">
            <v>35692</v>
          </cell>
          <cell r="B4312" t="str">
            <v xml:space="preserve">TINTA LATEX ACRILICA STANDARD, COR BRANCA                                                                                                                                                                                                                                                                                                                                                                                                                                                                 </v>
          </cell>
          <cell r="C4312" t="str">
            <v xml:space="preserve">L     </v>
          </cell>
          <cell r="D4312" t="str">
            <v>CR</v>
          </cell>
          <cell r="E4312" t="str">
            <v>20,16</v>
          </cell>
        </row>
        <row r="4313">
          <cell r="A4313">
            <v>43624</v>
          </cell>
          <cell r="B4313" t="str">
            <v xml:space="preserve">TINTA LATEX ACRILICA SUPER PREMIUM, COR BRANCO FOSCO                                                                                                                                                                                                                                                                                                                                                                                                                                                      </v>
          </cell>
          <cell r="C4313" t="str">
            <v xml:space="preserve">L     </v>
          </cell>
          <cell r="D4313" t="str">
            <v>CR</v>
          </cell>
          <cell r="E4313" t="str">
            <v>37,54</v>
          </cell>
        </row>
        <row r="4314">
          <cell r="A4314">
            <v>7342</v>
          </cell>
          <cell r="B4314" t="str">
            <v xml:space="preserve">TINTA MINERAL IMPERMEAVEL EM PO, BRANCA                                                                                                                                                                                                                                                                                                                                                                                                                                                                   </v>
          </cell>
          <cell r="C4314" t="str">
            <v xml:space="preserve">KG    </v>
          </cell>
          <cell r="D4314" t="str">
            <v>CR</v>
          </cell>
          <cell r="E4314" t="str">
            <v>2,84</v>
          </cell>
        </row>
        <row r="4315">
          <cell r="A4315">
            <v>7350</v>
          </cell>
          <cell r="B4315" t="str">
            <v xml:space="preserve">TINTA/RESINA ACRILICA PREMIUM PARA CERAMICA, PEDRAS E OUTROS                                                                                                                                                                                                                                                                                                                                                                                                                                              </v>
          </cell>
          <cell r="C4315" t="str">
            <v xml:space="preserve">L     </v>
          </cell>
          <cell r="D4315" t="str">
            <v>CR</v>
          </cell>
          <cell r="E4315" t="str">
            <v>44,46</v>
          </cell>
        </row>
        <row r="4316">
          <cell r="A4316">
            <v>39574</v>
          </cell>
          <cell r="B4316" t="str">
            <v xml:space="preserve">TIRANTE COM ELO, EM ARAME GALVANIZADO RIGIDO, NUMERO 10, COMPRIMENTO 2000 MM, PARA PENDURAL DE FORRO REMOVIVEL                                                                                                                                                                                                                                                                                                                                                                                            </v>
          </cell>
          <cell r="C4316" t="str">
            <v xml:space="preserve">UN    </v>
          </cell>
          <cell r="D4316" t="str">
            <v>CR</v>
          </cell>
          <cell r="E4316" t="str">
            <v>3,89</v>
          </cell>
        </row>
        <row r="4317">
          <cell r="A4317">
            <v>11060</v>
          </cell>
          <cell r="B4317" t="str">
            <v xml:space="preserve">TIRANTE EM FERRO GALVANIZADO PARA CONTRAVENTAMENTO DE TELHA CANALETE 90, 1/4 " X 400 MM                                                                                                                                                                                                                                                                                                                                                                                                                   </v>
          </cell>
          <cell r="C4317" t="str">
            <v xml:space="preserve">UN    </v>
          </cell>
          <cell r="D4317" t="str">
            <v>CR</v>
          </cell>
          <cell r="E4317" t="str">
            <v>46,54</v>
          </cell>
        </row>
        <row r="4318">
          <cell r="A4318">
            <v>37401</v>
          </cell>
          <cell r="B4318" t="str">
            <v xml:space="preserve">TOALHEIRO PLASTICO TIPO DISPENSER PARA PAPEL TOALHA INTERFOLHADO                                                                                                                                                                                                                                                                                                                                                                                                                                          </v>
          </cell>
          <cell r="C4318" t="str">
            <v xml:space="preserve">UN    </v>
          </cell>
          <cell r="D4318" t="str">
            <v>CR</v>
          </cell>
          <cell r="E4318" t="str">
            <v>68,18</v>
          </cell>
        </row>
        <row r="4319">
          <cell r="A4319">
            <v>7525</v>
          </cell>
          <cell r="B4319" t="str">
            <v xml:space="preserve">TOMADA INDUSTRIAL DE EMBUTIR 3P+T 30 A, 440 V, COM TRAVA, COM PLACA                                                                                                                                                                                                                                                                                                                                                                                                                                       </v>
          </cell>
          <cell r="C4319" t="str">
            <v xml:space="preserve">UN    </v>
          </cell>
          <cell r="D4319" t="str">
            <v>CR</v>
          </cell>
          <cell r="E4319" t="str">
            <v>48,74</v>
          </cell>
        </row>
        <row r="4320">
          <cell r="A4320">
            <v>7524</v>
          </cell>
          <cell r="B4320" t="str">
            <v xml:space="preserve">TOMADA INDUSTRIAL DE EMBUTIR 3P+T 30 A, 440 V, COM TRAVA, SEM PLACA                                                                                                                                                                                                                                                                                                                                                                                                                                       </v>
          </cell>
          <cell r="C4320" t="str">
            <v xml:space="preserve">UN    </v>
          </cell>
          <cell r="D4320" t="str">
            <v>CR</v>
          </cell>
          <cell r="E4320" t="str">
            <v>45,93</v>
          </cell>
        </row>
        <row r="4321">
          <cell r="A4321">
            <v>38105</v>
          </cell>
          <cell r="B4321" t="str">
            <v xml:space="preserve">TOMADA PARA ANTENA DE TV, CABO COAXIAL DE 9 MM (APENAS MODULO)                                                                                                                                                                                                                                                                                                                                                                                                                                            </v>
          </cell>
          <cell r="C4321" t="str">
            <v xml:space="preserve">UN    </v>
          </cell>
          <cell r="D4321" t="str">
            <v>CR</v>
          </cell>
          <cell r="E4321" t="str">
            <v>11,80</v>
          </cell>
        </row>
        <row r="4322">
          <cell r="A4322">
            <v>38084</v>
          </cell>
          <cell r="B4322" t="str">
            <v xml:space="preserve">TOMADA PARA ANTENA DE TV, CABO COAXIAL DE 9 MM, CONJUNTO MONTADO PARA EMBUTIR 4" X 2" (PLACA + SUPORTE + MODULO)                                                                                                                                                                                                                                                                                                                                                                                          </v>
          </cell>
          <cell r="C4322" t="str">
            <v xml:space="preserve">UN    </v>
          </cell>
          <cell r="D4322" t="str">
            <v>CR</v>
          </cell>
          <cell r="E4322" t="str">
            <v>16,76</v>
          </cell>
        </row>
        <row r="4323">
          <cell r="A4323">
            <v>38103</v>
          </cell>
          <cell r="B4323" t="str">
            <v xml:space="preserve">TOMADA RJ11, 2 FIOS (APENAS MODULO)                                                                                                                                                                                                                                                                                                                                                                                                                                                                       </v>
          </cell>
          <cell r="C4323" t="str">
            <v xml:space="preserve">UN    </v>
          </cell>
          <cell r="D4323" t="str">
            <v>CR</v>
          </cell>
          <cell r="E4323" t="str">
            <v>17,71</v>
          </cell>
        </row>
        <row r="4324">
          <cell r="A4324">
            <v>38082</v>
          </cell>
          <cell r="B4324" t="str">
            <v xml:space="preserve">TOMADA RJ11, 2 FIOS, CONJUNTO MONTADO PARA EMBUTIR 4" X 2" (PLACA + SUPORTE + MODULO)                                                                                                                                                                                                                                                                                                                                                                                                                     </v>
          </cell>
          <cell r="C4324" t="str">
            <v xml:space="preserve">UN    </v>
          </cell>
          <cell r="D4324" t="str">
            <v>CR</v>
          </cell>
          <cell r="E4324" t="str">
            <v>21,82</v>
          </cell>
        </row>
        <row r="4325">
          <cell r="A4325">
            <v>38104</v>
          </cell>
          <cell r="B4325" t="str">
            <v xml:space="preserve">TOMADA RJ45, 8 FIOS, CAT 5E (APENAS MODULO)                                                                                                                                                                                                                                                                                                                                                                                                                                                               </v>
          </cell>
          <cell r="C4325" t="str">
            <v xml:space="preserve">UN    </v>
          </cell>
          <cell r="D4325" t="str">
            <v>CR</v>
          </cell>
          <cell r="E4325" t="str">
            <v>34,68</v>
          </cell>
        </row>
        <row r="4326">
          <cell r="A4326">
            <v>38083</v>
          </cell>
          <cell r="B4326" t="str">
            <v xml:space="preserve">TOMADA RJ45, 8 FIOS, CAT 5E, CONJUNTO MONTADO PARA EMBUTIR 4" X 2" (PLACA + SUPORTE + MODULO)                                                                                                                                                                                                                                                                                                                                                                                                             </v>
          </cell>
          <cell r="C4326" t="str">
            <v xml:space="preserve">UN    </v>
          </cell>
          <cell r="D4326" t="str">
            <v>CR</v>
          </cell>
          <cell r="E4326" t="str">
            <v>38,51</v>
          </cell>
        </row>
        <row r="4327">
          <cell r="A4327">
            <v>38101</v>
          </cell>
          <cell r="B4327" t="str">
            <v xml:space="preserve">TOMADA 2P+T 10A, 250V  (APENAS MODULO)                                                                                                                                                                                                                                                                                                                                                                                                                                                                    </v>
          </cell>
          <cell r="C4327" t="str">
            <v xml:space="preserve">UN    </v>
          </cell>
          <cell r="D4327" t="str">
            <v>CR</v>
          </cell>
          <cell r="E4327" t="str">
            <v>8,42</v>
          </cell>
        </row>
        <row r="4328">
          <cell r="A4328">
            <v>7528</v>
          </cell>
          <cell r="B4328" t="str">
            <v xml:space="preserve">TOMADA 2P+T 10A, 250V, CONJUNTO MONTADO PARA EMBUTIR 4" X 2" (PLACA + SUPORTE + MODULO)                                                                                                                                                                                                                                                                                                                                                                                                                   </v>
          </cell>
          <cell r="C4328" t="str">
            <v xml:space="preserve">UN    </v>
          </cell>
          <cell r="D4328" t="str">
            <v xml:space="preserve">C </v>
          </cell>
          <cell r="E4328" t="str">
            <v>9,90</v>
          </cell>
        </row>
        <row r="4329">
          <cell r="A4329">
            <v>12147</v>
          </cell>
          <cell r="B4329" t="str">
            <v xml:space="preserve">TOMADA 2P+T 10A, 250V, CONJUNTO MONTADO PARA SOBREPOR 4" X 2" (CAIXA + MODULO)                                                                                                                                                                                                                                                                                                                                                                                                                            </v>
          </cell>
          <cell r="C4329" t="str">
            <v xml:space="preserve">UN    </v>
          </cell>
          <cell r="D4329" t="str">
            <v>CR</v>
          </cell>
          <cell r="E4329" t="str">
            <v>15,09</v>
          </cell>
        </row>
        <row r="4330">
          <cell r="A4330">
            <v>38075</v>
          </cell>
          <cell r="B4330" t="str">
            <v xml:space="preserve">TOMADA 2P+T 20A 250V, CONJUNTO MONTADO PARA EMBUTIR 4" X 2" (PLACA + SUPORTE + MODULO)                                                                                                                                                                                                                                                                                                                                                                                                                    </v>
          </cell>
          <cell r="C4330" t="str">
            <v xml:space="preserve">UN    </v>
          </cell>
          <cell r="D4330" t="str">
            <v>CR</v>
          </cell>
          <cell r="E4330" t="str">
            <v>17,15</v>
          </cell>
        </row>
        <row r="4331">
          <cell r="A4331">
            <v>38102</v>
          </cell>
          <cell r="B4331" t="str">
            <v xml:space="preserve">TOMADA 2P+T 20A, 250V  (APENAS MODULO)                                                                                                                                                                                                                                                                                                                                                                                                                                                                    </v>
          </cell>
          <cell r="C4331" t="str">
            <v xml:space="preserve">UN    </v>
          </cell>
          <cell r="D4331" t="str">
            <v>CR</v>
          </cell>
          <cell r="E4331" t="str">
            <v>10,78</v>
          </cell>
        </row>
        <row r="4332">
          <cell r="A4332">
            <v>38076</v>
          </cell>
          <cell r="B4332" t="str">
            <v xml:space="preserve">TOMADAS (2 MODULOS) 2P+T 10A, 250V, CONJUNTO MONTADO PARA EMBUTIR 4" X 2" (PLACA + SUPORTE + MODULOS)                                                                                                                                                                                                                                                                                                                                                                                                     </v>
          </cell>
          <cell r="C4332" t="str">
            <v xml:space="preserve">UN    </v>
          </cell>
          <cell r="D4332" t="str">
            <v>CR</v>
          </cell>
          <cell r="E4332" t="str">
            <v>19,22</v>
          </cell>
        </row>
        <row r="4333">
          <cell r="A4333">
            <v>7592</v>
          </cell>
          <cell r="B4333" t="str">
            <v xml:space="preserve">TOPOGRAFO (HORISTA)                                                                                                                                                                                                                                                                                                                                                                                                                                                                                       </v>
          </cell>
          <cell r="C4333" t="str">
            <v xml:space="preserve">H     </v>
          </cell>
          <cell r="D4333" t="str">
            <v xml:space="preserve">C </v>
          </cell>
          <cell r="E4333" t="str">
            <v>67,67</v>
          </cell>
        </row>
        <row r="4334">
          <cell r="A4334">
            <v>40820</v>
          </cell>
          <cell r="B4334" t="str">
            <v xml:space="preserve">TOPOGRAFO (MENSALISTA)                                                                                                                                                                                                                                                                                                                                                                                                                                                                                    </v>
          </cell>
          <cell r="C4334" t="str">
            <v xml:space="preserve">MES   </v>
          </cell>
          <cell r="D4334" t="str">
            <v>CR</v>
          </cell>
          <cell r="E4334" t="str">
            <v>11.844,45</v>
          </cell>
        </row>
        <row r="4335">
          <cell r="A4335">
            <v>11826</v>
          </cell>
          <cell r="B4335" t="str">
            <v xml:space="preserve">TORNEIRA DE BOIA BALAO METALICO, VAZAO TOTAL, PARA CAIXA D'AGUA, AGUA QUENTE, ROSCA 1/2 ", COM HASTE, TORNEIRA E BALAO METALICOS                                                                                                                                                                                                                                                                                                                                                                          </v>
          </cell>
          <cell r="C4335" t="str">
            <v xml:space="preserve">UN    </v>
          </cell>
          <cell r="D4335" t="str">
            <v>CR</v>
          </cell>
          <cell r="E4335" t="str">
            <v>102,44</v>
          </cell>
        </row>
        <row r="4336">
          <cell r="A4336">
            <v>7606</v>
          </cell>
          <cell r="B4336" t="str">
            <v xml:space="preserve">TORNEIRA DE BOIA BALAO METALICO, VAZAO TOTAL, PARA CAIXA D'AGUA, AGUA QUENTE, ROSCA 3/4 ", COM HASTE, TORNEIRA E BALAO METALICOS                                                                                                                                                                                                                                                                                                                                                                          </v>
          </cell>
          <cell r="C4336" t="str">
            <v xml:space="preserve">UN    </v>
          </cell>
          <cell r="D4336" t="str">
            <v>CR</v>
          </cell>
          <cell r="E4336" t="str">
            <v>123,20</v>
          </cell>
        </row>
        <row r="4337">
          <cell r="A4337">
            <v>11763</v>
          </cell>
          <cell r="B4337" t="str">
            <v xml:space="preserve">TORNEIRA DE BOIA CONVENCIONAL PARA CAIXA D'AGUA, AGUA FRIA, 1.1/2", COM HASTE E TORNEIRA METALICOS E BALAO PLASTICO                                                                                                                                                                                                                                                                                                                                                                                       </v>
          </cell>
          <cell r="C4337" t="str">
            <v xml:space="preserve">UN    </v>
          </cell>
          <cell r="D4337" t="str">
            <v>CR</v>
          </cell>
          <cell r="E4337" t="str">
            <v>269,03</v>
          </cell>
        </row>
        <row r="4338">
          <cell r="A4338">
            <v>11764</v>
          </cell>
          <cell r="B4338" t="str">
            <v xml:space="preserve">TORNEIRA DE BOIA CONVENCIONAL PARA CAIXA D'AGUA, AGUA FRIA, 1.1/4", COM HASTE E TORNEIRA METALICOS E BALAO PLASTICO                                                                                                                                                                                                                                                                                                                                                                                       </v>
          </cell>
          <cell r="C4338" t="str">
            <v xml:space="preserve">UN    </v>
          </cell>
          <cell r="D4338" t="str">
            <v>CR</v>
          </cell>
          <cell r="E4338" t="str">
            <v>220,73</v>
          </cell>
        </row>
        <row r="4339">
          <cell r="A4339">
            <v>11829</v>
          </cell>
          <cell r="B4339" t="str">
            <v xml:space="preserve">TORNEIRA DE BOIA CONVENCIONAL PARA CAIXA D'AGUA, AGUA FRIA, 1/2", COM HASTE E TORNEIRA METALICOS E BALAO PLASTICO                                                                                                                                                                                                                                                                                                                                                                                         </v>
          </cell>
          <cell r="C4339" t="str">
            <v xml:space="preserve">UN    </v>
          </cell>
          <cell r="D4339" t="str">
            <v>CR</v>
          </cell>
          <cell r="E4339" t="str">
            <v>53,35</v>
          </cell>
        </row>
        <row r="4340">
          <cell r="A4340">
            <v>11830</v>
          </cell>
          <cell r="B4340" t="str">
            <v xml:space="preserve">TORNEIRA DE BOIA CONVENCIONAL PARA CAIXA D'AGUA, AGUA FRIA, 3/4", COM HASTE E TORNEIRA METALICOS E BALAO PLASTICO                                                                                                                                                                                                                                                                                                                                                                                         </v>
          </cell>
          <cell r="C4340" t="str">
            <v xml:space="preserve">UN    </v>
          </cell>
          <cell r="D4340" t="str">
            <v>CR</v>
          </cell>
          <cell r="E4340" t="str">
            <v>57,61</v>
          </cell>
        </row>
        <row r="4341">
          <cell r="A4341">
            <v>11825</v>
          </cell>
          <cell r="B4341" t="str">
            <v xml:space="preserve">TORNEIRA DE BOIA CONVENCIONAL PARA CAIXA D'AGUA, 1", AGUA FRIA, COM HASTE E TORNEIRA METALICOS E BALAO PLASTICO                                                                                                                                                                                                                                                                                                                                                                                           </v>
          </cell>
          <cell r="C4341" t="str">
            <v xml:space="preserve">UN    </v>
          </cell>
          <cell r="D4341" t="str">
            <v>CR</v>
          </cell>
          <cell r="E4341" t="str">
            <v>129,60</v>
          </cell>
        </row>
        <row r="4342">
          <cell r="A4342">
            <v>11767</v>
          </cell>
          <cell r="B4342" t="str">
            <v xml:space="preserve">TORNEIRA DE BOIA CONVENCIONAL PARA CAIXA D'AGUA, 2", AGUA FRIA, COM HASTE E TORNEIRA METALICOS E BALAO PLASTICO                                                                                                                                                                                                                                                                                                                                                                                           </v>
          </cell>
          <cell r="C4342" t="str">
            <v xml:space="preserve">UN    </v>
          </cell>
          <cell r="D4342" t="str">
            <v>CR</v>
          </cell>
          <cell r="E4342" t="str">
            <v>345,18</v>
          </cell>
        </row>
        <row r="4343">
          <cell r="A4343">
            <v>11766</v>
          </cell>
          <cell r="B4343" t="str">
            <v xml:space="preserve">TORNEIRA DE BOIA VAZAO TOTAL PARA CAIXA D'AGUA, AGUA FRIA, BITOLA 1/2", COM HASTE E TORNEIRA METALICOS E BALAO PLASTICO                                                                                                                                                                                                                                                                                                                                                                                   </v>
          </cell>
          <cell r="C4343" t="str">
            <v xml:space="preserve">UN    </v>
          </cell>
          <cell r="D4343" t="str">
            <v>CR</v>
          </cell>
          <cell r="E4343" t="str">
            <v>80,46</v>
          </cell>
        </row>
        <row r="4344">
          <cell r="A4344">
            <v>11765</v>
          </cell>
          <cell r="B4344" t="str">
            <v xml:space="preserve">TORNEIRA DE BOIA VAZAO TOTAL PARA CAIXA D'AGUA, AGUA FRIA, BITOLA 1", COM HASTE E TORNEIRA METALICOS E BALAO PLASTICO                                                                                                                                                                                                                                                                                                                                                                                     </v>
          </cell>
          <cell r="C4344" t="str">
            <v xml:space="preserve">UN    </v>
          </cell>
          <cell r="D4344" t="str">
            <v>CR</v>
          </cell>
          <cell r="E4344" t="str">
            <v>147,10</v>
          </cell>
        </row>
        <row r="4345">
          <cell r="A4345">
            <v>11824</v>
          </cell>
          <cell r="B4345" t="str">
            <v xml:space="preserve">TORNEIRA DE BOIA VAZAO TOTAL PARA CAIXA D'AGUA, AGUA FRIA, BITOLA 3/4", COM HASTE E TORNEIRA METALICOS E BALAO PLASTICO                                                                                                                                                                                                                                                                                                                                                                                   </v>
          </cell>
          <cell r="C4345" t="str">
            <v xml:space="preserve">UN    </v>
          </cell>
          <cell r="D4345" t="str">
            <v>CR</v>
          </cell>
          <cell r="E4345" t="str">
            <v>94,64</v>
          </cell>
        </row>
        <row r="4346">
          <cell r="A4346">
            <v>44045</v>
          </cell>
          <cell r="B4346" t="str">
            <v xml:space="preserve">TORNEIRA DE MESA PARA LAVATORIO, METALICA CROMADA, COM MISTURADOR MONOCOMANDO, BICA BAIXA (REF 2875)                                                                                                                                                                                                                                                                                                                                                                                                      </v>
          </cell>
          <cell r="C4346" t="str">
            <v xml:space="preserve">UN    </v>
          </cell>
          <cell r="D4346" t="str">
            <v>CR</v>
          </cell>
          <cell r="E4346" t="str">
            <v>274,72</v>
          </cell>
        </row>
        <row r="4347">
          <cell r="A4347">
            <v>39702</v>
          </cell>
          <cell r="B4347" t="str">
            <v xml:space="preserve">TORNEIRA DE MESA PARA LAVATORIO, METALICA CROMADA, COM SENSOR DE APROXIMACAO ELETRICO, BIVOLT                                                                                                                                                                                                                                                                                                                                                                                                             </v>
          </cell>
          <cell r="C4347" t="str">
            <v xml:space="preserve">UN    </v>
          </cell>
          <cell r="D4347" t="str">
            <v>CR</v>
          </cell>
          <cell r="E4347" t="str">
            <v>1.824,50</v>
          </cell>
        </row>
        <row r="4348">
          <cell r="A4348">
            <v>13415</v>
          </cell>
          <cell r="B4348" t="str">
            <v xml:space="preserve">TORNEIRA DE MESA/BANCADA, PARA LAVATORIO, FIXA, METALICA CROMADA, PADRAO POPULAR, 1/2 " OU 3/4 " (REF 1193)                                                                                                                                                                                                                                                                                                                                                                                               </v>
          </cell>
          <cell r="C4348" t="str">
            <v xml:space="preserve">UN    </v>
          </cell>
          <cell r="D4348" t="str">
            <v xml:space="preserve">C </v>
          </cell>
          <cell r="E4348" t="str">
            <v>59,90</v>
          </cell>
        </row>
        <row r="4349">
          <cell r="A4349">
            <v>7602</v>
          </cell>
          <cell r="B4349" t="str">
            <v xml:space="preserve">TORNEIRA DE METAL AMARELO, PARA TANQUE / JARDIM, DE PAREDE, COM BICO PLASTICO, CANO CURTO, AREA EXTERNA, PADRAO POPULAR / USO GERAL, 1/2 " OU 3/4 " (REF 1128)                                                                                                                                                                                                                                                                                                                                            </v>
          </cell>
          <cell r="C4349" t="str">
            <v xml:space="preserve">UN    </v>
          </cell>
          <cell r="D4349" t="str">
            <v>CR</v>
          </cell>
          <cell r="E4349" t="str">
            <v>38,22</v>
          </cell>
        </row>
        <row r="4350">
          <cell r="A4350">
            <v>7603</v>
          </cell>
          <cell r="B4350" t="str">
            <v xml:space="preserve">TORNEIRA DE METAL AMARELO, PARA TANQUE / JARDIM, DE PAREDE, SEM BICO, CANO CURTO, PADRAO POPULAR / USO GERAL, 1/2 " OU 3/4 " (REF 1120)                                                                                                                                                                                                                                                                                                                                                                   </v>
          </cell>
          <cell r="C4350" t="str">
            <v xml:space="preserve">UN    </v>
          </cell>
          <cell r="D4350" t="str">
            <v>CR</v>
          </cell>
          <cell r="E4350" t="str">
            <v>32,43</v>
          </cell>
        </row>
        <row r="4351">
          <cell r="A4351">
            <v>11777</v>
          </cell>
          <cell r="B4351" t="str">
            <v xml:space="preserve">TORNEIRA ELETRICA DE PAREDE, PLASTICA, BICA ALTA, PARA COZINHA, 5500 W (110/220 V)                                                                                                                                                                                                                                                                                                                                                                                                                        </v>
          </cell>
          <cell r="C4351" t="str">
            <v xml:space="preserve">UN    </v>
          </cell>
          <cell r="D4351" t="str">
            <v>CR</v>
          </cell>
          <cell r="E4351" t="str">
            <v>194,94</v>
          </cell>
        </row>
        <row r="4352">
          <cell r="A4352">
            <v>13417</v>
          </cell>
          <cell r="B4352" t="str">
            <v xml:space="preserve">TORNEIRA METALICA CROMADA CANO CURTO, SEM BICO, SEM AREJADOR, DE PAREDE, PARA TANQUE E USO GERAL, 1/2 " OU 3/4 " (REF 1143)                                                                                                                                                                                                                                                                                                                                                                               </v>
          </cell>
          <cell r="C4352" t="str">
            <v xml:space="preserve">UN    </v>
          </cell>
          <cell r="D4352" t="str">
            <v>CR</v>
          </cell>
          <cell r="E4352" t="str">
            <v>78,01</v>
          </cell>
        </row>
        <row r="4353">
          <cell r="A4353">
            <v>36791</v>
          </cell>
          <cell r="B4353" t="str">
            <v xml:space="preserve">TORNEIRA METALICA CROMADA DE MESA PARA LAVATORIO, BICA ALTA, COM AREJADOR (REF 1195)                                                                                                                                                                                                                                                                                                                                                                                                                      </v>
          </cell>
          <cell r="C4353" t="str">
            <v xml:space="preserve">UN    </v>
          </cell>
          <cell r="D4353" t="str">
            <v>CR</v>
          </cell>
          <cell r="E4353" t="str">
            <v>117,09</v>
          </cell>
        </row>
        <row r="4354">
          <cell r="A4354">
            <v>36795</v>
          </cell>
          <cell r="B4354" t="str">
            <v xml:space="preserve">TORNEIRA METALICA CROMADA DE MESA PARA LAVATORIO, COM SENSOR DE PRESENCA A PILHA, COM AREJADOR EMBUTIDO                                                                                                                                                                                                                                                                                                                                                                                                   </v>
          </cell>
          <cell r="C4354" t="str">
            <v xml:space="preserve">UN    </v>
          </cell>
          <cell r="D4354" t="str">
            <v>CR</v>
          </cell>
          <cell r="E4354" t="str">
            <v>1.480,42</v>
          </cell>
        </row>
        <row r="4355">
          <cell r="A4355">
            <v>36796</v>
          </cell>
          <cell r="B4355" t="str">
            <v xml:space="preserve">TORNEIRA METALICA CROMADA DE MESA, PARA LAVATORIO, TEMPORIZADA PRESSAO FECHAMENTO AUTOMATICO, BICA BAIXA                                                                                                                                                                                                                                                                                                                                                                                                  </v>
          </cell>
          <cell r="C4355" t="str">
            <v xml:space="preserve">UN    </v>
          </cell>
          <cell r="D4355" t="str">
            <v>CR</v>
          </cell>
          <cell r="E4355" t="str">
            <v>123,02</v>
          </cell>
        </row>
        <row r="4356">
          <cell r="A4356">
            <v>36792</v>
          </cell>
          <cell r="B4356" t="str">
            <v xml:space="preserve">TORNEIRA METALICA CROMADA DE PAREDE LONGA PARA LAVATORIO, COM AREJADOR, ACIONAMENTO ALAVANCA, 1/4 DE VOLTA (REF 1178)                                                                                                                                                                                                                                                                                                                                                                                     </v>
          </cell>
          <cell r="C4356" t="str">
            <v xml:space="preserve">UN    </v>
          </cell>
          <cell r="D4356" t="str">
            <v>CR</v>
          </cell>
          <cell r="E4356" t="str">
            <v>155,83</v>
          </cell>
        </row>
        <row r="4357">
          <cell r="A4357">
            <v>11773</v>
          </cell>
          <cell r="B4357" t="str">
            <v xml:space="preserve">TORNEIRA METALICA CROMADA DE PAREDE, PARA COZINHA, BICA MOVEL, COM AREJADOR, 1/2 " OU 3/4 " (REF 1167 / 1168)                                                                                                                                                                                                                                                                                                                                                                                             </v>
          </cell>
          <cell r="C4357" t="str">
            <v xml:space="preserve">UN    </v>
          </cell>
          <cell r="D4357" t="str">
            <v>CR</v>
          </cell>
          <cell r="E4357" t="str">
            <v>103,74</v>
          </cell>
        </row>
        <row r="4358">
          <cell r="A4358">
            <v>11762</v>
          </cell>
          <cell r="B4358" t="str">
            <v xml:space="preserve">TORNEIRA METALICA CROMADA PARA JARDIM / TANQUE, COM BICO PLASTICO, CANO LONGO, DE PAREDE, PADRAO POPULAR / USO GERAL , 1/2 " OU 3/4 " (REF 1153 / 1130)                                                                                                                                                                                                                                                                                                                                                   </v>
          </cell>
          <cell r="C4358" t="str">
            <v xml:space="preserve">UN    </v>
          </cell>
          <cell r="D4358" t="str">
            <v>CR</v>
          </cell>
          <cell r="E4358" t="str">
            <v>49,20</v>
          </cell>
        </row>
        <row r="4359">
          <cell r="A4359">
            <v>7604</v>
          </cell>
          <cell r="B4359" t="str">
            <v xml:space="preserve">TORNEIRA METALICA CROMADA PARA TANQUE / JARDIM, SEM BICO , CANO LONGO, DE PAREDE, PADRAO POPULAR / USO GERAL, 1/2 " OU 3/4 " (REF 1126)                                                                                                                                                                                                                                                                                                                                                                   </v>
          </cell>
          <cell r="C4359" t="str">
            <v xml:space="preserve">UN    </v>
          </cell>
          <cell r="D4359" t="str">
            <v>CR</v>
          </cell>
          <cell r="E4359" t="str">
            <v>41,66</v>
          </cell>
        </row>
        <row r="4360">
          <cell r="A4360">
            <v>13984</v>
          </cell>
          <cell r="B4360" t="str">
            <v xml:space="preserve">TORNEIRA METALICA CROMADA, CANO CURTO, COM AREJADOR, SEM BICO PLASTICO, DE PAREDE, PARA USO GERAL, 1/2 " OU 3/4 " (REF 1152 / 1154)                                                                                                                                                                                                                                                                                                                                                                       </v>
          </cell>
          <cell r="C4360" t="str">
            <v xml:space="preserve">UN    </v>
          </cell>
          <cell r="D4360" t="str">
            <v>CR</v>
          </cell>
          <cell r="E4360" t="str">
            <v>60,55</v>
          </cell>
        </row>
        <row r="4361">
          <cell r="A4361">
            <v>11772</v>
          </cell>
          <cell r="B4361" t="str">
            <v xml:space="preserve">TORNEIRA METALICA CROMADA, DE MESA/BANCADA, PARA COZINHA, BICA MOVEL, COM AREJADOR, 1/2 " OU 3/4 " (REF 1167 / 1168)                                                                                                                                                                                                                                                                                                                                                                                      </v>
          </cell>
          <cell r="C4361" t="str">
            <v xml:space="preserve">UN    </v>
          </cell>
          <cell r="D4361" t="str">
            <v>CR</v>
          </cell>
          <cell r="E4361" t="str">
            <v>104,06</v>
          </cell>
        </row>
        <row r="4362">
          <cell r="A4362">
            <v>13983</v>
          </cell>
          <cell r="B4362" t="str">
            <v xml:space="preserve">TORNEIRA METALICA CROMADA, RETA, DE PAREDE, PARA COZINHA, COM AREJADOR, PADRAO POPULAR, 1/2 " OU 3/4 " (REF 1159 / 1160)                                                                                                                                                                                                                                                                                                                                                                                  </v>
          </cell>
          <cell r="C4362" t="str">
            <v xml:space="preserve">UN    </v>
          </cell>
          <cell r="D4362" t="str">
            <v>CR</v>
          </cell>
          <cell r="E4362" t="str">
            <v>78,81</v>
          </cell>
        </row>
        <row r="4363">
          <cell r="A4363">
            <v>13416</v>
          </cell>
          <cell r="B4363" t="str">
            <v xml:space="preserve">TORNEIRA METALICA CROMADA, RETA, DE PAREDE, PARA COZINHA, SEM BICO, SEM AREJADOR, PADRAO POPULAR, 1/2 " OU 3/4 " (REF 1158)                                                                                                                                                                                                                                                                                                                                                                               </v>
          </cell>
          <cell r="C4363" t="str">
            <v xml:space="preserve">UN    </v>
          </cell>
          <cell r="D4363" t="str">
            <v>CR</v>
          </cell>
          <cell r="E4363" t="str">
            <v>70,00</v>
          </cell>
        </row>
        <row r="4364">
          <cell r="A4364">
            <v>40329</v>
          </cell>
          <cell r="B4364" t="str">
            <v xml:space="preserve">TORNEIRA PLASTICA DE BOIA CONVENCIONAL PARA CAIXA DE AGUA, AGUA FRIA, 3/4 ", COM HASTE METALICA E COM TORNEIRA E BALAO PLASTICOS (PADRAO POPULAR)                                                                                                                                                                                                                                                                                                                                                         </v>
          </cell>
          <cell r="C4364" t="str">
            <v xml:space="preserve">UN    </v>
          </cell>
          <cell r="D4364" t="str">
            <v xml:space="preserve">C </v>
          </cell>
          <cell r="E4364" t="str">
            <v>33,43</v>
          </cell>
        </row>
        <row r="4365">
          <cell r="A4365">
            <v>11823</v>
          </cell>
          <cell r="B4365" t="str">
            <v xml:space="preserve">TORNEIRA PLASTICA DE BOIA PARA CAIXA DE DESCARGA,  1/2", BALAO E TORNEIRA PLASTICOS, COM HASTE METALICA                                                                                                                                                                                                                                                                                                                                                                                                   </v>
          </cell>
          <cell r="C4365" t="str">
            <v xml:space="preserve">UN    </v>
          </cell>
          <cell r="D4365" t="str">
            <v>CR</v>
          </cell>
          <cell r="E4365" t="str">
            <v>14,08</v>
          </cell>
        </row>
        <row r="4366">
          <cell r="A4366">
            <v>11822</v>
          </cell>
          <cell r="B4366" t="str">
            <v xml:space="preserve">TORNEIRA PLASTICA DE MESA, BICA MOVEL, PARA COZINHA 1/2 "                                                                                                                                                                                                                                                                                                                                                                                                                                                 </v>
          </cell>
          <cell r="C4366" t="str">
            <v xml:space="preserve">UN    </v>
          </cell>
          <cell r="D4366" t="str">
            <v>CR</v>
          </cell>
          <cell r="E4366" t="str">
            <v>34,88</v>
          </cell>
        </row>
        <row r="4367">
          <cell r="A4367">
            <v>11831</v>
          </cell>
          <cell r="B4367" t="str">
            <v xml:space="preserve">TORNEIRA PLASTICA PARA TANQUE 1/2 " OU 3/4 " COM BICO PARA MANGUEIRA                                                                                                                                                                                                                                                                                                                                                                                                                                      </v>
          </cell>
          <cell r="C4367" t="str">
            <v xml:space="preserve">UN    </v>
          </cell>
          <cell r="D4367" t="str">
            <v>CR</v>
          </cell>
          <cell r="E4367" t="str">
            <v>20,99</v>
          </cell>
        </row>
        <row r="4368">
          <cell r="A4368">
            <v>7613</v>
          </cell>
          <cell r="B4368" t="str">
            <v xml:space="preserve">TRANSFORMADOR TRIFASICO DE DISTRIBUICAO, POTENCIA DE 1000 KVA, TENSAO NOMINAL DE 15 KV, TENSAO SECUNDARIA DE 220/127V, EM OLEO ISOLANTE TIPO MINERAL                                                                                                                                                                                                                                                                                                                                                      </v>
          </cell>
          <cell r="C4368" t="str">
            <v xml:space="preserve">UN    </v>
          </cell>
          <cell r="D4368" t="str">
            <v>CR</v>
          </cell>
          <cell r="E4368" t="str">
            <v>120.105,06</v>
          </cell>
        </row>
        <row r="4369">
          <cell r="A4369">
            <v>7619</v>
          </cell>
          <cell r="B4369" t="str">
            <v xml:space="preserve">TRANSFORMADOR TRIFASICO DE DISTRIBUICAO, POTENCIA DE 112,5 KVA, TENSAO NOMINAL DE 15 KV, TENSAO SECUNDARIA DE 220/127V, EM OLEO ISOLANTE TIPO MINERAL                                                                                                                                                                                                                                                                                                                                                     </v>
          </cell>
          <cell r="C4369" t="str">
            <v xml:space="preserve">UN    </v>
          </cell>
          <cell r="D4369" t="str">
            <v>CR</v>
          </cell>
          <cell r="E4369" t="str">
            <v>18.565,67</v>
          </cell>
        </row>
        <row r="4370">
          <cell r="A4370">
            <v>12076</v>
          </cell>
          <cell r="B4370" t="str">
            <v xml:space="preserve">TRANSFORMADOR TRIFASICO DE DISTRIBUICAO, POTENCIA DE 15 KVA, TENSAO NOMINAL DE 15 KV, TENSAO SECUNDARIA DE 220/127V, EM OLEO ISOLANTE TIPO MINERAL                                                                                                                                                                                                                                                                                                                                                        </v>
          </cell>
          <cell r="C4370" t="str">
            <v xml:space="preserve">UN    </v>
          </cell>
          <cell r="D4370" t="str">
            <v>CR</v>
          </cell>
          <cell r="E4370" t="str">
            <v>8.516,36</v>
          </cell>
        </row>
        <row r="4371">
          <cell r="A4371">
            <v>7614</v>
          </cell>
          <cell r="B4371" t="str">
            <v xml:space="preserve">TRANSFORMADOR TRIFASICO DE DISTRIBUICAO, POTENCIA DE 150 KVA, TENSAO NOMINAL DE 15 KV, TENSAO SECUNDARIA DE 220/127V, EM OLEO ISOLANTE TIPO MINERAL                                                                                                                                                                                                                                                                                                                                                       </v>
          </cell>
          <cell r="C4371" t="str">
            <v xml:space="preserve">UN    </v>
          </cell>
          <cell r="D4371" t="str">
            <v>CR</v>
          </cell>
          <cell r="E4371" t="str">
            <v>23.415,74</v>
          </cell>
        </row>
        <row r="4372">
          <cell r="A4372">
            <v>7618</v>
          </cell>
          <cell r="B4372" t="str">
            <v xml:space="preserve">TRANSFORMADOR TRIFASICO DE DISTRIBUICAO, POTENCIA DE 1500 KVA, TENSAO NOMINAL DE 15 KV, TENSAO SECUNDARIA DE 220/127V, EM OLEO ISOLANTE TIPO MINERAL                                                                                                                                                                                                                                                                                                                                                      </v>
          </cell>
          <cell r="C4372" t="str">
            <v xml:space="preserve">UN    </v>
          </cell>
          <cell r="D4372" t="str">
            <v>CR</v>
          </cell>
          <cell r="E4372" t="str">
            <v>151.868,67</v>
          </cell>
        </row>
        <row r="4373">
          <cell r="A4373">
            <v>7620</v>
          </cell>
          <cell r="B4373" t="str">
            <v xml:space="preserve">TRANSFORMADOR TRIFASICO DE DISTRIBUICAO, POTENCIA DE 225 KVA, TENSAO NOMINAL DE 15 KV, TENSAO SECUNDARIA DE 220/127V, EM OLEO ISOLANTE TIPO MINERAL                                                                                                                                                                                                                                                                                                                                                       </v>
          </cell>
          <cell r="C4373" t="str">
            <v xml:space="preserve">UN    </v>
          </cell>
          <cell r="D4373" t="str">
            <v>CR</v>
          </cell>
          <cell r="E4373" t="str">
            <v>32.848,83</v>
          </cell>
        </row>
        <row r="4374">
          <cell r="A4374">
            <v>7610</v>
          </cell>
          <cell r="B4374" t="str">
            <v xml:space="preserve">TRANSFORMADOR TRIFASICO DE DISTRIBUICAO, POTENCIA DE 30 KVA, TENSAO NOMINAL DE 15 KV, TENSAO SECUNDARIA DE 220/127V, EM OLEO ISOLANTE TIPO MINERAL                                                                                                                                                                                                                                                                                                                                                        </v>
          </cell>
          <cell r="C4374" t="str">
            <v xml:space="preserve">UN    </v>
          </cell>
          <cell r="D4374" t="str">
            <v>CR</v>
          </cell>
          <cell r="E4374" t="str">
            <v>10.402,12</v>
          </cell>
        </row>
        <row r="4375">
          <cell r="A4375">
            <v>7615</v>
          </cell>
          <cell r="B4375" t="str">
            <v xml:space="preserve">TRANSFORMADOR TRIFASICO DE DISTRIBUICAO, POTENCIA DE 300 KVA, TENSAO NOMINAL DE 15 KV, TENSAO SECUNDARIA DE 220/127V, EM OLEO ISOLANTE TIPO MINERAL                                                                                                                                                                                                                                                                                                                                                       </v>
          </cell>
          <cell r="C4375" t="str">
            <v xml:space="preserve">UN    </v>
          </cell>
          <cell r="D4375" t="str">
            <v>CR</v>
          </cell>
          <cell r="E4375" t="str">
            <v>38.323,63</v>
          </cell>
        </row>
        <row r="4376">
          <cell r="A4376">
            <v>7617</v>
          </cell>
          <cell r="B4376" t="str">
            <v xml:space="preserve">TRANSFORMADOR TRIFASICO DE DISTRIBUICAO, POTENCIA DE 45 KVA, TENSAO NOMINAL DE 15 KV, TENSAO SECUNDARIA DE 220/127V, EM OLEO ISOLANTE TIPO MINERAL                                                                                                                                                                                                                                                                                                                                                        </v>
          </cell>
          <cell r="C4376" t="str">
            <v xml:space="preserve">UN    </v>
          </cell>
          <cell r="D4376" t="str">
            <v>CR</v>
          </cell>
          <cell r="E4376" t="str">
            <v>11.618,75</v>
          </cell>
        </row>
        <row r="4377">
          <cell r="A4377">
            <v>7616</v>
          </cell>
          <cell r="B4377" t="str">
            <v xml:space="preserve">TRANSFORMADOR TRIFASICO DE DISTRIBUICAO, POTENCIA DE 500 KVA, TENSAO NOMINAL DE 15 KV, TENSAO SECUNDARIA DE 220/127V, EM OLEO ISOLANTE TIPO MINERAL                                                                                                                                                                                                                                                                                                                                                       </v>
          </cell>
          <cell r="C4377" t="str">
            <v xml:space="preserve">UN    </v>
          </cell>
          <cell r="D4377" t="str">
            <v>CR</v>
          </cell>
          <cell r="E4377" t="str">
            <v>62.538,09</v>
          </cell>
        </row>
        <row r="4378">
          <cell r="A4378">
            <v>7611</v>
          </cell>
          <cell r="B4378" t="str">
            <v xml:space="preserve">TRANSFORMADOR TRIFASICO DE DISTRIBUICAO, POTENCIA DE 75 KVA, TENSAO NOMINAL DE 15 KV, TENSAO SECUNDARIA DE 220/127V, EM OLEO ISOLANTE TIPO MINERAL                                                                                                                                                                                                                                                                                                                                                        </v>
          </cell>
          <cell r="C4378" t="str">
            <v xml:space="preserve">UN    </v>
          </cell>
          <cell r="D4378" t="str">
            <v xml:space="preserve">C </v>
          </cell>
          <cell r="E4378" t="str">
            <v>15.025,30</v>
          </cell>
        </row>
        <row r="4379">
          <cell r="A4379">
            <v>7612</v>
          </cell>
          <cell r="B4379" t="str">
            <v xml:space="preserve">TRANSFORMADOR TRIFASICO DE DISTRIBUICAO, POTENCIA DE 750 KVA, TENSAO NOMINAL DE 15 KV, TENSAO SECUNDARIA DE 220/127V, EM OLEO ISOLANTE TIPO MINERAL                                                                                                                                                                                                                                                                                                                                                       </v>
          </cell>
          <cell r="C4379" t="str">
            <v xml:space="preserve">UN    </v>
          </cell>
          <cell r="D4379" t="str">
            <v>CR</v>
          </cell>
          <cell r="E4379" t="str">
            <v>85.781,68</v>
          </cell>
        </row>
        <row r="4380">
          <cell r="A4380">
            <v>37371</v>
          </cell>
          <cell r="B4380" t="str">
            <v xml:space="preserve">TRANSPORTE - HORISTA (COLETADO CAIXA - ENCARGOS COMPLEMENTARES)                                                                                                                                                                                                                                                                                                                                                                                                                                           </v>
          </cell>
          <cell r="C4380" t="str">
            <v xml:space="preserve">H     </v>
          </cell>
          <cell r="D4380" t="str">
            <v xml:space="preserve">C </v>
          </cell>
          <cell r="E4380" t="str">
            <v>0,95</v>
          </cell>
        </row>
        <row r="4381">
          <cell r="A4381">
            <v>40861</v>
          </cell>
          <cell r="B4381" t="str">
            <v xml:space="preserve">TRANSPORTE - MENSALISTA (COLETADO CAIXA - ENCARGOS COMPLEMENTARES)                                                                                                                                                                                                                                                                                                                                                                                                                                        </v>
          </cell>
          <cell r="C4381" t="str">
            <v xml:space="preserve">MES   </v>
          </cell>
          <cell r="D4381" t="str">
            <v xml:space="preserve">C </v>
          </cell>
          <cell r="E4381" t="str">
            <v>179,74</v>
          </cell>
        </row>
        <row r="4382">
          <cell r="A4382">
            <v>36510</v>
          </cell>
          <cell r="B4382" t="str">
            <v xml:space="preserve">TRATOR DE ESTEIRAS, POTENCIA BRUTA DE 133 HP, PESO OPERACIONAL DE 14 T, COM LAMINA COM CAPACIDADE DE 3,00 M3                                                                                                                                                                                                                                                                                                                                                                                              </v>
          </cell>
          <cell r="C4382" t="str">
            <v xml:space="preserve">UN    </v>
          </cell>
          <cell r="D4382" t="str">
            <v>CR</v>
          </cell>
          <cell r="E4382" t="str">
            <v>985.932,68</v>
          </cell>
        </row>
        <row r="4383">
          <cell r="A4383">
            <v>25020</v>
          </cell>
          <cell r="B4383" t="str">
            <v xml:space="preserve">TRATOR DE ESTEIRAS, POTENCIA BRUTA DE 347 HP, PESO OPERACIONAL DE 38,5 T, COM ESCARIFICADOR E LAMINA COM CAPACIDADE DE 4,70M3                                                                                                                                                                                                                                                                                                                                                                             </v>
          </cell>
          <cell r="C4383" t="str">
            <v xml:space="preserve">UN    </v>
          </cell>
          <cell r="D4383" t="str">
            <v>CR</v>
          </cell>
          <cell r="E4383" t="str">
            <v>4.061.695,76</v>
          </cell>
        </row>
        <row r="4384">
          <cell r="A4384">
            <v>7622</v>
          </cell>
          <cell r="B4384" t="str">
            <v xml:space="preserve">TRATOR DE ESTEIRAS, POTENCIA DE 100 HP, PESO OPERACIONAL DE 9,4 T, COM LAMINA COM CAPACIDADE DE 2,19 M3                                                                                                                                                                                                                                                                                                                                                                                                   </v>
          </cell>
          <cell r="C4384" t="str">
            <v xml:space="preserve">UN    </v>
          </cell>
          <cell r="D4384" t="str">
            <v>CR</v>
          </cell>
          <cell r="E4384" t="str">
            <v>956.498,80</v>
          </cell>
        </row>
        <row r="4385">
          <cell r="A4385">
            <v>7624</v>
          </cell>
          <cell r="B4385" t="str">
            <v xml:space="preserve">TRATOR DE ESTEIRAS, POTENCIA DE 150 HP, PESO OPERACIONAL DE 16,7 T, COM RODA MOTRIZ ELEVADA E LAMINA COM CONTATO DE 3,18M3                                                                                                                                                                                                                                                                                                                                                                                </v>
          </cell>
          <cell r="C4385" t="str">
            <v xml:space="preserve">UN    </v>
          </cell>
          <cell r="D4385" t="str">
            <v xml:space="preserve">C </v>
          </cell>
          <cell r="E4385" t="str">
            <v>1.240.000,00</v>
          </cell>
        </row>
        <row r="4386">
          <cell r="A4386">
            <v>7625</v>
          </cell>
          <cell r="B4386" t="str">
            <v xml:space="preserve">TRATOR DE ESTEIRAS, POTENCIA DE 170 HP, PESO OPERACIONAL DE 19 T, COM LAMINA COM CAPACIDADE DE 5,2 M3                                                                                                                                                                                                                                                                                                                                                                                                     </v>
          </cell>
          <cell r="C4386" t="str">
            <v xml:space="preserve">UN    </v>
          </cell>
          <cell r="D4386" t="str">
            <v>CR</v>
          </cell>
          <cell r="E4386" t="str">
            <v>1.232.415,78</v>
          </cell>
        </row>
        <row r="4387">
          <cell r="A4387">
            <v>7623</v>
          </cell>
          <cell r="B4387" t="str">
            <v xml:space="preserve">TRATOR DE ESTEIRAS, POTENCIA DE 347 HP, PESO OPERACIONAL DE 38,5 T, COM LAMINA COM CAPACIDADE DE 8,70M3                                                                                                                                                                                                                                                                                                                                                                                                   </v>
          </cell>
          <cell r="C4387" t="str">
            <v xml:space="preserve">UN    </v>
          </cell>
          <cell r="D4387" t="str">
            <v>CR</v>
          </cell>
          <cell r="E4387" t="str">
            <v>4.061.695,76</v>
          </cell>
        </row>
        <row r="4388">
          <cell r="A4388">
            <v>36508</v>
          </cell>
          <cell r="B4388" t="str">
            <v xml:space="preserve">TRATOR DE ESTEIRAS, POTENCIA NO VOLANTE DE 200 HP, PESO OPERACIONAL DE 20,1 T, COM RODA MOTRIZ ELEVADA E LAMINA COM CAPACIDADE DE 3,89 M3                                                                                                                                                                                                                                                                                                                                                                 </v>
          </cell>
          <cell r="C4388" t="str">
            <v xml:space="preserve">UN    </v>
          </cell>
          <cell r="D4388" t="str">
            <v>CR</v>
          </cell>
          <cell r="E4388" t="str">
            <v>1.826.705,75</v>
          </cell>
        </row>
        <row r="4389">
          <cell r="A4389">
            <v>36509</v>
          </cell>
          <cell r="B4389" t="str">
            <v xml:space="preserve">TRATOR DE ESTEIRAS, POTENCIA 125 HP, PESO OPERACIONAL DE 12,9 T, COM LAMINA COM CAPACIDADE DE 2,7 M3                                                                                                                                                                                                                                                                                                                                                                                                      </v>
          </cell>
          <cell r="C4389" t="str">
            <v xml:space="preserve">UN    </v>
          </cell>
          <cell r="D4389" t="str">
            <v>CR</v>
          </cell>
          <cell r="E4389" t="str">
            <v>1.001.100,85</v>
          </cell>
        </row>
        <row r="4390">
          <cell r="A4390">
            <v>13238</v>
          </cell>
          <cell r="B4390" t="str">
            <v xml:space="preserve">TRATOR DE PNEUS COM POTENCIA DE 105 CV, TRACAO 4 X 4, PESO COM LASTRO DE 5775 KG                                                                                                                                                                                                                                                                                                                                                                                                                          </v>
          </cell>
          <cell r="C4390" t="str">
            <v xml:space="preserve">UN    </v>
          </cell>
          <cell r="D4390" t="str">
            <v>CR</v>
          </cell>
          <cell r="E4390" t="str">
            <v>290.912,78</v>
          </cell>
        </row>
        <row r="4391">
          <cell r="A4391">
            <v>36511</v>
          </cell>
          <cell r="B4391" t="str">
            <v xml:space="preserve">TRATOR DE PNEUS COM POTENCIA DE 122 CV, TRACAO 4 X 4, PESO COM LASTRO DE 4510 KG                                                                                                                                                                                                                                                                                                                                                                                                                          </v>
          </cell>
          <cell r="C4391" t="str">
            <v xml:space="preserve">UN    </v>
          </cell>
          <cell r="D4391" t="str">
            <v>CR</v>
          </cell>
          <cell r="E4391" t="str">
            <v>337.089,41</v>
          </cell>
        </row>
        <row r="4392">
          <cell r="A4392">
            <v>36515</v>
          </cell>
          <cell r="B4392" t="str">
            <v xml:space="preserve">TRATOR DE PNEUS COM POTENCIA DE 15 CV, PESO COM LASTRO DE 1160 KG                                                                                                                                                                                                                                                                                                                                                                                                                                         </v>
          </cell>
          <cell r="C4392" t="str">
            <v xml:space="preserve">UN    </v>
          </cell>
          <cell r="D4392" t="str">
            <v>CR</v>
          </cell>
          <cell r="E4392" t="str">
            <v>99.279,75</v>
          </cell>
        </row>
        <row r="4393">
          <cell r="A4393">
            <v>10598</v>
          </cell>
          <cell r="B4393" t="str">
            <v xml:space="preserve">TRATOR DE PNEUS COM POTENCIA DE 50 CV, TRACAO 4 X 2, PESO COM LASTRO DE 2714 KG                                                                                                                                                                                                                                                                                                                                                                                                                           </v>
          </cell>
          <cell r="C4393" t="str">
            <v xml:space="preserve">UN    </v>
          </cell>
          <cell r="D4393" t="str">
            <v>CR</v>
          </cell>
          <cell r="E4393" t="str">
            <v>160.997,12</v>
          </cell>
        </row>
        <row r="4394">
          <cell r="A4394">
            <v>7640</v>
          </cell>
          <cell r="B4394" t="str">
            <v xml:space="preserve">TRATOR DE PNEUS COM POTENCIA DE 85 CV, TRACAO 4 X 4, PESO COM LASTRO DE 4675 KG                                                                                                                                                                                                                                                                                                                                                                                                                           </v>
          </cell>
          <cell r="C4394" t="str">
            <v xml:space="preserve">UN    </v>
          </cell>
          <cell r="D4394" t="str">
            <v xml:space="preserve">C </v>
          </cell>
          <cell r="E4394" t="str">
            <v>247.045,00</v>
          </cell>
        </row>
        <row r="4395">
          <cell r="A4395">
            <v>36513</v>
          </cell>
          <cell r="B4395" t="str">
            <v xml:space="preserve">TRATOR DE PNEUS COM POTENCIA DE 85 CV, TURBO,  PESO COM LASTRO DE 4900 KG                                                                                                                                                                                                                                                                                                                                                                                                                                 </v>
          </cell>
          <cell r="C4395" t="str">
            <v xml:space="preserve">UN    </v>
          </cell>
          <cell r="D4395" t="str">
            <v>CR</v>
          </cell>
          <cell r="E4395" t="str">
            <v>237.982,82</v>
          </cell>
        </row>
        <row r="4396">
          <cell r="A4396">
            <v>36514</v>
          </cell>
          <cell r="B4396" t="str">
            <v xml:space="preserve">TRATOR DE PNEUS COM POTENCIA DE 95 CV, TRACAO 4 X 4, PESO MAXIMO DE 5225 KG                                                                                                                                                                                                                                                                                                                                                                                                                               </v>
          </cell>
          <cell r="C4396" t="str">
            <v xml:space="preserve">UN    </v>
          </cell>
          <cell r="D4396" t="str">
            <v>CR</v>
          </cell>
          <cell r="E4396" t="str">
            <v>265.515,64</v>
          </cell>
        </row>
        <row r="4397">
          <cell r="A4397">
            <v>11572</v>
          </cell>
          <cell r="B4397" t="str">
            <v xml:space="preserve">TRAVA / PRENDEDOR DE PORTA, EM LATAO CROMADO, MONTADO EM PISO                                                                                                                                                                                                                                                                                                                                                                                                                                             </v>
          </cell>
          <cell r="C4397" t="str">
            <v xml:space="preserve">UN    </v>
          </cell>
          <cell r="D4397" t="str">
            <v>CR</v>
          </cell>
          <cell r="E4397" t="str">
            <v>28,33</v>
          </cell>
        </row>
        <row r="4398">
          <cell r="A4398">
            <v>36149</v>
          </cell>
          <cell r="B4398" t="str">
            <v xml:space="preserve">TRAVA-QUEDAS EM ACO PARA CORDA DE 12 MM, EXTENSOR DE 25 X 300 MM, COM MOSQUETAO TIPO GANCHO TRAVA DUPLA                                                                                                                                                                                                                                                                                                                                                                                                   </v>
          </cell>
          <cell r="C4398" t="str">
            <v xml:space="preserve">UN    </v>
          </cell>
          <cell r="D4398" t="str">
            <v>CR</v>
          </cell>
          <cell r="E4398" t="str">
            <v>176,25</v>
          </cell>
        </row>
        <row r="4399">
          <cell r="A4399">
            <v>42407</v>
          </cell>
          <cell r="B4399" t="str">
            <v xml:space="preserve">TRELICA NERVURADA (ESPACADOR), ALTURA = 120,0 MM, DIAMETRO DOS BANZOS INFERIORES E SUPERIOR = 6,0 MM, DIAMETRO DA DIAGONAL = 4,2 MM                                                                                                                                                                                                                                                                                                                                                                       </v>
          </cell>
          <cell r="C4399" t="str">
            <v xml:space="preserve">M     </v>
          </cell>
          <cell r="D4399" t="str">
            <v>CR</v>
          </cell>
          <cell r="E4399" t="str">
            <v>5,25</v>
          </cell>
        </row>
        <row r="4400">
          <cell r="A4400">
            <v>11581</v>
          </cell>
          <cell r="B4400" t="str">
            <v xml:space="preserve">TRILHO PANTOGRAFICO CONCAVO, TIPO U, EM ALUMINIO, COM DIMENSOES DE APROX *35 X 35* MM, PARA ROLDANA DE PORTA DE CORRER                                                                                                                                                                                                                                                                                                                                                                                    </v>
          </cell>
          <cell r="C4400" t="str">
            <v xml:space="preserve">M     </v>
          </cell>
          <cell r="D4400" t="str">
            <v>CR</v>
          </cell>
          <cell r="E4400" t="str">
            <v>18,70</v>
          </cell>
        </row>
        <row r="4401">
          <cell r="A4401">
            <v>43605</v>
          </cell>
          <cell r="B4401" t="str">
            <v xml:space="preserve">TRILHO PANTOGRAFICO RETO, EM ALUMINIO, TIPO U, COM DIMENSOES DE *38 X 38* MM PARA PORTA DE CORRER                                                                                                                                                                                                                                                                                                                                                                                                         </v>
          </cell>
          <cell r="C4401" t="str">
            <v xml:space="preserve">M     </v>
          </cell>
          <cell r="D4401" t="str">
            <v>CR</v>
          </cell>
          <cell r="E4401" t="str">
            <v>38,25</v>
          </cell>
        </row>
        <row r="4402">
          <cell r="A4402">
            <v>11580</v>
          </cell>
          <cell r="B4402" t="str">
            <v xml:space="preserve">TRILHO QUADRADO FRIZADO PARA RODIZIO (VERGALHAO MACICO), EM ALUMINIO, COM DIMENSOES DE *6 X 6* MM                                                                                                                                                                                                                                                                                                                                                                                                         </v>
          </cell>
          <cell r="C4402" t="str">
            <v xml:space="preserve">M     </v>
          </cell>
          <cell r="D4402" t="str">
            <v>CR</v>
          </cell>
          <cell r="E4402" t="str">
            <v>7,50</v>
          </cell>
        </row>
        <row r="4403">
          <cell r="A4403">
            <v>10743</v>
          </cell>
          <cell r="B4403" t="str">
            <v xml:space="preserve">TROLEY MANUAL CAPACIDADE 1 T                                                                                                                                                                                                                                                                                                                                                                                                                                                                              </v>
          </cell>
          <cell r="C4403" t="str">
            <v xml:space="preserve">UN    </v>
          </cell>
          <cell r="D4403" t="str">
            <v>CR</v>
          </cell>
          <cell r="E4403" t="str">
            <v>613,85</v>
          </cell>
        </row>
        <row r="4404">
          <cell r="A4404">
            <v>39848</v>
          </cell>
          <cell r="B4404" t="str">
            <v xml:space="preserve">TUBO / MANGUEIRA PRETA EM POLIETILENO, LINHA PESADA OU REFORCADA, TIPO ESPAGUETE, PARA INJECAO DE CALDA DE CIMENTO, D = 1/2", ESPESSURA 1,5 MM                                                                                                                                                                                                                                                                                                                                                            </v>
          </cell>
          <cell r="C4404" t="str">
            <v xml:space="preserve">M     </v>
          </cell>
          <cell r="D4404" t="str">
            <v>CR</v>
          </cell>
          <cell r="E4404" t="str">
            <v>1,80</v>
          </cell>
        </row>
        <row r="4405">
          <cell r="A4405">
            <v>20999</v>
          </cell>
          <cell r="B4405" t="str">
            <v xml:space="preserve">TUBO ACO CARBONO COM COSTURA, NBR 5580, CLASSE L, DN = 15 MM, E = 2,25 MM, 1,06 KG/M                                                                                                                                                                                                                                                                                                                                                                                                                      </v>
          </cell>
          <cell r="C4405" t="str">
            <v xml:space="preserve">M     </v>
          </cell>
          <cell r="D4405" t="str">
            <v>CR</v>
          </cell>
          <cell r="E4405" t="str">
            <v>12,65</v>
          </cell>
        </row>
        <row r="4406">
          <cell r="A4406">
            <v>21001</v>
          </cell>
          <cell r="B4406" t="str">
            <v xml:space="preserve">TUBO ACO CARBONO COM COSTURA, NBR 5580, CLASSE L, DN = 25 MM, E = 2,65 MM, 2,02 KG/M                                                                                                                                                                                                                                                                                                                                                                                                                      </v>
          </cell>
          <cell r="C4406" t="str">
            <v xml:space="preserve">M     </v>
          </cell>
          <cell r="D4406" t="str">
            <v xml:space="preserve">C </v>
          </cell>
          <cell r="E4406" t="str">
            <v>23,61</v>
          </cell>
        </row>
        <row r="4407">
          <cell r="A4407">
            <v>21003</v>
          </cell>
          <cell r="B4407" t="str">
            <v xml:space="preserve">TUBO ACO CARBONO COM COSTURA, NBR 5580, CLASSE L, DN = 40 MM, E = 3,0 MM, 3,34 KG/M                                                                                                                                                                                                                                                                                                                                                                                                                       </v>
          </cell>
          <cell r="C4407" t="str">
            <v xml:space="preserve">M     </v>
          </cell>
          <cell r="D4407" t="str">
            <v>CR</v>
          </cell>
          <cell r="E4407" t="str">
            <v>38,80</v>
          </cell>
        </row>
        <row r="4408">
          <cell r="A4408">
            <v>21006</v>
          </cell>
          <cell r="B4408" t="str">
            <v xml:space="preserve">TUBO ACO CARBONO COM COSTURA, NBR 5580, CLASSE L, DN = 80 MM, E = 3,35 MM, 7,07 KG/M                                                                                                                                                                                                                                                                                                                                                                                                                      </v>
          </cell>
          <cell r="C4408" t="str">
            <v xml:space="preserve">M     </v>
          </cell>
          <cell r="D4408" t="str">
            <v>CR</v>
          </cell>
          <cell r="E4408" t="str">
            <v>82,34</v>
          </cell>
        </row>
        <row r="4409">
          <cell r="A4409">
            <v>21019</v>
          </cell>
          <cell r="B4409" t="str">
            <v xml:space="preserve">TUBO ACO CARBONO COM COSTURA, NBR 5580, CLASSE M, DN = 25 MM, E = 3,35 MM, *2,50* KG//M                                                                                                                                                                                                                                                                                                                                                                                                                   </v>
          </cell>
          <cell r="C4409" t="str">
            <v xml:space="preserve">M     </v>
          </cell>
          <cell r="D4409" t="str">
            <v>CR</v>
          </cell>
          <cell r="E4409" t="str">
            <v>28,62</v>
          </cell>
        </row>
        <row r="4410">
          <cell r="A4410">
            <v>21021</v>
          </cell>
          <cell r="B4410" t="str">
            <v xml:space="preserve">TUBO ACO CARBONO COM COSTURA, NBR 5580, CLASSE M, DN = 40 MM, E = 3,35 MM, *3,71* KG//M                                                                                                                                                                                                                                                                                                                                                                                                                   </v>
          </cell>
          <cell r="C4410" t="str">
            <v xml:space="preserve">M     </v>
          </cell>
          <cell r="D4410" t="str">
            <v>CR</v>
          </cell>
          <cell r="E4410" t="str">
            <v>45,24</v>
          </cell>
        </row>
        <row r="4411">
          <cell r="A4411">
            <v>21024</v>
          </cell>
          <cell r="B4411" t="str">
            <v xml:space="preserve">TUBO ACO CARBONO COM COSTURA, NBR 5580, CLASSE M, DN = 80 MM, E = 4,05 MM, *8,47* KG/M                                                                                                                                                                                                                                                                                                                                                                                                                    </v>
          </cell>
          <cell r="C4411" t="str">
            <v xml:space="preserve">M     </v>
          </cell>
          <cell r="D4411" t="str">
            <v>CR</v>
          </cell>
          <cell r="E4411" t="str">
            <v>96,94</v>
          </cell>
        </row>
        <row r="4412">
          <cell r="A4412">
            <v>40624</v>
          </cell>
          <cell r="B4412" t="str">
            <v xml:space="preserve">TUBO ACO CARBONO SEM COSTURA 1 1/2", E= *3,68 MM, SCHEDULE 40, 4,05 KG/M                                                                                                                                                                                                                                                                                                                                                                                                                                  </v>
          </cell>
          <cell r="C4412" t="str">
            <v xml:space="preserve">M     </v>
          </cell>
          <cell r="D4412" t="str">
            <v>CR</v>
          </cell>
          <cell r="E4412" t="str">
            <v>95,22</v>
          </cell>
        </row>
        <row r="4413">
          <cell r="A4413">
            <v>42575</v>
          </cell>
          <cell r="B4413" t="str">
            <v xml:space="preserve">TUBO ACO CARBONO SEM COSTURA 1 1/4", E= *3,56 MM, SCHEDULE 40, *3,38* KG/M                                                                                                                                                                                                                                                                                                                                                                                                                                </v>
          </cell>
          <cell r="C4413" t="str">
            <v xml:space="preserve">M     </v>
          </cell>
          <cell r="D4413" t="str">
            <v>CR</v>
          </cell>
          <cell r="E4413" t="str">
            <v>87,38</v>
          </cell>
        </row>
        <row r="4414">
          <cell r="A4414">
            <v>13127</v>
          </cell>
          <cell r="B4414" t="str">
            <v xml:space="preserve">TUBO ACO CARBONO SEM COSTURA 1/2", E= *2,77 MM, SCHEDULE 40, *1,27 KG/M                                                                                                                                                                                                                                                                                                                                                                                                                                   </v>
          </cell>
          <cell r="C4414" t="str">
            <v xml:space="preserve">M     </v>
          </cell>
          <cell r="D4414" t="str">
            <v>CR</v>
          </cell>
          <cell r="E4414" t="str">
            <v>42,47</v>
          </cell>
        </row>
        <row r="4415">
          <cell r="A4415">
            <v>13137</v>
          </cell>
          <cell r="B4415" t="str">
            <v xml:space="preserve">TUBO ACO CARBONO SEM COSTURA 1/2", E= *3,73 MM, SCHEDULE 80, *1,62 KG/M                                                                                                                                                                                                                                                                                                                                                                                                                                   </v>
          </cell>
          <cell r="C4415" t="str">
            <v xml:space="preserve">M     </v>
          </cell>
          <cell r="D4415" t="str">
            <v>CR</v>
          </cell>
          <cell r="E4415" t="str">
            <v>56,36</v>
          </cell>
        </row>
        <row r="4416">
          <cell r="A4416">
            <v>42574</v>
          </cell>
          <cell r="B4416" t="str">
            <v xml:space="preserve">TUBO ACO CARBONO SEM COSTURA 1", E= *3,38 MM, SCHEDULE 40, *2,50* KG/M                                                                                                                                                                                                                                                                                                                                                                                                                                    </v>
          </cell>
          <cell r="C4416" t="str">
            <v xml:space="preserve">M     </v>
          </cell>
          <cell r="D4416" t="str">
            <v>CR</v>
          </cell>
          <cell r="E4416" t="str">
            <v>65,21</v>
          </cell>
        </row>
        <row r="4417">
          <cell r="A4417">
            <v>20989</v>
          </cell>
          <cell r="B4417" t="str">
            <v xml:space="preserve">TUBO ACO CARBONO SEM COSTURA 14", E= *11,13 MM, SCHEDULE 40, *94,55 KG/M                                                                                                                                                                                                                                                                                                                                                                                                                                  </v>
          </cell>
          <cell r="C4417" t="str">
            <v xml:space="preserve">M     </v>
          </cell>
          <cell r="D4417" t="str">
            <v>CR</v>
          </cell>
          <cell r="E4417" t="str">
            <v>2.019,20</v>
          </cell>
        </row>
        <row r="4418">
          <cell r="A4418">
            <v>21147</v>
          </cell>
          <cell r="B4418" t="str">
            <v xml:space="preserve">TUBO ACO CARBONO SEM COSTURA 2 1/2", E = 5,16 MM, SCHEDULE 40 (8,62 KG/M)                                                                                                                                                                                                                                                                                                                                                                                                                                 </v>
          </cell>
          <cell r="C4418" t="str">
            <v xml:space="preserve">M     </v>
          </cell>
          <cell r="D4418" t="str">
            <v>CR</v>
          </cell>
          <cell r="E4418" t="str">
            <v>189,32</v>
          </cell>
        </row>
        <row r="4419">
          <cell r="A4419">
            <v>21148</v>
          </cell>
          <cell r="B4419" t="str">
            <v xml:space="preserve">TUBO ACO CARBONO SEM COSTURA 2", E= *3,91* MM, SCHEDULE 40, *5,43* KG/M                                                                                                                                                                                                                                                                                                                                                                                                                                   </v>
          </cell>
          <cell r="C4419" t="str">
            <v xml:space="preserve">M     </v>
          </cell>
          <cell r="D4419" t="str">
            <v xml:space="preserve">C </v>
          </cell>
          <cell r="E4419" t="str">
            <v>116,85</v>
          </cell>
        </row>
        <row r="4420">
          <cell r="A4420">
            <v>20984</v>
          </cell>
          <cell r="B4420" t="str">
            <v xml:space="preserve">TUBO ACO CARBONO SEM COSTURA 20", E= *12,70 MM, SCHEDULE 30, *154,97 KG/M                                                                                                                                                                                                                                                                                                                                                                                                                                 </v>
          </cell>
          <cell r="C4420" t="str">
            <v xml:space="preserve">M     </v>
          </cell>
          <cell r="D4420" t="str">
            <v>CR</v>
          </cell>
          <cell r="E4420" t="str">
            <v>3.874,44</v>
          </cell>
        </row>
        <row r="4421">
          <cell r="A4421">
            <v>13042</v>
          </cell>
          <cell r="B4421" t="str">
            <v xml:space="preserve">TUBO ACO CARBONO SEM COSTURA 20", E= *6,35 MM,  SCHEDULE 10, *78,46 KG/M                                                                                                                                                                                                                                                                                                                                                                                                                                  </v>
          </cell>
          <cell r="C4421" t="str">
            <v xml:space="preserve">M     </v>
          </cell>
          <cell r="D4421" t="str">
            <v>CR</v>
          </cell>
          <cell r="E4421" t="str">
            <v>2.147,01</v>
          </cell>
        </row>
        <row r="4422">
          <cell r="A4422">
            <v>21150</v>
          </cell>
          <cell r="B4422" t="str">
            <v xml:space="preserve">TUBO ACO CARBONO SEM COSTURA 3/4", E= *2,87 MM, SCHEDULE 40, *1,69 KG/M                                                                                                                                                                                                                                                                                                                                                                                                                                   </v>
          </cell>
          <cell r="C4422" t="str">
            <v xml:space="preserve">M     </v>
          </cell>
          <cell r="D4422" t="str">
            <v>CR</v>
          </cell>
          <cell r="E4422" t="str">
            <v>57,94</v>
          </cell>
        </row>
        <row r="4423">
          <cell r="A4423">
            <v>13141</v>
          </cell>
          <cell r="B4423" t="str">
            <v xml:space="preserve">TUBO ACO CARBONO SEM COSTURA 3/4", E= *3,91 MM, SCHEDULE 80, *2,19 KG/M.                                                                                                                                                                                                                                                                                                                                                                                                                                  </v>
          </cell>
          <cell r="C4423" t="str">
            <v xml:space="preserve">M     </v>
          </cell>
          <cell r="D4423" t="str">
            <v>CR</v>
          </cell>
          <cell r="E4423" t="str">
            <v>73,00</v>
          </cell>
        </row>
        <row r="4424">
          <cell r="A4424">
            <v>42576</v>
          </cell>
          <cell r="B4424" t="str">
            <v xml:space="preserve">TUBO ACO CARBONO SEM COSTURA 3", E= *5,49 MM, SCHEDULE 40, *11,28* KG/M                                                                                                                                                                                                                                                                                                                                                                                                                                   </v>
          </cell>
          <cell r="C4424" t="str">
            <v xml:space="preserve">M     </v>
          </cell>
          <cell r="D4424" t="str">
            <v>CR</v>
          </cell>
          <cell r="E4424" t="str">
            <v>238,35</v>
          </cell>
        </row>
        <row r="4425">
          <cell r="A4425">
            <v>21151</v>
          </cell>
          <cell r="B4425" t="str">
            <v xml:space="preserve">TUBO ACO CARBONO SEM COSTURA 4", E= *6,02 MM, SCHEDULE 40, *16,06 KG/M                                                                                                                                                                                                                                                                                                                                                                                                                                    </v>
          </cell>
          <cell r="C4425" t="str">
            <v xml:space="preserve">M     </v>
          </cell>
          <cell r="D4425" t="str">
            <v>CR</v>
          </cell>
          <cell r="E4425" t="str">
            <v>346,81</v>
          </cell>
        </row>
        <row r="4426">
          <cell r="A4426">
            <v>13142</v>
          </cell>
          <cell r="B4426" t="str">
            <v xml:space="preserve">TUBO ACO CARBONO SEM COSTURA 4", E= *8,56 MM, SCHEDULE 80, *22,31 KG/M                                                                                                                                                                                                                                                                                                                                                                                                                                    </v>
          </cell>
          <cell r="C4426" t="str">
            <v xml:space="preserve">M     </v>
          </cell>
          <cell r="D4426" t="str">
            <v>CR</v>
          </cell>
          <cell r="E4426" t="str">
            <v>495,79</v>
          </cell>
        </row>
        <row r="4427">
          <cell r="A4427">
            <v>42577</v>
          </cell>
          <cell r="B4427" t="str">
            <v xml:space="preserve">TUBO ACO CARBONO SEM COSTURA 5", E= *6,55 MM, SCHEDULE 40, *21,75* KG/M                                                                                                                                                                                                                                                                                                                                                                                                                                   </v>
          </cell>
          <cell r="C4427" t="str">
            <v xml:space="preserve">M     </v>
          </cell>
          <cell r="D4427" t="str">
            <v>CR</v>
          </cell>
          <cell r="E4427" t="str">
            <v>544,02</v>
          </cell>
        </row>
        <row r="4428">
          <cell r="A4428">
            <v>20994</v>
          </cell>
          <cell r="B4428" t="str">
            <v xml:space="preserve">TUBO ACO CARBONO SEM COSTURA 6", E= *10,97 MM, SCHEDULE 80, *42,56 KG/M                                                                                                                                                                                                                                                                                                                                                                                                                                   </v>
          </cell>
          <cell r="C4428" t="str">
            <v xml:space="preserve">M     </v>
          </cell>
          <cell r="D4428" t="str">
            <v>CR</v>
          </cell>
          <cell r="E4428" t="str">
            <v>934,78</v>
          </cell>
        </row>
        <row r="4429">
          <cell r="A4429">
            <v>7672</v>
          </cell>
          <cell r="B4429" t="str">
            <v xml:space="preserve">TUBO ACO CARBONO SEM COSTURA 6", E= 7,11 MM,  SCHEDULE 40, *28,26 KG/M                                                                                                                                                                                                                                                                                                                                                                                                                                    </v>
          </cell>
          <cell r="C4429" t="str">
            <v xml:space="preserve">M     </v>
          </cell>
          <cell r="D4429" t="str">
            <v>CR</v>
          </cell>
          <cell r="E4429" t="str">
            <v>612,38</v>
          </cell>
        </row>
        <row r="4430">
          <cell r="A4430">
            <v>20995</v>
          </cell>
          <cell r="B4430" t="str">
            <v xml:space="preserve">TUBO ACO CARBONO SEM COSTURA 8", E= *12,70 MM, SCHEDULE 80, *64,64 KG/M                                                                                                                                                                                                                                                                                                                                                                                                                                   </v>
          </cell>
          <cell r="C4430" t="str">
            <v xml:space="preserve">M     </v>
          </cell>
          <cell r="D4430" t="str">
            <v>CR</v>
          </cell>
          <cell r="E4430" t="str">
            <v>1.228,48</v>
          </cell>
        </row>
        <row r="4431">
          <cell r="A4431">
            <v>7690</v>
          </cell>
          <cell r="B4431" t="str">
            <v xml:space="preserve">TUBO ACO CARBONO SEM COSTURA 8", E= *6,35 MM,  SCHEDULE 20, *33,27 KG/M                                                                                                                                                                                                                                                                                                                                                                                                                                   </v>
          </cell>
          <cell r="C4431" t="str">
            <v xml:space="preserve">M     </v>
          </cell>
          <cell r="D4431" t="str">
            <v>CR</v>
          </cell>
          <cell r="E4431" t="str">
            <v>710,51</v>
          </cell>
        </row>
        <row r="4432">
          <cell r="A4432">
            <v>20980</v>
          </cell>
          <cell r="B4432" t="str">
            <v xml:space="preserve">TUBO ACO CARBONO SEM COSTURA 8", E= *7,04 MM, SCHEDULE 30, *36,75 KG/M                                                                                                                                                                                                                                                                                                                                                                                                                                    </v>
          </cell>
          <cell r="C4432" t="str">
            <v xml:space="preserve">M     </v>
          </cell>
          <cell r="D4432" t="str">
            <v>CR</v>
          </cell>
          <cell r="E4432" t="str">
            <v>775,10</v>
          </cell>
        </row>
        <row r="4433">
          <cell r="A4433">
            <v>7661</v>
          </cell>
          <cell r="B4433" t="str">
            <v xml:space="preserve">TUBO ACO CARBONO SEM COSTURA 8", E= *8,18 MM, SCHEDULE 40, *42,55 KG/M                                                                                                                                                                                                                                                                                                                                                                                                                                    </v>
          </cell>
          <cell r="C4433" t="str">
            <v xml:space="preserve">M     </v>
          </cell>
          <cell r="D4433" t="str">
            <v>CR</v>
          </cell>
          <cell r="E4433" t="str">
            <v>922,05</v>
          </cell>
        </row>
        <row r="4434">
          <cell r="A4434">
            <v>21016</v>
          </cell>
          <cell r="B4434" t="str">
            <v xml:space="preserve">TUBO ACO GALVANIZADO COM COSTURA, CLASSE LEVE, DN 100 MM ( 4"),  E = 3,75 MM,  *10,55* KG/M (NBR 5580)                                                                                                                                                                                                                                                                                                                                                                                                    </v>
          </cell>
          <cell r="C4434" t="str">
            <v xml:space="preserve">M     </v>
          </cell>
          <cell r="D4434" t="str">
            <v>CR</v>
          </cell>
          <cell r="E4434" t="str">
            <v>167,71</v>
          </cell>
        </row>
        <row r="4435">
          <cell r="A4435">
            <v>21008</v>
          </cell>
          <cell r="B4435" t="str">
            <v xml:space="preserve">TUBO ACO GALVANIZADO COM COSTURA, CLASSE LEVE, DN 15 MM ( 1/2"),  E = 2,25 MM,  *1,2* KG/M (NBR 5580)                                                                                                                                                                                                                                                                                                                                                                                                     </v>
          </cell>
          <cell r="C4435" t="str">
            <v xml:space="preserve">M     </v>
          </cell>
          <cell r="D4435" t="str">
            <v>CR</v>
          </cell>
          <cell r="E4435" t="str">
            <v>19,59</v>
          </cell>
        </row>
        <row r="4436">
          <cell r="A4436">
            <v>21009</v>
          </cell>
          <cell r="B4436" t="str">
            <v xml:space="preserve">TUBO ACO GALVANIZADO COM COSTURA, CLASSE LEVE, DN 20 MM ( 3/4"),  E = 2,25 MM,  *1,3* KG/M (NBR 5580)                                                                                                                                                                                                                                                                                                                                                                                                     </v>
          </cell>
          <cell r="C4436" t="str">
            <v xml:space="preserve">M     </v>
          </cell>
          <cell r="D4436" t="str">
            <v>CR</v>
          </cell>
          <cell r="E4436" t="str">
            <v>25,51</v>
          </cell>
        </row>
        <row r="4437">
          <cell r="A4437">
            <v>21010</v>
          </cell>
          <cell r="B4437" t="str">
            <v xml:space="preserve">TUBO ACO GALVANIZADO COM COSTURA, CLASSE LEVE, DN 25 MM ( 1"),  E = 2,65 MM,  *2,11* KG/M (NBR 5580)                                                                                                                                                                                                                                                                                                                                                                                                      </v>
          </cell>
          <cell r="C4437" t="str">
            <v xml:space="preserve">M     </v>
          </cell>
          <cell r="D4437" t="str">
            <v xml:space="preserve">C </v>
          </cell>
          <cell r="E4437" t="str">
            <v>34,25</v>
          </cell>
        </row>
        <row r="4438">
          <cell r="A4438">
            <v>21011</v>
          </cell>
          <cell r="B4438" t="str">
            <v xml:space="preserve">TUBO ACO GALVANIZADO COM COSTURA, CLASSE LEVE, DN 32 MM ( 1 1/4"),  E = 2,65 MM,  *2,71* KG/M (NBR 5580)                                                                                                                                                                                                                                                                                                                                                                                                  </v>
          </cell>
          <cell r="C4438" t="str">
            <v xml:space="preserve">M     </v>
          </cell>
          <cell r="D4438" t="str">
            <v>CR</v>
          </cell>
          <cell r="E4438" t="str">
            <v>49,92</v>
          </cell>
        </row>
        <row r="4439">
          <cell r="A4439">
            <v>21012</v>
          </cell>
          <cell r="B4439" t="str">
            <v xml:space="preserve">TUBO ACO GALVANIZADO COM COSTURA, CLASSE LEVE, DN 40 MM ( 1 1/2"),  E = 3,00 MM,  *3,48* KG/M (NBR 5580)                                                                                                                                                                                                                                                                                                                                                                                                  </v>
          </cell>
          <cell r="C4439" t="str">
            <v xml:space="preserve">M     </v>
          </cell>
          <cell r="D4439" t="str">
            <v>CR</v>
          </cell>
          <cell r="E4439" t="str">
            <v>55,16</v>
          </cell>
        </row>
        <row r="4440">
          <cell r="A4440">
            <v>21013</v>
          </cell>
          <cell r="B4440" t="str">
            <v xml:space="preserve">TUBO ACO GALVANIZADO COM COSTURA, CLASSE LEVE, DN 50 MM ( 2"),  E = 3,00 MM,  *4,40* KG/M (NBR 5580)                                                                                                                                                                                                                                                                                                                                                                                                      </v>
          </cell>
          <cell r="C4440" t="str">
            <v xml:space="preserve">M     </v>
          </cell>
          <cell r="D4440" t="str">
            <v>CR</v>
          </cell>
          <cell r="E4440" t="str">
            <v>71,98</v>
          </cell>
        </row>
        <row r="4441">
          <cell r="A4441">
            <v>21014</v>
          </cell>
          <cell r="B4441" t="str">
            <v xml:space="preserve">TUBO ACO GALVANIZADO COM COSTURA, CLASSE LEVE, DN 65 MM ( 2 1/2"),  E = 3,35 MM, * 6,23* KG/M (NBR 5580)                                                                                                                                                                                                                                                                                                                                                                                                  </v>
          </cell>
          <cell r="C4441" t="str">
            <v xml:space="preserve">M     </v>
          </cell>
          <cell r="D4441" t="str">
            <v>CR</v>
          </cell>
          <cell r="E4441" t="str">
            <v>100,72</v>
          </cell>
        </row>
        <row r="4442">
          <cell r="A4442">
            <v>21015</v>
          </cell>
          <cell r="B4442" t="str">
            <v xml:space="preserve">TUBO ACO GALVANIZADO COM COSTURA, CLASSE LEVE, DN 80 MM ( 3"),  E = 3,35 MM, *7,32* KG/M (NBR 5580)                                                                                                                                                                                                                                                                                                                                                                                                       </v>
          </cell>
          <cell r="C4442" t="str">
            <v xml:space="preserve">M     </v>
          </cell>
          <cell r="D4442" t="str">
            <v>CR</v>
          </cell>
          <cell r="E4442" t="str">
            <v>115,72</v>
          </cell>
        </row>
        <row r="4443">
          <cell r="A4443">
            <v>7697</v>
          </cell>
          <cell r="B4443" t="str">
            <v xml:space="preserve">TUBO ACO GALVANIZADO COM COSTURA, CLASSE MEDIA, DN 1.1/2", E = *3,25* MM, PESO *3,61* KG/M (NBR 5580)                                                                                                                                                                                                                                                                                                                                                                                                     </v>
          </cell>
          <cell r="C4443" t="str">
            <v xml:space="preserve">M     </v>
          </cell>
          <cell r="D4443" t="str">
            <v>CR</v>
          </cell>
          <cell r="E4443" t="str">
            <v>55,22</v>
          </cell>
        </row>
        <row r="4444">
          <cell r="A4444">
            <v>7698</v>
          </cell>
          <cell r="B4444" t="str">
            <v xml:space="preserve">TUBO ACO GALVANIZADO COM COSTURA, CLASSE MEDIA, DN 1.1/4", E = *3,25* MM, PESO *3,14* KG/M (NBR 5580)                                                                                                                                                                                                                                                                                                                                                                                                     </v>
          </cell>
          <cell r="C4444" t="str">
            <v xml:space="preserve">M     </v>
          </cell>
          <cell r="D4444" t="str">
            <v>CR</v>
          </cell>
          <cell r="E4444" t="str">
            <v>47,53</v>
          </cell>
        </row>
        <row r="4445">
          <cell r="A4445">
            <v>7691</v>
          </cell>
          <cell r="B4445" t="str">
            <v xml:space="preserve">TUBO ACO GALVANIZADO COM COSTURA, CLASSE MEDIA, DN 1/2", E = *2,65* MM, PESO *1,22* KG/M (NBR 5580)                                                                                                                                                                                                                                                                                                                                                                                                       </v>
          </cell>
          <cell r="C4445" t="str">
            <v xml:space="preserve">M     </v>
          </cell>
          <cell r="D4445" t="str">
            <v>CR</v>
          </cell>
          <cell r="E4445" t="str">
            <v>20,08</v>
          </cell>
        </row>
        <row r="4446">
          <cell r="A4446">
            <v>40626</v>
          </cell>
          <cell r="B4446" t="str">
            <v xml:space="preserve">TUBO ACO GALVANIZADO COM COSTURA, CLASSE MEDIA, DN 1", E = 3,38 MM, PESO 2,50 KG/M (NBR 5580)                                                                                                                                                                                                                                                                                                                                                                                                             </v>
          </cell>
          <cell r="C4446" t="str">
            <v xml:space="preserve">M     </v>
          </cell>
          <cell r="D4446" t="str">
            <v>CR</v>
          </cell>
          <cell r="E4446" t="str">
            <v>37,69</v>
          </cell>
        </row>
        <row r="4447">
          <cell r="A4447">
            <v>7701</v>
          </cell>
          <cell r="B4447" t="str">
            <v xml:space="preserve">TUBO ACO GALVANIZADO COM COSTURA, CLASSE MEDIA, DN 2.1/2", E = *3,65* MM, PESO *6,51* KG/M (NBR 5580)                                                                                                                                                                                                                                                                                                                                                                                                     </v>
          </cell>
          <cell r="C4447" t="str">
            <v xml:space="preserve">M     </v>
          </cell>
          <cell r="D4447" t="str">
            <v>CR</v>
          </cell>
          <cell r="E4447" t="str">
            <v>98,82</v>
          </cell>
        </row>
        <row r="4448">
          <cell r="A4448">
            <v>7696</v>
          </cell>
          <cell r="B4448" t="str">
            <v xml:space="preserve">TUBO ACO GALVANIZADO COM COSTURA, CLASSE MEDIA, DN 2", E = *3,65* MM, PESO *5,10* KG/M (NBR 5580)                                                                                                                                                                                                                                                                                                                                                                                                         </v>
          </cell>
          <cell r="C4448" t="str">
            <v xml:space="preserve">M     </v>
          </cell>
          <cell r="D4448" t="str">
            <v>CR</v>
          </cell>
          <cell r="E4448" t="str">
            <v>79,63</v>
          </cell>
        </row>
        <row r="4449">
          <cell r="A4449">
            <v>7700</v>
          </cell>
          <cell r="B4449" t="str">
            <v xml:space="preserve">TUBO ACO GALVANIZADO COM COSTURA, CLASSE MEDIA, DN 3/4", E = *2,65* MM, PESO *1,58* KG/M (NBR 5580)                                                                                                                                                                                                                                                                                                                                                                                                       </v>
          </cell>
          <cell r="C4449" t="str">
            <v xml:space="preserve">M     </v>
          </cell>
          <cell r="D4449" t="str">
            <v>CR</v>
          </cell>
          <cell r="E4449" t="str">
            <v>25,40</v>
          </cell>
        </row>
        <row r="4450">
          <cell r="A4450">
            <v>7694</v>
          </cell>
          <cell r="B4450" t="str">
            <v xml:space="preserve">TUBO ACO GALVANIZADO COM COSTURA, CLASSE MEDIA, DN 3", E = *4,05* MM, PESO *8,47* KG/M (NBR 5580)                                                                                                                                                                                                                                                                                                                                                                                                         </v>
          </cell>
          <cell r="C4450" t="str">
            <v xml:space="preserve">M     </v>
          </cell>
          <cell r="D4450" t="str">
            <v>CR</v>
          </cell>
          <cell r="E4450" t="str">
            <v>132,98</v>
          </cell>
        </row>
        <row r="4451">
          <cell r="A4451">
            <v>7693</v>
          </cell>
          <cell r="B4451" t="str">
            <v xml:space="preserve">TUBO ACO GALVANIZADO COM COSTURA, CLASSE MEDIA, DN 4", E = 4,50* MM, PESO 12,10* KG/M (NBR 5580)                                                                                                                                                                                                                                                                                                                                                                                                          </v>
          </cell>
          <cell r="C4451" t="str">
            <v xml:space="preserve">M     </v>
          </cell>
          <cell r="D4451" t="str">
            <v>CR</v>
          </cell>
          <cell r="E4451" t="str">
            <v>183,14</v>
          </cell>
        </row>
        <row r="4452">
          <cell r="A4452">
            <v>7692</v>
          </cell>
          <cell r="B4452" t="str">
            <v xml:space="preserve">TUBO ACO GALVANIZADO COM COSTURA, CLASSE MEDIA, DN 5", E = *5,40* MM, PESO *17,80* KG/M (NBR 5580)                                                                                                                                                                                                                                                                                                                                                                                                        </v>
          </cell>
          <cell r="C4452" t="str">
            <v xml:space="preserve">M     </v>
          </cell>
          <cell r="D4452" t="str">
            <v>CR</v>
          </cell>
          <cell r="E4452" t="str">
            <v>274,19</v>
          </cell>
        </row>
        <row r="4453">
          <cell r="A4453">
            <v>7695</v>
          </cell>
          <cell r="B4453" t="str">
            <v xml:space="preserve">TUBO ACO GALVANIZADO COM COSTURA, CLASSE MEDIA, DN 6", E = 4,85* MM, PESO 19,68* KG/M (NBR 5580)                                                                                                                                                                                                                                                                                                                                                                                                          </v>
          </cell>
          <cell r="C4453" t="str">
            <v xml:space="preserve">M     </v>
          </cell>
          <cell r="D4453" t="str">
            <v>CR</v>
          </cell>
          <cell r="E4453" t="str">
            <v>297,36</v>
          </cell>
        </row>
        <row r="4454">
          <cell r="A4454">
            <v>13356</v>
          </cell>
          <cell r="B4454" t="str">
            <v xml:space="preserve">TUBO ACO INDUSTRIAL DN 2" (50,8 MM) E=1,50MM, PESO= 1,8237 KG/M                                                                                                                                                                                                                                                                                                                                                                                                                                           </v>
          </cell>
          <cell r="C4454" t="str">
            <v xml:space="preserve">M     </v>
          </cell>
          <cell r="D4454" t="str">
            <v>CR</v>
          </cell>
          <cell r="E4454" t="str">
            <v>21,56</v>
          </cell>
        </row>
        <row r="4455">
          <cell r="A4455">
            <v>36365</v>
          </cell>
          <cell r="B4455" t="str">
            <v xml:space="preserve">TUBO COLETOR DE ESGOTO PVC, JEI, DN 100 MM (NBR  7362)                                                                                                                                                                                                                                                                                                                                                                                                                                                    </v>
          </cell>
          <cell r="C4455" t="str">
            <v xml:space="preserve">M     </v>
          </cell>
          <cell r="D4455" t="str">
            <v>CR</v>
          </cell>
          <cell r="E4455" t="str">
            <v>39,56</v>
          </cell>
        </row>
        <row r="4456">
          <cell r="A4456">
            <v>41930</v>
          </cell>
          <cell r="B4456" t="str">
            <v xml:space="preserve">TUBO COLETOR DE ESGOTO PVC, JEI, DN 200 MM (NBR 7362)                                                                                                                                                                                                                                                                                                                                                                                                                                                     </v>
          </cell>
          <cell r="C4456" t="str">
            <v xml:space="preserve">M     </v>
          </cell>
          <cell r="D4456" t="str">
            <v>CR</v>
          </cell>
          <cell r="E4456" t="str">
            <v>131,77</v>
          </cell>
        </row>
        <row r="4457">
          <cell r="A4457">
            <v>41931</v>
          </cell>
          <cell r="B4457" t="str">
            <v xml:space="preserve">TUBO COLETOR DE ESGOTO PVC, JEI, DN 250 MM (NBR 7362)                                                                                                                                                                                                                                                                                                                                                                                                                                                     </v>
          </cell>
          <cell r="C4457" t="str">
            <v xml:space="preserve">M     </v>
          </cell>
          <cell r="D4457" t="str">
            <v>CR</v>
          </cell>
          <cell r="E4457" t="str">
            <v>206,38</v>
          </cell>
        </row>
        <row r="4458">
          <cell r="A4458">
            <v>41932</v>
          </cell>
          <cell r="B4458" t="str">
            <v xml:space="preserve">TUBO COLETOR DE ESGOTO PVC, JEI, DN 300 MM (NBR 7362)                                                                                                                                                                                                                                                                                                                                                                                                                                                     </v>
          </cell>
          <cell r="C4458" t="str">
            <v xml:space="preserve">M     </v>
          </cell>
          <cell r="D4458" t="str">
            <v>CR</v>
          </cell>
          <cell r="E4458" t="str">
            <v>317,66</v>
          </cell>
        </row>
        <row r="4459">
          <cell r="A4459">
            <v>41933</v>
          </cell>
          <cell r="B4459" t="str">
            <v xml:space="preserve">TUBO COLETOR DE ESGOTO PVC, JEI, DN 350 MM (NBR 7362)                                                                                                                                                                                                                                                                                                                                                                                                                                                     </v>
          </cell>
          <cell r="C4459" t="str">
            <v xml:space="preserve">M     </v>
          </cell>
          <cell r="D4459" t="str">
            <v>CR</v>
          </cell>
          <cell r="E4459" t="str">
            <v>448,93</v>
          </cell>
        </row>
        <row r="4460">
          <cell r="A4460">
            <v>41934</v>
          </cell>
          <cell r="B4460" t="str">
            <v xml:space="preserve">TUBO COLETOR DE ESGOTO PVC, JEI, DN 400 MM (NBR 7362)                                                                                                                                                                                                                                                                                                                                                                                                                                                     </v>
          </cell>
          <cell r="C4460" t="str">
            <v xml:space="preserve">M     </v>
          </cell>
          <cell r="D4460" t="str">
            <v>CR</v>
          </cell>
          <cell r="E4460" t="str">
            <v>522,84</v>
          </cell>
        </row>
        <row r="4461">
          <cell r="A4461">
            <v>41936</v>
          </cell>
          <cell r="B4461" t="str">
            <v xml:space="preserve">TUBO COLETOR DE ESGOTO, PVC, JEI, DN 150 MM  (NBR 7362)                                                                                                                                                                                                                                                                                                                                                                                                                                                   </v>
          </cell>
          <cell r="C4461" t="str">
            <v xml:space="preserve">M     </v>
          </cell>
          <cell r="D4461" t="str">
            <v>CR</v>
          </cell>
          <cell r="E4461" t="str">
            <v>77,59</v>
          </cell>
        </row>
        <row r="4462">
          <cell r="A4462">
            <v>44812</v>
          </cell>
          <cell r="B4462" t="str">
            <v xml:space="preserve">TUBO CORRUGADO PEAD, PAREDE DUPLA, INTERNA LISA, JEI DN/DI 500 MM (DRENAGEM/ESGOTO)                                                                                                                                                                                                                                                                                                                                                                                                                       </v>
          </cell>
          <cell r="C4462" t="str">
            <v xml:space="preserve">M     </v>
          </cell>
          <cell r="D4462" t="str">
            <v>CR</v>
          </cell>
          <cell r="E4462" t="str">
            <v>530,59</v>
          </cell>
        </row>
        <row r="4463">
          <cell r="A4463">
            <v>41785</v>
          </cell>
          <cell r="B4463" t="str">
            <v xml:space="preserve">TUBO CORRUGADO PEAD, PAREDE DUPLA, INTERNA LISA, JEI, DN/DI *1000* MM, PARA SANEAMENTO (DRENAGEM/ESGOTO)                                                                                                                                                                                                                                                                                                                                                                                                  </v>
          </cell>
          <cell r="C4463" t="str">
            <v xml:space="preserve">M     </v>
          </cell>
          <cell r="D4463" t="str">
            <v>CR</v>
          </cell>
          <cell r="E4463" t="str">
            <v>1.966,33</v>
          </cell>
        </row>
        <row r="4464">
          <cell r="A4464">
            <v>41781</v>
          </cell>
          <cell r="B4464" t="str">
            <v xml:space="preserve">TUBO CORRUGADO PEAD, PAREDE DUPLA, INTERNA LISA, JEI, DN/DI *400* MM, PARA SANEAMENTO (DRENAGEM/ESGOTO)                                                                                                                                                                                                                                                                                                                                                                                                   </v>
          </cell>
          <cell r="C4464" t="str">
            <v xml:space="preserve">M     </v>
          </cell>
          <cell r="D4464" t="str">
            <v>CR</v>
          </cell>
          <cell r="E4464" t="str">
            <v>355,05</v>
          </cell>
        </row>
        <row r="4465">
          <cell r="A4465">
            <v>41783</v>
          </cell>
          <cell r="B4465" t="str">
            <v xml:space="preserve">TUBO CORRUGADO PEAD, PAREDE DUPLA, INTERNA LISA, JEI, DN/DI *800* MM, PARA SANEAMENTO (DRENAGEM/ESGOTO)                                                                                                                                                                                                                                                                                                                                                                                                   </v>
          </cell>
          <cell r="C4465" t="str">
            <v xml:space="preserve">M     </v>
          </cell>
          <cell r="D4465" t="str">
            <v>CR</v>
          </cell>
          <cell r="E4465" t="str">
            <v>1.276,44</v>
          </cell>
        </row>
        <row r="4466">
          <cell r="A4466">
            <v>41786</v>
          </cell>
          <cell r="B4466" t="str">
            <v xml:space="preserve">TUBO CORRUGADO PEAD, PAREDE DUPLA, INTERNA LISA, JEI, DN/DI 1200 MM, PARA SANEAMENTO (DRENAGEM/ESGOTO)                                                                                                                                                                                                                                                                                                                                                                                                    </v>
          </cell>
          <cell r="C4466" t="str">
            <v xml:space="preserve">M     </v>
          </cell>
          <cell r="D4466" t="str">
            <v>CR</v>
          </cell>
          <cell r="E4466" t="str">
            <v>2.717,59</v>
          </cell>
        </row>
        <row r="4467">
          <cell r="A4467">
            <v>41779</v>
          </cell>
          <cell r="B4467" t="str">
            <v xml:space="preserve">TUBO CORRUGADO PEAD, PAREDE DUPLA, INTERNA LISA, JEI, DN/DI 250 MM, PARA SANEAMENTO (DRENAGEM/ESGOTO)                                                                                                                                                                                                                                                                                                                                                                                                     </v>
          </cell>
          <cell r="C4467" t="str">
            <v xml:space="preserve">M     </v>
          </cell>
          <cell r="D4467" t="str">
            <v>CR</v>
          </cell>
          <cell r="E4467" t="str">
            <v>139,83</v>
          </cell>
        </row>
        <row r="4468">
          <cell r="A4468">
            <v>41780</v>
          </cell>
          <cell r="B4468" t="str">
            <v xml:space="preserve">TUBO CORRUGADO PEAD, PAREDE DUPLA, INTERNA LISA, JEI, DN/DI 300 MM, PARA SANEAMENTO (DRENAGEM/ESGOTO)                                                                                                                                                                                                                                                                                                                                                                                                     </v>
          </cell>
          <cell r="C4468" t="str">
            <v xml:space="preserve">M     </v>
          </cell>
          <cell r="D4468" t="str">
            <v>CR</v>
          </cell>
          <cell r="E4468" t="str">
            <v>219,07</v>
          </cell>
        </row>
        <row r="4469">
          <cell r="A4469">
            <v>41782</v>
          </cell>
          <cell r="B4469" t="str">
            <v xml:space="preserve">TUBO CORRUGADO PEAD, PAREDE DUPLA, INTERNA LISA, JEI, DN/DI 600 MM, PARA SANEAMENTO (DRENAGEM/ESGOTO)                                                                                                                                                                                                                                                                                                                                                                                                     </v>
          </cell>
          <cell r="C4469" t="str">
            <v xml:space="preserve">M     </v>
          </cell>
          <cell r="D4469" t="str">
            <v>CR</v>
          </cell>
          <cell r="E4469" t="str">
            <v>784,76</v>
          </cell>
        </row>
        <row r="4470">
          <cell r="A4470">
            <v>38130</v>
          </cell>
          <cell r="B4470" t="str">
            <v xml:space="preserve">TUBO CPVC SOLDAVEL, 35 MM, AGUA QUENTE PREDIAL (NBR 15884)                                                                                                                                                                                                                                                                                                                                                                                                                                                </v>
          </cell>
          <cell r="C4470" t="str">
            <v xml:space="preserve">M     </v>
          </cell>
          <cell r="D4470" t="str">
            <v>CR</v>
          </cell>
          <cell r="E4470" t="str">
            <v>34,60</v>
          </cell>
        </row>
        <row r="4471">
          <cell r="A4471">
            <v>44260</v>
          </cell>
          <cell r="B4471" t="str">
            <v xml:space="preserve">TUBO CPVC, SOLDAVEL, 114 MM, AGUA QUENTE (NBR 15884)                                                                                                                                                                                                                                                                                                                                                                                                                                                      </v>
          </cell>
          <cell r="C4471" t="str">
            <v xml:space="preserve">M     </v>
          </cell>
          <cell r="D4471" t="str">
            <v>CR</v>
          </cell>
          <cell r="E4471" t="str">
            <v>327,52</v>
          </cell>
        </row>
        <row r="4472">
          <cell r="A4472">
            <v>21123</v>
          </cell>
          <cell r="B4472" t="str">
            <v xml:space="preserve">TUBO CPVC, SOLDAVEL, 15 MM, AGUA QUENTE PREDIAL (NBR 15884)                                                                                                                                                                                                                                                                                                                                                                                                                                               </v>
          </cell>
          <cell r="C4472" t="str">
            <v xml:space="preserve">M     </v>
          </cell>
          <cell r="D4472" t="str">
            <v xml:space="preserve">C </v>
          </cell>
          <cell r="E4472" t="str">
            <v>9,63</v>
          </cell>
        </row>
        <row r="4473">
          <cell r="A4473">
            <v>21124</v>
          </cell>
          <cell r="B4473" t="str">
            <v xml:space="preserve">TUBO CPVC, SOLDAVEL, 22 MM, AGUA QUENTE PREDIAL (NBR 15884)                                                                                                                                                                                                                                                                                                                                                                                                                                               </v>
          </cell>
          <cell r="C4473" t="str">
            <v xml:space="preserve">M     </v>
          </cell>
          <cell r="D4473" t="str">
            <v>CR</v>
          </cell>
          <cell r="E4473" t="str">
            <v>15,38</v>
          </cell>
        </row>
        <row r="4474">
          <cell r="A4474">
            <v>21125</v>
          </cell>
          <cell r="B4474" t="str">
            <v xml:space="preserve">TUBO CPVC, SOLDAVEL, 28 MM, AGUA QUENTE PREDIAL (NBR 15884)                                                                                                                                                                                                                                                                                                                                                                                                                                               </v>
          </cell>
          <cell r="C4474" t="str">
            <v xml:space="preserve">M     </v>
          </cell>
          <cell r="D4474" t="str">
            <v>CR</v>
          </cell>
          <cell r="E4474" t="str">
            <v>26,49</v>
          </cell>
        </row>
        <row r="4475">
          <cell r="A4475">
            <v>38028</v>
          </cell>
          <cell r="B4475" t="str">
            <v xml:space="preserve">TUBO CPVC, SOLDAVEL, 42 MM, AGUA QUENTE PREDIAL (NBR 15884)                                                                                                                                                                                                                                                                                                                                                                                                                                               </v>
          </cell>
          <cell r="C4475" t="str">
            <v xml:space="preserve">M     </v>
          </cell>
          <cell r="D4475" t="str">
            <v>CR</v>
          </cell>
          <cell r="E4475" t="str">
            <v>46,32</v>
          </cell>
        </row>
        <row r="4476">
          <cell r="A4476">
            <v>38029</v>
          </cell>
          <cell r="B4476" t="str">
            <v xml:space="preserve">TUBO CPVC, SOLDAVEL, 54 MM, AGUA QUENTE PREDIAL (NBR 15884)                                                                                                                                                                                                                                                                                                                                                                                                                                               </v>
          </cell>
          <cell r="C4476" t="str">
            <v xml:space="preserve">M     </v>
          </cell>
          <cell r="D4476" t="str">
            <v>CR</v>
          </cell>
          <cell r="E4476" t="str">
            <v>67,80</v>
          </cell>
        </row>
        <row r="4477">
          <cell r="A4477">
            <v>38030</v>
          </cell>
          <cell r="B4477" t="str">
            <v xml:space="preserve">TUBO CPVC, SOLDAVEL, 73 MM, AGUA QUENTE PREDIAL (NBR 15884)                                                                                                                                                                                                                                                                                                                                                                                                                                               </v>
          </cell>
          <cell r="C4477" t="str">
            <v xml:space="preserve">M     </v>
          </cell>
          <cell r="D4477" t="str">
            <v>CR</v>
          </cell>
          <cell r="E4477" t="str">
            <v>109,64</v>
          </cell>
        </row>
        <row r="4478">
          <cell r="A4478">
            <v>38031</v>
          </cell>
          <cell r="B4478" t="str">
            <v xml:space="preserve">TUBO CPVC, SOLDAVEL, 89 MM, AGUA QUENTE PREDIAL (NBR 15884)                                                                                                                                                                                                                                                                                                                                                                                                                                               </v>
          </cell>
          <cell r="C4478" t="str">
            <v xml:space="preserve">M     </v>
          </cell>
          <cell r="D4478" t="str">
            <v>CR</v>
          </cell>
          <cell r="E4478" t="str">
            <v>172,09</v>
          </cell>
        </row>
        <row r="4479">
          <cell r="A4479">
            <v>39735</v>
          </cell>
          <cell r="B4479" t="str">
            <v xml:space="preserve">TUBO DE BORRACHA ELASTOMERICA FLEXIVEL, PRETA, PARA ISOLAMENTO TERMICO DE TUBULACAO, DN 1 1/8" (28 MM), E= 32 MM, COEFICIENTE DE CONDUTIVIDADE TERMICA 0,036W/mK, VAPOR DE AGUA MAIOR OU IGUAL A 10.000                                                                                                                                                                                                                                                                                                   </v>
          </cell>
          <cell r="C4479" t="str">
            <v xml:space="preserve">M     </v>
          </cell>
          <cell r="D4479" t="str">
            <v>CR</v>
          </cell>
          <cell r="E4479" t="str">
            <v>51,41</v>
          </cell>
        </row>
        <row r="4480">
          <cell r="A4480">
            <v>39734</v>
          </cell>
          <cell r="B4480" t="str">
            <v xml:space="preserve">TUBO DE BORRACHA ELASTOMERICA FLEXIVEL, PRETA, PARA ISOLAMENTO TERMICO DE TUBULACAO, DN 1 3/8" (35 MM), E= 32 MM, COEFICIENTE DE CONDUTIVIDADE TERMICA 0,036W/mK, VAPOR DE AGUA MAIOR OU IGUAL A 10.000                                                                                                                                                                                                                                                                                                   </v>
          </cell>
          <cell r="C4480" t="str">
            <v xml:space="preserve">M     </v>
          </cell>
          <cell r="D4480" t="str">
            <v>CR</v>
          </cell>
          <cell r="E4480" t="str">
            <v>60,98</v>
          </cell>
        </row>
        <row r="4481">
          <cell r="A4481">
            <v>39736</v>
          </cell>
          <cell r="B4481" t="str">
            <v xml:space="preserve">TUBO DE BORRACHA ELASTOMERICA FLEXIVEL, PRETA, PARA ISOLAMENTO TERMICO DE TUBULACAO, DN 1 5/8" (42 MM), E= 32 MM, COEFICIENTE DE CONDUTIVIDADE TERMICA 0,036W/mK, VAPOR DE AGUA MAIOR OU IGUAL A 10.000                                                                                                                                                                                                                                                                                                   </v>
          </cell>
          <cell r="C4481" t="str">
            <v xml:space="preserve">M     </v>
          </cell>
          <cell r="D4481" t="str">
            <v>CR</v>
          </cell>
          <cell r="E4481" t="str">
            <v>69,59</v>
          </cell>
        </row>
        <row r="4482">
          <cell r="A4482">
            <v>39737</v>
          </cell>
          <cell r="B4482" t="str">
            <v xml:space="preserve">TUBO DE BORRACHA ELASTOMERICA FLEXIVEL, PRETA, PARA ISOLAMENTO TERMICO DE TUBULACAO, DN 1/2" (12 MM), E= 19 MM, COEFICIENTE DE CONDUTIVIDADE TERMICA 0,036W/mK, VAPOR DE AGUA MAIOR OU IGUAL A 10.000                                                                                                                                                                                                                                                                                                     </v>
          </cell>
          <cell r="C4482" t="str">
            <v xml:space="preserve">M     </v>
          </cell>
          <cell r="D4482" t="str">
            <v>CR</v>
          </cell>
          <cell r="E4482" t="str">
            <v>9,36</v>
          </cell>
        </row>
        <row r="4483">
          <cell r="A4483">
            <v>39738</v>
          </cell>
          <cell r="B4483" t="str">
            <v xml:space="preserve">TUBO DE BORRACHA ELASTOMERICA FLEXIVEL, PRETA, PARA ISOLAMENTO TERMICO DE TUBULACAO, DN 1/4" (6 MM), E= 9 MM, COEFICIENTE DE CONDUTIVIDADE TERMICA 0,036W/mK, VAPOR DE AGUA MAIOR OU IGUAL A 10.000                                                                                                                                                                                                                                                                                                       </v>
          </cell>
          <cell r="C4483" t="str">
            <v xml:space="preserve">M     </v>
          </cell>
          <cell r="D4483" t="str">
            <v>CR</v>
          </cell>
          <cell r="E4483" t="str">
            <v>3,38</v>
          </cell>
        </row>
        <row r="4484">
          <cell r="A4484">
            <v>39739</v>
          </cell>
          <cell r="B4484" t="str">
            <v xml:space="preserve">TUBO DE BORRACHA ELASTOMERICA FLEXIVEL, PRETA, PARA ISOLAMENTO TERMICO DE TUBULACAO, DN 1" (25 MM), E= 32 MM, COEFICIENTE DE CONDUTIVIDADE TERMICA 0,036W/mK, VAPOR DE AGUA MAIOR OU IGUAL A 10.000                                                                                                                                                                                                                                                                                                       </v>
          </cell>
          <cell r="C4484" t="str">
            <v xml:space="preserve">M     </v>
          </cell>
          <cell r="D4484" t="str">
            <v>CR</v>
          </cell>
          <cell r="E4484" t="str">
            <v>48,13</v>
          </cell>
        </row>
        <row r="4485">
          <cell r="A4485">
            <v>39733</v>
          </cell>
          <cell r="B4485" t="str">
            <v xml:space="preserve">TUBO DE BORRACHA ELASTOMERICA FLEXIVEL, PRETA, PARA ISOLAMENTO TERMICO DE TUBULACAO, DN 2 1/8" (54 MM), E= 32 MM, COEFICIENTE DE CONDUTIVIDADE TERMICA 0,036W/mK, VAPOR DE AGUA MAIOR OU IGUAL A 10.000                                                                                                                                                                                                                                                                                                   </v>
          </cell>
          <cell r="C4485" t="str">
            <v xml:space="preserve">M     </v>
          </cell>
          <cell r="D4485" t="str">
            <v>CR</v>
          </cell>
          <cell r="E4485" t="str">
            <v>83,28</v>
          </cell>
        </row>
        <row r="4486">
          <cell r="A4486">
            <v>39854</v>
          </cell>
          <cell r="B4486" t="str">
            <v xml:space="preserve">TUBO DE BORRACHA ELASTOMERICA FLEXIVEL, PRETA, PARA ISOLAMENTO TERMICO DE TUBULACAO, DN 2 5/8" (*64* MM), E= *32* MM, COEFICIENTE DE CONDUTIVIDADE TERMICA 0,036W/MK, VAPOR DE AGUA MAIOR OU IGUAL A 10.000                                                                                                                                                                                                                                                                                               </v>
          </cell>
          <cell r="C4486" t="str">
            <v xml:space="preserve">M     </v>
          </cell>
          <cell r="D4486" t="str">
            <v>CR</v>
          </cell>
          <cell r="E4486" t="str">
            <v>84,46</v>
          </cell>
        </row>
        <row r="4487">
          <cell r="A4487">
            <v>39740</v>
          </cell>
          <cell r="B4487" t="str">
            <v xml:space="preserve">TUBO DE BORRACHA ELASTOMERICA FLEXIVEL, PRETA, PARA ISOLAMENTO TERMICO DE TUBULACAO, DN 3/4" (18 MM), E= 32 MM, COEFICIENTE DE CONDUTIVIDADE TERMICA 0,036W/mK, VAPOR DE AGUA MAIOR OU IGUAL A 10.000                                                                                                                                                                                                                                                                                                     </v>
          </cell>
          <cell r="C4487" t="str">
            <v xml:space="preserve">M     </v>
          </cell>
          <cell r="D4487" t="str">
            <v>CR</v>
          </cell>
          <cell r="E4487" t="str">
            <v>46,21</v>
          </cell>
        </row>
        <row r="4488">
          <cell r="A4488">
            <v>39741</v>
          </cell>
          <cell r="B4488" t="str">
            <v xml:space="preserve">TUBO DE BORRACHA ELASTOMERICA FLEXIVEL, PRETA, PARA ISOLAMENTO TERMICO DE TUBULACAO, DN 3/8" (10 MM), E= 19 MM, COEFICIENTE DE CONDUTIVIDADE TERMICA 0,036W/mK, VAPOR DE AGUA MAIOR OU IGUAL A 10.000                                                                                                                                                                                                                                                                                                     </v>
          </cell>
          <cell r="C4488" t="str">
            <v xml:space="preserve">M     </v>
          </cell>
          <cell r="D4488" t="str">
            <v>CR</v>
          </cell>
          <cell r="E4488" t="str">
            <v>8,51</v>
          </cell>
        </row>
        <row r="4489">
          <cell r="A4489">
            <v>39853</v>
          </cell>
          <cell r="B4489" t="str">
            <v xml:space="preserve">TUBO DE BORRACHA ELASTOMERICA FLEXIVEL, PRETA, PARA ISOLAMENTO TERMICO DE TUBULACAO, DN 5/8" (15 MM), E= 19 MM, COEFICIENTE DE CONDUTIVIDADE TERMICA 0,036W/MK, VAPOR DE AGUA MAIOR OU IGUAL A 10.000                                                                                                                                                                                                                                                                                                     </v>
          </cell>
          <cell r="C4489" t="str">
            <v xml:space="preserve">M     </v>
          </cell>
          <cell r="D4489" t="str">
            <v>CR</v>
          </cell>
          <cell r="E4489" t="str">
            <v>11,18</v>
          </cell>
        </row>
        <row r="4490">
          <cell r="A4490">
            <v>39742</v>
          </cell>
          <cell r="B4490" t="str">
            <v xml:space="preserve">TUBO DE BORRACHA ELASTOMERICA FLEXIVEL, PRETA, PARA ISOLAMENTO TERMICO DE TUBULACAO, DN 7/8" (22 MM), E= 32 MM, COEFICIENTE DE CONDUTIVIDADE TERMICA 0,036W/mK, VAPOR DE AGUA MAIOR OU IGUAL A 10.000                                                                                                                                                                                                                                                                                                     </v>
          </cell>
          <cell r="C4490" t="str">
            <v xml:space="preserve">M     </v>
          </cell>
          <cell r="D4490" t="str">
            <v>CR</v>
          </cell>
          <cell r="E4490" t="str">
            <v>37,15</v>
          </cell>
        </row>
        <row r="4491">
          <cell r="A4491">
            <v>39749</v>
          </cell>
          <cell r="B4491" t="str">
            <v xml:space="preserve">TUBO DE COBRE CLASSE "A", DN = 1 " (28 MM), PARA INSTALACOES DE MEDIA PRESSAO PARA GASES COMBUSTIVEIS E MEDICINAIS                                                                                                                                                                                                                                                                                                                                                                                        </v>
          </cell>
          <cell r="C4491" t="str">
            <v xml:space="preserve">M     </v>
          </cell>
          <cell r="D4491" t="str">
            <v>CR</v>
          </cell>
          <cell r="E4491" t="str">
            <v>93,09</v>
          </cell>
        </row>
        <row r="4492">
          <cell r="A4492">
            <v>39751</v>
          </cell>
          <cell r="B4492" t="str">
            <v xml:space="preserve">TUBO DE COBRE CLASSE "A", DN = 1 1/2 " (42 MM), PARA INSTALACOES DE MEDIA PRESSAO PARA GASES COMBUSTIVEIS E MEDICINAIS                                                                                                                                                                                                                                                                                                                                                                                    </v>
          </cell>
          <cell r="C4492" t="str">
            <v xml:space="preserve">M     </v>
          </cell>
          <cell r="D4492" t="str">
            <v>CR</v>
          </cell>
          <cell r="E4492" t="str">
            <v>169,15</v>
          </cell>
        </row>
        <row r="4493">
          <cell r="A4493">
            <v>39750</v>
          </cell>
          <cell r="B4493" t="str">
            <v xml:space="preserve">TUBO DE COBRE CLASSE "A", DN = 1 1/4 " (35 MM), PARA INSTALACOES DE MEDIA PRESSAO PARA GASES COMBUSTIVEIS E MEDICINAIS                                                                                                                                                                                                                                                                                                                                                                                    </v>
          </cell>
          <cell r="C4493" t="str">
            <v xml:space="preserve">M     </v>
          </cell>
          <cell r="D4493" t="str">
            <v>CR</v>
          </cell>
          <cell r="E4493" t="str">
            <v>140,60</v>
          </cell>
        </row>
        <row r="4494">
          <cell r="A4494">
            <v>39747</v>
          </cell>
          <cell r="B4494" t="str">
            <v xml:space="preserve">TUBO DE COBRE CLASSE "A", DN = 1/2 " (15 MM), PARA INSTALACOES DE MEDIA PRESSAO PARA GASES COMBUSTIVEIS E MEDICINAIS                                                                                                                                                                                                                                                                                                                                                                                      </v>
          </cell>
          <cell r="C4494" t="str">
            <v xml:space="preserve">M     </v>
          </cell>
          <cell r="D4494" t="str">
            <v>CR</v>
          </cell>
          <cell r="E4494" t="str">
            <v>45,22</v>
          </cell>
        </row>
        <row r="4495">
          <cell r="A4495">
            <v>39753</v>
          </cell>
          <cell r="B4495" t="str">
            <v xml:space="preserve">TUBO DE COBRE CLASSE "A", DN = 2 1/2 " (66 MM), PARA INSTALACOES DE MEDIA PRESSAO PARA GASES COMBUSTIVEIS E MEDICINAIS                                                                                                                                                                                                                                                                                                                                                                                    </v>
          </cell>
          <cell r="C4495" t="str">
            <v xml:space="preserve">M     </v>
          </cell>
          <cell r="D4495" t="str">
            <v>CR</v>
          </cell>
          <cell r="E4495" t="str">
            <v>311,37</v>
          </cell>
        </row>
        <row r="4496">
          <cell r="A4496">
            <v>39754</v>
          </cell>
          <cell r="B4496" t="str">
            <v xml:space="preserve">TUBO DE COBRE CLASSE "A", DN = 3 " (79 MM), PARA INSTALACOES DE MEDIA PRESSAO PARA GASES COMBUSTIVEIS E MEDICINAIS                                                                                                                                                                                                                                                                                                                                                                                        </v>
          </cell>
          <cell r="C4496" t="str">
            <v xml:space="preserve">M     </v>
          </cell>
          <cell r="D4496" t="str">
            <v>CR</v>
          </cell>
          <cell r="E4496" t="str">
            <v>458,74</v>
          </cell>
        </row>
        <row r="4497">
          <cell r="A4497">
            <v>39748</v>
          </cell>
          <cell r="B4497" t="str">
            <v xml:space="preserve">TUBO DE COBRE CLASSE "A", DN = 3/4 " (22 MM), PARA INSTALACOES DE MEDIA PRESSAO PARA GASES COMBUSTIVEIS E MEDICINAIS                                                                                                                                                                                                                                                                                                                                                                                      </v>
          </cell>
          <cell r="C4497" t="str">
            <v xml:space="preserve">M     </v>
          </cell>
          <cell r="D4497" t="str">
            <v>CR</v>
          </cell>
          <cell r="E4497" t="str">
            <v>73,17</v>
          </cell>
        </row>
        <row r="4498">
          <cell r="A4498">
            <v>39755</v>
          </cell>
          <cell r="B4498" t="str">
            <v xml:space="preserve">TUBO DE COBRE CLASSE "A", DN = 4 " (104 MM), PARA INSTALACOES DE MEDIA PRESSAO PARA GASES COMBUSTIVEIS E MEDICINAIS                                                                                                                                                                                                                                                                                                                                                                                       </v>
          </cell>
          <cell r="C4498" t="str">
            <v xml:space="preserve">M     </v>
          </cell>
          <cell r="D4498" t="str">
            <v>CR</v>
          </cell>
          <cell r="E4498" t="str">
            <v>695,55</v>
          </cell>
        </row>
        <row r="4499">
          <cell r="A4499">
            <v>12742</v>
          </cell>
          <cell r="B4499" t="str">
            <v xml:space="preserve">TUBO DE COBRE CLASSE "E", DN = 104 MM, PARA INSTALACAO HIDRAULICA PREDIAL                                                                                                                                                                                                                                                                                                                                                                                                                                 </v>
          </cell>
          <cell r="C4499" t="str">
            <v xml:space="preserve">M     </v>
          </cell>
          <cell r="D4499" t="str">
            <v>CR</v>
          </cell>
          <cell r="E4499" t="str">
            <v>550,75</v>
          </cell>
        </row>
        <row r="4500">
          <cell r="A4500">
            <v>12713</v>
          </cell>
          <cell r="B4500" t="str">
            <v xml:space="preserve">TUBO DE COBRE CLASSE "E", DN = 15 MM, PARA INSTALACAO HIDRAULICA PREDIAL                                                                                                                                                                                                                                                                                                                                                                                                                                  </v>
          </cell>
          <cell r="C4500" t="str">
            <v xml:space="preserve">M     </v>
          </cell>
          <cell r="D4500" t="str">
            <v xml:space="preserve">C </v>
          </cell>
          <cell r="E4500" t="str">
            <v>29,21</v>
          </cell>
        </row>
        <row r="4501">
          <cell r="A4501">
            <v>12743</v>
          </cell>
          <cell r="B4501" t="str">
            <v xml:space="preserve">TUBO DE COBRE CLASSE "E", DN = 22 MM, PARA INSTALACAO HIDRAULICA PREDIAL                                                                                                                                                                                                                                                                                                                                                                                                                                  </v>
          </cell>
          <cell r="C4501" t="str">
            <v xml:space="preserve">M     </v>
          </cell>
          <cell r="D4501" t="str">
            <v>CR</v>
          </cell>
          <cell r="E4501" t="str">
            <v>50,25</v>
          </cell>
        </row>
        <row r="4502">
          <cell r="A4502">
            <v>12744</v>
          </cell>
          <cell r="B4502" t="str">
            <v xml:space="preserve">TUBO DE COBRE CLASSE "E", DN = 28 MM, PARA INSTALACAO HIDRAULICA PREDIAL                                                                                                                                                                                                                                                                                                                                                                                                                                  </v>
          </cell>
          <cell r="C4502" t="str">
            <v xml:space="preserve">M     </v>
          </cell>
          <cell r="D4502" t="str">
            <v>CR</v>
          </cell>
          <cell r="E4502" t="str">
            <v>63,77</v>
          </cell>
        </row>
        <row r="4503">
          <cell r="A4503">
            <v>12745</v>
          </cell>
          <cell r="B4503" t="str">
            <v xml:space="preserve">TUBO DE COBRE CLASSE "E", DN = 35 MM, PARA INSTALACAO HIDRAULICA PREDIAL                                                                                                                                                                                                                                                                                                                                                                                                                                  </v>
          </cell>
          <cell r="C4503" t="str">
            <v xml:space="preserve">M     </v>
          </cell>
          <cell r="D4503" t="str">
            <v>CR</v>
          </cell>
          <cell r="E4503" t="str">
            <v>92,61</v>
          </cell>
        </row>
        <row r="4504">
          <cell r="A4504">
            <v>12746</v>
          </cell>
          <cell r="B4504" t="str">
            <v xml:space="preserve">TUBO DE COBRE CLASSE "E", DN = 42 MM, PARA INSTALACAO HIDRAULICA PREDIAL                                                                                                                                                                                                                                                                                                                                                                                                                                  </v>
          </cell>
          <cell r="C4504" t="str">
            <v xml:space="preserve">M     </v>
          </cell>
          <cell r="D4504" t="str">
            <v>CR</v>
          </cell>
          <cell r="E4504" t="str">
            <v>125,06</v>
          </cell>
        </row>
        <row r="4505">
          <cell r="A4505">
            <v>12747</v>
          </cell>
          <cell r="B4505" t="str">
            <v xml:space="preserve">TUBO DE COBRE CLASSE "E", DN = 54 MM, PARA INSTALACAO HIDRAULICA PREDIAL                                                                                                                                                                                                                                                                                                                                                                                                                                  </v>
          </cell>
          <cell r="C4505" t="str">
            <v xml:space="preserve">M     </v>
          </cell>
          <cell r="D4505" t="str">
            <v>CR</v>
          </cell>
          <cell r="E4505" t="str">
            <v>181,36</v>
          </cell>
        </row>
        <row r="4506">
          <cell r="A4506">
            <v>12748</v>
          </cell>
          <cell r="B4506" t="str">
            <v xml:space="preserve">TUBO DE COBRE CLASSE "E", DN = 66 MM, PARA INSTALACAO HIDRAULICA PREDIAL                                                                                                                                                                                                                                                                                                                                                                                                                                  </v>
          </cell>
          <cell r="C4506" t="str">
            <v xml:space="preserve">M     </v>
          </cell>
          <cell r="D4506" t="str">
            <v>CR</v>
          </cell>
          <cell r="E4506" t="str">
            <v>255,50</v>
          </cell>
        </row>
        <row r="4507">
          <cell r="A4507">
            <v>12749</v>
          </cell>
          <cell r="B4507" t="str">
            <v xml:space="preserve">TUBO DE COBRE CLASSE "E", DN = 79 MM, PARA INSTALACAO HIDRAULICA PREDIAL                                                                                                                                                                                                                                                                                                                                                                                                                                  </v>
          </cell>
          <cell r="C4507" t="str">
            <v xml:space="preserve">M     </v>
          </cell>
          <cell r="D4507" t="str">
            <v>CR</v>
          </cell>
          <cell r="E4507" t="str">
            <v>373,50</v>
          </cell>
        </row>
        <row r="4508">
          <cell r="A4508">
            <v>39726</v>
          </cell>
          <cell r="B4508" t="str">
            <v xml:space="preserve">TUBO DE COBRE CLASSE "I", DN = 1 " (28 MM), PARA INSTALACOES INDUSTRIAIS DE ALTA PRESSAO E VAPOR                                                                                                                                                                                                                                                                                                                                                                                                          </v>
          </cell>
          <cell r="C4508" t="str">
            <v xml:space="preserve">M     </v>
          </cell>
          <cell r="D4508" t="str">
            <v>CR</v>
          </cell>
          <cell r="E4508" t="str">
            <v>122,68</v>
          </cell>
        </row>
        <row r="4509">
          <cell r="A4509">
            <v>39728</v>
          </cell>
          <cell r="B4509" t="str">
            <v xml:space="preserve">TUBO DE COBRE CLASSE "I", DN = 1 1/2 " (42 MM), PARA INSTALACOES INDUSTRIAIS DE ALTA PRESSAO E VAPOR                                                                                                                                                                                                                                                                                                                                                                                                      </v>
          </cell>
          <cell r="C4509" t="str">
            <v xml:space="preserve">M     </v>
          </cell>
          <cell r="D4509" t="str">
            <v>CR</v>
          </cell>
          <cell r="E4509" t="str">
            <v>215,61</v>
          </cell>
        </row>
        <row r="4510">
          <cell r="A4510">
            <v>39727</v>
          </cell>
          <cell r="B4510" t="str">
            <v xml:space="preserve">TUBO DE COBRE CLASSE "I", DN = 1 1/4 " (35 MM), PARA INSTALACOES INDUSTRIAIS DE ALTA PRESSAO E VAPOR                                                                                                                                                                                                                                                                                                                                                                                                      </v>
          </cell>
          <cell r="C4510" t="str">
            <v xml:space="preserve">M     </v>
          </cell>
          <cell r="D4510" t="str">
            <v>CR</v>
          </cell>
          <cell r="E4510" t="str">
            <v>177,44</v>
          </cell>
        </row>
        <row r="4511">
          <cell r="A4511">
            <v>39724</v>
          </cell>
          <cell r="B4511" t="str">
            <v xml:space="preserve">TUBO DE COBRE CLASSE "I", DN = 1/2 " (15 MM), PARA INSTALACOES INDUSTRIAIS DE ALTA PRESSAO E VAPOR                                                                                                                                                                                                                                                                                                                                                                                                        </v>
          </cell>
          <cell r="C4511" t="str">
            <v xml:space="preserve">M     </v>
          </cell>
          <cell r="D4511" t="str">
            <v>CR</v>
          </cell>
          <cell r="E4511" t="str">
            <v>54,32</v>
          </cell>
        </row>
        <row r="4512">
          <cell r="A4512">
            <v>39729</v>
          </cell>
          <cell r="B4512" t="str">
            <v xml:space="preserve">TUBO DE COBRE CLASSE "I", DN = 2 " (54 MM), PARA INSTALACOES INDUSTRIAIS DE ALTA PRESSAO E VAPOR                                                                                                                                                                                                                                                                                                                                                                                                          </v>
          </cell>
          <cell r="C4512" t="str">
            <v xml:space="preserve">M     </v>
          </cell>
          <cell r="D4512" t="str">
            <v>CR</v>
          </cell>
          <cell r="E4512" t="str">
            <v>298,59</v>
          </cell>
        </row>
        <row r="4513">
          <cell r="A4513">
            <v>39730</v>
          </cell>
          <cell r="B4513" t="str">
            <v xml:space="preserve">TUBO DE COBRE CLASSE "I", DN = 2 1/2 " (66 MM), PARA INSTALACOES INDUSTRIAIS DE ALTA PRESSAO E VAPOR                                                                                                                                                                                                                                                                                                                                                                                                      </v>
          </cell>
          <cell r="C4513" t="str">
            <v xml:space="preserve">M     </v>
          </cell>
          <cell r="D4513" t="str">
            <v>CR</v>
          </cell>
          <cell r="E4513" t="str">
            <v>387,40</v>
          </cell>
        </row>
        <row r="4514">
          <cell r="A4514">
            <v>39731</v>
          </cell>
          <cell r="B4514" t="str">
            <v xml:space="preserve">TUBO DE COBRE CLASSE "I", DN = 3 " (79 MM), PARA INSTALACOES INDUSTRIAIS DE ALTA PRESSAO E VAPOR                                                                                                                                                                                                                                                                                                                                                                                                          </v>
          </cell>
          <cell r="C4514" t="str">
            <v xml:space="preserve">M     </v>
          </cell>
          <cell r="D4514" t="str">
            <v>CR</v>
          </cell>
          <cell r="E4514" t="str">
            <v>573,77</v>
          </cell>
        </row>
        <row r="4515">
          <cell r="A4515">
            <v>39725</v>
          </cell>
          <cell r="B4515" t="str">
            <v xml:space="preserve">TUBO DE COBRE CLASSE "I", DN = 3/4 " (22 MM), PARA INSTALACOES INDUSTRIAIS DE ALTA PRESSAO E VAPOR                                                                                                                                                                                                                                                                                                                                                                                                        </v>
          </cell>
          <cell r="C4515" t="str">
            <v xml:space="preserve">M     </v>
          </cell>
          <cell r="D4515" t="str">
            <v>CR</v>
          </cell>
          <cell r="E4515" t="str">
            <v>88,55</v>
          </cell>
        </row>
        <row r="4516">
          <cell r="A4516">
            <v>39732</v>
          </cell>
          <cell r="B4516" t="str">
            <v xml:space="preserve">TUBO DE COBRE CLASSE "I", DN = 4" (104 MM), PARA INSTALACOES INDUSTRIAIS DE ALTA PRESSAO E VAPOR                                                                                                                                                                                                                                                                                                                                                                                                          </v>
          </cell>
          <cell r="C4516" t="str">
            <v xml:space="preserve">M     </v>
          </cell>
          <cell r="D4516" t="str">
            <v>CR</v>
          </cell>
          <cell r="E4516" t="str">
            <v>844,56</v>
          </cell>
        </row>
        <row r="4517">
          <cell r="A4517">
            <v>39660</v>
          </cell>
          <cell r="B4517" t="str">
            <v xml:space="preserve">TUBO DE COBRE FLEXIVEL, D = 1/2 ", E = 0,79 MM, PARA AR-CONDICIONADO/ INSTALACOES GAS RESIDENCIAIS E COMERCIAIS                                                                                                                                                                                                                                                                                                                                                                                           </v>
          </cell>
          <cell r="C4517" t="str">
            <v xml:space="preserve">M     </v>
          </cell>
          <cell r="D4517" t="str">
            <v>CR</v>
          </cell>
          <cell r="E4517" t="str">
            <v>38,48</v>
          </cell>
        </row>
        <row r="4518">
          <cell r="A4518">
            <v>39662</v>
          </cell>
          <cell r="B4518" t="str">
            <v xml:space="preserve">TUBO DE COBRE FLEXIVEL, D = 1/4 ", E = 0,79 MM, PARA AR-CONDICIONADO/ INSTALACOES GAS RESIDENCIAIS E COMERCIAIS                                                                                                                                                                                                                                                                                                                                                                                           </v>
          </cell>
          <cell r="C4518" t="str">
            <v xml:space="preserve">M     </v>
          </cell>
          <cell r="D4518" t="str">
            <v>CR</v>
          </cell>
          <cell r="E4518" t="str">
            <v>18,44</v>
          </cell>
        </row>
        <row r="4519">
          <cell r="A4519">
            <v>39661</v>
          </cell>
          <cell r="B4519" t="str">
            <v xml:space="preserve">TUBO DE COBRE FLEXIVEL, D = 3/16 ", E = 0,79 MM, PARA AR-CONDICIONADO/ INSTALACOES GAS RESIDENCIAIS E COMERCIAIS                                                                                                                                                                                                                                                                                                                                                                                          </v>
          </cell>
          <cell r="C4519" t="str">
            <v xml:space="preserve">M     </v>
          </cell>
          <cell r="D4519" t="str">
            <v>CR</v>
          </cell>
          <cell r="E4519" t="str">
            <v>12,58</v>
          </cell>
        </row>
        <row r="4520">
          <cell r="A4520">
            <v>39666</v>
          </cell>
          <cell r="B4520" t="str">
            <v xml:space="preserve">TUBO DE COBRE FLEXIVEL, D = 3/4 ", E = 0,79 MM, PARA AR-CONDICIONADO/ INSTALACOES GAS RESIDENCIAIS E COMERCIAIS                                                                                                                                                                                                                                                                                                                                                                                           </v>
          </cell>
          <cell r="C4520" t="str">
            <v xml:space="preserve">M     </v>
          </cell>
          <cell r="D4520" t="str">
            <v>CR</v>
          </cell>
          <cell r="E4520" t="str">
            <v>57,89</v>
          </cell>
        </row>
        <row r="4521">
          <cell r="A4521">
            <v>39664</v>
          </cell>
          <cell r="B4521" t="str">
            <v xml:space="preserve">TUBO DE COBRE FLEXIVEL, D = 3/8 ", E = 0,79 MM, PARA AR-CONDICIONADO/ INSTALACOES GAS RESIDENCIAIS E COMERCIAIS                                                                                                                                                                                                                                                                                                                                                                                           </v>
          </cell>
          <cell r="C4521" t="str">
            <v xml:space="preserve">M     </v>
          </cell>
          <cell r="D4521" t="str">
            <v>CR</v>
          </cell>
          <cell r="E4521" t="str">
            <v>28,37</v>
          </cell>
        </row>
        <row r="4522">
          <cell r="A4522">
            <v>39663</v>
          </cell>
          <cell r="B4522" t="str">
            <v xml:space="preserve">TUBO DE COBRE FLEXIVEL, D = 5/16 ", E = 0,79 MM, PARA AR-CONDICIONADO/ INSTALACOES GAS RESIDENCIAIS E COMERCIAIS                                                                                                                                                                                                                                                                                                                                                                                          </v>
          </cell>
          <cell r="C4522" t="str">
            <v xml:space="preserve">M     </v>
          </cell>
          <cell r="D4522" t="str">
            <v>CR</v>
          </cell>
          <cell r="E4522" t="str">
            <v>22,68</v>
          </cell>
        </row>
        <row r="4523">
          <cell r="A4523">
            <v>39665</v>
          </cell>
          <cell r="B4523" t="str">
            <v xml:space="preserve">TUBO DE COBRE FLEXIVEL, D = 5/8 ", E = 0,79 MM, PARA AR-CONDICIONADO/ INSTALACOES GAS RESIDENCIAIS E COMERCIAIS                                                                                                                                                                                                                                                                                                                                                                                           </v>
          </cell>
          <cell r="C4523" t="str">
            <v xml:space="preserve">M     </v>
          </cell>
          <cell r="D4523" t="str">
            <v>CR</v>
          </cell>
          <cell r="E4523" t="str">
            <v>47,87</v>
          </cell>
        </row>
        <row r="4524">
          <cell r="A4524">
            <v>39752</v>
          </cell>
          <cell r="B4524" t="str">
            <v xml:space="preserve">TUBO DE COBRE, CLASSE "A", DN = 2" (54 MM), PARA INSTALACOES DE MEDIA PRESSAO PARA GASES COMBUSTIVEIS E MEDICINAIS                                                                                                                                                                                                                                                                                                                                                                                        </v>
          </cell>
          <cell r="C4524" t="str">
            <v xml:space="preserve">M     </v>
          </cell>
          <cell r="D4524" t="str">
            <v>CR</v>
          </cell>
          <cell r="E4524" t="str">
            <v>240,69</v>
          </cell>
        </row>
        <row r="4525">
          <cell r="A4525">
            <v>7725</v>
          </cell>
          <cell r="B4525" t="str">
            <v xml:space="preserve">TUBO DE CONCRETO ARMADO PARA AGUAS PLUVIAIS, CLASSE PA-1, COM ENCAIXE PONTA E BOLSA, DIAMETRO NOMINAL DE = 600 MM                                                                                                                                                                                                                                                                                                                                                                                         </v>
          </cell>
          <cell r="C4525" t="str">
            <v xml:space="preserve">M     </v>
          </cell>
          <cell r="D4525" t="str">
            <v xml:space="preserve">C </v>
          </cell>
          <cell r="E4525" t="str">
            <v>244,67</v>
          </cell>
        </row>
        <row r="4526">
          <cell r="A4526">
            <v>7753</v>
          </cell>
          <cell r="B4526" t="str">
            <v xml:space="preserve">TUBO DE CONCRETO ARMADO PARA AGUAS PLUVIAIS, CLASSE PA-1, COM ENCAIXE PONTA E BOLSA, DIAMETRO NOMINAL DE 1000 MM                                                                                                                                                                                                                                                                                                                                                                                          </v>
          </cell>
          <cell r="C4526" t="str">
            <v xml:space="preserve">M     </v>
          </cell>
          <cell r="D4526" t="str">
            <v>CR</v>
          </cell>
          <cell r="E4526" t="str">
            <v>477,00</v>
          </cell>
        </row>
        <row r="4527">
          <cell r="A4527">
            <v>13256</v>
          </cell>
          <cell r="B4527" t="str">
            <v xml:space="preserve">TUBO DE CONCRETO ARMADO PARA AGUAS PLUVIAIS, CLASSE PA-1, COM ENCAIXE PONTA E BOLSA, DIAMETRO NOMINAL DE 1100 MM                                                                                                                                                                                                                                                                                                                                                                                          </v>
          </cell>
          <cell r="C4527" t="str">
            <v xml:space="preserve">M     </v>
          </cell>
          <cell r="D4527" t="str">
            <v>CR</v>
          </cell>
          <cell r="E4527" t="str">
            <v>668,21</v>
          </cell>
        </row>
        <row r="4528">
          <cell r="A4528">
            <v>7757</v>
          </cell>
          <cell r="B4528" t="str">
            <v xml:space="preserve">TUBO DE CONCRETO ARMADO PARA AGUAS PLUVIAIS, CLASSE PA-1, COM ENCAIXE PONTA E BOLSA, DIAMETRO NOMINAL DE 1200 MM                                                                                                                                                                                                                                                                                                                                                                                          </v>
          </cell>
          <cell r="C4528" t="str">
            <v xml:space="preserve">M     </v>
          </cell>
          <cell r="D4528" t="str">
            <v>CR</v>
          </cell>
          <cell r="E4528" t="str">
            <v>712,42</v>
          </cell>
        </row>
        <row r="4529">
          <cell r="A4529">
            <v>7758</v>
          </cell>
          <cell r="B4529" t="str">
            <v xml:space="preserve">TUBO DE CONCRETO ARMADO PARA AGUAS PLUVIAIS, CLASSE PA-1, COM ENCAIXE PONTA E BOLSA, DIAMETRO NOMINAL DE 1500 MM                                                                                                                                                                                                                                                                                                                                                                                          </v>
          </cell>
          <cell r="C4529" t="str">
            <v xml:space="preserve">M     </v>
          </cell>
          <cell r="D4529" t="str">
            <v>CR</v>
          </cell>
          <cell r="E4529" t="str">
            <v>1.032,13</v>
          </cell>
        </row>
        <row r="4530">
          <cell r="A4530">
            <v>7759</v>
          </cell>
          <cell r="B4530" t="str">
            <v xml:space="preserve">TUBO DE CONCRETO ARMADO PARA AGUAS PLUVIAIS, CLASSE PA-1, COM ENCAIXE PONTA E BOLSA, DIAMETRO NOMINAL DE 2000 MM                                                                                                                                                                                                                                                                                                                                                                                          </v>
          </cell>
          <cell r="C4530" t="str">
            <v xml:space="preserve">M     </v>
          </cell>
          <cell r="D4530" t="str">
            <v>CR</v>
          </cell>
          <cell r="E4530" t="str">
            <v>2.860,04</v>
          </cell>
        </row>
        <row r="4531">
          <cell r="A4531">
            <v>40334</v>
          </cell>
          <cell r="B4531" t="str">
            <v xml:space="preserve">TUBO DE CONCRETO ARMADO PARA AGUAS PLUVIAIS, CLASSE PA-1, COM ENCAIXE PONTA E BOLSA, DIAMETRO NOMINAL DE 300 MM                                                                                                                                                                                                                                                                                                                                                                                           </v>
          </cell>
          <cell r="C4531" t="str">
            <v xml:space="preserve">M     </v>
          </cell>
          <cell r="D4531" t="str">
            <v>CR</v>
          </cell>
          <cell r="E4531" t="str">
            <v>112,05</v>
          </cell>
        </row>
        <row r="4532">
          <cell r="A4532">
            <v>7745</v>
          </cell>
          <cell r="B4532" t="str">
            <v xml:space="preserve">TUBO DE CONCRETO ARMADO PARA AGUAS PLUVIAIS, CLASSE PA-1, COM ENCAIXE PONTA E BOLSA, DIAMETRO NOMINAL DE 400 MM                                                                                                                                                                                                                                                                                                                                                                                           </v>
          </cell>
          <cell r="C4532" t="str">
            <v xml:space="preserve">M     </v>
          </cell>
          <cell r="D4532" t="str">
            <v>CR</v>
          </cell>
          <cell r="E4532" t="str">
            <v>126,44</v>
          </cell>
        </row>
        <row r="4533">
          <cell r="A4533">
            <v>7714</v>
          </cell>
          <cell r="B4533" t="str">
            <v xml:space="preserve">TUBO DE CONCRETO ARMADO PARA AGUAS PLUVIAIS, CLASSE PA-1, COM ENCAIXE PONTA E BOLSA, DIAMETRO NOMINAL DE 500 MM                                                                                                                                                                                                                                                                                                                                                                                           </v>
          </cell>
          <cell r="C4533" t="str">
            <v xml:space="preserve">M     </v>
          </cell>
          <cell r="D4533" t="str">
            <v>CR</v>
          </cell>
          <cell r="E4533" t="str">
            <v>151,11</v>
          </cell>
        </row>
        <row r="4534">
          <cell r="A4534">
            <v>7742</v>
          </cell>
          <cell r="B4534" t="str">
            <v xml:space="preserve">TUBO DE CONCRETO ARMADO PARA AGUAS PLUVIAIS, CLASSE PA-1, COM ENCAIXE PONTA E BOLSA, DIAMETRO NOMINAL DE 700 MM                                                                                                                                                                                                                                                                                                                                                                                           </v>
          </cell>
          <cell r="C4534" t="str">
            <v xml:space="preserve">M     </v>
          </cell>
          <cell r="D4534" t="str">
            <v>CR</v>
          </cell>
          <cell r="E4534" t="str">
            <v>333,49</v>
          </cell>
        </row>
        <row r="4535">
          <cell r="A4535">
            <v>7750</v>
          </cell>
          <cell r="B4535" t="str">
            <v xml:space="preserve">TUBO DE CONCRETO ARMADO PARA AGUAS PLUVIAIS, CLASSE PA-1, COM ENCAIXE PONTA E BOLSA, DIAMETRO NOMINAL DE 800 MM                                                                                                                                                                                                                                                                                                                                                                                           </v>
          </cell>
          <cell r="C4535" t="str">
            <v xml:space="preserve">M     </v>
          </cell>
          <cell r="D4535" t="str">
            <v>CR</v>
          </cell>
          <cell r="E4535" t="str">
            <v>407,09</v>
          </cell>
        </row>
        <row r="4536">
          <cell r="A4536">
            <v>7756</v>
          </cell>
          <cell r="B4536" t="str">
            <v xml:space="preserve">TUBO DE CONCRETO ARMADO PARA AGUAS PLUVIAIS, CLASSE PA-1, COM ENCAIXE PONTA E BOLSA, DIAMETRO NOMINAL DE 900 MM                                                                                                                                                                                                                                                                                                                                                                                           </v>
          </cell>
          <cell r="C4536" t="str">
            <v xml:space="preserve">M     </v>
          </cell>
          <cell r="D4536" t="str">
            <v>CR</v>
          </cell>
          <cell r="E4536" t="str">
            <v>467,75</v>
          </cell>
        </row>
        <row r="4537">
          <cell r="A4537">
            <v>7765</v>
          </cell>
          <cell r="B4537" t="str">
            <v xml:space="preserve">TUBO DE CONCRETO ARMADO PARA AGUAS PLUVIAIS, CLASSE PA-2, COM ENCAIXE PONTA E BOLSA, DIAMETRO NOMINAL DE 1000 MM                                                                                                                                                                                                                                                                                                                                                                                          </v>
          </cell>
          <cell r="C4537" t="str">
            <v xml:space="preserve">M     </v>
          </cell>
          <cell r="D4537" t="str">
            <v>CR</v>
          </cell>
          <cell r="E4537" t="str">
            <v>524,29</v>
          </cell>
        </row>
        <row r="4538">
          <cell r="A4538">
            <v>12569</v>
          </cell>
          <cell r="B4538" t="str">
            <v xml:space="preserve">TUBO DE CONCRETO ARMADO PARA AGUAS PLUVIAIS, CLASSE PA-2, COM ENCAIXE PONTA E BOLSA, DIAMETRO NOMINAL DE 1100 MM                                                                                                                                                                                                                                                                                                                                                                                          </v>
          </cell>
          <cell r="C4538" t="str">
            <v xml:space="preserve">M     </v>
          </cell>
          <cell r="D4538" t="str">
            <v>CR</v>
          </cell>
          <cell r="E4538" t="str">
            <v>723,72</v>
          </cell>
        </row>
        <row r="4539">
          <cell r="A4539">
            <v>7766</v>
          </cell>
          <cell r="B4539" t="str">
            <v xml:space="preserve">TUBO DE CONCRETO ARMADO PARA AGUAS PLUVIAIS, CLASSE PA-2, COM ENCAIXE PONTA E BOLSA, DIAMETRO NOMINAL DE 1200 MM                                                                                                                                                                                                                                                                                                                                                                                          </v>
          </cell>
          <cell r="C4539" t="str">
            <v xml:space="preserve">M     </v>
          </cell>
          <cell r="D4539" t="str">
            <v>CR</v>
          </cell>
          <cell r="E4539" t="str">
            <v>768,96</v>
          </cell>
        </row>
        <row r="4540">
          <cell r="A4540">
            <v>7767</v>
          </cell>
          <cell r="B4540" t="str">
            <v xml:space="preserve">TUBO DE CONCRETO ARMADO PARA AGUAS PLUVIAIS, CLASSE PA-2, COM ENCAIXE PONTA E BOLSA, DIAMETRO NOMINAL DE 1500 MM                                                                                                                                                                                                                                                                                                                                                                                          </v>
          </cell>
          <cell r="C4540" t="str">
            <v xml:space="preserve">M     </v>
          </cell>
          <cell r="D4540" t="str">
            <v>CR</v>
          </cell>
          <cell r="E4540" t="str">
            <v>1.104,09</v>
          </cell>
        </row>
        <row r="4541">
          <cell r="A4541">
            <v>7727</v>
          </cell>
          <cell r="B4541" t="str">
            <v xml:space="preserve">TUBO DE CONCRETO ARMADO PARA AGUAS PLUVIAIS, CLASSE PA-2, COM ENCAIXE PONTA E BOLSA, DIAMETRO NOMINAL DE 2000 MM                                                                                                                                                                                                                                                                                                                                                                                          </v>
          </cell>
          <cell r="C4541" t="str">
            <v xml:space="preserve">M     </v>
          </cell>
          <cell r="D4541" t="str">
            <v>CR</v>
          </cell>
          <cell r="E4541" t="str">
            <v>3.207,43</v>
          </cell>
        </row>
        <row r="4542">
          <cell r="A4542">
            <v>7760</v>
          </cell>
          <cell r="B4542" t="str">
            <v xml:space="preserve">TUBO DE CONCRETO ARMADO PARA AGUAS PLUVIAIS, CLASSE PA-2, COM ENCAIXE PONTA E BOLSA, DIAMETRO NOMINAL DE 300 MM                                                                                                                                                                                                                                                                                                                                                                                           </v>
          </cell>
          <cell r="C4542" t="str">
            <v xml:space="preserve">M     </v>
          </cell>
          <cell r="D4542" t="str">
            <v>CR</v>
          </cell>
          <cell r="E4542" t="str">
            <v>127,47</v>
          </cell>
        </row>
        <row r="4543">
          <cell r="A4543">
            <v>7761</v>
          </cell>
          <cell r="B4543" t="str">
            <v xml:space="preserve">TUBO DE CONCRETO ARMADO PARA AGUAS PLUVIAIS, CLASSE PA-2, COM ENCAIXE PONTA E BOLSA, DIAMETRO NOMINAL DE 400 MM                                                                                                                                                                                                                                                                                                                                                                                           </v>
          </cell>
          <cell r="C4543" t="str">
            <v xml:space="preserve">M     </v>
          </cell>
          <cell r="D4543" t="str">
            <v>CR</v>
          </cell>
          <cell r="E4543" t="str">
            <v>133,64</v>
          </cell>
        </row>
        <row r="4544">
          <cell r="A4544">
            <v>7752</v>
          </cell>
          <cell r="B4544" t="str">
            <v xml:space="preserve">TUBO DE CONCRETO ARMADO PARA AGUAS PLUVIAIS, CLASSE PA-2, COM ENCAIXE PONTA E BOLSA, DIAMETRO NOMINAL DE 500 MM                                                                                                                                                                                                                                                                                                                                                                                           </v>
          </cell>
          <cell r="C4544" t="str">
            <v xml:space="preserve">M     </v>
          </cell>
          <cell r="D4544" t="str">
            <v>CR</v>
          </cell>
          <cell r="E4544" t="str">
            <v>162,42</v>
          </cell>
        </row>
        <row r="4545">
          <cell r="A4545">
            <v>7762</v>
          </cell>
          <cell r="B4545" t="str">
            <v xml:space="preserve">TUBO DE CONCRETO ARMADO PARA AGUAS PLUVIAIS, CLASSE PA-2, COM ENCAIXE PONTA E BOLSA, DIAMETRO NOMINAL DE 600 MM                                                                                                                                                                                                                                                                                                                                                                                           </v>
          </cell>
          <cell r="C4545" t="str">
            <v xml:space="preserve">M     </v>
          </cell>
          <cell r="D4545" t="str">
            <v>CR</v>
          </cell>
          <cell r="E4545" t="str">
            <v>212,28</v>
          </cell>
        </row>
        <row r="4546">
          <cell r="A4546">
            <v>7722</v>
          </cell>
          <cell r="B4546" t="str">
            <v xml:space="preserve">TUBO DE CONCRETO ARMADO PARA AGUAS PLUVIAIS, CLASSE PA-2, COM ENCAIXE PONTA E BOLSA, DIAMETRO NOMINAL DE 700 MM                                                                                                                                                                                                                                                                                                                                                                                           </v>
          </cell>
          <cell r="C4546" t="str">
            <v xml:space="preserve">M     </v>
          </cell>
          <cell r="D4546" t="str">
            <v>CR</v>
          </cell>
          <cell r="E4546" t="str">
            <v>324,85</v>
          </cell>
        </row>
        <row r="4547">
          <cell r="A4547">
            <v>7763</v>
          </cell>
          <cell r="B4547" t="str">
            <v xml:space="preserve">TUBO DE CONCRETO ARMADO PARA AGUAS PLUVIAIS, CLASSE PA-2, COM ENCAIXE PONTA E BOLSA, DIAMETRO NOMINAL DE 800 MM                                                                                                                                                                                                                                                                                                                                                                                           </v>
          </cell>
          <cell r="C4547" t="str">
            <v xml:space="preserve">M     </v>
          </cell>
          <cell r="D4547" t="str">
            <v>CR</v>
          </cell>
          <cell r="E4547" t="str">
            <v>395,78</v>
          </cell>
        </row>
        <row r="4548">
          <cell r="A4548">
            <v>7764</v>
          </cell>
          <cell r="B4548" t="str">
            <v xml:space="preserve">TUBO DE CONCRETO ARMADO PARA AGUAS PLUVIAIS, CLASSE PA-2, COM ENCAIXE PONTA E BOLSA, DIAMETRO NOMINAL DE 900 MM                                                                                                                                                                                                                                                                                                                                                                                           </v>
          </cell>
          <cell r="C4548" t="str">
            <v xml:space="preserve">M     </v>
          </cell>
          <cell r="D4548" t="str">
            <v>CR</v>
          </cell>
          <cell r="E4548" t="str">
            <v>472,89</v>
          </cell>
        </row>
        <row r="4549">
          <cell r="A4549">
            <v>12572</v>
          </cell>
          <cell r="B4549" t="str">
            <v xml:space="preserve">TUBO DE CONCRETO ARMADO PARA AGUAS PLUVIAIS, CLASSE PA-3, COM ENCAIXE PONTA E BOLSA, DIAMETRO NOMINAL DE 1000 MM                                                                                                                                                                                                                                                                                                                                                                                          </v>
          </cell>
          <cell r="C4549" t="str">
            <v xml:space="preserve">M     </v>
          </cell>
          <cell r="D4549" t="str">
            <v>CR</v>
          </cell>
          <cell r="E4549" t="str">
            <v>668,21</v>
          </cell>
        </row>
        <row r="4550">
          <cell r="A4550">
            <v>12573</v>
          </cell>
          <cell r="B4550" t="str">
            <v xml:space="preserve">TUBO DE CONCRETO ARMADO PARA AGUAS PLUVIAIS, CLASSE PA-3, COM ENCAIXE PONTA E BOLSA, DIAMETRO NOMINAL DE 1100 MM                                                                                                                                                                                                                                                                                                                                                                                          </v>
          </cell>
          <cell r="C4550" t="str">
            <v xml:space="preserve">M     </v>
          </cell>
          <cell r="D4550" t="str">
            <v>CR</v>
          </cell>
          <cell r="E4550" t="str">
            <v>878,96</v>
          </cell>
        </row>
        <row r="4551">
          <cell r="A4551">
            <v>12574</v>
          </cell>
          <cell r="B4551" t="str">
            <v xml:space="preserve">TUBO DE CONCRETO ARMADO PARA AGUAS PLUVIAIS, CLASSE PA-3, COM ENCAIXE PONTA E BOLSA, DIAMETRO NOMINAL DE 1200 MM                                                                                                                                                                                                                                                                                                                                                                                          </v>
          </cell>
          <cell r="C4551" t="str">
            <v xml:space="preserve">M     </v>
          </cell>
          <cell r="D4551" t="str">
            <v>CR</v>
          </cell>
          <cell r="E4551" t="str">
            <v>1.062,77</v>
          </cell>
        </row>
        <row r="4552">
          <cell r="A4552">
            <v>12575</v>
          </cell>
          <cell r="B4552" t="str">
            <v xml:space="preserve">TUBO DE CONCRETO ARMADO PARA AGUAS PLUVIAIS, CLASSE PA-3, COM ENCAIXE PONTA E BOLSA, DIAMETRO NOMINAL DE 1500 MM                                                                                                                                                                                                                                                                                                                                                                                          </v>
          </cell>
          <cell r="C4552" t="str">
            <v xml:space="preserve">M     </v>
          </cell>
          <cell r="D4552" t="str">
            <v>CR</v>
          </cell>
          <cell r="E4552" t="str">
            <v>1.613,99</v>
          </cell>
        </row>
        <row r="4553">
          <cell r="A4553">
            <v>12576</v>
          </cell>
          <cell r="B4553" t="str">
            <v xml:space="preserve">TUBO DE CONCRETO ARMADO PARA AGUAS PLUVIAIS, CLASSE PA-3, COM ENCAIXE PONTA E BOLSA, DIAMETRO NOMINAL DE 400 MM                                                                                                                                                                                                                                                                                                                                                                                           </v>
          </cell>
          <cell r="C4553" t="str">
            <v xml:space="preserve">M     </v>
          </cell>
          <cell r="D4553" t="str">
            <v>CR</v>
          </cell>
          <cell r="E4553" t="str">
            <v>195,32</v>
          </cell>
        </row>
        <row r="4554">
          <cell r="A4554">
            <v>12577</v>
          </cell>
          <cell r="B4554" t="str">
            <v xml:space="preserve">TUBO DE CONCRETO ARMADO PARA AGUAS PLUVIAIS, CLASSE PA-3, COM ENCAIXE PONTA E BOLSA, DIAMETRO NOMINAL DE 500 MM                                                                                                                                                                                                                                                                                                                                                                                           </v>
          </cell>
          <cell r="C4554" t="str">
            <v xml:space="preserve">M     </v>
          </cell>
          <cell r="D4554" t="str">
            <v>CR</v>
          </cell>
          <cell r="E4554" t="str">
            <v>263,17</v>
          </cell>
        </row>
        <row r="4555">
          <cell r="A4555">
            <v>12578</v>
          </cell>
          <cell r="B4555" t="str">
            <v xml:space="preserve">TUBO DE CONCRETO ARMADO PARA AGUAS PLUVIAIS, CLASSE PA-3, COM ENCAIXE PONTA E BOLSA, DIAMETRO NOMINAL DE 600 MM                                                                                                                                                                                                                                                                                                                                                                                           </v>
          </cell>
          <cell r="C4555" t="str">
            <v xml:space="preserve">M     </v>
          </cell>
          <cell r="D4555" t="str">
            <v>CR</v>
          </cell>
          <cell r="E4555" t="str">
            <v>318,68</v>
          </cell>
        </row>
        <row r="4556">
          <cell r="A4556">
            <v>12579</v>
          </cell>
          <cell r="B4556" t="str">
            <v xml:space="preserve">TUBO DE CONCRETO ARMADO PARA AGUAS PLUVIAIS, CLASSE PA-3, COM ENCAIXE PONTA E BOLSA, DIAMETRO NOMINAL DE 700 MM                                                                                                                                                                                                                                                                                                                                                                                           </v>
          </cell>
          <cell r="C4556" t="str">
            <v xml:space="preserve">M     </v>
          </cell>
          <cell r="D4556" t="str">
            <v>CR</v>
          </cell>
          <cell r="E4556" t="str">
            <v>548,96</v>
          </cell>
        </row>
        <row r="4557">
          <cell r="A4557">
            <v>12580</v>
          </cell>
          <cell r="B4557" t="str">
            <v xml:space="preserve">TUBO DE CONCRETO ARMADO PARA AGUAS PLUVIAIS, CLASSE PA-3, COM ENCAIXE PONTA E BOLSA, DIAMETRO NOMINAL DE 800 MM                                                                                                                                                                                                                                                                                                                                                                                           </v>
          </cell>
          <cell r="C4557" t="str">
            <v xml:space="preserve">M     </v>
          </cell>
          <cell r="D4557" t="str">
            <v>CR</v>
          </cell>
          <cell r="E4557" t="str">
            <v>571,99</v>
          </cell>
        </row>
        <row r="4558">
          <cell r="A4558">
            <v>12581</v>
          </cell>
          <cell r="B4558" t="str">
            <v xml:space="preserve">TUBO DE CONCRETO ARMADO PARA AGUAS PLUVIAIS, CLASSE PA-3, COM ENCAIXE PONTA E BOLSA, DIAMETRO NOMINAL DE 900 MM                                                                                                                                                                                                                                                                                                                                                                                           </v>
          </cell>
          <cell r="C4558" t="str">
            <v xml:space="preserve">M     </v>
          </cell>
          <cell r="D4558" t="str">
            <v>CR</v>
          </cell>
          <cell r="E4558" t="str">
            <v>612,70</v>
          </cell>
        </row>
        <row r="4559">
          <cell r="A4559">
            <v>7720</v>
          </cell>
          <cell r="B4559" t="str">
            <v xml:space="preserve">TUBO DE CONCRETO ARMADO PARA ESGOTO SANITARIO, CLASSE EA-2, COM ENCAIXE PONTA E BOLSA, COM JUNTA ELASTICA, DIAMETRO NOMINAL DE 1000 MM                                                                                                                                                                                                                                                                                                                                                                    </v>
          </cell>
          <cell r="C4559" t="str">
            <v xml:space="preserve">M     </v>
          </cell>
          <cell r="D4559" t="str">
            <v>CR</v>
          </cell>
          <cell r="E4559" t="str">
            <v>958,11</v>
          </cell>
        </row>
        <row r="4560">
          <cell r="A4560">
            <v>40335</v>
          </cell>
          <cell r="B4560" t="str">
            <v xml:space="preserve">TUBO DE CONCRETO ARMADO PARA ESGOTO SANITARIO, CLASSE EA-2, COM ENCAIXE PONTA E BOLSA, COM JUNTA ELASTICA, DIAMETRO NOMINAL DE 300 MM                                                                                                                                                                                                                                                                                                                                                                     </v>
          </cell>
          <cell r="C4560" t="str">
            <v xml:space="preserve">M     </v>
          </cell>
          <cell r="D4560" t="str">
            <v>CR</v>
          </cell>
          <cell r="E4560" t="str">
            <v>200,46</v>
          </cell>
        </row>
        <row r="4561">
          <cell r="A4561">
            <v>7740</v>
          </cell>
          <cell r="B4561" t="str">
            <v xml:space="preserve">TUBO DE CONCRETO ARMADO PARA ESGOTO SANITARIO, CLASSE EA-2, COM ENCAIXE PONTA E BOLSA, COM JUNTA ELASTICA, DIAMETRO NOMINAL DE 400 MM                                                                                                                                                                                                                                                                                                                                                                     </v>
          </cell>
          <cell r="C4561" t="str">
            <v xml:space="preserve">M     </v>
          </cell>
          <cell r="D4561" t="str">
            <v>CR</v>
          </cell>
          <cell r="E4561" t="str">
            <v>205,60</v>
          </cell>
        </row>
        <row r="4562">
          <cell r="A4562">
            <v>7741</v>
          </cell>
          <cell r="B4562" t="str">
            <v xml:space="preserve">TUBO DE CONCRETO ARMADO PARA ESGOTO SANITARIO, CLASSE EA-2, COM ENCAIXE PONTA E BOLSA, COM JUNTA ELASTICA, DIAMETRO NOMINAL DE 500 MM                                                                                                                                                                                                                                                                                                                                                                     </v>
          </cell>
          <cell r="C4562" t="str">
            <v xml:space="preserve">M     </v>
          </cell>
          <cell r="D4562" t="str">
            <v>CR</v>
          </cell>
          <cell r="E4562" t="str">
            <v>380,36</v>
          </cell>
        </row>
        <row r="4563">
          <cell r="A4563">
            <v>7774</v>
          </cell>
          <cell r="B4563" t="str">
            <v xml:space="preserve">TUBO DE CONCRETO ARMADO PARA ESGOTO SANITARIO, CLASSE EA-2, COM ENCAIXE PONTA E BOLSA, COM JUNTA ELASTICA, DIAMETRO NOMINAL DE 600 MM                                                                                                                                                                                                                                                                                                                                                                     </v>
          </cell>
          <cell r="C4563" t="str">
            <v xml:space="preserve">M     </v>
          </cell>
          <cell r="D4563" t="str">
            <v>CR</v>
          </cell>
          <cell r="E4563" t="str">
            <v>466,72</v>
          </cell>
        </row>
        <row r="4564">
          <cell r="A4564">
            <v>7744</v>
          </cell>
          <cell r="B4564" t="str">
            <v xml:space="preserve">TUBO DE CONCRETO ARMADO PARA ESGOTO SANITARIO, CLASSE EA-2, COM ENCAIXE PONTA E BOLSA, COM JUNTA ELASTICA, DIAMETRO NOMINAL DE 700 MM                                                                                                                                                                                                                                                                                                                                                                     </v>
          </cell>
          <cell r="C4564" t="str">
            <v xml:space="preserve">M     </v>
          </cell>
          <cell r="D4564" t="str">
            <v>CR</v>
          </cell>
          <cell r="E4564" t="str">
            <v>609,61</v>
          </cell>
        </row>
        <row r="4565">
          <cell r="A4565">
            <v>7773</v>
          </cell>
          <cell r="B4565" t="str">
            <v xml:space="preserve">TUBO DE CONCRETO ARMADO PARA ESGOTO SANITARIO, CLASSE EA-2, COM ENCAIXE PONTA E BOLSA, COM JUNTA ELASTICA, DIAMETRO NOMINAL DE 800 MM                                                                                                                                                                                                                                                                                                                                                                     </v>
          </cell>
          <cell r="C4565" t="str">
            <v xml:space="preserve">M     </v>
          </cell>
          <cell r="D4565" t="str">
            <v>CR</v>
          </cell>
          <cell r="E4565" t="str">
            <v>623,08</v>
          </cell>
        </row>
        <row r="4566">
          <cell r="A4566">
            <v>7754</v>
          </cell>
          <cell r="B4566" t="str">
            <v xml:space="preserve">TUBO DE CONCRETO ARMADO PARA ESGOTO SANITARIO, CLASSE EA-2, COM ENCAIXE PONTA E BOLSA, COM JUNTA ELASTICA, DIAMETRO NOMINAL DE 900 MM                                                                                                                                                                                                                                                                                                                                                                     </v>
          </cell>
          <cell r="C4566" t="str">
            <v xml:space="preserve">M     </v>
          </cell>
          <cell r="D4566" t="str">
            <v>CR</v>
          </cell>
          <cell r="E4566" t="str">
            <v>944,75</v>
          </cell>
        </row>
        <row r="4567">
          <cell r="A4567">
            <v>7735</v>
          </cell>
          <cell r="B4567" t="str">
            <v xml:space="preserve">TUBO DE CONCRETO ARMADO PARA ESGOTO SANITARIO, CLASSE EA-3, COM ENCAIXE PONTA E BOLSA, COM JUNTA ELASTICA, DIAMETRO NOMINAL DE 1000 MM                                                                                                                                                                                                                                                                                                                                                                    </v>
          </cell>
          <cell r="C4567" t="str">
            <v xml:space="preserve">M     </v>
          </cell>
          <cell r="D4567" t="str">
            <v>CR</v>
          </cell>
          <cell r="E4567" t="str">
            <v>1.223,35</v>
          </cell>
        </row>
        <row r="4568">
          <cell r="A4568">
            <v>7755</v>
          </cell>
          <cell r="B4568" t="str">
            <v xml:space="preserve">TUBO DE CONCRETO ARMADO PARA ESGOTO SANITARIO, CLASSE EA-3, COM ENCAIXE PONTA E BOLSA, COM JUNTA ELASTICA, DIAMETRO NOMINAL DE 400 MM                                                                                                                                                                                                                                                                                                                                                                     </v>
          </cell>
          <cell r="C4568" t="str">
            <v xml:space="preserve">M     </v>
          </cell>
          <cell r="D4568" t="str">
            <v>CR</v>
          </cell>
          <cell r="E4568" t="str">
            <v>242,61</v>
          </cell>
        </row>
        <row r="4569">
          <cell r="A4569">
            <v>7776</v>
          </cell>
          <cell r="B4569" t="str">
            <v xml:space="preserve">TUBO DE CONCRETO ARMADO PARA ESGOTO SANITARIO, CLASSE EA-3, COM ENCAIXE PONTA E BOLSA, COM JUNTA ELASTICA, DIAMETRO NOMINAL DE 500 MM                                                                                                                                                                                                                                                                                                                                                                     </v>
          </cell>
          <cell r="C4569" t="str">
            <v xml:space="preserve">M     </v>
          </cell>
          <cell r="D4569" t="str">
            <v>CR</v>
          </cell>
          <cell r="E4569" t="str">
            <v>505,78</v>
          </cell>
        </row>
        <row r="4570">
          <cell r="A4570">
            <v>7743</v>
          </cell>
          <cell r="B4570" t="str">
            <v xml:space="preserve">TUBO DE CONCRETO ARMADO PARA ESGOTO SANITARIO, CLASSE EA-3, COM ENCAIXE PONTA E BOLSA, COM JUNTA ELASTICA, DIAMETRO NOMINAL DE 600 MM                                                                                                                                                                                                                                                                                                                                                                     </v>
          </cell>
          <cell r="C4570" t="str">
            <v xml:space="preserve">M     </v>
          </cell>
          <cell r="D4570" t="str">
            <v>CR</v>
          </cell>
          <cell r="E4570" t="str">
            <v>535,60</v>
          </cell>
        </row>
        <row r="4571">
          <cell r="A4571">
            <v>7733</v>
          </cell>
          <cell r="B4571" t="str">
            <v xml:space="preserve">TUBO DE CONCRETO ARMADO PARA ESGOTO SANITARIO, CLASSE EA-3, COM ENCAIXE PONTA E BOLSA, COM JUNTA ELASTICA, DIAMETRO NOMINAL DE 700 MM                                                                                                                                                                                                                                                                                                                                                                     </v>
          </cell>
          <cell r="C4571" t="str">
            <v xml:space="preserve">M     </v>
          </cell>
          <cell r="D4571" t="str">
            <v>CR</v>
          </cell>
          <cell r="E4571" t="str">
            <v>699,05</v>
          </cell>
        </row>
        <row r="4572">
          <cell r="A4572">
            <v>7775</v>
          </cell>
          <cell r="B4572" t="str">
            <v xml:space="preserve">TUBO DE CONCRETO ARMADO PARA ESGOTO SANITARIO, CLASSE EA-3, COM ENCAIXE PONTA E BOLSA, COM JUNTA ELASTICA, DIAMETRO NOMINAL DE 800 MM                                                                                                                                                                                                                                                                                                                                                                     </v>
          </cell>
          <cell r="C4572" t="str">
            <v xml:space="preserve">M     </v>
          </cell>
          <cell r="D4572" t="str">
            <v>CR</v>
          </cell>
          <cell r="E4572" t="str">
            <v>765,87</v>
          </cell>
        </row>
        <row r="4573">
          <cell r="A4573">
            <v>7734</v>
          </cell>
          <cell r="B4573" t="str">
            <v xml:space="preserve">TUBO DE CONCRETO ARMADO PARA ESGOTO SANITARIO, CLASSE EA-3, COM ENCAIXE PONTA E BOLSA, COM JUNTA ELASTICA, DIAMETRO NOMINAL DE 900 MM                                                                                                                                                                                                                                                                                                                                                                     </v>
          </cell>
          <cell r="C4573" t="str">
            <v xml:space="preserve">M     </v>
          </cell>
          <cell r="D4573" t="str">
            <v>CR</v>
          </cell>
          <cell r="E4573" t="str">
            <v>1.084,56</v>
          </cell>
        </row>
        <row r="4574">
          <cell r="A4574">
            <v>37449</v>
          </cell>
          <cell r="B4574" t="str">
            <v xml:space="preserve">TUBO DE CONCRETO SIMPLES PARA AGUAS PLUVIAIS, CLASSE PS1, COM ENCAIXE MACHO E FEMEA, DIAMETRO NOMINAL DE 200 MM                                                                                                                                                                                                                                                                                                                                                                                           </v>
          </cell>
          <cell r="C4574" t="str">
            <v xml:space="preserve">M     </v>
          </cell>
          <cell r="D4574" t="str">
            <v>CR</v>
          </cell>
          <cell r="E4574" t="str">
            <v>36,86</v>
          </cell>
        </row>
        <row r="4575">
          <cell r="A4575">
            <v>37450</v>
          </cell>
          <cell r="B4575" t="str">
            <v xml:space="preserve">TUBO DE CONCRETO SIMPLES PARA AGUAS PLUVIAIS, CLASSE PS1, COM ENCAIXE MACHO E FEMEA, DIAMETRO NOMINAL DE 300 MM                                                                                                                                                                                                                                                                                                                                                                                           </v>
          </cell>
          <cell r="C4575" t="str">
            <v xml:space="preserve">M     </v>
          </cell>
          <cell r="D4575" t="str">
            <v>CR</v>
          </cell>
          <cell r="E4575" t="str">
            <v>51,61</v>
          </cell>
        </row>
        <row r="4576">
          <cell r="A4576">
            <v>37451</v>
          </cell>
          <cell r="B4576" t="str">
            <v xml:space="preserve">TUBO DE CONCRETO SIMPLES PARA AGUAS PLUVIAIS, CLASSE PS1, COM ENCAIXE MACHO E FEMEA, DIAMETRO NOMINAL DE 400 MM                                                                                                                                                                                                                                                                                                                                                                                           </v>
          </cell>
          <cell r="C4576" t="str">
            <v xml:space="preserve">M     </v>
          </cell>
          <cell r="D4576" t="str">
            <v>CR</v>
          </cell>
          <cell r="E4576" t="str">
            <v>72,05</v>
          </cell>
        </row>
        <row r="4577">
          <cell r="A4577">
            <v>37452</v>
          </cell>
          <cell r="B4577" t="str">
            <v xml:space="preserve">TUBO DE CONCRETO SIMPLES PARA AGUAS PLUVIAIS, CLASSE PS1, COM ENCAIXE MACHO E FEMEA, DIAMETRO NOMINAL DE 500 MM                                                                                                                                                                                                                                                                                                                                                                                           </v>
          </cell>
          <cell r="C4577" t="str">
            <v xml:space="preserve">M     </v>
          </cell>
          <cell r="D4577" t="str">
            <v>CR</v>
          </cell>
          <cell r="E4577" t="str">
            <v>104,72</v>
          </cell>
        </row>
        <row r="4578">
          <cell r="A4578">
            <v>37453</v>
          </cell>
          <cell r="B4578" t="str">
            <v xml:space="preserve">TUBO DE CONCRETO SIMPLES PARA AGUAS PLUVIAIS, CLASSE PS1, COM ENCAIXE MACHO E FEMEA, DIAMETRO NOMINAL DE 600 MM                                                                                                                                                                                                                                                                                                                                                                                           </v>
          </cell>
          <cell r="C4578" t="str">
            <v xml:space="preserve">M     </v>
          </cell>
          <cell r="D4578" t="str">
            <v>CR</v>
          </cell>
          <cell r="E4578" t="str">
            <v>120,60</v>
          </cell>
        </row>
        <row r="4579">
          <cell r="A4579">
            <v>7778</v>
          </cell>
          <cell r="B4579" t="str">
            <v xml:space="preserve">TUBO DE CONCRETO SIMPLES PARA AGUAS PLUVIAIS, CLASSE PS1, COM ENCAIXE PONTA E BOLSA, DIAMETRO NOMINAL DE 200 MM                                                                                                                                                                                                                                                                                                                                                                                           </v>
          </cell>
          <cell r="C4579" t="str">
            <v xml:space="preserve">M     </v>
          </cell>
          <cell r="D4579" t="str">
            <v>CR</v>
          </cell>
          <cell r="E4579" t="str">
            <v>45,24</v>
          </cell>
        </row>
        <row r="4580">
          <cell r="A4580">
            <v>7796</v>
          </cell>
          <cell r="B4580" t="str">
            <v xml:space="preserve">TUBO DE CONCRETO SIMPLES PARA AGUAS PLUVIAIS, CLASSE PS1, COM ENCAIXE PONTA E BOLSA, DIAMETRO NOMINAL DE 300 MM                                                                                                                                                                                                                                                                                                                                                                                           </v>
          </cell>
          <cell r="C4580" t="str">
            <v xml:space="preserve">M     </v>
          </cell>
          <cell r="D4580" t="str">
            <v xml:space="preserve">C </v>
          </cell>
          <cell r="E4580" t="str">
            <v>62,00</v>
          </cell>
        </row>
        <row r="4581">
          <cell r="A4581">
            <v>7781</v>
          </cell>
          <cell r="B4581" t="str">
            <v xml:space="preserve">TUBO DE CONCRETO SIMPLES PARA AGUAS PLUVIAIS, CLASSE PS1, COM ENCAIXE PONTA E BOLSA, DIAMETRO NOMINAL DE 400 MM                                                                                                                                                                                                                                                                                                                                                                                           </v>
          </cell>
          <cell r="C4581" t="str">
            <v xml:space="preserve">M     </v>
          </cell>
          <cell r="D4581" t="str">
            <v>CR</v>
          </cell>
          <cell r="E4581" t="str">
            <v>73,26</v>
          </cell>
        </row>
        <row r="4582">
          <cell r="A4582">
            <v>7795</v>
          </cell>
          <cell r="B4582" t="str">
            <v xml:space="preserve">TUBO DE CONCRETO SIMPLES PARA AGUAS PLUVIAIS, CLASSE PS1, COM ENCAIXE PONTA E BOLSA, DIAMETRO NOMINAL DE 500 MM                                                                                                                                                                                                                                                                                                                                                                                           </v>
          </cell>
          <cell r="C4582" t="str">
            <v xml:space="preserve">M     </v>
          </cell>
          <cell r="D4582" t="str">
            <v>CR</v>
          </cell>
          <cell r="E4582" t="str">
            <v>109,04</v>
          </cell>
        </row>
        <row r="4583">
          <cell r="A4583">
            <v>7791</v>
          </cell>
          <cell r="B4583" t="str">
            <v xml:space="preserve">TUBO DE CONCRETO SIMPLES PARA AGUAS PLUVIAIS, CLASSE PS1, COM ENCAIXE PONTA E BOLSA, DIAMETRO NOMINAL DE 600 MM                                                                                                                                                                                                                                                                                                                                                                                           </v>
          </cell>
          <cell r="C4583" t="str">
            <v xml:space="preserve">M     </v>
          </cell>
          <cell r="D4583" t="str">
            <v>CR</v>
          </cell>
          <cell r="E4583" t="str">
            <v>130,53</v>
          </cell>
        </row>
        <row r="4584">
          <cell r="A4584">
            <v>7783</v>
          </cell>
          <cell r="B4584" t="str">
            <v xml:space="preserve">TUBO DE CONCRETO SIMPLES PARA AGUAS PLUVIAIS, CLASSE PS2, COM ENCAIXE PONTA E BOLSA, DIAMETRO NOMINAL DE 200 MM                                                                                                                                                                                                                                                                                                                                                                                           </v>
          </cell>
          <cell r="C4584" t="str">
            <v xml:space="preserve">M     </v>
          </cell>
          <cell r="D4584" t="str">
            <v>CR</v>
          </cell>
          <cell r="E4584" t="str">
            <v>46,25</v>
          </cell>
        </row>
        <row r="4585">
          <cell r="A4585">
            <v>7790</v>
          </cell>
          <cell r="B4585" t="str">
            <v xml:space="preserve">TUBO DE CONCRETO SIMPLES PARA AGUAS PLUVIAIS, CLASSE PS2, COM ENCAIXE PONTA E BOLSA, DIAMETRO NOMINAL DE 300 MM                                                                                                                                                                                                                                                                                                                                                                                           </v>
          </cell>
          <cell r="C4585" t="str">
            <v xml:space="preserve">M     </v>
          </cell>
          <cell r="D4585" t="str">
            <v>CR</v>
          </cell>
          <cell r="E4585" t="str">
            <v>72,89</v>
          </cell>
        </row>
        <row r="4586">
          <cell r="A4586">
            <v>7785</v>
          </cell>
          <cell r="B4586" t="str">
            <v xml:space="preserve">TUBO DE CONCRETO SIMPLES PARA AGUAS PLUVIAIS, CLASSE PS2, COM ENCAIXE PONTA E BOLSA, DIAMETRO NOMINAL DE 400 MM                                                                                                                                                                                                                                                                                                                                                                                           </v>
          </cell>
          <cell r="C4586" t="str">
            <v xml:space="preserve">M     </v>
          </cell>
          <cell r="D4586" t="str">
            <v>CR</v>
          </cell>
          <cell r="E4586" t="str">
            <v>80,43</v>
          </cell>
        </row>
        <row r="4587">
          <cell r="A4587">
            <v>7792</v>
          </cell>
          <cell r="B4587" t="str">
            <v xml:space="preserve">TUBO DE CONCRETO SIMPLES PARA AGUAS PLUVIAIS, CLASSE PS2, COM ENCAIXE PONTA E BOLSA, DIAMETRO NOMINAL DE 500 MM                                                                                                                                                                                                                                                                                                                                                                                           </v>
          </cell>
          <cell r="C4587" t="str">
            <v xml:space="preserve">M     </v>
          </cell>
          <cell r="D4587" t="str">
            <v>CR</v>
          </cell>
          <cell r="E4587" t="str">
            <v>114,07</v>
          </cell>
        </row>
        <row r="4588">
          <cell r="A4588">
            <v>7793</v>
          </cell>
          <cell r="B4588" t="str">
            <v xml:space="preserve">TUBO DE CONCRETO SIMPLES PARA AGUAS PLUVIAIS, CLASSE PS2, COM ENCAIXE PONTA E BOLSA, DIAMETRO NOMINAL DE 600 MM                                                                                                                                                                                                                                                                                                                                                                                           </v>
          </cell>
          <cell r="C4588" t="str">
            <v xml:space="preserve">M     </v>
          </cell>
          <cell r="D4588" t="str">
            <v>CR</v>
          </cell>
          <cell r="E4588" t="str">
            <v>134,72</v>
          </cell>
        </row>
        <row r="4589">
          <cell r="A4589">
            <v>13159</v>
          </cell>
          <cell r="B4589" t="str">
            <v xml:space="preserve">TUBO DE CONCRETO SIMPLES PARA ESGOTO SANITARIO, CLASSE ES, COM ENCAIXE PONTA E BOLSA, COM JUNTA ELASTICA, DIAMETRO NOMINAL DE 400 MM                                                                                                                                                                                                                                                                                                                                                                      </v>
          </cell>
          <cell r="C4589" t="str">
            <v xml:space="preserve">M     </v>
          </cell>
          <cell r="D4589" t="str">
            <v>CR</v>
          </cell>
          <cell r="E4589" t="str">
            <v>117,29</v>
          </cell>
        </row>
        <row r="4590">
          <cell r="A4590">
            <v>13168</v>
          </cell>
          <cell r="B4590" t="str">
            <v xml:space="preserve">TUBO DE CONCRETO SIMPLES PARA ESGOTO SANITARIO, CLASSE ES, COM ENCAIXE PONTA E BOLSA, COM JUNTA ELASTICA, DIAMETRO NOMINAL DE 500 MM                                                                                                                                                                                                                                                                                                                                                                      </v>
          </cell>
          <cell r="C4590" t="str">
            <v xml:space="preserve">M     </v>
          </cell>
          <cell r="D4590" t="str">
            <v>CR</v>
          </cell>
          <cell r="E4590" t="str">
            <v>142,43</v>
          </cell>
        </row>
        <row r="4591">
          <cell r="A4591">
            <v>13173</v>
          </cell>
          <cell r="B4591" t="str">
            <v xml:space="preserve">TUBO DE CONCRETO SIMPLES PARA ESGOTO SANITARIO, CLASSE ES, COM ENCAIXE PONTA E BOLSA, COM JUNTA ELASTICA, DIAMETRO NOMINAL DE 600 MM                                                                                                                                                                                                                                                                                                                                                                      </v>
          </cell>
          <cell r="C4591" t="str">
            <v xml:space="preserve">M     </v>
          </cell>
          <cell r="D4591" t="str">
            <v>CR</v>
          </cell>
          <cell r="E4591" t="str">
            <v>192,70</v>
          </cell>
        </row>
        <row r="4592">
          <cell r="A4592">
            <v>12583</v>
          </cell>
          <cell r="B4592" t="str">
            <v xml:space="preserve">TUBO DE CONCRETO SIMPLES POROSO PARA DRENAGEM (DRENO POROSO), COM ENCAIXE MACHO E FEMEA, DIAMETRO NOMINAL DE 200 MM                                                                                                                                                                                                                                                                                                                                                                                       </v>
          </cell>
          <cell r="C4592" t="str">
            <v xml:space="preserve">M     </v>
          </cell>
          <cell r="D4592" t="str">
            <v>CR</v>
          </cell>
          <cell r="E4592" t="str">
            <v>38,54</v>
          </cell>
        </row>
        <row r="4593">
          <cell r="A4593">
            <v>12584</v>
          </cell>
          <cell r="B4593" t="str">
            <v xml:space="preserve">TUBO DE CONCRETO SIMPLES POROSO PARA DRENAGEM (DRENO POROSO), COM ENCAIXE MACHO E FEMEA, DIAMETRO NOMINAL DE 300 MM                                                                                                                                                                                                                                                                                                                                                                                       </v>
          </cell>
          <cell r="C4593" t="str">
            <v xml:space="preserve">M     </v>
          </cell>
          <cell r="D4593" t="str">
            <v>CR</v>
          </cell>
          <cell r="E4593" t="str">
            <v>50,27</v>
          </cell>
        </row>
        <row r="4594">
          <cell r="A4594">
            <v>12613</v>
          </cell>
          <cell r="B4594" t="str">
            <v xml:space="preserve">TUBO DE DESCARGA, TIPO BENGALA, PARA LIGACAO CAIXA DE DESCARGA - EMBUTIR, PVC, 40 MM X 150 CM                                                                                                                                                                                                                                                                                                                                                                                                             </v>
          </cell>
          <cell r="C4594" t="str">
            <v xml:space="preserve">UN    </v>
          </cell>
          <cell r="D4594" t="str">
            <v>CR</v>
          </cell>
          <cell r="E4594" t="str">
            <v>21,56</v>
          </cell>
        </row>
        <row r="4595">
          <cell r="A4595">
            <v>1031</v>
          </cell>
          <cell r="B4595" t="str">
            <v xml:space="preserve">TUBO DE DESCIDA EXTERNO, DE PVC, PARA CAIXA DE DESCARGA EXTERNA ALTA - DIAMETRO DE 40 MM E ALTURA DE APROXIMADAMENTE 1,55 M                                                                                                                                                                                                                                                                                                                                                                               </v>
          </cell>
          <cell r="C4595" t="str">
            <v xml:space="preserve">UN    </v>
          </cell>
          <cell r="D4595" t="str">
            <v>CR</v>
          </cell>
          <cell r="E4595" t="str">
            <v>16,04</v>
          </cell>
        </row>
        <row r="4596">
          <cell r="A4596">
            <v>39707</v>
          </cell>
          <cell r="B4596" t="str">
            <v xml:space="preserve">TUBO DE ESPUMA DE POLIETILENO EXPANDIDO FLEXIVEL PARA ISOLAMENTO TERMICO DE TUBULACAO DE AR CONDICIONADO, AGUA QUENTE,  DN 1 1/2", E= 10 MM                                                                                                                                                                                                                                                                                                                                                               </v>
          </cell>
          <cell r="C4596" t="str">
            <v xml:space="preserve">M     </v>
          </cell>
          <cell r="D4596" t="str">
            <v>CR</v>
          </cell>
          <cell r="E4596" t="str">
            <v>4,11</v>
          </cell>
        </row>
        <row r="4597">
          <cell r="A4597">
            <v>39708</v>
          </cell>
          <cell r="B4597" t="str">
            <v xml:space="preserve">TUBO DE ESPUMA DE POLIETILENO EXPANDIDO FLEXIVEL PARA ISOLAMENTO TERMICO DE TUBULACAO DE AR CONDICIONADO, AGUA QUENTE,  DN 1 1/4", E= 10 MM                                                                                                                                                                                                                                                                                                                                                               </v>
          </cell>
          <cell r="C4597" t="str">
            <v xml:space="preserve">M     </v>
          </cell>
          <cell r="D4597" t="str">
            <v>CR</v>
          </cell>
          <cell r="E4597" t="str">
            <v>3,98</v>
          </cell>
        </row>
        <row r="4598">
          <cell r="A4598">
            <v>39710</v>
          </cell>
          <cell r="B4598" t="str">
            <v xml:space="preserve">TUBO DE ESPUMA DE POLIETILENO EXPANDIDO FLEXIVEL PARA ISOLAMENTO TERMICO DE TUBULACAO DE AR CONDICIONADO, AGUA QUENTE,  DN 1 1/8", E= 10 MM                                                                                                                                                                                                                                                                                                                                                               </v>
          </cell>
          <cell r="C4598" t="str">
            <v xml:space="preserve">M     </v>
          </cell>
          <cell r="D4598" t="str">
            <v>CR</v>
          </cell>
          <cell r="E4598" t="str">
            <v>2,80</v>
          </cell>
        </row>
        <row r="4599">
          <cell r="A4599">
            <v>39709</v>
          </cell>
          <cell r="B4599" t="str">
            <v xml:space="preserve">TUBO DE ESPUMA DE POLIETILENO EXPANDIDO FLEXIVEL PARA ISOLAMENTO TERMICO DE TUBULACAO DE AR CONDICIONADO, AGUA QUENTE,  DN 1 3/8", E= 10 MM                                                                                                                                                                                                                                                                                                                                                               </v>
          </cell>
          <cell r="C4599" t="str">
            <v xml:space="preserve">M     </v>
          </cell>
          <cell r="D4599" t="str">
            <v>CR</v>
          </cell>
          <cell r="E4599" t="str">
            <v>3,88</v>
          </cell>
        </row>
        <row r="4600">
          <cell r="A4600">
            <v>39711</v>
          </cell>
          <cell r="B4600" t="str">
            <v xml:space="preserve">TUBO DE ESPUMA DE POLIETILENO EXPANDIDO FLEXIVEL PARA ISOLAMENTO TERMICO DE TUBULACAO DE AR CONDICIONADO, AGUA QUENTE,  DN 1 5/8", E= 10 MM                                                                                                                                                                                                                                                                                                                                                               </v>
          </cell>
          <cell r="C4600" t="str">
            <v xml:space="preserve">M     </v>
          </cell>
          <cell r="D4600" t="str">
            <v>CR</v>
          </cell>
          <cell r="E4600" t="str">
            <v>4,36</v>
          </cell>
        </row>
        <row r="4601">
          <cell r="A4601">
            <v>39712</v>
          </cell>
          <cell r="B4601" t="str">
            <v xml:space="preserve">TUBO DE ESPUMA DE POLIETILENO EXPANDIDO FLEXIVEL PARA ISOLAMENTO TERMICO DE TUBULACAO DE AR CONDICIONADO, AGUA QUENTE,  DN 1/2", E= 10 MM                                                                                                                                                                                                                                                                                                                                                                 </v>
          </cell>
          <cell r="C4601" t="str">
            <v xml:space="preserve">M     </v>
          </cell>
          <cell r="D4601" t="str">
            <v xml:space="preserve">C </v>
          </cell>
          <cell r="E4601" t="str">
            <v>1,53</v>
          </cell>
        </row>
        <row r="4602">
          <cell r="A4602">
            <v>39713</v>
          </cell>
          <cell r="B4602" t="str">
            <v xml:space="preserve">TUBO DE ESPUMA DE POLIETILENO EXPANDIDO FLEXIVEL PARA ISOLAMENTO TERMICO DE TUBULACAO DE AR CONDICIONADO, AGUA QUENTE,  DN 1/4", E= 10 MM                                                                                                                                                                                                                                                                                                                                                                 </v>
          </cell>
          <cell r="C4602" t="str">
            <v xml:space="preserve">M     </v>
          </cell>
          <cell r="D4602" t="str">
            <v>CR</v>
          </cell>
          <cell r="E4602" t="str">
            <v>1,21</v>
          </cell>
        </row>
        <row r="4603">
          <cell r="A4603">
            <v>39714</v>
          </cell>
          <cell r="B4603" t="str">
            <v xml:space="preserve">TUBO DE ESPUMA DE POLIETILENO EXPANDIDO FLEXIVEL PARA ISOLAMENTO TERMICO DE TUBULACAO DE AR CONDICIONADO, AGUA QUENTE,  DN 1", E= 10 MM                                                                                                                                                                                                                                                                                                                                                                   </v>
          </cell>
          <cell r="C4603" t="str">
            <v xml:space="preserve">M     </v>
          </cell>
          <cell r="D4603" t="str">
            <v>CR</v>
          </cell>
          <cell r="E4603" t="str">
            <v>2,77</v>
          </cell>
        </row>
        <row r="4604">
          <cell r="A4604">
            <v>39715</v>
          </cell>
          <cell r="B4604" t="str">
            <v xml:space="preserve">TUBO DE ESPUMA DE POLIETILENO EXPANDIDO FLEXIVEL PARA ISOLAMENTO TERMICO DE TUBULACAO DE AR CONDICIONADO, AGUA QUENTE,  DN 3/4", E= 10 MM                                                                                                                                                                                                                                                                                                                                                                 </v>
          </cell>
          <cell r="C4604" t="str">
            <v xml:space="preserve">M     </v>
          </cell>
          <cell r="D4604" t="str">
            <v>CR</v>
          </cell>
          <cell r="E4604" t="str">
            <v>1,97</v>
          </cell>
        </row>
        <row r="4605">
          <cell r="A4605">
            <v>39716</v>
          </cell>
          <cell r="B4605" t="str">
            <v xml:space="preserve">TUBO DE ESPUMA DE POLIETILENO EXPANDIDO FLEXIVEL PARA ISOLAMENTO TERMICO DE TUBULACAO DE AR CONDICIONADO, AGUA QUENTE,  DN 3/8", E= 10 MM                                                                                                                                                                                                                                                                                                                                                                 </v>
          </cell>
          <cell r="C4605" t="str">
            <v xml:space="preserve">M     </v>
          </cell>
          <cell r="D4605" t="str">
            <v>CR</v>
          </cell>
          <cell r="E4605" t="str">
            <v>1,49</v>
          </cell>
        </row>
        <row r="4606">
          <cell r="A4606">
            <v>39718</v>
          </cell>
          <cell r="B4606" t="str">
            <v xml:space="preserve">TUBO DE ESPUMA DE POLIETILENO EXPANDIDO FLEXIVEL PARA ISOLAMENTO TERMICO DE TUBULACAO DE AR CONDICIONADO, AGUA QUENTE,  DN 7/8", E= 10 MM                                                                                                                                                                                                                                                                                                                                                                 </v>
          </cell>
          <cell r="C4606" t="str">
            <v xml:space="preserve">M     </v>
          </cell>
          <cell r="D4606" t="str">
            <v>CR</v>
          </cell>
          <cell r="E4606" t="str">
            <v>2,55</v>
          </cell>
        </row>
        <row r="4607">
          <cell r="A4607">
            <v>9813</v>
          </cell>
          <cell r="B4607" t="str">
            <v xml:space="preserve">TUBO DE POLIETILENO DE ALTA DENSIDADE (PEAD), PE-80, DE = 20 MM X 2,3 MM DE PAREDE, PARA LIGACAO DE AGUA PREDIAL (NBR 15561)                                                                                                                                                                                                                                                                                                                                                                              </v>
          </cell>
          <cell r="C4607" t="str">
            <v xml:space="preserve">M     </v>
          </cell>
          <cell r="D4607" t="str">
            <v xml:space="preserve">C </v>
          </cell>
          <cell r="E4607" t="str">
            <v>5,15</v>
          </cell>
        </row>
        <row r="4608">
          <cell r="A4608">
            <v>9815</v>
          </cell>
          <cell r="B4608" t="str">
            <v xml:space="preserve">TUBO DE POLIETILENO DE ALTA DENSIDADE (PEAD), PE-80, DE = 32 MM X 3,0 MM DE PAREDE, PARA LIGACAO DE AGUA PREDIAL (NBR 15561)                                                                                                                                                                                                                                                                                                                                                                              </v>
          </cell>
          <cell r="C4608" t="str">
            <v xml:space="preserve">M     </v>
          </cell>
          <cell r="D4608" t="str">
            <v>CR</v>
          </cell>
          <cell r="E4608" t="str">
            <v>10,17</v>
          </cell>
        </row>
        <row r="4609">
          <cell r="A4609">
            <v>44543</v>
          </cell>
          <cell r="B4609" t="str">
            <v xml:space="preserve">TUBO DE POLIETILENO DE ALTA DENSIDADE, PEAD, PE-80, DE = 1000 MM X 38,5 MM PAREDE, ( SDR 26 - PN 05 ) PARA REDE DE AGUA OU ESGOTO ( NBR 15561)                                                                                                                                                                                                                                                                                                                                                            </v>
          </cell>
          <cell r="C4609" t="str">
            <v xml:space="preserve">M     </v>
          </cell>
          <cell r="D4609" t="str">
            <v>CR</v>
          </cell>
          <cell r="E4609" t="str">
            <v>5.060,73</v>
          </cell>
        </row>
        <row r="4610">
          <cell r="A4610">
            <v>44526</v>
          </cell>
          <cell r="B4610" t="str">
            <v xml:space="preserve">TUBO DE POLIETILENO DE ALTA DENSIDADE, PEAD, PE-80, DE = 110 MM X 10,0 MM PAREDE, ( SDR 11 - PN 12,5 ) PARA REDE DE AGUA OU ESGOTO ( NBR 15561)                                                                                                                                                                                                                                                                                                                                                           </v>
          </cell>
          <cell r="C4610" t="str">
            <v xml:space="preserve">M     </v>
          </cell>
          <cell r="D4610" t="str">
            <v>CR</v>
          </cell>
          <cell r="E4610" t="str">
            <v>124,03</v>
          </cell>
        </row>
        <row r="4611">
          <cell r="A4611">
            <v>44545</v>
          </cell>
          <cell r="B4611" t="str">
            <v xml:space="preserve">TUBO DE POLIETILENO DE ALTA DENSIDADE, PEAD, PE-80, DE = 160 MM X 14,6 MM PAREDE, (SDR 11 - PN 12,5 ) PARA REDE DE AGUA OU ESGOTO ( NBR 15561)                                                                                                                                                                                                                                                                                                                                                            </v>
          </cell>
          <cell r="C4611" t="str">
            <v xml:space="preserve">M     </v>
          </cell>
          <cell r="D4611" t="str">
            <v>CR</v>
          </cell>
          <cell r="E4611" t="str">
            <v>266,23</v>
          </cell>
        </row>
        <row r="4612">
          <cell r="A4612">
            <v>44525</v>
          </cell>
          <cell r="B4612" t="str">
            <v xml:space="preserve">TUBO DE POLIETILENO DE ALTA DENSIDADE, PEAD, PE-80, DE = 900 MM X 34,7 MM PAREDE, ( SDR 26 - PN 05 ) PARA REDE DE AGUA OU ESGOTO ( NBR 15561)                                                                                                                                                                                                                                                                                                                                                             </v>
          </cell>
          <cell r="C4612" t="str">
            <v xml:space="preserve">M     </v>
          </cell>
          <cell r="D4612" t="str">
            <v>CR</v>
          </cell>
          <cell r="E4612" t="str">
            <v>4.590,05</v>
          </cell>
        </row>
        <row r="4613">
          <cell r="A4613">
            <v>44547</v>
          </cell>
          <cell r="B4613" t="str">
            <v xml:space="preserve">TUBO DE POLIETILENO DE ALTA DENSIDADE, PEAD, PE-80, DE= 200 MM X 18,2 MM PAREDE, ( SDR 11 - PN 12,5 ) PARA REDE DE AGUA OU ESGOTO ( NBR 15561)                                                                                                                                                                                                                                                                                                                                                            </v>
          </cell>
          <cell r="C4613" t="str">
            <v xml:space="preserve">M     </v>
          </cell>
          <cell r="D4613" t="str">
            <v>CR</v>
          </cell>
          <cell r="E4613" t="str">
            <v>415,03</v>
          </cell>
        </row>
        <row r="4614">
          <cell r="A4614">
            <v>44519</v>
          </cell>
          <cell r="B4614" t="str">
            <v xml:space="preserve">TUBO DE POLIETILENO DE ALTA DENSIDADE, PEAD, PE-80, DE= 315 MM X 28,7 MM PAREDE, ( SDR 11 - PN 12,5 ) PARA REDE DE AGUA OU ESGOTO ( NBR 15561)                                                                                                                                                                                                                                                                                                                                                            </v>
          </cell>
          <cell r="C4614" t="str">
            <v xml:space="preserve">M     </v>
          </cell>
          <cell r="D4614" t="str">
            <v>CR</v>
          </cell>
          <cell r="E4614" t="str">
            <v>1.016,92</v>
          </cell>
        </row>
        <row r="4615">
          <cell r="A4615">
            <v>44520</v>
          </cell>
          <cell r="B4615" t="str">
            <v xml:space="preserve">TUBO DE POLIETILENO DE ALTA DENSIDADE, PEAD, PE-80, DE= 400 MM X 36,4 MM PAREDE, ( SDR 11 - PN 12,5 ) PARA REDE DE AGUA OU ESGOTO ( NBR 15561)                                                                                                                                                                                                                                                                                                                                                            </v>
          </cell>
          <cell r="C4615" t="str">
            <v xml:space="preserve">M     </v>
          </cell>
          <cell r="D4615" t="str">
            <v>CR</v>
          </cell>
          <cell r="E4615" t="str">
            <v>1.637,90</v>
          </cell>
        </row>
        <row r="4616">
          <cell r="A4616">
            <v>44521</v>
          </cell>
          <cell r="B4616" t="str">
            <v xml:space="preserve">TUBO DE POLIETILENO DE ALTA DENSIDADE, PEAD, PE-80, DE= 50 MM X 4,6 MM PAREDE, (SDR 11 - PN 12,5) PARA REDE DE AGUA OU ESGOTO ( NBR 15561)                                                                                                                                                                                                                                                                                                                                                                </v>
          </cell>
          <cell r="C4616" t="str">
            <v xml:space="preserve">M     </v>
          </cell>
          <cell r="D4616" t="str">
            <v>CR</v>
          </cell>
          <cell r="E4616" t="str">
            <v>26,42</v>
          </cell>
        </row>
        <row r="4617">
          <cell r="A4617">
            <v>44522</v>
          </cell>
          <cell r="B4617" t="str">
            <v xml:space="preserve">TUBO DE POLIETILENO DE ALTA DENSIDADE, PEAD, PE-80, DE= 500 MM X 45,5 MM PAREDE, ( SDR 11 - PN 12,5 ) PARA REDE DE AGUA OU ESGOTO ( NBR 15561)                                                                                                                                                                                                                                                                                                                                                            </v>
          </cell>
          <cell r="C4617" t="str">
            <v xml:space="preserve">M     </v>
          </cell>
          <cell r="D4617" t="str">
            <v>CR</v>
          </cell>
          <cell r="E4617" t="str">
            <v>2.875,54</v>
          </cell>
        </row>
        <row r="4618">
          <cell r="A4618">
            <v>44523</v>
          </cell>
          <cell r="B4618" t="str">
            <v xml:space="preserve">TUBO DE POLIETILENO DE ALTA DENSIDADE, PEAD, PE-80, DE= 630 MM X 57,3 MM PAREDE (SDR 11 - PN 12,5 ) PARA REDE DE AGUA OU ESGOTO ( NBR 15561)                                                                                                                                                                                                                                                                                                                                                              </v>
          </cell>
          <cell r="C4618" t="str">
            <v xml:space="preserve">M     </v>
          </cell>
          <cell r="D4618" t="str">
            <v>CR</v>
          </cell>
          <cell r="E4618" t="str">
            <v>4.276,74</v>
          </cell>
        </row>
        <row r="4619">
          <cell r="A4619">
            <v>44527</v>
          </cell>
          <cell r="B4619" t="str">
            <v xml:space="preserve">TUBO DE POLIETILENO DE ALTA DENSIDADE, PEAD, PE-80, DE= 730 MM X 34,1 MM PAREDE, ( SDR 21 - PN 06 ) PARA REDE DE AGUA OU ESGOTO ( NBR 15561)                                                                                                                                                                                                                                                                                                                                                              </v>
          </cell>
          <cell r="C4619" t="str">
            <v xml:space="preserve">M     </v>
          </cell>
          <cell r="D4619" t="str">
            <v>CR</v>
          </cell>
          <cell r="E4619" t="str">
            <v>2.144,68</v>
          </cell>
        </row>
        <row r="4620">
          <cell r="A4620">
            <v>44524</v>
          </cell>
          <cell r="B4620" t="str">
            <v xml:space="preserve">TUBO DE POLIETILENO DE ALTA DENSIDADE, PEAD, PE-80, DE= 75 MM X 6,9 MM PAREDE, ( SRD 11 - PN 12,5 ) PARA REDE DE AGUA OU ESGOTO ( NBR 15561)                                                                                                                                                                                                                                                                                                                                                              </v>
          </cell>
          <cell r="C4620" t="str">
            <v xml:space="preserve">M     </v>
          </cell>
          <cell r="D4620" t="str">
            <v>CR</v>
          </cell>
          <cell r="E4620" t="str">
            <v>59,09</v>
          </cell>
        </row>
        <row r="4621">
          <cell r="A4621">
            <v>44542</v>
          </cell>
          <cell r="B4621" t="str">
            <v xml:space="preserve">TUBO DE POLIETILENO DE ALTA DENSIDADE, PEAD, PE-80, DE= 800 MM X 30,8 MM PAREDE, ( SDR 26 - PN 05 ) PARA REDE DE AGUA OU ESGOTO ( NBR 15561)                                                                                                                                                                                                                                                                                                                                                              </v>
          </cell>
          <cell r="C4621" t="str">
            <v xml:space="preserve">M     </v>
          </cell>
          <cell r="D4621" t="str">
            <v>CR</v>
          </cell>
          <cell r="E4621" t="str">
            <v>2.798,08</v>
          </cell>
        </row>
        <row r="4622">
          <cell r="A4622">
            <v>9877</v>
          </cell>
          <cell r="B4622" t="str">
            <v xml:space="preserve">TUBO DE PVC, PBL, TIPO LEVE, DN = 250 MM,  PARA VENTILACAO                                                                                                                                                                                                                                                                                                                                                                                                                                                </v>
          </cell>
          <cell r="C4622" t="str">
            <v xml:space="preserve">M     </v>
          </cell>
          <cell r="D4622" t="str">
            <v>CR</v>
          </cell>
          <cell r="E4622" t="str">
            <v>121,89</v>
          </cell>
        </row>
        <row r="4623">
          <cell r="A4623">
            <v>9878</v>
          </cell>
          <cell r="B4623" t="str">
            <v xml:space="preserve">TUBO DE PVC, PBL, TIPO LEVE, DN = 300 MM,  PARA VENTILACAO                                                                                                                                                                                                                                                                                                                                                                                                                                                </v>
          </cell>
          <cell r="C4623" t="str">
            <v xml:space="preserve">M     </v>
          </cell>
          <cell r="D4623" t="str">
            <v>CR</v>
          </cell>
          <cell r="E4623" t="str">
            <v>150,06</v>
          </cell>
        </row>
        <row r="4624">
          <cell r="A4624">
            <v>41986</v>
          </cell>
          <cell r="B4624" t="str">
            <v xml:space="preserve">TUBO DE REVESTIMENTO, EM ACO, CORPO SCHEDULE 40, PONTEIRA SCHEDULE 80, ROSQUEAVEL E SEGMENTADO PARA PERFURACAO, DIAMETRO 10'' (273 MM)                                                                                                                                                                                                                                                                                                                                                                    </v>
          </cell>
          <cell r="C4624" t="str">
            <v xml:space="preserve">M     </v>
          </cell>
          <cell r="D4624" t="str">
            <v>CR</v>
          </cell>
          <cell r="E4624" t="str">
            <v>3.654,45</v>
          </cell>
        </row>
        <row r="4625">
          <cell r="A4625">
            <v>43422</v>
          </cell>
          <cell r="B4625" t="str">
            <v xml:space="preserve">TUBO DE REVESTIMENTO, EM ACO, CORPO SCHEDULE 40, PONTEIRA SCHEDULE 80, ROSQUEAVEL E SEGMENTADO PARA PERFURACAO, DIAMETRO 12" (320 MM)                                                                                                                                                                                                                                                                                                                                                                     </v>
          </cell>
          <cell r="C4625" t="str">
            <v xml:space="preserve">M     </v>
          </cell>
          <cell r="D4625" t="str">
            <v>CR</v>
          </cell>
          <cell r="E4625" t="str">
            <v>4.481,82</v>
          </cell>
        </row>
        <row r="4626">
          <cell r="A4626">
            <v>41987</v>
          </cell>
          <cell r="B4626" t="str">
            <v xml:space="preserve">TUBO DE REVESTIMENTO, EM ACO, CORPO SCHEDULE 40, PONTEIRA SCHEDULE 80, ROSQUEAVEL E SEGMENTADO PARA PERFURACAO, DIAMETRO 14'' (400 MM)                                                                                                                                                                                                                                                                                                                                                                    </v>
          </cell>
          <cell r="C4626" t="str">
            <v xml:space="preserve">M     </v>
          </cell>
          <cell r="D4626" t="str">
            <v>CR</v>
          </cell>
          <cell r="E4626" t="str">
            <v>5.194,80</v>
          </cell>
        </row>
        <row r="4627">
          <cell r="A4627">
            <v>41988</v>
          </cell>
          <cell r="B4627" t="str">
            <v xml:space="preserve">TUBO DE REVESTIMENTO, EM ACO, CORPO SCHEDULE 40, PONTEIRA SCHEDULE 80, ROSQUEAVEL E SEGMENTADO PARA PERFURACAO, DIAMETRO 16'' (450 MM)                                                                                                                                                                                                                                                                                                                                                                    </v>
          </cell>
          <cell r="C4627" t="str">
            <v xml:space="preserve">M     </v>
          </cell>
          <cell r="D4627" t="str">
            <v>CR</v>
          </cell>
          <cell r="E4627" t="str">
            <v>6.861,60</v>
          </cell>
        </row>
        <row r="4628">
          <cell r="A4628">
            <v>41697</v>
          </cell>
          <cell r="B4628" t="str">
            <v xml:space="preserve">TUBO DE REVESTIMENTO, EM ACO, CORPO SCHEDULE 40, PONTEIRA SCHEDULE 80, ROSQUEAVEL E SEGMENTADO PARA PERFURACAO, DIAMETRO 4'' (450 MM)                                                                                                                                                                                                                                                                                                                                                                     </v>
          </cell>
          <cell r="C4628" t="str">
            <v xml:space="preserve">M     </v>
          </cell>
          <cell r="D4628" t="str">
            <v>CR</v>
          </cell>
          <cell r="E4628" t="str">
            <v>1.216,20</v>
          </cell>
        </row>
        <row r="4629">
          <cell r="A4629">
            <v>41985</v>
          </cell>
          <cell r="B4629" t="str">
            <v xml:space="preserve">TUBO DE REVESTIMENTO, EM ACO, CORPO SCHEDULE 40, PONTEIRA SCHEDULE 80, ROSQUEAVEL E SEGMENTADO PARA PERFURACAO, DIAMETRO 6'' (200 MM)                                                                                                                                                                                                                                                                                                                                                                     </v>
          </cell>
          <cell r="C4629" t="str">
            <v xml:space="preserve">M     </v>
          </cell>
          <cell r="D4629" t="str">
            <v>CR</v>
          </cell>
          <cell r="E4629" t="str">
            <v>1.693,84</v>
          </cell>
        </row>
        <row r="4630">
          <cell r="A4630">
            <v>41699</v>
          </cell>
          <cell r="B4630" t="str">
            <v xml:space="preserve">TUBO DE REVESTIMENTO, EM ACO, CORPO SCHEDULE 40, PONTEIRA SCHEDULE 80, ROSQUEAVEL E SEGMENTADO PARA PERFURACAO, DIAMETRO 8'' (200 MM)                                                                                                                                                                                                                                                                                                                                                                     </v>
          </cell>
          <cell r="C4630" t="str">
            <v xml:space="preserve">M     </v>
          </cell>
          <cell r="D4630" t="str">
            <v>CR</v>
          </cell>
          <cell r="E4630" t="str">
            <v>2.411,94</v>
          </cell>
        </row>
        <row r="4631">
          <cell r="A4631">
            <v>38053</v>
          </cell>
          <cell r="B4631" t="str">
            <v xml:space="preserve">TUBO DRENO, CORRUGADO, ESPIRALADO, FLEXIVEL, PERFURADO, EM POLIETILENO DE ALTA DENSIDADE (PEAD), DN *160* MM, (6") PARA DRENAGEM - EM BARRA (NORMA DNIT 093/2006 - EM)                                                                                                                                                                                                                                                                                                                                    </v>
          </cell>
          <cell r="C4631" t="str">
            <v xml:space="preserve">M     </v>
          </cell>
          <cell r="D4631" t="str">
            <v>CR</v>
          </cell>
          <cell r="E4631" t="str">
            <v>24,83</v>
          </cell>
        </row>
        <row r="4632">
          <cell r="A4632">
            <v>38054</v>
          </cell>
          <cell r="B4632" t="str">
            <v xml:space="preserve">TUBO DRENO, CORRUGADO, ESPIRALADO, FLEXIVEL, PERFURADO, EM POLIETILENO DE ALTA DENSIDADE (PEAD), DN *200* MM, (8") PARA DRENAGEM - EM BARRA (NORMA DNIT 093/2006 - EM)                                                                                                                                                                                                                                                                                                                                    </v>
          </cell>
          <cell r="C4632" t="str">
            <v xml:space="preserve">M     </v>
          </cell>
          <cell r="D4632" t="str">
            <v>CR</v>
          </cell>
          <cell r="E4632" t="str">
            <v>42,67</v>
          </cell>
        </row>
        <row r="4633">
          <cell r="A4633">
            <v>38052</v>
          </cell>
          <cell r="B4633" t="str">
            <v xml:space="preserve">TUBO DRENO, CORRUGADO, ESPIRALADO, FLEXIVEL, PERFURADO, EM POLIETILENO DE ALTA DENSIDADE (PEAD), DN 100 MM, (4") PARA DRENAGEM - EM ROLO (NORMA DNIT 093/2006 - E.M)                                                                                                                                                                                                                                                                                                                                      </v>
          </cell>
          <cell r="C4633" t="str">
            <v xml:space="preserve">M     </v>
          </cell>
          <cell r="D4633" t="str">
            <v xml:space="preserve">C </v>
          </cell>
          <cell r="E4633" t="str">
            <v>12,02</v>
          </cell>
        </row>
        <row r="4634">
          <cell r="A4634">
            <v>38051</v>
          </cell>
          <cell r="B4634" t="str">
            <v xml:space="preserve">TUBO DRENO, CORRUGADO, ESPIRALADO, FLEXIVEL, PERFURADO, EM POLIETILENO DE ALTA DENSIDADE (PEAD), DN 65 MM, (2 1/2") PARA DRENAGEM - EM ROLO (NORMA DNIT 093/2006 - EM)                                                                                                                                                                                                                                                                                                                                    </v>
          </cell>
          <cell r="C4634" t="str">
            <v xml:space="preserve">M     </v>
          </cell>
          <cell r="D4634" t="str">
            <v>CR</v>
          </cell>
          <cell r="E4634" t="str">
            <v>7,49</v>
          </cell>
        </row>
        <row r="4635">
          <cell r="A4635">
            <v>38787</v>
          </cell>
          <cell r="B4635" t="str">
            <v xml:space="preserve">TUBO MONOCAMADA PEX, DN 16 MM, PARA AGUA QUENTE E FRIA                                                                                                                                                                                                                                                                                                                                                                                                                                                    </v>
          </cell>
          <cell r="C4635" t="str">
            <v xml:space="preserve">M     </v>
          </cell>
          <cell r="D4635" t="str">
            <v xml:space="preserve">C </v>
          </cell>
          <cell r="E4635" t="str">
            <v>4,97</v>
          </cell>
        </row>
        <row r="4636">
          <cell r="A4636">
            <v>38825</v>
          </cell>
          <cell r="B4636" t="str">
            <v xml:space="preserve">TUBO MONOCAMADA PEX, DN 20 MM, PARA AGUA QUENTE E FRIA                                                                                                                                                                                                                                                                                                                                                                                                                                                    </v>
          </cell>
          <cell r="C4636" t="str">
            <v xml:space="preserve">M     </v>
          </cell>
          <cell r="D4636" t="str">
            <v>CR</v>
          </cell>
          <cell r="E4636" t="str">
            <v>6,42</v>
          </cell>
        </row>
        <row r="4637">
          <cell r="A4637">
            <v>38826</v>
          </cell>
          <cell r="B4637" t="str">
            <v xml:space="preserve">TUBO MONOCAMADA PEX, DN 25 MM, PARA AGUA QUENTE E FRIA                                                                                                                                                                                                                                                                                                                                                                                                                                                    </v>
          </cell>
          <cell r="C4637" t="str">
            <v xml:space="preserve">M     </v>
          </cell>
          <cell r="D4637" t="str">
            <v>CR</v>
          </cell>
          <cell r="E4637" t="str">
            <v>9,13</v>
          </cell>
        </row>
        <row r="4638">
          <cell r="A4638">
            <v>38827</v>
          </cell>
          <cell r="B4638" t="str">
            <v xml:space="preserve">TUBO MONOCAMADA PEX, DN 32 MM, PARA AGUA QUENTE E FRIA                                                                                                                                                                                                                                                                                                                                                                                                                                                    </v>
          </cell>
          <cell r="C4638" t="str">
            <v xml:space="preserve">M     </v>
          </cell>
          <cell r="D4638" t="str">
            <v>CR</v>
          </cell>
          <cell r="E4638" t="str">
            <v>14,94</v>
          </cell>
        </row>
        <row r="4639">
          <cell r="A4639">
            <v>38830</v>
          </cell>
          <cell r="B4639" t="str">
            <v xml:space="preserve">TUBO MULTICAMADA PEX, DN *26* MM, PARA INSTALACOES A GAS (AMARELO)                                                                                                                                                                                                                                                                                                                                                                                                                                        </v>
          </cell>
          <cell r="C4639" t="str">
            <v xml:space="preserve">M     </v>
          </cell>
          <cell r="D4639" t="str">
            <v>CR</v>
          </cell>
          <cell r="E4639" t="str">
            <v>21,71</v>
          </cell>
        </row>
        <row r="4640">
          <cell r="A4640">
            <v>38828</v>
          </cell>
          <cell r="B4640" t="str">
            <v xml:space="preserve">TUBO MULTICAMADA PEX, DN 16 MM, PARA INSTALACOES A GAS (AMARELO)                                                                                                                                                                                                                                                                                                                                                                                                                                          </v>
          </cell>
          <cell r="C4640" t="str">
            <v xml:space="preserve">M     </v>
          </cell>
          <cell r="D4640" t="str">
            <v>CR</v>
          </cell>
          <cell r="E4640" t="str">
            <v>9,57</v>
          </cell>
        </row>
        <row r="4641">
          <cell r="A4641">
            <v>38829</v>
          </cell>
          <cell r="B4641" t="str">
            <v xml:space="preserve">TUBO MULTICAMADA PEX, DN 20 MM, PARA INSTALACOES A GAS (AMARELO)                                                                                                                                                                                                                                                                                                                                                                                                                                          </v>
          </cell>
          <cell r="C4641" t="str">
            <v xml:space="preserve">M     </v>
          </cell>
          <cell r="D4641" t="str">
            <v>CR</v>
          </cell>
          <cell r="E4641" t="str">
            <v>15,68</v>
          </cell>
        </row>
        <row r="4642">
          <cell r="A4642">
            <v>38831</v>
          </cell>
          <cell r="B4642" t="str">
            <v xml:space="preserve">TUBO MULTICAMADA PEX, DN 32 MM, PARA INSTALACOES A GAS (AMARELO)                                                                                                                                                                                                                                                                                                                                                                                                                                          </v>
          </cell>
          <cell r="C4642" t="str">
            <v xml:space="preserve">M     </v>
          </cell>
          <cell r="D4642" t="str">
            <v>CR</v>
          </cell>
          <cell r="E4642" t="str">
            <v>30,27</v>
          </cell>
        </row>
        <row r="4643">
          <cell r="A4643">
            <v>36274</v>
          </cell>
          <cell r="B4643" t="str">
            <v xml:space="preserve">TUBO PPR PN 20, DN 20 MM, PARA AGUA QUENTE PREDIAL                                                                                                                                                                                                                                                                                                                                                                                                                                                        </v>
          </cell>
          <cell r="C4643" t="str">
            <v xml:space="preserve">M     </v>
          </cell>
          <cell r="D4643" t="str">
            <v xml:space="preserve">C </v>
          </cell>
          <cell r="E4643" t="str">
            <v>8,94</v>
          </cell>
        </row>
        <row r="4644">
          <cell r="A4644">
            <v>36278</v>
          </cell>
          <cell r="B4644" t="str">
            <v xml:space="preserve">TUBO PPR PN 20, DN 25 MM, PARA AGUA QUENTE PREDIAL                                                                                                                                                                                                                                                                                                                                                                                                                                                        </v>
          </cell>
          <cell r="C4644" t="str">
            <v xml:space="preserve">M     </v>
          </cell>
          <cell r="D4644" t="str">
            <v>CR</v>
          </cell>
          <cell r="E4644" t="str">
            <v>12,12</v>
          </cell>
        </row>
        <row r="4645">
          <cell r="A4645">
            <v>38977</v>
          </cell>
          <cell r="B4645" t="str">
            <v xml:space="preserve">TUBO PPR, CLASSE PN 12, DN 110 MM                                                                                                                                                                                                                                                                                                                                                                                                                                                                         </v>
          </cell>
          <cell r="C4645" t="str">
            <v xml:space="preserve">M     </v>
          </cell>
          <cell r="D4645" t="str">
            <v>CR</v>
          </cell>
          <cell r="E4645" t="str">
            <v>118,60</v>
          </cell>
        </row>
        <row r="4646">
          <cell r="A4646">
            <v>38971</v>
          </cell>
          <cell r="B4646" t="str">
            <v xml:space="preserve">TUBO PPR, CLASSE PN 12, DN 32 MM                                                                                                                                                                                                                                                                                                                                                                                                                                                                          </v>
          </cell>
          <cell r="C4646" t="str">
            <v xml:space="preserve">M     </v>
          </cell>
          <cell r="D4646" t="str">
            <v>CR</v>
          </cell>
          <cell r="E4646" t="str">
            <v>9,95</v>
          </cell>
        </row>
        <row r="4647">
          <cell r="A4647">
            <v>38972</v>
          </cell>
          <cell r="B4647" t="str">
            <v xml:space="preserve">TUBO PPR, CLASSE PN 12, DN 40 MM                                                                                                                                                                                                                                                                                                                                                                                                                                                                          </v>
          </cell>
          <cell r="C4647" t="str">
            <v xml:space="preserve">M     </v>
          </cell>
          <cell r="D4647" t="str">
            <v>CR</v>
          </cell>
          <cell r="E4647" t="str">
            <v>13,42</v>
          </cell>
        </row>
        <row r="4648">
          <cell r="A4648">
            <v>38973</v>
          </cell>
          <cell r="B4648" t="str">
            <v xml:space="preserve">TUBO PPR, CLASSE PN 12, DN 50 MM                                                                                                                                                                                                                                                                                                                                                                                                                                                                          </v>
          </cell>
          <cell r="C4648" t="str">
            <v xml:space="preserve">M     </v>
          </cell>
          <cell r="D4648" t="str">
            <v>CR</v>
          </cell>
          <cell r="E4648" t="str">
            <v>22,17</v>
          </cell>
        </row>
        <row r="4649">
          <cell r="A4649">
            <v>38974</v>
          </cell>
          <cell r="B4649" t="str">
            <v xml:space="preserve">TUBO PPR, CLASSE PN 12, DN 63 MM                                                                                                                                                                                                                                                                                                                                                                                                                                                                          </v>
          </cell>
          <cell r="C4649" t="str">
            <v xml:space="preserve">M     </v>
          </cell>
          <cell r="D4649" t="str">
            <v>CR</v>
          </cell>
          <cell r="E4649" t="str">
            <v>36,01</v>
          </cell>
        </row>
        <row r="4650">
          <cell r="A4650">
            <v>38975</v>
          </cell>
          <cell r="B4650" t="str">
            <v xml:space="preserve">TUBO PPR, CLASSE PN 12, DN 75 MM                                                                                                                                                                                                                                                                                                                                                                                                                                                                          </v>
          </cell>
          <cell r="C4650" t="str">
            <v xml:space="preserve">M     </v>
          </cell>
          <cell r="D4650" t="str">
            <v>CR</v>
          </cell>
          <cell r="E4650" t="str">
            <v>46,17</v>
          </cell>
        </row>
        <row r="4651">
          <cell r="A4651">
            <v>38976</v>
          </cell>
          <cell r="B4651" t="str">
            <v xml:space="preserve">TUBO PPR, CLASSE PN 12, DN 90 MM                                                                                                                                                                                                                                                                                                                                                                                                                                                                          </v>
          </cell>
          <cell r="C4651" t="str">
            <v xml:space="preserve">M     </v>
          </cell>
          <cell r="D4651" t="str">
            <v>CR</v>
          </cell>
          <cell r="E4651" t="str">
            <v>79,38</v>
          </cell>
        </row>
        <row r="4652">
          <cell r="A4652">
            <v>44176</v>
          </cell>
          <cell r="B4652" t="str">
            <v xml:space="preserve">TUBO PPR, CLASSE PN 20, SOLDAVEL, DN 32 MM PARA AGUA FRIA OU QUENTE PREDIAL                                                                                                                                                                                                                                                                                                                                                                                                                               </v>
          </cell>
          <cell r="C4652" t="str">
            <v xml:space="preserve">M     </v>
          </cell>
          <cell r="D4652" t="str">
            <v>CR</v>
          </cell>
          <cell r="E4652" t="str">
            <v>18,24</v>
          </cell>
        </row>
        <row r="4653">
          <cell r="A4653">
            <v>38986</v>
          </cell>
          <cell r="B4653" t="str">
            <v xml:space="preserve">TUBO PPR, CLASSE PN 25, DN 110 MM, PARA AGUA QUENTE E FRIA PREDIAL                                                                                                                                                                                                                                                                                                                                                                                                                                        </v>
          </cell>
          <cell r="C4653" t="str">
            <v xml:space="preserve">M     </v>
          </cell>
          <cell r="D4653" t="str">
            <v>CR</v>
          </cell>
          <cell r="E4653" t="str">
            <v>239,62</v>
          </cell>
        </row>
        <row r="4654">
          <cell r="A4654">
            <v>38978</v>
          </cell>
          <cell r="B4654" t="str">
            <v xml:space="preserve">TUBO PPR, CLASSE PN 25, DN 20 MM, PARA AGUA QUENTE E FRIA PREDIAL                                                                                                                                                                                                                                                                                                                                                                                                                                         </v>
          </cell>
          <cell r="C4654" t="str">
            <v xml:space="preserve">M     </v>
          </cell>
          <cell r="D4654" t="str">
            <v>CR</v>
          </cell>
          <cell r="E4654" t="str">
            <v>9,83</v>
          </cell>
        </row>
        <row r="4655">
          <cell r="A4655">
            <v>38979</v>
          </cell>
          <cell r="B4655" t="str">
            <v xml:space="preserve">TUBO PPR, CLASSE PN 25, DN 25 MM, PARA AGUA QUENTE E FRIA PREDIAL                                                                                                                                                                                                                                                                                                                                                                                                                                         </v>
          </cell>
          <cell r="C4655" t="str">
            <v xml:space="preserve">M     </v>
          </cell>
          <cell r="D4655" t="str">
            <v>CR</v>
          </cell>
          <cell r="E4655" t="str">
            <v>13,59</v>
          </cell>
        </row>
        <row r="4656">
          <cell r="A4656">
            <v>38980</v>
          </cell>
          <cell r="B4656" t="str">
            <v xml:space="preserve">TUBO PPR, CLASSE PN 25, DN 32 MM, PARA AGUA QUENTE E FRIA PREDIAL                                                                                                                                                                                                                                                                                                                                                                                                                                         </v>
          </cell>
          <cell r="C4656" t="str">
            <v xml:space="preserve">M     </v>
          </cell>
          <cell r="D4656" t="str">
            <v>CR</v>
          </cell>
          <cell r="E4656" t="str">
            <v>18,19</v>
          </cell>
        </row>
        <row r="4657">
          <cell r="A4657">
            <v>38981</v>
          </cell>
          <cell r="B4657" t="str">
            <v xml:space="preserve">TUBO PPR, CLASSE PN 25, DN 40 MM, PARA AGUA QUENTE E FRIA PREDIAL                                                                                                                                                                                                                                                                                                                                                                                                                                         </v>
          </cell>
          <cell r="C4657" t="str">
            <v xml:space="preserve">M     </v>
          </cell>
          <cell r="D4657" t="str">
            <v>CR</v>
          </cell>
          <cell r="E4657" t="str">
            <v>26,24</v>
          </cell>
        </row>
        <row r="4658">
          <cell r="A4658">
            <v>38982</v>
          </cell>
          <cell r="B4658" t="str">
            <v xml:space="preserve">TUBO PPR, CLASSE PN 25, DN 50 MM, PARA AGUA QUENTE E FRIA PREDIAL                                                                                                                                                                                                                                                                                                                                                                                                                                         </v>
          </cell>
          <cell r="C4658" t="str">
            <v xml:space="preserve">M     </v>
          </cell>
          <cell r="D4658" t="str">
            <v>CR</v>
          </cell>
          <cell r="E4658" t="str">
            <v>41,46</v>
          </cell>
        </row>
        <row r="4659">
          <cell r="A4659">
            <v>38983</v>
          </cell>
          <cell r="B4659" t="str">
            <v xml:space="preserve">TUBO PPR, CLASSE PN 25, DN 63 MM, PARA AGUA QUENTE E FRIA PREDIAL                                                                                                                                                                                                                                                                                                                                                                                                                                         </v>
          </cell>
          <cell r="C4659" t="str">
            <v xml:space="preserve">M     </v>
          </cell>
          <cell r="D4659" t="str">
            <v>CR</v>
          </cell>
          <cell r="E4659" t="str">
            <v>72,96</v>
          </cell>
        </row>
        <row r="4660">
          <cell r="A4660">
            <v>38984</v>
          </cell>
          <cell r="B4660" t="str">
            <v xml:space="preserve">TUBO PPR, CLASSE PN 25, DN 75 MM, PARA AGUA QUENTE E FRIA PREDIAL                                                                                                                                                                                                                                                                                                                                                                                                                                         </v>
          </cell>
          <cell r="C4660" t="str">
            <v xml:space="preserve">M     </v>
          </cell>
          <cell r="D4660" t="str">
            <v>CR</v>
          </cell>
          <cell r="E4660" t="str">
            <v>100,30</v>
          </cell>
        </row>
        <row r="4661">
          <cell r="A4661">
            <v>38985</v>
          </cell>
          <cell r="B4661" t="str">
            <v xml:space="preserve">TUBO PPR, CLASSE PN 25, DN 90 MM, PARA AGUA QUENTE E FRIA PREDIAL                                                                                                                                                                                                                                                                                                                                                                                                                                         </v>
          </cell>
          <cell r="C4661" t="str">
            <v xml:space="preserve">M     </v>
          </cell>
          <cell r="D4661" t="str">
            <v>CR</v>
          </cell>
          <cell r="E4661" t="str">
            <v>172,44</v>
          </cell>
        </row>
        <row r="4662">
          <cell r="A4662">
            <v>9836</v>
          </cell>
          <cell r="B4662" t="str">
            <v xml:space="preserve">TUBO PVC  SERIE NORMAL, DN 100 MM, PARA ESGOTO  PREDIAL (NBR 5688)                                                                                                                                                                                                                                                                                                                                                                                                                                        </v>
          </cell>
          <cell r="C4662" t="str">
            <v xml:space="preserve">M     </v>
          </cell>
          <cell r="D4662" t="str">
            <v xml:space="preserve">C </v>
          </cell>
          <cell r="E4662" t="str">
            <v>14,69</v>
          </cell>
        </row>
        <row r="4663">
          <cell r="A4663">
            <v>20065</v>
          </cell>
          <cell r="B4663" t="str">
            <v xml:space="preserve">TUBO PVC  SERIE NORMAL, DN 150 MM, PARA ESGOTO  PREDIAL (NBR 5688)                                                                                                                                                                                                                                                                                                                                                                                                                                        </v>
          </cell>
          <cell r="C4663" t="str">
            <v xml:space="preserve">M     </v>
          </cell>
          <cell r="D4663" t="str">
            <v>CR</v>
          </cell>
          <cell r="E4663" t="str">
            <v>38,40</v>
          </cell>
        </row>
        <row r="4664">
          <cell r="A4664">
            <v>9835</v>
          </cell>
          <cell r="B4664" t="str">
            <v xml:space="preserve">TUBO PVC  SERIE NORMAL, DN 40 MM, PARA ESGOTO  PREDIAL (NBR 5688)                                                                                                                                                                                                                                                                                                                                                                                                                                         </v>
          </cell>
          <cell r="C4664" t="str">
            <v xml:space="preserve">M     </v>
          </cell>
          <cell r="D4664" t="str">
            <v>CR</v>
          </cell>
          <cell r="E4664" t="str">
            <v>6,42</v>
          </cell>
        </row>
        <row r="4665">
          <cell r="A4665">
            <v>38032</v>
          </cell>
          <cell r="B4665" t="str">
            <v xml:space="preserve">TUBO PVC CORRUGADO, PAREDE DUPLA, JE, DN 150 MM/ DE 160 MM, REDE COLETORA ESGOTO                                                                                                                                                                                                                                                                                                                                                                                                                          </v>
          </cell>
          <cell r="C4665" t="str">
            <v xml:space="preserve">M     </v>
          </cell>
          <cell r="D4665" t="str">
            <v>CR</v>
          </cell>
          <cell r="E4665" t="str">
            <v>58,04</v>
          </cell>
        </row>
        <row r="4666">
          <cell r="A4666">
            <v>38033</v>
          </cell>
          <cell r="B4666" t="str">
            <v xml:space="preserve">TUBO PVC CORRUGADO, PAREDE DUPLA, JE, DN 200 MM/ DE 200 MM, REDE COLETORA ESGOTO                                                                                                                                                                                                                                                                                                                                                                                                                          </v>
          </cell>
          <cell r="C4666" t="str">
            <v xml:space="preserve">M     </v>
          </cell>
          <cell r="D4666" t="str">
            <v>CR</v>
          </cell>
          <cell r="E4666" t="str">
            <v>98,67</v>
          </cell>
        </row>
        <row r="4667">
          <cell r="A4667">
            <v>38034</v>
          </cell>
          <cell r="B4667" t="str">
            <v xml:space="preserve">TUBO PVC CORRUGADO, PAREDE DUPLA, JE, DN 250 MM/ DE 250 MM, REDE COLETORA ESGOTO                                                                                                                                                                                                                                                                                                                                                                                                                          </v>
          </cell>
          <cell r="C4667" t="str">
            <v xml:space="preserve">M     </v>
          </cell>
          <cell r="D4667" t="str">
            <v>CR</v>
          </cell>
          <cell r="E4667" t="str">
            <v>154,57</v>
          </cell>
        </row>
        <row r="4668">
          <cell r="A4668">
            <v>38035</v>
          </cell>
          <cell r="B4668" t="str">
            <v xml:space="preserve">TUBO PVC CORRUGADO, PAREDE DUPLA, JE, DN 300 MM/ DE 315 MM , REDE COLETORA ESGOTO                                                                                                                                                                                                                                                                                                                                                                                                                         </v>
          </cell>
          <cell r="C4668" t="str">
            <v xml:space="preserve">M     </v>
          </cell>
          <cell r="D4668" t="str">
            <v>CR</v>
          </cell>
          <cell r="E4668" t="str">
            <v>227,39</v>
          </cell>
        </row>
        <row r="4669">
          <cell r="A4669">
            <v>38036</v>
          </cell>
          <cell r="B4669" t="str">
            <v xml:space="preserve">TUBO PVC CORRUGADO, PAREDE DUPLA, JE, DN 350 MM/ DE 355 MM, REDE COLETORA ESGOTO                                                                                                                                                                                                                                                                                                                                                                                                                          </v>
          </cell>
          <cell r="C4669" t="str">
            <v xml:space="preserve">M     </v>
          </cell>
          <cell r="D4669" t="str">
            <v>CR</v>
          </cell>
          <cell r="E4669" t="str">
            <v>306,32</v>
          </cell>
        </row>
        <row r="4670">
          <cell r="A4670">
            <v>38037</v>
          </cell>
          <cell r="B4670" t="str">
            <v xml:space="preserve">TUBO PVC CORRUGADO, PAREDE DUPLA, JE, DN 400 MM/ DE 400 MM, REDE COLETORA ESGOTO                                                                                                                                                                                                                                                                                                                                                                                                                          </v>
          </cell>
          <cell r="C4670" t="str">
            <v xml:space="preserve">M     </v>
          </cell>
          <cell r="D4670" t="str">
            <v>CR</v>
          </cell>
          <cell r="E4670" t="str">
            <v>404,61</v>
          </cell>
        </row>
        <row r="4671">
          <cell r="A4671">
            <v>9850</v>
          </cell>
          <cell r="B4671" t="str">
            <v xml:space="preserve">TUBO PVC DE REVESTIMENTO GEOMECANICO NERVURADO REFORCADO, DN = 150 MM, COMPRIMENTO = 2 M                                                                                                                                                                                                                                                                                                                                                                                                                  </v>
          </cell>
          <cell r="C4671" t="str">
            <v xml:space="preserve">M     </v>
          </cell>
          <cell r="D4671" t="str">
            <v xml:space="preserve">C </v>
          </cell>
          <cell r="E4671" t="str">
            <v>147,75</v>
          </cell>
        </row>
        <row r="4672">
          <cell r="A4672">
            <v>9853</v>
          </cell>
          <cell r="B4672" t="str">
            <v xml:space="preserve">TUBO PVC DE REVESTIMENTO GEOMECANICO NERVURADO REFORCADO, DN = 200 MM, COMPRIMENTO = 2 M                                                                                                                                                                                                                                                                                                                                                                                                                  </v>
          </cell>
          <cell r="C4672" t="str">
            <v xml:space="preserve">M     </v>
          </cell>
          <cell r="D4672" t="str">
            <v>CR</v>
          </cell>
          <cell r="E4672" t="str">
            <v>262,74</v>
          </cell>
        </row>
        <row r="4673">
          <cell r="A4673">
            <v>9854</v>
          </cell>
          <cell r="B4673" t="str">
            <v xml:space="preserve">TUBO PVC DE REVESTIMENTO GEOMECANICO NERVURADO STANDARD, DN = 154 MM, COMPRIMENTO = 2 M                                                                                                                                                                                                                                                                                                                                                                                                                   </v>
          </cell>
          <cell r="C4673" t="str">
            <v xml:space="preserve">M     </v>
          </cell>
          <cell r="D4673" t="str">
            <v>CR</v>
          </cell>
          <cell r="E4673" t="str">
            <v>115,12</v>
          </cell>
        </row>
        <row r="4674">
          <cell r="A4674">
            <v>9851</v>
          </cell>
          <cell r="B4674" t="str">
            <v xml:space="preserve">TUBO PVC DE REVESTIMENTO GEOMECANICO NERVURADO STANDARD, DN = 206 MM, COMPRIMENTO = 2 M                                                                                                                                                                                                                                                                                                                                                                                                                   </v>
          </cell>
          <cell r="C4674" t="str">
            <v xml:space="preserve">M     </v>
          </cell>
          <cell r="D4674" t="str">
            <v>CR</v>
          </cell>
          <cell r="E4674" t="str">
            <v>199,62</v>
          </cell>
        </row>
        <row r="4675">
          <cell r="A4675">
            <v>9825</v>
          </cell>
          <cell r="B4675" t="str">
            <v xml:space="preserve">TUBO PVC DEFOFO, JEI, 1 MPA, DN 100 MM, PARA REDE DE AGUA (NBR 7665)                                                                                                                                                                                                                                                                                                                                                                                                                                      </v>
          </cell>
          <cell r="C4675" t="str">
            <v xml:space="preserve">M     </v>
          </cell>
          <cell r="D4675" t="str">
            <v>CR</v>
          </cell>
          <cell r="E4675" t="str">
            <v>42,44</v>
          </cell>
        </row>
        <row r="4676">
          <cell r="A4676">
            <v>9828</v>
          </cell>
          <cell r="B4676" t="str">
            <v xml:space="preserve">TUBO PVC DEFOFO, JEI, 1 MPA, DN 150 MM, PARA REDE DE  AGUA (NBR 7665)                                                                                                                                                                                                                                                                                                                                                                                                                                     </v>
          </cell>
          <cell r="C4676" t="str">
            <v xml:space="preserve">M     </v>
          </cell>
          <cell r="D4676" t="str">
            <v>CR</v>
          </cell>
          <cell r="E4676" t="str">
            <v>114,22</v>
          </cell>
        </row>
        <row r="4677">
          <cell r="A4677">
            <v>9829</v>
          </cell>
          <cell r="B4677" t="str">
            <v xml:space="preserve">TUBO PVC DEFOFO, JEI, 1 MPA, DN 200 MM, PARA REDE DE AGUA (NBR 7665)                                                                                                                                                                                                                                                                                                                                                                                                                                      </v>
          </cell>
          <cell r="C4677" t="str">
            <v xml:space="preserve">M     </v>
          </cell>
          <cell r="D4677" t="str">
            <v>CR</v>
          </cell>
          <cell r="E4677" t="str">
            <v>193,57</v>
          </cell>
        </row>
        <row r="4678">
          <cell r="A4678">
            <v>9826</v>
          </cell>
          <cell r="B4678" t="str">
            <v xml:space="preserve">TUBO PVC DEFOFO, JEI, 1 MPA, DN 250 MM, PARA REDE DE AGUA (NBR 7665)                                                                                                                                                                                                                                                                                                                                                                                                                                      </v>
          </cell>
          <cell r="C4678" t="str">
            <v xml:space="preserve">M     </v>
          </cell>
          <cell r="D4678" t="str">
            <v>CR</v>
          </cell>
          <cell r="E4678" t="str">
            <v>294,69</v>
          </cell>
        </row>
        <row r="4679">
          <cell r="A4679">
            <v>9827</v>
          </cell>
          <cell r="B4679" t="str">
            <v xml:space="preserve">TUBO PVC DEFOFO, JEI, 1 MPA, DN 300 MM, PARA REDE DE AGUA (NBR 7665)                                                                                                                                                                                                                                                                                                                                                                                                                                      </v>
          </cell>
          <cell r="C4679" t="str">
            <v xml:space="preserve">M     </v>
          </cell>
          <cell r="D4679" t="str">
            <v>CR</v>
          </cell>
          <cell r="E4679" t="str">
            <v>418,46</v>
          </cell>
        </row>
        <row r="4680">
          <cell r="A4680">
            <v>36374</v>
          </cell>
          <cell r="B4680" t="str">
            <v xml:space="preserve">TUBO PVC PBA JEI, CLASSE 12, DN 100 MM, PARA REDE DE AGUA (NBR 5647)                                                                                                                                                                                                                                                                                                                                                                                                                                      </v>
          </cell>
          <cell r="C4680" t="str">
            <v xml:space="preserve">M     </v>
          </cell>
          <cell r="D4680" t="str">
            <v>CR</v>
          </cell>
          <cell r="E4680" t="str">
            <v>50,87</v>
          </cell>
        </row>
        <row r="4681">
          <cell r="A4681">
            <v>36084</v>
          </cell>
          <cell r="B4681" t="str">
            <v xml:space="preserve">TUBO PVC PBA JEI, CLASSE 12, DN 50 MM, PARA REDE DE AGUA (NBR 5647)                                                                                                                                                                                                                                                                                                                                                                                                                                       </v>
          </cell>
          <cell r="C4681" t="str">
            <v xml:space="preserve">M     </v>
          </cell>
          <cell r="D4681" t="str">
            <v xml:space="preserve">C </v>
          </cell>
          <cell r="E4681" t="str">
            <v>15,07</v>
          </cell>
        </row>
        <row r="4682">
          <cell r="A4682">
            <v>36373</v>
          </cell>
          <cell r="B4682" t="str">
            <v xml:space="preserve">TUBO PVC PBA JEI, CLASSE 12, DN 75 MM, PARA REDE DE AGUA (NBR 5647)                                                                                                                                                                                                                                                                                                                                                                                                                                       </v>
          </cell>
          <cell r="C4682" t="str">
            <v xml:space="preserve">M     </v>
          </cell>
          <cell r="D4682" t="str">
            <v>CR</v>
          </cell>
          <cell r="E4682" t="str">
            <v>31,29</v>
          </cell>
        </row>
        <row r="4683">
          <cell r="A4683">
            <v>36377</v>
          </cell>
          <cell r="B4683" t="str">
            <v xml:space="preserve">TUBO PVC PBA JEI, CLASSE 15, DN 100 MM, PARA REDE DE AGUA (NBR 5647)                                                                                                                                                                                                                                                                                                                                                                                                                                      </v>
          </cell>
          <cell r="C4683" t="str">
            <v xml:space="preserve">M     </v>
          </cell>
          <cell r="D4683" t="str">
            <v>CR</v>
          </cell>
          <cell r="E4683" t="str">
            <v>61,02</v>
          </cell>
        </row>
        <row r="4684">
          <cell r="A4684">
            <v>36375</v>
          </cell>
          <cell r="B4684" t="str">
            <v xml:space="preserve">TUBO PVC PBA JEI, CLASSE 15, DN 50 MM, PARA REDE DE AGUA (NBR 5647)                                                                                                                                                                                                                                                                                                                                                                                                                                       </v>
          </cell>
          <cell r="C4684" t="str">
            <v xml:space="preserve">M     </v>
          </cell>
          <cell r="D4684" t="str">
            <v>CR</v>
          </cell>
          <cell r="E4684" t="str">
            <v>18,59</v>
          </cell>
        </row>
        <row r="4685">
          <cell r="A4685">
            <v>36376</v>
          </cell>
          <cell r="B4685" t="str">
            <v xml:space="preserve">TUBO PVC PBA JEI, CLASSE 15, DN 75 MM, PARA REDE DE AGUA (NBR 5647)                                                                                                                                                                                                                                                                                                                                                                                                                                       </v>
          </cell>
          <cell r="C4685" t="str">
            <v xml:space="preserve">M     </v>
          </cell>
          <cell r="D4685" t="str">
            <v>CR</v>
          </cell>
          <cell r="E4685" t="str">
            <v>36,52</v>
          </cell>
        </row>
        <row r="4686">
          <cell r="A4686">
            <v>36380</v>
          </cell>
          <cell r="B4686" t="str">
            <v xml:space="preserve">TUBO PVC PBA JEI, CLASSE 20, DN 100 MM, PARA REDE DE AGUA (NBR 5647)                                                                                                                                                                                                                                                                                                                                                                                                                                      </v>
          </cell>
          <cell r="C4686" t="str">
            <v xml:space="preserve">M     </v>
          </cell>
          <cell r="D4686" t="str">
            <v>CR</v>
          </cell>
          <cell r="E4686" t="str">
            <v>76,30</v>
          </cell>
        </row>
        <row r="4687">
          <cell r="A4687">
            <v>36378</v>
          </cell>
          <cell r="B4687" t="str">
            <v xml:space="preserve">TUBO PVC PBA JEI, CLASSE 20, DN 50 MM, PARA REDE DE AGUA (NBR 5647)                                                                                                                                                                                                                                                                                                                                                                                                                                       </v>
          </cell>
          <cell r="C4687" t="str">
            <v xml:space="preserve">M     </v>
          </cell>
          <cell r="D4687" t="str">
            <v>CR</v>
          </cell>
          <cell r="E4687" t="str">
            <v>22,86</v>
          </cell>
        </row>
        <row r="4688">
          <cell r="A4688">
            <v>36379</v>
          </cell>
          <cell r="B4688" t="str">
            <v xml:space="preserve">TUBO PVC PBA JEI, CLASSE 20, DN 75 MM, PARA REDE DE AGUA (NBR 5647)                                                                                                                                                                                                                                                                                                                                                                                                                                       </v>
          </cell>
          <cell r="C4688" t="str">
            <v xml:space="preserve">M     </v>
          </cell>
          <cell r="D4688" t="str">
            <v>CR</v>
          </cell>
          <cell r="E4688" t="str">
            <v>46,09</v>
          </cell>
        </row>
        <row r="4689">
          <cell r="A4689">
            <v>9859</v>
          </cell>
          <cell r="B4689" t="str">
            <v xml:space="preserve">TUBO PVC ROSCAVEL, 3/4",  AGUA FRIA PREDIAL                                                                                                                                                                                                                                                                                                                                                                                                                                                               </v>
          </cell>
          <cell r="C4689" t="str">
            <v xml:space="preserve">M     </v>
          </cell>
          <cell r="D4689" t="str">
            <v>CR</v>
          </cell>
          <cell r="E4689" t="str">
            <v>8,98</v>
          </cell>
        </row>
        <row r="4690">
          <cell r="A4690">
            <v>9838</v>
          </cell>
          <cell r="B4690" t="str">
            <v xml:space="preserve">TUBO PVC SERIE NORMAL, DN 50 MM, PARA ESGOTO PREDIAL (NBR 5688)                                                                                                                                                                                                                                                                                                                                                                                                                                           </v>
          </cell>
          <cell r="C4690" t="str">
            <v xml:space="preserve">M     </v>
          </cell>
          <cell r="D4690" t="str">
            <v>CR</v>
          </cell>
          <cell r="E4690" t="str">
            <v>10,60</v>
          </cell>
        </row>
        <row r="4691">
          <cell r="A4691">
            <v>9837</v>
          </cell>
          <cell r="B4691" t="str">
            <v xml:space="preserve">TUBO PVC SERIE NORMAL, DN 75 MM, PARA ESGOTO PREDIAL (NBR 5688)                                                                                                                                                                                                                                                                                                                                                                                                                                           </v>
          </cell>
          <cell r="C4691" t="str">
            <v xml:space="preserve">M     </v>
          </cell>
          <cell r="D4691" t="str">
            <v>CR</v>
          </cell>
          <cell r="E4691" t="str">
            <v>13,91</v>
          </cell>
        </row>
        <row r="4692">
          <cell r="A4692">
            <v>44315</v>
          </cell>
          <cell r="B4692" t="str">
            <v xml:space="preserve">TUBO PVC, RIGIDO, CORRUGADO, PERFURADO DN 100 MM, PARA DRENAGEM, SISTEMA IRRIGACAO                                                                                                                                                                                                                                                                                                                                                                                                                        </v>
          </cell>
          <cell r="C4692" t="str">
            <v xml:space="preserve">M     </v>
          </cell>
          <cell r="D4692" t="str">
            <v>CR</v>
          </cell>
          <cell r="E4692" t="str">
            <v>57,51</v>
          </cell>
        </row>
        <row r="4693">
          <cell r="A4693">
            <v>9863</v>
          </cell>
          <cell r="B4693" t="str">
            <v xml:space="preserve">TUBO PVC, ROSCAVEL,  2 1/2", AGUA FRIA PREDIAL                                                                                                                                                                                                                                                                                                                                                                                                                                                            </v>
          </cell>
          <cell r="C4693" t="str">
            <v xml:space="preserve">M     </v>
          </cell>
          <cell r="D4693" t="str">
            <v>CR</v>
          </cell>
          <cell r="E4693" t="str">
            <v>54,29</v>
          </cell>
        </row>
        <row r="4694">
          <cell r="A4694">
            <v>9860</v>
          </cell>
          <cell r="B4694" t="str">
            <v xml:space="preserve">TUBO PVC, ROSCAVEL,  2", PARA AGUA FRIA PREDIAL                                                                                                                                                                                                                                                                                                                                                                                                                                                           </v>
          </cell>
          <cell r="C4694" t="str">
            <v xml:space="preserve">M     </v>
          </cell>
          <cell r="D4694" t="str">
            <v>CR</v>
          </cell>
          <cell r="E4694" t="str">
            <v>39,62</v>
          </cell>
        </row>
        <row r="4695">
          <cell r="A4695">
            <v>9862</v>
          </cell>
          <cell r="B4695" t="str">
            <v xml:space="preserve">TUBO PVC, ROSCAVEL, 1 1/2",  AGUA FRIA PREDIAL                                                                                                                                                                                                                                                                                                                                                                                                                                                            </v>
          </cell>
          <cell r="C4695" t="str">
            <v xml:space="preserve">M     </v>
          </cell>
          <cell r="D4695" t="str">
            <v>CR</v>
          </cell>
          <cell r="E4695" t="str">
            <v>27,69</v>
          </cell>
        </row>
        <row r="4696">
          <cell r="A4696">
            <v>9861</v>
          </cell>
          <cell r="B4696" t="str">
            <v xml:space="preserve">TUBO PVC, ROSCAVEL, 1 1/4", AGUA FRIA PREDIAL                                                                                                                                                                                                                                                                                                                                                                                                                                                             </v>
          </cell>
          <cell r="C4696" t="str">
            <v xml:space="preserve">M     </v>
          </cell>
          <cell r="D4696" t="str">
            <v>CR</v>
          </cell>
          <cell r="E4696" t="str">
            <v>21,75</v>
          </cell>
        </row>
        <row r="4697">
          <cell r="A4697">
            <v>9856</v>
          </cell>
          <cell r="B4697" t="str">
            <v xml:space="preserve">TUBO PVC, ROSCAVEL, 1/2", AGUA FRIA PREDIAL                                                                                                                                                                                                                                                                                                                                                                                                                                                               </v>
          </cell>
          <cell r="C4697" t="str">
            <v xml:space="preserve">M     </v>
          </cell>
          <cell r="D4697" t="str">
            <v>CR</v>
          </cell>
          <cell r="E4697" t="str">
            <v>7,01</v>
          </cell>
        </row>
        <row r="4698">
          <cell r="A4698">
            <v>9866</v>
          </cell>
          <cell r="B4698" t="str">
            <v xml:space="preserve">TUBO PVC, ROSCAVEL, 1", AGUA FRIA PREDIAL                                                                                                                                                                                                                                                                                                                                                                                                                                                                 </v>
          </cell>
          <cell r="C4698" t="str">
            <v xml:space="preserve">M     </v>
          </cell>
          <cell r="D4698" t="str">
            <v>CR</v>
          </cell>
          <cell r="E4698" t="str">
            <v>18,77</v>
          </cell>
        </row>
        <row r="4699">
          <cell r="A4699">
            <v>9841</v>
          </cell>
          <cell r="B4699" t="str">
            <v xml:space="preserve">TUBO PVC, SERIE R, DN 100 MM, PARA ESGOTO OU AGUAS PLUVIAIS PREDIAL (NBR 5688)                                                                                                                                                                                                                                                                                                                                                                                                                            </v>
          </cell>
          <cell r="C4699" t="str">
            <v xml:space="preserve">M     </v>
          </cell>
          <cell r="D4699" t="str">
            <v>CR</v>
          </cell>
          <cell r="E4699" t="str">
            <v>27,66</v>
          </cell>
        </row>
        <row r="4700">
          <cell r="A4700">
            <v>9840</v>
          </cell>
          <cell r="B4700" t="str">
            <v xml:space="preserve">TUBO PVC, SERIE R, DN 150 MM, PARA ESGOTO OU AGUAS PLUVIAIS PREDIAL (NBR 5688)                                                                                                                                                                                                                                                                                                                                                                                                                            </v>
          </cell>
          <cell r="C4700" t="str">
            <v xml:space="preserve">M     </v>
          </cell>
          <cell r="D4700" t="str">
            <v>CR</v>
          </cell>
          <cell r="E4700" t="str">
            <v>58,43</v>
          </cell>
        </row>
        <row r="4701">
          <cell r="A4701">
            <v>20067</v>
          </cell>
          <cell r="B4701" t="str">
            <v xml:space="preserve">TUBO PVC, SERIE R, DN 40 MM, PARA ESGOTO OU AGUAS PLUVIAIS PREDIAL (NBR 5688)                                                                                                                                                                                                                                                                                                                                                                                                                             </v>
          </cell>
          <cell r="C4701" t="str">
            <v xml:space="preserve">M     </v>
          </cell>
          <cell r="D4701" t="str">
            <v>CR</v>
          </cell>
          <cell r="E4701" t="str">
            <v>8,97</v>
          </cell>
        </row>
        <row r="4702">
          <cell r="A4702">
            <v>20068</v>
          </cell>
          <cell r="B4702" t="str">
            <v xml:space="preserve">TUBO PVC, SERIE R, DN 50 MM, PARA ESGOTO OU AGUAS PLUVIAIS PREDIAL (NBR 5688)                                                                                                                                                                                                                                                                                                                                                                                                                             </v>
          </cell>
          <cell r="C4702" t="str">
            <v xml:space="preserve">M     </v>
          </cell>
          <cell r="D4702" t="str">
            <v>CR</v>
          </cell>
          <cell r="E4702" t="str">
            <v>12,63</v>
          </cell>
        </row>
        <row r="4703">
          <cell r="A4703">
            <v>9839</v>
          </cell>
          <cell r="B4703" t="str">
            <v xml:space="preserve">TUBO PVC, SERIE R, DN 75 MM, PARA ESGOTO OU AGUAS PLUVIAIS PREDIAL (NBR 5688)                                                                                                                                                                                                                                                                                                                                                                                                                             </v>
          </cell>
          <cell r="C4703" t="str">
            <v xml:space="preserve">M     </v>
          </cell>
          <cell r="D4703" t="str">
            <v>CR</v>
          </cell>
          <cell r="E4703" t="str">
            <v>22,91</v>
          </cell>
        </row>
        <row r="4704">
          <cell r="A4704">
            <v>9870</v>
          </cell>
          <cell r="B4704" t="str">
            <v xml:space="preserve">TUBO PVC, SOLDAVEL, DE 110 MM, AGUA FRIA (NBR-5648)                                                                                                                                                                                                                                                                                                                                                                                                                                                       </v>
          </cell>
          <cell r="C4704" t="str">
            <v xml:space="preserve">M     </v>
          </cell>
          <cell r="D4704" t="str">
            <v>CR</v>
          </cell>
          <cell r="E4704" t="str">
            <v>80,96</v>
          </cell>
        </row>
        <row r="4705">
          <cell r="A4705">
            <v>9867</v>
          </cell>
          <cell r="B4705" t="str">
            <v xml:space="preserve">TUBO PVC, SOLDAVEL, DE 20 MM, AGUA FRIA (NBR-5648)                                                                                                                                                                                                                                                                                                                                                                                                                                                        </v>
          </cell>
          <cell r="C4705" t="str">
            <v xml:space="preserve">M     </v>
          </cell>
          <cell r="D4705" t="str">
            <v>CR</v>
          </cell>
          <cell r="E4705" t="str">
            <v>3,25</v>
          </cell>
        </row>
        <row r="4706">
          <cell r="A4706">
            <v>9868</v>
          </cell>
          <cell r="B4706" t="str">
            <v xml:space="preserve">TUBO PVC, SOLDAVEL, DE 25 MM, AGUA FRIA (NBR-5648)                                                                                                                                                                                                                                                                                                                                                                                                                                                        </v>
          </cell>
          <cell r="C4706" t="str">
            <v xml:space="preserve">M     </v>
          </cell>
          <cell r="D4706" t="str">
            <v xml:space="preserve">C </v>
          </cell>
          <cell r="E4706" t="str">
            <v>3,67</v>
          </cell>
        </row>
        <row r="4707">
          <cell r="A4707">
            <v>9869</v>
          </cell>
          <cell r="B4707" t="str">
            <v xml:space="preserve">TUBO PVC, SOLDAVEL, DE 32 MM, AGUA FRIA (NBR-5648)                                                                                                                                                                                                                                                                                                                                                                                                                                                        </v>
          </cell>
          <cell r="C4707" t="str">
            <v xml:space="preserve">M     </v>
          </cell>
          <cell r="D4707" t="str">
            <v>CR</v>
          </cell>
          <cell r="E4707" t="str">
            <v>7,92</v>
          </cell>
        </row>
        <row r="4708">
          <cell r="A4708">
            <v>9874</v>
          </cell>
          <cell r="B4708" t="str">
            <v xml:space="preserve">TUBO PVC, SOLDAVEL, DE 40 MM, AGUA FRIA (NBR-5648)                                                                                                                                                                                                                                                                                                                                                                                                                                                        </v>
          </cell>
          <cell r="C4708" t="str">
            <v xml:space="preserve">M     </v>
          </cell>
          <cell r="D4708" t="str">
            <v>CR</v>
          </cell>
          <cell r="E4708" t="str">
            <v>12,44</v>
          </cell>
        </row>
        <row r="4709">
          <cell r="A4709">
            <v>9875</v>
          </cell>
          <cell r="B4709" t="str">
            <v xml:space="preserve">TUBO PVC, SOLDAVEL, DE 50 MM, AGUA FRIA (NBR-5648)                                                                                                                                                                                                                                                                                                                                                                                                                                                        </v>
          </cell>
          <cell r="C4709" t="str">
            <v xml:space="preserve">M     </v>
          </cell>
          <cell r="D4709" t="str">
            <v>CR</v>
          </cell>
          <cell r="E4709" t="str">
            <v>13,64</v>
          </cell>
        </row>
        <row r="4710">
          <cell r="A4710">
            <v>9873</v>
          </cell>
          <cell r="B4710" t="str">
            <v xml:space="preserve">TUBO PVC, SOLDAVEL, DE 60 MM, AGUA FRIA (NBR-5648)                                                                                                                                                                                                                                                                                                                                                                                                                                                        </v>
          </cell>
          <cell r="C4710" t="str">
            <v xml:space="preserve">M     </v>
          </cell>
          <cell r="D4710" t="str">
            <v>CR</v>
          </cell>
          <cell r="E4710" t="str">
            <v>22,44</v>
          </cell>
        </row>
        <row r="4711">
          <cell r="A4711">
            <v>9871</v>
          </cell>
          <cell r="B4711" t="str">
            <v xml:space="preserve">TUBO PVC, SOLDAVEL, DE 75 MM, AGUA FRIA (NBR-5648)                                                                                                                                                                                                                                                                                                                                                                                                                                                        </v>
          </cell>
          <cell r="C4711" t="str">
            <v xml:space="preserve">M     </v>
          </cell>
          <cell r="D4711" t="str">
            <v>CR</v>
          </cell>
          <cell r="E4711" t="str">
            <v>37,19</v>
          </cell>
        </row>
        <row r="4712">
          <cell r="A4712">
            <v>9872</v>
          </cell>
          <cell r="B4712" t="str">
            <v xml:space="preserve">TUBO PVC, SOLDAVEL, DE 85 MM, AGUA FRIA (NBR-5648)                                                                                                                                                                                                                                                                                                                                                                                                                                                        </v>
          </cell>
          <cell r="C4712" t="str">
            <v xml:space="preserve">M     </v>
          </cell>
          <cell r="D4712" t="str">
            <v>CR</v>
          </cell>
          <cell r="E4712" t="str">
            <v>51,74</v>
          </cell>
        </row>
        <row r="4713">
          <cell r="A4713">
            <v>7667</v>
          </cell>
          <cell r="B4713" t="str">
            <v xml:space="preserve">TUBO 26" EM CHAPA PRETA, E= 3/16", 147 KG/6 M                                                                                                                                                                                                                                                                                                                                                                                                                                                             </v>
          </cell>
          <cell r="C4713" t="str">
            <v xml:space="preserve">M     </v>
          </cell>
          <cell r="D4713" t="str">
            <v>CR</v>
          </cell>
          <cell r="E4713" t="str">
            <v>3.449,11</v>
          </cell>
        </row>
        <row r="4714">
          <cell r="A4714">
            <v>7660</v>
          </cell>
          <cell r="B4714" t="str">
            <v xml:space="preserve">TUBO 30" EM CHAPA PRETA, E= 1/4", 175 KG/6 M                                                                                                                                                                                                                                                                                                                                                                                                                                                              </v>
          </cell>
          <cell r="C4714" t="str">
            <v xml:space="preserve">M     </v>
          </cell>
          <cell r="D4714" t="str">
            <v>CR</v>
          </cell>
          <cell r="E4714" t="str">
            <v>4.396,79</v>
          </cell>
        </row>
        <row r="4715">
          <cell r="A4715">
            <v>7676</v>
          </cell>
          <cell r="B4715" t="str">
            <v xml:space="preserve">TUBO 30" EM CHAPA PRETA, E= 3/8", 177 KG/6 M                                                                                                                                                                                                                                                                                                                                                                                                                                                              </v>
          </cell>
          <cell r="C4715" t="str">
            <v xml:space="preserve">M     </v>
          </cell>
          <cell r="D4715" t="str">
            <v>CR</v>
          </cell>
          <cell r="E4715" t="str">
            <v>4.447,04</v>
          </cell>
        </row>
        <row r="4716">
          <cell r="A4716">
            <v>12426</v>
          </cell>
          <cell r="B4716" t="str">
            <v xml:space="preserve">UNIAO COM ASSENTO CONICO DE BRONZE, DIAMETRO 1/2"                                                                                                                                                                                                                                                                                                                                                                                                                                                         </v>
          </cell>
          <cell r="C4716" t="str">
            <v xml:space="preserve">UN    </v>
          </cell>
          <cell r="D4716" t="str">
            <v>CR</v>
          </cell>
          <cell r="E4716" t="str">
            <v>50,70</v>
          </cell>
        </row>
        <row r="4717">
          <cell r="A4717">
            <v>12425</v>
          </cell>
          <cell r="B4717" t="str">
            <v xml:space="preserve">UNIAO COM ASSENTO CONICO DE BRONZE, DIAMETRO 1"                                                                                                                                                                                                                                                                                                                                                                                                                                                           </v>
          </cell>
          <cell r="C4717" t="str">
            <v xml:space="preserve">UN    </v>
          </cell>
          <cell r="D4717" t="str">
            <v>CR</v>
          </cell>
          <cell r="E4717" t="str">
            <v>69,65</v>
          </cell>
        </row>
        <row r="4718">
          <cell r="A4718">
            <v>12427</v>
          </cell>
          <cell r="B4718" t="str">
            <v xml:space="preserve">UNIAO COM ASSENTO CONICO DE BRONZE, DIAMETRO 2 1/2"                                                                                                                                                                                                                                                                                                                                                                                                                                                       </v>
          </cell>
          <cell r="C4718" t="str">
            <v xml:space="preserve">UN    </v>
          </cell>
          <cell r="D4718" t="str">
            <v>CR</v>
          </cell>
          <cell r="E4718" t="str">
            <v>289,11</v>
          </cell>
        </row>
        <row r="4719">
          <cell r="A4719">
            <v>12428</v>
          </cell>
          <cell r="B4719" t="str">
            <v xml:space="preserve">UNIAO COM ASSENTO CONICO DE BRONZE, DIAMETRO 2'                                                                                                                                                                                                                                                                                                                                                                                                                                                           </v>
          </cell>
          <cell r="C4719" t="str">
            <v xml:space="preserve">UN    </v>
          </cell>
          <cell r="D4719" t="str">
            <v>CR</v>
          </cell>
          <cell r="E4719" t="str">
            <v>185,57</v>
          </cell>
        </row>
        <row r="4720">
          <cell r="A4720">
            <v>12430</v>
          </cell>
          <cell r="B4720" t="str">
            <v xml:space="preserve">UNIAO COM ASSENTO CONICO DE BRONZE, DIAMETRO 3/4"                                                                                                                                                                                                                                                                                                                                                                                                                                                         </v>
          </cell>
          <cell r="C4720" t="str">
            <v xml:space="preserve">UN    </v>
          </cell>
          <cell r="D4720" t="str">
            <v>CR</v>
          </cell>
          <cell r="E4720" t="str">
            <v>62,15</v>
          </cell>
        </row>
        <row r="4721">
          <cell r="A4721">
            <v>12429</v>
          </cell>
          <cell r="B4721" t="str">
            <v xml:space="preserve">UNIAO COM ASSENTO CONICO DE BRONZE, DIAMETRO 3"                                                                                                                                                                                                                                                                                                                                                                                                                                                           </v>
          </cell>
          <cell r="C4721" t="str">
            <v xml:space="preserve">UN    </v>
          </cell>
          <cell r="D4721" t="str">
            <v>CR</v>
          </cell>
          <cell r="E4721" t="str">
            <v>467,50</v>
          </cell>
        </row>
        <row r="4722">
          <cell r="A4722">
            <v>12431</v>
          </cell>
          <cell r="B4722" t="str">
            <v xml:space="preserve">UNIAO COM ASSENTO CONICO DE BRONZE, DIAMETRO 4"                                                                                                                                                                                                                                                                                                                                                                                                                                                           </v>
          </cell>
          <cell r="C4722" t="str">
            <v xml:space="preserve">UN    </v>
          </cell>
          <cell r="D4722" t="str">
            <v>CR</v>
          </cell>
          <cell r="E4722" t="str">
            <v>795,60</v>
          </cell>
        </row>
        <row r="4723">
          <cell r="A4723">
            <v>12432</v>
          </cell>
          <cell r="B4723" t="str">
            <v xml:space="preserve">UNIAO COM ASSENTO CONICO DE FERRO LONGO (MACHO-FEMEA), DIAMETRO 1 1/2"                                                                                                                                                                                                                                                                                                                                                                                                                                    </v>
          </cell>
          <cell r="C4723" t="str">
            <v xml:space="preserve">UN    </v>
          </cell>
          <cell r="D4723" t="str">
            <v>CR</v>
          </cell>
          <cell r="E4723" t="str">
            <v>163,63</v>
          </cell>
        </row>
        <row r="4724">
          <cell r="A4724">
            <v>12434</v>
          </cell>
          <cell r="B4724" t="str">
            <v xml:space="preserve">UNIAO COM ASSENTO CONICO DE FERRO LONGO (MACHO-FEMEA), DIAMETRO 1/2"                                                                                                                                                                                                                                                                                                                                                                                                                                      </v>
          </cell>
          <cell r="C4724" t="str">
            <v xml:space="preserve">UN    </v>
          </cell>
          <cell r="D4724" t="str">
            <v>CR</v>
          </cell>
          <cell r="E4724" t="str">
            <v>53,32</v>
          </cell>
        </row>
        <row r="4725">
          <cell r="A4725">
            <v>12433</v>
          </cell>
          <cell r="B4725" t="str">
            <v xml:space="preserve">UNIAO COM ASSENTO CONICO DE FERRO LONGO (MACHO-FEMEA), DIAMETRO 1"                                                                                                                                                                                                                                                                                                                                                                                                                                        </v>
          </cell>
          <cell r="C4725" t="str">
            <v xml:space="preserve">UN    </v>
          </cell>
          <cell r="D4725" t="str">
            <v>CR</v>
          </cell>
          <cell r="E4725" t="str">
            <v>104,17</v>
          </cell>
        </row>
        <row r="4726">
          <cell r="A4726">
            <v>12435</v>
          </cell>
          <cell r="B4726" t="str">
            <v xml:space="preserve">UNIAO COM ASSENTO CONICO DE FERRO LONGO (MACHO-FEMEA), DIAMETRO 2 1/2"                                                                                                                                                                                                                                                                                                                                                                                                                                    </v>
          </cell>
          <cell r="C4726" t="str">
            <v xml:space="preserve">UN    </v>
          </cell>
          <cell r="D4726" t="str">
            <v>CR</v>
          </cell>
          <cell r="E4726" t="str">
            <v>322,38</v>
          </cell>
        </row>
        <row r="4727">
          <cell r="A4727">
            <v>12437</v>
          </cell>
          <cell r="B4727" t="str">
            <v xml:space="preserve">UNIAO COM ASSENTO CONICO DE FERRO LONGO (MACHO-FEMEA), DIAMETRO 2"                                                                                                                                                                                                                                                                                                                                                                                                                                        </v>
          </cell>
          <cell r="C4727" t="str">
            <v xml:space="preserve">UN    </v>
          </cell>
          <cell r="D4727" t="str">
            <v>CR</v>
          </cell>
          <cell r="E4727" t="str">
            <v>260,36</v>
          </cell>
        </row>
        <row r="4728">
          <cell r="A4728">
            <v>12439</v>
          </cell>
          <cell r="B4728" t="str">
            <v xml:space="preserve">UNIAO COM ASSENTO CONICO DE FERRO LONGO (MACHO-FEMEA), DIAMETRO 3/4"                                                                                                                                                                                                                                                                                                                                                                                                                                      </v>
          </cell>
          <cell r="C4728" t="str">
            <v xml:space="preserve">UN    </v>
          </cell>
          <cell r="D4728" t="str">
            <v>CR</v>
          </cell>
          <cell r="E4728" t="str">
            <v>83,56</v>
          </cell>
        </row>
        <row r="4729">
          <cell r="A4729">
            <v>12438</v>
          </cell>
          <cell r="B4729" t="str">
            <v xml:space="preserve">UNIAO COM ASSENTO CONICO DE FERRO LONGO (MACHO-FEMEA), DIAMETRO 3'                                                                                                                                                                                                                                                                                                                                                                                                                                        </v>
          </cell>
          <cell r="C4729" t="str">
            <v xml:space="preserve">UN    </v>
          </cell>
          <cell r="D4729" t="str">
            <v>CR</v>
          </cell>
          <cell r="E4729" t="str">
            <v>471,17</v>
          </cell>
        </row>
        <row r="4730">
          <cell r="A4730">
            <v>12436</v>
          </cell>
          <cell r="B4730" t="str">
            <v xml:space="preserve">UNIAO COM ASSENTO CONICO DE FERRO LONGO (MACHO-FEMEA), DIAMETRO 4"                                                                                                                                                                                                                                                                                                                                                                                                                                        </v>
          </cell>
          <cell r="C4730" t="str">
            <v xml:space="preserve">UN    </v>
          </cell>
          <cell r="D4730" t="str">
            <v>CR</v>
          </cell>
          <cell r="E4730" t="str">
            <v>595,19</v>
          </cell>
        </row>
        <row r="4731">
          <cell r="A4731">
            <v>36357</v>
          </cell>
          <cell r="B4731" t="str">
            <v xml:space="preserve">UNIAO COM FLANGE PPR, COM PARAFUSOS, DN 40 MM, PARA AGUA QUENTE PREDIAL                                                                                                                                                                                                                                                                                                                                                                                                                                   </v>
          </cell>
          <cell r="C4731" t="str">
            <v xml:space="preserve">UN    </v>
          </cell>
          <cell r="D4731" t="str">
            <v>CR</v>
          </cell>
          <cell r="E4731" t="str">
            <v>132,33</v>
          </cell>
        </row>
        <row r="4732">
          <cell r="A4732">
            <v>12424</v>
          </cell>
          <cell r="B4732" t="str">
            <v xml:space="preserve">UNIAO DE FERRO GALVANIZADO, COM ASSENTO CONICO DE BRONZE, DE 1 1/2"                                                                                                                                                                                                                                                                                                                                                                                                                                       </v>
          </cell>
          <cell r="C4732" t="str">
            <v xml:space="preserve">UN    </v>
          </cell>
          <cell r="D4732" t="str">
            <v>CR</v>
          </cell>
          <cell r="E4732" t="str">
            <v>107,25</v>
          </cell>
        </row>
        <row r="4733">
          <cell r="A4733">
            <v>12440</v>
          </cell>
          <cell r="B4733" t="str">
            <v xml:space="preserve">UNIAO DE FERRO GALVANIZADO, COM ASSENTO CONICO DE BRONZE, DE 1 1/4"                                                                                                                                                                                                                                                                                                                                                                                                                                       </v>
          </cell>
          <cell r="C4733" t="str">
            <v xml:space="preserve">UN    </v>
          </cell>
          <cell r="D4733" t="str">
            <v>CR</v>
          </cell>
          <cell r="E4733" t="str">
            <v>103,67</v>
          </cell>
        </row>
        <row r="4734">
          <cell r="A4734">
            <v>9884</v>
          </cell>
          <cell r="B4734" t="str">
            <v xml:space="preserve">UNIAO DE FERRO GALVANIZADO, COM ROSCA BSP, COM ASSENTO PLANO, DE 1 1/2"                                                                                                                                                                                                                                                                                                                                                                                                                                   </v>
          </cell>
          <cell r="C4734" t="str">
            <v xml:space="preserve">UN    </v>
          </cell>
          <cell r="D4734" t="str">
            <v>CR</v>
          </cell>
          <cell r="E4734" t="str">
            <v>77,32</v>
          </cell>
        </row>
        <row r="4735">
          <cell r="A4735">
            <v>9888</v>
          </cell>
          <cell r="B4735" t="str">
            <v xml:space="preserve">UNIAO DE FERRO GALVANIZADO, COM ROSCA BSP, COM ASSENTO PLANO, DE 1 1/4"                                                                                                                                                                                                                                                                                                                                                                                                                                   </v>
          </cell>
          <cell r="C4735" t="str">
            <v xml:space="preserve">UN    </v>
          </cell>
          <cell r="D4735" t="str">
            <v>CR</v>
          </cell>
          <cell r="E4735" t="str">
            <v>62,13</v>
          </cell>
        </row>
        <row r="4736">
          <cell r="A4736">
            <v>9883</v>
          </cell>
          <cell r="B4736" t="str">
            <v xml:space="preserve">UNIAO DE FERRO GALVANIZADO, COM ROSCA BSP, COM ASSENTO PLANO, DE 1/2"                                                                                                                                                                                                                                                                                                                                                                                                                                     </v>
          </cell>
          <cell r="C4736" t="str">
            <v xml:space="preserve">UN    </v>
          </cell>
          <cell r="D4736" t="str">
            <v>CR</v>
          </cell>
          <cell r="E4736" t="str">
            <v>27,11</v>
          </cell>
        </row>
        <row r="4737">
          <cell r="A4737">
            <v>9886</v>
          </cell>
          <cell r="B4737" t="str">
            <v xml:space="preserve">UNIAO DE FERRO GALVANIZADO, COM ROSCA BSP, COM ASSENTO PLANO, DE 1"                                                                                                                                                                                                                                                                                                                                                                                                                                       </v>
          </cell>
          <cell r="C4737" t="str">
            <v xml:space="preserve">UN    </v>
          </cell>
          <cell r="D4737" t="str">
            <v>CR</v>
          </cell>
          <cell r="E4737" t="str">
            <v>37,13</v>
          </cell>
        </row>
        <row r="4738">
          <cell r="A4738">
            <v>9889</v>
          </cell>
          <cell r="B4738" t="str">
            <v xml:space="preserve">UNIAO DE FERRO GALVANIZADO, COM ROSCA BSP, COM ASSENTO PLANO, DE 2 1/2"                                                                                                                                                                                                                                                                                                                                                                                                                                   </v>
          </cell>
          <cell r="C4738" t="str">
            <v xml:space="preserve">UN    </v>
          </cell>
          <cell r="D4738" t="str">
            <v>CR</v>
          </cell>
          <cell r="E4738" t="str">
            <v>188,12</v>
          </cell>
        </row>
        <row r="4739">
          <cell r="A4739">
            <v>9887</v>
          </cell>
          <cell r="B4739" t="str">
            <v xml:space="preserve">UNIAO DE FERRO GALVANIZADO, COM ROSCA BSP, COM ASSENTO PLANO, DE 2"                                                                                                                                                                                                                                                                                                                                                                                                                                       </v>
          </cell>
          <cell r="C4739" t="str">
            <v xml:space="preserve">UN    </v>
          </cell>
          <cell r="D4739" t="str">
            <v>CR</v>
          </cell>
          <cell r="E4739" t="str">
            <v>113,70</v>
          </cell>
        </row>
        <row r="4740">
          <cell r="A4740">
            <v>9885</v>
          </cell>
          <cell r="B4740" t="str">
            <v xml:space="preserve">UNIAO DE FERRO GALVANIZADO, COM ROSCA BSP, COM ASSENTO PLANO, DE 3/4"                                                                                                                                                                                                                                                                                                                                                                                                                                     </v>
          </cell>
          <cell r="C4740" t="str">
            <v xml:space="preserve">UN    </v>
          </cell>
          <cell r="D4740" t="str">
            <v>CR</v>
          </cell>
          <cell r="E4740" t="str">
            <v>35,90</v>
          </cell>
        </row>
        <row r="4741">
          <cell r="A4741">
            <v>9890</v>
          </cell>
          <cell r="B4741" t="str">
            <v xml:space="preserve">UNIAO DE FERRO GALVANIZADO, COM ROSCA BSP, COM ASSENTO PLANO, DE 3"                                                                                                                                                                                                                                                                                                                                                                                                                                       </v>
          </cell>
          <cell r="C4741" t="str">
            <v xml:space="preserve">UN    </v>
          </cell>
          <cell r="D4741" t="str">
            <v>CR</v>
          </cell>
          <cell r="E4741" t="str">
            <v>291,45</v>
          </cell>
        </row>
        <row r="4742">
          <cell r="A4742">
            <v>9891</v>
          </cell>
          <cell r="B4742" t="str">
            <v xml:space="preserve">UNIAO DE FERRO GALVANIZADO, COM ROSCA BSP, COM ASSENTO PLANO, DE 4"                                                                                                                                                                                                                                                                                                                                                                                                                                       </v>
          </cell>
          <cell r="C4742" t="str">
            <v xml:space="preserve">UN    </v>
          </cell>
          <cell r="D4742" t="str">
            <v>CR</v>
          </cell>
          <cell r="E4742" t="str">
            <v>409,14</v>
          </cell>
        </row>
        <row r="4743">
          <cell r="A4743">
            <v>36313</v>
          </cell>
          <cell r="B4743" t="str">
            <v xml:space="preserve">UNIAO DUPLA PPR, DN 20 MM, PARA AGUA QUENTE PREDIAL                                                                                                                                                                                                                                                                                                                                                                                                                                                       </v>
          </cell>
          <cell r="C4743" t="str">
            <v xml:space="preserve">UN    </v>
          </cell>
          <cell r="D4743" t="str">
            <v>CR</v>
          </cell>
          <cell r="E4743" t="str">
            <v>13,85</v>
          </cell>
        </row>
        <row r="4744">
          <cell r="A4744">
            <v>36316</v>
          </cell>
          <cell r="B4744" t="str">
            <v xml:space="preserve">UNIAO DUPLA PPR, DN 25 MM, PARA AGUA QUENTE PREDIAL                                                                                                                                                                                                                                                                                                                                                                                                                                                       </v>
          </cell>
          <cell r="C4744" t="str">
            <v xml:space="preserve">UN    </v>
          </cell>
          <cell r="D4744" t="str">
            <v>CR</v>
          </cell>
          <cell r="E4744" t="str">
            <v>21,57</v>
          </cell>
        </row>
        <row r="4745">
          <cell r="A4745">
            <v>64</v>
          </cell>
          <cell r="B4745" t="str">
            <v xml:space="preserve">UNIAO EM POLIPROPILENO (PP), PARA TUBO EM PEAD, 20 MM - LIGACAO PREDIAL DE AGUA                                                                                                                                                                                                                                                                                                                                                                                                                           </v>
          </cell>
          <cell r="C4745" t="str">
            <v xml:space="preserve">UN    </v>
          </cell>
          <cell r="D4745" t="str">
            <v>CR</v>
          </cell>
          <cell r="E4745" t="str">
            <v>4,79</v>
          </cell>
        </row>
        <row r="4746">
          <cell r="A4746">
            <v>37423</v>
          </cell>
          <cell r="B4746" t="str">
            <v xml:space="preserve">UNIAO EM POLIPROPILENO (PP), PARA TUBO EM PEAD, 32 MM - LIGACAO PREDIAL DE AGUA                                                                                                                                                                                                                                                                                                                                                                                                                           </v>
          </cell>
          <cell r="C4746" t="str">
            <v xml:space="preserve">UN    </v>
          </cell>
          <cell r="D4746" t="str">
            <v>CR</v>
          </cell>
          <cell r="E4746" t="str">
            <v>11,84</v>
          </cell>
        </row>
        <row r="4747">
          <cell r="A4747">
            <v>9892</v>
          </cell>
          <cell r="B4747" t="str">
            <v xml:space="preserve">UNIAO PVC, ROSCAVEL 1/2",  AGUA FRIA PREDIAL                                                                                                                                                                                                                                                                                                                                                                                                                                                              </v>
          </cell>
          <cell r="C4747" t="str">
            <v xml:space="preserve">UN    </v>
          </cell>
          <cell r="D4747" t="str">
            <v>CR</v>
          </cell>
          <cell r="E4747" t="str">
            <v>5,95</v>
          </cell>
        </row>
        <row r="4748">
          <cell r="A4748">
            <v>9901</v>
          </cell>
          <cell r="B4748" t="str">
            <v xml:space="preserve">UNIAO PVC, ROSCAVEL, 1 1/2",  AGUA FRIA PREDIAL                                                                                                                                                                                                                                                                                                                                                                                                                                                           </v>
          </cell>
          <cell r="C4748" t="str">
            <v xml:space="preserve">UN    </v>
          </cell>
          <cell r="D4748" t="str">
            <v>CR</v>
          </cell>
          <cell r="E4748" t="str">
            <v>28,82</v>
          </cell>
        </row>
        <row r="4749">
          <cell r="A4749">
            <v>9900</v>
          </cell>
          <cell r="B4749" t="str">
            <v xml:space="preserve">UNIAO PVC, ROSCAVEL, 1",  AGUA FRIA PREDIAL                                                                                                                                                                                                                                                                                                                                                                                                                                                               </v>
          </cell>
          <cell r="C4749" t="str">
            <v xml:space="preserve">UN    </v>
          </cell>
          <cell r="D4749" t="str">
            <v>CR</v>
          </cell>
          <cell r="E4749" t="str">
            <v>16,70</v>
          </cell>
        </row>
        <row r="4750">
          <cell r="A4750">
            <v>9899</v>
          </cell>
          <cell r="B4750" t="str">
            <v xml:space="preserve">UNIAO PVC, ROSCAVEL, 3/4",  AGUA FRIA PREDIAL                                                                                                                                                                                                                                                                                                                                                                                                                                                             </v>
          </cell>
          <cell r="C4750" t="str">
            <v xml:space="preserve">UN    </v>
          </cell>
          <cell r="D4750" t="str">
            <v>CR</v>
          </cell>
          <cell r="E4750" t="str">
            <v>7,49</v>
          </cell>
        </row>
        <row r="4751">
          <cell r="A4751">
            <v>9908</v>
          </cell>
          <cell r="B4751" t="str">
            <v xml:space="preserve">UNIAO PVC, SOLDAVEL, 110 MM,  PARA AGUA FRIA PREDIAL                                                                                                                                                                                                                                                                                                                                                                                                                                                      </v>
          </cell>
          <cell r="C4751" t="str">
            <v xml:space="preserve">UN    </v>
          </cell>
          <cell r="D4751" t="str">
            <v>CR</v>
          </cell>
          <cell r="E4751" t="str">
            <v>336,59</v>
          </cell>
        </row>
        <row r="4752">
          <cell r="A4752">
            <v>9905</v>
          </cell>
          <cell r="B4752" t="str">
            <v xml:space="preserve">UNIAO PVC, SOLDAVEL, 20 MM,  PARA AGUA FRIA PREDIAL                                                                                                                                                                                                                                                                                                                                                                                                                                                       </v>
          </cell>
          <cell r="C4752" t="str">
            <v xml:space="preserve">UN    </v>
          </cell>
          <cell r="D4752" t="str">
            <v>CR</v>
          </cell>
          <cell r="E4752" t="str">
            <v>5,85</v>
          </cell>
        </row>
        <row r="4753">
          <cell r="A4753">
            <v>9906</v>
          </cell>
          <cell r="B4753" t="str">
            <v xml:space="preserve">UNIAO PVC, SOLDAVEL, 25 MM,  PARA AGUA FRIA PREDIAL                                                                                                                                                                                                                                                                                                                                                                                                                                                       </v>
          </cell>
          <cell r="C4753" t="str">
            <v xml:space="preserve">UN    </v>
          </cell>
          <cell r="D4753" t="str">
            <v>CR</v>
          </cell>
          <cell r="E4753" t="str">
            <v>7,06</v>
          </cell>
        </row>
        <row r="4754">
          <cell r="A4754">
            <v>9895</v>
          </cell>
          <cell r="B4754" t="str">
            <v xml:space="preserve">UNIAO PVC, SOLDAVEL, 32 MM,  PARA AGUA FRIA PREDIAL                                                                                                                                                                                                                                                                                                                                                                                                                                                       </v>
          </cell>
          <cell r="C4754" t="str">
            <v xml:space="preserve">UN    </v>
          </cell>
          <cell r="D4754" t="str">
            <v>CR</v>
          </cell>
          <cell r="E4754" t="str">
            <v>11,89</v>
          </cell>
        </row>
        <row r="4755">
          <cell r="A4755">
            <v>9894</v>
          </cell>
          <cell r="B4755" t="str">
            <v xml:space="preserve">UNIAO PVC, SOLDAVEL, 40 MM,  PARA AGUA FRIA PREDIAL                                                                                                                                                                                                                                                                                                                                                                                                                                                       </v>
          </cell>
          <cell r="C4755" t="str">
            <v xml:space="preserve">UN    </v>
          </cell>
          <cell r="D4755" t="str">
            <v>CR</v>
          </cell>
          <cell r="E4755" t="str">
            <v>22,87</v>
          </cell>
        </row>
        <row r="4756">
          <cell r="A4756">
            <v>9897</v>
          </cell>
          <cell r="B4756" t="str">
            <v xml:space="preserve">UNIAO PVC, SOLDAVEL, 50 MM,  PARA AGUA FRIA PREDIAL                                                                                                                                                                                                                                                                                                                                                                                                                                                       </v>
          </cell>
          <cell r="C4756" t="str">
            <v xml:space="preserve">UN    </v>
          </cell>
          <cell r="D4756" t="str">
            <v>CR</v>
          </cell>
          <cell r="E4756" t="str">
            <v>24,42</v>
          </cell>
        </row>
        <row r="4757">
          <cell r="A4757">
            <v>9910</v>
          </cell>
          <cell r="B4757" t="str">
            <v xml:space="preserve">UNIAO PVC, SOLDAVEL, 60 MM,  PARA AGUA FRIA PREDIAL                                                                                                                                                                                                                                                                                                                                                                                                                                                       </v>
          </cell>
          <cell r="C4757" t="str">
            <v xml:space="preserve">UN    </v>
          </cell>
          <cell r="D4757" t="str">
            <v>CR</v>
          </cell>
          <cell r="E4757" t="str">
            <v>63,53</v>
          </cell>
        </row>
        <row r="4758">
          <cell r="A4758">
            <v>9909</v>
          </cell>
          <cell r="B4758" t="str">
            <v xml:space="preserve">UNIAO PVC, SOLDAVEL, 75 MM,  PARA AGUA FRIA PREDIAL                                                                                                                                                                                                                                                                                                                                                                                                                                                       </v>
          </cell>
          <cell r="C4758" t="str">
            <v xml:space="preserve">UN    </v>
          </cell>
          <cell r="D4758" t="str">
            <v>CR</v>
          </cell>
          <cell r="E4758" t="str">
            <v>129,39</v>
          </cell>
        </row>
        <row r="4759">
          <cell r="A4759">
            <v>9907</v>
          </cell>
          <cell r="B4759" t="str">
            <v xml:space="preserve">UNIAO PVC, SOLDAVEL, 85 MM,  PARA AGUA FRIA PREDIAL                                                                                                                                                                                                                                                                                                                                                                                                                                                       </v>
          </cell>
          <cell r="C4759" t="str">
            <v xml:space="preserve">UN    </v>
          </cell>
          <cell r="D4759" t="str">
            <v>CR</v>
          </cell>
          <cell r="E4759" t="str">
            <v>152,77</v>
          </cell>
        </row>
        <row r="4760">
          <cell r="A4760">
            <v>20973</v>
          </cell>
          <cell r="B4760" t="str">
            <v xml:space="preserve">UNIAO TIPO STORZ, COM EMPATACAO INTERNA TIPO ANEL DE EXPANSAO, ENGATE RAPIDO 1 1/2", PARA MANGUEIRA DE COMBATE A INCENDIO PREDIAL                                                                                                                                                                                                                                                                                                                                                                         </v>
          </cell>
          <cell r="C4760" t="str">
            <v xml:space="preserve">UN    </v>
          </cell>
          <cell r="D4760" t="str">
            <v>CR</v>
          </cell>
          <cell r="E4760" t="str">
            <v>183,72</v>
          </cell>
        </row>
        <row r="4761">
          <cell r="A4761">
            <v>20974</v>
          </cell>
          <cell r="B4761" t="str">
            <v xml:space="preserve">UNIAO TIPO STORZ, COM EMPATACAO INTERNA TIPO ANEL DE EXPANSAO, ENGATE RAPIDO 2 1/2", PARA MANGUEIRA DE COMBATE A INCENDIO PREDIAL                                                                                                                                                                                                                                                                                                                                                                         </v>
          </cell>
          <cell r="C4761" t="str">
            <v xml:space="preserve">UN    </v>
          </cell>
          <cell r="D4761" t="str">
            <v>CR</v>
          </cell>
          <cell r="E4761" t="str">
            <v>262,85</v>
          </cell>
        </row>
        <row r="4762">
          <cell r="A4762">
            <v>37989</v>
          </cell>
          <cell r="B4762" t="str">
            <v xml:space="preserve">UNIAO, CPVC, SOLDAVEL, 15 MM, PARA AGUA QUENTE PREDIAL                                                                                                                                                                                                                                                                                                                                                                                                                                                    </v>
          </cell>
          <cell r="C4762" t="str">
            <v xml:space="preserve">UN    </v>
          </cell>
          <cell r="D4762" t="str">
            <v>CR</v>
          </cell>
          <cell r="E4762" t="str">
            <v>12,06</v>
          </cell>
        </row>
        <row r="4763">
          <cell r="A4763">
            <v>37990</v>
          </cell>
          <cell r="B4763" t="str">
            <v xml:space="preserve">UNIAO, CPVC, SOLDAVEL, 22 MM, PARA AGUA QUENTE PREDIAL                                                                                                                                                                                                                                                                                                                                                                                                                                                    </v>
          </cell>
          <cell r="C4763" t="str">
            <v xml:space="preserve">UN    </v>
          </cell>
          <cell r="D4763" t="str">
            <v>CR</v>
          </cell>
          <cell r="E4763" t="str">
            <v>13,30</v>
          </cell>
        </row>
        <row r="4764">
          <cell r="A4764">
            <v>37991</v>
          </cell>
          <cell r="B4764" t="str">
            <v xml:space="preserve">UNIAO, CPVC, SOLDAVEL, 28 MM, PARA AGUA QUENTE PREDIAL                                                                                                                                                                                                                                                                                                                                                                                                                                                    </v>
          </cell>
          <cell r="C4764" t="str">
            <v xml:space="preserve">UN    </v>
          </cell>
          <cell r="D4764" t="str">
            <v>CR</v>
          </cell>
          <cell r="E4764" t="str">
            <v>17,70</v>
          </cell>
        </row>
        <row r="4765">
          <cell r="A4765">
            <v>37992</v>
          </cell>
          <cell r="B4765" t="str">
            <v xml:space="preserve">UNIAO, CPVC, SOLDAVEL, 35 MM, PARA AGUA QUENTE PREDIAL                                                                                                                                                                                                                                                                                                                                                                                                                                                    </v>
          </cell>
          <cell r="C4765" t="str">
            <v xml:space="preserve">UN    </v>
          </cell>
          <cell r="D4765" t="str">
            <v>CR</v>
          </cell>
          <cell r="E4765" t="str">
            <v>27,47</v>
          </cell>
        </row>
        <row r="4766">
          <cell r="A4766">
            <v>37993</v>
          </cell>
          <cell r="B4766" t="str">
            <v xml:space="preserve">UNIAO, CPVC, SOLDAVEL, 42 MM, PARA AGUA QUENTE PREDIAL                                                                                                                                                                                                                                                                                                                                                                                                                                                    </v>
          </cell>
          <cell r="C4766" t="str">
            <v xml:space="preserve">UN    </v>
          </cell>
          <cell r="D4766" t="str">
            <v>CR</v>
          </cell>
          <cell r="E4766" t="str">
            <v>41,68</v>
          </cell>
        </row>
        <row r="4767">
          <cell r="A4767">
            <v>37994</v>
          </cell>
          <cell r="B4767" t="str">
            <v xml:space="preserve">UNIAO, CPVC, SOLDAVEL, 54 MM, PARA AGUA QUENTE PREDIAL                                                                                                                                                                                                                                                                                                                                                                                                                                                    </v>
          </cell>
          <cell r="C4767" t="str">
            <v xml:space="preserve">UN    </v>
          </cell>
          <cell r="D4767" t="str">
            <v>CR</v>
          </cell>
          <cell r="E4767" t="str">
            <v>99,25</v>
          </cell>
        </row>
        <row r="4768">
          <cell r="A4768">
            <v>37995</v>
          </cell>
          <cell r="B4768" t="str">
            <v xml:space="preserve">UNIAO, CPVC, SOLDAVEL, 73 MM, PARA AGUA QUENTE PREDIAL                                                                                                                                                                                                                                                                                                                                                                                                                                                    </v>
          </cell>
          <cell r="C4768" t="str">
            <v xml:space="preserve">UN    </v>
          </cell>
          <cell r="D4768" t="str">
            <v>CR</v>
          </cell>
          <cell r="E4768" t="str">
            <v>129,37</v>
          </cell>
        </row>
        <row r="4769">
          <cell r="A4769">
            <v>37996</v>
          </cell>
          <cell r="B4769" t="str">
            <v xml:space="preserve">UNIAO, CPVC, SOLDAVEL, 89 MM, PARA AGUA QUENTE PREDIAL                                                                                                                                                                                                                                                                                                                                                                                                                                                    </v>
          </cell>
          <cell r="C4769" t="str">
            <v xml:space="preserve">UN    </v>
          </cell>
          <cell r="D4769" t="str">
            <v>CR</v>
          </cell>
          <cell r="E4769" t="str">
            <v>197,00</v>
          </cell>
        </row>
        <row r="4770">
          <cell r="A4770">
            <v>13883</v>
          </cell>
          <cell r="B4770" t="str">
            <v xml:space="preserve">USINA DE ASFALTO A FRIO, CAPACIDADE DE 30 A 40 T/H, ELETRICA, POTENCIA DE 30 CV                                                                                                                                                                                                                                                                                                                                                                                                                           </v>
          </cell>
          <cell r="C4770" t="str">
            <v xml:space="preserve">UN    </v>
          </cell>
          <cell r="D4770" t="str">
            <v>CR</v>
          </cell>
          <cell r="E4770" t="str">
            <v>150.170,97</v>
          </cell>
        </row>
        <row r="4771">
          <cell r="A4771">
            <v>38604</v>
          </cell>
          <cell r="B4771" t="str">
            <v xml:space="preserve">USINA DE ASFALTO A FRIO, CAPACIDADE DE 40 A 60 T/H, ELETRICA, POTENCIA DE 30 CV                                                                                                                                                                                                                                                                                                                                                                                                                           </v>
          </cell>
          <cell r="C4771" t="str">
            <v xml:space="preserve">UN    </v>
          </cell>
          <cell r="D4771" t="str">
            <v>CR</v>
          </cell>
          <cell r="E4771" t="str">
            <v>187.035,95</v>
          </cell>
        </row>
        <row r="4772">
          <cell r="A4772">
            <v>10601</v>
          </cell>
          <cell r="B4772" t="str">
            <v xml:space="preserve">USINA DE ASFALTO A QUENTE, FIXA, TIPO CONTRA FLUXO, CAPACIDADE DE 100 A 140 T/H, POTENCIA DE 280 KW, COM MISTURADOR EXTERNO ROTATIVO                                                                                                                                                                                                                                                                                                                                                                      </v>
          </cell>
          <cell r="C4772" t="str">
            <v xml:space="preserve">UN    </v>
          </cell>
          <cell r="D4772" t="str">
            <v>CR</v>
          </cell>
          <cell r="E4772" t="str">
            <v>3.638.222,43</v>
          </cell>
        </row>
        <row r="4773">
          <cell r="A4773">
            <v>44469</v>
          </cell>
          <cell r="B4773" t="str">
            <v xml:space="preserve">USINA DE ASFALTO, GRAVIMETRICA, CAPACIDADE DE 150 T/H, POTENCIA DE 400  KW                                                                                                                                                                                                                                                                                                                                                                                                                                </v>
          </cell>
          <cell r="C4773" t="str">
            <v xml:space="preserve">UN    </v>
          </cell>
          <cell r="D4773" t="str">
            <v>CR</v>
          </cell>
          <cell r="E4773" t="str">
            <v>9.579.311,26</v>
          </cell>
        </row>
        <row r="4774">
          <cell r="A4774">
            <v>13894</v>
          </cell>
          <cell r="B4774" t="str">
            <v xml:space="preserve">USINA DE CONCRETO FIXA, CAPACIDADE NOMINAL DE 40 M3/H, SEM SILO                                                                                                                                                                                                                                                                                                                                                                                                                                           </v>
          </cell>
          <cell r="C4774" t="str">
            <v xml:space="preserve">UN    </v>
          </cell>
          <cell r="D4774" t="str">
            <v>CR</v>
          </cell>
          <cell r="E4774" t="str">
            <v>399.604,75</v>
          </cell>
        </row>
        <row r="4775">
          <cell r="A4775">
            <v>13895</v>
          </cell>
          <cell r="B4775" t="str">
            <v xml:space="preserve">USINA DE CONCRETO FIXA, CAPACIDADE NOMINAL DE 60 M3/H, SEM SILO                                                                                                                                                                                                                                                                                                                                                                                                                                           </v>
          </cell>
          <cell r="C4775" t="str">
            <v xml:space="preserve">UN    </v>
          </cell>
          <cell r="D4775" t="str">
            <v>CR</v>
          </cell>
          <cell r="E4775" t="str">
            <v>537.335,18</v>
          </cell>
        </row>
        <row r="4776">
          <cell r="A4776">
            <v>13892</v>
          </cell>
          <cell r="B4776" t="str">
            <v xml:space="preserve">USINA DE CONCRETO FIXA, CAPACIDADE NOMINAL DE 80 M3/H, SEM SILO                                                                                                                                                                                                                                                                                                                                                                                                                                           </v>
          </cell>
          <cell r="C4776" t="str">
            <v xml:space="preserve">UN    </v>
          </cell>
          <cell r="D4776" t="str">
            <v>CR</v>
          </cell>
          <cell r="E4776" t="str">
            <v>658.491,12</v>
          </cell>
        </row>
        <row r="4777">
          <cell r="A4777">
            <v>9914</v>
          </cell>
          <cell r="B4777" t="str">
            <v xml:space="preserve">USINA DE CONCRETO FIXA, CAPACIDADE NOMINAL DE 90 A 120 M3/H, SEM SILO                                                                                                                                                                                                                                                                                                                                                                                                                                     </v>
          </cell>
          <cell r="C4777" t="str">
            <v xml:space="preserve">UN    </v>
          </cell>
          <cell r="D4777" t="str">
            <v xml:space="preserve">C </v>
          </cell>
          <cell r="E4777" t="str">
            <v>712.400,00</v>
          </cell>
        </row>
        <row r="4778">
          <cell r="A4778">
            <v>36485</v>
          </cell>
          <cell r="B4778" t="str">
            <v xml:space="preserve">USINA DE LAMA ASFALTICA, PROD 30 A 50 T/H, SILO DE AGREGADO 7 M3, RESERVATORIOS PARA EMULSAO E AGUA DE 2,3 M3 CADA, MISTURADOR TIPO PUGG-MILL A SER MONTADO SOBRE CAMINHAO                                                                                                                                                                                                                                                                                                                                </v>
          </cell>
          <cell r="C4778" t="str">
            <v xml:space="preserve">UN    </v>
          </cell>
          <cell r="D4778" t="str">
            <v>CR</v>
          </cell>
          <cell r="E4778" t="str">
            <v>665.336,65</v>
          </cell>
        </row>
        <row r="4779">
          <cell r="A4779">
            <v>9912</v>
          </cell>
          <cell r="B4779" t="str">
            <v xml:space="preserve">USINA DE MISTURAS ASFALTICAS A QUENTE, MOVEL, TIPO CONTRA FLUXO, CAPACIDADE DE 40 A 80 T/H                                                                                                                                                                                                                                                                                                                                                                                                                </v>
          </cell>
          <cell r="C4779" t="str">
            <v xml:space="preserve">UN    </v>
          </cell>
          <cell r="D4779" t="str">
            <v xml:space="preserve">C </v>
          </cell>
          <cell r="E4779" t="str">
            <v>2.961.923,00</v>
          </cell>
        </row>
        <row r="4780">
          <cell r="A4780">
            <v>9921</v>
          </cell>
          <cell r="B4780" t="str">
            <v xml:space="preserve">USINA MISTURADORA DE SOLOS,  DOSADORES TRIPLOS, CALHA VIBRATORIA CAPACIDADE DE 200 A 500 T/H, POTENCIA DE 75 KW                                                                                                                                                                                                                                                                                                                                                                                           </v>
          </cell>
          <cell r="C4780" t="str">
            <v xml:space="preserve">UN    </v>
          </cell>
          <cell r="D4780" t="str">
            <v>CR</v>
          </cell>
          <cell r="E4780" t="str">
            <v>1.527.899,98</v>
          </cell>
        </row>
        <row r="4781">
          <cell r="A4781">
            <v>21112</v>
          </cell>
          <cell r="B4781" t="str">
            <v xml:space="preserve">VALVULA DE DESCARGA EM METAL CROMADO PARA MICTORIO COM ACIONAMENTO POR PRESSAO E FECHAMENTO AUTOMATICO                                                                                                                                                                                                                                                                                                                                                                                                    </v>
          </cell>
          <cell r="C4781" t="str">
            <v xml:space="preserve">UN    </v>
          </cell>
          <cell r="D4781" t="str">
            <v>CR</v>
          </cell>
          <cell r="E4781" t="str">
            <v>339,17</v>
          </cell>
        </row>
        <row r="4782">
          <cell r="A4782">
            <v>10228</v>
          </cell>
          <cell r="B4782" t="str">
            <v xml:space="preserve">VALVULA DE DESCARGA METALICA, BASE 1 1/2 " E ACABAMENTO METALICO CROMADO                                                                                                                                                                                                                                                                                                                                                                                                                                  </v>
          </cell>
          <cell r="C4782" t="str">
            <v xml:space="preserve">UN    </v>
          </cell>
          <cell r="D4782" t="str">
            <v xml:space="preserve">C </v>
          </cell>
          <cell r="E4782" t="str">
            <v>394,02</v>
          </cell>
        </row>
        <row r="4783">
          <cell r="A4783">
            <v>11781</v>
          </cell>
          <cell r="B4783" t="str">
            <v xml:space="preserve">VALVULA DE DESCARGA METALICA, BASE 1 1/4 " E ACABAMENTO METALICO CROMADO                                                                                                                                                                                                                                                                                                                                                                                                                                  </v>
          </cell>
          <cell r="C4783" t="str">
            <v xml:space="preserve">UN    </v>
          </cell>
          <cell r="D4783" t="str">
            <v>CR</v>
          </cell>
          <cell r="E4783" t="str">
            <v>319,20</v>
          </cell>
        </row>
        <row r="4784">
          <cell r="A4784">
            <v>37588</v>
          </cell>
          <cell r="B4784" t="str">
            <v xml:space="preserve">VALVULA DE ESCOAMENTO PARA TANQUE, EM METAL CROMADO, 1.1/2 ", SEM LADRAO, COM TAMPAO PLASTICO                                                                                                                                                                                                                                                                                                                                                                                                             </v>
          </cell>
          <cell r="C4784" t="str">
            <v xml:space="preserve">UN    </v>
          </cell>
          <cell r="D4784" t="str">
            <v>CR</v>
          </cell>
          <cell r="E4784" t="str">
            <v>57,08</v>
          </cell>
        </row>
        <row r="4785">
          <cell r="A4785">
            <v>11746</v>
          </cell>
          <cell r="B4785" t="str">
            <v xml:space="preserve">VALVULA DE ESFERA BRUTA EM BRONZE, BITOLA 1 " (REF 1552-B)                                                                                                                                                                                                                                                                                                                                                                                                                                                </v>
          </cell>
          <cell r="C4785" t="str">
            <v xml:space="preserve">UN    </v>
          </cell>
          <cell r="D4785" t="str">
            <v>CR</v>
          </cell>
          <cell r="E4785" t="str">
            <v>63,43</v>
          </cell>
        </row>
        <row r="4786">
          <cell r="A4786">
            <v>11751</v>
          </cell>
          <cell r="B4786" t="str">
            <v xml:space="preserve">VALVULA DE ESFERA BRUTA EM BRONZE, BITOLA 1 1/2 " (REF 1552-B)                                                                                                                                                                                                                                                                                                                                                                                                                                            </v>
          </cell>
          <cell r="C4786" t="str">
            <v xml:space="preserve">UN    </v>
          </cell>
          <cell r="D4786" t="str">
            <v>CR</v>
          </cell>
          <cell r="E4786" t="str">
            <v>113,93</v>
          </cell>
        </row>
        <row r="4787">
          <cell r="A4787">
            <v>11750</v>
          </cell>
          <cell r="B4787" t="str">
            <v xml:space="preserve">VALVULA DE ESFERA BRUTA EM BRONZE, BITOLA 1 1/4 " (REF 1552-B)                                                                                                                                                                                                                                                                                                                                                                                                                                            </v>
          </cell>
          <cell r="C4787" t="str">
            <v xml:space="preserve">UN    </v>
          </cell>
          <cell r="D4787" t="str">
            <v>CR</v>
          </cell>
          <cell r="E4787" t="str">
            <v>94,55</v>
          </cell>
        </row>
        <row r="4788">
          <cell r="A4788">
            <v>11748</v>
          </cell>
          <cell r="B4788" t="str">
            <v xml:space="preserve">VALVULA DE ESFERA BRUTA EM BRONZE, BITOLA 1/2 " (REF 1552-B)                                                                                                                                                                                                                                                                                                                                                                                                                                              </v>
          </cell>
          <cell r="C4788" t="str">
            <v xml:space="preserve">UN    </v>
          </cell>
          <cell r="D4788" t="str">
            <v>CR</v>
          </cell>
          <cell r="E4788" t="str">
            <v>40,71</v>
          </cell>
        </row>
        <row r="4789">
          <cell r="A4789">
            <v>11747</v>
          </cell>
          <cell r="B4789" t="str">
            <v xml:space="preserve">VALVULA DE ESFERA BRUTA EM BRONZE, BITOLA 2 " (REF 1552-B)                                                                                                                                                                                                                                                                                                                                                                                                                                                </v>
          </cell>
          <cell r="C4789" t="str">
            <v xml:space="preserve">UN    </v>
          </cell>
          <cell r="D4789" t="str">
            <v>CR</v>
          </cell>
          <cell r="E4789" t="str">
            <v>175,68</v>
          </cell>
        </row>
        <row r="4790">
          <cell r="A4790">
            <v>11749</v>
          </cell>
          <cell r="B4790" t="str">
            <v xml:space="preserve">VALVULA DE ESFERA BRUTA EM BRONZE, BITOLA 3/4 " (REF 1552-B)                                                                                                                                                                                                                                                                                                                                                                                                                                              </v>
          </cell>
          <cell r="C4790" t="str">
            <v xml:space="preserve">UN    </v>
          </cell>
          <cell r="D4790" t="str">
            <v>CR</v>
          </cell>
          <cell r="E4790" t="str">
            <v>46,98</v>
          </cell>
        </row>
        <row r="4791">
          <cell r="A4791">
            <v>10236</v>
          </cell>
          <cell r="B4791" t="str">
            <v xml:space="preserve">VALVULA DE RETENCAO DE BRONZE, PE COM CRIVOS, EXTREMIDADE COM ROSCA, DE 1 1/2", PARA FUNDO DE POCO                                                                                                                                                                                                                                                                                                                                                                                                        </v>
          </cell>
          <cell r="C4791" t="str">
            <v xml:space="preserve">UN    </v>
          </cell>
          <cell r="D4791" t="str">
            <v>CR</v>
          </cell>
          <cell r="E4791" t="str">
            <v>132,34</v>
          </cell>
        </row>
        <row r="4792">
          <cell r="A4792">
            <v>10233</v>
          </cell>
          <cell r="B4792" t="str">
            <v xml:space="preserve">VALVULA DE RETENCAO DE BRONZE, PE COM CRIVOS, EXTREMIDADE COM ROSCA, DE 1 1/4", PARA FUNDO DE POCO                                                                                                                                                                                                                                                                                                                                                                                                        </v>
          </cell>
          <cell r="C4792" t="str">
            <v xml:space="preserve">UN    </v>
          </cell>
          <cell r="D4792" t="str">
            <v>CR</v>
          </cell>
          <cell r="E4792" t="str">
            <v>124,01</v>
          </cell>
        </row>
        <row r="4793">
          <cell r="A4793">
            <v>10234</v>
          </cell>
          <cell r="B4793" t="str">
            <v xml:space="preserve">VALVULA DE RETENCAO DE BRONZE, PE COM CRIVOS, EXTREMIDADE COM ROSCA, DE 1", PARA FUNDO DE POCO                                                                                                                                                                                                                                                                                                                                                                                                            </v>
          </cell>
          <cell r="C4793" t="str">
            <v xml:space="preserve">UN    </v>
          </cell>
          <cell r="D4793" t="str">
            <v>CR</v>
          </cell>
          <cell r="E4793" t="str">
            <v>78,12</v>
          </cell>
        </row>
        <row r="4794">
          <cell r="A4794">
            <v>10231</v>
          </cell>
          <cell r="B4794" t="str">
            <v xml:space="preserve">VALVULA DE RETENCAO DE BRONZE, PE COM CRIVOS, EXTREMIDADE COM ROSCA, DE 2 1/2", PARA FUNDO DE POCO                                                                                                                                                                                                                                                                                                                                                                                                        </v>
          </cell>
          <cell r="C4794" t="str">
            <v xml:space="preserve">UN    </v>
          </cell>
          <cell r="D4794" t="str">
            <v>CR</v>
          </cell>
          <cell r="E4794" t="str">
            <v>358,24</v>
          </cell>
        </row>
        <row r="4795">
          <cell r="A4795">
            <v>10232</v>
          </cell>
          <cell r="B4795" t="str">
            <v xml:space="preserve">VALVULA DE RETENCAO DE BRONZE, PE COM CRIVOS, EXTREMIDADE COM ROSCA, DE 2", PARA FUNDO DE POCO                                                                                                                                                                                                                                                                                                                                                                                                            </v>
          </cell>
          <cell r="C4795" t="str">
            <v xml:space="preserve">UN    </v>
          </cell>
          <cell r="D4795" t="str">
            <v>CR</v>
          </cell>
          <cell r="E4795" t="str">
            <v>200,46</v>
          </cell>
        </row>
        <row r="4796">
          <cell r="A4796">
            <v>10229</v>
          </cell>
          <cell r="B4796" t="str">
            <v xml:space="preserve">VALVULA DE RETENCAO DE BRONZE, PE COM CRIVOS, EXTREMIDADE COM ROSCA, DE 3/4", PARA FUNDO DE POCO                                                                                                                                                                                                                                                                                                                                                                                                          </v>
          </cell>
          <cell r="C4796" t="str">
            <v xml:space="preserve">UN    </v>
          </cell>
          <cell r="D4796" t="str">
            <v xml:space="preserve">C </v>
          </cell>
          <cell r="E4796" t="str">
            <v>70,65</v>
          </cell>
        </row>
        <row r="4797">
          <cell r="A4797">
            <v>10235</v>
          </cell>
          <cell r="B4797" t="str">
            <v xml:space="preserve">VALVULA DE RETENCAO DE BRONZE, PE COM CRIVOS, EXTREMIDADE COM ROSCA, DE 3", PARA FUNDO DE POCO                                                                                                                                                                                                                                                                                                                                                                                                            </v>
          </cell>
          <cell r="C4797" t="str">
            <v xml:space="preserve">UN    </v>
          </cell>
          <cell r="D4797" t="str">
            <v>CR</v>
          </cell>
          <cell r="E4797" t="str">
            <v>491,10</v>
          </cell>
        </row>
        <row r="4798">
          <cell r="A4798">
            <v>10230</v>
          </cell>
          <cell r="B4798" t="str">
            <v xml:space="preserve">VALVULA DE RETENCAO DE BRONZE, PE COM CRIVOS, EXTREMIDADE COM ROSCA, DE 4", PARA FUNDO DE POCO                                                                                                                                                                                                                                                                                                                                                                                                            </v>
          </cell>
          <cell r="C4798" t="str">
            <v xml:space="preserve">UN    </v>
          </cell>
          <cell r="D4798" t="str">
            <v>CR</v>
          </cell>
          <cell r="E4798" t="str">
            <v>864,29</v>
          </cell>
        </row>
        <row r="4799">
          <cell r="A4799">
            <v>10409</v>
          </cell>
          <cell r="B4799" t="str">
            <v xml:space="preserve">VALVULA DE RETENCAO HORIZONTAL, DE BRONZE (PN-25), 1 1/2", 400 PSI, TAMPA DE PORCA DE UNIAO, EXTREMIDADES COM ROSCA                                                                                                                                                                                                                                                                                                                                                                                       </v>
          </cell>
          <cell r="C4799" t="str">
            <v xml:space="preserve">UN    </v>
          </cell>
          <cell r="D4799" t="str">
            <v>CR</v>
          </cell>
          <cell r="E4799" t="str">
            <v>256,77</v>
          </cell>
        </row>
        <row r="4800">
          <cell r="A4800">
            <v>10411</v>
          </cell>
          <cell r="B4800" t="str">
            <v xml:space="preserve">VALVULA DE RETENCAO HORIZONTAL, DE BRONZE (PN-25), 1 1/4", 400 PSI, TAMPA DE PORCA DE UNIAO, EXTREMIDADES COM ROSCA                                                                                                                                                                                                                                                                                                                                                                                       </v>
          </cell>
          <cell r="C4800" t="str">
            <v xml:space="preserve">UN    </v>
          </cell>
          <cell r="D4800" t="str">
            <v>CR</v>
          </cell>
          <cell r="E4800" t="str">
            <v>229,76</v>
          </cell>
        </row>
        <row r="4801">
          <cell r="A4801">
            <v>10404</v>
          </cell>
          <cell r="B4801" t="str">
            <v xml:space="preserve">VALVULA DE RETENCAO HORIZONTAL, DE BRONZE (PN-25), 1/2", 400 PSI, TAMPA DE PORCA DE UNIAO, EXTREMIDADES COM ROSCA                                                                                                                                                                                                                                                                                                                                                                                         </v>
          </cell>
          <cell r="C4801" t="str">
            <v xml:space="preserve">UN    </v>
          </cell>
          <cell r="D4801" t="str">
            <v>CR</v>
          </cell>
          <cell r="E4801" t="str">
            <v>93,18</v>
          </cell>
        </row>
        <row r="4802">
          <cell r="A4802">
            <v>10410</v>
          </cell>
          <cell r="B4802" t="str">
            <v xml:space="preserve">VALVULA DE RETENCAO HORIZONTAL, DE BRONZE (PN-25), 1", 400 PSI, TAMPA DE PORCA DE UNIAO, EXTREMIDADES COM ROSCA                                                                                                                                                                                                                                                                                                                                                                                           </v>
          </cell>
          <cell r="C4802" t="str">
            <v xml:space="preserve">UN    </v>
          </cell>
          <cell r="D4802" t="str">
            <v>CR</v>
          </cell>
          <cell r="E4802" t="str">
            <v>153,48</v>
          </cell>
        </row>
        <row r="4803">
          <cell r="A4803">
            <v>10405</v>
          </cell>
          <cell r="B4803" t="str">
            <v xml:space="preserve">VALVULA DE RETENCAO HORIZONTAL, DE BRONZE (PN-25), 2 1/2", 400 PSI, TAMPA DE PORCA DE UNIAO, EXTREMIDADES COM ROSCA                                                                                                                                                                                                                                                                                                                                                                                       </v>
          </cell>
          <cell r="C4803" t="str">
            <v xml:space="preserve">UN    </v>
          </cell>
          <cell r="D4803" t="str">
            <v>CR</v>
          </cell>
          <cell r="E4803" t="str">
            <v>514,44</v>
          </cell>
        </row>
        <row r="4804">
          <cell r="A4804">
            <v>10408</v>
          </cell>
          <cell r="B4804" t="str">
            <v xml:space="preserve">VALVULA DE RETENCAO HORIZONTAL, DE BRONZE (PN-25), 2", 400 PSI, TAMPA DE PORCA DE UNIAO, EXTREMIDADES COM ROSCA                                                                                                                                                                                                                                                                                                                                                                                           </v>
          </cell>
          <cell r="C4804" t="str">
            <v xml:space="preserve">UN    </v>
          </cell>
          <cell r="D4804" t="str">
            <v>CR</v>
          </cell>
          <cell r="E4804" t="str">
            <v>359,74</v>
          </cell>
        </row>
        <row r="4805">
          <cell r="A4805">
            <v>10412</v>
          </cell>
          <cell r="B4805" t="str">
            <v xml:space="preserve">VALVULA DE RETENCAO HORIZONTAL, DE BRONZE (PN-25), 3/4", 400 PSI, TAMPA DE PORCA DE UNIAO, EXTREMIDADES COM ROSCA                                                                                                                                                                                                                                                                                                                                                                                         </v>
          </cell>
          <cell r="C4805" t="str">
            <v xml:space="preserve">UN    </v>
          </cell>
          <cell r="D4805" t="str">
            <v>CR</v>
          </cell>
          <cell r="E4805" t="str">
            <v>112,92</v>
          </cell>
        </row>
        <row r="4806">
          <cell r="A4806">
            <v>10406</v>
          </cell>
          <cell r="B4806" t="str">
            <v xml:space="preserve">VALVULA DE RETENCAO HORIZONTAL, DE BRONZE (PN-25), 3", 400 PSI, TAMPA DE PORCA DE UNIAO, EXTREMIDADES COM ROSCA                                                                                                                                                                                                                                                                                                                                                                                           </v>
          </cell>
          <cell r="C4806" t="str">
            <v xml:space="preserve">UN    </v>
          </cell>
          <cell r="D4806" t="str">
            <v>CR</v>
          </cell>
          <cell r="E4806" t="str">
            <v>710,55</v>
          </cell>
        </row>
        <row r="4807">
          <cell r="A4807">
            <v>10407</v>
          </cell>
          <cell r="B4807" t="str">
            <v xml:space="preserve">VALVULA DE RETENCAO HORIZONTAL, DE BRONZE (PN-25), 4", 400 PSI, TAMPA DE PORCA DE UNIAO, EXTREMIDADES COM ROSCA                                                                                                                                                                                                                                                                                                                                                                                           </v>
          </cell>
          <cell r="C4807" t="str">
            <v xml:space="preserve">UN    </v>
          </cell>
          <cell r="D4807" t="str">
            <v>CR</v>
          </cell>
          <cell r="E4807" t="str">
            <v>1.102,07</v>
          </cell>
        </row>
        <row r="4808">
          <cell r="A4808">
            <v>10416</v>
          </cell>
          <cell r="B4808" t="str">
            <v xml:space="preserve">VALVULA DE RETENCAO VERTICAL, DE BRONZE (PN-16), 1 1/2", 200 PSI, EXTREMIDADES COM ROSCA                                                                                                                                                                                                                                                                                                                                                                                                                  </v>
          </cell>
          <cell r="C4808" t="str">
            <v xml:space="preserve">UN    </v>
          </cell>
          <cell r="D4808" t="str">
            <v>CR</v>
          </cell>
          <cell r="E4808" t="str">
            <v>136,70</v>
          </cell>
        </row>
        <row r="4809">
          <cell r="A4809">
            <v>10419</v>
          </cell>
          <cell r="B4809" t="str">
            <v xml:space="preserve">VALVULA DE RETENCAO VERTICAL, DE BRONZE (PN-16), 1 1/4", 200 PSI, EXTREMIDADES COM ROSCA                                                                                                                                                                                                                                                                                                                                                                                                                  </v>
          </cell>
          <cell r="C4809" t="str">
            <v xml:space="preserve">UN    </v>
          </cell>
          <cell r="D4809" t="str">
            <v>CR</v>
          </cell>
          <cell r="E4809" t="str">
            <v>118,65</v>
          </cell>
        </row>
        <row r="4810">
          <cell r="A4810">
            <v>21092</v>
          </cell>
          <cell r="B4810" t="str">
            <v xml:space="preserve">VALVULA DE RETENCAO VERTICAL, DE BRONZE (PN-16), 1/2", 200 PSI, EXTREMIDADES COM ROSCA                                                                                                                                                                                                                                                                                                                                                                                                                    </v>
          </cell>
          <cell r="C4810" t="str">
            <v xml:space="preserve">UN    </v>
          </cell>
          <cell r="D4810" t="str">
            <v>CR</v>
          </cell>
          <cell r="E4810" t="str">
            <v>67,83</v>
          </cell>
        </row>
        <row r="4811">
          <cell r="A4811">
            <v>10418</v>
          </cell>
          <cell r="B4811" t="str">
            <v xml:space="preserve">VALVULA DE RETENCAO VERTICAL, DE BRONZE (PN-16), 1", 200 PSI, EXTREMIDADES COM ROSCA                                                                                                                                                                                                                                                                                                                                                                                                                      </v>
          </cell>
          <cell r="C4811" t="str">
            <v xml:space="preserve">UN    </v>
          </cell>
          <cell r="D4811" t="str">
            <v>CR</v>
          </cell>
          <cell r="E4811" t="str">
            <v>79,09</v>
          </cell>
        </row>
        <row r="4812">
          <cell r="A4812">
            <v>12657</v>
          </cell>
          <cell r="B4812" t="str">
            <v xml:space="preserve">VALVULA DE RETENCAO VERTICAL, DE BRONZE (PN-16), 2 1/2", 200 PSI, EXTREMIDADES COM ROSCA                                                                                                                                                                                                                                                                                                                                                                                                                  </v>
          </cell>
          <cell r="C4812" t="str">
            <v xml:space="preserve">UN    </v>
          </cell>
          <cell r="D4812" t="str">
            <v>CR</v>
          </cell>
          <cell r="E4812" t="str">
            <v>319,16</v>
          </cell>
        </row>
        <row r="4813">
          <cell r="A4813">
            <v>10417</v>
          </cell>
          <cell r="B4813" t="str">
            <v xml:space="preserve">VALVULA DE RETENCAO VERTICAL, DE BRONZE (PN-16), 2", 200 PSI, EXTREMIDADES COM ROSCA                                                                                                                                                                                                                                                                                                                                                                                                                      </v>
          </cell>
          <cell r="C4813" t="str">
            <v xml:space="preserve">UN    </v>
          </cell>
          <cell r="D4813" t="str">
            <v>CR</v>
          </cell>
          <cell r="E4813" t="str">
            <v>199,17</v>
          </cell>
        </row>
        <row r="4814">
          <cell r="A4814">
            <v>10413</v>
          </cell>
          <cell r="B4814" t="str">
            <v xml:space="preserve">VALVULA DE RETENCAO VERTICAL, DE BRONZE (PN-16), 3/4", 200 PSI, EXTREMIDADES COM ROSCA                                                                                                                                                                                                                                                                                                                                                                                                                    </v>
          </cell>
          <cell r="C4814" t="str">
            <v xml:space="preserve">UN    </v>
          </cell>
          <cell r="D4814" t="str">
            <v>CR</v>
          </cell>
          <cell r="E4814" t="str">
            <v>72,39</v>
          </cell>
        </row>
        <row r="4815">
          <cell r="A4815">
            <v>10414</v>
          </cell>
          <cell r="B4815" t="str">
            <v xml:space="preserve">VALVULA DE RETENCAO VERTICAL, DE BRONZE (PN-16), 3", 200 PSI, EXTREMIDADES COM ROSCA                                                                                                                                                                                                                                                                                                                                                                                                                      </v>
          </cell>
          <cell r="C4815" t="str">
            <v xml:space="preserve">UN    </v>
          </cell>
          <cell r="D4815" t="str">
            <v>CR</v>
          </cell>
          <cell r="E4815" t="str">
            <v>435,84</v>
          </cell>
        </row>
        <row r="4816">
          <cell r="A4816">
            <v>10415</v>
          </cell>
          <cell r="B4816" t="str">
            <v xml:space="preserve">VALVULA DE RETENCAO VERTICAL, DE BRONZE (PN-16), 4", 200 PSI, EXTREMIDADES COM ROSCA                                                                                                                                                                                                                                                                                                                                                                                                                      </v>
          </cell>
          <cell r="C4816" t="str">
            <v xml:space="preserve">UN    </v>
          </cell>
          <cell r="D4816" t="str">
            <v>CR</v>
          </cell>
          <cell r="E4816" t="str">
            <v>756,42</v>
          </cell>
        </row>
        <row r="4817">
          <cell r="A4817">
            <v>38643</v>
          </cell>
          <cell r="B4817" t="str">
            <v xml:space="preserve">VALVULA EM METAL CROMADO PARA LAVATORIO, 1 " SEM LADRAO                                                                                                                                                                                                                                                                                                                                                                                                                                                   </v>
          </cell>
          <cell r="C4817" t="str">
            <v xml:space="preserve">UN    </v>
          </cell>
          <cell r="D4817" t="str">
            <v>CR</v>
          </cell>
          <cell r="E4817" t="str">
            <v>45,36</v>
          </cell>
        </row>
        <row r="4818">
          <cell r="A4818">
            <v>6157</v>
          </cell>
          <cell r="B4818" t="str">
            <v xml:space="preserve">VALVULA EM METAL CROMADO PARA PIA AMERICANA 3.1/2 X 1.1/2 "                                                                                                                                                                                                                                                                                                                                                                                                                                               </v>
          </cell>
          <cell r="C4818" t="str">
            <v xml:space="preserve">UN    </v>
          </cell>
          <cell r="D4818" t="str">
            <v>CR</v>
          </cell>
          <cell r="E4818" t="str">
            <v>61,97</v>
          </cell>
        </row>
        <row r="4819">
          <cell r="A4819">
            <v>6158</v>
          </cell>
          <cell r="B4819" t="str">
            <v xml:space="preserve">VALVULA EM PLASTICO BRANCO PARA LAVATORIO 1 ", SEM UNHO, COM LADRAO                                                                                                                                                                                                                                                                                                                                                                                                                                       </v>
          </cell>
          <cell r="C4819" t="str">
            <v xml:space="preserve">UN    </v>
          </cell>
          <cell r="D4819" t="str">
            <v>CR</v>
          </cell>
          <cell r="E4819" t="str">
            <v>9,37</v>
          </cell>
        </row>
        <row r="4820">
          <cell r="A4820">
            <v>6153</v>
          </cell>
          <cell r="B4820" t="str">
            <v xml:space="preserve">VALVULA EM PLASTICO BRANCO PARA TANQUE OU LAVATORIO 1 ", SEM UNHO E SEM LADRAO                                                                                                                                                                                                                                                                                                                                                                                                                            </v>
          </cell>
          <cell r="C4820" t="str">
            <v xml:space="preserve">UN    </v>
          </cell>
          <cell r="D4820" t="str">
            <v>CR</v>
          </cell>
          <cell r="E4820" t="str">
            <v>6,45</v>
          </cell>
        </row>
        <row r="4821">
          <cell r="A4821">
            <v>6156</v>
          </cell>
          <cell r="B4821" t="str">
            <v xml:space="preserve">VALVULA EM PLASTICO BRANCO PARA TANQUE 1.1/4 " X 1.1/2 ", SEM UNHO E SEM LADRAO                                                                                                                                                                                                                                                                                                                                                                                                                           </v>
          </cell>
          <cell r="C4821" t="str">
            <v xml:space="preserve">UN    </v>
          </cell>
          <cell r="D4821" t="str">
            <v>CR</v>
          </cell>
          <cell r="E4821" t="str">
            <v>8,04</v>
          </cell>
        </row>
        <row r="4822">
          <cell r="A4822">
            <v>6154</v>
          </cell>
          <cell r="B4822" t="str">
            <v xml:space="preserve">VALVULA EM PLASTICO CROMADO PARA LAVATORIO 1 ", SEM UNHO, COM LADRAO                                                                                                                                                                                                                                                                                                                                                                                                                                      </v>
          </cell>
          <cell r="C4822" t="str">
            <v xml:space="preserve">UN    </v>
          </cell>
          <cell r="D4822" t="str">
            <v>CR</v>
          </cell>
          <cell r="E4822" t="str">
            <v>11,46</v>
          </cell>
        </row>
        <row r="4823">
          <cell r="A4823">
            <v>6155</v>
          </cell>
          <cell r="B4823" t="str">
            <v xml:space="preserve">VALVULA EM PLASTICO CROMADO TIPO AMERICANA PARA PIA DE COZINHA 3.1/2 " X 1.1/2 ", SEM ADAPTADOR                                                                                                                                                                                                                                                                                                                                                                                                           </v>
          </cell>
          <cell r="C4823" t="str">
            <v xml:space="preserve">UN    </v>
          </cell>
          <cell r="D4823" t="str">
            <v>CR</v>
          </cell>
          <cell r="E4823" t="str">
            <v>26,39</v>
          </cell>
        </row>
        <row r="4824">
          <cell r="A4824">
            <v>43595</v>
          </cell>
          <cell r="B4824" t="str">
            <v xml:space="preserve">VARA FINA PARA CREMONA, EM FERRO ZINCADO BRANCO, COM DIAMETRO DE APROX 10 MM E COMPRIMENTO DE 1,20 M                                                                                                                                                                                                                                                                                                                                                                                                      </v>
          </cell>
          <cell r="C4824" t="str">
            <v xml:space="preserve">UN    </v>
          </cell>
          <cell r="D4824" t="str">
            <v>CR</v>
          </cell>
          <cell r="E4824" t="str">
            <v>16,94</v>
          </cell>
        </row>
        <row r="4825">
          <cell r="A4825">
            <v>43596</v>
          </cell>
          <cell r="B4825" t="str">
            <v xml:space="preserve">VARA FINA PARA CREMONA, EM FERRO ZINCADO BRANCO, COM DIAMETRO DE APROX 10 MM E COMPRIMENTO DE 1,50 M                                                                                                                                                                                                                                                                                                                                                                                                      </v>
          </cell>
          <cell r="C4825" t="str">
            <v xml:space="preserve">UN    </v>
          </cell>
          <cell r="D4825" t="str">
            <v>CR</v>
          </cell>
          <cell r="E4825" t="str">
            <v>19,58</v>
          </cell>
        </row>
        <row r="4826">
          <cell r="A4826">
            <v>38108</v>
          </cell>
          <cell r="B4826" t="str">
            <v xml:space="preserve">VARIADOR DE LUMINOSIDADE ROTATIVO (DIMMER) 127 V, 300 W (APENAS MODULO)                                                                                                                                                                                                                                                                                                                                                                                                                                   </v>
          </cell>
          <cell r="C4826" t="str">
            <v xml:space="preserve">UN    </v>
          </cell>
          <cell r="D4826" t="str">
            <v>CR</v>
          </cell>
          <cell r="E4826" t="str">
            <v>51,56</v>
          </cell>
        </row>
        <row r="4827">
          <cell r="A4827">
            <v>38087</v>
          </cell>
          <cell r="B4827" t="str">
            <v xml:space="preserve">VARIADOR DE LUMINOSIDADE ROTATIVO (DIMMER) 127V, 300W, CONJUNTO MONTADO PARA EMBUTIR 4" X 2" (PLACA + SUPORTE + MODULO)                                                                                                                                                                                                                                                                                                                                                                                   </v>
          </cell>
          <cell r="C4827" t="str">
            <v xml:space="preserve">UN    </v>
          </cell>
          <cell r="D4827" t="str">
            <v>CR</v>
          </cell>
          <cell r="E4827" t="str">
            <v>66,31</v>
          </cell>
        </row>
        <row r="4828">
          <cell r="A4828">
            <v>38109</v>
          </cell>
          <cell r="B4828" t="str">
            <v xml:space="preserve">VARIADOR DE LUMINOSIDADE ROTATIVO (DIMMER) 220 V, 600 W (APENAS MODULO)                                                                                                                                                                                                                                                                                                                                                                                                                                   </v>
          </cell>
          <cell r="C4828" t="str">
            <v xml:space="preserve">UN    </v>
          </cell>
          <cell r="D4828" t="str">
            <v>CR</v>
          </cell>
          <cell r="E4828" t="str">
            <v>82,40</v>
          </cell>
        </row>
        <row r="4829">
          <cell r="A4829">
            <v>38088</v>
          </cell>
          <cell r="B4829" t="str">
            <v xml:space="preserve">VARIADOR DE LUMINOSIDADE ROTATIVO (DIMMER) 220V, 600W, CONJUNTO MONTADO PARA EMBUTIR 4" X 2" (PLACA + SUPORTE + MODULO)                                                                                                                                                                                                                                                                                                                                                                                   </v>
          </cell>
          <cell r="C4829" t="str">
            <v xml:space="preserve">UN    </v>
          </cell>
          <cell r="D4829" t="str">
            <v>CR</v>
          </cell>
          <cell r="E4829" t="str">
            <v>86,64</v>
          </cell>
        </row>
        <row r="4830">
          <cell r="A4830">
            <v>38110</v>
          </cell>
          <cell r="B4830" t="str">
            <v xml:space="preserve">VARIADOR DE VELOCIDADE PARA VENTILADOR 127 V, 150 W (APENAS MODULO)                                                                                                                                                                                                                                                                                                                                                                                                                                       </v>
          </cell>
          <cell r="C4830" t="str">
            <v xml:space="preserve">UN    </v>
          </cell>
          <cell r="D4830" t="str">
            <v>CR</v>
          </cell>
          <cell r="E4830" t="str">
            <v>31,70</v>
          </cell>
        </row>
        <row r="4831">
          <cell r="A4831">
            <v>38089</v>
          </cell>
          <cell r="B4831" t="str">
            <v xml:space="preserve">VARIADOR DE VELOCIDADE PARA VENTILADOR 127V, 150W + 2 INTERRUPTORES PARALELOS, PARA REVERSAO E LAMPADA, CONJUNTO MONTADO PARA EMBUTIR 4" X 2" (PLACA + SUPORTE + MODULOS)                                                                                                                                                                                                                                                                                                                                 </v>
          </cell>
          <cell r="C4831" t="str">
            <v xml:space="preserve">UN    </v>
          </cell>
          <cell r="D4831" t="str">
            <v>CR</v>
          </cell>
          <cell r="E4831" t="str">
            <v>55,23</v>
          </cell>
        </row>
        <row r="4832">
          <cell r="A4832">
            <v>38111</v>
          </cell>
          <cell r="B4832" t="str">
            <v xml:space="preserve">VARIADOR DE VELOCIDADE PARA VENTILADOR 220 V, 250 W (APENAS MODULO)                                                                                                                                                                                                                                                                                                                                                                                                                                       </v>
          </cell>
          <cell r="C4832" t="str">
            <v xml:space="preserve">UN    </v>
          </cell>
          <cell r="D4832" t="str">
            <v>CR</v>
          </cell>
          <cell r="E4832" t="str">
            <v>35,45</v>
          </cell>
        </row>
        <row r="4833">
          <cell r="A4833">
            <v>38090</v>
          </cell>
          <cell r="B4833" t="str">
            <v xml:space="preserve">VARIADOR DE VELOCIDADE PARA VENTILADOR 220V, 250W + 2 INTERRUPTORES PARALELOS, PARA REVERSAO E LAMPADA, CONJUNTO MONTADO PARA EMBUTIR 4" X 2" (PLACA + SUPORTE + MODULOS)                                                                                                                                                                                                                                                                                                                                 </v>
          </cell>
          <cell r="C4833" t="str">
            <v xml:space="preserve">UN    </v>
          </cell>
          <cell r="D4833" t="str">
            <v>CR</v>
          </cell>
          <cell r="E4833" t="str">
            <v>57,09</v>
          </cell>
        </row>
        <row r="4834">
          <cell r="A4834">
            <v>13726</v>
          </cell>
          <cell r="B4834" t="str">
            <v xml:space="preserve">VASSOURA MECANICA REBOCAVEL COM ESCOVA CILINDRICA LARGURA UTIL DE VARRIMENTO = 2,44M                                                                                                                                                                                                                                                                                                                                                                                                                      </v>
          </cell>
          <cell r="C4834" t="str">
            <v xml:space="preserve">UN    </v>
          </cell>
          <cell r="D4834" t="str">
            <v>CR</v>
          </cell>
          <cell r="E4834" t="str">
            <v>70.306,12</v>
          </cell>
        </row>
        <row r="4835">
          <cell r="A4835">
            <v>38400</v>
          </cell>
          <cell r="B4835" t="str">
            <v xml:space="preserve">VASSOURA 40 CM COM CABO                                                                                                                                                                                                                                                                                                                                                                                                                                                                                   </v>
          </cell>
          <cell r="C4835" t="str">
            <v xml:space="preserve">UN    </v>
          </cell>
          <cell r="D4835" t="str">
            <v>CR</v>
          </cell>
          <cell r="E4835" t="str">
            <v>14,35</v>
          </cell>
        </row>
        <row r="4836">
          <cell r="A4836">
            <v>12627</v>
          </cell>
          <cell r="B4836" t="str">
            <v xml:space="preserve">VEDACAO DE CALHA, EM BORRACHA COR PRETA, MEDIDA ENTRE 119 E 170 MM, PARA DRENAGEM PLUVIAL PREDIAL                                                                                                                                                                                                                                                                                                                                                                                                         </v>
          </cell>
          <cell r="C4836" t="str">
            <v xml:space="preserve">UN    </v>
          </cell>
          <cell r="D4836" t="str">
            <v>CR</v>
          </cell>
          <cell r="E4836" t="str">
            <v>1,26</v>
          </cell>
        </row>
        <row r="4837">
          <cell r="A4837">
            <v>39996</v>
          </cell>
          <cell r="B4837" t="str">
            <v xml:space="preserve">VERGALHAO ZINCADO ROSCA TOTAL, 1/4 " (6,3 MM)                                                                                                                                                                                                                                                                                                                                                                                                                                                             </v>
          </cell>
          <cell r="C4837" t="str">
            <v xml:space="preserve">M     </v>
          </cell>
          <cell r="D4837" t="str">
            <v>CR</v>
          </cell>
          <cell r="E4837" t="str">
            <v>2,92</v>
          </cell>
        </row>
        <row r="4838">
          <cell r="A4838">
            <v>10478</v>
          </cell>
          <cell r="B4838" t="str">
            <v xml:space="preserve">VERNIZ A BASE RESINA ALQUIDICA COM POLIURETANO PARA MADEIRA, COM FILTRO SOLAR, BRILHANTE, USO INTERNO E EXTERNO                                                                                                                                                                                                                                                                                                                                                                                           </v>
          </cell>
          <cell r="C4838" t="str">
            <v xml:space="preserve">L     </v>
          </cell>
          <cell r="D4838" t="str">
            <v xml:space="preserve">C </v>
          </cell>
          <cell r="E4838" t="str">
            <v>38,64</v>
          </cell>
        </row>
        <row r="4839">
          <cell r="A4839">
            <v>10481</v>
          </cell>
          <cell r="B4839" t="str">
            <v xml:space="preserve">VERNIZ MARITIMO PREMIUM PARA MADEIRA, COM FILTRO SOLAR, BRILHANTE, USO INTERNO E EXTERNO                                                                                                                                                                                                                                                                                                                                                                                                                  </v>
          </cell>
          <cell r="C4839" t="str">
            <v xml:space="preserve">L     </v>
          </cell>
          <cell r="D4839" t="str">
            <v>CR</v>
          </cell>
          <cell r="E4839" t="str">
            <v>34,36</v>
          </cell>
        </row>
        <row r="4840">
          <cell r="A4840">
            <v>10475</v>
          </cell>
          <cell r="B4840" t="str">
            <v xml:space="preserve">VERNIZ TIPO COPAL PARA MADEIRA, BRILHANTE, USO INTERNO                                                                                                                                                                                                                                                                                                                                                                                                                                                    </v>
          </cell>
          <cell r="C4840" t="str">
            <v xml:space="preserve">L     </v>
          </cell>
          <cell r="D4840" t="str">
            <v>CR</v>
          </cell>
          <cell r="E4840" t="str">
            <v>33,25</v>
          </cell>
        </row>
        <row r="4841">
          <cell r="A4841">
            <v>4030</v>
          </cell>
          <cell r="B4841" t="str">
            <v xml:space="preserve">VEU DE POLIESTER PARA IMPERMEABILIZACAO                                                                                                                                                                                                                                                                                                                                                                                                                                                                   </v>
          </cell>
          <cell r="C4841" t="str">
            <v xml:space="preserve">M2    </v>
          </cell>
          <cell r="D4841" t="str">
            <v>CR</v>
          </cell>
          <cell r="E4841" t="str">
            <v>7,98</v>
          </cell>
        </row>
        <row r="4842">
          <cell r="A4842">
            <v>4031</v>
          </cell>
          <cell r="B4842" t="str">
            <v xml:space="preserve">VEU DE VIDRO/VEU DE SUPERFICIE 30 A 35 G/M2                                                                                                                                                                                                                                                                                                                                                                                                                                                               </v>
          </cell>
          <cell r="C4842" t="str">
            <v xml:space="preserve">M2    </v>
          </cell>
          <cell r="D4842" t="str">
            <v>CR</v>
          </cell>
          <cell r="E4842" t="str">
            <v>37,53</v>
          </cell>
        </row>
        <row r="4843">
          <cell r="A4843">
            <v>39399</v>
          </cell>
          <cell r="B4843" t="str">
            <v xml:space="preserve">VIBRADOR DE IMERSAO, COM PONTEIRA DE *35* MM, MANGOTE DE 5 M, SEM MOTOR                                                                                                                                                                                                                                                                                                                                                                                                                                   </v>
          </cell>
          <cell r="C4843" t="str">
            <v xml:space="preserve">UN    </v>
          </cell>
          <cell r="D4843" t="str">
            <v>CR</v>
          </cell>
          <cell r="E4843" t="str">
            <v>1.360,93</v>
          </cell>
        </row>
        <row r="4844">
          <cell r="A4844">
            <v>39400</v>
          </cell>
          <cell r="B4844" t="str">
            <v xml:space="preserve">VIBRADOR DE IMERSAO, COM PONTEIRA DE *45* MM, MANGOTE DE 5 M, SEM MOTOR.                                                                                                                                                                                                                                                                                                                                                                                                                                  </v>
          </cell>
          <cell r="C4844" t="str">
            <v xml:space="preserve">UN    </v>
          </cell>
          <cell r="D4844" t="str">
            <v>CR</v>
          </cell>
          <cell r="E4844" t="str">
            <v>1.479,28</v>
          </cell>
        </row>
        <row r="4845">
          <cell r="A4845">
            <v>39401</v>
          </cell>
          <cell r="B4845" t="str">
            <v xml:space="preserve">VIBRADOR DE IMERSAO, COM PONTEIRA DE *60* MM, MANGOTE DE 5 M, SEM MOTOR.                                                                                                                                                                                                                                                                                                                                                                                                                                  </v>
          </cell>
          <cell r="C4845" t="str">
            <v xml:space="preserve">UN    </v>
          </cell>
          <cell r="D4845" t="str">
            <v>CR</v>
          </cell>
          <cell r="E4845" t="str">
            <v>1.659,39</v>
          </cell>
        </row>
        <row r="4846">
          <cell r="A4846">
            <v>11652</v>
          </cell>
          <cell r="B4846" t="str">
            <v xml:space="preserve">VIBRADOR DE IMERSAO, DIAMETRO DA PONTEIRA DE *35* MM, COM MOTOR 4 TEMPOS A GASOLINA DE 5,5 HP (5,5 CV)                                                                                                                                                                                                                                                                                                                                                                                                    </v>
          </cell>
          <cell r="C4846" t="str">
            <v xml:space="preserve">UN    </v>
          </cell>
          <cell r="D4846" t="str">
            <v xml:space="preserve">C </v>
          </cell>
          <cell r="E4846" t="str">
            <v>3.570,00</v>
          </cell>
        </row>
        <row r="4847">
          <cell r="A4847">
            <v>13896</v>
          </cell>
          <cell r="B4847" t="str">
            <v xml:space="preserve">VIBRADOR DE IMERSAO, DIAMETRO DA PONTEIRA DE *45* MM, COM MOTOR ELETRICO TRIFASICO DE 2 HP (2 CV)                                                                                                                                                                                                                                                                                                                                                                                                         </v>
          </cell>
          <cell r="C4847" t="str">
            <v xml:space="preserve">UN    </v>
          </cell>
          <cell r="D4847" t="str">
            <v>CR</v>
          </cell>
          <cell r="E4847" t="str">
            <v>3.202,60</v>
          </cell>
        </row>
        <row r="4848">
          <cell r="A4848">
            <v>13475</v>
          </cell>
          <cell r="B4848" t="str">
            <v xml:space="preserve">VIBRADOR DE IMERSAO, DIAMETRO DA PONTEIRA DE *45* MM, COM MOTOR 4 TEMPOS A GASOLINA DE 5,5 HP (5,5 CV)                                                                                                                                                                                                                                                                                                                                                                                                    </v>
          </cell>
          <cell r="C4848" t="str">
            <v xml:space="preserve">UN    </v>
          </cell>
          <cell r="D4848" t="str">
            <v>CR</v>
          </cell>
          <cell r="E4848" t="str">
            <v>3.901,15</v>
          </cell>
        </row>
        <row r="4849">
          <cell r="A4849">
            <v>44491</v>
          </cell>
          <cell r="B4849" t="str">
            <v xml:space="preserve">VIBROACABADORA DE ASFALTO SOBRE ESTEIRAS, LARG. PAVIM. MAX. 8,00 M, POT. 100 KW/ 134 HP, CAP.  600 T/ H                                                                                                                                                                                                                                                                                                                                                                                                   </v>
          </cell>
          <cell r="C4849" t="str">
            <v xml:space="preserve">UN    </v>
          </cell>
          <cell r="D4849" t="str">
            <v>CR</v>
          </cell>
          <cell r="E4849" t="str">
            <v>3.750.234,40</v>
          </cell>
        </row>
        <row r="4850">
          <cell r="A4850">
            <v>44470</v>
          </cell>
          <cell r="B4850" t="str">
            <v xml:space="preserve">VIBROACABADORA DE ASFALTO SOBRE ESTEIRAS, LARG. PAVIM. 2,13 M A 4,55 M, POT. 74 KW/ 100 HP, CAP. 400  T/ H                                                                                                                                                                                                                                                                                                                                                                                                </v>
          </cell>
          <cell r="C4850" t="str">
            <v xml:space="preserve">UN    </v>
          </cell>
          <cell r="D4850" t="str">
            <v>CR</v>
          </cell>
          <cell r="E4850" t="str">
            <v>1.578.805,15</v>
          </cell>
        </row>
        <row r="4851">
          <cell r="A4851">
            <v>13476</v>
          </cell>
          <cell r="B4851" t="str">
            <v xml:space="preserve">VIBROACABADORA DE ASFALTO SOBRE ESTEIRAS, LARG. PAVIM. 2,60 M A 5,75 M, POT. 110 HP, CAP. 450 T/ H                                                                                                                                                                                                                                                                                                                                                                                                        </v>
          </cell>
          <cell r="C4851" t="str">
            <v xml:space="preserve">UN    </v>
          </cell>
          <cell r="D4851" t="str">
            <v>CR</v>
          </cell>
          <cell r="E4851" t="str">
            <v>1.590.245,88</v>
          </cell>
        </row>
        <row r="4852">
          <cell r="A4852">
            <v>10488</v>
          </cell>
          <cell r="B4852" t="str">
            <v xml:space="preserve">VIBROACABADORA DE ASFALTO SOBRE ESTEIRAS, LARG. PAVIMENT. 1,90 A 5,3 M, POT. 78 KW/105 HP, CAP. 450 T/H                                                                                                                                                                                                                                                                                                                                                                                                   </v>
          </cell>
          <cell r="C4852" t="str">
            <v xml:space="preserve">UN    </v>
          </cell>
          <cell r="D4852" t="str">
            <v xml:space="preserve">C </v>
          </cell>
          <cell r="E4852" t="str">
            <v>1.926.600,00</v>
          </cell>
        </row>
        <row r="4853">
          <cell r="A4853">
            <v>13606</v>
          </cell>
          <cell r="B4853" t="str">
            <v xml:space="preserve">VIBROACABADORA DE ASFALTO SOBRE RODAS, LARGURA DE PAVIMENTACAO DE 1,70 A 4,20 M, POTENCIA 78 KW/105 HP, CAPACIDADE 300 T/H                                                                                                                                                                                                                                                                                                                                                                                </v>
          </cell>
          <cell r="C4853" t="str">
            <v xml:space="preserve">UN    </v>
          </cell>
          <cell r="D4853" t="str">
            <v>CR</v>
          </cell>
          <cell r="E4853" t="str">
            <v>1.706.940,04</v>
          </cell>
        </row>
        <row r="4854">
          <cell r="A4854">
            <v>10489</v>
          </cell>
          <cell r="B4854" t="str">
            <v xml:space="preserve">VIDRACEIRO (HORISTA)                                                                                                                                                                                                                                                                                                                                                                                                                                                                                      </v>
          </cell>
          <cell r="C4854" t="str">
            <v xml:space="preserve">H     </v>
          </cell>
          <cell r="D4854" t="str">
            <v>CR</v>
          </cell>
          <cell r="E4854" t="str">
            <v>19,35</v>
          </cell>
        </row>
        <row r="4855">
          <cell r="A4855">
            <v>41073</v>
          </cell>
          <cell r="B4855" t="str">
            <v xml:space="preserve">VIDRACEIRO (MENSALISTA)                                                                                                                                                                                                                                                                                                                                                                                                                                                                                   </v>
          </cell>
          <cell r="C4855" t="str">
            <v xml:space="preserve">MES   </v>
          </cell>
          <cell r="D4855" t="str">
            <v>CR</v>
          </cell>
          <cell r="E4855" t="str">
            <v>3.389,47</v>
          </cell>
        </row>
        <row r="4856">
          <cell r="A4856">
            <v>34391</v>
          </cell>
          <cell r="B4856" t="str">
            <v xml:space="preserve">VIDRO COMUM LAMINADO LISO INCOLOR DUPLO, ESPESSURA TOTAL 8 MM (CADA CAMADA DE 4 MM) - COLOCADO                                                                                                                                                                                                                                                                                                                                                                                                            </v>
          </cell>
          <cell r="C4856" t="str">
            <v xml:space="preserve">M2    </v>
          </cell>
          <cell r="D4856" t="str">
            <v>CR</v>
          </cell>
          <cell r="E4856" t="str">
            <v>754,03</v>
          </cell>
        </row>
        <row r="4857">
          <cell r="A4857">
            <v>10496</v>
          </cell>
          <cell r="B4857" t="str">
            <v xml:space="preserve">VIDRO COMUM LAMINADO, LISO, INCOLOR, DUPLO, ESPESSURA TOTAL 6 MM (CADA CAMADA E= 3 MM) - COLOCADO                                                                                                                                                                                                                                                                                                                                                                                                         </v>
          </cell>
          <cell r="C4857" t="str">
            <v xml:space="preserve">M2    </v>
          </cell>
          <cell r="D4857" t="str">
            <v>CR</v>
          </cell>
          <cell r="E4857" t="str">
            <v>656,25</v>
          </cell>
        </row>
        <row r="4858">
          <cell r="A4858">
            <v>10497</v>
          </cell>
          <cell r="B4858" t="str">
            <v xml:space="preserve">VIDRO COMUM LAMINADO, LISO, INCOLOR, TRIPLO, ESPESSURA TOTAL 12 MM (CADA CAMADA E=  4 MM) - COLOCADO                                                                                                                                                                                                                                                                                                                                                                                                      </v>
          </cell>
          <cell r="C4858" t="str">
            <v xml:space="preserve">M2    </v>
          </cell>
          <cell r="D4858" t="str">
            <v>CR</v>
          </cell>
          <cell r="E4858" t="str">
            <v>1.706,24</v>
          </cell>
        </row>
        <row r="4859">
          <cell r="A4859">
            <v>10504</v>
          </cell>
          <cell r="B4859" t="str">
            <v xml:space="preserve">VIDRO COMUM LAMINADO, LISO, INCOLOR, TRIPLO, ESPESSURA TOTAL 15 MM (CADA CAMADA E = 5 MM) - COLOCADO                                                                                                                                                                                                                                                                                                                                                                                                      </v>
          </cell>
          <cell r="C4859" t="str">
            <v xml:space="preserve">M2    </v>
          </cell>
          <cell r="D4859" t="str">
            <v>CR</v>
          </cell>
          <cell r="E4859" t="str">
            <v>1.995,00</v>
          </cell>
        </row>
        <row r="4860">
          <cell r="A4860">
            <v>34390</v>
          </cell>
          <cell r="B4860" t="str">
            <v xml:space="preserve">VIDRO CRISTAL COLORIDO, 10 MM, PINTADO NA COR BRANCA                                                                                                                                                                                                                                                                                                                                                                                                                                                      </v>
          </cell>
          <cell r="C4860" t="str">
            <v xml:space="preserve">M2    </v>
          </cell>
          <cell r="D4860" t="str">
            <v>CR</v>
          </cell>
          <cell r="E4860" t="str">
            <v>587,99</v>
          </cell>
        </row>
        <row r="4861">
          <cell r="A4861">
            <v>34389</v>
          </cell>
          <cell r="B4861" t="str">
            <v xml:space="preserve">VIDRO CRISTAL COLORIDO, 4 MM, PINTADO NA COR BRANCA                                                                                                                                                                                                                                                                                                                                                                                                                                                       </v>
          </cell>
          <cell r="C4861" t="str">
            <v xml:space="preserve">M2    </v>
          </cell>
          <cell r="D4861" t="str">
            <v>CR</v>
          </cell>
          <cell r="E4861" t="str">
            <v>183,75</v>
          </cell>
        </row>
        <row r="4862">
          <cell r="A4862">
            <v>34388</v>
          </cell>
          <cell r="B4862" t="str">
            <v xml:space="preserve">VIDRO CRISTAL COLORIDO, 6 MM, PINTADO NA COR BRANCA                                                                                                                                                                                                                                                                                                                                                                                                                                                       </v>
          </cell>
          <cell r="C4862" t="str">
            <v xml:space="preserve">M2    </v>
          </cell>
          <cell r="D4862" t="str">
            <v>CR</v>
          </cell>
          <cell r="E4862" t="str">
            <v>261,16</v>
          </cell>
        </row>
        <row r="4863">
          <cell r="A4863">
            <v>34387</v>
          </cell>
          <cell r="B4863" t="str">
            <v xml:space="preserve">VIDRO CRISTAL COLORIDO, 8 MM, PINTADO NA COR BRANCA                                                                                                                                                                                                                                                                                                                                                                                                                                                       </v>
          </cell>
          <cell r="C4863" t="str">
            <v xml:space="preserve">M2    </v>
          </cell>
          <cell r="D4863" t="str">
            <v>CR</v>
          </cell>
          <cell r="E4863" t="str">
            <v>423,93</v>
          </cell>
        </row>
        <row r="4864">
          <cell r="A4864">
            <v>11188</v>
          </cell>
          <cell r="B4864" t="str">
            <v xml:space="preserve">VIDRO LISO FUME E = 4MM - SEM COLOCACAO                                                                                                                                                                                                                                                                                                                                                                                                                                                                   </v>
          </cell>
          <cell r="C4864" t="str">
            <v xml:space="preserve">M2    </v>
          </cell>
          <cell r="D4864" t="str">
            <v>CR</v>
          </cell>
          <cell r="E4864" t="str">
            <v>209,99</v>
          </cell>
        </row>
        <row r="4865">
          <cell r="A4865">
            <v>11189</v>
          </cell>
          <cell r="B4865" t="str">
            <v xml:space="preserve">VIDRO LISO FUME E = 6MM - SEM COLOCACAO                                                                                                                                                                                                                                                                                                                                                                                                                                                                   </v>
          </cell>
          <cell r="C4865" t="str">
            <v xml:space="preserve">M2    </v>
          </cell>
          <cell r="D4865" t="str">
            <v>CR</v>
          </cell>
          <cell r="E4865" t="str">
            <v>315,00</v>
          </cell>
        </row>
        <row r="4866">
          <cell r="A4866">
            <v>21107</v>
          </cell>
          <cell r="B4866" t="str">
            <v xml:space="preserve">VIDRO LISO FUME, E = 5 MM - SEM COLOCACAO                                                                                                                                                                                                                                                                                                                                                                                                                                                                 </v>
          </cell>
          <cell r="C4866" t="str">
            <v xml:space="preserve">M2    </v>
          </cell>
          <cell r="D4866" t="str">
            <v>CR</v>
          </cell>
          <cell r="E4866" t="str">
            <v>226,69</v>
          </cell>
        </row>
        <row r="4867">
          <cell r="A4867">
            <v>34386</v>
          </cell>
          <cell r="B4867" t="str">
            <v xml:space="preserve">VIDRO LISO INCOLOR 10 MM - SEM COLOCACAO                                                                                                                                                                                                                                                                                                                                                                                                                                                                  </v>
          </cell>
          <cell r="C4867" t="str">
            <v xml:space="preserve">M2    </v>
          </cell>
          <cell r="D4867" t="str">
            <v>CR</v>
          </cell>
          <cell r="E4867" t="str">
            <v>393,75</v>
          </cell>
        </row>
        <row r="4868">
          <cell r="A4868">
            <v>10490</v>
          </cell>
          <cell r="B4868" t="str">
            <v xml:space="preserve">VIDRO LISO INCOLOR 2 A 3 MM - SEM COLOCACAO                                                                                                                                                                                                                                                                                                                                                                                                                                                               </v>
          </cell>
          <cell r="C4868" t="str">
            <v xml:space="preserve">M2    </v>
          </cell>
          <cell r="D4868" t="str">
            <v>CR</v>
          </cell>
          <cell r="E4868" t="str">
            <v>137,81</v>
          </cell>
        </row>
        <row r="4869">
          <cell r="A4869">
            <v>10492</v>
          </cell>
          <cell r="B4869" t="str">
            <v xml:space="preserve">VIDRO LISO INCOLOR 4MM - SEM COLOCACAO                                                                                                                                                                                                                                                                                                                                                                                                                                                                    </v>
          </cell>
          <cell r="C4869" t="str">
            <v xml:space="preserve">M2    </v>
          </cell>
          <cell r="D4869" t="str">
            <v xml:space="preserve">C </v>
          </cell>
          <cell r="E4869" t="str">
            <v>157,50</v>
          </cell>
        </row>
        <row r="4870">
          <cell r="A4870">
            <v>10493</v>
          </cell>
          <cell r="B4870" t="str">
            <v xml:space="preserve">VIDRO LISO INCOLOR 5MM - SEM COLOCACAO                                                                                                                                                                                                                                                                                                                                                                                                                                                                    </v>
          </cell>
          <cell r="C4870" t="str">
            <v xml:space="preserve">M2    </v>
          </cell>
          <cell r="D4870" t="str">
            <v>CR</v>
          </cell>
          <cell r="E4870" t="str">
            <v>183,75</v>
          </cell>
        </row>
        <row r="4871">
          <cell r="A4871">
            <v>10491</v>
          </cell>
          <cell r="B4871" t="str">
            <v xml:space="preserve">VIDRO LISO INCOLOR 6 MM - SEM COLOCACAO                                                                                                                                                                                                                                                                                                                                                                                                                                                                   </v>
          </cell>
          <cell r="C4871" t="str">
            <v xml:space="preserve">M2    </v>
          </cell>
          <cell r="D4871" t="str">
            <v>CR</v>
          </cell>
          <cell r="E4871" t="str">
            <v>223,12</v>
          </cell>
        </row>
        <row r="4872">
          <cell r="A4872">
            <v>34385</v>
          </cell>
          <cell r="B4872" t="str">
            <v xml:space="preserve">VIDRO LISO INCOLOR 8MM  -  SEM COLOCACAO                                                                                                                                                                                                                                                                                                                                                                                                                                                                  </v>
          </cell>
          <cell r="C4872" t="str">
            <v xml:space="preserve">M2    </v>
          </cell>
          <cell r="D4872" t="str">
            <v>CR</v>
          </cell>
          <cell r="E4872" t="str">
            <v>325,50</v>
          </cell>
        </row>
        <row r="4873">
          <cell r="A4873">
            <v>10499</v>
          </cell>
          <cell r="B4873" t="str">
            <v xml:space="preserve">VIDRO MARTELADO OU CANELADO, 4 MM - SEM COLOCACAO                                                                                                                                                                                                                                                                                                                                                                                                                                                         </v>
          </cell>
          <cell r="C4873" t="str">
            <v xml:space="preserve">M2    </v>
          </cell>
          <cell r="D4873" t="str">
            <v>CR</v>
          </cell>
          <cell r="E4873" t="str">
            <v>131,24</v>
          </cell>
        </row>
        <row r="4874">
          <cell r="A4874">
            <v>34384</v>
          </cell>
          <cell r="B4874" t="str">
            <v xml:space="preserve">VIDRO PLANO ARAMADO E = 6 MM - SEM COLOCACAO                                                                                                                                                                                                                                                                                                                                                                                                                                                              </v>
          </cell>
          <cell r="C4874" t="str">
            <v xml:space="preserve">M2    </v>
          </cell>
          <cell r="D4874" t="str">
            <v>CR</v>
          </cell>
          <cell r="E4874" t="str">
            <v>393,75</v>
          </cell>
        </row>
        <row r="4875">
          <cell r="A4875">
            <v>11185</v>
          </cell>
          <cell r="B4875" t="str">
            <v xml:space="preserve">VIDRO PLANO ARAMADO E = 7MM - SEM COLOCACAO                                                                                                                                                                                                                                                                                                                                                                                                                                                               </v>
          </cell>
          <cell r="C4875" t="str">
            <v xml:space="preserve">M2    </v>
          </cell>
          <cell r="D4875" t="str">
            <v>CR</v>
          </cell>
          <cell r="E4875" t="str">
            <v>406,87</v>
          </cell>
        </row>
        <row r="4876">
          <cell r="A4876">
            <v>10507</v>
          </cell>
          <cell r="B4876" t="str">
            <v xml:space="preserve">VIDRO TEMPERADO INCOLOR E = 10 MM, SEM COLOCACAO                                                                                                                                                                                                                                                                                                                                                                                                                                                          </v>
          </cell>
          <cell r="C4876" t="str">
            <v xml:space="preserve">M2    </v>
          </cell>
          <cell r="D4876" t="str">
            <v>CR</v>
          </cell>
          <cell r="E4876" t="str">
            <v>441,47</v>
          </cell>
        </row>
        <row r="4877">
          <cell r="A4877">
            <v>10505</v>
          </cell>
          <cell r="B4877" t="str">
            <v xml:space="preserve">VIDRO TEMPERADO INCOLOR E = 6 MM, SEM COLOCACAO                                                                                                                                                                                                                                                                                                                                                                                                                                                           </v>
          </cell>
          <cell r="C4877" t="str">
            <v xml:space="preserve">M2    </v>
          </cell>
          <cell r="D4877" t="str">
            <v>CR</v>
          </cell>
          <cell r="E4877" t="str">
            <v>260,50</v>
          </cell>
        </row>
        <row r="4878">
          <cell r="A4878">
            <v>10506</v>
          </cell>
          <cell r="B4878" t="str">
            <v xml:space="preserve">VIDRO TEMPERADO INCOLOR E = 8 MM, SEM COLOCACAO                                                                                                                                                                                                                                                                                                                                                                                                                                                           </v>
          </cell>
          <cell r="C4878" t="str">
            <v xml:space="preserve">M2    </v>
          </cell>
          <cell r="D4878" t="str">
            <v>CR</v>
          </cell>
          <cell r="E4878" t="str">
            <v>340,06</v>
          </cell>
        </row>
        <row r="4879">
          <cell r="A4879">
            <v>5031</v>
          </cell>
          <cell r="B4879" t="str">
            <v xml:space="preserve">VIDRO TEMPERADO INCOLOR PARA PORTA DE ABRIR, E = 10 MM (SEM FERRAGENS E SEM COLOCACAO)                                                                                                                                                                                                                                                                                                                                                                                                                    </v>
          </cell>
          <cell r="C4879" t="str">
            <v xml:space="preserve">M2    </v>
          </cell>
          <cell r="D4879" t="str">
            <v xml:space="preserve">C </v>
          </cell>
          <cell r="E4879" t="str">
            <v>477,50</v>
          </cell>
        </row>
        <row r="4880">
          <cell r="A4880">
            <v>10502</v>
          </cell>
          <cell r="B4880" t="str">
            <v xml:space="preserve">VIDRO TEMPERADO VERDE E = 10 MM, SEM COLOCACAO                                                                                                                                                                                                                                                                                                                                                                                                                                                            </v>
          </cell>
          <cell r="C4880" t="str">
            <v xml:space="preserve">M2    </v>
          </cell>
          <cell r="D4880" t="str">
            <v>CR</v>
          </cell>
          <cell r="E4880" t="str">
            <v>556,40</v>
          </cell>
        </row>
        <row r="4881">
          <cell r="A4881">
            <v>10501</v>
          </cell>
          <cell r="B4881" t="str">
            <v xml:space="preserve">VIDRO TEMPERADO VERDE E = 6 MM, SEM COLOCACAO                                                                                                                                                                                                                                                                                                                                                                                                                                                             </v>
          </cell>
          <cell r="C4881" t="str">
            <v xml:space="preserve">M2    </v>
          </cell>
          <cell r="D4881" t="str">
            <v>CR</v>
          </cell>
          <cell r="E4881" t="str">
            <v>314,35</v>
          </cell>
        </row>
        <row r="4882">
          <cell r="A4882">
            <v>10503</v>
          </cell>
          <cell r="B4882" t="str">
            <v xml:space="preserve">VIDRO TEMPERADO VERDE E = 8 MM, SEM COLOCACAO                                                                                                                                                                                                                                                                                                                                                                                                                                                             </v>
          </cell>
          <cell r="C4882" t="str">
            <v xml:space="preserve">M2    </v>
          </cell>
          <cell r="D4882" t="str">
            <v>CR</v>
          </cell>
          <cell r="E4882" t="str">
            <v>424,68</v>
          </cell>
        </row>
        <row r="4883">
          <cell r="A4883">
            <v>4500</v>
          </cell>
          <cell r="B4883" t="str">
            <v xml:space="preserve">VIGA *7,5 X 10* CM EM PINUS, MISTA OU EQUIVALENTE DA REGIAO - BRUTA                                                                                                                                                                                                                                                                                                                                                                                                                                       </v>
          </cell>
          <cell r="C4883" t="str">
            <v xml:space="preserve">M     </v>
          </cell>
          <cell r="D4883" t="str">
            <v>CR</v>
          </cell>
          <cell r="E4883" t="str">
            <v>14,51</v>
          </cell>
        </row>
        <row r="4884">
          <cell r="A4884">
            <v>4448</v>
          </cell>
          <cell r="B4884" t="str">
            <v xml:space="preserve">VIGA *7,5 X 15 CM EM PINUS, MISTA OU EQUIVALENTE DA REGIAO - BRUTA                                                                                                                                                                                                                                                                                                                                                                                                                                        </v>
          </cell>
          <cell r="C4884" t="str">
            <v xml:space="preserve">M     </v>
          </cell>
          <cell r="D4884" t="str">
            <v>CR</v>
          </cell>
          <cell r="E4884" t="str">
            <v>19,93</v>
          </cell>
        </row>
        <row r="4885">
          <cell r="A4885">
            <v>20213</v>
          </cell>
          <cell r="B4885" t="str">
            <v xml:space="preserve">VIGA APARELHADA *6 X 12* CM, EM MACARANDUBA/MASSARANDUBA, ANGELIM OU EQUIVALENTE DA REGIAO                                                                                                                                                                                                                                                                                                                                                                                                                </v>
          </cell>
          <cell r="C4885" t="str">
            <v xml:space="preserve">M     </v>
          </cell>
          <cell r="D4885" t="str">
            <v>CR</v>
          </cell>
          <cell r="E4885" t="str">
            <v>31,56</v>
          </cell>
        </row>
        <row r="4886">
          <cell r="A4886">
            <v>20211</v>
          </cell>
          <cell r="B4886" t="str">
            <v xml:space="preserve">VIGA APARELHADA *6 X 16* CM, EM MACARANDUBA/MASSARANDUBA, ANGELIM OU EQUIVALENTE DA REGIAO                                                                                                                                                                                                                                                                                                                                                                                                                </v>
          </cell>
          <cell r="C4886" t="str">
            <v xml:space="preserve">M     </v>
          </cell>
          <cell r="D4886" t="str">
            <v>CR</v>
          </cell>
          <cell r="E4886" t="str">
            <v>41,79</v>
          </cell>
        </row>
        <row r="4887">
          <cell r="A4887">
            <v>40270</v>
          </cell>
          <cell r="B4887" t="str">
            <v xml:space="preserve">VIGA DE ESCORAMAENTO H20, DE MADEIRA, PESO DE 5,00 A 5,20 KG/M, COM EXTREMIDADES PLASTICAS                                                                                                                                                                                                                                                                                                                                                                                                                </v>
          </cell>
          <cell r="C4887" t="str">
            <v xml:space="preserve">M     </v>
          </cell>
          <cell r="D4887" t="str">
            <v xml:space="preserve">C </v>
          </cell>
          <cell r="E4887" t="str">
            <v>126,05</v>
          </cell>
        </row>
        <row r="4888">
          <cell r="A4888">
            <v>4425</v>
          </cell>
          <cell r="B4888" t="str">
            <v xml:space="preserve">VIGA NAO APARELHADA *6 X 12* CM, EM MACARANDUBA/MASSARANDUBA, ANGELIM OU EQUIVALENTE DA REGIAO - BRUTA                                                                                                                                                                                                                                                                                                                                                                                                    </v>
          </cell>
          <cell r="C4888" t="str">
            <v xml:space="preserve">M     </v>
          </cell>
          <cell r="D4888" t="str">
            <v>CR</v>
          </cell>
          <cell r="E4888" t="str">
            <v>34,54</v>
          </cell>
        </row>
        <row r="4889">
          <cell r="A4889">
            <v>4472</v>
          </cell>
          <cell r="B4889" t="str">
            <v xml:space="preserve">VIGA NAO APARELHADA *6 X 16* CM, EM MACARANDUBA/MASSARANDUBA, ANGELIM OU EQUIVALENTE DA REGIAO - BRUTA                                                                                                                                                                                                                                                                                                                                                                                                    </v>
          </cell>
          <cell r="C4889" t="str">
            <v xml:space="preserve">M     </v>
          </cell>
          <cell r="D4889" t="str">
            <v>CR</v>
          </cell>
          <cell r="E4889" t="str">
            <v>43,15</v>
          </cell>
        </row>
        <row r="4890">
          <cell r="A4890">
            <v>35272</v>
          </cell>
          <cell r="B4890" t="str">
            <v xml:space="preserve">VIGA NAO APARELHADA *6 X 20* CM, EM MACARANDUBA/MASSARANDUBA, ANGELIM OU EQUIVALENTE DA REGIAO - BRUTA                                                                                                                                                                                                                                                                                                                                                                                                    </v>
          </cell>
          <cell r="C4890" t="str">
            <v xml:space="preserve">M     </v>
          </cell>
          <cell r="D4890" t="str">
            <v>CR</v>
          </cell>
          <cell r="E4890" t="str">
            <v>62,37</v>
          </cell>
        </row>
        <row r="4891">
          <cell r="A4891">
            <v>4481</v>
          </cell>
          <cell r="B4891" t="str">
            <v xml:space="preserve">VIGA NAO APARELHADA *8 X 16* CM EM MACARANDUBA/MASSARANDUBA, ANGELIM OU EQUIVALENTE DA REGIAO - BRUTA                                                                                                                                                                                                                                                                                                                                                                                                     </v>
          </cell>
          <cell r="C4891" t="str">
            <v xml:space="preserve">M     </v>
          </cell>
          <cell r="D4891" t="str">
            <v>CR</v>
          </cell>
          <cell r="E4891" t="str">
            <v>66,76</v>
          </cell>
        </row>
        <row r="4892">
          <cell r="A4892">
            <v>34345</v>
          </cell>
          <cell r="B4892" t="str">
            <v xml:space="preserve">VIGIA DIURNO (HORISTA)                                                                                                                                                                                                                                                                                                                                                                                                                                                                                    </v>
          </cell>
          <cell r="C4892" t="str">
            <v xml:space="preserve">H     </v>
          </cell>
          <cell r="D4892" t="str">
            <v>CR</v>
          </cell>
          <cell r="E4892" t="str">
            <v>21,68</v>
          </cell>
        </row>
        <row r="4893">
          <cell r="A4893">
            <v>41096</v>
          </cell>
          <cell r="B4893" t="str">
            <v xml:space="preserve">VIGIA DIURNO (MENSALISTA)                                                                                                                                                                                                                                                                                                                                                                                                                                                                                 </v>
          </cell>
          <cell r="C4893" t="str">
            <v xml:space="preserve">MES   </v>
          </cell>
          <cell r="D4893" t="str">
            <v>CR</v>
          </cell>
          <cell r="E4893" t="str">
            <v>3.795,83</v>
          </cell>
        </row>
        <row r="4894">
          <cell r="A4894" t="str">
            <v/>
          </cell>
        </row>
        <row r="4895">
          <cell r="A4895" t="str">
            <v>TOTAL DE INSUMOS : 4886</v>
          </cell>
        </row>
      </sheetData>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9E315-893A-4E12-AF3B-F3780F275AA0}">
  <dimension ref="A1:M45"/>
  <sheetViews>
    <sheetView tabSelected="1" view="pageBreakPreview" zoomScale="110" zoomScaleNormal="100" zoomScaleSheetLayoutView="110" workbookViewId="0">
      <selection activeCell="K11" sqref="K11"/>
    </sheetView>
  </sheetViews>
  <sheetFormatPr defaultRowHeight="12.75"/>
  <cols>
    <col min="1" max="16384" width="9.140625" style="71"/>
  </cols>
  <sheetData>
    <row r="1" spans="1:10">
      <c r="A1" s="610"/>
      <c r="B1" s="610"/>
      <c r="C1" s="610"/>
      <c r="D1" s="610"/>
      <c r="E1" s="610"/>
      <c r="F1" s="610"/>
      <c r="G1" s="610"/>
      <c r="H1" s="610"/>
      <c r="I1" s="610"/>
      <c r="J1" s="610"/>
    </row>
    <row r="2" spans="1:10" ht="46.5" customHeight="1" thickBot="1">
      <c r="A2" s="611"/>
      <c r="B2" s="611"/>
      <c r="C2" s="611"/>
      <c r="D2" s="611"/>
      <c r="E2" s="611"/>
      <c r="F2" s="611"/>
      <c r="G2" s="611"/>
      <c r="H2" s="611"/>
      <c r="I2" s="611"/>
      <c r="J2" s="611"/>
    </row>
    <row r="3" spans="1:10" ht="15.95" customHeight="1" thickBot="1">
      <c r="A3" s="612" t="s">
        <v>375</v>
      </c>
      <c r="B3" s="613"/>
      <c r="C3" s="613"/>
      <c r="D3" s="613"/>
      <c r="E3" s="613"/>
      <c r="F3" s="613"/>
      <c r="G3" s="613"/>
      <c r="H3" s="613"/>
      <c r="I3" s="613"/>
      <c r="J3" s="614"/>
    </row>
    <row r="4" spans="1:10" ht="9.9499999999999993" customHeight="1" thickBot="1"/>
    <row r="5" spans="1:10" ht="15" customHeight="1">
      <c r="A5" s="72" t="s">
        <v>946</v>
      </c>
      <c r="B5" s="73"/>
      <c r="C5" s="73"/>
      <c r="D5" s="73"/>
      <c r="E5" s="73"/>
      <c r="F5" s="73"/>
      <c r="G5" s="73"/>
      <c r="H5" s="73"/>
      <c r="I5" s="73"/>
      <c r="J5" s="74"/>
    </row>
    <row r="6" spans="1:10" ht="14.1" customHeight="1">
      <c r="A6" s="75" t="s">
        <v>948</v>
      </c>
      <c r="B6" s="76"/>
      <c r="C6" s="76"/>
      <c r="D6" s="76"/>
      <c r="E6" s="76"/>
      <c r="F6" s="76"/>
      <c r="G6" s="76"/>
      <c r="H6" s="76"/>
      <c r="I6" s="76"/>
      <c r="J6" s="77"/>
    </row>
    <row r="7" spans="1:10" ht="14.1" customHeight="1">
      <c r="A7" s="75" t="s">
        <v>949</v>
      </c>
      <c r="B7" s="76"/>
      <c r="C7" s="76"/>
      <c r="D7" s="76"/>
      <c r="E7" s="76"/>
      <c r="F7" s="76"/>
      <c r="G7" s="76"/>
      <c r="H7" s="76"/>
      <c r="I7" s="76"/>
      <c r="J7" s="77"/>
    </row>
    <row r="8" spans="1:10" ht="14.1" customHeight="1">
      <c r="A8" s="75" t="s">
        <v>950</v>
      </c>
      <c r="B8" s="76"/>
      <c r="C8" s="76"/>
      <c r="D8" s="76"/>
      <c r="E8" s="76"/>
      <c r="F8" s="76"/>
      <c r="G8" s="76"/>
      <c r="H8" s="76"/>
      <c r="I8" s="76"/>
      <c r="J8" s="77"/>
    </row>
    <row r="9" spans="1:10" ht="14.1" customHeight="1">
      <c r="A9" s="75" t="s">
        <v>951</v>
      </c>
      <c r="B9" s="76"/>
      <c r="C9" s="76"/>
      <c r="D9" s="76"/>
      <c r="E9" s="76"/>
      <c r="F9" s="76"/>
      <c r="G9" s="76"/>
      <c r="H9" s="76"/>
      <c r="I9" s="76"/>
      <c r="J9" s="77"/>
    </row>
    <row r="10" spans="1:10" ht="14.1" customHeight="1">
      <c r="A10" s="75" t="s">
        <v>952</v>
      </c>
      <c r="B10" s="76"/>
      <c r="C10" s="76"/>
      <c r="D10" s="76"/>
      <c r="E10" s="76"/>
      <c r="F10" s="76"/>
      <c r="G10" s="76"/>
      <c r="H10" s="76"/>
      <c r="I10" s="76"/>
      <c r="J10" s="77"/>
    </row>
    <row r="11" spans="1:10" ht="14.1" customHeight="1">
      <c r="A11" s="75" t="s">
        <v>953</v>
      </c>
      <c r="B11" s="76"/>
      <c r="C11" s="76"/>
      <c r="D11" s="76"/>
      <c r="E11" s="76"/>
      <c r="F11" s="76"/>
      <c r="G11" s="76"/>
      <c r="H11" s="76"/>
      <c r="I11" s="76"/>
      <c r="J11" s="77"/>
    </row>
    <row r="12" spans="1:10" ht="9.9499999999999993" customHeight="1">
      <c r="A12" s="78"/>
      <c r="J12" s="79"/>
    </row>
    <row r="13" spans="1:10" ht="14.1" customHeight="1">
      <c r="A13" s="615" t="s">
        <v>947</v>
      </c>
      <c r="B13" s="616"/>
      <c r="C13" s="616"/>
      <c r="D13" s="616"/>
      <c r="E13" s="616"/>
      <c r="F13" s="616"/>
      <c r="G13" s="616"/>
      <c r="H13" s="616"/>
      <c r="I13" s="616"/>
      <c r="J13" s="617"/>
    </row>
    <row r="14" spans="1:10" ht="14.1" customHeight="1">
      <c r="A14" s="615"/>
      <c r="B14" s="616"/>
      <c r="C14" s="616"/>
      <c r="D14" s="616"/>
      <c r="E14" s="616"/>
      <c r="F14" s="616"/>
      <c r="G14" s="616"/>
      <c r="H14" s="616"/>
      <c r="I14" s="616"/>
      <c r="J14" s="617"/>
    </row>
    <row r="15" spans="1:10" ht="14.1" customHeight="1">
      <c r="A15" s="75" t="s">
        <v>948</v>
      </c>
      <c r="B15" s="76"/>
      <c r="C15" s="76"/>
      <c r="D15" s="76"/>
      <c r="E15" s="76"/>
      <c r="F15" s="76"/>
      <c r="G15" s="76"/>
      <c r="H15" s="76"/>
      <c r="I15" s="76"/>
      <c r="J15" s="77"/>
    </row>
    <row r="16" spans="1:10" ht="14.1" customHeight="1">
      <c r="A16" s="75" t="s">
        <v>950</v>
      </c>
      <c r="B16" s="76"/>
      <c r="C16" s="76"/>
      <c r="D16" s="76"/>
      <c r="E16" s="76"/>
      <c r="F16" s="76"/>
      <c r="G16" s="76"/>
      <c r="H16" s="76"/>
      <c r="I16" s="76"/>
      <c r="J16" s="77"/>
    </row>
    <row r="17" spans="1:13" ht="14.1" customHeight="1">
      <c r="A17" s="75" t="s">
        <v>951</v>
      </c>
      <c r="B17" s="76"/>
      <c r="C17" s="76"/>
      <c r="D17" s="76"/>
      <c r="E17" s="76"/>
      <c r="F17" s="76"/>
      <c r="G17" s="76"/>
      <c r="H17" s="76"/>
      <c r="I17" s="76"/>
      <c r="J17" s="77"/>
    </row>
    <row r="18" spans="1:13" ht="14.1" customHeight="1">
      <c r="A18" s="75" t="s">
        <v>952</v>
      </c>
      <c r="B18" s="76"/>
      <c r="C18" s="76"/>
      <c r="D18" s="76"/>
      <c r="E18" s="76"/>
      <c r="F18" s="76"/>
      <c r="G18" s="76"/>
      <c r="H18" s="76"/>
      <c r="I18" s="76"/>
      <c r="J18" s="77"/>
    </row>
    <row r="19" spans="1:13" ht="14.1" customHeight="1">
      <c r="A19" s="75" t="s">
        <v>953</v>
      </c>
      <c r="B19" s="76"/>
      <c r="C19" s="76"/>
      <c r="D19" s="76"/>
      <c r="E19" s="76"/>
      <c r="F19" s="76"/>
      <c r="G19" s="76"/>
      <c r="H19" s="76"/>
      <c r="I19" s="76"/>
      <c r="J19" s="77"/>
    </row>
    <row r="20" spans="1:13" ht="9.9499999999999993" customHeight="1">
      <c r="A20" s="78"/>
      <c r="J20" s="79"/>
    </row>
    <row r="21" spans="1:13" ht="14.1" customHeight="1">
      <c r="A21" s="615" t="s">
        <v>954</v>
      </c>
      <c r="B21" s="616"/>
      <c r="C21" s="616"/>
      <c r="D21" s="616"/>
      <c r="E21" s="616"/>
      <c r="F21" s="616"/>
      <c r="G21" s="616"/>
      <c r="H21" s="616"/>
      <c r="I21" s="616"/>
      <c r="J21" s="617"/>
    </row>
    <row r="22" spans="1:13" ht="14.1" customHeight="1">
      <c r="A22" s="615"/>
      <c r="B22" s="616"/>
      <c r="C22" s="616"/>
      <c r="D22" s="616"/>
      <c r="E22" s="616"/>
      <c r="F22" s="616"/>
      <c r="G22" s="616"/>
      <c r="H22" s="616"/>
      <c r="I22" s="616"/>
      <c r="J22" s="617"/>
    </row>
    <row r="23" spans="1:13" ht="9.9499999999999993" customHeight="1">
      <c r="A23" s="78"/>
      <c r="J23" s="79"/>
    </row>
    <row r="24" spans="1:13" ht="14.1" customHeight="1">
      <c r="A24" s="601" t="s">
        <v>955</v>
      </c>
      <c r="B24" s="602"/>
      <c r="C24" s="602"/>
      <c r="D24" s="602"/>
      <c r="E24" s="602"/>
      <c r="F24" s="602"/>
      <c r="G24" s="602"/>
      <c r="H24" s="602"/>
      <c r="I24" s="602"/>
      <c r="J24" s="603"/>
    </row>
    <row r="25" spans="1:13" ht="14.1" customHeight="1">
      <c r="A25" s="601"/>
      <c r="B25" s="602"/>
      <c r="C25" s="602"/>
      <c r="D25" s="602"/>
      <c r="E25" s="602"/>
      <c r="F25" s="602"/>
      <c r="G25" s="602"/>
      <c r="H25" s="602"/>
      <c r="I25" s="602"/>
      <c r="J25" s="603"/>
    </row>
    <row r="26" spans="1:13" ht="14.1" customHeight="1">
      <c r="A26" s="601"/>
      <c r="B26" s="602"/>
      <c r="C26" s="602"/>
      <c r="D26" s="602"/>
      <c r="E26" s="602"/>
      <c r="F26" s="602"/>
      <c r="G26" s="602"/>
      <c r="H26" s="602"/>
      <c r="I26" s="602"/>
      <c r="J26" s="603"/>
    </row>
    <row r="27" spans="1:13" ht="14.1" customHeight="1">
      <c r="A27" s="601"/>
      <c r="B27" s="602"/>
      <c r="C27" s="602"/>
      <c r="D27" s="602"/>
      <c r="E27" s="602"/>
      <c r="F27" s="602"/>
      <c r="G27" s="602"/>
      <c r="H27" s="602"/>
      <c r="I27" s="602"/>
      <c r="J27" s="603"/>
    </row>
    <row r="28" spans="1:13" ht="8.1" customHeight="1">
      <c r="A28" s="78"/>
      <c r="J28" s="79"/>
    </row>
    <row r="29" spans="1:13" ht="14.1" customHeight="1">
      <c r="A29" s="601" t="s">
        <v>956</v>
      </c>
      <c r="B29" s="602"/>
      <c r="C29" s="602"/>
      <c r="D29" s="602"/>
      <c r="E29" s="602"/>
      <c r="F29" s="602"/>
      <c r="G29" s="602"/>
      <c r="H29" s="602"/>
      <c r="I29" s="602"/>
      <c r="J29" s="603"/>
    </row>
    <row r="30" spans="1:13" ht="14.1" customHeight="1">
      <c r="A30" s="601"/>
      <c r="B30" s="602"/>
      <c r="C30" s="602"/>
      <c r="D30" s="602"/>
      <c r="E30" s="602"/>
      <c r="F30" s="602"/>
      <c r="G30" s="602"/>
      <c r="H30" s="602"/>
      <c r="I30" s="602"/>
      <c r="J30" s="603"/>
      <c r="M30" s="80"/>
    </row>
    <row r="31" spans="1:13" ht="14.1" customHeight="1">
      <c r="A31" s="601"/>
      <c r="B31" s="602"/>
      <c r="C31" s="602"/>
      <c r="D31" s="602"/>
      <c r="E31" s="602"/>
      <c r="F31" s="602"/>
      <c r="G31" s="602"/>
      <c r="H31" s="602"/>
      <c r="I31" s="602"/>
      <c r="J31" s="603"/>
    </row>
    <row r="32" spans="1:13" ht="14.1" customHeight="1">
      <c r="A32" s="601"/>
      <c r="B32" s="602"/>
      <c r="C32" s="602"/>
      <c r="D32" s="602"/>
      <c r="E32" s="602"/>
      <c r="F32" s="602"/>
      <c r="G32" s="602"/>
      <c r="H32" s="602"/>
      <c r="I32" s="602"/>
      <c r="J32" s="603"/>
    </row>
    <row r="33" spans="1:12" ht="8.1" customHeight="1">
      <c r="A33" s="78"/>
      <c r="J33" s="79"/>
    </row>
    <row r="34" spans="1:12" ht="14.1" customHeight="1">
      <c r="A34" s="601" t="s">
        <v>957</v>
      </c>
      <c r="B34" s="602"/>
      <c r="C34" s="602"/>
      <c r="D34" s="602"/>
      <c r="E34" s="602"/>
      <c r="F34" s="602"/>
      <c r="G34" s="602"/>
      <c r="H34" s="602"/>
      <c r="I34" s="602"/>
      <c r="J34" s="603"/>
    </row>
    <row r="35" spans="1:12" ht="14.1" customHeight="1">
      <c r="A35" s="601"/>
      <c r="B35" s="602"/>
      <c r="C35" s="602"/>
      <c r="D35" s="602"/>
      <c r="E35" s="602"/>
      <c r="F35" s="602"/>
      <c r="G35" s="602"/>
      <c r="H35" s="602"/>
      <c r="I35" s="602"/>
      <c r="J35" s="603"/>
    </row>
    <row r="36" spans="1:12" ht="8.1" customHeight="1">
      <c r="A36" s="81"/>
      <c r="B36" s="82"/>
      <c r="C36" s="82"/>
      <c r="D36" s="82"/>
      <c r="E36" s="82"/>
      <c r="F36" s="82"/>
      <c r="G36" s="82"/>
      <c r="H36" s="82"/>
      <c r="I36" s="82"/>
      <c r="J36" s="83"/>
    </row>
    <row r="37" spans="1:12" ht="8.1" customHeight="1">
      <c r="A37" s="84"/>
      <c r="B37" s="82"/>
      <c r="C37" s="82"/>
      <c r="D37" s="82"/>
      <c r="E37" s="82"/>
      <c r="F37" s="82"/>
      <c r="G37" s="82"/>
      <c r="H37" s="82"/>
      <c r="I37" s="82"/>
      <c r="J37" s="83"/>
    </row>
    <row r="38" spans="1:12" ht="21" customHeight="1">
      <c r="A38" s="604" t="s">
        <v>958</v>
      </c>
      <c r="B38" s="605"/>
      <c r="C38" s="605"/>
      <c r="D38" s="605"/>
      <c r="E38" s="605"/>
      <c r="F38" s="605"/>
      <c r="G38" s="605"/>
      <c r="H38" s="605"/>
      <c r="I38" s="605"/>
      <c r="J38" s="606"/>
    </row>
    <row r="39" spans="1:12" ht="23.25" customHeight="1" thickBot="1">
      <c r="A39" s="607"/>
      <c r="B39" s="608"/>
      <c r="C39" s="608"/>
      <c r="D39" s="608"/>
      <c r="E39" s="608"/>
      <c r="F39" s="608"/>
      <c r="G39" s="608"/>
      <c r="H39" s="608"/>
      <c r="I39" s="608"/>
      <c r="J39" s="609"/>
    </row>
    <row r="40" spans="1:12">
      <c r="A40" s="85"/>
      <c r="B40" s="86"/>
      <c r="C40" s="86"/>
      <c r="D40" s="86"/>
      <c r="E40" s="86"/>
      <c r="F40" s="86"/>
      <c r="G40" s="86"/>
      <c r="H40" s="86"/>
      <c r="I40" s="86"/>
      <c r="J40" s="86"/>
    </row>
    <row r="41" spans="1:12">
      <c r="A41" s="85"/>
      <c r="B41" s="86"/>
      <c r="C41" s="86"/>
      <c r="D41" s="86"/>
      <c r="E41" s="86"/>
      <c r="F41" s="86"/>
      <c r="G41" s="86"/>
      <c r="H41" s="86"/>
      <c r="I41" s="86"/>
      <c r="J41" s="86"/>
    </row>
    <row r="42" spans="1:12">
      <c r="A42" s="85"/>
      <c r="B42" s="86"/>
      <c r="C42" s="86"/>
      <c r="D42" s="86"/>
      <c r="E42" s="86"/>
      <c r="F42" s="86"/>
      <c r="G42" s="86"/>
      <c r="H42" s="86"/>
      <c r="I42" s="86"/>
      <c r="J42" s="86"/>
      <c r="K42" s="87"/>
      <c r="L42" s="87"/>
    </row>
    <row r="43" spans="1:12">
      <c r="A43" s="85"/>
      <c r="B43" s="86"/>
      <c r="C43" s="86"/>
      <c r="D43" s="86"/>
      <c r="E43" s="86"/>
      <c r="F43" s="86"/>
      <c r="G43" s="86"/>
      <c r="H43" s="86"/>
      <c r="I43" s="86"/>
      <c r="J43" s="86"/>
      <c r="K43" s="87"/>
      <c r="L43" s="87"/>
    </row>
    <row r="44" spans="1:12">
      <c r="A44" s="85"/>
      <c r="B44" s="87"/>
      <c r="C44" s="87"/>
      <c r="D44" s="87"/>
      <c r="E44" s="87"/>
      <c r="F44" s="87"/>
      <c r="G44" s="87"/>
      <c r="H44" s="87"/>
      <c r="I44" s="87"/>
      <c r="J44" s="87"/>
      <c r="K44" s="87"/>
      <c r="L44" s="87"/>
    </row>
    <row r="45" spans="1:12">
      <c r="A45" s="85"/>
      <c r="B45" s="87"/>
      <c r="C45" s="87"/>
      <c r="D45" s="87"/>
      <c r="E45" s="87"/>
      <c r="F45" s="87"/>
      <c r="G45" s="87"/>
      <c r="H45" s="87"/>
      <c r="I45" s="87"/>
      <c r="J45" s="87"/>
      <c r="K45" s="87"/>
      <c r="L45" s="87"/>
    </row>
  </sheetData>
  <sheetProtection algorithmName="SHA-512" hashValue="rwwLQqVWbjG8oarhNliXC4siPSHU44OqWq9VLc3roB7QWqudJDuYqpWUY2GDNU4QKTT78z1V/9Rm6oWUzgka9g==" saltValue="KHExGa0TCeJ9xGu2PdBRPw==" spinCount="100000" sheet="1" objects="1" scenarios="1" selectLockedCells="1"/>
  <mergeCells count="8">
    <mergeCell ref="A34:J35"/>
    <mergeCell ref="A38:J39"/>
    <mergeCell ref="A1:J2"/>
    <mergeCell ref="A3:J3"/>
    <mergeCell ref="A13:J14"/>
    <mergeCell ref="A21:J22"/>
    <mergeCell ref="A24:J27"/>
    <mergeCell ref="A29:J32"/>
  </mergeCells>
  <pageMargins left="0.511811024" right="0.511811024" top="0.39" bottom="0.38" header="0.31496062000000002" footer="0.31496062000000002"/>
  <pageSetup orientation="portrait" horizont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259"/>
  <sheetViews>
    <sheetView showGridLines="0" view="pageBreakPreview" zoomScale="80" zoomScaleNormal="80" zoomScaleSheetLayoutView="80" workbookViewId="0">
      <selection sqref="A1:M3"/>
    </sheetView>
  </sheetViews>
  <sheetFormatPr defaultRowHeight="15.75"/>
  <cols>
    <col min="1" max="1" width="8.28515625" style="269" customWidth="1"/>
    <col min="2" max="2" width="147.28515625" style="270" customWidth="1"/>
    <col min="3" max="3" width="12" style="271" bestFit="1" customWidth="1"/>
    <col min="4" max="4" width="10.7109375" style="272" customWidth="1"/>
    <col min="5" max="5" width="12.85546875" style="273" customWidth="1"/>
    <col min="6" max="8" width="14.28515625" style="273" customWidth="1"/>
    <col min="9" max="9" width="15.7109375" style="273" hidden="1" customWidth="1"/>
    <col min="10" max="10" width="14.28515625" style="273" hidden="1" customWidth="1"/>
    <col min="11" max="11" width="16" style="282" hidden="1" customWidth="1"/>
    <col min="12" max="12" width="20.5703125" style="282" bestFit="1" customWidth="1"/>
    <col min="13" max="13" width="10.5703125" style="283" bestFit="1" customWidth="1"/>
    <col min="14" max="14" width="12.42578125" style="119" bestFit="1" customWidth="1"/>
    <col min="15" max="15" width="12" style="119" customWidth="1"/>
    <col min="16" max="16384" width="9.140625" style="119"/>
  </cols>
  <sheetData>
    <row r="1" spans="1:14" s="88" customFormat="1" ht="15.75" customHeight="1">
      <c r="A1" s="749" t="s">
        <v>940</v>
      </c>
      <c r="B1" s="750"/>
      <c r="C1" s="750"/>
      <c r="D1" s="750"/>
      <c r="E1" s="750"/>
      <c r="F1" s="750"/>
      <c r="G1" s="750"/>
      <c r="H1" s="750"/>
      <c r="I1" s="750"/>
      <c r="J1" s="750"/>
      <c r="K1" s="750"/>
      <c r="L1" s="750"/>
      <c r="M1" s="751"/>
    </row>
    <row r="2" spans="1:14" s="88" customFormat="1" ht="15.75" customHeight="1">
      <c r="A2" s="752"/>
      <c r="B2" s="753"/>
      <c r="C2" s="753"/>
      <c r="D2" s="753"/>
      <c r="E2" s="753"/>
      <c r="F2" s="753"/>
      <c r="G2" s="753"/>
      <c r="H2" s="753"/>
      <c r="I2" s="753"/>
      <c r="J2" s="753"/>
      <c r="K2" s="753"/>
      <c r="L2" s="753"/>
      <c r="M2" s="754"/>
    </row>
    <row r="3" spans="1:14" s="88" customFormat="1" ht="18.75" customHeight="1">
      <c r="A3" s="752"/>
      <c r="B3" s="753"/>
      <c r="C3" s="753"/>
      <c r="D3" s="753"/>
      <c r="E3" s="753"/>
      <c r="F3" s="753"/>
      <c r="G3" s="753"/>
      <c r="H3" s="753"/>
      <c r="I3" s="753"/>
      <c r="J3" s="753"/>
      <c r="K3" s="753"/>
      <c r="L3" s="753"/>
      <c r="M3" s="754"/>
    </row>
    <row r="4" spans="1:14" s="88" customFormat="1" ht="10.5" customHeight="1">
      <c r="A4" s="89"/>
      <c r="B4" s="90"/>
      <c r="C4" s="90"/>
      <c r="D4" s="90"/>
      <c r="E4" s="90"/>
      <c r="F4" s="90"/>
      <c r="G4" s="90"/>
      <c r="H4" s="90"/>
      <c r="I4" s="90"/>
      <c r="J4" s="90"/>
      <c r="K4" s="90"/>
      <c r="L4" s="90"/>
      <c r="M4" s="91"/>
    </row>
    <row r="5" spans="1:14" s="88" customFormat="1" ht="18.75">
      <c r="A5" s="657" t="s">
        <v>941</v>
      </c>
      <c r="B5" s="658"/>
      <c r="C5" s="658"/>
      <c r="D5" s="658"/>
      <c r="E5" s="658"/>
      <c r="F5" s="658"/>
      <c r="G5" s="658"/>
      <c r="H5" s="658"/>
      <c r="I5" s="658"/>
      <c r="J5" s="658"/>
      <c r="K5" s="658"/>
      <c r="L5" s="658"/>
      <c r="M5" s="659"/>
    </row>
    <row r="6" spans="1:14" s="88" customFormat="1" ht="5.25" customHeight="1" thickBot="1">
      <c r="A6" s="92"/>
      <c r="B6" s="93"/>
      <c r="C6" s="94"/>
      <c r="D6" s="95"/>
      <c r="E6" s="96"/>
      <c r="F6" s="95"/>
      <c r="G6" s="95"/>
      <c r="H6" s="95"/>
      <c r="I6" s="97"/>
      <c r="J6" s="98"/>
      <c r="K6" s="98"/>
      <c r="L6" s="95"/>
      <c r="M6" s="99"/>
    </row>
    <row r="7" spans="1:14" s="88" customFormat="1" ht="16.5" thickBot="1">
      <c r="A7" s="100" t="s">
        <v>679</v>
      </c>
      <c r="B7" s="101"/>
      <c r="C7" s="101"/>
      <c r="D7" s="101"/>
      <c r="E7" s="101"/>
      <c r="F7" s="101"/>
      <c r="G7" s="101"/>
      <c r="H7" s="101"/>
      <c r="I7" s="101"/>
      <c r="J7" s="101"/>
      <c r="K7" s="101"/>
      <c r="L7" s="101"/>
      <c r="M7" s="102"/>
    </row>
    <row r="8" spans="1:14" s="88" customFormat="1" ht="18.95" customHeight="1">
      <c r="A8" s="103"/>
      <c r="B8" s="104" t="s">
        <v>141</v>
      </c>
      <c r="C8" s="105"/>
      <c r="D8" s="106"/>
      <c r="E8" s="107"/>
      <c r="F8" s="680">
        <f>IX.A!$C$45</f>
        <v>0</v>
      </c>
      <c r="G8" s="681"/>
      <c r="H8" s="674" t="s">
        <v>637</v>
      </c>
      <c r="I8" s="675"/>
      <c r="J8" s="675"/>
      <c r="K8" s="676"/>
      <c r="L8" s="670">
        <f ca="1">TODAY()</f>
        <v>46175</v>
      </c>
      <c r="M8" s="671"/>
    </row>
    <row r="9" spans="1:14" s="88" customFormat="1" ht="18.95" customHeight="1" thickBot="1">
      <c r="A9" s="103"/>
      <c r="B9" s="108" t="s">
        <v>562</v>
      </c>
      <c r="C9" s="109"/>
      <c r="D9" s="110"/>
      <c r="E9" s="111"/>
      <c r="F9" s="682">
        <f>VIII.A!$C$29</f>
        <v>0</v>
      </c>
      <c r="G9" s="683"/>
      <c r="H9" s="677"/>
      <c r="I9" s="678"/>
      <c r="J9" s="678"/>
      <c r="K9" s="679"/>
      <c r="L9" s="670"/>
      <c r="M9" s="671"/>
    </row>
    <row r="10" spans="1:14" ht="18.95" customHeight="1">
      <c r="A10" s="664" t="s">
        <v>4</v>
      </c>
      <c r="B10" s="685" t="s">
        <v>5</v>
      </c>
      <c r="C10" s="660" t="s">
        <v>6</v>
      </c>
      <c r="D10" s="689" t="s">
        <v>7</v>
      </c>
      <c r="E10" s="112" t="s">
        <v>8</v>
      </c>
      <c r="F10" s="113" t="s">
        <v>16</v>
      </c>
      <c r="G10" s="114" t="s">
        <v>5</v>
      </c>
      <c r="H10" s="115" t="s">
        <v>9</v>
      </c>
      <c r="I10" s="116" t="s">
        <v>16</v>
      </c>
      <c r="J10" s="114" t="s">
        <v>5</v>
      </c>
      <c r="K10" s="117" t="s">
        <v>9</v>
      </c>
      <c r="L10" s="118" t="s">
        <v>8</v>
      </c>
      <c r="M10" s="672" t="s">
        <v>0</v>
      </c>
    </row>
    <row r="11" spans="1:14" ht="18.95" customHeight="1" thickBot="1">
      <c r="A11" s="688"/>
      <c r="B11" s="686"/>
      <c r="C11" s="687"/>
      <c r="D11" s="690"/>
      <c r="E11" s="120" t="s">
        <v>12</v>
      </c>
      <c r="F11" s="121" t="s">
        <v>1</v>
      </c>
      <c r="G11" s="122" t="s">
        <v>1</v>
      </c>
      <c r="H11" s="123" t="s">
        <v>1</v>
      </c>
      <c r="I11" s="124" t="s">
        <v>140</v>
      </c>
      <c r="J11" s="125" t="s">
        <v>140</v>
      </c>
      <c r="K11" s="126" t="s">
        <v>140</v>
      </c>
      <c r="L11" s="127" t="s">
        <v>13</v>
      </c>
      <c r="M11" s="684"/>
    </row>
    <row r="12" spans="1:14" ht="9.9499999999999993" customHeight="1">
      <c r="A12" s="128"/>
      <c r="B12" s="128"/>
      <c r="C12" s="128"/>
      <c r="D12" s="128"/>
      <c r="E12" s="128"/>
      <c r="F12" s="128"/>
      <c r="G12" s="128"/>
      <c r="H12" s="128"/>
      <c r="I12" s="128"/>
      <c r="J12" s="128"/>
      <c r="K12" s="128"/>
      <c r="L12" s="128"/>
      <c r="M12" s="128"/>
    </row>
    <row r="13" spans="1:14" ht="0.95" customHeight="1" thickBot="1">
      <c r="A13" s="129"/>
      <c r="B13" s="129"/>
      <c r="C13" s="129"/>
      <c r="D13" s="129"/>
      <c r="E13" s="129"/>
      <c r="F13" s="129"/>
      <c r="G13" s="129"/>
      <c r="H13" s="129"/>
      <c r="I13" s="129"/>
      <c r="J13" s="129"/>
      <c r="K13" s="129"/>
      <c r="L13" s="129"/>
      <c r="M13" s="129"/>
    </row>
    <row r="14" spans="1:14" ht="18.95" customHeight="1">
      <c r="A14" s="664" t="s">
        <v>14</v>
      </c>
      <c r="B14" s="695" t="s">
        <v>15</v>
      </c>
      <c r="C14" s="660" t="s">
        <v>3</v>
      </c>
      <c r="D14" s="660"/>
      <c r="E14" s="661"/>
      <c r="F14" s="113">
        <f>I14</f>
        <v>0</v>
      </c>
      <c r="G14" s="114">
        <f>J14</f>
        <v>0</v>
      </c>
      <c r="H14" s="115">
        <f>K14</f>
        <v>0</v>
      </c>
      <c r="I14" s="130">
        <f>SUM(I16:I20)</f>
        <v>0</v>
      </c>
      <c r="J14" s="118">
        <f>SUM(J16:J20)</f>
        <v>0</v>
      </c>
      <c r="K14" s="131">
        <f>SUM(K16:K20)</f>
        <v>0</v>
      </c>
      <c r="L14" s="668">
        <f>SUM(L16:L20)</f>
        <v>0</v>
      </c>
      <c r="M14" s="672" t="e">
        <f>ROUND(L14/$L$174,6)</f>
        <v>#DIV/0!</v>
      </c>
    </row>
    <row r="15" spans="1:14" ht="18.95" customHeight="1">
      <c r="A15" s="665"/>
      <c r="B15" s="696"/>
      <c r="C15" s="662"/>
      <c r="D15" s="662"/>
      <c r="E15" s="663"/>
      <c r="F15" s="44" t="e">
        <f>ROUND(F14/L14,6)</f>
        <v>#DIV/0!</v>
      </c>
      <c r="G15" s="45" t="e">
        <f>ROUND(G14/L14,6)</f>
        <v>#DIV/0!</v>
      </c>
      <c r="H15" s="46" t="e">
        <f>ROUND(H14/L14,6)</f>
        <v>#DIV/0!</v>
      </c>
      <c r="I15" s="44" t="str">
        <f>IF(I14=F14,"sim","nao")</f>
        <v>sim</v>
      </c>
      <c r="J15" s="45" t="str">
        <f>IF(J14=G14,"sim","nao")</f>
        <v>sim</v>
      </c>
      <c r="K15" s="55" t="str">
        <f>IF(K14=H14,"sim","nao")</f>
        <v>sim</v>
      </c>
      <c r="L15" s="669"/>
      <c r="M15" s="673"/>
    </row>
    <row r="16" spans="1:14" s="144" customFormat="1" ht="20.100000000000001" customHeight="1">
      <c r="A16" s="132" t="s">
        <v>54</v>
      </c>
      <c r="B16" s="133" t="s">
        <v>889</v>
      </c>
      <c r="C16" s="134" t="s">
        <v>563</v>
      </c>
      <c r="D16" s="135">
        <v>1</v>
      </c>
      <c r="E16" s="136">
        <f>F16+G16+H16</f>
        <v>0</v>
      </c>
      <c r="F16" s="137">
        <f>VI.A!$F$31</f>
        <v>0</v>
      </c>
      <c r="G16" s="138">
        <f>VI.A!$F$45</f>
        <v>0</v>
      </c>
      <c r="H16" s="139">
        <f>VI.A!$F$57</f>
        <v>0</v>
      </c>
      <c r="I16" s="137">
        <f>ROUND(D16*F16,2)</f>
        <v>0</v>
      </c>
      <c r="J16" s="138">
        <f>ROUND(D16*G16,2)</f>
        <v>0</v>
      </c>
      <c r="K16" s="140">
        <f>ROUND(D16*H16,2)</f>
        <v>0</v>
      </c>
      <c r="L16" s="141">
        <f>I16+J16+K16</f>
        <v>0</v>
      </c>
      <c r="M16" s="142" t="e">
        <f>ROUND(L16/$L$174,6)</f>
        <v>#DIV/0!</v>
      </c>
      <c r="N16" s="143"/>
    </row>
    <row r="17" spans="1:13" s="145" customFormat="1" ht="20.100000000000001" customHeight="1">
      <c r="A17" s="132" t="s">
        <v>27</v>
      </c>
      <c r="B17" s="133" t="s">
        <v>890</v>
      </c>
      <c r="C17" s="134" t="s">
        <v>165</v>
      </c>
      <c r="D17" s="135">
        <v>90</v>
      </c>
      <c r="E17" s="136">
        <f>F17+G17+H17</f>
        <v>0</v>
      </c>
      <c r="F17" s="137">
        <f>VI.A!$F$79</f>
        <v>0</v>
      </c>
      <c r="G17" s="138">
        <f>VI.A!$F$93</f>
        <v>0</v>
      </c>
      <c r="H17" s="139">
        <f>VI.A!$F$105</f>
        <v>0</v>
      </c>
      <c r="I17" s="137">
        <f>ROUND($D$17*F17,2)</f>
        <v>0</v>
      </c>
      <c r="J17" s="138">
        <f>ROUND($D$17*G17,2)</f>
        <v>0</v>
      </c>
      <c r="K17" s="140">
        <f>ROUND($D$17*H17,2)</f>
        <v>0</v>
      </c>
      <c r="L17" s="141">
        <f>ROUND(D17*F17,2)+ROUND(D17*G17,2)+ROUND(D17*H17,2)</f>
        <v>0</v>
      </c>
      <c r="M17" s="142" t="e">
        <f>ROUND(L17/$L$174,6)</f>
        <v>#DIV/0!</v>
      </c>
    </row>
    <row r="18" spans="1:13" s="145" customFormat="1" ht="20.100000000000001" customHeight="1">
      <c r="A18" s="146" t="s">
        <v>238</v>
      </c>
      <c r="B18" s="133" t="s">
        <v>855</v>
      </c>
      <c r="C18" s="147" t="s">
        <v>131</v>
      </c>
      <c r="D18" s="148">
        <v>8640</v>
      </c>
      <c r="E18" s="136">
        <f>F18+G18+H18</f>
        <v>0</v>
      </c>
      <c r="F18" s="149">
        <f>VI.A!$F$127</f>
        <v>0</v>
      </c>
      <c r="G18" s="150">
        <f>VI.A!$F$141</f>
        <v>0</v>
      </c>
      <c r="H18" s="151">
        <f>VI.A!$F$153</f>
        <v>0</v>
      </c>
      <c r="I18" s="137">
        <f>ROUND(D18*F18,2)</f>
        <v>0</v>
      </c>
      <c r="J18" s="138">
        <f>ROUND(D18*G18,2)</f>
        <v>0</v>
      </c>
      <c r="K18" s="140">
        <f>ROUND(D18*H18,2)</f>
        <v>0</v>
      </c>
      <c r="L18" s="141">
        <f>ROUND(D18*F18,2)+ROUND(D18*G18,2)+ROUND(D18*H18,2)</f>
        <v>0</v>
      </c>
      <c r="M18" s="142" t="e">
        <f>ROUND(L18/$L$174,6)</f>
        <v>#DIV/0!</v>
      </c>
    </row>
    <row r="19" spans="1:13" s="145" customFormat="1" ht="20.100000000000001" customHeight="1">
      <c r="A19" s="146" t="s">
        <v>239</v>
      </c>
      <c r="B19" s="133" t="s">
        <v>856</v>
      </c>
      <c r="C19" s="147" t="s">
        <v>843</v>
      </c>
      <c r="D19" s="148">
        <v>96</v>
      </c>
      <c r="E19" s="136">
        <f>F19+G19+H19</f>
        <v>0</v>
      </c>
      <c r="F19" s="149">
        <f>VI.A!$F$175</f>
        <v>0</v>
      </c>
      <c r="G19" s="150">
        <f>VI.A!$F$189</f>
        <v>0</v>
      </c>
      <c r="H19" s="151">
        <f>VI.A!$F$201</f>
        <v>0</v>
      </c>
      <c r="I19" s="137">
        <f t="shared" ref="I19:I20" si="0">ROUND(D19*F19,2)</f>
        <v>0</v>
      </c>
      <c r="J19" s="138">
        <f>ROUND(D19*G19,2)</f>
        <v>0</v>
      </c>
      <c r="K19" s="140">
        <f t="shared" ref="K19:K20" si="1">ROUND(D19*H19,2)</f>
        <v>0</v>
      </c>
      <c r="L19" s="141">
        <f>ROUND(D19*F19,2)+ROUND(D19*G19,2)+ROUND(D19*H19,2)</f>
        <v>0</v>
      </c>
      <c r="M19" s="142" t="e">
        <f>ROUND(L19/$L$174,6)</f>
        <v>#DIV/0!</v>
      </c>
    </row>
    <row r="20" spans="1:13" s="145" customFormat="1" ht="20.100000000000001" customHeight="1" thickBot="1">
      <c r="A20" s="152" t="s">
        <v>240</v>
      </c>
      <c r="B20" s="153" t="s">
        <v>869</v>
      </c>
      <c r="C20" s="154" t="s">
        <v>843</v>
      </c>
      <c r="D20" s="155">
        <v>48</v>
      </c>
      <c r="E20" s="156">
        <f>F20+G20+H20</f>
        <v>0</v>
      </c>
      <c r="F20" s="157">
        <f>VI.A!$F$223</f>
        <v>0</v>
      </c>
      <c r="G20" s="158">
        <f>VI.A!$F$237</f>
        <v>0</v>
      </c>
      <c r="H20" s="159">
        <f>VI.A!$F$249</f>
        <v>0</v>
      </c>
      <c r="I20" s="157">
        <f t="shared" si="0"/>
        <v>0</v>
      </c>
      <c r="J20" s="158">
        <f t="shared" ref="J20" si="2">ROUND(D20*G20,2)</f>
        <v>0</v>
      </c>
      <c r="K20" s="160">
        <f t="shared" si="1"/>
        <v>0</v>
      </c>
      <c r="L20" s="156">
        <f>ROUND(D20*F20,2)+ROUND(D20*G20,2)+ROUND(D20*H20,2)</f>
        <v>0</v>
      </c>
      <c r="M20" s="161" t="e">
        <f>ROUND(L20/$L$174,6)</f>
        <v>#DIV/0!</v>
      </c>
    </row>
    <row r="21" spans="1:13" ht="9.9499999999999993" customHeight="1" thickBot="1">
      <c r="A21" s="162"/>
      <c r="B21" s="162"/>
      <c r="C21" s="162"/>
      <c r="D21" s="162"/>
      <c r="E21" s="162"/>
      <c r="F21" s="162"/>
      <c r="G21" s="162"/>
      <c r="H21" s="162"/>
      <c r="I21" s="162"/>
      <c r="J21" s="162"/>
      <c r="K21" s="162"/>
      <c r="L21" s="162"/>
      <c r="M21" s="162"/>
    </row>
    <row r="22" spans="1:13" ht="18.95" customHeight="1">
      <c r="A22" s="703" t="s">
        <v>2</v>
      </c>
      <c r="B22" s="695" t="s">
        <v>17</v>
      </c>
      <c r="C22" s="660" t="s">
        <v>3</v>
      </c>
      <c r="D22" s="660"/>
      <c r="E22" s="661"/>
      <c r="F22" s="113">
        <f>I22</f>
        <v>0</v>
      </c>
      <c r="G22" s="114">
        <f>J22</f>
        <v>0</v>
      </c>
      <c r="H22" s="117">
        <f>K22</f>
        <v>0</v>
      </c>
      <c r="I22" s="130">
        <f>SUM(I25:I41)</f>
        <v>0</v>
      </c>
      <c r="J22" s="118">
        <f>SUM(J25:J41)</f>
        <v>0</v>
      </c>
      <c r="K22" s="131">
        <f>SUM(K25:K41)</f>
        <v>0</v>
      </c>
      <c r="L22" s="666">
        <f>SUM(L25:L41)</f>
        <v>0</v>
      </c>
      <c r="M22" s="672" t="e">
        <f>ROUND(L22/$L$174,6)</f>
        <v>#DIV/0!</v>
      </c>
    </row>
    <row r="23" spans="1:13" ht="18.95" customHeight="1">
      <c r="A23" s="704"/>
      <c r="B23" s="696"/>
      <c r="C23" s="662"/>
      <c r="D23" s="662"/>
      <c r="E23" s="663"/>
      <c r="F23" s="44" t="e">
        <f>ROUND(F22/L22,6)</f>
        <v>#DIV/0!</v>
      </c>
      <c r="G23" s="45" t="e">
        <f>ROUND(G22/L22,6)</f>
        <v>#DIV/0!</v>
      </c>
      <c r="H23" s="56" t="e">
        <f>ROUND(H22/L22,6)</f>
        <v>#DIV/0!</v>
      </c>
      <c r="I23" s="44" t="str">
        <f>IF(I22=F22,"sim","nao")</f>
        <v>sim</v>
      </c>
      <c r="J23" s="45" t="str">
        <f>IF(J22=G22,"sim","nao")</f>
        <v>sim</v>
      </c>
      <c r="K23" s="55" t="str">
        <f>IF(K22=H22,"sim","nao")</f>
        <v>sim</v>
      </c>
      <c r="L23" s="667"/>
      <c r="M23" s="673"/>
    </row>
    <row r="24" spans="1:13" ht="18.95" customHeight="1">
      <c r="A24" s="163" t="s">
        <v>59</v>
      </c>
      <c r="B24" s="164" t="s">
        <v>884</v>
      </c>
      <c r="C24" s="165"/>
      <c r="D24" s="165"/>
      <c r="E24" s="165"/>
      <c r="F24" s="165"/>
      <c r="G24" s="165"/>
      <c r="H24" s="165"/>
      <c r="I24" s="165"/>
      <c r="J24" s="165"/>
      <c r="K24" s="165"/>
      <c r="L24" s="165"/>
      <c r="M24" s="166"/>
    </row>
    <row r="25" spans="1:13" ht="18.95" customHeight="1">
      <c r="A25" s="167" t="s">
        <v>534</v>
      </c>
      <c r="B25" s="133" t="s">
        <v>566</v>
      </c>
      <c r="C25" s="168" t="s">
        <v>165</v>
      </c>
      <c r="D25" s="135">
        <v>1000</v>
      </c>
      <c r="E25" s="169">
        <f t="shared" ref="E25:E31" si="3">F25+G25+H25</f>
        <v>0</v>
      </c>
      <c r="F25" s="137">
        <f>VI.A!$F$271</f>
        <v>0</v>
      </c>
      <c r="G25" s="138">
        <f>VI.A!$F$285</f>
        <v>0</v>
      </c>
      <c r="H25" s="170">
        <f>VI.A!$F$297</f>
        <v>0</v>
      </c>
      <c r="I25" s="137">
        <f t="shared" ref="I25:I31" si="4">ROUND(D25*F25,2)</f>
        <v>0</v>
      </c>
      <c r="J25" s="138">
        <f t="shared" ref="J25:J31" si="5">ROUND(D25*G25,2)</f>
        <v>0</v>
      </c>
      <c r="K25" s="140">
        <f t="shared" ref="K25:K31" si="6">ROUND(D25*H25,2)</f>
        <v>0</v>
      </c>
      <c r="L25" s="171">
        <f t="shared" ref="L25:L31" si="7">ROUND(D25*F25,2)+ROUND(D25*G25,2)+ROUND(D25*H25,2)</f>
        <v>0</v>
      </c>
      <c r="M25" s="172" t="e">
        <f t="shared" ref="M25:M31" si="8">ROUND(L25/$L$174,6)</f>
        <v>#DIV/0!</v>
      </c>
    </row>
    <row r="26" spans="1:13" ht="18.95" customHeight="1">
      <c r="A26" s="167" t="s">
        <v>535</v>
      </c>
      <c r="B26" s="133" t="s">
        <v>567</v>
      </c>
      <c r="C26" s="168" t="s">
        <v>165</v>
      </c>
      <c r="D26" s="135">
        <v>2000</v>
      </c>
      <c r="E26" s="169">
        <f t="shared" si="3"/>
        <v>0</v>
      </c>
      <c r="F26" s="137">
        <f>VI.A!F319</f>
        <v>0</v>
      </c>
      <c r="G26" s="138">
        <f>VI.A!F333</f>
        <v>0</v>
      </c>
      <c r="H26" s="170">
        <f>VI.A!F345</f>
        <v>0</v>
      </c>
      <c r="I26" s="137">
        <f t="shared" si="4"/>
        <v>0</v>
      </c>
      <c r="J26" s="138">
        <f t="shared" si="5"/>
        <v>0</v>
      </c>
      <c r="K26" s="140">
        <f t="shared" si="6"/>
        <v>0</v>
      </c>
      <c r="L26" s="171">
        <f t="shared" si="7"/>
        <v>0</v>
      </c>
      <c r="M26" s="172" t="e">
        <f t="shared" si="8"/>
        <v>#DIV/0!</v>
      </c>
    </row>
    <row r="27" spans="1:13" ht="18.95" customHeight="1">
      <c r="A27" s="167" t="s">
        <v>536</v>
      </c>
      <c r="B27" s="173" t="s">
        <v>568</v>
      </c>
      <c r="C27" s="174" t="s">
        <v>164</v>
      </c>
      <c r="D27" s="135">
        <v>1200</v>
      </c>
      <c r="E27" s="169">
        <f t="shared" si="3"/>
        <v>0</v>
      </c>
      <c r="F27" s="137">
        <f>VI.A!$F$367</f>
        <v>0</v>
      </c>
      <c r="G27" s="138">
        <f>VI.A!$F$381</f>
        <v>0</v>
      </c>
      <c r="H27" s="170">
        <f>VI.A!$F$393</f>
        <v>0</v>
      </c>
      <c r="I27" s="137">
        <f t="shared" si="4"/>
        <v>0</v>
      </c>
      <c r="J27" s="138">
        <f t="shared" si="5"/>
        <v>0</v>
      </c>
      <c r="K27" s="140">
        <f t="shared" si="6"/>
        <v>0</v>
      </c>
      <c r="L27" s="171">
        <f t="shared" si="7"/>
        <v>0</v>
      </c>
      <c r="M27" s="172" t="e">
        <f t="shared" si="8"/>
        <v>#DIV/0!</v>
      </c>
    </row>
    <row r="28" spans="1:13" ht="18.95" customHeight="1">
      <c r="A28" s="167" t="s">
        <v>537</v>
      </c>
      <c r="B28" s="173" t="s">
        <v>569</v>
      </c>
      <c r="C28" s="174" t="s">
        <v>165</v>
      </c>
      <c r="D28" s="135">
        <v>20</v>
      </c>
      <c r="E28" s="169">
        <f t="shared" si="3"/>
        <v>0</v>
      </c>
      <c r="F28" s="137">
        <f>VI.A!$F$415</f>
        <v>0</v>
      </c>
      <c r="G28" s="138">
        <f>VI.A!$F$429</f>
        <v>0</v>
      </c>
      <c r="H28" s="170">
        <f>VI.A!$F$441</f>
        <v>0</v>
      </c>
      <c r="I28" s="137">
        <f t="shared" si="4"/>
        <v>0</v>
      </c>
      <c r="J28" s="138">
        <f t="shared" si="5"/>
        <v>0</v>
      </c>
      <c r="K28" s="140">
        <f t="shared" si="6"/>
        <v>0</v>
      </c>
      <c r="L28" s="171">
        <f t="shared" si="7"/>
        <v>0</v>
      </c>
      <c r="M28" s="172" t="e">
        <f t="shared" si="8"/>
        <v>#DIV/0!</v>
      </c>
    </row>
    <row r="29" spans="1:13" ht="18.95" customHeight="1">
      <c r="A29" s="167" t="s">
        <v>538</v>
      </c>
      <c r="B29" s="173" t="s">
        <v>570</v>
      </c>
      <c r="C29" s="174" t="s">
        <v>165</v>
      </c>
      <c r="D29" s="135">
        <v>64</v>
      </c>
      <c r="E29" s="169">
        <f t="shared" si="3"/>
        <v>0</v>
      </c>
      <c r="F29" s="137">
        <f>VI.A!F463</f>
        <v>0</v>
      </c>
      <c r="G29" s="138">
        <f>VI.A!F477</f>
        <v>0</v>
      </c>
      <c r="H29" s="170">
        <f>VI.A!F489</f>
        <v>0</v>
      </c>
      <c r="I29" s="137">
        <f t="shared" si="4"/>
        <v>0</v>
      </c>
      <c r="J29" s="138">
        <f t="shared" si="5"/>
        <v>0</v>
      </c>
      <c r="K29" s="140">
        <f t="shared" si="6"/>
        <v>0</v>
      </c>
      <c r="L29" s="171">
        <f t="shared" si="7"/>
        <v>0</v>
      </c>
      <c r="M29" s="172" t="e">
        <f t="shared" si="8"/>
        <v>#DIV/0!</v>
      </c>
    </row>
    <row r="30" spans="1:13" ht="18.95" customHeight="1">
      <c r="A30" s="167" t="s">
        <v>539</v>
      </c>
      <c r="B30" s="173" t="s">
        <v>571</v>
      </c>
      <c r="C30" s="168" t="s">
        <v>164</v>
      </c>
      <c r="D30" s="135">
        <v>100</v>
      </c>
      <c r="E30" s="169">
        <f t="shared" si="3"/>
        <v>0</v>
      </c>
      <c r="F30" s="137">
        <f>VI.A!$F$511</f>
        <v>0</v>
      </c>
      <c r="G30" s="138">
        <f>VI.A!$F$525</f>
        <v>0</v>
      </c>
      <c r="H30" s="170">
        <f>VI.A!$F$537</f>
        <v>0</v>
      </c>
      <c r="I30" s="137">
        <f t="shared" si="4"/>
        <v>0</v>
      </c>
      <c r="J30" s="138">
        <f t="shared" si="5"/>
        <v>0</v>
      </c>
      <c r="K30" s="140">
        <f t="shared" si="6"/>
        <v>0</v>
      </c>
      <c r="L30" s="171">
        <f t="shared" si="7"/>
        <v>0</v>
      </c>
      <c r="M30" s="172" t="e">
        <f t="shared" si="8"/>
        <v>#DIV/0!</v>
      </c>
    </row>
    <row r="31" spans="1:13" ht="18.95" customHeight="1">
      <c r="A31" s="167" t="s">
        <v>540</v>
      </c>
      <c r="B31" s="173" t="s">
        <v>904</v>
      </c>
      <c r="C31" s="174" t="s">
        <v>164</v>
      </c>
      <c r="D31" s="135">
        <v>3000</v>
      </c>
      <c r="E31" s="169">
        <f t="shared" si="3"/>
        <v>0</v>
      </c>
      <c r="F31" s="137">
        <f>VI.A!$F$559</f>
        <v>0</v>
      </c>
      <c r="G31" s="138">
        <f>VI.A!$F$573</f>
        <v>0</v>
      </c>
      <c r="H31" s="170">
        <f>VI.A!$F$585</f>
        <v>0</v>
      </c>
      <c r="I31" s="137">
        <f t="shared" si="4"/>
        <v>0</v>
      </c>
      <c r="J31" s="138">
        <f t="shared" si="5"/>
        <v>0</v>
      </c>
      <c r="K31" s="140">
        <f t="shared" si="6"/>
        <v>0</v>
      </c>
      <c r="L31" s="171">
        <f t="shared" si="7"/>
        <v>0</v>
      </c>
      <c r="M31" s="172" t="e">
        <f t="shared" si="8"/>
        <v>#DIV/0!</v>
      </c>
    </row>
    <row r="32" spans="1:13" ht="18.95" customHeight="1">
      <c r="A32" s="163" t="s">
        <v>30</v>
      </c>
      <c r="B32" s="164" t="s">
        <v>885</v>
      </c>
      <c r="C32" s="165"/>
      <c r="D32" s="165"/>
      <c r="E32" s="165"/>
      <c r="F32" s="165"/>
      <c r="G32" s="165"/>
      <c r="H32" s="165"/>
      <c r="I32" s="165"/>
      <c r="J32" s="165"/>
      <c r="K32" s="165"/>
      <c r="L32" s="165"/>
      <c r="M32" s="166"/>
    </row>
    <row r="33" spans="1:13" ht="18.95" customHeight="1">
      <c r="A33" s="167" t="s">
        <v>541</v>
      </c>
      <c r="B33" s="173" t="s">
        <v>572</v>
      </c>
      <c r="C33" s="174" t="s">
        <v>223</v>
      </c>
      <c r="D33" s="135">
        <v>50</v>
      </c>
      <c r="E33" s="169">
        <f>F33+G33+H33</f>
        <v>0</v>
      </c>
      <c r="F33" s="137">
        <f>VI.A!$F$607</f>
        <v>0</v>
      </c>
      <c r="G33" s="138">
        <f>VI.A!$F$621</f>
        <v>0</v>
      </c>
      <c r="H33" s="170">
        <f>VI.A!$F$633</f>
        <v>0</v>
      </c>
      <c r="I33" s="137">
        <f>ROUND(D33*F33,2)</f>
        <v>0</v>
      </c>
      <c r="J33" s="138">
        <f>ROUND(D33*G33,2)</f>
        <v>0</v>
      </c>
      <c r="K33" s="140">
        <f>ROUND(D33*H33,2)</f>
        <v>0</v>
      </c>
      <c r="L33" s="171">
        <f>ROUND(D33*F33,2)+ROUND(D33*G33,2)+ROUND(D33*H33,2)</f>
        <v>0</v>
      </c>
      <c r="M33" s="172" t="e">
        <f>ROUND(L33/$L$174,6)</f>
        <v>#DIV/0!</v>
      </c>
    </row>
    <row r="34" spans="1:13" ht="18.95" customHeight="1">
      <c r="A34" s="167" t="s">
        <v>542</v>
      </c>
      <c r="B34" s="173" t="s">
        <v>573</v>
      </c>
      <c r="C34" s="174" t="s">
        <v>223</v>
      </c>
      <c r="D34" s="135">
        <v>300</v>
      </c>
      <c r="E34" s="169">
        <f>F34+G34+H34</f>
        <v>0</v>
      </c>
      <c r="F34" s="137">
        <f>VI.A!$F$655</f>
        <v>0</v>
      </c>
      <c r="G34" s="138">
        <f>VI.A!$F$669</f>
        <v>0</v>
      </c>
      <c r="H34" s="170">
        <f>VI.A!$F$681</f>
        <v>0</v>
      </c>
      <c r="I34" s="137">
        <f>ROUND(D34*F34,2)</f>
        <v>0</v>
      </c>
      <c r="J34" s="138">
        <f>ROUND(D34*G34,2)</f>
        <v>0</v>
      </c>
      <c r="K34" s="140">
        <f>ROUND(D34*H34,2)</f>
        <v>0</v>
      </c>
      <c r="L34" s="171">
        <f>ROUND(D34*F34,2)+ROUND(D34*G34,2)+ROUND(D34*H34,2)</f>
        <v>0</v>
      </c>
      <c r="M34" s="172" t="e">
        <f>ROUND(L34/$L$174,6)</f>
        <v>#DIV/0!</v>
      </c>
    </row>
    <row r="35" spans="1:13" ht="18.95" customHeight="1">
      <c r="A35" s="167" t="s">
        <v>543</v>
      </c>
      <c r="B35" s="173" t="s">
        <v>574</v>
      </c>
      <c r="C35" s="174" t="s">
        <v>564</v>
      </c>
      <c r="D35" s="135">
        <v>10500</v>
      </c>
      <c r="E35" s="169">
        <f>F35+G35+H35</f>
        <v>0</v>
      </c>
      <c r="F35" s="137">
        <f>VI.A!$F$703</f>
        <v>0</v>
      </c>
      <c r="G35" s="138">
        <f>VI.A!$F$717</f>
        <v>0</v>
      </c>
      <c r="H35" s="170">
        <f>VI.A!$F$729</f>
        <v>0</v>
      </c>
      <c r="I35" s="137">
        <f>ROUND(D35*F35,2)</f>
        <v>0</v>
      </c>
      <c r="J35" s="138">
        <f>ROUND(D35*G35,2)</f>
        <v>0</v>
      </c>
      <c r="K35" s="140">
        <f>ROUND(D35*H35,2)</f>
        <v>0</v>
      </c>
      <c r="L35" s="171">
        <f>ROUND(D35*F35,2)+ROUND(D35*G35,2)+ROUND(D35*H35,2)</f>
        <v>0</v>
      </c>
      <c r="M35" s="172" t="e">
        <f>ROUND(L35/$L$174,6)</f>
        <v>#DIV/0!</v>
      </c>
    </row>
    <row r="36" spans="1:13" ht="18.95" customHeight="1">
      <c r="A36" s="167" t="s">
        <v>857</v>
      </c>
      <c r="B36" s="173" t="s">
        <v>797</v>
      </c>
      <c r="C36" s="174" t="s">
        <v>223</v>
      </c>
      <c r="D36" s="135">
        <v>350</v>
      </c>
      <c r="E36" s="169">
        <f>F36+G36+H36</f>
        <v>0</v>
      </c>
      <c r="F36" s="137">
        <f>VI.A!F751</f>
        <v>0</v>
      </c>
      <c r="G36" s="138">
        <f>VI.A!F765</f>
        <v>0</v>
      </c>
      <c r="H36" s="170">
        <f>VI.A!F777</f>
        <v>0</v>
      </c>
      <c r="I36" s="137">
        <f>ROUND(D36*F36,2)</f>
        <v>0</v>
      </c>
      <c r="J36" s="138">
        <f>ROUND(D36*G36,2)</f>
        <v>0</v>
      </c>
      <c r="K36" s="140">
        <f>ROUND(D36*H36,2)</f>
        <v>0</v>
      </c>
      <c r="L36" s="171">
        <f>ROUND(D36*F36,2)+ROUND(D36*G36,2)+ROUND(D36*H36,2)</f>
        <v>0</v>
      </c>
      <c r="M36" s="172" t="e">
        <f>ROUND(L36/$L$174,6)</f>
        <v>#DIV/0!</v>
      </c>
    </row>
    <row r="37" spans="1:13" ht="18.95" customHeight="1">
      <c r="A37" s="163" t="s">
        <v>31</v>
      </c>
      <c r="B37" s="164" t="s">
        <v>886</v>
      </c>
      <c r="C37" s="165"/>
      <c r="D37" s="165"/>
      <c r="E37" s="165"/>
      <c r="F37" s="165"/>
      <c r="G37" s="165"/>
      <c r="H37" s="165"/>
      <c r="I37" s="165"/>
      <c r="J37" s="165"/>
      <c r="K37" s="165"/>
      <c r="L37" s="165"/>
      <c r="M37" s="166"/>
    </row>
    <row r="38" spans="1:13" ht="18.95" customHeight="1">
      <c r="A38" s="167" t="s">
        <v>761</v>
      </c>
      <c r="B38" s="173" t="s">
        <v>575</v>
      </c>
      <c r="C38" s="174" t="s">
        <v>166</v>
      </c>
      <c r="D38" s="135">
        <v>12</v>
      </c>
      <c r="E38" s="169">
        <f>F38+G38+H38</f>
        <v>0</v>
      </c>
      <c r="F38" s="137">
        <f>VI.A!F799</f>
        <v>0</v>
      </c>
      <c r="G38" s="138">
        <f>VI.A!F813</f>
        <v>0</v>
      </c>
      <c r="H38" s="170">
        <f>VI.A!F825</f>
        <v>0</v>
      </c>
      <c r="I38" s="137">
        <f>ROUND(D38*F38,2)</f>
        <v>0</v>
      </c>
      <c r="J38" s="138">
        <f>ROUND(D38*G38,2)</f>
        <v>0</v>
      </c>
      <c r="K38" s="140">
        <f>ROUND(D38*H38,2)</f>
        <v>0</v>
      </c>
      <c r="L38" s="171">
        <f>ROUND(D38*F38,2)+ROUND(D38*G38,2)+ROUND(D38*H38,2)</f>
        <v>0</v>
      </c>
      <c r="M38" s="172" t="e">
        <f>ROUND(L38/$L$174,6)</f>
        <v>#DIV/0!</v>
      </c>
    </row>
    <row r="39" spans="1:13" ht="18.95" customHeight="1">
      <c r="A39" s="167" t="s">
        <v>782</v>
      </c>
      <c r="B39" s="173" t="s">
        <v>576</v>
      </c>
      <c r="C39" s="174" t="s">
        <v>164</v>
      </c>
      <c r="D39" s="135">
        <v>3000</v>
      </c>
      <c r="E39" s="169">
        <f>F39+G39+H39</f>
        <v>0</v>
      </c>
      <c r="F39" s="137">
        <f>VI.A!F847</f>
        <v>0</v>
      </c>
      <c r="G39" s="138">
        <f>VI.A!F861</f>
        <v>0</v>
      </c>
      <c r="H39" s="170">
        <f>VI.A!F873</f>
        <v>0</v>
      </c>
      <c r="I39" s="137">
        <f>ROUND(D39*F39,2)</f>
        <v>0</v>
      </c>
      <c r="J39" s="138">
        <f>ROUND(D39*G39,2)</f>
        <v>0</v>
      </c>
      <c r="K39" s="140">
        <f>ROUND(D39*H39,2)</f>
        <v>0</v>
      </c>
      <c r="L39" s="171">
        <f>ROUND(D39*F39,2)+ROUND(D39*G39,2)+ROUND(D39*H39,2)</f>
        <v>0</v>
      </c>
      <c r="M39" s="172" t="e">
        <f>ROUND(L39/$L$174,6)</f>
        <v>#DIV/0!</v>
      </c>
    </row>
    <row r="40" spans="1:13" ht="18.95" customHeight="1">
      <c r="A40" s="167" t="s">
        <v>783</v>
      </c>
      <c r="B40" s="173" t="s">
        <v>936</v>
      </c>
      <c r="C40" s="174" t="s">
        <v>165</v>
      </c>
      <c r="D40" s="135">
        <v>5</v>
      </c>
      <c r="E40" s="169">
        <f>F40+G40+H40</f>
        <v>0</v>
      </c>
      <c r="F40" s="137">
        <f>VI.A!F895</f>
        <v>0</v>
      </c>
      <c r="G40" s="138">
        <f>VI.A!F909</f>
        <v>0</v>
      </c>
      <c r="H40" s="170">
        <f>VI.A!F921</f>
        <v>0</v>
      </c>
      <c r="I40" s="137">
        <f>ROUND(D40*F40,2)</f>
        <v>0</v>
      </c>
      <c r="J40" s="138">
        <f>ROUND(D40*G40,2)</f>
        <v>0</v>
      </c>
      <c r="K40" s="140">
        <f>ROUND(D40*H40,2)</f>
        <v>0</v>
      </c>
      <c r="L40" s="171">
        <f>ROUND(D40*F40,2)+ROUND(D40*G40,2)+ROUND(D40*H40,2)</f>
        <v>0</v>
      </c>
      <c r="M40" s="172" t="e">
        <f>ROUND(L40/$L$174,6)</f>
        <v>#DIV/0!</v>
      </c>
    </row>
    <row r="41" spans="1:13" ht="18.95" customHeight="1" thickBot="1">
      <c r="A41" s="167" t="s">
        <v>784</v>
      </c>
      <c r="B41" s="173" t="s">
        <v>577</v>
      </c>
      <c r="C41" s="175" t="s">
        <v>166</v>
      </c>
      <c r="D41" s="135">
        <v>10</v>
      </c>
      <c r="E41" s="169">
        <f>F41+G41+H41</f>
        <v>0</v>
      </c>
      <c r="F41" s="149">
        <f>VI.A!F943</f>
        <v>0</v>
      </c>
      <c r="G41" s="150">
        <f>VI.A!F957</f>
        <v>0</v>
      </c>
      <c r="H41" s="176">
        <f>VI.A!F969</f>
        <v>0</v>
      </c>
      <c r="I41" s="157">
        <f>ROUND(D41*F41,2)</f>
        <v>0</v>
      </c>
      <c r="J41" s="158">
        <f>ROUND(D41*G41,2)</f>
        <v>0</v>
      </c>
      <c r="K41" s="160">
        <f>ROUND(D41*H41,2)</f>
        <v>0</v>
      </c>
      <c r="L41" s="177">
        <f>ROUND(D41*F41,2)+ROUND(D41*G41,2)+ROUND(D41*H41,2)</f>
        <v>0</v>
      </c>
      <c r="M41" s="172" t="e">
        <f>ROUND(L41/$L$174,6)</f>
        <v>#DIV/0!</v>
      </c>
    </row>
    <row r="42" spans="1:13" ht="9.9499999999999993" customHeight="1" thickBot="1">
      <c r="A42" s="178"/>
      <c r="B42" s="178"/>
      <c r="C42" s="178"/>
      <c r="D42" s="178"/>
      <c r="E42" s="178"/>
      <c r="F42" s="178"/>
      <c r="G42" s="178"/>
      <c r="H42" s="178"/>
      <c r="I42" s="178"/>
      <c r="J42" s="178"/>
      <c r="K42" s="178"/>
      <c r="L42" s="179"/>
      <c r="M42" s="178"/>
    </row>
    <row r="43" spans="1:13">
      <c r="A43" s="618" t="s">
        <v>47</v>
      </c>
      <c r="B43" s="697" t="s">
        <v>18</v>
      </c>
      <c r="C43" s="620" t="s">
        <v>3</v>
      </c>
      <c r="D43" s="620"/>
      <c r="E43" s="621"/>
      <c r="F43" s="180">
        <f>I43</f>
        <v>0</v>
      </c>
      <c r="G43" s="181">
        <f>J43</f>
        <v>0</v>
      </c>
      <c r="H43" s="182">
        <f>K43</f>
        <v>0</v>
      </c>
      <c r="I43" s="183">
        <f>SUM(I46:I110)</f>
        <v>0</v>
      </c>
      <c r="J43" s="184">
        <f>SUM(J46:J110)</f>
        <v>0</v>
      </c>
      <c r="K43" s="185">
        <f>SUM(K46:K110)</f>
        <v>0</v>
      </c>
      <c r="L43" s="701">
        <f>SUM(L46:L110)</f>
        <v>0</v>
      </c>
      <c r="M43" s="691" t="e">
        <f>ROUND(L43/$L$174,6)</f>
        <v>#DIV/0!</v>
      </c>
    </row>
    <row r="44" spans="1:13">
      <c r="A44" s="619"/>
      <c r="B44" s="698"/>
      <c r="C44" s="622"/>
      <c r="D44" s="622"/>
      <c r="E44" s="623"/>
      <c r="F44" s="44" t="e">
        <f>ROUND(F43/L43,6)</f>
        <v>#DIV/0!</v>
      </c>
      <c r="G44" s="45" t="e">
        <f>ROUND(G43/L43,6)</f>
        <v>#DIV/0!</v>
      </c>
      <c r="H44" s="56" t="e">
        <f>ROUND(H43/L43,6)</f>
        <v>#DIV/0!</v>
      </c>
      <c r="I44" s="44" t="str">
        <f>IF(I43=F43,"sim","nao")</f>
        <v>sim</v>
      </c>
      <c r="J44" s="45" t="str">
        <f>IF(J43=G43,"sim","nao")</f>
        <v>sim</v>
      </c>
      <c r="K44" s="58" t="str">
        <f>IF(K43=H43,"sim","nao")</f>
        <v>sim</v>
      </c>
      <c r="L44" s="702"/>
      <c r="M44" s="692"/>
    </row>
    <row r="45" spans="1:13" ht="31.5">
      <c r="A45" s="163" t="s">
        <v>33</v>
      </c>
      <c r="B45" s="164" t="s">
        <v>887</v>
      </c>
      <c r="C45" s="165"/>
      <c r="D45" s="165"/>
      <c r="E45" s="165"/>
      <c r="F45" s="165"/>
      <c r="G45" s="165"/>
      <c r="H45" s="165"/>
      <c r="I45" s="165"/>
      <c r="J45" s="165"/>
      <c r="K45" s="165"/>
      <c r="L45" s="165"/>
      <c r="M45" s="166"/>
    </row>
    <row r="46" spans="1:13" s="187" customFormat="1" ht="17.100000000000001" customHeight="1">
      <c r="A46" s="186" t="s">
        <v>65</v>
      </c>
      <c r="B46" s="133" t="s">
        <v>587</v>
      </c>
      <c r="C46" s="168" t="s">
        <v>164</v>
      </c>
      <c r="D46" s="135">
        <v>250</v>
      </c>
      <c r="E46" s="169">
        <f t="shared" ref="E46:E48" si="9">F46+G46+H46</f>
        <v>0</v>
      </c>
      <c r="F46" s="137">
        <f>VI.A!$F$991</f>
        <v>0</v>
      </c>
      <c r="G46" s="138">
        <f>VI.A!$F$1005</f>
        <v>0</v>
      </c>
      <c r="H46" s="170">
        <f>VI.A!$F$1017</f>
        <v>0</v>
      </c>
      <c r="I46" s="137">
        <f t="shared" ref="I46:I48" si="10">ROUND(D46*F46,2)</f>
        <v>0</v>
      </c>
      <c r="J46" s="138">
        <f t="shared" ref="J46:J48" si="11">ROUND(D46*G46,2)</f>
        <v>0</v>
      </c>
      <c r="K46" s="140">
        <f t="shared" ref="K46:K48" si="12">ROUND(D46*H46,2)</f>
        <v>0</v>
      </c>
      <c r="L46" s="171">
        <f t="shared" ref="L46:L48" si="13">ROUND(D46*F46,2)+ROUND(D46*G46,2)+ROUND(D46*H46,2)</f>
        <v>0</v>
      </c>
      <c r="M46" s="172" t="e">
        <f>ROUND(L46/$L$174,6)</f>
        <v>#DIV/0!</v>
      </c>
    </row>
    <row r="47" spans="1:13" s="187" customFormat="1" ht="17.100000000000001" customHeight="1">
      <c r="A47" s="186" t="s">
        <v>906</v>
      </c>
      <c r="B47" s="133" t="s">
        <v>588</v>
      </c>
      <c r="C47" s="168" t="s">
        <v>164</v>
      </c>
      <c r="D47" s="135">
        <v>3500</v>
      </c>
      <c r="E47" s="169">
        <f t="shared" si="9"/>
        <v>0</v>
      </c>
      <c r="F47" s="137">
        <f>VI.A!F1039</f>
        <v>0</v>
      </c>
      <c r="G47" s="138">
        <f>VI.A!F1053</f>
        <v>0</v>
      </c>
      <c r="H47" s="170">
        <f>VI.A!F1065</f>
        <v>0</v>
      </c>
      <c r="I47" s="137">
        <f t="shared" si="10"/>
        <v>0</v>
      </c>
      <c r="J47" s="138">
        <f t="shared" si="11"/>
        <v>0</v>
      </c>
      <c r="K47" s="140">
        <f t="shared" si="12"/>
        <v>0</v>
      </c>
      <c r="L47" s="171">
        <f t="shared" si="13"/>
        <v>0</v>
      </c>
      <c r="M47" s="172" t="e">
        <f>ROUND(L47/$L$174,6)</f>
        <v>#DIV/0!</v>
      </c>
    </row>
    <row r="48" spans="1:13" s="187" customFormat="1" ht="31.5">
      <c r="A48" s="186" t="s">
        <v>907</v>
      </c>
      <c r="B48" s="133" t="s">
        <v>905</v>
      </c>
      <c r="C48" s="168" t="s">
        <v>166</v>
      </c>
      <c r="D48" s="135">
        <v>40</v>
      </c>
      <c r="E48" s="169">
        <f t="shared" si="9"/>
        <v>0</v>
      </c>
      <c r="F48" s="137">
        <f>VI.A!F1087</f>
        <v>0</v>
      </c>
      <c r="G48" s="138">
        <f>VI.A!F1101</f>
        <v>0</v>
      </c>
      <c r="H48" s="170">
        <f>VI.A!F1113</f>
        <v>0</v>
      </c>
      <c r="I48" s="137">
        <f t="shared" si="10"/>
        <v>0</v>
      </c>
      <c r="J48" s="138">
        <f t="shared" si="11"/>
        <v>0</v>
      </c>
      <c r="K48" s="140">
        <f t="shared" si="12"/>
        <v>0</v>
      </c>
      <c r="L48" s="171">
        <f t="shared" si="13"/>
        <v>0</v>
      </c>
      <c r="M48" s="172" t="e">
        <f>ROUND(L48/$L$174,6)</f>
        <v>#DIV/0!</v>
      </c>
    </row>
    <row r="49" spans="1:13" ht="17.100000000000001" customHeight="1">
      <c r="A49" s="163" t="s">
        <v>22</v>
      </c>
      <c r="B49" s="164" t="s">
        <v>888</v>
      </c>
      <c r="C49" s="165"/>
      <c r="D49" s="165"/>
      <c r="E49" s="165"/>
      <c r="F49" s="165"/>
      <c r="G49" s="165"/>
      <c r="H49" s="165"/>
      <c r="I49" s="165"/>
      <c r="J49" s="165"/>
      <c r="K49" s="165"/>
      <c r="L49" s="165"/>
      <c r="M49" s="166"/>
    </row>
    <row r="50" spans="1:13" ht="17.100000000000001" customHeight="1">
      <c r="A50" s="186" t="s">
        <v>66</v>
      </c>
      <c r="B50" s="133" t="s">
        <v>589</v>
      </c>
      <c r="C50" s="174" t="s">
        <v>166</v>
      </c>
      <c r="D50" s="135">
        <v>3</v>
      </c>
      <c r="E50" s="169">
        <f t="shared" ref="E50:E60" si="14">F50+G50+H50</f>
        <v>0</v>
      </c>
      <c r="F50" s="137">
        <f>VI.A!$F$1135</f>
        <v>0</v>
      </c>
      <c r="G50" s="138">
        <f>VI.A!$F$1149</f>
        <v>0</v>
      </c>
      <c r="H50" s="170">
        <f>VI.A!$F$1161</f>
        <v>0</v>
      </c>
      <c r="I50" s="137">
        <f t="shared" ref="I50:I60" si="15">ROUND(D50*F50,2)</f>
        <v>0</v>
      </c>
      <c r="J50" s="138">
        <f t="shared" ref="J50:J60" si="16">ROUND(D50*G50,2)</f>
        <v>0</v>
      </c>
      <c r="K50" s="140">
        <f t="shared" ref="K50:K60" si="17">ROUND(D50*H50,2)</f>
        <v>0</v>
      </c>
      <c r="L50" s="171">
        <f t="shared" ref="L50:L60" si="18">ROUND(D50*F50,2)+ROUND(D50*G50,2)+ROUND(D50*H50,2)</f>
        <v>0</v>
      </c>
      <c r="M50" s="172" t="e">
        <f t="shared" ref="M50:M60" si="19">ROUND(L50/$L$174,6)</f>
        <v>#DIV/0!</v>
      </c>
    </row>
    <row r="51" spans="1:13" ht="17.100000000000001" customHeight="1">
      <c r="A51" s="186" t="s">
        <v>67</v>
      </c>
      <c r="B51" s="133" t="s">
        <v>590</v>
      </c>
      <c r="C51" s="174" t="s">
        <v>165</v>
      </c>
      <c r="D51" s="135">
        <v>80</v>
      </c>
      <c r="E51" s="169">
        <f t="shared" si="14"/>
        <v>0</v>
      </c>
      <c r="F51" s="137">
        <f>VI.A!F1183</f>
        <v>0</v>
      </c>
      <c r="G51" s="138">
        <f>VI.A!F1197</f>
        <v>0</v>
      </c>
      <c r="H51" s="170">
        <f>VI.A!F1209</f>
        <v>0</v>
      </c>
      <c r="I51" s="137">
        <f t="shared" si="15"/>
        <v>0</v>
      </c>
      <c r="J51" s="138">
        <f t="shared" si="16"/>
        <v>0</v>
      </c>
      <c r="K51" s="140">
        <f t="shared" si="17"/>
        <v>0</v>
      </c>
      <c r="L51" s="171">
        <f t="shared" si="18"/>
        <v>0</v>
      </c>
      <c r="M51" s="172" t="e">
        <f t="shared" si="19"/>
        <v>#DIV/0!</v>
      </c>
    </row>
    <row r="52" spans="1:13" s="187" customFormat="1" ht="17.100000000000001" customHeight="1">
      <c r="A52" s="186" t="s">
        <v>69</v>
      </c>
      <c r="B52" s="173" t="s">
        <v>591</v>
      </c>
      <c r="C52" s="168" t="s">
        <v>165</v>
      </c>
      <c r="D52" s="135">
        <v>100</v>
      </c>
      <c r="E52" s="169">
        <f t="shared" si="14"/>
        <v>0</v>
      </c>
      <c r="F52" s="137">
        <f>VI.A!F1231</f>
        <v>0</v>
      </c>
      <c r="G52" s="138">
        <f>VI.A!F1245</f>
        <v>0</v>
      </c>
      <c r="H52" s="170">
        <f>VI.A!F1257</f>
        <v>0</v>
      </c>
      <c r="I52" s="137">
        <f t="shared" si="15"/>
        <v>0</v>
      </c>
      <c r="J52" s="138">
        <f t="shared" si="16"/>
        <v>0</v>
      </c>
      <c r="K52" s="140">
        <f t="shared" si="17"/>
        <v>0</v>
      </c>
      <c r="L52" s="171">
        <f t="shared" si="18"/>
        <v>0</v>
      </c>
      <c r="M52" s="172" t="e">
        <f t="shared" si="19"/>
        <v>#DIV/0!</v>
      </c>
    </row>
    <row r="53" spans="1:13" s="145" customFormat="1" ht="17.100000000000001" customHeight="1">
      <c r="A53" s="186" t="s">
        <v>70</v>
      </c>
      <c r="B53" s="133" t="s">
        <v>592</v>
      </c>
      <c r="C53" s="168" t="s">
        <v>166</v>
      </c>
      <c r="D53" s="135">
        <v>1</v>
      </c>
      <c r="E53" s="169">
        <f t="shared" si="14"/>
        <v>0</v>
      </c>
      <c r="F53" s="137">
        <f>VI.A!$F$1279</f>
        <v>0</v>
      </c>
      <c r="G53" s="138">
        <f>VI.A!$F$1293</f>
        <v>0</v>
      </c>
      <c r="H53" s="170">
        <f>VI.A!$F$1305</f>
        <v>0</v>
      </c>
      <c r="I53" s="137">
        <f t="shared" si="15"/>
        <v>0</v>
      </c>
      <c r="J53" s="138">
        <f t="shared" si="16"/>
        <v>0</v>
      </c>
      <c r="K53" s="140">
        <f t="shared" si="17"/>
        <v>0</v>
      </c>
      <c r="L53" s="171">
        <f t="shared" si="18"/>
        <v>0</v>
      </c>
      <c r="M53" s="172" t="e">
        <f t="shared" si="19"/>
        <v>#DIV/0!</v>
      </c>
    </row>
    <row r="54" spans="1:13" s="145" customFormat="1" ht="17.100000000000001" customHeight="1">
      <c r="A54" s="186" t="s">
        <v>71</v>
      </c>
      <c r="B54" s="173" t="s">
        <v>593</v>
      </c>
      <c r="C54" s="168" t="s">
        <v>165</v>
      </c>
      <c r="D54" s="135">
        <v>1.5</v>
      </c>
      <c r="E54" s="169">
        <f t="shared" si="14"/>
        <v>0</v>
      </c>
      <c r="F54" s="137">
        <f>VI.A!F1327</f>
        <v>0</v>
      </c>
      <c r="G54" s="138">
        <f>VI.A!F1341</f>
        <v>0</v>
      </c>
      <c r="H54" s="170">
        <f>VI.A!F1353</f>
        <v>0</v>
      </c>
      <c r="I54" s="137">
        <f t="shared" si="15"/>
        <v>0</v>
      </c>
      <c r="J54" s="138">
        <f t="shared" si="16"/>
        <v>0</v>
      </c>
      <c r="K54" s="140">
        <f t="shared" si="17"/>
        <v>0</v>
      </c>
      <c r="L54" s="171">
        <f t="shared" si="18"/>
        <v>0</v>
      </c>
      <c r="M54" s="172" t="e">
        <f t="shared" si="19"/>
        <v>#DIV/0!</v>
      </c>
    </row>
    <row r="55" spans="1:13" s="145" customFormat="1" ht="17.100000000000001" customHeight="1">
      <c r="A55" s="186" t="s">
        <v>116</v>
      </c>
      <c r="B55" s="173" t="s">
        <v>594</v>
      </c>
      <c r="C55" s="168" t="s">
        <v>165</v>
      </c>
      <c r="D55" s="135">
        <v>5</v>
      </c>
      <c r="E55" s="169">
        <f t="shared" si="14"/>
        <v>0</v>
      </c>
      <c r="F55" s="137">
        <f>VI.A!$F$1375</f>
        <v>0</v>
      </c>
      <c r="G55" s="138">
        <f>VI.A!$F$1389</f>
        <v>0</v>
      </c>
      <c r="H55" s="170">
        <f>VI.A!$F$1401</f>
        <v>0</v>
      </c>
      <c r="I55" s="137">
        <f t="shared" si="15"/>
        <v>0</v>
      </c>
      <c r="J55" s="138">
        <f t="shared" si="16"/>
        <v>0</v>
      </c>
      <c r="K55" s="140">
        <f t="shared" si="17"/>
        <v>0</v>
      </c>
      <c r="L55" s="171">
        <f t="shared" si="18"/>
        <v>0</v>
      </c>
      <c r="M55" s="172" t="e">
        <f t="shared" si="19"/>
        <v>#DIV/0!</v>
      </c>
    </row>
    <row r="56" spans="1:13" s="145" customFormat="1" ht="17.100000000000001" customHeight="1">
      <c r="A56" s="186" t="s">
        <v>114</v>
      </c>
      <c r="B56" s="173" t="s">
        <v>595</v>
      </c>
      <c r="C56" s="168" t="s">
        <v>165</v>
      </c>
      <c r="D56" s="135">
        <v>75</v>
      </c>
      <c r="E56" s="169">
        <f t="shared" si="14"/>
        <v>0</v>
      </c>
      <c r="F56" s="137">
        <f>VI.A!$F$1423</f>
        <v>0</v>
      </c>
      <c r="G56" s="138">
        <f>VI.A!$F$1437</f>
        <v>0</v>
      </c>
      <c r="H56" s="170">
        <f>VI.A!$F$1449</f>
        <v>0</v>
      </c>
      <c r="I56" s="137">
        <f t="shared" si="15"/>
        <v>0</v>
      </c>
      <c r="J56" s="138">
        <f t="shared" si="16"/>
        <v>0</v>
      </c>
      <c r="K56" s="140">
        <f t="shared" si="17"/>
        <v>0</v>
      </c>
      <c r="L56" s="171">
        <f t="shared" si="18"/>
        <v>0</v>
      </c>
      <c r="M56" s="172" t="e">
        <f t="shared" si="19"/>
        <v>#DIV/0!</v>
      </c>
    </row>
    <row r="57" spans="1:13" s="145" customFormat="1" ht="17.100000000000001" customHeight="1">
      <c r="A57" s="186" t="s">
        <v>115</v>
      </c>
      <c r="B57" s="173" t="s">
        <v>596</v>
      </c>
      <c r="C57" s="168" t="s">
        <v>165</v>
      </c>
      <c r="D57" s="135">
        <v>90</v>
      </c>
      <c r="E57" s="169">
        <f t="shared" si="14"/>
        <v>0</v>
      </c>
      <c r="F57" s="137">
        <f>VI.A!$F$1471</f>
        <v>0</v>
      </c>
      <c r="G57" s="138">
        <f>VI.A!$F$1485</f>
        <v>0</v>
      </c>
      <c r="H57" s="170">
        <f>VI.A!$F$1497</f>
        <v>0</v>
      </c>
      <c r="I57" s="137">
        <f t="shared" si="15"/>
        <v>0</v>
      </c>
      <c r="J57" s="138">
        <f t="shared" si="16"/>
        <v>0</v>
      </c>
      <c r="K57" s="140">
        <f t="shared" si="17"/>
        <v>0</v>
      </c>
      <c r="L57" s="171">
        <f t="shared" si="18"/>
        <v>0</v>
      </c>
      <c r="M57" s="172" t="e">
        <f t="shared" si="19"/>
        <v>#DIV/0!</v>
      </c>
    </row>
    <row r="58" spans="1:13" s="145" customFormat="1" ht="17.100000000000001" customHeight="1">
      <c r="A58" s="186" t="s">
        <v>129</v>
      </c>
      <c r="B58" s="173" t="s">
        <v>597</v>
      </c>
      <c r="C58" s="168" t="s">
        <v>165</v>
      </c>
      <c r="D58" s="135">
        <v>10</v>
      </c>
      <c r="E58" s="169">
        <f t="shared" si="14"/>
        <v>0</v>
      </c>
      <c r="F58" s="137">
        <f>VI.A!F1519</f>
        <v>0</v>
      </c>
      <c r="G58" s="138">
        <f>VI.A!F1533</f>
        <v>0</v>
      </c>
      <c r="H58" s="170">
        <f>VI.A!F1545</f>
        <v>0</v>
      </c>
      <c r="I58" s="137">
        <f t="shared" si="15"/>
        <v>0</v>
      </c>
      <c r="J58" s="138">
        <f t="shared" si="16"/>
        <v>0</v>
      </c>
      <c r="K58" s="140">
        <f t="shared" si="17"/>
        <v>0</v>
      </c>
      <c r="L58" s="171">
        <f t="shared" si="18"/>
        <v>0</v>
      </c>
      <c r="M58" s="172" t="e">
        <f t="shared" si="19"/>
        <v>#DIV/0!</v>
      </c>
    </row>
    <row r="59" spans="1:13" ht="31.5">
      <c r="A59" s="186" t="s">
        <v>400</v>
      </c>
      <c r="B59" s="173" t="s">
        <v>598</v>
      </c>
      <c r="C59" s="168" t="s">
        <v>165</v>
      </c>
      <c r="D59" s="135">
        <v>50</v>
      </c>
      <c r="E59" s="169">
        <f t="shared" si="14"/>
        <v>0</v>
      </c>
      <c r="F59" s="137">
        <f>VI.A!$F$1567</f>
        <v>0</v>
      </c>
      <c r="G59" s="138">
        <f>VI.A!$F$1581</f>
        <v>0</v>
      </c>
      <c r="H59" s="170">
        <f>VI.A!$F$1593</f>
        <v>0</v>
      </c>
      <c r="I59" s="137">
        <f t="shared" si="15"/>
        <v>0</v>
      </c>
      <c r="J59" s="138">
        <f t="shared" si="16"/>
        <v>0</v>
      </c>
      <c r="K59" s="140">
        <f t="shared" si="17"/>
        <v>0</v>
      </c>
      <c r="L59" s="171">
        <f t="shared" si="18"/>
        <v>0</v>
      </c>
      <c r="M59" s="172" t="e">
        <f t="shared" si="19"/>
        <v>#DIV/0!</v>
      </c>
    </row>
    <row r="60" spans="1:13" ht="18" customHeight="1">
      <c r="A60" s="186" t="s">
        <v>491</v>
      </c>
      <c r="B60" s="173" t="s">
        <v>634</v>
      </c>
      <c r="C60" s="168" t="s">
        <v>164</v>
      </c>
      <c r="D60" s="135">
        <v>29</v>
      </c>
      <c r="E60" s="169">
        <f t="shared" si="14"/>
        <v>0</v>
      </c>
      <c r="F60" s="137">
        <f>VI.A!F1615</f>
        <v>0</v>
      </c>
      <c r="G60" s="138">
        <f>VI.A!F1629</f>
        <v>0</v>
      </c>
      <c r="H60" s="170">
        <f>VI.A!F1641</f>
        <v>0</v>
      </c>
      <c r="I60" s="137">
        <f t="shared" si="15"/>
        <v>0</v>
      </c>
      <c r="J60" s="138">
        <f t="shared" si="16"/>
        <v>0</v>
      </c>
      <c r="K60" s="140">
        <f t="shared" si="17"/>
        <v>0</v>
      </c>
      <c r="L60" s="171">
        <f t="shared" si="18"/>
        <v>0</v>
      </c>
      <c r="M60" s="172" t="e">
        <f t="shared" si="19"/>
        <v>#DIV/0!</v>
      </c>
    </row>
    <row r="61" spans="1:13" ht="17.100000000000001" customHeight="1">
      <c r="A61" s="163" t="s">
        <v>23</v>
      </c>
      <c r="B61" s="164" t="s">
        <v>891</v>
      </c>
      <c r="C61" s="165"/>
      <c r="D61" s="165"/>
      <c r="E61" s="165"/>
      <c r="F61" s="165"/>
      <c r="G61" s="165"/>
      <c r="H61" s="165"/>
      <c r="I61" s="165"/>
      <c r="J61" s="165"/>
      <c r="K61" s="165"/>
      <c r="L61" s="165"/>
      <c r="M61" s="166"/>
    </row>
    <row r="62" spans="1:13" ht="17.100000000000001" customHeight="1">
      <c r="A62" s="186" t="s">
        <v>55</v>
      </c>
      <c r="B62" s="173" t="s">
        <v>599</v>
      </c>
      <c r="C62" s="174" t="s">
        <v>164</v>
      </c>
      <c r="D62" s="135">
        <v>100</v>
      </c>
      <c r="E62" s="169">
        <f t="shared" ref="E62:E70" si="20">F62+G62+H62</f>
        <v>0</v>
      </c>
      <c r="F62" s="137">
        <f>VI.A!$F$1663</f>
        <v>0</v>
      </c>
      <c r="G62" s="138">
        <f>VI.A!$F$1677</f>
        <v>0</v>
      </c>
      <c r="H62" s="170">
        <f>VI.A!$F$1689</f>
        <v>0</v>
      </c>
      <c r="I62" s="137">
        <f t="shared" ref="I62:I68" si="21">ROUND(D62*F62,2)</f>
        <v>0</v>
      </c>
      <c r="J62" s="138">
        <f t="shared" ref="J62:J68" si="22">ROUND(D62*G62,2)</f>
        <v>0</v>
      </c>
      <c r="K62" s="140">
        <f t="shared" ref="K62:K68" si="23">ROUND(D62*H62,2)</f>
        <v>0</v>
      </c>
      <c r="L62" s="171">
        <f t="shared" ref="L62:L70" si="24">ROUND(D62*F62,2)+ROUND(D62*G62,2)+ROUND(D62*H62,2)</f>
        <v>0</v>
      </c>
      <c r="M62" s="172" t="e">
        <f t="shared" ref="M62:M70" si="25">ROUND(L62/$L$174,6)</f>
        <v>#DIV/0!</v>
      </c>
    </row>
    <row r="63" spans="1:13" ht="17.100000000000001" customHeight="1">
      <c r="A63" s="186" t="s">
        <v>56</v>
      </c>
      <c r="B63" s="173" t="s">
        <v>600</v>
      </c>
      <c r="C63" s="168" t="s">
        <v>165</v>
      </c>
      <c r="D63" s="135">
        <v>25</v>
      </c>
      <c r="E63" s="169">
        <f t="shared" si="20"/>
        <v>0</v>
      </c>
      <c r="F63" s="137">
        <f>VI.A!$F$1711</f>
        <v>0</v>
      </c>
      <c r="G63" s="138">
        <f>VI.A!$F$1725</f>
        <v>0</v>
      </c>
      <c r="H63" s="170">
        <f>VI.A!$F$1737</f>
        <v>0</v>
      </c>
      <c r="I63" s="137">
        <f t="shared" si="21"/>
        <v>0</v>
      </c>
      <c r="J63" s="138">
        <f t="shared" si="22"/>
        <v>0</v>
      </c>
      <c r="K63" s="140">
        <f t="shared" si="23"/>
        <v>0</v>
      </c>
      <c r="L63" s="171">
        <f t="shared" si="24"/>
        <v>0</v>
      </c>
      <c r="M63" s="172" t="e">
        <f t="shared" si="25"/>
        <v>#DIV/0!</v>
      </c>
    </row>
    <row r="64" spans="1:13" ht="17.100000000000001" customHeight="1">
      <c r="A64" s="186" t="s">
        <v>68</v>
      </c>
      <c r="B64" s="173" t="s">
        <v>601</v>
      </c>
      <c r="C64" s="168" t="s">
        <v>165</v>
      </c>
      <c r="D64" s="135">
        <v>25</v>
      </c>
      <c r="E64" s="169">
        <f t="shared" si="20"/>
        <v>0</v>
      </c>
      <c r="F64" s="137">
        <f>VI.A!$F$1759</f>
        <v>0</v>
      </c>
      <c r="G64" s="138">
        <f>VI.A!$F$1773</f>
        <v>0</v>
      </c>
      <c r="H64" s="170">
        <f>VI.A!$F$1785</f>
        <v>0</v>
      </c>
      <c r="I64" s="137">
        <f t="shared" si="21"/>
        <v>0</v>
      </c>
      <c r="J64" s="138">
        <f t="shared" si="22"/>
        <v>0</v>
      </c>
      <c r="K64" s="140">
        <f t="shared" si="23"/>
        <v>0</v>
      </c>
      <c r="L64" s="171">
        <f t="shared" si="24"/>
        <v>0</v>
      </c>
      <c r="M64" s="172" t="e">
        <f t="shared" si="25"/>
        <v>#DIV/0!</v>
      </c>
    </row>
    <row r="65" spans="1:13" ht="17.100000000000001" customHeight="1">
      <c r="A65" s="186" t="s">
        <v>57</v>
      </c>
      <c r="B65" s="173" t="s">
        <v>602</v>
      </c>
      <c r="C65" s="168" t="s">
        <v>165</v>
      </c>
      <c r="D65" s="135">
        <v>50</v>
      </c>
      <c r="E65" s="169">
        <f t="shared" si="20"/>
        <v>0</v>
      </c>
      <c r="F65" s="137">
        <f>VI.A!$F$1807</f>
        <v>0</v>
      </c>
      <c r="G65" s="138">
        <f>VI.A!$F$1821</f>
        <v>0</v>
      </c>
      <c r="H65" s="170">
        <f>VI.A!$F$1833</f>
        <v>0</v>
      </c>
      <c r="I65" s="137">
        <f t="shared" si="21"/>
        <v>0</v>
      </c>
      <c r="J65" s="138">
        <f t="shared" si="22"/>
        <v>0</v>
      </c>
      <c r="K65" s="140">
        <f t="shared" si="23"/>
        <v>0</v>
      </c>
      <c r="L65" s="171">
        <f t="shared" si="24"/>
        <v>0</v>
      </c>
      <c r="M65" s="172" t="e">
        <f t="shared" si="25"/>
        <v>#DIV/0!</v>
      </c>
    </row>
    <row r="66" spans="1:13" ht="17.100000000000001" customHeight="1">
      <c r="A66" s="186" t="s">
        <v>118</v>
      </c>
      <c r="B66" s="173" t="s">
        <v>760</v>
      </c>
      <c r="C66" s="168" t="s">
        <v>165</v>
      </c>
      <c r="D66" s="135">
        <v>50</v>
      </c>
      <c r="E66" s="169">
        <f t="shared" si="20"/>
        <v>0</v>
      </c>
      <c r="F66" s="137">
        <f>VI.A!F1855</f>
        <v>0</v>
      </c>
      <c r="G66" s="138">
        <f>VI.A!F1869</f>
        <v>0</v>
      </c>
      <c r="H66" s="170">
        <f>VI.A!F1881</f>
        <v>0</v>
      </c>
      <c r="I66" s="137">
        <f t="shared" si="21"/>
        <v>0</v>
      </c>
      <c r="J66" s="138">
        <f t="shared" si="22"/>
        <v>0</v>
      </c>
      <c r="K66" s="140">
        <f t="shared" si="23"/>
        <v>0</v>
      </c>
      <c r="L66" s="171">
        <f t="shared" si="24"/>
        <v>0</v>
      </c>
      <c r="M66" s="172" t="e">
        <f t="shared" si="25"/>
        <v>#DIV/0!</v>
      </c>
    </row>
    <row r="67" spans="1:13" ht="17.100000000000001" customHeight="1">
      <c r="A67" s="186" t="s">
        <v>119</v>
      </c>
      <c r="B67" s="173" t="s">
        <v>763</v>
      </c>
      <c r="C67" s="168" t="s">
        <v>165</v>
      </c>
      <c r="D67" s="135">
        <v>50</v>
      </c>
      <c r="E67" s="169">
        <f t="shared" si="20"/>
        <v>0</v>
      </c>
      <c r="F67" s="137">
        <f>VI.A!F1903</f>
        <v>0</v>
      </c>
      <c r="G67" s="138">
        <f>VI.A!F1917</f>
        <v>0</v>
      </c>
      <c r="H67" s="170">
        <f>VI.A!F1929</f>
        <v>0</v>
      </c>
      <c r="I67" s="137">
        <f t="shared" si="21"/>
        <v>0</v>
      </c>
      <c r="J67" s="138">
        <f t="shared" si="22"/>
        <v>0</v>
      </c>
      <c r="K67" s="140">
        <f t="shared" si="23"/>
        <v>0</v>
      </c>
      <c r="L67" s="171">
        <f t="shared" si="24"/>
        <v>0</v>
      </c>
      <c r="M67" s="172" t="e">
        <f t="shared" si="25"/>
        <v>#DIV/0!</v>
      </c>
    </row>
    <row r="68" spans="1:13" ht="17.100000000000001" customHeight="1">
      <c r="A68" s="186" t="s">
        <v>72</v>
      </c>
      <c r="B68" s="173" t="s">
        <v>603</v>
      </c>
      <c r="C68" s="168" t="s">
        <v>165</v>
      </c>
      <c r="D68" s="135">
        <v>7</v>
      </c>
      <c r="E68" s="169">
        <f t="shared" si="20"/>
        <v>0</v>
      </c>
      <c r="F68" s="137">
        <f>VI.A!$F$1951</f>
        <v>0</v>
      </c>
      <c r="G68" s="138">
        <f>VI.A!$F$1965</f>
        <v>0</v>
      </c>
      <c r="H68" s="170">
        <f>VI.A!$F$1977</f>
        <v>0</v>
      </c>
      <c r="I68" s="137">
        <f t="shared" si="21"/>
        <v>0</v>
      </c>
      <c r="J68" s="138">
        <f t="shared" si="22"/>
        <v>0</v>
      </c>
      <c r="K68" s="140">
        <f t="shared" si="23"/>
        <v>0</v>
      </c>
      <c r="L68" s="171">
        <f t="shared" si="24"/>
        <v>0</v>
      </c>
      <c r="M68" s="172" t="e">
        <f t="shared" si="25"/>
        <v>#DIV/0!</v>
      </c>
    </row>
    <row r="69" spans="1:13" ht="31.5">
      <c r="A69" s="186" t="s">
        <v>915</v>
      </c>
      <c r="B69" s="188" t="s">
        <v>917</v>
      </c>
      <c r="C69" s="168" t="s">
        <v>164</v>
      </c>
      <c r="D69" s="135">
        <v>3000</v>
      </c>
      <c r="E69" s="169">
        <f t="shared" si="20"/>
        <v>0</v>
      </c>
      <c r="F69" s="137">
        <f>VI.A!$F$1999</f>
        <v>0</v>
      </c>
      <c r="G69" s="138">
        <f>VI.A!$F$2013</f>
        <v>0</v>
      </c>
      <c r="H69" s="170">
        <f>VI.A!$F$2025</f>
        <v>0</v>
      </c>
      <c r="I69" s="137">
        <f t="shared" ref="I69:I70" si="26">ROUND(D69*F69,2)</f>
        <v>0</v>
      </c>
      <c r="J69" s="138">
        <f t="shared" ref="J69:J70" si="27">ROUND(D69*G69,2)</f>
        <v>0</v>
      </c>
      <c r="K69" s="140">
        <f t="shared" ref="K69:K70" si="28">ROUND(D69*H69,2)</f>
        <v>0</v>
      </c>
      <c r="L69" s="171">
        <f t="shared" si="24"/>
        <v>0</v>
      </c>
      <c r="M69" s="172" t="e">
        <f t="shared" si="25"/>
        <v>#DIV/0!</v>
      </c>
    </row>
    <row r="70" spans="1:13" ht="31.5">
      <c r="A70" s="186" t="s">
        <v>916</v>
      </c>
      <c r="B70" s="188" t="s">
        <v>918</v>
      </c>
      <c r="C70" s="168" t="s">
        <v>166</v>
      </c>
      <c r="D70" s="135">
        <v>20</v>
      </c>
      <c r="E70" s="169">
        <f t="shared" si="20"/>
        <v>0</v>
      </c>
      <c r="F70" s="137">
        <f>VI.A!$F$2052</f>
        <v>0</v>
      </c>
      <c r="G70" s="138">
        <f>VI.A!$F$2062</f>
        <v>0</v>
      </c>
      <c r="H70" s="170">
        <f>VI.A!$F$2073</f>
        <v>0</v>
      </c>
      <c r="I70" s="137">
        <f t="shared" si="26"/>
        <v>0</v>
      </c>
      <c r="J70" s="138">
        <f t="shared" si="27"/>
        <v>0</v>
      </c>
      <c r="K70" s="140">
        <f t="shared" si="28"/>
        <v>0</v>
      </c>
      <c r="L70" s="171">
        <f t="shared" si="24"/>
        <v>0</v>
      </c>
      <c r="M70" s="172" t="e">
        <f t="shared" si="25"/>
        <v>#DIV/0!</v>
      </c>
    </row>
    <row r="71" spans="1:13" ht="17.100000000000001" customHeight="1">
      <c r="A71" s="163" t="s">
        <v>73</v>
      </c>
      <c r="B71" s="164" t="s">
        <v>892</v>
      </c>
      <c r="C71" s="165"/>
      <c r="D71" s="165"/>
      <c r="E71" s="165"/>
      <c r="F71" s="165"/>
      <c r="G71" s="165"/>
      <c r="H71" s="165"/>
      <c r="I71" s="165"/>
      <c r="J71" s="165"/>
      <c r="K71" s="165"/>
      <c r="L71" s="165"/>
      <c r="M71" s="166"/>
    </row>
    <row r="72" spans="1:13" ht="17.100000000000001" customHeight="1">
      <c r="A72" s="186" t="s">
        <v>74</v>
      </c>
      <c r="B72" s="173" t="s">
        <v>605</v>
      </c>
      <c r="C72" s="168" t="s">
        <v>223</v>
      </c>
      <c r="D72" s="135">
        <v>50</v>
      </c>
      <c r="E72" s="169">
        <f t="shared" ref="E72:E78" si="29">F72+G72+H72</f>
        <v>0</v>
      </c>
      <c r="F72" s="137">
        <f>VI.A!$F$2095</f>
        <v>0</v>
      </c>
      <c r="G72" s="138">
        <f>VI.A!$F$2109</f>
        <v>0</v>
      </c>
      <c r="H72" s="170">
        <f>VI.A!$F$2121</f>
        <v>0</v>
      </c>
      <c r="I72" s="137">
        <f t="shared" ref="I72:I78" si="30">ROUND(D72*F72,2)</f>
        <v>0</v>
      </c>
      <c r="J72" s="138">
        <f t="shared" ref="J72:J78" si="31">ROUND(D72*G72,2)</f>
        <v>0</v>
      </c>
      <c r="K72" s="140">
        <f t="shared" ref="K72:K78" si="32">ROUND(D72*H72,2)</f>
        <v>0</v>
      </c>
      <c r="L72" s="171">
        <f t="shared" ref="L72:L78" si="33">ROUND(D72*F72,2)+ROUND(D72*G72,2)+ROUND(D72*H72,2)</f>
        <v>0</v>
      </c>
      <c r="M72" s="172" t="e">
        <f t="shared" ref="M72:M78" si="34">ROUND(L72/$L$174,6)</f>
        <v>#DIV/0!</v>
      </c>
    </row>
    <row r="73" spans="1:13" ht="17.100000000000001" customHeight="1">
      <c r="A73" s="186" t="s">
        <v>75</v>
      </c>
      <c r="B73" s="173" t="s">
        <v>606</v>
      </c>
      <c r="C73" s="174" t="s">
        <v>223</v>
      </c>
      <c r="D73" s="135">
        <v>150</v>
      </c>
      <c r="E73" s="169">
        <f t="shared" si="29"/>
        <v>0</v>
      </c>
      <c r="F73" s="137">
        <f>VI.A!$F$2143</f>
        <v>0</v>
      </c>
      <c r="G73" s="138">
        <f>VI.A!$F$2157</f>
        <v>0</v>
      </c>
      <c r="H73" s="170">
        <f>VI.A!$F$2169</f>
        <v>0</v>
      </c>
      <c r="I73" s="137">
        <f t="shared" si="30"/>
        <v>0</v>
      </c>
      <c r="J73" s="138">
        <f t="shared" si="31"/>
        <v>0</v>
      </c>
      <c r="K73" s="140">
        <f t="shared" si="32"/>
        <v>0</v>
      </c>
      <c r="L73" s="171">
        <f t="shared" si="33"/>
        <v>0</v>
      </c>
      <c r="M73" s="172" t="e">
        <f t="shared" si="34"/>
        <v>#DIV/0!</v>
      </c>
    </row>
    <row r="74" spans="1:13" ht="17.100000000000001" customHeight="1">
      <c r="A74" s="186" t="s">
        <v>76</v>
      </c>
      <c r="B74" s="173" t="s">
        <v>607</v>
      </c>
      <c r="C74" s="174" t="s">
        <v>223</v>
      </c>
      <c r="D74" s="135">
        <v>150</v>
      </c>
      <c r="E74" s="169">
        <f t="shared" si="29"/>
        <v>0</v>
      </c>
      <c r="F74" s="137">
        <f>VI.A!$F$2191</f>
        <v>0</v>
      </c>
      <c r="G74" s="138">
        <f>VI.A!$F$2205</f>
        <v>0</v>
      </c>
      <c r="H74" s="170">
        <f>VI.A!$F$2217</f>
        <v>0</v>
      </c>
      <c r="I74" s="137">
        <f t="shared" si="30"/>
        <v>0</v>
      </c>
      <c r="J74" s="138">
        <f t="shared" si="31"/>
        <v>0</v>
      </c>
      <c r="K74" s="140">
        <f t="shared" si="32"/>
        <v>0</v>
      </c>
      <c r="L74" s="171">
        <f t="shared" si="33"/>
        <v>0</v>
      </c>
      <c r="M74" s="172" t="e">
        <f t="shared" si="34"/>
        <v>#DIV/0!</v>
      </c>
    </row>
    <row r="75" spans="1:13" ht="17.100000000000001" customHeight="1">
      <c r="A75" s="186" t="s">
        <v>77</v>
      </c>
      <c r="B75" s="173" t="s">
        <v>608</v>
      </c>
      <c r="C75" s="174" t="s">
        <v>223</v>
      </c>
      <c r="D75" s="135">
        <v>20</v>
      </c>
      <c r="E75" s="169">
        <f t="shared" si="29"/>
        <v>0</v>
      </c>
      <c r="F75" s="137">
        <f>VI.A!F2239</f>
        <v>0</v>
      </c>
      <c r="G75" s="138">
        <f>VI.A!F2253</f>
        <v>0</v>
      </c>
      <c r="H75" s="170">
        <f>VI.A!F2265</f>
        <v>0</v>
      </c>
      <c r="I75" s="137">
        <f t="shared" si="30"/>
        <v>0</v>
      </c>
      <c r="J75" s="138">
        <f t="shared" si="31"/>
        <v>0</v>
      </c>
      <c r="K75" s="140">
        <f t="shared" si="32"/>
        <v>0</v>
      </c>
      <c r="L75" s="171">
        <f t="shared" si="33"/>
        <v>0</v>
      </c>
      <c r="M75" s="172" t="e">
        <f t="shared" si="34"/>
        <v>#DIV/0!</v>
      </c>
    </row>
    <row r="76" spans="1:13" ht="17.100000000000001" customHeight="1">
      <c r="A76" s="186" t="s">
        <v>127</v>
      </c>
      <c r="B76" s="173" t="s">
        <v>609</v>
      </c>
      <c r="C76" s="174" t="s">
        <v>223</v>
      </c>
      <c r="D76" s="135">
        <v>10</v>
      </c>
      <c r="E76" s="169">
        <f t="shared" si="29"/>
        <v>0</v>
      </c>
      <c r="F76" s="137">
        <f>VI.A!F2287</f>
        <v>0</v>
      </c>
      <c r="G76" s="138">
        <f>VI.A!F2301</f>
        <v>0</v>
      </c>
      <c r="H76" s="170">
        <f>VI.A!F2313</f>
        <v>0</v>
      </c>
      <c r="I76" s="137">
        <f t="shared" si="30"/>
        <v>0</v>
      </c>
      <c r="J76" s="138">
        <f t="shared" si="31"/>
        <v>0</v>
      </c>
      <c r="K76" s="140">
        <f t="shared" si="32"/>
        <v>0</v>
      </c>
      <c r="L76" s="171">
        <f t="shared" si="33"/>
        <v>0</v>
      </c>
      <c r="M76" s="172" t="e">
        <f t="shared" si="34"/>
        <v>#DIV/0!</v>
      </c>
    </row>
    <row r="77" spans="1:13" ht="17.100000000000001" customHeight="1">
      <c r="A77" s="186" t="s">
        <v>468</v>
      </c>
      <c r="B77" s="173" t="s">
        <v>795</v>
      </c>
      <c r="C77" s="168" t="s">
        <v>223</v>
      </c>
      <c r="D77" s="135">
        <v>1200</v>
      </c>
      <c r="E77" s="169">
        <f t="shared" si="29"/>
        <v>0</v>
      </c>
      <c r="F77" s="137">
        <f>VI.A!$F$2335</f>
        <v>0</v>
      </c>
      <c r="G77" s="138">
        <f>VI.A!$F$2349</f>
        <v>0</v>
      </c>
      <c r="H77" s="170">
        <f>VI.A!$F$2361</f>
        <v>0</v>
      </c>
      <c r="I77" s="137">
        <f t="shared" si="30"/>
        <v>0</v>
      </c>
      <c r="J77" s="138">
        <f t="shared" si="31"/>
        <v>0</v>
      </c>
      <c r="K77" s="140">
        <f t="shared" si="32"/>
        <v>0</v>
      </c>
      <c r="L77" s="171">
        <f t="shared" si="33"/>
        <v>0</v>
      </c>
      <c r="M77" s="172" t="e">
        <f t="shared" si="34"/>
        <v>#DIV/0!</v>
      </c>
    </row>
    <row r="78" spans="1:13" ht="17.100000000000001" customHeight="1">
      <c r="A78" s="186" t="s">
        <v>788</v>
      </c>
      <c r="B78" s="173" t="s">
        <v>796</v>
      </c>
      <c r="C78" s="168" t="s">
        <v>223</v>
      </c>
      <c r="D78" s="135">
        <v>46</v>
      </c>
      <c r="E78" s="169">
        <f t="shared" si="29"/>
        <v>0</v>
      </c>
      <c r="F78" s="137">
        <f>VI.A!$F$2383</f>
        <v>0</v>
      </c>
      <c r="G78" s="138">
        <f>VI.A!$F$2397</f>
        <v>0</v>
      </c>
      <c r="H78" s="170">
        <f>VI.A!$F$2409</f>
        <v>0</v>
      </c>
      <c r="I78" s="137">
        <f t="shared" si="30"/>
        <v>0</v>
      </c>
      <c r="J78" s="138">
        <f t="shared" si="31"/>
        <v>0</v>
      </c>
      <c r="K78" s="140">
        <f t="shared" si="32"/>
        <v>0</v>
      </c>
      <c r="L78" s="171">
        <f t="shared" si="33"/>
        <v>0</v>
      </c>
      <c r="M78" s="172" t="e">
        <f t="shared" si="34"/>
        <v>#DIV/0!</v>
      </c>
    </row>
    <row r="79" spans="1:13" ht="18.95" customHeight="1">
      <c r="A79" s="163" t="s">
        <v>24</v>
      </c>
      <c r="B79" s="164" t="s">
        <v>893</v>
      </c>
      <c r="C79" s="165"/>
      <c r="D79" s="165"/>
      <c r="E79" s="165"/>
      <c r="F79" s="165"/>
      <c r="G79" s="165"/>
      <c r="H79" s="165"/>
      <c r="I79" s="165"/>
      <c r="J79" s="165"/>
      <c r="K79" s="165"/>
      <c r="L79" s="165"/>
      <c r="M79" s="166"/>
    </row>
    <row r="80" spans="1:13" ht="18.95" customHeight="1">
      <c r="A80" s="186" t="s">
        <v>120</v>
      </c>
      <c r="B80" s="173" t="s">
        <v>610</v>
      </c>
      <c r="C80" s="168" t="s">
        <v>223</v>
      </c>
      <c r="D80" s="135">
        <v>100</v>
      </c>
      <c r="E80" s="169">
        <f t="shared" ref="E80:E84" si="35">F80+G80+H80</f>
        <v>0</v>
      </c>
      <c r="F80" s="137">
        <f>VI.A!$F$2431</f>
        <v>0</v>
      </c>
      <c r="G80" s="138">
        <f>VI.A!$F$2445</f>
        <v>0</v>
      </c>
      <c r="H80" s="170">
        <f>VI.A!$F$2457</f>
        <v>0</v>
      </c>
      <c r="I80" s="137">
        <f t="shared" ref="I80:I84" si="36">ROUND(D80*F80,2)</f>
        <v>0</v>
      </c>
      <c r="J80" s="138">
        <f t="shared" ref="J80:J84" si="37">ROUND(D80*G80,2)</f>
        <v>0</v>
      </c>
      <c r="K80" s="140">
        <f t="shared" ref="K80:K84" si="38">ROUND(D80*H80,2)</f>
        <v>0</v>
      </c>
      <c r="L80" s="171">
        <f t="shared" ref="L80:L84" si="39">ROUND(D80*F80,2)+ROUND(D80*G80,2)+ROUND(D80*H80,2)</f>
        <v>0</v>
      </c>
      <c r="M80" s="172" t="e">
        <f>ROUND(L80/$L$174,6)</f>
        <v>#DIV/0!</v>
      </c>
    </row>
    <row r="81" spans="1:13" ht="18.95" customHeight="1">
      <c r="A81" s="186" t="s">
        <v>58</v>
      </c>
      <c r="B81" s="173" t="s">
        <v>663</v>
      </c>
      <c r="C81" s="168" t="s">
        <v>223</v>
      </c>
      <c r="D81" s="135">
        <v>500</v>
      </c>
      <c r="E81" s="169">
        <f t="shared" si="35"/>
        <v>0</v>
      </c>
      <c r="F81" s="137">
        <f>VI.A!$F$2479</f>
        <v>0</v>
      </c>
      <c r="G81" s="138">
        <f>VI.A!$F$2493</f>
        <v>0</v>
      </c>
      <c r="H81" s="170">
        <f>VI.A!$F$2505</f>
        <v>0</v>
      </c>
      <c r="I81" s="137">
        <f t="shared" si="36"/>
        <v>0</v>
      </c>
      <c r="J81" s="138">
        <f t="shared" si="37"/>
        <v>0</v>
      </c>
      <c r="K81" s="140">
        <f t="shared" si="38"/>
        <v>0</v>
      </c>
      <c r="L81" s="171">
        <f t="shared" si="39"/>
        <v>0</v>
      </c>
      <c r="M81" s="172" t="e">
        <f>ROUND(L81/$L$174,6)</f>
        <v>#DIV/0!</v>
      </c>
    </row>
    <row r="82" spans="1:13" ht="18.95" customHeight="1">
      <c r="A82" s="186" t="s">
        <v>121</v>
      </c>
      <c r="B82" s="173" t="s">
        <v>664</v>
      </c>
      <c r="C82" s="168" t="s">
        <v>223</v>
      </c>
      <c r="D82" s="135">
        <v>2000</v>
      </c>
      <c r="E82" s="169">
        <f t="shared" si="35"/>
        <v>0</v>
      </c>
      <c r="F82" s="137">
        <f>VI.A!F2527</f>
        <v>0</v>
      </c>
      <c r="G82" s="138">
        <f>VI.A!F2541</f>
        <v>0</v>
      </c>
      <c r="H82" s="170">
        <f>VI.A!F2553</f>
        <v>0</v>
      </c>
      <c r="I82" s="137">
        <f t="shared" si="36"/>
        <v>0</v>
      </c>
      <c r="J82" s="138">
        <f t="shared" si="37"/>
        <v>0</v>
      </c>
      <c r="K82" s="140">
        <f t="shared" si="38"/>
        <v>0</v>
      </c>
      <c r="L82" s="171">
        <f t="shared" si="39"/>
        <v>0</v>
      </c>
      <c r="M82" s="172" t="e">
        <f>ROUND(L82/$L$174,6)</f>
        <v>#DIV/0!</v>
      </c>
    </row>
    <row r="83" spans="1:13" ht="18.95" customHeight="1">
      <c r="A83" s="186" t="s">
        <v>125</v>
      </c>
      <c r="B83" s="173" t="s">
        <v>611</v>
      </c>
      <c r="C83" s="168" t="s">
        <v>223</v>
      </c>
      <c r="D83" s="135">
        <v>20</v>
      </c>
      <c r="E83" s="169">
        <f t="shared" si="35"/>
        <v>0</v>
      </c>
      <c r="F83" s="137">
        <f>VI.A!$F$2575</f>
        <v>0</v>
      </c>
      <c r="G83" s="138">
        <f>VI.A!$F$2589</f>
        <v>0</v>
      </c>
      <c r="H83" s="170">
        <f>VI.A!$F$2601</f>
        <v>0</v>
      </c>
      <c r="I83" s="137">
        <f t="shared" si="36"/>
        <v>0</v>
      </c>
      <c r="J83" s="138">
        <f t="shared" si="37"/>
        <v>0</v>
      </c>
      <c r="K83" s="140">
        <f t="shared" si="38"/>
        <v>0</v>
      </c>
      <c r="L83" s="171">
        <f t="shared" si="39"/>
        <v>0</v>
      </c>
      <c r="M83" s="172" t="e">
        <f>ROUND(L83/$L$174,6)</f>
        <v>#DIV/0!</v>
      </c>
    </row>
    <row r="84" spans="1:13" ht="18.95" customHeight="1">
      <c r="A84" s="186" t="s">
        <v>475</v>
      </c>
      <c r="B84" s="173" t="s">
        <v>830</v>
      </c>
      <c r="C84" s="168" t="s">
        <v>223</v>
      </c>
      <c r="D84" s="135">
        <v>20</v>
      </c>
      <c r="E84" s="169">
        <f t="shared" si="35"/>
        <v>0</v>
      </c>
      <c r="F84" s="137">
        <f>VI.A!$F$2623</f>
        <v>0</v>
      </c>
      <c r="G84" s="138">
        <f>VI.A!$F$2637</f>
        <v>0</v>
      </c>
      <c r="H84" s="170">
        <f>VI.A!$F$2649</f>
        <v>0</v>
      </c>
      <c r="I84" s="137">
        <f t="shared" si="36"/>
        <v>0</v>
      </c>
      <c r="J84" s="138">
        <f t="shared" si="37"/>
        <v>0</v>
      </c>
      <c r="K84" s="140">
        <f t="shared" si="38"/>
        <v>0</v>
      </c>
      <c r="L84" s="171">
        <f t="shared" si="39"/>
        <v>0</v>
      </c>
      <c r="M84" s="172" t="e">
        <f>ROUND(L84/$L$174,6)</f>
        <v>#DIV/0!</v>
      </c>
    </row>
    <row r="85" spans="1:13" ht="18.95" customHeight="1">
      <c r="A85" s="163" t="s">
        <v>19</v>
      </c>
      <c r="B85" s="164" t="s">
        <v>894</v>
      </c>
      <c r="C85" s="165"/>
      <c r="D85" s="165"/>
      <c r="E85" s="165"/>
      <c r="F85" s="165"/>
      <c r="G85" s="165"/>
      <c r="H85" s="165"/>
      <c r="I85" s="165"/>
      <c r="J85" s="165"/>
      <c r="K85" s="165"/>
      <c r="L85" s="165"/>
      <c r="M85" s="166"/>
    </row>
    <row r="86" spans="1:13" ht="18.95" customHeight="1">
      <c r="A86" s="186" t="s">
        <v>78</v>
      </c>
      <c r="B86" s="173" t="s">
        <v>612</v>
      </c>
      <c r="C86" s="168" t="s">
        <v>165</v>
      </c>
      <c r="D86" s="135">
        <v>217</v>
      </c>
      <c r="E86" s="169">
        <f>F86+G86+H86</f>
        <v>0</v>
      </c>
      <c r="F86" s="137">
        <f>VI.A!$F$2671</f>
        <v>0</v>
      </c>
      <c r="G86" s="138">
        <f>VI.A!$F$2685</f>
        <v>0</v>
      </c>
      <c r="H86" s="170">
        <f>VI.A!$F$2697</f>
        <v>0</v>
      </c>
      <c r="I86" s="137">
        <f>ROUND(D86*F86,2)</f>
        <v>0</v>
      </c>
      <c r="J86" s="138">
        <f>ROUND(D86*G86,2)</f>
        <v>0</v>
      </c>
      <c r="K86" s="140">
        <f>ROUND(D86*H86,2)</f>
        <v>0</v>
      </c>
      <c r="L86" s="171">
        <f>ROUND(D86*F86,2)+ROUND(D86*G86,2)+ROUND(D86*H86,2)</f>
        <v>0</v>
      </c>
      <c r="M86" s="172" t="e">
        <f>ROUND(L86/$L$174,6)</f>
        <v>#DIV/0!</v>
      </c>
    </row>
    <row r="87" spans="1:13" ht="18.95" customHeight="1">
      <c r="A87" s="186" t="s">
        <v>79</v>
      </c>
      <c r="B87" s="173" t="s">
        <v>613</v>
      </c>
      <c r="C87" s="168" t="s">
        <v>222</v>
      </c>
      <c r="D87" s="135">
        <v>1000</v>
      </c>
      <c r="E87" s="169">
        <f>F87+G87+H87</f>
        <v>0</v>
      </c>
      <c r="F87" s="137">
        <f>VI.A!$F$2719</f>
        <v>0</v>
      </c>
      <c r="G87" s="138">
        <f>VI.A!$F$2733</f>
        <v>0</v>
      </c>
      <c r="H87" s="170">
        <f>VI.A!$F$2745</f>
        <v>0</v>
      </c>
      <c r="I87" s="137">
        <f>ROUND(D87*F87,2)</f>
        <v>0</v>
      </c>
      <c r="J87" s="138">
        <f>ROUND(D87*G87,2)</f>
        <v>0</v>
      </c>
      <c r="K87" s="140">
        <f>ROUND(D87*H87,2)</f>
        <v>0</v>
      </c>
      <c r="L87" s="171">
        <f>ROUND(D87*F87,2)+ROUND(D87*G87,2)+ROUND(D87*H87,2)</f>
        <v>0</v>
      </c>
      <c r="M87" s="172" t="e">
        <f>ROUND(L87/$L$174,6)</f>
        <v>#DIV/0!</v>
      </c>
    </row>
    <row r="88" spans="1:13" ht="18.95" customHeight="1">
      <c r="A88" s="186" t="s">
        <v>484</v>
      </c>
      <c r="B88" s="173" t="s">
        <v>614</v>
      </c>
      <c r="C88" s="168" t="s">
        <v>222</v>
      </c>
      <c r="D88" s="135">
        <v>5000</v>
      </c>
      <c r="E88" s="169">
        <f>F88+G88+H88</f>
        <v>0</v>
      </c>
      <c r="F88" s="137">
        <f>VI.A!F2767</f>
        <v>0</v>
      </c>
      <c r="G88" s="138">
        <f>VI.A!F2781</f>
        <v>0</v>
      </c>
      <c r="H88" s="170">
        <f>VI.A!F2793</f>
        <v>0</v>
      </c>
      <c r="I88" s="137">
        <f>ROUND(D88*F88,2)</f>
        <v>0</v>
      </c>
      <c r="J88" s="138">
        <f>ROUND(D88*G88,2)</f>
        <v>0</v>
      </c>
      <c r="K88" s="140">
        <f>ROUND(D88*H88,2)</f>
        <v>0</v>
      </c>
      <c r="L88" s="171">
        <f>ROUND(D88*F88,2)+ROUND(D88*G88,2)+ROUND(D88*H88,2)</f>
        <v>0</v>
      </c>
      <c r="M88" s="172" t="e">
        <f>ROUND(L88/$L$174,6)</f>
        <v>#DIV/0!</v>
      </c>
    </row>
    <row r="89" spans="1:13" ht="18.95" customHeight="1">
      <c r="A89" s="163" t="s">
        <v>20</v>
      </c>
      <c r="B89" s="164" t="s">
        <v>895</v>
      </c>
      <c r="C89" s="165"/>
      <c r="D89" s="165"/>
      <c r="E89" s="165"/>
      <c r="F89" s="165"/>
      <c r="G89" s="165"/>
      <c r="H89" s="165"/>
      <c r="I89" s="165"/>
      <c r="J89" s="165"/>
      <c r="K89" s="165"/>
      <c r="L89" s="165"/>
      <c r="M89" s="166"/>
    </row>
    <row r="90" spans="1:13" ht="18.95" customHeight="1">
      <c r="A90" s="186" t="s">
        <v>80</v>
      </c>
      <c r="B90" s="173" t="s">
        <v>615</v>
      </c>
      <c r="C90" s="168" t="s">
        <v>164</v>
      </c>
      <c r="D90" s="135">
        <v>100</v>
      </c>
      <c r="E90" s="169">
        <f>F90+G90+H90</f>
        <v>0</v>
      </c>
      <c r="F90" s="137">
        <f>VI.A!F2815</f>
        <v>0</v>
      </c>
      <c r="G90" s="138">
        <f>VI.A!F2829</f>
        <v>0</v>
      </c>
      <c r="H90" s="170">
        <f>VI.A!F2841</f>
        <v>0</v>
      </c>
      <c r="I90" s="137">
        <f>ROUND(D90*F90,2)</f>
        <v>0</v>
      </c>
      <c r="J90" s="138">
        <f>ROUND(D90*G90,2)</f>
        <v>0</v>
      </c>
      <c r="K90" s="140">
        <f>ROUND(D90*H90,2)</f>
        <v>0</v>
      </c>
      <c r="L90" s="171">
        <f>ROUND(D90*F90,2)+ROUND(D90*G90,2)+ROUND(D90*H90,2)</f>
        <v>0</v>
      </c>
      <c r="M90" s="172" t="e">
        <f>ROUND(L90/$L$174,6)</f>
        <v>#DIV/0!</v>
      </c>
    </row>
    <row r="91" spans="1:13" ht="18.95" customHeight="1">
      <c r="A91" s="163" t="s">
        <v>49</v>
      </c>
      <c r="B91" s="164" t="s">
        <v>896</v>
      </c>
      <c r="C91" s="165"/>
      <c r="D91" s="165"/>
      <c r="E91" s="165"/>
      <c r="F91" s="165"/>
      <c r="G91" s="165"/>
      <c r="H91" s="165"/>
      <c r="I91" s="165"/>
      <c r="J91" s="165"/>
      <c r="K91" s="165"/>
      <c r="L91" s="165"/>
      <c r="M91" s="166"/>
    </row>
    <row r="92" spans="1:13" ht="18.95" customHeight="1">
      <c r="A92" s="186" t="s">
        <v>81</v>
      </c>
      <c r="B92" s="173" t="s">
        <v>616</v>
      </c>
      <c r="C92" s="168" t="s">
        <v>165</v>
      </c>
      <c r="D92" s="135">
        <v>125</v>
      </c>
      <c r="E92" s="169">
        <f>F92+G92+H92</f>
        <v>0</v>
      </c>
      <c r="F92" s="137">
        <f>VI.A!$F$2863</f>
        <v>0</v>
      </c>
      <c r="G92" s="138">
        <f>VI.A!$F$2877</f>
        <v>0</v>
      </c>
      <c r="H92" s="170">
        <f>VI.A!$F$2889</f>
        <v>0</v>
      </c>
      <c r="I92" s="137">
        <f>ROUND(D92*F92,2)</f>
        <v>0</v>
      </c>
      <c r="J92" s="138">
        <f>ROUND(D92*G92,2)</f>
        <v>0</v>
      </c>
      <c r="K92" s="140">
        <f>ROUND(D92*H92,2)</f>
        <v>0</v>
      </c>
      <c r="L92" s="171">
        <f>ROUND(D92*F92,2)+ROUND(D92*G92,2)+ROUND(D92*H92,2)</f>
        <v>0</v>
      </c>
      <c r="M92" s="172" t="e">
        <f>ROUND(L92/$L$174,6)</f>
        <v>#DIV/0!</v>
      </c>
    </row>
    <row r="93" spans="1:13" s="144" customFormat="1" ht="18.95" customHeight="1">
      <c r="A93" s="186" t="s">
        <v>82</v>
      </c>
      <c r="B93" s="173" t="s">
        <v>662</v>
      </c>
      <c r="C93" s="168" t="s">
        <v>165</v>
      </c>
      <c r="D93" s="135">
        <v>125</v>
      </c>
      <c r="E93" s="169">
        <f>F93+G93+H93</f>
        <v>0</v>
      </c>
      <c r="F93" s="137">
        <f>VI.A!$F$2911</f>
        <v>0</v>
      </c>
      <c r="G93" s="138">
        <f>VI.A!$F$2925</f>
        <v>0</v>
      </c>
      <c r="H93" s="170">
        <f>VI.A!$F$2937</f>
        <v>0</v>
      </c>
      <c r="I93" s="137">
        <f>ROUND(D93*F93,2)</f>
        <v>0</v>
      </c>
      <c r="J93" s="138">
        <f>ROUND(D93*G93,2)</f>
        <v>0</v>
      </c>
      <c r="K93" s="140">
        <f>ROUND(D93*H93,2)</f>
        <v>0</v>
      </c>
      <c r="L93" s="171">
        <f>ROUND(D93*F93,2)+ROUND(D93*G93,2)+ROUND(D93*H93,2)</f>
        <v>0</v>
      </c>
      <c r="M93" s="172" t="e">
        <f>ROUND(L93/$L$174,6)</f>
        <v>#DIV/0!</v>
      </c>
    </row>
    <row r="94" spans="1:13" ht="18.95" customHeight="1">
      <c r="A94" s="186" t="s">
        <v>83</v>
      </c>
      <c r="B94" s="173" t="s">
        <v>617</v>
      </c>
      <c r="C94" s="168" t="s">
        <v>165</v>
      </c>
      <c r="D94" s="135">
        <v>300</v>
      </c>
      <c r="E94" s="169">
        <f>F94+G94+H94</f>
        <v>0</v>
      </c>
      <c r="F94" s="137">
        <f>VI.A!$F$2959</f>
        <v>0</v>
      </c>
      <c r="G94" s="138">
        <f>VI.A!$F$2973</f>
        <v>0</v>
      </c>
      <c r="H94" s="170">
        <f>VI.A!$F$2985</f>
        <v>0</v>
      </c>
      <c r="I94" s="137">
        <f>ROUND(D94*F94,2)</f>
        <v>0</v>
      </c>
      <c r="J94" s="138">
        <f>ROUND(D94*G94,2)</f>
        <v>0</v>
      </c>
      <c r="K94" s="140">
        <f>ROUND(D94*H94,2)</f>
        <v>0</v>
      </c>
      <c r="L94" s="171">
        <f>ROUND(D94*F94,2)+ROUND(D94*G94,2)+ROUND(D94*H94,2)</f>
        <v>0</v>
      </c>
      <c r="M94" s="172" t="e">
        <f>ROUND(L94/$L$174,6)</f>
        <v>#DIV/0!</v>
      </c>
    </row>
    <row r="95" spans="1:13" ht="18.95" customHeight="1">
      <c r="A95" s="163" t="s">
        <v>21</v>
      </c>
      <c r="B95" s="164" t="s">
        <v>897</v>
      </c>
      <c r="C95" s="165"/>
      <c r="D95" s="165"/>
      <c r="E95" s="165"/>
      <c r="F95" s="165"/>
      <c r="G95" s="165"/>
      <c r="H95" s="165"/>
      <c r="I95" s="165"/>
      <c r="J95" s="165"/>
      <c r="K95" s="165"/>
      <c r="L95" s="165"/>
      <c r="M95" s="166"/>
    </row>
    <row r="96" spans="1:13" s="191" customFormat="1" ht="18.95" customHeight="1">
      <c r="A96" s="189" t="s">
        <v>84</v>
      </c>
      <c r="B96" s="173" t="s">
        <v>786</v>
      </c>
      <c r="C96" s="190" t="s">
        <v>165</v>
      </c>
      <c r="D96" s="135">
        <v>200</v>
      </c>
      <c r="E96" s="136">
        <f>F96+G96+H96</f>
        <v>0</v>
      </c>
      <c r="F96" s="137">
        <f>VI.A!$F$3007</f>
        <v>0</v>
      </c>
      <c r="G96" s="138">
        <f>VI.A!$F$3021</f>
        <v>0</v>
      </c>
      <c r="H96" s="170">
        <f>VI.A!$F$3033</f>
        <v>0</v>
      </c>
      <c r="I96" s="137">
        <f>ROUND(D96*F96,2)</f>
        <v>0</v>
      </c>
      <c r="J96" s="138">
        <f>ROUND(D96*G96,2)</f>
        <v>0</v>
      </c>
      <c r="K96" s="140">
        <f>ROUND(D96*H96,2)</f>
        <v>0</v>
      </c>
      <c r="L96" s="171">
        <f>ROUND(D96*F96,2)+ROUND(D96*G96,2)+ROUND(D96*H96,2)</f>
        <v>0</v>
      </c>
      <c r="M96" s="142" t="e">
        <f>ROUND(L96/$L$174,6)</f>
        <v>#DIV/0!</v>
      </c>
    </row>
    <row r="97" spans="1:15" s="191" customFormat="1" ht="18.95" customHeight="1">
      <c r="A97" s="189" t="s">
        <v>85</v>
      </c>
      <c r="B97" s="173" t="s">
        <v>618</v>
      </c>
      <c r="C97" s="190" t="s">
        <v>165</v>
      </c>
      <c r="D97" s="192">
        <v>100</v>
      </c>
      <c r="E97" s="136">
        <f>F97+G97+H97</f>
        <v>0</v>
      </c>
      <c r="F97" s="137">
        <f>VI.A!$F$3055</f>
        <v>0</v>
      </c>
      <c r="G97" s="138">
        <f>VI.A!$F$3069</f>
        <v>0</v>
      </c>
      <c r="H97" s="170">
        <f>VI.A!$F$3081</f>
        <v>0</v>
      </c>
      <c r="I97" s="137">
        <f>ROUND(D97*F97,2)</f>
        <v>0</v>
      </c>
      <c r="J97" s="138">
        <f>ROUND(D97*G97,2)</f>
        <v>0</v>
      </c>
      <c r="K97" s="140">
        <f>ROUND(D97*H97,2)</f>
        <v>0</v>
      </c>
      <c r="L97" s="171">
        <f>ROUND(D97*F97,2)+ROUND(D97*G97,2)+ROUND(D97*H97,2)</f>
        <v>0</v>
      </c>
      <c r="M97" s="142" t="e">
        <f>ROUND(L97/$L$174,6)</f>
        <v>#DIV/0!</v>
      </c>
    </row>
    <row r="98" spans="1:15" s="191" customFormat="1" ht="18.95" customHeight="1">
      <c r="A98" s="189" t="s">
        <v>86</v>
      </c>
      <c r="B98" s="173" t="s">
        <v>619</v>
      </c>
      <c r="C98" s="190" t="s">
        <v>165</v>
      </c>
      <c r="D98" s="192">
        <v>250</v>
      </c>
      <c r="E98" s="136">
        <f>F98+G98+H98</f>
        <v>0</v>
      </c>
      <c r="F98" s="137">
        <f>VI.A!$F$3103</f>
        <v>0</v>
      </c>
      <c r="G98" s="138">
        <f>VI.A!$F$3117</f>
        <v>0</v>
      </c>
      <c r="H98" s="170">
        <f>VI.A!$F$3129</f>
        <v>0</v>
      </c>
      <c r="I98" s="137">
        <f>ROUND(D98*F98,2)</f>
        <v>0</v>
      </c>
      <c r="J98" s="138">
        <f>ROUND(D98*G98,2)</f>
        <v>0</v>
      </c>
      <c r="K98" s="140">
        <f>ROUND(D98*H98,2)</f>
        <v>0</v>
      </c>
      <c r="L98" s="171">
        <f>ROUND(D98*F98,2)+ROUND(D98*G98,2)+ROUND(D98*H98,2)</f>
        <v>0</v>
      </c>
      <c r="M98" s="142" t="e">
        <f>ROUND(L98/$L$174,6)</f>
        <v>#DIV/0!</v>
      </c>
    </row>
    <row r="99" spans="1:15" s="191" customFormat="1" ht="18.95" customHeight="1">
      <c r="A99" s="189" t="s">
        <v>117</v>
      </c>
      <c r="B99" s="173" t="s">
        <v>620</v>
      </c>
      <c r="C99" s="190" t="s">
        <v>165</v>
      </c>
      <c r="D99" s="192">
        <v>45</v>
      </c>
      <c r="E99" s="136">
        <f>F99+G99+H99</f>
        <v>0</v>
      </c>
      <c r="F99" s="137">
        <f>VI.A!$F$3151</f>
        <v>0</v>
      </c>
      <c r="G99" s="138">
        <f>VI.A!$F$3165</f>
        <v>0</v>
      </c>
      <c r="H99" s="170">
        <f>VI.A!$F$3177</f>
        <v>0</v>
      </c>
      <c r="I99" s="137">
        <f>ROUND(D99*F99,2)</f>
        <v>0</v>
      </c>
      <c r="J99" s="138">
        <f>ROUND(D99*G99,2)</f>
        <v>0</v>
      </c>
      <c r="K99" s="140">
        <f>ROUND(D99*H99,2)</f>
        <v>0</v>
      </c>
      <c r="L99" s="171">
        <f>ROUND(D99*F99,2)+ROUND(D99*G99,2)+ROUND(D99*H99,2)</f>
        <v>0</v>
      </c>
      <c r="M99" s="142" t="e">
        <f>ROUND(L99/$L$174,6)</f>
        <v>#DIV/0!</v>
      </c>
    </row>
    <row r="100" spans="1:15" ht="18.95" customHeight="1">
      <c r="A100" s="163" t="s">
        <v>87</v>
      </c>
      <c r="B100" s="164" t="s">
        <v>898</v>
      </c>
      <c r="C100" s="165"/>
      <c r="D100" s="165"/>
      <c r="E100" s="165"/>
      <c r="F100" s="165"/>
      <c r="G100" s="165"/>
      <c r="H100" s="165"/>
      <c r="I100" s="165"/>
      <c r="J100" s="165"/>
      <c r="K100" s="165"/>
      <c r="L100" s="165"/>
      <c r="M100" s="166"/>
    </row>
    <row r="101" spans="1:15" ht="31.5">
      <c r="A101" s="186" t="s">
        <v>88</v>
      </c>
      <c r="B101" s="173" t="s">
        <v>638</v>
      </c>
      <c r="C101" s="168" t="s">
        <v>165</v>
      </c>
      <c r="D101" s="135">
        <v>200</v>
      </c>
      <c r="E101" s="169">
        <f t="shared" ref="E101:E106" si="40">F101+G101+H101</f>
        <v>0</v>
      </c>
      <c r="F101" s="137">
        <f>VI.A!$F$3199</f>
        <v>0</v>
      </c>
      <c r="G101" s="138">
        <f>VI.A!$F$3213</f>
        <v>0</v>
      </c>
      <c r="H101" s="170">
        <f>VI.A!$F$3225</f>
        <v>0</v>
      </c>
      <c r="I101" s="137">
        <f t="shared" ref="I101:I106" si="41">ROUND(D101*F101,2)</f>
        <v>0</v>
      </c>
      <c r="J101" s="138">
        <f t="shared" ref="J101:J106" si="42">ROUND(D101*G101,2)</f>
        <v>0</v>
      </c>
      <c r="K101" s="140">
        <f t="shared" ref="K101:K106" si="43">ROUND(D101*H101,2)</f>
        <v>0</v>
      </c>
      <c r="L101" s="171">
        <f t="shared" ref="L101:L106" si="44">ROUND(D101*F101,2)+ROUND(D101*G101,2)+ROUND(D101*H101,2)</f>
        <v>0</v>
      </c>
      <c r="M101" s="172" t="e">
        <f t="shared" ref="M101:M106" si="45">ROUND(L101/$L$174,6)</f>
        <v>#DIV/0!</v>
      </c>
    </row>
    <row r="102" spans="1:15" ht="35.25" customHeight="1">
      <c r="A102" s="186" t="s">
        <v>89</v>
      </c>
      <c r="B102" s="173" t="s">
        <v>621</v>
      </c>
      <c r="C102" s="168" t="s">
        <v>165</v>
      </c>
      <c r="D102" s="135">
        <v>50</v>
      </c>
      <c r="E102" s="169">
        <f t="shared" si="40"/>
        <v>0</v>
      </c>
      <c r="F102" s="137">
        <f>VI.A!$F$3247</f>
        <v>0</v>
      </c>
      <c r="G102" s="138">
        <f>VI.A!$F$3261</f>
        <v>0</v>
      </c>
      <c r="H102" s="170">
        <f>VI.A!$F$3273</f>
        <v>0</v>
      </c>
      <c r="I102" s="137">
        <f t="shared" si="41"/>
        <v>0</v>
      </c>
      <c r="J102" s="138">
        <f t="shared" si="42"/>
        <v>0</v>
      </c>
      <c r="K102" s="140">
        <f t="shared" si="43"/>
        <v>0</v>
      </c>
      <c r="L102" s="171">
        <f t="shared" si="44"/>
        <v>0</v>
      </c>
      <c r="M102" s="172" t="e">
        <f t="shared" si="45"/>
        <v>#DIV/0!</v>
      </c>
    </row>
    <row r="103" spans="1:15" ht="18.95" customHeight="1">
      <c r="A103" s="186" t="s">
        <v>90</v>
      </c>
      <c r="B103" s="173" t="s">
        <v>622</v>
      </c>
      <c r="C103" s="168" t="s">
        <v>165</v>
      </c>
      <c r="D103" s="135">
        <v>50</v>
      </c>
      <c r="E103" s="169">
        <f t="shared" si="40"/>
        <v>0</v>
      </c>
      <c r="F103" s="137">
        <f>VI.A!$F$3295</f>
        <v>0</v>
      </c>
      <c r="G103" s="138">
        <f>VI.A!$F$3309</f>
        <v>0</v>
      </c>
      <c r="H103" s="170">
        <f>VI.A!$F$3321</f>
        <v>0</v>
      </c>
      <c r="I103" s="137">
        <f t="shared" si="41"/>
        <v>0</v>
      </c>
      <c r="J103" s="138">
        <f t="shared" si="42"/>
        <v>0</v>
      </c>
      <c r="K103" s="140">
        <f t="shared" si="43"/>
        <v>0</v>
      </c>
      <c r="L103" s="171">
        <f t="shared" si="44"/>
        <v>0</v>
      </c>
      <c r="M103" s="172" t="e">
        <f t="shared" si="45"/>
        <v>#DIV/0!</v>
      </c>
    </row>
    <row r="104" spans="1:15" ht="18.95" customHeight="1">
      <c r="A104" s="186" t="s">
        <v>457</v>
      </c>
      <c r="B104" s="173" t="s">
        <v>785</v>
      </c>
      <c r="C104" s="168" t="s">
        <v>165</v>
      </c>
      <c r="D104" s="135">
        <v>20</v>
      </c>
      <c r="E104" s="169">
        <f t="shared" si="40"/>
        <v>0</v>
      </c>
      <c r="F104" s="137">
        <f>VI.A!$F$3343</f>
        <v>0</v>
      </c>
      <c r="G104" s="138">
        <f>VI.A!$F$3357</f>
        <v>0</v>
      </c>
      <c r="H104" s="170">
        <f>VI.A!$F$3369</f>
        <v>0</v>
      </c>
      <c r="I104" s="137">
        <f t="shared" si="41"/>
        <v>0</v>
      </c>
      <c r="J104" s="138">
        <f t="shared" si="42"/>
        <v>0</v>
      </c>
      <c r="K104" s="140">
        <f t="shared" si="43"/>
        <v>0</v>
      </c>
      <c r="L104" s="171">
        <f t="shared" si="44"/>
        <v>0</v>
      </c>
      <c r="M104" s="172" t="e">
        <f t="shared" si="45"/>
        <v>#DIV/0!</v>
      </c>
    </row>
    <row r="105" spans="1:15" ht="18.95" customHeight="1">
      <c r="A105" s="186" t="s">
        <v>458</v>
      </c>
      <c r="B105" s="173" t="s">
        <v>623</v>
      </c>
      <c r="C105" s="168" t="s">
        <v>164</v>
      </c>
      <c r="D105" s="135">
        <v>25</v>
      </c>
      <c r="E105" s="169">
        <f t="shared" si="40"/>
        <v>0</v>
      </c>
      <c r="F105" s="137">
        <f>VI.A!$F$3391</f>
        <v>0</v>
      </c>
      <c r="G105" s="138">
        <f>VI.A!$F$3405</f>
        <v>0</v>
      </c>
      <c r="H105" s="170">
        <f>VI.A!$F$3417</f>
        <v>0</v>
      </c>
      <c r="I105" s="137">
        <f t="shared" si="41"/>
        <v>0</v>
      </c>
      <c r="J105" s="138">
        <f t="shared" si="42"/>
        <v>0</v>
      </c>
      <c r="K105" s="140">
        <f t="shared" si="43"/>
        <v>0</v>
      </c>
      <c r="L105" s="171">
        <f t="shared" si="44"/>
        <v>0</v>
      </c>
      <c r="M105" s="172" t="e">
        <f t="shared" si="45"/>
        <v>#DIV/0!</v>
      </c>
    </row>
    <row r="106" spans="1:15" ht="18.95" customHeight="1">
      <c r="A106" s="186" t="s">
        <v>459</v>
      </c>
      <c r="B106" s="173" t="s">
        <v>624</v>
      </c>
      <c r="C106" s="168" t="s">
        <v>164</v>
      </c>
      <c r="D106" s="135">
        <v>25</v>
      </c>
      <c r="E106" s="169">
        <f t="shared" si="40"/>
        <v>0</v>
      </c>
      <c r="F106" s="137">
        <f>VI.A!$F$3439</f>
        <v>0</v>
      </c>
      <c r="G106" s="138">
        <f>VI.A!$F$3453</f>
        <v>0</v>
      </c>
      <c r="H106" s="170">
        <f>VI.A!$F$3465</f>
        <v>0</v>
      </c>
      <c r="I106" s="137">
        <f t="shared" si="41"/>
        <v>0</v>
      </c>
      <c r="J106" s="138">
        <f t="shared" si="42"/>
        <v>0</v>
      </c>
      <c r="K106" s="140">
        <f t="shared" si="43"/>
        <v>0</v>
      </c>
      <c r="L106" s="171">
        <f t="shared" si="44"/>
        <v>0</v>
      </c>
      <c r="M106" s="172" t="e">
        <f t="shared" si="45"/>
        <v>#DIV/0!</v>
      </c>
    </row>
    <row r="107" spans="1:15" ht="18.95" customHeight="1">
      <c r="A107" s="163" t="s">
        <v>91</v>
      </c>
      <c r="B107" s="164" t="s">
        <v>899</v>
      </c>
      <c r="C107" s="165"/>
      <c r="D107" s="165"/>
      <c r="E107" s="165"/>
      <c r="F107" s="165"/>
      <c r="G107" s="165"/>
      <c r="H107" s="165"/>
      <c r="I107" s="165"/>
      <c r="J107" s="165"/>
      <c r="K107" s="165"/>
      <c r="L107" s="165"/>
      <c r="M107" s="166"/>
    </row>
    <row r="108" spans="1:15" ht="18.95" customHeight="1">
      <c r="A108" s="193" t="s">
        <v>460</v>
      </c>
      <c r="B108" s="194" t="s">
        <v>625</v>
      </c>
      <c r="C108" s="195" t="s">
        <v>165</v>
      </c>
      <c r="D108" s="196">
        <v>16</v>
      </c>
      <c r="E108" s="169">
        <f>F108+G108+H108</f>
        <v>0</v>
      </c>
      <c r="F108" s="137">
        <f>VI.A!F3487</f>
        <v>0</v>
      </c>
      <c r="G108" s="138">
        <f>VI.A!F3501</f>
        <v>0</v>
      </c>
      <c r="H108" s="170">
        <f>VI.A!F3513</f>
        <v>0</v>
      </c>
      <c r="I108" s="137">
        <f>ROUND(D108*F108,2)</f>
        <v>0</v>
      </c>
      <c r="J108" s="138">
        <f>ROUND(D108*G108,2)</f>
        <v>0</v>
      </c>
      <c r="K108" s="140">
        <f>ROUND(D108*H108,2)</f>
        <v>0</v>
      </c>
      <c r="L108" s="171">
        <f>ROUND(D108*F108,2)+ROUND(D108*G108,2)+ROUND(D108*H108,2)</f>
        <v>0</v>
      </c>
      <c r="M108" s="172" t="e">
        <f>ROUND(L108/$L$174,6)</f>
        <v>#DIV/0!</v>
      </c>
    </row>
    <row r="109" spans="1:15" ht="18.95" customHeight="1">
      <c r="A109" s="193" t="s">
        <v>461</v>
      </c>
      <c r="B109" s="194" t="s">
        <v>762</v>
      </c>
      <c r="C109" s="195" t="s">
        <v>165</v>
      </c>
      <c r="D109" s="196">
        <v>16</v>
      </c>
      <c r="E109" s="169">
        <f>F109+G109+H109</f>
        <v>0</v>
      </c>
      <c r="F109" s="137">
        <f>VI.A!$F$3535</f>
        <v>0</v>
      </c>
      <c r="G109" s="138">
        <f>VI.A!$F$3549</f>
        <v>0</v>
      </c>
      <c r="H109" s="170">
        <f>VI.A!$F$3561</f>
        <v>0</v>
      </c>
      <c r="I109" s="137">
        <f>ROUND(D109*F109,2)</f>
        <v>0</v>
      </c>
      <c r="J109" s="138">
        <f>ROUND(D109*G109,2)</f>
        <v>0</v>
      </c>
      <c r="K109" s="140">
        <f>ROUND(D109*H109,2)</f>
        <v>0</v>
      </c>
      <c r="L109" s="171">
        <f>ROUND(D109*F109,2)+ROUND(D109*G109,2)+ROUND(D109*H109,2)</f>
        <v>0</v>
      </c>
      <c r="M109" s="172" t="e">
        <f>ROUND(L109/$L$174,6)</f>
        <v>#DIV/0!</v>
      </c>
      <c r="O109" s="191"/>
    </row>
    <row r="110" spans="1:15" ht="18.95" customHeight="1" thickBot="1">
      <c r="A110" s="197" t="s">
        <v>764</v>
      </c>
      <c r="B110" s="198" t="s">
        <v>767</v>
      </c>
      <c r="C110" s="199" t="s">
        <v>165</v>
      </c>
      <c r="D110" s="200">
        <v>32</v>
      </c>
      <c r="E110" s="201">
        <f>F110+G110+H110</f>
        <v>0</v>
      </c>
      <c r="F110" s="202">
        <f>VI.A!F3583</f>
        <v>0</v>
      </c>
      <c r="G110" s="203">
        <f>VI.A!F3597</f>
        <v>0</v>
      </c>
      <c r="H110" s="204">
        <f>VI.A!F3609</f>
        <v>0</v>
      </c>
      <c r="I110" s="157">
        <f>ROUND(D110*F110,2)</f>
        <v>0</v>
      </c>
      <c r="J110" s="158">
        <f>ROUND(D110*G110,2)</f>
        <v>0</v>
      </c>
      <c r="K110" s="160">
        <f>ROUND(D110*H110,2)</f>
        <v>0</v>
      </c>
      <c r="L110" s="177">
        <f>ROUND(D110*F110,2)+ROUND(D110*G110,2)+ROUND(D110*H110,2)</f>
        <v>0</v>
      </c>
      <c r="M110" s="205" t="e">
        <f>ROUND(L110/$L$174,6)</f>
        <v>#DIV/0!</v>
      </c>
      <c r="O110" s="191"/>
    </row>
    <row r="111" spans="1:15" ht="8.1" customHeight="1" thickBot="1">
      <c r="A111" s="206"/>
      <c r="B111" s="206"/>
      <c r="C111" s="206"/>
      <c r="D111" s="206"/>
      <c r="E111" s="206"/>
      <c r="F111" s="206"/>
      <c r="G111" s="206"/>
      <c r="H111" s="206"/>
      <c r="I111" s="206"/>
      <c r="J111" s="206"/>
      <c r="K111" s="206"/>
      <c r="L111" s="206"/>
      <c r="M111" s="206"/>
    </row>
    <row r="112" spans="1:15">
      <c r="A112" s="618" t="s">
        <v>105</v>
      </c>
      <c r="B112" s="699" t="s">
        <v>900</v>
      </c>
      <c r="C112" s="620" t="s">
        <v>3</v>
      </c>
      <c r="D112" s="620"/>
      <c r="E112" s="621"/>
      <c r="F112" s="180">
        <f>I112</f>
        <v>0</v>
      </c>
      <c r="G112" s="181">
        <f>J112</f>
        <v>0</v>
      </c>
      <c r="H112" s="207">
        <f>K112</f>
        <v>0</v>
      </c>
      <c r="I112" s="183">
        <f>SUM(I114:I124)</f>
        <v>0</v>
      </c>
      <c r="J112" s="184">
        <f>SUM(J114:J124)</f>
        <v>0</v>
      </c>
      <c r="K112" s="208">
        <f>SUM(K114:K124)</f>
        <v>0</v>
      </c>
      <c r="L112" s="693">
        <f>SUM(L114:L124)</f>
        <v>0</v>
      </c>
      <c r="M112" s="691" t="e">
        <f>ROUND(L112/$L$174,6)</f>
        <v>#DIV/0!</v>
      </c>
    </row>
    <row r="113" spans="1:15">
      <c r="A113" s="619"/>
      <c r="B113" s="700"/>
      <c r="C113" s="622"/>
      <c r="D113" s="622"/>
      <c r="E113" s="623"/>
      <c r="F113" s="44" t="e">
        <f>ROUND(F112/L112,6)</f>
        <v>#DIV/0!</v>
      </c>
      <c r="G113" s="45" t="e">
        <f>ROUND(G112/L112,6)</f>
        <v>#DIV/0!</v>
      </c>
      <c r="H113" s="46" t="e">
        <f>ROUND(H112/L112,6)</f>
        <v>#DIV/0!</v>
      </c>
      <c r="I113" s="44" t="str">
        <f>IF(I112=F112,"sim","nao")</f>
        <v>sim</v>
      </c>
      <c r="J113" s="45" t="str">
        <f>IF(J112=G112,"sim","nao")</f>
        <v>sim</v>
      </c>
      <c r="K113" s="58" t="str">
        <f>IF(K112=H112,"sim","nao")</f>
        <v>sim</v>
      </c>
      <c r="L113" s="694"/>
      <c r="M113" s="692"/>
    </row>
    <row r="114" spans="1:15" s="191" customFormat="1" ht="31.5">
      <c r="A114" s="209" t="s">
        <v>92</v>
      </c>
      <c r="B114" s="173" t="s">
        <v>639</v>
      </c>
      <c r="C114" s="190" t="s">
        <v>166</v>
      </c>
      <c r="D114" s="210">
        <v>20</v>
      </c>
      <c r="E114" s="211">
        <f t="shared" ref="E114:E124" si="46">F114+G114+H114</f>
        <v>0</v>
      </c>
      <c r="F114" s="212">
        <f>VI.A!$F$3631</f>
        <v>0</v>
      </c>
      <c r="G114" s="213">
        <f>VI.A!$F$3645</f>
        <v>0</v>
      </c>
      <c r="H114" s="139">
        <f>VI.A!$F$3657</f>
        <v>0</v>
      </c>
      <c r="I114" s="137">
        <f t="shared" ref="I114:I124" si="47">ROUND(D114*F114,2)</f>
        <v>0</v>
      </c>
      <c r="J114" s="138">
        <f t="shared" ref="J114:J124" si="48">ROUND(D114*G114,2)</f>
        <v>0</v>
      </c>
      <c r="K114" s="140">
        <f t="shared" ref="K114:K124" si="49">ROUND(D114*H114,2)</f>
        <v>0</v>
      </c>
      <c r="L114" s="214">
        <f t="shared" ref="L114:L124" si="50">ROUND(D114*F114,2)+ROUND(D114*G114,2)+ROUND(D114*H114,2)</f>
        <v>0</v>
      </c>
      <c r="M114" s="142" t="e">
        <f t="shared" ref="M114:M124" si="51">ROUND(L114/$L$174,6)</f>
        <v>#DIV/0!</v>
      </c>
    </row>
    <row r="115" spans="1:15" s="191" customFormat="1" ht="31.5">
      <c r="A115" s="209" t="s">
        <v>126</v>
      </c>
      <c r="B115" s="173" t="s">
        <v>640</v>
      </c>
      <c r="C115" s="190" t="s">
        <v>166</v>
      </c>
      <c r="D115" s="210">
        <v>20</v>
      </c>
      <c r="E115" s="211">
        <f t="shared" si="46"/>
        <v>0</v>
      </c>
      <c r="F115" s="212">
        <f>VI.A!F3679</f>
        <v>0</v>
      </c>
      <c r="G115" s="213">
        <f>VI.A!F3693</f>
        <v>0</v>
      </c>
      <c r="H115" s="139">
        <f>VI.A!F3705</f>
        <v>0</v>
      </c>
      <c r="I115" s="137">
        <f t="shared" si="47"/>
        <v>0</v>
      </c>
      <c r="J115" s="138">
        <f t="shared" si="48"/>
        <v>0</v>
      </c>
      <c r="K115" s="140">
        <f t="shared" si="49"/>
        <v>0</v>
      </c>
      <c r="L115" s="214">
        <f t="shared" si="50"/>
        <v>0</v>
      </c>
      <c r="M115" s="142" t="e">
        <f t="shared" si="51"/>
        <v>#DIV/0!</v>
      </c>
    </row>
    <row r="116" spans="1:15" s="191" customFormat="1" ht="17.100000000000001" customHeight="1">
      <c r="A116" s="209" t="s">
        <v>128</v>
      </c>
      <c r="B116" s="173" t="s">
        <v>641</v>
      </c>
      <c r="C116" s="190" t="s">
        <v>166</v>
      </c>
      <c r="D116" s="210">
        <v>2</v>
      </c>
      <c r="E116" s="211">
        <f t="shared" si="46"/>
        <v>0</v>
      </c>
      <c r="F116" s="212">
        <f>VI.A!F3727</f>
        <v>0</v>
      </c>
      <c r="G116" s="213">
        <f>VI.A!F3741</f>
        <v>0</v>
      </c>
      <c r="H116" s="139">
        <f>VI.A!F3753</f>
        <v>0</v>
      </c>
      <c r="I116" s="137">
        <f t="shared" si="47"/>
        <v>0</v>
      </c>
      <c r="J116" s="138">
        <f t="shared" si="48"/>
        <v>0</v>
      </c>
      <c r="K116" s="140">
        <f t="shared" si="49"/>
        <v>0</v>
      </c>
      <c r="L116" s="214">
        <f t="shared" si="50"/>
        <v>0</v>
      </c>
      <c r="M116" s="142" t="e">
        <f t="shared" si="51"/>
        <v>#DIV/0!</v>
      </c>
    </row>
    <row r="117" spans="1:15" s="191" customFormat="1" ht="17.100000000000001" customHeight="1">
      <c r="A117" s="209" t="s">
        <v>441</v>
      </c>
      <c r="B117" s="173" t="s">
        <v>643</v>
      </c>
      <c r="C117" s="190" t="s">
        <v>164</v>
      </c>
      <c r="D117" s="210">
        <v>20</v>
      </c>
      <c r="E117" s="211">
        <f t="shared" si="46"/>
        <v>0</v>
      </c>
      <c r="F117" s="212">
        <f>VI.A!F3775</f>
        <v>0</v>
      </c>
      <c r="G117" s="213">
        <f>VI.A!F3789</f>
        <v>0</v>
      </c>
      <c r="H117" s="139">
        <f>VI.A!F3801</f>
        <v>0</v>
      </c>
      <c r="I117" s="137">
        <f t="shared" si="47"/>
        <v>0</v>
      </c>
      <c r="J117" s="138">
        <f t="shared" si="48"/>
        <v>0</v>
      </c>
      <c r="K117" s="140">
        <f t="shared" si="49"/>
        <v>0</v>
      </c>
      <c r="L117" s="214">
        <f t="shared" si="50"/>
        <v>0</v>
      </c>
      <c r="M117" s="142" t="e">
        <f t="shared" si="51"/>
        <v>#DIV/0!</v>
      </c>
    </row>
    <row r="118" spans="1:15" s="191" customFormat="1" ht="17.100000000000001" customHeight="1">
      <c r="A118" s="209" t="s">
        <v>443</v>
      </c>
      <c r="B118" s="173" t="s">
        <v>644</v>
      </c>
      <c r="C118" s="190" t="s">
        <v>164</v>
      </c>
      <c r="D118" s="210">
        <v>10</v>
      </c>
      <c r="E118" s="211">
        <f t="shared" si="46"/>
        <v>0</v>
      </c>
      <c r="F118" s="212">
        <f>VI.A!F3823</f>
        <v>0</v>
      </c>
      <c r="G118" s="213">
        <f>VI.A!F3837</f>
        <v>0</v>
      </c>
      <c r="H118" s="139">
        <f>VI.A!F3849</f>
        <v>0</v>
      </c>
      <c r="I118" s="137">
        <f t="shared" si="47"/>
        <v>0</v>
      </c>
      <c r="J118" s="138">
        <f t="shared" si="48"/>
        <v>0</v>
      </c>
      <c r="K118" s="140">
        <f t="shared" si="49"/>
        <v>0</v>
      </c>
      <c r="L118" s="214">
        <f t="shared" si="50"/>
        <v>0</v>
      </c>
      <c r="M118" s="142" t="e">
        <f t="shared" si="51"/>
        <v>#DIV/0!</v>
      </c>
    </row>
    <row r="119" spans="1:15" s="191" customFormat="1" ht="17.100000000000001" customHeight="1">
      <c r="A119" s="209" t="s">
        <v>486</v>
      </c>
      <c r="B119" s="173" t="s">
        <v>645</v>
      </c>
      <c r="C119" s="190" t="s">
        <v>164</v>
      </c>
      <c r="D119" s="210">
        <v>40</v>
      </c>
      <c r="E119" s="211">
        <f t="shared" si="46"/>
        <v>0</v>
      </c>
      <c r="F119" s="212">
        <f>VI.A!F3871</f>
        <v>0</v>
      </c>
      <c r="G119" s="213">
        <f>VI.A!F3885</f>
        <v>0</v>
      </c>
      <c r="H119" s="139">
        <f>VI.A!F3897</f>
        <v>0</v>
      </c>
      <c r="I119" s="137">
        <f t="shared" si="47"/>
        <v>0</v>
      </c>
      <c r="J119" s="138">
        <f t="shared" si="48"/>
        <v>0</v>
      </c>
      <c r="K119" s="140">
        <f t="shared" si="49"/>
        <v>0</v>
      </c>
      <c r="L119" s="214">
        <f t="shared" si="50"/>
        <v>0</v>
      </c>
      <c r="M119" s="142" t="e">
        <f t="shared" si="51"/>
        <v>#DIV/0!</v>
      </c>
    </row>
    <row r="120" spans="1:15" s="191" customFormat="1" ht="17.100000000000001" customHeight="1">
      <c r="A120" s="209" t="s">
        <v>500</v>
      </c>
      <c r="B120" s="173" t="s">
        <v>646</v>
      </c>
      <c r="C120" s="190" t="s">
        <v>164</v>
      </c>
      <c r="D120" s="210">
        <v>25</v>
      </c>
      <c r="E120" s="211">
        <f t="shared" si="46"/>
        <v>0</v>
      </c>
      <c r="F120" s="212">
        <f>VI.A!$F$3919</f>
        <v>0</v>
      </c>
      <c r="G120" s="213">
        <f>VI.A!$F$3933</f>
        <v>0</v>
      </c>
      <c r="H120" s="139">
        <f>VI.A!$F$3945</f>
        <v>0</v>
      </c>
      <c r="I120" s="137">
        <f t="shared" si="47"/>
        <v>0</v>
      </c>
      <c r="J120" s="138">
        <f t="shared" si="48"/>
        <v>0</v>
      </c>
      <c r="K120" s="140">
        <f t="shared" si="49"/>
        <v>0</v>
      </c>
      <c r="L120" s="214">
        <f t="shared" si="50"/>
        <v>0</v>
      </c>
      <c r="M120" s="142" t="e">
        <f t="shared" si="51"/>
        <v>#DIV/0!</v>
      </c>
    </row>
    <row r="121" spans="1:15" s="191" customFormat="1" ht="17.100000000000001" customHeight="1">
      <c r="A121" s="209" t="s">
        <v>501</v>
      </c>
      <c r="B121" s="173" t="s">
        <v>647</v>
      </c>
      <c r="C121" s="190" t="s">
        <v>164</v>
      </c>
      <c r="D121" s="210">
        <v>30</v>
      </c>
      <c r="E121" s="211">
        <f t="shared" si="46"/>
        <v>0</v>
      </c>
      <c r="F121" s="215">
        <f>VI.A!F3967</f>
        <v>0</v>
      </c>
      <c r="G121" s="216">
        <f>VI.A!F3981</f>
        <v>0</v>
      </c>
      <c r="H121" s="151">
        <f>VI.A!F3993</f>
        <v>0</v>
      </c>
      <c r="I121" s="137">
        <f t="shared" si="47"/>
        <v>0</v>
      </c>
      <c r="J121" s="138">
        <f t="shared" si="48"/>
        <v>0</v>
      </c>
      <c r="K121" s="140">
        <f t="shared" si="49"/>
        <v>0</v>
      </c>
      <c r="L121" s="214">
        <f t="shared" si="50"/>
        <v>0</v>
      </c>
      <c r="M121" s="142" t="e">
        <f t="shared" si="51"/>
        <v>#DIV/0!</v>
      </c>
    </row>
    <row r="122" spans="1:15" s="191" customFormat="1" ht="17.100000000000001" customHeight="1">
      <c r="A122" s="209" t="s">
        <v>515</v>
      </c>
      <c r="B122" s="173" t="s">
        <v>648</v>
      </c>
      <c r="C122" s="190" t="s">
        <v>164</v>
      </c>
      <c r="D122" s="210">
        <v>150</v>
      </c>
      <c r="E122" s="211">
        <f t="shared" si="46"/>
        <v>0</v>
      </c>
      <c r="F122" s="215">
        <f>VI.A!F4015</f>
        <v>0</v>
      </c>
      <c r="G122" s="216">
        <f>VI.A!F4029</f>
        <v>0</v>
      </c>
      <c r="H122" s="151">
        <f>VI.A!F4041</f>
        <v>0</v>
      </c>
      <c r="I122" s="137">
        <f t="shared" si="47"/>
        <v>0</v>
      </c>
      <c r="J122" s="138">
        <f t="shared" si="48"/>
        <v>0</v>
      </c>
      <c r="K122" s="140">
        <f t="shared" si="49"/>
        <v>0</v>
      </c>
      <c r="L122" s="214">
        <f t="shared" si="50"/>
        <v>0</v>
      </c>
      <c r="M122" s="142" t="e">
        <f t="shared" si="51"/>
        <v>#DIV/0!</v>
      </c>
    </row>
    <row r="123" spans="1:15" s="191" customFormat="1" ht="17.100000000000001" customHeight="1">
      <c r="A123" s="209" t="s">
        <v>516</v>
      </c>
      <c r="B123" s="217" t="s">
        <v>649</v>
      </c>
      <c r="C123" s="218" t="s">
        <v>166</v>
      </c>
      <c r="D123" s="210">
        <v>25</v>
      </c>
      <c r="E123" s="211">
        <f t="shared" si="46"/>
        <v>0</v>
      </c>
      <c r="F123" s="215">
        <f>VI.A!F4063</f>
        <v>0</v>
      </c>
      <c r="G123" s="216">
        <f>VI.A!F4077</f>
        <v>0</v>
      </c>
      <c r="H123" s="151">
        <f>VI.A!F4089</f>
        <v>0</v>
      </c>
      <c r="I123" s="137">
        <f t="shared" si="47"/>
        <v>0</v>
      </c>
      <c r="J123" s="138">
        <f t="shared" si="48"/>
        <v>0</v>
      </c>
      <c r="K123" s="140">
        <f t="shared" si="49"/>
        <v>0</v>
      </c>
      <c r="L123" s="214">
        <f t="shared" si="50"/>
        <v>0</v>
      </c>
      <c r="M123" s="142" t="e">
        <f t="shared" si="51"/>
        <v>#DIV/0!</v>
      </c>
    </row>
    <row r="124" spans="1:15" s="191" customFormat="1" ht="17.100000000000001" customHeight="1" thickBot="1">
      <c r="A124" s="219" t="s">
        <v>525</v>
      </c>
      <c r="B124" s="198" t="s">
        <v>642</v>
      </c>
      <c r="C124" s="154" t="s">
        <v>164</v>
      </c>
      <c r="D124" s="220">
        <v>60</v>
      </c>
      <c r="E124" s="221">
        <f t="shared" si="46"/>
        <v>0</v>
      </c>
      <c r="F124" s="202">
        <f>VI.A!F4111</f>
        <v>0</v>
      </c>
      <c r="G124" s="203">
        <f>VI.A!F4125</f>
        <v>0</v>
      </c>
      <c r="H124" s="159">
        <f>VI.A!F4137</f>
        <v>0</v>
      </c>
      <c r="I124" s="157">
        <f t="shared" si="47"/>
        <v>0</v>
      </c>
      <c r="J124" s="158">
        <f t="shared" si="48"/>
        <v>0</v>
      </c>
      <c r="K124" s="160">
        <f t="shared" si="49"/>
        <v>0</v>
      </c>
      <c r="L124" s="222">
        <f t="shared" si="50"/>
        <v>0</v>
      </c>
      <c r="M124" s="161" t="e">
        <f t="shared" si="51"/>
        <v>#DIV/0!</v>
      </c>
    </row>
    <row r="125" spans="1:15" ht="8.1" customHeight="1" thickBot="1">
      <c r="A125" s="179"/>
      <c r="B125" s="179"/>
      <c r="C125" s="179"/>
      <c r="D125" s="179"/>
      <c r="E125" s="179"/>
      <c r="F125" s="179"/>
      <c r="G125" s="179"/>
      <c r="H125" s="179"/>
      <c r="I125" s="179"/>
      <c r="J125" s="179"/>
      <c r="K125" s="179"/>
      <c r="L125" s="179"/>
      <c r="M125" s="179"/>
    </row>
    <row r="126" spans="1:15">
      <c r="A126" s="705" t="s">
        <v>48</v>
      </c>
      <c r="B126" s="699" t="s">
        <v>901</v>
      </c>
      <c r="C126" s="620" t="s">
        <v>3</v>
      </c>
      <c r="D126" s="620"/>
      <c r="E126" s="621"/>
      <c r="F126" s="180">
        <f>I126</f>
        <v>0</v>
      </c>
      <c r="G126" s="181">
        <f>J126</f>
        <v>0</v>
      </c>
      <c r="H126" s="207">
        <f>K126</f>
        <v>0</v>
      </c>
      <c r="I126" s="183">
        <f>SUM(I128:I132)</f>
        <v>0</v>
      </c>
      <c r="J126" s="184">
        <f>SUM(J128:J132)</f>
        <v>0</v>
      </c>
      <c r="K126" s="208">
        <f>SUM(K128:K132)</f>
        <v>0</v>
      </c>
      <c r="L126" s="693">
        <f>SUM(L128:L132)</f>
        <v>0</v>
      </c>
      <c r="M126" s="691" t="e">
        <f>ROUND(L126/$L$174,6)</f>
        <v>#DIV/0!</v>
      </c>
    </row>
    <row r="127" spans="1:15">
      <c r="A127" s="706"/>
      <c r="B127" s="700"/>
      <c r="C127" s="622"/>
      <c r="D127" s="622"/>
      <c r="E127" s="623"/>
      <c r="F127" s="44" t="e">
        <f>ROUND(F126/L126,6)</f>
        <v>#DIV/0!</v>
      </c>
      <c r="G127" s="45" t="e">
        <f>ROUND(G126/L126,6)</f>
        <v>#DIV/0!</v>
      </c>
      <c r="H127" s="46" t="e">
        <f>ROUND(H126/L126,6)</f>
        <v>#DIV/0!</v>
      </c>
      <c r="I127" s="44" t="str">
        <f>IF(I126=F126,"sim","nao")</f>
        <v>sim</v>
      </c>
      <c r="J127" s="45" t="str">
        <f>IF(J126=G126,"sim","nao")</f>
        <v>sim</v>
      </c>
      <c r="K127" s="58" t="str">
        <f>IF(K126=H126,"sim","nao")</f>
        <v>sim</v>
      </c>
      <c r="L127" s="694"/>
      <c r="M127" s="692"/>
    </row>
    <row r="128" spans="1:15" ht="17.100000000000001" customHeight="1">
      <c r="A128" s="223" t="s">
        <v>93</v>
      </c>
      <c r="B128" s="224" t="s">
        <v>626</v>
      </c>
      <c r="C128" s="174" t="s">
        <v>164</v>
      </c>
      <c r="D128" s="225">
        <v>100</v>
      </c>
      <c r="E128" s="226">
        <f>F128+G128+H128</f>
        <v>0</v>
      </c>
      <c r="F128" s="212">
        <f>VI.A!$F$4159</f>
        <v>0</v>
      </c>
      <c r="G128" s="213">
        <f>VI.A!$F$4173</f>
        <v>0</v>
      </c>
      <c r="H128" s="139">
        <f>VI.A!$F$4185</f>
        <v>0</v>
      </c>
      <c r="I128" s="137">
        <f>ROUND(D128*F128,2)</f>
        <v>0</v>
      </c>
      <c r="J128" s="138">
        <f>ROUND(D128*G128,2)</f>
        <v>0</v>
      </c>
      <c r="K128" s="140">
        <f>ROUND(D128*H128,2)</f>
        <v>0</v>
      </c>
      <c r="L128" s="214">
        <f>ROUND(D128*F128,2)+ROUND(D128*G128,2)+ROUND(D128*H128,2)</f>
        <v>0</v>
      </c>
      <c r="M128" s="172" t="e">
        <f>ROUND(L128/$L$174,6)</f>
        <v>#DIV/0!</v>
      </c>
      <c r="O128" s="191"/>
    </row>
    <row r="129" spans="1:15" ht="17.100000000000001" customHeight="1">
      <c r="A129" s="223" t="s">
        <v>650</v>
      </c>
      <c r="B129" s="227" t="s">
        <v>627</v>
      </c>
      <c r="C129" s="175" t="s">
        <v>165</v>
      </c>
      <c r="D129" s="225">
        <v>150</v>
      </c>
      <c r="E129" s="226">
        <f>F129+G129+H129</f>
        <v>0</v>
      </c>
      <c r="F129" s="215">
        <f>VI.A!F4207</f>
        <v>0</v>
      </c>
      <c r="G129" s="216">
        <f>VI.A!F4221</f>
        <v>0</v>
      </c>
      <c r="H129" s="151">
        <f>VI.A!F4233</f>
        <v>0</v>
      </c>
      <c r="I129" s="137">
        <f>ROUND(D129*F129,2)</f>
        <v>0</v>
      </c>
      <c r="J129" s="138">
        <f>ROUND(D129*G129,2)</f>
        <v>0</v>
      </c>
      <c r="K129" s="140">
        <f>ROUND(D129*H129,2)</f>
        <v>0</v>
      </c>
      <c r="L129" s="214">
        <f>ROUND(D129*F129,2)+ROUND(D129*G129,2)+ROUND(D129*H129,2)</f>
        <v>0</v>
      </c>
      <c r="M129" s="172" t="e">
        <f>ROUND(L129/$L$174,6)</f>
        <v>#DIV/0!</v>
      </c>
      <c r="O129" s="191"/>
    </row>
    <row r="130" spans="1:15" ht="17.100000000000001" customHeight="1">
      <c r="A130" s="223" t="s">
        <v>651</v>
      </c>
      <c r="B130" s="227" t="s">
        <v>847</v>
      </c>
      <c r="C130" s="175" t="s">
        <v>165</v>
      </c>
      <c r="D130" s="225">
        <v>200</v>
      </c>
      <c r="E130" s="226">
        <f>F130+G130+H130</f>
        <v>0</v>
      </c>
      <c r="F130" s="215">
        <f>VI.A!$F$4255</f>
        <v>0</v>
      </c>
      <c r="G130" s="216">
        <f>VI.A!$F$4269</f>
        <v>0</v>
      </c>
      <c r="H130" s="151">
        <f>VI.A!$F$4281</f>
        <v>0</v>
      </c>
      <c r="I130" s="137">
        <f>ROUND(D130*F130,2)</f>
        <v>0</v>
      </c>
      <c r="J130" s="138">
        <f>ROUND(D130*G130,2)</f>
        <v>0</v>
      </c>
      <c r="K130" s="140">
        <f>ROUND(D130*H130,2)</f>
        <v>0</v>
      </c>
      <c r="L130" s="214">
        <f>ROUND(D130*F130,2)+ROUND(D130*G130,2)+ROUND(D130*H130,2)</f>
        <v>0</v>
      </c>
      <c r="M130" s="172" t="e">
        <f>ROUND(L130/$L$174,6)</f>
        <v>#DIV/0!</v>
      </c>
      <c r="O130" s="191"/>
    </row>
    <row r="131" spans="1:15" ht="17.100000000000001" customHeight="1">
      <c r="A131" s="223" t="s">
        <v>652</v>
      </c>
      <c r="B131" s="227" t="s">
        <v>628</v>
      </c>
      <c r="C131" s="175" t="s">
        <v>165</v>
      </c>
      <c r="D131" s="225">
        <v>150</v>
      </c>
      <c r="E131" s="226">
        <f>F131+G131+H131</f>
        <v>0</v>
      </c>
      <c r="F131" s="215">
        <f>VI.A!F4303</f>
        <v>0</v>
      </c>
      <c r="G131" s="216">
        <f>VI.A!F4317</f>
        <v>0</v>
      </c>
      <c r="H131" s="151">
        <f>VI.A!F4329</f>
        <v>0</v>
      </c>
      <c r="I131" s="137">
        <f>ROUND(D131*F131,2)</f>
        <v>0</v>
      </c>
      <c r="J131" s="138">
        <f>ROUND(D131*G131,2)</f>
        <v>0</v>
      </c>
      <c r="K131" s="140">
        <f>ROUND(D131*H131,2)</f>
        <v>0</v>
      </c>
      <c r="L131" s="214">
        <f>ROUND(D131*F131,2)+ROUND(D131*G131,2)+ROUND(D131*H131,2)</f>
        <v>0</v>
      </c>
      <c r="M131" s="172" t="e">
        <f>ROUND(L131/$L$174,6)</f>
        <v>#DIV/0!</v>
      </c>
      <c r="O131" s="191"/>
    </row>
    <row r="132" spans="1:15" ht="17.100000000000001" customHeight="1" thickBot="1">
      <c r="A132" s="197" t="s">
        <v>846</v>
      </c>
      <c r="B132" s="228" t="s">
        <v>629</v>
      </c>
      <c r="C132" s="199" t="s">
        <v>164</v>
      </c>
      <c r="D132" s="200">
        <v>150</v>
      </c>
      <c r="E132" s="229">
        <f>F132+G132+H132</f>
        <v>0</v>
      </c>
      <c r="F132" s="202">
        <f>VI.A!F4351</f>
        <v>0</v>
      </c>
      <c r="G132" s="203">
        <f>VI.A!F4365</f>
        <v>0</v>
      </c>
      <c r="H132" s="159">
        <f>VI.A!F4377</f>
        <v>0</v>
      </c>
      <c r="I132" s="157">
        <f>ROUND(D132*F132,2)</f>
        <v>0</v>
      </c>
      <c r="J132" s="158">
        <f>ROUND(D132*G132,2)</f>
        <v>0</v>
      </c>
      <c r="K132" s="160">
        <f>ROUND(D132*H132,2)</f>
        <v>0</v>
      </c>
      <c r="L132" s="222">
        <f>ROUND(D132*F132,2)+ROUND(D132*G132,2)+ROUND(D132*H132,2)</f>
        <v>0</v>
      </c>
      <c r="M132" s="51" t="e">
        <f>ROUND(L132/$L$174,6)</f>
        <v>#DIV/0!</v>
      </c>
      <c r="O132" s="191"/>
    </row>
    <row r="133" spans="1:15" ht="8.1" customHeight="1" thickBot="1">
      <c r="A133" s="206"/>
      <c r="B133" s="206"/>
      <c r="C133" s="206"/>
      <c r="D133" s="206"/>
      <c r="E133" s="206"/>
      <c r="F133" s="206"/>
      <c r="G133" s="206"/>
      <c r="H133" s="206"/>
      <c r="I133" s="206"/>
      <c r="J133" s="206"/>
      <c r="K133" s="206"/>
      <c r="L133" s="206"/>
      <c r="M133" s="206"/>
    </row>
    <row r="134" spans="1:15">
      <c r="A134" s="716" t="s">
        <v>28</v>
      </c>
      <c r="B134" s="699" t="s">
        <v>902</v>
      </c>
      <c r="C134" s="620" t="s">
        <v>3</v>
      </c>
      <c r="D134" s="620"/>
      <c r="E134" s="621"/>
      <c r="F134" s="180">
        <f>I134</f>
        <v>0</v>
      </c>
      <c r="G134" s="181">
        <f>J134</f>
        <v>0</v>
      </c>
      <c r="H134" s="207">
        <f>K134</f>
        <v>0</v>
      </c>
      <c r="I134" s="183">
        <f>SUM(I136:I153)</f>
        <v>0</v>
      </c>
      <c r="J134" s="184">
        <f>SUM(J136:J153)</f>
        <v>0</v>
      </c>
      <c r="K134" s="208">
        <f>SUM(K136:K153)</f>
        <v>0</v>
      </c>
      <c r="L134" s="693">
        <f>SUM(L136:L153)</f>
        <v>0</v>
      </c>
      <c r="M134" s="691" t="e">
        <f>ROUND(L134/$L$174,6)</f>
        <v>#DIV/0!</v>
      </c>
    </row>
    <row r="135" spans="1:15">
      <c r="A135" s="717"/>
      <c r="B135" s="700"/>
      <c r="C135" s="622"/>
      <c r="D135" s="622"/>
      <c r="E135" s="623"/>
      <c r="F135" s="44" t="e">
        <f>ROUND(F134/L134,6)</f>
        <v>#DIV/0!</v>
      </c>
      <c r="G135" s="45" t="e">
        <f>ROUND(G134/L134,6)</f>
        <v>#DIV/0!</v>
      </c>
      <c r="H135" s="46" t="e">
        <f>ROUND(H134/L134,6)</f>
        <v>#DIV/0!</v>
      </c>
      <c r="I135" s="44" t="str">
        <f>IF(I134=F134,"sim","nao")</f>
        <v>sim</v>
      </c>
      <c r="J135" s="45" t="str">
        <f>IF(J134=G134,"sim","nao")</f>
        <v>sim</v>
      </c>
      <c r="K135" s="58" t="str">
        <f>IF(K134=H134,"sim","nao")</f>
        <v>sim</v>
      </c>
      <c r="L135" s="694"/>
      <c r="M135" s="692"/>
    </row>
    <row r="136" spans="1:15" ht="36" customHeight="1">
      <c r="A136" s="230" t="s">
        <v>35</v>
      </c>
      <c r="B136" s="164" t="s">
        <v>837</v>
      </c>
      <c r="C136" s="165"/>
      <c r="D136" s="165"/>
      <c r="E136" s="165"/>
      <c r="F136" s="165"/>
      <c r="G136" s="165"/>
      <c r="H136" s="165"/>
      <c r="I136" s="165">
        <f t="shared" ref="I136:I153" si="52">ROUND(D136*F136,2)</f>
        <v>0</v>
      </c>
      <c r="J136" s="165">
        <f t="shared" ref="J136:J153" si="53">ROUND(D136*G136,2)</f>
        <v>0</v>
      </c>
      <c r="K136" s="165">
        <f t="shared" ref="K136:K153" si="54">ROUND(D136*H136,2)</f>
        <v>0</v>
      </c>
      <c r="L136" s="165"/>
      <c r="M136" s="166"/>
      <c r="O136" s="191"/>
    </row>
    <row r="137" spans="1:15">
      <c r="A137" s="223" t="s">
        <v>835</v>
      </c>
      <c r="B137" s="133" t="s">
        <v>842</v>
      </c>
      <c r="C137" s="174" t="s">
        <v>165</v>
      </c>
      <c r="D137" s="225">
        <v>51300</v>
      </c>
      <c r="E137" s="226">
        <f t="shared" ref="E137:E153" si="55">F137+G137+H137</f>
        <v>0</v>
      </c>
      <c r="F137" s="212">
        <f>VI.A!$F$4399</f>
        <v>0</v>
      </c>
      <c r="G137" s="213">
        <f>VI.A!$F$4413</f>
        <v>0</v>
      </c>
      <c r="H137" s="139">
        <f>VI.A!$F$4425</f>
        <v>0</v>
      </c>
      <c r="I137" s="137">
        <f t="shared" ref="I137:I138" si="56">ROUND(D137*F137,2)</f>
        <v>0</v>
      </c>
      <c r="J137" s="138">
        <f t="shared" ref="J137:J138" si="57">ROUND(D137*G137,2)</f>
        <v>0</v>
      </c>
      <c r="K137" s="140">
        <f t="shared" ref="K137:K138" si="58">ROUND(D137*H137,2)</f>
        <v>0</v>
      </c>
      <c r="L137" s="214">
        <f t="shared" ref="L137:L153" si="59">ROUND(D137*F137,2)+ROUND(D137*G137,2)+ROUND(D137*H137,2)</f>
        <v>0</v>
      </c>
      <c r="M137" s="172" t="e">
        <f t="shared" ref="M137:M153" si="60">ROUND(L137/$L$174,6)</f>
        <v>#DIV/0!</v>
      </c>
      <c r="O137" s="191"/>
    </row>
    <row r="138" spans="1:15">
      <c r="A138" s="223" t="s">
        <v>836</v>
      </c>
      <c r="B138" s="133" t="s">
        <v>838</v>
      </c>
      <c r="C138" s="174" t="s">
        <v>165</v>
      </c>
      <c r="D138" s="225">
        <v>118000</v>
      </c>
      <c r="E138" s="226">
        <f t="shared" si="55"/>
        <v>0</v>
      </c>
      <c r="F138" s="212">
        <f>VI.A!$F$4447</f>
        <v>0</v>
      </c>
      <c r="G138" s="213">
        <f>VI.A!$F$4461</f>
        <v>0</v>
      </c>
      <c r="H138" s="139">
        <f>VI.A!$F$4473</f>
        <v>0</v>
      </c>
      <c r="I138" s="137">
        <f t="shared" si="56"/>
        <v>0</v>
      </c>
      <c r="J138" s="138">
        <f t="shared" si="57"/>
        <v>0</v>
      </c>
      <c r="K138" s="140">
        <f t="shared" si="58"/>
        <v>0</v>
      </c>
      <c r="L138" s="214">
        <f t="shared" si="59"/>
        <v>0</v>
      </c>
      <c r="M138" s="172" t="e">
        <f t="shared" si="60"/>
        <v>#DIV/0!</v>
      </c>
      <c r="O138" s="191"/>
    </row>
    <row r="139" spans="1:15" ht="17.100000000000001" customHeight="1">
      <c r="A139" s="223" t="s">
        <v>908</v>
      </c>
      <c r="B139" s="133" t="s">
        <v>498</v>
      </c>
      <c r="C139" s="174" t="s">
        <v>165</v>
      </c>
      <c r="D139" s="225">
        <v>50</v>
      </c>
      <c r="E139" s="226">
        <f t="shared" si="55"/>
        <v>0</v>
      </c>
      <c r="F139" s="212">
        <f>VI.A!F4495</f>
        <v>0</v>
      </c>
      <c r="G139" s="213">
        <f>VI.A!F4509</f>
        <v>0</v>
      </c>
      <c r="H139" s="139">
        <f>VI.A!F4521</f>
        <v>0</v>
      </c>
      <c r="I139" s="137">
        <f t="shared" si="52"/>
        <v>0</v>
      </c>
      <c r="J139" s="138">
        <f t="shared" si="53"/>
        <v>0</v>
      </c>
      <c r="K139" s="140">
        <f t="shared" si="54"/>
        <v>0</v>
      </c>
      <c r="L139" s="214">
        <f t="shared" si="59"/>
        <v>0</v>
      </c>
      <c r="M139" s="172" t="e">
        <f t="shared" si="60"/>
        <v>#DIV/0!</v>
      </c>
      <c r="O139" s="191"/>
    </row>
    <row r="140" spans="1:15" ht="17.100000000000001" customHeight="1">
      <c r="A140" s="223" t="s">
        <v>909</v>
      </c>
      <c r="B140" s="133" t="s">
        <v>499</v>
      </c>
      <c r="C140" s="174" t="s">
        <v>165</v>
      </c>
      <c r="D140" s="225">
        <v>61100</v>
      </c>
      <c r="E140" s="226">
        <f t="shared" si="55"/>
        <v>0</v>
      </c>
      <c r="F140" s="212">
        <f>VI.A!F4543</f>
        <v>0</v>
      </c>
      <c r="G140" s="213">
        <f>VI.A!F4557</f>
        <v>0</v>
      </c>
      <c r="H140" s="139">
        <f>VI.A!F4569</f>
        <v>0</v>
      </c>
      <c r="I140" s="137">
        <f t="shared" si="52"/>
        <v>0</v>
      </c>
      <c r="J140" s="138">
        <f t="shared" si="53"/>
        <v>0</v>
      </c>
      <c r="K140" s="140">
        <f t="shared" si="54"/>
        <v>0</v>
      </c>
      <c r="L140" s="214">
        <f t="shared" si="59"/>
        <v>0</v>
      </c>
      <c r="M140" s="172" t="e">
        <f t="shared" si="60"/>
        <v>#DIV/0!</v>
      </c>
      <c r="O140" s="191"/>
    </row>
    <row r="141" spans="1:15" ht="17.100000000000001" customHeight="1">
      <c r="A141" s="223" t="s">
        <v>94</v>
      </c>
      <c r="B141" s="133" t="s">
        <v>578</v>
      </c>
      <c r="C141" s="174" t="s">
        <v>165</v>
      </c>
      <c r="D141" s="225">
        <v>10700</v>
      </c>
      <c r="E141" s="226">
        <f t="shared" si="55"/>
        <v>0</v>
      </c>
      <c r="F141" s="212">
        <f>VI.A!$F$4591</f>
        <v>0</v>
      </c>
      <c r="G141" s="213">
        <f>VI.A!$F$4605</f>
        <v>0</v>
      </c>
      <c r="H141" s="139">
        <f>VI.A!$F$4617</f>
        <v>0</v>
      </c>
      <c r="I141" s="137">
        <f t="shared" si="52"/>
        <v>0</v>
      </c>
      <c r="J141" s="138">
        <f t="shared" si="53"/>
        <v>0</v>
      </c>
      <c r="K141" s="140">
        <f t="shared" si="54"/>
        <v>0</v>
      </c>
      <c r="L141" s="214">
        <f t="shared" si="59"/>
        <v>0</v>
      </c>
      <c r="M141" s="172" t="e">
        <f t="shared" si="60"/>
        <v>#DIV/0!</v>
      </c>
      <c r="O141" s="191"/>
    </row>
    <row r="142" spans="1:15" ht="17.100000000000001" customHeight="1">
      <c r="A142" s="223" t="s">
        <v>910</v>
      </c>
      <c r="B142" s="133" t="s">
        <v>401</v>
      </c>
      <c r="C142" s="174" t="s">
        <v>165</v>
      </c>
      <c r="D142" s="225">
        <v>500</v>
      </c>
      <c r="E142" s="226">
        <f t="shared" si="55"/>
        <v>0</v>
      </c>
      <c r="F142" s="212">
        <f>VI.A!F4639</f>
        <v>0</v>
      </c>
      <c r="G142" s="213">
        <f>VI.A!F4653</f>
        <v>0</v>
      </c>
      <c r="H142" s="139">
        <f>VI.A!F4665</f>
        <v>0</v>
      </c>
      <c r="I142" s="137">
        <f t="shared" si="52"/>
        <v>0</v>
      </c>
      <c r="J142" s="138">
        <f t="shared" si="53"/>
        <v>0</v>
      </c>
      <c r="K142" s="140">
        <f t="shared" si="54"/>
        <v>0</v>
      </c>
      <c r="L142" s="214">
        <f t="shared" si="59"/>
        <v>0</v>
      </c>
      <c r="M142" s="172" t="e">
        <f t="shared" si="60"/>
        <v>#DIV/0!</v>
      </c>
      <c r="O142" s="191"/>
    </row>
    <row r="143" spans="1:15" ht="31.5">
      <c r="A143" s="223" t="s">
        <v>95</v>
      </c>
      <c r="B143" s="133" t="s">
        <v>665</v>
      </c>
      <c r="C143" s="174" t="s">
        <v>165</v>
      </c>
      <c r="D143" s="225">
        <v>51300</v>
      </c>
      <c r="E143" s="226">
        <f t="shared" si="55"/>
        <v>0</v>
      </c>
      <c r="F143" s="212">
        <f>VI.A!$F$4687</f>
        <v>0</v>
      </c>
      <c r="G143" s="213">
        <f>VI.A!$F$4701</f>
        <v>0</v>
      </c>
      <c r="H143" s="139">
        <f>VI.A!$F$4713</f>
        <v>0</v>
      </c>
      <c r="I143" s="137">
        <f t="shared" si="52"/>
        <v>0</v>
      </c>
      <c r="J143" s="138">
        <f t="shared" si="53"/>
        <v>0</v>
      </c>
      <c r="K143" s="140">
        <f t="shared" si="54"/>
        <v>0</v>
      </c>
      <c r="L143" s="214">
        <f t="shared" si="59"/>
        <v>0</v>
      </c>
      <c r="M143" s="172" t="e">
        <f t="shared" si="60"/>
        <v>#DIV/0!</v>
      </c>
      <c r="O143" s="191"/>
    </row>
    <row r="144" spans="1:15" ht="31.5">
      <c r="A144" s="223" t="s">
        <v>911</v>
      </c>
      <c r="B144" s="133" t="s">
        <v>666</v>
      </c>
      <c r="C144" s="174" t="s">
        <v>165</v>
      </c>
      <c r="D144" s="225">
        <v>6500</v>
      </c>
      <c r="E144" s="226">
        <f t="shared" si="55"/>
        <v>0</v>
      </c>
      <c r="F144" s="212">
        <f>VI.A!$F$4735</f>
        <v>0</v>
      </c>
      <c r="G144" s="213">
        <f>VI.A!$F$4749</f>
        <v>0</v>
      </c>
      <c r="H144" s="139">
        <f>VI.A!$F$4761</f>
        <v>0</v>
      </c>
      <c r="I144" s="137">
        <f t="shared" si="52"/>
        <v>0</v>
      </c>
      <c r="J144" s="138">
        <f t="shared" si="53"/>
        <v>0</v>
      </c>
      <c r="K144" s="140">
        <f t="shared" si="54"/>
        <v>0</v>
      </c>
      <c r="L144" s="214">
        <f t="shared" si="59"/>
        <v>0</v>
      </c>
      <c r="M144" s="172" t="e">
        <f t="shared" si="60"/>
        <v>#DIV/0!</v>
      </c>
      <c r="O144" s="191"/>
    </row>
    <row r="145" spans="1:15" ht="17.100000000000001" customHeight="1">
      <c r="A145" s="223" t="s">
        <v>96</v>
      </c>
      <c r="B145" s="133" t="s">
        <v>579</v>
      </c>
      <c r="C145" s="231" t="s">
        <v>165</v>
      </c>
      <c r="D145" s="225">
        <v>26700</v>
      </c>
      <c r="E145" s="232">
        <f t="shared" si="55"/>
        <v>0</v>
      </c>
      <c r="F145" s="212">
        <f>VI.A!$F$4783</f>
        <v>0</v>
      </c>
      <c r="G145" s="213">
        <f>VI.A!$F$4797</f>
        <v>0</v>
      </c>
      <c r="H145" s="139">
        <f>VI.A!$F$4809</f>
        <v>0</v>
      </c>
      <c r="I145" s="137">
        <f t="shared" si="52"/>
        <v>0</v>
      </c>
      <c r="J145" s="138">
        <f t="shared" si="53"/>
        <v>0</v>
      </c>
      <c r="K145" s="140">
        <f t="shared" si="54"/>
        <v>0</v>
      </c>
      <c r="L145" s="214">
        <f t="shared" si="59"/>
        <v>0</v>
      </c>
      <c r="M145" s="172" t="e">
        <f t="shared" si="60"/>
        <v>#DIV/0!</v>
      </c>
      <c r="O145" s="191"/>
    </row>
    <row r="146" spans="1:15" ht="17.100000000000001" customHeight="1">
      <c r="A146" s="223" t="s">
        <v>97</v>
      </c>
      <c r="B146" s="133" t="s">
        <v>580</v>
      </c>
      <c r="C146" s="168" t="s">
        <v>165</v>
      </c>
      <c r="D146" s="225">
        <v>3320</v>
      </c>
      <c r="E146" s="226">
        <f t="shared" si="55"/>
        <v>0</v>
      </c>
      <c r="F146" s="212">
        <f>VI.A!$F$4831</f>
        <v>0</v>
      </c>
      <c r="G146" s="213">
        <f>VI.A!$F$4845</f>
        <v>0</v>
      </c>
      <c r="H146" s="139">
        <f>VI.A!$F$4857</f>
        <v>0</v>
      </c>
      <c r="I146" s="137">
        <f t="shared" si="52"/>
        <v>0</v>
      </c>
      <c r="J146" s="138">
        <f t="shared" si="53"/>
        <v>0</v>
      </c>
      <c r="K146" s="140">
        <f t="shared" si="54"/>
        <v>0</v>
      </c>
      <c r="L146" s="214">
        <f t="shared" si="59"/>
        <v>0</v>
      </c>
      <c r="M146" s="172" t="e">
        <f t="shared" si="60"/>
        <v>#DIV/0!</v>
      </c>
      <c r="O146" s="191"/>
    </row>
    <row r="147" spans="1:15" ht="17.100000000000001" customHeight="1">
      <c r="A147" s="223" t="s">
        <v>98</v>
      </c>
      <c r="B147" s="133" t="s">
        <v>581</v>
      </c>
      <c r="C147" s="168" t="s">
        <v>164</v>
      </c>
      <c r="D147" s="225">
        <v>3330</v>
      </c>
      <c r="E147" s="226">
        <f t="shared" si="55"/>
        <v>0</v>
      </c>
      <c r="F147" s="212">
        <f>VI.A!$F$4879</f>
        <v>0</v>
      </c>
      <c r="G147" s="213">
        <f>VI.A!$F$4893</f>
        <v>0</v>
      </c>
      <c r="H147" s="139">
        <f>VI.A!$F$4905</f>
        <v>0</v>
      </c>
      <c r="I147" s="137">
        <f t="shared" si="52"/>
        <v>0</v>
      </c>
      <c r="J147" s="138">
        <f t="shared" si="53"/>
        <v>0</v>
      </c>
      <c r="K147" s="140">
        <f t="shared" si="54"/>
        <v>0</v>
      </c>
      <c r="L147" s="214">
        <f t="shared" si="59"/>
        <v>0</v>
      </c>
      <c r="M147" s="172" t="e">
        <f t="shared" si="60"/>
        <v>#DIV/0!</v>
      </c>
      <c r="O147" s="191"/>
    </row>
    <row r="148" spans="1:15" s="145" customFormat="1" ht="17.100000000000001" customHeight="1">
      <c r="A148" s="223" t="s">
        <v>99</v>
      </c>
      <c r="B148" s="173" t="s">
        <v>582</v>
      </c>
      <c r="C148" s="168" t="s">
        <v>165</v>
      </c>
      <c r="D148" s="225">
        <v>100</v>
      </c>
      <c r="E148" s="226">
        <f t="shared" si="55"/>
        <v>0</v>
      </c>
      <c r="F148" s="212">
        <f>VI.A!$F$4927</f>
        <v>0</v>
      </c>
      <c r="G148" s="213">
        <f>VI.A!$F$4941</f>
        <v>0</v>
      </c>
      <c r="H148" s="139">
        <f>VI.A!$F$4953</f>
        <v>0</v>
      </c>
      <c r="I148" s="137">
        <f t="shared" si="52"/>
        <v>0</v>
      </c>
      <c r="J148" s="138">
        <f t="shared" si="53"/>
        <v>0</v>
      </c>
      <c r="K148" s="140">
        <f t="shared" si="54"/>
        <v>0</v>
      </c>
      <c r="L148" s="214">
        <f t="shared" si="59"/>
        <v>0</v>
      </c>
      <c r="M148" s="172" t="e">
        <f t="shared" si="60"/>
        <v>#DIV/0!</v>
      </c>
      <c r="O148" s="191"/>
    </row>
    <row r="149" spans="1:15" ht="17.100000000000001" customHeight="1">
      <c r="A149" s="223" t="s">
        <v>100</v>
      </c>
      <c r="B149" s="173" t="s">
        <v>583</v>
      </c>
      <c r="C149" s="168" t="s">
        <v>165</v>
      </c>
      <c r="D149" s="225">
        <v>300</v>
      </c>
      <c r="E149" s="226">
        <f t="shared" si="55"/>
        <v>0</v>
      </c>
      <c r="F149" s="212">
        <f>VI.A!$F$4975</f>
        <v>0</v>
      </c>
      <c r="G149" s="213">
        <f>VI.A!$F$4989</f>
        <v>0</v>
      </c>
      <c r="H149" s="139">
        <f>VI.A!$F$5001</f>
        <v>0</v>
      </c>
      <c r="I149" s="137">
        <f t="shared" si="52"/>
        <v>0</v>
      </c>
      <c r="J149" s="138">
        <f t="shared" si="53"/>
        <v>0</v>
      </c>
      <c r="K149" s="140">
        <f t="shared" si="54"/>
        <v>0</v>
      </c>
      <c r="L149" s="214">
        <f t="shared" si="59"/>
        <v>0</v>
      </c>
      <c r="M149" s="172" t="e">
        <f t="shared" si="60"/>
        <v>#DIV/0!</v>
      </c>
      <c r="O149" s="191"/>
    </row>
    <row r="150" spans="1:15" ht="17.100000000000001" customHeight="1">
      <c r="A150" s="223" t="s">
        <v>101</v>
      </c>
      <c r="B150" s="133" t="s">
        <v>584</v>
      </c>
      <c r="C150" s="225" t="s">
        <v>166</v>
      </c>
      <c r="D150" s="225">
        <v>210</v>
      </c>
      <c r="E150" s="226">
        <f t="shared" si="55"/>
        <v>0</v>
      </c>
      <c r="F150" s="212">
        <f>VI.A!$F$5023</f>
        <v>0</v>
      </c>
      <c r="G150" s="213">
        <f>VI.A!$F$5037</f>
        <v>0</v>
      </c>
      <c r="H150" s="139">
        <f>VI.A!$F$5049</f>
        <v>0</v>
      </c>
      <c r="I150" s="137">
        <f t="shared" si="52"/>
        <v>0</v>
      </c>
      <c r="J150" s="138">
        <f t="shared" si="53"/>
        <v>0</v>
      </c>
      <c r="K150" s="140">
        <f t="shared" si="54"/>
        <v>0</v>
      </c>
      <c r="L150" s="214">
        <f t="shared" si="59"/>
        <v>0</v>
      </c>
      <c r="M150" s="172" t="e">
        <f t="shared" si="60"/>
        <v>#DIV/0!</v>
      </c>
      <c r="O150" s="191"/>
    </row>
    <row r="151" spans="1:15" ht="17.100000000000001" customHeight="1">
      <c r="A151" s="223" t="s">
        <v>102</v>
      </c>
      <c r="B151" s="133" t="s">
        <v>935</v>
      </c>
      <c r="C151" s="225" t="s">
        <v>166</v>
      </c>
      <c r="D151" s="225">
        <v>210</v>
      </c>
      <c r="E151" s="226">
        <f t="shared" si="55"/>
        <v>0</v>
      </c>
      <c r="F151" s="212">
        <f>VI.A!$F$5071</f>
        <v>0</v>
      </c>
      <c r="G151" s="213">
        <f>VI.A!$F$5085</f>
        <v>0</v>
      </c>
      <c r="H151" s="139">
        <f>VI.A!$F$5097</f>
        <v>0</v>
      </c>
      <c r="I151" s="137">
        <f t="shared" si="52"/>
        <v>0</v>
      </c>
      <c r="J151" s="138">
        <f t="shared" si="53"/>
        <v>0</v>
      </c>
      <c r="K151" s="140">
        <f t="shared" si="54"/>
        <v>0</v>
      </c>
      <c r="L151" s="214">
        <f t="shared" si="59"/>
        <v>0</v>
      </c>
      <c r="M151" s="172" t="e">
        <f t="shared" si="60"/>
        <v>#DIV/0!</v>
      </c>
      <c r="O151" s="191"/>
    </row>
    <row r="152" spans="1:15" ht="18" customHeight="1">
      <c r="A152" s="223" t="s">
        <v>103</v>
      </c>
      <c r="B152" s="133" t="s">
        <v>585</v>
      </c>
      <c r="C152" s="174" t="s">
        <v>165</v>
      </c>
      <c r="D152" s="225">
        <v>42950</v>
      </c>
      <c r="E152" s="226">
        <f t="shared" si="55"/>
        <v>0</v>
      </c>
      <c r="F152" s="212">
        <f>VI.A!$F$5119</f>
        <v>0</v>
      </c>
      <c r="G152" s="213">
        <f>VI.A!$F$5133</f>
        <v>0</v>
      </c>
      <c r="H152" s="139">
        <f>VI.A!$F$5145</f>
        <v>0</v>
      </c>
      <c r="I152" s="137">
        <f t="shared" si="52"/>
        <v>0</v>
      </c>
      <c r="J152" s="138">
        <f t="shared" si="53"/>
        <v>0</v>
      </c>
      <c r="K152" s="140">
        <f t="shared" si="54"/>
        <v>0</v>
      </c>
      <c r="L152" s="214">
        <f t="shared" si="59"/>
        <v>0</v>
      </c>
      <c r="M152" s="172" t="e">
        <f t="shared" si="60"/>
        <v>#DIV/0!</v>
      </c>
      <c r="O152" s="191"/>
    </row>
    <row r="153" spans="1:15" ht="18" customHeight="1" thickBot="1">
      <c r="A153" s="197" t="s">
        <v>104</v>
      </c>
      <c r="B153" s="153" t="s">
        <v>586</v>
      </c>
      <c r="C153" s="199" t="s">
        <v>164</v>
      </c>
      <c r="D153" s="200">
        <v>17500</v>
      </c>
      <c r="E153" s="229">
        <f t="shared" si="55"/>
        <v>0</v>
      </c>
      <c r="F153" s="202">
        <f>VI.A!$F$5167</f>
        <v>0</v>
      </c>
      <c r="G153" s="203">
        <f>VI.A!$F$5181</f>
        <v>0</v>
      </c>
      <c r="H153" s="159">
        <f>VI.A!$F$5193</f>
        <v>0</v>
      </c>
      <c r="I153" s="157">
        <f t="shared" si="52"/>
        <v>0</v>
      </c>
      <c r="J153" s="158">
        <f t="shared" si="53"/>
        <v>0</v>
      </c>
      <c r="K153" s="160">
        <f t="shared" si="54"/>
        <v>0</v>
      </c>
      <c r="L153" s="233">
        <f t="shared" si="59"/>
        <v>0</v>
      </c>
      <c r="M153" s="205" t="e">
        <f t="shared" si="60"/>
        <v>#DIV/0!</v>
      </c>
      <c r="O153" s="191"/>
    </row>
    <row r="154" spans="1:15" ht="8.1" customHeight="1" thickBot="1">
      <c r="A154" s="179"/>
      <c r="B154" s="179"/>
      <c r="C154" s="179"/>
      <c r="D154" s="179"/>
      <c r="E154" s="179"/>
      <c r="F154" s="179"/>
      <c r="G154" s="179"/>
      <c r="H154" s="179"/>
      <c r="I154" s="179"/>
      <c r="J154" s="179"/>
      <c r="K154" s="179"/>
      <c r="L154" s="179"/>
      <c r="M154" s="179"/>
    </row>
    <row r="155" spans="1:15">
      <c r="A155" s="726" t="s">
        <v>29</v>
      </c>
      <c r="B155" s="728" t="s">
        <v>903</v>
      </c>
      <c r="C155" s="730" t="s">
        <v>3</v>
      </c>
      <c r="D155" s="731"/>
      <c r="E155" s="732"/>
      <c r="F155" s="180">
        <f>I155</f>
        <v>0</v>
      </c>
      <c r="G155" s="181">
        <f>J155</f>
        <v>0</v>
      </c>
      <c r="H155" s="207">
        <f>K155</f>
        <v>0</v>
      </c>
      <c r="I155" s="183">
        <f>SUM(I157:I172)</f>
        <v>0</v>
      </c>
      <c r="J155" s="184">
        <f>SUM(J157:J172)</f>
        <v>0</v>
      </c>
      <c r="K155" s="208">
        <f>SUM(K157:K172)</f>
        <v>0</v>
      </c>
      <c r="L155" s="628">
        <f>SUM(L157:L172)</f>
        <v>0</v>
      </c>
      <c r="M155" s="707" t="e">
        <f>ROUND(L155/$L$174,6)</f>
        <v>#DIV/0!</v>
      </c>
    </row>
    <row r="156" spans="1:15">
      <c r="A156" s="727"/>
      <c r="B156" s="729"/>
      <c r="C156" s="733"/>
      <c r="D156" s="734"/>
      <c r="E156" s="735"/>
      <c r="F156" s="44" t="e">
        <f>ROUND(F155/L155,6)</f>
        <v>#DIV/0!</v>
      </c>
      <c r="G156" s="45" t="e">
        <f>ROUND(G155/L155,6)</f>
        <v>#DIV/0!</v>
      </c>
      <c r="H156" s="46" t="e">
        <f>ROUND(H155/L155,6)</f>
        <v>#DIV/0!</v>
      </c>
      <c r="I156" s="44" t="str">
        <f>IF(I155=F155,"sim","nao")</f>
        <v>sim</v>
      </c>
      <c r="J156" s="45" t="str">
        <f>IF(J155=G155,"sim","nao")</f>
        <v>sim</v>
      </c>
      <c r="K156" s="58" t="str">
        <f>IF(K155=H155,"sim","nao")</f>
        <v>sim</v>
      </c>
      <c r="L156" s="629"/>
      <c r="M156" s="708"/>
    </row>
    <row r="157" spans="1:15" s="191" customFormat="1" ht="18" customHeight="1">
      <c r="A157" s="209" t="s">
        <v>912</v>
      </c>
      <c r="B157" s="173" t="s">
        <v>653</v>
      </c>
      <c r="C157" s="210" t="s">
        <v>165</v>
      </c>
      <c r="D157" s="210">
        <v>150</v>
      </c>
      <c r="E157" s="211">
        <f t="shared" ref="E157:E172" si="61">F157+G157+H157</f>
        <v>0</v>
      </c>
      <c r="F157" s="212">
        <f>VI.A!F5215</f>
        <v>0</v>
      </c>
      <c r="G157" s="213">
        <f>VI.A!F5229</f>
        <v>0</v>
      </c>
      <c r="H157" s="139">
        <f>VI.A!F5241</f>
        <v>0</v>
      </c>
      <c r="I157" s="137">
        <f t="shared" ref="I157:I172" si="62">ROUND(D157*F157,2)</f>
        <v>0</v>
      </c>
      <c r="J157" s="138">
        <f t="shared" ref="J157:J172" si="63">ROUND(D157*G157,2)</f>
        <v>0</v>
      </c>
      <c r="K157" s="140">
        <f t="shared" ref="K157:K172" si="64">ROUND(D157*H157,2)</f>
        <v>0</v>
      </c>
      <c r="L157" s="214">
        <f t="shared" ref="L157:L172" si="65">ROUND(D157*F157,2)+ROUND(D157*G157,2)+ROUND(D157*H157,2)</f>
        <v>0</v>
      </c>
      <c r="M157" s="142" t="e">
        <f t="shared" ref="M157:M172" si="66">ROUND(L157/$L$174,6)</f>
        <v>#DIV/0!</v>
      </c>
    </row>
    <row r="158" spans="1:15" s="191" customFormat="1" ht="18" customHeight="1">
      <c r="A158" s="209" t="s">
        <v>106</v>
      </c>
      <c r="B158" s="173" t="s">
        <v>769</v>
      </c>
      <c r="C158" s="210" t="s">
        <v>164</v>
      </c>
      <c r="D158" s="210">
        <v>70</v>
      </c>
      <c r="E158" s="211">
        <f t="shared" si="61"/>
        <v>0</v>
      </c>
      <c r="F158" s="212">
        <f>VI.A!$F$5263</f>
        <v>0</v>
      </c>
      <c r="G158" s="213">
        <f>VI.A!$F$5277</f>
        <v>0</v>
      </c>
      <c r="H158" s="139">
        <f>VI.A!$F$5289</f>
        <v>0</v>
      </c>
      <c r="I158" s="137">
        <f t="shared" si="62"/>
        <v>0</v>
      </c>
      <c r="J158" s="138">
        <f t="shared" si="63"/>
        <v>0</v>
      </c>
      <c r="K158" s="140">
        <f t="shared" si="64"/>
        <v>0</v>
      </c>
      <c r="L158" s="214">
        <f t="shared" si="65"/>
        <v>0</v>
      </c>
      <c r="M158" s="142" t="e">
        <f t="shared" si="66"/>
        <v>#DIV/0!</v>
      </c>
    </row>
    <row r="159" spans="1:15" s="191" customFormat="1" ht="18" customHeight="1">
      <c r="A159" s="209" t="s">
        <v>107</v>
      </c>
      <c r="B159" s="173" t="s">
        <v>771</v>
      </c>
      <c r="C159" s="210" t="s">
        <v>164</v>
      </c>
      <c r="D159" s="210">
        <v>50</v>
      </c>
      <c r="E159" s="211">
        <f t="shared" si="61"/>
        <v>0</v>
      </c>
      <c r="F159" s="212">
        <f>VI.A!$F$5311</f>
        <v>0</v>
      </c>
      <c r="G159" s="213">
        <f>VI.A!$F$5325</f>
        <v>0</v>
      </c>
      <c r="H159" s="139">
        <f>VI.A!$F$5337</f>
        <v>0</v>
      </c>
      <c r="I159" s="137">
        <f t="shared" si="62"/>
        <v>0</v>
      </c>
      <c r="J159" s="138">
        <f t="shared" si="63"/>
        <v>0</v>
      </c>
      <c r="K159" s="140">
        <f t="shared" si="64"/>
        <v>0</v>
      </c>
      <c r="L159" s="214">
        <f t="shared" si="65"/>
        <v>0</v>
      </c>
      <c r="M159" s="142" t="e">
        <f t="shared" si="66"/>
        <v>#DIV/0!</v>
      </c>
    </row>
    <row r="160" spans="1:15" s="191" customFormat="1" ht="18" customHeight="1">
      <c r="A160" s="209" t="s">
        <v>108</v>
      </c>
      <c r="B160" s="173" t="s">
        <v>775</v>
      </c>
      <c r="C160" s="210" t="s">
        <v>164</v>
      </c>
      <c r="D160" s="210">
        <v>224</v>
      </c>
      <c r="E160" s="211">
        <f t="shared" si="61"/>
        <v>0</v>
      </c>
      <c r="F160" s="212">
        <f>VI.A!$F$5359</f>
        <v>0</v>
      </c>
      <c r="G160" s="213">
        <f>VI.A!$F$5373</f>
        <v>0</v>
      </c>
      <c r="H160" s="139">
        <f>VI.A!$F$5385</f>
        <v>0</v>
      </c>
      <c r="I160" s="137">
        <f t="shared" si="62"/>
        <v>0</v>
      </c>
      <c r="J160" s="138">
        <f t="shared" si="63"/>
        <v>0</v>
      </c>
      <c r="K160" s="140">
        <f t="shared" si="64"/>
        <v>0</v>
      </c>
      <c r="L160" s="214">
        <f t="shared" si="65"/>
        <v>0</v>
      </c>
      <c r="M160" s="142" t="e">
        <f t="shared" si="66"/>
        <v>#DIV/0!</v>
      </c>
    </row>
    <row r="161" spans="1:15" s="191" customFormat="1" ht="18" customHeight="1">
      <c r="A161" s="209" t="s">
        <v>109</v>
      </c>
      <c r="B161" s="173" t="s">
        <v>778</v>
      </c>
      <c r="C161" s="210" t="s">
        <v>164</v>
      </c>
      <c r="D161" s="210">
        <v>125</v>
      </c>
      <c r="E161" s="211">
        <f t="shared" si="61"/>
        <v>0</v>
      </c>
      <c r="F161" s="212">
        <f>VI.A!F5407</f>
        <v>0</v>
      </c>
      <c r="G161" s="213">
        <f>VI.A!F5421</f>
        <v>0</v>
      </c>
      <c r="H161" s="139">
        <f>VI.A!F5433</f>
        <v>0</v>
      </c>
      <c r="I161" s="137">
        <f t="shared" si="62"/>
        <v>0</v>
      </c>
      <c r="J161" s="138">
        <f t="shared" si="63"/>
        <v>0</v>
      </c>
      <c r="K161" s="140">
        <f t="shared" si="64"/>
        <v>0</v>
      </c>
      <c r="L161" s="214">
        <f t="shared" si="65"/>
        <v>0</v>
      </c>
      <c r="M161" s="142" t="e">
        <f t="shared" si="66"/>
        <v>#DIV/0!</v>
      </c>
    </row>
    <row r="162" spans="1:15" s="191" customFormat="1" ht="18" customHeight="1">
      <c r="A162" s="209" t="s">
        <v>110</v>
      </c>
      <c r="B162" s="173" t="s">
        <v>654</v>
      </c>
      <c r="C162" s="210" t="s">
        <v>166</v>
      </c>
      <c r="D162" s="210">
        <v>100</v>
      </c>
      <c r="E162" s="211">
        <f t="shared" si="61"/>
        <v>0</v>
      </c>
      <c r="F162" s="212">
        <f>VI.A!F5455</f>
        <v>0</v>
      </c>
      <c r="G162" s="213">
        <f>VI.A!F5469</f>
        <v>0</v>
      </c>
      <c r="H162" s="139">
        <f>VI.A!F5481</f>
        <v>0</v>
      </c>
      <c r="I162" s="137">
        <f t="shared" si="62"/>
        <v>0</v>
      </c>
      <c r="J162" s="138">
        <f t="shared" si="63"/>
        <v>0</v>
      </c>
      <c r="K162" s="140">
        <f t="shared" si="64"/>
        <v>0</v>
      </c>
      <c r="L162" s="214">
        <f t="shared" si="65"/>
        <v>0</v>
      </c>
      <c r="M162" s="142" t="e">
        <f t="shared" si="66"/>
        <v>#DIV/0!</v>
      </c>
    </row>
    <row r="163" spans="1:15" ht="18" customHeight="1">
      <c r="A163" s="209" t="s">
        <v>111</v>
      </c>
      <c r="B163" s="173" t="s">
        <v>655</v>
      </c>
      <c r="C163" s="234" t="s">
        <v>565</v>
      </c>
      <c r="D163" s="225">
        <v>2000</v>
      </c>
      <c r="E163" s="226">
        <f t="shared" si="61"/>
        <v>0</v>
      </c>
      <c r="F163" s="212">
        <f>VI.A!$F$5503</f>
        <v>0</v>
      </c>
      <c r="G163" s="213">
        <f>VI.A!$F$5517</f>
        <v>0</v>
      </c>
      <c r="H163" s="139">
        <f>VI.A!$F$5529</f>
        <v>0</v>
      </c>
      <c r="I163" s="137">
        <f t="shared" si="62"/>
        <v>0</v>
      </c>
      <c r="J163" s="138">
        <f t="shared" si="63"/>
        <v>0</v>
      </c>
      <c r="K163" s="140">
        <f t="shared" si="64"/>
        <v>0</v>
      </c>
      <c r="L163" s="214">
        <f t="shared" si="65"/>
        <v>0</v>
      </c>
      <c r="M163" s="172" t="e">
        <f t="shared" si="66"/>
        <v>#DIV/0!</v>
      </c>
      <c r="O163" s="191"/>
    </row>
    <row r="164" spans="1:15" ht="18" customHeight="1">
      <c r="A164" s="209" t="s">
        <v>112</v>
      </c>
      <c r="B164" s="173" t="s">
        <v>656</v>
      </c>
      <c r="C164" s="235" t="s">
        <v>164</v>
      </c>
      <c r="D164" s="225">
        <v>8000</v>
      </c>
      <c r="E164" s="232">
        <f t="shared" si="61"/>
        <v>0</v>
      </c>
      <c r="F164" s="212">
        <f>VI.A!$F$5551</f>
        <v>0</v>
      </c>
      <c r="G164" s="213">
        <f>VI.A!$F$5565</f>
        <v>0</v>
      </c>
      <c r="H164" s="139">
        <f>VI.A!$F$5577</f>
        <v>0</v>
      </c>
      <c r="I164" s="137">
        <f t="shared" si="62"/>
        <v>0</v>
      </c>
      <c r="J164" s="138">
        <f t="shared" si="63"/>
        <v>0</v>
      </c>
      <c r="K164" s="140">
        <f t="shared" si="64"/>
        <v>0</v>
      </c>
      <c r="L164" s="214">
        <f t="shared" si="65"/>
        <v>0</v>
      </c>
      <c r="M164" s="172" t="e">
        <f t="shared" si="66"/>
        <v>#DIV/0!</v>
      </c>
      <c r="O164" s="191"/>
    </row>
    <row r="165" spans="1:15" ht="18" customHeight="1">
      <c r="A165" s="209" t="s">
        <v>113</v>
      </c>
      <c r="B165" s="173" t="s">
        <v>661</v>
      </c>
      <c r="C165" s="235" t="s">
        <v>164</v>
      </c>
      <c r="D165" s="225">
        <v>200</v>
      </c>
      <c r="E165" s="232">
        <f t="shared" si="61"/>
        <v>0</v>
      </c>
      <c r="F165" s="212">
        <f>VI.A!F5599</f>
        <v>0</v>
      </c>
      <c r="G165" s="213">
        <f>VI.A!F5613</f>
        <v>0</v>
      </c>
      <c r="H165" s="139">
        <f>VI.A!F5625</f>
        <v>0</v>
      </c>
      <c r="I165" s="137">
        <f t="shared" si="62"/>
        <v>0</v>
      </c>
      <c r="J165" s="138">
        <f t="shared" si="63"/>
        <v>0</v>
      </c>
      <c r="K165" s="140">
        <f t="shared" si="64"/>
        <v>0</v>
      </c>
      <c r="L165" s="214">
        <f t="shared" si="65"/>
        <v>0</v>
      </c>
      <c r="M165" s="172" t="e">
        <f t="shared" si="66"/>
        <v>#DIV/0!</v>
      </c>
      <c r="O165" s="191"/>
    </row>
    <row r="166" spans="1:15" ht="18" customHeight="1">
      <c r="A166" s="209" t="s">
        <v>913</v>
      </c>
      <c r="B166" s="173" t="s">
        <v>849</v>
      </c>
      <c r="C166" s="235" t="s">
        <v>843</v>
      </c>
      <c r="D166" s="225">
        <v>12</v>
      </c>
      <c r="E166" s="232">
        <f t="shared" si="61"/>
        <v>0</v>
      </c>
      <c r="F166" s="212">
        <f>VI.A!$F$5647</f>
        <v>0</v>
      </c>
      <c r="G166" s="213">
        <f>VI.A!$F$5661</f>
        <v>0</v>
      </c>
      <c r="H166" s="139">
        <f>VI.A!$F$5673</f>
        <v>0</v>
      </c>
      <c r="I166" s="137">
        <f t="shared" ref="I166:I167" si="67">ROUND(D166*F166,2)</f>
        <v>0</v>
      </c>
      <c r="J166" s="138">
        <f t="shared" ref="J166:J167" si="68">ROUND(D166*G166,2)</f>
        <v>0</v>
      </c>
      <c r="K166" s="140">
        <f t="shared" ref="K166:K167" si="69">ROUND(D166*H166,2)</f>
        <v>0</v>
      </c>
      <c r="L166" s="214">
        <f t="shared" si="65"/>
        <v>0</v>
      </c>
      <c r="M166" s="172" t="e">
        <f t="shared" si="66"/>
        <v>#DIV/0!</v>
      </c>
      <c r="O166" s="191"/>
    </row>
    <row r="167" spans="1:15" ht="18" customHeight="1">
      <c r="A167" s="209" t="s">
        <v>914</v>
      </c>
      <c r="B167" s="173" t="s">
        <v>844</v>
      </c>
      <c r="C167" s="235" t="s">
        <v>131</v>
      </c>
      <c r="D167" s="225">
        <v>1200</v>
      </c>
      <c r="E167" s="232">
        <f t="shared" si="61"/>
        <v>0</v>
      </c>
      <c r="F167" s="212">
        <f>VI.A!$F$5695</f>
        <v>0</v>
      </c>
      <c r="G167" s="213">
        <f>VI.A!$F$5709</f>
        <v>0</v>
      </c>
      <c r="H167" s="139">
        <f>VI.A!$F$5721</f>
        <v>0</v>
      </c>
      <c r="I167" s="137">
        <f t="shared" si="67"/>
        <v>0</v>
      </c>
      <c r="J167" s="138">
        <f t="shared" si="68"/>
        <v>0</v>
      </c>
      <c r="K167" s="140">
        <f t="shared" si="69"/>
        <v>0</v>
      </c>
      <c r="L167" s="214">
        <f t="shared" si="65"/>
        <v>0</v>
      </c>
      <c r="M167" s="172" t="e">
        <f t="shared" si="66"/>
        <v>#DIV/0!</v>
      </c>
      <c r="O167" s="191"/>
    </row>
    <row r="168" spans="1:15" ht="18" customHeight="1">
      <c r="A168" s="209" t="s">
        <v>751</v>
      </c>
      <c r="B168" s="173" t="s">
        <v>657</v>
      </c>
      <c r="C168" s="235" t="s">
        <v>166</v>
      </c>
      <c r="D168" s="225">
        <v>200</v>
      </c>
      <c r="E168" s="232">
        <f t="shared" si="61"/>
        <v>0</v>
      </c>
      <c r="F168" s="212">
        <f>VI.A!$F$5743</f>
        <v>0</v>
      </c>
      <c r="G168" s="213">
        <f>VI.A!$F$5757</f>
        <v>0</v>
      </c>
      <c r="H168" s="139">
        <f>VI.A!$F$5769</f>
        <v>0</v>
      </c>
      <c r="I168" s="137">
        <f t="shared" si="62"/>
        <v>0</v>
      </c>
      <c r="J168" s="138">
        <f t="shared" si="63"/>
        <v>0</v>
      </c>
      <c r="K168" s="140">
        <f t="shared" si="64"/>
        <v>0</v>
      </c>
      <c r="L168" s="214">
        <f t="shared" si="65"/>
        <v>0</v>
      </c>
      <c r="M168" s="172" t="e">
        <f t="shared" si="66"/>
        <v>#DIV/0!</v>
      </c>
      <c r="O168" s="191"/>
    </row>
    <row r="169" spans="1:15" ht="18" customHeight="1">
      <c r="A169" s="209" t="s">
        <v>752</v>
      </c>
      <c r="B169" s="173" t="s">
        <v>658</v>
      </c>
      <c r="C169" s="235" t="s">
        <v>223</v>
      </c>
      <c r="D169" s="225">
        <v>35</v>
      </c>
      <c r="E169" s="232">
        <f t="shared" si="61"/>
        <v>0</v>
      </c>
      <c r="F169" s="212">
        <f>VI.A!F5791</f>
        <v>0</v>
      </c>
      <c r="G169" s="213">
        <f>VI.A!F5805</f>
        <v>0</v>
      </c>
      <c r="H169" s="139">
        <f>VI.A!F5817</f>
        <v>0</v>
      </c>
      <c r="I169" s="137">
        <f t="shared" si="62"/>
        <v>0</v>
      </c>
      <c r="J169" s="138">
        <f t="shared" si="63"/>
        <v>0</v>
      </c>
      <c r="K169" s="140">
        <f t="shared" si="64"/>
        <v>0</v>
      </c>
      <c r="L169" s="214">
        <f t="shared" si="65"/>
        <v>0</v>
      </c>
      <c r="M169" s="172" t="e">
        <f t="shared" si="66"/>
        <v>#DIV/0!</v>
      </c>
      <c r="O169" s="191"/>
    </row>
    <row r="170" spans="1:15" ht="18" customHeight="1">
      <c r="A170" s="209" t="s">
        <v>753</v>
      </c>
      <c r="B170" s="173" t="s">
        <v>630</v>
      </c>
      <c r="C170" s="235" t="s">
        <v>164</v>
      </c>
      <c r="D170" s="225">
        <v>1300</v>
      </c>
      <c r="E170" s="232">
        <f t="shared" si="61"/>
        <v>0</v>
      </c>
      <c r="F170" s="212">
        <f>VI.A!F5839</f>
        <v>0</v>
      </c>
      <c r="G170" s="213">
        <f>VI.A!F5853</f>
        <v>0</v>
      </c>
      <c r="H170" s="139">
        <f>VI.A!F5865</f>
        <v>0</v>
      </c>
      <c r="I170" s="137">
        <f t="shared" si="62"/>
        <v>0</v>
      </c>
      <c r="J170" s="138">
        <f t="shared" si="63"/>
        <v>0</v>
      </c>
      <c r="K170" s="140">
        <f t="shared" si="64"/>
        <v>0</v>
      </c>
      <c r="L170" s="214">
        <f t="shared" si="65"/>
        <v>0</v>
      </c>
      <c r="M170" s="172" t="e">
        <f t="shared" si="66"/>
        <v>#DIV/0!</v>
      </c>
      <c r="O170" s="191"/>
    </row>
    <row r="171" spans="1:15" ht="18" customHeight="1">
      <c r="A171" s="209" t="s">
        <v>754</v>
      </c>
      <c r="B171" s="173" t="s">
        <v>659</v>
      </c>
      <c r="C171" s="235" t="s">
        <v>164</v>
      </c>
      <c r="D171" s="225">
        <v>1200</v>
      </c>
      <c r="E171" s="232">
        <f t="shared" si="61"/>
        <v>0</v>
      </c>
      <c r="F171" s="212">
        <f>VI.A!$F$5887</f>
        <v>0</v>
      </c>
      <c r="G171" s="213">
        <f>VI.A!$F$5901</f>
        <v>0</v>
      </c>
      <c r="H171" s="139">
        <f>VI.A!$F$5913</f>
        <v>0</v>
      </c>
      <c r="I171" s="137">
        <f t="shared" si="62"/>
        <v>0</v>
      </c>
      <c r="J171" s="138">
        <f t="shared" si="63"/>
        <v>0</v>
      </c>
      <c r="K171" s="140">
        <f t="shared" si="64"/>
        <v>0</v>
      </c>
      <c r="L171" s="214">
        <f t="shared" si="65"/>
        <v>0</v>
      </c>
      <c r="M171" s="172" t="e">
        <f t="shared" si="66"/>
        <v>#DIV/0!</v>
      </c>
      <c r="O171" s="191"/>
    </row>
    <row r="172" spans="1:15" ht="18" customHeight="1" thickBot="1">
      <c r="A172" s="219" t="s">
        <v>755</v>
      </c>
      <c r="B172" s="198" t="s">
        <v>660</v>
      </c>
      <c r="C172" s="200" t="s">
        <v>223</v>
      </c>
      <c r="D172" s="200">
        <v>10</v>
      </c>
      <c r="E172" s="229">
        <f t="shared" si="61"/>
        <v>0</v>
      </c>
      <c r="F172" s="202">
        <f>VI.A!$F$5935</f>
        <v>0</v>
      </c>
      <c r="G172" s="203">
        <f>VI.A!$F$5949</f>
        <v>0</v>
      </c>
      <c r="H172" s="159">
        <f>VI.A!$F$5961</f>
        <v>0</v>
      </c>
      <c r="I172" s="157">
        <f t="shared" si="62"/>
        <v>0</v>
      </c>
      <c r="J172" s="158">
        <f t="shared" si="63"/>
        <v>0</v>
      </c>
      <c r="K172" s="160">
        <f t="shared" si="64"/>
        <v>0</v>
      </c>
      <c r="L172" s="233">
        <f t="shared" si="65"/>
        <v>0</v>
      </c>
      <c r="M172" s="205" t="e">
        <f t="shared" si="66"/>
        <v>#DIV/0!</v>
      </c>
      <c r="O172" s="191"/>
    </row>
    <row r="173" spans="1:15" ht="9.9499999999999993" customHeight="1" thickBot="1">
      <c r="A173" s="236"/>
      <c r="B173" s="236"/>
      <c r="C173" s="236"/>
      <c r="D173" s="236"/>
      <c r="E173" s="236"/>
      <c r="F173" s="236"/>
      <c r="G173" s="236"/>
      <c r="H173" s="236"/>
      <c r="I173" s="236"/>
      <c r="J173" s="236"/>
      <c r="K173" s="236"/>
      <c r="L173" s="236"/>
      <c r="M173" s="236"/>
    </row>
    <row r="174" spans="1:15" s="88" customFormat="1" ht="20.100000000000001" customHeight="1" thickBot="1">
      <c r="A174" s="736" t="s">
        <v>36</v>
      </c>
      <c r="B174" s="737"/>
      <c r="C174" s="737"/>
      <c r="D174" s="737"/>
      <c r="E174" s="737"/>
      <c r="F174" s="737"/>
      <c r="G174" s="737"/>
      <c r="H174" s="737"/>
      <c r="I174" s="737"/>
      <c r="J174" s="737"/>
      <c r="K174" s="738"/>
      <c r="L174" s="237">
        <f>ROUND(L112+L126+L43+L134+L155+L22+L14,2)</f>
        <v>0</v>
      </c>
      <c r="M174" s="238" t="e">
        <f>ROUND(M112+M126+M43+M134+M155+M22+M14,5)</f>
        <v>#DIV/0!</v>
      </c>
      <c r="N174" s="239"/>
    </row>
    <row r="175" spans="1:15" s="88" customFormat="1" ht="20.100000000000001" customHeight="1" thickBot="1">
      <c r="A175" s="648" t="s">
        <v>817</v>
      </c>
      <c r="B175" s="649"/>
      <c r="C175" s="649"/>
      <c r="D175" s="649"/>
      <c r="E175" s="649"/>
      <c r="F175" s="649"/>
      <c r="G175" s="649"/>
      <c r="H175" s="649"/>
      <c r="I175" s="649"/>
      <c r="J175" s="649"/>
      <c r="K175" s="650"/>
      <c r="L175" s="240">
        <f>F43+F14+F112+F126+F22+F134+F155</f>
        <v>0</v>
      </c>
      <c r="M175" s="241" t="e">
        <f>ROUND(L175/$L$174,4)</f>
        <v>#DIV/0!</v>
      </c>
    </row>
    <row r="176" spans="1:15" s="88" customFormat="1" ht="20.100000000000001" customHeight="1" thickBot="1">
      <c r="A176" s="648" t="s">
        <v>818</v>
      </c>
      <c r="B176" s="649"/>
      <c r="C176" s="649"/>
      <c r="D176" s="649"/>
      <c r="E176" s="649"/>
      <c r="F176" s="649"/>
      <c r="G176" s="649"/>
      <c r="H176" s="649"/>
      <c r="I176" s="649"/>
      <c r="J176" s="649"/>
      <c r="K176" s="650"/>
      <c r="L176" s="240">
        <f>G155+G134+G126+G112+G43+G22+G14</f>
        <v>0</v>
      </c>
      <c r="M176" s="241" t="e">
        <f>ROUND(L176/$L$174,5)</f>
        <v>#DIV/0!</v>
      </c>
    </row>
    <row r="177" spans="1:13" s="88" customFormat="1" ht="20.100000000000001" customHeight="1" thickBot="1">
      <c r="A177" s="648" t="s">
        <v>819</v>
      </c>
      <c r="B177" s="649"/>
      <c r="C177" s="649"/>
      <c r="D177" s="649"/>
      <c r="E177" s="649"/>
      <c r="F177" s="649"/>
      <c r="G177" s="649"/>
      <c r="H177" s="649"/>
      <c r="I177" s="649"/>
      <c r="J177" s="649"/>
      <c r="K177" s="650"/>
      <c r="L177" s="22">
        <f>H155+H134+H126+H112+H43+H22+H14</f>
        <v>0</v>
      </c>
      <c r="M177" s="241" t="e">
        <f>ROUND(L177/$L$174,5)</f>
        <v>#DIV/0!</v>
      </c>
    </row>
    <row r="178" spans="1:13" ht="9.9499999999999993" customHeight="1" thickBot="1">
      <c r="A178" s="242"/>
      <c r="B178" s="242"/>
      <c r="C178" s="242"/>
      <c r="D178" s="242"/>
      <c r="E178" s="242"/>
      <c r="F178" s="242"/>
      <c r="G178" s="242"/>
      <c r="H178" s="242"/>
      <c r="I178" s="242"/>
      <c r="J178" s="242"/>
      <c r="K178" s="242"/>
      <c r="L178" s="242"/>
      <c r="M178" s="242"/>
    </row>
    <row r="179" spans="1:13" s="88" customFormat="1">
      <c r="A179" s="720" t="s">
        <v>4</v>
      </c>
      <c r="B179" s="651" t="s">
        <v>44</v>
      </c>
      <c r="C179" s="651"/>
      <c r="D179" s="651"/>
      <c r="E179" s="652"/>
      <c r="F179" s="243" t="s">
        <v>11</v>
      </c>
      <c r="G179" s="244" t="s">
        <v>10</v>
      </c>
      <c r="H179" s="245" t="s">
        <v>9</v>
      </c>
      <c r="I179" s="244"/>
      <c r="J179" s="244"/>
      <c r="K179" s="246"/>
      <c r="L179" s="246" t="s">
        <v>8</v>
      </c>
      <c r="M179" s="655" t="s">
        <v>0</v>
      </c>
    </row>
    <row r="180" spans="1:13" s="88" customFormat="1" ht="16.5" thickBot="1">
      <c r="A180" s="721"/>
      <c r="B180" s="653"/>
      <c r="C180" s="653"/>
      <c r="D180" s="653"/>
      <c r="E180" s="654"/>
      <c r="F180" s="247" t="s">
        <v>1</v>
      </c>
      <c r="G180" s="248" t="s">
        <v>1</v>
      </c>
      <c r="H180" s="249" t="s">
        <v>1</v>
      </c>
      <c r="I180" s="248"/>
      <c r="J180" s="248"/>
      <c r="K180" s="250"/>
      <c r="L180" s="250" t="s">
        <v>13</v>
      </c>
      <c r="M180" s="656"/>
    </row>
    <row r="181" spans="1:13" s="88" customFormat="1">
      <c r="A181" s="718" t="str">
        <f>A14</f>
        <v>1.0</v>
      </c>
      <c r="B181" s="722" t="str">
        <f>B14</f>
        <v>CANTEIRO DE OBRAS</v>
      </c>
      <c r="C181" s="723"/>
      <c r="D181" s="723"/>
      <c r="E181" s="723"/>
      <c r="F181" s="251">
        <f t="shared" ref="F181:H182" si="70">F14</f>
        <v>0</v>
      </c>
      <c r="G181" s="252">
        <f t="shared" si="70"/>
        <v>0</v>
      </c>
      <c r="H181" s="253">
        <f t="shared" si="70"/>
        <v>0</v>
      </c>
      <c r="I181" s="254"/>
      <c r="J181" s="254"/>
      <c r="K181" s="254"/>
      <c r="L181" s="646">
        <f>F181+G181+H181</f>
        <v>0</v>
      </c>
      <c r="M181" s="644" t="e">
        <f>ROUND(L181/$L$174,6)</f>
        <v>#DIV/0!</v>
      </c>
    </row>
    <row r="182" spans="1:13" s="88" customFormat="1" ht="16.5" thickBot="1">
      <c r="A182" s="719"/>
      <c r="B182" s="724"/>
      <c r="C182" s="725"/>
      <c r="D182" s="725"/>
      <c r="E182" s="725"/>
      <c r="F182" s="23" t="e">
        <f t="shared" si="70"/>
        <v>#DIV/0!</v>
      </c>
      <c r="G182" s="25" t="e">
        <f t="shared" si="70"/>
        <v>#DIV/0!</v>
      </c>
      <c r="H182" s="26" t="e">
        <f t="shared" si="70"/>
        <v>#DIV/0!</v>
      </c>
      <c r="I182" s="24"/>
      <c r="J182" s="24"/>
      <c r="K182" s="255"/>
      <c r="L182" s="647"/>
      <c r="M182" s="645"/>
    </row>
    <row r="183" spans="1:13" s="88" customFormat="1">
      <c r="A183" s="636" t="str">
        <f>A22</f>
        <v>2.0</v>
      </c>
      <c r="B183" s="638" t="str">
        <f>B22</f>
        <v>SERVIÇOS INICIAIS</v>
      </c>
      <c r="C183" s="639"/>
      <c r="D183" s="639"/>
      <c r="E183" s="639"/>
      <c r="F183" s="256">
        <f t="shared" ref="F183:H184" si="71">F22</f>
        <v>0</v>
      </c>
      <c r="G183" s="257">
        <f t="shared" si="71"/>
        <v>0</v>
      </c>
      <c r="H183" s="258">
        <f t="shared" si="71"/>
        <v>0</v>
      </c>
      <c r="I183" s="259"/>
      <c r="J183" s="259"/>
      <c r="K183" s="260"/>
      <c r="L183" s="642">
        <f>F183+G183+H183</f>
        <v>0</v>
      </c>
      <c r="M183" s="739" t="e">
        <f>ROUND(L183/$L$174,6)</f>
        <v>#DIV/0!</v>
      </c>
    </row>
    <row r="184" spans="1:13" s="88" customFormat="1" ht="16.5" thickBot="1">
      <c r="A184" s="637"/>
      <c r="B184" s="640"/>
      <c r="C184" s="641"/>
      <c r="D184" s="641"/>
      <c r="E184" s="641"/>
      <c r="F184" s="27" t="e">
        <f t="shared" si="71"/>
        <v>#DIV/0!</v>
      </c>
      <c r="G184" s="28" t="e">
        <f t="shared" si="71"/>
        <v>#DIV/0!</v>
      </c>
      <c r="H184" s="29" t="e">
        <f t="shared" si="71"/>
        <v>#DIV/0!</v>
      </c>
      <c r="I184" s="28"/>
      <c r="J184" s="28"/>
      <c r="K184" s="261"/>
      <c r="L184" s="643"/>
      <c r="M184" s="740"/>
    </row>
    <row r="185" spans="1:13" s="88" customFormat="1">
      <c r="A185" s="714" t="str">
        <f>A43</f>
        <v>3.0</v>
      </c>
      <c r="B185" s="709" t="str">
        <f>B43</f>
        <v>FECHAMENTOS, PROTEÇÕES E ALVENARIAS EM GERAL</v>
      </c>
      <c r="C185" s="710"/>
      <c r="D185" s="710"/>
      <c r="E185" s="710"/>
      <c r="F185" s="251">
        <f t="shared" ref="F185:H186" si="72">F43</f>
        <v>0</v>
      </c>
      <c r="G185" s="252">
        <f t="shared" si="72"/>
        <v>0</v>
      </c>
      <c r="H185" s="253">
        <f t="shared" si="72"/>
        <v>0</v>
      </c>
      <c r="I185" s="254"/>
      <c r="J185" s="254"/>
      <c r="K185" s="254"/>
      <c r="L185" s="646">
        <f>F185+G185+H185</f>
        <v>0</v>
      </c>
      <c r="M185" s="644" t="e">
        <f>ROUND(L185/$L$174,6)</f>
        <v>#DIV/0!</v>
      </c>
    </row>
    <row r="186" spans="1:13" s="88" customFormat="1" ht="16.5" thickBot="1">
      <c r="A186" s="715"/>
      <c r="B186" s="711"/>
      <c r="C186" s="712"/>
      <c r="D186" s="712"/>
      <c r="E186" s="712"/>
      <c r="F186" s="30" t="e">
        <f t="shared" si="72"/>
        <v>#DIV/0!</v>
      </c>
      <c r="G186" s="31" t="e">
        <f t="shared" si="72"/>
        <v>#DIV/0!</v>
      </c>
      <c r="H186" s="32" t="e">
        <f t="shared" si="72"/>
        <v>#DIV/0!</v>
      </c>
      <c r="I186" s="31"/>
      <c r="J186" s="31"/>
      <c r="K186" s="255"/>
      <c r="L186" s="713"/>
      <c r="M186" s="645"/>
    </row>
    <row r="187" spans="1:13" s="88" customFormat="1">
      <c r="A187" s="634" t="str">
        <f>A112</f>
        <v>4.0</v>
      </c>
      <c r="B187" s="742" t="str">
        <f>B112</f>
        <v>FORNECIMENTO E INSTALAÇÕES HIDRAULICAS - ITEM 9.0 DO TERMO DE REFERÊNCIA</v>
      </c>
      <c r="C187" s="743"/>
      <c r="D187" s="743"/>
      <c r="E187" s="743"/>
      <c r="F187" s="243">
        <f t="shared" ref="F187:H188" si="73">F112</f>
        <v>0</v>
      </c>
      <c r="G187" s="244">
        <f t="shared" si="73"/>
        <v>0</v>
      </c>
      <c r="H187" s="245">
        <f t="shared" si="73"/>
        <v>0</v>
      </c>
      <c r="I187" s="262"/>
      <c r="J187" s="262"/>
      <c r="K187" s="262"/>
      <c r="L187" s="626">
        <f>F187+G187+H187</f>
        <v>0</v>
      </c>
      <c r="M187" s="624" t="e">
        <f>ROUND(L187/$L$174,6)</f>
        <v>#DIV/0!</v>
      </c>
    </row>
    <row r="188" spans="1:13" s="88" customFormat="1" ht="16.5" thickBot="1">
      <c r="A188" s="635"/>
      <c r="B188" s="744"/>
      <c r="C188" s="745"/>
      <c r="D188" s="745"/>
      <c r="E188" s="745"/>
      <c r="F188" s="33" t="e">
        <f t="shared" si="73"/>
        <v>#DIV/0!</v>
      </c>
      <c r="G188" s="34" t="e">
        <f t="shared" si="73"/>
        <v>#DIV/0!</v>
      </c>
      <c r="H188" s="35" t="e">
        <f t="shared" si="73"/>
        <v>#DIV/0!</v>
      </c>
      <c r="I188" s="34"/>
      <c r="J188" s="34"/>
      <c r="K188" s="263"/>
      <c r="L188" s="627"/>
      <c r="M188" s="625"/>
    </row>
    <row r="189" spans="1:13" s="88" customFormat="1">
      <c r="A189" s="775" t="str">
        <f>A126</f>
        <v>5.0</v>
      </c>
      <c r="B189" s="760" t="str">
        <f>B126</f>
        <v>RECUPERAÇÃO E TRATAMENTO DE SUPERFÍCIES EM CONCRETO ARMADO - ITEM 10.0 DO TERMO DE REFERÊNCIA</v>
      </c>
      <c r="C189" s="761"/>
      <c r="D189" s="761"/>
      <c r="E189" s="761"/>
      <c r="F189" s="264">
        <f t="shared" ref="F189:H190" si="74">F126</f>
        <v>0</v>
      </c>
      <c r="G189" s="265">
        <f t="shared" si="74"/>
        <v>0</v>
      </c>
      <c r="H189" s="266">
        <f t="shared" si="74"/>
        <v>0</v>
      </c>
      <c r="I189" s="267"/>
      <c r="J189" s="267"/>
      <c r="K189" s="254"/>
      <c r="L189" s="646">
        <f>F189+G189+H189</f>
        <v>0</v>
      </c>
      <c r="M189" s="758" t="e">
        <f>ROUND(L189/$L$174,6)</f>
        <v>#DIV/0!</v>
      </c>
    </row>
    <row r="190" spans="1:13" s="88" customFormat="1" ht="16.5" thickBot="1">
      <c r="A190" s="715"/>
      <c r="B190" s="762"/>
      <c r="C190" s="763"/>
      <c r="D190" s="763"/>
      <c r="E190" s="763"/>
      <c r="F190" s="36" t="e">
        <f t="shared" si="74"/>
        <v>#DIV/0!</v>
      </c>
      <c r="G190" s="38" t="e">
        <f t="shared" si="74"/>
        <v>#DIV/0!</v>
      </c>
      <c r="H190" s="39" t="e">
        <f t="shared" si="74"/>
        <v>#DIV/0!</v>
      </c>
      <c r="I190" s="37"/>
      <c r="J190" s="37"/>
      <c r="K190" s="255"/>
      <c r="L190" s="741"/>
      <c r="M190" s="759"/>
    </row>
    <row r="191" spans="1:13" s="88" customFormat="1">
      <c r="A191" s="746" t="str">
        <f>A134</f>
        <v>6.0</v>
      </c>
      <c r="B191" s="630" t="str">
        <f>B134</f>
        <v>PINTURAS - ITEM 11.0 DO TERMO DE REFERÊNCIA</v>
      </c>
      <c r="C191" s="631"/>
      <c r="D191" s="631"/>
      <c r="E191" s="631"/>
      <c r="F191" s="243">
        <f t="shared" ref="F191:H192" si="75">F134</f>
        <v>0</v>
      </c>
      <c r="G191" s="244">
        <f t="shared" si="75"/>
        <v>0</v>
      </c>
      <c r="H191" s="245">
        <f t="shared" si="75"/>
        <v>0</v>
      </c>
      <c r="I191" s="262"/>
      <c r="J191" s="262"/>
      <c r="K191" s="262"/>
      <c r="L191" s="626">
        <f>F191+G191+H191</f>
        <v>0</v>
      </c>
      <c r="M191" s="624" t="e">
        <f>ROUND(L191/$L$174,6)</f>
        <v>#DIV/0!</v>
      </c>
    </row>
    <row r="192" spans="1:13" s="88" customFormat="1" ht="16.5" thickBot="1">
      <c r="A192" s="635"/>
      <c r="B192" s="632"/>
      <c r="C192" s="633"/>
      <c r="D192" s="633"/>
      <c r="E192" s="633"/>
      <c r="F192" s="33" t="e">
        <f t="shared" si="75"/>
        <v>#DIV/0!</v>
      </c>
      <c r="G192" s="34" t="e">
        <f t="shared" si="75"/>
        <v>#DIV/0!</v>
      </c>
      <c r="H192" s="35" t="e">
        <f t="shared" si="75"/>
        <v>#DIV/0!</v>
      </c>
      <c r="I192" s="40"/>
      <c r="J192" s="40"/>
      <c r="K192" s="263"/>
      <c r="L192" s="627"/>
      <c r="M192" s="625"/>
    </row>
    <row r="193" spans="1:13" s="88" customFormat="1">
      <c r="A193" s="714" t="str">
        <f>A155</f>
        <v>7.0</v>
      </c>
      <c r="B193" s="771" t="str">
        <f>B155</f>
        <v>SERVIÇOS COMPLEMENTARES - ITEM 12.0 DO TERMO DE REFERÊNCIA</v>
      </c>
      <c r="C193" s="772"/>
      <c r="D193" s="772"/>
      <c r="E193" s="772"/>
      <c r="F193" s="264">
        <f t="shared" ref="F193:H194" si="76">F155</f>
        <v>0</v>
      </c>
      <c r="G193" s="265">
        <f t="shared" si="76"/>
        <v>0</v>
      </c>
      <c r="H193" s="266">
        <f t="shared" si="76"/>
        <v>0</v>
      </c>
      <c r="I193" s="267"/>
      <c r="J193" s="267"/>
      <c r="K193" s="254"/>
      <c r="L193" s="646">
        <f>F193+G193+H193</f>
        <v>0</v>
      </c>
      <c r="M193" s="758" t="e">
        <f>ROUND(L193/$L$174,6)</f>
        <v>#DIV/0!</v>
      </c>
    </row>
    <row r="194" spans="1:13" s="88" customFormat="1" ht="16.5" thickBot="1">
      <c r="A194" s="715"/>
      <c r="B194" s="773"/>
      <c r="C194" s="774"/>
      <c r="D194" s="774"/>
      <c r="E194" s="774"/>
      <c r="F194" s="36" t="e">
        <f t="shared" si="76"/>
        <v>#DIV/0!</v>
      </c>
      <c r="G194" s="38" t="e">
        <f t="shared" si="76"/>
        <v>#DIV/0!</v>
      </c>
      <c r="H194" s="39" t="e">
        <f t="shared" si="76"/>
        <v>#DIV/0!</v>
      </c>
      <c r="I194" s="37"/>
      <c r="J194" s="37"/>
      <c r="K194" s="268"/>
      <c r="L194" s="713"/>
      <c r="M194" s="770"/>
    </row>
    <row r="195" spans="1:13">
      <c r="F195" s="243">
        <f>F181+F183+F185+F187+F189+F193+F191</f>
        <v>0</v>
      </c>
      <c r="G195" s="244">
        <f>G181+G183+G185+G187+G189+G193+G191</f>
        <v>0</v>
      </c>
      <c r="H195" s="244">
        <f>H181+H183+H185+H187+H189+H193+H191</f>
        <v>0</v>
      </c>
      <c r="I195" s="244"/>
      <c r="J195" s="244"/>
      <c r="K195" s="274"/>
      <c r="L195" s="766">
        <f>SUM(L181:L194)</f>
        <v>0</v>
      </c>
      <c r="M195" s="768" t="e">
        <f>ROUND(SUM(M181:M194),6)</f>
        <v>#DIV/0!</v>
      </c>
    </row>
    <row r="196" spans="1:13" ht="16.5" thickBot="1">
      <c r="F196" s="33" t="e">
        <f>F195/L195</f>
        <v>#DIV/0!</v>
      </c>
      <c r="G196" s="34" t="e">
        <f>G195/L195</f>
        <v>#DIV/0!</v>
      </c>
      <c r="H196" s="34" t="e">
        <f>H195/L195</f>
        <v>#DIV/0!</v>
      </c>
      <c r="I196" s="34"/>
      <c r="J196" s="34"/>
      <c r="K196" s="275"/>
      <c r="L196" s="767"/>
      <c r="M196" s="769"/>
    </row>
    <row r="197" spans="1:13">
      <c r="A197" s="276"/>
      <c r="B197" s="277"/>
      <c r="C197" s="764"/>
      <c r="D197" s="764"/>
      <c r="E197" s="277"/>
      <c r="F197" s="276"/>
      <c r="G197" s="276"/>
      <c r="H197" s="276"/>
      <c r="I197" s="276"/>
      <c r="J197" s="276"/>
      <c r="K197" s="276"/>
      <c r="L197" s="276"/>
      <c r="M197" s="276"/>
    </row>
    <row r="198" spans="1:13">
      <c r="A198" s="276"/>
      <c r="B198" s="278"/>
      <c r="C198" s="764"/>
      <c r="D198" s="764"/>
      <c r="E198" s="50"/>
      <c r="F198" s="276"/>
      <c r="G198" s="276"/>
      <c r="H198" s="276"/>
      <c r="I198" s="276"/>
      <c r="J198" s="276"/>
      <c r="K198" s="276"/>
      <c r="L198" s="276"/>
      <c r="M198" s="276"/>
    </row>
    <row r="199" spans="1:13">
      <c r="A199" s="276"/>
      <c r="B199" s="276"/>
      <c r="C199" s="276"/>
      <c r="D199" s="276"/>
      <c r="E199" s="276"/>
      <c r="F199" s="276"/>
      <c r="G199" s="276"/>
      <c r="H199" s="276"/>
      <c r="I199" s="276"/>
      <c r="J199" s="276"/>
      <c r="K199" s="276"/>
      <c r="L199" s="276"/>
      <c r="M199" s="276"/>
    </row>
    <row r="200" spans="1:13">
      <c r="A200" s="276"/>
      <c r="B200" s="279"/>
      <c r="C200" s="756"/>
      <c r="D200" s="756"/>
      <c r="E200" s="756"/>
      <c r="F200" s="276"/>
      <c r="G200" s="276"/>
      <c r="H200" s="276"/>
      <c r="I200" s="276"/>
      <c r="J200" s="276"/>
      <c r="K200" s="276"/>
      <c r="L200" s="276"/>
      <c r="M200" s="276"/>
    </row>
    <row r="201" spans="1:13">
      <c r="A201" s="280"/>
      <c r="B201" s="281"/>
      <c r="C201" s="757"/>
      <c r="D201" s="757"/>
      <c r="E201" s="757"/>
      <c r="F201" s="747" t="s">
        <v>939</v>
      </c>
      <c r="G201" s="747"/>
      <c r="H201" s="747"/>
      <c r="I201" s="280"/>
      <c r="J201" s="280"/>
      <c r="K201" s="280"/>
      <c r="L201" s="280"/>
      <c r="M201" s="280"/>
    </row>
    <row r="202" spans="1:13">
      <c r="F202" s="748" t="s">
        <v>938</v>
      </c>
      <c r="G202" s="748"/>
      <c r="H202" s="748"/>
    </row>
    <row r="203" spans="1:13" ht="18.75">
      <c r="A203" s="765"/>
      <c r="B203" s="765"/>
      <c r="C203" s="765"/>
      <c r="D203" s="765"/>
      <c r="E203" s="765"/>
      <c r="F203" s="765"/>
      <c r="G203" s="765"/>
      <c r="H203" s="765"/>
      <c r="I203" s="765"/>
      <c r="J203" s="765"/>
      <c r="K203" s="765"/>
      <c r="L203" s="765"/>
      <c r="M203" s="765"/>
    </row>
    <row r="204" spans="1:13">
      <c r="M204" s="284"/>
    </row>
    <row r="205" spans="1:13" ht="18.75">
      <c r="A205" s="755"/>
      <c r="B205" s="755"/>
      <c r="C205" s="755"/>
      <c r="D205" s="755"/>
      <c r="E205" s="755"/>
      <c r="F205" s="755"/>
      <c r="G205" s="755"/>
      <c r="H205" s="755"/>
      <c r="I205" s="755"/>
      <c r="J205" s="755"/>
      <c r="K205" s="755"/>
      <c r="L205" s="755"/>
      <c r="M205" s="755"/>
    </row>
    <row r="206" spans="1:13">
      <c r="M206" s="284"/>
    </row>
    <row r="207" spans="1:13">
      <c r="M207" s="284"/>
    </row>
    <row r="208" spans="1:13">
      <c r="M208" s="284"/>
    </row>
    <row r="209" spans="1:13">
      <c r="M209" s="284"/>
    </row>
    <row r="210" spans="1:13">
      <c r="M210" s="284"/>
    </row>
    <row r="211" spans="1:13">
      <c r="M211" s="284"/>
    </row>
    <row r="212" spans="1:13">
      <c r="M212" s="284"/>
    </row>
    <row r="213" spans="1:13">
      <c r="M213" s="284"/>
    </row>
    <row r="214" spans="1:13">
      <c r="A214" s="285"/>
      <c r="B214" s="286"/>
      <c r="C214" s="285"/>
      <c r="D214" s="285"/>
      <c r="E214" s="285"/>
      <c r="F214" s="285"/>
      <c r="G214" s="285"/>
      <c r="H214" s="285"/>
      <c r="I214" s="285"/>
      <c r="J214" s="285"/>
      <c r="K214" s="285"/>
      <c r="L214" s="285"/>
      <c r="M214" s="285"/>
    </row>
    <row r="215" spans="1:13">
      <c r="A215" s="287"/>
      <c r="B215" s="288"/>
      <c r="C215" s="289"/>
      <c r="D215" s="290"/>
      <c r="E215" s="291"/>
      <c r="F215" s="291"/>
      <c r="G215" s="291"/>
      <c r="H215" s="291"/>
      <c r="I215" s="291"/>
      <c r="J215" s="291"/>
      <c r="K215" s="292"/>
      <c r="L215" s="292"/>
      <c r="M215" s="293"/>
    </row>
    <row r="216" spans="1:13">
      <c r="A216" s="287"/>
      <c r="B216" s="294"/>
      <c r="C216" s="289"/>
      <c r="D216" s="290"/>
      <c r="E216" s="291"/>
      <c r="F216" s="291"/>
      <c r="G216" s="291"/>
      <c r="H216" s="291"/>
      <c r="I216" s="291"/>
      <c r="J216" s="291"/>
      <c r="K216" s="292"/>
      <c r="L216" s="292"/>
      <c r="M216" s="293"/>
    </row>
    <row r="217" spans="1:13">
      <c r="A217" s="287"/>
      <c r="B217" s="294"/>
      <c r="C217" s="289"/>
      <c r="D217" s="290"/>
      <c r="E217" s="291"/>
      <c r="F217" s="291"/>
      <c r="G217" s="291"/>
      <c r="H217" s="291"/>
      <c r="I217" s="291"/>
      <c r="J217" s="291"/>
      <c r="K217" s="292"/>
      <c r="L217" s="292"/>
      <c r="M217" s="293"/>
    </row>
    <row r="218" spans="1:13">
      <c r="A218" s="287"/>
      <c r="B218" s="294"/>
      <c r="C218" s="289"/>
      <c r="D218" s="290"/>
      <c r="E218" s="291"/>
      <c r="F218" s="291"/>
      <c r="G218" s="291"/>
      <c r="H218" s="291"/>
      <c r="I218" s="291"/>
      <c r="J218" s="291"/>
      <c r="K218" s="292"/>
      <c r="L218" s="292"/>
      <c r="M218" s="293"/>
    </row>
    <row r="219" spans="1:13">
      <c r="A219" s="287"/>
      <c r="B219" s="294"/>
      <c r="C219" s="289"/>
      <c r="D219" s="290"/>
      <c r="E219" s="291"/>
      <c r="F219" s="291"/>
      <c r="G219" s="291"/>
      <c r="H219" s="291"/>
      <c r="I219" s="291"/>
      <c r="J219" s="291"/>
      <c r="K219" s="292"/>
      <c r="L219" s="292"/>
      <c r="M219" s="293"/>
    </row>
    <row r="220" spans="1:13">
      <c r="A220" s="287"/>
      <c r="B220" s="294"/>
      <c r="C220" s="289"/>
      <c r="D220" s="290"/>
      <c r="E220" s="291"/>
      <c r="F220" s="291"/>
      <c r="G220" s="291"/>
      <c r="H220" s="291"/>
      <c r="I220" s="291"/>
      <c r="J220" s="291"/>
      <c r="K220" s="292"/>
      <c r="L220" s="292"/>
      <c r="M220" s="293"/>
    </row>
    <row r="221" spans="1:13">
      <c r="A221" s="287"/>
      <c r="B221" s="294"/>
      <c r="C221" s="289"/>
      <c r="D221" s="290"/>
      <c r="E221" s="291"/>
      <c r="F221" s="291"/>
      <c r="G221" s="291"/>
      <c r="H221" s="291"/>
      <c r="I221" s="291"/>
      <c r="J221" s="291"/>
      <c r="K221" s="292"/>
      <c r="L221" s="292"/>
      <c r="M221" s="293"/>
    </row>
    <row r="222" spans="1:13">
      <c r="A222" s="287"/>
      <c r="B222" s="294"/>
      <c r="C222" s="289"/>
      <c r="D222" s="290"/>
      <c r="E222" s="291"/>
      <c r="F222" s="291"/>
      <c r="G222" s="291"/>
      <c r="H222" s="291"/>
      <c r="I222" s="291"/>
      <c r="J222" s="291"/>
      <c r="K222" s="292"/>
      <c r="L222" s="292"/>
      <c r="M222" s="293"/>
    </row>
    <row r="223" spans="1:13">
      <c r="A223" s="287"/>
      <c r="B223" s="294"/>
      <c r="C223" s="289"/>
      <c r="D223" s="290"/>
      <c r="E223" s="291"/>
      <c r="F223" s="291"/>
      <c r="G223" s="291"/>
      <c r="H223" s="291"/>
      <c r="I223" s="291"/>
      <c r="J223" s="291"/>
      <c r="K223" s="292"/>
      <c r="L223" s="292"/>
      <c r="M223" s="293"/>
    </row>
    <row r="224" spans="1:13">
      <c r="A224" s="287"/>
      <c r="B224" s="294"/>
      <c r="C224" s="289"/>
      <c r="D224" s="290"/>
      <c r="E224" s="291"/>
      <c r="F224" s="291"/>
      <c r="G224" s="291"/>
      <c r="H224" s="291"/>
      <c r="I224" s="291"/>
      <c r="J224" s="291"/>
      <c r="K224" s="292"/>
      <c r="L224" s="292"/>
      <c r="M224" s="293"/>
    </row>
    <row r="237" spans="1:13">
      <c r="A237" s="273"/>
      <c r="B237" s="295"/>
      <c r="C237" s="273"/>
      <c r="D237" s="296"/>
      <c r="F237" s="119"/>
      <c r="G237" s="119"/>
      <c r="H237" s="297"/>
      <c r="I237" s="298"/>
      <c r="J237" s="119"/>
      <c r="K237" s="299"/>
      <c r="L237" s="119"/>
      <c r="M237" s="300"/>
    </row>
    <row r="238" spans="1:13">
      <c r="A238" s="273"/>
      <c r="B238" s="295"/>
      <c r="C238" s="273"/>
      <c r="D238" s="296"/>
      <c r="F238" s="119"/>
      <c r="G238" s="119"/>
      <c r="H238" s="297"/>
      <c r="I238" s="298"/>
      <c r="J238" s="119"/>
      <c r="K238" s="299"/>
      <c r="L238" s="119"/>
      <c r="M238" s="300"/>
    </row>
    <row r="239" spans="1:13">
      <c r="A239" s="273"/>
      <c r="B239" s="295"/>
      <c r="C239" s="273"/>
      <c r="D239" s="296"/>
      <c r="F239" s="301"/>
      <c r="G239" s="119"/>
      <c r="H239" s="297"/>
      <c r="I239" s="298"/>
      <c r="J239" s="119"/>
      <c r="K239" s="299"/>
      <c r="L239" s="119"/>
      <c r="M239" s="300"/>
    </row>
    <row r="240" spans="1:13">
      <c r="A240" s="273"/>
      <c r="B240" s="295"/>
      <c r="C240" s="273"/>
      <c r="D240" s="296"/>
      <c r="F240" s="119"/>
      <c r="G240" s="119"/>
      <c r="H240" s="297"/>
      <c r="I240" s="298"/>
      <c r="J240" s="119"/>
      <c r="K240" s="299"/>
      <c r="L240" s="119"/>
      <c r="M240" s="300"/>
    </row>
    <row r="241" spans="1:13">
      <c r="A241" s="273"/>
      <c r="B241" s="295"/>
      <c r="C241" s="273"/>
      <c r="D241" s="296"/>
      <c r="F241" s="119"/>
      <c r="G241" s="119"/>
      <c r="H241" s="297"/>
      <c r="I241" s="298"/>
      <c r="J241" s="119"/>
      <c r="K241" s="299"/>
      <c r="L241" s="119"/>
      <c r="M241" s="300"/>
    </row>
    <row r="242" spans="1:13">
      <c r="A242" s="273"/>
      <c r="B242" s="295"/>
      <c r="C242" s="273"/>
      <c r="D242" s="296"/>
      <c r="F242" s="119"/>
      <c r="G242" s="119"/>
      <c r="H242" s="297"/>
      <c r="I242" s="298"/>
      <c r="J242" s="119"/>
      <c r="K242" s="299"/>
      <c r="L242" s="119"/>
      <c r="M242" s="300"/>
    </row>
    <row r="243" spans="1:13">
      <c r="A243" s="273"/>
      <c r="B243" s="295"/>
      <c r="C243" s="273"/>
      <c r="D243" s="296"/>
      <c r="F243" s="119"/>
      <c r="G243" s="119"/>
      <c r="H243" s="297"/>
      <c r="I243" s="298"/>
      <c r="J243" s="119"/>
      <c r="K243" s="299"/>
      <c r="L243" s="119"/>
      <c r="M243" s="300"/>
    </row>
    <row r="244" spans="1:13">
      <c r="A244" s="273"/>
      <c r="B244" s="295"/>
      <c r="C244" s="273"/>
      <c r="D244" s="296"/>
      <c r="F244" s="119"/>
      <c r="G244" s="119"/>
      <c r="H244" s="297"/>
      <c r="I244" s="298"/>
      <c r="J244" s="119"/>
      <c r="K244" s="299"/>
      <c r="L244" s="119"/>
      <c r="M244" s="300"/>
    </row>
    <row r="245" spans="1:13">
      <c r="A245" s="273"/>
      <c r="B245" s="295"/>
      <c r="C245" s="273"/>
      <c r="D245" s="296"/>
      <c r="F245" s="119"/>
      <c r="G245" s="119"/>
      <c r="H245" s="297"/>
      <c r="I245" s="298"/>
      <c r="J245" s="119"/>
      <c r="K245" s="299"/>
      <c r="L245" s="119"/>
      <c r="M245" s="300"/>
    </row>
    <row r="246" spans="1:13">
      <c r="A246" s="273"/>
      <c r="B246" s="295"/>
      <c r="C246" s="273"/>
      <c r="D246" s="296"/>
      <c r="F246" s="119"/>
      <c r="G246" s="119"/>
      <c r="H246" s="297"/>
      <c r="I246" s="298"/>
      <c r="J246" s="119"/>
      <c r="K246" s="299"/>
      <c r="L246" s="119"/>
      <c r="M246" s="300"/>
    </row>
    <row r="247" spans="1:13">
      <c r="A247" s="273"/>
      <c r="B247" s="295"/>
      <c r="C247" s="273"/>
      <c r="D247" s="296"/>
      <c r="F247" s="119"/>
      <c r="G247" s="119"/>
      <c r="H247" s="297"/>
      <c r="I247" s="298"/>
      <c r="J247" s="119"/>
      <c r="K247" s="299"/>
      <c r="L247" s="119"/>
      <c r="M247" s="300"/>
    </row>
    <row r="248" spans="1:13">
      <c r="A248" s="273"/>
      <c r="B248" s="295"/>
      <c r="C248" s="273"/>
      <c r="D248" s="296"/>
      <c r="F248" s="119"/>
      <c r="G248" s="119"/>
      <c r="H248" s="297"/>
      <c r="I248" s="298"/>
      <c r="J248" s="119"/>
      <c r="K248" s="299"/>
      <c r="L248" s="119"/>
      <c r="M248" s="300"/>
    </row>
    <row r="249" spans="1:13">
      <c r="A249" s="273"/>
      <c r="B249" s="295"/>
      <c r="C249" s="273"/>
      <c r="D249" s="296"/>
      <c r="F249" s="119"/>
      <c r="G249" s="119"/>
      <c r="H249" s="297"/>
      <c r="I249" s="298"/>
      <c r="J249" s="119"/>
      <c r="K249" s="299"/>
      <c r="L249" s="119"/>
      <c r="M249" s="300"/>
    </row>
    <row r="250" spans="1:13">
      <c r="A250" s="273"/>
      <c r="B250" s="295"/>
      <c r="C250" s="273"/>
      <c r="D250" s="296"/>
      <c r="F250" s="119"/>
      <c r="G250" s="119"/>
      <c r="H250" s="297"/>
      <c r="I250" s="298"/>
      <c r="J250" s="119"/>
      <c r="K250" s="299"/>
      <c r="L250" s="119"/>
      <c r="M250" s="300"/>
    </row>
    <row r="251" spans="1:13">
      <c r="A251" s="273"/>
      <c r="B251" s="295"/>
      <c r="C251" s="273"/>
      <c r="D251" s="296"/>
      <c r="F251" s="119"/>
      <c r="G251" s="119"/>
      <c r="H251" s="297"/>
      <c r="I251" s="298"/>
      <c r="J251" s="119"/>
      <c r="K251" s="299"/>
      <c r="L251" s="119"/>
      <c r="M251" s="300"/>
    </row>
    <row r="252" spans="1:13">
      <c r="A252" s="273"/>
      <c r="B252" s="295"/>
      <c r="C252" s="273"/>
      <c r="D252" s="296"/>
      <c r="F252" s="119"/>
      <c r="G252" s="119"/>
      <c r="H252" s="297"/>
      <c r="I252" s="298"/>
      <c r="J252" s="119"/>
      <c r="K252" s="299"/>
      <c r="L252" s="119"/>
      <c r="M252" s="300"/>
    </row>
    <row r="253" spans="1:13">
      <c r="A253" s="273"/>
      <c r="B253" s="295"/>
      <c r="C253" s="273"/>
      <c r="D253" s="296"/>
      <c r="F253" s="119"/>
      <c r="G253" s="119"/>
      <c r="H253" s="297"/>
      <c r="I253" s="298"/>
      <c r="J253" s="119"/>
      <c r="K253" s="299"/>
      <c r="L253" s="119"/>
      <c r="M253" s="300"/>
    </row>
    <row r="254" spans="1:13">
      <c r="A254" s="273"/>
      <c r="B254" s="295"/>
      <c r="C254" s="273"/>
      <c r="D254" s="296"/>
      <c r="F254" s="119"/>
      <c r="G254" s="119"/>
      <c r="H254" s="297"/>
      <c r="I254" s="298"/>
      <c r="J254" s="119"/>
      <c r="K254" s="299"/>
      <c r="L254" s="119"/>
      <c r="M254" s="300"/>
    </row>
    <row r="255" spans="1:13">
      <c r="A255" s="273"/>
      <c r="B255" s="295"/>
      <c r="C255" s="273"/>
      <c r="D255" s="296"/>
      <c r="F255" s="119"/>
      <c r="G255" s="119"/>
      <c r="H255" s="297"/>
      <c r="I255" s="298"/>
      <c r="J255" s="119"/>
      <c r="K255" s="299"/>
      <c r="L255" s="119"/>
      <c r="M255" s="300"/>
    </row>
    <row r="256" spans="1:13">
      <c r="A256" s="273"/>
      <c r="B256" s="295"/>
      <c r="C256" s="273"/>
      <c r="D256" s="296"/>
      <c r="F256" s="119"/>
      <c r="G256" s="119"/>
      <c r="H256" s="297"/>
      <c r="I256" s="298"/>
      <c r="J256" s="119"/>
      <c r="K256" s="299"/>
      <c r="L256" s="119"/>
      <c r="M256" s="300"/>
    </row>
    <row r="257" spans="1:13">
      <c r="A257" s="273"/>
      <c r="B257" s="295"/>
      <c r="C257" s="273"/>
      <c r="D257" s="296"/>
      <c r="F257" s="119"/>
      <c r="G257" s="119"/>
      <c r="H257" s="297"/>
      <c r="I257" s="298"/>
      <c r="J257" s="119"/>
      <c r="K257" s="299"/>
      <c r="L257" s="119"/>
      <c r="M257" s="300"/>
    </row>
    <row r="258" spans="1:13">
      <c r="A258" s="273"/>
      <c r="B258" s="295"/>
      <c r="C258" s="273"/>
      <c r="D258" s="296"/>
      <c r="F258" s="119"/>
      <c r="G258" s="119"/>
      <c r="H258" s="297"/>
      <c r="I258" s="298"/>
      <c r="J258" s="119"/>
      <c r="K258" s="299"/>
      <c r="L258" s="119"/>
      <c r="M258" s="300"/>
    </row>
    <row r="259" spans="1:13">
      <c r="A259" s="273"/>
      <c r="B259" s="295"/>
      <c r="C259" s="273"/>
      <c r="D259" s="296"/>
      <c r="F259" s="119"/>
      <c r="G259" s="119"/>
      <c r="H259" s="297"/>
      <c r="I259" s="298"/>
      <c r="J259" s="119"/>
      <c r="K259" s="299"/>
      <c r="L259" s="119"/>
      <c r="M259" s="300"/>
    </row>
  </sheetData>
  <sheetProtection algorithmName="SHA-512" hashValue="MuPRiFh0rN00xAoZEKtjRoXGkrabxDoUZF5aW98DYKsf24mnkO0hmeAv/j1WHWUqFMybL7F9w54H8+rc+xns1Q==" saltValue="QmLHdHcofYUtmATdSSEZJQ==" spinCount="100000" sheet="1" objects="1" scenarios="1" selectLockedCells="1"/>
  <mergeCells count="91">
    <mergeCell ref="F201:H201"/>
    <mergeCell ref="F202:H202"/>
    <mergeCell ref="A1:M3"/>
    <mergeCell ref="A205:M205"/>
    <mergeCell ref="C200:E200"/>
    <mergeCell ref="C201:E201"/>
    <mergeCell ref="M189:M190"/>
    <mergeCell ref="B189:E190"/>
    <mergeCell ref="C197:D197"/>
    <mergeCell ref="A203:M203"/>
    <mergeCell ref="L195:L196"/>
    <mergeCell ref="M195:M196"/>
    <mergeCell ref="C198:D198"/>
    <mergeCell ref="M193:M194"/>
    <mergeCell ref="B193:E194"/>
    <mergeCell ref="A189:A190"/>
    <mergeCell ref="M183:M184"/>
    <mergeCell ref="L189:L190"/>
    <mergeCell ref="A193:A194"/>
    <mergeCell ref="L193:L194"/>
    <mergeCell ref="L187:L188"/>
    <mergeCell ref="B187:E188"/>
    <mergeCell ref="A191:A192"/>
    <mergeCell ref="B185:E186"/>
    <mergeCell ref="L185:L186"/>
    <mergeCell ref="A185:A186"/>
    <mergeCell ref="A134:A135"/>
    <mergeCell ref="A181:A182"/>
    <mergeCell ref="A179:A180"/>
    <mergeCell ref="B181:E182"/>
    <mergeCell ref="A155:A156"/>
    <mergeCell ref="B155:B156"/>
    <mergeCell ref="A175:K175"/>
    <mergeCell ref="A176:K176"/>
    <mergeCell ref="C155:E156"/>
    <mergeCell ref="A174:K174"/>
    <mergeCell ref="B22:B23"/>
    <mergeCell ref="A126:A127"/>
    <mergeCell ref="M134:M135"/>
    <mergeCell ref="B134:B135"/>
    <mergeCell ref="M155:M156"/>
    <mergeCell ref="L134:L135"/>
    <mergeCell ref="C134:E135"/>
    <mergeCell ref="D10:D11"/>
    <mergeCell ref="A112:A113"/>
    <mergeCell ref="M126:M127"/>
    <mergeCell ref="L126:L127"/>
    <mergeCell ref="C126:E127"/>
    <mergeCell ref="B14:B15"/>
    <mergeCell ref="M22:M23"/>
    <mergeCell ref="B43:B44"/>
    <mergeCell ref="B126:B127"/>
    <mergeCell ref="L43:L44"/>
    <mergeCell ref="L112:L113"/>
    <mergeCell ref="M112:M113"/>
    <mergeCell ref="M43:M44"/>
    <mergeCell ref="B112:B113"/>
    <mergeCell ref="C112:E113"/>
    <mergeCell ref="A22:A23"/>
    <mergeCell ref="M179:M180"/>
    <mergeCell ref="A5:M5"/>
    <mergeCell ref="C14:E15"/>
    <mergeCell ref="A14:A15"/>
    <mergeCell ref="C22:E23"/>
    <mergeCell ref="L22:L23"/>
    <mergeCell ref="L14:L15"/>
    <mergeCell ref="L8:M9"/>
    <mergeCell ref="M14:M15"/>
    <mergeCell ref="H8:K9"/>
    <mergeCell ref="F8:G8"/>
    <mergeCell ref="F9:G9"/>
    <mergeCell ref="M10:M11"/>
    <mergeCell ref="B10:B11"/>
    <mergeCell ref="C10:C11"/>
    <mergeCell ref="A10:A11"/>
    <mergeCell ref="A43:A44"/>
    <mergeCell ref="C43:E44"/>
    <mergeCell ref="M191:M192"/>
    <mergeCell ref="L191:L192"/>
    <mergeCell ref="L155:L156"/>
    <mergeCell ref="B191:E192"/>
    <mergeCell ref="A187:A188"/>
    <mergeCell ref="A183:A184"/>
    <mergeCell ref="B183:E184"/>
    <mergeCell ref="L183:L184"/>
    <mergeCell ref="M187:M188"/>
    <mergeCell ref="M185:M186"/>
    <mergeCell ref="L181:L182"/>
    <mergeCell ref="A177:K177"/>
    <mergeCell ref="M181:M182"/>
    <mergeCell ref="B179:E180"/>
  </mergeCells>
  <phoneticPr fontId="28" type="noConversion"/>
  <printOptions horizontalCentered="1"/>
  <pageMargins left="0.31496062992125984" right="0.23622047244094491" top="0.70866141732283472" bottom="0.62992125984251968" header="0.43307086614173229" footer="0.39370078740157483"/>
  <pageSetup paperSize="9" scale="54" firstPageNumber="0" fitToHeight="0" orientation="landscape" r:id="rId1"/>
  <headerFooter alignWithMargins="0">
    <oddFooter>Página &amp;P de &amp;N</oddFooter>
  </headerFooter>
  <rowBreaks count="5" manualBreakCount="5">
    <brk id="41" max="12" man="1"/>
    <brk id="78" max="12" man="1"/>
    <brk id="111" max="12" man="1"/>
    <brk id="133" max="12" man="1"/>
    <brk id="173" max="12"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N157"/>
  <sheetViews>
    <sheetView view="pageBreakPreview" topLeftCell="B1" zoomScale="85" zoomScaleSheetLayoutView="85" workbookViewId="0">
      <selection activeCell="B1" sqref="B1:W5"/>
    </sheetView>
  </sheetViews>
  <sheetFormatPr defaultRowHeight="15" customHeight="1"/>
  <cols>
    <col min="1" max="1" width="4.5703125" style="302" hidden="1" customWidth="1"/>
    <col min="2" max="2" width="6" style="332" customWidth="1"/>
    <col min="3" max="3" width="35.7109375" style="332" customWidth="1"/>
    <col min="4" max="4" width="17.28515625" style="336" customWidth="1"/>
    <col min="5" max="6" width="12.7109375" style="336" customWidth="1"/>
    <col min="7" max="7" width="12.7109375" style="337" customWidth="1"/>
    <col min="8" max="15" width="12.7109375" style="338" customWidth="1"/>
    <col min="16" max="16" width="12.7109375" style="302" customWidth="1"/>
    <col min="17" max="18" width="12.7109375" style="339" customWidth="1"/>
    <col min="19" max="20" width="13.140625" style="302" bestFit="1" customWidth="1"/>
    <col min="21" max="21" width="12.7109375" style="302" customWidth="1"/>
    <col min="22" max="22" width="13.85546875" style="302" bestFit="1" customWidth="1"/>
    <col min="23" max="23" width="18" style="302" customWidth="1"/>
    <col min="24" max="24" width="17.140625" style="303" bestFit="1" customWidth="1"/>
    <col min="25" max="25" width="15" style="302" bestFit="1" customWidth="1"/>
    <col min="26" max="26" width="9.85546875" style="302" bestFit="1" customWidth="1"/>
    <col min="27" max="30" width="8.7109375" style="302" customWidth="1"/>
    <col min="31" max="236" width="9.140625" style="302"/>
    <col min="237" max="16384" width="9.140625" style="304"/>
  </cols>
  <sheetData>
    <row r="1" spans="2:26" ht="15" customHeight="1">
      <c r="B1" s="870" t="str">
        <f>IV.A!A1</f>
        <v>TIMBRE LICITANTE</v>
      </c>
      <c r="C1" s="870"/>
      <c r="D1" s="870"/>
      <c r="E1" s="870"/>
      <c r="F1" s="870"/>
      <c r="G1" s="870"/>
      <c r="H1" s="870"/>
      <c r="I1" s="870"/>
      <c r="J1" s="870"/>
      <c r="K1" s="870"/>
      <c r="L1" s="870"/>
      <c r="M1" s="870"/>
      <c r="N1" s="870"/>
      <c r="O1" s="870"/>
      <c r="P1" s="870"/>
      <c r="Q1" s="870"/>
      <c r="R1" s="870"/>
      <c r="S1" s="870"/>
      <c r="T1" s="870"/>
      <c r="U1" s="870"/>
      <c r="V1" s="870"/>
      <c r="W1" s="870"/>
    </row>
    <row r="2" spans="2:26" ht="15" customHeight="1">
      <c r="B2" s="870"/>
      <c r="C2" s="870"/>
      <c r="D2" s="870"/>
      <c r="E2" s="870"/>
      <c r="F2" s="870"/>
      <c r="G2" s="870"/>
      <c r="H2" s="870"/>
      <c r="I2" s="870"/>
      <c r="J2" s="870"/>
      <c r="K2" s="870"/>
      <c r="L2" s="870"/>
      <c r="M2" s="870"/>
      <c r="N2" s="870"/>
      <c r="O2" s="870"/>
      <c r="P2" s="870"/>
      <c r="Q2" s="870"/>
      <c r="R2" s="870"/>
      <c r="S2" s="870"/>
      <c r="T2" s="870"/>
      <c r="U2" s="870"/>
      <c r="V2" s="870"/>
      <c r="W2" s="870"/>
    </row>
    <row r="3" spans="2:26" ht="20.25" customHeight="1">
      <c r="B3" s="870"/>
      <c r="C3" s="870"/>
      <c r="D3" s="870"/>
      <c r="E3" s="870"/>
      <c r="F3" s="870"/>
      <c r="G3" s="870"/>
      <c r="H3" s="870"/>
      <c r="I3" s="870"/>
      <c r="J3" s="870"/>
      <c r="K3" s="870"/>
      <c r="L3" s="870"/>
      <c r="M3" s="870"/>
      <c r="N3" s="870"/>
      <c r="O3" s="870"/>
      <c r="P3" s="870"/>
      <c r="Q3" s="870"/>
      <c r="R3" s="870"/>
      <c r="S3" s="870"/>
      <c r="T3" s="870"/>
      <c r="U3" s="870"/>
      <c r="V3" s="870"/>
      <c r="W3" s="870"/>
    </row>
    <row r="4" spans="2:26" ht="20.25" customHeight="1">
      <c r="B4" s="870"/>
      <c r="C4" s="870"/>
      <c r="D4" s="870"/>
      <c r="E4" s="870"/>
      <c r="F4" s="870"/>
      <c r="G4" s="870"/>
      <c r="H4" s="870"/>
      <c r="I4" s="870"/>
      <c r="J4" s="870"/>
      <c r="K4" s="870"/>
      <c r="L4" s="870"/>
      <c r="M4" s="870"/>
      <c r="N4" s="870"/>
      <c r="O4" s="870"/>
      <c r="P4" s="870"/>
      <c r="Q4" s="870"/>
      <c r="R4" s="870"/>
      <c r="S4" s="870"/>
      <c r="T4" s="870"/>
      <c r="U4" s="870"/>
      <c r="V4" s="870"/>
      <c r="W4" s="870"/>
    </row>
    <row r="5" spans="2:26" ht="15" customHeight="1">
      <c r="B5" s="870"/>
      <c r="C5" s="870"/>
      <c r="D5" s="870"/>
      <c r="E5" s="870"/>
      <c r="F5" s="870"/>
      <c r="G5" s="870"/>
      <c r="H5" s="870"/>
      <c r="I5" s="870"/>
      <c r="J5" s="870"/>
      <c r="K5" s="870"/>
      <c r="L5" s="870"/>
      <c r="M5" s="870"/>
      <c r="N5" s="870"/>
      <c r="O5" s="870"/>
      <c r="P5" s="870"/>
      <c r="Q5" s="870"/>
      <c r="R5" s="870"/>
      <c r="S5" s="870"/>
      <c r="T5" s="870"/>
      <c r="U5" s="870"/>
      <c r="V5" s="870"/>
      <c r="W5" s="870"/>
    </row>
    <row r="6" spans="2:26" ht="18.75">
      <c r="B6" s="867"/>
      <c r="C6" s="867"/>
      <c r="D6" s="867"/>
      <c r="E6" s="867"/>
      <c r="F6" s="867"/>
      <c r="G6" s="867"/>
      <c r="H6" s="867"/>
      <c r="I6" s="867"/>
      <c r="J6" s="867"/>
      <c r="K6" s="867"/>
      <c r="L6" s="867"/>
      <c r="M6" s="867"/>
      <c r="N6" s="867"/>
      <c r="O6" s="867"/>
      <c r="P6" s="867"/>
      <c r="Q6" s="867"/>
      <c r="R6" s="867"/>
      <c r="S6" s="867"/>
      <c r="T6" s="867"/>
      <c r="U6" s="867"/>
      <c r="V6" s="867"/>
      <c r="W6" s="305"/>
    </row>
    <row r="7" spans="2:26" ht="18.75">
      <c r="B7" s="658" t="str">
        <f>IV.A!$A$7</f>
        <v>EXECUÇÃO DE SERVIÇO DE REFORMA CIVIL, CONSTRUÇÕES E MANUTENÇÕES GERAIS  PARA MELHORIAS NAS ÁREAS DE PROPRIEDADE E/OU DE RESPONSABILIDADE DO SEMAE.</v>
      </c>
      <c r="C7" s="658"/>
      <c r="D7" s="658"/>
      <c r="E7" s="658"/>
      <c r="F7" s="658"/>
      <c r="G7" s="658"/>
      <c r="H7" s="658"/>
      <c r="I7" s="658"/>
      <c r="J7" s="658"/>
      <c r="K7" s="658"/>
      <c r="L7" s="658"/>
      <c r="M7" s="658"/>
      <c r="N7" s="658"/>
      <c r="O7" s="658"/>
      <c r="P7" s="658"/>
      <c r="Q7" s="658"/>
      <c r="R7" s="658"/>
      <c r="S7" s="658"/>
      <c r="T7" s="658"/>
      <c r="U7" s="658"/>
      <c r="V7" s="658"/>
      <c r="W7" s="658"/>
    </row>
    <row r="8" spans="2:26" ht="15" customHeight="1">
      <c r="B8" s="868"/>
      <c r="C8" s="868"/>
      <c r="D8" s="868"/>
      <c r="E8" s="868"/>
      <c r="F8" s="868"/>
      <c r="G8" s="868"/>
      <c r="H8" s="868"/>
      <c r="I8" s="868"/>
      <c r="J8" s="868"/>
      <c r="K8" s="868"/>
      <c r="L8" s="868"/>
      <c r="M8" s="868"/>
      <c r="N8" s="868"/>
      <c r="O8" s="868"/>
      <c r="P8" s="868"/>
      <c r="Q8" s="868"/>
      <c r="R8" s="868"/>
      <c r="S8" s="868"/>
      <c r="T8" s="868"/>
      <c r="U8" s="868"/>
      <c r="V8" s="868"/>
    </row>
    <row r="9" spans="2:26" ht="15" customHeight="1">
      <c r="B9" s="658" t="s">
        <v>937</v>
      </c>
      <c r="C9" s="658"/>
      <c r="D9" s="658"/>
      <c r="E9" s="658"/>
      <c r="F9" s="658"/>
      <c r="G9" s="658"/>
      <c r="H9" s="658"/>
      <c r="I9" s="658"/>
      <c r="J9" s="658"/>
      <c r="K9" s="658"/>
      <c r="L9" s="658"/>
      <c r="M9" s="658"/>
      <c r="N9" s="658"/>
      <c r="O9" s="658"/>
      <c r="P9" s="658"/>
      <c r="Q9" s="658"/>
      <c r="R9" s="658"/>
      <c r="S9" s="658"/>
      <c r="T9" s="658"/>
      <c r="U9" s="658"/>
      <c r="V9" s="658"/>
      <c r="W9" s="658"/>
    </row>
    <row r="10" spans="2:26" ht="15" customHeight="1">
      <c r="B10" s="869"/>
      <c r="C10" s="869"/>
      <c r="D10" s="869"/>
      <c r="E10" s="869"/>
      <c r="F10" s="869"/>
      <c r="G10" s="869"/>
      <c r="H10" s="869"/>
      <c r="I10" s="869"/>
      <c r="J10" s="869"/>
      <c r="K10" s="869"/>
      <c r="L10" s="869"/>
      <c r="M10" s="869"/>
      <c r="N10" s="869"/>
      <c r="O10" s="869"/>
      <c r="P10" s="869"/>
      <c r="Q10" s="869"/>
      <c r="R10" s="869"/>
      <c r="S10" s="869"/>
      <c r="T10" s="869"/>
      <c r="U10" s="869"/>
      <c r="V10" s="869"/>
    </row>
    <row r="11" spans="2:26" ht="0.95" customHeight="1" thickBot="1">
      <c r="B11" s="306"/>
      <c r="C11" s="306"/>
      <c r="D11" s="306"/>
      <c r="E11" s="306"/>
      <c r="F11" s="306"/>
      <c r="G11" s="306"/>
      <c r="H11" s="306"/>
      <c r="I11" s="306"/>
      <c r="J11" s="306"/>
      <c r="K11" s="306"/>
      <c r="L11" s="306"/>
      <c r="M11" s="306"/>
      <c r="N11" s="306"/>
      <c r="O11" s="306"/>
      <c r="P11" s="306"/>
      <c r="Q11" s="306"/>
      <c r="R11" s="306"/>
      <c r="S11" s="306"/>
      <c r="T11" s="306"/>
      <c r="U11" s="306"/>
      <c r="V11" s="306"/>
    </row>
    <row r="12" spans="2:26" ht="24.95" customHeight="1" thickTop="1">
      <c r="B12" s="855"/>
      <c r="C12" s="855"/>
      <c r="D12" s="856"/>
      <c r="E12" s="862" t="s">
        <v>685</v>
      </c>
      <c r="F12" s="863"/>
      <c r="G12" s="864"/>
      <c r="H12" s="865" t="s">
        <v>686</v>
      </c>
      <c r="I12" s="863"/>
      <c r="J12" s="864"/>
      <c r="K12" s="865" t="s">
        <v>687</v>
      </c>
      <c r="L12" s="863"/>
      <c r="M12" s="864"/>
      <c r="N12" s="865" t="s">
        <v>688</v>
      </c>
      <c r="O12" s="863"/>
      <c r="P12" s="864"/>
      <c r="Q12" s="865" t="s">
        <v>689</v>
      </c>
      <c r="R12" s="863"/>
      <c r="S12" s="864"/>
      <c r="T12" s="865" t="s">
        <v>690</v>
      </c>
      <c r="U12" s="863"/>
      <c r="V12" s="866"/>
    </row>
    <row r="13" spans="2:26" ht="24.95" customHeight="1" thickBot="1">
      <c r="B13" s="857"/>
      <c r="C13" s="857"/>
      <c r="D13" s="858"/>
      <c r="E13" s="307" t="s">
        <v>16</v>
      </c>
      <c r="F13" s="308" t="s">
        <v>681</v>
      </c>
      <c r="G13" s="309" t="s">
        <v>9</v>
      </c>
      <c r="H13" s="308" t="s">
        <v>16</v>
      </c>
      <c r="I13" s="308" t="s">
        <v>681</v>
      </c>
      <c r="J13" s="309" t="s">
        <v>9</v>
      </c>
      <c r="K13" s="308" t="s">
        <v>16</v>
      </c>
      <c r="L13" s="308" t="s">
        <v>681</v>
      </c>
      <c r="M13" s="309" t="s">
        <v>9</v>
      </c>
      <c r="N13" s="308" t="s">
        <v>16</v>
      </c>
      <c r="O13" s="308" t="s">
        <v>681</v>
      </c>
      <c r="P13" s="309" t="s">
        <v>9</v>
      </c>
      <c r="Q13" s="308" t="s">
        <v>16</v>
      </c>
      <c r="R13" s="308" t="s">
        <v>681</v>
      </c>
      <c r="S13" s="309" t="s">
        <v>9</v>
      </c>
      <c r="T13" s="308" t="s">
        <v>16</v>
      </c>
      <c r="U13" s="308" t="s">
        <v>681</v>
      </c>
      <c r="V13" s="310" t="s">
        <v>9</v>
      </c>
    </row>
    <row r="14" spans="2:26" ht="24.95" customHeight="1" thickTop="1">
      <c r="B14" s="852" t="str">
        <f>IV.A!$A$14</f>
        <v>1.0</v>
      </c>
      <c r="C14" s="847" t="str">
        <f>IV.A!$B$14</f>
        <v>CANTEIRO DE OBRAS</v>
      </c>
      <c r="D14" s="848">
        <f>IV.A!$L$14</f>
        <v>0</v>
      </c>
      <c r="E14" s="849">
        <f t="shared" ref="E14" si="0">E15+F15+G15</f>
        <v>0</v>
      </c>
      <c r="F14" s="850"/>
      <c r="G14" s="851"/>
      <c r="H14" s="849">
        <f t="shared" ref="H14" si="1">H15+I15+J15</f>
        <v>0</v>
      </c>
      <c r="I14" s="850"/>
      <c r="J14" s="851"/>
      <c r="K14" s="849">
        <f t="shared" ref="K14" si="2">K15+L15+M15</f>
        <v>0</v>
      </c>
      <c r="L14" s="850"/>
      <c r="M14" s="851"/>
      <c r="N14" s="849">
        <f t="shared" ref="N14" si="3">N15+O15+P15</f>
        <v>0</v>
      </c>
      <c r="O14" s="850"/>
      <c r="P14" s="851"/>
      <c r="Q14" s="849">
        <f t="shared" ref="Q14" si="4">Q15+R15+S15</f>
        <v>0</v>
      </c>
      <c r="R14" s="850"/>
      <c r="S14" s="851"/>
      <c r="T14" s="849">
        <f t="shared" ref="T14" si="5">T15+U15+V15</f>
        <v>0</v>
      </c>
      <c r="U14" s="850"/>
      <c r="V14" s="851"/>
      <c r="W14" s="798">
        <f>N14+Q14+T14+K14+H14+E14</f>
        <v>0</v>
      </c>
      <c r="Y14" s="311"/>
      <c r="Z14" s="311"/>
    </row>
    <row r="15" spans="2:26" ht="24.95" customHeight="1">
      <c r="B15" s="853"/>
      <c r="C15" s="786"/>
      <c r="D15" s="789"/>
      <c r="E15" s="312">
        <f>IV.A!$F$14*0.0819/2</f>
        <v>0</v>
      </c>
      <c r="F15" s="312">
        <f>IV.A!$G$14*0.0819/2</f>
        <v>0</v>
      </c>
      <c r="G15" s="312">
        <f>IV.A!$H$14*0.0819/2</f>
        <v>0</v>
      </c>
      <c r="H15" s="312">
        <f>IV.A!$F$14*0.0842/2</f>
        <v>0</v>
      </c>
      <c r="I15" s="312">
        <f>IV.A!$G$14*0.0842/2</f>
        <v>0</v>
      </c>
      <c r="J15" s="312">
        <f>IV.A!$H$14*0.0842/2</f>
        <v>0</v>
      </c>
      <c r="K15" s="312">
        <f>IV.A!$F$14*0.0842/2</f>
        <v>0</v>
      </c>
      <c r="L15" s="312">
        <f>IV.A!$G$14*0.0842/2</f>
        <v>0</v>
      </c>
      <c r="M15" s="312">
        <f>IV.A!$H$14*0.0842/2</f>
        <v>0</v>
      </c>
      <c r="N15" s="312">
        <f>IV.A!$F$14*0.0842/2</f>
        <v>0</v>
      </c>
      <c r="O15" s="312">
        <f>IV.A!$G$14*0.0842/2</f>
        <v>0</v>
      </c>
      <c r="P15" s="312">
        <f>IV.A!$H$14*0.0842/2</f>
        <v>0</v>
      </c>
      <c r="Q15" s="312">
        <f>IV.A!$F$14*0.09/2</f>
        <v>0</v>
      </c>
      <c r="R15" s="312">
        <f>IV.A!$G$14*0.09/2</f>
        <v>0</v>
      </c>
      <c r="S15" s="312">
        <f>IV.A!$H$14*0.09/2</f>
        <v>0</v>
      </c>
      <c r="T15" s="312">
        <f>IV.A!$F$14*0.09/2</f>
        <v>0</v>
      </c>
      <c r="U15" s="312">
        <f>IV.A!$G$14*0.09/2</f>
        <v>0</v>
      </c>
      <c r="V15" s="312">
        <f>IV.A!$H$14*0.09/2</f>
        <v>0</v>
      </c>
      <c r="W15" s="799"/>
    </row>
    <row r="16" spans="2:26" ht="20.100000000000001" customHeight="1">
      <c r="B16" s="854"/>
      <c r="C16" s="840"/>
      <c r="D16" s="313" t="e">
        <f>IV.A!$M$14</f>
        <v>#DIV/0!</v>
      </c>
      <c r="E16" s="817" t="e">
        <f>E14/$D$51</f>
        <v>#DIV/0!</v>
      </c>
      <c r="F16" s="818"/>
      <c r="G16" s="819"/>
      <c r="H16" s="817" t="e">
        <f>H14/$D$51</f>
        <v>#DIV/0!</v>
      </c>
      <c r="I16" s="818"/>
      <c r="J16" s="819"/>
      <c r="K16" s="817" t="e">
        <f>K14/$D$51</f>
        <v>#DIV/0!</v>
      </c>
      <c r="L16" s="818"/>
      <c r="M16" s="819"/>
      <c r="N16" s="817" t="e">
        <f>N14/$D$51</f>
        <v>#DIV/0!</v>
      </c>
      <c r="O16" s="818"/>
      <c r="P16" s="819"/>
      <c r="Q16" s="817" t="e">
        <f>Q14/$D$51</f>
        <v>#DIV/0!</v>
      </c>
      <c r="R16" s="818"/>
      <c r="S16" s="819"/>
      <c r="T16" s="817" t="e">
        <f>T14/$D$51</f>
        <v>#DIV/0!</v>
      </c>
      <c r="U16" s="818"/>
      <c r="V16" s="819"/>
      <c r="W16" s="15" t="e">
        <f>W14/D14</f>
        <v>#DIV/0!</v>
      </c>
    </row>
    <row r="17" spans="2:248" s="315" customFormat="1" ht="24.95" customHeight="1">
      <c r="B17" s="841" t="str">
        <f>IV.A!$A$22</f>
        <v>2.0</v>
      </c>
      <c r="C17" s="844" t="str">
        <f>IV.A!$B$22</f>
        <v>SERVIÇOS INICIAIS</v>
      </c>
      <c r="D17" s="826">
        <f>IV.A!$L$22</f>
        <v>0</v>
      </c>
      <c r="E17" s="828">
        <f>E18+F18+G18</f>
        <v>0</v>
      </c>
      <c r="F17" s="829"/>
      <c r="G17" s="830"/>
      <c r="H17" s="828">
        <f>H18+I18+J18</f>
        <v>0</v>
      </c>
      <c r="I17" s="829"/>
      <c r="J17" s="830"/>
      <c r="K17" s="828">
        <f>K18+L18+M18</f>
        <v>0</v>
      </c>
      <c r="L17" s="829"/>
      <c r="M17" s="830"/>
      <c r="N17" s="828">
        <f>N18+O18+P18</f>
        <v>0</v>
      </c>
      <c r="O17" s="829"/>
      <c r="P17" s="830"/>
      <c r="Q17" s="828">
        <f>Q18+R18+S18</f>
        <v>0</v>
      </c>
      <c r="R17" s="829"/>
      <c r="S17" s="830"/>
      <c r="T17" s="828">
        <f>T18+U18+V18</f>
        <v>0</v>
      </c>
      <c r="U17" s="829"/>
      <c r="V17" s="830"/>
      <c r="W17" s="831">
        <f>N17+Q17+T17+K17+H17+E17</f>
        <v>0</v>
      </c>
      <c r="X17" s="314"/>
      <c r="IC17" s="304"/>
      <c r="ID17" s="304"/>
      <c r="IE17" s="304"/>
      <c r="IF17" s="304"/>
      <c r="IG17" s="304"/>
      <c r="IH17" s="304"/>
      <c r="II17" s="304"/>
      <c r="IJ17" s="304"/>
      <c r="IK17" s="304"/>
      <c r="IL17" s="304"/>
      <c r="IM17" s="304"/>
      <c r="IN17" s="304"/>
    </row>
    <row r="18" spans="2:248" s="315" customFormat="1" ht="24.95" customHeight="1">
      <c r="B18" s="842"/>
      <c r="C18" s="845"/>
      <c r="D18" s="827"/>
      <c r="E18" s="316">
        <f>IV.A!$F$22*0.09/2</f>
        <v>0</v>
      </c>
      <c r="F18" s="316">
        <f>IV.A!$G$22*0.09/2</f>
        <v>0</v>
      </c>
      <c r="G18" s="316">
        <f>IV.A!$H$22*0.09/2</f>
        <v>0</v>
      </c>
      <c r="H18" s="316">
        <f>IV.A!$F$22*0.09/2</f>
        <v>0</v>
      </c>
      <c r="I18" s="316">
        <f>IV.A!$G$22*0.09/2</f>
        <v>0</v>
      </c>
      <c r="J18" s="316">
        <f>IV.A!$H$22*0.09/2</f>
        <v>0</v>
      </c>
      <c r="K18" s="316">
        <f>IV.A!$F$22*0.09/2</f>
        <v>0</v>
      </c>
      <c r="L18" s="316">
        <f>IV.A!$G$22*0.09/2</f>
        <v>0</v>
      </c>
      <c r="M18" s="316">
        <f>IV.A!$H$22*0.09/2</f>
        <v>0</v>
      </c>
      <c r="N18" s="316">
        <f>IV.A!$F$22*0.09/2</f>
        <v>0</v>
      </c>
      <c r="O18" s="316">
        <f>IV.A!$G$22*0.09/2</f>
        <v>0</v>
      </c>
      <c r="P18" s="316">
        <f>IV.A!$H$22*0.09/2</f>
        <v>0</v>
      </c>
      <c r="Q18" s="316">
        <f>IV.A!$F$22/12/2</f>
        <v>0</v>
      </c>
      <c r="R18" s="316">
        <f>IV.A!$G$22/12/2</f>
        <v>0</v>
      </c>
      <c r="S18" s="316">
        <f>IV.A!$H$22/12/2</f>
        <v>0</v>
      </c>
      <c r="T18" s="316">
        <f>IV.A!$F$22/12/2</f>
        <v>0</v>
      </c>
      <c r="U18" s="316">
        <f>IV.A!$G$22/12/2</f>
        <v>0</v>
      </c>
      <c r="V18" s="316">
        <f>IV.A!$H$22/12/2</f>
        <v>0</v>
      </c>
      <c r="W18" s="832"/>
      <c r="X18" s="314"/>
      <c r="IC18" s="304"/>
      <c r="ID18" s="304"/>
      <c r="IE18" s="304"/>
      <c r="IF18" s="304"/>
      <c r="IG18" s="304"/>
      <c r="IH18" s="304"/>
      <c r="II18" s="304"/>
      <c r="IJ18" s="304"/>
      <c r="IK18" s="304"/>
      <c r="IL18" s="304"/>
      <c r="IM18" s="304"/>
      <c r="IN18" s="304"/>
    </row>
    <row r="19" spans="2:248" s="315" customFormat="1" ht="20.100000000000001" customHeight="1">
      <c r="B19" s="843"/>
      <c r="C19" s="846"/>
      <c r="D19" s="317" t="e">
        <f>IV.A!$M$22</f>
        <v>#DIV/0!</v>
      </c>
      <c r="E19" s="833" t="e">
        <f>E17/$D$54</f>
        <v>#DIV/0!</v>
      </c>
      <c r="F19" s="834"/>
      <c r="G19" s="835"/>
      <c r="H19" s="833" t="e">
        <f>H17/$D$54</f>
        <v>#DIV/0!</v>
      </c>
      <c r="I19" s="834"/>
      <c r="J19" s="835"/>
      <c r="K19" s="833" t="e">
        <f>K17/$D$54</f>
        <v>#DIV/0!</v>
      </c>
      <c r="L19" s="834"/>
      <c r="M19" s="835"/>
      <c r="N19" s="833" t="e">
        <f>N17/$D$54</f>
        <v>#DIV/0!</v>
      </c>
      <c r="O19" s="834"/>
      <c r="P19" s="835"/>
      <c r="Q19" s="833" t="e">
        <f>Q17/$D$54</f>
        <v>#DIV/0!</v>
      </c>
      <c r="R19" s="834"/>
      <c r="S19" s="835"/>
      <c r="T19" s="833" t="e">
        <f>T17/$D$54</f>
        <v>#DIV/0!</v>
      </c>
      <c r="U19" s="834"/>
      <c r="V19" s="835"/>
      <c r="W19" s="47" t="e">
        <f>W17/D17</f>
        <v>#DIV/0!</v>
      </c>
      <c r="X19" s="314"/>
      <c r="IC19" s="304"/>
      <c r="ID19" s="304"/>
      <c r="IE19" s="304"/>
      <c r="IF19" s="304"/>
      <c r="IG19" s="304"/>
      <c r="IH19" s="304"/>
      <c r="II19" s="304"/>
      <c r="IJ19" s="304"/>
      <c r="IK19" s="304"/>
      <c r="IL19" s="304"/>
      <c r="IM19" s="304"/>
      <c r="IN19" s="304"/>
    </row>
    <row r="20" spans="2:248" s="315" customFormat="1" ht="24.95" customHeight="1">
      <c r="B20" s="782" t="str">
        <f>IV.A!$A$43</f>
        <v>3.0</v>
      </c>
      <c r="C20" s="785" t="str">
        <f>IV.A!$B$43</f>
        <v>FECHAMENTOS, PROTEÇÕES E ALVENARIAS EM GERAL</v>
      </c>
      <c r="D20" s="788">
        <f>IV.A!$L$43</f>
        <v>0</v>
      </c>
      <c r="E20" s="790">
        <f>E21+F21+G21</f>
        <v>0</v>
      </c>
      <c r="F20" s="791"/>
      <c r="G20" s="792"/>
      <c r="H20" s="790">
        <f>H21+I21+J21</f>
        <v>0</v>
      </c>
      <c r="I20" s="791"/>
      <c r="J20" s="792"/>
      <c r="K20" s="790">
        <f>K21+L21+M21</f>
        <v>0</v>
      </c>
      <c r="L20" s="791"/>
      <c r="M20" s="792"/>
      <c r="N20" s="790">
        <f>N21+O21+P21</f>
        <v>0</v>
      </c>
      <c r="O20" s="791"/>
      <c r="P20" s="792"/>
      <c r="Q20" s="790">
        <f>Q21+R21+S21</f>
        <v>0</v>
      </c>
      <c r="R20" s="791"/>
      <c r="S20" s="792"/>
      <c r="T20" s="790">
        <f>T21+U21+V21</f>
        <v>0</v>
      </c>
      <c r="U20" s="791"/>
      <c r="V20" s="792"/>
      <c r="W20" s="803">
        <f>N20+Q20+T20+K20+H20+E20</f>
        <v>0</v>
      </c>
      <c r="X20" s="314"/>
      <c r="IC20" s="304"/>
      <c r="ID20" s="304"/>
      <c r="IE20" s="304"/>
      <c r="IF20" s="304"/>
      <c r="IG20" s="304"/>
      <c r="IH20" s="304"/>
      <c r="II20" s="304"/>
      <c r="IJ20" s="304"/>
      <c r="IK20" s="304"/>
      <c r="IL20" s="304"/>
      <c r="IM20" s="304"/>
      <c r="IN20" s="304"/>
    </row>
    <row r="21" spans="2:248" s="315" customFormat="1" ht="24.95" customHeight="1">
      <c r="B21" s="783"/>
      <c r="C21" s="786"/>
      <c r="D21" s="789"/>
      <c r="E21" s="312">
        <f>IV.A!$F$43*0.09/2</f>
        <v>0</v>
      </c>
      <c r="F21" s="312">
        <f>IV.A!$G$43*0.09/2</f>
        <v>0</v>
      </c>
      <c r="G21" s="312">
        <f>IV.A!$H$43*0.09/2</f>
        <v>0</v>
      </c>
      <c r="H21" s="312">
        <f>IV.A!$F$43*0.1/2</f>
        <v>0</v>
      </c>
      <c r="I21" s="312">
        <f>IV.A!$G$43*0.1/2</f>
        <v>0</v>
      </c>
      <c r="J21" s="312">
        <f>IV.A!$H$43*0.1/2</f>
        <v>0</v>
      </c>
      <c r="K21" s="312">
        <f>IV.A!$F$43*0.11/2</f>
        <v>0</v>
      </c>
      <c r="L21" s="312">
        <f>IV.A!$G$43*0.11/2</f>
        <v>0</v>
      </c>
      <c r="M21" s="312">
        <f>IV.A!$H$43*0.11/2</f>
        <v>0</v>
      </c>
      <c r="N21" s="312">
        <f>IV.A!$F$43*0.11/2</f>
        <v>0</v>
      </c>
      <c r="O21" s="312">
        <f>IV.A!$G$43*0.11/2</f>
        <v>0</v>
      </c>
      <c r="P21" s="312">
        <f>IV.A!$H$43*0.11/2</f>
        <v>0</v>
      </c>
      <c r="Q21" s="312">
        <f>IV.A!$F$43*0.1/2</f>
        <v>0</v>
      </c>
      <c r="R21" s="312">
        <f>IV.A!$G$43*0.1/2</f>
        <v>0</v>
      </c>
      <c r="S21" s="312">
        <f>IV.A!$H$43*0.1/2</f>
        <v>0</v>
      </c>
      <c r="T21" s="312">
        <f>IV.A!$F$43*0.09/2</f>
        <v>0</v>
      </c>
      <c r="U21" s="312">
        <f>IV.A!$G$43*0.09/2</f>
        <v>0</v>
      </c>
      <c r="V21" s="312">
        <f>IV.A!$H$43*0.09/2</f>
        <v>0</v>
      </c>
      <c r="W21" s="799"/>
      <c r="X21" s="314"/>
      <c r="IC21" s="304"/>
      <c r="ID21" s="304"/>
      <c r="IE21" s="304"/>
      <c r="IF21" s="304"/>
      <c r="IG21" s="304"/>
      <c r="IH21" s="304"/>
      <c r="II21" s="304"/>
      <c r="IJ21" s="304"/>
      <c r="IK21" s="304"/>
      <c r="IL21" s="304"/>
      <c r="IM21" s="304"/>
      <c r="IN21" s="304"/>
    </row>
    <row r="22" spans="2:248" s="315" customFormat="1" ht="20.100000000000001" customHeight="1">
      <c r="B22" s="839"/>
      <c r="C22" s="840"/>
      <c r="D22" s="313" t="e">
        <f>IV.A!$M$43</f>
        <v>#DIV/0!</v>
      </c>
      <c r="E22" s="817" t="e">
        <f>E20/$D$57</f>
        <v>#DIV/0!</v>
      </c>
      <c r="F22" s="818"/>
      <c r="G22" s="819"/>
      <c r="H22" s="817" t="e">
        <f>H20/$D$57</f>
        <v>#DIV/0!</v>
      </c>
      <c r="I22" s="818"/>
      <c r="J22" s="819"/>
      <c r="K22" s="817" t="e">
        <f>K20/$D$57</f>
        <v>#DIV/0!</v>
      </c>
      <c r="L22" s="818"/>
      <c r="M22" s="819"/>
      <c r="N22" s="817" t="e">
        <f>N20/$D$57</f>
        <v>#DIV/0!</v>
      </c>
      <c r="O22" s="818"/>
      <c r="P22" s="819"/>
      <c r="Q22" s="817" t="e">
        <f>Q20/$D$57</f>
        <v>#DIV/0!</v>
      </c>
      <c r="R22" s="818"/>
      <c r="S22" s="819"/>
      <c r="T22" s="817" t="e">
        <f>T20/$D$57</f>
        <v>#DIV/0!</v>
      </c>
      <c r="U22" s="818"/>
      <c r="V22" s="819"/>
      <c r="W22" s="15" t="e">
        <f>W20/D20</f>
        <v>#DIV/0!</v>
      </c>
      <c r="X22" s="314"/>
      <c r="IC22" s="304"/>
      <c r="ID22" s="304"/>
      <c r="IE22" s="304"/>
      <c r="IF22" s="304"/>
      <c r="IG22" s="304"/>
      <c r="IH22" s="304"/>
      <c r="II22" s="304"/>
      <c r="IJ22" s="304"/>
      <c r="IK22" s="304"/>
      <c r="IL22" s="304"/>
      <c r="IM22" s="304"/>
      <c r="IN22" s="304"/>
    </row>
    <row r="23" spans="2:248" s="315" customFormat="1" ht="24.95" customHeight="1">
      <c r="B23" s="841" t="str">
        <f>IV.A!$A$112</f>
        <v>4.0</v>
      </c>
      <c r="C23" s="844" t="str">
        <f>IV.A!$B$112</f>
        <v>FORNECIMENTO E INSTALAÇÕES HIDRAULICAS - ITEM 9.0 DO TERMO DE REFERÊNCIA</v>
      </c>
      <c r="D23" s="826">
        <f>IV.A!$L$112</f>
        <v>0</v>
      </c>
      <c r="E23" s="828">
        <f>E24+F24+G24</f>
        <v>0</v>
      </c>
      <c r="F23" s="829"/>
      <c r="G23" s="830"/>
      <c r="H23" s="828">
        <f>H24+I24+J24</f>
        <v>0</v>
      </c>
      <c r="I23" s="829"/>
      <c r="J23" s="830"/>
      <c r="K23" s="828">
        <f>K24+L24+M24</f>
        <v>0</v>
      </c>
      <c r="L23" s="829"/>
      <c r="M23" s="830"/>
      <c r="N23" s="828">
        <f>N24+O24+P24</f>
        <v>0</v>
      </c>
      <c r="O23" s="829"/>
      <c r="P23" s="830"/>
      <c r="Q23" s="828">
        <f>Q24+R24+S24</f>
        <v>0</v>
      </c>
      <c r="R23" s="829"/>
      <c r="S23" s="830"/>
      <c r="T23" s="828">
        <f>T24+U24+V24</f>
        <v>0</v>
      </c>
      <c r="U23" s="829"/>
      <c r="V23" s="830"/>
      <c r="W23" s="831">
        <f>N23+Q23+T23+K23+H23+E23</f>
        <v>0</v>
      </c>
      <c r="X23" s="314"/>
      <c r="IC23" s="304"/>
      <c r="ID23" s="304"/>
      <c r="IE23" s="304"/>
      <c r="IF23" s="304"/>
      <c r="IG23" s="304"/>
      <c r="IH23" s="304"/>
      <c r="II23" s="304"/>
      <c r="IJ23" s="304"/>
      <c r="IK23" s="304"/>
      <c r="IL23" s="304"/>
      <c r="IM23" s="304"/>
      <c r="IN23" s="304"/>
    </row>
    <row r="24" spans="2:248" s="315" customFormat="1" ht="24.95" customHeight="1">
      <c r="B24" s="842"/>
      <c r="C24" s="845"/>
      <c r="D24" s="827"/>
      <c r="E24" s="316">
        <f>IV.A!$F$112/12/2</f>
        <v>0</v>
      </c>
      <c r="F24" s="316">
        <f>IV.A!$G$112/12/2</f>
        <v>0</v>
      </c>
      <c r="G24" s="316">
        <f>IV.A!$H$112/12/2</f>
        <v>0</v>
      </c>
      <c r="H24" s="316">
        <f>IV.A!$F$112/12/2</f>
        <v>0</v>
      </c>
      <c r="I24" s="316">
        <f>IV.A!$G$112/12/2</f>
        <v>0</v>
      </c>
      <c r="J24" s="316">
        <f>IV.A!$H$112/12/2</f>
        <v>0</v>
      </c>
      <c r="K24" s="316">
        <f>IV.A!$F$112/12/2</f>
        <v>0</v>
      </c>
      <c r="L24" s="316">
        <f>IV.A!$G$112/12/2</f>
        <v>0</v>
      </c>
      <c r="M24" s="316">
        <f>IV.A!$H$112/12/2</f>
        <v>0</v>
      </c>
      <c r="N24" s="316">
        <f>IV.A!$F$112/12/2</f>
        <v>0</v>
      </c>
      <c r="O24" s="316">
        <f>IV.A!$G$112/12/2</f>
        <v>0</v>
      </c>
      <c r="P24" s="316">
        <f>IV.A!$H$112/12/2</f>
        <v>0</v>
      </c>
      <c r="Q24" s="316">
        <f>IV.A!$F$112/12/2</f>
        <v>0</v>
      </c>
      <c r="R24" s="316">
        <f>IV.A!$G$112/12/2</f>
        <v>0</v>
      </c>
      <c r="S24" s="316">
        <f>IV.A!$H$112/12/2</f>
        <v>0</v>
      </c>
      <c r="T24" s="316">
        <f>IV.A!$F$112/12/2</f>
        <v>0</v>
      </c>
      <c r="U24" s="316">
        <f>IV.A!$G$112/12/2</f>
        <v>0</v>
      </c>
      <c r="V24" s="316">
        <f>IV.A!$H$112/12/2</f>
        <v>0</v>
      </c>
      <c r="W24" s="832"/>
      <c r="X24" s="314"/>
      <c r="IC24" s="304"/>
      <c r="ID24" s="304"/>
      <c r="IE24" s="304"/>
      <c r="IF24" s="304"/>
      <c r="IG24" s="304"/>
      <c r="IH24" s="304"/>
      <c r="II24" s="304"/>
      <c r="IJ24" s="304"/>
      <c r="IK24" s="304"/>
      <c r="IL24" s="304"/>
      <c r="IM24" s="304"/>
      <c r="IN24" s="304"/>
    </row>
    <row r="25" spans="2:248" s="315" customFormat="1" ht="20.100000000000001" customHeight="1">
      <c r="B25" s="843"/>
      <c r="C25" s="846"/>
      <c r="D25" s="317" t="e">
        <f>IV.A!$M$112</f>
        <v>#DIV/0!</v>
      </c>
      <c r="E25" s="833" t="e">
        <f>E23/$D$60</f>
        <v>#DIV/0!</v>
      </c>
      <c r="F25" s="834"/>
      <c r="G25" s="835"/>
      <c r="H25" s="833" t="e">
        <f>H23/$D$60</f>
        <v>#DIV/0!</v>
      </c>
      <c r="I25" s="834"/>
      <c r="J25" s="835"/>
      <c r="K25" s="833" t="e">
        <f>K23/$D$60</f>
        <v>#DIV/0!</v>
      </c>
      <c r="L25" s="834"/>
      <c r="M25" s="835"/>
      <c r="N25" s="833" t="e">
        <f>N23/$D$60</f>
        <v>#DIV/0!</v>
      </c>
      <c r="O25" s="834"/>
      <c r="P25" s="835"/>
      <c r="Q25" s="833" t="e">
        <f>Q23/$D$60</f>
        <v>#DIV/0!</v>
      </c>
      <c r="R25" s="834"/>
      <c r="S25" s="835"/>
      <c r="T25" s="833" t="e">
        <f>T23/$D$60</f>
        <v>#DIV/0!</v>
      </c>
      <c r="U25" s="834"/>
      <c r="V25" s="835"/>
      <c r="W25" s="47" t="e">
        <f>W23/D23</f>
        <v>#DIV/0!</v>
      </c>
      <c r="X25" s="314"/>
      <c r="IC25" s="304"/>
      <c r="ID25" s="304"/>
      <c r="IE25" s="304"/>
      <c r="IF25" s="304"/>
      <c r="IG25" s="304"/>
      <c r="IH25" s="304"/>
      <c r="II25" s="304"/>
      <c r="IJ25" s="304"/>
      <c r="IK25" s="304"/>
      <c r="IL25" s="304"/>
      <c r="IM25" s="304"/>
      <c r="IN25" s="304"/>
    </row>
    <row r="26" spans="2:248" s="315" customFormat="1" ht="24.95" customHeight="1">
      <c r="B26" s="836" t="str">
        <f>IV.A!$A$126</f>
        <v>5.0</v>
      </c>
      <c r="C26" s="807" t="str">
        <f>IV.A!$B$126</f>
        <v>RECUPERAÇÃO E TRATAMENTO DE SUPERFÍCIES EM CONCRETO ARMADO - ITEM 10.0 DO TERMO DE REFERÊNCIA</v>
      </c>
      <c r="D26" s="788">
        <f>IV.A!$L$126</f>
        <v>0</v>
      </c>
      <c r="E26" s="790">
        <f>E27+F27+G27</f>
        <v>0</v>
      </c>
      <c r="F26" s="791"/>
      <c r="G26" s="792"/>
      <c r="H26" s="790">
        <f>H27+I27+J27</f>
        <v>0</v>
      </c>
      <c r="I26" s="791"/>
      <c r="J26" s="792"/>
      <c r="K26" s="790">
        <f>K27+L27+M27</f>
        <v>0</v>
      </c>
      <c r="L26" s="791"/>
      <c r="M26" s="792"/>
      <c r="N26" s="790">
        <f>N27+O27+P27</f>
        <v>0</v>
      </c>
      <c r="O26" s="791"/>
      <c r="P26" s="792"/>
      <c r="Q26" s="790">
        <f>Q27+R27+S27</f>
        <v>0</v>
      </c>
      <c r="R26" s="791"/>
      <c r="S26" s="792"/>
      <c r="T26" s="790">
        <f>T27+U27+V27</f>
        <v>0</v>
      </c>
      <c r="U26" s="791"/>
      <c r="V26" s="792"/>
      <c r="W26" s="803">
        <f>N26+Q26+T26+K26+H26+E26</f>
        <v>0</v>
      </c>
      <c r="X26" s="314"/>
      <c r="IC26" s="304"/>
      <c r="ID26" s="304"/>
      <c r="IE26" s="304"/>
      <c r="IF26" s="304"/>
      <c r="IG26" s="304"/>
      <c r="IH26" s="304"/>
      <c r="II26" s="304"/>
      <c r="IJ26" s="304"/>
      <c r="IK26" s="304"/>
      <c r="IL26" s="304"/>
      <c r="IM26" s="304"/>
      <c r="IN26" s="304"/>
    </row>
    <row r="27" spans="2:248" s="315" customFormat="1" ht="24.95" customHeight="1">
      <c r="B27" s="837"/>
      <c r="C27" s="808"/>
      <c r="D27" s="789"/>
      <c r="E27" s="312">
        <f>IV.A!$F$126/12/2</f>
        <v>0</v>
      </c>
      <c r="F27" s="312">
        <f>IV.A!$G$126/12/2</f>
        <v>0</v>
      </c>
      <c r="G27" s="312">
        <f>IV.A!$H$126/12/2</f>
        <v>0</v>
      </c>
      <c r="H27" s="312">
        <f>IV.A!$F$126/12/2</f>
        <v>0</v>
      </c>
      <c r="I27" s="312">
        <f>IV.A!$G$126/12/2</f>
        <v>0</v>
      </c>
      <c r="J27" s="312">
        <f>IV.A!$H$126/12/2</f>
        <v>0</v>
      </c>
      <c r="K27" s="312">
        <f>IV.A!$F$126/12/2</f>
        <v>0</v>
      </c>
      <c r="L27" s="312">
        <f>IV.A!$G$126/12/2</f>
        <v>0</v>
      </c>
      <c r="M27" s="312">
        <f>IV.A!$H$126/12/2</f>
        <v>0</v>
      </c>
      <c r="N27" s="312">
        <f>IV.A!$F$126/12/2</f>
        <v>0</v>
      </c>
      <c r="O27" s="312">
        <f>IV.A!$G$126/12/2</f>
        <v>0</v>
      </c>
      <c r="P27" s="312">
        <f>IV.A!$H$126/12/2</f>
        <v>0</v>
      </c>
      <c r="Q27" s="312">
        <f>IV.A!$F$126/12/2</f>
        <v>0</v>
      </c>
      <c r="R27" s="312">
        <f>IV.A!$G$126/12/2</f>
        <v>0</v>
      </c>
      <c r="S27" s="312">
        <f>IV.A!$H$126/12/2</f>
        <v>0</v>
      </c>
      <c r="T27" s="312">
        <f>IV.A!$F$126/12/2</f>
        <v>0</v>
      </c>
      <c r="U27" s="312">
        <f>IV.A!$G$126/12/2</f>
        <v>0</v>
      </c>
      <c r="V27" s="312">
        <f>IV.A!$H$126/12/2</f>
        <v>0</v>
      </c>
      <c r="W27" s="799"/>
      <c r="X27" s="314"/>
      <c r="IC27" s="304"/>
      <c r="ID27" s="304"/>
      <c r="IE27" s="304"/>
      <c r="IF27" s="304"/>
      <c r="IG27" s="304"/>
      <c r="IH27" s="304"/>
      <c r="II27" s="304"/>
      <c r="IJ27" s="304"/>
      <c r="IK27" s="304"/>
      <c r="IL27" s="304"/>
      <c r="IM27" s="304"/>
      <c r="IN27" s="304"/>
    </row>
    <row r="28" spans="2:248" s="315" customFormat="1" ht="20.100000000000001" customHeight="1">
      <c r="B28" s="838"/>
      <c r="C28" s="809"/>
      <c r="D28" s="313" t="e">
        <f>IV.A!$M$126</f>
        <v>#DIV/0!</v>
      </c>
      <c r="E28" s="817" t="e">
        <f>E26/$D$63</f>
        <v>#DIV/0!</v>
      </c>
      <c r="F28" s="818"/>
      <c r="G28" s="819"/>
      <c r="H28" s="817" t="e">
        <f>H26/$D$63</f>
        <v>#DIV/0!</v>
      </c>
      <c r="I28" s="818"/>
      <c r="J28" s="819"/>
      <c r="K28" s="817" t="e">
        <f>K26/$D$63</f>
        <v>#DIV/0!</v>
      </c>
      <c r="L28" s="818"/>
      <c r="M28" s="819"/>
      <c r="N28" s="817" t="e">
        <f>N26/$D$63</f>
        <v>#DIV/0!</v>
      </c>
      <c r="O28" s="818"/>
      <c r="P28" s="819"/>
      <c r="Q28" s="817" t="e">
        <f>Q26/$D$63</f>
        <v>#DIV/0!</v>
      </c>
      <c r="R28" s="818"/>
      <c r="S28" s="819"/>
      <c r="T28" s="817" t="e">
        <f>T26/$D$63</f>
        <v>#DIV/0!</v>
      </c>
      <c r="U28" s="818"/>
      <c r="V28" s="819"/>
      <c r="W28" s="15" t="e">
        <f>W26/D26</f>
        <v>#DIV/0!</v>
      </c>
      <c r="X28" s="314"/>
      <c r="IC28" s="304"/>
      <c r="ID28" s="304"/>
      <c r="IE28" s="304"/>
      <c r="IF28" s="304"/>
      <c r="IG28" s="304"/>
      <c r="IH28" s="304"/>
      <c r="II28" s="304"/>
      <c r="IJ28" s="304"/>
      <c r="IK28" s="304"/>
      <c r="IL28" s="304"/>
      <c r="IM28" s="304"/>
      <c r="IN28" s="304"/>
    </row>
    <row r="29" spans="2:248" s="315" customFormat="1" ht="24.95" customHeight="1">
      <c r="B29" s="820" t="str">
        <f>IV.A!$A$134</f>
        <v>6.0</v>
      </c>
      <c r="C29" s="823" t="str">
        <f>IV.A!$B$134</f>
        <v>PINTURAS - ITEM 11.0 DO TERMO DE REFERÊNCIA</v>
      </c>
      <c r="D29" s="826">
        <f>IV.A!$L$134</f>
        <v>0</v>
      </c>
      <c r="E29" s="828">
        <f>E30+F30+G30</f>
        <v>0</v>
      </c>
      <c r="F29" s="829"/>
      <c r="G29" s="830"/>
      <c r="H29" s="828">
        <f>H30+I30+J30</f>
        <v>0</v>
      </c>
      <c r="I29" s="829"/>
      <c r="J29" s="830"/>
      <c r="K29" s="828">
        <f>K30+L30+M30</f>
        <v>0</v>
      </c>
      <c r="L29" s="829"/>
      <c r="M29" s="830"/>
      <c r="N29" s="828">
        <f>N30+O30+P30</f>
        <v>0</v>
      </c>
      <c r="O29" s="829"/>
      <c r="P29" s="830"/>
      <c r="Q29" s="828">
        <f>Q30+R30+S30</f>
        <v>0</v>
      </c>
      <c r="R29" s="829"/>
      <c r="S29" s="830"/>
      <c r="T29" s="828">
        <f>T30+U30+V30</f>
        <v>0</v>
      </c>
      <c r="U29" s="829"/>
      <c r="V29" s="830"/>
      <c r="W29" s="831">
        <f>N29+Q29+T29+K29+H29+E29</f>
        <v>0</v>
      </c>
      <c r="X29" s="314"/>
      <c r="IC29" s="304"/>
      <c r="ID29" s="304"/>
      <c r="IE29" s="304"/>
      <c r="IF29" s="304"/>
      <c r="IG29" s="304"/>
      <c r="IH29" s="304"/>
      <c r="II29" s="304"/>
      <c r="IJ29" s="304"/>
      <c r="IK29" s="304"/>
      <c r="IL29" s="304"/>
      <c r="IM29" s="304"/>
      <c r="IN29" s="304"/>
    </row>
    <row r="30" spans="2:248" s="315" customFormat="1" ht="24.95" customHeight="1">
      <c r="B30" s="821"/>
      <c r="C30" s="824"/>
      <c r="D30" s="827"/>
      <c r="E30" s="316">
        <f>IV.A!$F$134*0.085/2</f>
        <v>0</v>
      </c>
      <c r="F30" s="316">
        <f>IV.A!$G$134*0.085/2</f>
        <v>0</v>
      </c>
      <c r="G30" s="316">
        <f>IV.A!$H$134*0.085/2</f>
        <v>0</v>
      </c>
      <c r="H30" s="316">
        <f>IV.A!$F$134*0.085/2</f>
        <v>0</v>
      </c>
      <c r="I30" s="316">
        <f>IV.A!$G$134*0.085/2</f>
        <v>0</v>
      </c>
      <c r="J30" s="316">
        <f>IV.A!$H$134*0.085/2</f>
        <v>0</v>
      </c>
      <c r="K30" s="316">
        <f>IV.A!$F$134*0.085/2</f>
        <v>0</v>
      </c>
      <c r="L30" s="316">
        <f>IV.A!$G$134*0.085/2</f>
        <v>0</v>
      </c>
      <c r="M30" s="316">
        <f>IV.A!$H$134*0.085/2</f>
        <v>0</v>
      </c>
      <c r="N30" s="316">
        <f>IV.A!$F$134*0.085/2</f>
        <v>0</v>
      </c>
      <c r="O30" s="316">
        <f>IV.A!$G$134*0.085/2</f>
        <v>0</v>
      </c>
      <c r="P30" s="316">
        <f>IV.A!$H$134*0.085/2</f>
        <v>0</v>
      </c>
      <c r="Q30" s="316">
        <f>IV.A!$F$134*0.08/2</f>
        <v>0</v>
      </c>
      <c r="R30" s="316">
        <f>IV.A!$G$134*0.08/2</f>
        <v>0</v>
      </c>
      <c r="S30" s="316">
        <f>IV.A!$H$134*0.08/2</f>
        <v>0</v>
      </c>
      <c r="T30" s="316">
        <f>IV.A!$F$134*0.08/2</f>
        <v>0</v>
      </c>
      <c r="U30" s="316">
        <f>IV.A!$G$134*0.08/2</f>
        <v>0</v>
      </c>
      <c r="V30" s="316">
        <f>IV.A!$H$134*0.08/2</f>
        <v>0</v>
      </c>
      <c r="W30" s="832"/>
      <c r="X30" s="314"/>
      <c r="IC30" s="304"/>
      <c r="ID30" s="304"/>
      <c r="IE30" s="304"/>
      <c r="IF30" s="304"/>
      <c r="IG30" s="304"/>
      <c r="IH30" s="304"/>
      <c r="II30" s="304"/>
      <c r="IJ30" s="304"/>
      <c r="IK30" s="304"/>
      <c r="IL30" s="304"/>
      <c r="IM30" s="304"/>
      <c r="IN30" s="304"/>
    </row>
    <row r="31" spans="2:248" s="315" customFormat="1" ht="20.100000000000001" customHeight="1">
      <c r="B31" s="822"/>
      <c r="C31" s="825"/>
      <c r="D31" s="317" t="e">
        <f>IV.A!$M$134</f>
        <v>#DIV/0!</v>
      </c>
      <c r="E31" s="833" t="e">
        <f>E29/$D$66</f>
        <v>#DIV/0!</v>
      </c>
      <c r="F31" s="834"/>
      <c r="G31" s="835"/>
      <c r="H31" s="833" t="e">
        <f>H29/$D$66</f>
        <v>#DIV/0!</v>
      </c>
      <c r="I31" s="834"/>
      <c r="J31" s="835"/>
      <c r="K31" s="833" t="e">
        <f>K29/$D$66</f>
        <v>#DIV/0!</v>
      </c>
      <c r="L31" s="834"/>
      <c r="M31" s="835"/>
      <c r="N31" s="833" t="e">
        <f>N29/$D$66</f>
        <v>#DIV/0!</v>
      </c>
      <c r="O31" s="834"/>
      <c r="P31" s="835"/>
      <c r="Q31" s="833" t="e">
        <f>Q29/$D$66</f>
        <v>#DIV/0!</v>
      </c>
      <c r="R31" s="834"/>
      <c r="S31" s="835"/>
      <c r="T31" s="833" t="e">
        <f>T29/$D$66</f>
        <v>#DIV/0!</v>
      </c>
      <c r="U31" s="834"/>
      <c r="V31" s="835"/>
      <c r="W31" s="47" t="e">
        <f>W29/D29</f>
        <v>#DIV/0!</v>
      </c>
      <c r="X31" s="314"/>
      <c r="IC31" s="304"/>
      <c r="ID31" s="304"/>
      <c r="IE31" s="304"/>
      <c r="IF31" s="304"/>
      <c r="IG31" s="304"/>
      <c r="IH31" s="304"/>
      <c r="II31" s="304"/>
      <c r="IJ31" s="304"/>
      <c r="IK31" s="304"/>
      <c r="IL31" s="304"/>
      <c r="IM31" s="304"/>
      <c r="IN31" s="304"/>
    </row>
    <row r="32" spans="2:248" s="315" customFormat="1" ht="24.95" customHeight="1">
      <c r="B32" s="782" t="str">
        <f>IV.A!$A$155</f>
        <v>7.0</v>
      </c>
      <c r="C32" s="785" t="str">
        <f>IV.A!$B$155</f>
        <v>SERVIÇOS COMPLEMENTARES - ITEM 12.0 DO TERMO DE REFERÊNCIA</v>
      </c>
      <c r="D32" s="788">
        <f>IV.A!$L$155</f>
        <v>0</v>
      </c>
      <c r="E32" s="790">
        <f>E33+F33+G33</f>
        <v>0</v>
      </c>
      <c r="F32" s="791"/>
      <c r="G32" s="792"/>
      <c r="H32" s="790">
        <f>H33+I33+J33</f>
        <v>0</v>
      </c>
      <c r="I32" s="791"/>
      <c r="J32" s="792"/>
      <c r="K32" s="790">
        <f>K33+L33+M33</f>
        <v>0</v>
      </c>
      <c r="L32" s="791"/>
      <c r="M32" s="792"/>
      <c r="N32" s="790">
        <f>N33+O33+P33</f>
        <v>0</v>
      </c>
      <c r="O32" s="791"/>
      <c r="P32" s="792"/>
      <c r="Q32" s="790">
        <f>Q33+R33+S33</f>
        <v>0</v>
      </c>
      <c r="R32" s="791"/>
      <c r="S32" s="792"/>
      <c r="T32" s="790">
        <f>T33+U33+V33</f>
        <v>0</v>
      </c>
      <c r="U32" s="791"/>
      <c r="V32" s="792"/>
      <c r="W32" s="803">
        <f>N32+Q32+T32+K32+H32+E32</f>
        <v>0</v>
      </c>
      <c r="X32" s="314"/>
      <c r="IC32" s="304"/>
      <c r="ID32" s="304"/>
      <c r="IE32" s="304"/>
      <c r="IF32" s="304"/>
      <c r="IG32" s="304"/>
      <c r="IH32" s="304"/>
      <c r="II32" s="304"/>
      <c r="IJ32" s="304"/>
      <c r="IK32" s="304"/>
      <c r="IL32" s="304"/>
      <c r="IM32" s="304"/>
      <c r="IN32" s="304"/>
    </row>
    <row r="33" spans="2:248" s="315" customFormat="1" ht="24.95" customHeight="1">
      <c r="B33" s="783"/>
      <c r="C33" s="786"/>
      <c r="D33" s="789"/>
      <c r="E33" s="312">
        <f>IV.A!$F$155*0.08/2</f>
        <v>0</v>
      </c>
      <c r="F33" s="312">
        <f>IV.A!$G$155*0.08/2</f>
        <v>0</v>
      </c>
      <c r="G33" s="312">
        <f>IV.A!$H$155*0.08/2</f>
        <v>0</v>
      </c>
      <c r="H33" s="312">
        <f>IV.A!$F$155/12/2</f>
        <v>0</v>
      </c>
      <c r="I33" s="312">
        <f>IV.A!$G$155/12/2</f>
        <v>0</v>
      </c>
      <c r="J33" s="312">
        <f>IV.A!$H$155/12/2</f>
        <v>0</v>
      </c>
      <c r="K33" s="312">
        <f>IV.A!$F$155/12/2</f>
        <v>0</v>
      </c>
      <c r="L33" s="312">
        <f>IV.A!$G$155/12/2</f>
        <v>0</v>
      </c>
      <c r="M33" s="312">
        <f>IV.A!$H$155/12/2</f>
        <v>0</v>
      </c>
      <c r="N33" s="312">
        <f>IV.A!$F$155/12/2</f>
        <v>0</v>
      </c>
      <c r="O33" s="312">
        <f>IV.A!$G$155/12/2</f>
        <v>0</v>
      </c>
      <c r="P33" s="312">
        <f>IV.A!$H$155/12/2</f>
        <v>0</v>
      </c>
      <c r="Q33" s="312">
        <f>IV.A!$F$155*0.12/2</f>
        <v>0</v>
      </c>
      <c r="R33" s="312">
        <f>IV.A!$G$155*0.12/2</f>
        <v>0</v>
      </c>
      <c r="S33" s="312">
        <f>IV.A!$H$155*0.12/2</f>
        <v>0</v>
      </c>
      <c r="T33" s="312">
        <f>IV.A!$F$155*0.12/2</f>
        <v>0</v>
      </c>
      <c r="U33" s="312">
        <f>IV.A!$G$155*0.12/2</f>
        <v>0</v>
      </c>
      <c r="V33" s="312">
        <f>IV.A!$H$155*0.12/2</f>
        <v>0</v>
      </c>
      <c r="W33" s="799"/>
      <c r="X33" s="314"/>
      <c r="IC33" s="304"/>
      <c r="ID33" s="304"/>
      <c r="IE33" s="304"/>
      <c r="IF33" s="304"/>
      <c r="IG33" s="304"/>
      <c r="IH33" s="304"/>
      <c r="II33" s="304"/>
      <c r="IJ33" s="304"/>
      <c r="IK33" s="304"/>
      <c r="IL33" s="304"/>
      <c r="IM33" s="304"/>
      <c r="IN33" s="304"/>
    </row>
    <row r="34" spans="2:248" s="315" customFormat="1" ht="20.100000000000001" customHeight="1" thickBot="1">
      <c r="B34" s="784"/>
      <c r="C34" s="787"/>
      <c r="D34" s="318" t="e">
        <f>IV.A!$M$155</f>
        <v>#DIV/0!</v>
      </c>
      <c r="E34" s="804" t="e">
        <f>E32/$D$69</f>
        <v>#DIV/0!</v>
      </c>
      <c r="F34" s="805"/>
      <c r="G34" s="806"/>
      <c r="H34" s="804" t="e">
        <f>H32/$D$69</f>
        <v>#DIV/0!</v>
      </c>
      <c r="I34" s="805"/>
      <c r="J34" s="806"/>
      <c r="K34" s="804" t="e">
        <f>K32/$D$69</f>
        <v>#DIV/0!</v>
      </c>
      <c r="L34" s="805"/>
      <c r="M34" s="806"/>
      <c r="N34" s="804" t="e">
        <f>N32/$D$69</f>
        <v>#DIV/0!</v>
      </c>
      <c r="O34" s="805"/>
      <c r="P34" s="806"/>
      <c r="Q34" s="804" t="e">
        <f>Q32/$D$69</f>
        <v>#DIV/0!</v>
      </c>
      <c r="R34" s="805"/>
      <c r="S34" s="806"/>
      <c r="T34" s="804" t="e">
        <f>T32/$D$69</f>
        <v>#DIV/0!</v>
      </c>
      <c r="U34" s="805"/>
      <c r="V34" s="806"/>
      <c r="W34" s="16" t="e">
        <f>W32/D32</f>
        <v>#DIV/0!</v>
      </c>
      <c r="X34" s="314"/>
      <c r="IC34" s="304"/>
      <c r="ID34" s="304"/>
      <c r="IE34" s="304"/>
      <c r="IF34" s="304"/>
      <c r="IG34" s="304"/>
      <c r="IH34" s="304"/>
      <c r="II34" s="304"/>
      <c r="IJ34" s="304"/>
      <c r="IK34" s="304"/>
      <c r="IL34" s="304"/>
      <c r="IM34" s="304"/>
      <c r="IN34" s="304"/>
    </row>
    <row r="35" spans="2:248" s="315" customFormat="1" ht="15.2" customHeight="1" thickTop="1" thickBot="1">
      <c r="B35" s="319"/>
      <c r="C35" s="319"/>
      <c r="D35" s="319"/>
      <c r="E35" s="320"/>
      <c r="F35" s="321"/>
      <c r="G35" s="320"/>
      <c r="H35" s="320"/>
      <c r="I35" s="321"/>
      <c r="J35" s="320"/>
      <c r="K35" s="320"/>
      <c r="L35" s="321"/>
      <c r="M35" s="320"/>
      <c r="N35" s="320"/>
      <c r="O35" s="321"/>
      <c r="P35" s="320"/>
      <c r="Q35" s="320"/>
      <c r="R35" s="321"/>
      <c r="S35" s="320"/>
      <c r="T35" s="320"/>
      <c r="U35" s="321"/>
      <c r="V35" s="320"/>
      <c r="W35" s="19"/>
      <c r="X35" s="314"/>
      <c r="IC35" s="304"/>
      <c r="ID35" s="304"/>
      <c r="IE35" s="304"/>
      <c r="IF35" s="304"/>
      <c r="IG35" s="304"/>
      <c r="IH35" s="304"/>
      <c r="II35" s="304"/>
      <c r="IJ35" s="304"/>
      <c r="IK35" s="304"/>
      <c r="IL35" s="304"/>
      <c r="IM35" s="304"/>
      <c r="IN35" s="304"/>
    </row>
    <row r="36" spans="2:248" s="315" customFormat="1" ht="24.95" customHeight="1" thickTop="1">
      <c r="B36" s="810" t="s">
        <v>682</v>
      </c>
      <c r="C36" s="811"/>
      <c r="D36" s="812">
        <f>D14+D17+D20+D23+D26+D29+D32</f>
        <v>0</v>
      </c>
      <c r="E36" s="794">
        <f>E37+F37+G37</f>
        <v>0</v>
      </c>
      <c r="F36" s="795"/>
      <c r="G36" s="796"/>
      <c r="H36" s="794">
        <f>H37+I37+J37</f>
        <v>0</v>
      </c>
      <c r="I36" s="795"/>
      <c r="J36" s="796"/>
      <c r="K36" s="814">
        <f>K37+L37+M37</f>
        <v>0</v>
      </c>
      <c r="L36" s="815"/>
      <c r="M36" s="816"/>
      <c r="N36" s="814">
        <f>N37+O37+P37</f>
        <v>0</v>
      </c>
      <c r="O36" s="815"/>
      <c r="P36" s="816"/>
      <c r="Q36" s="814">
        <f>Q37+R37+S37</f>
        <v>0</v>
      </c>
      <c r="R36" s="815"/>
      <c r="S36" s="816"/>
      <c r="T36" s="814">
        <f>T37+U37+V37</f>
        <v>0</v>
      </c>
      <c r="U36" s="815"/>
      <c r="V36" s="816"/>
      <c r="W36" s="798">
        <f>W14+W17+W20+W23+W26+W29+W32</f>
        <v>0</v>
      </c>
      <c r="X36" s="314"/>
      <c r="IC36" s="304"/>
      <c r="ID36" s="304"/>
      <c r="IE36" s="304"/>
      <c r="IF36" s="304"/>
      <c r="IG36" s="304"/>
      <c r="IH36" s="304"/>
      <c r="II36" s="304"/>
      <c r="IJ36" s="304"/>
      <c r="IK36" s="304"/>
      <c r="IL36" s="304"/>
      <c r="IM36" s="304"/>
      <c r="IN36" s="304"/>
    </row>
    <row r="37" spans="2:248" s="315" customFormat="1" ht="24.95" customHeight="1">
      <c r="B37" s="810"/>
      <c r="C37" s="811"/>
      <c r="D37" s="813"/>
      <c r="E37" s="17">
        <f>E27+E24+E21+E18+E15+E30+E33</f>
        <v>0</v>
      </c>
      <c r="F37" s="17">
        <f>F27+F24+F21+F18+F15+F30+F33</f>
        <v>0</v>
      </c>
      <c r="G37" s="17">
        <f t="shared" ref="G37:V37" si="6">G27+G24+G21+G18+G15+G30+G33</f>
        <v>0</v>
      </c>
      <c r="H37" s="17">
        <f t="shared" si="6"/>
        <v>0</v>
      </c>
      <c r="I37" s="17">
        <f t="shared" si="6"/>
        <v>0</v>
      </c>
      <c r="J37" s="17">
        <f t="shared" si="6"/>
        <v>0</v>
      </c>
      <c r="K37" s="17">
        <f t="shared" si="6"/>
        <v>0</v>
      </c>
      <c r="L37" s="17">
        <f t="shared" si="6"/>
        <v>0</v>
      </c>
      <c r="M37" s="17">
        <f t="shared" si="6"/>
        <v>0</v>
      </c>
      <c r="N37" s="17">
        <f t="shared" si="6"/>
        <v>0</v>
      </c>
      <c r="O37" s="17">
        <f t="shared" si="6"/>
        <v>0</v>
      </c>
      <c r="P37" s="17">
        <f t="shared" si="6"/>
        <v>0</v>
      </c>
      <c r="Q37" s="17">
        <f t="shared" si="6"/>
        <v>0</v>
      </c>
      <c r="R37" s="17">
        <f t="shared" si="6"/>
        <v>0</v>
      </c>
      <c r="S37" s="17">
        <f t="shared" si="6"/>
        <v>0</v>
      </c>
      <c r="T37" s="17">
        <f t="shared" si="6"/>
        <v>0</v>
      </c>
      <c r="U37" s="17">
        <f t="shared" si="6"/>
        <v>0</v>
      </c>
      <c r="V37" s="17">
        <f t="shared" si="6"/>
        <v>0</v>
      </c>
      <c r="W37" s="799"/>
      <c r="X37" s="314"/>
      <c r="IC37" s="304"/>
      <c r="ID37" s="304"/>
      <c r="IE37" s="304"/>
      <c r="IF37" s="304"/>
      <c r="IG37" s="304"/>
      <c r="IH37" s="304"/>
      <c r="II37" s="304"/>
      <c r="IJ37" s="304"/>
      <c r="IK37" s="304"/>
      <c r="IL37" s="304"/>
      <c r="IM37" s="304"/>
      <c r="IN37" s="304"/>
    </row>
    <row r="38" spans="2:248" s="315" customFormat="1" ht="24.95" customHeight="1" thickBot="1">
      <c r="B38" s="810"/>
      <c r="C38" s="811"/>
      <c r="D38" s="18" t="e">
        <f>D16+D19+D22+D25+D28+D31+D34</f>
        <v>#DIV/0!</v>
      </c>
      <c r="E38" s="800" t="e">
        <f>ROUND(E36/$D$36,6)</f>
        <v>#DIV/0!</v>
      </c>
      <c r="F38" s="801"/>
      <c r="G38" s="802"/>
      <c r="H38" s="800" t="e">
        <f>ROUND(H36/$D$36,6)</f>
        <v>#DIV/0!</v>
      </c>
      <c r="I38" s="801"/>
      <c r="J38" s="802"/>
      <c r="K38" s="800" t="e">
        <f>ROUND(K36/$D$36,6)</f>
        <v>#DIV/0!</v>
      </c>
      <c r="L38" s="801"/>
      <c r="M38" s="802"/>
      <c r="N38" s="800" t="e">
        <f>ROUND(N36/$D$36,6)</f>
        <v>#DIV/0!</v>
      </c>
      <c r="O38" s="801"/>
      <c r="P38" s="802"/>
      <c r="Q38" s="800" t="e">
        <f>ROUND(Q36/$D$36,6)</f>
        <v>#DIV/0!</v>
      </c>
      <c r="R38" s="801"/>
      <c r="S38" s="802"/>
      <c r="T38" s="800" t="e">
        <f>ROUND(T36/$D$36,6)</f>
        <v>#DIV/0!</v>
      </c>
      <c r="U38" s="801"/>
      <c r="V38" s="802"/>
      <c r="W38" s="48" t="e">
        <f>ROUND(N38+Q38+T38+K38+H38+E38,6)</f>
        <v>#DIV/0!</v>
      </c>
      <c r="X38" s="314"/>
      <c r="IC38" s="304"/>
      <c r="ID38" s="304"/>
      <c r="IE38" s="304"/>
      <c r="IF38" s="304"/>
      <c r="IG38" s="304"/>
      <c r="IH38" s="304"/>
      <c r="II38" s="304"/>
      <c r="IJ38" s="304"/>
      <c r="IK38" s="304"/>
      <c r="IL38" s="304"/>
      <c r="IM38" s="304"/>
      <c r="IN38" s="304"/>
    </row>
    <row r="39" spans="2:248" s="315" customFormat="1" ht="15.2" customHeight="1" thickTop="1" thickBot="1">
      <c r="B39" s="322"/>
      <c r="C39" s="322"/>
      <c r="D39" s="322"/>
      <c r="E39" s="320"/>
      <c r="F39" s="320"/>
      <c r="G39" s="320"/>
      <c r="H39" s="320"/>
      <c r="I39" s="320"/>
      <c r="J39" s="320"/>
      <c r="K39" s="320"/>
      <c r="L39" s="320"/>
      <c r="M39" s="320"/>
      <c r="N39" s="320"/>
      <c r="O39" s="320"/>
      <c r="P39" s="320"/>
      <c r="Q39" s="320"/>
      <c r="R39" s="320"/>
      <c r="S39" s="320"/>
      <c r="T39" s="320"/>
      <c r="U39" s="320"/>
      <c r="V39" s="320"/>
      <c r="W39" s="19"/>
      <c r="X39" s="314"/>
      <c r="IC39" s="304"/>
      <c r="ID39" s="304"/>
      <c r="IE39" s="304"/>
      <c r="IF39" s="304"/>
      <c r="IG39" s="304"/>
      <c r="IH39" s="304"/>
      <c r="II39" s="304"/>
      <c r="IJ39" s="304"/>
      <c r="IK39" s="304"/>
      <c r="IL39" s="304"/>
      <c r="IM39" s="304"/>
      <c r="IN39" s="304"/>
    </row>
    <row r="40" spans="2:248" s="315" customFormat="1" ht="24.95" customHeight="1" thickTop="1">
      <c r="B40" s="776" t="s">
        <v>683</v>
      </c>
      <c r="C40" s="777"/>
      <c r="D40" s="323" t="s">
        <v>1</v>
      </c>
      <c r="E40" s="794">
        <f>E36</f>
        <v>0</v>
      </c>
      <c r="F40" s="795"/>
      <c r="G40" s="796"/>
      <c r="H40" s="794">
        <f>H36+E40</f>
        <v>0</v>
      </c>
      <c r="I40" s="795"/>
      <c r="J40" s="796"/>
      <c r="K40" s="794">
        <f>K36+H40</f>
        <v>0</v>
      </c>
      <c r="L40" s="795"/>
      <c r="M40" s="796"/>
      <c r="N40" s="794">
        <f>N36+K40</f>
        <v>0</v>
      </c>
      <c r="O40" s="795"/>
      <c r="P40" s="796"/>
      <c r="Q40" s="794">
        <f>Q36+N40</f>
        <v>0</v>
      </c>
      <c r="R40" s="795"/>
      <c r="S40" s="796"/>
      <c r="T40" s="794">
        <f>T36+Q40</f>
        <v>0</v>
      </c>
      <c r="U40" s="795"/>
      <c r="V40" s="797"/>
      <c r="W40" s="19"/>
      <c r="X40" s="314"/>
      <c r="IC40" s="304"/>
      <c r="ID40" s="304"/>
      <c r="IE40" s="304"/>
      <c r="IF40" s="304"/>
      <c r="IG40" s="304"/>
      <c r="IH40" s="304"/>
      <c r="II40" s="304"/>
      <c r="IJ40" s="304"/>
      <c r="IK40" s="304"/>
      <c r="IL40" s="304"/>
      <c r="IM40" s="304"/>
      <c r="IN40" s="304"/>
    </row>
    <row r="41" spans="2:248" s="315" customFormat="1" ht="24.95" customHeight="1">
      <c r="B41" s="776" t="s">
        <v>683</v>
      </c>
      <c r="C41" s="777"/>
      <c r="D41" s="324" t="s">
        <v>1</v>
      </c>
      <c r="E41" s="325">
        <f>E37</f>
        <v>0</v>
      </c>
      <c r="F41" s="325">
        <f>F37</f>
        <v>0</v>
      </c>
      <c r="G41" s="325">
        <f>G37</f>
        <v>0</v>
      </c>
      <c r="H41" s="325">
        <f>H37+E41</f>
        <v>0</v>
      </c>
      <c r="I41" s="325">
        <f>I37+F41</f>
        <v>0</v>
      </c>
      <c r="J41" s="325">
        <f>J37+G41</f>
        <v>0</v>
      </c>
      <c r="K41" s="325">
        <f>K37+H41</f>
        <v>0</v>
      </c>
      <c r="L41" s="325">
        <f>L37+I41</f>
        <v>0</v>
      </c>
      <c r="M41" s="326">
        <f>M37+J41</f>
        <v>0</v>
      </c>
      <c r="N41" s="325">
        <f>N37+K41</f>
        <v>0</v>
      </c>
      <c r="O41" s="325">
        <f>O37+L41</f>
        <v>0</v>
      </c>
      <c r="P41" s="325">
        <f>P37+M41</f>
        <v>0</v>
      </c>
      <c r="Q41" s="327">
        <f>Q37+N41</f>
        <v>0</v>
      </c>
      <c r="R41" s="325">
        <f>R37+O41</f>
        <v>0</v>
      </c>
      <c r="S41" s="326">
        <f>S37+P41</f>
        <v>0</v>
      </c>
      <c r="T41" s="325">
        <f>T37+Q41</f>
        <v>0</v>
      </c>
      <c r="U41" s="325">
        <f>U37+R41</f>
        <v>0</v>
      </c>
      <c r="V41" s="328">
        <f>V37+S41</f>
        <v>0</v>
      </c>
      <c r="W41" s="19"/>
      <c r="X41" s="314"/>
      <c r="IC41" s="304"/>
      <c r="ID41" s="304"/>
      <c r="IE41" s="304"/>
      <c r="IF41" s="304"/>
      <c r="IG41" s="304"/>
      <c r="IH41" s="304"/>
      <c r="II41" s="304"/>
      <c r="IJ41" s="304"/>
      <c r="IK41" s="304"/>
      <c r="IL41" s="304"/>
      <c r="IM41" s="304"/>
      <c r="IN41" s="304"/>
    </row>
    <row r="42" spans="2:248" s="315" customFormat="1" ht="24.95" customHeight="1">
      <c r="B42" s="776" t="s">
        <v>684</v>
      </c>
      <c r="C42" s="777"/>
      <c r="D42" s="324" t="s">
        <v>1</v>
      </c>
      <c r="E42" s="778">
        <f>$D$36-E40</f>
        <v>0</v>
      </c>
      <c r="F42" s="779"/>
      <c r="G42" s="780"/>
      <c r="H42" s="778">
        <f>$D$36-H40</f>
        <v>0</v>
      </c>
      <c r="I42" s="779"/>
      <c r="J42" s="780"/>
      <c r="K42" s="778">
        <f>$D$36-K40</f>
        <v>0</v>
      </c>
      <c r="L42" s="779"/>
      <c r="M42" s="780"/>
      <c r="N42" s="778">
        <f>$D$36-N40</f>
        <v>0</v>
      </c>
      <c r="O42" s="779"/>
      <c r="P42" s="780"/>
      <c r="Q42" s="778">
        <f>$D$36-Q40</f>
        <v>0</v>
      </c>
      <c r="R42" s="779"/>
      <c r="S42" s="780"/>
      <c r="T42" s="778">
        <f>$D$36-T40</f>
        <v>0</v>
      </c>
      <c r="U42" s="779"/>
      <c r="V42" s="781"/>
      <c r="W42" s="19"/>
      <c r="X42" s="314"/>
      <c r="IC42" s="304"/>
      <c r="ID42" s="304"/>
      <c r="IE42" s="304"/>
      <c r="IF42" s="304"/>
      <c r="IG42" s="304"/>
      <c r="IH42" s="304"/>
      <c r="II42" s="304"/>
      <c r="IJ42" s="304"/>
      <c r="IK42" s="304"/>
      <c r="IL42" s="304"/>
      <c r="IM42" s="304"/>
      <c r="IN42" s="304"/>
    </row>
    <row r="43" spans="2:248" s="315" customFormat="1" ht="24.75" customHeight="1" thickBot="1">
      <c r="B43" s="776" t="s">
        <v>684</v>
      </c>
      <c r="C43" s="777"/>
      <c r="D43" s="329" t="s">
        <v>1</v>
      </c>
      <c r="E43" s="330">
        <f>IV.A!$L$175-E41</f>
        <v>0</v>
      </c>
      <c r="F43" s="330">
        <f>IV.A!$L$176-F41</f>
        <v>0</v>
      </c>
      <c r="G43" s="330">
        <f>IV.A!$L$177-G41</f>
        <v>0</v>
      </c>
      <c r="H43" s="330">
        <f>IV.A!$L$175-H41</f>
        <v>0</v>
      </c>
      <c r="I43" s="330">
        <f>IV.A!$L$176-I41</f>
        <v>0</v>
      </c>
      <c r="J43" s="330">
        <f>IV.A!$L$177-J41</f>
        <v>0</v>
      </c>
      <c r="K43" s="330">
        <f>IV.A!$L$175-K41</f>
        <v>0</v>
      </c>
      <c r="L43" s="330">
        <f>IV.A!$L$176-L41</f>
        <v>0</v>
      </c>
      <c r="M43" s="330">
        <f>IV.A!$L$177-M41</f>
        <v>0</v>
      </c>
      <c r="N43" s="330">
        <f>IV.A!$L$175-N41</f>
        <v>0</v>
      </c>
      <c r="O43" s="330">
        <f>IV.A!$L$176-O41</f>
        <v>0</v>
      </c>
      <c r="P43" s="330">
        <f>IV.A!$L$177-P41</f>
        <v>0</v>
      </c>
      <c r="Q43" s="330">
        <f>IV.A!$L$175-Q41</f>
        <v>0</v>
      </c>
      <c r="R43" s="330">
        <f>IV.A!$L$176-R41</f>
        <v>0</v>
      </c>
      <c r="S43" s="330">
        <f>IV.A!$L$177-S41</f>
        <v>0</v>
      </c>
      <c r="T43" s="330">
        <f>IV.A!$L$175-T41</f>
        <v>0</v>
      </c>
      <c r="U43" s="330">
        <f>IV.A!$L$176-U41</f>
        <v>0</v>
      </c>
      <c r="V43" s="331">
        <f>IV.A!$L$177-V41</f>
        <v>0</v>
      </c>
      <c r="W43" s="19"/>
      <c r="X43" s="314"/>
      <c r="IC43" s="304"/>
      <c r="ID43" s="304"/>
      <c r="IE43" s="304"/>
      <c r="IF43" s="304"/>
      <c r="IG43" s="304"/>
      <c r="IH43" s="304"/>
      <c r="II43" s="304"/>
      <c r="IJ43" s="304"/>
      <c r="IK43" s="304"/>
      <c r="IL43" s="304"/>
      <c r="IM43" s="304"/>
      <c r="IN43" s="304"/>
    </row>
    <row r="44" spans="2:248" s="315" customFormat="1" ht="15" customHeight="1" thickTop="1">
      <c r="B44" s="322"/>
      <c r="C44" s="322"/>
      <c r="D44" s="322"/>
      <c r="E44" s="320"/>
      <c r="F44" s="320"/>
      <c r="G44" s="320"/>
      <c r="H44" s="320"/>
      <c r="I44" s="320"/>
      <c r="J44" s="320"/>
      <c r="K44" s="320"/>
      <c r="L44" s="320"/>
      <c r="M44" s="320"/>
      <c r="N44" s="320"/>
      <c r="O44" s="320"/>
      <c r="P44" s="320"/>
      <c r="Q44" s="320"/>
      <c r="R44" s="320"/>
      <c r="S44" s="320"/>
      <c r="T44" s="320"/>
      <c r="U44" s="320"/>
      <c r="V44" s="320"/>
      <c r="W44" s="19"/>
      <c r="X44" s="314"/>
      <c r="IC44" s="304"/>
      <c r="ID44" s="304"/>
      <c r="IE44" s="304"/>
      <c r="IF44" s="304"/>
      <c r="IG44" s="304"/>
      <c r="IH44" s="304"/>
      <c r="II44" s="304"/>
      <c r="IJ44" s="304"/>
      <c r="IK44" s="304"/>
      <c r="IL44" s="304"/>
      <c r="IM44" s="304"/>
      <c r="IN44" s="304"/>
    </row>
    <row r="45" spans="2:248" s="315" customFormat="1" ht="15" customHeight="1">
      <c r="B45" s="322"/>
      <c r="C45" s="322"/>
      <c r="D45" s="322"/>
      <c r="E45" s="320"/>
      <c r="F45" s="320"/>
      <c r="G45" s="320"/>
      <c r="H45" s="320"/>
      <c r="I45" s="320"/>
      <c r="J45" s="320"/>
      <c r="K45" s="320"/>
      <c r="L45" s="320"/>
      <c r="M45" s="320"/>
      <c r="N45" s="320"/>
      <c r="O45" s="320"/>
      <c r="P45" s="320"/>
      <c r="Q45" s="320"/>
      <c r="R45" s="320"/>
      <c r="S45" s="320"/>
      <c r="T45" s="320"/>
      <c r="U45" s="320"/>
      <c r="V45" s="320"/>
      <c r="W45" s="19"/>
      <c r="X45" s="314"/>
      <c r="IC45" s="304"/>
      <c r="ID45" s="304"/>
      <c r="IE45" s="304"/>
      <c r="IF45" s="304"/>
      <c r="IG45" s="304"/>
      <c r="IH45" s="304"/>
      <c r="II45" s="304"/>
      <c r="IJ45" s="304"/>
      <c r="IK45" s="304"/>
      <c r="IL45" s="304"/>
      <c r="IM45" s="304"/>
      <c r="IN45" s="304"/>
    </row>
    <row r="46" spans="2:248" s="315" customFormat="1" ht="15" customHeight="1">
      <c r="B46" s="322"/>
      <c r="C46" s="322"/>
      <c r="D46" s="322"/>
      <c r="E46" s="320"/>
      <c r="F46" s="320"/>
      <c r="G46" s="320"/>
      <c r="H46" s="320"/>
      <c r="I46" s="320"/>
      <c r="J46" s="320"/>
      <c r="K46" s="320"/>
      <c r="L46" s="320"/>
      <c r="M46" s="320"/>
      <c r="N46" s="320"/>
      <c r="O46" s="320"/>
      <c r="P46" s="320"/>
      <c r="Q46" s="320"/>
      <c r="R46" s="320"/>
      <c r="S46" s="320"/>
      <c r="T46" s="320"/>
      <c r="U46" s="320"/>
      <c r="V46" s="320"/>
      <c r="W46" s="19"/>
      <c r="X46" s="314"/>
      <c r="IC46" s="304"/>
      <c r="ID46" s="304"/>
      <c r="IE46" s="304"/>
      <c r="IF46" s="304"/>
      <c r="IG46" s="304"/>
      <c r="IH46" s="304"/>
      <c r="II46" s="304"/>
      <c r="IJ46" s="304"/>
      <c r="IK46" s="304"/>
      <c r="IL46" s="304"/>
      <c r="IM46" s="304"/>
      <c r="IN46" s="304"/>
    </row>
    <row r="47" spans="2:248" s="315" customFormat="1" ht="15" customHeight="1">
      <c r="B47" s="793">
        <f>IV.A!A203</f>
        <v>0</v>
      </c>
      <c r="C47" s="793"/>
      <c r="D47" s="793"/>
      <c r="E47" s="793"/>
      <c r="F47" s="793"/>
      <c r="G47" s="793"/>
      <c r="H47" s="793"/>
      <c r="I47" s="793"/>
      <c r="J47" s="793"/>
      <c r="K47" s="793"/>
      <c r="L47" s="793"/>
      <c r="M47" s="793"/>
      <c r="N47" s="793"/>
      <c r="O47" s="793"/>
      <c r="P47" s="793"/>
      <c r="Q47" s="793"/>
      <c r="R47" s="793"/>
      <c r="S47" s="793"/>
      <c r="T47" s="793"/>
      <c r="U47" s="793"/>
      <c r="V47" s="793"/>
      <c r="W47" s="793"/>
      <c r="X47" s="314"/>
      <c r="IC47" s="304"/>
      <c r="ID47" s="304"/>
      <c r="IE47" s="304"/>
      <c r="IF47" s="304"/>
      <c r="IG47" s="304"/>
      <c r="IH47" s="304"/>
      <c r="II47" s="304"/>
      <c r="IJ47" s="304"/>
      <c r="IK47" s="304"/>
      <c r="IL47" s="304"/>
      <c r="IM47" s="304"/>
      <c r="IN47" s="304"/>
    </row>
    <row r="48" spans="2:248" s="315" customFormat="1" ht="15" customHeight="1" thickBot="1">
      <c r="B48" s="332"/>
      <c r="C48" s="332"/>
      <c r="D48" s="332"/>
      <c r="E48" s="333"/>
      <c r="F48" s="333"/>
      <c r="G48" s="333"/>
      <c r="H48" s="333"/>
      <c r="I48" s="333"/>
      <c r="J48" s="333"/>
      <c r="K48" s="333"/>
      <c r="L48" s="333"/>
      <c r="M48" s="333"/>
      <c r="N48" s="333"/>
      <c r="O48" s="333"/>
      <c r="P48" s="333"/>
      <c r="Q48" s="333"/>
      <c r="R48" s="333"/>
      <c r="S48" s="333"/>
      <c r="T48" s="333"/>
      <c r="U48" s="333"/>
      <c r="V48" s="333"/>
      <c r="W48" s="49"/>
      <c r="X48" s="314"/>
      <c r="IC48" s="304"/>
      <c r="ID48" s="304"/>
      <c r="IE48" s="304"/>
      <c r="IF48" s="304"/>
      <c r="IG48" s="304"/>
      <c r="IH48" s="304"/>
      <c r="II48" s="304"/>
      <c r="IJ48" s="304"/>
      <c r="IK48" s="304"/>
      <c r="IL48" s="304"/>
      <c r="IM48" s="304"/>
      <c r="IN48" s="304"/>
    </row>
    <row r="49" spans="2:248" s="315" customFormat="1" ht="24.95" customHeight="1" thickTop="1">
      <c r="B49" s="855"/>
      <c r="C49" s="855"/>
      <c r="D49" s="856"/>
      <c r="E49" s="862" t="s">
        <v>691</v>
      </c>
      <c r="F49" s="863"/>
      <c r="G49" s="864"/>
      <c r="H49" s="865" t="s">
        <v>692</v>
      </c>
      <c r="I49" s="863"/>
      <c r="J49" s="864"/>
      <c r="K49" s="865" t="s">
        <v>693</v>
      </c>
      <c r="L49" s="863"/>
      <c r="M49" s="864"/>
      <c r="N49" s="865" t="s">
        <v>694</v>
      </c>
      <c r="O49" s="863"/>
      <c r="P49" s="864"/>
      <c r="Q49" s="865" t="s">
        <v>695</v>
      </c>
      <c r="R49" s="863"/>
      <c r="S49" s="864"/>
      <c r="T49" s="865" t="s">
        <v>696</v>
      </c>
      <c r="U49" s="863"/>
      <c r="V49" s="866"/>
      <c r="W49" s="302"/>
      <c r="X49" s="314"/>
      <c r="IC49" s="304"/>
      <c r="ID49" s="304"/>
      <c r="IE49" s="304"/>
      <c r="IF49" s="304"/>
      <c r="IG49" s="304"/>
      <c r="IH49" s="304"/>
      <c r="II49" s="304"/>
      <c r="IJ49" s="304"/>
      <c r="IK49" s="304"/>
      <c r="IL49" s="304"/>
      <c r="IM49" s="304"/>
      <c r="IN49" s="304"/>
    </row>
    <row r="50" spans="2:248" s="315" customFormat="1" ht="24.95" customHeight="1" thickBot="1">
      <c r="B50" s="857"/>
      <c r="C50" s="857"/>
      <c r="D50" s="858"/>
      <c r="E50" s="307" t="s">
        <v>16</v>
      </c>
      <c r="F50" s="308" t="s">
        <v>681</v>
      </c>
      <c r="G50" s="309" t="s">
        <v>9</v>
      </c>
      <c r="H50" s="308" t="s">
        <v>16</v>
      </c>
      <c r="I50" s="308" t="s">
        <v>681</v>
      </c>
      <c r="J50" s="309" t="s">
        <v>9</v>
      </c>
      <c r="K50" s="308" t="s">
        <v>16</v>
      </c>
      <c r="L50" s="308" t="s">
        <v>681</v>
      </c>
      <c r="M50" s="309" t="s">
        <v>9</v>
      </c>
      <c r="N50" s="308" t="s">
        <v>16</v>
      </c>
      <c r="O50" s="308" t="s">
        <v>681</v>
      </c>
      <c r="P50" s="309" t="s">
        <v>9</v>
      </c>
      <c r="Q50" s="308" t="s">
        <v>16</v>
      </c>
      <c r="R50" s="308" t="s">
        <v>681</v>
      </c>
      <c r="S50" s="309" t="s">
        <v>9</v>
      </c>
      <c r="T50" s="308" t="s">
        <v>16</v>
      </c>
      <c r="U50" s="308" t="s">
        <v>681</v>
      </c>
      <c r="V50" s="310" t="s">
        <v>9</v>
      </c>
      <c r="W50" s="302"/>
      <c r="X50" s="314"/>
      <c r="IC50" s="304"/>
      <c r="ID50" s="304"/>
      <c r="IE50" s="304"/>
      <c r="IF50" s="304"/>
      <c r="IG50" s="304"/>
      <c r="IH50" s="304"/>
      <c r="II50" s="304"/>
      <c r="IJ50" s="304"/>
      <c r="IK50" s="304"/>
      <c r="IL50" s="304"/>
      <c r="IM50" s="304"/>
      <c r="IN50" s="304"/>
    </row>
    <row r="51" spans="2:248" s="315" customFormat="1" ht="24.95" customHeight="1" thickTop="1">
      <c r="B51" s="852" t="str">
        <f>IV.A!$A$14</f>
        <v>1.0</v>
      </c>
      <c r="C51" s="847" t="str">
        <f>IV.A!$B$14</f>
        <v>CANTEIRO DE OBRAS</v>
      </c>
      <c r="D51" s="848">
        <f>IV.A!$L$14</f>
        <v>0</v>
      </c>
      <c r="E51" s="849">
        <f t="shared" ref="E51" si="7">E52+F52+G52</f>
        <v>0</v>
      </c>
      <c r="F51" s="850"/>
      <c r="G51" s="851"/>
      <c r="H51" s="849">
        <f t="shared" ref="H51" si="8">H52+I52+J52</f>
        <v>0</v>
      </c>
      <c r="I51" s="850"/>
      <c r="J51" s="851"/>
      <c r="K51" s="849">
        <f t="shared" ref="K51" si="9">K52+L52+M52</f>
        <v>0</v>
      </c>
      <c r="L51" s="850"/>
      <c r="M51" s="851"/>
      <c r="N51" s="849">
        <f t="shared" ref="N51" si="10">N52+O52+P52</f>
        <v>0</v>
      </c>
      <c r="O51" s="850"/>
      <c r="P51" s="851"/>
      <c r="Q51" s="849">
        <f t="shared" ref="Q51" si="11">Q52+R52+S52</f>
        <v>0</v>
      </c>
      <c r="R51" s="850"/>
      <c r="S51" s="851"/>
      <c r="T51" s="849">
        <f t="shared" ref="T51" si="12">T52+U52+V52</f>
        <v>0</v>
      </c>
      <c r="U51" s="850"/>
      <c r="V51" s="851"/>
      <c r="W51" s="798">
        <f>N51+Q51+T51+K51+H51+E51+W14</f>
        <v>0</v>
      </c>
      <c r="X51" s="314"/>
      <c r="IC51" s="304"/>
      <c r="ID51" s="304"/>
      <c r="IE51" s="304"/>
      <c r="IF51" s="304"/>
      <c r="IG51" s="304"/>
      <c r="IH51" s="304"/>
      <c r="II51" s="304"/>
      <c r="IJ51" s="304"/>
      <c r="IK51" s="304"/>
      <c r="IL51" s="304"/>
      <c r="IM51" s="304"/>
      <c r="IN51" s="304"/>
    </row>
    <row r="52" spans="2:248" s="315" customFormat="1" ht="24.95" customHeight="1">
      <c r="B52" s="853"/>
      <c r="C52" s="786"/>
      <c r="D52" s="789"/>
      <c r="E52" s="312">
        <f>IV.A!$F$14*0.09/2</f>
        <v>0</v>
      </c>
      <c r="F52" s="312">
        <f>IV.A!$G$14*0.09/2</f>
        <v>0</v>
      </c>
      <c r="G52" s="312">
        <f>IV.A!$H$14*0.09/2</f>
        <v>0</v>
      </c>
      <c r="H52" s="312">
        <f>IV.A!$F$14*0.0811/2</f>
        <v>0</v>
      </c>
      <c r="I52" s="312">
        <f>IV.A!$G$14*0.0811/2</f>
        <v>0</v>
      </c>
      <c r="J52" s="312">
        <f>IV.A!$H$14*0.0811/2</f>
        <v>0</v>
      </c>
      <c r="K52" s="312">
        <f>IV.A!$F$14*0.0811/2</f>
        <v>0</v>
      </c>
      <c r="L52" s="312">
        <f>IV.A!$G$14*0.0811/2</f>
        <v>0</v>
      </c>
      <c r="M52" s="312">
        <f>IV.A!$H$14*0.0811/2</f>
        <v>0</v>
      </c>
      <c r="N52" s="312">
        <f>IV.A!$F$14*0.0811/2</f>
        <v>0</v>
      </c>
      <c r="O52" s="312">
        <f>IV.A!$G$14*0.0811/2</f>
        <v>0</v>
      </c>
      <c r="P52" s="312">
        <f>IV.A!$H$14*0.0811/2</f>
        <v>0</v>
      </c>
      <c r="Q52" s="312">
        <f>IV.A!$F$14*0.0811/2</f>
        <v>0</v>
      </c>
      <c r="R52" s="312">
        <f>IV.A!$G$14*0.0811/2</f>
        <v>0</v>
      </c>
      <c r="S52" s="312">
        <f>IV.A!$H$14*0.0811/2</f>
        <v>0</v>
      </c>
      <c r="T52" s="312">
        <f>IV.A!$F$14*0.0711/2</f>
        <v>0</v>
      </c>
      <c r="U52" s="312">
        <f>IV.A!$G$14*0.0711/2</f>
        <v>0</v>
      </c>
      <c r="V52" s="312">
        <f>IV.A!$H$14*0.0711/2</f>
        <v>0</v>
      </c>
      <c r="W52" s="799"/>
      <c r="X52" s="314"/>
      <c r="IC52" s="304"/>
      <c r="ID52" s="304"/>
      <c r="IE52" s="304"/>
      <c r="IF52" s="304"/>
      <c r="IG52" s="304"/>
      <c r="IH52" s="304"/>
      <c r="II52" s="304"/>
      <c r="IJ52" s="304"/>
      <c r="IK52" s="304"/>
      <c r="IL52" s="304"/>
      <c r="IM52" s="304"/>
      <c r="IN52" s="304"/>
    </row>
    <row r="53" spans="2:248" s="315" customFormat="1" ht="20.100000000000001" customHeight="1">
      <c r="B53" s="854"/>
      <c r="C53" s="840"/>
      <c r="D53" s="313" t="e">
        <f>IV.A!$M$14</f>
        <v>#DIV/0!</v>
      </c>
      <c r="E53" s="817" t="e">
        <f>E51/$D$51</f>
        <v>#DIV/0!</v>
      </c>
      <c r="F53" s="818"/>
      <c r="G53" s="819"/>
      <c r="H53" s="817" t="e">
        <f>H51/$D$51</f>
        <v>#DIV/0!</v>
      </c>
      <c r="I53" s="818"/>
      <c r="J53" s="819"/>
      <c r="K53" s="817" t="e">
        <f>K51/$D$51</f>
        <v>#DIV/0!</v>
      </c>
      <c r="L53" s="818"/>
      <c r="M53" s="819"/>
      <c r="N53" s="817" t="e">
        <f>N51/$D$51</f>
        <v>#DIV/0!</v>
      </c>
      <c r="O53" s="818"/>
      <c r="P53" s="819"/>
      <c r="Q53" s="817" t="e">
        <f>Q51/$D$51</f>
        <v>#DIV/0!</v>
      </c>
      <c r="R53" s="818"/>
      <c r="S53" s="819"/>
      <c r="T53" s="817" t="e">
        <f>T51/$D$51</f>
        <v>#DIV/0!</v>
      </c>
      <c r="U53" s="818"/>
      <c r="V53" s="819"/>
      <c r="W53" s="15" t="e">
        <f>W51/D51</f>
        <v>#DIV/0!</v>
      </c>
      <c r="X53" s="314"/>
      <c r="IC53" s="304"/>
      <c r="ID53" s="304"/>
      <c r="IE53" s="304"/>
      <c r="IF53" s="304"/>
      <c r="IG53" s="304"/>
      <c r="IH53" s="304"/>
      <c r="II53" s="304"/>
      <c r="IJ53" s="304"/>
      <c r="IK53" s="304"/>
      <c r="IL53" s="304"/>
      <c r="IM53" s="304"/>
      <c r="IN53" s="304"/>
    </row>
    <row r="54" spans="2:248" s="315" customFormat="1" ht="24.95" customHeight="1">
      <c r="B54" s="841" t="str">
        <f>IV.A!$A$22</f>
        <v>2.0</v>
      </c>
      <c r="C54" s="844" t="str">
        <f>IV.A!$B$22</f>
        <v>SERVIÇOS INICIAIS</v>
      </c>
      <c r="D54" s="826">
        <f>IV.A!$L$22</f>
        <v>0</v>
      </c>
      <c r="E54" s="828">
        <f>E55+F55+G55</f>
        <v>0</v>
      </c>
      <c r="F54" s="829"/>
      <c r="G54" s="830"/>
      <c r="H54" s="828">
        <f>H55+I55+J55</f>
        <v>0</v>
      </c>
      <c r="I54" s="829"/>
      <c r="J54" s="830"/>
      <c r="K54" s="828">
        <f>K55+L55+M55</f>
        <v>0</v>
      </c>
      <c r="L54" s="829"/>
      <c r="M54" s="830"/>
      <c r="N54" s="828">
        <f>N55+O55+P55</f>
        <v>0</v>
      </c>
      <c r="O54" s="829"/>
      <c r="P54" s="830"/>
      <c r="Q54" s="828">
        <f>Q55+R55+S55</f>
        <v>0</v>
      </c>
      <c r="R54" s="829"/>
      <c r="S54" s="830"/>
      <c r="T54" s="828">
        <f>T55+U55+V55</f>
        <v>0</v>
      </c>
      <c r="U54" s="829"/>
      <c r="V54" s="830"/>
      <c r="W54" s="831">
        <f>N54+Q54+T54+K54+H54+E54+W17</f>
        <v>0</v>
      </c>
      <c r="X54" s="314"/>
      <c r="IC54" s="304"/>
      <c r="ID54" s="304"/>
      <c r="IE54" s="304"/>
      <c r="IF54" s="304"/>
      <c r="IG54" s="304"/>
      <c r="IH54" s="304"/>
      <c r="II54" s="304"/>
      <c r="IJ54" s="304"/>
      <c r="IK54" s="304"/>
      <c r="IL54" s="304"/>
      <c r="IM54" s="304"/>
      <c r="IN54" s="304"/>
    </row>
    <row r="55" spans="2:248" s="315" customFormat="1" ht="24.95" customHeight="1">
      <c r="B55" s="842"/>
      <c r="C55" s="845"/>
      <c r="D55" s="827"/>
      <c r="E55" s="316">
        <f>IV.A!$F$22/12/2</f>
        <v>0</v>
      </c>
      <c r="F55" s="316">
        <f>IV.A!$G$22/12/2</f>
        <v>0</v>
      </c>
      <c r="G55" s="316">
        <f>IV.A!$H$22/12/2</f>
        <v>0</v>
      </c>
      <c r="H55" s="316">
        <f>IV.A!$F$22/12/2</f>
        <v>0</v>
      </c>
      <c r="I55" s="316">
        <f>IV.A!$G$22/12/2</f>
        <v>0</v>
      </c>
      <c r="J55" s="316">
        <f>IV.A!$H$22/12/2</f>
        <v>0</v>
      </c>
      <c r="K55" s="316">
        <f>IV.A!$F$22/12/2</f>
        <v>0</v>
      </c>
      <c r="L55" s="316">
        <f>IV.A!$G$22/12/2</f>
        <v>0</v>
      </c>
      <c r="M55" s="316">
        <f>IV.A!$H$22/12/2</f>
        <v>0</v>
      </c>
      <c r="N55" s="316">
        <f>IV.A!$F$22/12/2</f>
        <v>0</v>
      </c>
      <c r="O55" s="316">
        <f>IV.A!$G$22/12/2</f>
        <v>0</v>
      </c>
      <c r="P55" s="316">
        <f>IV.A!$H$22/12/2</f>
        <v>0</v>
      </c>
      <c r="Q55" s="316">
        <f>IV.A!$F$22/12/2</f>
        <v>0</v>
      </c>
      <c r="R55" s="316">
        <f>IV.A!$G$22/12/2</f>
        <v>0</v>
      </c>
      <c r="S55" s="316">
        <f>IV.A!$H$22/12/2</f>
        <v>0</v>
      </c>
      <c r="T55" s="316">
        <f>IV.A!$F$22/2-Q55-N55-K55-H55-E55-T18-Q18-N18-K18-H18-E18</f>
        <v>0</v>
      </c>
      <c r="U55" s="316">
        <f>IV.A!$G$22/2-R55-O55-L55-I55-F55-U18-R18-O18-L18-I18-F18</f>
        <v>0</v>
      </c>
      <c r="V55" s="316">
        <f>IV.A!$H$22/2-S55-P55-M55-J55-G55-V18-S18-P18-M18-J18-G18</f>
        <v>0</v>
      </c>
      <c r="W55" s="832"/>
      <c r="X55" s="314"/>
      <c r="IC55" s="304"/>
      <c r="ID55" s="304"/>
      <c r="IE55" s="304"/>
      <c r="IF55" s="304"/>
      <c r="IG55" s="304"/>
      <c r="IH55" s="304"/>
      <c r="II55" s="304"/>
      <c r="IJ55" s="304"/>
      <c r="IK55" s="304"/>
      <c r="IL55" s="304"/>
      <c r="IM55" s="304"/>
      <c r="IN55" s="304"/>
    </row>
    <row r="56" spans="2:248" s="315" customFormat="1" ht="20.100000000000001" customHeight="1">
      <c r="B56" s="843"/>
      <c r="C56" s="846"/>
      <c r="D56" s="317" t="e">
        <f>IV.A!$M$22</f>
        <v>#DIV/0!</v>
      </c>
      <c r="E56" s="833" t="e">
        <f>E54/$D$54</f>
        <v>#DIV/0!</v>
      </c>
      <c r="F56" s="834"/>
      <c r="G56" s="835"/>
      <c r="H56" s="833" t="e">
        <f>H54/$D$54</f>
        <v>#DIV/0!</v>
      </c>
      <c r="I56" s="834"/>
      <c r="J56" s="835"/>
      <c r="K56" s="833" t="e">
        <f>K54/$D$54</f>
        <v>#DIV/0!</v>
      </c>
      <c r="L56" s="834"/>
      <c r="M56" s="835"/>
      <c r="N56" s="833" t="e">
        <f>N54/$D$54</f>
        <v>#DIV/0!</v>
      </c>
      <c r="O56" s="834"/>
      <c r="P56" s="835"/>
      <c r="Q56" s="833" t="e">
        <f>Q54/$D$54</f>
        <v>#DIV/0!</v>
      </c>
      <c r="R56" s="834"/>
      <c r="S56" s="835"/>
      <c r="T56" s="833" t="e">
        <f>T54/$D$54</f>
        <v>#DIV/0!</v>
      </c>
      <c r="U56" s="834"/>
      <c r="V56" s="835"/>
      <c r="W56" s="47" t="e">
        <f>W54/D54</f>
        <v>#DIV/0!</v>
      </c>
      <c r="X56" s="314"/>
      <c r="IC56" s="304"/>
      <c r="ID56" s="304"/>
      <c r="IE56" s="304"/>
      <c r="IF56" s="304"/>
      <c r="IG56" s="304"/>
      <c r="IH56" s="304"/>
      <c r="II56" s="304"/>
      <c r="IJ56" s="304"/>
      <c r="IK56" s="304"/>
      <c r="IL56" s="304"/>
      <c r="IM56" s="304"/>
      <c r="IN56" s="304"/>
    </row>
    <row r="57" spans="2:248" s="315" customFormat="1" ht="24.95" customHeight="1">
      <c r="B57" s="782" t="str">
        <f>IV.A!$A$43</f>
        <v>3.0</v>
      </c>
      <c r="C57" s="785" t="str">
        <f>IV.A!$B$43</f>
        <v>FECHAMENTOS, PROTEÇÕES E ALVENARIAS EM GERAL</v>
      </c>
      <c r="D57" s="788">
        <f>IV.A!$L$43</f>
        <v>0</v>
      </c>
      <c r="E57" s="790">
        <f>E58+F58+G58</f>
        <v>0</v>
      </c>
      <c r="F57" s="791"/>
      <c r="G57" s="792"/>
      <c r="H57" s="790">
        <f>H58+I58+J58</f>
        <v>0</v>
      </c>
      <c r="I57" s="791"/>
      <c r="J57" s="792"/>
      <c r="K57" s="790">
        <f>K58+L58+M58</f>
        <v>0</v>
      </c>
      <c r="L57" s="791"/>
      <c r="M57" s="792"/>
      <c r="N57" s="790">
        <f>N58+O58+P58</f>
        <v>0</v>
      </c>
      <c r="O57" s="791"/>
      <c r="P57" s="792"/>
      <c r="Q57" s="790">
        <f>Q58+R58+S58</f>
        <v>0</v>
      </c>
      <c r="R57" s="791"/>
      <c r="S57" s="792"/>
      <c r="T57" s="790">
        <f>T58+U58+V58</f>
        <v>0</v>
      </c>
      <c r="U57" s="791"/>
      <c r="V57" s="792"/>
      <c r="W57" s="803">
        <f>N57+Q57+T57+K57+H57+E57+W20</f>
        <v>0</v>
      </c>
      <c r="X57" s="314"/>
      <c r="IC57" s="304"/>
      <c r="ID57" s="304"/>
      <c r="IE57" s="304"/>
      <c r="IF57" s="304"/>
      <c r="IG57" s="304"/>
      <c r="IH57" s="304"/>
      <c r="II57" s="304"/>
      <c r="IJ57" s="304"/>
      <c r="IK57" s="304"/>
      <c r="IL57" s="304"/>
      <c r="IM57" s="304"/>
      <c r="IN57" s="304"/>
    </row>
    <row r="58" spans="2:248" s="315" customFormat="1" ht="24.95" customHeight="1">
      <c r="B58" s="783"/>
      <c r="C58" s="786"/>
      <c r="D58" s="789"/>
      <c r="E58" s="312">
        <f>IV.A!$F$43*0.09/2</f>
        <v>0</v>
      </c>
      <c r="F58" s="312">
        <f>IV.A!$G$43*0.09/2</f>
        <v>0</v>
      </c>
      <c r="G58" s="312">
        <f>IV.A!$H$43*0.09/2</f>
        <v>0</v>
      </c>
      <c r="H58" s="312">
        <f>IV.A!$F$43*0.1/2</f>
        <v>0</v>
      </c>
      <c r="I58" s="312">
        <f>IV.A!$G$43*0.1/2</f>
        <v>0</v>
      </c>
      <c r="J58" s="312">
        <f>IV.A!$H$43*0.1/2</f>
        <v>0</v>
      </c>
      <c r="K58" s="312">
        <f>IV.A!$F$43*0.11/2</f>
        <v>0</v>
      </c>
      <c r="L58" s="312">
        <f>IV.A!$G$43*0.11/2</f>
        <v>0</v>
      </c>
      <c r="M58" s="312">
        <f>IV.A!$H$43*0.11/2</f>
        <v>0</v>
      </c>
      <c r="N58" s="312">
        <f>IV.A!$F$43*0.11/2</f>
        <v>0</v>
      </c>
      <c r="O58" s="312">
        <f>IV.A!$G$43*0.11/2</f>
        <v>0</v>
      </c>
      <c r="P58" s="312">
        <f>IV.A!$H$43*0.11/2</f>
        <v>0</v>
      </c>
      <c r="Q58" s="312">
        <f>IV.A!$F$43*0.1/2</f>
        <v>0</v>
      </c>
      <c r="R58" s="312">
        <f>IV.A!$G$43*0.1/2</f>
        <v>0</v>
      </c>
      <c r="S58" s="312">
        <f>IV.A!$H$43*0.1/2</f>
        <v>0</v>
      </c>
      <c r="T58" s="312">
        <f>IV.A!$F$43*0.09/2</f>
        <v>0</v>
      </c>
      <c r="U58" s="312">
        <f>IV.A!$G$43*0.09/2</f>
        <v>0</v>
      </c>
      <c r="V58" s="312">
        <f>IV.A!$H$43*0.09/2</f>
        <v>0</v>
      </c>
      <c r="W58" s="799"/>
      <c r="X58" s="314"/>
      <c r="IC58" s="304"/>
      <c r="ID58" s="304"/>
      <c r="IE58" s="304"/>
      <c r="IF58" s="304"/>
      <c r="IG58" s="304"/>
      <c r="IH58" s="304"/>
      <c r="II58" s="304"/>
      <c r="IJ58" s="304"/>
      <c r="IK58" s="304"/>
      <c r="IL58" s="304"/>
      <c r="IM58" s="304"/>
      <c r="IN58" s="304"/>
    </row>
    <row r="59" spans="2:248" s="315" customFormat="1" ht="20.100000000000001" customHeight="1">
      <c r="B59" s="839"/>
      <c r="C59" s="840"/>
      <c r="D59" s="313" t="e">
        <f>IV.A!$M$43</f>
        <v>#DIV/0!</v>
      </c>
      <c r="E59" s="817" t="e">
        <f>E57/$D$57</f>
        <v>#DIV/0!</v>
      </c>
      <c r="F59" s="818"/>
      <c r="G59" s="819"/>
      <c r="H59" s="817" t="e">
        <f>H57/$D$57</f>
        <v>#DIV/0!</v>
      </c>
      <c r="I59" s="818"/>
      <c r="J59" s="819"/>
      <c r="K59" s="817" t="e">
        <f>K57/$D$57</f>
        <v>#DIV/0!</v>
      </c>
      <c r="L59" s="818"/>
      <c r="M59" s="819"/>
      <c r="N59" s="817" t="e">
        <f>N57/$D$57</f>
        <v>#DIV/0!</v>
      </c>
      <c r="O59" s="818"/>
      <c r="P59" s="819"/>
      <c r="Q59" s="817" t="e">
        <f>Q57/$D$57</f>
        <v>#DIV/0!</v>
      </c>
      <c r="R59" s="818"/>
      <c r="S59" s="819"/>
      <c r="T59" s="817" t="e">
        <f>T57/$D$57</f>
        <v>#DIV/0!</v>
      </c>
      <c r="U59" s="818"/>
      <c r="V59" s="819"/>
      <c r="W59" s="15" t="e">
        <f>W57/D57</f>
        <v>#DIV/0!</v>
      </c>
      <c r="X59" s="314"/>
      <c r="IC59" s="304"/>
      <c r="ID59" s="304"/>
      <c r="IE59" s="304"/>
      <c r="IF59" s="304"/>
      <c r="IG59" s="304"/>
      <c r="IH59" s="304"/>
      <c r="II59" s="304"/>
      <c r="IJ59" s="304"/>
      <c r="IK59" s="304"/>
      <c r="IL59" s="304"/>
      <c r="IM59" s="304"/>
      <c r="IN59" s="304"/>
    </row>
    <row r="60" spans="2:248" s="315" customFormat="1" ht="24.95" customHeight="1">
      <c r="B60" s="841" t="str">
        <f>IV.A!$A$112</f>
        <v>4.0</v>
      </c>
      <c r="C60" s="844" t="str">
        <f>IV.A!$B$112</f>
        <v>FORNECIMENTO E INSTALAÇÕES HIDRAULICAS - ITEM 9.0 DO TERMO DE REFERÊNCIA</v>
      </c>
      <c r="D60" s="826">
        <f>IV.A!$L$112</f>
        <v>0</v>
      </c>
      <c r="E60" s="828">
        <f>E61+F61+G61</f>
        <v>0</v>
      </c>
      <c r="F60" s="829"/>
      <c r="G60" s="830"/>
      <c r="H60" s="828">
        <f>H61+I61+J61</f>
        <v>0</v>
      </c>
      <c r="I60" s="829"/>
      <c r="J60" s="830"/>
      <c r="K60" s="828">
        <f>K61+L61+M61</f>
        <v>0</v>
      </c>
      <c r="L60" s="829"/>
      <c r="M60" s="830"/>
      <c r="N60" s="828">
        <f>N61+O61+P61</f>
        <v>0</v>
      </c>
      <c r="O60" s="829"/>
      <c r="P60" s="830"/>
      <c r="Q60" s="828">
        <f>Q61+R61+S61</f>
        <v>0</v>
      </c>
      <c r="R60" s="829"/>
      <c r="S60" s="830"/>
      <c r="T60" s="828">
        <f>T61+U61+V61</f>
        <v>0</v>
      </c>
      <c r="U60" s="829"/>
      <c r="V60" s="830"/>
      <c r="W60" s="831">
        <f>N60+Q60+T60+K60+H60+E60+W23</f>
        <v>0</v>
      </c>
      <c r="X60" s="314"/>
      <c r="IC60" s="304"/>
      <c r="ID60" s="304"/>
      <c r="IE60" s="304"/>
      <c r="IF60" s="304"/>
      <c r="IG60" s="304"/>
      <c r="IH60" s="304"/>
      <c r="II60" s="304"/>
      <c r="IJ60" s="304"/>
      <c r="IK60" s="304"/>
      <c r="IL60" s="304"/>
      <c r="IM60" s="304"/>
      <c r="IN60" s="304"/>
    </row>
    <row r="61" spans="2:248" s="315" customFormat="1" ht="24.95" customHeight="1">
      <c r="B61" s="842"/>
      <c r="C61" s="845"/>
      <c r="D61" s="827"/>
      <c r="E61" s="316">
        <f>IV.A!$F$112/12/2</f>
        <v>0</v>
      </c>
      <c r="F61" s="316">
        <f>IV.A!$G$112/12/2</f>
        <v>0</v>
      </c>
      <c r="G61" s="316">
        <f>IV.A!$H$112/12/2</f>
        <v>0</v>
      </c>
      <c r="H61" s="316">
        <f>IV.A!$F$112/12/2</f>
        <v>0</v>
      </c>
      <c r="I61" s="316">
        <f>IV.A!$G$112/12/2</f>
        <v>0</v>
      </c>
      <c r="J61" s="316">
        <f>IV.A!$H$112/12/2</f>
        <v>0</v>
      </c>
      <c r="K61" s="316">
        <f>IV.A!$F$112/12/2</f>
        <v>0</v>
      </c>
      <c r="L61" s="316">
        <f>IV.A!$G$112/12/2</f>
        <v>0</v>
      </c>
      <c r="M61" s="316">
        <f>IV.A!$H$112/12/2</f>
        <v>0</v>
      </c>
      <c r="N61" s="316">
        <f>IV.A!$F$112/12/2</f>
        <v>0</v>
      </c>
      <c r="O61" s="316">
        <f>IV.A!$G$112/12/2</f>
        <v>0</v>
      </c>
      <c r="P61" s="316">
        <f>IV.A!$H$112/12/2</f>
        <v>0</v>
      </c>
      <c r="Q61" s="316">
        <f>IV.A!$F$112/12/2</f>
        <v>0</v>
      </c>
      <c r="R61" s="316">
        <f>IV.A!$G$112/12/2</f>
        <v>0</v>
      </c>
      <c r="S61" s="316">
        <f>IV.A!$H$112/12/2</f>
        <v>0</v>
      </c>
      <c r="T61" s="316">
        <f>IV.A!$F$112/2-Q61-N61-K61-H61-E61-T24-Q24-N24-K24-H24-E24</f>
        <v>0</v>
      </c>
      <c r="U61" s="316">
        <f>IV.A!$G$112/2-R61-O61-L61-I61-F61-U24-R24-O24-L24-I24-F24</f>
        <v>0</v>
      </c>
      <c r="V61" s="316">
        <f>IV.A!$H$112/2-S61-P61-M61-J61-G61-V24-S24-P24-M24-J24-G24</f>
        <v>0</v>
      </c>
      <c r="W61" s="832"/>
      <c r="X61" s="314"/>
      <c r="IC61" s="304"/>
      <c r="ID61" s="304"/>
      <c r="IE61" s="304"/>
      <c r="IF61" s="304"/>
      <c r="IG61" s="304"/>
      <c r="IH61" s="304"/>
      <c r="II61" s="304"/>
      <c r="IJ61" s="304"/>
      <c r="IK61" s="304"/>
      <c r="IL61" s="304"/>
      <c r="IM61" s="304"/>
      <c r="IN61" s="304"/>
    </row>
    <row r="62" spans="2:248" s="315" customFormat="1" ht="20.100000000000001" customHeight="1">
      <c r="B62" s="843"/>
      <c r="C62" s="846"/>
      <c r="D62" s="317" t="e">
        <f>IV.A!$M$112</f>
        <v>#DIV/0!</v>
      </c>
      <c r="E62" s="833" t="e">
        <f>E60/$D$60</f>
        <v>#DIV/0!</v>
      </c>
      <c r="F62" s="834"/>
      <c r="G62" s="835"/>
      <c r="H62" s="833" t="e">
        <f>H60/$D$60</f>
        <v>#DIV/0!</v>
      </c>
      <c r="I62" s="834"/>
      <c r="J62" s="835"/>
      <c r="K62" s="833" t="e">
        <f>K60/$D$60</f>
        <v>#DIV/0!</v>
      </c>
      <c r="L62" s="834"/>
      <c r="M62" s="835"/>
      <c r="N62" s="833" t="e">
        <f>N60/$D$60</f>
        <v>#DIV/0!</v>
      </c>
      <c r="O62" s="834"/>
      <c r="P62" s="835"/>
      <c r="Q62" s="833" t="e">
        <f>Q60/$D$60</f>
        <v>#DIV/0!</v>
      </c>
      <c r="R62" s="834"/>
      <c r="S62" s="835"/>
      <c r="T62" s="833" t="e">
        <f>T60/$D$60</f>
        <v>#DIV/0!</v>
      </c>
      <c r="U62" s="834"/>
      <c r="V62" s="835"/>
      <c r="W62" s="47" t="e">
        <f>W60/D60</f>
        <v>#DIV/0!</v>
      </c>
      <c r="X62" s="314"/>
      <c r="IC62" s="304"/>
      <c r="ID62" s="304"/>
      <c r="IE62" s="304"/>
      <c r="IF62" s="304"/>
      <c r="IG62" s="304"/>
      <c r="IH62" s="304"/>
      <c r="II62" s="304"/>
      <c r="IJ62" s="304"/>
      <c r="IK62" s="304"/>
      <c r="IL62" s="304"/>
      <c r="IM62" s="304"/>
      <c r="IN62" s="304"/>
    </row>
    <row r="63" spans="2:248" s="315" customFormat="1" ht="24.95" customHeight="1">
      <c r="B63" s="836" t="str">
        <f>IV.A!$A$126</f>
        <v>5.0</v>
      </c>
      <c r="C63" s="807" t="str">
        <f>IV.A!$B$126</f>
        <v>RECUPERAÇÃO E TRATAMENTO DE SUPERFÍCIES EM CONCRETO ARMADO - ITEM 10.0 DO TERMO DE REFERÊNCIA</v>
      </c>
      <c r="D63" s="788">
        <f>IV.A!$L$126</f>
        <v>0</v>
      </c>
      <c r="E63" s="790">
        <f>E64+F64+G64</f>
        <v>0</v>
      </c>
      <c r="F63" s="791"/>
      <c r="G63" s="792"/>
      <c r="H63" s="790">
        <f>H64+I64+J64</f>
        <v>0</v>
      </c>
      <c r="I63" s="791"/>
      <c r="J63" s="792"/>
      <c r="K63" s="790">
        <f>K64+L64+M64</f>
        <v>0</v>
      </c>
      <c r="L63" s="791"/>
      <c r="M63" s="792"/>
      <c r="N63" s="790">
        <f>N64+O64+P64</f>
        <v>0</v>
      </c>
      <c r="O63" s="791"/>
      <c r="P63" s="792"/>
      <c r="Q63" s="790">
        <f>Q64+R64+S64</f>
        <v>0</v>
      </c>
      <c r="R63" s="791"/>
      <c r="S63" s="792"/>
      <c r="T63" s="790">
        <f>T64+U64+V64</f>
        <v>0</v>
      </c>
      <c r="U63" s="791"/>
      <c r="V63" s="792"/>
      <c r="W63" s="803">
        <f>N63+Q63+T63+K63+H63+E63+W26</f>
        <v>0</v>
      </c>
      <c r="X63" s="314"/>
      <c r="IC63" s="304"/>
      <c r="ID63" s="304"/>
      <c r="IE63" s="304"/>
      <c r="IF63" s="304"/>
      <c r="IG63" s="304"/>
      <c r="IH63" s="304"/>
      <c r="II63" s="304"/>
      <c r="IJ63" s="304"/>
      <c r="IK63" s="304"/>
      <c r="IL63" s="304"/>
      <c r="IM63" s="304"/>
      <c r="IN63" s="304"/>
    </row>
    <row r="64" spans="2:248" s="315" customFormat="1" ht="24.95" customHeight="1">
      <c r="B64" s="837"/>
      <c r="C64" s="808"/>
      <c r="D64" s="789"/>
      <c r="E64" s="312">
        <f>IV.A!$F$126/12/2</f>
        <v>0</v>
      </c>
      <c r="F64" s="312">
        <f>IV.A!$G$126/12/2</f>
        <v>0</v>
      </c>
      <c r="G64" s="312">
        <f>IV.A!$H$126/12/2</f>
        <v>0</v>
      </c>
      <c r="H64" s="312">
        <f>IV.A!$F$126/12/2</f>
        <v>0</v>
      </c>
      <c r="I64" s="312">
        <f>IV.A!$G$126/12/2</f>
        <v>0</v>
      </c>
      <c r="J64" s="312">
        <f>IV.A!$H$126/12/2</f>
        <v>0</v>
      </c>
      <c r="K64" s="312">
        <f>IV.A!$F$126/12/2</f>
        <v>0</v>
      </c>
      <c r="L64" s="312">
        <f>IV.A!$G$126/12/2</f>
        <v>0</v>
      </c>
      <c r="M64" s="312">
        <f>IV.A!$H$126/12/2</f>
        <v>0</v>
      </c>
      <c r="N64" s="312">
        <f>IV.A!$F$126/12/2</f>
        <v>0</v>
      </c>
      <c r="O64" s="312">
        <f>IV.A!$G$126/12/2</f>
        <v>0</v>
      </c>
      <c r="P64" s="312">
        <f>IV.A!$H$126/12/2</f>
        <v>0</v>
      </c>
      <c r="Q64" s="312">
        <f>IV.A!$F$126/12/2</f>
        <v>0</v>
      </c>
      <c r="R64" s="312">
        <f>IV.A!$G$126/12/2</f>
        <v>0</v>
      </c>
      <c r="S64" s="312">
        <f>IV.A!$H$126/12/2</f>
        <v>0</v>
      </c>
      <c r="T64" s="312">
        <f>IV.A!$F$126/2-Q64-N64-K64-H64-E64-T27-Q27-N27-K27-H27-E27</f>
        <v>0</v>
      </c>
      <c r="U64" s="312">
        <f>IV.A!$G$126/2-R64-O64-L64-I64-F64-U27-R27-O27-L27-I27-F27</f>
        <v>0</v>
      </c>
      <c r="V64" s="312">
        <f>IV.A!$H$126/2-S64-P64-M64-J64-G64-V27-S27-P27-M27-J27-G27</f>
        <v>0</v>
      </c>
      <c r="W64" s="799"/>
      <c r="X64" s="314"/>
      <c r="IC64" s="304"/>
      <c r="ID64" s="304"/>
      <c r="IE64" s="304"/>
      <c r="IF64" s="304"/>
      <c r="IG64" s="304"/>
      <c r="IH64" s="304"/>
      <c r="II64" s="304"/>
      <c r="IJ64" s="304"/>
      <c r="IK64" s="304"/>
      <c r="IL64" s="304"/>
      <c r="IM64" s="304"/>
      <c r="IN64" s="304"/>
    </row>
    <row r="65" spans="2:248" s="315" customFormat="1" ht="20.100000000000001" customHeight="1">
      <c r="B65" s="838"/>
      <c r="C65" s="809"/>
      <c r="D65" s="313" t="e">
        <f>IV.A!$M$126</f>
        <v>#DIV/0!</v>
      </c>
      <c r="E65" s="817" t="e">
        <f>E63/$D$63</f>
        <v>#DIV/0!</v>
      </c>
      <c r="F65" s="818"/>
      <c r="G65" s="819"/>
      <c r="H65" s="817" t="e">
        <f>H63/$D$63</f>
        <v>#DIV/0!</v>
      </c>
      <c r="I65" s="818"/>
      <c r="J65" s="819"/>
      <c r="K65" s="817" t="e">
        <f>K63/$D$63</f>
        <v>#DIV/0!</v>
      </c>
      <c r="L65" s="818"/>
      <c r="M65" s="819"/>
      <c r="N65" s="817" t="e">
        <f>N63/$D$63</f>
        <v>#DIV/0!</v>
      </c>
      <c r="O65" s="818"/>
      <c r="P65" s="819"/>
      <c r="Q65" s="817" t="e">
        <f>Q63/$D$63</f>
        <v>#DIV/0!</v>
      </c>
      <c r="R65" s="818"/>
      <c r="S65" s="819"/>
      <c r="T65" s="817" t="e">
        <f>T63/$D$63</f>
        <v>#DIV/0!</v>
      </c>
      <c r="U65" s="818"/>
      <c r="V65" s="819"/>
      <c r="W65" s="15" t="e">
        <f>W63/D63</f>
        <v>#DIV/0!</v>
      </c>
      <c r="X65" s="314"/>
      <c r="IC65" s="304"/>
      <c r="ID65" s="304"/>
      <c r="IE65" s="304"/>
      <c r="IF65" s="304"/>
      <c r="IG65" s="304"/>
      <c r="IH65" s="304"/>
      <c r="II65" s="304"/>
      <c r="IJ65" s="304"/>
      <c r="IK65" s="304"/>
      <c r="IL65" s="304"/>
      <c r="IM65" s="304"/>
      <c r="IN65" s="304"/>
    </row>
    <row r="66" spans="2:248" s="315" customFormat="1" ht="24.95" customHeight="1">
      <c r="B66" s="820" t="str">
        <f>IV.A!$A$134</f>
        <v>6.0</v>
      </c>
      <c r="C66" s="823" t="str">
        <f>IV.A!$B$134</f>
        <v>PINTURAS - ITEM 11.0 DO TERMO DE REFERÊNCIA</v>
      </c>
      <c r="D66" s="826">
        <f>IV.A!$L$134</f>
        <v>0</v>
      </c>
      <c r="E66" s="828">
        <f>E67+F67+G67</f>
        <v>0</v>
      </c>
      <c r="F66" s="829"/>
      <c r="G66" s="830"/>
      <c r="H66" s="828">
        <f>H67+I67+J67</f>
        <v>0</v>
      </c>
      <c r="I66" s="829"/>
      <c r="J66" s="830"/>
      <c r="K66" s="828">
        <f>K67+L67+M67</f>
        <v>0</v>
      </c>
      <c r="L66" s="829"/>
      <c r="M66" s="830"/>
      <c r="N66" s="828">
        <f>N67+O67+P67</f>
        <v>0</v>
      </c>
      <c r="O66" s="829"/>
      <c r="P66" s="830"/>
      <c r="Q66" s="828">
        <f>Q67+R67+S67</f>
        <v>0</v>
      </c>
      <c r="R66" s="829"/>
      <c r="S66" s="830"/>
      <c r="T66" s="828">
        <f>T67+U67+V67</f>
        <v>0</v>
      </c>
      <c r="U66" s="829"/>
      <c r="V66" s="830"/>
      <c r="W66" s="831">
        <f>N66+Q66+T66+K66+H66+E66+W29</f>
        <v>0</v>
      </c>
      <c r="X66" s="314"/>
      <c r="IC66" s="304"/>
      <c r="ID66" s="304"/>
      <c r="IE66" s="304"/>
      <c r="IF66" s="304"/>
      <c r="IG66" s="304"/>
      <c r="IH66" s="304"/>
      <c r="II66" s="304"/>
      <c r="IJ66" s="304"/>
      <c r="IK66" s="304"/>
      <c r="IL66" s="304"/>
      <c r="IM66" s="304"/>
      <c r="IN66" s="304"/>
    </row>
    <row r="67" spans="2:248" s="315" customFormat="1" ht="24.95" customHeight="1">
      <c r="B67" s="821"/>
      <c r="C67" s="824"/>
      <c r="D67" s="827"/>
      <c r="E67" s="316">
        <f>IV.A!$F$134*0.08/2</f>
        <v>0</v>
      </c>
      <c r="F67" s="316">
        <f>IV.A!$G$134*0.08/2</f>
        <v>0</v>
      </c>
      <c r="G67" s="316">
        <f>IV.A!$H$134*0.08/2</f>
        <v>0</v>
      </c>
      <c r="H67" s="316">
        <f>IV.A!$F$134/12/2</f>
        <v>0</v>
      </c>
      <c r="I67" s="316">
        <f>IV.A!$G$134/12/2</f>
        <v>0</v>
      </c>
      <c r="J67" s="316">
        <f>IV.A!$H$134/12/2</f>
        <v>0</v>
      </c>
      <c r="K67" s="316">
        <f>IV.A!$F$134/12/2</f>
        <v>0</v>
      </c>
      <c r="L67" s="316">
        <f>IV.A!$G$134/12/2</f>
        <v>0</v>
      </c>
      <c r="M67" s="316">
        <f>IV.A!$H$134/12/2</f>
        <v>0</v>
      </c>
      <c r="N67" s="316">
        <f>IV.A!$F$134/12/2</f>
        <v>0</v>
      </c>
      <c r="O67" s="316">
        <f>IV.A!$G$134/12/2</f>
        <v>0</v>
      </c>
      <c r="P67" s="316">
        <f>IV.A!$H$134/12/2</f>
        <v>0</v>
      </c>
      <c r="Q67" s="316">
        <f>IV.A!$F$134/12/2</f>
        <v>0</v>
      </c>
      <c r="R67" s="316">
        <f>IV.A!$G$134/12/2</f>
        <v>0</v>
      </c>
      <c r="S67" s="316">
        <f>IV.A!$H$134/12/2</f>
        <v>0</v>
      </c>
      <c r="T67" s="316">
        <f>IV.A!$F$134/2-Q67-N67-K67-H67-E67-T30-Q30-N30-K30-H30-E30</f>
        <v>0</v>
      </c>
      <c r="U67" s="316">
        <f>IV.A!$G$134/2-R67-O67-L67-I67-F67-U30-R30-O30-L30-I30-F30</f>
        <v>0</v>
      </c>
      <c r="V67" s="316">
        <f>IV.A!$H$134/2-S67-P67-M67-J67-G67-V30-S30-P30-M30-J30-G30</f>
        <v>0</v>
      </c>
      <c r="W67" s="832"/>
      <c r="X67" s="314"/>
      <c r="IC67" s="304"/>
      <c r="ID67" s="304"/>
      <c r="IE67" s="304"/>
      <c r="IF67" s="304"/>
      <c r="IG67" s="304"/>
      <c r="IH67" s="304"/>
      <c r="II67" s="304"/>
      <c r="IJ67" s="304"/>
      <c r="IK67" s="304"/>
      <c r="IL67" s="304"/>
      <c r="IM67" s="304"/>
      <c r="IN67" s="304"/>
    </row>
    <row r="68" spans="2:248" s="315" customFormat="1" ht="20.100000000000001" customHeight="1">
      <c r="B68" s="822"/>
      <c r="C68" s="825"/>
      <c r="D68" s="317" t="e">
        <f>IV.A!$M$134</f>
        <v>#DIV/0!</v>
      </c>
      <c r="E68" s="833" t="e">
        <f>E66/$D$66</f>
        <v>#DIV/0!</v>
      </c>
      <c r="F68" s="834"/>
      <c r="G68" s="835"/>
      <c r="H68" s="833" t="e">
        <f>H66/$D$66</f>
        <v>#DIV/0!</v>
      </c>
      <c r="I68" s="834"/>
      <c r="J68" s="835"/>
      <c r="K68" s="833" t="e">
        <f>K66/$D$66</f>
        <v>#DIV/0!</v>
      </c>
      <c r="L68" s="834"/>
      <c r="M68" s="835"/>
      <c r="N68" s="833" t="e">
        <f>N66/$D$66</f>
        <v>#DIV/0!</v>
      </c>
      <c r="O68" s="834"/>
      <c r="P68" s="835"/>
      <c r="Q68" s="833" t="e">
        <f>Q66/$D$66</f>
        <v>#DIV/0!</v>
      </c>
      <c r="R68" s="834"/>
      <c r="S68" s="835"/>
      <c r="T68" s="833" t="e">
        <f>T66/$D$66</f>
        <v>#DIV/0!</v>
      </c>
      <c r="U68" s="834"/>
      <c r="V68" s="835"/>
      <c r="W68" s="47" t="e">
        <f>W66/D66</f>
        <v>#DIV/0!</v>
      </c>
      <c r="X68" s="314"/>
      <c r="IC68" s="304"/>
      <c r="ID68" s="304"/>
      <c r="IE68" s="304"/>
      <c r="IF68" s="304"/>
      <c r="IG68" s="304"/>
      <c r="IH68" s="304"/>
      <c r="II68" s="304"/>
      <c r="IJ68" s="304"/>
      <c r="IK68" s="304"/>
      <c r="IL68" s="304"/>
      <c r="IM68" s="304"/>
      <c r="IN68" s="304"/>
    </row>
    <row r="69" spans="2:248" s="315" customFormat="1" ht="24.95" customHeight="1">
      <c r="B69" s="782" t="str">
        <f>IV.A!$A$155</f>
        <v>7.0</v>
      </c>
      <c r="C69" s="785" t="str">
        <f>IV.A!$B$155</f>
        <v>SERVIÇOS COMPLEMENTARES - ITEM 12.0 DO TERMO DE REFERÊNCIA</v>
      </c>
      <c r="D69" s="788">
        <f>IV.A!$L$155</f>
        <v>0</v>
      </c>
      <c r="E69" s="790">
        <f>E70+F70+G70</f>
        <v>0</v>
      </c>
      <c r="F69" s="791"/>
      <c r="G69" s="792"/>
      <c r="H69" s="790">
        <f>H70+I70+J70</f>
        <v>0</v>
      </c>
      <c r="I69" s="791"/>
      <c r="J69" s="792"/>
      <c r="K69" s="790">
        <f>K70+L70+M70</f>
        <v>0</v>
      </c>
      <c r="L69" s="791"/>
      <c r="M69" s="792"/>
      <c r="N69" s="790">
        <f>N70+O70+P70</f>
        <v>0</v>
      </c>
      <c r="O69" s="791"/>
      <c r="P69" s="792"/>
      <c r="Q69" s="790">
        <f>Q70+R70+S70</f>
        <v>0</v>
      </c>
      <c r="R69" s="791"/>
      <c r="S69" s="792"/>
      <c r="T69" s="790">
        <f>T70+U70+V70</f>
        <v>0</v>
      </c>
      <c r="U69" s="791"/>
      <c r="V69" s="792"/>
      <c r="W69" s="803">
        <f>N69+Q69+T69+K69+H69+E69+W32</f>
        <v>0</v>
      </c>
      <c r="X69" s="314"/>
      <c r="IC69" s="304"/>
      <c r="ID69" s="304"/>
      <c r="IE69" s="304"/>
      <c r="IF69" s="304"/>
      <c r="IG69" s="304"/>
      <c r="IH69" s="304"/>
      <c r="II69" s="304"/>
      <c r="IJ69" s="304"/>
      <c r="IK69" s="304"/>
      <c r="IL69" s="304"/>
      <c r="IM69" s="304"/>
      <c r="IN69" s="304"/>
    </row>
    <row r="70" spans="2:248" s="315" customFormat="1" ht="24.95" customHeight="1">
      <c r="B70" s="783"/>
      <c r="C70" s="786"/>
      <c r="D70" s="789"/>
      <c r="E70" s="312">
        <f>IV.A!$F$155*0.12/2</f>
        <v>0</v>
      </c>
      <c r="F70" s="312">
        <f>IV.A!$G$155*0.12/2</f>
        <v>0</v>
      </c>
      <c r="G70" s="312">
        <f>IV.A!$H$155*0.12/2</f>
        <v>0</v>
      </c>
      <c r="H70" s="312">
        <f>IV.A!$F$155*0.07/2</f>
        <v>0</v>
      </c>
      <c r="I70" s="312">
        <f>IV.A!$G$155*0.07/2</f>
        <v>0</v>
      </c>
      <c r="J70" s="312">
        <f>IV.A!$H$155*0.07/2</f>
        <v>0</v>
      </c>
      <c r="K70" s="312">
        <f>IV.A!$F$155*0.07/2</f>
        <v>0</v>
      </c>
      <c r="L70" s="312">
        <f>IV.A!$G$155*0.07/2</f>
        <v>0</v>
      </c>
      <c r="M70" s="312">
        <f>IV.A!$H$155*0.07/2</f>
        <v>0</v>
      </c>
      <c r="N70" s="312">
        <f>IV.A!$F$155*0.07/2</f>
        <v>0</v>
      </c>
      <c r="O70" s="312">
        <f>IV.A!$G$155*0.07/2</f>
        <v>0</v>
      </c>
      <c r="P70" s="312">
        <f>IV.A!$H$155*0.07/2</f>
        <v>0</v>
      </c>
      <c r="Q70" s="312">
        <f>IV.A!$F$155*0.07/2</f>
        <v>0</v>
      </c>
      <c r="R70" s="312">
        <f>IV.A!$G$155*0.07/2</f>
        <v>0</v>
      </c>
      <c r="S70" s="312">
        <f>IV.A!$H$155*0.07/2</f>
        <v>0</v>
      </c>
      <c r="T70" s="312">
        <f>Q70</f>
        <v>0</v>
      </c>
      <c r="U70" s="312">
        <f>R70</f>
        <v>0</v>
      </c>
      <c r="V70" s="312">
        <f>S70</f>
        <v>0</v>
      </c>
      <c r="W70" s="799"/>
      <c r="X70" s="314"/>
      <c r="IC70" s="304"/>
      <c r="ID70" s="304"/>
      <c r="IE70" s="304"/>
      <c r="IF70" s="304"/>
      <c r="IG70" s="304"/>
      <c r="IH70" s="304"/>
      <c r="II70" s="304"/>
      <c r="IJ70" s="304"/>
      <c r="IK70" s="304"/>
      <c r="IL70" s="304"/>
      <c r="IM70" s="304"/>
      <c r="IN70" s="304"/>
    </row>
    <row r="71" spans="2:248" s="315" customFormat="1" ht="20.100000000000001" customHeight="1" thickBot="1">
      <c r="B71" s="784"/>
      <c r="C71" s="787"/>
      <c r="D71" s="318" t="e">
        <f>IV.A!$M$155</f>
        <v>#DIV/0!</v>
      </c>
      <c r="E71" s="804" t="e">
        <f>E69/$D$69</f>
        <v>#DIV/0!</v>
      </c>
      <c r="F71" s="805"/>
      <c r="G71" s="806"/>
      <c r="H71" s="804" t="e">
        <f>H69/$D$69</f>
        <v>#DIV/0!</v>
      </c>
      <c r="I71" s="805"/>
      <c r="J71" s="806"/>
      <c r="K71" s="804" t="e">
        <f>K69/$D$69</f>
        <v>#DIV/0!</v>
      </c>
      <c r="L71" s="805"/>
      <c r="M71" s="806"/>
      <c r="N71" s="804" t="e">
        <f>N69/$D$69</f>
        <v>#DIV/0!</v>
      </c>
      <c r="O71" s="805"/>
      <c r="P71" s="806"/>
      <c r="Q71" s="804" t="e">
        <f>Q69/$D$69</f>
        <v>#DIV/0!</v>
      </c>
      <c r="R71" s="805"/>
      <c r="S71" s="806"/>
      <c r="T71" s="804" t="e">
        <f>T69/$D$69</f>
        <v>#DIV/0!</v>
      </c>
      <c r="U71" s="805"/>
      <c r="V71" s="806"/>
      <c r="W71" s="16" t="e">
        <f>W69/D69</f>
        <v>#DIV/0!</v>
      </c>
      <c r="X71" s="314"/>
      <c r="IC71" s="304"/>
      <c r="ID71" s="304"/>
      <c r="IE71" s="304"/>
      <c r="IF71" s="304"/>
      <c r="IG71" s="304"/>
      <c r="IH71" s="304"/>
      <c r="II71" s="304"/>
      <c r="IJ71" s="304"/>
      <c r="IK71" s="304"/>
      <c r="IL71" s="304"/>
      <c r="IM71" s="304"/>
      <c r="IN71" s="304"/>
    </row>
    <row r="72" spans="2:248" s="315" customFormat="1" ht="15.2" customHeight="1" thickTop="1" thickBot="1">
      <c r="B72" s="319"/>
      <c r="C72" s="319"/>
      <c r="D72" s="319"/>
      <c r="E72" s="320"/>
      <c r="F72" s="321"/>
      <c r="G72" s="320"/>
      <c r="H72" s="320"/>
      <c r="I72" s="321"/>
      <c r="J72" s="320"/>
      <c r="K72" s="320"/>
      <c r="L72" s="321"/>
      <c r="M72" s="320"/>
      <c r="N72" s="320"/>
      <c r="O72" s="321"/>
      <c r="P72" s="320"/>
      <c r="Q72" s="320"/>
      <c r="R72" s="321"/>
      <c r="S72" s="320"/>
      <c r="T72" s="320"/>
      <c r="U72" s="321"/>
      <c r="V72" s="320"/>
      <c r="W72" s="19"/>
      <c r="X72" s="314"/>
      <c r="IC72" s="304"/>
      <c r="ID72" s="304"/>
      <c r="IE72" s="304"/>
      <c r="IF72" s="304"/>
      <c r="IG72" s="304"/>
      <c r="IH72" s="304"/>
      <c r="II72" s="304"/>
      <c r="IJ72" s="304"/>
      <c r="IK72" s="304"/>
      <c r="IL72" s="304"/>
      <c r="IM72" s="304"/>
      <c r="IN72" s="304"/>
    </row>
    <row r="73" spans="2:248" s="315" customFormat="1" ht="24.95" customHeight="1" thickTop="1">
      <c r="B73" s="810" t="s">
        <v>682</v>
      </c>
      <c r="C73" s="811"/>
      <c r="D73" s="812">
        <f>D51+D54+D57+D60+D63+D66+D69</f>
        <v>0</v>
      </c>
      <c r="E73" s="794">
        <f>E74+F74+G74</f>
        <v>0</v>
      </c>
      <c r="F73" s="795"/>
      <c r="G73" s="796"/>
      <c r="H73" s="794">
        <f>H74+I74+J74</f>
        <v>0</v>
      </c>
      <c r="I73" s="795"/>
      <c r="J73" s="796"/>
      <c r="K73" s="814">
        <f>K74+L74+M74</f>
        <v>0</v>
      </c>
      <c r="L73" s="815"/>
      <c r="M73" s="816"/>
      <c r="N73" s="814">
        <f>N74+O74+P74</f>
        <v>0</v>
      </c>
      <c r="O73" s="815"/>
      <c r="P73" s="816"/>
      <c r="Q73" s="814">
        <f>Q74+R74+S74</f>
        <v>0</v>
      </c>
      <c r="R73" s="815"/>
      <c r="S73" s="816"/>
      <c r="T73" s="814">
        <f>T74+U74+V74</f>
        <v>0</v>
      </c>
      <c r="U73" s="815"/>
      <c r="V73" s="816"/>
      <c r="W73" s="798">
        <f>W51+W54+W57+W60+W63+W66+W69</f>
        <v>0</v>
      </c>
      <c r="X73" s="314"/>
      <c r="IC73" s="304"/>
      <c r="ID73" s="304"/>
      <c r="IE73" s="304"/>
      <c r="IF73" s="304"/>
      <c r="IG73" s="304"/>
      <c r="IH73" s="304"/>
      <c r="II73" s="304"/>
      <c r="IJ73" s="304"/>
      <c r="IK73" s="304"/>
      <c r="IL73" s="304"/>
      <c r="IM73" s="304"/>
      <c r="IN73" s="304"/>
    </row>
    <row r="74" spans="2:248" s="315" customFormat="1" ht="24.95" customHeight="1">
      <c r="B74" s="810"/>
      <c r="C74" s="811"/>
      <c r="D74" s="813"/>
      <c r="E74" s="17">
        <f>E64+E61+E58+E55+E52+E67+E70</f>
        <v>0</v>
      </c>
      <c r="F74" s="17">
        <f t="shared" ref="F74:V74" si="13">F64+F61+F58+F55+F52+F67+F70</f>
        <v>0</v>
      </c>
      <c r="G74" s="17">
        <f t="shared" si="13"/>
        <v>0</v>
      </c>
      <c r="H74" s="17">
        <f t="shared" si="13"/>
        <v>0</v>
      </c>
      <c r="I74" s="17">
        <f t="shared" si="13"/>
        <v>0</v>
      </c>
      <c r="J74" s="17">
        <f t="shared" si="13"/>
        <v>0</v>
      </c>
      <c r="K74" s="17">
        <f t="shared" si="13"/>
        <v>0</v>
      </c>
      <c r="L74" s="17">
        <f t="shared" si="13"/>
        <v>0</v>
      </c>
      <c r="M74" s="17">
        <f t="shared" si="13"/>
        <v>0</v>
      </c>
      <c r="N74" s="17">
        <f t="shared" si="13"/>
        <v>0</v>
      </c>
      <c r="O74" s="17">
        <f t="shared" si="13"/>
        <v>0</v>
      </c>
      <c r="P74" s="17">
        <f t="shared" si="13"/>
        <v>0</v>
      </c>
      <c r="Q74" s="17">
        <f t="shared" si="13"/>
        <v>0</v>
      </c>
      <c r="R74" s="17">
        <f t="shared" si="13"/>
        <v>0</v>
      </c>
      <c r="S74" s="17">
        <f t="shared" si="13"/>
        <v>0</v>
      </c>
      <c r="T74" s="17">
        <f t="shared" si="13"/>
        <v>0</v>
      </c>
      <c r="U74" s="17">
        <f t="shared" si="13"/>
        <v>0</v>
      </c>
      <c r="V74" s="17">
        <f t="shared" si="13"/>
        <v>0</v>
      </c>
      <c r="W74" s="799"/>
      <c r="X74" s="334"/>
      <c r="IC74" s="304"/>
      <c r="ID74" s="304"/>
      <c r="IE74" s="304"/>
      <c r="IF74" s="304"/>
      <c r="IG74" s="304"/>
      <c r="IH74" s="304"/>
      <c r="II74" s="304"/>
      <c r="IJ74" s="304"/>
      <c r="IK74" s="304"/>
      <c r="IL74" s="304"/>
      <c r="IM74" s="304"/>
      <c r="IN74" s="304"/>
    </row>
    <row r="75" spans="2:248" s="315" customFormat="1" ht="24.95" customHeight="1" thickBot="1">
      <c r="B75" s="810"/>
      <c r="C75" s="811"/>
      <c r="D75" s="18" t="e">
        <f>D53+D56+D59+D62+D65+D68+D71</f>
        <v>#DIV/0!</v>
      </c>
      <c r="E75" s="800" t="e">
        <f>ROUND(E73/$D$36,6)</f>
        <v>#DIV/0!</v>
      </c>
      <c r="F75" s="801"/>
      <c r="G75" s="802"/>
      <c r="H75" s="800" t="e">
        <f>ROUND(H73/$D$36,6)</f>
        <v>#DIV/0!</v>
      </c>
      <c r="I75" s="801"/>
      <c r="J75" s="802"/>
      <c r="K75" s="800" t="e">
        <f>ROUND(K73/$D$36,6)</f>
        <v>#DIV/0!</v>
      </c>
      <c r="L75" s="801"/>
      <c r="M75" s="802"/>
      <c r="N75" s="800" t="e">
        <f>ROUND(N73/$D$36,6)</f>
        <v>#DIV/0!</v>
      </c>
      <c r="O75" s="801"/>
      <c r="P75" s="802"/>
      <c r="Q75" s="800" t="e">
        <f>ROUND(Q73/$D$36,6)</f>
        <v>#DIV/0!</v>
      </c>
      <c r="R75" s="801"/>
      <c r="S75" s="802"/>
      <c r="T75" s="800" t="e">
        <f>ROUND(T73/$D$36,6)</f>
        <v>#DIV/0!</v>
      </c>
      <c r="U75" s="801"/>
      <c r="V75" s="802"/>
      <c r="W75" s="48" t="e">
        <f>ROUND(N75+Q75+T75+K75+H75+E75+W38,6)</f>
        <v>#DIV/0!</v>
      </c>
      <c r="X75" s="314"/>
      <c r="Y75" s="335"/>
      <c r="IC75" s="304"/>
      <c r="ID75" s="304"/>
      <c r="IE75" s="304"/>
      <c r="IF75" s="304"/>
      <c r="IG75" s="304"/>
      <c r="IH75" s="304"/>
      <c r="II75" s="304"/>
      <c r="IJ75" s="304"/>
      <c r="IK75" s="304"/>
      <c r="IL75" s="304"/>
      <c r="IM75" s="304"/>
      <c r="IN75" s="304"/>
    </row>
    <row r="76" spans="2:248" s="315" customFormat="1" ht="15.2" customHeight="1" thickTop="1" thickBot="1">
      <c r="B76" s="322"/>
      <c r="C76" s="322"/>
      <c r="D76" s="322"/>
      <c r="E76" s="320"/>
      <c r="F76" s="320"/>
      <c r="G76" s="320"/>
      <c r="H76" s="320"/>
      <c r="I76" s="320"/>
      <c r="J76" s="320"/>
      <c r="K76" s="320"/>
      <c r="L76" s="320"/>
      <c r="M76" s="320"/>
      <c r="N76" s="320"/>
      <c r="O76" s="320"/>
      <c r="P76" s="320"/>
      <c r="Q76" s="320"/>
      <c r="R76" s="320"/>
      <c r="S76" s="320"/>
      <c r="T76" s="320"/>
      <c r="U76" s="320"/>
      <c r="V76" s="320"/>
      <c r="W76" s="19"/>
      <c r="X76" s="314"/>
      <c r="IC76" s="304"/>
      <c r="ID76" s="304"/>
      <c r="IE76" s="304"/>
      <c r="IF76" s="304"/>
      <c r="IG76" s="304"/>
      <c r="IH76" s="304"/>
      <c r="II76" s="304"/>
      <c r="IJ76" s="304"/>
      <c r="IK76" s="304"/>
      <c r="IL76" s="304"/>
      <c r="IM76" s="304"/>
      <c r="IN76" s="304"/>
    </row>
    <row r="77" spans="2:248" s="315" customFormat="1" ht="24.95" customHeight="1" thickTop="1">
      <c r="B77" s="776" t="s">
        <v>683</v>
      </c>
      <c r="C77" s="777"/>
      <c r="D77" s="323" t="s">
        <v>1</v>
      </c>
      <c r="E77" s="794">
        <f>E73+T40</f>
        <v>0</v>
      </c>
      <c r="F77" s="795"/>
      <c r="G77" s="796"/>
      <c r="H77" s="794">
        <f>H73+E77</f>
        <v>0</v>
      </c>
      <c r="I77" s="795"/>
      <c r="J77" s="796"/>
      <c r="K77" s="794">
        <f>K73+H77</f>
        <v>0</v>
      </c>
      <c r="L77" s="795"/>
      <c r="M77" s="796"/>
      <c r="N77" s="794">
        <f>N73+K77</f>
        <v>0</v>
      </c>
      <c r="O77" s="795"/>
      <c r="P77" s="796"/>
      <c r="Q77" s="794">
        <f>Q73+N77</f>
        <v>0</v>
      </c>
      <c r="R77" s="795"/>
      <c r="S77" s="796"/>
      <c r="T77" s="794">
        <f>T73+Q77</f>
        <v>0</v>
      </c>
      <c r="U77" s="795"/>
      <c r="V77" s="797"/>
      <c r="W77" s="19"/>
      <c r="X77" s="314"/>
      <c r="IC77" s="304"/>
      <c r="ID77" s="304"/>
      <c r="IE77" s="304"/>
      <c r="IF77" s="304"/>
      <c r="IG77" s="304"/>
      <c r="IH77" s="304"/>
      <c r="II77" s="304"/>
      <c r="IJ77" s="304"/>
      <c r="IK77" s="304"/>
      <c r="IL77" s="304"/>
      <c r="IM77" s="304"/>
      <c r="IN77" s="304"/>
    </row>
    <row r="78" spans="2:248" s="315" customFormat="1" ht="24.95" customHeight="1">
      <c r="B78" s="776" t="s">
        <v>683</v>
      </c>
      <c r="C78" s="777"/>
      <c r="D78" s="324" t="s">
        <v>1</v>
      </c>
      <c r="E78" s="325">
        <f>E74+T41</f>
        <v>0</v>
      </c>
      <c r="F78" s="325">
        <f>F74+U41</f>
        <v>0</v>
      </c>
      <c r="G78" s="325">
        <f>G74+V41</f>
        <v>0</v>
      </c>
      <c r="H78" s="325">
        <f>H74+E78</f>
        <v>0</v>
      </c>
      <c r="I78" s="325">
        <f>I74+F78</f>
        <v>0</v>
      </c>
      <c r="J78" s="325">
        <f>J74+G78</f>
        <v>0</v>
      </c>
      <c r="K78" s="325">
        <f>K74+H78</f>
        <v>0</v>
      </c>
      <c r="L78" s="325">
        <f>L74+I78</f>
        <v>0</v>
      </c>
      <c r="M78" s="326">
        <f>M74+J78</f>
        <v>0</v>
      </c>
      <c r="N78" s="325">
        <f>N74+K78</f>
        <v>0</v>
      </c>
      <c r="O78" s="325">
        <f>O74+L78</f>
        <v>0</v>
      </c>
      <c r="P78" s="325">
        <f>P74+M78</f>
        <v>0</v>
      </c>
      <c r="Q78" s="327">
        <f>Q74+N78</f>
        <v>0</v>
      </c>
      <c r="R78" s="325">
        <f>R74+O78</f>
        <v>0</v>
      </c>
      <c r="S78" s="326">
        <f>S74+P78</f>
        <v>0</v>
      </c>
      <c r="T78" s="325">
        <f>T74+Q78</f>
        <v>0</v>
      </c>
      <c r="U78" s="325">
        <f>U74+R78</f>
        <v>0</v>
      </c>
      <c r="V78" s="328">
        <f>V74+S78</f>
        <v>0</v>
      </c>
      <c r="W78" s="19"/>
      <c r="X78" s="314"/>
      <c r="IC78" s="304"/>
      <c r="ID78" s="304"/>
      <c r="IE78" s="304"/>
      <c r="IF78" s="304"/>
      <c r="IG78" s="304"/>
      <c r="IH78" s="304"/>
      <c r="II78" s="304"/>
      <c r="IJ78" s="304"/>
      <c r="IK78" s="304"/>
      <c r="IL78" s="304"/>
      <c r="IM78" s="304"/>
      <c r="IN78" s="304"/>
    </row>
    <row r="79" spans="2:248" s="315" customFormat="1" ht="24.95" customHeight="1">
      <c r="B79" s="776" t="s">
        <v>684</v>
      </c>
      <c r="C79" s="777"/>
      <c r="D79" s="324" t="s">
        <v>1</v>
      </c>
      <c r="E79" s="778">
        <f>$D$36-E77</f>
        <v>0</v>
      </c>
      <c r="F79" s="779"/>
      <c r="G79" s="780"/>
      <c r="H79" s="778">
        <f>$D$36-H77</f>
        <v>0</v>
      </c>
      <c r="I79" s="779"/>
      <c r="J79" s="780"/>
      <c r="K79" s="778">
        <f>$D$36-K77</f>
        <v>0</v>
      </c>
      <c r="L79" s="779"/>
      <c r="M79" s="780"/>
      <c r="N79" s="778">
        <f>$D$36-N77</f>
        <v>0</v>
      </c>
      <c r="O79" s="779"/>
      <c r="P79" s="780"/>
      <c r="Q79" s="778">
        <f>$D$36-Q77</f>
        <v>0</v>
      </c>
      <c r="R79" s="779"/>
      <c r="S79" s="780"/>
      <c r="T79" s="778">
        <f>$D$36-T77</f>
        <v>0</v>
      </c>
      <c r="U79" s="779"/>
      <c r="V79" s="781"/>
      <c r="W79" s="19"/>
      <c r="X79" s="314"/>
      <c r="IC79" s="304"/>
      <c r="ID79" s="304"/>
      <c r="IE79" s="304"/>
      <c r="IF79" s="304"/>
      <c r="IG79" s="304"/>
      <c r="IH79" s="304"/>
      <c r="II79" s="304"/>
      <c r="IJ79" s="304"/>
      <c r="IK79" s="304"/>
      <c r="IL79" s="304"/>
      <c r="IM79" s="304"/>
      <c r="IN79" s="304"/>
    </row>
    <row r="80" spans="2:248" s="315" customFormat="1" ht="24.95" customHeight="1" thickBot="1">
      <c r="B80" s="776" t="s">
        <v>684</v>
      </c>
      <c r="C80" s="777"/>
      <c r="D80" s="329" t="s">
        <v>1</v>
      </c>
      <c r="E80" s="330">
        <f>IV.A!$L$175-E78</f>
        <v>0</v>
      </c>
      <c r="F80" s="330">
        <f>IV.A!$L$176-F78</f>
        <v>0</v>
      </c>
      <c r="G80" s="330">
        <f>IV.A!$L$177-G78</f>
        <v>0</v>
      </c>
      <c r="H80" s="330">
        <f>IV.A!$L$175-H78</f>
        <v>0</v>
      </c>
      <c r="I80" s="330">
        <f>IV.A!$L$176-I78</f>
        <v>0</v>
      </c>
      <c r="J80" s="330">
        <f>IV.A!$L$177-J78</f>
        <v>0</v>
      </c>
      <c r="K80" s="330">
        <f>IV.A!$L$175-K78</f>
        <v>0</v>
      </c>
      <c r="L80" s="330">
        <f>IV.A!$L$176-L78</f>
        <v>0</v>
      </c>
      <c r="M80" s="330">
        <f>IV.A!$L$177-M78</f>
        <v>0</v>
      </c>
      <c r="N80" s="330">
        <f>IV.A!$L$175-N78</f>
        <v>0</v>
      </c>
      <c r="O80" s="330">
        <f>IV.A!$L$176-O78</f>
        <v>0</v>
      </c>
      <c r="P80" s="330">
        <f>IV.A!$L$177-P78</f>
        <v>0</v>
      </c>
      <c r="Q80" s="330">
        <f>IV.A!$L$175-Q78</f>
        <v>0</v>
      </c>
      <c r="R80" s="330">
        <f>IV.A!$L$176-R78</f>
        <v>0</v>
      </c>
      <c r="S80" s="330">
        <f>IV.A!$L$177-S78</f>
        <v>0</v>
      </c>
      <c r="T80" s="330">
        <f>IV.A!$L$175-T78</f>
        <v>0</v>
      </c>
      <c r="U80" s="330">
        <f>IV.A!$L$176-U78</f>
        <v>0</v>
      </c>
      <c r="V80" s="331">
        <f>IV.A!$L$177-V78</f>
        <v>0</v>
      </c>
      <c r="W80" s="19"/>
      <c r="X80" s="314"/>
      <c r="IC80" s="304"/>
      <c r="ID80" s="304"/>
      <c r="IE80" s="304"/>
      <c r="IF80" s="304"/>
      <c r="IG80" s="304"/>
      <c r="IH80" s="304"/>
      <c r="II80" s="304"/>
      <c r="IJ80" s="304"/>
      <c r="IK80" s="304"/>
      <c r="IL80" s="304"/>
      <c r="IM80" s="304"/>
      <c r="IN80" s="304"/>
    </row>
    <row r="81" spans="2:248" s="315" customFormat="1" ht="15" customHeight="1" thickTop="1">
      <c r="B81" s="322"/>
      <c r="C81" s="322"/>
      <c r="D81" s="322"/>
      <c r="E81" s="320"/>
      <c r="F81" s="320"/>
      <c r="G81" s="320"/>
      <c r="H81" s="320"/>
      <c r="I81" s="320"/>
      <c r="J81" s="320"/>
      <c r="K81" s="320"/>
      <c r="L81" s="320"/>
      <c r="M81" s="320"/>
      <c r="N81" s="320"/>
      <c r="O81" s="320"/>
      <c r="P81" s="320"/>
      <c r="Q81" s="320"/>
      <c r="R81" s="320"/>
      <c r="S81" s="320"/>
      <c r="T81" s="320"/>
      <c r="U81" s="320"/>
      <c r="V81" s="320"/>
      <c r="W81" s="19"/>
      <c r="X81" s="314"/>
      <c r="IC81" s="304"/>
      <c r="ID81" s="304"/>
      <c r="IE81" s="304"/>
      <c r="IF81" s="304"/>
      <c r="IG81" s="304"/>
      <c r="IH81" s="304"/>
      <c r="II81" s="304"/>
      <c r="IJ81" s="304"/>
      <c r="IK81" s="304"/>
      <c r="IL81" s="304"/>
      <c r="IM81" s="304"/>
      <c r="IN81" s="304"/>
    </row>
    <row r="82" spans="2:248" s="315" customFormat="1" ht="15" customHeight="1">
      <c r="B82" s="322"/>
      <c r="C82" s="322"/>
      <c r="D82" s="322"/>
      <c r="E82" s="320"/>
      <c r="F82" s="320"/>
      <c r="G82" s="320"/>
      <c r="H82" s="320"/>
      <c r="I82" s="320"/>
      <c r="J82" s="320"/>
      <c r="K82" s="320"/>
      <c r="L82" s="320"/>
      <c r="M82" s="320"/>
      <c r="N82" s="320"/>
      <c r="O82" s="320"/>
      <c r="P82" s="320"/>
      <c r="Q82" s="320"/>
      <c r="R82" s="320"/>
      <c r="S82" s="320"/>
      <c r="T82" s="320"/>
      <c r="U82" s="320"/>
      <c r="V82" s="320"/>
      <c r="W82" s="19"/>
      <c r="X82" s="314"/>
      <c r="IC82" s="304"/>
      <c r="ID82" s="304"/>
      <c r="IE82" s="304"/>
      <c r="IF82" s="304"/>
      <c r="IG82" s="304"/>
      <c r="IH82" s="304"/>
      <c r="II82" s="304"/>
      <c r="IJ82" s="304"/>
      <c r="IK82" s="304"/>
      <c r="IL82" s="304"/>
      <c r="IM82" s="304"/>
      <c r="IN82" s="304"/>
    </row>
    <row r="83" spans="2:248" s="315" customFormat="1" ht="15" customHeight="1">
      <c r="B83" s="322"/>
      <c r="C83" s="322"/>
      <c r="D83" s="322"/>
      <c r="E83" s="320"/>
      <c r="F83" s="320"/>
      <c r="G83" s="320"/>
      <c r="H83" s="320"/>
      <c r="I83" s="320"/>
      <c r="J83" s="320"/>
      <c r="K83" s="320"/>
      <c r="L83" s="320"/>
      <c r="M83" s="320"/>
      <c r="N83" s="320"/>
      <c r="O83" s="320"/>
      <c r="P83" s="320"/>
      <c r="Q83" s="320"/>
      <c r="R83" s="320"/>
      <c r="S83" s="320"/>
      <c r="T83" s="320"/>
      <c r="U83" s="320"/>
      <c r="V83" s="320"/>
      <c r="W83" s="19"/>
      <c r="X83" s="314"/>
      <c r="IC83" s="304"/>
      <c r="ID83" s="304"/>
      <c r="IE83" s="304"/>
      <c r="IF83" s="304"/>
      <c r="IG83" s="304"/>
      <c r="IH83" s="304"/>
      <c r="II83" s="304"/>
      <c r="IJ83" s="304"/>
      <c r="IK83" s="304"/>
      <c r="IL83" s="304"/>
      <c r="IM83" s="304"/>
      <c r="IN83" s="304"/>
    </row>
    <row r="84" spans="2:248" s="315" customFormat="1" ht="15" customHeight="1">
      <c r="B84" s="793">
        <f>B47</f>
        <v>0</v>
      </c>
      <c r="C84" s="793"/>
      <c r="D84" s="793"/>
      <c r="E84" s="793"/>
      <c r="F84" s="793"/>
      <c r="G84" s="793"/>
      <c r="H84" s="793"/>
      <c r="I84" s="793"/>
      <c r="J84" s="793"/>
      <c r="K84" s="793"/>
      <c r="L84" s="793"/>
      <c r="M84" s="793"/>
      <c r="N84" s="793"/>
      <c r="O84" s="793"/>
      <c r="P84" s="793"/>
      <c r="Q84" s="793"/>
      <c r="R84" s="793"/>
      <c r="S84" s="793"/>
      <c r="T84" s="793"/>
      <c r="U84" s="793"/>
      <c r="V84" s="793"/>
      <c r="W84" s="793"/>
      <c r="X84" s="314"/>
      <c r="IC84" s="304"/>
      <c r="ID84" s="304"/>
      <c r="IE84" s="304"/>
      <c r="IF84" s="304"/>
      <c r="IG84" s="304"/>
      <c r="IH84" s="304"/>
      <c r="II84" s="304"/>
      <c r="IJ84" s="304"/>
      <c r="IK84" s="304"/>
      <c r="IL84" s="304"/>
      <c r="IM84" s="304"/>
      <c r="IN84" s="304"/>
    </row>
    <row r="85" spans="2:248" s="315" customFormat="1" ht="15" customHeight="1" thickBot="1">
      <c r="B85" s="332"/>
      <c r="C85" s="332"/>
      <c r="D85" s="332"/>
      <c r="E85" s="333"/>
      <c r="F85" s="333"/>
      <c r="G85" s="333"/>
      <c r="H85" s="333"/>
      <c r="I85" s="333"/>
      <c r="J85" s="333"/>
      <c r="K85" s="333"/>
      <c r="L85" s="333"/>
      <c r="M85" s="333"/>
      <c r="N85" s="333"/>
      <c r="O85" s="333"/>
      <c r="P85" s="333"/>
      <c r="Q85" s="333"/>
      <c r="R85" s="333"/>
      <c r="S85" s="333"/>
      <c r="T85" s="333"/>
      <c r="U85" s="333"/>
      <c r="V85" s="333"/>
      <c r="W85" s="49"/>
      <c r="X85" s="314"/>
      <c r="IC85" s="304"/>
      <c r="ID85" s="304"/>
      <c r="IE85" s="304"/>
      <c r="IF85" s="304"/>
      <c r="IG85" s="304"/>
      <c r="IH85" s="304"/>
      <c r="II85" s="304"/>
      <c r="IJ85" s="304"/>
      <c r="IK85" s="304"/>
      <c r="IL85" s="304"/>
      <c r="IM85" s="304"/>
      <c r="IN85" s="304"/>
    </row>
    <row r="86" spans="2:248" ht="24.95" customHeight="1" thickTop="1">
      <c r="B86" s="855"/>
      <c r="C86" s="855"/>
      <c r="D86" s="856"/>
      <c r="E86" s="862" t="s">
        <v>872</v>
      </c>
      <c r="F86" s="863"/>
      <c r="G86" s="864"/>
      <c r="H86" s="865" t="s">
        <v>874</v>
      </c>
      <c r="I86" s="863"/>
      <c r="J86" s="864"/>
      <c r="K86" s="865" t="s">
        <v>873</v>
      </c>
      <c r="L86" s="863"/>
      <c r="M86" s="864"/>
      <c r="N86" s="865" t="s">
        <v>875</v>
      </c>
      <c r="O86" s="863"/>
      <c r="P86" s="864"/>
      <c r="Q86" s="865" t="s">
        <v>876</v>
      </c>
      <c r="R86" s="863"/>
      <c r="S86" s="864"/>
      <c r="T86" s="865" t="s">
        <v>877</v>
      </c>
      <c r="U86" s="863"/>
      <c r="V86" s="866"/>
    </row>
    <row r="87" spans="2:248" ht="24.95" customHeight="1" thickBot="1">
      <c r="B87" s="857"/>
      <c r="C87" s="857"/>
      <c r="D87" s="858"/>
      <c r="E87" s="307" t="s">
        <v>16</v>
      </c>
      <c r="F87" s="308" t="s">
        <v>681</v>
      </c>
      <c r="G87" s="309" t="s">
        <v>9</v>
      </c>
      <c r="H87" s="308" t="s">
        <v>16</v>
      </c>
      <c r="I87" s="308" t="s">
        <v>681</v>
      </c>
      <c r="J87" s="309" t="s">
        <v>9</v>
      </c>
      <c r="K87" s="308" t="s">
        <v>16</v>
      </c>
      <c r="L87" s="308" t="s">
        <v>681</v>
      </c>
      <c r="M87" s="309" t="s">
        <v>9</v>
      </c>
      <c r="N87" s="308" t="s">
        <v>16</v>
      </c>
      <c r="O87" s="308" t="s">
        <v>681</v>
      </c>
      <c r="P87" s="309" t="s">
        <v>9</v>
      </c>
      <c r="Q87" s="308" t="s">
        <v>16</v>
      </c>
      <c r="R87" s="308" t="s">
        <v>681</v>
      </c>
      <c r="S87" s="309" t="s">
        <v>9</v>
      </c>
      <c r="T87" s="308" t="s">
        <v>16</v>
      </c>
      <c r="U87" s="308" t="s">
        <v>681</v>
      </c>
      <c r="V87" s="310" t="s">
        <v>9</v>
      </c>
    </row>
    <row r="88" spans="2:248" ht="24.95" customHeight="1" thickTop="1">
      <c r="B88" s="852" t="str">
        <f>IV.A!$A$14</f>
        <v>1.0</v>
      </c>
      <c r="C88" s="847" t="str">
        <f>IV.A!$B$14</f>
        <v>CANTEIRO DE OBRAS</v>
      </c>
      <c r="D88" s="848">
        <f>IV.A!$L$14</f>
        <v>0</v>
      </c>
      <c r="E88" s="849">
        <f t="shared" ref="E88" si="14">E89+F89+G89</f>
        <v>0</v>
      </c>
      <c r="F88" s="850"/>
      <c r="G88" s="851"/>
      <c r="H88" s="849">
        <f t="shared" ref="H88" si="15">H89+I89+J89</f>
        <v>0</v>
      </c>
      <c r="I88" s="850"/>
      <c r="J88" s="851"/>
      <c r="K88" s="849">
        <f t="shared" ref="K88" si="16">K89+L89+M89</f>
        <v>0</v>
      </c>
      <c r="L88" s="850"/>
      <c r="M88" s="851"/>
      <c r="N88" s="849">
        <f t="shared" ref="N88" si="17">N89+O89+P89</f>
        <v>0</v>
      </c>
      <c r="O88" s="850"/>
      <c r="P88" s="851"/>
      <c r="Q88" s="849">
        <f t="shared" ref="Q88" si="18">Q89+R89+S89</f>
        <v>0</v>
      </c>
      <c r="R88" s="850"/>
      <c r="S88" s="851"/>
      <c r="T88" s="849">
        <f t="shared" ref="T88" si="19">T89+U89+V89</f>
        <v>0</v>
      </c>
      <c r="U88" s="850"/>
      <c r="V88" s="851"/>
      <c r="W88" s="798">
        <f>N88+Q88+T88+K88+H88+E88+W51</f>
        <v>0</v>
      </c>
    </row>
    <row r="89" spans="2:248" ht="24.95" customHeight="1">
      <c r="B89" s="853"/>
      <c r="C89" s="786"/>
      <c r="D89" s="789"/>
      <c r="E89" s="312">
        <f>IV.A!$F$14*0.0819/2</f>
        <v>0</v>
      </c>
      <c r="F89" s="312">
        <f>IV.A!$G$14*0.0819/2</f>
        <v>0</v>
      </c>
      <c r="G89" s="312">
        <f>IV.A!$H$14*0.0819/2</f>
        <v>0</v>
      </c>
      <c r="H89" s="312">
        <f>IV.A!$F$14*0.0842/2</f>
        <v>0</v>
      </c>
      <c r="I89" s="312">
        <f>IV.A!$G$14*0.0842/2</f>
        <v>0</v>
      </c>
      <c r="J89" s="312">
        <f>IV.A!$H$14*0.0842/2</f>
        <v>0</v>
      </c>
      <c r="K89" s="312">
        <f>IV.A!$F$14*0.0842/2</f>
        <v>0</v>
      </c>
      <c r="L89" s="312">
        <f>IV.A!$G$14*0.0842/2</f>
        <v>0</v>
      </c>
      <c r="M89" s="312">
        <f>IV.A!$H$14*0.0842/2</f>
        <v>0</v>
      </c>
      <c r="N89" s="312">
        <f>IV.A!$F$14*0.0842/2</f>
        <v>0</v>
      </c>
      <c r="O89" s="312">
        <f>IV.A!$G$14*0.0842/2</f>
        <v>0</v>
      </c>
      <c r="P89" s="312">
        <f>IV.A!$H$14*0.0842/2</f>
        <v>0</v>
      </c>
      <c r="Q89" s="312">
        <f>IV.A!$F$14*0.09/2</f>
        <v>0</v>
      </c>
      <c r="R89" s="312">
        <f>IV.A!$G$14*0.09/2</f>
        <v>0</v>
      </c>
      <c r="S89" s="312">
        <f>IV.A!$H$14*0.09/2</f>
        <v>0</v>
      </c>
      <c r="T89" s="312">
        <f>IV.A!$F$14*0.09/2</f>
        <v>0</v>
      </c>
      <c r="U89" s="312">
        <f>IV.A!$G$14*0.09/2</f>
        <v>0</v>
      </c>
      <c r="V89" s="312">
        <f>IV.A!$H$14*0.09/2</f>
        <v>0</v>
      </c>
      <c r="W89" s="799"/>
    </row>
    <row r="90" spans="2:248" ht="24.95" customHeight="1">
      <c r="B90" s="854"/>
      <c r="C90" s="840"/>
      <c r="D90" s="313" t="e">
        <f>IV.A!$M$14</f>
        <v>#DIV/0!</v>
      </c>
      <c r="E90" s="817" t="e">
        <f>E88/$D$51</f>
        <v>#DIV/0!</v>
      </c>
      <c r="F90" s="818"/>
      <c r="G90" s="819"/>
      <c r="H90" s="817" t="e">
        <f>H88/$D$51</f>
        <v>#DIV/0!</v>
      </c>
      <c r="I90" s="818"/>
      <c r="J90" s="819"/>
      <c r="K90" s="817" t="e">
        <f>K88/$D$51</f>
        <v>#DIV/0!</v>
      </c>
      <c r="L90" s="818"/>
      <c r="M90" s="819"/>
      <c r="N90" s="817" t="e">
        <f>N88/$D$51</f>
        <v>#DIV/0!</v>
      </c>
      <c r="O90" s="818"/>
      <c r="P90" s="819"/>
      <c r="Q90" s="817" t="e">
        <f>Q88/$D$51</f>
        <v>#DIV/0!</v>
      </c>
      <c r="R90" s="818"/>
      <c r="S90" s="819"/>
      <c r="T90" s="817" t="e">
        <f>T88/$D$51</f>
        <v>#DIV/0!</v>
      </c>
      <c r="U90" s="818"/>
      <c r="V90" s="819"/>
      <c r="W90" s="15" t="e">
        <f>W88/D88</f>
        <v>#DIV/0!</v>
      </c>
    </row>
    <row r="91" spans="2:248" ht="24.95" customHeight="1">
      <c r="B91" s="841" t="str">
        <f>IV.A!$A$22</f>
        <v>2.0</v>
      </c>
      <c r="C91" s="844" t="str">
        <f>IV.A!$B$22</f>
        <v>SERVIÇOS INICIAIS</v>
      </c>
      <c r="D91" s="826">
        <f>IV.A!$L$22</f>
        <v>0</v>
      </c>
      <c r="E91" s="828">
        <f>E92+F92+G92</f>
        <v>0</v>
      </c>
      <c r="F91" s="829"/>
      <c r="G91" s="830"/>
      <c r="H91" s="828">
        <f>H92+I92+J92</f>
        <v>0</v>
      </c>
      <c r="I91" s="829"/>
      <c r="J91" s="830"/>
      <c r="K91" s="828">
        <f>K92+L92+M92</f>
        <v>0</v>
      </c>
      <c r="L91" s="829"/>
      <c r="M91" s="830"/>
      <c r="N91" s="828">
        <f>N92+O92+P92</f>
        <v>0</v>
      </c>
      <c r="O91" s="829"/>
      <c r="P91" s="830"/>
      <c r="Q91" s="828">
        <f>Q92+R92+S92</f>
        <v>0</v>
      </c>
      <c r="R91" s="829"/>
      <c r="S91" s="830"/>
      <c r="T91" s="828">
        <f>T92+U92+V92</f>
        <v>0</v>
      </c>
      <c r="U91" s="829"/>
      <c r="V91" s="830"/>
      <c r="W91" s="831">
        <f>N91+Q91+T91+K91+H91+E91+W54</f>
        <v>0</v>
      </c>
    </row>
    <row r="92" spans="2:248" ht="24.95" customHeight="1">
      <c r="B92" s="842"/>
      <c r="C92" s="845"/>
      <c r="D92" s="827"/>
      <c r="E92" s="316">
        <f>IV.A!$F$22*0.09/2</f>
        <v>0</v>
      </c>
      <c r="F92" s="316">
        <f>IV.A!$G$22*0.09/2</f>
        <v>0</v>
      </c>
      <c r="G92" s="316">
        <f>IV.A!$H$22*0.09/2</f>
        <v>0</v>
      </c>
      <c r="H92" s="316">
        <f>IV.A!$F$22*0.09/2</f>
        <v>0</v>
      </c>
      <c r="I92" s="316">
        <f>IV.A!$G$22*0.09/2</f>
        <v>0</v>
      </c>
      <c r="J92" s="316">
        <f>IV.A!$H$22*0.09/2</f>
        <v>0</v>
      </c>
      <c r="K92" s="316">
        <f>IV.A!$F$22*0.09/2</f>
        <v>0</v>
      </c>
      <c r="L92" s="316">
        <f>IV.A!$G$22*0.09/2</f>
        <v>0</v>
      </c>
      <c r="M92" s="316">
        <f>IV.A!$H$22*0.09/2</f>
        <v>0</v>
      </c>
      <c r="N92" s="316">
        <f>IV.A!$F$22*0.09/2</f>
        <v>0</v>
      </c>
      <c r="O92" s="316">
        <f>IV.A!$G$22*0.09/2</f>
        <v>0</v>
      </c>
      <c r="P92" s="316">
        <f>IV.A!$H$22*0.09/2</f>
        <v>0</v>
      </c>
      <c r="Q92" s="316">
        <f>IV.A!$F$22/12/2</f>
        <v>0</v>
      </c>
      <c r="R92" s="316">
        <f>IV.A!$G$22/12/2</f>
        <v>0</v>
      </c>
      <c r="S92" s="316">
        <f>IV.A!$H$22/12/2</f>
        <v>0</v>
      </c>
      <c r="T92" s="316">
        <f>IV.A!$F$22/12/2</f>
        <v>0</v>
      </c>
      <c r="U92" s="316">
        <f>IV.A!$G$22/12/2</f>
        <v>0</v>
      </c>
      <c r="V92" s="316">
        <f>IV.A!$H$22/12/2</f>
        <v>0</v>
      </c>
      <c r="W92" s="832"/>
    </row>
    <row r="93" spans="2:248" ht="24.95" customHeight="1">
      <c r="B93" s="843"/>
      <c r="C93" s="846"/>
      <c r="D93" s="317" t="e">
        <f>IV.A!$M$22</f>
        <v>#DIV/0!</v>
      </c>
      <c r="E93" s="833" t="e">
        <f>E91/$D$54</f>
        <v>#DIV/0!</v>
      </c>
      <c r="F93" s="834"/>
      <c r="G93" s="835"/>
      <c r="H93" s="833" t="e">
        <f>H91/$D$54</f>
        <v>#DIV/0!</v>
      </c>
      <c r="I93" s="834"/>
      <c r="J93" s="835"/>
      <c r="K93" s="833" t="e">
        <f>K91/$D$54</f>
        <v>#DIV/0!</v>
      </c>
      <c r="L93" s="834"/>
      <c r="M93" s="835"/>
      <c r="N93" s="833" t="e">
        <f>N91/$D$54</f>
        <v>#DIV/0!</v>
      </c>
      <c r="O93" s="834"/>
      <c r="P93" s="835"/>
      <c r="Q93" s="833" t="e">
        <f>Q91/$D$54</f>
        <v>#DIV/0!</v>
      </c>
      <c r="R93" s="834"/>
      <c r="S93" s="835"/>
      <c r="T93" s="833" t="e">
        <f>T91/$D$54</f>
        <v>#DIV/0!</v>
      </c>
      <c r="U93" s="834"/>
      <c r="V93" s="835"/>
      <c r="W93" s="47" t="e">
        <f>W91/D91</f>
        <v>#DIV/0!</v>
      </c>
    </row>
    <row r="94" spans="2:248" ht="24.95" customHeight="1">
      <c r="B94" s="782" t="str">
        <f>IV.A!$A$43</f>
        <v>3.0</v>
      </c>
      <c r="C94" s="785" t="str">
        <f>IV.A!$B$43</f>
        <v>FECHAMENTOS, PROTEÇÕES E ALVENARIAS EM GERAL</v>
      </c>
      <c r="D94" s="788">
        <f>IV.A!$L$43</f>
        <v>0</v>
      </c>
      <c r="E94" s="790">
        <f>E95+F95+G95</f>
        <v>0</v>
      </c>
      <c r="F94" s="791"/>
      <c r="G94" s="792"/>
      <c r="H94" s="790">
        <f>H95+I95+J95</f>
        <v>0</v>
      </c>
      <c r="I94" s="791"/>
      <c r="J94" s="792"/>
      <c r="K94" s="790">
        <f>K95+L95+M95</f>
        <v>0</v>
      </c>
      <c r="L94" s="791"/>
      <c r="M94" s="792"/>
      <c r="N94" s="790">
        <f>N95+O95+P95</f>
        <v>0</v>
      </c>
      <c r="O94" s="791"/>
      <c r="P94" s="792"/>
      <c r="Q94" s="790">
        <f>Q95+R95+S95</f>
        <v>0</v>
      </c>
      <c r="R94" s="791"/>
      <c r="S94" s="792"/>
      <c r="T94" s="790">
        <f>T95+U95+V95</f>
        <v>0</v>
      </c>
      <c r="U94" s="791"/>
      <c r="V94" s="792"/>
      <c r="W94" s="803">
        <f>N94+Q94+T94+K94+H94+E94+W57</f>
        <v>0</v>
      </c>
    </row>
    <row r="95" spans="2:248" ht="24.95" customHeight="1">
      <c r="B95" s="783"/>
      <c r="C95" s="786"/>
      <c r="D95" s="789"/>
      <c r="E95" s="312">
        <f>IV.A!$F$43*0.09/2</f>
        <v>0</v>
      </c>
      <c r="F95" s="312">
        <f>IV.A!$G$43*0.09/2</f>
        <v>0</v>
      </c>
      <c r="G95" s="312">
        <f>IV.A!$H$43*0.09/2</f>
        <v>0</v>
      </c>
      <c r="H95" s="312">
        <f>IV.A!$F$43*0.1/2</f>
        <v>0</v>
      </c>
      <c r="I95" s="312">
        <f>IV.A!$G$43*0.1/2</f>
        <v>0</v>
      </c>
      <c r="J95" s="312">
        <f>IV.A!$H$43*0.1/2</f>
        <v>0</v>
      </c>
      <c r="K95" s="312">
        <f>IV.A!$F$43*0.11/2</f>
        <v>0</v>
      </c>
      <c r="L95" s="312">
        <f>IV.A!$G$43*0.11/2</f>
        <v>0</v>
      </c>
      <c r="M95" s="312">
        <f>IV.A!$H$43*0.11/2</f>
        <v>0</v>
      </c>
      <c r="N95" s="312">
        <f>IV.A!$F$43*0.11/2</f>
        <v>0</v>
      </c>
      <c r="O95" s="312">
        <f>IV.A!$G$43*0.11/2</f>
        <v>0</v>
      </c>
      <c r="P95" s="312">
        <f>IV.A!$H$43*0.11/2</f>
        <v>0</v>
      </c>
      <c r="Q95" s="312">
        <f>IV.A!$F$43*0.1/2</f>
        <v>0</v>
      </c>
      <c r="R95" s="312">
        <f>IV.A!$G$43*0.1/2</f>
        <v>0</v>
      </c>
      <c r="S95" s="312">
        <f>IV.A!$H$43*0.1/2</f>
        <v>0</v>
      </c>
      <c r="T95" s="312">
        <f>IV.A!$F$43*0.09/2</f>
        <v>0</v>
      </c>
      <c r="U95" s="312">
        <f>IV.A!$G$43*0.09/2</f>
        <v>0</v>
      </c>
      <c r="V95" s="312">
        <f>IV.A!$H$43*0.09/2</f>
        <v>0</v>
      </c>
      <c r="W95" s="799"/>
    </row>
    <row r="96" spans="2:248" ht="24.95" customHeight="1">
      <c r="B96" s="839"/>
      <c r="C96" s="840"/>
      <c r="D96" s="313" t="e">
        <f>IV.A!$M$43</f>
        <v>#DIV/0!</v>
      </c>
      <c r="E96" s="817" t="e">
        <f>E94/$D$57</f>
        <v>#DIV/0!</v>
      </c>
      <c r="F96" s="818"/>
      <c r="G96" s="819"/>
      <c r="H96" s="817" t="e">
        <f>H94/$D$57</f>
        <v>#DIV/0!</v>
      </c>
      <c r="I96" s="818"/>
      <c r="J96" s="819"/>
      <c r="K96" s="817" t="e">
        <f>K94/$D$57</f>
        <v>#DIV/0!</v>
      </c>
      <c r="L96" s="818"/>
      <c r="M96" s="819"/>
      <c r="N96" s="817" t="e">
        <f>N94/$D$57</f>
        <v>#DIV/0!</v>
      </c>
      <c r="O96" s="818"/>
      <c r="P96" s="819"/>
      <c r="Q96" s="817" t="e">
        <f>Q94/$D$57</f>
        <v>#DIV/0!</v>
      </c>
      <c r="R96" s="818"/>
      <c r="S96" s="819"/>
      <c r="T96" s="817" t="e">
        <f>T94/$D$57</f>
        <v>#DIV/0!</v>
      </c>
      <c r="U96" s="818"/>
      <c r="V96" s="819"/>
      <c r="W96" s="15" t="e">
        <f>W94/D94</f>
        <v>#DIV/0!</v>
      </c>
    </row>
    <row r="97" spans="2:24" ht="24.95" customHeight="1">
      <c r="B97" s="841" t="str">
        <f>IV.A!$A$112</f>
        <v>4.0</v>
      </c>
      <c r="C97" s="844" t="str">
        <f>IV.A!$B$112</f>
        <v>FORNECIMENTO E INSTALAÇÕES HIDRAULICAS - ITEM 9.0 DO TERMO DE REFERÊNCIA</v>
      </c>
      <c r="D97" s="826">
        <f>IV.A!$L$112</f>
        <v>0</v>
      </c>
      <c r="E97" s="828">
        <f>E98+F98+G98</f>
        <v>0</v>
      </c>
      <c r="F97" s="829"/>
      <c r="G97" s="830"/>
      <c r="H97" s="828">
        <f>H98+I98+J98</f>
        <v>0</v>
      </c>
      <c r="I97" s="829"/>
      <c r="J97" s="830"/>
      <c r="K97" s="828">
        <f>K98+L98+M98</f>
        <v>0</v>
      </c>
      <c r="L97" s="829"/>
      <c r="M97" s="830"/>
      <c r="N97" s="828">
        <f>N98+O98+P98</f>
        <v>0</v>
      </c>
      <c r="O97" s="829"/>
      <c r="P97" s="830"/>
      <c r="Q97" s="828">
        <f>Q98+R98+S98</f>
        <v>0</v>
      </c>
      <c r="R97" s="829"/>
      <c r="S97" s="830"/>
      <c r="T97" s="828">
        <f>T98+U98+V98</f>
        <v>0</v>
      </c>
      <c r="U97" s="829"/>
      <c r="V97" s="830"/>
      <c r="W97" s="831">
        <f>N97+Q97+T97+K97+H97+E97+W60</f>
        <v>0</v>
      </c>
    </row>
    <row r="98" spans="2:24" ht="24.95" customHeight="1">
      <c r="B98" s="842"/>
      <c r="C98" s="845"/>
      <c r="D98" s="827"/>
      <c r="E98" s="316">
        <f>IV.A!$F$112/12/2</f>
        <v>0</v>
      </c>
      <c r="F98" s="316">
        <f>IV.A!$G$112/12/2</f>
        <v>0</v>
      </c>
      <c r="G98" s="316">
        <f>IV.A!$H$112/12/2</f>
        <v>0</v>
      </c>
      <c r="H98" s="316">
        <f>IV.A!$F$112/12/2</f>
        <v>0</v>
      </c>
      <c r="I98" s="316">
        <f>IV.A!$G$112/12/2</f>
        <v>0</v>
      </c>
      <c r="J98" s="316">
        <f>IV.A!$H$112/12/2</f>
        <v>0</v>
      </c>
      <c r="K98" s="316">
        <f>IV.A!$F$112/12/2</f>
        <v>0</v>
      </c>
      <c r="L98" s="316">
        <f>IV.A!$G$112/12/2</f>
        <v>0</v>
      </c>
      <c r="M98" s="316">
        <f>IV.A!$H$112/12/2</f>
        <v>0</v>
      </c>
      <c r="N98" s="316">
        <f>IV.A!$F$112/12/2</f>
        <v>0</v>
      </c>
      <c r="O98" s="316">
        <f>IV.A!$G$112/12/2</f>
        <v>0</v>
      </c>
      <c r="P98" s="316">
        <f>IV.A!$H$112/12/2</f>
        <v>0</v>
      </c>
      <c r="Q98" s="316">
        <f>IV.A!$F$112/12/2</f>
        <v>0</v>
      </c>
      <c r="R98" s="316">
        <f>IV.A!$G$112/12/2</f>
        <v>0</v>
      </c>
      <c r="S98" s="316">
        <f>IV.A!$H$112/12/2</f>
        <v>0</v>
      </c>
      <c r="T98" s="316">
        <f>IV.A!$F$112/12/2</f>
        <v>0</v>
      </c>
      <c r="U98" s="316">
        <f>IV.A!$G$112/12/2</f>
        <v>0</v>
      </c>
      <c r="V98" s="316">
        <f>IV.A!$H$112/12/2</f>
        <v>0</v>
      </c>
      <c r="W98" s="832"/>
    </row>
    <row r="99" spans="2:24" ht="24.95" customHeight="1">
      <c r="B99" s="843"/>
      <c r="C99" s="846"/>
      <c r="D99" s="317" t="e">
        <f>IV.A!$M$112</f>
        <v>#DIV/0!</v>
      </c>
      <c r="E99" s="833" t="e">
        <f>E97/$D$60</f>
        <v>#DIV/0!</v>
      </c>
      <c r="F99" s="834"/>
      <c r="G99" s="835"/>
      <c r="H99" s="833" t="e">
        <f>H97/$D$60</f>
        <v>#DIV/0!</v>
      </c>
      <c r="I99" s="834"/>
      <c r="J99" s="835"/>
      <c r="K99" s="833" t="e">
        <f>K97/$D$60</f>
        <v>#DIV/0!</v>
      </c>
      <c r="L99" s="834"/>
      <c r="M99" s="835"/>
      <c r="N99" s="833" t="e">
        <f>N97/$D$60</f>
        <v>#DIV/0!</v>
      </c>
      <c r="O99" s="834"/>
      <c r="P99" s="835"/>
      <c r="Q99" s="833" t="e">
        <f>Q97/$D$60</f>
        <v>#DIV/0!</v>
      </c>
      <c r="R99" s="834"/>
      <c r="S99" s="835"/>
      <c r="T99" s="833" t="e">
        <f>T97/$D$60</f>
        <v>#DIV/0!</v>
      </c>
      <c r="U99" s="834"/>
      <c r="V99" s="835"/>
      <c r="W99" s="47" t="e">
        <f>W97/D97</f>
        <v>#DIV/0!</v>
      </c>
    </row>
    <row r="100" spans="2:24" ht="24.95" customHeight="1">
      <c r="B100" s="836" t="str">
        <f>IV.A!$A$126</f>
        <v>5.0</v>
      </c>
      <c r="C100" s="807" t="str">
        <f>IV.A!$B$126</f>
        <v>RECUPERAÇÃO E TRATAMENTO DE SUPERFÍCIES EM CONCRETO ARMADO - ITEM 10.0 DO TERMO DE REFERÊNCIA</v>
      </c>
      <c r="D100" s="788">
        <f>IV.A!$L$126</f>
        <v>0</v>
      </c>
      <c r="E100" s="790">
        <f>E101+F101+G101</f>
        <v>0</v>
      </c>
      <c r="F100" s="791"/>
      <c r="G100" s="792"/>
      <c r="H100" s="790">
        <f>H101+I101+J101</f>
        <v>0</v>
      </c>
      <c r="I100" s="791"/>
      <c r="J100" s="792"/>
      <c r="K100" s="790">
        <f>K101+L101+M101</f>
        <v>0</v>
      </c>
      <c r="L100" s="791"/>
      <c r="M100" s="792"/>
      <c r="N100" s="790">
        <f>N101+O101+P101</f>
        <v>0</v>
      </c>
      <c r="O100" s="791"/>
      <c r="P100" s="792"/>
      <c r="Q100" s="790">
        <f>Q101+R101+S101</f>
        <v>0</v>
      </c>
      <c r="R100" s="791"/>
      <c r="S100" s="792"/>
      <c r="T100" s="790">
        <f>T101+U101+V101</f>
        <v>0</v>
      </c>
      <c r="U100" s="791"/>
      <c r="V100" s="792"/>
      <c r="W100" s="803">
        <f>N100+Q100+T100+K100+H100+E100+W63</f>
        <v>0</v>
      </c>
    </row>
    <row r="101" spans="2:24" ht="24.95" customHeight="1">
      <c r="B101" s="837"/>
      <c r="C101" s="808"/>
      <c r="D101" s="789"/>
      <c r="E101" s="312">
        <f>IV.A!$F$126/12/2</f>
        <v>0</v>
      </c>
      <c r="F101" s="312">
        <f>IV.A!$G$126/12/2</f>
        <v>0</v>
      </c>
      <c r="G101" s="312">
        <f>IV.A!$H$126/12/2</f>
        <v>0</v>
      </c>
      <c r="H101" s="312">
        <f>IV.A!$F$126/12/2</f>
        <v>0</v>
      </c>
      <c r="I101" s="312">
        <f>IV.A!$G$126/12/2</f>
        <v>0</v>
      </c>
      <c r="J101" s="312">
        <f>IV.A!$H$126/12/2</f>
        <v>0</v>
      </c>
      <c r="K101" s="312">
        <f>IV.A!$F$126/12/2</f>
        <v>0</v>
      </c>
      <c r="L101" s="312">
        <f>IV.A!$G$126/12/2</f>
        <v>0</v>
      </c>
      <c r="M101" s="312">
        <f>IV.A!$H$126/12/2</f>
        <v>0</v>
      </c>
      <c r="N101" s="312">
        <f>IV.A!$F$126/12/2</f>
        <v>0</v>
      </c>
      <c r="O101" s="312">
        <f>IV.A!$G$126/12/2</f>
        <v>0</v>
      </c>
      <c r="P101" s="312">
        <f>IV.A!$H$126/12/2</f>
        <v>0</v>
      </c>
      <c r="Q101" s="312">
        <f>IV.A!$F$126/12/2</f>
        <v>0</v>
      </c>
      <c r="R101" s="312">
        <f>IV.A!$G$126/12/2</f>
        <v>0</v>
      </c>
      <c r="S101" s="312">
        <f>IV.A!$H$126/12/2</f>
        <v>0</v>
      </c>
      <c r="T101" s="312">
        <f>IV.A!$F$126/12/2</f>
        <v>0</v>
      </c>
      <c r="U101" s="312">
        <f>IV.A!$G$126/12/2</f>
        <v>0</v>
      </c>
      <c r="V101" s="312">
        <f>IV.A!$H$126/12/2</f>
        <v>0</v>
      </c>
      <c r="W101" s="799"/>
    </row>
    <row r="102" spans="2:24" ht="24.95" customHeight="1">
      <c r="B102" s="838"/>
      <c r="C102" s="809"/>
      <c r="D102" s="313" t="e">
        <f>IV.A!$M$126</f>
        <v>#DIV/0!</v>
      </c>
      <c r="E102" s="817" t="e">
        <f>E100/$D$63</f>
        <v>#DIV/0!</v>
      </c>
      <c r="F102" s="818"/>
      <c r="G102" s="819"/>
      <c r="H102" s="817" t="e">
        <f>H100/$D$63</f>
        <v>#DIV/0!</v>
      </c>
      <c r="I102" s="818"/>
      <c r="J102" s="819"/>
      <c r="K102" s="817" t="e">
        <f>K100/$D$63</f>
        <v>#DIV/0!</v>
      </c>
      <c r="L102" s="818"/>
      <c r="M102" s="819"/>
      <c r="N102" s="817" t="e">
        <f>N100/$D$63</f>
        <v>#DIV/0!</v>
      </c>
      <c r="O102" s="818"/>
      <c r="P102" s="819"/>
      <c r="Q102" s="817" t="e">
        <f>Q100/$D$63</f>
        <v>#DIV/0!</v>
      </c>
      <c r="R102" s="818"/>
      <c r="S102" s="819"/>
      <c r="T102" s="817" t="e">
        <f>T100/$D$63</f>
        <v>#DIV/0!</v>
      </c>
      <c r="U102" s="818"/>
      <c r="V102" s="819"/>
      <c r="W102" s="15" t="e">
        <f>W100/D100</f>
        <v>#DIV/0!</v>
      </c>
    </row>
    <row r="103" spans="2:24" ht="24.95" customHeight="1">
      <c r="B103" s="820" t="str">
        <f>IV.A!$A$134</f>
        <v>6.0</v>
      </c>
      <c r="C103" s="823" t="str">
        <f>IV.A!$B$134</f>
        <v>PINTURAS - ITEM 11.0 DO TERMO DE REFERÊNCIA</v>
      </c>
      <c r="D103" s="826">
        <f>IV.A!$L$134</f>
        <v>0</v>
      </c>
      <c r="E103" s="828">
        <f>E104+F104+G104</f>
        <v>0</v>
      </c>
      <c r="F103" s="829"/>
      <c r="G103" s="830"/>
      <c r="H103" s="828">
        <f>H104+I104+J104</f>
        <v>0</v>
      </c>
      <c r="I103" s="829"/>
      <c r="J103" s="830"/>
      <c r="K103" s="828">
        <f>K104+L104+M104</f>
        <v>0</v>
      </c>
      <c r="L103" s="829"/>
      <c r="M103" s="830"/>
      <c r="N103" s="828">
        <f>N104+O104+P104</f>
        <v>0</v>
      </c>
      <c r="O103" s="829"/>
      <c r="P103" s="830"/>
      <c r="Q103" s="828">
        <f>Q104+R104+S104</f>
        <v>0</v>
      </c>
      <c r="R103" s="829"/>
      <c r="S103" s="830"/>
      <c r="T103" s="828">
        <f>T104+U104+V104</f>
        <v>0</v>
      </c>
      <c r="U103" s="829"/>
      <c r="V103" s="830"/>
      <c r="W103" s="831">
        <f>N103+Q103+T103+K103+H103+E103+W66</f>
        <v>0</v>
      </c>
    </row>
    <row r="104" spans="2:24" ht="24.95" customHeight="1">
      <c r="B104" s="821"/>
      <c r="C104" s="824"/>
      <c r="D104" s="827"/>
      <c r="E104" s="316">
        <f>IV.A!$F$134*0.085/2</f>
        <v>0</v>
      </c>
      <c r="F104" s="316">
        <f>IV.A!$G$134*0.085/2</f>
        <v>0</v>
      </c>
      <c r="G104" s="316">
        <f>IV.A!$H$134*0.085/2</f>
        <v>0</v>
      </c>
      <c r="H104" s="316">
        <f>IV.A!$F$134*0.085/2</f>
        <v>0</v>
      </c>
      <c r="I104" s="316">
        <f>IV.A!$G$134*0.085/2</f>
        <v>0</v>
      </c>
      <c r="J104" s="316">
        <f>IV.A!$H$134*0.085/2</f>
        <v>0</v>
      </c>
      <c r="K104" s="316">
        <f>IV.A!$F$134*0.085/2</f>
        <v>0</v>
      </c>
      <c r="L104" s="316">
        <f>IV.A!$G$134*0.085/2</f>
        <v>0</v>
      </c>
      <c r="M104" s="316">
        <f>IV.A!$H$134*0.085/2</f>
        <v>0</v>
      </c>
      <c r="N104" s="316">
        <f>IV.A!$F$134*0.085/2</f>
        <v>0</v>
      </c>
      <c r="O104" s="316">
        <f>IV.A!$G$134*0.085/2</f>
        <v>0</v>
      </c>
      <c r="P104" s="316">
        <f>IV.A!$H$134*0.085/2</f>
        <v>0</v>
      </c>
      <c r="Q104" s="316">
        <f>IV.A!$F$134*0.08/2</f>
        <v>0</v>
      </c>
      <c r="R104" s="316">
        <f>IV.A!$G$134*0.08/2</f>
        <v>0</v>
      </c>
      <c r="S104" s="316">
        <f>IV.A!$H$134*0.08/2</f>
        <v>0</v>
      </c>
      <c r="T104" s="316">
        <f>IV.A!$F$134*0.08/2</f>
        <v>0</v>
      </c>
      <c r="U104" s="316">
        <f>IV.A!$G$134*0.08/2</f>
        <v>0</v>
      </c>
      <c r="V104" s="316">
        <f>IV.A!$H$134*0.08/2</f>
        <v>0</v>
      </c>
      <c r="W104" s="832"/>
    </row>
    <row r="105" spans="2:24" ht="24.95" customHeight="1">
      <c r="B105" s="822"/>
      <c r="C105" s="825"/>
      <c r="D105" s="317" t="e">
        <f>IV.A!$M$134</f>
        <v>#DIV/0!</v>
      </c>
      <c r="E105" s="833" t="e">
        <f>E103/$D$66</f>
        <v>#DIV/0!</v>
      </c>
      <c r="F105" s="834"/>
      <c r="G105" s="835"/>
      <c r="H105" s="833" t="e">
        <f>H103/$D$66</f>
        <v>#DIV/0!</v>
      </c>
      <c r="I105" s="834"/>
      <c r="J105" s="835"/>
      <c r="K105" s="833" t="e">
        <f>K103/$D$66</f>
        <v>#DIV/0!</v>
      </c>
      <c r="L105" s="834"/>
      <c r="M105" s="835"/>
      <c r="N105" s="833" t="e">
        <f>N103/$D$66</f>
        <v>#DIV/0!</v>
      </c>
      <c r="O105" s="834"/>
      <c r="P105" s="835"/>
      <c r="Q105" s="833" t="e">
        <f>Q103/$D$66</f>
        <v>#DIV/0!</v>
      </c>
      <c r="R105" s="834"/>
      <c r="S105" s="835"/>
      <c r="T105" s="833" t="e">
        <f>T103/$D$66</f>
        <v>#DIV/0!</v>
      </c>
      <c r="U105" s="834"/>
      <c r="V105" s="835"/>
      <c r="W105" s="47" t="e">
        <f>W103/D103</f>
        <v>#DIV/0!</v>
      </c>
    </row>
    <row r="106" spans="2:24" ht="24.95" customHeight="1">
      <c r="B106" s="782" t="str">
        <f>IV.A!$A$155</f>
        <v>7.0</v>
      </c>
      <c r="C106" s="785" t="str">
        <f>IV.A!$B$155</f>
        <v>SERVIÇOS COMPLEMENTARES - ITEM 12.0 DO TERMO DE REFERÊNCIA</v>
      </c>
      <c r="D106" s="788">
        <f>IV.A!$L$155</f>
        <v>0</v>
      </c>
      <c r="E106" s="790">
        <f>E107+F107+G107</f>
        <v>0</v>
      </c>
      <c r="F106" s="791"/>
      <c r="G106" s="792"/>
      <c r="H106" s="790">
        <f>H107+I107+J107</f>
        <v>0</v>
      </c>
      <c r="I106" s="791"/>
      <c r="J106" s="792"/>
      <c r="K106" s="790">
        <f>K107+L107+M107</f>
        <v>0</v>
      </c>
      <c r="L106" s="791"/>
      <c r="M106" s="792"/>
      <c r="N106" s="790">
        <f>N107+O107+P107</f>
        <v>0</v>
      </c>
      <c r="O106" s="791"/>
      <c r="P106" s="792"/>
      <c r="Q106" s="790">
        <f>Q107+R107+S107</f>
        <v>0</v>
      </c>
      <c r="R106" s="791"/>
      <c r="S106" s="792"/>
      <c r="T106" s="790">
        <f>T107+U107+V107</f>
        <v>0</v>
      </c>
      <c r="U106" s="791"/>
      <c r="V106" s="792"/>
      <c r="W106" s="803">
        <f>N106+Q106+T106+K106+H106+E106+W69</f>
        <v>0</v>
      </c>
    </row>
    <row r="107" spans="2:24" ht="24.95" customHeight="1">
      <c r="B107" s="783"/>
      <c r="C107" s="786"/>
      <c r="D107" s="789"/>
      <c r="E107" s="312">
        <f>IV.A!$F$155*0.08/2</f>
        <v>0</v>
      </c>
      <c r="F107" s="312">
        <f>IV.A!$G$155*0.08/2</f>
        <v>0</v>
      </c>
      <c r="G107" s="312">
        <f>IV.A!$H$155*0.08</f>
        <v>0</v>
      </c>
      <c r="H107" s="312">
        <f>IV.A!$F$155/12/2</f>
        <v>0</v>
      </c>
      <c r="I107" s="312">
        <f>IV.A!$G$155/12/2</f>
        <v>0</v>
      </c>
      <c r="J107" s="312">
        <f>IV.A!$H$155/12</f>
        <v>0</v>
      </c>
      <c r="K107" s="312">
        <f>IV.A!$F$155/12/2</f>
        <v>0</v>
      </c>
      <c r="L107" s="312">
        <f>IV.A!$G$155/12/2</f>
        <v>0</v>
      </c>
      <c r="M107" s="312">
        <f>IV.A!$H$155/12/2</f>
        <v>0</v>
      </c>
      <c r="N107" s="312">
        <f>IV.A!$F$155/12/2</f>
        <v>0</v>
      </c>
      <c r="O107" s="312">
        <f>IV.A!$G$155/12/2</f>
        <v>0</v>
      </c>
      <c r="P107" s="312">
        <f>IV.A!$H$155/12/2</f>
        <v>0</v>
      </c>
      <c r="Q107" s="312">
        <f>IV.A!$F$155*0.12/2</f>
        <v>0</v>
      </c>
      <c r="R107" s="312">
        <f>IV.A!$G$155*0.12/2</f>
        <v>0</v>
      </c>
      <c r="S107" s="312">
        <f>IV.A!$H$155*0.12/2</f>
        <v>0</v>
      </c>
      <c r="T107" s="312">
        <f>IV.A!$F$155*0.12/2</f>
        <v>0</v>
      </c>
      <c r="U107" s="312">
        <f>IV.A!$G$155*0.12/2</f>
        <v>0</v>
      </c>
      <c r="V107" s="312">
        <f>IV.A!$H$155*0.12/2</f>
        <v>0</v>
      </c>
      <c r="W107" s="799"/>
    </row>
    <row r="108" spans="2:24" ht="24.95" customHeight="1" thickBot="1">
      <c r="B108" s="784"/>
      <c r="C108" s="787"/>
      <c r="D108" s="318" t="e">
        <f>IV.A!$M$155</f>
        <v>#DIV/0!</v>
      </c>
      <c r="E108" s="800" t="e">
        <f>E106/$D$69</f>
        <v>#DIV/0!</v>
      </c>
      <c r="F108" s="801"/>
      <c r="G108" s="802"/>
      <c r="H108" s="800" t="e">
        <f>H106/$D$69</f>
        <v>#DIV/0!</v>
      </c>
      <c r="I108" s="801"/>
      <c r="J108" s="802"/>
      <c r="K108" s="800" t="e">
        <f>K106/$D$69</f>
        <v>#DIV/0!</v>
      </c>
      <c r="L108" s="801"/>
      <c r="M108" s="802"/>
      <c r="N108" s="800" t="e">
        <f>N106/$D$69</f>
        <v>#DIV/0!</v>
      </c>
      <c r="O108" s="801"/>
      <c r="P108" s="802"/>
      <c r="Q108" s="800" t="e">
        <f>Q106/$D$69</f>
        <v>#DIV/0!</v>
      </c>
      <c r="R108" s="801"/>
      <c r="S108" s="802"/>
      <c r="T108" s="800" t="e">
        <f>T106/$D$69</f>
        <v>#DIV/0!</v>
      </c>
      <c r="U108" s="801"/>
      <c r="V108" s="802"/>
      <c r="W108" s="16" t="e">
        <f>W106/D106</f>
        <v>#DIV/0!</v>
      </c>
    </row>
    <row r="109" spans="2:24" ht="24.95" customHeight="1" thickTop="1" thickBot="1">
      <c r="B109" s="319"/>
      <c r="C109" s="319"/>
      <c r="D109" s="319"/>
      <c r="E109" s="320"/>
      <c r="F109" s="321"/>
      <c r="G109" s="320"/>
      <c r="H109" s="320"/>
      <c r="I109" s="321"/>
      <c r="J109" s="320"/>
      <c r="K109" s="320"/>
      <c r="L109" s="321"/>
      <c r="M109" s="320"/>
      <c r="N109" s="320"/>
      <c r="O109" s="321"/>
      <c r="P109" s="320"/>
      <c r="Q109" s="320"/>
      <c r="R109" s="321"/>
      <c r="S109" s="320"/>
      <c r="T109" s="320"/>
      <c r="U109" s="321"/>
      <c r="V109" s="320"/>
      <c r="W109" s="19"/>
    </row>
    <row r="110" spans="2:24" ht="24.95" customHeight="1" thickTop="1">
      <c r="B110" s="810" t="s">
        <v>682</v>
      </c>
      <c r="C110" s="811"/>
      <c r="D110" s="812">
        <f>D88+D91+D94+D97+D100+D103+D106</f>
        <v>0</v>
      </c>
      <c r="E110" s="794">
        <f>E111+F111+G111</f>
        <v>0</v>
      </c>
      <c r="F110" s="795"/>
      <c r="G110" s="796"/>
      <c r="H110" s="794">
        <f>H111+I111+J111</f>
        <v>0</v>
      </c>
      <c r="I110" s="795"/>
      <c r="J110" s="796"/>
      <c r="K110" s="814">
        <f>K111+L111+M111</f>
        <v>0</v>
      </c>
      <c r="L110" s="815"/>
      <c r="M110" s="816"/>
      <c r="N110" s="814">
        <f>N111+O111+P111</f>
        <v>0</v>
      </c>
      <c r="O110" s="815"/>
      <c r="P110" s="816"/>
      <c r="Q110" s="814">
        <f>Q111+R111+S111</f>
        <v>0</v>
      </c>
      <c r="R110" s="815"/>
      <c r="S110" s="816"/>
      <c r="T110" s="814">
        <f>T111+U111+V111</f>
        <v>0</v>
      </c>
      <c r="U110" s="815"/>
      <c r="V110" s="816"/>
      <c r="W110" s="798">
        <f>W88+W91+W94+W97+W100+W103+W106</f>
        <v>0</v>
      </c>
    </row>
    <row r="111" spans="2:24" ht="24.95" customHeight="1">
      <c r="B111" s="810"/>
      <c r="C111" s="811"/>
      <c r="D111" s="813"/>
      <c r="E111" s="17">
        <f>E101+E98+E95+E92+E89+E104+E107</f>
        <v>0</v>
      </c>
      <c r="F111" s="17">
        <f>F101+F98+F95+F92+F89+F104+F107</f>
        <v>0</v>
      </c>
      <c r="G111" s="17">
        <f t="shared" ref="G111:V111" si="20">G101+G98+G95+G92+G89+G104+G107</f>
        <v>0</v>
      </c>
      <c r="H111" s="17">
        <f t="shared" si="20"/>
        <v>0</v>
      </c>
      <c r="I111" s="17">
        <f t="shared" si="20"/>
        <v>0</v>
      </c>
      <c r="J111" s="17">
        <f t="shared" si="20"/>
        <v>0</v>
      </c>
      <c r="K111" s="17">
        <f t="shared" si="20"/>
        <v>0</v>
      </c>
      <c r="L111" s="17">
        <f t="shared" si="20"/>
        <v>0</v>
      </c>
      <c r="M111" s="17">
        <f t="shared" si="20"/>
        <v>0</v>
      </c>
      <c r="N111" s="17">
        <f t="shared" si="20"/>
        <v>0</v>
      </c>
      <c r="O111" s="17">
        <f t="shared" si="20"/>
        <v>0</v>
      </c>
      <c r="P111" s="17">
        <f t="shared" si="20"/>
        <v>0</v>
      </c>
      <c r="Q111" s="17">
        <f t="shared" si="20"/>
        <v>0</v>
      </c>
      <c r="R111" s="17">
        <f t="shared" si="20"/>
        <v>0</v>
      </c>
      <c r="S111" s="17">
        <f t="shared" si="20"/>
        <v>0</v>
      </c>
      <c r="T111" s="17">
        <f t="shared" si="20"/>
        <v>0</v>
      </c>
      <c r="U111" s="17">
        <f t="shared" si="20"/>
        <v>0</v>
      </c>
      <c r="V111" s="17">
        <f t="shared" si="20"/>
        <v>0</v>
      </c>
      <c r="W111" s="799"/>
      <c r="X111" s="334"/>
    </row>
    <row r="112" spans="2:24" ht="24.95" customHeight="1" thickBot="1">
      <c r="B112" s="810"/>
      <c r="C112" s="811"/>
      <c r="D112" s="18" t="e">
        <f>D90+D93+D96+D99+D102+D105+D108</f>
        <v>#DIV/0!</v>
      </c>
      <c r="E112" s="800" t="e">
        <f>ROUND(E110/$D$36,6)</f>
        <v>#DIV/0!</v>
      </c>
      <c r="F112" s="801"/>
      <c r="G112" s="802"/>
      <c r="H112" s="800" t="e">
        <f>ROUND(H110/$D$36,6)</f>
        <v>#DIV/0!</v>
      </c>
      <c r="I112" s="801"/>
      <c r="J112" s="802"/>
      <c r="K112" s="800" t="e">
        <f>ROUND(K110/$D$36,6)</f>
        <v>#DIV/0!</v>
      </c>
      <c r="L112" s="801"/>
      <c r="M112" s="802"/>
      <c r="N112" s="800" t="e">
        <f>ROUND(N110/$D$36,6)</f>
        <v>#DIV/0!</v>
      </c>
      <c r="O112" s="801"/>
      <c r="P112" s="802"/>
      <c r="Q112" s="800" t="e">
        <f>ROUND(Q110/$D$36,6)</f>
        <v>#DIV/0!</v>
      </c>
      <c r="R112" s="801"/>
      <c r="S112" s="802"/>
      <c r="T112" s="800" t="e">
        <f>ROUND(T110/$D$36,6)</f>
        <v>#DIV/0!</v>
      </c>
      <c r="U112" s="801"/>
      <c r="V112" s="802"/>
      <c r="W112" s="48" t="e">
        <f>ROUND(N112+Q112+T112+K112+H112+E112,6)+W75</f>
        <v>#DIV/0!</v>
      </c>
    </row>
    <row r="113" spans="2:248" ht="24.95" customHeight="1" thickTop="1" thickBot="1">
      <c r="B113" s="322"/>
      <c r="C113" s="322"/>
      <c r="D113" s="322"/>
      <c r="E113" s="320"/>
      <c r="F113" s="320"/>
      <c r="G113" s="320"/>
      <c r="H113" s="320"/>
      <c r="I113" s="320"/>
      <c r="J113" s="320"/>
      <c r="K113" s="320"/>
      <c r="L113" s="320"/>
      <c r="M113" s="320"/>
      <c r="N113" s="320"/>
      <c r="O113" s="320"/>
      <c r="P113" s="320"/>
      <c r="Q113" s="320"/>
      <c r="R113" s="320"/>
      <c r="S113" s="320"/>
      <c r="T113" s="320"/>
      <c r="U113" s="320"/>
      <c r="V113" s="320"/>
      <c r="W113" s="19"/>
    </row>
    <row r="114" spans="2:248" ht="24.95" customHeight="1" thickTop="1">
      <c r="B114" s="776" t="s">
        <v>683</v>
      </c>
      <c r="C114" s="777"/>
      <c r="D114" s="323" t="s">
        <v>1</v>
      </c>
      <c r="E114" s="794">
        <f>E110+T77</f>
        <v>0</v>
      </c>
      <c r="F114" s="795"/>
      <c r="G114" s="796"/>
      <c r="H114" s="794">
        <f>H110+E114</f>
        <v>0</v>
      </c>
      <c r="I114" s="795"/>
      <c r="J114" s="796"/>
      <c r="K114" s="794">
        <f>K110+H114</f>
        <v>0</v>
      </c>
      <c r="L114" s="795"/>
      <c r="M114" s="796"/>
      <c r="N114" s="794">
        <f>N110+K114</f>
        <v>0</v>
      </c>
      <c r="O114" s="795"/>
      <c r="P114" s="796"/>
      <c r="Q114" s="794">
        <f>Q110+N114</f>
        <v>0</v>
      </c>
      <c r="R114" s="795"/>
      <c r="S114" s="796"/>
      <c r="T114" s="794">
        <f>T110+Q114</f>
        <v>0</v>
      </c>
      <c r="U114" s="795"/>
      <c r="V114" s="797"/>
      <c r="W114" s="19"/>
    </row>
    <row r="115" spans="2:248" ht="24.95" customHeight="1">
      <c r="B115" s="776" t="s">
        <v>683</v>
      </c>
      <c r="C115" s="777"/>
      <c r="D115" s="324" t="s">
        <v>1</v>
      </c>
      <c r="E115" s="325">
        <f>E111+T78</f>
        <v>0</v>
      </c>
      <c r="F115" s="325">
        <f>F111+U78</f>
        <v>0</v>
      </c>
      <c r="G115" s="325">
        <f>G111+V78</f>
        <v>0</v>
      </c>
      <c r="H115" s="325">
        <f>H111+E115</f>
        <v>0</v>
      </c>
      <c r="I115" s="325">
        <f>I111+F115</f>
        <v>0</v>
      </c>
      <c r="J115" s="325">
        <f>J111+G115</f>
        <v>0</v>
      </c>
      <c r="K115" s="325">
        <f>K111+H115</f>
        <v>0</v>
      </c>
      <c r="L115" s="325">
        <f>L111+I115</f>
        <v>0</v>
      </c>
      <c r="M115" s="326">
        <f>M111+J115</f>
        <v>0</v>
      </c>
      <c r="N115" s="325">
        <f>N111+K115</f>
        <v>0</v>
      </c>
      <c r="O115" s="325">
        <f>O111+L115</f>
        <v>0</v>
      </c>
      <c r="P115" s="325">
        <f>P111+M115</f>
        <v>0</v>
      </c>
      <c r="Q115" s="327">
        <f>Q111+N115</f>
        <v>0</v>
      </c>
      <c r="R115" s="325">
        <f>R111+O115</f>
        <v>0</v>
      </c>
      <c r="S115" s="326">
        <f>S111+P115</f>
        <v>0</v>
      </c>
      <c r="T115" s="325">
        <f>T111+Q115</f>
        <v>0</v>
      </c>
      <c r="U115" s="325">
        <f>U111+R115</f>
        <v>0</v>
      </c>
      <c r="V115" s="328">
        <f>V111+S115</f>
        <v>0</v>
      </c>
      <c r="W115" s="19"/>
    </row>
    <row r="116" spans="2:248" ht="24.95" customHeight="1">
      <c r="B116" s="776" t="s">
        <v>684</v>
      </c>
      <c r="C116" s="777"/>
      <c r="D116" s="324" t="s">
        <v>1</v>
      </c>
      <c r="E116" s="778">
        <f>$D$36-E114</f>
        <v>0</v>
      </c>
      <c r="F116" s="779"/>
      <c r="G116" s="780"/>
      <c r="H116" s="778">
        <f>$D$36-H114</f>
        <v>0</v>
      </c>
      <c r="I116" s="779"/>
      <c r="J116" s="780"/>
      <c r="K116" s="778">
        <f>$D$36-K114</f>
        <v>0</v>
      </c>
      <c r="L116" s="779"/>
      <c r="M116" s="780"/>
      <c r="N116" s="778">
        <f>$D$36-N114</f>
        <v>0</v>
      </c>
      <c r="O116" s="779"/>
      <c r="P116" s="780"/>
      <c r="Q116" s="778">
        <f>$D$36-Q114</f>
        <v>0</v>
      </c>
      <c r="R116" s="779"/>
      <c r="S116" s="780"/>
      <c r="T116" s="778">
        <f>$D$36-T114</f>
        <v>0</v>
      </c>
      <c r="U116" s="779"/>
      <c r="V116" s="781"/>
      <c r="W116" s="19"/>
    </row>
    <row r="117" spans="2:248" ht="24.95" customHeight="1" thickBot="1">
      <c r="B117" s="776" t="s">
        <v>684</v>
      </c>
      <c r="C117" s="777"/>
      <c r="D117" s="329" t="s">
        <v>1</v>
      </c>
      <c r="E117" s="330">
        <f>IV.A!$L$175-E115</f>
        <v>0</v>
      </c>
      <c r="F117" s="330">
        <f>IV.A!$L$176-F115</f>
        <v>0</v>
      </c>
      <c r="G117" s="330">
        <f>IV.A!$L$177-G115</f>
        <v>0</v>
      </c>
      <c r="H117" s="330">
        <f>IV.A!$L$175-H115</f>
        <v>0</v>
      </c>
      <c r="I117" s="330">
        <f>IV.A!$L$176-I115</f>
        <v>0</v>
      </c>
      <c r="J117" s="330">
        <f>IV.A!$L$177-J115</f>
        <v>0</v>
      </c>
      <c r="K117" s="330">
        <f>IV.A!$L$175-K115</f>
        <v>0</v>
      </c>
      <c r="L117" s="330">
        <f>IV.A!$L$176-L115</f>
        <v>0</v>
      </c>
      <c r="M117" s="330">
        <f>IV.A!$L$177-M115</f>
        <v>0</v>
      </c>
      <c r="N117" s="330">
        <f>IV.A!$L$175-N115</f>
        <v>0</v>
      </c>
      <c r="O117" s="330">
        <f>IV.A!$L$176-O115</f>
        <v>0</v>
      </c>
      <c r="P117" s="330">
        <f>IV.A!$L$177-P115</f>
        <v>0</v>
      </c>
      <c r="Q117" s="330">
        <f>IV.A!$L$175-Q115</f>
        <v>0</v>
      </c>
      <c r="R117" s="330">
        <f>IV.A!$L$176-R115</f>
        <v>0</v>
      </c>
      <c r="S117" s="330">
        <f>IV.A!$L$177-S115</f>
        <v>0</v>
      </c>
      <c r="T117" s="330">
        <f>IV.A!$L$175-T115</f>
        <v>0</v>
      </c>
      <c r="U117" s="330">
        <f>IV.A!$L$176-U115</f>
        <v>0</v>
      </c>
      <c r="V117" s="331">
        <f>IV.A!$L$177-V115</f>
        <v>0</v>
      </c>
      <c r="W117" s="19"/>
    </row>
    <row r="118" spans="2:248" s="315" customFormat="1" ht="15" customHeight="1" thickTop="1">
      <c r="B118" s="322"/>
      <c r="C118" s="322"/>
      <c r="D118" s="322"/>
      <c r="E118" s="320"/>
      <c r="F118" s="320"/>
      <c r="G118" s="320"/>
      <c r="H118" s="320"/>
      <c r="I118" s="320"/>
      <c r="J118" s="320"/>
      <c r="K118" s="320"/>
      <c r="L118" s="320"/>
      <c r="M118" s="320"/>
      <c r="N118" s="320"/>
      <c r="O118" s="320"/>
      <c r="P118" s="320"/>
      <c r="Q118" s="320"/>
      <c r="R118" s="320"/>
      <c r="S118" s="320"/>
      <c r="T118" s="320"/>
      <c r="U118" s="320"/>
      <c r="V118" s="320"/>
      <c r="W118" s="19"/>
      <c r="X118" s="314"/>
      <c r="IC118" s="304"/>
      <c r="ID118" s="304"/>
      <c r="IE118" s="304"/>
      <c r="IF118" s="304"/>
      <c r="IG118" s="304"/>
      <c r="IH118" s="304"/>
      <c r="II118" s="304"/>
      <c r="IJ118" s="304"/>
      <c r="IK118" s="304"/>
      <c r="IL118" s="304"/>
      <c r="IM118" s="304"/>
      <c r="IN118" s="304"/>
    </row>
    <row r="119" spans="2:248" s="315" customFormat="1" ht="15" customHeight="1">
      <c r="B119" s="322"/>
      <c r="C119" s="322"/>
      <c r="D119" s="322"/>
      <c r="E119" s="320"/>
      <c r="F119" s="320"/>
      <c r="G119" s="320"/>
      <c r="H119" s="320"/>
      <c r="I119" s="320"/>
      <c r="J119" s="320"/>
      <c r="K119" s="320"/>
      <c r="L119" s="320"/>
      <c r="M119" s="320"/>
      <c r="N119" s="320"/>
      <c r="O119" s="320"/>
      <c r="P119" s="320"/>
      <c r="Q119" s="320"/>
      <c r="R119" s="320"/>
      <c r="S119" s="320"/>
      <c r="T119" s="320"/>
      <c r="U119" s="320"/>
      <c r="V119" s="320"/>
      <c r="W119" s="19"/>
      <c r="X119" s="314"/>
      <c r="IC119" s="304"/>
      <c r="ID119" s="304"/>
      <c r="IE119" s="304"/>
      <c r="IF119" s="304"/>
      <c r="IG119" s="304"/>
      <c r="IH119" s="304"/>
      <c r="II119" s="304"/>
      <c r="IJ119" s="304"/>
      <c r="IK119" s="304"/>
      <c r="IL119" s="304"/>
      <c r="IM119" s="304"/>
      <c r="IN119" s="304"/>
    </row>
    <row r="120" spans="2:248" s="315" customFormat="1" ht="15" customHeight="1">
      <c r="B120" s="322"/>
      <c r="C120" s="322"/>
      <c r="D120" s="322"/>
      <c r="E120" s="320"/>
      <c r="F120" s="320"/>
      <c r="G120" s="320"/>
      <c r="H120" s="320"/>
      <c r="I120" s="320"/>
      <c r="J120" s="320"/>
      <c r="K120" s="320"/>
      <c r="L120" s="320"/>
      <c r="M120" s="320"/>
      <c r="N120" s="320"/>
      <c r="O120" s="320"/>
      <c r="P120" s="320"/>
      <c r="Q120" s="320"/>
      <c r="R120" s="320"/>
      <c r="S120" s="320"/>
      <c r="T120" s="320"/>
      <c r="U120" s="320"/>
      <c r="V120" s="320"/>
      <c r="W120" s="19"/>
      <c r="X120" s="314"/>
      <c r="IC120" s="304"/>
      <c r="ID120" s="304"/>
      <c r="IE120" s="304"/>
      <c r="IF120" s="304"/>
      <c r="IG120" s="304"/>
      <c r="IH120" s="304"/>
      <c r="II120" s="304"/>
      <c r="IJ120" s="304"/>
      <c r="IK120" s="304"/>
      <c r="IL120" s="304"/>
      <c r="IM120" s="304"/>
      <c r="IN120" s="304"/>
    </row>
    <row r="121" spans="2:248" s="315" customFormat="1" ht="15" customHeight="1">
      <c r="B121" s="793">
        <f>B84</f>
        <v>0</v>
      </c>
      <c r="C121" s="793"/>
      <c r="D121" s="793"/>
      <c r="E121" s="793"/>
      <c r="F121" s="793"/>
      <c r="G121" s="793"/>
      <c r="H121" s="793"/>
      <c r="I121" s="793"/>
      <c r="J121" s="793"/>
      <c r="K121" s="793"/>
      <c r="L121" s="793"/>
      <c r="M121" s="793"/>
      <c r="N121" s="793"/>
      <c r="O121" s="793"/>
      <c r="P121" s="793"/>
      <c r="Q121" s="793"/>
      <c r="R121" s="793"/>
      <c r="S121" s="793"/>
      <c r="T121" s="793"/>
      <c r="U121" s="793"/>
      <c r="V121" s="793"/>
      <c r="W121" s="793"/>
      <c r="X121" s="314"/>
      <c r="IC121" s="304"/>
      <c r="ID121" s="304"/>
      <c r="IE121" s="304"/>
      <c r="IF121" s="304"/>
      <c r="IG121" s="304"/>
      <c r="IH121" s="304"/>
      <c r="II121" s="304"/>
      <c r="IJ121" s="304"/>
      <c r="IK121" s="304"/>
      <c r="IL121" s="304"/>
      <c r="IM121" s="304"/>
      <c r="IN121" s="304"/>
    </row>
    <row r="122" spans="2:248" s="315" customFormat="1" ht="15" customHeight="1" thickBot="1">
      <c r="B122" s="332"/>
      <c r="C122" s="332"/>
      <c r="D122" s="332"/>
      <c r="E122" s="333"/>
      <c r="F122" s="333"/>
      <c r="G122" s="333"/>
      <c r="H122" s="333"/>
      <c r="I122" s="333"/>
      <c r="J122" s="333"/>
      <c r="K122" s="333"/>
      <c r="L122" s="333"/>
      <c r="M122" s="333"/>
      <c r="N122" s="333"/>
      <c r="O122" s="333"/>
      <c r="P122" s="333"/>
      <c r="Q122" s="333"/>
      <c r="R122" s="333"/>
      <c r="S122" s="333"/>
      <c r="T122" s="333"/>
      <c r="U122" s="333"/>
      <c r="V122" s="333"/>
      <c r="W122" s="49"/>
      <c r="X122" s="314"/>
      <c r="IC122" s="304"/>
      <c r="ID122" s="304"/>
      <c r="IE122" s="304"/>
      <c r="IF122" s="304"/>
      <c r="IG122" s="304"/>
      <c r="IH122" s="304"/>
      <c r="II122" s="304"/>
      <c r="IJ122" s="304"/>
      <c r="IK122" s="304"/>
      <c r="IL122" s="304"/>
      <c r="IM122" s="304"/>
      <c r="IN122" s="304"/>
    </row>
    <row r="123" spans="2:248" ht="24.95" customHeight="1" thickTop="1">
      <c r="B123" s="855"/>
      <c r="C123" s="855"/>
      <c r="D123" s="856"/>
      <c r="E123" s="859" t="s">
        <v>878</v>
      </c>
      <c r="F123" s="860"/>
      <c r="G123" s="860"/>
      <c r="H123" s="860" t="s">
        <v>879</v>
      </c>
      <c r="I123" s="860"/>
      <c r="J123" s="860"/>
      <c r="K123" s="860" t="s">
        <v>880</v>
      </c>
      <c r="L123" s="860"/>
      <c r="M123" s="860"/>
      <c r="N123" s="860" t="s">
        <v>881</v>
      </c>
      <c r="O123" s="860"/>
      <c r="P123" s="860"/>
      <c r="Q123" s="860" t="s">
        <v>882</v>
      </c>
      <c r="R123" s="860"/>
      <c r="S123" s="860"/>
      <c r="T123" s="860" t="s">
        <v>883</v>
      </c>
      <c r="U123" s="860"/>
      <c r="V123" s="861"/>
    </row>
    <row r="124" spans="2:248" ht="24.95" customHeight="1" thickBot="1">
      <c r="B124" s="857"/>
      <c r="C124" s="857"/>
      <c r="D124" s="858"/>
      <c r="E124" s="307" t="s">
        <v>16</v>
      </c>
      <c r="F124" s="308" t="s">
        <v>681</v>
      </c>
      <c r="G124" s="309" t="s">
        <v>9</v>
      </c>
      <c r="H124" s="308" t="s">
        <v>16</v>
      </c>
      <c r="I124" s="308" t="s">
        <v>681</v>
      </c>
      <c r="J124" s="309" t="s">
        <v>9</v>
      </c>
      <c r="K124" s="308" t="s">
        <v>16</v>
      </c>
      <c r="L124" s="308" t="s">
        <v>681</v>
      </c>
      <c r="M124" s="309" t="s">
        <v>9</v>
      </c>
      <c r="N124" s="308" t="s">
        <v>16</v>
      </c>
      <c r="O124" s="308" t="s">
        <v>681</v>
      </c>
      <c r="P124" s="309" t="s">
        <v>9</v>
      </c>
      <c r="Q124" s="308" t="s">
        <v>16</v>
      </c>
      <c r="R124" s="308" t="s">
        <v>681</v>
      </c>
      <c r="S124" s="309" t="s">
        <v>9</v>
      </c>
      <c r="T124" s="308" t="s">
        <v>16</v>
      </c>
      <c r="U124" s="308" t="s">
        <v>681</v>
      </c>
      <c r="V124" s="310" t="s">
        <v>9</v>
      </c>
    </row>
    <row r="125" spans="2:248" ht="24.95" customHeight="1" thickTop="1">
      <c r="B125" s="852" t="str">
        <f>IV.A!$A$14</f>
        <v>1.0</v>
      </c>
      <c r="C125" s="847" t="str">
        <f>IV.A!$B$14</f>
        <v>CANTEIRO DE OBRAS</v>
      </c>
      <c r="D125" s="848">
        <f>IV.A!$L$14</f>
        <v>0</v>
      </c>
      <c r="E125" s="849">
        <f t="shared" ref="E125" si="21">E126+F126+G126</f>
        <v>0</v>
      </c>
      <c r="F125" s="850"/>
      <c r="G125" s="851"/>
      <c r="H125" s="849">
        <f t="shared" ref="H125" si="22">H126+I126+J126</f>
        <v>0</v>
      </c>
      <c r="I125" s="850"/>
      <c r="J125" s="851"/>
      <c r="K125" s="849">
        <f t="shared" ref="K125" si="23">K126+L126+M126</f>
        <v>0</v>
      </c>
      <c r="L125" s="850"/>
      <c r="M125" s="851"/>
      <c r="N125" s="849">
        <f t="shared" ref="N125" si="24">N126+O126+P126</f>
        <v>0</v>
      </c>
      <c r="O125" s="850"/>
      <c r="P125" s="851"/>
      <c r="Q125" s="849">
        <f t="shared" ref="Q125" si="25">Q126+R126+S126</f>
        <v>0</v>
      </c>
      <c r="R125" s="850"/>
      <c r="S125" s="851"/>
      <c r="T125" s="849">
        <f t="shared" ref="T125" si="26">T126+U126+V126</f>
        <v>0</v>
      </c>
      <c r="U125" s="850"/>
      <c r="V125" s="851"/>
      <c r="W125" s="798">
        <f>N125+Q125+T125+K125+H125+E125+W88</f>
        <v>0</v>
      </c>
    </row>
    <row r="126" spans="2:248" ht="24.95" customHeight="1">
      <c r="B126" s="853"/>
      <c r="C126" s="786"/>
      <c r="D126" s="789"/>
      <c r="E126" s="312">
        <f>IV.A!$F$14*0.09/2</f>
        <v>0</v>
      </c>
      <c r="F126" s="312">
        <f>IV.A!$G$14*0.09/2</f>
        <v>0</v>
      </c>
      <c r="G126" s="312">
        <f>IV.A!$H$14*0.09/2</f>
        <v>0</v>
      </c>
      <c r="H126" s="312">
        <f>IV.A!$F$14*0.0811/2</f>
        <v>0</v>
      </c>
      <c r="I126" s="312">
        <f>IV.A!$G$14*0.0811/2</f>
        <v>0</v>
      </c>
      <c r="J126" s="312">
        <f>IV.A!$H$14*0.0811/2</f>
        <v>0</v>
      </c>
      <c r="K126" s="312">
        <f>IV.A!$F$14*0.0811/2</f>
        <v>0</v>
      </c>
      <c r="L126" s="312">
        <f>IV.A!$G$14*0.0811/2</f>
        <v>0</v>
      </c>
      <c r="M126" s="312">
        <f>IV.A!$H$14*0.0811/2</f>
        <v>0</v>
      </c>
      <c r="N126" s="312">
        <f>IV.A!$F$14*0.0811/2</f>
        <v>0</v>
      </c>
      <c r="O126" s="312">
        <f>IV.A!$G$14*0.0811/2</f>
        <v>0</v>
      </c>
      <c r="P126" s="312">
        <f>IV.A!$H$14*0.0811/2</f>
        <v>0</v>
      </c>
      <c r="Q126" s="312">
        <f>IV.A!$F$14*0.0811/2</f>
        <v>0</v>
      </c>
      <c r="R126" s="312">
        <f>IV.A!$G$14*0.0811/2</f>
        <v>0</v>
      </c>
      <c r="S126" s="312">
        <f>IV.A!$H$14*0.0811/2</f>
        <v>0</v>
      </c>
      <c r="T126" s="312">
        <f>IV.A!$F$14*0.0711/2</f>
        <v>0</v>
      </c>
      <c r="U126" s="312">
        <f>IV.A!$G$14*0.0711/2</f>
        <v>0</v>
      </c>
      <c r="V126" s="312">
        <f>IV.A!$H$14*0.0711/2</f>
        <v>0</v>
      </c>
      <c r="W126" s="799"/>
    </row>
    <row r="127" spans="2:248" ht="24.95" customHeight="1">
      <c r="B127" s="854"/>
      <c r="C127" s="840"/>
      <c r="D127" s="313" t="e">
        <f>IV.A!$M$14</f>
        <v>#DIV/0!</v>
      </c>
      <c r="E127" s="817" t="e">
        <f>E125/$D$51</f>
        <v>#DIV/0!</v>
      </c>
      <c r="F127" s="818"/>
      <c r="G127" s="819"/>
      <c r="H127" s="817" t="e">
        <f>H125/$D$51</f>
        <v>#DIV/0!</v>
      </c>
      <c r="I127" s="818"/>
      <c r="J127" s="819"/>
      <c r="K127" s="817" t="e">
        <f>K125/$D$51</f>
        <v>#DIV/0!</v>
      </c>
      <c r="L127" s="818"/>
      <c r="M127" s="819"/>
      <c r="N127" s="817" t="e">
        <f>N125/$D$51</f>
        <v>#DIV/0!</v>
      </c>
      <c r="O127" s="818"/>
      <c r="P127" s="819"/>
      <c r="Q127" s="817" t="e">
        <f>Q125/$D$51</f>
        <v>#DIV/0!</v>
      </c>
      <c r="R127" s="818"/>
      <c r="S127" s="819"/>
      <c r="T127" s="817" t="e">
        <f>T125/$D$51</f>
        <v>#DIV/0!</v>
      </c>
      <c r="U127" s="818"/>
      <c r="V127" s="819"/>
      <c r="W127" s="15" t="e">
        <f>W125/D125</f>
        <v>#DIV/0!</v>
      </c>
    </row>
    <row r="128" spans="2:248" ht="24.95" customHeight="1">
      <c r="B128" s="841" t="str">
        <f>IV.A!$A$22</f>
        <v>2.0</v>
      </c>
      <c r="C128" s="844" t="str">
        <f>IV.A!$B$22</f>
        <v>SERVIÇOS INICIAIS</v>
      </c>
      <c r="D128" s="826">
        <f>IV.A!$L$22</f>
        <v>0</v>
      </c>
      <c r="E128" s="828">
        <f>E129+F129+G129</f>
        <v>0</v>
      </c>
      <c r="F128" s="829"/>
      <c r="G128" s="830"/>
      <c r="H128" s="828">
        <f>H129+I129+J129</f>
        <v>0</v>
      </c>
      <c r="I128" s="829"/>
      <c r="J128" s="830"/>
      <c r="K128" s="828">
        <f>K129+L129+M129</f>
        <v>0</v>
      </c>
      <c r="L128" s="829"/>
      <c r="M128" s="830"/>
      <c r="N128" s="828">
        <f>N129+O129+P129</f>
        <v>0</v>
      </c>
      <c r="O128" s="829"/>
      <c r="P128" s="830"/>
      <c r="Q128" s="828">
        <f>Q129+R129+S129</f>
        <v>0</v>
      </c>
      <c r="R128" s="829"/>
      <c r="S128" s="830"/>
      <c r="T128" s="828">
        <f>T129+U129+V129</f>
        <v>0</v>
      </c>
      <c r="U128" s="829"/>
      <c r="V128" s="830"/>
      <c r="W128" s="831">
        <f>N128+Q128+T128+K128+H128+E128+W91</f>
        <v>0</v>
      </c>
    </row>
    <row r="129" spans="2:23" ht="24.95" customHeight="1">
      <c r="B129" s="842"/>
      <c r="C129" s="845"/>
      <c r="D129" s="827"/>
      <c r="E129" s="316">
        <f>IV.A!$F$22/12/2</f>
        <v>0</v>
      </c>
      <c r="F129" s="316">
        <f>IV.A!$G$22/12/2</f>
        <v>0</v>
      </c>
      <c r="G129" s="316">
        <f>IV.A!$H$22/12/2</f>
        <v>0</v>
      </c>
      <c r="H129" s="316">
        <f>IV.A!$F$22/12/2</f>
        <v>0</v>
      </c>
      <c r="I129" s="316">
        <f>IV.A!$G$22/12/2</f>
        <v>0</v>
      </c>
      <c r="J129" s="316">
        <f>IV.A!$H$22/12/2</f>
        <v>0</v>
      </c>
      <c r="K129" s="316">
        <f>IV.A!$F$22/12/2</f>
        <v>0</v>
      </c>
      <c r="L129" s="316">
        <f>IV.A!$G$22/12/2</f>
        <v>0</v>
      </c>
      <c r="M129" s="316">
        <f>IV.A!$H$22/12/2</f>
        <v>0</v>
      </c>
      <c r="N129" s="316">
        <f>IV.A!$F$22/12/2</f>
        <v>0</v>
      </c>
      <c r="O129" s="316">
        <f>IV.A!$G$22/12/2</f>
        <v>0</v>
      </c>
      <c r="P129" s="316">
        <f>IV.A!$H$22/12/2</f>
        <v>0</v>
      </c>
      <c r="Q129" s="316">
        <f>IV.A!$F$22/12/2</f>
        <v>0</v>
      </c>
      <c r="R129" s="316">
        <f>IV.A!$G$22/12/2</f>
        <v>0</v>
      </c>
      <c r="S129" s="316">
        <f>IV.A!$H$22/12/2</f>
        <v>0</v>
      </c>
      <c r="T129" s="316">
        <f>IV.A!$F$22-Q129-N129-K129-H129-E129-T92-Q92-N92-K92-H92-E92-E55-H55-K55-N55-Q55-T55-E18-H18-K18-N18-Q18-T18</f>
        <v>0</v>
      </c>
      <c r="U129" s="316">
        <f>IV.A!$G$22-R129-O129-L129-I129-F129-U92-R92-O92-L92-I92-F92-F55-I55-L55-O55-R55-U55-F18-I18-L18-O18-R18-U18</f>
        <v>0</v>
      </c>
      <c r="V129" s="316">
        <f>IV.A!$H$22-S129-P129-M129-J129-G129-V92-S92-P92-M92-J92-G92-G55-J55-M55-P55-S55-V55-G18-J18-M18-P18-S18-V18</f>
        <v>0</v>
      </c>
      <c r="W129" s="832"/>
    </row>
    <row r="130" spans="2:23" ht="24.95" customHeight="1">
      <c r="B130" s="843"/>
      <c r="C130" s="846"/>
      <c r="D130" s="317" t="e">
        <f>IV.A!$M$22</f>
        <v>#DIV/0!</v>
      </c>
      <c r="E130" s="833" t="e">
        <f>E128/$D$54</f>
        <v>#DIV/0!</v>
      </c>
      <c r="F130" s="834"/>
      <c r="G130" s="835"/>
      <c r="H130" s="833" t="e">
        <f>H128/$D$54</f>
        <v>#DIV/0!</v>
      </c>
      <c r="I130" s="834"/>
      <c r="J130" s="835"/>
      <c r="K130" s="833" t="e">
        <f>K128/$D$54</f>
        <v>#DIV/0!</v>
      </c>
      <c r="L130" s="834"/>
      <c r="M130" s="835"/>
      <c r="N130" s="833" t="e">
        <f>N128/$D$54</f>
        <v>#DIV/0!</v>
      </c>
      <c r="O130" s="834"/>
      <c r="P130" s="835"/>
      <c r="Q130" s="833" t="e">
        <f>Q128/$D$54</f>
        <v>#DIV/0!</v>
      </c>
      <c r="R130" s="834"/>
      <c r="S130" s="835"/>
      <c r="T130" s="833" t="e">
        <f>T128/$D$54</f>
        <v>#DIV/0!</v>
      </c>
      <c r="U130" s="834"/>
      <c r="V130" s="835"/>
      <c r="W130" s="47" t="e">
        <f>W128/D128</f>
        <v>#DIV/0!</v>
      </c>
    </row>
    <row r="131" spans="2:23" ht="24.95" customHeight="1">
      <c r="B131" s="782" t="str">
        <f>IV.A!$A$43</f>
        <v>3.0</v>
      </c>
      <c r="C131" s="785" t="str">
        <f>IV.A!$B$43</f>
        <v>FECHAMENTOS, PROTEÇÕES E ALVENARIAS EM GERAL</v>
      </c>
      <c r="D131" s="788">
        <f>IV.A!$L$43</f>
        <v>0</v>
      </c>
      <c r="E131" s="790">
        <f>E132+F132+G132</f>
        <v>0</v>
      </c>
      <c r="F131" s="791"/>
      <c r="G131" s="792"/>
      <c r="H131" s="790">
        <f>H132+I132+J132</f>
        <v>0</v>
      </c>
      <c r="I131" s="791"/>
      <c r="J131" s="792"/>
      <c r="K131" s="790">
        <f>K132+L132+M132</f>
        <v>0</v>
      </c>
      <c r="L131" s="791"/>
      <c r="M131" s="792"/>
      <c r="N131" s="790">
        <f>N132+O132+P132</f>
        <v>0</v>
      </c>
      <c r="O131" s="791"/>
      <c r="P131" s="792"/>
      <c r="Q131" s="790">
        <f>Q132+R132+S132</f>
        <v>-70000</v>
      </c>
      <c r="R131" s="791"/>
      <c r="S131" s="792"/>
      <c r="T131" s="790">
        <f>T132+U132+V132</f>
        <v>70000</v>
      </c>
      <c r="U131" s="791"/>
      <c r="V131" s="792"/>
      <c r="W131" s="803">
        <f>N131+Q131+T131+K131+H131+E131+W94</f>
        <v>0</v>
      </c>
    </row>
    <row r="132" spans="2:23" ht="24.95" customHeight="1">
      <c r="B132" s="783"/>
      <c r="C132" s="786"/>
      <c r="D132" s="789"/>
      <c r="E132" s="312">
        <f>IV.A!$F$43/12/4</f>
        <v>0</v>
      </c>
      <c r="F132" s="312">
        <f>IV.A!$G$43/12/4</f>
        <v>0</v>
      </c>
      <c r="G132" s="312">
        <f>IV.A!$H$43/12/4</f>
        <v>0</v>
      </c>
      <c r="H132" s="312">
        <f>IV.A!$F$43/12/4</f>
        <v>0</v>
      </c>
      <c r="I132" s="312">
        <f>IV.A!$G$43/12/4</f>
        <v>0</v>
      </c>
      <c r="J132" s="312">
        <f>IV.A!$H$43/12/4</f>
        <v>0</v>
      </c>
      <c r="K132" s="312">
        <f>IV.A!$F$43/12/4</f>
        <v>0</v>
      </c>
      <c r="L132" s="312">
        <f>IV.A!$G$43/12/4</f>
        <v>0</v>
      </c>
      <c r="M132" s="312">
        <f>IV.A!$H$43/12/4</f>
        <v>0</v>
      </c>
      <c r="N132" s="312">
        <f>IV.A!$F$43/12/4</f>
        <v>0</v>
      </c>
      <c r="O132" s="312">
        <f>IV.A!$G$43/12/4</f>
        <v>0</v>
      </c>
      <c r="P132" s="312">
        <f>IV.A!$H$43/12/4</f>
        <v>0</v>
      </c>
      <c r="Q132" s="312">
        <f>IV.A!$F$43/12/4-45000</f>
        <v>-45000</v>
      </c>
      <c r="R132" s="312">
        <f>IV.A!$G$43/12/4-5000</f>
        <v>-5000</v>
      </c>
      <c r="S132" s="312">
        <f>IV.A!$H$43/12/4-20000</f>
        <v>-20000</v>
      </c>
      <c r="T132" s="312">
        <f>IV.A!$F$43-Q132-N132-K132-H132-E132-T95-Q95-N95-K95-H95-E95-E58-H58-K58-N58-Q58-T58-E21-H21-K21-N21-Q21-T21</f>
        <v>45000</v>
      </c>
      <c r="U132" s="312">
        <f>IV.A!$G$43-R132-O132-L132-I132-F132-U95-R95-O95-L95-I95-F95-F58-I58-L58-O58-R58-U58-F21-I21-L21-O21-R21-U21</f>
        <v>5000</v>
      </c>
      <c r="V132" s="312">
        <f>IV.A!$H$43-S132-P132-M132-J132-G132-V95-S95-P95-M95-J95-G95-G58-J58-M58-P58-S58-V58-G21-J21-M21-P21-S21-V21</f>
        <v>20000</v>
      </c>
      <c r="W132" s="799"/>
    </row>
    <row r="133" spans="2:23" ht="24.95" customHeight="1">
      <c r="B133" s="839"/>
      <c r="C133" s="840"/>
      <c r="D133" s="313" t="e">
        <f>IV.A!$M$43</f>
        <v>#DIV/0!</v>
      </c>
      <c r="E133" s="817" t="e">
        <f>E131/$D$57</f>
        <v>#DIV/0!</v>
      </c>
      <c r="F133" s="818"/>
      <c r="G133" s="819"/>
      <c r="H133" s="817" t="e">
        <f>H131/$D$57</f>
        <v>#DIV/0!</v>
      </c>
      <c r="I133" s="818"/>
      <c r="J133" s="819"/>
      <c r="K133" s="817" t="e">
        <f>K131/$D$57</f>
        <v>#DIV/0!</v>
      </c>
      <c r="L133" s="818"/>
      <c r="M133" s="819"/>
      <c r="N133" s="817" t="e">
        <f>N131/$D$57</f>
        <v>#DIV/0!</v>
      </c>
      <c r="O133" s="818"/>
      <c r="P133" s="819"/>
      <c r="Q133" s="817" t="e">
        <f>Q131/$D$57</f>
        <v>#DIV/0!</v>
      </c>
      <c r="R133" s="818"/>
      <c r="S133" s="819"/>
      <c r="T133" s="817" t="e">
        <f>T131/$D$57</f>
        <v>#DIV/0!</v>
      </c>
      <c r="U133" s="818"/>
      <c r="V133" s="819"/>
      <c r="W133" s="15" t="e">
        <f>W131/D131</f>
        <v>#DIV/0!</v>
      </c>
    </row>
    <row r="134" spans="2:23" ht="24.95" customHeight="1">
      <c r="B134" s="841" t="str">
        <f>IV.A!$A$112</f>
        <v>4.0</v>
      </c>
      <c r="C134" s="844" t="str">
        <f>IV.A!$B$112</f>
        <v>FORNECIMENTO E INSTALAÇÕES HIDRAULICAS - ITEM 9.0 DO TERMO DE REFERÊNCIA</v>
      </c>
      <c r="D134" s="826">
        <f>IV.A!$L$112</f>
        <v>0</v>
      </c>
      <c r="E134" s="828">
        <f>E135+F135+G135</f>
        <v>0</v>
      </c>
      <c r="F134" s="829"/>
      <c r="G134" s="830"/>
      <c r="H134" s="828">
        <f>H135+I135+J135</f>
        <v>0</v>
      </c>
      <c r="I134" s="829"/>
      <c r="J134" s="830"/>
      <c r="K134" s="828">
        <f>K135+L135+M135</f>
        <v>0</v>
      </c>
      <c r="L134" s="829"/>
      <c r="M134" s="830"/>
      <c r="N134" s="828">
        <f>N135+O135+P135</f>
        <v>0</v>
      </c>
      <c r="O134" s="829"/>
      <c r="P134" s="830"/>
      <c r="Q134" s="828">
        <f>Q135+R135+S135</f>
        <v>0</v>
      </c>
      <c r="R134" s="829"/>
      <c r="S134" s="830"/>
      <c r="T134" s="828">
        <f>T135+U135+V135</f>
        <v>0</v>
      </c>
      <c r="U134" s="829"/>
      <c r="V134" s="830"/>
      <c r="W134" s="831">
        <f>N134+Q134+T134+K134+H134+E134+W97</f>
        <v>0</v>
      </c>
    </row>
    <row r="135" spans="2:23" ht="24.95" customHeight="1">
      <c r="B135" s="842"/>
      <c r="C135" s="845"/>
      <c r="D135" s="827"/>
      <c r="E135" s="316">
        <f>IV.A!$F$112/12/2</f>
        <v>0</v>
      </c>
      <c r="F135" s="316">
        <f>IV.A!$G$112/12/2</f>
        <v>0</v>
      </c>
      <c r="G135" s="316">
        <f>IV.A!$H$112/12/2</f>
        <v>0</v>
      </c>
      <c r="H135" s="316">
        <f>IV.A!$F$112/12/2</f>
        <v>0</v>
      </c>
      <c r="I135" s="316">
        <f>IV.A!$G$112/12/2</f>
        <v>0</v>
      </c>
      <c r="J135" s="316">
        <f>IV.A!$H$112/12/2</f>
        <v>0</v>
      </c>
      <c r="K135" s="316">
        <f>IV.A!$F$112/12/2</f>
        <v>0</v>
      </c>
      <c r="L135" s="316">
        <f>IV.A!$G$112/12/2</f>
        <v>0</v>
      </c>
      <c r="M135" s="316">
        <f>IV.A!$H$112/12/2</f>
        <v>0</v>
      </c>
      <c r="N135" s="316">
        <f>IV.A!$F$112/12/2</f>
        <v>0</v>
      </c>
      <c r="O135" s="316">
        <f>IV.A!$G$112/12/2</f>
        <v>0</v>
      </c>
      <c r="P135" s="316">
        <f>IV.A!$H$112/12/2</f>
        <v>0</v>
      </c>
      <c r="Q135" s="316">
        <f>IV.A!$F$112/12/2</f>
        <v>0</v>
      </c>
      <c r="R135" s="316">
        <f>IV.A!$G$112/12/2</f>
        <v>0</v>
      </c>
      <c r="S135" s="316">
        <f>IV.A!$H$112/12/2</f>
        <v>0</v>
      </c>
      <c r="T135" s="316">
        <f>IV.A!$F$112-Q135-N135-K135-H135-E135-T98-Q98-N98-K98-H98-E98-E61-H61-K61-N61-Q61-T61-E24-H24-K24-N24-Q24-T24</f>
        <v>0</v>
      </c>
      <c r="U135" s="316">
        <f>IV.A!$G$112-R135-O135-L135-I135-F135-U98-R98-O98-L98-I98-F98-F61-I61-L61-O61-R61-U61-F24-I24-L24-O24-R24-U24</f>
        <v>0</v>
      </c>
      <c r="V135" s="316">
        <f>IV.A!$H$112-S135-P135-M135-J135-G135-V98-S98-P98-M98-J98-G98-G61-J61-M61-P61-S61-V61-G24-J24-M24-P24-S24-V24</f>
        <v>0</v>
      </c>
      <c r="W135" s="832"/>
    </row>
    <row r="136" spans="2:23" ht="24.95" customHeight="1">
      <c r="B136" s="843"/>
      <c r="C136" s="846"/>
      <c r="D136" s="317" t="e">
        <f>IV.A!$M$112</f>
        <v>#DIV/0!</v>
      </c>
      <c r="E136" s="833" t="e">
        <f>E134/$D$60</f>
        <v>#DIV/0!</v>
      </c>
      <c r="F136" s="834"/>
      <c r="G136" s="835"/>
      <c r="H136" s="833" t="e">
        <f>H134/$D$60</f>
        <v>#DIV/0!</v>
      </c>
      <c r="I136" s="834"/>
      <c r="J136" s="835"/>
      <c r="K136" s="833" t="e">
        <f>K134/$D$60</f>
        <v>#DIV/0!</v>
      </c>
      <c r="L136" s="834"/>
      <c r="M136" s="835"/>
      <c r="N136" s="833" t="e">
        <f>N134/$D$60</f>
        <v>#DIV/0!</v>
      </c>
      <c r="O136" s="834"/>
      <c r="P136" s="835"/>
      <c r="Q136" s="833" t="e">
        <f>Q134/$D$60</f>
        <v>#DIV/0!</v>
      </c>
      <c r="R136" s="834"/>
      <c r="S136" s="835"/>
      <c r="T136" s="833" t="e">
        <f>T134/$D$60</f>
        <v>#DIV/0!</v>
      </c>
      <c r="U136" s="834"/>
      <c r="V136" s="835"/>
      <c r="W136" s="47" t="e">
        <f>W134/D134</f>
        <v>#DIV/0!</v>
      </c>
    </row>
    <row r="137" spans="2:23" ht="24.95" customHeight="1">
      <c r="B137" s="836" t="str">
        <f>IV.A!$A$126</f>
        <v>5.0</v>
      </c>
      <c r="C137" s="807" t="str">
        <f>IV.A!$B$126</f>
        <v>RECUPERAÇÃO E TRATAMENTO DE SUPERFÍCIES EM CONCRETO ARMADO - ITEM 10.0 DO TERMO DE REFERÊNCIA</v>
      </c>
      <c r="D137" s="788">
        <f>IV.A!$L$126</f>
        <v>0</v>
      </c>
      <c r="E137" s="790">
        <f>E138+F138+G138</f>
        <v>0</v>
      </c>
      <c r="F137" s="791"/>
      <c r="G137" s="792"/>
      <c r="H137" s="790">
        <f>H138+I138+J138</f>
        <v>0</v>
      </c>
      <c r="I137" s="791"/>
      <c r="J137" s="792"/>
      <c r="K137" s="790">
        <f>K138+L138+M138</f>
        <v>0</v>
      </c>
      <c r="L137" s="791"/>
      <c r="M137" s="792"/>
      <c r="N137" s="790">
        <f>N138+O138+P138</f>
        <v>0</v>
      </c>
      <c r="O137" s="791"/>
      <c r="P137" s="792"/>
      <c r="Q137" s="790">
        <f>Q138+R138+S138</f>
        <v>0</v>
      </c>
      <c r="R137" s="791"/>
      <c r="S137" s="792"/>
      <c r="T137" s="790">
        <f>T138+U138+V138</f>
        <v>0</v>
      </c>
      <c r="U137" s="791"/>
      <c r="V137" s="792"/>
      <c r="W137" s="803">
        <f>N137+Q137+T137+K137+H137+E137+W100</f>
        <v>0</v>
      </c>
    </row>
    <row r="138" spans="2:23" ht="24.95" customHeight="1">
      <c r="B138" s="837"/>
      <c r="C138" s="808"/>
      <c r="D138" s="789"/>
      <c r="E138" s="312">
        <f>IV.A!$F$126/12/2</f>
        <v>0</v>
      </c>
      <c r="F138" s="312">
        <f>IV.A!$G$126/12/2</f>
        <v>0</v>
      </c>
      <c r="G138" s="312">
        <f>IV.A!$H$126/12/2</f>
        <v>0</v>
      </c>
      <c r="H138" s="312">
        <f>IV.A!$F$126/12/2</f>
        <v>0</v>
      </c>
      <c r="I138" s="312">
        <f>IV.A!$G$126/12/2</f>
        <v>0</v>
      </c>
      <c r="J138" s="312">
        <f>IV.A!$H$126/12/2</f>
        <v>0</v>
      </c>
      <c r="K138" s="312">
        <f>IV.A!$F$126/12/2</f>
        <v>0</v>
      </c>
      <c r="L138" s="312">
        <f>IV.A!$G$126/12/2</f>
        <v>0</v>
      </c>
      <c r="M138" s="312">
        <f>IV.A!$H$126/12/2</f>
        <v>0</v>
      </c>
      <c r="N138" s="312">
        <f>IV.A!$F$126/12/2</f>
        <v>0</v>
      </c>
      <c r="O138" s="312">
        <f>IV.A!$G$126/12/2</f>
        <v>0</v>
      </c>
      <c r="P138" s="312">
        <f>IV.A!$H$126/12/2</f>
        <v>0</v>
      </c>
      <c r="Q138" s="312">
        <f>IV.A!$F$126/12/2</f>
        <v>0</v>
      </c>
      <c r="R138" s="312">
        <f>IV.A!$G$126/12/2</f>
        <v>0</v>
      </c>
      <c r="S138" s="312">
        <f>IV.A!$H$126/12/2</f>
        <v>0</v>
      </c>
      <c r="T138" s="312">
        <f>IV.A!$F$126-Q138-N138-K138-H138-E138-T101-Q101-N101-K101-H101-E101-E64-H64-K64-N64-Q64-T64-E27-H27-K27-N27-Q27-T27</f>
        <v>0</v>
      </c>
      <c r="U138" s="312">
        <f>IV.A!$G$126-R138-O138-L138-I138-F138-U101-R101-O101-L101-I101-F101-F64-I64-L64-O64-R64-U64-F27-I27-L27-O27-R27-U27</f>
        <v>0</v>
      </c>
      <c r="V138" s="312">
        <f>IV.A!$H$126-S138-P138-M138-J138-G138-V101-S101-P101-M101-J101-G101-G64-J64-M64-P64-S64-V64-G27-J27-M27-P27-S27-V27</f>
        <v>0</v>
      </c>
      <c r="W138" s="799"/>
    </row>
    <row r="139" spans="2:23" ht="24.95" customHeight="1">
      <c r="B139" s="838"/>
      <c r="C139" s="809"/>
      <c r="D139" s="313" t="e">
        <f>IV.A!$M$126</f>
        <v>#DIV/0!</v>
      </c>
      <c r="E139" s="817" t="e">
        <f>E137/$D$63</f>
        <v>#DIV/0!</v>
      </c>
      <c r="F139" s="818"/>
      <c r="G139" s="819"/>
      <c r="H139" s="817" t="e">
        <f>H137/$D$63</f>
        <v>#DIV/0!</v>
      </c>
      <c r="I139" s="818"/>
      <c r="J139" s="819"/>
      <c r="K139" s="817" t="e">
        <f>K137/$D$63</f>
        <v>#DIV/0!</v>
      </c>
      <c r="L139" s="818"/>
      <c r="M139" s="819"/>
      <c r="N139" s="817" t="e">
        <f>N137/$D$63</f>
        <v>#DIV/0!</v>
      </c>
      <c r="O139" s="818"/>
      <c r="P139" s="819"/>
      <c r="Q139" s="817" t="e">
        <f>Q137/$D$63</f>
        <v>#DIV/0!</v>
      </c>
      <c r="R139" s="818"/>
      <c r="S139" s="819"/>
      <c r="T139" s="817" t="e">
        <f>T137/$D$63</f>
        <v>#DIV/0!</v>
      </c>
      <c r="U139" s="818"/>
      <c r="V139" s="819"/>
      <c r="W139" s="15" t="e">
        <f>W137/D137</f>
        <v>#DIV/0!</v>
      </c>
    </row>
    <row r="140" spans="2:23" ht="24.95" customHeight="1">
      <c r="B140" s="820" t="str">
        <f>IV.A!$A$134</f>
        <v>6.0</v>
      </c>
      <c r="C140" s="823" t="str">
        <f>IV.A!$B$134</f>
        <v>PINTURAS - ITEM 11.0 DO TERMO DE REFERÊNCIA</v>
      </c>
      <c r="D140" s="826">
        <f>IV.A!$L$134</f>
        <v>0</v>
      </c>
      <c r="E140" s="828">
        <f>E141+F141+G141</f>
        <v>0</v>
      </c>
      <c r="F140" s="829"/>
      <c r="G140" s="830"/>
      <c r="H140" s="828">
        <f>H141+I141+J141</f>
        <v>0</v>
      </c>
      <c r="I140" s="829"/>
      <c r="J140" s="830"/>
      <c r="K140" s="828">
        <f>K141+L141+M141</f>
        <v>0</v>
      </c>
      <c r="L140" s="829"/>
      <c r="M140" s="830"/>
      <c r="N140" s="828">
        <f>N141+O141+P141</f>
        <v>0</v>
      </c>
      <c r="O140" s="829"/>
      <c r="P140" s="830"/>
      <c r="Q140" s="828">
        <f>Q141+R141+S141</f>
        <v>0</v>
      </c>
      <c r="R140" s="829"/>
      <c r="S140" s="830"/>
      <c r="T140" s="828">
        <f>T141+U141+V141</f>
        <v>0</v>
      </c>
      <c r="U140" s="829"/>
      <c r="V140" s="830"/>
      <c r="W140" s="831">
        <f>N140+Q140+T140+K140+H140+E140+W103</f>
        <v>0</v>
      </c>
    </row>
    <row r="141" spans="2:23" ht="24.95" customHeight="1">
      <c r="B141" s="821"/>
      <c r="C141" s="824"/>
      <c r="D141" s="827"/>
      <c r="E141" s="316">
        <f>IV.A!$F$134*0.08/2</f>
        <v>0</v>
      </c>
      <c r="F141" s="316">
        <f>IV.A!$G$134*0.08/2</f>
        <v>0</v>
      </c>
      <c r="G141" s="316">
        <f>IV.A!$H$134*0.08/2</f>
        <v>0</v>
      </c>
      <c r="H141" s="316">
        <f>IV.A!$F$134/12/2</f>
        <v>0</v>
      </c>
      <c r="I141" s="316">
        <f>IV.A!$G$134/12/2</f>
        <v>0</v>
      </c>
      <c r="J141" s="316">
        <f>IV.A!$H$134/12/2</f>
        <v>0</v>
      </c>
      <c r="K141" s="316">
        <f>IV.A!$F$134/12/2</f>
        <v>0</v>
      </c>
      <c r="L141" s="316">
        <f>IV.A!$G$134/12/2</f>
        <v>0</v>
      </c>
      <c r="M141" s="316">
        <f>IV.A!$H$134/12/2</f>
        <v>0</v>
      </c>
      <c r="N141" s="316">
        <f>IV.A!$F$134/12/2</f>
        <v>0</v>
      </c>
      <c r="O141" s="316">
        <f>IV.A!$G$134/12/2</f>
        <v>0</v>
      </c>
      <c r="P141" s="316">
        <f>IV.A!$H$134/12/2</f>
        <v>0</v>
      </c>
      <c r="Q141" s="316">
        <f>IV.A!$F$134/12/2</f>
        <v>0</v>
      </c>
      <c r="R141" s="316">
        <f>IV.A!$G$134/12/2</f>
        <v>0</v>
      </c>
      <c r="S141" s="316">
        <f>IV.A!$H$134/12/2</f>
        <v>0</v>
      </c>
      <c r="T141" s="316">
        <f>IV.A!$F$134-Q141-N141-K141-H141-E141-T104-Q104-N104-K104-H104-E104-E67-H67-K67-N67-Q67-T67-E30-H30-K30-N30-Q30-T30</f>
        <v>0</v>
      </c>
      <c r="U141" s="316">
        <f>IV.A!$G$134-R141-O141-L141-I141-F141-U104-R104-O104-L104-I104-F104-F67-I67-L67-O67-R67-U67-F30-I30-L30-O30-R30-U30</f>
        <v>0</v>
      </c>
      <c r="V141" s="316">
        <f>IV.A!$H$134-S141-P141-M141-J141-G141-V104-S104-P104-M104-J104-G104-G67-J67-M67-P67-S67-V67-G30-J30-M30-P30-S30-V30</f>
        <v>0</v>
      </c>
      <c r="W141" s="832"/>
    </row>
    <row r="142" spans="2:23" ht="24.95" customHeight="1">
      <c r="B142" s="822"/>
      <c r="C142" s="825"/>
      <c r="D142" s="317" t="e">
        <f>IV.A!$M$134</f>
        <v>#DIV/0!</v>
      </c>
      <c r="E142" s="833" t="e">
        <f>E140/$D$66</f>
        <v>#DIV/0!</v>
      </c>
      <c r="F142" s="834"/>
      <c r="G142" s="835"/>
      <c r="H142" s="833" t="e">
        <f>H140/$D$66</f>
        <v>#DIV/0!</v>
      </c>
      <c r="I142" s="834"/>
      <c r="J142" s="835"/>
      <c r="K142" s="833" t="e">
        <f>K140/$D$66</f>
        <v>#DIV/0!</v>
      </c>
      <c r="L142" s="834"/>
      <c r="M142" s="835"/>
      <c r="N142" s="833" t="e">
        <f>N140/$D$66</f>
        <v>#DIV/0!</v>
      </c>
      <c r="O142" s="834"/>
      <c r="P142" s="835"/>
      <c r="Q142" s="833" t="e">
        <f>Q140/$D$66</f>
        <v>#DIV/0!</v>
      </c>
      <c r="R142" s="834"/>
      <c r="S142" s="835"/>
      <c r="T142" s="833" t="e">
        <f>T140/$D$66</f>
        <v>#DIV/0!</v>
      </c>
      <c r="U142" s="834"/>
      <c r="V142" s="835"/>
      <c r="W142" s="47" t="e">
        <f>W140/D140</f>
        <v>#DIV/0!</v>
      </c>
    </row>
    <row r="143" spans="2:23" ht="24.95" customHeight="1">
      <c r="B143" s="782" t="str">
        <f>IV.A!$A$155</f>
        <v>7.0</v>
      </c>
      <c r="C143" s="785" t="str">
        <f>IV.A!$B$155</f>
        <v>SERVIÇOS COMPLEMENTARES - ITEM 12.0 DO TERMO DE REFERÊNCIA</v>
      </c>
      <c r="D143" s="788">
        <f>IV.A!$L$155</f>
        <v>0</v>
      </c>
      <c r="E143" s="790">
        <f>E144+F144+G144</f>
        <v>0</v>
      </c>
      <c r="F143" s="791"/>
      <c r="G143" s="792"/>
      <c r="H143" s="790">
        <f>H144+I144+J144</f>
        <v>0</v>
      </c>
      <c r="I143" s="791"/>
      <c r="J143" s="792"/>
      <c r="K143" s="790">
        <f>K144+L144+M144</f>
        <v>0</v>
      </c>
      <c r="L143" s="791"/>
      <c r="M143" s="792"/>
      <c r="N143" s="790">
        <f>N144+O144+P144</f>
        <v>0</v>
      </c>
      <c r="O143" s="791"/>
      <c r="P143" s="792"/>
      <c r="Q143" s="790">
        <f>Q144+R144+S144</f>
        <v>0</v>
      </c>
      <c r="R143" s="791"/>
      <c r="S143" s="792"/>
      <c r="T143" s="790">
        <f>T144+U144+V144</f>
        <v>0</v>
      </c>
      <c r="U143" s="791"/>
      <c r="V143" s="792"/>
      <c r="W143" s="803">
        <f>N143+Q143+T143+K143+H143+E143+W106</f>
        <v>0</v>
      </c>
    </row>
    <row r="144" spans="2:23" ht="24.95" customHeight="1">
      <c r="B144" s="783"/>
      <c r="C144" s="786"/>
      <c r="D144" s="789"/>
      <c r="E144" s="312">
        <f>IV.A!$F$155*0.12/2</f>
        <v>0</v>
      </c>
      <c r="F144" s="312">
        <f>IV.A!$G$155*0.12/2/2</f>
        <v>0</v>
      </c>
      <c r="G144" s="312">
        <f>IV.A!$H$155*0.12/2/2</f>
        <v>0</v>
      </c>
      <c r="H144" s="312">
        <f>IV.A!$F$155*0.07/2</f>
        <v>0</v>
      </c>
      <c r="I144" s="312">
        <f>IV.A!$G$155*0.07/2</f>
        <v>0</v>
      </c>
      <c r="J144" s="312">
        <f>IV.A!$H$155*0.07/2/2</f>
        <v>0</v>
      </c>
      <c r="K144" s="312">
        <f>IV.A!$F$155*0.07/2</f>
        <v>0</v>
      </c>
      <c r="L144" s="312">
        <f>IV.A!$G$155*0.07/2</f>
        <v>0</v>
      </c>
      <c r="M144" s="312">
        <f>IV.A!$H$155*0.07/2/2</f>
        <v>0</v>
      </c>
      <c r="N144" s="312">
        <f>IV.A!$F$155*0.07/2</f>
        <v>0</v>
      </c>
      <c r="O144" s="312">
        <f>IV.A!$G$155*0.07/2</f>
        <v>0</v>
      </c>
      <c r="P144" s="312">
        <f>IV.A!$H$155*0.07/2/2</f>
        <v>0</v>
      </c>
      <c r="Q144" s="312">
        <f>IV.A!$F$155*0.07/2/2</f>
        <v>0</v>
      </c>
      <c r="R144" s="312">
        <f>IV.A!$G$155*0.07/2</f>
        <v>0</v>
      </c>
      <c r="S144" s="312">
        <f>IV.A!$H$155*0.07/2/2</f>
        <v>0</v>
      </c>
      <c r="T144" s="312">
        <f>IV.A!$F$155-Q144-N144-K144-H144-E144-T107-Q107-N107-K107-H107-E107-E70-H70-K70-N70-Q70-T70-E33-H33-K33-N33-Q33-T33</f>
        <v>0</v>
      </c>
      <c r="U144" s="312">
        <f>IV.A!$G$155-R144-O144-L144-I144-F144-U107-R107-O107-L107-I107-F107-F70-I70-L70-O70-R70-U70-F33-I33-L33-O33-R33-U33</f>
        <v>0</v>
      </c>
      <c r="V144" s="312">
        <f>IV.A!$H$155-S144-P144-M144-J144-G144-V107-S107-P107-M107-J107-G107-G70-J70-M70-P70-S70-V70-G33-J33-M33-P33-S33-V33</f>
        <v>0</v>
      </c>
      <c r="W144" s="799"/>
    </row>
    <row r="145" spans="2:248" ht="24.95" customHeight="1" thickBot="1">
      <c r="B145" s="784"/>
      <c r="C145" s="787"/>
      <c r="D145" s="318" t="e">
        <f>IV.A!$M$155</f>
        <v>#DIV/0!</v>
      </c>
      <c r="E145" s="804" t="e">
        <f>E143/$D$69</f>
        <v>#DIV/0!</v>
      </c>
      <c r="F145" s="805"/>
      <c r="G145" s="806"/>
      <c r="H145" s="804" t="e">
        <f>H143/$D$69</f>
        <v>#DIV/0!</v>
      </c>
      <c r="I145" s="805"/>
      <c r="J145" s="806"/>
      <c r="K145" s="804" t="e">
        <f>K143/$D$69</f>
        <v>#DIV/0!</v>
      </c>
      <c r="L145" s="805"/>
      <c r="M145" s="806"/>
      <c r="N145" s="804" t="e">
        <f>N143/$D$69</f>
        <v>#DIV/0!</v>
      </c>
      <c r="O145" s="805"/>
      <c r="P145" s="806"/>
      <c r="Q145" s="804" t="e">
        <f>Q143/$D$69</f>
        <v>#DIV/0!</v>
      </c>
      <c r="R145" s="805"/>
      <c r="S145" s="806"/>
      <c r="T145" s="804" t="e">
        <f>T143/$D$69</f>
        <v>#DIV/0!</v>
      </c>
      <c r="U145" s="805"/>
      <c r="V145" s="806"/>
      <c r="W145" s="16" t="e">
        <f>W143/D143</f>
        <v>#DIV/0!</v>
      </c>
    </row>
    <row r="146" spans="2:248" ht="24.95" customHeight="1" thickTop="1" thickBot="1">
      <c r="B146" s="319"/>
      <c r="C146" s="319"/>
      <c r="D146" s="319"/>
      <c r="E146" s="320"/>
      <c r="F146" s="321"/>
      <c r="G146" s="320"/>
      <c r="H146" s="320"/>
      <c r="I146" s="321"/>
      <c r="J146" s="320"/>
      <c r="K146" s="320"/>
      <c r="L146" s="321"/>
      <c r="M146" s="320"/>
      <c r="N146" s="320"/>
      <c r="O146" s="321"/>
      <c r="P146" s="320"/>
      <c r="Q146" s="320"/>
      <c r="R146" s="321"/>
      <c r="S146" s="320"/>
      <c r="T146" s="320"/>
      <c r="U146" s="321"/>
      <c r="V146" s="320"/>
      <c r="W146" s="19"/>
    </row>
    <row r="147" spans="2:248" ht="24.95" customHeight="1" thickTop="1">
      <c r="B147" s="810" t="s">
        <v>682</v>
      </c>
      <c r="C147" s="811"/>
      <c r="D147" s="812">
        <f>D125+D128+D131+D134+D137+D140+D143</f>
        <v>0</v>
      </c>
      <c r="E147" s="794">
        <f>E148+F148+G148</f>
        <v>0</v>
      </c>
      <c r="F147" s="795"/>
      <c r="G147" s="796"/>
      <c r="H147" s="794">
        <f>H148+I148+J148</f>
        <v>0</v>
      </c>
      <c r="I147" s="795"/>
      <c r="J147" s="796"/>
      <c r="K147" s="814">
        <f>K148+L148+M148</f>
        <v>0</v>
      </c>
      <c r="L147" s="815"/>
      <c r="M147" s="816"/>
      <c r="N147" s="814">
        <f>N148+O148+P148</f>
        <v>0</v>
      </c>
      <c r="O147" s="815"/>
      <c r="P147" s="816"/>
      <c r="Q147" s="814">
        <f>Q148+R148+S148</f>
        <v>-70000</v>
      </c>
      <c r="R147" s="815"/>
      <c r="S147" s="816"/>
      <c r="T147" s="814">
        <f>T148+U148+V148</f>
        <v>70000</v>
      </c>
      <c r="U147" s="815"/>
      <c r="V147" s="816"/>
      <c r="W147" s="798">
        <f>W125+W128+W131+W134+W137+W140+W143</f>
        <v>0</v>
      </c>
    </row>
    <row r="148" spans="2:248" ht="24.95" customHeight="1">
      <c r="B148" s="810"/>
      <c r="C148" s="811"/>
      <c r="D148" s="813"/>
      <c r="E148" s="17">
        <f>E138+E135+E132+E129+E126+E141+E144</f>
        <v>0</v>
      </c>
      <c r="F148" s="17">
        <f t="shared" ref="F148:V148" si="27">F138+F135+F132+F129+F126+F141+F144</f>
        <v>0</v>
      </c>
      <c r="G148" s="17">
        <f t="shared" si="27"/>
        <v>0</v>
      </c>
      <c r="H148" s="17">
        <f t="shared" si="27"/>
        <v>0</v>
      </c>
      <c r="I148" s="17">
        <f t="shared" si="27"/>
        <v>0</v>
      </c>
      <c r="J148" s="17">
        <f t="shared" si="27"/>
        <v>0</v>
      </c>
      <c r="K148" s="17">
        <f t="shared" si="27"/>
        <v>0</v>
      </c>
      <c r="L148" s="17">
        <f t="shared" si="27"/>
        <v>0</v>
      </c>
      <c r="M148" s="17">
        <f t="shared" si="27"/>
        <v>0</v>
      </c>
      <c r="N148" s="17">
        <f t="shared" si="27"/>
        <v>0</v>
      </c>
      <c r="O148" s="17">
        <f t="shared" si="27"/>
        <v>0</v>
      </c>
      <c r="P148" s="17">
        <f t="shared" si="27"/>
        <v>0</v>
      </c>
      <c r="Q148" s="17">
        <f t="shared" si="27"/>
        <v>-45000</v>
      </c>
      <c r="R148" s="17">
        <f t="shared" si="27"/>
        <v>-5000</v>
      </c>
      <c r="S148" s="17">
        <f t="shared" si="27"/>
        <v>-20000</v>
      </c>
      <c r="T148" s="17">
        <f t="shared" si="27"/>
        <v>45000</v>
      </c>
      <c r="U148" s="17">
        <f t="shared" si="27"/>
        <v>5000</v>
      </c>
      <c r="V148" s="17">
        <f t="shared" si="27"/>
        <v>20000</v>
      </c>
      <c r="W148" s="799"/>
      <c r="X148" s="334"/>
    </row>
    <row r="149" spans="2:248" ht="24.95" customHeight="1" thickBot="1">
      <c r="B149" s="810"/>
      <c r="C149" s="811"/>
      <c r="D149" s="18" t="e">
        <f>D127+D130+D133+D136+D139+D142+D145</f>
        <v>#DIV/0!</v>
      </c>
      <c r="E149" s="800" t="e">
        <f>ROUND(E147/$D$36,6)</f>
        <v>#DIV/0!</v>
      </c>
      <c r="F149" s="801"/>
      <c r="G149" s="802"/>
      <c r="H149" s="800" t="e">
        <f>ROUND(H147/$D$36,6)</f>
        <v>#DIV/0!</v>
      </c>
      <c r="I149" s="801"/>
      <c r="J149" s="802"/>
      <c r="K149" s="800" t="e">
        <f>ROUND(K147/$D$36,6)</f>
        <v>#DIV/0!</v>
      </c>
      <c r="L149" s="801"/>
      <c r="M149" s="802"/>
      <c r="N149" s="800" t="e">
        <f>ROUND(N147/$D$36,6)</f>
        <v>#DIV/0!</v>
      </c>
      <c r="O149" s="801"/>
      <c r="P149" s="802"/>
      <c r="Q149" s="800" t="e">
        <f>ROUND(Q147/$D$36,6)</f>
        <v>#DIV/0!</v>
      </c>
      <c r="R149" s="801"/>
      <c r="S149" s="802"/>
      <c r="T149" s="800" t="e">
        <f>ROUND(T147/$D$36,6)</f>
        <v>#DIV/0!</v>
      </c>
      <c r="U149" s="801"/>
      <c r="V149" s="802"/>
      <c r="W149" s="48" t="e">
        <f>ROUND(N149+Q149+T149+K149+H149+E149+W112,6)</f>
        <v>#DIV/0!</v>
      </c>
    </row>
    <row r="150" spans="2:248" ht="24.95" customHeight="1" thickTop="1" thickBot="1">
      <c r="B150" s="322"/>
      <c r="C150" s="322"/>
      <c r="D150" s="322"/>
      <c r="E150" s="320"/>
      <c r="F150" s="320"/>
      <c r="G150" s="320"/>
      <c r="H150" s="320"/>
      <c r="I150" s="320"/>
      <c r="J150" s="320"/>
      <c r="K150" s="320"/>
      <c r="L150" s="320"/>
      <c r="M150" s="320"/>
      <c r="N150" s="320"/>
      <c r="O150" s="320"/>
      <c r="P150" s="320"/>
      <c r="Q150" s="320"/>
      <c r="R150" s="320"/>
      <c r="S150" s="320"/>
      <c r="T150" s="320"/>
      <c r="U150" s="320"/>
      <c r="V150" s="320"/>
      <c r="W150" s="19"/>
    </row>
    <row r="151" spans="2:248" ht="24.95" customHeight="1" thickTop="1">
      <c r="B151" s="776" t="s">
        <v>683</v>
      </c>
      <c r="C151" s="777"/>
      <c r="D151" s="323" t="s">
        <v>1</v>
      </c>
      <c r="E151" s="794">
        <f>E147+T114</f>
        <v>0</v>
      </c>
      <c r="F151" s="795"/>
      <c r="G151" s="796"/>
      <c r="H151" s="794">
        <f>H147+E151</f>
        <v>0</v>
      </c>
      <c r="I151" s="795"/>
      <c r="J151" s="796"/>
      <c r="K151" s="794">
        <f>K147+H151</f>
        <v>0</v>
      </c>
      <c r="L151" s="795"/>
      <c r="M151" s="796"/>
      <c r="N151" s="794">
        <f>N147+K151</f>
        <v>0</v>
      </c>
      <c r="O151" s="795"/>
      <c r="P151" s="796"/>
      <c r="Q151" s="794">
        <f>Q147+N151</f>
        <v>-70000</v>
      </c>
      <c r="R151" s="795"/>
      <c r="S151" s="796"/>
      <c r="T151" s="794">
        <f>T147+Q151</f>
        <v>0</v>
      </c>
      <c r="U151" s="795"/>
      <c r="V151" s="797"/>
      <c r="W151" s="19"/>
    </row>
    <row r="152" spans="2:248" ht="24.95" customHeight="1">
      <c r="B152" s="776" t="s">
        <v>683</v>
      </c>
      <c r="C152" s="777"/>
      <c r="D152" s="324" t="s">
        <v>1</v>
      </c>
      <c r="E152" s="325">
        <f>E148+T115</f>
        <v>0</v>
      </c>
      <c r="F152" s="325">
        <f>F148+U115</f>
        <v>0</v>
      </c>
      <c r="G152" s="325">
        <f>G148+V115</f>
        <v>0</v>
      </c>
      <c r="H152" s="325">
        <f>H148+E152</f>
        <v>0</v>
      </c>
      <c r="I152" s="325">
        <f>I148+F152</f>
        <v>0</v>
      </c>
      <c r="J152" s="325">
        <f>J148+G152</f>
        <v>0</v>
      </c>
      <c r="K152" s="325">
        <f>K148+H152</f>
        <v>0</v>
      </c>
      <c r="L152" s="325">
        <f>L148+I152</f>
        <v>0</v>
      </c>
      <c r="M152" s="326">
        <f>M148+J152</f>
        <v>0</v>
      </c>
      <c r="N152" s="325">
        <f>N148+K152</f>
        <v>0</v>
      </c>
      <c r="O152" s="325">
        <f>O148+L152</f>
        <v>0</v>
      </c>
      <c r="P152" s="325">
        <f>P148+M152</f>
        <v>0</v>
      </c>
      <c r="Q152" s="327">
        <f>Q148+N152</f>
        <v>-45000</v>
      </c>
      <c r="R152" s="325">
        <f>R148+O152</f>
        <v>-5000</v>
      </c>
      <c r="S152" s="326">
        <f>S148+P152</f>
        <v>-20000</v>
      </c>
      <c r="T152" s="325">
        <f>T148+Q152</f>
        <v>0</v>
      </c>
      <c r="U152" s="325">
        <f>U148+R152</f>
        <v>0</v>
      </c>
      <c r="V152" s="328">
        <f>V148+S152</f>
        <v>0</v>
      </c>
      <c r="W152" s="19"/>
    </row>
    <row r="153" spans="2:248" ht="24.95" customHeight="1">
      <c r="B153" s="776" t="s">
        <v>684</v>
      </c>
      <c r="C153" s="777"/>
      <c r="D153" s="324" t="s">
        <v>1</v>
      </c>
      <c r="E153" s="778">
        <f>$D$36-E151</f>
        <v>0</v>
      </c>
      <c r="F153" s="779"/>
      <c r="G153" s="780"/>
      <c r="H153" s="778">
        <f>$D$36-H151</f>
        <v>0</v>
      </c>
      <c r="I153" s="779"/>
      <c r="J153" s="780"/>
      <c r="K153" s="778">
        <f>$D$36-K151</f>
        <v>0</v>
      </c>
      <c r="L153" s="779"/>
      <c r="M153" s="780"/>
      <c r="N153" s="778">
        <f>$D$36-N151</f>
        <v>0</v>
      </c>
      <c r="O153" s="779"/>
      <c r="P153" s="780"/>
      <c r="Q153" s="778">
        <f>$D$36-Q151</f>
        <v>70000</v>
      </c>
      <c r="R153" s="779"/>
      <c r="S153" s="780"/>
      <c r="T153" s="778">
        <f>$D$36-T151</f>
        <v>0</v>
      </c>
      <c r="U153" s="779"/>
      <c r="V153" s="781"/>
      <c r="W153" s="19"/>
    </row>
    <row r="154" spans="2:248" ht="24.95" customHeight="1" thickBot="1">
      <c r="B154" s="776" t="s">
        <v>684</v>
      </c>
      <c r="C154" s="777"/>
      <c r="D154" s="329" t="s">
        <v>1</v>
      </c>
      <c r="E154" s="330">
        <f>IV.A!$L$175-E152</f>
        <v>0</v>
      </c>
      <c r="F154" s="330">
        <f>IV.A!$L$176-F152</f>
        <v>0</v>
      </c>
      <c r="G154" s="330">
        <f>IV.A!$L$177-G152</f>
        <v>0</v>
      </c>
      <c r="H154" s="330">
        <f>IV.A!$L$175-H152</f>
        <v>0</v>
      </c>
      <c r="I154" s="330">
        <f>IV.A!$L$176-I152</f>
        <v>0</v>
      </c>
      <c r="J154" s="330">
        <f>IV.A!$L$177-J152</f>
        <v>0</v>
      </c>
      <c r="K154" s="330">
        <f>IV.A!$L$175-K152</f>
        <v>0</v>
      </c>
      <c r="L154" s="330">
        <f>IV.A!$L$176-L152</f>
        <v>0</v>
      </c>
      <c r="M154" s="330">
        <f>IV.A!$L$177-M152</f>
        <v>0</v>
      </c>
      <c r="N154" s="330">
        <f>IV.A!$L$175-N152</f>
        <v>0</v>
      </c>
      <c r="O154" s="330">
        <f>IV.A!$L$176-O152</f>
        <v>0</v>
      </c>
      <c r="P154" s="330">
        <f>IV.A!$L$177-P152</f>
        <v>0</v>
      </c>
      <c r="Q154" s="330">
        <f>IV.A!$L$175-Q152</f>
        <v>45000</v>
      </c>
      <c r="R154" s="330">
        <f>IV.A!$L$176-R152</f>
        <v>5000</v>
      </c>
      <c r="S154" s="330">
        <f>IV.A!$L$177-S152</f>
        <v>20000</v>
      </c>
      <c r="T154" s="330">
        <f>IV.A!$L$175-T152</f>
        <v>0</v>
      </c>
      <c r="U154" s="330">
        <f>IV.A!$L$176-U152</f>
        <v>0</v>
      </c>
      <c r="V154" s="331">
        <f>IV.A!$L$177-V152</f>
        <v>0</v>
      </c>
      <c r="W154" s="19"/>
    </row>
    <row r="155" spans="2:248" s="315" customFormat="1" ht="15" customHeight="1" thickTop="1">
      <c r="B155" s="322"/>
      <c r="C155" s="322"/>
      <c r="D155" s="322"/>
      <c r="E155" s="320"/>
      <c r="F155" s="320"/>
      <c r="G155" s="320"/>
      <c r="H155" s="320"/>
      <c r="I155" s="320"/>
      <c r="J155" s="320"/>
      <c r="K155" s="320"/>
      <c r="L155" s="320"/>
      <c r="M155" s="320"/>
      <c r="N155" s="320"/>
      <c r="O155" s="320"/>
      <c r="P155" s="320"/>
      <c r="Q155" s="320"/>
      <c r="R155" s="320"/>
      <c r="S155" s="320"/>
      <c r="T155" s="320"/>
      <c r="U155" s="320"/>
      <c r="V155" s="320"/>
      <c r="W155" s="19"/>
      <c r="X155" s="314"/>
      <c r="IC155" s="304"/>
      <c r="ID155" s="304"/>
      <c r="IE155" s="304"/>
      <c r="IF155" s="304"/>
      <c r="IG155" s="304"/>
      <c r="IH155" s="304"/>
      <c r="II155" s="304"/>
      <c r="IJ155" s="304"/>
      <c r="IK155" s="304"/>
      <c r="IL155" s="304"/>
      <c r="IM155" s="304"/>
      <c r="IN155" s="304"/>
    </row>
    <row r="156" spans="2:248" s="315" customFormat="1" ht="15" customHeight="1">
      <c r="B156" s="322"/>
      <c r="C156" s="322"/>
      <c r="D156" s="322"/>
      <c r="E156" s="320"/>
      <c r="F156" s="320"/>
      <c r="G156" s="320"/>
      <c r="H156" s="320"/>
      <c r="I156" s="320"/>
      <c r="J156" s="320"/>
      <c r="K156" s="320"/>
      <c r="L156" s="320"/>
      <c r="M156" s="320"/>
      <c r="N156" s="320"/>
      <c r="O156" s="320"/>
      <c r="P156" s="320"/>
      <c r="Q156" s="320"/>
      <c r="R156" s="320"/>
      <c r="S156" s="320"/>
      <c r="T156" s="320"/>
      <c r="U156" s="320"/>
      <c r="V156" s="320"/>
      <c r="W156" s="19"/>
      <c r="X156" s="314"/>
      <c r="IC156" s="304"/>
      <c r="ID156" s="304"/>
      <c r="IE156" s="304"/>
      <c r="IF156" s="304"/>
      <c r="IG156" s="304"/>
      <c r="IH156" s="304"/>
      <c r="II156" s="304"/>
      <c r="IJ156" s="304"/>
      <c r="IK156" s="304"/>
      <c r="IL156" s="304"/>
      <c r="IM156" s="304"/>
      <c r="IN156" s="304"/>
    </row>
    <row r="157" spans="2:248" s="315" customFormat="1" ht="15" customHeight="1">
      <c r="B157" s="322"/>
      <c r="C157" s="322"/>
      <c r="D157" s="322"/>
      <c r="E157" s="320"/>
      <c r="F157" s="320"/>
      <c r="G157" s="320"/>
      <c r="H157" s="320"/>
      <c r="I157" s="320"/>
      <c r="J157" s="320"/>
      <c r="K157" s="320"/>
      <c r="L157" s="320"/>
      <c r="M157" s="320"/>
      <c r="N157" s="320"/>
      <c r="O157" s="320"/>
      <c r="P157" s="320"/>
      <c r="Q157" s="320"/>
      <c r="R157" s="320"/>
      <c r="S157" s="320"/>
      <c r="T157" s="320"/>
      <c r="U157" s="320"/>
      <c r="V157" s="320"/>
      <c r="W157" s="19"/>
      <c r="X157" s="314"/>
      <c r="IC157" s="304"/>
      <c r="ID157" s="304"/>
      <c r="IE157" s="304"/>
      <c r="IF157" s="304"/>
      <c r="IG157" s="304"/>
      <c r="IH157" s="304"/>
      <c r="II157" s="304"/>
      <c r="IJ157" s="304"/>
      <c r="IK157" s="304"/>
      <c r="IL157" s="304"/>
      <c r="IM157" s="304"/>
      <c r="IN157" s="304"/>
    </row>
  </sheetData>
  <sheetProtection algorithmName="SHA-512" hashValue="oqEDTgRj/kk9cgWxVzMGkPB/2BRgr+VIK/DZizWm8Bne6EH2ymW647a/V1QLEqr1KonHuOD4BVFf4q7PY5KaRw==" saltValue="mdbKgPHoyfjq3xHyOFxbxQ==" spinCount="100000" sheet="1" objects="1" scenarios="1" selectLockedCells="1"/>
  <mergeCells count="609">
    <mergeCell ref="B1:W5"/>
    <mergeCell ref="B84:W84"/>
    <mergeCell ref="W73:W74"/>
    <mergeCell ref="T71:V71"/>
    <mergeCell ref="E79:G79"/>
    <mergeCell ref="H79:J79"/>
    <mergeCell ref="N77:P77"/>
    <mergeCell ref="Q77:S77"/>
    <mergeCell ref="E77:G77"/>
    <mergeCell ref="H77:J77"/>
    <mergeCell ref="K77:M77"/>
    <mergeCell ref="Q71:S71"/>
    <mergeCell ref="K36:M36"/>
    <mergeCell ref="E26:G26"/>
    <mergeCell ref="B32:B34"/>
    <mergeCell ref="N36:P36"/>
    <mergeCell ref="N38:P38"/>
    <mergeCell ref="Q36:S36"/>
    <mergeCell ref="E38:G38"/>
    <mergeCell ref="E34:G34"/>
    <mergeCell ref="H34:J34"/>
    <mergeCell ref="K34:M34"/>
    <mergeCell ref="N32:P32"/>
    <mergeCell ref="Q34:S34"/>
    <mergeCell ref="H36:J36"/>
    <mergeCell ref="N34:P34"/>
    <mergeCell ref="E36:G36"/>
    <mergeCell ref="H38:J38"/>
    <mergeCell ref="K38:M38"/>
    <mergeCell ref="H32:J32"/>
    <mergeCell ref="K32:M32"/>
    <mergeCell ref="C32:C34"/>
    <mergeCell ref="N25:P25"/>
    <mergeCell ref="W14:W15"/>
    <mergeCell ref="W17:W18"/>
    <mergeCell ref="T17:V17"/>
    <mergeCell ref="N14:P14"/>
    <mergeCell ref="Q14:S14"/>
    <mergeCell ref="N16:P16"/>
    <mergeCell ref="T28:V28"/>
    <mergeCell ref="K17:M17"/>
    <mergeCell ref="K16:M16"/>
    <mergeCell ref="W20:W21"/>
    <mergeCell ref="W23:W24"/>
    <mergeCell ref="W26:W27"/>
    <mergeCell ref="K20:M20"/>
    <mergeCell ref="Q26:S26"/>
    <mergeCell ref="Q25:S25"/>
    <mergeCell ref="N22:P22"/>
    <mergeCell ref="Q20:S20"/>
    <mergeCell ref="N19:P19"/>
    <mergeCell ref="K25:M25"/>
    <mergeCell ref="T25:V25"/>
    <mergeCell ref="N23:P23"/>
    <mergeCell ref="Q23:S23"/>
    <mergeCell ref="T23:V23"/>
    <mergeCell ref="K23:M23"/>
    <mergeCell ref="B17:B19"/>
    <mergeCell ref="H20:J20"/>
    <mergeCell ref="B20:B22"/>
    <mergeCell ref="Q19:S19"/>
    <mergeCell ref="T19:V19"/>
    <mergeCell ref="E12:G12"/>
    <mergeCell ref="E14:G14"/>
    <mergeCell ref="H14:J14"/>
    <mergeCell ref="K14:M14"/>
    <mergeCell ref="K12:M12"/>
    <mergeCell ref="N12:P12"/>
    <mergeCell ref="Q12:S12"/>
    <mergeCell ref="T16:V16"/>
    <mergeCell ref="H12:J12"/>
    <mergeCell ref="Q16:S16"/>
    <mergeCell ref="T22:V22"/>
    <mergeCell ref="C20:C22"/>
    <mergeCell ref="D20:D21"/>
    <mergeCell ref="E20:G20"/>
    <mergeCell ref="B6:V6"/>
    <mergeCell ref="B12:D13"/>
    <mergeCell ref="B14:B16"/>
    <mergeCell ref="C14:C16"/>
    <mergeCell ref="D14:D15"/>
    <mergeCell ref="E16:G16"/>
    <mergeCell ref="H16:J16"/>
    <mergeCell ref="B8:V8"/>
    <mergeCell ref="T12:V12"/>
    <mergeCell ref="T14:V14"/>
    <mergeCell ref="B10:V10"/>
    <mergeCell ref="T32:V32"/>
    <mergeCell ref="D32:D33"/>
    <mergeCell ref="E32:G32"/>
    <mergeCell ref="B23:B25"/>
    <mergeCell ref="C23:C25"/>
    <mergeCell ref="E25:G25"/>
    <mergeCell ref="H25:J25"/>
    <mergeCell ref="N29:P29"/>
    <mergeCell ref="N31:P31"/>
    <mergeCell ref="B29:B31"/>
    <mergeCell ref="H23:J23"/>
    <mergeCell ref="C29:C31"/>
    <mergeCell ref="T26:V26"/>
    <mergeCell ref="K28:M28"/>
    <mergeCell ref="K26:M26"/>
    <mergeCell ref="N26:P26"/>
    <mergeCell ref="E29:G29"/>
    <mergeCell ref="E31:G31"/>
    <mergeCell ref="Q31:S31"/>
    <mergeCell ref="C26:C28"/>
    <mergeCell ref="D26:D27"/>
    <mergeCell ref="E23:G23"/>
    <mergeCell ref="N17:P17"/>
    <mergeCell ref="T20:V20"/>
    <mergeCell ref="H22:J22"/>
    <mergeCell ref="C17:C19"/>
    <mergeCell ref="D17:D18"/>
    <mergeCell ref="D23:D24"/>
    <mergeCell ref="E17:G17"/>
    <mergeCell ref="E19:G19"/>
    <mergeCell ref="E22:G22"/>
    <mergeCell ref="H17:J17"/>
    <mergeCell ref="K19:M19"/>
    <mergeCell ref="K22:M22"/>
    <mergeCell ref="Q17:S17"/>
    <mergeCell ref="Q22:S22"/>
    <mergeCell ref="N20:P20"/>
    <mergeCell ref="B49:D50"/>
    <mergeCell ref="T40:V40"/>
    <mergeCell ref="T42:V42"/>
    <mergeCell ref="E28:G28"/>
    <mergeCell ref="W29:W30"/>
    <mergeCell ref="W32:W33"/>
    <mergeCell ref="T29:V29"/>
    <mergeCell ref="H29:J29"/>
    <mergeCell ref="H31:J31"/>
    <mergeCell ref="K29:M29"/>
    <mergeCell ref="K31:M31"/>
    <mergeCell ref="Q32:S32"/>
    <mergeCell ref="T31:V31"/>
    <mergeCell ref="N42:P42"/>
    <mergeCell ref="E40:G40"/>
    <mergeCell ref="Q29:S29"/>
    <mergeCell ref="D29:D30"/>
    <mergeCell ref="H40:J40"/>
    <mergeCell ref="K40:M40"/>
    <mergeCell ref="W36:W37"/>
    <mergeCell ref="Q38:S38"/>
    <mergeCell ref="T36:V36"/>
    <mergeCell ref="T38:V38"/>
    <mergeCell ref="D36:D37"/>
    <mergeCell ref="D69:D70"/>
    <mergeCell ref="E71:G71"/>
    <mergeCell ref="B69:B71"/>
    <mergeCell ref="C69:C71"/>
    <mergeCell ref="D73:D74"/>
    <mergeCell ref="E73:G73"/>
    <mergeCell ref="H73:J73"/>
    <mergeCell ref="E75:G75"/>
    <mergeCell ref="H75:J75"/>
    <mergeCell ref="H66:J66"/>
    <mergeCell ref="H62:J62"/>
    <mergeCell ref="K62:M62"/>
    <mergeCell ref="H60:J60"/>
    <mergeCell ref="K71:M71"/>
    <mergeCell ref="N71:P71"/>
    <mergeCell ref="K73:M73"/>
    <mergeCell ref="K79:M79"/>
    <mergeCell ref="T73:V73"/>
    <mergeCell ref="N73:P73"/>
    <mergeCell ref="Q73:S73"/>
    <mergeCell ref="H71:J71"/>
    <mergeCell ref="Q69:S69"/>
    <mergeCell ref="T69:V69"/>
    <mergeCell ref="N75:P75"/>
    <mergeCell ref="Q68:S68"/>
    <mergeCell ref="B60:B62"/>
    <mergeCell ref="C60:C62"/>
    <mergeCell ref="N60:P60"/>
    <mergeCell ref="Q60:S60"/>
    <mergeCell ref="D60:D61"/>
    <mergeCell ref="E60:G60"/>
    <mergeCell ref="N69:P69"/>
    <mergeCell ref="B66:B68"/>
    <mergeCell ref="E63:G63"/>
    <mergeCell ref="D66:D67"/>
    <mergeCell ref="E68:G68"/>
    <mergeCell ref="C66:C68"/>
    <mergeCell ref="B63:B65"/>
    <mergeCell ref="C63:C65"/>
    <mergeCell ref="D63:D64"/>
    <mergeCell ref="E65:G65"/>
    <mergeCell ref="E66:G66"/>
    <mergeCell ref="N62:P62"/>
    <mergeCell ref="E69:G69"/>
    <mergeCell ref="H69:J69"/>
    <mergeCell ref="K63:M63"/>
    <mergeCell ref="H65:J65"/>
    <mergeCell ref="H68:J68"/>
    <mergeCell ref="E62:G62"/>
    <mergeCell ref="D51:D52"/>
    <mergeCell ref="E51:G51"/>
    <mergeCell ref="E53:G53"/>
    <mergeCell ref="H53:J53"/>
    <mergeCell ref="K53:M53"/>
    <mergeCell ref="T54:V54"/>
    <mergeCell ref="H42:J42"/>
    <mergeCell ref="K59:M59"/>
    <mergeCell ref="H26:J26"/>
    <mergeCell ref="K57:M57"/>
    <mergeCell ref="K49:M49"/>
    <mergeCell ref="H28:J28"/>
    <mergeCell ref="N28:P28"/>
    <mergeCell ref="H57:J57"/>
    <mergeCell ref="N57:P57"/>
    <mergeCell ref="Q28:S28"/>
    <mergeCell ref="N49:P49"/>
    <mergeCell ref="N56:P56"/>
    <mergeCell ref="N51:P51"/>
    <mergeCell ref="N40:P40"/>
    <mergeCell ref="Q49:S49"/>
    <mergeCell ref="Q40:S40"/>
    <mergeCell ref="Q42:S42"/>
    <mergeCell ref="B47:W47"/>
    <mergeCell ref="H49:J49"/>
    <mergeCell ref="N68:P68"/>
    <mergeCell ref="Q65:S65"/>
    <mergeCell ref="N63:P63"/>
    <mergeCell ref="Q63:S63"/>
    <mergeCell ref="E42:G42"/>
    <mergeCell ref="H19:J19"/>
    <mergeCell ref="B54:B56"/>
    <mergeCell ref="T34:V34"/>
    <mergeCell ref="B26:B28"/>
    <mergeCell ref="Q53:S53"/>
    <mergeCell ref="T53:V53"/>
    <mergeCell ref="C54:C56"/>
    <mergeCell ref="D54:D55"/>
    <mergeCell ref="B57:B59"/>
    <mergeCell ref="C57:C59"/>
    <mergeCell ref="D57:D58"/>
    <mergeCell ref="E54:G54"/>
    <mergeCell ref="E56:G56"/>
    <mergeCell ref="E57:G57"/>
    <mergeCell ref="H51:J51"/>
    <mergeCell ref="E49:G49"/>
    <mergeCell ref="B51:B53"/>
    <mergeCell ref="C51:C53"/>
    <mergeCell ref="H54:J54"/>
    <mergeCell ref="K54:M54"/>
    <mergeCell ref="E59:G59"/>
    <mergeCell ref="H59:J59"/>
    <mergeCell ref="H56:J56"/>
    <mergeCell ref="K56:M56"/>
    <mergeCell ref="K51:M51"/>
    <mergeCell ref="T62:V62"/>
    <mergeCell ref="N65:P65"/>
    <mergeCell ref="Q62:S62"/>
    <mergeCell ref="K60:M60"/>
    <mergeCell ref="H63:J63"/>
    <mergeCell ref="K65:M65"/>
    <mergeCell ref="T63:V63"/>
    <mergeCell ref="K42:M42"/>
    <mergeCell ref="W51:W52"/>
    <mergeCell ref="W54:W55"/>
    <mergeCell ref="W57:W58"/>
    <mergeCell ref="Q56:S56"/>
    <mergeCell ref="N53:P53"/>
    <mergeCell ref="Q54:S54"/>
    <mergeCell ref="T51:V51"/>
    <mergeCell ref="W60:W61"/>
    <mergeCell ref="T60:V60"/>
    <mergeCell ref="Q59:S59"/>
    <mergeCell ref="T59:V59"/>
    <mergeCell ref="Q51:S51"/>
    <mergeCell ref="T57:V57"/>
    <mergeCell ref="T56:V56"/>
    <mergeCell ref="Q57:S57"/>
    <mergeCell ref="W63:W64"/>
    <mergeCell ref="N59:P59"/>
    <mergeCell ref="N54:P54"/>
    <mergeCell ref="Q66:S66"/>
    <mergeCell ref="K68:M68"/>
    <mergeCell ref="T49:V49"/>
    <mergeCell ref="T75:V75"/>
    <mergeCell ref="Q75:S75"/>
    <mergeCell ref="N79:P79"/>
    <mergeCell ref="Q79:S79"/>
    <mergeCell ref="K69:M69"/>
    <mergeCell ref="K75:M75"/>
    <mergeCell ref="W66:W67"/>
    <mergeCell ref="T66:V66"/>
    <mergeCell ref="T65:V65"/>
    <mergeCell ref="K66:M66"/>
    <mergeCell ref="W88:W89"/>
    <mergeCell ref="E90:G90"/>
    <mergeCell ref="H90:J90"/>
    <mergeCell ref="K90:M90"/>
    <mergeCell ref="N90:P90"/>
    <mergeCell ref="Q90:S90"/>
    <mergeCell ref="T90:V90"/>
    <mergeCell ref="B7:W7"/>
    <mergeCell ref="B9:W9"/>
    <mergeCell ref="B73:C75"/>
    <mergeCell ref="B77:C77"/>
    <mergeCell ref="B78:C78"/>
    <mergeCell ref="B79:C79"/>
    <mergeCell ref="B80:C80"/>
    <mergeCell ref="B36:C38"/>
    <mergeCell ref="B40:C40"/>
    <mergeCell ref="B41:C41"/>
    <mergeCell ref="B42:C42"/>
    <mergeCell ref="B43:C43"/>
    <mergeCell ref="W69:W70"/>
    <mergeCell ref="T79:V79"/>
    <mergeCell ref="T68:V68"/>
    <mergeCell ref="N66:P66"/>
    <mergeCell ref="T77:V77"/>
    <mergeCell ref="B91:B93"/>
    <mergeCell ref="B86:D87"/>
    <mergeCell ref="E86:G86"/>
    <mergeCell ref="H86:J86"/>
    <mergeCell ref="K86:M86"/>
    <mergeCell ref="N86:P86"/>
    <mergeCell ref="Q86:S86"/>
    <mergeCell ref="T86:V86"/>
    <mergeCell ref="B88:B90"/>
    <mergeCell ref="C88:C90"/>
    <mergeCell ref="D88:D89"/>
    <mergeCell ref="E88:G88"/>
    <mergeCell ref="H88:J88"/>
    <mergeCell ref="K88:M88"/>
    <mergeCell ref="N88:P88"/>
    <mergeCell ref="Q88:S88"/>
    <mergeCell ref="T88:V88"/>
    <mergeCell ref="W97:W98"/>
    <mergeCell ref="W91:W92"/>
    <mergeCell ref="E93:G93"/>
    <mergeCell ref="H93:J93"/>
    <mergeCell ref="K93:M93"/>
    <mergeCell ref="N93:P93"/>
    <mergeCell ref="Q93:S93"/>
    <mergeCell ref="T93:V93"/>
    <mergeCell ref="B94:B96"/>
    <mergeCell ref="C94:C96"/>
    <mergeCell ref="D94:D95"/>
    <mergeCell ref="E94:G94"/>
    <mergeCell ref="H94:J94"/>
    <mergeCell ref="K94:M94"/>
    <mergeCell ref="N94:P94"/>
    <mergeCell ref="Q94:S94"/>
    <mergeCell ref="T94:V94"/>
    <mergeCell ref="W94:W95"/>
    <mergeCell ref="E96:G96"/>
    <mergeCell ref="H96:J96"/>
    <mergeCell ref="K96:M96"/>
    <mergeCell ref="N96:P96"/>
    <mergeCell ref="Q96:S96"/>
    <mergeCell ref="T96:V96"/>
    <mergeCell ref="C100:C102"/>
    <mergeCell ref="D100:D101"/>
    <mergeCell ref="E100:G100"/>
    <mergeCell ref="H100:J100"/>
    <mergeCell ref="K100:M100"/>
    <mergeCell ref="N100:P100"/>
    <mergeCell ref="Q100:S100"/>
    <mergeCell ref="T100:V100"/>
    <mergeCell ref="C91:C93"/>
    <mergeCell ref="D91:D92"/>
    <mergeCell ref="E91:G91"/>
    <mergeCell ref="H91:J91"/>
    <mergeCell ref="K91:M91"/>
    <mergeCell ref="N91:P91"/>
    <mergeCell ref="Q91:S91"/>
    <mergeCell ref="T91:V91"/>
    <mergeCell ref="B103:B105"/>
    <mergeCell ref="W100:W101"/>
    <mergeCell ref="E102:G102"/>
    <mergeCell ref="H102:J102"/>
    <mergeCell ref="K102:M102"/>
    <mergeCell ref="N102:P102"/>
    <mergeCell ref="Q102:S102"/>
    <mergeCell ref="T102:V102"/>
    <mergeCell ref="B97:B99"/>
    <mergeCell ref="C97:C99"/>
    <mergeCell ref="D97:D98"/>
    <mergeCell ref="E97:G97"/>
    <mergeCell ref="H97:J97"/>
    <mergeCell ref="K97:M97"/>
    <mergeCell ref="N97:P97"/>
    <mergeCell ref="Q97:S97"/>
    <mergeCell ref="T97:V97"/>
    <mergeCell ref="E99:G99"/>
    <mergeCell ref="H99:J99"/>
    <mergeCell ref="K99:M99"/>
    <mergeCell ref="N99:P99"/>
    <mergeCell ref="Q99:S99"/>
    <mergeCell ref="T99:V99"/>
    <mergeCell ref="B100:B102"/>
    <mergeCell ref="B106:B108"/>
    <mergeCell ref="C106:C108"/>
    <mergeCell ref="D106:D107"/>
    <mergeCell ref="E106:G106"/>
    <mergeCell ref="H106:J106"/>
    <mergeCell ref="K106:M106"/>
    <mergeCell ref="N106:P106"/>
    <mergeCell ref="Q106:S106"/>
    <mergeCell ref="T106:V106"/>
    <mergeCell ref="E108:G108"/>
    <mergeCell ref="H108:J108"/>
    <mergeCell ref="K108:M108"/>
    <mergeCell ref="N108:P108"/>
    <mergeCell ref="Q108:S108"/>
    <mergeCell ref="T108:V108"/>
    <mergeCell ref="C103:C105"/>
    <mergeCell ref="D103:D104"/>
    <mergeCell ref="E103:G103"/>
    <mergeCell ref="H103:J103"/>
    <mergeCell ref="K103:M103"/>
    <mergeCell ref="N103:P103"/>
    <mergeCell ref="Q103:S103"/>
    <mergeCell ref="T103:V103"/>
    <mergeCell ref="W110:W111"/>
    <mergeCell ref="W103:W104"/>
    <mergeCell ref="E105:G105"/>
    <mergeCell ref="H105:J105"/>
    <mergeCell ref="K105:M105"/>
    <mergeCell ref="N105:P105"/>
    <mergeCell ref="Q105:S105"/>
    <mergeCell ref="T105:V105"/>
    <mergeCell ref="W106:W107"/>
    <mergeCell ref="B117:C117"/>
    <mergeCell ref="E112:G112"/>
    <mergeCell ref="H112:J112"/>
    <mergeCell ref="K112:M112"/>
    <mergeCell ref="N112:P112"/>
    <mergeCell ref="Q112:S112"/>
    <mergeCell ref="T112:V112"/>
    <mergeCell ref="B114:C114"/>
    <mergeCell ref="E114:G114"/>
    <mergeCell ref="H114:J114"/>
    <mergeCell ref="K114:M114"/>
    <mergeCell ref="N114:P114"/>
    <mergeCell ref="Q114:S114"/>
    <mergeCell ref="T114:V114"/>
    <mergeCell ref="B125:B127"/>
    <mergeCell ref="B123:D124"/>
    <mergeCell ref="E123:G123"/>
    <mergeCell ref="H123:J123"/>
    <mergeCell ref="K123:M123"/>
    <mergeCell ref="N123:P123"/>
    <mergeCell ref="Q123:S123"/>
    <mergeCell ref="T123:V123"/>
    <mergeCell ref="B110:C112"/>
    <mergeCell ref="D110:D111"/>
    <mergeCell ref="E110:G110"/>
    <mergeCell ref="H110:J110"/>
    <mergeCell ref="K110:M110"/>
    <mergeCell ref="N110:P110"/>
    <mergeCell ref="Q110:S110"/>
    <mergeCell ref="T110:V110"/>
    <mergeCell ref="B115:C115"/>
    <mergeCell ref="B116:C116"/>
    <mergeCell ref="E116:G116"/>
    <mergeCell ref="H116:J116"/>
    <mergeCell ref="K116:M116"/>
    <mergeCell ref="N116:P116"/>
    <mergeCell ref="Q116:S116"/>
    <mergeCell ref="T116:V116"/>
    <mergeCell ref="W131:W132"/>
    <mergeCell ref="W125:W126"/>
    <mergeCell ref="E127:G127"/>
    <mergeCell ref="H127:J127"/>
    <mergeCell ref="K127:M127"/>
    <mergeCell ref="N127:P127"/>
    <mergeCell ref="Q127:S127"/>
    <mergeCell ref="T127:V127"/>
    <mergeCell ref="B128:B130"/>
    <mergeCell ref="C128:C130"/>
    <mergeCell ref="D128:D129"/>
    <mergeCell ref="E128:G128"/>
    <mergeCell ref="H128:J128"/>
    <mergeCell ref="K128:M128"/>
    <mergeCell ref="N128:P128"/>
    <mergeCell ref="Q128:S128"/>
    <mergeCell ref="T128:V128"/>
    <mergeCell ref="W128:W129"/>
    <mergeCell ref="E130:G130"/>
    <mergeCell ref="H130:J130"/>
    <mergeCell ref="K130:M130"/>
    <mergeCell ref="N130:P130"/>
    <mergeCell ref="Q130:S130"/>
    <mergeCell ref="T130:V130"/>
    <mergeCell ref="D134:D135"/>
    <mergeCell ref="E134:G134"/>
    <mergeCell ref="H134:J134"/>
    <mergeCell ref="K134:M134"/>
    <mergeCell ref="N134:P134"/>
    <mergeCell ref="Q134:S134"/>
    <mergeCell ref="T134:V134"/>
    <mergeCell ref="C125:C127"/>
    <mergeCell ref="D125:D126"/>
    <mergeCell ref="E125:G125"/>
    <mergeCell ref="H125:J125"/>
    <mergeCell ref="K125:M125"/>
    <mergeCell ref="N125:P125"/>
    <mergeCell ref="Q125:S125"/>
    <mergeCell ref="T125:V125"/>
    <mergeCell ref="W134:W135"/>
    <mergeCell ref="E136:G136"/>
    <mergeCell ref="H136:J136"/>
    <mergeCell ref="K136:M136"/>
    <mergeCell ref="N136:P136"/>
    <mergeCell ref="Q136:S136"/>
    <mergeCell ref="T136:V136"/>
    <mergeCell ref="B131:B133"/>
    <mergeCell ref="C131:C133"/>
    <mergeCell ref="D131:D132"/>
    <mergeCell ref="E131:G131"/>
    <mergeCell ref="H131:J131"/>
    <mergeCell ref="K131:M131"/>
    <mergeCell ref="N131:P131"/>
    <mergeCell ref="Q131:S131"/>
    <mergeCell ref="T131:V131"/>
    <mergeCell ref="E133:G133"/>
    <mergeCell ref="H133:J133"/>
    <mergeCell ref="K133:M133"/>
    <mergeCell ref="N133:P133"/>
    <mergeCell ref="Q133:S133"/>
    <mergeCell ref="T133:V133"/>
    <mergeCell ref="B134:B136"/>
    <mergeCell ref="C134:C136"/>
    <mergeCell ref="W137:W138"/>
    <mergeCell ref="E139:G139"/>
    <mergeCell ref="H139:J139"/>
    <mergeCell ref="K139:M139"/>
    <mergeCell ref="N139:P139"/>
    <mergeCell ref="Q139:S139"/>
    <mergeCell ref="T139:V139"/>
    <mergeCell ref="B140:B142"/>
    <mergeCell ref="C140:C142"/>
    <mergeCell ref="D140:D141"/>
    <mergeCell ref="E140:G140"/>
    <mergeCell ref="H140:J140"/>
    <mergeCell ref="K140:M140"/>
    <mergeCell ref="N140:P140"/>
    <mergeCell ref="Q140:S140"/>
    <mergeCell ref="T140:V140"/>
    <mergeCell ref="W140:W141"/>
    <mergeCell ref="E142:G142"/>
    <mergeCell ref="H142:J142"/>
    <mergeCell ref="K142:M142"/>
    <mergeCell ref="N142:P142"/>
    <mergeCell ref="Q142:S142"/>
    <mergeCell ref="T142:V142"/>
    <mergeCell ref="B137:B139"/>
    <mergeCell ref="C137:C139"/>
    <mergeCell ref="D137:D138"/>
    <mergeCell ref="E137:G137"/>
    <mergeCell ref="H137:J137"/>
    <mergeCell ref="K137:M137"/>
    <mergeCell ref="N137:P137"/>
    <mergeCell ref="Q137:S137"/>
    <mergeCell ref="T137:V137"/>
    <mergeCell ref="B147:C149"/>
    <mergeCell ref="D147:D148"/>
    <mergeCell ref="E147:G147"/>
    <mergeCell ref="H147:J147"/>
    <mergeCell ref="K147:M147"/>
    <mergeCell ref="N147:P147"/>
    <mergeCell ref="Q147:S147"/>
    <mergeCell ref="T147:V147"/>
    <mergeCell ref="B121:W121"/>
    <mergeCell ref="B151:C151"/>
    <mergeCell ref="E151:G151"/>
    <mergeCell ref="H151:J151"/>
    <mergeCell ref="K151:M151"/>
    <mergeCell ref="N151:P151"/>
    <mergeCell ref="Q151:S151"/>
    <mergeCell ref="T151:V151"/>
    <mergeCell ref="B152:C152"/>
    <mergeCell ref="W147:W148"/>
    <mergeCell ref="E149:G149"/>
    <mergeCell ref="H149:J149"/>
    <mergeCell ref="K149:M149"/>
    <mergeCell ref="N149:P149"/>
    <mergeCell ref="Q149:S149"/>
    <mergeCell ref="T149:V149"/>
    <mergeCell ref="K143:M143"/>
    <mergeCell ref="N143:P143"/>
    <mergeCell ref="Q143:S143"/>
    <mergeCell ref="T143:V143"/>
    <mergeCell ref="W143:W144"/>
    <mergeCell ref="E145:G145"/>
    <mergeCell ref="H145:J145"/>
    <mergeCell ref="K145:M145"/>
    <mergeCell ref="B153:C153"/>
    <mergeCell ref="E153:G153"/>
    <mergeCell ref="H153:J153"/>
    <mergeCell ref="K153:M153"/>
    <mergeCell ref="N153:P153"/>
    <mergeCell ref="Q153:S153"/>
    <mergeCell ref="T153:V153"/>
    <mergeCell ref="B154:C154"/>
    <mergeCell ref="B143:B145"/>
    <mergeCell ref="C143:C145"/>
    <mergeCell ref="D143:D144"/>
    <mergeCell ref="E143:G143"/>
    <mergeCell ref="H143:J143"/>
    <mergeCell ref="N145:P145"/>
    <mergeCell ref="Q145:S145"/>
    <mergeCell ref="T145:V145"/>
  </mergeCells>
  <phoneticPr fontId="28" type="noConversion"/>
  <printOptions horizontalCentered="1"/>
  <pageMargins left="0.51181102362204722" right="0.51181102362204722" top="0.78740157480314965" bottom="0.78740157480314965" header="0.31496062992125984" footer="0.31496062992125984"/>
  <pageSetup paperSize="9" scale="45" firstPageNumber="0" orientation="landscape" r:id="rId1"/>
  <headerFooter>
    <oddFooter>Página &amp;P de &amp;N</oddFooter>
  </headerFooter>
  <rowBreaks count="3" manualBreakCount="3">
    <brk id="48" min="1" max="22" man="1"/>
    <brk id="85" min="1" max="22" man="1"/>
    <brk id="122" min="1" max="22" man="1"/>
  </rowBreaks>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E6021"/>
  <sheetViews>
    <sheetView view="pageBreakPreview" zoomScale="80" zoomScaleNormal="90" zoomScaleSheetLayoutView="80" workbookViewId="0">
      <selection activeCell="C959" sqref="C959"/>
    </sheetView>
  </sheetViews>
  <sheetFormatPr defaultColWidth="11.7109375" defaultRowHeight="12.75" customHeight="1"/>
  <cols>
    <col min="1" max="1" width="12.28515625" style="458" customWidth="1"/>
    <col min="2" max="2" width="149.140625" style="394" customWidth="1"/>
    <col min="3" max="3" width="11.42578125" style="459" customWidth="1"/>
    <col min="4" max="4" width="10.140625" style="384" bestFit="1" customWidth="1"/>
    <col min="5" max="5" width="16.5703125" style="460" bestFit="1" customWidth="1"/>
    <col min="6" max="6" width="15" style="394" bestFit="1" customWidth="1"/>
    <col min="7" max="7" width="15" style="356" hidden="1" customWidth="1"/>
    <col min="8" max="8" width="14.42578125" style="341" hidden="1" customWidth="1"/>
    <col min="9" max="9" width="11.140625" style="341" hidden="1" customWidth="1"/>
    <col min="10" max="10" width="10" style="342" hidden="1" customWidth="1"/>
    <col min="11" max="11" width="11.7109375" style="342" hidden="1" customWidth="1"/>
    <col min="12" max="12" width="12.42578125" style="342" hidden="1" customWidth="1"/>
    <col min="13" max="13" width="12" style="342" hidden="1" customWidth="1"/>
    <col min="14" max="14" width="10.5703125" style="343" hidden="1" customWidth="1"/>
    <col min="15" max="15" width="6.7109375" style="343" hidden="1" customWidth="1"/>
    <col min="16" max="16" width="8" style="344" hidden="1" customWidth="1"/>
    <col min="17" max="17" width="12.28515625" style="344" hidden="1" customWidth="1"/>
    <col min="18" max="18" width="17" style="342" hidden="1" customWidth="1"/>
    <col min="19" max="19" width="4.28515625" style="342" hidden="1" customWidth="1"/>
    <col min="20" max="21" width="11.28515625" style="342" hidden="1" customWidth="1"/>
    <col min="22" max="22" width="6.5703125" style="342" hidden="1" customWidth="1"/>
    <col min="23" max="23" width="0" style="345" hidden="1" customWidth="1"/>
    <col min="24" max="24" width="9.85546875" style="345" hidden="1" customWidth="1"/>
    <col min="25" max="25" width="8.85546875" style="345" hidden="1" customWidth="1"/>
    <col min="26" max="29" width="11.7109375" style="345" customWidth="1"/>
    <col min="30" max="16384" width="11.7109375" style="345"/>
  </cols>
  <sheetData>
    <row r="1" spans="1:25" s="346" customFormat="1" ht="12.75" customHeight="1">
      <c r="A1" s="874" t="str">
        <f>IV.A!A1</f>
        <v>TIMBRE LICITANTE</v>
      </c>
      <c r="B1" s="875"/>
      <c r="C1" s="875"/>
      <c r="D1" s="875"/>
      <c r="E1" s="875"/>
      <c r="F1" s="876"/>
      <c r="G1" s="340"/>
      <c r="H1" s="340"/>
      <c r="I1" s="341"/>
      <c r="J1" s="342"/>
      <c r="K1" s="342"/>
      <c r="L1" s="342"/>
      <c r="M1" s="342"/>
      <c r="N1" s="343"/>
      <c r="O1" s="343"/>
      <c r="P1" s="344"/>
      <c r="Q1" s="344"/>
      <c r="R1" s="341"/>
      <c r="S1" s="341"/>
      <c r="T1" s="342"/>
      <c r="U1" s="342"/>
      <c r="V1" s="342"/>
      <c r="W1" s="345"/>
      <c r="X1" s="345"/>
      <c r="Y1" s="345"/>
    </row>
    <row r="2" spans="1:25" s="346" customFormat="1" ht="12.75" customHeight="1">
      <c r="A2" s="877"/>
      <c r="B2" s="878"/>
      <c r="C2" s="878"/>
      <c r="D2" s="878"/>
      <c r="E2" s="878"/>
      <c r="F2" s="879"/>
      <c r="G2" s="347"/>
      <c r="H2" s="348"/>
      <c r="I2" s="341"/>
      <c r="J2" s="342"/>
      <c r="K2" s="342"/>
      <c r="L2" s="342"/>
      <c r="M2" s="342"/>
      <c r="N2" s="343"/>
      <c r="O2" s="343"/>
      <c r="P2" s="344"/>
      <c r="Q2" s="344"/>
      <c r="R2" s="341"/>
      <c r="S2" s="341"/>
      <c r="T2" s="342"/>
      <c r="U2" s="342"/>
      <c r="V2" s="342"/>
      <c r="W2" s="345"/>
      <c r="X2" s="345"/>
      <c r="Y2" s="345"/>
    </row>
    <row r="3" spans="1:25" s="346" customFormat="1" ht="15" customHeight="1">
      <c r="A3" s="877"/>
      <c r="B3" s="878"/>
      <c r="C3" s="878"/>
      <c r="D3" s="878"/>
      <c r="E3" s="878"/>
      <c r="F3" s="879"/>
      <c r="G3" s="347"/>
      <c r="H3" s="348"/>
      <c r="I3" s="341"/>
      <c r="J3" s="342"/>
      <c r="K3" s="342"/>
      <c r="L3" s="342"/>
      <c r="M3" s="342"/>
      <c r="N3" s="343"/>
      <c r="O3" s="343"/>
      <c r="P3" s="344"/>
      <c r="Q3" s="344"/>
      <c r="R3" s="341"/>
      <c r="S3" s="341"/>
      <c r="T3" s="342"/>
      <c r="U3" s="342"/>
      <c r="V3" s="342"/>
      <c r="W3" s="345"/>
      <c r="X3" s="345"/>
      <c r="Y3" s="345"/>
    </row>
    <row r="4" spans="1:25" s="346" customFormat="1">
      <c r="A4" s="877"/>
      <c r="B4" s="878"/>
      <c r="C4" s="878"/>
      <c r="D4" s="878"/>
      <c r="E4" s="878"/>
      <c r="F4" s="879"/>
      <c r="G4" s="347"/>
      <c r="H4" s="348"/>
      <c r="I4" s="341"/>
      <c r="J4" s="342"/>
      <c r="K4" s="342"/>
      <c r="L4" s="342"/>
      <c r="M4" s="342"/>
      <c r="N4" s="343"/>
      <c r="O4" s="343"/>
      <c r="P4" s="344"/>
      <c r="Q4" s="344"/>
      <c r="R4" s="341"/>
      <c r="S4" s="341"/>
      <c r="T4" s="342"/>
      <c r="U4" s="342"/>
      <c r="V4" s="342"/>
      <c r="W4" s="345"/>
      <c r="X4" s="345"/>
      <c r="Y4" s="345"/>
    </row>
    <row r="5" spans="1:25" s="346" customFormat="1" ht="15.75">
      <c r="A5" s="880"/>
      <c r="B5" s="881"/>
      <c r="C5" s="881"/>
      <c r="D5" s="881"/>
      <c r="E5" s="881"/>
      <c r="F5" s="882"/>
      <c r="G5" s="349"/>
      <c r="H5" s="350"/>
      <c r="I5" s="341"/>
      <c r="J5" s="342"/>
      <c r="K5" s="342"/>
      <c r="L5" s="342"/>
      <c r="M5" s="342"/>
      <c r="N5" s="343"/>
      <c r="O5" s="343"/>
      <c r="P5" s="344"/>
      <c r="Q5" s="344"/>
      <c r="R5" s="341"/>
      <c r="S5" s="341"/>
      <c r="T5" s="342"/>
      <c r="U5" s="342"/>
      <c r="V5" s="342"/>
      <c r="W5" s="345"/>
      <c r="X5" s="345"/>
      <c r="Y5" s="345"/>
    </row>
    <row r="6" spans="1:25" s="351" customFormat="1" ht="30" customHeight="1" thickBot="1">
      <c r="A6" s="888" t="str">
        <f>IV.A!$A$7</f>
        <v>EXECUÇÃO DE SERVIÇO DE REFORMA CIVIL, CONSTRUÇÕES E MANUTENÇÕES GERAIS  PARA MELHORIAS NAS ÁREAS DE PROPRIEDADE E/OU DE RESPONSABILIDADE DO SEMAE.</v>
      </c>
      <c r="B6" s="889"/>
      <c r="C6" s="889"/>
      <c r="D6" s="889"/>
      <c r="E6" s="889"/>
      <c r="F6" s="890"/>
      <c r="G6" s="10"/>
      <c r="H6" s="10"/>
      <c r="I6" s="341"/>
      <c r="J6" s="342"/>
      <c r="K6" s="342"/>
      <c r="L6" s="342"/>
      <c r="M6" s="342"/>
      <c r="N6" s="343"/>
      <c r="O6" s="343"/>
      <c r="P6" s="344"/>
      <c r="Q6" s="344"/>
      <c r="R6" s="341"/>
      <c r="S6" s="341"/>
      <c r="T6" s="342"/>
      <c r="U6" s="342"/>
      <c r="V6" s="342"/>
      <c r="W6" s="345"/>
      <c r="X6" s="345"/>
      <c r="Y6" s="345"/>
    </row>
    <row r="7" spans="1:25" s="351" customFormat="1" ht="15" customHeight="1">
      <c r="A7" s="893" t="s">
        <v>141</v>
      </c>
      <c r="B7" s="894"/>
      <c r="C7" s="895"/>
      <c r="D7" s="12">
        <f>IX.A!$C$45</f>
        <v>0</v>
      </c>
      <c r="E7" s="891" t="s">
        <v>697</v>
      </c>
      <c r="F7" s="886">
        <f ca="1">IV.A!L8</f>
        <v>46175</v>
      </c>
      <c r="G7" s="352"/>
      <c r="H7" s="353"/>
      <c r="I7" s="341"/>
      <c r="J7" s="342"/>
      <c r="K7" s="342"/>
      <c r="L7" s="342"/>
      <c r="M7" s="342"/>
      <c r="N7" s="343"/>
      <c r="O7" s="343"/>
      <c r="P7" s="344"/>
      <c r="Q7" s="344"/>
      <c r="R7" s="341"/>
      <c r="S7" s="341"/>
      <c r="T7" s="342"/>
      <c r="U7" s="342"/>
      <c r="V7" s="342"/>
      <c r="W7" s="345"/>
      <c r="X7" s="345"/>
      <c r="Y7" s="345"/>
    </row>
    <row r="8" spans="1:25" s="351" customFormat="1" ht="15" customHeight="1" thickBot="1">
      <c r="A8" s="896" t="s">
        <v>53</v>
      </c>
      <c r="B8" s="897"/>
      <c r="C8" s="898"/>
      <c r="D8" s="13">
        <f>VIII.A!$C$29</f>
        <v>0</v>
      </c>
      <c r="E8" s="892"/>
      <c r="F8" s="887"/>
      <c r="G8" s="354"/>
      <c r="H8" s="355"/>
      <c r="I8" s="341"/>
      <c r="J8" s="342"/>
      <c r="K8" s="342"/>
      <c r="L8" s="342"/>
      <c r="M8" s="342"/>
      <c r="N8" s="343"/>
      <c r="O8" s="343"/>
      <c r="P8" s="344"/>
      <c r="Q8" s="344"/>
      <c r="R8" s="341"/>
      <c r="S8" s="341"/>
      <c r="T8" s="342"/>
      <c r="U8" s="342"/>
      <c r="V8" s="342"/>
      <c r="W8" s="345"/>
      <c r="X8" s="345"/>
      <c r="Y8" s="345"/>
    </row>
    <row r="9" spans="1:25" s="351" customFormat="1" ht="25.5" customHeight="1" thickBot="1">
      <c r="A9" s="883" t="s">
        <v>942</v>
      </c>
      <c r="B9" s="884"/>
      <c r="C9" s="884"/>
      <c r="D9" s="884"/>
      <c r="E9" s="884"/>
      <c r="F9" s="885"/>
      <c r="G9" s="356"/>
      <c r="H9" s="356"/>
      <c r="I9" s="341"/>
      <c r="J9" s="342"/>
      <c r="K9" s="342"/>
      <c r="L9" s="342"/>
      <c r="M9" s="342"/>
      <c r="N9" s="343"/>
      <c r="O9" s="343"/>
      <c r="P9" s="344"/>
      <c r="Q9" s="344"/>
      <c r="R9" s="341"/>
      <c r="S9" s="341"/>
      <c r="T9" s="342"/>
      <c r="U9" s="342"/>
      <c r="V9" s="342"/>
      <c r="W9" s="345"/>
      <c r="X9" s="345"/>
      <c r="Y9" s="345"/>
    </row>
    <row r="10" spans="1:25" ht="12.75" customHeight="1" thickBot="1">
      <c r="A10" s="357"/>
      <c r="B10" s="358"/>
      <c r="C10" s="359"/>
      <c r="D10" s="359"/>
      <c r="E10" s="360"/>
      <c r="F10" s="358"/>
      <c r="G10" s="1"/>
      <c r="H10" s="361"/>
      <c r="I10" s="361"/>
      <c r="J10" s="361"/>
      <c r="K10" s="361"/>
      <c r="L10" s="362"/>
      <c r="M10" s="363"/>
      <c r="O10" s="364"/>
      <c r="Q10" s="365"/>
      <c r="R10" s="364"/>
      <c r="S10" s="366"/>
      <c r="T10" s="367"/>
      <c r="U10" s="341"/>
      <c r="V10" s="368"/>
      <c r="W10" s="369"/>
      <c r="X10" s="369"/>
      <c r="Y10" s="369"/>
    </row>
    <row r="11" spans="1:25" ht="30" customHeight="1">
      <c r="A11" s="370" t="str">
        <f>IV.A!$A$16</f>
        <v>1.1</v>
      </c>
      <c r="B11" s="371" t="str">
        <f>IV.A!$B$16</f>
        <v>CANTEIRO DE OBRAS (ITEM 6.0 DO TERMO DE REFERÊNCIA)</v>
      </c>
      <c r="C11" s="871" t="s">
        <v>237</v>
      </c>
      <c r="D11" s="872"/>
      <c r="E11" s="372" t="str">
        <f>IV.A!$C$16</f>
        <v>GB</v>
      </c>
      <c r="F11" s="11">
        <f>ROUND(F31+F45+F57,2)</f>
        <v>0</v>
      </c>
      <c r="G11" s="1">
        <f>VLOOKUP(A11,IV.A!$A$16:$L$172,4,FALSE)</f>
        <v>1</v>
      </c>
      <c r="H11" s="361">
        <f>SUM(F13:F28)+F30</f>
        <v>0</v>
      </c>
      <c r="I11" s="361">
        <f>SUM(F33:F42)+F44</f>
        <v>0</v>
      </c>
      <c r="J11" s="361">
        <f>SUM(F47:F53)+F55+F56</f>
        <v>0</v>
      </c>
      <c r="K11" s="361">
        <f>SUM(H11:J11)</f>
        <v>0</v>
      </c>
      <c r="L11" s="362" t="str">
        <f>IF(K11=F11,"SIM","NÃO")</f>
        <v>SIM</v>
      </c>
      <c r="M11" s="373">
        <f>ROUND(SUM(F13:F28),2)+ROUND(SUM(F13:F28)*C30,2)+ROUND(SUM(F33:F42)*C44,2)+ROUND(SUM(F33:F42),2)+ROUND(SUM(F47:F53)*C55,2)+ROUND((SUM(F47:F53)+ROUND(SUM(F47:F53)*C55,2))*C56,2)+ROUND(SUM(F47:F53),2)</f>
        <v>0</v>
      </c>
      <c r="N11" s="343" t="str">
        <f>IF(M11=F11,"SIM","NÃO")</f>
        <v>SIM</v>
      </c>
      <c r="O11" s="364" t="str">
        <f>VLOOKUP(A11,IV.A!$A$16:$E$172,3,FALSE)</f>
        <v>GB</v>
      </c>
      <c r="P11" s="344" t="str">
        <f>IF(O11=E11,"SIM","NÃO")</f>
        <v>SIM</v>
      </c>
      <c r="Q11" s="365">
        <f>ROUND(G11*F31,2)+ROUND(G11*F45,2)+ROUND(G11*F57,2)</f>
        <v>0</v>
      </c>
      <c r="R11" s="364">
        <f>VLOOKUP(A11,IV.A!$A$16:$L$172,12,FALSE)</f>
        <v>0</v>
      </c>
      <c r="S11" s="366" t="str">
        <f>IF(Q11=R11,"si","no")</f>
        <v>si</v>
      </c>
      <c r="T11" s="367">
        <f>SUM(L13:L28)+SUM(L33:L42)+SUM(L47:L53)</f>
        <v>21120</v>
      </c>
      <c r="U11" s="341">
        <f>(SUM(C13:C28)+SUM(C33:C42)+SUM(C47:C53))*G11</f>
        <v>21120</v>
      </c>
      <c r="V11" s="368" t="str">
        <f>IF(T11=U11,"si","no")</f>
        <v>si</v>
      </c>
      <c r="W11" s="369">
        <f>SUM(F13:F28)</f>
        <v>0</v>
      </c>
      <c r="X11" s="369">
        <f>SUM(F33:F42)</f>
        <v>0</v>
      </c>
      <c r="Y11" s="369">
        <f>SUM(F47:F53)</f>
        <v>0</v>
      </c>
    </row>
    <row r="12" spans="1:25" ht="12.75" customHeight="1">
      <c r="A12" s="374" t="s">
        <v>14</v>
      </c>
      <c r="B12" s="375" t="s">
        <v>132</v>
      </c>
      <c r="C12" s="376" t="s">
        <v>231</v>
      </c>
      <c r="D12" s="376" t="s">
        <v>232</v>
      </c>
      <c r="E12" s="377" t="s">
        <v>233</v>
      </c>
      <c r="F12" s="378" t="s">
        <v>234</v>
      </c>
      <c r="G12" s="379"/>
      <c r="J12" s="341"/>
      <c r="L12" s="380"/>
      <c r="M12" s="381"/>
      <c r="N12" s="342"/>
      <c r="O12" s="382"/>
      <c r="P12" s="383"/>
      <c r="Q12" s="383"/>
      <c r="R12" s="383"/>
      <c r="S12" s="383"/>
      <c r="T12" s="382"/>
      <c r="U12" s="341"/>
      <c r="V12" s="384"/>
      <c r="W12" s="384"/>
      <c r="X12" s="384"/>
      <c r="Y12" s="384"/>
    </row>
    <row r="13" spans="1:25" ht="12.75" customHeight="1">
      <c r="A13" s="385"/>
      <c r="B13" s="386"/>
      <c r="C13" s="20"/>
      <c r="D13" s="342"/>
      <c r="E13" s="387"/>
      <c r="F13" s="388">
        <f>ROUND(C13*E13,2)</f>
        <v>0</v>
      </c>
      <c r="H13" s="341" t="str">
        <f>IF(A13="","",VLOOKUP(A13,VII.A!$A$10:$D$199,4,FALSE))</f>
        <v/>
      </c>
      <c r="I13" s="341" t="str">
        <f>IF(A13="","",IF(E13=H13,"SIM","NÃO"))</f>
        <v/>
      </c>
      <c r="J13" s="341" t="str">
        <f>IF(A13="","",VLOOKUP(A13,VII.A!$A$10:$D$199,3,FALSE))</f>
        <v/>
      </c>
      <c r="K13" s="342" t="str">
        <f>IF(A13="","",IF(J13=D13,"SIM","NÃO"))</f>
        <v/>
      </c>
      <c r="L13" s="380" t="str">
        <f>IF(C13="","",G11*C13)</f>
        <v/>
      </c>
      <c r="M13" s="381" t="str">
        <f>IF(A13="","",VLOOKUP(A13,VII.A!$A$10:$B$199,2,FALSE))</f>
        <v/>
      </c>
      <c r="N13" s="342" t="str">
        <f>IF(B13="","",IF(M13=B13,"si","no"))</f>
        <v/>
      </c>
      <c r="R13" s="341"/>
      <c r="S13" s="341"/>
    </row>
    <row r="14" spans="1:25" ht="12.75" customHeight="1">
      <c r="A14" s="385"/>
      <c r="B14" s="386"/>
      <c r="C14" s="20"/>
      <c r="D14" s="342"/>
      <c r="E14" s="387"/>
      <c r="F14" s="388">
        <f t="shared" ref="F14:F28" si="0">ROUND(C14*E14,2)</f>
        <v>0</v>
      </c>
      <c r="H14" s="341" t="str">
        <f>IF(A14="","",VLOOKUP(A14,VII.A!$A$10:$D$199,4,FALSE))</f>
        <v/>
      </c>
      <c r="I14" s="341" t="str">
        <f t="shared" ref="I14:I28" si="1">IF(A14="","",IF(E14=H14,"SIM","NÃO"))</f>
        <v/>
      </c>
      <c r="J14" s="341" t="str">
        <f>IF(A14="","",VLOOKUP(A14,VII.A!$A$10:$D$199,3,FALSE))</f>
        <v/>
      </c>
      <c r="K14" s="342" t="str">
        <f t="shared" ref="K14:K28" si="2">IF(A14="","",IF(J14=D14,"SIM","NÃO"))</f>
        <v/>
      </c>
      <c r="L14" s="380" t="str">
        <f>IF(C14="","",G11*C14)</f>
        <v/>
      </c>
      <c r="M14" s="381" t="str">
        <f>IF(A14="","",VLOOKUP(A14,VII.A!$A$10:$B$199,2,FALSE))</f>
        <v/>
      </c>
      <c r="N14" s="342" t="str">
        <f t="shared" ref="N14:N28" si="3">IF(B14="","",IF(M14=B14,"si","no"))</f>
        <v/>
      </c>
      <c r="R14" s="341"/>
      <c r="S14" s="341"/>
    </row>
    <row r="15" spans="1:25" ht="12.75" customHeight="1">
      <c r="A15" s="385"/>
      <c r="B15" s="386"/>
      <c r="C15" s="20"/>
      <c r="D15" s="342"/>
      <c r="E15" s="387"/>
      <c r="F15" s="388">
        <f t="shared" si="0"/>
        <v>0</v>
      </c>
      <c r="H15" s="341" t="str">
        <f>IF(A15="","",VLOOKUP(A15,VII.A!$A$10:$D$199,4,FALSE))</f>
        <v/>
      </c>
      <c r="I15" s="341" t="str">
        <f t="shared" si="1"/>
        <v/>
      </c>
      <c r="J15" s="341" t="str">
        <f>IF(A15="","",VLOOKUP(A15,VII.A!$A$10:$D$199,3,FALSE))</f>
        <v/>
      </c>
      <c r="K15" s="342" t="str">
        <f t="shared" si="2"/>
        <v/>
      </c>
      <c r="L15" s="380" t="str">
        <f>IF(C15="","",G11*C15)</f>
        <v/>
      </c>
      <c r="M15" s="381" t="str">
        <f>IF(A15="","",VLOOKUP(A15,VII.A!$A$10:$B$199,2,FALSE))</f>
        <v/>
      </c>
      <c r="N15" s="342" t="str">
        <f t="shared" si="3"/>
        <v/>
      </c>
      <c r="R15" s="341"/>
      <c r="S15" s="341"/>
    </row>
    <row r="16" spans="1:25" ht="12.75" customHeight="1">
      <c r="A16" s="385"/>
      <c r="B16" s="386"/>
      <c r="C16" s="20"/>
      <c r="D16" s="342"/>
      <c r="E16" s="387"/>
      <c r="F16" s="388">
        <f t="shared" si="0"/>
        <v>0</v>
      </c>
      <c r="H16" s="341" t="str">
        <f>IF(A16="","",VLOOKUP(A16,VII.A!$A$10:$D$199,4,FALSE))</f>
        <v/>
      </c>
      <c r="I16" s="341" t="str">
        <f t="shared" si="1"/>
        <v/>
      </c>
      <c r="J16" s="341" t="str">
        <f>IF(A16="","",VLOOKUP(A16,VII.A!$A$10:$D$199,3,FALSE))</f>
        <v/>
      </c>
      <c r="K16" s="342" t="str">
        <f t="shared" si="2"/>
        <v/>
      </c>
      <c r="L16" s="380" t="str">
        <f>IF(C16="","",G11*C16)</f>
        <v/>
      </c>
      <c r="M16" s="381" t="str">
        <f>IF(A16="","",VLOOKUP(A16,VII.A!$A$10:$B$199,2,FALSE))</f>
        <v/>
      </c>
      <c r="N16" s="342" t="str">
        <f t="shared" si="3"/>
        <v/>
      </c>
      <c r="R16" s="341"/>
      <c r="S16" s="341"/>
    </row>
    <row r="17" spans="1:21" ht="12.75" customHeight="1">
      <c r="A17" s="385"/>
      <c r="B17" s="386"/>
      <c r="C17" s="20"/>
      <c r="D17" s="342"/>
      <c r="E17" s="387"/>
      <c r="F17" s="388">
        <f t="shared" si="0"/>
        <v>0</v>
      </c>
      <c r="H17" s="341" t="str">
        <f>IF(A17="","",VLOOKUP(A17,VII.A!$A$10:$D$199,4,FALSE))</f>
        <v/>
      </c>
      <c r="I17" s="341" t="str">
        <f t="shared" si="1"/>
        <v/>
      </c>
      <c r="J17" s="341" t="str">
        <f>IF(A17="","",VLOOKUP(A17,VII.A!$A$10:$D$199,3,FALSE))</f>
        <v/>
      </c>
      <c r="K17" s="342" t="str">
        <f t="shared" si="2"/>
        <v/>
      </c>
      <c r="L17" s="380" t="str">
        <f>IF(C17="","",G11*C17)</f>
        <v/>
      </c>
      <c r="M17" s="381" t="str">
        <f>IF(A17="","",VLOOKUP(A17,VII.A!$A$10:$B$199,2,FALSE))</f>
        <v/>
      </c>
      <c r="N17" s="342" t="str">
        <f t="shared" si="3"/>
        <v/>
      </c>
      <c r="R17" s="341"/>
      <c r="S17" s="341"/>
    </row>
    <row r="18" spans="1:21" ht="12.75" customHeight="1">
      <c r="A18" s="385"/>
      <c r="B18" s="386"/>
      <c r="C18" s="20"/>
      <c r="D18" s="342"/>
      <c r="E18" s="387"/>
      <c r="F18" s="388">
        <f t="shared" si="0"/>
        <v>0</v>
      </c>
      <c r="H18" s="341" t="str">
        <f>IF(A18="","",VLOOKUP(A18,VII.A!$A$10:$D$199,4,FALSE))</f>
        <v/>
      </c>
      <c r="I18" s="341" t="str">
        <f t="shared" si="1"/>
        <v/>
      </c>
      <c r="J18" s="341" t="str">
        <f>IF(A18="","",VLOOKUP(A18,VII.A!$A$10:$D$199,3,FALSE))</f>
        <v/>
      </c>
      <c r="K18" s="342" t="str">
        <f t="shared" si="2"/>
        <v/>
      </c>
      <c r="L18" s="380" t="str">
        <f>IF(C18="","",G11*C18)</f>
        <v/>
      </c>
      <c r="M18" s="381" t="str">
        <f>IF(A18="","",VLOOKUP(A18,VII.A!$A$10:$B$199,2,FALSE))</f>
        <v/>
      </c>
      <c r="N18" s="342" t="str">
        <f t="shared" si="3"/>
        <v/>
      </c>
      <c r="R18" s="341"/>
      <c r="S18" s="341"/>
      <c r="U18" s="389"/>
    </row>
    <row r="19" spans="1:21" ht="12.75" customHeight="1">
      <c r="A19" s="385"/>
      <c r="B19" s="386"/>
      <c r="C19" s="20"/>
      <c r="D19" s="342"/>
      <c r="E19" s="387"/>
      <c r="F19" s="388">
        <f t="shared" si="0"/>
        <v>0</v>
      </c>
      <c r="H19" s="341" t="str">
        <f>IF(A19="","",VLOOKUP(A19,VII.A!$A$10:$D$199,4,FALSE))</f>
        <v/>
      </c>
      <c r="I19" s="341" t="str">
        <f t="shared" si="1"/>
        <v/>
      </c>
      <c r="J19" s="341" t="str">
        <f>IF(A19="","",VLOOKUP(A19,VII.A!$A$10:$D$199,3,FALSE))</f>
        <v/>
      </c>
      <c r="K19" s="342" t="str">
        <f t="shared" si="2"/>
        <v/>
      </c>
      <c r="L19" s="380" t="str">
        <f>IF(C19="","",G11*C19)</f>
        <v/>
      </c>
      <c r="M19" s="381" t="str">
        <f>IF(A19="","",VLOOKUP(A19,VII.A!$A$10:$B$199,2,FALSE))</f>
        <v/>
      </c>
      <c r="N19" s="342" t="str">
        <f t="shared" si="3"/>
        <v/>
      </c>
      <c r="R19" s="341"/>
      <c r="S19" s="341"/>
    </row>
    <row r="20" spans="1:21" ht="12.75" customHeight="1">
      <c r="A20" s="385"/>
      <c r="B20" s="386"/>
      <c r="C20" s="20"/>
      <c r="D20" s="342"/>
      <c r="E20" s="387"/>
      <c r="F20" s="388">
        <f t="shared" si="0"/>
        <v>0</v>
      </c>
      <c r="G20" s="390"/>
      <c r="H20" s="341" t="str">
        <f>IF(A20="","",VLOOKUP(A20,VII.A!$A$10:$D$199,4,FALSE))</f>
        <v/>
      </c>
      <c r="I20" s="341" t="str">
        <f t="shared" si="1"/>
        <v/>
      </c>
      <c r="J20" s="341" t="str">
        <f>IF(A20="","",VLOOKUP(A20,VII.A!$A$10:$D$199,3,FALSE))</f>
        <v/>
      </c>
      <c r="K20" s="342" t="str">
        <f t="shared" si="2"/>
        <v/>
      </c>
      <c r="L20" s="380" t="str">
        <f>IF(C20="","",G11*C20)</f>
        <v/>
      </c>
      <c r="M20" s="381" t="str">
        <f>IF(A20="","",VLOOKUP(A20,VII.A!$A$10:$B$199,2,FALSE))</f>
        <v/>
      </c>
      <c r="N20" s="342" t="str">
        <f t="shared" si="3"/>
        <v/>
      </c>
      <c r="R20" s="341"/>
      <c r="S20" s="341"/>
    </row>
    <row r="21" spans="1:21" ht="12.75" customHeight="1">
      <c r="A21" s="385"/>
      <c r="B21" s="386"/>
      <c r="C21" s="20"/>
      <c r="D21" s="342"/>
      <c r="E21" s="387"/>
      <c r="F21" s="388">
        <f t="shared" si="0"/>
        <v>0</v>
      </c>
      <c r="G21" s="390"/>
      <c r="H21" s="341" t="str">
        <f>IF(A21="","",VLOOKUP(A21,VII.A!$A$10:$D$199,4,FALSE))</f>
        <v/>
      </c>
      <c r="I21" s="341" t="str">
        <f t="shared" si="1"/>
        <v/>
      </c>
      <c r="J21" s="341" t="str">
        <f>IF(A21="","",VLOOKUP(A21,VII.A!$A$10:$D$199,3,FALSE))</f>
        <v/>
      </c>
      <c r="K21" s="342" t="str">
        <f t="shared" si="2"/>
        <v/>
      </c>
      <c r="L21" s="380" t="str">
        <f>IF(C21="","",G11*C21)</f>
        <v/>
      </c>
      <c r="M21" s="381" t="str">
        <f>IF(A21="","",VLOOKUP(A21,VII.A!$A$10:$B$199,2,FALSE))</f>
        <v/>
      </c>
      <c r="N21" s="342" t="str">
        <f t="shared" si="3"/>
        <v/>
      </c>
      <c r="R21" s="341"/>
      <c r="S21" s="341"/>
    </row>
    <row r="22" spans="1:21" ht="12.75" customHeight="1">
      <c r="A22" s="385"/>
      <c r="B22" s="386"/>
      <c r="C22" s="20"/>
      <c r="D22" s="342"/>
      <c r="E22" s="387"/>
      <c r="F22" s="388">
        <f t="shared" si="0"/>
        <v>0</v>
      </c>
      <c r="G22" s="391"/>
      <c r="H22" s="341" t="str">
        <f>IF(A22="","",VLOOKUP(A22,VII.A!$A$10:$D$199,4,FALSE))</f>
        <v/>
      </c>
      <c r="I22" s="341" t="str">
        <f t="shared" si="1"/>
        <v/>
      </c>
      <c r="J22" s="341" t="str">
        <f>IF(A22="","",VLOOKUP(A22,VII.A!$A$10:$D$199,3,FALSE))</f>
        <v/>
      </c>
      <c r="K22" s="342" t="str">
        <f t="shared" si="2"/>
        <v/>
      </c>
      <c r="L22" s="380" t="str">
        <f>IF(C22="","",G11*C22)</f>
        <v/>
      </c>
      <c r="M22" s="381" t="str">
        <f>IF(A22="","",VLOOKUP(A22,VII.A!$A$10:$B$199,2,FALSE))</f>
        <v/>
      </c>
      <c r="N22" s="342" t="str">
        <f t="shared" si="3"/>
        <v/>
      </c>
      <c r="R22" s="341"/>
      <c r="S22" s="341"/>
    </row>
    <row r="23" spans="1:21" ht="12.75" customHeight="1">
      <c r="A23" s="385"/>
      <c r="B23" s="386"/>
      <c r="C23" s="20"/>
      <c r="D23" s="342"/>
      <c r="E23" s="387"/>
      <c r="F23" s="388">
        <f t="shared" si="0"/>
        <v>0</v>
      </c>
      <c r="H23" s="341" t="str">
        <f>IF(A23="","",VLOOKUP(A23,VII.A!$A$10:$D$199,4,FALSE))</f>
        <v/>
      </c>
      <c r="I23" s="341" t="str">
        <f t="shared" si="1"/>
        <v/>
      </c>
      <c r="J23" s="341" t="str">
        <f>IF(A23="","",VLOOKUP(A23,VII.A!$A$10:$D$199,3,FALSE))</f>
        <v/>
      </c>
      <c r="K23" s="342" t="str">
        <f t="shared" si="2"/>
        <v/>
      </c>
      <c r="L23" s="380" t="str">
        <f>IF(C23="","",G11*C23)</f>
        <v/>
      </c>
      <c r="M23" s="381" t="str">
        <f>IF(A23="","",VLOOKUP(A23,VII.A!$A$10:$B$199,2,FALSE))</f>
        <v/>
      </c>
      <c r="N23" s="342" t="str">
        <f t="shared" si="3"/>
        <v/>
      </c>
      <c r="R23" s="341"/>
      <c r="S23" s="341"/>
    </row>
    <row r="24" spans="1:21" ht="12.75" customHeight="1">
      <c r="A24" s="385"/>
      <c r="B24" s="386"/>
      <c r="C24" s="20"/>
      <c r="D24" s="392"/>
      <c r="E24" s="387"/>
      <c r="F24" s="388">
        <f t="shared" si="0"/>
        <v>0</v>
      </c>
      <c r="H24" s="341" t="str">
        <f>IF(A24="","",VLOOKUP(A24,VII.A!$A$10:$D$199,4,FALSE))</f>
        <v/>
      </c>
      <c r="I24" s="341" t="str">
        <f t="shared" si="1"/>
        <v/>
      </c>
      <c r="J24" s="341" t="str">
        <f>IF(A24="","",VLOOKUP(A24,VII.A!$A$10:$D$199,3,FALSE))</f>
        <v/>
      </c>
      <c r="K24" s="342" t="str">
        <f t="shared" si="2"/>
        <v/>
      </c>
      <c r="L24" s="380" t="str">
        <f>IF(C24="","",G11*C24)</f>
        <v/>
      </c>
      <c r="M24" s="381" t="str">
        <f>IF(A24="","",VLOOKUP(A24,VII.A!$A$10:$B$199,2,FALSE))</f>
        <v/>
      </c>
      <c r="N24" s="342" t="str">
        <f t="shared" si="3"/>
        <v/>
      </c>
      <c r="R24" s="341"/>
      <c r="S24" s="341"/>
    </row>
    <row r="25" spans="1:21" ht="12.75" customHeight="1">
      <c r="A25" s="385"/>
      <c r="B25" s="386"/>
      <c r="C25" s="20"/>
      <c r="D25" s="392"/>
      <c r="E25" s="387"/>
      <c r="F25" s="388">
        <f t="shared" si="0"/>
        <v>0</v>
      </c>
      <c r="H25" s="341" t="str">
        <f>IF(A25="","",VLOOKUP(A25,VII.A!$A$10:$D$199,4,FALSE))</f>
        <v/>
      </c>
      <c r="I25" s="341" t="str">
        <f t="shared" si="1"/>
        <v/>
      </c>
      <c r="J25" s="341" t="str">
        <f>IF(A25="","",VLOOKUP(A25,VII.A!$A$10:$D$199,3,FALSE))</f>
        <v/>
      </c>
      <c r="K25" s="342" t="str">
        <f t="shared" si="2"/>
        <v/>
      </c>
      <c r="L25" s="380" t="str">
        <f>IF(C25="","",G11*C25)</f>
        <v/>
      </c>
      <c r="M25" s="381" t="str">
        <f>IF(A25="","",VLOOKUP(A25,VII.A!$A$10:$B$199,2,FALSE))</f>
        <v/>
      </c>
      <c r="N25" s="342" t="str">
        <f t="shared" si="3"/>
        <v/>
      </c>
      <c r="O25" s="342"/>
      <c r="R25" s="341"/>
      <c r="S25" s="341"/>
    </row>
    <row r="26" spans="1:21" ht="12.75" customHeight="1">
      <c r="A26" s="385"/>
      <c r="B26" s="386"/>
      <c r="C26" s="20"/>
      <c r="D26" s="392"/>
      <c r="E26" s="387"/>
      <c r="F26" s="388">
        <f t="shared" si="0"/>
        <v>0</v>
      </c>
      <c r="H26" s="341" t="str">
        <f>IF(A26="","",VLOOKUP(A26,VII.A!$A$10:$D$199,4,FALSE))</f>
        <v/>
      </c>
      <c r="I26" s="341" t="str">
        <f t="shared" si="1"/>
        <v/>
      </c>
      <c r="J26" s="341" t="str">
        <f>IF(A26="","",VLOOKUP(A26,VII.A!$A$10:$D$199,3,FALSE))</f>
        <v/>
      </c>
      <c r="K26" s="342" t="str">
        <f t="shared" si="2"/>
        <v/>
      </c>
      <c r="L26" s="380" t="str">
        <f>IF(C26="","",G11*C26)</f>
        <v/>
      </c>
      <c r="M26" s="381" t="str">
        <f>IF(A26="","",VLOOKUP(A26,VII.A!$A$10:$B$199,2,FALSE))</f>
        <v/>
      </c>
      <c r="N26" s="342" t="str">
        <f t="shared" si="3"/>
        <v/>
      </c>
      <c r="R26" s="341"/>
      <c r="S26" s="341"/>
    </row>
    <row r="27" spans="1:21" ht="12.75" customHeight="1">
      <c r="A27" s="393"/>
      <c r="C27" s="20"/>
      <c r="E27" s="387"/>
      <c r="F27" s="388">
        <f t="shared" si="0"/>
        <v>0</v>
      </c>
      <c r="H27" s="341" t="str">
        <f>IF(A27="","",VLOOKUP(A27,VII.A!$A$10:$D$199,4,FALSE))</f>
        <v/>
      </c>
      <c r="I27" s="341" t="str">
        <f t="shared" si="1"/>
        <v/>
      </c>
      <c r="J27" s="341" t="str">
        <f>IF(A27="","",VLOOKUP(A27,VII.A!$A$10:$D$199,3,FALSE))</f>
        <v/>
      </c>
      <c r="K27" s="342" t="str">
        <f t="shared" si="2"/>
        <v/>
      </c>
      <c r="L27" s="380" t="str">
        <f>IF(C27="","",G11*C27)</f>
        <v/>
      </c>
      <c r="M27" s="381" t="str">
        <f>IF(A27="","",VLOOKUP(A27,VII.A!$A$10:$B$199,2,FALSE))</f>
        <v/>
      </c>
      <c r="N27" s="342" t="str">
        <f t="shared" si="3"/>
        <v/>
      </c>
      <c r="R27" s="341"/>
      <c r="S27" s="341"/>
    </row>
    <row r="28" spans="1:21" ht="12.75" customHeight="1">
      <c r="A28" s="393"/>
      <c r="C28" s="20"/>
      <c r="E28" s="387"/>
      <c r="F28" s="388">
        <f t="shared" si="0"/>
        <v>0</v>
      </c>
      <c r="H28" s="341" t="str">
        <f>IF(A28="","",VLOOKUP(A28,VII.A!$A$10:$D$199,4,FALSE))</f>
        <v/>
      </c>
      <c r="I28" s="341" t="str">
        <f t="shared" si="1"/>
        <v/>
      </c>
      <c r="J28" s="341" t="str">
        <f>IF(A28="","",VLOOKUP(A28,VII.A!$A$10:$D$199,3,FALSE))</f>
        <v/>
      </c>
      <c r="K28" s="342" t="str">
        <f t="shared" si="2"/>
        <v/>
      </c>
      <c r="L28" s="380" t="str">
        <f>IF(C28="","",G11*C28)</f>
        <v/>
      </c>
      <c r="M28" s="381" t="str">
        <f>IF(A28="","",VLOOKUP(A28,VII.A!$A$10:$B$199,2,FALSE))</f>
        <v/>
      </c>
      <c r="N28" s="342" t="str">
        <f t="shared" si="3"/>
        <v/>
      </c>
      <c r="R28" s="341"/>
      <c r="S28" s="341"/>
    </row>
    <row r="29" spans="1:21" ht="12.75" customHeight="1">
      <c r="A29" s="393"/>
      <c r="B29" s="395" t="s">
        <v>226</v>
      </c>
      <c r="C29" s="396"/>
      <c r="D29" s="397"/>
      <c r="E29" s="398"/>
      <c r="F29" s="399">
        <f>SUM(F13:F28)</f>
        <v>0</v>
      </c>
      <c r="J29" s="341"/>
      <c r="L29" s="380"/>
      <c r="M29" s="381"/>
      <c r="N29" s="342"/>
      <c r="R29" s="341"/>
      <c r="S29" s="341"/>
    </row>
    <row r="30" spans="1:21" ht="12.75" customHeight="1">
      <c r="A30" s="393"/>
      <c r="B30" s="400" t="s">
        <v>53</v>
      </c>
      <c r="C30" s="2">
        <f>$D$8</f>
        <v>0</v>
      </c>
      <c r="D30" s="401"/>
      <c r="E30" s="402"/>
      <c r="F30" s="403">
        <f>ROUND(F29*C30,2)</f>
        <v>0</v>
      </c>
      <c r="J30" s="341"/>
      <c r="L30" s="380"/>
      <c r="M30" s="381"/>
      <c r="N30" s="342"/>
      <c r="R30" s="341"/>
      <c r="S30" s="341"/>
    </row>
    <row r="31" spans="1:21" ht="12.75" customHeight="1">
      <c r="A31" s="404"/>
      <c r="B31" s="405" t="s">
        <v>227</v>
      </c>
      <c r="C31" s="406"/>
      <c r="D31" s="406"/>
      <c r="E31" s="407"/>
      <c r="F31" s="408">
        <f>F29+F30</f>
        <v>0</v>
      </c>
      <c r="J31" s="341"/>
      <c r="L31" s="380"/>
      <c r="M31" s="381"/>
      <c r="N31" s="342"/>
      <c r="R31" s="341"/>
      <c r="S31" s="341"/>
    </row>
    <row r="32" spans="1:21" ht="12.75" customHeight="1">
      <c r="A32" s="374" t="s">
        <v>2</v>
      </c>
      <c r="B32" s="375" t="s">
        <v>235</v>
      </c>
      <c r="C32" s="376" t="s">
        <v>231</v>
      </c>
      <c r="D32" s="376" t="s">
        <v>232</v>
      </c>
      <c r="E32" s="377" t="s">
        <v>233</v>
      </c>
      <c r="F32" s="378" t="s">
        <v>234</v>
      </c>
      <c r="J32" s="341"/>
      <c r="L32" s="380"/>
      <c r="M32" s="381"/>
      <c r="N32" s="342"/>
      <c r="R32" s="341"/>
      <c r="S32" s="341"/>
    </row>
    <row r="33" spans="1:19" ht="12.75" customHeight="1">
      <c r="A33" s="393" t="str">
        <f>VII.A!$A$145</f>
        <v>2.3</v>
      </c>
      <c r="B33" s="394" t="str">
        <f>VLOOKUP(A33,VII.A!$A$10:$G$199,2,FALSE)</f>
        <v>VEÍCULO LEVE 4 PORTAS - 65 A 80 CV</v>
      </c>
      <c r="C33" s="463">
        <f>C48*0.2</f>
        <v>844.80000000000007</v>
      </c>
      <c r="D33" s="384" t="str">
        <f>VLOOKUP(A33,VII.A!$A$10:$G$199,3,FALSE)</f>
        <v>CHP</v>
      </c>
      <c r="E33" s="387">
        <f>VII.A!D145</f>
        <v>0</v>
      </c>
      <c r="F33" s="388">
        <f>ROUND(C33*E33,2)</f>
        <v>0</v>
      </c>
      <c r="H33" s="341">
        <f>IF(A33="","",VLOOKUP(A33,VII.A!$A$10:$D$199,4,FALSE))</f>
        <v>0</v>
      </c>
      <c r="I33" s="341" t="str">
        <f>IF(A33="","",IF(E33=H33,"SIM","NÃO"))</f>
        <v>SIM</v>
      </c>
      <c r="J33" s="341" t="str">
        <f>IF(A33="","",VLOOKUP(A33,VII.A!$A$10:$D$199,3,FALSE))</f>
        <v>CHP</v>
      </c>
      <c r="K33" s="342" t="str">
        <f>IF(A33="","",IF(J33=D33,"SIM","NÃO"))</f>
        <v>SIM</v>
      </c>
      <c r="L33" s="380">
        <f>IF(C33="","",G11*C33)</f>
        <v>844.80000000000007</v>
      </c>
      <c r="M33" s="381" t="str">
        <f>IF(A33="","",VLOOKUP(A33,VII.A!$A$10:$B$199,2,FALSE))</f>
        <v>VEÍCULO LEVE 4 PORTAS - 65 A 80 CV</v>
      </c>
      <c r="N33" s="342" t="str">
        <f>IF(B33="","",IF(M33=B33,"si","no"))</f>
        <v>si</v>
      </c>
      <c r="R33" s="341"/>
      <c r="S33" s="341"/>
    </row>
    <row r="34" spans="1:19" ht="12.75" customHeight="1">
      <c r="A34" s="393" t="str">
        <f>VII.A!$A$146</f>
        <v>2.4</v>
      </c>
      <c r="B34" s="394" t="str">
        <f>VLOOKUP(A34,VII.A!$A$10:$G$199,2,FALSE)</f>
        <v>VEÍCULO LEVE 4 PORTAS - 65 A 80 CV - À DISPOSIÇÃO</v>
      </c>
      <c r="C34" s="463">
        <f>C48*0.8</f>
        <v>3379.2000000000003</v>
      </c>
      <c r="D34" s="384" t="str">
        <f>VLOOKUP(A34,VII.A!$A$10:$G$199,3,FALSE)</f>
        <v>CHI</v>
      </c>
      <c r="E34" s="387">
        <f>VII.A!D146</f>
        <v>0</v>
      </c>
      <c r="F34" s="388">
        <f>ROUND(C34*E34,2)</f>
        <v>0</v>
      </c>
      <c r="H34" s="341">
        <f>IF(A34="","",VLOOKUP(A34,VII.A!$A$10:$D$199,4,FALSE))</f>
        <v>0</v>
      </c>
      <c r="I34" s="341" t="str">
        <f>IF(A34="","",IF(E34=H34,"SIM","NÃO"))</f>
        <v>SIM</v>
      </c>
      <c r="J34" s="341" t="str">
        <f>IF(A34="","",VLOOKUP(A34,VII.A!$A$10:$D$199,3,FALSE))</f>
        <v>CHI</v>
      </c>
      <c r="K34" s="342" t="str">
        <f>IF(A34="","",IF(J34=D34,"SIM","NÃO"))</f>
        <v>SIM</v>
      </c>
      <c r="L34" s="380">
        <f>IF(C34="","",G11*C34)</f>
        <v>3379.2000000000003</v>
      </c>
      <c r="M34" s="381" t="str">
        <f>IF(A34="","",VLOOKUP(A34,VII.A!$A$10:$B$199,2,FALSE))</f>
        <v>VEÍCULO LEVE 4 PORTAS - 65 A 80 CV - À DISPOSIÇÃO</v>
      </c>
      <c r="N34" s="342" t="str">
        <f>IF(B34="","",IF(M34=B34,"si","no"))</f>
        <v>si</v>
      </c>
      <c r="R34" s="341"/>
      <c r="S34" s="341"/>
    </row>
    <row r="35" spans="1:19" ht="12.75" customHeight="1">
      <c r="A35" s="393" t="str">
        <f>VII.A!$A$177</f>
        <v>2.35</v>
      </c>
      <c r="B35" s="394" t="str">
        <f>VLOOKUP(A35,VII.A!$A$10:$G$199,2,FALSE)</f>
        <v>PICAPE LEVE CABINE SIMPLES - CARGA ÚTIL 700KG - 85 A 95CV - STRADA WORKING OU SIMILAR</v>
      </c>
      <c r="C35" s="463">
        <f>C47*0.2</f>
        <v>844.80000000000007</v>
      </c>
      <c r="D35" s="384" t="str">
        <f>VLOOKUP(A35,VII.A!$A$10:$G$199,3,FALSE)</f>
        <v>CHP</v>
      </c>
      <c r="E35" s="387">
        <f>VII.A!D177</f>
        <v>0</v>
      </c>
      <c r="F35" s="388">
        <f t="shared" ref="F35:F42" si="4">ROUND(C35*E35,2)</f>
        <v>0</v>
      </c>
      <c r="H35" s="341">
        <f>IF(A35="","",VLOOKUP(A35,VII.A!$A$10:$D$199,4,FALSE))</f>
        <v>0</v>
      </c>
      <c r="I35" s="341" t="str">
        <f t="shared" ref="I35:I42" si="5">IF(A35="","",IF(E35=H35,"SIM","NÃO"))</f>
        <v>SIM</v>
      </c>
      <c r="J35" s="341" t="str">
        <f>IF(A35="","",VLOOKUP(A35,VII.A!$A$10:$D$199,3,FALSE))</f>
        <v>CHP</v>
      </c>
      <c r="K35" s="342" t="str">
        <f t="shared" ref="K35:K42" si="6">IF(A35="","",IF(J35=D35,"SIM","NÃO"))</f>
        <v>SIM</v>
      </c>
      <c r="L35" s="380">
        <f>IF(C35="","",G11*C35)</f>
        <v>844.80000000000007</v>
      </c>
      <c r="M35" s="381" t="str">
        <f>IF(A35="","",VLOOKUP(A35,VII.A!$A$10:$B$199,2,FALSE))</f>
        <v>PICAPE LEVE CABINE SIMPLES - CARGA ÚTIL 700KG - 85 A 95CV - STRADA WORKING OU SIMILAR</v>
      </c>
      <c r="N35" s="342" t="str">
        <f t="shared" ref="N35:N42" si="7">IF(B35="","",IF(M35=B35,"si","no"))</f>
        <v>si</v>
      </c>
      <c r="R35" s="341"/>
      <c r="S35" s="341"/>
    </row>
    <row r="36" spans="1:19" ht="12.75" customHeight="1">
      <c r="A36" s="393" t="str">
        <f>VII.A!$A$178</f>
        <v>2.36</v>
      </c>
      <c r="B36" s="394" t="str">
        <f>VLOOKUP(A36,VII.A!$A$10:$G$199,2,FALSE)</f>
        <v>PICAPE LEVE CABINE SIMPLES - CARGA ÚTIL 700KG - 85 A 95CV - STRADA WORKING OU SIMILAR</v>
      </c>
      <c r="C36" s="463">
        <f>C47*0.8</f>
        <v>3379.2000000000003</v>
      </c>
      <c r="D36" s="384" t="str">
        <f>VLOOKUP(A36,VII.A!$A$10:$G$199,3,FALSE)</f>
        <v>CHI</v>
      </c>
      <c r="E36" s="387">
        <f>VII.A!D178</f>
        <v>0</v>
      </c>
      <c r="F36" s="388">
        <f>ROUND(C36*E36,2)</f>
        <v>0</v>
      </c>
      <c r="H36" s="341">
        <f>IF(A36="","",VLOOKUP(A36,VII.A!$A$10:$D$199,4,FALSE))</f>
        <v>0</v>
      </c>
      <c r="I36" s="341" t="str">
        <f>IF(A36="","",IF(E36=H36,"SIM","NÃO"))</f>
        <v>SIM</v>
      </c>
      <c r="J36" s="341" t="str">
        <f>IF(A36="","",VLOOKUP(A36,VII.A!$A$10:$D$199,3,FALSE))</f>
        <v>CHI</v>
      </c>
      <c r="K36" s="342" t="str">
        <f>IF(A36="","",IF(J36=D36,"SIM","NÃO"))</f>
        <v>SIM</v>
      </c>
      <c r="L36" s="380">
        <f>IF(C36="","",G11*C36)</f>
        <v>3379.2000000000003</v>
      </c>
      <c r="M36" s="381" t="str">
        <f>IF(A36="","",VLOOKUP(A36,VII.A!$A$10:$B$199,2,FALSE))</f>
        <v>PICAPE LEVE CABINE SIMPLES - CARGA ÚTIL 700KG - 85 A 95CV - STRADA WORKING OU SIMILAR</v>
      </c>
      <c r="N36" s="342" t="str">
        <f>IF(B36="","",IF(M36=B36,"si","no"))</f>
        <v>si</v>
      </c>
      <c r="R36" s="341"/>
      <c r="S36" s="341"/>
    </row>
    <row r="37" spans="1:19">
      <c r="A37" s="393" t="str">
        <f>VII.A!$A$152</f>
        <v>2.10</v>
      </c>
      <c r="B37" s="394" t="str">
        <f>VLOOKUP(A37,VII.A!$A$10:$G$199,2,FALSE)</f>
        <v>CAMINHÃO - CARROCERIA FIXA ABERTA DE MADEIRA COM CAPACIDADE 5 T *160CV - CHP</v>
      </c>
      <c r="C37" s="463">
        <f>C47*0.2</f>
        <v>844.80000000000007</v>
      </c>
      <c r="D37" s="384" t="str">
        <f>VLOOKUP(A37,VII.A!$A$10:$G$199,3,FALSE)</f>
        <v>CHP</v>
      </c>
      <c r="E37" s="387">
        <f>VII.A!D152</f>
        <v>0</v>
      </c>
      <c r="F37" s="388">
        <f>ROUND(C37*E37,2)</f>
        <v>0</v>
      </c>
      <c r="H37" s="341">
        <f>IF(A37="","",VLOOKUP(A37,VII.A!$A$10:$D$199,4,FALSE))</f>
        <v>0</v>
      </c>
      <c r="I37" s="341" t="str">
        <f>IF(A37="","",IF(E37=H37,"SIM","NÃO"))</f>
        <v>SIM</v>
      </c>
      <c r="J37" s="341" t="str">
        <f>IF(A37="","",VLOOKUP(A37,VII.A!$A$10:$D$199,3,FALSE))</f>
        <v>CHP</v>
      </c>
      <c r="K37" s="342" t="str">
        <f>IF(A37="","",IF(J37=D37,"SIM","NÃO"))</f>
        <v>SIM</v>
      </c>
      <c r="L37" s="380">
        <f>IF(C37="","",G11*C37)</f>
        <v>844.80000000000007</v>
      </c>
      <c r="M37" s="381" t="str">
        <f>IF(A37="","",VLOOKUP(A37,VII.A!$A$10:$B$199,2,FALSE))</f>
        <v>CAMINHÃO - CARROCERIA FIXA ABERTA DE MADEIRA COM CAPACIDADE 5 T *160CV - CHP</v>
      </c>
      <c r="N37" s="342" t="str">
        <f>IF(B37="","",IF(M37=B37,"si","no"))</f>
        <v>si</v>
      </c>
      <c r="R37" s="341"/>
      <c r="S37" s="341"/>
    </row>
    <row r="38" spans="1:19" ht="12.75" customHeight="1">
      <c r="A38" s="393" t="str">
        <f>VII.A!$A$153</f>
        <v>2.11</v>
      </c>
      <c r="B38" s="394" t="str">
        <f>VLOOKUP(A38,VII.A!$A$10:$G$199,2,FALSE)</f>
        <v>CAMINHÃO - CARROCERIA FIXA ABERTA DE MADEIRA COM CAPACIDADE 5 T *160CV - CHI</v>
      </c>
      <c r="C38" s="463">
        <f>C47*0.8</f>
        <v>3379.2000000000003</v>
      </c>
      <c r="D38" s="384" t="str">
        <f>VLOOKUP(A38,VII.A!$A$10:$G$199,3,FALSE)</f>
        <v>CHI</v>
      </c>
      <c r="E38" s="387">
        <f>VII.A!D153</f>
        <v>0</v>
      </c>
      <c r="F38" s="388">
        <f>ROUND(C38*E38,2)</f>
        <v>0</v>
      </c>
      <c r="H38" s="341">
        <f>IF(A38="","",VLOOKUP(A38,VII.A!$A$10:$D$199,4,FALSE))</f>
        <v>0</v>
      </c>
      <c r="I38" s="341" t="str">
        <f>IF(A38="","",IF(E38=H38,"SIM","NÃO"))</f>
        <v>SIM</v>
      </c>
      <c r="J38" s="341" t="str">
        <f>IF(A38="","",VLOOKUP(A38,VII.A!$A$10:$D$199,3,FALSE))</f>
        <v>CHI</v>
      </c>
      <c r="K38" s="342" t="str">
        <f>IF(A38="","",IF(J38=D38,"SIM","NÃO"))</f>
        <v>SIM</v>
      </c>
      <c r="L38" s="380">
        <f>IF(C38="","",G11*C38)</f>
        <v>3379.2000000000003</v>
      </c>
      <c r="M38" s="381" t="str">
        <f>IF(A38="","",VLOOKUP(A38,VII.A!$A$10:$B$199,2,FALSE))</f>
        <v>CAMINHÃO - CARROCERIA FIXA ABERTA DE MADEIRA COM CAPACIDADE 5 T *160CV - CHI</v>
      </c>
      <c r="N38" s="342" t="str">
        <f>IF(B38="","",IF(M38=B38,"si","no"))</f>
        <v>si</v>
      </c>
      <c r="R38" s="341"/>
      <c r="S38" s="341"/>
    </row>
    <row r="39" spans="1:19" ht="12.75" customHeight="1">
      <c r="A39" s="393"/>
      <c r="C39" s="20"/>
      <c r="E39" s="387"/>
      <c r="F39" s="388">
        <f t="shared" si="4"/>
        <v>0</v>
      </c>
      <c r="G39" s="390"/>
      <c r="H39" s="341" t="str">
        <f>IF(A39="","",VLOOKUP(A39,VII.A!$A$10:$D$199,4,FALSE))</f>
        <v/>
      </c>
      <c r="I39" s="341" t="str">
        <f t="shared" si="5"/>
        <v/>
      </c>
      <c r="J39" s="341" t="str">
        <f>IF(A39="","",VLOOKUP(A39,VII.A!$A$10:$D$199,3,FALSE))</f>
        <v/>
      </c>
      <c r="K39" s="342" t="str">
        <f t="shared" si="6"/>
        <v/>
      </c>
      <c r="L39" s="380" t="str">
        <f>IF(C39="","",G11*C39)</f>
        <v/>
      </c>
      <c r="M39" s="381" t="str">
        <f>IF(A39="","",VLOOKUP(A39,VII.A!$A$10:$B$199,2,FALSE))</f>
        <v/>
      </c>
      <c r="N39" s="342" t="str">
        <f t="shared" si="7"/>
        <v/>
      </c>
      <c r="R39" s="341"/>
      <c r="S39" s="341"/>
    </row>
    <row r="40" spans="1:19" ht="12.75" customHeight="1">
      <c r="A40" s="393"/>
      <c r="C40" s="20"/>
      <c r="E40" s="387"/>
      <c r="F40" s="388">
        <f t="shared" si="4"/>
        <v>0</v>
      </c>
      <c r="G40" s="391"/>
      <c r="H40" s="341" t="str">
        <f>IF(A40="","",VLOOKUP(A40,VII.A!$A$10:$D$199,4,FALSE))</f>
        <v/>
      </c>
      <c r="I40" s="341" t="str">
        <f t="shared" si="5"/>
        <v/>
      </c>
      <c r="J40" s="341" t="str">
        <f>IF(A40="","",VLOOKUP(A40,VII.A!$A$10:$D$199,3,FALSE))</f>
        <v/>
      </c>
      <c r="K40" s="342" t="str">
        <f t="shared" si="6"/>
        <v/>
      </c>
      <c r="L40" s="380" t="str">
        <f>IF(C40="","",G11*C40)</f>
        <v/>
      </c>
      <c r="M40" s="381" t="str">
        <f>IF(A40="","",VLOOKUP(A40,VII.A!$A$10:$B$199,2,FALSE))</f>
        <v/>
      </c>
      <c r="N40" s="342" t="str">
        <f t="shared" si="7"/>
        <v/>
      </c>
      <c r="R40" s="341"/>
      <c r="S40" s="341"/>
    </row>
    <row r="41" spans="1:19" ht="12.75" customHeight="1">
      <c r="A41" s="393"/>
      <c r="C41" s="20"/>
      <c r="E41" s="387"/>
      <c r="F41" s="388">
        <f t="shared" si="4"/>
        <v>0</v>
      </c>
      <c r="H41" s="341" t="str">
        <f>IF(A41="","",VLOOKUP(A41,VII.A!$A$10:$D$199,4,FALSE))</f>
        <v/>
      </c>
      <c r="I41" s="341" t="str">
        <f t="shared" si="5"/>
        <v/>
      </c>
      <c r="J41" s="341" t="str">
        <f>IF(A41="","",VLOOKUP(A41,VII.A!$A$10:$D$199,3,FALSE))</f>
        <v/>
      </c>
      <c r="K41" s="342" t="str">
        <f t="shared" si="6"/>
        <v/>
      </c>
      <c r="L41" s="380" t="str">
        <f>IF(C41="","",G11*C41)</f>
        <v/>
      </c>
      <c r="M41" s="381" t="str">
        <f>IF(A41="","",VLOOKUP(A41,VII.A!$A$10:$B$199,2,FALSE))</f>
        <v/>
      </c>
      <c r="N41" s="342" t="str">
        <f t="shared" si="7"/>
        <v/>
      </c>
      <c r="R41" s="341"/>
      <c r="S41" s="341"/>
    </row>
    <row r="42" spans="1:19" ht="12.75" customHeight="1">
      <c r="A42" s="393"/>
      <c r="C42" s="20"/>
      <c r="E42" s="387"/>
      <c r="F42" s="388">
        <f t="shared" si="4"/>
        <v>0</v>
      </c>
      <c r="H42" s="341" t="str">
        <f>IF(A42="","",VLOOKUP(A42,VII.A!$A$10:$D$199,4,FALSE))</f>
        <v/>
      </c>
      <c r="I42" s="341" t="str">
        <f t="shared" si="5"/>
        <v/>
      </c>
      <c r="J42" s="341" t="str">
        <f>IF(A42="","",VLOOKUP(A42,VII.A!$A$10:$D$199,3,FALSE))</f>
        <v/>
      </c>
      <c r="K42" s="342" t="str">
        <f t="shared" si="6"/>
        <v/>
      </c>
      <c r="L42" s="380" t="str">
        <f>IF(C42="","",G11*C42)</f>
        <v/>
      </c>
      <c r="M42" s="381" t="str">
        <f>IF(A42="","",VLOOKUP(A42,VII.A!$A$10:$B$199,2,FALSE))</f>
        <v/>
      </c>
      <c r="N42" s="342" t="str">
        <f t="shared" si="7"/>
        <v/>
      </c>
      <c r="R42" s="341"/>
      <c r="S42" s="341"/>
    </row>
    <row r="43" spans="1:19" ht="12.75" customHeight="1">
      <c r="A43" s="393"/>
      <c r="B43" s="395" t="s">
        <v>226</v>
      </c>
      <c r="C43" s="396"/>
      <c r="D43" s="397"/>
      <c r="E43" s="398"/>
      <c r="F43" s="399">
        <f>SUM(F33:F42)</f>
        <v>0</v>
      </c>
      <c r="J43" s="341"/>
      <c r="L43" s="380"/>
      <c r="M43" s="381"/>
      <c r="N43" s="342"/>
      <c r="R43" s="341"/>
      <c r="S43" s="341"/>
    </row>
    <row r="44" spans="1:19" ht="12.75" customHeight="1">
      <c r="A44" s="393"/>
      <c r="B44" s="400" t="s">
        <v>53</v>
      </c>
      <c r="C44" s="2">
        <f>$D$8</f>
        <v>0</v>
      </c>
      <c r="D44" s="401"/>
      <c r="E44" s="402"/>
      <c r="F44" s="403">
        <f>ROUND(C44*F43,2)</f>
        <v>0</v>
      </c>
      <c r="J44" s="341"/>
      <c r="L44" s="380"/>
      <c r="M44" s="381"/>
      <c r="N44" s="342"/>
      <c r="R44" s="341"/>
      <c r="S44" s="341"/>
    </row>
    <row r="45" spans="1:19" ht="12.75" customHeight="1">
      <c r="A45" s="404"/>
      <c r="B45" s="405" t="s">
        <v>228</v>
      </c>
      <c r="C45" s="406"/>
      <c r="D45" s="406"/>
      <c r="E45" s="407"/>
      <c r="F45" s="408">
        <f>F43+F44</f>
        <v>0</v>
      </c>
      <c r="J45" s="341"/>
      <c r="L45" s="380"/>
      <c r="M45" s="381"/>
      <c r="N45" s="342"/>
      <c r="R45" s="341"/>
      <c r="S45" s="341"/>
    </row>
    <row r="46" spans="1:19" ht="12.75" customHeight="1">
      <c r="A46" s="409" t="s">
        <v>47</v>
      </c>
      <c r="B46" s="410" t="s">
        <v>236</v>
      </c>
      <c r="C46" s="411" t="s">
        <v>231</v>
      </c>
      <c r="D46" s="412" t="s">
        <v>232</v>
      </c>
      <c r="E46" s="413" t="s">
        <v>233</v>
      </c>
      <c r="F46" s="378" t="s">
        <v>234</v>
      </c>
      <c r="J46" s="341"/>
      <c r="L46" s="380"/>
      <c r="M46" s="381"/>
      <c r="N46" s="342"/>
      <c r="R46" s="341"/>
      <c r="S46" s="341"/>
    </row>
    <row r="47" spans="1:19" ht="12.75" customHeight="1">
      <c r="A47" s="385" t="str">
        <f>VII.A!$A$188</f>
        <v>3.8</v>
      </c>
      <c r="B47" s="386" t="s">
        <v>149</v>
      </c>
      <c r="C47" s="20">
        <f>(44*4)*24</f>
        <v>4224</v>
      </c>
      <c r="D47" s="384" t="str">
        <f>VLOOKUP(A47,VII.A!$A$10:$G$199,3,FALSE)</f>
        <v>H</v>
      </c>
      <c r="E47" s="387">
        <f>VII.A!D188</f>
        <v>0</v>
      </c>
      <c r="F47" s="388">
        <f t="shared" ref="F47:F53" si="8">ROUND(C47*E47,2)</f>
        <v>0</v>
      </c>
      <c r="H47" s="341">
        <f>IF(A47="","",VLOOKUP(A47,VII.A!$A$10:$D$199,4,FALSE))</f>
        <v>0</v>
      </c>
      <c r="I47" s="341" t="str">
        <f t="shared" ref="I47:I53" si="9">IF(A47="","",IF(E47=H47,"SIM","NÃO"))</f>
        <v>SIM</v>
      </c>
      <c r="J47" s="341" t="str">
        <f>IF(A47="","",VLOOKUP(A47,VII.A!$A$10:$D$199,3,FALSE))</f>
        <v>H</v>
      </c>
      <c r="K47" s="342" t="str">
        <f t="shared" ref="K47:K53" si="10">IF(A47="","",IF(J47=D47,"SIM","NÃO"))</f>
        <v>SIM</v>
      </c>
      <c r="L47" s="380">
        <f>IF(C47="","",G11*C47)</f>
        <v>4224</v>
      </c>
      <c r="M47" s="381" t="str">
        <f>IF(A47="","",VLOOKUP(A47,VII.A!$A$10:$B$199,2,FALSE))</f>
        <v>ENCARREGADO GERAL COM ENCARGOS COMPLEMENTARES</v>
      </c>
      <c r="N47" s="342" t="str">
        <f t="shared" ref="N47:N53" si="11">IF(B47="","",IF(M47=B47,"si","no"))</f>
        <v>si</v>
      </c>
      <c r="R47" s="341"/>
      <c r="S47" s="341"/>
    </row>
    <row r="48" spans="1:19" ht="12.75" customHeight="1">
      <c r="A48" s="385" t="str">
        <f>VII.A!$A$190</f>
        <v>3.10</v>
      </c>
      <c r="B48" s="386" t="s">
        <v>151</v>
      </c>
      <c r="C48" s="20">
        <f>(44*4)*24</f>
        <v>4224</v>
      </c>
      <c r="D48" s="384" t="str">
        <f>VLOOKUP(A48,VII.A!$A$10:$G$199,3,FALSE)</f>
        <v>H</v>
      </c>
      <c r="E48" s="387">
        <f>VII.A!$D$190</f>
        <v>0</v>
      </c>
      <c r="F48" s="388">
        <f t="shared" si="8"/>
        <v>0</v>
      </c>
      <c r="H48" s="341">
        <f>IF(A48="","",VLOOKUP(A48,VII.A!$A$10:$D$199,4,FALSE))</f>
        <v>0</v>
      </c>
      <c r="I48" s="341" t="str">
        <f t="shared" si="9"/>
        <v>SIM</v>
      </c>
      <c r="J48" s="341" t="str">
        <f>IF(A48="","",VLOOKUP(A48,VII.A!$A$10:$D$199,3,FALSE))</f>
        <v>H</v>
      </c>
      <c r="K48" s="342" t="str">
        <f t="shared" si="10"/>
        <v>SIM</v>
      </c>
      <c r="L48" s="380">
        <f>IF(C48="","",G11*C48)</f>
        <v>4224</v>
      </c>
      <c r="M48" s="381" t="str">
        <f>IF(A48="","",VLOOKUP(A48,VII.A!$A$10:$B$199,2,FALSE))</f>
        <v>ENGENHEIRO CIVIL DE OBRA JUNIOR COM ENCARGOS COMPLEMENTARES</v>
      </c>
      <c r="N48" s="342" t="str">
        <f t="shared" si="11"/>
        <v>si</v>
      </c>
      <c r="R48" s="341"/>
      <c r="S48" s="341"/>
    </row>
    <row r="49" spans="1:25" ht="12.75" customHeight="1">
      <c r="A49" s="393"/>
      <c r="C49" s="20"/>
      <c r="E49" s="387"/>
      <c r="F49" s="388">
        <f t="shared" si="8"/>
        <v>0</v>
      </c>
      <c r="H49" s="341" t="str">
        <f>IF(A49="","",VLOOKUP(A49,VII.A!$A$10:$D$200,4,FALSE))</f>
        <v/>
      </c>
      <c r="I49" s="341" t="str">
        <f t="shared" si="9"/>
        <v/>
      </c>
      <c r="J49" s="341" t="str">
        <f>IF(A49="","",VLOOKUP(A49,VII.A!$A$10:$D$200,3,FALSE))</f>
        <v/>
      </c>
      <c r="K49" s="342" t="str">
        <f t="shared" si="10"/>
        <v/>
      </c>
      <c r="L49" s="380" t="str">
        <f>IF(C49="","",G11*C49)</f>
        <v/>
      </c>
      <c r="M49" s="381" t="str">
        <f>IF(A49="","",VLOOKUP(A49,VII.A!$A$10:$B$200,2,FALSE))</f>
        <v/>
      </c>
      <c r="N49" s="342" t="str">
        <f t="shared" si="11"/>
        <v/>
      </c>
      <c r="R49" s="341"/>
      <c r="S49" s="341"/>
    </row>
    <row r="50" spans="1:25" ht="12.75" customHeight="1">
      <c r="A50" s="393"/>
      <c r="C50" s="20"/>
      <c r="E50" s="387"/>
      <c r="F50" s="388">
        <f t="shared" si="8"/>
        <v>0</v>
      </c>
      <c r="H50" s="341" t="str">
        <f>IF(A50="","",VLOOKUP(A50,VII.A!$A$10:$D$199,4,FALSE))</f>
        <v/>
      </c>
      <c r="I50" s="341" t="str">
        <f t="shared" si="9"/>
        <v/>
      </c>
      <c r="J50" s="341" t="str">
        <f>IF(A50="","",VLOOKUP(A50,VII.A!$A$10:$D$199,3,FALSE))</f>
        <v/>
      </c>
      <c r="K50" s="342" t="str">
        <f t="shared" si="10"/>
        <v/>
      </c>
      <c r="L50" s="380" t="str">
        <f>IF(C50="","",G11*C50)</f>
        <v/>
      </c>
      <c r="M50" s="381" t="str">
        <f>IF(A50="","",VLOOKUP(A50,VII.A!$A$10:$B$199,2,FALSE))</f>
        <v/>
      </c>
      <c r="N50" s="342" t="str">
        <f t="shared" si="11"/>
        <v/>
      </c>
      <c r="R50" s="341"/>
      <c r="S50" s="341"/>
    </row>
    <row r="51" spans="1:25" ht="12.75" customHeight="1">
      <c r="A51" s="393"/>
      <c r="C51" s="20"/>
      <c r="E51" s="387"/>
      <c r="F51" s="388">
        <f t="shared" si="8"/>
        <v>0</v>
      </c>
      <c r="H51" s="341" t="str">
        <f>IF(A51="","",VLOOKUP(A51,VII.A!$A$10:$D$199,4,FALSE))</f>
        <v/>
      </c>
      <c r="I51" s="341" t="str">
        <f t="shared" si="9"/>
        <v/>
      </c>
      <c r="J51" s="341" t="str">
        <f>IF(A51="","",VLOOKUP(A51,VII.A!$A$10:$D$199,3,FALSE))</f>
        <v/>
      </c>
      <c r="K51" s="342" t="str">
        <f t="shared" si="10"/>
        <v/>
      </c>
      <c r="L51" s="380" t="str">
        <f>IF(C51="","",G11*C51)</f>
        <v/>
      </c>
      <c r="M51" s="381" t="str">
        <f>IF(A51="","",VLOOKUP(A51,VII.A!$A$10:$B$199,2,FALSE))</f>
        <v/>
      </c>
      <c r="N51" s="342" t="str">
        <f t="shared" si="11"/>
        <v/>
      </c>
      <c r="R51" s="341"/>
      <c r="S51" s="341"/>
    </row>
    <row r="52" spans="1:25" ht="12.75" customHeight="1">
      <c r="A52" s="393"/>
      <c r="C52" s="20"/>
      <c r="E52" s="387"/>
      <c r="F52" s="388">
        <f t="shared" si="8"/>
        <v>0</v>
      </c>
      <c r="H52" s="341" t="str">
        <f>IF(A52="","",VLOOKUP(A52,VII.A!$A$10:$D$199,4,FALSE))</f>
        <v/>
      </c>
      <c r="I52" s="341" t="str">
        <f t="shared" si="9"/>
        <v/>
      </c>
      <c r="J52" s="341" t="str">
        <f>IF(A52="","",VLOOKUP(A52,VII.A!$A$10:$D$199,3,FALSE))</f>
        <v/>
      </c>
      <c r="K52" s="342" t="str">
        <f t="shared" si="10"/>
        <v/>
      </c>
      <c r="L52" s="380" t="str">
        <f>IF(C52="","",G11*C52)</f>
        <v/>
      </c>
      <c r="M52" s="381" t="str">
        <f>IF(A52="","",VLOOKUP(A52,VII.A!$A$10:$B$199,2,FALSE))</f>
        <v/>
      </c>
      <c r="N52" s="342" t="str">
        <f t="shared" si="11"/>
        <v/>
      </c>
      <c r="R52" s="341"/>
      <c r="S52" s="341"/>
    </row>
    <row r="53" spans="1:25" ht="12.75" customHeight="1">
      <c r="A53" s="393"/>
      <c r="C53" s="20"/>
      <c r="E53" s="387"/>
      <c r="F53" s="388">
        <f t="shared" si="8"/>
        <v>0</v>
      </c>
      <c r="H53" s="341" t="str">
        <f>IF(A53="","",VLOOKUP(A53,VII.A!$A$10:$D$199,4,FALSE))</f>
        <v/>
      </c>
      <c r="I53" s="341" t="str">
        <f t="shared" si="9"/>
        <v/>
      </c>
      <c r="J53" s="341" t="str">
        <f>IF(A53="","",VLOOKUP(A53,VII.A!$A$10:$D$199,3,FALSE))</f>
        <v/>
      </c>
      <c r="K53" s="342" t="str">
        <f t="shared" si="10"/>
        <v/>
      </c>
      <c r="L53" s="380" t="str">
        <f>IF(C53="","",G11*C53)</f>
        <v/>
      </c>
      <c r="M53" s="381" t="str">
        <f>IF(A53="","",VLOOKUP(A53,VII.A!$A$10:$B$199,2,FALSE))</f>
        <v/>
      </c>
      <c r="N53" s="342" t="str">
        <f t="shared" si="11"/>
        <v/>
      </c>
      <c r="R53" s="341"/>
      <c r="S53" s="341"/>
    </row>
    <row r="54" spans="1:25" ht="12.75" customHeight="1">
      <c r="A54" s="393"/>
      <c r="B54" s="395" t="s">
        <v>226</v>
      </c>
      <c r="C54" s="396"/>
      <c r="D54" s="397"/>
      <c r="E54" s="398"/>
      <c r="F54" s="399">
        <f>SUM(F47:F53)</f>
        <v>0</v>
      </c>
      <c r="J54" s="341"/>
      <c r="L54" s="380"/>
      <c r="M54" s="381"/>
      <c r="N54" s="342"/>
      <c r="R54" s="341"/>
      <c r="S54" s="341"/>
    </row>
    <row r="55" spans="1:25" ht="12.75" customHeight="1">
      <c r="A55" s="393"/>
      <c r="B55" s="400" t="s">
        <v>229</v>
      </c>
      <c r="C55" s="2">
        <f>$D$7</f>
        <v>0</v>
      </c>
      <c r="D55" s="401"/>
      <c r="E55" s="402"/>
      <c r="F55" s="403">
        <f>ROUND(F54*C55,2)</f>
        <v>0</v>
      </c>
      <c r="J55" s="341"/>
      <c r="L55" s="380"/>
      <c r="M55" s="381"/>
      <c r="N55" s="342"/>
      <c r="R55" s="341"/>
      <c r="S55" s="341"/>
    </row>
    <row r="56" spans="1:25" ht="12.75" customHeight="1">
      <c r="A56" s="393"/>
      <c r="B56" s="400" t="s">
        <v>53</v>
      </c>
      <c r="C56" s="2">
        <f>$D$8</f>
        <v>0</v>
      </c>
      <c r="D56" s="401"/>
      <c r="E56" s="402"/>
      <c r="F56" s="403">
        <f>ROUND(SUM(F54:F55)*C56,2)</f>
        <v>0</v>
      </c>
      <c r="J56" s="341"/>
      <c r="L56" s="380"/>
      <c r="M56" s="381"/>
      <c r="N56" s="342"/>
      <c r="R56" s="341"/>
      <c r="S56" s="341"/>
    </row>
    <row r="57" spans="1:25" ht="12.75" customHeight="1" thickBot="1">
      <c r="A57" s="414"/>
      <c r="B57" s="415" t="s">
        <v>230</v>
      </c>
      <c r="C57" s="416"/>
      <c r="D57" s="416"/>
      <c r="E57" s="417"/>
      <c r="F57" s="418">
        <f>SUM(F54:F56)</f>
        <v>0</v>
      </c>
      <c r="J57" s="341"/>
      <c r="L57" s="380"/>
      <c r="M57" s="381"/>
      <c r="N57" s="342"/>
      <c r="R57" s="341"/>
      <c r="S57" s="341"/>
    </row>
    <row r="58" spans="1:25" ht="12.75" customHeight="1" thickBot="1">
      <c r="A58" s="357"/>
      <c r="B58" s="358"/>
      <c r="C58" s="359"/>
      <c r="D58" s="359"/>
      <c r="E58" s="360"/>
      <c r="F58" s="419"/>
      <c r="J58" s="341"/>
      <c r="L58" s="380"/>
      <c r="M58" s="381"/>
      <c r="N58" s="342"/>
      <c r="R58" s="341"/>
      <c r="S58" s="341"/>
    </row>
    <row r="59" spans="1:25" ht="30" customHeight="1">
      <c r="A59" s="370" t="str">
        <f>IV.A!$A$17</f>
        <v>1.2</v>
      </c>
      <c r="B59" s="371" t="str">
        <f>IV.A!$B$17</f>
        <v>PLACA DE IDENTIFICAÇÃO DE OBRA, CONFORME PADRÃO SEMAE (ITEM 6.8 DO TERMO DE REFERÊNCIA)</v>
      </c>
      <c r="C59" s="871" t="s">
        <v>237</v>
      </c>
      <c r="D59" s="872"/>
      <c r="E59" s="372" t="str">
        <f>IV.A!$C$17</f>
        <v>M2</v>
      </c>
      <c r="F59" s="11">
        <f>ROUND(F79+F93+F105,2)</f>
        <v>0</v>
      </c>
      <c r="G59" s="1">
        <f>VLOOKUP(A59,IV.A!$A$16:$L$172,4,FALSE)</f>
        <v>90</v>
      </c>
      <c r="H59" s="361">
        <f>SUM(F61:F76)+F78</f>
        <v>0</v>
      </c>
      <c r="I59" s="361">
        <f>SUM(F81:F90)+F92</f>
        <v>0</v>
      </c>
      <c r="J59" s="361">
        <f>SUM(F95:F101)+F103+F104</f>
        <v>0</v>
      </c>
      <c r="K59" s="361">
        <f>SUM(H59:J59)</f>
        <v>0</v>
      </c>
      <c r="L59" s="362" t="str">
        <f>IF(K59=F59,"SIM","NÃO")</f>
        <v>SIM</v>
      </c>
      <c r="M59" s="373">
        <f>ROUND(SUM(F61:F76),2)+ROUND(SUM(F61:F76)*C78,2)+ROUND(SUM(F81:F90)*C92,2)+ROUND(SUM(F81:F90),2)+ROUND(SUM(F95:F101)*C103,2)+ROUND((SUM(F95:F101)+ROUND(SUM(F95:F101)*C103,2))*C104,2)+ROUND(SUM(F95:F101),2)</f>
        <v>0</v>
      </c>
      <c r="N59" s="343" t="str">
        <f>IF(M59=F59,"SIM","NÃO")</f>
        <v>SIM</v>
      </c>
      <c r="O59" s="364" t="str">
        <f>VLOOKUP(A59,IV.A!$A$16:$E$172,3,FALSE)</f>
        <v>M2</v>
      </c>
      <c r="P59" s="344" t="str">
        <f>IF(O59=E59,"SIM","NÃO")</f>
        <v>SIM</v>
      </c>
      <c r="Q59" s="365">
        <f>ROUND(G59*F79,2)+ROUND(G59*F93,2)+ROUND(G59*F105,2)</f>
        <v>0</v>
      </c>
      <c r="R59" s="364">
        <f>VLOOKUP(A59,IV.A!$A$16:$L$172,12,FALSE)</f>
        <v>0</v>
      </c>
      <c r="S59" s="366" t="str">
        <f>IF(Q59=R59,"si","no")</f>
        <v>si</v>
      </c>
      <c r="T59" s="367">
        <f>SUM(L61:L76)+SUM(L81:L90)+SUM(L95:L101)</f>
        <v>593.1</v>
      </c>
      <c r="U59" s="341">
        <f>(SUM(C61:C76)+SUM(C81:C90)+SUM(C95:C101))*G59</f>
        <v>593.1</v>
      </c>
      <c r="V59" s="368" t="str">
        <f>IF(T59=U59,"si","no")</f>
        <v>si</v>
      </c>
      <c r="W59" s="369">
        <f>SUM(F61:F76)</f>
        <v>0</v>
      </c>
      <c r="X59" s="369">
        <f>SUM(F81:F90)</f>
        <v>0</v>
      </c>
      <c r="Y59" s="369">
        <f>SUM(F95:F101)</f>
        <v>0</v>
      </c>
    </row>
    <row r="60" spans="1:25" ht="12.75" customHeight="1">
      <c r="A60" s="374" t="s">
        <v>14</v>
      </c>
      <c r="B60" s="375" t="s">
        <v>132</v>
      </c>
      <c r="C60" s="376" t="s">
        <v>231</v>
      </c>
      <c r="D60" s="376" t="s">
        <v>232</v>
      </c>
      <c r="E60" s="377" t="s">
        <v>233</v>
      </c>
      <c r="F60" s="378" t="s">
        <v>234</v>
      </c>
      <c r="G60" s="379"/>
      <c r="J60" s="341"/>
      <c r="L60" s="380"/>
      <c r="M60" s="381"/>
      <c r="N60" s="342"/>
      <c r="O60" s="382"/>
      <c r="P60" s="383"/>
      <c r="Q60" s="383"/>
      <c r="R60" s="383"/>
      <c r="S60" s="383"/>
      <c r="T60" s="382"/>
      <c r="U60" s="341"/>
      <c r="V60" s="384"/>
      <c r="W60" s="384"/>
      <c r="X60" s="384"/>
      <c r="Y60" s="384"/>
    </row>
    <row r="61" spans="1:25" ht="12.75" customHeight="1">
      <c r="A61" s="385" t="str">
        <f>VII.A!$A$86</f>
        <v>1.76</v>
      </c>
      <c r="B61" s="394" t="str">
        <f>VLOOKUP(A61,VII.A!$A$10:$G$199,2,FALSE)</f>
        <v>PLACA DE OBRA (IDENTIFICAÇÃO) PARA CONSTRUÇÃO CIVIL EM CHAPA GALVANIZADA Nº 22 - COMPLETA</v>
      </c>
      <c r="C61" s="20">
        <v>1</v>
      </c>
      <c r="D61" s="342" t="str">
        <f>VLOOKUP(A61,VII.A!$A$10:$G$199,3,FALSE)</f>
        <v>M2</v>
      </c>
      <c r="E61" s="387">
        <f>VII.A!D86</f>
        <v>0</v>
      </c>
      <c r="F61" s="388">
        <f>ROUND(C61*E61,2)</f>
        <v>0</v>
      </c>
      <c r="H61" s="341">
        <f>IF(A61="","",VLOOKUP(A61,VII.A!$A$10:$D$199,4,FALSE))</f>
        <v>0</v>
      </c>
      <c r="I61" s="341" t="str">
        <f>IF(A61="","",IF(E61=H61,"SIM","NÃO"))</f>
        <v>SIM</v>
      </c>
      <c r="J61" s="341" t="str">
        <f>IF(A61="","",VLOOKUP(A61,VII.A!$A$10:$D$199,3,FALSE))</f>
        <v>M2</v>
      </c>
      <c r="K61" s="342" t="str">
        <f>IF(A61="","",IF(J61=D61,"SIM","NÃO"))</f>
        <v>SIM</v>
      </c>
      <c r="L61" s="380">
        <f>IF(C61="","",G59*C61)</f>
        <v>90</v>
      </c>
      <c r="M61" s="381" t="str">
        <f>IF(A61="","",VLOOKUP(A61,VII.A!$A$10:$B$199,2,FALSE))</f>
        <v>PLACA DE OBRA (IDENTIFICAÇÃO) PARA CONSTRUÇÃO CIVIL EM CHAPA GALVANIZADA Nº 22 - COMPLETA</v>
      </c>
      <c r="N61" s="342" t="str">
        <f>IF(B61="","",IF(M61=B61,"si","no"))</f>
        <v>si</v>
      </c>
      <c r="R61" s="341"/>
      <c r="S61" s="341"/>
    </row>
    <row r="62" spans="1:25" ht="12.75" customHeight="1">
      <c r="A62" s="385" t="str">
        <f>VII.A!$A$79</f>
        <v>1.70</v>
      </c>
      <c r="B62" s="394" t="str">
        <f>VLOOKUP(A62,VII.A!$A$10:$G$199,2,FALSE)</f>
        <v>PONTALETE DE MADEIRA NAO APARELHADA - 7,5 X 7,5 CM (3 X 3 ")</v>
      </c>
      <c r="C62" s="20">
        <v>2.65</v>
      </c>
      <c r="D62" s="342" t="str">
        <f>VLOOKUP(A62,VII.A!$A$10:$G$199,3,FALSE)</f>
        <v>M</v>
      </c>
      <c r="E62" s="387">
        <f>VII.A!D79</f>
        <v>0</v>
      </c>
      <c r="F62" s="388">
        <f t="shared" ref="F62:F76" si="12">ROUND(C62*E62,2)</f>
        <v>0</v>
      </c>
      <c r="H62" s="341">
        <f>IF(A62="","",VLOOKUP(A62,VII.A!$A$10:$D$199,4,FALSE))</f>
        <v>0</v>
      </c>
      <c r="I62" s="341" t="str">
        <f t="shared" ref="I62:I76" si="13">IF(A62="","",IF(E62=H62,"SIM","NÃO"))</f>
        <v>SIM</v>
      </c>
      <c r="J62" s="341" t="str">
        <f>IF(A62="","",VLOOKUP(A62,VII.A!$A$10:$D$199,3,FALSE))</f>
        <v>M</v>
      </c>
      <c r="K62" s="342" t="str">
        <f t="shared" ref="K62:K76" si="14">IF(A62="","",IF(J62=D62,"SIM","NÃO"))</f>
        <v>SIM</v>
      </c>
      <c r="L62" s="380">
        <f>IF(C62="","",G59*C62)</f>
        <v>238.5</v>
      </c>
      <c r="M62" s="381" t="str">
        <f>IF(A62="","",VLOOKUP(A62,VII.A!$A$10:$B$199,2,FALSE))</f>
        <v>PONTALETE DE MADEIRA NAO APARELHADA - 7,5 X 7,5 CM (3 X 3 ")</v>
      </c>
      <c r="N62" s="342" t="str">
        <f t="shared" ref="N62:N76" si="15">IF(B62="","",IF(M62=B62,"si","no"))</f>
        <v>si</v>
      </c>
      <c r="R62" s="341"/>
      <c r="S62" s="341"/>
    </row>
    <row r="63" spans="1:25" ht="12.75" customHeight="1">
      <c r="A63" s="385" t="str">
        <f>VII.A!$A$90</f>
        <v>1.80</v>
      </c>
      <c r="B63" s="394" t="str">
        <f>VLOOKUP(A63,VII.A!$A$10:$G$199,2,FALSE)</f>
        <v>PREGO EM AÇO POLIDO COM CABEÇA (MEDIA DAS BITOLAS)</v>
      </c>
      <c r="C63" s="20">
        <v>0.04</v>
      </c>
      <c r="D63" s="342" t="str">
        <f>VLOOKUP(A63,VII.A!$A$10:$G$199,3,FALSE)</f>
        <v>KG</v>
      </c>
      <c r="E63" s="387">
        <f>VII.A!D90</f>
        <v>0</v>
      </c>
      <c r="F63" s="388">
        <f t="shared" si="12"/>
        <v>0</v>
      </c>
      <c r="H63" s="341">
        <f>IF(A63="","",VLOOKUP(A63,VII.A!$A$10:$D$199,4,FALSE))</f>
        <v>0</v>
      </c>
      <c r="I63" s="341" t="str">
        <f t="shared" si="13"/>
        <v>SIM</v>
      </c>
      <c r="J63" s="341" t="str">
        <f>IF(A63="","",VLOOKUP(A63,VII.A!$A$10:$D$199,3,FALSE))</f>
        <v>KG</v>
      </c>
      <c r="K63" s="342" t="str">
        <f t="shared" si="14"/>
        <v>SIM</v>
      </c>
      <c r="L63" s="380">
        <f>IF(C63="","",G59*C63)</f>
        <v>3.6</v>
      </c>
      <c r="M63" s="381" t="str">
        <f>IF(A63="","",VLOOKUP(A63,VII.A!$A$10:$B$199,2,FALSE))</f>
        <v>PREGO EM AÇO POLIDO COM CABEÇA (MEDIA DAS BITOLAS)</v>
      </c>
      <c r="N63" s="342" t="str">
        <f t="shared" si="15"/>
        <v>si</v>
      </c>
      <c r="R63" s="341"/>
      <c r="S63" s="341"/>
    </row>
    <row r="64" spans="1:25" ht="12.75" customHeight="1">
      <c r="A64" s="385" t="str">
        <f>VII.A!$A$97</f>
        <v>1.87</v>
      </c>
      <c r="B64" s="394" t="str">
        <f>VLOOKUP(A64,VII.A!$A$10:$G$199,2,FALSE)</f>
        <v xml:space="preserve">SARRAFO 3A. CONSTRUÇÃO (SEÇÃO TRANSVERSAL: 1X4" - 2,5CM X 10,0CM) </v>
      </c>
      <c r="C64" s="20">
        <v>1.78</v>
      </c>
      <c r="D64" s="342" t="str">
        <f>VLOOKUP(A64,VII.A!$A$10:$G$199,3,FALSE)</f>
        <v>M</v>
      </c>
      <c r="E64" s="387">
        <f>VII.A!D97</f>
        <v>0</v>
      </c>
      <c r="F64" s="388">
        <f t="shared" si="12"/>
        <v>0</v>
      </c>
      <c r="H64" s="341">
        <f>IF(A64="","",VLOOKUP(A64,VII.A!$A$10:$D$199,4,FALSE))</f>
        <v>0</v>
      </c>
      <c r="I64" s="341" t="str">
        <f t="shared" si="13"/>
        <v>SIM</v>
      </c>
      <c r="J64" s="341" t="str">
        <f>IF(A64="","",VLOOKUP(A64,VII.A!$A$10:$D$199,3,FALSE))</f>
        <v>M</v>
      </c>
      <c r="K64" s="342" t="str">
        <f t="shared" si="14"/>
        <v>SIM</v>
      </c>
      <c r="L64" s="380">
        <f>IF(C64="","",G59*C64)</f>
        <v>160.19999999999999</v>
      </c>
      <c r="M64" s="381" t="str">
        <f>IF(A64="","",VLOOKUP(A64,VII.A!$A$10:$B$199,2,FALSE))</f>
        <v xml:space="preserve">SARRAFO 3A. CONSTRUÇÃO (SEÇÃO TRANSVERSAL: 1X4" - 2,5CM X 10,0CM) </v>
      </c>
      <c r="N64" s="342" t="str">
        <f t="shared" si="15"/>
        <v>si</v>
      </c>
      <c r="R64" s="341"/>
      <c r="S64" s="341"/>
    </row>
    <row r="65" spans="1:21" ht="12.75" customHeight="1">
      <c r="A65" s="385"/>
      <c r="B65" s="386"/>
      <c r="C65" s="20"/>
      <c r="D65" s="342"/>
      <c r="E65" s="387"/>
      <c r="F65" s="388">
        <f t="shared" si="12"/>
        <v>0</v>
      </c>
      <c r="H65" s="341" t="str">
        <f>IF(A65="","",VLOOKUP(A65,VII.A!$A$10:$D$199,4,FALSE))</f>
        <v/>
      </c>
      <c r="I65" s="341" t="str">
        <f t="shared" si="13"/>
        <v/>
      </c>
      <c r="J65" s="341" t="str">
        <f>IF(A65="","",VLOOKUP(A65,VII.A!$A$10:$D$199,3,FALSE))</f>
        <v/>
      </c>
      <c r="K65" s="342" t="str">
        <f t="shared" si="14"/>
        <v/>
      </c>
      <c r="L65" s="380" t="str">
        <f>IF(C65="","",G59*C65)</f>
        <v/>
      </c>
      <c r="M65" s="381" t="str">
        <f>IF(A65="","",VLOOKUP(A65,VII.A!$A$10:$B$199,2,FALSE))</f>
        <v/>
      </c>
      <c r="N65" s="342" t="str">
        <f t="shared" si="15"/>
        <v/>
      </c>
      <c r="R65" s="341"/>
      <c r="S65" s="341"/>
    </row>
    <row r="66" spans="1:21" ht="12.75" customHeight="1">
      <c r="A66" s="385"/>
      <c r="B66" s="386"/>
      <c r="C66" s="20"/>
      <c r="D66" s="342"/>
      <c r="E66" s="387"/>
      <c r="F66" s="388">
        <f t="shared" si="12"/>
        <v>0</v>
      </c>
      <c r="H66" s="341" t="str">
        <f>IF(A66="","",VLOOKUP(A66,VII.A!$A$10:$D$199,4,FALSE))</f>
        <v/>
      </c>
      <c r="I66" s="341" t="str">
        <f t="shared" si="13"/>
        <v/>
      </c>
      <c r="J66" s="341" t="str">
        <f>IF(A66="","",VLOOKUP(A66,VII.A!$A$10:$D$199,3,FALSE))</f>
        <v/>
      </c>
      <c r="K66" s="342" t="str">
        <f t="shared" si="14"/>
        <v/>
      </c>
      <c r="L66" s="380" t="str">
        <f>IF(C66="","",G59*C66)</f>
        <v/>
      </c>
      <c r="M66" s="381" t="str">
        <f>IF(A66="","",VLOOKUP(A66,VII.A!$A$10:$B$199,2,FALSE))</f>
        <v/>
      </c>
      <c r="N66" s="342" t="str">
        <f t="shared" si="15"/>
        <v/>
      </c>
      <c r="R66" s="341"/>
      <c r="S66" s="341"/>
      <c r="U66" s="389"/>
    </row>
    <row r="67" spans="1:21" ht="12.75" customHeight="1">
      <c r="A67" s="385"/>
      <c r="B67" s="386"/>
      <c r="C67" s="20"/>
      <c r="D67" s="342"/>
      <c r="E67" s="387"/>
      <c r="F67" s="388">
        <f t="shared" si="12"/>
        <v>0</v>
      </c>
      <c r="H67" s="341" t="str">
        <f>IF(A67="","",VLOOKUP(A67,VII.A!$A$10:$D$199,4,FALSE))</f>
        <v/>
      </c>
      <c r="I67" s="341" t="str">
        <f t="shared" si="13"/>
        <v/>
      </c>
      <c r="J67" s="341" t="str">
        <f>IF(A67="","",VLOOKUP(A67,VII.A!$A$10:$D$199,3,FALSE))</f>
        <v/>
      </c>
      <c r="K67" s="342" t="str">
        <f t="shared" si="14"/>
        <v/>
      </c>
      <c r="L67" s="380" t="str">
        <f>IF(C67="","",G59*C67)</f>
        <v/>
      </c>
      <c r="M67" s="381" t="str">
        <f>IF(A67="","",VLOOKUP(A67,VII.A!$A$10:$B$199,2,FALSE))</f>
        <v/>
      </c>
      <c r="N67" s="342" t="str">
        <f t="shared" si="15"/>
        <v/>
      </c>
      <c r="R67" s="341"/>
      <c r="S67" s="341"/>
    </row>
    <row r="68" spans="1:21" ht="12.75" customHeight="1">
      <c r="A68" s="385"/>
      <c r="B68" s="386"/>
      <c r="C68" s="20"/>
      <c r="D68" s="342"/>
      <c r="E68" s="387"/>
      <c r="F68" s="388">
        <f t="shared" si="12"/>
        <v>0</v>
      </c>
      <c r="G68" s="390"/>
      <c r="H68" s="341" t="str">
        <f>IF(A68="","",VLOOKUP(A68,VII.A!$A$10:$D$199,4,FALSE))</f>
        <v/>
      </c>
      <c r="I68" s="341" t="str">
        <f t="shared" si="13"/>
        <v/>
      </c>
      <c r="J68" s="341" t="str">
        <f>IF(A68="","",VLOOKUP(A68,VII.A!$A$10:$D$199,3,FALSE))</f>
        <v/>
      </c>
      <c r="K68" s="342" t="str">
        <f t="shared" si="14"/>
        <v/>
      </c>
      <c r="L68" s="380" t="str">
        <f>IF(C68="","",G59*C68)</f>
        <v/>
      </c>
      <c r="M68" s="381" t="str">
        <f>IF(A68="","",VLOOKUP(A68,VII.A!$A$10:$B$199,2,FALSE))</f>
        <v/>
      </c>
      <c r="N68" s="342" t="str">
        <f t="shared" si="15"/>
        <v/>
      </c>
      <c r="R68" s="341"/>
      <c r="S68" s="341"/>
    </row>
    <row r="69" spans="1:21" ht="12.75" customHeight="1">
      <c r="A69" s="385"/>
      <c r="B69" s="386"/>
      <c r="C69" s="20"/>
      <c r="D69" s="342"/>
      <c r="E69" s="387"/>
      <c r="F69" s="388">
        <f t="shared" si="12"/>
        <v>0</v>
      </c>
      <c r="G69" s="390"/>
      <c r="H69" s="341" t="str">
        <f>IF(A69="","",VLOOKUP(A69,VII.A!$A$10:$D$199,4,FALSE))</f>
        <v/>
      </c>
      <c r="I69" s="341" t="str">
        <f t="shared" si="13"/>
        <v/>
      </c>
      <c r="J69" s="341" t="str">
        <f>IF(A69="","",VLOOKUP(A69,VII.A!$A$10:$D$199,3,FALSE))</f>
        <v/>
      </c>
      <c r="K69" s="342" t="str">
        <f t="shared" si="14"/>
        <v/>
      </c>
      <c r="L69" s="380" t="str">
        <f>IF(C69="","",G59*C69)</f>
        <v/>
      </c>
      <c r="M69" s="381" t="str">
        <f>IF(A69="","",VLOOKUP(A69,VII.A!$A$10:$B$199,2,FALSE))</f>
        <v/>
      </c>
      <c r="N69" s="342" t="str">
        <f t="shared" si="15"/>
        <v/>
      </c>
      <c r="R69" s="341"/>
      <c r="S69" s="341"/>
    </row>
    <row r="70" spans="1:21" ht="12.75" customHeight="1">
      <c r="A70" s="385"/>
      <c r="B70" s="386"/>
      <c r="C70" s="20"/>
      <c r="D70" s="342"/>
      <c r="E70" s="387"/>
      <c r="F70" s="388">
        <f t="shared" si="12"/>
        <v>0</v>
      </c>
      <c r="G70" s="391"/>
      <c r="H70" s="341" t="str">
        <f>IF(A70="","",VLOOKUP(A70,VII.A!$A$10:$D$199,4,FALSE))</f>
        <v/>
      </c>
      <c r="I70" s="341" t="str">
        <f t="shared" si="13"/>
        <v/>
      </c>
      <c r="J70" s="341" t="str">
        <f>IF(A70="","",VLOOKUP(A70,VII.A!$A$10:$D$199,3,FALSE))</f>
        <v/>
      </c>
      <c r="K70" s="342" t="str">
        <f t="shared" si="14"/>
        <v/>
      </c>
      <c r="L70" s="380" t="str">
        <f>IF(C70="","",G59*C70)</f>
        <v/>
      </c>
      <c r="M70" s="381" t="str">
        <f>IF(A70="","",VLOOKUP(A70,VII.A!$A$10:$B$199,2,FALSE))</f>
        <v/>
      </c>
      <c r="N70" s="342" t="str">
        <f t="shared" si="15"/>
        <v/>
      </c>
      <c r="R70" s="341"/>
      <c r="S70" s="341"/>
    </row>
    <row r="71" spans="1:21" ht="12.75" customHeight="1">
      <c r="A71" s="385"/>
      <c r="B71" s="386"/>
      <c r="C71" s="20"/>
      <c r="D71" s="342"/>
      <c r="E71" s="387"/>
      <c r="F71" s="388">
        <f t="shared" si="12"/>
        <v>0</v>
      </c>
      <c r="H71" s="341" t="str">
        <f>IF(A71="","",VLOOKUP(A71,VII.A!$A$10:$D$199,4,FALSE))</f>
        <v/>
      </c>
      <c r="I71" s="341" t="str">
        <f t="shared" si="13"/>
        <v/>
      </c>
      <c r="J71" s="341" t="str">
        <f>IF(A71="","",VLOOKUP(A71,VII.A!$A$10:$D$199,3,FALSE))</f>
        <v/>
      </c>
      <c r="K71" s="342" t="str">
        <f t="shared" si="14"/>
        <v/>
      </c>
      <c r="L71" s="380" t="str">
        <f>IF(C71="","",G59*C71)</f>
        <v/>
      </c>
      <c r="M71" s="381" t="str">
        <f>IF(A71="","",VLOOKUP(A71,VII.A!$A$10:$B$199,2,FALSE))</f>
        <v/>
      </c>
      <c r="N71" s="342" t="str">
        <f t="shared" si="15"/>
        <v/>
      </c>
      <c r="R71" s="341"/>
      <c r="S71" s="341"/>
    </row>
    <row r="72" spans="1:21" ht="12.75" customHeight="1">
      <c r="A72" s="385"/>
      <c r="B72" s="386"/>
      <c r="C72" s="20"/>
      <c r="D72" s="392"/>
      <c r="E72" s="387"/>
      <c r="F72" s="388">
        <f t="shared" si="12"/>
        <v>0</v>
      </c>
      <c r="H72" s="341" t="str">
        <f>IF(A72="","",VLOOKUP(A72,VII.A!$A$10:$D$199,4,FALSE))</f>
        <v/>
      </c>
      <c r="I72" s="341" t="str">
        <f t="shared" si="13"/>
        <v/>
      </c>
      <c r="J72" s="341" t="str">
        <f>IF(A72="","",VLOOKUP(A72,VII.A!$A$10:$D$199,3,FALSE))</f>
        <v/>
      </c>
      <c r="K72" s="342" t="str">
        <f t="shared" si="14"/>
        <v/>
      </c>
      <c r="L72" s="380" t="str">
        <f>IF(C72="","",G59*C72)</f>
        <v/>
      </c>
      <c r="M72" s="381" t="str">
        <f>IF(A72="","",VLOOKUP(A72,VII.A!$A$10:$B$199,2,FALSE))</f>
        <v/>
      </c>
      <c r="N72" s="342" t="str">
        <f t="shared" si="15"/>
        <v/>
      </c>
      <c r="R72" s="341"/>
      <c r="S72" s="341"/>
    </row>
    <row r="73" spans="1:21" ht="12.75" customHeight="1">
      <c r="A73" s="385"/>
      <c r="B73" s="386"/>
      <c r="C73" s="20"/>
      <c r="D73" s="392"/>
      <c r="E73" s="387"/>
      <c r="F73" s="388">
        <f t="shared" si="12"/>
        <v>0</v>
      </c>
      <c r="H73" s="341" t="str">
        <f>IF(A73="","",VLOOKUP(A73,VII.A!$A$10:$D$199,4,FALSE))</f>
        <v/>
      </c>
      <c r="I73" s="341" t="str">
        <f t="shared" si="13"/>
        <v/>
      </c>
      <c r="J73" s="341" t="str">
        <f>IF(A73="","",VLOOKUP(A73,VII.A!$A$10:$D$199,3,FALSE))</f>
        <v/>
      </c>
      <c r="K73" s="342" t="str">
        <f t="shared" si="14"/>
        <v/>
      </c>
      <c r="L73" s="380" t="str">
        <f>IF(C73="","",G59*C73)</f>
        <v/>
      </c>
      <c r="M73" s="381" t="str">
        <f>IF(A73="","",VLOOKUP(A73,VII.A!$A$10:$B$199,2,FALSE))</f>
        <v/>
      </c>
      <c r="N73" s="342" t="str">
        <f t="shared" si="15"/>
        <v/>
      </c>
      <c r="O73" s="342"/>
      <c r="R73" s="341"/>
      <c r="S73" s="341"/>
    </row>
    <row r="74" spans="1:21" ht="12.75" customHeight="1">
      <c r="A74" s="385"/>
      <c r="B74" s="386"/>
      <c r="C74" s="20"/>
      <c r="D74" s="392"/>
      <c r="E74" s="387"/>
      <c r="F74" s="388">
        <f t="shared" si="12"/>
        <v>0</v>
      </c>
      <c r="H74" s="341" t="str">
        <f>IF(A74="","",VLOOKUP(A74,VII.A!$A$10:$D$199,4,FALSE))</f>
        <v/>
      </c>
      <c r="I74" s="341" t="str">
        <f t="shared" si="13"/>
        <v/>
      </c>
      <c r="J74" s="341" t="str">
        <f>IF(A74="","",VLOOKUP(A74,VII.A!$A$10:$D$199,3,FALSE))</f>
        <v/>
      </c>
      <c r="K74" s="342" t="str">
        <f t="shared" si="14"/>
        <v/>
      </c>
      <c r="L74" s="380" t="str">
        <f>IF(C74="","",G59*C74)</f>
        <v/>
      </c>
      <c r="M74" s="381" t="str">
        <f>IF(A74="","",VLOOKUP(A74,VII.A!$A$10:$B$199,2,FALSE))</f>
        <v/>
      </c>
      <c r="N74" s="342" t="str">
        <f t="shared" si="15"/>
        <v/>
      </c>
      <c r="R74" s="341"/>
      <c r="S74" s="341"/>
    </row>
    <row r="75" spans="1:21" ht="12.75" customHeight="1">
      <c r="A75" s="393"/>
      <c r="C75" s="20"/>
      <c r="E75" s="387"/>
      <c r="F75" s="388">
        <f t="shared" si="12"/>
        <v>0</v>
      </c>
      <c r="H75" s="341" t="str">
        <f>IF(A75="","",VLOOKUP(A75,VII.A!$A$10:$D$199,4,FALSE))</f>
        <v/>
      </c>
      <c r="I75" s="341" t="str">
        <f t="shared" si="13"/>
        <v/>
      </c>
      <c r="J75" s="341" t="str">
        <f>IF(A75="","",VLOOKUP(A75,VII.A!$A$10:$D$199,3,FALSE))</f>
        <v/>
      </c>
      <c r="K75" s="342" t="str">
        <f t="shared" si="14"/>
        <v/>
      </c>
      <c r="L75" s="380" t="str">
        <f>IF(C75="","",G59*C75)</f>
        <v/>
      </c>
      <c r="M75" s="381" t="str">
        <f>IF(A75="","",VLOOKUP(A75,VII.A!$A$10:$B$199,2,FALSE))</f>
        <v/>
      </c>
      <c r="N75" s="342" t="str">
        <f t="shared" si="15"/>
        <v/>
      </c>
      <c r="R75" s="341"/>
      <c r="S75" s="341"/>
    </row>
    <row r="76" spans="1:21" ht="12.75" customHeight="1">
      <c r="A76" s="393"/>
      <c r="C76" s="20"/>
      <c r="E76" s="387"/>
      <c r="F76" s="388">
        <f t="shared" si="12"/>
        <v>0</v>
      </c>
      <c r="H76" s="341" t="str">
        <f>IF(A76="","",VLOOKUP(A76,VII.A!$A$10:$D$199,4,FALSE))</f>
        <v/>
      </c>
      <c r="I76" s="341" t="str">
        <f t="shared" si="13"/>
        <v/>
      </c>
      <c r="J76" s="341" t="str">
        <f>IF(A76="","",VLOOKUP(A76,VII.A!$A$10:$D$199,3,FALSE))</f>
        <v/>
      </c>
      <c r="K76" s="342" t="str">
        <f t="shared" si="14"/>
        <v/>
      </c>
      <c r="L76" s="380" t="str">
        <f>IF(C76="","",G59*C76)</f>
        <v/>
      </c>
      <c r="M76" s="381" t="str">
        <f>IF(A76="","",VLOOKUP(A76,VII.A!$A$10:$B$199,2,FALSE))</f>
        <v/>
      </c>
      <c r="N76" s="342" t="str">
        <f t="shared" si="15"/>
        <v/>
      </c>
      <c r="R76" s="341"/>
      <c r="S76" s="341"/>
    </row>
    <row r="77" spans="1:21" ht="12.75" customHeight="1">
      <c r="A77" s="393"/>
      <c r="B77" s="395" t="s">
        <v>226</v>
      </c>
      <c r="C77" s="396"/>
      <c r="D77" s="397"/>
      <c r="E77" s="398"/>
      <c r="F77" s="420">
        <f>SUM(F61:F76)</f>
        <v>0</v>
      </c>
      <c r="J77" s="341"/>
      <c r="L77" s="380"/>
      <c r="M77" s="381"/>
      <c r="N77" s="342"/>
      <c r="R77" s="341"/>
      <c r="S77" s="341"/>
    </row>
    <row r="78" spans="1:21" ht="12.75" customHeight="1">
      <c r="A78" s="393"/>
      <c r="B78" s="400" t="s">
        <v>53</v>
      </c>
      <c r="C78" s="2">
        <f>$D$8</f>
        <v>0</v>
      </c>
      <c r="D78" s="401"/>
      <c r="E78" s="402"/>
      <c r="F78" s="421">
        <f>ROUND(F77*C78,2)</f>
        <v>0</v>
      </c>
      <c r="J78" s="341"/>
      <c r="L78" s="380"/>
      <c r="M78" s="381"/>
      <c r="N78" s="342"/>
      <c r="R78" s="341"/>
      <c r="S78" s="341"/>
    </row>
    <row r="79" spans="1:21" ht="12.75" customHeight="1">
      <c r="A79" s="404"/>
      <c r="B79" s="405" t="s">
        <v>227</v>
      </c>
      <c r="C79" s="406"/>
      <c r="D79" s="406"/>
      <c r="E79" s="407"/>
      <c r="F79" s="422">
        <f>F77+F78</f>
        <v>0</v>
      </c>
      <c r="J79" s="341"/>
      <c r="L79" s="380"/>
      <c r="M79" s="381"/>
      <c r="N79" s="342"/>
      <c r="R79" s="341"/>
      <c r="S79" s="341"/>
    </row>
    <row r="80" spans="1:21" ht="12.75" customHeight="1">
      <c r="A80" s="374" t="s">
        <v>2</v>
      </c>
      <c r="B80" s="375" t="s">
        <v>235</v>
      </c>
      <c r="C80" s="376" t="s">
        <v>231</v>
      </c>
      <c r="D80" s="376" t="s">
        <v>232</v>
      </c>
      <c r="E80" s="377" t="s">
        <v>233</v>
      </c>
      <c r="F80" s="378" t="s">
        <v>234</v>
      </c>
      <c r="J80" s="341"/>
      <c r="L80" s="380"/>
      <c r="M80" s="381"/>
      <c r="N80" s="342"/>
      <c r="R80" s="341"/>
      <c r="S80" s="341"/>
    </row>
    <row r="81" spans="1:19" ht="12.75" customHeight="1">
      <c r="A81" s="393"/>
      <c r="B81" s="423"/>
      <c r="C81" s="20"/>
      <c r="E81" s="387"/>
      <c r="F81" s="388">
        <f t="shared" ref="F81:F90" si="16">ROUND(C81*E81,2)</f>
        <v>0</v>
      </c>
      <c r="H81" s="341" t="str">
        <f>IF(A81="","",VLOOKUP(A81,VII.A!$A$10:$D$199,4,FALSE))</f>
        <v/>
      </c>
      <c r="I81" s="341" t="str">
        <f t="shared" ref="I81" si="17">IF(A81="","",IF(E81=H81,"SIM","NÃO"))</f>
        <v/>
      </c>
      <c r="J81" s="341" t="str">
        <f>IF(A81="","",VLOOKUP(A81,VII.A!$A$10:$D$199,3,FALSE))</f>
        <v/>
      </c>
      <c r="K81" s="342" t="str">
        <f t="shared" ref="K81" si="18">IF(A81="","",IF(J81=D81,"SIM","NÃO"))</f>
        <v/>
      </c>
      <c r="L81" s="380" t="str">
        <f>IF(C81="","",G59*C81)</f>
        <v/>
      </c>
      <c r="M81" s="381" t="str">
        <f>IF(A81="","",VLOOKUP(A81,VII.A!$A$10:$B$199,2,FALSE))</f>
        <v/>
      </c>
      <c r="N81" s="342" t="str">
        <f t="shared" ref="N81" si="19">IF(B81="","",IF(M81=B81,"si","no"))</f>
        <v/>
      </c>
      <c r="R81" s="341"/>
      <c r="S81" s="341"/>
    </row>
    <row r="82" spans="1:19" ht="12.75" customHeight="1">
      <c r="A82" s="393"/>
      <c r="C82" s="20"/>
      <c r="E82" s="387"/>
      <c r="F82" s="388">
        <f t="shared" si="16"/>
        <v>0</v>
      </c>
      <c r="H82" s="341" t="str">
        <f>IF(A82="","",VLOOKUP(A82,VII.A!$A$10:$D$199,4,FALSE))</f>
        <v/>
      </c>
      <c r="I82" s="341" t="str">
        <f>IF(A82="","",IF(E82=H82,"SIM","NÃO"))</f>
        <v/>
      </c>
      <c r="J82" s="341" t="str">
        <f>IF(A82="","",VLOOKUP(A82,VII.A!$A$10:$D$199,3,FALSE))</f>
        <v/>
      </c>
      <c r="K82" s="342" t="str">
        <f>IF(A82="","",IF(J82=D82,"SIM","NÃO"))</f>
        <v/>
      </c>
      <c r="L82" s="380" t="str">
        <f>IF(C82="","",G59*C82)</f>
        <v/>
      </c>
      <c r="M82" s="381" t="str">
        <f>IF(A82="","",VLOOKUP(A82,VII.A!$A$10:$B$199,2,FALSE))</f>
        <v/>
      </c>
      <c r="N82" s="342" t="str">
        <f>IF(B82="","",IF(M82=B82,"si","no"))</f>
        <v/>
      </c>
      <c r="R82" s="341"/>
      <c r="S82" s="341"/>
    </row>
    <row r="83" spans="1:19" ht="12.75" customHeight="1">
      <c r="A83" s="393"/>
      <c r="C83" s="20"/>
      <c r="E83" s="387"/>
      <c r="F83" s="388">
        <f t="shared" si="16"/>
        <v>0</v>
      </c>
      <c r="H83" s="341" t="str">
        <f>IF(A83="","",VLOOKUP(A83,VII.A!$A$10:$D$199,4,FALSE))</f>
        <v/>
      </c>
      <c r="I83" s="341" t="str">
        <f>IF(A83="","",IF(E83=H83,"SIM","NÃO"))</f>
        <v/>
      </c>
      <c r="J83" s="341" t="str">
        <f>IF(A83="","",VLOOKUP(A83,VII.A!$A$10:$D$199,3,FALSE))</f>
        <v/>
      </c>
      <c r="K83" s="342" t="str">
        <f>IF(A83="","",IF(J83=D83,"SIM","NÃO"))</f>
        <v/>
      </c>
      <c r="L83" s="380" t="str">
        <f>IF(C83="","",G59*C83)</f>
        <v/>
      </c>
      <c r="M83" s="381" t="str">
        <f>IF(A83="","",VLOOKUP(A83,VII.A!$A$10:$B$199,2,FALSE))</f>
        <v/>
      </c>
      <c r="N83" s="342" t="str">
        <f>IF(B83="","",IF(M83=B83,"si","no"))</f>
        <v/>
      </c>
      <c r="R83" s="341"/>
      <c r="S83" s="341"/>
    </row>
    <row r="84" spans="1:19" ht="12.75" customHeight="1">
      <c r="A84" s="393"/>
      <c r="C84" s="20"/>
      <c r="E84" s="387"/>
      <c r="F84" s="388">
        <f t="shared" si="16"/>
        <v>0</v>
      </c>
      <c r="H84" s="341" t="str">
        <f>IF(A84="","",VLOOKUP(A84,VII.A!$A$10:$D$199,4,FALSE))</f>
        <v/>
      </c>
      <c r="I84" s="341" t="str">
        <f t="shared" ref="I84" si="20">IF(A84="","",IF(E84=H84,"SIM","NÃO"))</f>
        <v/>
      </c>
      <c r="J84" s="341" t="str">
        <f>IF(A84="","",VLOOKUP(A84,VII.A!$A$10:$D$199,3,FALSE))</f>
        <v/>
      </c>
      <c r="K84" s="342" t="str">
        <f t="shared" ref="K84" si="21">IF(A84="","",IF(J84=D84,"SIM","NÃO"))</f>
        <v/>
      </c>
      <c r="L84" s="380" t="str">
        <f>IF(C84="","",G59*C84)</f>
        <v/>
      </c>
      <c r="M84" s="381" t="str">
        <f>IF(A84="","",VLOOKUP(A84,VII.A!$A$10:$B$199,2,FALSE))</f>
        <v/>
      </c>
      <c r="N84" s="342" t="str">
        <f t="shared" ref="N84" si="22">IF(B84="","",IF(M84=B84,"si","no"))</f>
        <v/>
      </c>
      <c r="R84" s="341"/>
      <c r="S84" s="341"/>
    </row>
    <row r="85" spans="1:19" ht="12.75" customHeight="1">
      <c r="A85" s="393"/>
      <c r="C85" s="20"/>
      <c r="E85" s="387"/>
      <c r="F85" s="388">
        <f t="shared" si="16"/>
        <v>0</v>
      </c>
      <c r="H85" s="341" t="str">
        <f>IF(A85="","",VLOOKUP(A85,VII.A!$A$10:$D$199,4,FALSE))</f>
        <v/>
      </c>
      <c r="I85" s="341" t="str">
        <f>IF(A85="","",IF(E85=H85,"SIM","NÃO"))</f>
        <v/>
      </c>
      <c r="J85" s="341" t="str">
        <f>IF(A85="","",VLOOKUP(A85,VII.A!$A$10:$D$199,3,FALSE))</f>
        <v/>
      </c>
      <c r="K85" s="342" t="str">
        <f>IF(A85="","",IF(J85=D85,"SIM","NÃO"))</f>
        <v/>
      </c>
      <c r="L85" s="380" t="str">
        <f>IF(C85="","",G59*C85)</f>
        <v/>
      </c>
      <c r="M85" s="381" t="str">
        <f>IF(A85="","",VLOOKUP(A85,VII.A!$A$10:$B$199,2,FALSE))</f>
        <v/>
      </c>
      <c r="N85" s="342" t="str">
        <f>IF(B85="","",IF(M85=B85,"si","no"))</f>
        <v/>
      </c>
      <c r="R85" s="341"/>
      <c r="S85" s="341"/>
    </row>
    <row r="86" spans="1:19" ht="12.75" customHeight="1">
      <c r="A86" s="393"/>
      <c r="C86" s="20"/>
      <c r="E86" s="387"/>
      <c r="F86" s="388">
        <f t="shared" si="16"/>
        <v>0</v>
      </c>
      <c r="H86" s="341" t="str">
        <f>IF(A86="","",VLOOKUP(A86,VII.A!$A$10:$D$199,4,FALSE))</f>
        <v/>
      </c>
      <c r="I86" s="341" t="str">
        <f t="shared" ref="I86:I90" si="23">IF(A86="","",IF(E86=H86,"SIM","NÃO"))</f>
        <v/>
      </c>
      <c r="J86" s="341" t="str">
        <f>IF(A86="","",VLOOKUP(A86,VII.A!$A$10:$D$199,3,FALSE))</f>
        <v/>
      </c>
      <c r="K86" s="342" t="str">
        <f t="shared" ref="K86:K90" si="24">IF(A86="","",IF(J86=D86,"SIM","NÃO"))</f>
        <v/>
      </c>
      <c r="L86" s="380" t="str">
        <f>IF(C86="","",G59*C86)</f>
        <v/>
      </c>
      <c r="M86" s="381" t="str">
        <f>IF(A86="","",VLOOKUP(A86,VII.A!$A$10:$B$199,2,FALSE))</f>
        <v/>
      </c>
      <c r="N86" s="342" t="str">
        <f t="shared" ref="N86:N90" si="25">IF(B86="","",IF(M86=B86,"si","no"))</f>
        <v/>
      </c>
      <c r="R86" s="341"/>
      <c r="S86" s="341"/>
    </row>
    <row r="87" spans="1:19" ht="12.75" customHeight="1">
      <c r="A87" s="393"/>
      <c r="C87" s="20"/>
      <c r="E87" s="387"/>
      <c r="F87" s="388">
        <f t="shared" si="16"/>
        <v>0</v>
      </c>
      <c r="G87" s="390"/>
      <c r="H87" s="341" t="str">
        <f>IF(A87="","",VLOOKUP(A87,VII.A!$A$10:$D$199,4,FALSE))</f>
        <v/>
      </c>
      <c r="I87" s="341" t="str">
        <f t="shared" si="23"/>
        <v/>
      </c>
      <c r="J87" s="341" t="str">
        <f>IF(A87="","",VLOOKUP(A87,VII.A!$A$10:$D$199,3,FALSE))</f>
        <v/>
      </c>
      <c r="K87" s="342" t="str">
        <f t="shared" si="24"/>
        <v/>
      </c>
      <c r="L87" s="380" t="str">
        <f>IF(C87="","",G59*C87)</f>
        <v/>
      </c>
      <c r="M87" s="381" t="str">
        <f>IF(A87="","",VLOOKUP(A87,VII.A!$A$10:$B$199,2,FALSE))</f>
        <v/>
      </c>
      <c r="N87" s="342" t="str">
        <f t="shared" si="25"/>
        <v/>
      </c>
      <c r="R87" s="341"/>
      <c r="S87" s="341"/>
    </row>
    <row r="88" spans="1:19" ht="12.75" customHeight="1">
      <c r="A88" s="393"/>
      <c r="C88" s="20"/>
      <c r="E88" s="387"/>
      <c r="F88" s="388">
        <f t="shared" si="16"/>
        <v>0</v>
      </c>
      <c r="G88" s="391"/>
      <c r="H88" s="341" t="str">
        <f>IF(A88="","",VLOOKUP(A88,VII.A!$A$10:$D$199,4,FALSE))</f>
        <v/>
      </c>
      <c r="I88" s="341" t="str">
        <f t="shared" si="23"/>
        <v/>
      </c>
      <c r="J88" s="341" t="str">
        <f>IF(A88="","",VLOOKUP(A88,VII.A!$A$10:$D$199,3,FALSE))</f>
        <v/>
      </c>
      <c r="K88" s="342" t="str">
        <f t="shared" si="24"/>
        <v/>
      </c>
      <c r="L88" s="380" t="str">
        <f>IF(C88="","",G59*C88)</f>
        <v/>
      </c>
      <c r="M88" s="381" t="str">
        <f>IF(A88="","",VLOOKUP(A88,VII.A!$A$10:$B$199,2,FALSE))</f>
        <v/>
      </c>
      <c r="N88" s="342" t="str">
        <f t="shared" si="25"/>
        <v/>
      </c>
      <c r="R88" s="341"/>
      <c r="S88" s="341"/>
    </row>
    <row r="89" spans="1:19" ht="12.75" customHeight="1">
      <c r="A89" s="393"/>
      <c r="C89" s="20"/>
      <c r="E89" s="387"/>
      <c r="F89" s="388">
        <f t="shared" si="16"/>
        <v>0</v>
      </c>
      <c r="H89" s="341" t="str">
        <f>IF(A89="","",VLOOKUP(A89,VII.A!$A$10:$D$199,4,FALSE))</f>
        <v/>
      </c>
      <c r="I89" s="341" t="str">
        <f t="shared" si="23"/>
        <v/>
      </c>
      <c r="J89" s="341" t="str">
        <f>IF(A89="","",VLOOKUP(A89,VII.A!$A$10:$D$199,3,FALSE))</f>
        <v/>
      </c>
      <c r="K89" s="342" t="str">
        <f t="shared" si="24"/>
        <v/>
      </c>
      <c r="L89" s="380" t="str">
        <f>IF(C89="","",G59*C89)</f>
        <v/>
      </c>
      <c r="M89" s="381" t="str">
        <f>IF(A89="","",VLOOKUP(A89,VII.A!$A$10:$B$199,2,FALSE))</f>
        <v/>
      </c>
      <c r="N89" s="342" t="str">
        <f t="shared" si="25"/>
        <v/>
      </c>
      <c r="R89" s="341"/>
      <c r="S89" s="341"/>
    </row>
    <row r="90" spans="1:19" ht="12.75" customHeight="1">
      <c r="A90" s="393"/>
      <c r="C90" s="20"/>
      <c r="E90" s="387"/>
      <c r="F90" s="388">
        <f t="shared" si="16"/>
        <v>0</v>
      </c>
      <c r="H90" s="341" t="str">
        <f>IF(A90="","",VLOOKUP(A90,VII.A!$A$10:$D$199,4,FALSE))</f>
        <v/>
      </c>
      <c r="I90" s="341" t="str">
        <f t="shared" si="23"/>
        <v/>
      </c>
      <c r="J90" s="341" t="str">
        <f>IF(A90="","",VLOOKUP(A90,VII.A!$A$10:$D$199,3,FALSE))</f>
        <v/>
      </c>
      <c r="K90" s="342" t="str">
        <f t="shared" si="24"/>
        <v/>
      </c>
      <c r="L90" s="380" t="str">
        <f>IF(C90="","",G59*C90)</f>
        <v/>
      </c>
      <c r="M90" s="381" t="str">
        <f>IF(A90="","",VLOOKUP(A90,VII.A!$A$10:$B$199,2,FALSE))</f>
        <v/>
      </c>
      <c r="N90" s="342" t="str">
        <f t="shared" si="25"/>
        <v/>
      </c>
      <c r="R90" s="341"/>
      <c r="S90" s="341"/>
    </row>
    <row r="91" spans="1:19" ht="12.75" customHeight="1">
      <c r="A91" s="393"/>
      <c r="B91" s="395" t="s">
        <v>226</v>
      </c>
      <c r="C91" s="396"/>
      <c r="D91" s="397"/>
      <c r="E91" s="398"/>
      <c r="F91" s="399">
        <f>SUM(F81:F90)</f>
        <v>0</v>
      </c>
      <c r="J91" s="341"/>
      <c r="L91" s="380"/>
      <c r="M91" s="381"/>
      <c r="N91" s="342"/>
      <c r="R91" s="341"/>
      <c r="S91" s="341"/>
    </row>
    <row r="92" spans="1:19" ht="12.75" customHeight="1">
      <c r="A92" s="393"/>
      <c r="B92" s="400" t="s">
        <v>53</v>
      </c>
      <c r="C92" s="2">
        <f>$D$8</f>
        <v>0</v>
      </c>
      <c r="D92" s="401"/>
      <c r="E92" s="402"/>
      <c r="F92" s="403">
        <f>ROUND(C92*F91,2)</f>
        <v>0</v>
      </c>
      <c r="J92" s="341"/>
      <c r="L92" s="380"/>
      <c r="M92" s="381"/>
      <c r="N92" s="342"/>
      <c r="R92" s="341"/>
      <c r="S92" s="341"/>
    </row>
    <row r="93" spans="1:19" ht="12.75" customHeight="1">
      <c r="A93" s="404"/>
      <c r="B93" s="405" t="s">
        <v>228</v>
      </c>
      <c r="C93" s="406"/>
      <c r="D93" s="406"/>
      <c r="E93" s="407"/>
      <c r="F93" s="408">
        <f>F91+F92</f>
        <v>0</v>
      </c>
      <c r="J93" s="341"/>
      <c r="L93" s="380"/>
      <c r="M93" s="381"/>
      <c r="N93" s="342"/>
      <c r="R93" s="341"/>
      <c r="S93" s="341"/>
    </row>
    <row r="94" spans="1:19" ht="12.75" customHeight="1">
      <c r="A94" s="409" t="s">
        <v>47</v>
      </c>
      <c r="B94" s="410" t="s">
        <v>236</v>
      </c>
      <c r="C94" s="411" t="s">
        <v>231</v>
      </c>
      <c r="D94" s="412" t="s">
        <v>232</v>
      </c>
      <c r="E94" s="413" t="s">
        <v>233</v>
      </c>
      <c r="F94" s="378" t="s">
        <v>234</v>
      </c>
      <c r="J94" s="341"/>
      <c r="L94" s="380"/>
      <c r="M94" s="381"/>
      <c r="N94" s="342"/>
      <c r="R94" s="341"/>
      <c r="S94" s="341"/>
    </row>
    <row r="95" spans="1:19" ht="12.75" customHeight="1">
      <c r="A95" s="393" t="str">
        <f>VII.A!$A$183</f>
        <v>3.3</v>
      </c>
      <c r="B95" s="394" t="s">
        <v>144</v>
      </c>
      <c r="C95" s="20">
        <v>0.56000000000000005</v>
      </c>
      <c r="D95" s="384" t="str">
        <f>VLOOKUP(A95,VII.A!$A$10:$G$199,3,FALSE)</f>
        <v>H</v>
      </c>
      <c r="E95" s="387">
        <f>VII.A!$D$183</f>
        <v>0</v>
      </c>
      <c r="F95" s="388">
        <f t="shared" ref="F95:F101" si="26">ROUND(C95*E95,2)</f>
        <v>0</v>
      </c>
      <c r="H95" s="341">
        <f>IF(A95="","",VLOOKUP(A95,VII.A!$A$10:$D$199,4,FALSE))</f>
        <v>0</v>
      </c>
      <c r="I95" s="341" t="str">
        <f t="shared" ref="I95:I101" si="27">IF(A95="","",IF(E95=H95,"SIM","NÃO"))</f>
        <v>SIM</v>
      </c>
      <c r="J95" s="341" t="str">
        <f>IF(A95="","",VLOOKUP(A95,VII.A!$A$10:$D$199,3,FALSE))</f>
        <v>H</v>
      </c>
      <c r="K95" s="342" t="str">
        <f t="shared" ref="K95:K101" si="28">IF(A95="","",IF(J95=D95,"SIM","NÃO"))</f>
        <v>SIM</v>
      </c>
      <c r="L95" s="380">
        <f>IF(C95="","",G59*C95)</f>
        <v>50.400000000000006</v>
      </c>
      <c r="M95" s="381" t="str">
        <f>IF(A95="","",VLOOKUP(A95,VII.A!$A$10:$B$199,2,FALSE))</f>
        <v>AJUDANTE DE CARPINTEIRO</v>
      </c>
      <c r="N95" s="342" t="str">
        <f t="shared" ref="N95:N101" si="29">IF(B95="","",IF(M95=B95,"si","no"))</f>
        <v>no</v>
      </c>
      <c r="R95" s="341"/>
      <c r="S95" s="341"/>
    </row>
    <row r="96" spans="1:19" ht="12.75" customHeight="1">
      <c r="A96" s="393" t="str">
        <f>VII.A!$A$186</f>
        <v>3.6</v>
      </c>
      <c r="B96" s="394" t="s">
        <v>147</v>
      </c>
      <c r="C96" s="20">
        <v>0.56000000000000005</v>
      </c>
      <c r="D96" s="384" t="str">
        <f>VLOOKUP(A96,VII.A!$A$10:$G$199,3,FALSE)</f>
        <v>H</v>
      </c>
      <c r="E96" s="387">
        <f>VII.A!$D$186</f>
        <v>0</v>
      </c>
      <c r="F96" s="388">
        <f t="shared" si="26"/>
        <v>0</v>
      </c>
      <c r="H96" s="341">
        <f>IF(A96="","",VLOOKUP(A96,VII.A!$A$10:$D$199,4,FALSE))</f>
        <v>0</v>
      </c>
      <c r="I96" s="341" t="str">
        <f t="shared" si="27"/>
        <v>SIM</v>
      </c>
      <c r="J96" s="341" t="str">
        <f>IF(A96="","",VLOOKUP(A96,VII.A!$A$10:$D$199,3,FALSE))</f>
        <v>H</v>
      </c>
      <c r="K96" s="342" t="str">
        <f t="shared" si="28"/>
        <v>SIM</v>
      </c>
      <c r="L96" s="380">
        <f>IF(C96="","",G59*C96)</f>
        <v>50.400000000000006</v>
      </c>
      <c r="M96" s="381" t="str">
        <f>IF(A96="","",VLOOKUP(A96,VII.A!$A$10:$B$199,2,FALSE))</f>
        <v>CARPINTEIRO COM ENCARGOS COMPLEMENTARES</v>
      </c>
      <c r="N96" s="342" t="str">
        <f t="shared" si="29"/>
        <v>si</v>
      </c>
      <c r="R96" s="341"/>
      <c r="S96" s="341"/>
    </row>
    <row r="97" spans="1:25" ht="12.75" customHeight="1">
      <c r="A97" s="393"/>
      <c r="C97" s="20"/>
      <c r="E97" s="387"/>
      <c r="F97" s="388">
        <f t="shared" si="26"/>
        <v>0</v>
      </c>
      <c r="H97" s="341" t="str">
        <f>IF(A97="","",VLOOKUP(A97,VII.A!$A$10:$D$199,4,FALSE))</f>
        <v/>
      </c>
      <c r="I97" s="341" t="str">
        <f t="shared" si="27"/>
        <v/>
      </c>
      <c r="J97" s="341" t="str">
        <f>IF(A97="","",VLOOKUP(A97,VII.A!$A$10:$D$199,3,FALSE))</f>
        <v/>
      </c>
      <c r="K97" s="342" t="str">
        <f t="shared" si="28"/>
        <v/>
      </c>
      <c r="L97" s="380" t="str">
        <f>IF(C97="","",G59*C97)</f>
        <v/>
      </c>
      <c r="M97" s="381" t="str">
        <f>IF(A97="","",VLOOKUP(A97,VII.A!$A$10:$B$199,2,FALSE))</f>
        <v/>
      </c>
      <c r="N97" s="342" t="str">
        <f t="shared" si="29"/>
        <v/>
      </c>
      <c r="R97" s="341"/>
      <c r="S97" s="341"/>
    </row>
    <row r="98" spans="1:25" ht="12.75" customHeight="1">
      <c r="A98" s="393"/>
      <c r="C98" s="20"/>
      <c r="E98" s="387"/>
      <c r="F98" s="388">
        <f t="shared" si="26"/>
        <v>0</v>
      </c>
      <c r="H98" s="341" t="str">
        <f>IF(A98="","",VLOOKUP(A98,VII.A!$A$10:$D$199,4,FALSE))</f>
        <v/>
      </c>
      <c r="I98" s="341" t="str">
        <f t="shared" si="27"/>
        <v/>
      </c>
      <c r="J98" s="341" t="str">
        <f>IF(A98="","",VLOOKUP(A98,VII.A!$A$10:$D$199,3,FALSE))</f>
        <v/>
      </c>
      <c r="K98" s="342" t="str">
        <f t="shared" si="28"/>
        <v/>
      </c>
      <c r="L98" s="380" t="str">
        <f>IF(C98="","",G59*C98)</f>
        <v/>
      </c>
      <c r="M98" s="381" t="str">
        <f>IF(A98="","",VLOOKUP(A98,VII.A!$A$10:$B$199,2,FALSE))</f>
        <v/>
      </c>
      <c r="N98" s="342" t="str">
        <f t="shared" si="29"/>
        <v/>
      </c>
      <c r="R98" s="341"/>
      <c r="S98" s="341"/>
    </row>
    <row r="99" spans="1:25" ht="12.75" customHeight="1">
      <c r="A99" s="393"/>
      <c r="C99" s="20"/>
      <c r="E99" s="387"/>
      <c r="F99" s="388">
        <f t="shared" si="26"/>
        <v>0</v>
      </c>
      <c r="H99" s="341" t="str">
        <f>IF(A99="","",VLOOKUP(A99,VII.A!$A$10:$D$199,4,FALSE))</f>
        <v/>
      </c>
      <c r="I99" s="341" t="str">
        <f t="shared" si="27"/>
        <v/>
      </c>
      <c r="J99" s="341" t="str">
        <f>IF(A99="","",VLOOKUP(A99,VII.A!$A$10:$D$199,3,FALSE))</f>
        <v/>
      </c>
      <c r="K99" s="342" t="str">
        <f t="shared" si="28"/>
        <v/>
      </c>
      <c r="L99" s="380" t="str">
        <f>IF(C99="","",G59*C99)</f>
        <v/>
      </c>
      <c r="M99" s="381" t="str">
        <f>IF(A99="","",VLOOKUP(A99,VII.A!$A$10:$B$199,2,FALSE))</f>
        <v/>
      </c>
      <c r="N99" s="342" t="str">
        <f t="shared" si="29"/>
        <v/>
      </c>
      <c r="R99" s="341"/>
      <c r="S99" s="341"/>
    </row>
    <row r="100" spans="1:25" ht="12.75" customHeight="1">
      <c r="A100" s="393"/>
      <c r="C100" s="20"/>
      <c r="E100" s="387"/>
      <c r="F100" s="388">
        <f t="shared" si="26"/>
        <v>0</v>
      </c>
      <c r="H100" s="341" t="str">
        <f>IF(A100="","",VLOOKUP(A100,VII.A!$A$10:$D$199,4,FALSE))</f>
        <v/>
      </c>
      <c r="I100" s="341" t="str">
        <f t="shared" si="27"/>
        <v/>
      </c>
      <c r="J100" s="341" t="str">
        <f>IF(A100="","",VLOOKUP(A100,VII.A!$A$10:$D$199,3,FALSE))</f>
        <v/>
      </c>
      <c r="K100" s="342" t="str">
        <f t="shared" si="28"/>
        <v/>
      </c>
      <c r="L100" s="380" t="str">
        <f>IF(C100="","",G59*C100)</f>
        <v/>
      </c>
      <c r="M100" s="381" t="str">
        <f>IF(A100="","",VLOOKUP(A100,VII.A!$A$10:$B$199,2,FALSE))</f>
        <v/>
      </c>
      <c r="N100" s="342" t="str">
        <f t="shared" si="29"/>
        <v/>
      </c>
      <c r="R100" s="341"/>
      <c r="S100" s="341"/>
    </row>
    <row r="101" spans="1:25" ht="12.75" customHeight="1">
      <c r="A101" s="393"/>
      <c r="C101" s="20"/>
      <c r="E101" s="387"/>
      <c r="F101" s="388">
        <f t="shared" si="26"/>
        <v>0</v>
      </c>
      <c r="H101" s="341" t="str">
        <f>IF(A101="","",VLOOKUP(A101,VII.A!$A$10:$D$199,4,FALSE))</f>
        <v/>
      </c>
      <c r="I101" s="341" t="str">
        <f t="shared" si="27"/>
        <v/>
      </c>
      <c r="J101" s="341" t="str">
        <f>IF(A101="","",VLOOKUP(A101,VII.A!$A$10:$D$199,3,FALSE))</f>
        <v/>
      </c>
      <c r="K101" s="342" t="str">
        <f t="shared" si="28"/>
        <v/>
      </c>
      <c r="L101" s="380" t="str">
        <f>IF(C101="","",G59*C101)</f>
        <v/>
      </c>
      <c r="M101" s="381" t="str">
        <f>IF(A101="","",VLOOKUP(A101,VII.A!$A$10:$B$199,2,FALSE))</f>
        <v/>
      </c>
      <c r="N101" s="342" t="str">
        <f t="shared" si="29"/>
        <v/>
      </c>
      <c r="R101" s="341"/>
      <c r="S101" s="341"/>
    </row>
    <row r="102" spans="1:25" ht="12.75" customHeight="1">
      <c r="A102" s="393"/>
      <c r="B102" s="395" t="s">
        <v>226</v>
      </c>
      <c r="C102" s="396"/>
      <c r="D102" s="397"/>
      <c r="E102" s="398"/>
      <c r="F102" s="399">
        <f>SUM(F95:F101)</f>
        <v>0</v>
      </c>
      <c r="J102" s="341"/>
      <c r="L102" s="380"/>
      <c r="M102" s="381"/>
      <c r="N102" s="342"/>
      <c r="R102" s="341"/>
      <c r="S102" s="341"/>
    </row>
    <row r="103" spans="1:25" ht="12.75" customHeight="1">
      <c r="A103" s="393"/>
      <c r="B103" s="400" t="s">
        <v>229</v>
      </c>
      <c r="C103" s="2">
        <f>IX.A!$C$45</f>
        <v>0</v>
      </c>
      <c r="D103" s="401"/>
      <c r="E103" s="402"/>
      <c r="F103" s="403">
        <f>ROUND(F102*C103,2)</f>
        <v>0</v>
      </c>
      <c r="J103" s="341"/>
      <c r="L103" s="380"/>
      <c r="M103" s="381"/>
      <c r="N103" s="342"/>
      <c r="R103" s="341"/>
      <c r="S103" s="341"/>
    </row>
    <row r="104" spans="1:25" ht="12.75" customHeight="1">
      <c r="A104" s="393"/>
      <c r="B104" s="400" t="s">
        <v>53</v>
      </c>
      <c r="C104" s="2">
        <f>$D$8</f>
        <v>0</v>
      </c>
      <c r="D104" s="401"/>
      <c r="E104" s="402"/>
      <c r="F104" s="403">
        <f>ROUND(SUM(F102:F103)*C104,2)</f>
        <v>0</v>
      </c>
      <c r="J104" s="341"/>
      <c r="L104" s="380"/>
      <c r="M104" s="381"/>
      <c r="N104" s="342"/>
      <c r="R104" s="341"/>
      <c r="S104" s="341"/>
    </row>
    <row r="105" spans="1:25" ht="12.75" customHeight="1" thickBot="1">
      <c r="A105" s="414"/>
      <c r="B105" s="415" t="s">
        <v>230</v>
      </c>
      <c r="C105" s="416"/>
      <c r="D105" s="416"/>
      <c r="E105" s="417"/>
      <c r="F105" s="418">
        <f>SUM(F102:F104)</f>
        <v>0</v>
      </c>
      <c r="J105" s="341"/>
      <c r="L105" s="380"/>
      <c r="M105" s="381"/>
      <c r="N105" s="342"/>
      <c r="R105" s="341"/>
      <c r="S105" s="341"/>
    </row>
    <row r="106" spans="1:25" ht="12.75" customHeight="1" thickBot="1">
      <c r="A106" s="357"/>
      <c r="B106" s="358"/>
      <c r="C106" s="359"/>
      <c r="D106" s="359"/>
      <c r="E106" s="360"/>
      <c r="F106" s="419"/>
      <c r="J106" s="341"/>
      <c r="L106" s="380"/>
      <c r="M106" s="381"/>
      <c r="N106" s="342"/>
      <c r="R106" s="341"/>
      <c r="S106" s="341"/>
    </row>
    <row r="107" spans="1:25" ht="30" customHeight="1">
      <c r="A107" s="370" t="str">
        <f>IV.A!$A$18</f>
        <v>1.3</v>
      </c>
      <c r="B107" s="371" t="str">
        <f>IV.A!$B$18</f>
        <v>VIGILANTE PARA ÁREAS EM OBRA</v>
      </c>
      <c r="C107" s="871" t="s">
        <v>237</v>
      </c>
      <c r="D107" s="872"/>
      <c r="E107" s="372" t="str">
        <f>IV.A!$C$18</f>
        <v>H</v>
      </c>
      <c r="F107" s="11">
        <f>ROUND(F127+F141+F153,2)</f>
        <v>0</v>
      </c>
      <c r="G107" s="1">
        <f>VLOOKUP(A107,IV.A!$A$16:$L$172,4,FALSE)</f>
        <v>8640</v>
      </c>
      <c r="H107" s="361">
        <f>SUM(F109:F124)+F126</f>
        <v>0</v>
      </c>
      <c r="I107" s="361">
        <f>SUM(F129:F138)+F140</f>
        <v>0</v>
      </c>
      <c r="J107" s="361">
        <f>SUM(F143:F149)+F151+F152</f>
        <v>0</v>
      </c>
      <c r="K107" s="361">
        <f>SUM(H107:J107)</f>
        <v>0</v>
      </c>
      <c r="L107" s="362" t="str">
        <f>IF(K107=F107,"SIM","NÃO")</f>
        <v>SIM</v>
      </c>
      <c r="M107" s="373">
        <f>ROUND(SUM(F109:F124),2)+ROUND(SUM(F109:F124)*C126,2)+ROUND(SUM(F129:F138)*C140,2)+ROUND(SUM(F129:F138),2)+ROUND(SUM(F143:F149)*C151,2)+ROUND((SUM(F143:F149)+ROUND(SUM(F143:F149)*C151,2))*C152,2)+ROUND(SUM(F143:F149),2)</f>
        <v>0</v>
      </c>
      <c r="N107" s="343" t="str">
        <f>IF(M107=F107,"SIM","NÃO")</f>
        <v>SIM</v>
      </c>
      <c r="O107" s="364" t="str">
        <f>VLOOKUP(A107,IV.A!$A$16:$E$172,3,FALSE)</f>
        <v>H</v>
      </c>
      <c r="P107" s="344" t="str">
        <f>IF(O107=E107,"SIM","NÃO")</f>
        <v>SIM</v>
      </c>
      <c r="Q107" s="365">
        <f>ROUND(G107*F127,2)+ROUND(G107*F141,2)+ROUND(G107*F153,2)</f>
        <v>0</v>
      </c>
      <c r="R107" s="364">
        <f>VLOOKUP(A107,IV.A!$A$16:$L$172,12,FALSE)</f>
        <v>0</v>
      </c>
      <c r="S107" s="366" t="str">
        <f>IF(Q107=R107,"si","no")</f>
        <v>si</v>
      </c>
      <c r="T107" s="367">
        <f>SUM(L109:L124)+SUM(L129:L138)+SUM(L143:L149)</f>
        <v>8640</v>
      </c>
      <c r="U107" s="341">
        <f>(SUM(C109:C124)+SUM(C129:C138)+SUM(C143:C149))*G107</f>
        <v>8640</v>
      </c>
      <c r="V107" s="368" t="str">
        <f>IF(T107=U107,"si","no")</f>
        <v>si</v>
      </c>
      <c r="W107" s="369">
        <f>SUM(F109:F124)</f>
        <v>0</v>
      </c>
      <c r="X107" s="369">
        <f>SUM(F129:F138)</f>
        <v>0</v>
      </c>
      <c r="Y107" s="369">
        <f>SUM(F143:F149)</f>
        <v>0</v>
      </c>
    </row>
    <row r="108" spans="1:25" ht="12.75" customHeight="1">
      <c r="A108" s="374"/>
      <c r="B108" s="375"/>
      <c r="C108" s="376"/>
      <c r="D108" s="376"/>
      <c r="E108" s="377"/>
      <c r="F108" s="378"/>
      <c r="G108" s="379"/>
      <c r="J108" s="341"/>
      <c r="L108" s="380"/>
      <c r="M108" s="381"/>
      <c r="N108" s="342"/>
      <c r="O108" s="382"/>
      <c r="P108" s="383"/>
      <c r="Q108" s="383"/>
      <c r="R108" s="383"/>
      <c r="S108" s="383"/>
      <c r="T108" s="382"/>
      <c r="U108" s="341"/>
      <c r="V108" s="384"/>
      <c r="W108" s="384"/>
      <c r="X108" s="384"/>
      <c r="Y108" s="384"/>
    </row>
    <row r="109" spans="1:25" ht="12.75" customHeight="1">
      <c r="A109" s="385"/>
      <c r="C109" s="20"/>
      <c r="D109" s="342"/>
      <c r="E109" s="387"/>
      <c r="F109" s="388"/>
      <c r="H109" s="341" t="str">
        <f>IF(A109="","",VLOOKUP(A109,VII.A!$A$10:$D$199,4,FALSE))</f>
        <v/>
      </c>
      <c r="I109" s="341" t="str">
        <f>IF(A109="","",IF(E109=H109,"SIM","NÃO"))</f>
        <v/>
      </c>
      <c r="J109" s="341" t="str">
        <f>IF(A109="","",VLOOKUP(A109,VII.A!$A$10:$D$199,3,FALSE))</f>
        <v/>
      </c>
      <c r="K109" s="342" t="str">
        <f>IF(A109="","",IF(J109=D109,"SIM","NÃO"))</f>
        <v/>
      </c>
      <c r="L109" s="380" t="str">
        <f>IF(C109="","",G107*C109)</f>
        <v/>
      </c>
      <c r="M109" s="381" t="str">
        <f>IF(A109="","",VLOOKUP(A109,VII.A!$A$10:$B$199,2,FALSE))</f>
        <v/>
      </c>
      <c r="N109" s="342" t="str">
        <f>IF(B109="","",IF(M109=B109,"si","no"))</f>
        <v/>
      </c>
      <c r="R109" s="341"/>
      <c r="S109" s="341"/>
    </row>
    <row r="110" spans="1:25" ht="12.75" customHeight="1">
      <c r="A110" s="385"/>
      <c r="C110" s="20"/>
      <c r="D110" s="342"/>
      <c r="E110" s="387"/>
      <c r="F110" s="388"/>
      <c r="H110" s="341" t="str">
        <f>IF(A110="","",VLOOKUP(A110,VII.A!$A$10:$D$199,4,FALSE))</f>
        <v/>
      </c>
      <c r="I110" s="341" t="str">
        <f t="shared" ref="I110:I124" si="30">IF(A110="","",IF(E110=H110,"SIM","NÃO"))</f>
        <v/>
      </c>
      <c r="J110" s="341" t="str">
        <f>IF(A110="","",VLOOKUP(A110,VII.A!$A$10:$D$199,3,FALSE))</f>
        <v/>
      </c>
      <c r="K110" s="342" t="str">
        <f t="shared" ref="K110:K124" si="31">IF(A110="","",IF(J110=D110,"SIM","NÃO"))</f>
        <v/>
      </c>
      <c r="L110" s="380" t="str">
        <f>IF(C110="","",G107*C110)</f>
        <v/>
      </c>
      <c r="M110" s="381" t="str">
        <f>IF(A110="","",VLOOKUP(A110,VII.A!$A$10:$B$199,2,FALSE))</f>
        <v/>
      </c>
      <c r="N110" s="342" t="str">
        <f t="shared" ref="N110:N124" si="32">IF(B110="","",IF(M110=B110,"si","no"))</f>
        <v/>
      </c>
      <c r="R110" s="341"/>
      <c r="S110" s="341"/>
    </row>
    <row r="111" spans="1:25" ht="12.75" customHeight="1">
      <c r="A111" s="385"/>
      <c r="C111" s="20"/>
      <c r="D111" s="342"/>
      <c r="E111" s="387"/>
      <c r="F111" s="388"/>
      <c r="H111" s="341" t="str">
        <f>IF(A111="","",VLOOKUP(A111,VII.A!$A$10:$D$199,4,FALSE))</f>
        <v/>
      </c>
      <c r="I111" s="341" t="str">
        <f t="shared" si="30"/>
        <v/>
      </c>
      <c r="J111" s="341" t="str">
        <f>IF(A111="","",VLOOKUP(A111,VII.A!$A$10:$D$199,3,FALSE))</f>
        <v/>
      </c>
      <c r="K111" s="342" t="str">
        <f t="shared" si="31"/>
        <v/>
      </c>
      <c r="L111" s="380" t="str">
        <f>IF(C111="","",G107*C111)</f>
        <v/>
      </c>
      <c r="M111" s="381" t="str">
        <f>IF(A111="","",VLOOKUP(A111,VII.A!$A$10:$B$199,2,FALSE))</f>
        <v/>
      </c>
      <c r="N111" s="342" t="str">
        <f t="shared" si="32"/>
        <v/>
      </c>
      <c r="R111" s="341"/>
      <c r="S111" s="341"/>
    </row>
    <row r="112" spans="1:25" ht="12.75" customHeight="1">
      <c r="A112" s="385"/>
      <c r="C112" s="20"/>
      <c r="D112" s="342"/>
      <c r="E112" s="387"/>
      <c r="F112" s="388"/>
      <c r="H112" s="341" t="str">
        <f>IF(A112="","",VLOOKUP(A112,VII.A!$A$10:$D$199,4,FALSE))</f>
        <v/>
      </c>
      <c r="I112" s="341" t="str">
        <f t="shared" si="30"/>
        <v/>
      </c>
      <c r="J112" s="341" t="str">
        <f>IF(A112="","",VLOOKUP(A112,VII.A!$A$10:$D$199,3,FALSE))</f>
        <v/>
      </c>
      <c r="K112" s="342" t="str">
        <f t="shared" si="31"/>
        <v/>
      </c>
      <c r="L112" s="380" t="str">
        <f>IF(C112="","",G107*C112)</f>
        <v/>
      </c>
      <c r="M112" s="381" t="str">
        <f>IF(A112="","",VLOOKUP(A112,VII.A!$A$10:$B$199,2,FALSE))</f>
        <v/>
      </c>
      <c r="N112" s="342" t="str">
        <f t="shared" si="32"/>
        <v/>
      </c>
      <c r="R112" s="341"/>
      <c r="S112" s="341"/>
    </row>
    <row r="113" spans="1:21" ht="12.75" customHeight="1">
      <c r="A113" s="385"/>
      <c r="B113" s="386"/>
      <c r="C113" s="20"/>
      <c r="D113" s="342"/>
      <c r="E113" s="387"/>
      <c r="F113" s="388"/>
      <c r="H113" s="341" t="str">
        <f>IF(A113="","",VLOOKUP(A113,VII.A!$A$10:$D$199,4,FALSE))</f>
        <v/>
      </c>
      <c r="I113" s="341" t="str">
        <f t="shared" si="30"/>
        <v/>
      </c>
      <c r="J113" s="341" t="str">
        <f>IF(A113="","",VLOOKUP(A113,VII.A!$A$10:$D$199,3,FALSE))</f>
        <v/>
      </c>
      <c r="K113" s="342" t="str">
        <f t="shared" si="31"/>
        <v/>
      </c>
      <c r="L113" s="380" t="str">
        <f>IF(C113="","",G107*C113)</f>
        <v/>
      </c>
      <c r="M113" s="381" t="str">
        <f>IF(A113="","",VLOOKUP(A113,VII.A!$A$10:$B$199,2,FALSE))</f>
        <v/>
      </c>
      <c r="N113" s="342" t="str">
        <f t="shared" si="32"/>
        <v/>
      </c>
      <c r="R113" s="341"/>
      <c r="S113" s="341"/>
    </row>
    <row r="114" spans="1:21" ht="12.75" customHeight="1">
      <c r="A114" s="385"/>
      <c r="B114" s="386"/>
      <c r="C114" s="20"/>
      <c r="D114" s="342"/>
      <c r="E114" s="387"/>
      <c r="F114" s="388"/>
      <c r="H114" s="341" t="str">
        <f>IF(A114="","",VLOOKUP(A114,VII.A!$A$10:$D$199,4,FALSE))</f>
        <v/>
      </c>
      <c r="I114" s="341" t="str">
        <f t="shared" si="30"/>
        <v/>
      </c>
      <c r="J114" s="341" t="str">
        <f>IF(A114="","",VLOOKUP(A114,VII.A!$A$10:$D$199,3,FALSE))</f>
        <v/>
      </c>
      <c r="K114" s="342" t="str">
        <f t="shared" si="31"/>
        <v/>
      </c>
      <c r="L114" s="380" t="str">
        <f>IF(C114="","",G107*C114)</f>
        <v/>
      </c>
      <c r="M114" s="381" t="str">
        <f>IF(A114="","",VLOOKUP(A114,VII.A!$A$10:$B$199,2,FALSE))</f>
        <v/>
      </c>
      <c r="N114" s="342" t="str">
        <f t="shared" si="32"/>
        <v/>
      </c>
      <c r="R114" s="341"/>
      <c r="S114" s="341"/>
      <c r="U114" s="389"/>
    </row>
    <row r="115" spans="1:21" ht="12.75" customHeight="1">
      <c r="A115" s="385"/>
      <c r="B115" s="386"/>
      <c r="C115" s="20"/>
      <c r="D115" s="342"/>
      <c r="E115" s="387"/>
      <c r="F115" s="388"/>
      <c r="H115" s="341" t="str">
        <f>IF(A115="","",VLOOKUP(A115,VII.A!$A$10:$D$199,4,FALSE))</f>
        <v/>
      </c>
      <c r="I115" s="341" t="str">
        <f t="shared" si="30"/>
        <v/>
      </c>
      <c r="J115" s="341" t="str">
        <f>IF(A115="","",VLOOKUP(A115,VII.A!$A$10:$D$199,3,FALSE))</f>
        <v/>
      </c>
      <c r="K115" s="342" t="str">
        <f t="shared" si="31"/>
        <v/>
      </c>
      <c r="L115" s="380" t="str">
        <f>IF(C115="","",G107*C115)</f>
        <v/>
      </c>
      <c r="M115" s="381" t="str">
        <f>IF(A115="","",VLOOKUP(A115,VII.A!$A$10:$B$199,2,FALSE))</f>
        <v/>
      </c>
      <c r="N115" s="342" t="str">
        <f t="shared" si="32"/>
        <v/>
      </c>
      <c r="R115" s="341"/>
      <c r="S115" s="341"/>
    </row>
    <row r="116" spans="1:21" ht="12.75" customHeight="1">
      <c r="A116" s="385"/>
      <c r="B116" s="386"/>
      <c r="C116" s="20"/>
      <c r="D116" s="342"/>
      <c r="E116" s="387"/>
      <c r="F116" s="388"/>
      <c r="G116" s="390"/>
      <c r="H116" s="341" t="str">
        <f>IF(A116="","",VLOOKUP(A116,VII.A!$A$10:$D$199,4,FALSE))</f>
        <v/>
      </c>
      <c r="I116" s="341" t="str">
        <f t="shared" si="30"/>
        <v/>
      </c>
      <c r="J116" s="341" t="str">
        <f>IF(A116="","",VLOOKUP(A116,VII.A!$A$10:$D$199,3,FALSE))</f>
        <v/>
      </c>
      <c r="K116" s="342" t="str">
        <f t="shared" si="31"/>
        <v/>
      </c>
      <c r="L116" s="380" t="str">
        <f>IF(C116="","",G107*C116)</f>
        <v/>
      </c>
      <c r="M116" s="381" t="str">
        <f>IF(A116="","",VLOOKUP(A116,VII.A!$A$10:$B$199,2,FALSE))</f>
        <v/>
      </c>
      <c r="N116" s="342" t="str">
        <f t="shared" si="32"/>
        <v/>
      </c>
      <c r="R116" s="341"/>
      <c r="S116" s="341"/>
    </row>
    <row r="117" spans="1:21" ht="12.75" customHeight="1">
      <c r="A117" s="385"/>
      <c r="B117" s="386"/>
      <c r="C117" s="20"/>
      <c r="D117" s="342"/>
      <c r="E117" s="387"/>
      <c r="F117" s="388"/>
      <c r="G117" s="390"/>
      <c r="H117" s="341" t="str">
        <f>IF(A117="","",VLOOKUP(A117,VII.A!$A$10:$D$199,4,FALSE))</f>
        <v/>
      </c>
      <c r="I117" s="341" t="str">
        <f t="shared" si="30"/>
        <v/>
      </c>
      <c r="J117" s="341" t="str">
        <f>IF(A117="","",VLOOKUP(A117,VII.A!$A$10:$D$199,3,FALSE))</f>
        <v/>
      </c>
      <c r="K117" s="342" t="str">
        <f t="shared" si="31"/>
        <v/>
      </c>
      <c r="L117" s="380" t="str">
        <f>IF(C117="","",G107*C117)</f>
        <v/>
      </c>
      <c r="M117" s="381" t="str">
        <f>IF(A117="","",VLOOKUP(A117,VII.A!$A$10:$B$199,2,FALSE))</f>
        <v/>
      </c>
      <c r="N117" s="342" t="str">
        <f t="shared" si="32"/>
        <v/>
      </c>
      <c r="R117" s="341"/>
      <c r="S117" s="341"/>
    </row>
    <row r="118" spans="1:21" ht="12.75" customHeight="1">
      <c r="A118" s="385"/>
      <c r="B118" s="386"/>
      <c r="C118" s="20"/>
      <c r="D118" s="342"/>
      <c r="E118" s="387"/>
      <c r="F118" s="388"/>
      <c r="G118" s="391"/>
      <c r="H118" s="341" t="str">
        <f>IF(A118="","",VLOOKUP(A118,VII.A!$A$10:$D$199,4,FALSE))</f>
        <v/>
      </c>
      <c r="I118" s="341" t="str">
        <f t="shared" si="30"/>
        <v/>
      </c>
      <c r="J118" s="341" t="str">
        <f>IF(A118="","",VLOOKUP(A118,VII.A!$A$10:$D$199,3,FALSE))</f>
        <v/>
      </c>
      <c r="K118" s="342" t="str">
        <f t="shared" si="31"/>
        <v/>
      </c>
      <c r="L118" s="380" t="str">
        <f>IF(C118="","",G107*C118)</f>
        <v/>
      </c>
      <c r="M118" s="381" t="str">
        <f>IF(A118="","",VLOOKUP(A118,VII.A!$A$10:$B$199,2,FALSE))</f>
        <v/>
      </c>
      <c r="N118" s="342" t="str">
        <f t="shared" si="32"/>
        <v/>
      </c>
      <c r="R118" s="341"/>
      <c r="S118" s="341"/>
    </row>
    <row r="119" spans="1:21" ht="12.75" customHeight="1">
      <c r="A119" s="385"/>
      <c r="B119" s="386"/>
      <c r="C119" s="20"/>
      <c r="D119" s="342"/>
      <c r="E119" s="387"/>
      <c r="F119" s="388"/>
      <c r="H119" s="341" t="str">
        <f>IF(A119="","",VLOOKUP(A119,VII.A!$A$10:$D$199,4,FALSE))</f>
        <v/>
      </c>
      <c r="I119" s="341" t="str">
        <f t="shared" si="30"/>
        <v/>
      </c>
      <c r="J119" s="341" t="str">
        <f>IF(A119="","",VLOOKUP(A119,VII.A!$A$10:$D$199,3,FALSE))</f>
        <v/>
      </c>
      <c r="K119" s="342" t="str">
        <f t="shared" si="31"/>
        <v/>
      </c>
      <c r="L119" s="380" t="str">
        <f>IF(C119="","",G107*C119)</f>
        <v/>
      </c>
      <c r="M119" s="381" t="str">
        <f>IF(A119="","",VLOOKUP(A119,VII.A!$A$10:$B$199,2,FALSE))</f>
        <v/>
      </c>
      <c r="N119" s="342" t="str">
        <f t="shared" si="32"/>
        <v/>
      </c>
      <c r="R119" s="341"/>
      <c r="S119" s="341"/>
    </row>
    <row r="120" spans="1:21" ht="12.75" customHeight="1">
      <c r="A120" s="385"/>
      <c r="B120" s="386"/>
      <c r="C120" s="20"/>
      <c r="D120" s="392"/>
      <c r="E120" s="387"/>
      <c r="F120" s="388"/>
      <c r="H120" s="341" t="str">
        <f>IF(A120="","",VLOOKUP(A120,VII.A!$A$10:$D$199,4,FALSE))</f>
        <v/>
      </c>
      <c r="I120" s="341" t="str">
        <f t="shared" si="30"/>
        <v/>
      </c>
      <c r="J120" s="341" t="str">
        <f>IF(A120="","",VLOOKUP(A120,VII.A!$A$10:$D$199,3,FALSE))</f>
        <v/>
      </c>
      <c r="K120" s="342" t="str">
        <f t="shared" si="31"/>
        <v/>
      </c>
      <c r="L120" s="380" t="str">
        <f>IF(C120="","",G107*C120)</f>
        <v/>
      </c>
      <c r="M120" s="381" t="str">
        <f>IF(A120="","",VLOOKUP(A120,VII.A!$A$10:$B$199,2,FALSE))</f>
        <v/>
      </c>
      <c r="N120" s="342" t="str">
        <f t="shared" si="32"/>
        <v/>
      </c>
      <c r="R120" s="341"/>
      <c r="S120" s="341"/>
    </row>
    <row r="121" spans="1:21" ht="12.75" customHeight="1">
      <c r="A121" s="385"/>
      <c r="B121" s="386"/>
      <c r="C121" s="20"/>
      <c r="D121" s="392"/>
      <c r="E121" s="387"/>
      <c r="F121" s="388"/>
      <c r="H121" s="341" t="str">
        <f>IF(A121="","",VLOOKUP(A121,VII.A!$A$10:$D$199,4,FALSE))</f>
        <v/>
      </c>
      <c r="I121" s="341" t="str">
        <f t="shared" si="30"/>
        <v/>
      </c>
      <c r="J121" s="341" t="str">
        <f>IF(A121="","",VLOOKUP(A121,VII.A!$A$10:$D$199,3,FALSE))</f>
        <v/>
      </c>
      <c r="K121" s="342" t="str">
        <f t="shared" si="31"/>
        <v/>
      </c>
      <c r="L121" s="380" t="str">
        <f>IF(C121="","",G107*C121)</f>
        <v/>
      </c>
      <c r="M121" s="381" t="str">
        <f>IF(A121="","",VLOOKUP(A121,VII.A!$A$10:$B$199,2,FALSE))</f>
        <v/>
      </c>
      <c r="N121" s="342" t="str">
        <f t="shared" si="32"/>
        <v/>
      </c>
      <c r="O121" s="342"/>
      <c r="R121" s="341"/>
      <c r="S121" s="341"/>
    </row>
    <row r="122" spans="1:21" ht="12.75" customHeight="1">
      <c r="A122" s="385"/>
      <c r="B122" s="386"/>
      <c r="C122" s="20"/>
      <c r="D122" s="392"/>
      <c r="E122" s="387"/>
      <c r="F122" s="388"/>
      <c r="H122" s="341" t="str">
        <f>IF(A122="","",VLOOKUP(A122,VII.A!$A$10:$D$199,4,FALSE))</f>
        <v/>
      </c>
      <c r="I122" s="341" t="str">
        <f t="shared" si="30"/>
        <v/>
      </c>
      <c r="J122" s="341" t="str">
        <f>IF(A122="","",VLOOKUP(A122,VII.A!$A$10:$D$199,3,FALSE))</f>
        <v/>
      </c>
      <c r="K122" s="342" t="str">
        <f t="shared" si="31"/>
        <v/>
      </c>
      <c r="L122" s="380" t="str">
        <f>IF(C122="","",G107*C122)</f>
        <v/>
      </c>
      <c r="M122" s="381" t="str">
        <f>IF(A122="","",VLOOKUP(A122,VII.A!$A$10:$B$199,2,FALSE))</f>
        <v/>
      </c>
      <c r="N122" s="342" t="str">
        <f t="shared" si="32"/>
        <v/>
      </c>
      <c r="R122" s="341"/>
      <c r="S122" s="341"/>
    </row>
    <row r="123" spans="1:21" ht="12.75" customHeight="1">
      <c r="A123" s="393"/>
      <c r="C123" s="20"/>
      <c r="E123" s="387"/>
      <c r="F123" s="388"/>
      <c r="H123" s="341" t="str">
        <f>IF(A123="","",VLOOKUP(A123,VII.A!$A$10:$D$199,4,FALSE))</f>
        <v/>
      </c>
      <c r="I123" s="341" t="str">
        <f t="shared" si="30"/>
        <v/>
      </c>
      <c r="J123" s="341" t="str">
        <f>IF(A123="","",VLOOKUP(A123,VII.A!$A$10:$D$199,3,FALSE))</f>
        <v/>
      </c>
      <c r="K123" s="342" t="str">
        <f t="shared" si="31"/>
        <v/>
      </c>
      <c r="L123" s="380" t="str">
        <f>IF(C123="","",G107*C123)</f>
        <v/>
      </c>
      <c r="M123" s="381" t="str">
        <f>IF(A123="","",VLOOKUP(A123,VII.A!$A$10:$B$199,2,FALSE))</f>
        <v/>
      </c>
      <c r="N123" s="342" t="str">
        <f t="shared" si="32"/>
        <v/>
      </c>
      <c r="R123" s="341"/>
      <c r="S123" s="341"/>
    </row>
    <row r="124" spans="1:21" ht="12.75" customHeight="1">
      <c r="A124" s="393"/>
      <c r="C124" s="20"/>
      <c r="E124" s="387"/>
      <c r="F124" s="388"/>
      <c r="H124" s="341" t="str">
        <f>IF(A124="","",VLOOKUP(A124,VII.A!$A$10:$D$199,4,FALSE))</f>
        <v/>
      </c>
      <c r="I124" s="341" t="str">
        <f t="shared" si="30"/>
        <v/>
      </c>
      <c r="J124" s="341" t="str">
        <f>IF(A124="","",VLOOKUP(A124,VII.A!$A$10:$D$199,3,FALSE))</f>
        <v/>
      </c>
      <c r="K124" s="342" t="str">
        <f t="shared" si="31"/>
        <v/>
      </c>
      <c r="L124" s="380" t="str">
        <f>IF(C124="","",G107*C124)</f>
        <v/>
      </c>
      <c r="M124" s="381" t="str">
        <f>IF(A124="","",VLOOKUP(A124,VII.A!$A$10:$B$199,2,FALSE))</f>
        <v/>
      </c>
      <c r="N124" s="342" t="str">
        <f t="shared" si="32"/>
        <v/>
      </c>
      <c r="R124" s="341"/>
      <c r="S124" s="341"/>
    </row>
    <row r="125" spans="1:21" ht="12.75" customHeight="1">
      <c r="A125" s="393"/>
      <c r="B125" s="395" t="s">
        <v>226</v>
      </c>
      <c r="C125" s="396"/>
      <c r="D125" s="397"/>
      <c r="E125" s="398"/>
      <c r="F125" s="420">
        <f>SUM(F109:F124)</f>
        <v>0</v>
      </c>
      <c r="J125" s="341"/>
      <c r="L125" s="380"/>
      <c r="M125" s="381"/>
      <c r="N125" s="342"/>
      <c r="R125" s="341"/>
      <c r="S125" s="341"/>
    </row>
    <row r="126" spans="1:21" ht="12.75" customHeight="1">
      <c r="A126" s="393"/>
      <c r="B126" s="400" t="s">
        <v>53</v>
      </c>
      <c r="C126" s="2">
        <f>$D$8</f>
        <v>0</v>
      </c>
      <c r="D126" s="401"/>
      <c r="E126" s="402"/>
      <c r="F126" s="421">
        <f>ROUND(F125*C126,2)</f>
        <v>0</v>
      </c>
      <c r="J126" s="341"/>
      <c r="L126" s="380"/>
      <c r="M126" s="381"/>
      <c r="N126" s="342"/>
      <c r="R126" s="341"/>
      <c r="S126" s="341"/>
    </row>
    <row r="127" spans="1:21" ht="12.75" customHeight="1">
      <c r="A127" s="404"/>
      <c r="B127" s="405" t="s">
        <v>227</v>
      </c>
      <c r="C127" s="406"/>
      <c r="D127" s="406"/>
      <c r="E127" s="407"/>
      <c r="F127" s="422">
        <f>F125+F126</f>
        <v>0</v>
      </c>
      <c r="J127" s="341"/>
      <c r="L127" s="380"/>
      <c r="M127" s="381"/>
      <c r="N127" s="342"/>
      <c r="R127" s="341"/>
      <c r="S127" s="341"/>
    </row>
    <row r="128" spans="1:21" ht="12.75" customHeight="1">
      <c r="A128" s="374"/>
      <c r="B128" s="375"/>
      <c r="C128" s="376"/>
      <c r="D128" s="376"/>
      <c r="E128" s="377"/>
      <c r="F128" s="378"/>
      <c r="J128" s="341"/>
      <c r="L128" s="380"/>
      <c r="M128" s="381"/>
      <c r="N128" s="342"/>
      <c r="R128" s="341"/>
      <c r="S128" s="341"/>
    </row>
    <row r="129" spans="1:19" ht="12.75" customHeight="1">
      <c r="A129" s="393"/>
      <c r="B129" s="423"/>
      <c r="C129" s="20"/>
      <c r="E129" s="387"/>
      <c r="F129" s="388"/>
      <c r="H129" s="341" t="str">
        <f>IF(A129="","",VLOOKUP(A129,VII.A!$A$10:$D$199,4,FALSE))</f>
        <v/>
      </c>
      <c r="I129" s="341" t="str">
        <f t="shared" ref="I129" si="33">IF(A129="","",IF(E129=H129,"SIM","NÃO"))</f>
        <v/>
      </c>
      <c r="J129" s="341" t="str">
        <f>IF(A129="","",VLOOKUP(A129,VII.A!$A$10:$D$199,3,FALSE))</f>
        <v/>
      </c>
      <c r="K129" s="342" t="str">
        <f t="shared" ref="K129" si="34">IF(A129="","",IF(J129=D129,"SIM","NÃO"))</f>
        <v/>
      </c>
      <c r="L129" s="380" t="str">
        <f>IF(C129="","",G107*C129)</f>
        <v/>
      </c>
      <c r="M129" s="381" t="str">
        <f>IF(A129="","",VLOOKUP(A129,VII.A!$A$10:$B$199,2,FALSE))</f>
        <v/>
      </c>
      <c r="N129" s="342" t="str">
        <f t="shared" ref="N129" si="35">IF(B129="","",IF(M129=B129,"si","no"))</f>
        <v/>
      </c>
      <c r="R129" s="341"/>
      <c r="S129" s="341"/>
    </row>
    <row r="130" spans="1:19" ht="12.75" customHeight="1">
      <c r="A130" s="393"/>
      <c r="C130" s="20"/>
      <c r="E130" s="387"/>
      <c r="F130" s="388"/>
      <c r="H130" s="341" t="str">
        <f>IF(A130="","",VLOOKUP(A130,VII.A!$A$10:$D$199,4,FALSE))</f>
        <v/>
      </c>
      <c r="I130" s="341" t="str">
        <f>IF(A130="","",IF(E130=H130,"SIM","NÃO"))</f>
        <v/>
      </c>
      <c r="J130" s="341" t="str">
        <f>IF(A130="","",VLOOKUP(A130,VII.A!$A$10:$D$199,3,FALSE))</f>
        <v/>
      </c>
      <c r="K130" s="342" t="str">
        <f>IF(A130="","",IF(J130=D130,"SIM","NÃO"))</f>
        <v/>
      </c>
      <c r="L130" s="380" t="str">
        <f>IF(C130="","",G107*C130)</f>
        <v/>
      </c>
      <c r="M130" s="381" t="str">
        <f>IF(A130="","",VLOOKUP(A130,VII.A!$A$10:$B$199,2,FALSE))</f>
        <v/>
      </c>
      <c r="N130" s="342" t="str">
        <f>IF(B130="","",IF(M130=B130,"si","no"))</f>
        <v/>
      </c>
      <c r="R130" s="341"/>
      <c r="S130" s="341"/>
    </row>
    <row r="131" spans="1:19" ht="12.75" customHeight="1">
      <c r="A131" s="393"/>
      <c r="C131" s="20"/>
      <c r="E131" s="387"/>
      <c r="F131" s="388"/>
      <c r="H131" s="341" t="str">
        <f>IF(A131="","",VLOOKUP(A131,VII.A!$A$10:$D$199,4,FALSE))</f>
        <v/>
      </c>
      <c r="I131" s="341" t="str">
        <f>IF(A131="","",IF(E131=H131,"SIM","NÃO"))</f>
        <v/>
      </c>
      <c r="J131" s="341" t="str">
        <f>IF(A131="","",VLOOKUP(A131,VII.A!$A$10:$D$199,3,FALSE))</f>
        <v/>
      </c>
      <c r="K131" s="342" t="str">
        <f>IF(A131="","",IF(J131=D131,"SIM","NÃO"))</f>
        <v/>
      </c>
      <c r="L131" s="380" t="str">
        <f>IF(C131="","",G107*C131)</f>
        <v/>
      </c>
      <c r="M131" s="381" t="str">
        <f>IF(A131="","",VLOOKUP(A131,VII.A!$A$10:$B$199,2,FALSE))</f>
        <v/>
      </c>
      <c r="N131" s="342" t="str">
        <f>IF(B131="","",IF(M131=B131,"si","no"))</f>
        <v/>
      </c>
      <c r="R131" s="341"/>
      <c r="S131" s="341"/>
    </row>
    <row r="132" spans="1:19" ht="12.75" customHeight="1">
      <c r="A132" s="393"/>
      <c r="C132" s="20"/>
      <c r="E132" s="387"/>
      <c r="F132" s="388"/>
      <c r="H132" s="341" t="str">
        <f>IF(A132="","",VLOOKUP(A132,VII.A!$A$10:$D$199,4,FALSE))</f>
        <v/>
      </c>
      <c r="I132" s="341" t="str">
        <f t="shared" ref="I132" si="36">IF(A132="","",IF(E132=H132,"SIM","NÃO"))</f>
        <v/>
      </c>
      <c r="J132" s="341" t="str">
        <f>IF(A132="","",VLOOKUP(A132,VII.A!$A$10:$D$199,3,FALSE))</f>
        <v/>
      </c>
      <c r="K132" s="342" t="str">
        <f t="shared" ref="K132" si="37">IF(A132="","",IF(J132=D132,"SIM","NÃO"))</f>
        <v/>
      </c>
      <c r="L132" s="380" t="str">
        <f>IF(C132="","",G107*C132)</f>
        <v/>
      </c>
      <c r="M132" s="381" t="str">
        <f>IF(A132="","",VLOOKUP(A132,VII.A!$A$10:$B$199,2,FALSE))</f>
        <v/>
      </c>
      <c r="N132" s="342" t="str">
        <f t="shared" ref="N132" si="38">IF(B132="","",IF(M132=B132,"si","no"))</f>
        <v/>
      </c>
      <c r="R132" s="341"/>
      <c r="S132" s="341"/>
    </row>
    <row r="133" spans="1:19" ht="12.75" customHeight="1">
      <c r="A133" s="393"/>
      <c r="C133" s="20"/>
      <c r="E133" s="387"/>
      <c r="F133" s="388"/>
      <c r="H133" s="341" t="str">
        <f>IF(A133="","",VLOOKUP(A133,VII.A!$A$10:$D$199,4,FALSE))</f>
        <v/>
      </c>
      <c r="I133" s="341" t="str">
        <f>IF(A133="","",IF(E133=H133,"SIM","NÃO"))</f>
        <v/>
      </c>
      <c r="J133" s="341" t="str">
        <f>IF(A133="","",VLOOKUP(A133,VII.A!$A$10:$D$199,3,FALSE))</f>
        <v/>
      </c>
      <c r="K133" s="342" t="str">
        <f>IF(A133="","",IF(J133=D133,"SIM","NÃO"))</f>
        <v/>
      </c>
      <c r="L133" s="380" t="str">
        <f>IF(C133="","",G107*C133)</f>
        <v/>
      </c>
      <c r="M133" s="381" t="str">
        <f>IF(A133="","",VLOOKUP(A133,VII.A!$A$10:$B$199,2,FALSE))</f>
        <v/>
      </c>
      <c r="N133" s="342" t="str">
        <f>IF(B133="","",IF(M133=B133,"si","no"))</f>
        <v/>
      </c>
      <c r="R133" s="341"/>
      <c r="S133" s="341"/>
    </row>
    <row r="134" spans="1:19" ht="12.75" customHeight="1">
      <c r="A134" s="393"/>
      <c r="C134" s="20"/>
      <c r="E134" s="387"/>
      <c r="F134" s="388"/>
      <c r="H134" s="341" t="str">
        <f>IF(A134="","",VLOOKUP(A134,VII.A!$A$10:$D$199,4,FALSE))</f>
        <v/>
      </c>
      <c r="I134" s="341" t="str">
        <f t="shared" ref="I134:I138" si="39">IF(A134="","",IF(E134=H134,"SIM","NÃO"))</f>
        <v/>
      </c>
      <c r="J134" s="341" t="str">
        <f>IF(A134="","",VLOOKUP(A134,VII.A!$A$10:$D$199,3,FALSE))</f>
        <v/>
      </c>
      <c r="K134" s="342" t="str">
        <f t="shared" ref="K134:K138" si="40">IF(A134="","",IF(J134=D134,"SIM","NÃO"))</f>
        <v/>
      </c>
      <c r="L134" s="380" t="str">
        <f>IF(C134="","",G107*C134)</f>
        <v/>
      </c>
      <c r="M134" s="381" t="str">
        <f>IF(A134="","",VLOOKUP(A134,VII.A!$A$10:$B$199,2,FALSE))</f>
        <v/>
      </c>
      <c r="N134" s="342" t="str">
        <f t="shared" ref="N134:N138" si="41">IF(B134="","",IF(M134=B134,"si","no"))</f>
        <v/>
      </c>
      <c r="R134" s="341"/>
      <c r="S134" s="341"/>
    </row>
    <row r="135" spans="1:19" ht="12.75" customHeight="1">
      <c r="A135" s="393"/>
      <c r="C135" s="20"/>
      <c r="E135" s="387"/>
      <c r="F135" s="388"/>
      <c r="G135" s="390"/>
      <c r="H135" s="341" t="str">
        <f>IF(A135="","",VLOOKUP(A135,VII.A!$A$10:$D$199,4,FALSE))</f>
        <v/>
      </c>
      <c r="I135" s="341" t="str">
        <f t="shared" si="39"/>
        <v/>
      </c>
      <c r="J135" s="341" t="str">
        <f>IF(A135="","",VLOOKUP(A135,VII.A!$A$10:$D$199,3,FALSE))</f>
        <v/>
      </c>
      <c r="K135" s="342" t="str">
        <f t="shared" si="40"/>
        <v/>
      </c>
      <c r="L135" s="380" t="str">
        <f>IF(C135="","",G107*C135)</f>
        <v/>
      </c>
      <c r="M135" s="381" t="str">
        <f>IF(A135="","",VLOOKUP(A135,VII.A!$A$10:$B$199,2,FALSE))</f>
        <v/>
      </c>
      <c r="N135" s="342" t="str">
        <f t="shared" si="41"/>
        <v/>
      </c>
      <c r="R135" s="341"/>
      <c r="S135" s="341"/>
    </row>
    <row r="136" spans="1:19" ht="12.75" customHeight="1">
      <c r="A136" s="393"/>
      <c r="C136" s="20"/>
      <c r="E136" s="387"/>
      <c r="F136" s="388"/>
      <c r="G136" s="391"/>
      <c r="H136" s="341" t="str">
        <f>IF(A136="","",VLOOKUP(A136,VII.A!$A$10:$D$199,4,FALSE))</f>
        <v/>
      </c>
      <c r="I136" s="341" t="str">
        <f t="shared" si="39"/>
        <v/>
      </c>
      <c r="J136" s="341" t="str">
        <f>IF(A136="","",VLOOKUP(A136,VII.A!$A$10:$D$199,3,FALSE))</f>
        <v/>
      </c>
      <c r="K136" s="342" t="str">
        <f t="shared" si="40"/>
        <v/>
      </c>
      <c r="L136" s="380" t="str">
        <f>IF(C136="","",G107*C136)</f>
        <v/>
      </c>
      <c r="M136" s="381" t="str">
        <f>IF(A136="","",VLOOKUP(A136,VII.A!$A$10:$B$199,2,FALSE))</f>
        <v/>
      </c>
      <c r="N136" s="342" t="str">
        <f t="shared" si="41"/>
        <v/>
      </c>
      <c r="R136" s="341"/>
      <c r="S136" s="341"/>
    </row>
    <row r="137" spans="1:19" ht="12.75" customHeight="1">
      <c r="A137" s="393"/>
      <c r="C137" s="20"/>
      <c r="E137" s="387"/>
      <c r="F137" s="388"/>
      <c r="H137" s="341" t="str">
        <f>IF(A137="","",VLOOKUP(A137,VII.A!$A$10:$D$199,4,FALSE))</f>
        <v/>
      </c>
      <c r="I137" s="341" t="str">
        <f t="shared" si="39"/>
        <v/>
      </c>
      <c r="J137" s="341" t="str">
        <f>IF(A137="","",VLOOKUP(A137,VII.A!$A$10:$D$199,3,FALSE))</f>
        <v/>
      </c>
      <c r="K137" s="342" t="str">
        <f t="shared" si="40"/>
        <v/>
      </c>
      <c r="L137" s="380" t="str">
        <f>IF(C137="","",G107*C137)</f>
        <v/>
      </c>
      <c r="M137" s="381" t="str">
        <f>IF(A137="","",VLOOKUP(A137,VII.A!$A$10:$B$199,2,FALSE))</f>
        <v/>
      </c>
      <c r="N137" s="342" t="str">
        <f t="shared" si="41"/>
        <v/>
      </c>
      <c r="R137" s="341"/>
      <c r="S137" s="341"/>
    </row>
    <row r="138" spans="1:19" ht="12.75" customHeight="1">
      <c r="A138" s="393"/>
      <c r="C138" s="20"/>
      <c r="E138" s="387"/>
      <c r="F138" s="388"/>
      <c r="H138" s="341" t="str">
        <f>IF(A138="","",VLOOKUP(A138,VII.A!$A$10:$D$199,4,FALSE))</f>
        <v/>
      </c>
      <c r="I138" s="341" t="str">
        <f t="shared" si="39"/>
        <v/>
      </c>
      <c r="J138" s="341" t="str">
        <f>IF(A138="","",VLOOKUP(A138,VII.A!$A$10:$D$199,3,FALSE))</f>
        <v/>
      </c>
      <c r="K138" s="342" t="str">
        <f t="shared" si="40"/>
        <v/>
      </c>
      <c r="L138" s="380" t="str">
        <f>IF(C138="","",G107*C138)</f>
        <v/>
      </c>
      <c r="M138" s="381" t="str">
        <f>IF(A138="","",VLOOKUP(A138,VII.A!$A$10:$B$199,2,FALSE))</f>
        <v/>
      </c>
      <c r="N138" s="342" t="str">
        <f t="shared" si="41"/>
        <v/>
      </c>
      <c r="R138" s="341"/>
      <c r="S138" s="341"/>
    </row>
    <row r="139" spans="1:19" ht="12.75" customHeight="1">
      <c r="A139" s="393"/>
      <c r="B139" s="395" t="s">
        <v>226</v>
      </c>
      <c r="C139" s="396"/>
      <c r="D139" s="397"/>
      <c r="E139" s="398"/>
      <c r="F139" s="399">
        <f>SUM(F129:F138)</f>
        <v>0</v>
      </c>
      <c r="J139" s="341"/>
      <c r="L139" s="380"/>
      <c r="M139" s="381"/>
      <c r="N139" s="342"/>
      <c r="R139" s="341"/>
      <c r="S139" s="341"/>
    </row>
    <row r="140" spans="1:19" ht="12.75" customHeight="1">
      <c r="A140" s="393"/>
      <c r="B140" s="400" t="s">
        <v>53</v>
      </c>
      <c r="C140" s="2">
        <f>$D$8</f>
        <v>0</v>
      </c>
      <c r="D140" s="401"/>
      <c r="E140" s="402"/>
      <c r="F140" s="403">
        <f>ROUND(C140*F139,2)</f>
        <v>0</v>
      </c>
      <c r="J140" s="341"/>
      <c r="L140" s="380"/>
      <c r="M140" s="381"/>
      <c r="N140" s="342"/>
      <c r="R140" s="341"/>
      <c r="S140" s="341"/>
    </row>
    <row r="141" spans="1:19" ht="12.75" customHeight="1">
      <c r="A141" s="404"/>
      <c r="B141" s="405" t="s">
        <v>228</v>
      </c>
      <c r="C141" s="406"/>
      <c r="D141" s="406"/>
      <c r="E141" s="407"/>
      <c r="F141" s="408">
        <f>F139+F140</f>
        <v>0</v>
      </c>
      <c r="J141" s="341"/>
      <c r="L141" s="380"/>
      <c r="M141" s="381"/>
      <c r="N141" s="342"/>
      <c r="R141" s="341"/>
      <c r="S141" s="341"/>
    </row>
    <row r="142" spans="1:19" ht="12.75" customHeight="1">
      <c r="A142" s="409"/>
      <c r="B142" s="410"/>
      <c r="C142" s="411"/>
      <c r="D142" s="412"/>
      <c r="E142" s="413"/>
      <c r="F142" s="378"/>
      <c r="J142" s="341"/>
      <c r="L142" s="380"/>
      <c r="M142" s="381"/>
      <c r="N142" s="342"/>
      <c r="R142" s="341"/>
      <c r="S142" s="341"/>
    </row>
    <row r="143" spans="1:19" ht="12.75" customHeight="1">
      <c r="A143" s="393" t="str">
        <f>VII.A!$A$200</f>
        <v>3.20</v>
      </c>
      <c r="B143" s="394" t="str">
        <f>VII.A!B200</f>
        <v>VIGIA NOTURNO COM ENCARGOS COMPLEMENTARES</v>
      </c>
      <c r="C143" s="20">
        <v>1</v>
      </c>
      <c r="D143" s="384" t="s">
        <v>131</v>
      </c>
      <c r="E143" s="387">
        <f>VII.A!$D$200</f>
        <v>0</v>
      </c>
      <c r="F143" s="388">
        <f t="shared" ref="F143" si="42">ROUND(C143*E143,2)</f>
        <v>0</v>
      </c>
      <c r="H143" s="341">
        <f>IF(A143="","",VLOOKUP(A143,VII.A!$A$10:$D$204,4,FALSE))</f>
        <v>0</v>
      </c>
      <c r="I143" s="341" t="str">
        <f>IF(A143="","",IF(E143=H143,"SIM","NÃO"))</f>
        <v>SIM</v>
      </c>
      <c r="J143" s="341" t="str">
        <f>IF(A143="","",VLOOKUP(A143,VII.A!$A$10:$D$204,3,FALSE))</f>
        <v>H</v>
      </c>
      <c r="K143" s="342" t="str">
        <f t="shared" ref="K143:K149" si="43">IF(A143="","",IF(J143=D143,"SIM","NÃO"))</f>
        <v>SIM</v>
      </c>
      <c r="L143" s="380">
        <f>IF(C143="","",G107*C143)</f>
        <v>8640</v>
      </c>
      <c r="M143" s="381" t="str">
        <f>IF(A143="","",VLOOKUP(A143,VII.A!$A$10:$B$204,2,FALSE))</f>
        <v>VIGIA NOTURNO COM ENCARGOS COMPLEMENTARES</v>
      </c>
      <c r="N143" s="342" t="str">
        <f t="shared" ref="N143:N149" si="44">IF(B143="","",IF(M143=B143,"si","no"))</f>
        <v>si</v>
      </c>
      <c r="R143" s="341"/>
      <c r="S143" s="341"/>
    </row>
    <row r="144" spans="1:19" ht="12.75" customHeight="1">
      <c r="A144" s="393"/>
      <c r="C144" s="20"/>
      <c r="E144" s="387"/>
      <c r="F144" s="388"/>
      <c r="H144" s="341" t="str">
        <f>IF(A144="","",VLOOKUP(A144,VII.A!$A$10:$D$199,4,FALSE))</f>
        <v/>
      </c>
      <c r="I144" s="341" t="str">
        <f t="shared" ref="I144:I149" si="45">IF(A144="","",IF(E144=H144,"SIM","NÃO"))</f>
        <v/>
      </c>
      <c r="J144" s="341" t="str">
        <f>IF(A144="","",VLOOKUP(A144,VII.A!$A$10:$D$199,3,FALSE))</f>
        <v/>
      </c>
      <c r="K144" s="342" t="str">
        <f t="shared" si="43"/>
        <v/>
      </c>
      <c r="L144" s="380" t="str">
        <f>IF(C144="","",G107*C144)</f>
        <v/>
      </c>
      <c r="M144" s="381" t="str">
        <f>IF(A144="","",VLOOKUP(A144,VII.A!$A$10:$B$199,2,FALSE))</f>
        <v/>
      </c>
      <c r="N144" s="342" t="str">
        <f t="shared" si="44"/>
        <v/>
      </c>
      <c r="R144" s="341"/>
      <c r="S144" s="341"/>
    </row>
    <row r="145" spans="1:25" ht="12.75" customHeight="1">
      <c r="A145" s="393"/>
      <c r="C145" s="20"/>
      <c r="E145" s="387"/>
      <c r="F145" s="388"/>
      <c r="H145" s="341" t="str">
        <f>IF(A145="","",VLOOKUP(A145,VII.A!$A$10:$D$199,4,FALSE))</f>
        <v/>
      </c>
      <c r="I145" s="341" t="str">
        <f t="shared" si="45"/>
        <v/>
      </c>
      <c r="J145" s="341" t="str">
        <f>IF(A145="","",VLOOKUP(A145,VII.A!$A$10:$D$199,3,FALSE))</f>
        <v/>
      </c>
      <c r="K145" s="342" t="str">
        <f t="shared" si="43"/>
        <v/>
      </c>
      <c r="L145" s="380" t="str">
        <f>IF(C145="","",G107*C145)</f>
        <v/>
      </c>
      <c r="M145" s="381" t="str">
        <f>IF(A145="","",VLOOKUP(A145,VII.A!$A$10:$B$199,2,FALSE))</f>
        <v/>
      </c>
      <c r="N145" s="342" t="str">
        <f t="shared" si="44"/>
        <v/>
      </c>
      <c r="R145" s="341"/>
      <c r="S145" s="341"/>
    </row>
    <row r="146" spans="1:25" ht="12.75" customHeight="1">
      <c r="A146" s="393"/>
      <c r="C146" s="20"/>
      <c r="E146" s="387"/>
      <c r="F146" s="388"/>
      <c r="H146" s="341" t="str">
        <f>IF(A146="","",VLOOKUP(A146,VII.A!$A$10:$D$199,4,FALSE))</f>
        <v/>
      </c>
      <c r="I146" s="341" t="str">
        <f t="shared" si="45"/>
        <v/>
      </c>
      <c r="J146" s="341" t="str">
        <f>IF(A146="","",VLOOKUP(A146,VII.A!$A$10:$D$199,3,FALSE))</f>
        <v/>
      </c>
      <c r="K146" s="342" t="str">
        <f t="shared" si="43"/>
        <v/>
      </c>
      <c r="L146" s="380" t="str">
        <f>IF(C146="","",G107*C146)</f>
        <v/>
      </c>
      <c r="M146" s="381" t="str">
        <f>IF(A146="","",VLOOKUP(A146,VII.A!$A$10:$B$199,2,FALSE))</f>
        <v/>
      </c>
      <c r="N146" s="342" t="str">
        <f t="shared" si="44"/>
        <v/>
      </c>
      <c r="R146" s="341"/>
      <c r="S146" s="341"/>
    </row>
    <row r="147" spans="1:25" ht="12.75" customHeight="1">
      <c r="A147" s="393"/>
      <c r="C147" s="20"/>
      <c r="E147" s="387"/>
      <c r="F147" s="388"/>
      <c r="H147" s="341" t="str">
        <f>IF(A147="","",VLOOKUP(A147,VII.A!$A$10:$D$199,4,FALSE))</f>
        <v/>
      </c>
      <c r="I147" s="341" t="str">
        <f t="shared" si="45"/>
        <v/>
      </c>
      <c r="J147" s="341" t="str">
        <f>IF(A147="","",VLOOKUP(A147,VII.A!$A$10:$D$199,3,FALSE))</f>
        <v/>
      </c>
      <c r="K147" s="342" t="str">
        <f t="shared" si="43"/>
        <v/>
      </c>
      <c r="L147" s="380" t="str">
        <f>IF(C147="","",G107*C147)</f>
        <v/>
      </c>
      <c r="M147" s="381" t="str">
        <f>IF(A147="","",VLOOKUP(A147,VII.A!$A$10:$B$199,2,FALSE))</f>
        <v/>
      </c>
      <c r="N147" s="342" t="str">
        <f t="shared" si="44"/>
        <v/>
      </c>
      <c r="R147" s="341"/>
      <c r="S147" s="341"/>
    </row>
    <row r="148" spans="1:25" ht="12.75" customHeight="1">
      <c r="A148" s="393"/>
      <c r="C148" s="20"/>
      <c r="E148" s="387"/>
      <c r="F148" s="388"/>
      <c r="H148" s="341" t="str">
        <f>IF(A148="","",VLOOKUP(A148,VII.A!$A$10:$D$199,4,FALSE))</f>
        <v/>
      </c>
      <c r="I148" s="341" t="str">
        <f t="shared" si="45"/>
        <v/>
      </c>
      <c r="J148" s="341" t="str">
        <f>IF(A148="","",VLOOKUP(A148,VII.A!$A$10:$D$199,3,FALSE))</f>
        <v/>
      </c>
      <c r="K148" s="342" t="str">
        <f t="shared" si="43"/>
        <v/>
      </c>
      <c r="L148" s="380" t="str">
        <f>IF(C148="","",G107*C148)</f>
        <v/>
      </c>
      <c r="M148" s="381" t="str">
        <f>IF(A148="","",VLOOKUP(A148,VII.A!$A$10:$B$199,2,FALSE))</f>
        <v/>
      </c>
      <c r="N148" s="342" t="str">
        <f t="shared" si="44"/>
        <v/>
      </c>
      <c r="R148" s="341"/>
      <c r="S148" s="341"/>
    </row>
    <row r="149" spans="1:25" ht="12.75" customHeight="1">
      <c r="A149" s="393"/>
      <c r="C149" s="20"/>
      <c r="E149" s="387"/>
      <c r="F149" s="388"/>
      <c r="H149" s="341" t="str">
        <f>IF(A149="","",VLOOKUP(A149,VII.A!$A$10:$D$199,4,FALSE))</f>
        <v/>
      </c>
      <c r="I149" s="341" t="str">
        <f t="shared" si="45"/>
        <v/>
      </c>
      <c r="J149" s="341" t="str">
        <f>IF(A149="","",VLOOKUP(A149,VII.A!$A$10:$D$199,3,FALSE))</f>
        <v/>
      </c>
      <c r="K149" s="342" t="str">
        <f t="shared" si="43"/>
        <v/>
      </c>
      <c r="L149" s="380" t="str">
        <f>IF(C149="","",G107*C149)</f>
        <v/>
      </c>
      <c r="M149" s="381" t="str">
        <f>IF(A149="","",VLOOKUP(A149,VII.A!$A$10:$B$199,2,FALSE))</f>
        <v/>
      </c>
      <c r="N149" s="342" t="str">
        <f t="shared" si="44"/>
        <v/>
      </c>
      <c r="R149" s="341"/>
      <c r="S149" s="341"/>
    </row>
    <row r="150" spans="1:25" ht="12.75" customHeight="1">
      <c r="A150" s="393"/>
      <c r="B150" s="395" t="s">
        <v>226</v>
      </c>
      <c r="C150" s="396"/>
      <c r="D150" s="397"/>
      <c r="E150" s="398"/>
      <c r="F150" s="399">
        <f>SUM(F143:F149)</f>
        <v>0</v>
      </c>
      <c r="J150" s="341"/>
      <c r="L150" s="380"/>
      <c r="M150" s="381"/>
      <c r="N150" s="342"/>
      <c r="R150" s="341"/>
      <c r="S150" s="341"/>
    </row>
    <row r="151" spans="1:25" ht="12.75" customHeight="1">
      <c r="A151" s="393"/>
      <c r="B151" s="400" t="s">
        <v>229</v>
      </c>
      <c r="C151" s="2">
        <f>IX.A!$C$45</f>
        <v>0</v>
      </c>
      <c r="D151" s="401"/>
      <c r="E151" s="402"/>
      <c r="F151" s="403">
        <f>ROUND(F150*C151,2)</f>
        <v>0</v>
      </c>
      <c r="J151" s="341"/>
      <c r="L151" s="380"/>
      <c r="M151" s="381"/>
      <c r="N151" s="342"/>
      <c r="R151" s="341"/>
      <c r="S151" s="341"/>
    </row>
    <row r="152" spans="1:25" ht="12.75" customHeight="1">
      <c r="A152" s="393"/>
      <c r="B152" s="400" t="s">
        <v>53</v>
      </c>
      <c r="C152" s="2">
        <f>$D$8</f>
        <v>0</v>
      </c>
      <c r="D152" s="401"/>
      <c r="E152" s="402"/>
      <c r="F152" s="403">
        <f>ROUND(SUM(F150:F151)*C152,2)</f>
        <v>0</v>
      </c>
      <c r="J152" s="341"/>
      <c r="L152" s="380"/>
      <c r="M152" s="381"/>
      <c r="N152" s="342"/>
      <c r="R152" s="341"/>
      <c r="S152" s="341"/>
    </row>
    <row r="153" spans="1:25" ht="12.75" customHeight="1" thickBot="1">
      <c r="A153" s="414"/>
      <c r="B153" s="415" t="s">
        <v>230</v>
      </c>
      <c r="C153" s="416"/>
      <c r="D153" s="416"/>
      <c r="E153" s="417"/>
      <c r="F153" s="418">
        <f>SUM(F150:F152)</f>
        <v>0</v>
      </c>
      <c r="J153" s="341"/>
      <c r="L153" s="380"/>
      <c r="M153" s="381"/>
      <c r="N153" s="342"/>
      <c r="R153" s="341"/>
      <c r="S153" s="341"/>
    </row>
    <row r="154" spans="1:25" ht="12.75" customHeight="1" thickBot="1">
      <c r="A154" s="357"/>
      <c r="B154" s="358"/>
      <c r="C154" s="359"/>
      <c r="D154" s="359"/>
      <c r="E154" s="360"/>
      <c r="F154" s="419"/>
      <c r="J154" s="341"/>
      <c r="L154" s="380"/>
      <c r="M154" s="381"/>
      <c r="N154" s="342"/>
      <c r="R154" s="341"/>
      <c r="S154" s="341"/>
    </row>
    <row r="155" spans="1:25" ht="30" customHeight="1">
      <c r="A155" s="370" t="str">
        <f>IV.A!$A$19</f>
        <v>1.4</v>
      </c>
      <c r="B155" s="371" t="str">
        <f>IV.A!$B$19</f>
        <v>SANITÁRIO QUÍMICO</v>
      </c>
      <c r="C155" s="871" t="s">
        <v>237</v>
      </c>
      <c r="D155" s="872"/>
      <c r="E155" s="372" t="str">
        <f>IV.A!$C$19</f>
        <v>UND.MÊS</v>
      </c>
      <c r="F155" s="11">
        <f>ROUND(F175+F189+F201,2)</f>
        <v>0</v>
      </c>
      <c r="G155" s="1">
        <f>VLOOKUP(A155,IV.A!$A$16:$L$172,4,FALSE)</f>
        <v>96</v>
      </c>
      <c r="H155" s="361">
        <f>SUM(F157:F172)+F174</f>
        <v>0</v>
      </c>
      <c r="I155" s="361">
        <f>SUM(F177:F186)+F188</f>
        <v>0</v>
      </c>
      <c r="J155" s="361">
        <f>SUM(F191:F197)+F199+F200</f>
        <v>0</v>
      </c>
      <c r="K155" s="361">
        <f>SUM(H155:J155)</f>
        <v>0</v>
      </c>
      <c r="L155" s="362" t="str">
        <f>IF(K155=F155,"SIM","NÃO")</f>
        <v>SIM</v>
      </c>
      <c r="M155" s="373">
        <f>ROUND(SUM(F157:F172),2)+ROUND(SUM(F157:F172)*C174,2)+ROUND(SUM(F177:F186)*C188,2)+ROUND(SUM(F177:F186),2)+ROUND(SUM(F191:F197)*C199,2)+ROUND((SUM(F191:F197)+ROUND(SUM(F191:F197)*C199,2))*C200,2)+ROUND(SUM(F191:F197),2)</f>
        <v>0</v>
      </c>
      <c r="N155" s="343" t="str">
        <f>IF(M155=F155,"SIM","NÃO")</f>
        <v>SIM</v>
      </c>
      <c r="O155" s="364" t="str">
        <f>VLOOKUP(A155,IV.A!$A$16:$E$172,3,FALSE)</f>
        <v>UND.MÊS</v>
      </c>
      <c r="P155" s="344" t="str">
        <f>IF(O155=E155,"SIM","NÃO")</f>
        <v>SIM</v>
      </c>
      <c r="Q155" s="365">
        <f>ROUND(G155*F175,2)+ROUND(G155*F189,2)+ROUND(G155*F201,2)</f>
        <v>0</v>
      </c>
      <c r="R155" s="364">
        <f>VLOOKUP(A155,IV.A!$A$16:$L$172,12,FALSE)</f>
        <v>0</v>
      </c>
      <c r="S155" s="366" t="str">
        <f>IF(Q155=R155,"si","no")</f>
        <v>si</v>
      </c>
      <c r="T155" s="367">
        <f>SUM(L157:L172)+SUM(L177:L186)+SUM(L191:L197)</f>
        <v>96</v>
      </c>
      <c r="U155" s="341">
        <f>(SUM(C157:C172)+SUM(C177:C186)+SUM(C191:C197))*G155</f>
        <v>96</v>
      </c>
      <c r="V155" s="368" t="str">
        <f>IF(T155=U155,"si","no")</f>
        <v>si</v>
      </c>
      <c r="W155" s="369">
        <f>SUM(F157:F172)</f>
        <v>0</v>
      </c>
      <c r="X155" s="369">
        <f>SUM(F177:F186)</f>
        <v>0</v>
      </c>
      <c r="Y155" s="369">
        <f>SUM(F191:F197)</f>
        <v>0</v>
      </c>
    </row>
    <row r="156" spans="1:25" ht="12.75" customHeight="1">
      <c r="A156" s="374"/>
      <c r="B156" s="375"/>
      <c r="C156" s="376"/>
      <c r="D156" s="376"/>
      <c r="E156" s="377"/>
      <c r="F156" s="378"/>
      <c r="G156" s="379"/>
      <c r="J156" s="341"/>
      <c r="L156" s="380"/>
      <c r="M156" s="381"/>
      <c r="N156" s="342"/>
      <c r="O156" s="382"/>
      <c r="P156" s="383"/>
      <c r="Q156" s="383"/>
      <c r="R156" s="383"/>
      <c r="S156" s="383"/>
      <c r="T156" s="382"/>
      <c r="U156" s="341"/>
      <c r="V156" s="384"/>
      <c r="W156" s="384"/>
      <c r="X156" s="384"/>
      <c r="Y156" s="384"/>
    </row>
    <row r="157" spans="1:25" ht="12.75" customHeight="1">
      <c r="A157" s="385"/>
      <c r="C157" s="20"/>
      <c r="D157" s="342"/>
      <c r="E157" s="387"/>
      <c r="F157" s="388"/>
      <c r="H157" s="341" t="str">
        <f>IF(A157="","",VLOOKUP(A157,VII.A!$A$10:$D$199,4,FALSE))</f>
        <v/>
      </c>
      <c r="I157" s="341" t="str">
        <f>IF(A157="","",IF(E157=H157,"SIM","NÃO"))</f>
        <v/>
      </c>
      <c r="J157" s="341" t="str">
        <f>IF(A157="","",VLOOKUP(A157,VII.A!$A$10:$D$199,3,FALSE))</f>
        <v/>
      </c>
      <c r="K157" s="342" t="str">
        <f>IF(A157="","",IF(J157=D157,"SIM","NÃO"))</f>
        <v/>
      </c>
      <c r="L157" s="380" t="str">
        <f>IF(C157="","",G155*C157)</f>
        <v/>
      </c>
      <c r="M157" s="381" t="str">
        <f>IF(A157="","",VLOOKUP(A157,VII.A!$A$10:$B$199,2,FALSE))</f>
        <v/>
      </c>
      <c r="N157" s="342" t="str">
        <f>IF(B157="","",IF(M157=B157,"si","no"))</f>
        <v/>
      </c>
      <c r="R157" s="341"/>
      <c r="S157" s="341"/>
    </row>
    <row r="158" spans="1:25" ht="12.75" customHeight="1">
      <c r="A158" s="385"/>
      <c r="C158" s="20"/>
      <c r="D158" s="342"/>
      <c r="E158" s="387"/>
      <c r="F158" s="388"/>
      <c r="H158" s="341" t="str">
        <f>IF(A158="","",VLOOKUP(A158,VII.A!$A$10:$D$199,4,FALSE))</f>
        <v/>
      </c>
      <c r="I158" s="341" t="str">
        <f t="shared" ref="I158:I172" si="46">IF(A158="","",IF(E158=H158,"SIM","NÃO"))</f>
        <v/>
      </c>
      <c r="J158" s="341" t="str">
        <f>IF(A158="","",VLOOKUP(A158,VII.A!$A$10:$D$199,3,FALSE))</f>
        <v/>
      </c>
      <c r="K158" s="342" t="str">
        <f t="shared" ref="K158:K172" si="47">IF(A158="","",IF(J158=D158,"SIM","NÃO"))</f>
        <v/>
      </c>
      <c r="L158" s="380" t="str">
        <f>IF(C158="","",G155*C158)</f>
        <v/>
      </c>
      <c r="M158" s="381" t="str">
        <f>IF(A158="","",VLOOKUP(A158,VII.A!$A$10:$B$199,2,FALSE))</f>
        <v/>
      </c>
      <c r="N158" s="342" t="str">
        <f t="shared" ref="N158:N172" si="48">IF(B158="","",IF(M158=B158,"si","no"))</f>
        <v/>
      </c>
      <c r="R158" s="341"/>
      <c r="S158" s="341"/>
    </row>
    <row r="159" spans="1:25" ht="12.75" customHeight="1">
      <c r="A159" s="385"/>
      <c r="C159" s="20"/>
      <c r="D159" s="342"/>
      <c r="E159" s="387"/>
      <c r="F159" s="388"/>
      <c r="H159" s="341" t="str">
        <f>IF(A159="","",VLOOKUP(A159,VII.A!$A$10:$D$199,4,FALSE))</f>
        <v/>
      </c>
      <c r="I159" s="341" t="str">
        <f t="shared" si="46"/>
        <v/>
      </c>
      <c r="J159" s="341" t="str">
        <f>IF(A159="","",VLOOKUP(A159,VII.A!$A$10:$D$199,3,FALSE))</f>
        <v/>
      </c>
      <c r="K159" s="342" t="str">
        <f t="shared" si="47"/>
        <v/>
      </c>
      <c r="L159" s="380" t="str">
        <f>IF(C159="","",G155*C159)</f>
        <v/>
      </c>
      <c r="M159" s="381" t="str">
        <f>IF(A159="","",VLOOKUP(A159,VII.A!$A$10:$B$199,2,FALSE))</f>
        <v/>
      </c>
      <c r="N159" s="342" t="str">
        <f t="shared" si="48"/>
        <v/>
      </c>
      <c r="R159" s="341"/>
      <c r="S159" s="341"/>
    </row>
    <row r="160" spans="1:25" ht="12.75" customHeight="1">
      <c r="A160" s="385"/>
      <c r="C160" s="20"/>
      <c r="D160" s="342"/>
      <c r="E160" s="387"/>
      <c r="F160" s="388"/>
      <c r="H160" s="341" t="str">
        <f>IF(A160="","",VLOOKUP(A160,VII.A!$A$10:$D$199,4,FALSE))</f>
        <v/>
      </c>
      <c r="I160" s="341" t="str">
        <f t="shared" si="46"/>
        <v/>
      </c>
      <c r="J160" s="341" t="str">
        <f>IF(A160="","",VLOOKUP(A160,VII.A!$A$10:$D$199,3,FALSE))</f>
        <v/>
      </c>
      <c r="K160" s="342" t="str">
        <f t="shared" si="47"/>
        <v/>
      </c>
      <c r="L160" s="380" t="str">
        <f>IF(C160="","",G155*C160)</f>
        <v/>
      </c>
      <c r="M160" s="381" t="str">
        <f>IF(A160="","",VLOOKUP(A160,VII.A!$A$10:$B$199,2,FALSE))</f>
        <v/>
      </c>
      <c r="N160" s="342" t="str">
        <f t="shared" si="48"/>
        <v/>
      </c>
      <c r="R160" s="341"/>
      <c r="S160" s="341"/>
    </row>
    <row r="161" spans="1:21" ht="12.75" customHeight="1">
      <c r="A161" s="385"/>
      <c r="B161" s="386"/>
      <c r="C161" s="20"/>
      <c r="D161" s="342"/>
      <c r="E161" s="387"/>
      <c r="F161" s="388"/>
      <c r="H161" s="341" t="str">
        <f>IF(A161="","",VLOOKUP(A161,VII.A!$A$10:$D$199,4,FALSE))</f>
        <v/>
      </c>
      <c r="I161" s="341" t="str">
        <f t="shared" si="46"/>
        <v/>
      </c>
      <c r="J161" s="341" t="str">
        <f>IF(A161="","",VLOOKUP(A161,VII.A!$A$10:$D$199,3,FALSE))</f>
        <v/>
      </c>
      <c r="K161" s="342" t="str">
        <f t="shared" si="47"/>
        <v/>
      </c>
      <c r="L161" s="380" t="str">
        <f>IF(C161="","",G155*C161)</f>
        <v/>
      </c>
      <c r="M161" s="381" t="str">
        <f>IF(A161="","",VLOOKUP(A161,VII.A!$A$10:$B$199,2,FALSE))</f>
        <v/>
      </c>
      <c r="N161" s="342" t="str">
        <f t="shared" si="48"/>
        <v/>
      </c>
      <c r="R161" s="341"/>
      <c r="S161" s="341"/>
    </row>
    <row r="162" spans="1:21" ht="12.75" customHeight="1">
      <c r="A162" s="385"/>
      <c r="B162" s="386"/>
      <c r="C162" s="20"/>
      <c r="D162" s="342"/>
      <c r="E162" s="387"/>
      <c r="F162" s="388"/>
      <c r="H162" s="341" t="str">
        <f>IF(A162="","",VLOOKUP(A162,VII.A!$A$10:$D$199,4,FALSE))</f>
        <v/>
      </c>
      <c r="I162" s="341" t="str">
        <f t="shared" si="46"/>
        <v/>
      </c>
      <c r="J162" s="341" t="str">
        <f>IF(A162="","",VLOOKUP(A162,VII.A!$A$10:$D$199,3,FALSE))</f>
        <v/>
      </c>
      <c r="K162" s="342" t="str">
        <f t="shared" si="47"/>
        <v/>
      </c>
      <c r="L162" s="380" t="str">
        <f>IF(C162="","",G155*C162)</f>
        <v/>
      </c>
      <c r="M162" s="381" t="str">
        <f>IF(A162="","",VLOOKUP(A162,VII.A!$A$10:$B$199,2,FALSE))</f>
        <v/>
      </c>
      <c r="N162" s="342" t="str">
        <f t="shared" si="48"/>
        <v/>
      </c>
      <c r="R162" s="341"/>
      <c r="S162" s="341"/>
      <c r="U162" s="389"/>
    </row>
    <row r="163" spans="1:21" ht="12.75" customHeight="1">
      <c r="A163" s="385"/>
      <c r="B163" s="386"/>
      <c r="C163" s="20"/>
      <c r="D163" s="342"/>
      <c r="E163" s="387"/>
      <c r="F163" s="388"/>
      <c r="H163" s="341" t="str">
        <f>IF(A163="","",VLOOKUP(A163,VII.A!$A$10:$D$199,4,FALSE))</f>
        <v/>
      </c>
      <c r="I163" s="341" t="str">
        <f t="shared" si="46"/>
        <v/>
      </c>
      <c r="J163" s="341" t="str">
        <f>IF(A163="","",VLOOKUP(A163,VII.A!$A$10:$D$199,3,FALSE))</f>
        <v/>
      </c>
      <c r="K163" s="342" t="str">
        <f t="shared" si="47"/>
        <v/>
      </c>
      <c r="L163" s="380" t="str">
        <f>IF(C163="","",G155*C163)</f>
        <v/>
      </c>
      <c r="M163" s="381" t="str">
        <f>IF(A163="","",VLOOKUP(A163,VII.A!$A$10:$B$199,2,FALSE))</f>
        <v/>
      </c>
      <c r="N163" s="342" t="str">
        <f t="shared" si="48"/>
        <v/>
      </c>
      <c r="R163" s="341"/>
      <c r="S163" s="341"/>
    </row>
    <row r="164" spans="1:21" ht="12.75" customHeight="1">
      <c r="A164" s="385"/>
      <c r="B164" s="386"/>
      <c r="C164" s="20"/>
      <c r="D164" s="342"/>
      <c r="E164" s="387"/>
      <c r="F164" s="388"/>
      <c r="G164" s="390"/>
      <c r="H164" s="341" t="str">
        <f>IF(A164="","",VLOOKUP(A164,VII.A!$A$10:$D$199,4,FALSE))</f>
        <v/>
      </c>
      <c r="I164" s="341" t="str">
        <f t="shared" si="46"/>
        <v/>
      </c>
      <c r="J164" s="341" t="str">
        <f>IF(A164="","",VLOOKUP(A164,VII.A!$A$10:$D$199,3,FALSE))</f>
        <v/>
      </c>
      <c r="K164" s="342" t="str">
        <f t="shared" si="47"/>
        <v/>
      </c>
      <c r="L164" s="380" t="str">
        <f>IF(C164="","",G155*C164)</f>
        <v/>
      </c>
      <c r="M164" s="381" t="str">
        <f>IF(A164="","",VLOOKUP(A164,VII.A!$A$10:$B$199,2,FALSE))</f>
        <v/>
      </c>
      <c r="N164" s="342" t="str">
        <f t="shared" si="48"/>
        <v/>
      </c>
      <c r="R164" s="341"/>
      <c r="S164" s="341"/>
    </row>
    <row r="165" spans="1:21" ht="12.75" customHeight="1">
      <c r="A165" s="385"/>
      <c r="B165" s="386"/>
      <c r="C165" s="20"/>
      <c r="D165" s="342"/>
      <c r="E165" s="387"/>
      <c r="F165" s="388"/>
      <c r="G165" s="390"/>
      <c r="H165" s="341" t="str">
        <f>IF(A165="","",VLOOKUP(A165,VII.A!$A$10:$D$199,4,FALSE))</f>
        <v/>
      </c>
      <c r="I165" s="341" t="str">
        <f t="shared" si="46"/>
        <v/>
      </c>
      <c r="J165" s="341" t="str">
        <f>IF(A165="","",VLOOKUP(A165,VII.A!$A$10:$D$199,3,FALSE))</f>
        <v/>
      </c>
      <c r="K165" s="342" t="str">
        <f t="shared" si="47"/>
        <v/>
      </c>
      <c r="L165" s="380" t="str">
        <f>IF(C165="","",G155*C165)</f>
        <v/>
      </c>
      <c r="M165" s="381" t="str">
        <f>IF(A165="","",VLOOKUP(A165,VII.A!$A$10:$B$199,2,FALSE))</f>
        <v/>
      </c>
      <c r="N165" s="342" t="str">
        <f t="shared" si="48"/>
        <v/>
      </c>
      <c r="R165" s="341"/>
      <c r="S165" s="341"/>
    </row>
    <row r="166" spans="1:21" ht="12.75" customHeight="1">
      <c r="A166" s="385"/>
      <c r="B166" s="386"/>
      <c r="C166" s="20"/>
      <c r="D166" s="342"/>
      <c r="E166" s="387"/>
      <c r="F166" s="388"/>
      <c r="G166" s="391"/>
      <c r="H166" s="341" t="str">
        <f>IF(A166="","",VLOOKUP(A166,VII.A!$A$10:$D$199,4,FALSE))</f>
        <v/>
      </c>
      <c r="I166" s="341" t="str">
        <f t="shared" si="46"/>
        <v/>
      </c>
      <c r="J166" s="341" t="str">
        <f>IF(A166="","",VLOOKUP(A166,VII.A!$A$10:$D$199,3,FALSE))</f>
        <v/>
      </c>
      <c r="K166" s="342" t="str">
        <f t="shared" si="47"/>
        <v/>
      </c>
      <c r="L166" s="380" t="str">
        <f>IF(C166="","",G155*C166)</f>
        <v/>
      </c>
      <c r="M166" s="381" t="str">
        <f>IF(A166="","",VLOOKUP(A166,VII.A!$A$10:$B$199,2,FALSE))</f>
        <v/>
      </c>
      <c r="N166" s="342" t="str">
        <f t="shared" si="48"/>
        <v/>
      </c>
      <c r="R166" s="341"/>
      <c r="S166" s="341"/>
    </row>
    <row r="167" spans="1:21" ht="12.75" customHeight="1">
      <c r="A167" s="385"/>
      <c r="B167" s="386"/>
      <c r="C167" s="20"/>
      <c r="D167" s="342"/>
      <c r="E167" s="387"/>
      <c r="F167" s="388"/>
      <c r="H167" s="341" t="str">
        <f>IF(A167="","",VLOOKUP(A167,VII.A!$A$10:$D$199,4,FALSE))</f>
        <v/>
      </c>
      <c r="I167" s="341" t="str">
        <f t="shared" si="46"/>
        <v/>
      </c>
      <c r="J167" s="341" t="str">
        <f>IF(A167="","",VLOOKUP(A167,VII.A!$A$10:$D$199,3,FALSE))</f>
        <v/>
      </c>
      <c r="K167" s="342" t="str">
        <f t="shared" si="47"/>
        <v/>
      </c>
      <c r="L167" s="380" t="str">
        <f>IF(C167="","",G155*C167)</f>
        <v/>
      </c>
      <c r="M167" s="381" t="str">
        <f>IF(A167="","",VLOOKUP(A167,VII.A!$A$10:$B$199,2,FALSE))</f>
        <v/>
      </c>
      <c r="N167" s="342" t="str">
        <f t="shared" si="48"/>
        <v/>
      </c>
      <c r="R167" s="341"/>
      <c r="S167" s="341"/>
    </row>
    <row r="168" spans="1:21" ht="12.75" customHeight="1">
      <c r="A168" s="385"/>
      <c r="B168" s="386"/>
      <c r="C168" s="20"/>
      <c r="D168" s="392"/>
      <c r="E168" s="387"/>
      <c r="F168" s="388"/>
      <c r="H168" s="341" t="str">
        <f>IF(A168="","",VLOOKUP(A168,VII.A!$A$10:$D$199,4,FALSE))</f>
        <v/>
      </c>
      <c r="I168" s="341" t="str">
        <f t="shared" si="46"/>
        <v/>
      </c>
      <c r="J168" s="341" t="str">
        <f>IF(A168="","",VLOOKUP(A168,VII.A!$A$10:$D$199,3,FALSE))</f>
        <v/>
      </c>
      <c r="K168" s="342" t="str">
        <f t="shared" si="47"/>
        <v/>
      </c>
      <c r="L168" s="380" t="str">
        <f>IF(C168="","",G155*C168)</f>
        <v/>
      </c>
      <c r="M168" s="381" t="str">
        <f>IF(A168="","",VLOOKUP(A168,VII.A!$A$10:$B$199,2,FALSE))</f>
        <v/>
      </c>
      <c r="N168" s="342" t="str">
        <f t="shared" si="48"/>
        <v/>
      </c>
      <c r="R168" s="341"/>
      <c r="S168" s="341"/>
    </row>
    <row r="169" spans="1:21" ht="12.75" customHeight="1">
      <c r="A169" s="385"/>
      <c r="B169" s="386"/>
      <c r="C169" s="20"/>
      <c r="D169" s="392"/>
      <c r="E169" s="387"/>
      <c r="F169" s="388"/>
      <c r="H169" s="341" t="str">
        <f>IF(A169="","",VLOOKUP(A169,VII.A!$A$10:$D$199,4,FALSE))</f>
        <v/>
      </c>
      <c r="I169" s="341" t="str">
        <f t="shared" si="46"/>
        <v/>
      </c>
      <c r="J169" s="341" t="str">
        <f>IF(A169="","",VLOOKUP(A169,VII.A!$A$10:$D$199,3,FALSE))</f>
        <v/>
      </c>
      <c r="K169" s="342" t="str">
        <f t="shared" si="47"/>
        <v/>
      </c>
      <c r="L169" s="380" t="str">
        <f>IF(C169="","",G155*C169)</f>
        <v/>
      </c>
      <c r="M169" s="381" t="str">
        <f>IF(A169="","",VLOOKUP(A169,VII.A!$A$10:$B$199,2,FALSE))</f>
        <v/>
      </c>
      <c r="N169" s="342" t="str">
        <f t="shared" si="48"/>
        <v/>
      </c>
      <c r="O169" s="342"/>
      <c r="R169" s="341"/>
      <c r="S169" s="341"/>
    </row>
    <row r="170" spans="1:21" ht="12.75" customHeight="1">
      <c r="A170" s="385"/>
      <c r="B170" s="386"/>
      <c r="C170" s="20"/>
      <c r="D170" s="392"/>
      <c r="E170" s="387"/>
      <c r="F170" s="388"/>
      <c r="H170" s="341" t="str">
        <f>IF(A170="","",VLOOKUP(A170,VII.A!$A$10:$D$199,4,FALSE))</f>
        <v/>
      </c>
      <c r="I170" s="341" t="str">
        <f t="shared" si="46"/>
        <v/>
      </c>
      <c r="J170" s="341" t="str">
        <f>IF(A170="","",VLOOKUP(A170,VII.A!$A$10:$D$199,3,FALSE))</f>
        <v/>
      </c>
      <c r="K170" s="342" t="str">
        <f t="shared" si="47"/>
        <v/>
      </c>
      <c r="L170" s="380" t="str">
        <f>IF(C170="","",G155*C170)</f>
        <v/>
      </c>
      <c r="M170" s="381" t="str">
        <f>IF(A170="","",VLOOKUP(A170,VII.A!$A$10:$B$199,2,FALSE))</f>
        <v/>
      </c>
      <c r="N170" s="342" t="str">
        <f t="shared" si="48"/>
        <v/>
      </c>
      <c r="R170" s="341"/>
      <c r="S170" s="341"/>
    </row>
    <row r="171" spans="1:21" ht="12.75" customHeight="1">
      <c r="A171" s="393"/>
      <c r="C171" s="20"/>
      <c r="E171" s="387"/>
      <c r="F171" s="388"/>
      <c r="H171" s="341" t="str">
        <f>IF(A171="","",VLOOKUP(A171,VII.A!$A$10:$D$199,4,FALSE))</f>
        <v/>
      </c>
      <c r="I171" s="341" t="str">
        <f t="shared" si="46"/>
        <v/>
      </c>
      <c r="J171" s="341" t="str">
        <f>IF(A171="","",VLOOKUP(A171,VII.A!$A$10:$D$199,3,FALSE))</f>
        <v/>
      </c>
      <c r="K171" s="342" t="str">
        <f t="shared" si="47"/>
        <v/>
      </c>
      <c r="L171" s="380" t="str">
        <f>IF(C171="","",G155*C171)</f>
        <v/>
      </c>
      <c r="M171" s="381" t="str">
        <f>IF(A171="","",VLOOKUP(A171,VII.A!$A$10:$B$199,2,FALSE))</f>
        <v/>
      </c>
      <c r="N171" s="342" t="str">
        <f t="shared" si="48"/>
        <v/>
      </c>
      <c r="R171" s="341"/>
      <c r="S171" s="341"/>
    </row>
    <row r="172" spans="1:21" ht="12.75" customHeight="1">
      <c r="A172" s="393"/>
      <c r="C172" s="20"/>
      <c r="E172" s="387"/>
      <c r="F172" s="388"/>
      <c r="H172" s="341" t="str">
        <f>IF(A172="","",VLOOKUP(A172,VII.A!$A$10:$D$199,4,FALSE))</f>
        <v/>
      </c>
      <c r="I172" s="341" t="str">
        <f t="shared" si="46"/>
        <v/>
      </c>
      <c r="J172" s="341" t="str">
        <f>IF(A172="","",VLOOKUP(A172,VII.A!$A$10:$D$199,3,FALSE))</f>
        <v/>
      </c>
      <c r="K172" s="342" t="str">
        <f t="shared" si="47"/>
        <v/>
      </c>
      <c r="L172" s="380" t="str">
        <f>IF(C172="","",G155*C172)</f>
        <v/>
      </c>
      <c r="M172" s="381" t="str">
        <f>IF(A172="","",VLOOKUP(A172,VII.A!$A$10:$B$199,2,FALSE))</f>
        <v/>
      </c>
      <c r="N172" s="342" t="str">
        <f t="shared" si="48"/>
        <v/>
      </c>
      <c r="R172" s="341"/>
      <c r="S172" s="341"/>
    </row>
    <row r="173" spans="1:21" ht="12.75" customHeight="1">
      <c r="A173" s="393"/>
      <c r="B173" s="395" t="s">
        <v>226</v>
      </c>
      <c r="C173" s="396"/>
      <c r="D173" s="397"/>
      <c r="E173" s="398"/>
      <c r="F173" s="420">
        <f>SUM(F157:F172)</f>
        <v>0</v>
      </c>
      <c r="J173" s="341"/>
      <c r="L173" s="380"/>
      <c r="M173" s="381"/>
      <c r="N173" s="342"/>
      <c r="R173" s="341"/>
      <c r="S173" s="341"/>
    </row>
    <row r="174" spans="1:21" ht="12.75" customHeight="1">
      <c r="A174" s="393"/>
      <c r="B174" s="400" t="s">
        <v>53</v>
      </c>
      <c r="C174" s="2">
        <f>$D$8</f>
        <v>0</v>
      </c>
      <c r="D174" s="401"/>
      <c r="E174" s="402"/>
      <c r="F174" s="421">
        <f>ROUND(F173*C174,2)</f>
        <v>0</v>
      </c>
      <c r="J174" s="341"/>
      <c r="L174" s="380"/>
      <c r="M174" s="381"/>
      <c r="N174" s="342"/>
      <c r="R174" s="341"/>
      <c r="S174" s="341"/>
    </row>
    <row r="175" spans="1:21" ht="12.75" customHeight="1">
      <c r="A175" s="404"/>
      <c r="B175" s="405" t="s">
        <v>227</v>
      </c>
      <c r="C175" s="406"/>
      <c r="D175" s="406"/>
      <c r="E175" s="407"/>
      <c r="F175" s="422">
        <f>F173+F174</f>
        <v>0</v>
      </c>
      <c r="J175" s="341"/>
      <c r="L175" s="380"/>
      <c r="M175" s="381"/>
      <c r="N175" s="342"/>
      <c r="R175" s="341"/>
      <c r="S175" s="341"/>
    </row>
    <row r="176" spans="1:21" ht="12.75" customHeight="1">
      <c r="A176" s="374"/>
      <c r="B176" s="375"/>
      <c r="C176" s="376"/>
      <c r="D176" s="376"/>
      <c r="E176" s="377"/>
      <c r="F176" s="378"/>
      <c r="J176" s="341"/>
      <c r="L176" s="380"/>
      <c r="M176" s="381"/>
      <c r="N176" s="342"/>
      <c r="R176" s="341"/>
      <c r="S176" s="341"/>
    </row>
    <row r="177" spans="1:19" ht="12.75" customHeight="1">
      <c r="A177" s="393" t="str">
        <f>VII.A!$A$168</f>
        <v>2.26</v>
      </c>
      <c r="B177" s="394" t="str">
        <f>VLOOKUP(A177,VII.A!$A$10:$G$199,2,FALSE)</f>
        <v>SANITÁRIO PORTÁTIL QUÍMICO INDIVIDUAL - TIPO STANDARD, COM LIMPEZA E DESCARTE CONFORME EXIGÊNCIAS DA CETESB</v>
      </c>
      <c r="C177" s="20">
        <v>1</v>
      </c>
      <c r="D177" s="384" t="str">
        <f>VLOOKUP(A177,VII.A!$A$10:$G$199,3,FALSE)</f>
        <v>UNxMÊS</v>
      </c>
      <c r="E177" s="387">
        <f>VII.A!$D$168</f>
        <v>0</v>
      </c>
      <c r="F177" s="388">
        <f>ROUND(C177*E177,2)</f>
        <v>0</v>
      </c>
      <c r="H177" s="341">
        <f>IF(A177="","",VLOOKUP(A177,VII.A!$A$10:$D$199,4,FALSE))</f>
        <v>0</v>
      </c>
      <c r="I177" s="341" t="str">
        <f t="shared" ref="I177" si="49">IF(A177="","",IF(E177=H177,"SIM","NÃO"))</f>
        <v>SIM</v>
      </c>
      <c r="J177" s="341" t="str">
        <f>IF(A177="","",VLOOKUP(A177,VII.A!$A$10:$D$199,3,FALSE))</f>
        <v>UNxMÊS</v>
      </c>
      <c r="K177" s="342" t="str">
        <f t="shared" ref="K177" si="50">IF(A177="","",IF(J177=D177,"SIM","NÃO"))</f>
        <v>SIM</v>
      </c>
      <c r="L177" s="380">
        <f>IF(C177="","",G155*C177)</f>
        <v>96</v>
      </c>
      <c r="M177" s="381" t="str">
        <f>IF(A177="","",VLOOKUP(A177,VII.A!$A$10:$B$199,2,FALSE))</f>
        <v>SANITÁRIO PORTÁTIL QUÍMICO INDIVIDUAL - TIPO STANDARD, COM LIMPEZA E DESCARTE CONFORME EXIGÊNCIAS DA CETESB</v>
      </c>
      <c r="N177" s="342" t="str">
        <f t="shared" ref="N177" si="51">IF(B177="","",IF(M177=B177,"si","no"))</f>
        <v>si</v>
      </c>
      <c r="R177" s="341"/>
      <c r="S177" s="341"/>
    </row>
    <row r="178" spans="1:19" ht="12.75" customHeight="1">
      <c r="A178" s="393"/>
      <c r="C178" s="20"/>
      <c r="E178" s="387"/>
      <c r="F178" s="388"/>
      <c r="H178" s="341" t="str">
        <f>IF(A178="","",VLOOKUP(A178,VII.A!$A$10:$D$199,4,FALSE))</f>
        <v/>
      </c>
      <c r="I178" s="341" t="str">
        <f>IF(A178="","",IF(E178=H178,"SIM","NÃO"))</f>
        <v/>
      </c>
      <c r="J178" s="341" t="str">
        <f>IF(A178="","",VLOOKUP(A178,VII.A!$A$10:$D$199,3,FALSE))</f>
        <v/>
      </c>
      <c r="K178" s="342" t="str">
        <f>IF(A178="","",IF(J178=D178,"SIM","NÃO"))</f>
        <v/>
      </c>
      <c r="L178" s="380" t="str">
        <f>IF(C178="","",G155*C178)</f>
        <v/>
      </c>
      <c r="M178" s="381" t="str">
        <f>IF(A178="","",VLOOKUP(A178,VII.A!$A$10:$B$199,2,FALSE))</f>
        <v/>
      </c>
      <c r="N178" s="342" t="str">
        <f>IF(B178="","",IF(M178=B178,"si","no"))</f>
        <v/>
      </c>
      <c r="R178" s="341"/>
      <c r="S178" s="341"/>
    </row>
    <row r="179" spans="1:19" ht="12.75" customHeight="1">
      <c r="A179" s="393"/>
      <c r="C179" s="20"/>
      <c r="E179" s="387"/>
      <c r="F179" s="388"/>
      <c r="H179" s="341" t="str">
        <f>IF(A179="","",VLOOKUP(A179,VII.A!$A$10:$D$199,4,FALSE))</f>
        <v/>
      </c>
      <c r="I179" s="341" t="str">
        <f>IF(A179="","",IF(E179=H179,"SIM","NÃO"))</f>
        <v/>
      </c>
      <c r="J179" s="341" t="str">
        <f>IF(A179="","",VLOOKUP(A179,VII.A!$A$10:$D$199,3,FALSE))</f>
        <v/>
      </c>
      <c r="K179" s="342" t="str">
        <f>IF(A179="","",IF(J179=D179,"SIM","NÃO"))</f>
        <v/>
      </c>
      <c r="L179" s="380" t="str">
        <f>IF(C179="","",G155*C179)</f>
        <v/>
      </c>
      <c r="M179" s="381" t="str">
        <f>IF(A179="","",VLOOKUP(A179,VII.A!$A$10:$B$199,2,FALSE))</f>
        <v/>
      </c>
      <c r="N179" s="342" t="str">
        <f>IF(B179="","",IF(M179=B179,"si","no"))</f>
        <v/>
      </c>
      <c r="R179" s="341"/>
      <c r="S179" s="341"/>
    </row>
    <row r="180" spans="1:19" ht="12.75" customHeight="1">
      <c r="A180" s="393"/>
      <c r="C180" s="20"/>
      <c r="E180" s="387"/>
      <c r="F180" s="388"/>
      <c r="H180" s="341" t="str">
        <f>IF(A180="","",VLOOKUP(A180,VII.A!$A$10:$D$199,4,FALSE))</f>
        <v/>
      </c>
      <c r="I180" s="341" t="str">
        <f t="shared" ref="I180" si="52">IF(A180="","",IF(E180=H180,"SIM","NÃO"))</f>
        <v/>
      </c>
      <c r="J180" s="341" t="str">
        <f>IF(A180="","",VLOOKUP(A180,VII.A!$A$10:$D$199,3,FALSE))</f>
        <v/>
      </c>
      <c r="K180" s="342" t="str">
        <f t="shared" ref="K180" si="53">IF(A180="","",IF(J180=D180,"SIM","NÃO"))</f>
        <v/>
      </c>
      <c r="L180" s="380" t="str">
        <f>IF(C180="","",G155*C180)</f>
        <v/>
      </c>
      <c r="M180" s="381" t="str">
        <f>IF(A180="","",VLOOKUP(A180,VII.A!$A$10:$B$199,2,FALSE))</f>
        <v/>
      </c>
      <c r="N180" s="342" t="str">
        <f t="shared" ref="N180" si="54">IF(B180="","",IF(M180=B180,"si","no"))</f>
        <v/>
      </c>
      <c r="R180" s="341"/>
      <c r="S180" s="341"/>
    </row>
    <row r="181" spans="1:19" ht="12.75" customHeight="1">
      <c r="A181" s="393"/>
      <c r="C181" s="20"/>
      <c r="E181" s="387"/>
      <c r="F181" s="388"/>
      <c r="H181" s="341" t="str">
        <f>IF(A181="","",VLOOKUP(A181,VII.A!$A$10:$D$199,4,FALSE))</f>
        <v/>
      </c>
      <c r="I181" s="341" t="str">
        <f>IF(A181="","",IF(E181=H181,"SIM","NÃO"))</f>
        <v/>
      </c>
      <c r="J181" s="341" t="str">
        <f>IF(A181="","",VLOOKUP(A181,VII.A!$A$10:$D$199,3,FALSE))</f>
        <v/>
      </c>
      <c r="K181" s="342" t="str">
        <f>IF(A181="","",IF(J181=D181,"SIM","NÃO"))</f>
        <v/>
      </c>
      <c r="L181" s="380" t="str">
        <f>IF(C181="","",G155*C181)</f>
        <v/>
      </c>
      <c r="M181" s="381" t="str">
        <f>IF(A181="","",VLOOKUP(A181,VII.A!$A$10:$B$199,2,FALSE))</f>
        <v/>
      </c>
      <c r="N181" s="342" t="str">
        <f>IF(B181="","",IF(M181=B181,"si","no"))</f>
        <v/>
      </c>
      <c r="R181" s="341"/>
      <c r="S181" s="341"/>
    </row>
    <row r="182" spans="1:19" ht="12.75" customHeight="1">
      <c r="A182" s="393"/>
      <c r="C182" s="20"/>
      <c r="E182" s="387"/>
      <c r="F182" s="388"/>
      <c r="H182" s="341" t="str">
        <f>IF(A182="","",VLOOKUP(A182,VII.A!$A$10:$D$199,4,FALSE))</f>
        <v/>
      </c>
      <c r="I182" s="341" t="str">
        <f t="shared" ref="I182:I186" si="55">IF(A182="","",IF(E182=H182,"SIM","NÃO"))</f>
        <v/>
      </c>
      <c r="J182" s="341" t="str">
        <f>IF(A182="","",VLOOKUP(A182,VII.A!$A$10:$D$199,3,FALSE))</f>
        <v/>
      </c>
      <c r="K182" s="342" t="str">
        <f t="shared" ref="K182:K186" si="56">IF(A182="","",IF(J182=D182,"SIM","NÃO"))</f>
        <v/>
      </c>
      <c r="L182" s="380" t="str">
        <f>IF(C182="","",G155*C182)</f>
        <v/>
      </c>
      <c r="M182" s="381" t="str">
        <f>IF(A182="","",VLOOKUP(A182,VII.A!$A$10:$B$199,2,FALSE))</f>
        <v/>
      </c>
      <c r="N182" s="342" t="str">
        <f t="shared" ref="N182:N186" si="57">IF(B182="","",IF(M182=B182,"si","no"))</f>
        <v/>
      </c>
      <c r="R182" s="341"/>
      <c r="S182" s="341"/>
    </row>
    <row r="183" spans="1:19" ht="12.75" customHeight="1">
      <c r="A183" s="393"/>
      <c r="C183" s="20"/>
      <c r="E183" s="387"/>
      <c r="F183" s="388"/>
      <c r="G183" s="390"/>
      <c r="H183" s="341" t="str">
        <f>IF(A183="","",VLOOKUP(A183,VII.A!$A$10:$D$199,4,FALSE))</f>
        <v/>
      </c>
      <c r="I183" s="341" t="str">
        <f t="shared" si="55"/>
        <v/>
      </c>
      <c r="J183" s="341" t="str">
        <f>IF(A183="","",VLOOKUP(A183,VII.A!$A$10:$D$199,3,FALSE))</f>
        <v/>
      </c>
      <c r="K183" s="342" t="str">
        <f t="shared" si="56"/>
        <v/>
      </c>
      <c r="L183" s="380" t="str">
        <f>IF(C183="","",G155*C183)</f>
        <v/>
      </c>
      <c r="M183" s="381" t="str">
        <f>IF(A183="","",VLOOKUP(A183,VII.A!$A$10:$B$199,2,FALSE))</f>
        <v/>
      </c>
      <c r="N183" s="342" t="str">
        <f t="shared" si="57"/>
        <v/>
      </c>
      <c r="R183" s="341"/>
      <c r="S183" s="341"/>
    </row>
    <row r="184" spans="1:19" ht="12.75" customHeight="1">
      <c r="A184" s="393"/>
      <c r="C184" s="20"/>
      <c r="E184" s="387"/>
      <c r="F184" s="388"/>
      <c r="G184" s="391"/>
      <c r="H184" s="341" t="str">
        <f>IF(A184="","",VLOOKUP(A184,VII.A!$A$10:$D$199,4,FALSE))</f>
        <v/>
      </c>
      <c r="I184" s="341" t="str">
        <f t="shared" si="55"/>
        <v/>
      </c>
      <c r="J184" s="341" t="str">
        <f>IF(A184="","",VLOOKUP(A184,VII.A!$A$10:$D$199,3,FALSE))</f>
        <v/>
      </c>
      <c r="K184" s="342" t="str">
        <f t="shared" si="56"/>
        <v/>
      </c>
      <c r="L184" s="380" t="str">
        <f>IF(C184="","",G155*C184)</f>
        <v/>
      </c>
      <c r="M184" s="381" t="str">
        <f>IF(A184="","",VLOOKUP(A184,VII.A!$A$10:$B$199,2,FALSE))</f>
        <v/>
      </c>
      <c r="N184" s="342" t="str">
        <f t="shared" si="57"/>
        <v/>
      </c>
      <c r="R184" s="341"/>
      <c r="S184" s="341"/>
    </row>
    <row r="185" spans="1:19" ht="12.75" customHeight="1">
      <c r="A185" s="393"/>
      <c r="C185" s="20"/>
      <c r="E185" s="387"/>
      <c r="F185" s="388"/>
      <c r="H185" s="341" t="str">
        <f>IF(A185="","",VLOOKUP(A185,VII.A!$A$10:$D$199,4,FALSE))</f>
        <v/>
      </c>
      <c r="I185" s="341" t="str">
        <f t="shared" si="55"/>
        <v/>
      </c>
      <c r="J185" s="341" t="str">
        <f>IF(A185="","",VLOOKUP(A185,VII.A!$A$10:$D$199,3,FALSE))</f>
        <v/>
      </c>
      <c r="K185" s="342" t="str">
        <f t="shared" si="56"/>
        <v/>
      </c>
      <c r="L185" s="380" t="str">
        <f>IF(C185="","",G155*C185)</f>
        <v/>
      </c>
      <c r="M185" s="381" t="str">
        <f>IF(A185="","",VLOOKUP(A185,VII.A!$A$10:$B$199,2,FALSE))</f>
        <v/>
      </c>
      <c r="N185" s="342" t="str">
        <f t="shared" si="57"/>
        <v/>
      </c>
      <c r="R185" s="341"/>
      <c r="S185" s="341"/>
    </row>
    <row r="186" spans="1:19" ht="12.75" customHeight="1">
      <c r="A186" s="393"/>
      <c r="C186" s="20"/>
      <c r="E186" s="387"/>
      <c r="F186" s="388"/>
      <c r="H186" s="341" t="str">
        <f>IF(A186="","",VLOOKUP(A186,VII.A!$A$10:$D$199,4,FALSE))</f>
        <v/>
      </c>
      <c r="I186" s="341" t="str">
        <f t="shared" si="55"/>
        <v/>
      </c>
      <c r="J186" s="341" t="str">
        <f>IF(A186="","",VLOOKUP(A186,VII.A!$A$10:$D$199,3,FALSE))</f>
        <v/>
      </c>
      <c r="K186" s="342" t="str">
        <f t="shared" si="56"/>
        <v/>
      </c>
      <c r="L186" s="380" t="str">
        <f>IF(C186="","",G155*C186)</f>
        <v/>
      </c>
      <c r="M186" s="381" t="str">
        <f>IF(A186="","",VLOOKUP(A186,VII.A!$A$10:$B$199,2,FALSE))</f>
        <v/>
      </c>
      <c r="N186" s="342" t="str">
        <f t="shared" si="57"/>
        <v/>
      </c>
      <c r="R186" s="341"/>
      <c r="S186" s="341"/>
    </row>
    <row r="187" spans="1:19" ht="12.75" customHeight="1">
      <c r="A187" s="393"/>
      <c r="B187" s="395" t="s">
        <v>226</v>
      </c>
      <c r="C187" s="396"/>
      <c r="D187" s="397"/>
      <c r="E187" s="398"/>
      <c r="F187" s="399">
        <f>SUM(F177:F186)</f>
        <v>0</v>
      </c>
      <c r="J187" s="341"/>
      <c r="L187" s="380"/>
      <c r="M187" s="381"/>
      <c r="N187" s="342"/>
      <c r="R187" s="341"/>
      <c r="S187" s="341"/>
    </row>
    <row r="188" spans="1:19" ht="12.75" customHeight="1">
      <c r="A188" s="393"/>
      <c r="B188" s="400" t="s">
        <v>53</v>
      </c>
      <c r="C188" s="2">
        <f>$D$8</f>
        <v>0</v>
      </c>
      <c r="D188" s="401"/>
      <c r="E188" s="402"/>
      <c r="F188" s="403">
        <f>ROUND(C188*F187,2)</f>
        <v>0</v>
      </c>
      <c r="J188" s="341"/>
      <c r="L188" s="380"/>
      <c r="M188" s="381"/>
      <c r="N188" s="342"/>
      <c r="R188" s="341"/>
      <c r="S188" s="341"/>
    </row>
    <row r="189" spans="1:19" ht="12.75" customHeight="1">
      <c r="A189" s="404"/>
      <c r="B189" s="405" t="s">
        <v>228</v>
      </c>
      <c r="C189" s="406"/>
      <c r="D189" s="406"/>
      <c r="E189" s="407"/>
      <c r="F189" s="408">
        <f>F187+F188</f>
        <v>0</v>
      </c>
      <c r="J189" s="341"/>
      <c r="L189" s="380"/>
      <c r="M189" s="381"/>
      <c r="N189" s="342"/>
      <c r="R189" s="341"/>
      <c r="S189" s="341"/>
    </row>
    <row r="190" spans="1:19" ht="12.75" customHeight="1">
      <c r="A190" s="409"/>
      <c r="B190" s="410"/>
      <c r="C190" s="411"/>
      <c r="D190" s="412"/>
      <c r="E190" s="413"/>
      <c r="F190" s="378"/>
      <c r="J190" s="341"/>
      <c r="L190" s="380"/>
      <c r="M190" s="381"/>
      <c r="N190" s="342"/>
      <c r="R190" s="341"/>
      <c r="S190" s="341"/>
    </row>
    <row r="191" spans="1:19" ht="12.75" customHeight="1">
      <c r="A191" s="393"/>
      <c r="C191" s="20"/>
      <c r="E191" s="387"/>
      <c r="F191" s="388"/>
      <c r="H191" s="341" t="str">
        <f>IF(A191="","",VLOOKUP(A191,VII.A!$A$10:$D$199,4,FALSE))</f>
        <v/>
      </c>
      <c r="I191" s="341" t="str">
        <f t="shared" ref="I191:I197" si="58">IF(A191="","",IF(E191=H191,"SIM","NÃO"))</f>
        <v/>
      </c>
      <c r="J191" s="341" t="str">
        <f>IF(A191="","",VLOOKUP(A191,VII.A!$A$10:$D$199,3,FALSE))</f>
        <v/>
      </c>
      <c r="K191" s="342" t="str">
        <f t="shared" ref="K191:K197" si="59">IF(A191="","",IF(J191=D191,"SIM","NÃO"))</f>
        <v/>
      </c>
      <c r="L191" s="380" t="str">
        <f>IF(C191="","",G155*C191)</f>
        <v/>
      </c>
      <c r="M191" s="381" t="str">
        <f>IF(A191="","",VLOOKUP(A191,VII.A!$A$10:$B$199,2,FALSE))</f>
        <v/>
      </c>
      <c r="N191" s="342" t="str">
        <f t="shared" ref="N191:N197" si="60">IF(B191="","",IF(M191=B191,"si","no"))</f>
        <v/>
      </c>
      <c r="R191" s="341"/>
      <c r="S191" s="341"/>
    </row>
    <row r="192" spans="1:19" ht="12.75" customHeight="1">
      <c r="A192" s="393"/>
      <c r="C192" s="20"/>
      <c r="E192" s="387"/>
      <c r="F192" s="388"/>
      <c r="H192" s="341" t="str">
        <f>IF(A192="","",VLOOKUP(A192,VII.A!$A$10:$D$199,4,FALSE))</f>
        <v/>
      </c>
      <c r="I192" s="341" t="str">
        <f t="shared" si="58"/>
        <v/>
      </c>
      <c r="J192" s="341" t="str">
        <f>IF(A192="","",VLOOKUP(A192,VII.A!$A$10:$D$199,3,FALSE))</f>
        <v/>
      </c>
      <c r="K192" s="342" t="str">
        <f t="shared" si="59"/>
        <v/>
      </c>
      <c r="L192" s="380" t="str">
        <f>IF(C192="","",G155*C192)</f>
        <v/>
      </c>
      <c r="M192" s="381" t="str">
        <f>IF(A192="","",VLOOKUP(A192,VII.A!$A$10:$B$199,2,FALSE))</f>
        <v/>
      </c>
      <c r="N192" s="342" t="str">
        <f t="shared" si="60"/>
        <v/>
      </c>
      <c r="R192" s="341"/>
      <c r="S192" s="341"/>
    </row>
    <row r="193" spans="1:25" ht="12.75" customHeight="1">
      <c r="A193" s="393"/>
      <c r="C193" s="20"/>
      <c r="E193" s="387"/>
      <c r="F193" s="388"/>
      <c r="H193" s="341" t="str">
        <f>IF(A193="","",VLOOKUP(A193,VII.A!$A$10:$D$199,4,FALSE))</f>
        <v/>
      </c>
      <c r="I193" s="341" t="str">
        <f t="shared" si="58"/>
        <v/>
      </c>
      <c r="J193" s="341" t="str">
        <f>IF(A193="","",VLOOKUP(A193,VII.A!$A$10:$D$199,3,FALSE))</f>
        <v/>
      </c>
      <c r="K193" s="342" t="str">
        <f t="shared" si="59"/>
        <v/>
      </c>
      <c r="L193" s="380" t="str">
        <f>IF(C193="","",G155*C193)</f>
        <v/>
      </c>
      <c r="M193" s="381" t="str">
        <f>IF(A193="","",VLOOKUP(A193,VII.A!$A$10:$B$199,2,FALSE))</f>
        <v/>
      </c>
      <c r="N193" s="342" t="str">
        <f t="shared" si="60"/>
        <v/>
      </c>
      <c r="R193" s="341"/>
      <c r="S193" s="341"/>
    </row>
    <row r="194" spans="1:25" ht="12.75" customHeight="1">
      <c r="A194" s="393"/>
      <c r="C194" s="20"/>
      <c r="E194" s="387"/>
      <c r="F194" s="388"/>
      <c r="H194" s="341" t="str">
        <f>IF(A194="","",VLOOKUP(A194,VII.A!$A$10:$D$199,4,FALSE))</f>
        <v/>
      </c>
      <c r="I194" s="341" t="str">
        <f t="shared" si="58"/>
        <v/>
      </c>
      <c r="J194" s="341" t="str">
        <f>IF(A194="","",VLOOKUP(A194,VII.A!$A$10:$D$199,3,FALSE))</f>
        <v/>
      </c>
      <c r="K194" s="342" t="str">
        <f t="shared" si="59"/>
        <v/>
      </c>
      <c r="L194" s="380" t="str">
        <f>IF(C194="","",G155*C194)</f>
        <v/>
      </c>
      <c r="M194" s="381" t="str">
        <f>IF(A194="","",VLOOKUP(A194,VII.A!$A$10:$B$199,2,FALSE))</f>
        <v/>
      </c>
      <c r="N194" s="342" t="str">
        <f t="shared" si="60"/>
        <v/>
      </c>
      <c r="R194" s="341"/>
      <c r="S194" s="341"/>
    </row>
    <row r="195" spans="1:25" ht="12.75" customHeight="1">
      <c r="A195" s="393"/>
      <c r="C195" s="20"/>
      <c r="E195" s="387"/>
      <c r="F195" s="388"/>
      <c r="H195" s="341" t="str">
        <f>IF(A195="","",VLOOKUP(A195,VII.A!$A$10:$D$199,4,FALSE))</f>
        <v/>
      </c>
      <c r="I195" s="341" t="str">
        <f t="shared" si="58"/>
        <v/>
      </c>
      <c r="J195" s="341" t="str">
        <f>IF(A195="","",VLOOKUP(A195,VII.A!$A$10:$D$199,3,FALSE))</f>
        <v/>
      </c>
      <c r="K195" s="342" t="str">
        <f t="shared" si="59"/>
        <v/>
      </c>
      <c r="L195" s="380" t="str">
        <f>IF(C195="","",G155*C195)</f>
        <v/>
      </c>
      <c r="M195" s="381" t="str">
        <f>IF(A195="","",VLOOKUP(A195,VII.A!$A$10:$B$199,2,FALSE))</f>
        <v/>
      </c>
      <c r="N195" s="342" t="str">
        <f t="shared" si="60"/>
        <v/>
      </c>
      <c r="R195" s="341"/>
      <c r="S195" s="341"/>
    </row>
    <row r="196" spans="1:25" ht="12.75" customHeight="1">
      <c r="A196" s="393"/>
      <c r="C196" s="20"/>
      <c r="E196" s="387"/>
      <c r="F196" s="388"/>
      <c r="H196" s="341" t="str">
        <f>IF(A196="","",VLOOKUP(A196,VII.A!$A$10:$D$199,4,FALSE))</f>
        <v/>
      </c>
      <c r="I196" s="341" t="str">
        <f t="shared" si="58"/>
        <v/>
      </c>
      <c r="J196" s="341" t="str">
        <f>IF(A196="","",VLOOKUP(A196,VII.A!$A$10:$D$199,3,FALSE))</f>
        <v/>
      </c>
      <c r="K196" s="342" t="str">
        <f t="shared" si="59"/>
        <v/>
      </c>
      <c r="L196" s="380" t="str">
        <f>IF(C196="","",G155*C196)</f>
        <v/>
      </c>
      <c r="M196" s="381" t="str">
        <f>IF(A196="","",VLOOKUP(A196,VII.A!$A$10:$B$199,2,FALSE))</f>
        <v/>
      </c>
      <c r="N196" s="342" t="str">
        <f t="shared" si="60"/>
        <v/>
      </c>
      <c r="R196" s="341"/>
      <c r="S196" s="341"/>
    </row>
    <row r="197" spans="1:25" ht="12.75" customHeight="1">
      <c r="A197" s="393"/>
      <c r="C197" s="20"/>
      <c r="E197" s="387"/>
      <c r="F197" s="388"/>
      <c r="H197" s="341" t="str">
        <f>IF(A197="","",VLOOKUP(A197,VII.A!$A$10:$D$199,4,FALSE))</f>
        <v/>
      </c>
      <c r="I197" s="341" t="str">
        <f t="shared" si="58"/>
        <v/>
      </c>
      <c r="J197" s="341" t="str">
        <f>IF(A197="","",VLOOKUP(A197,VII.A!$A$10:$D$199,3,FALSE))</f>
        <v/>
      </c>
      <c r="K197" s="342" t="str">
        <f t="shared" si="59"/>
        <v/>
      </c>
      <c r="L197" s="380" t="str">
        <f>IF(C197="","",G155*C197)</f>
        <v/>
      </c>
      <c r="M197" s="381" t="str">
        <f>IF(A197="","",VLOOKUP(A197,VII.A!$A$10:$B$199,2,FALSE))</f>
        <v/>
      </c>
      <c r="N197" s="342" t="str">
        <f t="shared" si="60"/>
        <v/>
      </c>
      <c r="R197" s="341"/>
      <c r="S197" s="341"/>
    </row>
    <row r="198" spans="1:25" ht="12.75" customHeight="1">
      <c r="A198" s="393"/>
      <c r="B198" s="395" t="s">
        <v>226</v>
      </c>
      <c r="C198" s="396"/>
      <c r="D198" s="397"/>
      <c r="E198" s="398"/>
      <c r="F198" s="399">
        <f>SUM(F191:F197)</f>
        <v>0</v>
      </c>
      <c r="J198" s="341"/>
      <c r="L198" s="380"/>
      <c r="M198" s="381"/>
      <c r="N198" s="342"/>
      <c r="R198" s="341"/>
      <c r="S198" s="341"/>
    </row>
    <row r="199" spans="1:25" ht="12.75" customHeight="1">
      <c r="A199" s="393"/>
      <c r="B199" s="400" t="s">
        <v>229</v>
      </c>
      <c r="C199" s="2">
        <f>IX.A!$C$45</f>
        <v>0</v>
      </c>
      <c r="D199" s="401"/>
      <c r="E199" s="402"/>
      <c r="F199" s="403">
        <f>ROUND(F198*C199,2)</f>
        <v>0</v>
      </c>
      <c r="J199" s="341"/>
      <c r="L199" s="380"/>
      <c r="M199" s="381"/>
      <c r="N199" s="342"/>
      <c r="R199" s="341"/>
      <c r="S199" s="341"/>
    </row>
    <row r="200" spans="1:25" ht="12.75" customHeight="1">
      <c r="A200" s="393"/>
      <c r="B200" s="400" t="s">
        <v>53</v>
      </c>
      <c r="C200" s="2">
        <f>$D$8</f>
        <v>0</v>
      </c>
      <c r="D200" s="401"/>
      <c r="E200" s="402"/>
      <c r="F200" s="403">
        <f>ROUND(SUM(F198:F199)*C200,2)</f>
        <v>0</v>
      </c>
      <c r="J200" s="341"/>
      <c r="L200" s="380"/>
      <c r="M200" s="381"/>
      <c r="N200" s="342"/>
      <c r="R200" s="341"/>
      <c r="S200" s="341"/>
    </row>
    <row r="201" spans="1:25" ht="12.75" customHeight="1" thickBot="1">
      <c r="A201" s="414"/>
      <c r="B201" s="415" t="s">
        <v>230</v>
      </c>
      <c r="C201" s="416"/>
      <c r="D201" s="416"/>
      <c r="E201" s="417"/>
      <c r="F201" s="418">
        <f>SUM(F198:F200)</f>
        <v>0</v>
      </c>
      <c r="J201" s="341"/>
      <c r="L201" s="380"/>
      <c r="M201" s="381"/>
      <c r="N201" s="342"/>
      <c r="R201" s="341"/>
      <c r="S201" s="341"/>
    </row>
    <row r="202" spans="1:25" ht="12.75" customHeight="1" thickBot="1">
      <c r="A202" s="357"/>
      <c r="B202" s="358"/>
      <c r="C202" s="359"/>
      <c r="D202" s="359"/>
      <c r="E202" s="360"/>
      <c r="F202" s="419"/>
      <c r="J202" s="341"/>
      <c r="L202" s="380"/>
      <c r="M202" s="381"/>
      <c r="N202" s="342"/>
      <c r="R202" s="341"/>
      <c r="S202" s="341"/>
    </row>
    <row r="203" spans="1:25" ht="30" customHeight="1">
      <c r="A203" s="370" t="str">
        <f>IV.A!$A$20</f>
        <v>1.5</v>
      </c>
      <c r="B203" s="371" t="str">
        <f>IV.A!$B$20</f>
        <v>CONTAINER</v>
      </c>
      <c r="C203" s="871" t="s">
        <v>237</v>
      </c>
      <c r="D203" s="872"/>
      <c r="E203" s="372" t="str">
        <f>IV.A!$C$20</f>
        <v>UND.MÊS</v>
      </c>
      <c r="F203" s="11">
        <f>ROUND(F223+F237+F249,2)</f>
        <v>0</v>
      </c>
      <c r="G203" s="1">
        <f>VLOOKUP(A203,IV.A!$A$16:$L$172,4,FALSE)</f>
        <v>48</v>
      </c>
      <c r="H203" s="361">
        <f>SUM(F205:F220)+F222</f>
        <v>0</v>
      </c>
      <c r="I203" s="361">
        <f>SUM(F225:F234)+F236</f>
        <v>0</v>
      </c>
      <c r="J203" s="361">
        <f>SUM(F239:F245)+F247+F248</f>
        <v>0</v>
      </c>
      <c r="K203" s="361">
        <f>SUM(H203:J203)</f>
        <v>0</v>
      </c>
      <c r="L203" s="362" t="str">
        <f>IF(K203=F203,"SIM","NÃO")</f>
        <v>SIM</v>
      </c>
      <c r="M203" s="373">
        <f>ROUND(SUM(F205:F220),2)+ROUND(SUM(F205:F220)*C222,2)+ROUND(SUM(F225:F234)*C236,2)+ROUND(SUM(F225:F234),2)+ROUND(SUM(F239:F245)*C247,2)+ROUND((SUM(F239:F245)+ROUND(SUM(F239:F245)*C247,2))*C248,2)+ROUND(SUM(F239:F245),2)</f>
        <v>0</v>
      </c>
      <c r="N203" s="343" t="str">
        <f>IF(M203=F203,"SIM","NÃO")</f>
        <v>SIM</v>
      </c>
      <c r="O203" s="364" t="str">
        <f>VLOOKUP(A203,IV.A!$A$16:$E$172,3,FALSE)</f>
        <v>UND.MÊS</v>
      </c>
      <c r="P203" s="344" t="str">
        <f>IF(O203=E203,"SIM","NÃO")</f>
        <v>SIM</v>
      </c>
      <c r="Q203" s="365">
        <f>ROUND(G203*F223,2)+ROUND(G203*F237,2)+ROUND(G203*F249,2)</f>
        <v>0</v>
      </c>
      <c r="R203" s="364">
        <f>VLOOKUP(A203,IV.A!$A$16:$L$172,12,FALSE)</f>
        <v>0</v>
      </c>
      <c r="S203" s="366" t="str">
        <f>IF(Q203=R203,"si","no")</f>
        <v>si</v>
      </c>
      <c r="T203" s="367">
        <f>SUM(L205:L220)+SUM(L225:L234)+SUM(L239:L245)</f>
        <v>48</v>
      </c>
      <c r="U203" s="341">
        <f>(SUM(C205:C220)+SUM(C225:C234)+SUM(C239:C245))*G203</f>
        <v>48</v>
      </c>
      <c r="V203" s="368" t="str">
        <f>IF(T203=U203,"si","no")</f>
        <v>si</v>
      </c>
      <c r="W203" s="369">
        <f>SUM(F205:F220)</f>
        <v>0</v>
      </c>
      <c r="X203" s="369">
        <f>SUM(F225:F234)</f>
        <v>0</v>
      </c>
      <c r="Y203" s="369">
        <f>SUM(F239:F245)</f>
        <v>0</v>
      </c>
    </row>
    <row r="204" spans="1:25" ht="12.75" customHeight="1">
      <c r="A204" s="374"/>
      <c r="B204" s="375"/>
      <c r="C204" s="376"/>
      <c r="D204" s="376"/>
      <c r="E204" s="377"/>
      <c r="F204" s="378"/>
      <c r="G204" s="379"/>
      <c r="J204" s="341"/>
      <c r="L204" s="380"/>
      <c r="M204" s="381"/>
      <c r="N204" s="342"/>
      <c r="O204" s="382"/>
      <c r="P204" s="383"/>
      <c r="Q204" s="383"/>
      <c r="R204" s="383"/>
      <c r="S204" s="383"/>
      <c r="T204" s="382"/>
      <c r="U204" s="341"/>
      <c r="V204" s="384"/>
      <c r="W204" s="384"/>
      <c r="X204" s="384"/>
      <c r="Y204" s="384"/>
    </row>
    <row r="205" spans="1:25" ht="12.75" customHeight="1">
      <c r="A205" s="385"/>
      <c r="C205" s="20"/>
      <c r="D205" s="342"/>
      <c r="E205" s="387"/>
      <c r="F205" s="388"/>
      <c r="H205" s="341" t="str">
        <f>IF(A205="","",VLOOKUP(A205,VII.A!$A$10:$D$199,4,FALSE))</f>
        <v/>
      </c>
      <c r="I205" s="341" t="str">
        <f>IF(A205="","",IF(E205=H205,"SIM","NÃO"))</f>
        <v/>
      </c>
      <c r="J205" s="341" t="str">
        <f>IF(A205="","",VLOOKUP(A205,VII.A!$A$10:$D$199,3,FALSE))</f>
        <v/>
      </c>
      <c r="K205" s="342" t="str">
        <f>IF(A205="","",IF(J205=D205,"SIM","NÃO"))</f>
        <v/>
      </c>
      <c r="L205" s="380" t="str">
        <f>IF(C205="","",G203*C205)</f>
        <v/>
      </c>
      <c r="M205" s="381" t="str">
        <f>IF(A205="","",VLOOKUP(A205,VII.A!$A$10:$B$199,2,FALSE))</f>
        <v/>
      </c>
      <c r="N205" s="342" t="str">
        <f>IF(B205="","",IF(M205=B205,"si","no"))</f>
        <v/>
      </c>
      <c r="R205" s="341"/>
      <c r="S205" s="341"/>
    </row>
    <row r="206" spans="1:25" ht="12.75" customHeight="1">
      <c r="A206" s="385"/>
      <c r="C206" s="20"/>
      <c r="D206" s="342"/>
      <c r="E206" s="387"/>
      <c r="F206" s="388"/>
      <c r="H206" s="341" t="str">
        <f>IF(A206="","",VLOOKUP(A206,VII.A!$A$10:$D$199,4,FALSE))</f>
        <v/>
      </c>
      <c r="I206" s="341" t="str">
        <f t="shared" ref="I206:I220" si="61">IF(A206="","",IF(E206=H206,"SIM","NÃO"))</f>
        <v/>
      </c>
      <c r="J206" s="341" t="str">
        <f>IF(A206="","",VLOOKUP(A206,VII.A!$A$10:$D$199,3,FALSE))</f>
        <v/>
      </c>
      <c r="K206" s="342" t="str">
        <f t="shared" ref="K206:K220" si="62">IF(A206="","",IF(J206=D206,"SIM","NÃO"))</f>
        <v/>
      </c>
      <c r="L206" s="380" t="str">
        <f>IF(C206="","",G203*C206)</f>
        <v/>
      </c>
      <c r="M206" s="381" t="str">
        <f>IF(A206="","",VLOOKUP(A206,VII.A!$A$10:$B$199,2,FALSE))</f>
        <v/>
      </c>
      <c r="N206" s="342" t="str">
        <f t="shared" ref="N206:N220" si="63">IF(B206="","",IF(M206=B206,"si","no"))</f>
        <v/>
      </c>
      <c r="R206" s="341"/>
      <c r="S206" s="341"/>
    </row>
    <row r="207" spans="1:25" ht="12.75" customHeight="1">
      <c r="A207" s="385"/>
      <c r="C207" s="20"/>
      <c r="D207" s="342"/>
      <c r="E207" s="387"/>
      <c r="F207" s="388"/>
      <c r="H207" s="341" t="str">
        <f>IF(A207="","",VLOOKUP(A207,VII.A!$A$10:$D$199,4,FALSE))</f>
        <v/>
      </c>
      <c r="I207" s="341" t="str">
        <f t="shared" si="61"/>
        <v/>
      </c>
      <c r="J207" s="341" t="str">
        <f>IF(A207="","",VLOOKUP(A207,VII.A!$A$10:$D$199,3,FALSE))</f>
        <v/>
      </c>
      <c r="K207" s="342" t="str">
        <f t="shared" si="62"/>
        <v/>
      </c>
      <c r="L207" s="380" t="str">
        <f>IF(C207="","",G203*C207)</f>
        <v/>
      </c>
      <c r="M207" s="381" t="str">
        <f>IF(A207="","",VLOOKUP(A207,VII.A!$A$10:$B$199,2,FALSE))</f>
        <v/>
      </c>
      <c r="N207" s="342" t="str">
        <f t="shared" si="63"/>
        <v/>
      </c>
      <c r="R207" s="341"/>
      <c r="S207" s="341"/>
    </row>
    <row r="208" spans="1:25" ht="12.75" customHeight="1">
      <c r="A208" s="385"/>
      <c r="C208" s="20"/>
      <c r="D208" s="342"/>
      <c r="E208" s="387"/>
      <c r="F208" s="388"/>
      <c r="H208" s="341" t="str">
        <f>IF(A208="","",VLOOKUP(A208,VII.A!$A$10:$D$199,4,FALSE))</f>
        <v/>
      </c>
      <c r="I208" s="341" t="str">
        <f t="shared" si="61"/>
        <v/>
      </c>
      <c r="J208" s="341" t="str">
        <f>IF(A208="","",VLOOKUP(A208,VII.A!$A$10:$D$199,3,FALSE))</f>
        <v/>
      </c>
      <c r="K208" s="342" t="str">
        <f t="shared" si="62"/>
        <v/>
      </c>
      <c r="L208" s="380" t="str">
        <f>IF(C208="","",G203*C208)</f>
        <v/>
      </c>
      <c r="M208" s="381" t="str">
        <f>IF(A208="","",VLOOKUP(A208,VII.A!$A$10:$B$199,2,FALSE))</f>
        <v/>
      </c>
      <c r="N208" s="342" t="str">
        <f t="shared" si="63"/>
        <v/>
      </c>
      <c r="R208" s="341"/>
      <c r="S208" s="341"/>
    </row>
    <row r="209" spans="1:21" ht="12.75" customHeight="1">
      <c r="A209" s="385"/>
      <c r="B209" s="386"/>
      <c r="C209" s="20"/>
      <c r="D209" s="342"/>
      <c r="E209" s="387"/>
      <c r="F209" s="388"/>
      <c r="H209" s="341" t="str">
        <f>IF(A209="","",VLOOKUP(A209,VII.A!$A$10:$D$199,4,FALSE))</f>
        <v/>
      </c>
      <c r="I209" s="341" t="str">
        <f t="shared" si="61"/>
        <v/>
      </c>
      <c r="J209" s="341" t="str">
        <f>IF(A209="","",VLOOKUP(A209,VII.A!$A$10:$D$199,3,FALSE))</f>
        <v/>
      </c>
      <c r="K209" s="342" t="str">
        <f t="shared" si="62"/>
        <v/>
      </c>
      <c r="L209" s="380" t="str">
        <f>IF(C209="","",G203*C209)</f>
        <v/>
      </c>
      <c r="M209" s="381" t="str">
        <f>IF(A209="","",VLOOKUP(A209,VII.A!$A$10:$B$199,2,FALSE))</f>
        <v/>
      </c>
      <c r="N209" s="342" t="str">
        <f t="shared" si="63"/>
        <v/>
      </c>
      <c r="R209" s="341"/>
      <c r="S209" s="341"/>
    </row>
    <row r="210" spans="1:21" ht="12.75" customHeight="1">
      <c r="A210" s="385"/>
      <c r="B210" s="386"/>
      <c r="C210" s="20"/>
      <c r="D210" s="342"/>
      <c r="E210" s="387"/>
      <c r="F210" s="388"/>
      <c r="H210" s="341" t="str">
        <f>IF(A210="","",VLOOKUP(A210,VII.A!$A$10:$D$199,4,FALSE))</f>
        <v/>
      </c>
      <c r="I210" s="341" t="str">
        <f t="shared" si="61"/>
        <v/>
      </c>
      <c r="J210" s="341" t="str">
        <f>IF(A210="","",VLOOKUP(A210,VII.A!$A$10:$D$199,3,FALSE))</f>
        <v/>
      </c>
      <c r="K210" s="342" t="str">
        <f t="shared" si="62"/>
        <v/>
      </c>
      <c r="L210" s="380" t="str">
        <f>IF(C210="","",G203*C210)</f>
        <v/>
      </c>
      <c r="M210" s="381" t="str">
        <f>IF(A210="","",VLOOKUP(A210,VII.A!$A$10:$B$199,2,FALSE))</f>
        <v/>
      </c>
      <c r="N210" s="342" t="str">
        <f t="shared" si="63"/>
        <v/>
      </c>
      <c r="R210" s="341"/>
      <c r="S210" s="341"/>
      <c r="U210" s="389"/>
    </row>
    <row r="211" spans="1:21" ht="12.75" customHeight="1">
      <c r="A211" s="385"/>
      <c r="B211" s="386"/>
      <c r="C211" s="20"/>
      <c r="D211" s="342"/>
      <c r="E211" s="387"/>
      <c r="F211" s="388"/>
      <c r="H211" s="341" t="str">
        <f>IF(A211="","",VLOOKUP(A211,VII.A!$A$10:$D$199,4,FALSE))</f>
        <v/>
      </c>
      <c r="I211" s="341" t="str">
        <f t="shared" si="61"/>
        <v/>
      </c>
      <c r="J211" s="341" t="str">
        <f>IF(A211="","",VLOOKUP(A211,VII.A!$A$10:$D$199,3,FALSE))</f>
        <v/>
      </c>
      <c r="K211" s="342" t="str">
        <f t="shared" si="62"/>
        <v/>
      </c>
      <c r="L211" s="380" t="str">
        <f>IF(C211="","",G203*C211)</f>
        <v/>
      </c>
      <c r="M211" s="381" t="str">
        <f>IF(A211="","",VLOOKUP(A211,VII.A!$A$10:$B$199,2,FALSE))</f>
        <v/>
      </c>
      <c r="N211" s="342" t="str">
        <f t="shared" si="63"/>
        <v/>
      </c>
      <c r="R211" s="341"/>
      <c r="S211" s="341"/>
    </row>
    <row r="212" spans="1:21" ht="12.75" customHeight="1">
      <c r="A212" s="385"/>
      <c r="B212" s="386"/>
      <c r="C212" s="20"/>
      <c r="D212" s="342"/>
      <c r="E212" s="387"/>
      <c r="F212" s="388"/>
      <c r="G212" s="390"/>
      <c r="H212" s="341" t="str">
        <f>IF(A212="","",VLOOKUP(A212,VII.A!$A$10:$D$199,4,FALSE))</f>
        <v/>
      </c>
      <c r="I212" s="341" t="str">
        <f t="shared" si="61"/>
        <v/>
      </c>
      <c r="J212" s="341" t="str">
        <f>IF(A212="","",VLOOKUP(A212,VII.A!$A$10:$D$199,3,FALSE))</f>
        <v/>
      </c>
      <c r="K212" s="342" t="str">
        <f t="shared" si="62"/>
        <v/>
      </c>
      <c r="L212" s="380" t="str">
        <f>IF(C212="","",G203*C212)</f>
        <v/>
      </c>
      <c r="M212" s="381" t="str">
        <f>IF(A212="","",VLOOKUP(A212,VII.A!$A$10:$B$199,2,FALSE))</f>
        <v/>
      </c>
      <c r="N212" s="342" t="str">
        <f t="shared" si="63"/>
        <v/>
      </c>
      <c r="R212" s="341"/>
      <c r="S212" s="341"/>
    </row>
    <row r="213" spans="1:21" ht="12.75" customHeight="1">
      <c r="A213" s="385"/>
      <c r="B213" s="386"/>
      <c r="C213" s="20"/>
      <c r="D213" s="342"/>
      <c r="E213" s="387"/>
      <c r="F213" s="388"/>
      <c r="G213" s="390"/>
      <c r="H213" s="341" t="str">
        <f>IF(A213="","",VLOOKUP(A213,VII.A!$A$10:$D$199,4,FALSE))</f>
        <v/>
      </c>
      <c r="I213" s="341" t="str">
        <f t="shared" si="61"/>
        <v/>
      </c>
      <c r="J213" s="341" t="str">
        <f>IF(A213="","",VLOOKUP(A213,VII.A!$A$10:$D$199,3,FALSE))</f>
        <v/>
      </c>
      <c r="K213" s="342" t="str">
        <f t="shared" si="62"/>
        <v/>
      </c>
      <c r="L213" s="380" t="str">
        <f>IF(C213="","",G203*C213)</f>
        <v/>
      </c>
      <c r="M213" s="381" t="str">
        <f>IF(A213="","",VLOOKUP(A213,VII.A!$A$10:$B$199,2,FALSE))</f>
        <v/>
      </c>
      <c r="N213" s="342" t="str">
        <f t="shared" si="63"/>
        <v/>
      </c>
      <c r="R213" s="341"/>
      <c r="S213" s="341"/>
    </row>
    <row r="214" spans="1:21" ht="12.75" customHeight="1">
      <c r="A214" s="385"/>
      <c r="B214" s="386"/>
      <c r="C214" s="20"/>
      <c r="D214" s="342"/>
      <c r="E214" s="387"/>
      <c r="F214" s="388"/>
      <c r="G214" s="391"/>
      <c r="H214" s="341" t="str">
        <f>IF(A214="","",VLOOKUP(A214,VII.A!$A$10:$D$199,4,FALSE))</f>
        <v/>
      </c>
      <c r="I214" s="341" t="str">
        <f t="shared" si="61"/>
        <v/>
      </c>
      <c r="J214" s="341" t="str">
        <f>IF(A214="","",VLOOKUP(A214,VII.A!$A$10:$D$199,3,FALSE))</f>
        <v/>
      </c>
      <c r="K214" s="342" t="str">
        <f t="shared" si="62"/>
        <v/>
      </c>
      <c r="L214" s="380" t="str">
        <f>IF(C214="","",G203*C214)</f>
        <v/>
      </c>
      <c r="M214" s="381" t="str">
        <f>IF(A214="","",VLOOKUP(A214,VII.A!$A$10:$B$199,2,FALSE))</f>
        <v/>
      </c>
      <c r="N214" s="342" t="str">
        <f t="shared" si="63"/>
        <v/>
      </c>
      <c r="R214" s="341"/>
      <c r="S214" s="341"/>
    </row>
    <row r="215" spans="1:21" ht="12.75" customHeight="1">
      <c r="A215" s="385"/>
      <c r="B215" s="386"/>
      <c r="C215" s="20"/>
      <c r="D215" s="342"/>
      <c r="E215" s="387"/>
      <c r="F215" s="388"/>
      <c r="H215" s="341" t="str">
        <f>IF(A215="","",VLOOKUP(A215,VII.A!$A$10:$D$199,4,FALSE))</f>
        <v/>
      </c>
      <c r="I215" s="341" t="str">
        <f t="shared" si="61"/>
        <v/>
      </c>
      <c r="J215" s="341" t="str">
        <f>IF(A215="","",VLOOKUP(A215,VII.A!$A$10:$D$199,3,FALSE))</f>
        <v/>
      </c>
      <c r="K215" s="342" t="str">
        <f t="shared" si="62"/>
        <v/>
      </c>
      <c r="L215" s="380" t="str">
        <f>IF(C215="","",G203*C215)</f>
        <v/>
      </c>
      <c r="M215" s="381" t="str">
        <f>IF(A215="","",VLOOKUP(A215,VII.A!$A$10:$B$199,2,FALSE))</f>
        <v/>
      </c>
      <c r="N215" s="342" t="str">
        <f t="shared" si="63"/>
        <v/>
      </c>
      <c r="R215" s="341"/>
      <c r="S215" s="341"/>
    </row>
    <row r="216" spans="1:21" ht="12.75" customHeight="1">
      <c r="A216" s="385"/>
      <c r="B216" s="386"/>
      <c r="C216" s="20"/>
      <c r="D216" s="392"/>
      <c r="E216" s="387"/>
      <c r="F216" s="388"/>
      <c r="H216" s="341" t="str">
        <f>IF(A216="","",VLOOKUP(A216,VII.A!$A$10:$D$199,4,FALSE))</f>
        <v/>
      </c>
      <c r="I216" s="341" t="str">
        <f t="shared" si="61"/>
        <v/>
      </c>
      <c r="J216" s="341" t="str">
        <f>IF(A216="","",VLOOKUP(A216,VII.A!$A$10:$D$199,3,FALSE))</f>
        <v/>
      </c>
      <c r="K216" s="342" t="str">
        <f t="shared" si="62"/>
        <v/>
      </c>
      <c r="L216" s="380" t="str">
        <f>IF(C216="","",G203*C216)</f>
        <v/>
      </c>
      <c r="M216" s="381" t="str">
        <f>IF(A216="","",VLOOKUP(A216,VII.A!$A$10:$B$199,2,FALSE))</f>
        <v/>
      </c>
      <c r="N216" s="342" t="str">
        <f t="shared" si="63"/>
        <v/>
      </c>
      <c r="R216" s="341"/>
      <c r="S216" s="341"/>
    </row>
    <row r="217" spans="1:21" ht="12.75" customHeight="1">
      <c r="A217" s="385"/>
      <c r="B217" s="386"/>
      <c r="C217" s="20"/>
      <c r="D217" s="392"/>
      <c r="E217" s="387"/>
      <c r="F217" s="388"/>
      <c r="H217" s="341" t="str">
        <f>IF(A217="","",VLOOKUP(A217,VII.A!$A$10:$D$199,4,FALSE))</f>
        <v/>
      </c>
      <c r="I217" s="341" t="str">
        <f t="shared" si="61"/>
        <v/>
      </c>
      <c r="J217" s="341" t="str">
        <f>IF(A217="","",VLOOKUP(A217,VII.A!$A$10:$D$199,3,FALSE))</f>
        <v/>
      </c>
      <c r="K217" s="342" t="str">
        <f t="shared" si="62"/>
        <v/>
      </c>
      <c r="L217" s="380" t="str">
        <f>IF(C217="","",G203*C217)</f>
        <v/>
      </c>
      <c r="M217" s="381" t="str">
        <f>IF(A217="","",VLOOKUP(A217,VII.A!$A$10:$B$199,2,FALSE))</f>
        <v/>
      </c>
      <c r="N217" s="342" t="str">
        <f t="shared" si="63"/>
        <v/>
      </c>
      <c r="O217" s="342"/>
      <c r="R217" s="341"/>
      <c r="S217" s="341"/>
    </row>
    <row r="218" spans="1:21" ht="12.75" customHeight="1">
      <c r="A218" s="385"/>
      <c r="B218" s="386"/>
      <c r="C218" s="20"/>
      <c r="D218" s="392"/>
      <c r="E218" s="387"/>
      <c r="F218" s="388"/>
      <c r="H218" s="341" t="str">
        <f>IF(A218="","",VLOOKUP(A218,VII.A!$A$10:$D$199,4,FALSE))</f>
        <v/>
      </c>
      <c r="I218" s="341" t="str">
        <f t="shared" si="61"/>
        <v/>
      </c>
      <c r="J218" s="341" t="str">
        <f>IF(A218="","",VLOOKUP(A218,VII.A!$A$10:$D$199,3,FALSE))</f>
        <v/>
      </c>
      <c r="K218" s="342" t="str">
        <f t="shared" si="62"/>
        <v/>
      </c>
      <c r="L218" s="380" t="str">
        <f>IF(C218="","",G203*C218)</f>
        <v/>
      </c>
      <c r="M218" s="381" t="str">
        <f>IF(A218="","",VLOOKUP(A218,VII.A!$A$10:$B$199,2,FALSE))</f>
        <v/>
      </c>
      <c r="N218" s="342" t="str">
        <f t="shared" si="63"/>
        <v/>
      </c>
      <c r="R218" s="341"/>
      <c r="S218" s="341"/>
    </row>
    <row r="219" spans="1:21" ht="12.75" customHeight="1">
      <c r="A219" s="393"/>
      <c r="C219" s="20"/>
      <c r="E219" s="387"/>
      <c r="F219" s="388"/>
      <c r="H219" s="341" t="str">
        <f>IF(A219="","",VLOOKUP(A219,VII.A!$A$10:$D$199,4,FALSE))</f>
        <v/>
      </c>
      <c r="I219" s="341" t="str">
        <f t="shared" si="61"/>
        <v/>
      </c>
      <c r="J219" s="341" t="str">
        <f>IF(A219="","",VLOOKUP(A219,VII.A!$A$10:$D$199,3,FALSE))</f>
        <v/>
      </c>
      <c r="K219" s="342" t="str">
        <f t="shared" si="62"/>
        <v/>
      </c>
      <c r="L219" s="380" t="str">
        <f>IF(C219="","",G203*C219)</f>
        <v/>
      </c>
      <c r="M219" s="381" t="str">
        <f>IF(A219="","",VLOOKUP(A219,VII.A!$A$10:$B$199,2,FALSE))</f>
        <v/>
      </c>
      <c r="N219" s="342" t="str">
        <f t="shared" si="63"/>
        <v/>
      </c>
      <c r="R219" s="341"/>
      <c r="S219" s="341"/>
    </row>
    <row r="220" spans="1:21" ht="12.75" customHeight="1">
      <c r="A220" s="393"/>
      <c r="C220" s="20"/>
      <c r="E220" s="387"/>
      <c r="F220" s="388"/>
      <c r="H220" s="341" t="str">
        <f>IF(A220="","",VLOOKUP(A220,VII.A!$A$10:$D$199,4,FALSE))</f>
        <v/>
      </c>
      <c r="I220" s="341" t="str">
        <f t="shared" si="61"/>
        <v/>
      </c>
      <c r="J220" s="341" t="str">
        <f>IF(A220="","",VLOOKUP(A220,VII.A!$A$10:$D$199,3,FALSE))</f>
        <v/>
      </c>
      <c r="K220" s="342" t="str">
        <f t="shared" si="62"/>
        <v/>
      </c>
      <c r="L220" s="380" t="str">
        <f>IF(C220="","",G203*C220)</f>
        <v/>
      </c>
      <c r="M220" s="381" t="str">
        <f>IF(A220="","",VLOOKUP(A220,VII.A!$A$10:$B$199,2,FALSE))</f>
        <v/>
      </c>
      <c r="N220" s="342" t="str">
        <f t="shared" si="63"/>
        <v/>
      </c>
      <c r="R220" s="341"/>
      <c r="S220" s="341"/>
    </row>
    <row r="221" spans="1:21" ht="12.75" customHeight="1">
      <c r="A221" s="393"/>
      <c r="B221" s="395" t="s">
        <v>226</v>
      </c>
      <c r="C221" s="396"/>
      <c r="D221" s="397"/>
      <c r="E221" s="398"/>
      <c r="F221" s="420">
        <f>SUM(F205:F220)</f>
        <v>0</v>
      </c>
      <c r="J221" s="341"/>
      <c r="L221" s="380"/>
      <c r="M221" s="381"/>
      <c r="N221" s="342"/>
      <c r="R221" s="341"/>
      <c r="S221" s="341"/>
    </row>
    <row r="222" spans="1:21" ht="12.75" customHeight="1">
      <c r="A222" s="393"/>
      <c r="B222" s="400" t="s">
        <v>53</v>
      </c>
      <c r="C222" s="2">
        <f>$D$8</f>
        <v>0</v>
      </c>
      <c r="D222" s="401"/>
      <c r="E222" s="402"/>
      <c r="F222" s="421">
        <f>ROUND(F221*C222,2)</f>
        <v>0</v>
      </c>
      <c r="J222" s="341"/>
      <c r="L222" s="380"/>
      <c r="M222" s="381"/>
      <c r="N222" s="342"/>
      <c r="R222" s="341"/>
      <c r="S222" s="341"/>
    </row>
    <row r="223" spans="1:21" ht="12.75" customHeight="1">
      <c r="A223" s="404"/>
      <c r="B223" s="405" t="s">
        <v>227</v>
      </c>
      <c r="C223" s="406"/>
      <c r="D223" s="406"/>
      <c r="E223" s="407"/>
      <c r="F223" s="422">
        <f>F221+F222</f>
        <v>0</v>
      </c>
      <c r="J223" s="341"/>
      <c r="L223" s="380"/>
      <c r="M223" s="381"/>
      <c r="N223" s="342"/>
      <c r="R223" s="341"/>
      <c r="S223" s="341"/>
    </row>
    <row r="224" spans="1:21" ht="12.75" customHeight="1">
      <c r="A224" s="374"/>
      <c r="B224" s="375"/>
      <c r="C224" s="376"/>
      <c r="D224" s="376"/>
      <c r="E224" s="377"/>
      <c r="F224" s="378"/>
      <c r="J224" s="341"/>
      <c r="L224" s="380"/>
      <c r="M224" s="381"/>
      <c r="N224" s="342"/>
      <c r="R224" s="341"/>
      <c r="S224" s="341"/>
    </row>
    <row r="225" spans="1:19" ht="12.75" customHeight="1">
      <c r="A225" s="393" t="str">
        <f>VII.A!$A$144</f>
        <v>2.2</v>
      </c>
      <c r="B225" s="394" t="str">
        <f>VLOOKUP(A225,VII.A!$A$10:$G$199,2,FALSE)</f>
        <v>ALUGUEL DE CONTAINER PARA DEPÓSITO, METÁLICO EM AÇO GALVANIZADO, 6,0X2,30X2,50M, VÃO LIVRE, PISO DE CONCRETO, CIMENTADO OU MADEIRA</v>
      </c>
      <c r="C225" s="20">
        <v>1</v>
      </c>
      <c r="D225" s="384" t="str">
        <f>VLOOKUP(A225,VII.A!$A$10:$G$199,3,FALSE)</f>
        <v>UNxMÊS</v>
      </c>
      <c r="E225" s="387">
        <f>VII.A!$D$144</f>
        <v>0</v>
      </c>
      <c r="F225" s="388">
        <f t="shared" ref="F225" si="64">ROUND(C225*E225,2)</f>
        <v>0</v>
      </c>
      <c r="H225" s="341">
        <f>IF(A225="","",VLOOKUP(A225,VII.A!$A$10:$D$199,4,FALSE))</f>
        <v>0</v>
      </c>
      <c r="I225" s="341" t="str">
        <f t="shared" ref="I225" si="65">IF(A225="","",IF(E225=H225,"SIM","NÃO"))</f>
        <v>SIM</v>
      </c>
      <c r="J225" s="341" t="str">
        <f>IF(A225="","",VLOOKUP(A225,VII.A!$A$10:$D$199,3,FALSE))</f>
        <v>UNxMÊS</v>
      </c>
      <c r="K225" s="342" t="str">
        <f t="shared" ref="K225" si="66">IF(A225="","",IF(J225=D225,"SIM","NÃO"))</f>
        <v>SIM</v>
      </c>
      <c r="L225" s="380">
        <f>IF(C225="","",G203*C225)</f>
        <v>48</v>
      </c>
      <c r="M225" s="381" t="str">
        <f>IF(A225="","",VLOOKUP(A225,VII.A!$A$10:$B$199,2,FALSE))</f>
        <v>ALUGUEL DE CONTAINER PARA DEPÓSITO, METÁLICO EM AÇO GALVANIZADO, 6,0X2,30X2,50M, VÃO LIVRE, PISO DE CONCRETO, CIMENTADO OU MADEIRA</v>
      </c>
      <c r="N225" s="342" t="str">
        <f t="shared" ref="N225" si="67">IF(B225="","",IF(M225=B225,"si","no"))</f>
        <v>si</v>
      </c>
      <c r="R225" s="341"/>
      <c r="S225" s="341"/>
    </row>
    <row r="226" spans="1:19" ht="12.75" customHeight="1">
      <c r="A226" s="393"/>
      <c r="C226" s="20"/>
      <c r="E226" s="387"/>
      <c r="F226" s="388"/>
      <c r="H226" s="341" t="str">
        <f>IF(A226="","",VLOOKUP(A226,VII.A!$A$10:$D$199,4,FALSE))</f>
        <v/>
      </c>
      <c r="I226" s="341" t="str">
        <f>IF(A226="","",IF(E226=H226,"SIM","NÃO"))</f>
        <v/>
      </c>
      <c r="J226" s="341" t="str">
        <f>IF(A226="","",VLOOKUP(A226,VII.A!$A$10:$D$199,3,FALSE))</f>
        <v/>
      </c>
      <c r="K226" s="342" t="str">
        <f>IF(A226="","",IF(J226=D226,"SIM","NÃO"))</f>
        <v/>
      </c>
      <c r="L226" s="380" t="str">
        <f>IF(C226="","",G203*C226)</f>
        <v/>
      </c>
      <c r="M226" s="381" t="str">
        <f>IF(A226="","",VLOOKUP(A226,VII.A!$A$10:$B$199,2,FALSE))</f>
        <v/>
      </c>
      <c r="N226" s="342" t="str">
        <f>IF(B226="","",IF(M226=B226,"si","no"))</f>
        <v/>
      </c>
      <c r="R226" s="341"/>
      <c r="S226" s="341"/>
    </row>
    <row r="227" spans="1:19" ht="12.75" customHeight="1">
      <c r="A227" s="393"/>
      <c r="C227" s="20"/>
      <c r="E227" s="387"/>
      <c r="F227" s="388"/>
      <c r="H227" s="341" t="str">
        <f>IF(A227="","",VLOOKUP(A227,VII.A!$A$10:$D$199,4,FALSE))</f>
        <v/>
      </c>
      <c r="I227" s="341" t="str">
        <f>IF(A227="","",IF(E227=H227,"SIM","NÃO"))</f>
        <v/>
      </c>
      <c r="J227" s="341" t="str">
        <f>IF(A227="","",VLOOKUP(A227,VII.A!$A$10:$D$199,3,FALSE))</f>
        <v/>
      </c>
      <c r="K227" s="342" t="str">
        <f>IF(A227="","",IF(J227=D227,"SIM","NÃO"))</f>
        <v/>
      </c>
      <c r="L227" s="380" t="str">
        <f>IF(C227="","",G203*C227)</f>
        <v/>
      </c>
      <c r="M227" s="381" t="str">
        <f>IF(A227="","",VLOOKUP(A227,VII.A!$A$10:$B$199,2,FALSE))</f>
        <v/>
      </c>
      <c r="N227" s="342" t="str">
        <f>IF(B227="","",IF(M227=B227,"si","no"))</f>
        <v/>
      </c>
      <c r="R227" s="341"/>
      <c r="S227" s="341"/>
    </row>
    <row r="228" spans="1:19" ht="12.75" customHeight="1">
      <c r="A228" s="393"/>
      <c r="C228" s="20"/>
      <c r="E228" s="387"/>
      <c r="F228" s="388"/>
      <c r="H228" s="341" t="str">
        <f>IF(A228="","",VLOOKUP(A228,VII.A!$A$10:$D$199,4,FALSE))</f>
        <v/>
      </c>
      <c r="I228" s="341" t="str">
        <f t="shared" ref="I228" si="68">IF(A228="","",IF(E228=H228,"SIM","NÃO"))</f>
        <v/>
      </c>
      <c r="J228" s="341" t="str">
        <f>IF(A228="","",VLOOKUP(A228,VII.A!$A$10:$D$199,3,FALSE))</f>
        <v/>
      </c>
      <c r="K228" s="342" t="str">
        <f t="shared" ref="K228" si="69">IF(A228="","",IF(J228=D228,"SIM","NÃO"))</f>
        <v/>
      </c>
      <c r="L228" s="380" t="str">
        <f>IF(C228="","",G203*C228)</f>
        <v/>
      </c>
      <c r="M228" s="381" t="str">
        <f>IF(A228="","",VLOOKUP(A228,VII.A!$A$10:$B$199,2,FALSE))</f>
        <v/>
      </c>
      <c r="N228" s="342" t="str">
        <f t="shared" ref="N228" si="70">IF(B228="","",IF(M228=B228,"si","no"))</f>
        <v/>
      </c>
      <c r="R228" s="341"/>
      <c r="S228" s="341"/>
    </row>
    <row r="229" spans="1:19" ht="12.75" customHeight="1">
      <c r="A229" s="393"/>
      <c r="C229" s="20"/>
      <c r="E229" s="387"/>
      <c r="F229" s="388"/>
      <c r="H229" s="341" t="str">
        <f>IF(A229="","",VLOOKUP(A229,VII.A!$A$10:$D$199,4,FALSE))</f>
        <v/>
      </c>
      <c r="I229" s="341" t="str">
        <f>IF(A229="","",IF(E229=H229,"SIM","NÃO"))</f>
        <v/>
      </c>
      <c r="J229" s="341" t="str">
        <f>IF(A229="","",VLOOKUP(A229,VII.A!$A$10:$D$199,3,FALSE))</f>
        <v/>
      </c>
      <c r="K229" s="342" t="str">
        <f>IF(A229="","",IF(J229=D229,"SIM","NÃO"))</f>
        <v/>
      </c>
      <c r="L229" s="380" t="str">
        <f>IF(C229="","",G203*C229)</f>
        <v/>
      </c>
      <c r="M229" s="381" t="str">
        <f>IF(A229="","",VLOOKUP(A229,VII.A!$A$10:$B$199,2,FALSE))</f>
        <v/>
      </c>
      <c r="N229" s="342" t="str">
        <f>IF(B229="","",IF(M229=B229,"si","no"))</f>
        <v/>
      </c>
      <c r="R229" s="341"/>
      <c r="S229" s="341"/>
    </row>
    <row r="230" spans="1:19" ht="12.75" customHeight="1">
      <c r="A230" s="393"/>
      <c r="C230" s="20"/>
      <c r="E230" s="387"/>
      <c r="F230" s="388"/>
      <c r="H230" s="341" t="str">
        <f>IF(A230="","",VLOOKUP(A230,VII.A!$A$10:$D$199,4,FALSE))</f>
        <v/>
      </c>
      <c r="I230" s="341" t="str">
        <f t="shared" ref="I230:I234" si="71">IF(A230="","",IF(E230=H230,"SIM","NÃO"))</f>
        <v/>
      </c>
      <c r="J230" s="341" t="str">
        <f>IF(A230="","",VLOOKUP(A230,VII.A!$A$10:$D$199,3,FALSE))</f>
        <v/>
      </c>
      <c r="K230" s="342" t="str">
        <f t="shared" ref="K230:K234" si="72">IF(A230="","",IF(J230=D230,"SIM","NÃO"))</f>
        <v/>
      </c>
      <c r="L230" s="380" t="str">
        <f>IF(C230="","",G203*C230)</f>
        <v/>
      </c>
      <c r="M230" s="381" t="str">
        <f>IF(A230="","",VLOOKUP(A230,VII.A!$A$10:$B$199,2,FALSE))</f>
        <v/>
      </c>
      <c r="N230" s="342" t="str">
        <f t="shared" ref="N230:N234" si="73">IF(B230="","",IF(M230=B230,"si","no"))</f>
        <v/>
      </c>
      <c r="R230" s="341"/>
      <c r="S230" s="341"/>
    </row>
    <row r="231" spans="1:19" ht="12.75" customHeight="1">
      <c r="A231" s="393"/>
      <c r="C231" s="20"/>
      <c r="E231" s="387"/>
      <c r="F231" s="388"/>
      <c r="G231" s="390"/>
      <c r="H231" s="341" t="str">
        <f>IF(A231="","",VLOOKUP(A231,VII.A!$A$10:$D$199,4,FALSE))</f>
        <v/>
      </c>
      <c r="I231" s="341" t="str">
        <f t="shared" si="71"/>
        <v/>
      </c>
      <c r="J231" s="341" t="str">
        <f>IF(A231="","",VLOOKUP(A231,VII.A!$A$10:$D$199,3,FALSE))</f>
        <v/>
      </c>
      <c r="K231" s="342" t="str">
        <f t="shared" si="72"/>
        <v/>
      </c>
      <c r="L231" s="380" t="str">
        <f>IF(C231="","",G203*C231)</f>
        <v/>
      </c>
      <c r="M231" s="381" t="str">
        <f>IF(A231="","",VLOOKUP(A231,VII.A!$A$10:$B$199,2,FALSE))</f>
        <v/>
      </c>
      <c r="N231" s="342" t="str">
        <f t="shared" si="73"/>
        <v/>
      </c>
      <c r="R231" s="341"/>
      <c r="S231" s="341"/>
    </row>
    <row r="232" spans="1:19" ht="12.75" customHeight="1">
      <c r="A232" s="393"/>
      <c r="C232" s="20"/>
      <c r="E232" s="387"/>
      <c r="F232" s="388"/>
      <c r="G232" s="391"/>
      <c r="H232" s="341" t="str">
        <f>IF(A232="","",VLOOKUP(A232,VII.A!$A$10:$D$199,4,FALSE))</f>
        <v/>
      </c>
      <c r="I232" s="341" t="str">
        <f t="shared" si="71"/>
        <v/>
      </c>
      <c r="J232" s="341" t="str">
        <f>IF(A232="","",VLOOKUP(A232,VII.A!$A$10:$D$199,3,FALSE))</f>
        <v/>
      </c>
      <c r="K232" s="342" t="str">
        <f t="shared" si="72"/>
        <v/>
      </c>
      <c r="L232" s="380" t="str">
        <f>IF(C232="","",G203*C232)</f>
        <v/>
      </c>
      <c r="M232" s="381" t="str">
        <f>IF(A232="","",VLOOKUP(A232,VII.A!$A$10:$B$199,2,FALSE))</f>
        <v/>
      </c>
      <c r="N232" s="342" t="str">
        <f t="shared" si="73"/>
        <v/>
      </c>
      <c r="R232" s="341"/>
      <c r="S232" s="341"/>
    </row>
    <row r="233" spans="1:19" ht="12.75" customHeight="1">
      <c r="A233" s="393"/>
      <c r="C233" s="20"/>
      <c r="E233" s="387"/>
      <c r="F233" s="388"/>
      <c r="H233" s="341" t="str">
        <f>IF(A233="","",VLOOKUP(A233,VII.A!$A$10:$D$199,4,FALSE))</f>
        <v/>
      </c>
      <c r="I233" s="341" t="str">
        <f t="shared" si="71"/>
        <v/>
      </c>
      <c r="J233" s="341" t="str">
        <f>IF(A233="","",VLOOKUP(A233,VII.A!$A$10:$D$199,3,FALSE))</f>
        <v/>
      </c>
      <c r="K233" s="342" t="str">
        <f t="shared" si="72"/>
        <v/>
      </c>
      <c r="L233" s="380" t="str">
        <f>IF(C233="","",G203*C233)</f>
        <v/>
      </c>
      <c r="M233" s="381" t="str">
        <f>IF(A233="","",VLOOKUP(A233,VII.A!$A$10:$B$199,2,FALSE))</f>
        <v/>
      </c>
      <c r="N233" s="342" t="str">
        <f t="shared" si="73"/>
        <v/>
      </c>
      <c r="R233" s="341"/>
      <c r="S233" s="341"/>
    </row>
    <row r="234" spans="1:19" ht="12.75" customHeight="1">
      <c r="A234" s="393"/>
      <c r="C234" s="20"/>
      <c r="E234" s="387"/>
      <c r="F234" s="388"/>
      <c r="H234" s="341" t="str">
        <f>IF(A234="","",VLOOKUP(A234,VII.A!$A$10:$D$199,4,FALSE))</f>
        <v/>
      </c>
      <c r="I234" s="341" t="str">
        <f t="shared" si="71"/>
        <v/>
      </c>
      <c r="J234" s="341" t="str">
        <f>IF(A234="","",VLOOKUP(A234,VII.A!$A$10:$D$199,3,FALSE))</f>
        <v/>
      </c>
      <c r="K234" s="342" t="str">
        <f t="shared" si="72"/>
        <v/>
      </c>
      <c r="L234" s="380" t="str">
        <f>IF(C234="","",G203*C234)</f>
        <v/>
      </c>
      <c r="M234" s="381" t="str">
        <f>IF(A234="","",VLOOKUP(A234,VII.A!$A$10:$B$199,2,FALSE))</f>
        <v/>
      </c>
      <c r="N234" s="342" t="str">
        <f t="shared" si="73"/>
        <v/>
      </c>
      <c r="R234" s="341"/>
      <c r="S234" s="341"/>
    </row>
    <row r="235" spans="1:19" ht="12.75" customHeight="1">
      <c r="A235" s="393"/>
      <c r="B235" s="395" t="s">
        <v>226</v>
      </c>
      <c r="C235" s="396"/>
      <c r="D235" s="397"/>
      <c r="E235" s="398"/>
      <c r="F235" s="399">
        <f>SUM(F225:F234)</f>
        <v>0</v>
      </c>
      <c r="J235" s="341"/>
      <c r="L235" s="380"/>
      <c r="M235" s="381"/>
      <c r="N235" s="342"/>
      <c r="R235" s="341"/>
      <c r="S235" s="341"/>
    </row>
    <row r="236" spans="1:19" ht="12.75" customHeight="1">
      <c r="A236" s="393"/>
      <c r="B236" s="400" t="s">
        <v>53</v>
      </c>
      <c r="C236" s="2">
        <f>$D$8</f>
        <v>0</v>
      </c>
      <c r="D236" s="401"/>
      <c r="E236" s="402"/>
      <c r="F236" s="403">
        <f>ROUND(C236*F235,2)</f>
        <v>0</v>
      </c>
      <c r="J236" s="341"/>
      <c r="L236" s="380"/>
      <c r="M236" s="381"/>
      <c r="N236" s="342"/>
      <c r="R236" s="341"/>
      <c r="S236" s="341"/>
    </row>
    <row r="237" spans="1:19" ht="12.75" customHeight="1">
      <c r="A237" s="404"/>
      <c r="B237" s="405" t="s">
        <v>228</v>
      </c>
      <c r="C237" s="406"/>
      <c r="D237" s="406"/>
      <c r="E237" s="407"/>
      <c r="F237" s="408">
        <f>F235+F236</f>
        <v>0</v>
      </c>
      <c r="J237" s="341"/>
      <c r="L237" s="380"/>
      <c r="M237" s="381"/>
      <c r="N237" s="342"/>
      <c r="R237" s="341"/>
      <c r="S237" s="341"/>
    </row>
    <row r="238" spans="1:19" ht="12.75" customHeight="1">
      <c r="A238" s="409"/>
      <c r="B238" s="410"/>
      <c r="C238" s="411"/>
      <c r="D238" s="412"/>
      <c r="E238" s="413"/>
      <c r="F238" s="378"/>
      <c r="J238" s="341"/>
      <c r="L238" s="380"/>
      <c r="M238" s="381"/>
      <c r="N238" s="342"/>
      <c r="R238" s="341"/>
      <c r="S238" s="341"/>
    </row>
    <row r="239" spans="1:19" ht="12.75" customHeight="1">
      <c r="A239" s="393"/>
      <c r="C239" s="20"/>
      <c r="E239" s="387"/>
      <c r="F239" s="388"/>
      <c r="H239" s="341" t="str">
        <f>IF(A239="","",VLOOKUP(A239,VII.A!$A$10:$D$199,4,FALSE))</f>
        <v/>
      </c>
      <c r="I239" s="341" t="str">
        <f t="shared" ref="I239:I245" si="74">IF(A239="","",IF(E239=H239,"SIM","NÃO"))</f>
        <v/>
      </c>
      <c r="J239" s="341" t="str">
        <f>IF(A239="","",VLOOKUP(A239,VII.A!$A$10:$D$199,3,FALSE))</f>
        <v/>
      </c>
      <c r="K239" s="342" t="str">
        <f t="shared" ref="K239:K245" si="75">IF(A239="","",IF(J239=D239,"SIM","NÃO"))</f>
        <v/>
      </c>
      <c r="L239" s="380" t="str">
        <f>IF(C239="","",G203*C239)</f>
        <v/>
      </c>
      <c r="M239" s="381" t="str">
        <f>IF(A239="","",VLOOKUP(A239,VII.A!$A$10:$B$199,2,FALSE))</f>
        <v/>
      </c>
      <c r="N239" s="342" t="str">
        <f t="shared" ref="N239:N245" si="76">IF(B239="","",IF(M239=B239,"si","no"))</f>
        <v/>
      </c>
      <c r="R239" s="341"/>
      <c r="S239" s="341"/>
    </row>
    <row r="240" spans="1:19" ht="12.75" customHeight="1">
      <c r="A240" s="393"/>
      <c r="C240" s="20"/>
      <c r="E240" s="387"/>
      <c r="F240" s="388"/>
      <c r="H240" s="341" t="str">
        <f>IF(A240="","",VLOOKUP(A240,VII.A!$A$10:$D$199,4,FALSE))</f>
        <v/>
      </c>
      <c r="I240" s="341" t="str">
        <f t="shared" si="74"/>
        <v/>
      </c>
      <c r="J240" s="341" t="str">
        <f>IF(A240="","",VLOOKUP(A240,VII.A!$A$10:$D$199,3,FALSE))</f>
        <v/>
      </c>
      <c r="K240" s="342" t="str">
        <f t="shared" si="75"/>
        <v/>
      </c>
      <c r="L240" s="380" t="str">
        <f>IF(C240="","",G203*C240)</f>
        <v/>
      </c>
      <c r="M240" s="381" t="str">
        <f>IF(A240="","",VLOOKUP(A240,VII.A!$A$10:$B$199,2,FALSE))</f>
        <v/>
      </c>
      <c r="N240" s="342" t="str">
        <f t="shared" si="76"/>
        <v/>
      </c>
      <c r="R240" s="341"/>
      <c r="S240" s="341"/>
    </row>
    <row r="241" spans="1:25" ht="12.75" customHeight="1">
      <c r="A241" s="393"/>
      <c r="C241" s="20"/>
      <c r="E241" s="387"/>
      <c r="F241" s="388"/>
      <c r="H241" s="341" t="str">
        <f>IF(A241="","",VLOOKUP(A241,VII.A!$A$10:$D$199,4,FALSE))</f>
        <v/>
      </c>
      <c r="I241" s="341" t="str">
        <f t="shared" si="74"/>
        <v/>
      </c>
      <c r="J241" s="341" t="str">
        <f>IF(A241="","",VLOOKUP(A241,VII.A!$A$10:$D$199,3,FALSE))</f>
        <v/>
      </c>
      <c r="K241" s="342" t="str">
        <f t="shared" si="75"/>
        <v/>
      </c>
      <c r="L241" s="380" t="str">
        <f>IF(C241="","",G203*C241)</f>
        <v/>
      </c>
      <c r="M241" s="381" t="str">
        <f>IF(A241="","",VLOOKUP(A241,VII.A!$A$10:$B$199,2,FALSE))</f>
        <v/>
      </c>
      <c r="N241" s="342" t="str">
        <f t="shared" si="76"/>
        <v/>
      </c>
      <c r="R241" s="341"/>
      <c r="S241" s="341"/>
    </row>
    <row r="242" spans="1:25" ht="12.75" customHeight="1">
      <c r="A242" s="393"/>
      <c r="C242" s="20"/>
      <c r="E242" s="387"/>
      <c r="F242" s="388"/>
      <c r="H242" s="341" t="str">
        <f>IF(A242="","",VLOOKUP(A242,VII.A!$A$10:$D$199,4,FALSE))</f>
        <v/>
      </c>
      <c r="I242" s="341" t="str">
        <f t="shared" si="74"/>
        <v/>
      </c>
      <c r="J242" s="341" t="str">
        <f>IF(A242="","",VLOOKUP(A242,VII.A!$A$10:$D$199,3,FALSE))</f>
        <v/>
      </c>
      <c r="K242" s="342" t="str">
        <f t="shared" si="75"/>
        <v/>
      </c>
      <c r="L242" s="380" t="str">
        <f>IF(C242="","",G203*C242)</f>
        <v/>
      </c>
      <c r="M242" s="381" t="str">
        <f>IF(A242="","",VLOOKUP(A242,VII.A!$A$10:$B$199,2,FALSE))</f>
        <v/>
      </c>
      <c r="N242" s="342" t="str">
        <f t="shared" si="76"/>
        <v/>
      </c>
      <c r="R242" s="341"/>
      <c r="S242" s="341"/>
    </row>
    <row r="243" spans="1:25" ht="12.75" customHeight="1">
      <c r="A243" s="393"/>
      <c r="C243" s="20"/>
      <c r="E243" s="387"/>
      <c r="F243" s="388"/>
      <c r="H243" s="341" t="str">
        <f>IF(A243="","",VLOOKUP(A243,VII.A!$A$10:$D$199,4,FALSE))</f>
        <v/>
      </c>
      <c r="I243" s="341" t="str">
        <f t="shared" si="74"/>
        <v/>
      </c>
      <c r="J243" s="341" t="str">
        <f>IF(A243="","",VLOOKUP(A243,VII.A!$A$10:$D$199,3,FALSE))</f>
        <v/>
      </c>
      <c r="K243" s="342" t="str">
        <f t="shared" si="75"/>
        <v/>
      </c>
      <c r="L243" s="380" t="str">
        <f>IF(C243="","",G203*C243)</f>
        <v/>
      </c>
      <c r="M243" s="381" t="str">
        <f>IF(A243="","",VLOOKUP(A243,VII.A!$A$10:$B$199,2,FALSE))</f>
        <v/>
      </c>
      <c r="N243" s="342" t="str">
        <f t="shared" si="76"/>
        <v/>
      </c>
      <c r="R243" s="341"/>
      <c r="S243" s="341"/>
    </row>
    <row r="244" spans="1:25" ht="12.75" customHeight="1">
      <c r="A244" s="393"/>
      <c r="C244" s="20"/>
      <c r="E244" s="387"/>
      <c r="F244" s="388"/>
      <c r="H244" s="341" t="str">
        <f>IF(A244="","",VLOOKUP(A244,VII.A!$A$10:$D$199,4,FALSE))</f>
        <v/>
      </c>
      <c r="I244" s="341" t="str">
        <f t="shared" si="74"/>
        <v/>
      </c>
      <c r="J244" s="341" t="str">
        <f>IF(A244="","",VLOOKUP(A244,VII.A!$A$10:$D$199,3,FALSE))</f>
        <v/>
      </c>
      <c r="K244" s="342" t="str">
        <f t="shared" si="75"/>
        <v/>
      </c>
      <c r="L244" s="380" t="str">
        <f>IF(C244="","",G203*C244)</f>
        <v/>
      </c>
      <c r="M244" s="381" t="str">
        <f>IF(A244="","",VLOOKUP(A244,VII.A!$A$10:$B$199,2,FALSE))</f>
        <v/>
      </c>
      <c r="N244" s="342" t="str">
        <f t="shared" si="76"/>
        <v/>
      </c>
      <c r="R244" s="341"/>
      <c r="S244" s="341"/>
    </row>
    <row r="245" spans="1:25" ht="12.75" customHeight="1">
      <c r="A245" s="393"/>
      <c r="C245" s="20"/>
      <c r="E245" s="387"/>
      <c r="F245" s="388"/>
      <c r="H245" s="341" t="str">
        <f>IF(A245="","",VLOOKUP(A245,VII.A!$A$10:$D$199,4,FALSE))</f>
        <v/>
      </c>
      <c r="I245" s="341" t="str">
        <f t="shared" si="74"/>
        <v/>
      </c>
      <c r="J245" s="341" t="str">
        <f>IF(A245="","",VLOOKUP(A245,VII.A!$A$10:$D$199,3,FALSE))</f>
        <v/>
      </c>
      <c r="K245" s="342" t="str">
        <f t="shared" si="75"/>
        <v/>
      </c>
      <c r="L245" s="380" t="str">
        <f>IF(C245="","",G203*C245)</f>
        <v/>
      </c>
      <c r="M245" s="381" t="str">
        <f>IF(A245="","",VLOOKUP(A245,VII.A!$A$10:$B$199,2,FALSE))</f>
        <v/>
      </c>
      <c r="N245" s="342" t="str">
        <f t="shared" si="76"/>
        <v/>
      </c>
      <c r="R245" s="341"/>
      <c r="S245" s="341"/>
    </row>
    <row r="246" spans="1:25" ht="12.75" customHeight="1">
      <c r="A246" s="393"/>
      <c r="B246" s="395" t="s">
        <v>226</v>
      </c>
      <c r="C246" s="396"/>
      <c r="D246" s="397"/>
      <c r="E246" s="398"/>
      <c r="F246" s="399">
        <f>SUM(F239:F245)</f>
        <v>0</v>
      </c>
      <c r="J246" s="341"/>
      <c r="L246" s="380"/>
      <c r="M246" s="381"/>
      <c r="N246" s="342"/>
      <c r="R246" s="341"/>
      <c r="S246" s="341"/>
    </row>
    <row r="247" spans="1:25" ht="12.75" customHeight="1">
      <c r="A247" s="393"/>
      <c r="B247" s="400" t="s">
        <v>229</v>
      </c>
      <c r="C247" s="2">
        <f>IX.A!$C$45</f>
        <v>0</v>
      </c>
      <c r="D247" s="401"/>
      <c r="E247" s="402"/>
      <c r="F247" s="403">
        <f>ROUND(F246*C247,2)</f>
        <v>0</v>
      </c>
      <c r="J247" s="341"/>
      <c r="L247" s="380"/>
      <c r="M247" s="381"/>
      <c r="N247" s="342"/>
      <c r="R247" s="341"/>
      <c r="S247" s="341"/>
    </row>
    <row r="248" spans="1:25" ht="12.75" customHeight="1">
      <c r="A248" s="393"/>
      <c r="B248" s="400" t="s">
        <v>53</v>
      </c>
      <c r="C248" s="2">
        <f>$D$8</f>
        <v>0</v>
      </c>
      <c r="D248" s="401"/>
      <c r="E248" s="402"/>
      <c r="F248" s="403">
        <f>ROUND(SUM(F246:F247)*C248,2)</f>
        <v>0</v>
      </c>
      <c r="J248" s="341"/>
      <c r="L248" s="380"/>
      <c r="M248" s="381"/>
      <c r="N248" s="342"/>
      <c r="R248" s="341"/>
      <c r="S248" s="341"/>
    </row>
    <row r="249" spans="1:25" ht="12.75" customHeight="1" thickBot="1">
      <c r="A249" s="414"/>
      <c r="B249" s="415" t="s">
        <v>230</v>
      </c>
      <c r="C249" s="416"/>
      <c r="D249" s="416"/>
      <c r="E249" s="417"/>
      <c r="F249" s="418">
        <f>SUM(F246:F248)</f>
        <v>0</v>
      </c>
      <c r="J249" s="341"/>
      <c r="L249" s="380"/>
      <c r="M249" s="381"/>
      <c r="N249" s="342"/>
      <c r="R249" s="341"/>
      <c r="S249" s="341"/>
    </row>
    <row r="250" spans="1:25" ht="12.75" customHeight="1" thickBot="1">
      <c r="A250" s="357"/>
      <c r="B250" s="358"/>
      <c r="C250" s="359"/>
      <c r="D250" s="359"/>
      <c r="E250" s="360"/>
      <c r="F250" s="419"/>
      <c r="J250" s="341"/>
      <c r="L250" s="380"/>
      <c r="M250" s="381"/>
      <c r="N250" s="342"/>
      <c r="R250" s="341"/>
      <c r="S250" s="341"/>
    </row>
    <row r="251" spans="1:25" ht="30" customHeight="1">
      <c r="A251" s="370" t="str">
        <f>IV.A!$A$25</f>
        <v>2.1.1</v>
      </c>
      <c r="B251" s="371" t="str">
        <f>IV.A!$B$25</f>
        <v>DEMOLIÇÃO MANUAL DE CALÇADAS E PISOS CIMENTADOS</v>
      </c>
      <c r="C251" s="871" t="s">
        <v>237</v>
      </c>
      <c r="D251" s="872"/>
      <c r="E251" s="372" t="str">
        <f>IV.A!$C$25</f>
        <v>M2</v>
      </c>
      <c r="F251" s="11">
        <f>ROUND(F271+F285+F297,2)</f>
        <v>0</v>
      </c>
      <c r="G251" s="1">
        <f>VLOOKUP(A251,IV.A!$A$16:$L$172,4,FALSE)</f>
        <v>1000</v>
      </c>
      <c r="H251" s="361">
        <f>SUM(F253:F268)+F270</f>
        <v>0</v>
      </c>
      <c r="I251" s="361">
        <f>SUM(F273:F282)+F284</f>
        <v>0</v>
      </c>
      <c r="J251" s="361">
        <f>SUM(F287:F293)+F295+F296</f>
        <v>0</v>
      </c>
      <c r="K251" s="361">
        <f>SUM(H251:J251)</f>
        <v>0</v>
      </c>
      <c r="L251" s="362" t="str">
        <f>IF(K251=F251,"SIM","NÃO")</f>
        <v>SIM</v>
      </c>
      <c r="M251" s="373">
        <f>ROUND(SUM(F253:F268),2)+ROUND(SUM(F253:F268)*C270,2)+ROUND(SUM(F273:F282)*C284,2)+ROUND(SUM(F273:F282),2)+ROUND(SUM(F287:F293)*C295,2)+ROUND((SUM(F287:F293)+ROUND(SUM(F287:F293)*C295,2))*C296,2)+ROUND(SUM(F287:F293),2)</f>
        <v>0</v>
      </c>
      <c r="N251" s="343" t="str">
        <f>IF(M251=F251,"SIM","NÃO")</f>
        <v>SIM</v>
      </c>
      <c r="O251" s="364" t="str">
        <f>VLOOKUP(A251,IV.A!$A$16:$E$172,3,FALSE)</f>
        <v>M2</v>
      </c>
      <c r="P251" s="344" t="str">
        <f>IF(O251=E251,"SIM","NÃO")</f>
        <v>SIM</v>
      </c>
      <c r="Q251" s="365">
        <f>ROUND(G251*F271,2)+ROUND(G251*F285,2)+ROUND(G251*F297,2)</f>
        <v>0</v>
      </c>
      <c r="R251" s="364">
        <f>VLOOKUP(A251,IV.A!$A$16:$L$172,12,FALSE)</f>
        <v>0</v>
      </c>
      <c r="S251" s="366" t="str">
        <f>IF(Q251=R251,"si","no")</f>
        <v>si</v>
      </c>
      <c r="T251" s="367">
        <f>SUM(L253:L268)+SUM(L273:L282)+SUM(L287:L293)</f>
        <v>450</v>
      </c>
      <c r="U251" s="341">
        <f>(SUM(C253:C268)+SUM(C273:C282)+SUM(C287:C293))*G251</f>
        <v>450</v>
      </c>
      <c r="V251" s="368" t="str">
        <f>IF(T251=U251,"si","no")</f>
        <v>si</v>
      </c>
      <c r="W251" s="369">
        <f>SUM(F253:F268)</f>
        <v>0</v>
      </c>
      <c r="X251" s="369">
        <f>SUM(F273:F282)</f>
        <v>0</v>
      </c>
      <c r="Y251" s="369">
        <f>SUM(F287:F293)</f>
        <v>0</v>
      </c>
    </row>
    <row r="252" spans="1:25" ht="12.75" customHeight="1">
      <c r="A252" s="374" t="s">
        <v>14</v>
      </c>
      <c r="B252" s="375" t="s">
        <v>132</v>
      </c>
      <c r="C252" s="376" t="s">
        <v>231</v>
      </c>
      <c r="D252" s="376" t="s">
        <v>232</v>
      </c>
      <c r="E252" s="377" t="s">
        <v>233</v>
      </c>
      <c r="F252" s="378" t="s">
        <v>234</v>
      </c>
      <c r="G252" s="379"/>
      <c r="J252" s="341"/>
      <c r="L252" s="380"/>
      <c r="M252" s="381"/>
      <c r="N252" s="342"/>
      <c r="O252" s="382"/>
      <c r="P252" s="383"/>
      <c r="Q252" s="383"/>
      <c r="R252" s="383"/>
      <c r="S252" s="383"/>
      <c r="T252" s="382"/>
      <c r="U252" s="341"/>
      <c r="V252" s="384"/>
      <c r="W252" s="384"/>
      <c r="X252" s="384"/>
      <c r="Y252" s="384"/>
    </row>
    <row r="253" spans="1:25" ht="12.75" customHeight="1">
      <c r="A253" s="385"/>
      <c r="B253" s="386"/>
      <c r="C253" s="20"/>
      <c r="D253" s="342"/>
      <c r="E253" s="387"/>
      <c r="F253" s="388">
        <f>ROUND(C253*E253,2)</f>
        <v>0</v>
      </c>
      <c r="H253" s="341" t="str">
        <f>IF(A253="","",VLOOKUP(A253,VII.A!$A$10:$D$199,4,FALSE))</f>
        <v/>
      </c>
      <c r="I253" s="341" t="str">
        <f t="shared" ref="I253:I268" si="77">IF(A253="","",IF(E253=H253,"SIM","NÃO"))</f>
        <v/>
      </c>
      <c r="J253" s="341" t="str">
        <f>IF(A253="","",VLOOKUP(A253,VII.A!$A$10:$D$199,3,FALSE))</f>
        <v/>
      </c>
      <c r="K253" s="342" t="str">
        <f t="shared" ref="K253:K268" si="78">IF(A253="","",IF(J253=D253,"SIM","NÃO"))</f>
        <v/>
      </c>
      <c r="L253" s="380" t="str">
        <f>IF(C253="","",G251*C253)</f>
        <v/>
      </c>
      <c r="M253" s="381" t="str">
        <f>IF(A253="","",VLOOKUP(A253,VII.A!$A$10:$B$199,2,FALSE))</f>
        <v/>
      </c>
      <c r="N253" s="342" t="str">
        <f t="shared" ref="N253:N268" si="79">IF(B253="","",IF(M253=B253,"si","no"))</f>
        <v/>
      </c>
      <c r="R253" s="341"/>
      <c r="S253" s="341"/>
    </row>
    <row r="254" spans="1:25" ht="12.75" customHeight="1">
      <c r="A254" s="385"/>
      <c r="B254" s="386"/>
      <c r="C254" s="20"/>
      <c r="D254" s="342"/>
      <c r="E254" s="387"/>
      <c r="F254" s="388">
        <f t="shared" ref="F254:F268" si="80">ROUND(C254*E254,2)</f>
        <v>0</v>
      </c>
      <c r="H254" s="341" t="str">
        <f>IF(A254="","",VLOOKUP(A254,VII.A!$A$10:$D$199,4,FALSE))</f>
        <v/>
      </c>
      <c r="I254" s="341" t="str">
        <f t="shared" si="77"/>
        <v/>
      </c>
      <c r="J254" s="341" t="str">
        <f>IF(A254="","",VLOOKUP(A254,VII.A!$A$10:$D$199,3,FALSE))</f>
        <v/>
      </c>
      <c r="K254" s="342" t="str">
        <f t="shared" si="78"/>
        <v/>
      </c>
      <c r="L254" s="380" t="str">
        <f>IF(C254="","",G251*C254)</f>
        <v/>
      </c>
      <c r="M254" s="381" t="str">
        <f>IF(A254="","",VLOOKUP(A254,VII.A!$A$10:$B$199,2,FALSE))</f>
        <v/>
      </c>
      <c r="N254" s="342" t="str">
        <f t="shared" si="79"/>
        <v/>
      </c>
      <c r="R254" s="341"/>
      <c r="S254" s="341"/>
    </row>
    <row r="255" spans="1:25" ht="12.75" customHeight="1">
      <c r="A255" s="385"/>
      <c r="B255" s="386"/>
      <c r="C255" s="20"/>
      <c r="D255" s="342"/>
      <c r="E255" s="387"/>
      <c r="F255" s="388">
        <f t="shared" si="80"/>
        <v>0</v>
      </c>
      <c r="H255" s="341" t="str">
        <f>IF(A255="","",VLOOKUP(A255,VII.A!$A$10:$D$199,4,FALSE))</f>
        <v/>
      </c>
      <c r="I255" s="341" t="str">
        <f t="shared" si="77"/>
        <v/>
      </c>
      <c r="J255" s="341" t="str">
        <f>IF(A255="","",VLOOKUP(A255,VII.A!$A$10:$D$199,3,FALSE))</f>
        <v/>
      </c>
      <c r="K255" s="342" t="str">
        <f t="shared" si="78"/>
        <v/>
      </c>
      <c r="L255" s="380" t="str">
        <f>IF(C255="","",G251*C255)</f>
        <v/>
      </c>
      <c r="M255" s="381" t="str">
        <f>IF(A255="","",VLOOKUP(A255,VII.A!$A$10:$B$199,2,FALSE))</f>
        <v/>
      </c>
      <c r="N255" s="342" t="str">
        <f t="shared" si="79"/>
        <v/>
      </c>
      <c r="R255" s="341"/>
      <c r="S255" s="341"/>
    </row>
    <row r="256" spans="1:25" ht="12.75" customHeight="1">
      <c r="A256" s="385"/>
      <c r="B256" s="386"/>
      <c r="C256" s="20"/>
      <c r="D256" s="342"/>
      <c r="E256" s="387"/>
      <c r="F256" s="388">
        <f t="shared" si="80"/>
        <v>0</v>
      </c>
      <c r="H256" s="341" t="str">
        <f>IF(A256="","",VLOOKUP(A256,VII.A!$A$10:$D$199,4,FALSE))</f>
        <v/>
      </c>
      <c r="I256" s="341" t="str">
        <f t="shared" si="77"/>
        <v/>
      </c>
      <c r="J256" s="341" t="str">
        <f>IF(A256="","",VLOOKUP(A256,VII.A!$A$10:$D$199,3,FALSE))</f>
        <v/>
      </c>
      <c r="K256" s="342" t="str">
        <f t="shared" si="78"/>
        <v/>
      </c>
      <c r="L256" s="380" t="str">
        <f>IF(C256="","",G251*C256)</f>
        <v/>
      </c>
      <c r="M256" s="381" t="str">
        <f>IF(A256="","",VLOOKUP(A256,VII.A!$A$10:$B$199,2,FALSE))</f>
        <v/>
      </c>
      <c r="N256" s="342" t="str">
        <f t="shared" si="79"/>
        <v/>
      </c>
      <c r="R256" s="341"/>
      <c r="S256" s="341"/>
    </row>
    <row r="257" spans="1:21" ht="12.75" customHeight="1">
      <c r="A257" s="385"/>
      <c r="B257" s="386"/>
      <c r="C257" s="20"/>
      <c r="D257" s="342"/>
      <c r="E257" s="387"/>
      <c r="F257" s="388">
        <f t="shared" si="80"/>
        <v>0</v>
      </c>
      <c r="H257" s="341" t="str">
        <f>IF(A257="","",VLOOKUP(A257,VII.A!$A$10:$D$199,4,FALSE))</f>
        <v/>
      </c>
      <c r="I257" s="341" t="str">
        <f t="shared" si="77"/>
        <v/>
      </c>
      <c r="J257" s="341" t="str">
        <f>IF(A257="","",VLOOKUP(A257,VII.A!$A$10:$D$199,3,FALSE))</f>
        <v/>
      </c>
      <c r="K257" s="342" t="str">
        <f t="shared" si="78"/>
        <v/>
      </c>
      <c r="L257" s="380" t="str">
        <f>IF(C257="","",G251*C257)</f>
        <v/>
      </c>
      <c r="M257" s="381" t="str">
        <f>IF(A257="","",VLOOKUP(A257,VII.A!$A$10:$B$199,2,FALSE))</f>
        <v/>
      </c>
      <c r="N257" s="342" t="str">
        <f t="shared" si="79"/>
        <v/>
      </c>
      <c r="R257" s="341"/>
      <c r="S257" s="341"/>
    </row>
    <row r="258" spans="1:21" ht="12.75" customHeight="1">
      <c r="A258" s="385"/>
      <c r="B258" s="386"/>
      <c r="C258" s="20"/>
      <c r="D258" s="342"/>
      <c r="E258" s="387"/>
      <c r="F258" s="388">
        <f t="shared" si="80"/>
        <v>0</v>
      </c>
      <c r="H258" s="341" t="str">
        <f>IF(A258="","",VLOOKUP(A258,VII.A!$A$10:$D$199,4,FALSE))</f>
        <v/>
      </c>
      <c r="I258" s="341" t="str">
        <f t="shared" si="77"/>
        <v/>
      </c>
      <c r="J258" s="341" t="str">
        <f>IF(A258="","",VLOOKUP(A258,VII.A!$A$10:$D$199,3,FALSE))</f>
        <v/>
      </c>
      <c r="K258" s="342" t="str">
        <f t="shared" si="78"/>
        <v/>
      </c>
      <c r="L258" s="380" t="str">
        <f>IF(C258="","",G251*C258)</f>
        <v/>
      </c>
      <c r="M258" s="381" t="str">
        <f>IF(A258="","",VLOOKUP(A258,VII.A!$A$10:$B$199,2,FALSE))</f>
        <v/>
      </c>
      <c r="N258" s="342" t="str">
        <f t="shared" si="79"/>
        <v/>
      </c>
      <c r="R258" s="341"/>
      <c r="S258" s="341"/>
      <c r="U258" s="389"/>
    </row>
    <row r="259" spans="1:21" ht="12.75" customHeight="1">
      <c r="A259" s="385"/>
      <c r="B259" s="386"/>
      <c r="C259" s="20"/>
      <c r="D259" s="342"/>
      <c r="E259" s="387"/>
      <c r="F259" s="388">
        <f t="shared" si="80"/>
        <v>0</v>
      </c>
      <c r="H259" s="341" t="str">
        <f>IF(A259="","",VLOOKUP(A259,VII.A!$A$10:$D$199,4,FALSE))</f>
        <v/>
      </c>
      <c r="I259" s="341" t="str">
        <f t="shared" si="77"/>
        <v/>
      </c>
      <c r="J259" s="341" t="str">
        <f>IF(A259="","",VLOOKUP(A259,VII.A!$A$10:$D$199,3,FALSE))</f>
        <v/>
      </c>
      <c r="K259" s="342" t="str">
        <f t="shared" si="78"/>
        <v/>
      </c>
      <c r="L259" s="380" t="str">
        <f>IF(C259="","",G251*C259)</f>
        <v/>
      </c>
      <c r="M259" s="381" t="str">
        <f>IF(A259="","",VLOOKUP(A259,VII.A!$A$10:$B$199,2,FALSE))</f>
        <v/>
      </c>
      <c r="N259" s="342" t="str">
        <f t="shared" si="79"/>
        <v/>
      </c>
      <c r="R259" s="341"/>
      <c r="S259" s="341"/>
    </row>
    <row r="260" spans="1:21" ht="12.75" customHeight="1">
      <c r="A260" s="385"/>
      <c r="B260" s="386"/>
      <c r="C260" s="20"/>
      <c r="D260" s="342"/>
      <c r="E260" s="387"/>
      <c r="F260" s="388">
        <f t="shared" si="80"/>
        <v>0</v>
      </c>
      <c r="G260" s="390"/>
      <c r="H260" s="341" t="str">
        <f>IF(A260="","",VLOOKUP(A260,VII.A!$A$10:$D$199,4,FALSE))</f>
        <v/>
      </c>
      <c r="I260" s="341" t="str">
        <f t="shared" si="77"/>
        <v/>
      </c>
      <c r="J260" s="341" t="str">
        <f>IF(A260="","",VLOOKUP(A260,VII.A!$A$10:$D$199,3,FALSE))</f>
        <v/>
      </c>
      <c r="K260" s="342" t="str">
        <f t="shared" si="78"/>
        <v/>
      </c>
      <c r="L260" s="380" t="str">
        <f>IF(C260="","",G251*C260)</f>
        <v/>
      </c>
      <c r="M260" s="381" t="str">
        <f>IF(A260="","",VLOOKUP(A260,VII.A!$A$10:$B$199,2,FALSE))</f>
        <v/>
      </c>
      <c r="N260" s="342" t="str">
        <f t="shared" si="79"/>
        <v/>
      </c>
      <c r="R260" s="341"/>
      <c r="S260" s="341"/>
    </row>
    <row r="261" spans="1:21" ht="12.75" customHeight="1">
      <c r="A261" s="385"/>
      <c r="B261" s="386"/>
      <c r="C261" s="20"/>
      <c r="D261" s="342"/>
      <c r="E261" s="387"/>
      <c r="F261" s="388">
        <f t="shared" si="80"/>
        <v>0</v>
      </c>
      <c r="G261" s="390"/>
      <c r="H261" s="341" t="str">
        <f>IF(A261="","",VLOOKUP(A261,VII.A!$A$10:$D$199,4,FALSE))</f>
        <v/>
      </c>
      <c r="I261" s="341" t="str">
        <f t="shared" si="77"/>
        <v/>
      </c>
      <c r="J261" s="341" t="str">
        <f>IF(A261="","",VLOOKUP(A261,VII.A!$A$10:$D$199,3,FALSE))</f>
        <v/>
      </c>
      <c r="K261" s="342" t="str">
        <f t="shared" si="78"/>
        <v/>
      </c>
      <c r="L261" s="380" t="str">
        <f>IF(C261="","",G251*C261)</f>
        <v/>
      </c>
      <c r="M261" s="381" t="str">
        <f>IF(A261="","",VLOOKUP(A261,VII.A!$A$10:$B$199,2,FALSE))</f>
        <v/>
      </c>
      <c r="N261" s="342" t="str">
        <f t="shared" si="79"/>
        <v/>
      </c>
      <c r="R261" s="341"/>
      <c r="S261" s="341"/>
    </row>
    <row r="262" spans="1:21" ht="12.75" customHeight="1">
      <c r="A262" s="385"/>
      <c r="B262" s="386"/>
      <c r="C262" s="20"/>
      <c r="D262" s="342"/>
      <c r="E262" s="387"/>
      <c r="F262" s="388">
        <f t="shared" si="80"/>
        <v>0</v>
      </c>
      <c r="G262" s="391"/>
      <c r="H262" s="341" t="str">
        <f>IF(A262="","",VLOOKUP(A262,VII.A!$A$10:$D$199,4,FALSE))</f>
        <v/>
      </c>
      <c r="I262" s="341" t="str">
        <f t="shared" si="77"/>
        <v/>
      </c>
      <c r="J262" s="341" t="str">
        <f>IF(A262="","",VLOOKUP(A262,VII.A!$A$10:$D$199,3,FALSE))</f>
        <v/>
      </c>
      <c r="K262" s="342" t="str">
        <f t="shared" si="78"/>
        <v/>
      </c>
      <c r="L262" s="380" t="str">
        <f>IF(C262="","",G251*C262)</f>
        <v/>
      </c>
      <c r="M262" s="381" t="str">
        <f>IF(A262="","",VLOOKUP(A262,VII.A!$A$10:$B$199,2,FALSE))</f>
        <v/>
      </c>
      <c r="N262" s="342" t="str">
        <f t="shared" si="79"/>
        <v/>
      </c>
      <c r="R262" s="341"/>
      <c r="S262" s="341"/>
    </row>
    <row r="263" spans="1:21" ht="12.75" customHeight="1">
      <c r="A263" s="385"/>
      <c r="B263" s="386"/>
      <c r="C263" s="20"/>
      <c r="D263" s="342"/>
      <c r="E263" s="387"/>
      <c r="F263" s="388">
        <f t="shared" si="80"/>
        <v>0</v>
      </c>
      <c r="H263" s="341" t="str">
        <f>IF(A263="","",VLOOKUP(A263,VII.A!$A$10:$D$199,4,FALSE))</f>
        <v/>
      </c>
      <c r="I263" s="341" t="str">
        <f t="shared" si="77"/>
        <v/>
      </c>
      <c r="J263" s="341" t="str">
        <f>IF(A263="","",VLOOKUP(A263,VII.A!$A$10:$D$199,3,FALSE))</f>
        <v/>
      </c>
      <c r="K263" s="342" t="str">
        <f t="shared" si="78"/>
        <v/>
      </c>
      <c r="L263" s="380" t="str">
        <f>IF(C263="","",G251*C263)</f>
        <v/>
      </c>
      <c r="M263" s="381" t="str">
        <f>IF(A263="","",VLOOKUP(A263,VII.A!$A$10:$B$199,2,FALSE))</f>
        <v/>
      </c>
      <c r="N263" s="342" t="str">
        <f t="shared" si="79"/>
        <v/>
      </c>
      <c r="R263" s="341"/>
      <c r="S263" s="341"/>
    </row>
    <row r="264" spans="1:21" ht="12.75" customHeight="1">
      <c r="A264" s="385"/>
      <c r="B264" s="386"/>
      <c r="C264" s="20"/>
      <c r="D264" s="392"/>
      <c r="E264" s="387"/>
      <c r="F264" s="388">
        <f t="shared" si="80"/>
        <v>0</v>
      </c>
      <c r="H264" s="341" t="str">
        <f>IF(A264="","",VLOOKUP(A264,VII.A!$A$10:$D$199,4,FALSE))</f>
        <v/>
      </c>
      <c r="I264" s="341" t="str">
        <f t="shared" si="77"/>
        <v/>
      </c>
      <c r="J264" s="341" t="str">
        <f>IF(A264="","",VLOOKUP(A264,VII.A!$A$10:$D$199,3,FALSE))</f>
        <v/>
      </c>
      <c r="K264" s="342" t="str">
        <f t="shared" si="78"/>
        <v/>
      </c>
      <c r="L264" s="380" t="str">
        <f>IF(C264="","",G251*C264)</f>
        <v/>
      </c>
      <c r="M264" s="381" t="str">
        <f>IF(A264="","",VLOOKUP(A264,VII.A!$A$10:$B$199,2,FALSE))</f>
        <v/>
      </c>
      <c r="N264" s="342" t="str">
        <f t="shared" si="79"/>
        <v/>
      </c>
      <c r="R264" s="341"/>
      <c r="S264" s="341"/>
    </row>
    <row r="265" spans="1:21" ht="12.75" customHeight="1">
      <c r="A265" s="385"/>
      <c r="B265" s="386"/>
      <c r="C265" s="20"/>
      <c r="D265" s="392"/>
      <c r="E265" s="387"/>
      <c r="F265" s="388">
        <f t="shared" si="80"/>
        <v>0</v>
      </c>
      <c r="H265" s="341" t="str">
        <f>IF(A265="","",VLOOKUP(A265,VII.A!$A$10:$D$199,4,FALSE))</f>
        <v/>
      </c>
      <c r="I265" s="341" t="str">
        <f t="shared" si="77"/>
        <v/>
      </c>
      <c r="J265" s="341" t="str">
        <f>IF(A265="","",VLOOKUP(A265,VII.A!$A$10:$D$199,3,FALSE))</f>
        <v/>
      </c>
      <c r="K265" s="342" t="str">
        <f t="shared" si="78"/>
        <v/>
      </c>
      <c r="L265" s="380" t="str">
        <f>IF(C265="","",G251*C265)</f>
        <v/>
      </c>
      <c r="M265" s="381" t="str">
        <f>IF(A265="","",VLOOKUP(A265,VII.A!$A$10:$B$199,2,FALSE))</f>
        <v/>
      </c>
      <c r="N265" s="342" t="str">
        <f t="shared" si="79"/>
        <v/>
      </c>
      <c r="O265" s="342"/>
      <c r="R265" s="341"/>
      <c r="S265" s="341"/>
    </row>
    <row r="266" spans="1:21" ht="12.75" customHeight="1">
      <c r="A266" s="385"/>
      <c r="B266" s="386"/>
      <c r="C266" s="20"/>
      <c r="D266" s="392"/>
      <c r="E266" s="387"/>
      <c r="F266" s="388">
        <f t="shared" si="80"/>
        <v>0</v>
      </c>
      <c r="G266" s="424"/>
      <c r="H266" s="341" t="str">
        <f>IF(A266="","",VLOOKUP(A266,VII.A!$A$10:$D$199,4,FALSE))</f>
        <v/>
      </c>
      <c r="I266" s="341" t="str">
        <f t="shared" si="77"/>
        <v/>
      </c>
      <c r="J266" s="341" t="str">
        <f>IF(A266="","",VLOOKUP(A266,VII.A!$A$10:$D$199,3,FALSE))</f>
        <v/>
      </c>
      <c r="K266" s="342" t="str">
        <f t="shared" si="78"/>
        <v/>
      </c>
      <c r="L266" s="380" t="str">
        <f>IF(C266="","",G251*C266)</f>
        <v/>
      </c>
      <c r="M266" s="381" t="str">
        <f>IF(A266="","",VLOOKUP(A266,VII.A!$A$10:$B$199,2,FALSE))</f>
        <v/>
      </c>
      <c r="N266" s="342" t="str">
        <f t="shared" si="79"/>
        <v/>
      </c>
      <c r="R266" s="341"/>
      <c r="S266" s="341"/>
    </row>
    <row r="267" spans="1:21" ht="12.75" customHeight="1">
      <c r="A267" s="393"/>
      <c r="C267" s="20"/>
      <c r="E267" s="387"/>
      <c r="F267" s="388">
        <f t="shared" si="80"/>
        <v>0</v>
      </c>
      <c r="H267" s="341" t="str">
        <f>IF(A267="","",VLOOKUP(A267,VII.A!$A$10:$D$199,4,FALSE))</f>
        <v/>
      </c>
      <c r="I267" s="341" t="str">
        <f t="shared" si="77"/>
        <v/>
      </c>
      <c r="J267" s="341" t="str">
        <f>IF(A267="","",VLOOKUP(A267,VII.A!$A$10:$D$199,3,FALSE))</f>
        <v/>
      </c>
      <c r="K267" s="342" t="str">
        <f t="shared" si="78"/>
        <v/>
      </c>
      <c r="L267" s="380" t="str">
        <f>IF(C267="","",G251*C267)</f>
        <v/>
      </c>
      <c r="M267" s="381" t="str">
        <f>IF(A267="","",VLOOKUP(A267,VII.A!$A$10:$B$199,2,FALSE))</f>
        <v/>
      </c>
      <c r="N267" s="342" t="str">
        <f t="shared" si="79"/>
        <v/>
      </c>
      <c r="R267" s="341"/>
      <c r="S267" s="341"/>
    </row>
    <row r="268" spans="1:21" ht="12.75" customHeight="1">
      <c r="A268" s="393"/>
      <c r="C268" s="20"/>
      <c r="E268" s="387"/>
      <c r="F268" s="388">
        <f t="shared" si="80"/>
        <v>0</v>
      </c>
      <c r="H268" s="341" t="str">
        <f>IF(A268="","",VLOOKUP(A268,VII.A!$A$10:$D$199,4,FALSE))</f>
        <v/>
      </c>
      <c r="I268" s="341" t="str">
        <f t="shared" si="77"/>
        <v/>
      </c>
      <c r="J268" s="341" t="str">
        <f>IF(A268="","",VLOOKUP(A268,VII.A!$A$10:$D$199,3,FALSE))</f>
        <v/>
      </c>
      <c r="K268" s="342" t="str">
        <f t="shared" si="78"/>
        <v/>
      </c>
      <c r="L268" s="380" t="str">
        <f>IF(C268="","",G251*C268)</f>
        <v/>
      </c>
      <c r="M268" s="381" t="str">
        <f>IF(A268="","",VLOOKUP(A268,VII.A!$A$10:$B$199,2,FALSE))</f>
        <v/>
      </c>
      <c r="N268" s="342" t="str">
        <f t="shared" si="79"/>
        <v/>
      </c>
      <c r="R268" s="341"/>
      <c r="S268" s="341"/>
    </row>
    <row r="269" spans="1:21" ht="12.75" customHeight="1">
      <c r="A269" s="393"/>
      <c r="B269" s="395" t="s">
        <v>226</v>
      </c>
      <c r="C269" s="396"/>
      <c r="D269" s="397"/>
      <c r="E269" s="398"/>
      <c r="F269" s="399">
        <f>SUM(F253:F268)</f>
        <v>0</v>
      </c>
      <c r="H269" s="425" t="s">
        <v>390</v>
      </c>
      <c r="I269" s="425"/>
      <c r="J269" s="425"/>
      <c r="K269" s="425"/>
      <c r="L269" s="425"/>
      <c r="M269" s="381"/>
      <c r="N269" s="342"/>
      <c r="R269" s="341"/>
      <c r="S269" s="341"/>
    </row>
    <row r="270" spans="1:21" ht="12.75" customHeight="1">
      <c r="A270" s="393"/>
      <c r="B270" s="400" t="s">
        <v>53</v>
      </c>
      <c r="C270" s="2">
        <f>$D$8</f>
        <v>0</v>
      </c>
      <c r="D270" s="401"/>
      <c r="E270" s="402"/>
      <c r="F270" s="403">
        <f>ROUND(F269*C270,2)</f>
        <v>0</v>
      </c>
      <c r="J270" s="341"/>
      <c r="L270" s="380"/>
      <c r="M270" s="381"/>
      <c r="N270" s="342"/>
      <c r="R270" s="341"/>
      <c r="S270" s="341"/>
    </row>
    <row r="271" spans="1:21" ht="12.75" customHeight="1">
      <c r="A271" s="404"/>
      <c r="B271" s="405" t="s">
        <v>227</v>
      </c>
      <c r="C271" s="406"/>
      <c r="D271" s="406"/>
      <c r="E271" s="407"/>
      <c r="F271" s="408">
        <f>F269+F270</f>
        <v>0</v>
      </c>
      <c r="G271" s="424" t="s">
        <v>870</v>
      </c>
      <c r="J271" s="341"/>
      <c r="L271" s="380"/>
      <c r="M271" s="381"/>
      <c r="N271" s="342"/>
      <c r="R271" s="341"/>
      <c r="S271" s="341"/>
    </row>
    <row r="272" spans="1:21" ht="12.75" customHeight="1">
      <c r="A272" s="374" t="s">
        <v>2</v>
      </c>
      <c r="B272" s="375" t="s">
        <v>235</v>
      </c>
      <c r="C272" s="376" t="s">
        <v>231</v>
      </c>
      <c r="D272" s="376" t="s">
        <v>232</v>
      </c>
      <c r="E272" s="377" t="s">
        <v>233</v>
      </c>
      <c r="F272" s="378" t="s">
        <v>234</v>
      </c>
      <c r="J272" s="341"/>
      <c r="L272" s="380"/>
      <c r="M272" s="381"/>
      <c r="N272" s="342"/>
      <c r="R272" s="341"/>
      <c r="S272" s="341"/>
    </row>
    <row r="273" spans="1:19" ht="12.75" customHeight="1">
      <c r="A273" s="393"/>
      <c r="B273" s="423"/>
      <c r="C273" s="20"/>
      <c r="E273" s="387"/>
      <c r="F273" s="388">
        <f t="shared" ref="F273:F282" si="81">ROUND(C273*E273,2)</f>
        <v>0</v>
      </c>
      <c r="H273" s="341" t="str">
        <f>IF(A273="","",VLOOKUP(A273,VII.A!$A$10:$D$199,4,FALSE))</f>
        <v/>
      </c>
      <c r="I273" s="341" t="str">
        <f t="shared" ref="I273:I282" si="82">IF(A273="","",IF(E273=H273,"SIM","NÃO"))</f>
        <v/>
      </c>
      <c r="J273" s="341" t="str">
        <f>IF(A273="","",VLOOKUP(A273,VII.A!$A$10:$D$199,3,FALSE))</f>
        <v/>
      </c>
      <c r="K273" s="342" t="str">
        <f t="shared" ref="K273:K282" si="83">IF(A273="","",IF(J273=D273,"SIM","NÃO"))</f>
        <v/>
      </c>
      <c r="L273" s="380" t="str">
        <f>IF(C273="","",G251*C273)</f>
        <v/>
      </c>
      <c r="M273" s="381" t="str">
        <f>IF(A273="","",VLOOKUP(A273,VII.A!$A$10:$B$199,2,FALSE))</f>
        <v/>
      </c>
      <c r="N273" s="342" t="str">
        <f t="shared" ref="N273:N282" si="84">IF(B273="","",IF(M273=B273,"si","no"))</f>
        <v/>
      </c>
      <c r="R273" s="341"/>
      <c r="S273" s="341"/>
    </row>
    <row r="274" spans="1:19" ht="12.75" customHeight="1">
      <c r="A274" s="393"/>
      <c r="C274" s="20"/>
      <c r="E274" s="387"/>
      <c r="F274" s="388">
        <f t="shared" si="81"/>
        <v>0</v>
      </c>
      <c r="H274" s="341" t="str">
        <f>IF(A274="","",VLOOKUP(A274,VII.A!$A$10:$D$199,4,FALSE))</f>
        <v/>
      </c>
      <c r="I274" s="341" t="str">
        <f t="shared" si="82"/>
        <v/>
      </c>
      <c r="J274" s="341" t="str">
        <f>IF(A274="","",VLOOKUP(A274,VII.A!$A$10:$D$199,3,FALSE))</f>
        <v/>
      </c>
      <c r="K274" s="342" t="str">
        <f t="shared" si="83"/>
        <v/>
      </c>
      <c r="L274" s="380" t="str">
        <f>IF(C274="","",G251*C274)</f>
        <v/>
      </c>
      <c r="M274" s="381" t="str">
        <f>IF(A274="","",VLOOKUP(A274,VII.A!$A$10:$B$199,2,FALSE))</f>
        <v/>
      </c>
      <c r="N274" s="342" t="str">
        <f t="shared" si="84"/>
        <v/>
      </c>
      <c r="R274" s="341"/>
      <c r="S274" s="341"/>
    </row>
    <row r="275" spans="1:19" ht="12.75" customHeight="1">
      <c r="A275" s="393"/>
      <c r="C275" s="20"/>
      <c r="E275" s="387"/>
      <c r="F275" s="388">
        <f t="shared" si="81"/>
        <v>0</v>
      </c>
      <c r="H275" s="341" t="str">
        <f>IF(A275="","",VLOOKUP(A275,VII.A!$A$10:$D$199,4,FALSE))</f>
        <v/>
      </c>
      <c r="I275" s="341" t="str">
        <f t="shared" si="82"/>
        <v/>
      </c>
      <c r="J275" s="341" t="str">
        <f>IF(A275="","",VLOOKUP(A275,VII.A!$A$10:$D$199,3,FALSE))</f>
        <v/>
      </c>
      <c r="K275" s="342" t="str">
        <f t="shared" si="83"/>
        <v/>
      </c>
      <c r="L275" s="380" t="str">
        <f>IF(C275="","",G251*C275)</f>
        <v/>
      </c>
      <c r="M275" s="381" t="str">
        <f>IF(A275="","",VLOOKUP(A275,VII.A!$A$10:$B$199,2,FALSE))</f>
        <v/>
      </c>
      <c r="N275" s="342" t="str">
        <f t="shared" si="84"/>
        <v/>
      </c>
      <c r="R275" s="341"/>
      <c r="S275" s="341"/>
    </row>
    <row r="276" spans="1:19" ht="12.75" customHeight="1">
      <c r="A276" s="393"/>
      <c r="C276" s="20"/>
      <c r="E276" s="387"/>
      <c r="F276" s="388">
        <f t="shared" si="81"/>
        <v>0</v>
      </c>
      <c r="H276" s="341" t="str">
        <f>IF(A276="","",VLOOKUP(A276,VII.A!$A$10:$D$199,4,FALSE))</f>
        <v/>
      </c>
      <c r="I276" s="341" t="str">
        <f t="shared" si="82"/>
        <v/>
      </c>
      <c r="J276" s="341" t="str">
        <f>IF(A276="","",VLOOKUP(A276,VII.A!$A$10:$D$199,3,FALSE))</f>
        <v/>
      </c>
      <c r="K276" s="342" t="str">
        <f t="shared" si="83"/>
        <v/>
      </c>
      <c r="L276" s="380" t="str">
        <f>IF(C276="","",G251*C276)</f>
        <v/>
      </c>
      <c r="M276" s="381" t="str">
        <f>IF(A276="","",VLOOKUP(A276,VII.A!$A$10:$B$199,2,FALSE))</f>
        <v/>
      </c>
      <c r="N276" s="342" t="str">
        <f t="shared" si="84"/>
        <v/>
      </c>
      <c r="R276" s="341"/>
      <c r="S276" s="341"/>
    </row>
    <row r="277" spans="1:19" ht="12.75" customHeight="1">
      <c r="A277" s="393"/>
      <c r="C277" s="20"/>
      <c r="E277" s="387"/>
      <c r="F277" s="388">
        <f t="shared" si="81"/>
        <v>0</v>
      </c>
      <c r="G277" s="390"/>
      <c r="H277" s="341" t="str">
        <f>IF(A277="","",VLOOKUP(A277,VII.A!$A$10:$D$199,4,FALSE))</f>
        <v/>
      </c>
      <c r="I277" s="341" t="str">
        <f t="shared" si="82"/>
        <v/>
      </c>
      <c r="J277" s="341" t="str">
        <f>IF(A277="","",VLOOKUP(A277,VII.A!$A$10:$D$199,3,FALSE))</f>
        <v/>
      </c>
      <c r="K277" s="342" t="str">
        <f t="shared" si="83"/>
        <v/>
      </c>
      <c r="L277" s="380" t="str">
        <f>IF(C277="","",G251*C277)</f>
        <v/>
      </c>
      <c r="M277" s="381" t="str">
        <f>IF(A277="","",VLOOKUP(A277,VII.A!$A$10:$B$199,2,FALSE))</f>
        <v/>
      </c>
      <c r="N277" s="342" t="str">
        <f t="shared" si="84"/>
        <v/>
      </c>
      <c r="R277" s="341"/>
      <c r="S277" s="341"/>
    </row>
    <row r="278" spans="1:19" ht="12.75" customHeight="1">
      <c r="A278" s="393"/>
      <c r="C278" s="20"/>
      <c r="E278" s="387"/>
      <c r="F278" s="388">
        <f t="shared" si="81"/>
        <v>0</v>
      </c>
      <c r="G278" s="391"/>
      <c r="H278" s="341" t="str">
        <f>IF(A278="","",VLOOKUP(A278,VII.A!$A$10:$D$199,4,FALSE))</f>
        <v/>
      </c>
      <c r="I278" s="341" t="str">
        <f t="shared" si="82"/>
        <v/>
      </c>
      <c r="J278" s="341" t="str">
        <f>IF(A278="","",VLOOKUP(A278,VII.A!$A$10:$D$199,3,FALSE))</f>
        <v/>
      </c>
      <c r="K278" s="342" t="str">
        <f t="shared" si="83"/>
        <v/>
      </c>
      <c r="L278" s="380" t="str">
        <f>IF(C278="","",G251*C278)</f>
        <v/>
      </c>
      <c r="M278" s="381" t="str">
        <f>IF(A278="","",VLOOKUP(A278,VII.A!$A$10:$B$199,2,FALSE))</f>
        <v/>
      </c>
      <c r="N278" s="342" t="str">
        <f t="shared" si="84"/>
        <v/>
      </c>
      <c r="R278" s="341"/>
      <c r="S278" s="341"/>
    </row>
    <row r="279" spans="1:19" ht="12.75" customHeight="1">
      <c r="A279" s="393"/>
      <c r="C279" s="20"/>
      <c r="E279" s="387"/>
      <c r="F279" s="388">
        <f t="shared" si="81"/>
        <v>0</v>
      </c>
      <c r="H279" s="341" t="str">
        <f>IF(A279="","",VLOOKUP(A279,VII.A!$A$10:$D$199,4,FALSE))</f>
        <v/>
      </c>
      <c r="I279" s="341" t="str">
        <f t="shared" si="82"/>
        <v/>
      </c>
      <c r="J279" s="341" t="str">
        <f>IF(A279="","",VLOOKUP(A279,VII.A!$A$10:$D$199,3,FALSE))</f>
        <v/>
      </c>
      <c r="K279" s="342" t="str">
        <f t="shared" si="83"/>
        <v/>
      </c>
      <c r="L279" s="380" t="str">
        <f>IF(C279="","",G251*C279)</f>
        <v/>
      </c>
      <c r="M279" s="381" t="str">
        <f>IF(A279="","",VLOOKUP(A279,VII.A!$A$10:$B$199,2,FALSE))</f>
        <v/>
      </c>
      <c r="N279" s="342" t="str">
        <f t="shared" si="84"/>
        <v/>
      </c>
      <c r="R279" s="341"/>
      <c r="S279" s="341"/>
    </row>
    <row r="280" spans="1:19" ht="12.75" customHeight="1">
      <c r="A280" s="393"/>
      <c r="C280" s="20"/>
      <c r="E280" s="387"/>
      <c r="F280" s="388">
        <f t="shared" si="81"/>
        <v>0</v>
      </c>
      <c r="H280" s="341" t="str">
        <f>IF(A280="","",VLOOKUP(A280,VII.A!$A$10:$D$199,4,FALSE))</f>
        <v/>
      </c>
      <c r="I280" s="341" t="str">
        <f t="shared" si="82"/>
        <v/>
      </c>
      <c r="J280" s="341" t="str">
        <f>IF(A280="","",VLOOKUP(A280,VII.A!$A$10:$D$199,3,FALSE))</f>
        <v/>
      </c>
      <c r="K280" s="342" t="str">
        <f t="shared" si="83"/>
        <v/>
      </c>
      <c r="L280" s="380" t="str">
        <f>IF(C280="","",G251*C280)</f>
        <v/>
      </c>
      <c r="M280" s="381" t="str">
        <f>IF(A280="","",VLOOKUP(A280,VII.A!$A$10:$B$199,2,FALSE))</f>
        <v/>
      </c>
      <c r="N280" s="342" t="str">
        <f t="shared" si="84"/>
        <v/>
      </c>
      <c r="R280" s="341"/>
      <c r="S280" s="341"/>
    </row>
    <row r="281" spans="1:19" ht="12.75" customHeight="1">
      <c r="A281" s="393"/>
      <c r="C281" s="20"/>
      <c r="E281" s="387"/>
      <c r="F281" s="388">
        <f t="shared" si="81"/>
        <v>0</v>
      </c>
      <c r="H281" s="341" t="str">
        <f>IF(A281="","",VLOOKUP(A281,VII.A!$A$10:$D$199,4,FALSE))</f>
        <v/>
      </c>
      <c r="I281" s="341" t="str">
        <f t="shared" si="82"/>
        <v/>
      </c>
      <c r="J281" s="341" t="str">
        <f>IF(A281="","",VLOOKUP(A281,VII.A!$A$10:$D$199,3,FALSE))</f>
        <v/>
      </c>
      <c r="K281" s="342" t="str">
        <f t="shared" si="83"/>
        <v/>
      </c>
      <c r="L281" s="380" t="str">
        <f>IF(C281="","",G251*C281)</f>
        <v/>
      </c>
      <c r="M281" s="381" t="str">
        <f>IF(A281="","",VLOOKUP(A281,VII.A!$A$10:$B$199,2,FALSE))</f>
        <v/>
      </c>
      <c r="N281" s="342" t="str">
        <f t="shared" si="84"/>
        <v/>
      </c>
      <c r="R281" s="341"/>
      <c r="S281" s="341"/>
    </row>
    <row r="282" spans="1:19" ht="12.75" customHeight="1">
      <c r="A282" s="393"/>
      <c r="C282" s="20"/>
      <c r="E282" s="387"/>
      <c r="F282" s="388">
        <f t="shared" si="81"/>
        <v>0</v>
      </c>
      <c r="H282" s="341" t="str">
        <f>IF(A282="","",VLOOKUP(A282,VII.A!$A$10:$D$199,4,FALSE))</f>
        <v/>
      </c>
      <c r="I282" s="341" t="str">
        <f t="shared" si="82"/>
        <v/>
      </c>
      <c r="J282" s="341" t="str">
        <f>IF(A282="","",VLOOKUP(A282,VII.A!$A$10:$D$199,3,FALSE))</f>
        <v/>
      </c>
      <c r="K282" s="342" t="str">
        <f t="shared" si="83"/>
        <v/>
      </c>
      <c r="L282" s="380" t="str">
        <f>IF(C282="","",G251*C282)</f>
        <v/>
      </c>
      <c r="M282" s="381" t="str">
        <f>IF(A282="","",VLOOKUP(A282,VII.A!$A$10:$B$199,2,FALSE))</f>
        <v/>
      </c>
      <c r="N282" s="342" t="str">
        <f t="shared" si="84"/>
        <v/>
      </c>
      <c r="R282" s="341"/>
      <c r="S282" s="341"/>
    </row>
    <row r="283" spans="1:19" ht="12.75" customHeight="1">
      <c r="A283" s="393"/>
      <c r="B283" s="395" t="s">
        <v>226</v>
      </c>
      <c r="C283" s="396"/>
      <c r="D283" s="397"/>
      <c r="E283" s="398"/>
      <c r="F283" s="399">
        <f>SUM(F273:F282)</f>
        <v>0</v>
      </c>
      <c r="J283" s="341"/>
      <c r="L283" s="380"/>
      <c r="M283" s="381"/>
      <c r="N283" s="342"/>
      <c r="R283" s="341"/>
      <c r="S283" s="341"/>
    </row>
    <row r="284" spans="1:19" ht="12.75" customHeight="1">
      <c r="A284" s="393"/>
      <c r="B284" s="400" t="s">
        <v>53</v>
      </c>
      <c r="C284" s="2">
        <f>$D$8</f>
        <v>0</v>
      </c>
      <c r="D284" s="401"/>
      <c r="E284" s="402"/>
      <c r="F284" s="403">
        <f>ROUND(C284*F283,2)</f>
        <v>0</v>
      </c>
      <c r="J284" s="341"/>
      <c r="L284" s="380"/>
      <c r="M284" s="381"/>
      <c r="N284" s="342"/>
      <c r="R284" s="341"/>
      <c r="S284" s="341"/>
    </row>
    <row r="285" spans="1:19" ht="12.75" customHeight="1">
      <c r="A285" s="404"/>
      <c r="B285" s="405" t="s">
        <v>228</v>
      </c>
      <c r="C285" s="406"/>
      <c r="D285" s="406"/>
      <c r="E285" s="407"/>
      <c r="F285" s="408">
        <f>F283+F284</f>
        <v>0</v>
      </c>
      <c r="J285" s="341"/>
      <c r="L285" s="380"/>
      <c r="M285" s="381"/>
      <c r="N285" s="342"/>
      <c r="R285" s="341"/>
      <c r="S285" s="341"/>
    </row>
    <row r="286" spans="1:19" ht="12.75" customHeight="1">
      <c r="A286" s="409" t="s">
        <v>47</v>
      </c>
      <c r="B286" s="410" t="s">
        <v>236</v>
      </c>
      <c r="C286" s="411" t="s">
        <v>231</v>
      </c>
      <c r="D286" s="412" t="s">
        <v>232</v>
      </c>
      <c r="E286" s="413" t="s">
        <v>233</v>
      </c>
      <c r="F286" s="378" t="s">
        <v>234</v>
      </c>
      <c r="J286" s="341"/>
      <c r="L286" s="380"/>
      <c r="M286" s="381"/>
      <c r="N286" s="342"/>
      <c r="R286" s="341"/>
      <c r="S286" s="341"/>
    </row>
    <row r="287" spans="1:19" ht="12.75" customHeight="1">
      <c r="A287" s="393" t="str">
        <f>VII.A!$A$192</f>
        <v>3.12</v>
      </c>
      <c r="B287" s="394" t="s">
        <v>153</v>
      </c>
      <c r="C287" s="20">
        <f>ROUND(1.2462*0.05,2)</f>
        <v>0.06</v>
      </c>
      <c r="D287" s="384" t="str">
        <f>VLOOKUP(A287,VII.A!$A$10:$G$199,3,FALSE)</f>
        <v>H</v>
      </c>
      <c r="E287" s="387">
        <f>VII.A!D192</f>
        <v>0</v>
      </c>
      <c r="F287" s="388">
        <f t="shared" ref="F287:F293" si="85">ROUND(C287*E287,2)</f>
        <v>0</v>
      </c>
      <c r="H287" s="341">
        <f>IF(A287="","",VLOOKUP(A287,VII.A!$A$10:$D$199,4,FALSE))</f>
        <v>0</v>
      </c>
      <c r="I287" s="341" t="str">
        <f t="shared" ref="I287:I293" si="86">IF(A287="","",IF(E287=H287,"SIM","NÃO"))</f>
        <v>SIM</v>
      </c>
      <c r="J287" s="341" t="str">
        <f>IF(A287="","",VLOOKUP(A287,VII.A!$A$10:$D$199,3,FALSE))</f>
        <v>H</v>
      </c>
      <c r="K287" s="342" t="str">
        <f t="shared" ref="K287:K293" si="87">IF(A287="","",IF(J287=D287,"SIM","NÃO"))</f>
        <v>SIM</v>
      </c>
      <c r="L287" s="380">
        <f>IF(C287="","",G251*C287)</f>
        <v>60</v>
      </c>
      <c r="M287" s="381" t="str">
        <f>IF(A287="","",VLOOKUP(A287,VII.A!$A$10:$B$199,2,FALSE))</f>
        <v>PEDREIRO COM ENCARGOS COMPLEMENTARES</v>
      </c>
      <c r="N287" s="342" t="str">
        <f t="shared" ref="N287:N293" si="88">IF(B287="","",IF(M287=B287,"si","no"))</f>
        <v>si</v>
      </c>
      <c r="R287" s="341"/>
      <c r="S287" s="341"/>
    </row>
    <row r="288" spans="1:19" ht="12.75" customHeight="1">
      <c r="A288" s="393" t="str">
        <f>VII.A!$A$196</f>
        <v>3.16</v>
      </c>
      <c r="B288" s="394" t="s">
        <v>157</v>
      </c>
      <c r="C288" s="20">
        <f>ROUND(7.7265*0.05,2)</f>
        <v>0.39</v>
      </c>
      <c r="D288" s="384" t="str">
        <f>VLOOKUP(A288,VII.A!$A$10:$G$199,3,FALSE)</f>
        <v>H</v>
      </c>
      <c r="E288" s="387">
        <f>VII.A!D196</f>
        <v>0</v>
      </c>
      <c r="F288" s="388">
        <f t="shared" si="85"/>
        <v>0</v>
      </c>
      <c r="H288" s="341">
        <f>IF(A288="","",VLOOKUP(A288,VII.A!$A$10:$D$199,4,FALSE))</f>
        <v>0</v>
      </c>
      <c r="I288" s="341" t="str">
        <f t="shared" si="86"/>
        <v>SIM</v>
      </c>
      <c r="J288" s="341" t="str">
        <f>IF(A288="","",VLOOKUP(A288,VII.A!$A$10:$D$199,3,FALSE))</f>
        <v>H</v>
      </c>
      <c r="K288" s="342" t="str">
        <f t="shared" si="87"/>
        <v>SIM</v>
      </c>
      <c r="L288" s="380">
        <f>IF(C288="","",G251*C288)</f>
        <v>390</v>
      </c>
      <c r="M288" s="381" t="str">
        <f>IF(A288="","",VLOOKUP(A288,VII.A!$A$10:$B$199,2,FALSE))</f>
        <v>SERVENTE COM ENCARGOS COMPLEMENTARES</v>
      </c>
      <c r="N288" s="342" t="str">
        <f t="shared" si="88"/>
        <v>si</v>
      </c>
      <c r="R288" s="341"/>
      <c r="S288" s="341"/>
    </row>
    <row r="289" spans="1:25" ht="12.75" customHeight="1">
      <c r="A289" s="393"/>
      <c r="C289" s="20"/>
      <c r="E289" s="387"/>
      <c r="F289" s="388">
        <f t="shared" si="85"/>
        <v>0</v>
      </c>
      <c r="H289" s="341" t="str">
        <f>IF(A289="","",VLOOKUP(A289,VII.A!$A$10:$D$199,4,FALSE))</f>
        <v/>
      </c>
      <c r="I289" s="341" t="str">
        <f t="shared" si="86"/>
        <v/>
      </c>
      <c r="J289" s="341" t="str">
        <f>IF(A289="","",VLOOKUP(A289,VII.A!$A$10:$D$199,3,FALSE))</f>
        <v/>
      </c>
      <c r="K289" s="342" t="str">
        <f t="shared" si="87"/>
        <v/>
      </c>
      <c r="L289" s="380" t="str">
        <f>IF(C289="","",G251*C289)</f>
        <v/>
      </c>
      <c r="M289" s="381" t="str">
        <f>IF(A289="","",VLOOKUP(A289,VII.A!$A$10:$B$199,2,FALSE))</f>
        <v/>
      </c>
      <c r="N289" s="342" t="str">
        <f t="shared" si="88"/>
        <v/>
      </c>
      <c r="R289" s="341"/>
      <c r="S289" s="341"/>
    </row>
    <row r="290" spans="1:25" ht="12.75" customHeight="1">
      <c r="A290" s="393"/>
      <c r="C290" s="20"/>
      <c r="E290" s="387"/>
      <c r="F290" s="388">
        <f t="shared" si="85"/>
        <v>0</v>
      </c>
      <c r="H290" s="341" t="str">
        <f>IF(A290="","",VLOOKUP(A290,VII.A!$A$10:$D$199,4,FALSE))</f>
        <v/>
      </c>
      <c r="I290" s="341" t="str">
        <f t="shared" si="86"/>
        <v/>
      </c>
      <c r="J290" s="341" t="str">
        <f>IF(A290="","",VLOOKUP(A290,VII.A!$A$10:$D$199,3,FALSE))</f>
        <v/>
      </c>
      <c r="K290" s="342" t="str">
        <f t="shared" si="87"/>
        <v/>
      </c>
      <c r="L290" s="380" t="str">
        <f>IF(C290="","",G251*C290)</f>
        <v/>
      </c>
      <c r="M290" s="381" t="str">
        <f>IF(A290="","",VLOOKUP(A290,VII.A!$A$10:$B$199,2,FALSE))</f>
        <v/>
      </c>
      <c r="N290" s="342" t="str">
        <f t="shared" si="88"/>
        <v/>
      </c>
      <c r="R290" s="341"/>
      <c r="S290" s="341"/>
    </row>
    <row r="291" spans="1:25" ht="12.75" customHeight="1">
      <c r="A291" s="393"/>
      <c r="C291" s="20"/>
      <c r="E291" s="387"/>
      <c r="F291" s="388">
        <f t="shared" si="85"/>
        <v>0</v>
      </c>
      <c r="H291" s="341" t="str">
        <f>IF(A291="","",VLOOKUP(A291,VII.A!$A$10:$D$199,4,FALSE))</f>
        <v/>
      </c>
      <c r="I291" s="341" t="str">
        <f t="shared" si="86"/>
        <v/>
      </c>
      <c r="J291" s="341" t="str">
        <f>IF(A291="","",VLOOKUP(A291,VII.A!$A$10:$D$199,3,FALSE))</f>
        <v/>
      </c>
      <c r="K291" s="342" t="str">
        <f t="shared" si="87"/>
        <v/>
      </c>
      <c r="L291" s="380" t="str">
        <f>IF(C291="","",G251*C291)</f>
        <v/>
      </c>
      <c r="M291" s="381" t="str">
        <f>IF(A291="","",VLOOKUP(A291,VII.A!$A$10:$B$199,2,FALSE))</f>
        <v/>
      </c>
      <c r="N291" s="342" t="str">
        <f t="shared" si="88"/>
        <v/>
      </c>
      <c r="R291" s="341"/>
      <c r="S291" s="341"/>
    </row>
    <row r="292" spans="1:25" ht="12.75" customHeight="1">
      <c r="A292" s="393"/>
      <c r="C292" s="20"/>
      <c r="E292" s="387"/>
      <c r="F292" s="388">
        <f t="shared" si="85"/>
        <v>0</v>
      </c>
      <c r="H292" s="341" t="str">
        <f>IF(A292="","",VLOOKUP(A292,VII.A!$A$10:$D$199,4,FALSE))</f>
        <v/>
      </c>
      <c r="I292" s="341" t="str">
        <f t="shared" si="86"/>
        <v/>
      </c>
      <c r="J292" s="341" t="str">
        <f>IF(A292="","",VLOOKUP(A292,VII.A!$A$10:$D$199,3,FALSE))</f>
        <v/>
      </c>
      <c r="K292" s="342" t="str">
        <f t="shared" si="87"/>
        <v/>
      </c>
      <c r="L292" s="380" t="str">
        <f>IF(C292="","",G251*C292)</f>
        <v/>
      </c>
      <c r="M292" s="381" t="str">
        <f>IF(A292="","",VLOOKUP(A292,VII.A!$A$10:$B$199,2,FALSE))</f>
        <v/>
      </c>
      <c r="N292" s="342" t="str">
        <f t="shared" si="88"/>
        <v/>
      </c>
      <c r="R292" s="341"/>
      <c r="S292" s="341"/>
    </row>
    <row r="293" spans="1:25" ht="12.75" customHeight="1">
      <c r="A293" s="393"/>
      <c r="C293" s="20"/>
      <c r="E293" s="387"/>
      <c r="F293" s="388">
        <f t="shared" si="85"/>
        <v>0</v>
      </c>
      <c r="H293" s="341" t="str">
        <f>IF(A293="","",VLOOKUP(A293,VII.A!$A$10:$D$199,4,FALSE))</f>
        <v/>
      </c>
      <c r="I293" s="341" t="str">
        <f t="shared" si="86"/>
        <v/>
      </c>
      <c r="J293" s="341" t="str">
        <f>IF(A293="","",VLOOKUP(A293,VII.A!$A$10:$D$199,3,FALSE))</f>
        <v/>
      </c>
      <c r="K293" s="342" t="str">
        <f t="shared" si="87"/>
        <v/>
      </c>
      <c r="L293" s="380" t="str">
        <f>IF(C293="","",G251*C293)</f>
        <v/>
      </c>
      <c r="M293" s="381" t="str">
        <f>IF(A293="","",VLOOKUP(A293,VII.A!$A$10:$B$199,2,FALSE))</f>
        <v/>
      </c>
      <c r="N293" s="342" t="str">
        <f t="shared" si="88"/>
        <v/>
      </c>
      <c r="R293" s="341"/>
      <c r="S293" s="341"/>
    </row>
    <row r="294" spans="1:25" ht="12.75" customHeight="1">
      <c r="A294" s="393"/>
      <c r="B294" s="395" t="s">
        <v>226</v>
      </c>
      <c r="C294" s="396"/>
      <c r="D294" s="397"/>
      <c r="E294" s="398"/>
      <c r="F294" s="399">
        <f>SUM(F287:F293)</f>
        <v>0</v>
      </c>
      <c r="J294" s="341"/>
      <c r="L294" s="380"/>
      <c r="M294" s="381"/>
      <c r="N294" s="342"/>
      <c r="R294" s="341"/>
      <c r="S294" s="341"/>
    </row>
    <row r="295" spans="1:25" ht="12.75" customHeight="1">
      <c r="A295" s="393"/>
      <c r="B295" s="400" t="s">
        <v>229</v>
      </c>
      <c r="C295" s="2">
        <f>IX.A!$C$45</f>
        <v>0</v>
      </c>
      <c r="D295" s="401"/>
      <c r="E295" s="402"/>
      <c r="F295" s="403">
        <f>ROUND(F294*C295,2)</f>
        <v>0</v>
      </c>
      <c r="J295" s="341"/>
      <c r="L295" s="380"/>
      <c r="M295" s="381"/>
      <c r="N295" s="342"/>
      <c r="R295" s="341"/>
      <c r="S295" s="341"/>
    </row>
    <row r="296" spans="1:25" ht="12.75" customHeight="1">
      <c r="A296" s="393"/>
      <c r="B296" s="400" t="s">
        <v>53</v>
      </c>
      <c r="C296" s="2">
        <f>$D$8</f>
        <v>0</v>
      </c>
      <c r="D296" s="401"/>
      <c r="E296" s="402"/>
      <c r="F296" s="403">
        <f>ROUND(SUM(F294:F295)*C296,2)</f>
        <v>0</v>
      </c>
      <c r="J296" s="341"/>
      <c r="L296" s="380"/>
      <c r="M296" s="381"/>
      <c r="N296" s="342"/>
      <c r="R296" s="341"/>
      <c r="S296" s="341"/>
    </row>
    <row r="297" spans="1:25" ht="12.75" customHeight="1" thickBot="1">
      <c r="A297" s="414"/>
      <c r="B297" s="415" t="s">
        <v>230</v>
      </c>
      <c r="C297" s="416"/>
      <c r="D297" s="416"/>
      <c r="E297" s="417"/>
      <c r="F297" s="418">
        <f>SUM(F294:F296)</f>
        <v>0</v>
      </c>
      <c r="J297" s="341"/>
      <c r="L297" s="380"/>
      <c r="M297" s="381"/>
      <c r="N297" s="342"/>
      <c r="R297" s="341"/>
      <c r="S297" s="341"/>
    </row>
    <row r="298" spans="1:25" ht="12.75" customHeight="1" thickBot="1">
      <c r="A298" s="357"/>
      <c r="B298" s="358"/>
      <c r="C298" s="359"/>
      <c r="D298" s="359"/>
      <c r="E298" s="360"/>
      <c r="F298" s="419"/>
      <c r="J298" s="341"/>
      <c r="L298" s="380"/>
      <c r="M298" s="381"/>
      <c r="N298" s="342"/>
      <c r="R298" s="341"/>
      <c r="S298" s="341"/>
    </row>
    <row r="299" spans="1:25" ht="30" customHeight="1">
      <c r="A299" s="370" t="str">
        <f>IV.A!A26</f>
        <v>2.1.2</v>
      </c>
      <c r="B299" s="371" t="str">
        <f>IV.A!B26</f>
        <v>DEMOLIÇÃO MECANIZADA DE CALÇADAS E PISOS CIMENTADOS</v>
      </c>
      <c r="C299" s="871" t="s">
        <v>237</v>
      </c>
      <c r="D299" s="872"/>
      <c r="E299" s="372" t="str">
        <f>IV.A!C26</f>
        <v>M2</v>
      </c>
      <c r="F299" s="11">
        <f>ROUND(F319+F333+F345,2)</f>
        <v>0</v>
      </c>
      <c r="G299" s="1">
        <f>VLOOKUP(A299,IV.A!$A$16:$L$172,4,FALSE)</f>
        <v>2000</v>
      </c>
      <c r="H299" s="361">
        <f>SUM(F301:F316)+F318</f>
        <v>0</v>
      </c>
      <c r="I299" s="361">
        <f>SUM(F321:F330)+F332</f>
        <v>0</v>
      </c>
      <c r="J299" s="361">
        <f>SUM(F335:F341)+F343+F344</f>
        <v>0</v>
      </c>
      <c r="K299" s="361">
        <f>SUM(H299:J299)</f>
        <v>0</v>
      </c>
      <c r="L299" s="362" t="str">
        <f>IF(K299=F299,"SIM","NÃO")</f>
        <v>SIM</v>
      </c>
      <c r="M299" s="373">
        <f>ROUND(SUM(F301:F316),2)+ROUND(SUM(F301:F316)*C318,2)+ROUND(SUM(F321:F330)*C332,2)+ROUND(SUM(F321:F330),2)+ROUND(SUM(F335:F341)*C343,2)+ROUND((SUM(F335:F341)+ROUND(SUM(F335:F341)*C343,2))*C344,2)+ROUND(SUM(F335:F341),2)</f>
        <v>0</v>
      </c>
      <c r="N299" s="343" t="str">
        <f>IF(M299=F299,"SIM","NÃO")</f>
        <v>SIM</v>
      </c>
      <c r="O299" s="364" t="str">
        <f>VLOOKUP(A299,IV.A!$A$16:$E$172,3,FALSE)</f>
        <v>M2</v>
      </c>
      <c r="P299" s="344" t="str">
        <f>IF(O299=E299,"SIM","NÃO")</f>
        <v>SIM</v>
      </c>
      <c r="Q299" s="365">
        <f>ROUND(G299*F319,2)+ROUND(G299*F333,2)+ROUND(G299*F345,2)</f>
        <v>0</v>
      </c>
      <c r="R299" s="364">
        <f>VLOOKUP(A299,IV.A!$A$16:$L$172,12,FALSE)</f>
        <v>0</v>
      </c>
      <c r="S299" s="366" t="str">
        <f>IF(Q299=R299,"si","no")</f>
        <v>si</v>
      </c>
      <c r="T299" s="367">
        <f>SUM(L301:L316)+SUM(L321:L330)+SUM(L335:L341)</f>
        <v>540</v>
      </c>
      <c r="U299" s="341">
        <f>(SUM(C301:C316)+SUM(C321:C330)+SUM(C335:C341))*G299</f>
        <v>540</v>
      </c>
      <c r="V299" s="368" t="str">
        <f>IF(T299=U299,"si","no")</f>
        <v>si</v>
      </c>
      <c r="W299" s="369">
        <f>SUM(F301:F316)</f>
        <v>0</v>
      </c>
      <c r="X299" s="369">
        <f>SUM(F321:F330)</f>
        <v>0</v>
      </c>
      <c r="Y299" s="369">
        <f>SUM(F335:F341)</f>
        <v>0</v>
      </c>
    </row>
    <row r="300" spans="1:25" ht="12.75" customHeight="1">
      <c r="A300" s="374" t="s">
        <v>14</v>
      </c>
      <c r="B300" s="375" t="s">
        <v>132</v>
      </c>
      <c r="C300" s="376" t="s">
        <v>231</v>
      </c>
      <c r="D300" s="376" t="s">
        <v>232</v>
      </c>
      <c r="E300" s="377" t="s">
        <v>233</v>
      </c>
      <c r="F300" s="378" t="s">
        <v>234</v>
      </c>
      <c r="G300" s="379"/>
      <c r="J300" s="341"/>
      <c r="L300" s="380"/>
      <c r="M300" s="381"/>
      <c r="N300" s="342"/>
      <c r="O300" s="382"/>
      <c r="P300" s="383"/>
      <c r="Q300" s="383"/>
      <c r="R300" s="383"/>
      <c r="S300" s="383"/>
      <c r="T300" s="382"/>
      <c r="U300" s="341"/>
      <c r="V300" s="384"/>
      <c r="W300" s="384"/>
      <c r="X300" s="384"/>
      <c r="Y300" s="384"/>
    </row>
    <row r="301" spans="1:25" ht="12.75" customHeight="1">
      <c r="A301" s="385"/>
      <c r="B301" s="386"/>
      <c r="C301" s="20"/>
      <c r="D301" s="342"/>
      <c r="E301" s="387"/>
      <c r="F301" s="388">
        <f>ROUND(C301*E301,2)</f>
        <v>0</v>
      </c>
      <c r="H301" s="341" t="str">
        <f>IF(A301="","",VLOOKUP(A301,VII.A!$A$10:$D$199,4,FALSE))</f>
        <v/>
      </c>
      <c r="I301" s="341" t="str">
        <f t="shared" ref="I301:I316" si="89">IF(A301="","",IF(E301=H301,"SIM","NÃO"))</f>
        <v/>
      </c>
      <c r="J301" s="341" t="str">
        <f>IF(A301="","",VLOOKUP(A301,VII.A!$A$10:$D$199,3,FALSE))</f>
        <v/>
      </c>
      <c r="K301" s="342" t="str">
        <f t="shared" ref="K301:K316" si="90">IF(A301="","",IF(J301=D301,"SIM","NÃO"))</f>
        <v/>
      </c>
      <c r="L301" s="380" t="str">
        <f>IF(C301="","",G299*C301)</f>
        <v/>
      </c>
      <c r="M301" s="381" t="str">
        <f>IF(A301="","",VLOOKUP(A301,VII.A!$A$10:$B$199,2,FALSE))</f>
        <v/>
      </c>
      <c r="N301" s="342" t="str">
        <f t="shared" ref="N301:N316" si="91">IF(B301="","",IF(M301=B301,"si","no"))</f>
        <v/>
      </c>
      <c r="R301" s="341"/>
      <c r="S301" s="341"/>
    </row>
    <row r="302" spans="1:25" ht="12.75" customHeight="1">
      <c r="A302" s="385"/>
      <c r="B302" s="386"/>
      <c r="C302" s="20"/>
      <c r="D302" s="342"/>
      <c r="E302" s="387"/>
      <c r="F302" s="388">
        <f t="shared" ref="F302:F316" si="92">ROUND(C302*E302,2)</f>
        <v>0</v>
      </c>
      <c r="H302" s="341" t="str">
        <f>IF(A302="","",VLOOKUP(A302,VII.A!$A$10:$D$199,4,FALSE))</f>
        <v/>
      </c>
      <c r="I302" s="341" t="str">
        <f t="shared" si="89"/>
        <v/>
      </c>
      <c r="J302" s="341" t="str">
        <f>IF(A302="","",VLOOKUP(A302,VII.A!$A$10:$D$199,3,FALSE))</f>
        <v/>
      </c>
      <c r="K302" s="342" t="str">
        <f t="shared" si="90"/>
        <v/>
      </c>
      <c r="L302" s="380" t="str">
        <f>IF(C302="","",G299*C302)</f>
        <v/>
      </c>
      <c r="M302" s="381" t="str">
        <f>IF(A302="","",VLOOKUP(A302,VII.A!$A$10:$B$199,2,FALSE))</f>
        <v/>
      </c>
      <c r="N302" s="342" t="str">
        <f t="shared" si="91"/>
        <v/>
      </c>
      <c r="R302" s="341"/>
      <c r="S302" s="341"/>
    </row>
    <row r="303" spans="1:25" ht="12.75" customHeight="1">
      <c r="A303" s="385"/>
      <c r="B303" s="386"/>
      <c r="C303" s="20"/>
      <c r="D303" s="342"/>
      <c r="E303" s="387"/>
      <c r="F303" s="388">
        <f t="shared" si="92"/>
        <v>0</v>
      </c>
      <c r="H303" s="341" t="str">
        <f>IF(A303="","",VLOOKUP(A303,VII.A!$A$10:$D$199,4,FALSE))</f>
        <v/>
      </c>
      <c r="I303" s="341" t="str">
        <f t="shared" si="89"/>
        <v/>
      </c>
      <c r="J303" s="341" t="str">
        <f>IF(A303="","",VLOOKUP(A303,VII.A!$A$10:$D$199,3,FALSE))</f>
        <v/>
      </c>
      <c r="K303" s="342" t="str">
        <f t="shared" si="90"/>
        <v/>
      </c>
      <c r="L303" s="380" t="str">
        <f>IF(C303="","",G299*C303)</f>
        <v/>
      </c>
      <c r="M303" s="381" t="str">
        <f>IF(A303="","",VLOOKUP(A303,VII.A!$A$10:$B$199,2,FALSE))</f>
        <v/>
      </c>
      <c r="N303" s="342" t="str">
        <f t="shared" si="91"/>
        <v/>
      </c>
      <c r="R303" s="341"/>
      <c r="S303" s="341"/>
    </row>
    <row r="304" spans="1:25" ht="12.75" customHeight="1">
      <c r="A304" s="385"/>
      <c r="B304" s="386"/>
      <c r="C304" s="20"/>
      <c r="D304" s="342"/>
      <c r="E304" s="387"/>
      <c r="F304" s="388">
        <f t="shared" si="92"/>
        <v>0</v>
      </c>
      <c r="H304" s="341" t="str">
        <f>IF(A304="","",VLOOKUP(A304,VII.A!$A$10:$D$199,4,FALSE))</f>
        <v/>
      </c>
      <c r="I304" s="341" t="str">
        <f t="shared" si="89"/>
        <v/>
      </c>
      <c r="J304" s="341" t="str">
        <f>IF(A304="","",VLOOKUP(A304,VII.A!$A$10:$D$199,3,FALSE))</f>
        <v/>
      </c>
      <c r="K304" s="342" t="str">
        <f t="shared" si="90"/>
        <v/>
      </c>
      <c r="L304" s="380" t="str">
        <f>IF(C304="","",G299*C304)</f>
        <v/>
      </c>
      <c r="M304" s="381" t="str">
        <f>IF(A304="","",VLOOKUP(A304,VII.A!$A$10:$B$199,2,FALSE))</f>
        <v/>
      </c>
      <c r="N304" s="342" t="str">
        <f t="shared" si="91"/>
        <v/>
      </c>
      <c r="R304" s="341"/>
      <c r="S304" s="341"/>
    </row>
    <row r="305" spans="1:21" ht="12.75" customHeight="1">
      <c r="A305" s="385"/>
      <c r="B305" s="386"/>
      <c r="C305" s="20"/>
      <c r="D305" s="342"/>
      <c r="E305" s="387"/>
      <c r="F305" s="388">
        <f t="shared" si="92"/>
        <v>0</v>
      </c>
      <c r="H305" s="341" t="str">
        <f>IF(A305="","",VLOOKUP(A305,VII.A!$A$10:$D$199,4,FALSE))</f>
        <v/>
      </c>
      <c r="I305" s="341" t="str">
        <f t="shared" si="89"/>
        <v/>
      </c>
      <c r="J305" s="341" t="str">
        <f>IF(A305="","",VLOOKUP(A305,VII.A!$A$10:$D$199,3,FALSE))</f>
        <v/>
      </c>
      <c r="K305" s="342" t="str">
        <f t="shared" si="90"/>
        <v/>
      </c>
      <c r="L305" s="380" t="str">
        <f>IF(C305="","",G299*C305)</f>
        <v/>
      </c>
      <c r="M305" s="381" t="str">
        <f>IF(A305="","",VLOOKUP(A305,VII.A!$A$10:$B$199,2,FALSE))</f>
        <v/>
      </c>
      <c r="N305" s="342" t="str">
        <f t="shared" si="91"/>
        <v/>
      </c>
      <c r="R305" s="341"/>
      <c r="S305" s="341"/>
    </row>
    <row r="306" spans="1:21" ht="12.75" customHeight="1">
      <c r="A306" s="385"/>
      <c r="B306" s="386"/>
      <c r="C306" s="20"/>
      <c r="D306" s="342"/>
      <c r="E306" s="387"/>
      <c r="F306" s="388">
        <f t="shared" si="92"/>
        <v>0</v>
      </c>
      <c r="H306" s="341" t="str">
        <f>IF(A306="","",VLOOKUP(A306,VII.A!$A$10:$D$199,4,FALSE))</f>
        <v/>
      </c>
      <c r="I306" s="341" t="str">
        <f t="shared" si="89"/>
        <v/>
      </c>
      <c r="J306" s="341" t="str">
        <f>IF(A306="","",VLOOKUP(A306,VII.A!$A$10:$D$199,3,FALSE))</f>
        <v/>
      </c>
      <c r="K306" s="342" t="str">
        <f t="shared" si="90"/>
        <v/>
      </c>
      <c r="L306" s="380" t="str">
        <f>IF(C306="","",G299*C306)</f>
        <v/>
      </c>
      <c r="M306" s="381" t="str">
        <f>IF(A306="","",VLOOKUP(A306,VII.A!$A$10:$B$199,2,FALSE))</f>
        <v/>
      </c>
      <c r="N306" s="342" t="str">
        <f t="shared" si="91"/>
        <v/>
      </c>
      <c r="R306" s="341"/>
      <c r="S306" s="341"/>
      <c r="U306" s="389"/>
    </row>
    <row r="307" spans="1:21" ht="12.75" customHeight="1">
      <c r="A307" s="385"/>
      <c r="B307" s="386"/>
      <c r="C307" s="20"/>
      <c r="D307" s="342"/>
      <c r="E307" s="387"/>
      <c r="F307" s="388">
        <f t="shared" si="92"/>
        <v>0</v>
      </c>
      <c r="H307" s="341" t="str">
        <f>IF(A307="","",VLOOKUP(A307,VII.A!$A$10:$D$199,4,FALSE))</f>
        <v/>
      </c>
      <c r="I307" s="341" t="str">
        <f t="shared" si="89"/>
        <v/>
      </c>
      <c r="J307" s="341" t="str">
        <f>IF(A307="","",VLOOKUP(A307,VII.A!$A$10:$D$199,3,FALSE))</f>
        <v/>
      </c>
      <c r="K307" s="342" t="str">
        <f t="shared" si="90"/>
        <v/>
      </c>
      <c r="L307" s="380" t="str">
        <f>IF(C307="","",G299*C307)</f>
        <v/>
      </c>
      <c r="M307" s="381" t="str">
        <f>IF(A307="","",VLOOKUP(A307,VII.A!$A$10:$B$199,2,FALSE))</f>
        <v/>
      </c>
      <c r="N307" s="342" t="str">
        <f t="shared" si="91"/>
        <v/>
      </c>
      <c r="R307" s="341"/>
      <c r="S307" s="341"/>
    </row>
    <row r="308" spans="1:21" ht="12.75" customHeight="1">
      <c r="A308" s="385"/>
      <c r="B308" s="386"/>
      <c r="C308" s="20"/>
      <c r="D308" s="342"/>
      <c r="E308" s="387"/>
      <c r="F308" s="388">
        <f t="shared" si="92"/>
        <v>0</v>
      </c>
      <c r="G308" s="390"/>
      <c r="H308" s="341" t="str">
        <f>IF(A308="","",VLOOKUP(A308,VII.A!$A$10:$D$199,4,FALSE))</f>
        <v/>
      </c>
      <c r="I308" s="341" t="str">
        <f t="shared" si="89"/>
        <v/>
      </c>
      <c r="J308" s="341" t="str">
        <f>IF(A308="","",VLOOKUP(A308,VII.A!$A$10:$D$199,3,FALSE))</f>
        <v/>
      </c>
      <c r="K308" s="342" t="str">
        <f t="shared" si="90"/>
        <v/>
      </c>
      <c r="L308" s="380" t="str">
        <f>IF(C308="","",G299*C308)</f>
        <v/>
      </c>
      <c r="M308" s="381" t="str">
        <f>IF(A308="","",VLOOKUP(A308,VII.A!$A$10:$B$199,2,FALSE))</f>
        <v/>
      </c>
      <c r="N308" s="342" t="str">
        <f t="shared" si="91"/>
        <v/>
      </c>
      <c r="R308" s="341"/>
      <c r="S308" s="341"/>
    </row>
    <row r="309" spans="1:21" ht="12.75" customHeight="1">
      <c r="A309" s="385"/>
      <c r="B309" s="386"/>
      <c r="C309" s="20"/>
      <c r="D309" s="342"/>
      <c r="E309" s="387"/>
      <c r="F309" s="388">
        <f t="shared" si="92"/>
        <v>0</v>
      </c>
      <c r="G309" s="390"/>
      <c r="H309" s="341" t="str">
        <f>IF(A309="","",VLOOKUP(A309,VII.A!$A$10:$D$199,4,FALSE))</f>
        <v/>
      </c>
      <c r="I309" s="341" t="str">
        <f t="shared" si="89"/>
        <v/>
      </c>
      <c r="J309" s="341" t="str">
        <f>IF(A309="","",VLOOKUP(A309,VII.A!$A$10:$D$199,3,FALSE))</f>
        <v/>
      </c>
      <c r="K309" s="342" t="str">
        <f t="shared" si="90"/>
        <v/>
      </c>
      <c r="L309" s="380" t="str">
        <f>IF(C309="","",G299*C309)</f>
        <v/>
      </c>
      <c r="M309" s="381" t="str">
        <f>IF(A309="","",VLOOKUP(A309,VII.A!$A$10:$B$199,2,FALSE))</f>
        <v/>
      </c>
      <c r="N309" s="342" t="str">
        <f t="shared" si="91"/>
        <v/>
      </c>
      <c r="R309" s="341"/>
      <c r="S309" s="341"/>
    </row>
    <row r="310" spans="1:21" ht="12.75" customHeight="1">
      <c r="A310" s="385"/>
      <c r="B310" s="386"/>
      <c r="C310" s="20"/>
      <c r="D310" s="342"/>
      <c r="E310" s="387"/>
      <c r="F310" s="388">
        <f t="shared" si="92"/>
        <v>0</v>
      </c>
      <c r="G310" s="391"/>
      <c r="H310" s="341" t="str">
        <f>IF(A310="","",VLOOKUP(A310,VII.A!$A$10:$D$199,4,FALSE))</f>
        <v/>
      </c>
      <c r="I310" s="341" t="str">
        <f t="shared" si="89"/>
        <v/>
      </c>
      <c r="J310" s="341" t="str">
        <f>IF(A310="","",VLOOKUP(A310,VII.A!$A$10:$D$199,3,FALSE))</f>
        <v/>
      </c>
      <c r="K310" s="342" t="str">
        <f t="shared" si="90"/>
        <v/>
      </c>
      <c r="L310" s="380" t="str">
        <f>IF(C310="","",G299*C310)</f>
        <v/>
      </c>
      <c r="M310" s="381" t="str">
        <f>IF(A310="","",VLOOKUP(A310,VII.A!$A$10:$B$199,2,FALSE))</f>
        <v/>
      </c>
      <c r="N310" s="342" t="str">
        <f t="shared" si="91"/>
        <v/>
      </c>
      <c r="R310" s="341"/>
      <c r="S310" s="341"/>
    </row>
    <row r="311" spans="1:21" ht="12.75" customHeight="1">
      <c r="A311" s="385"/>
      <c r="B311" s="386"/>
      <c r="C311" s="20"/>
      <c r="D311" s="342"/>
      <c r="E311" s="387"/>
      <c r="F311" s="388">
        <f t="shared" si="92"/>
        <v>0</v>
      </c>
      <c r="H311" s="341" t="str">
        <f>IF(A311="","",VLOOKUP(A311,VII.A!$A$10:$D$199,4,FALSE))</f>
        <v/>
      </c>
      <c r="I311" s="341" t="str">
        <f t="shared" si="89"/>
        <v/>
      </c>
      <c r="J311" s="341" t="str">
        <f>IF(A311="","",VLOOKUP(A311,VII.A!$A$10:$D$199,3,FALSE))</f>
        <v/>
      </c>
      <c r="K311" s="342" t="str">
        <f t="shared" si="90"/>
        <v/>
      </c>
      <c r="L311" s="380" t="str">
        <f>IF(C311="","",G299*C311)</f>
        <v/>
      </c>
      <c r="M311" s="381" t="str">
        <f>IF(A311="","",VLOOKUP(A311,VII.A!$A$10:$B$199,2,FALSE))</f>
        <v/>
      </c>
      <c r="N311" s="342" t="str">
        <f t="shared" si="91"/>
        <v/>
      </c>
      <c r="R311" s="341"/>
      <c r="S311" s="341"/>
    </row>
    <row r="312" spans="1:21" ht="12.75" customHeight="1">
      <c r="A312" s="385"/>
      <c r="B312" s="386"/>
      <c r="C312" s="20"/>
      <c r="D312" s="392"/>
      <c r="E312" s="387"/>
      <c r="F312" s="388">
        <f t="shared" si="92"/>
        <v>0</v>
      </c>
      <c r="H312" s="341" t="str">
        <f>IF(A312="","",VLOOKUP(A312,VII.A!$A$10:$D$199,4,FALSE))</f>
        <v/>
      </c>
      <c r="I312" s="341" t="str">
        <f t="shared" si="89"/>
        <v/>
      </c>
      <c r="J312" s="341" t="str">
        <f>IF(A312="","",VLOOKUP(A312,VII.A!$A$10:$D$199,3,FALSE))</f>
        <v/>
      </c>
      <c r="K312" s="342" t="str">
        <f t="shared" si="90"/>
        <v/>
      </c>
      <c r="L312" s="380" t="str">
        <f>IF(C312="","",G299*C312)</f>
        <v/>
      </c>
      <c r="M312" s="381" t="str">
        <f>IF(A312="","",VLOOKUP(A312,VII.A!$A$10:$B$199,2,FALSE))</f>
        <v/>
      </c>
      <c r="N312" s="342" t="str">
        <f t="shared" si="91"/>
        <v/>
      </c>
      <c r="R312" s="341"/>
      <c r="S312" s="341"/>
    </row>
    <row r="313" spans="1:21" ht="12.75" customHeight="1">
      <c r="A313" s="385"/>
      <c r="B313" s="386"/>
      <c r="C313" s="20"/>
      <c r="D313" s="392"/>
      <c r="E313" s="387"/>
      <c r="F313" s="388">
        <f t="shared" si="92"/>
        <v>0</v>
      </c>
      <c r="H313" s="341" t="str">
        <f>IF(A313="","",VLOOKUP(A313,VII.A!$A$10:$D$199,4,FALSE))</f>
        <v/>
      </c>
      <c r="I313" s="341" t="str">
        <f t="shared" si="89"/>
        <v/>
      </c>
      <c r="J313" s="341" t="str">
        <f>IF(A313="","",VLOOKUP(A313,VII.A!$A$10:$D$199,3,FALSE))</f>
        <v/>
      </c>
      <c r="K313" s="342" t="str">
        <f t="shared" si="90"/>
        <v/>
      </c>
      <c r="L313" s="380" t="str">
        <f>IF(C313="","",G299*C313)</f>
        <v/>
      </c>
      <c r="M313" s="381" t="str">
        <f>IF(A313="","",VLOOKUP(A313,VII.A!$A$10:$B$199,2,FALSE))</f>
        <v/>
      </c>
      <c r="N313" s="342" t="str">
        <f t="shared" si="91"/>
        <v/>
      </c>
      <c r="O313" s="342"/>
      <c r="R313" s="341"/>
      <c r="S313" s="341"/>
    </row>
    <row r="314" spans="1:21" ht="12.75" customHeight="1">
      <c r="A314" s="385"/>
      <c r="B314" s="386"/>
      <c r="C314" s="20"/>
      <c r="D314" s="392"/>
      <c r="E314" s="387"/>
      <c r="F314" s="388">
        <f t="shared" si="92"/>
        <v>0</v>
      </c>
      <c r="H314" s="341" t="str">
        <f>IF(A314="","",VLOOKUP(A314,VII.A!$A$10:$D$199,4,FALSE))</f>
        <v/>
      </c>
      <c r="I314" s="341" t="str">
        <f t="shared" si="89"/>
        <v/>
      </c>
      <c r="J314" s="341" t="str">
        <f>IF(A314="","",VLOOKUP(A314,VII.A!$A$10:$D$199,3,FALSE))</f>
        <v/>
      </c>
      <c r="K314" s="342" t="str">
        <f t="shared" si="90"/>
        <v/>
      </c>
      <c r="L314" s="380" t="str">
        <f>IF(C314="","",G299*C314)</f>
        <v/>
      </c>
      <c r="M314" s="381" t="str">
        <f>IF(A314="","",VLOOKUP(A314,VII.A!$A$10:$B$199,2,FALSE))</f>
        <v/>
      </c>
      <c r="N314" s="342" t="str">
        <f t="shared" si="91"/>
        <v/>
      </c>
      <c r="R314" s="341"/>
      <c r="S314" s="341"/>
    </row>
    <row r="315" spans="1:21" ht="12.75" customHeight="1">
      <c r="A315" s="393"/>
      <c r="C315" s="20"/>
      <c r="E315" s="387"/>
      <c r="F315" s="388">
        <f t="shared" si="92"/>
        <v>0</v>
      </c>
      <c r="H315" s="341" t="str">
        <f>IF(A315="","",VLOOKUP(A315,VII.A!$A$10:$D$199,4,FALSE))</f>
        <v/>
      </c>
      <c r="I315" s="341" t="str">
        <f t="shared" si="89"/>
        <v/>
      </c>
      <c r="J315" s="341" t="str">
        <f>IF(A315="","",VLOOKUP(A315,VII.A!$A$10:$D$199,3,FALSE))</f>
        <v/>
      </c>
      <c r="K315" s="342" t="str">
        <f t="shared" si="90"/>
        <v/>
      </c>
      <c r="L315" s="380" t="str">
        <f>IF(C315="","",G299*C315)</f>
        <v/>
      </c>
      <c r="M315" s="381" t="str">
        <f>IF(A315="","",VLOOKUP(A315,VII.A!$A$10:$B$199,2,FALSE))</f>
        <v/>
      </c>
      <c r="N315" s="342" t="str">
        <f t="shared" si="91"/>
        <v/>
      </c>
      <c r="R315" s="341"/>
      <c r="S315" s="341"/>
    </row>
    <row r="316" spans="1:21" ht="12.75" customHeight="1">
      <c r="A316" s="393"/>
      <c r="C316" s="20"/>
      <c r="E316" s="387"/>
      <c r="F316" s="388">
        <f t="shared" si="92"/>
        <v>0</v>
      </c>
      <c r="H316" s="341" t="str">
        <f>IF(A316="","",VLOOKUP(A316,VII.A!$A$10:$D$199,4,FALSE))</f>
        <v/>
      </c>
      <c r="I316" s="341" t="str">
        <f t="shared" si="89"/>
        <v/>
      </c>
      <c r="J316" s="341" t="str">
        <f>IF(A316="","",VLOOKUP(A316,VII.A!$A$10:$D$199,3,FALSE))</f>
        <v/>
      </c>
      <c r="K316" s="342" t="str">
        <f t="shared" si="90"/>
        <v/>
      </c>
      <c r="L316" s="380" t="str">
        <f>IF(C316="","",G299*C316)</f>
        <v/>
      </c>
      <c r="M316" s="381" t="str">
        <f>IF(A316="","",VLOOKUP(A316,VII.A!$A$10:$B$199,2,FALSE))</f>
        <v/>
      </c>
      <c r="N316" s="342" t="str">
        <f t="shared" si="91"/>
        <v/>
      </c>
      <c r="R316" s="341"/>
      <c r="S316" s="341"/>
    </row>
    <row r="317" spans="1:21" ht="12.75" customHeight="1">
      <c r="A317" s="393"/>
      <c r="B317" s="395" t="s">
        <v>226</v>
      </c>
      <c r="C317" s="396"/>
      <c r="D317" s="397"/>
      <c r="E317" s="398"/>
      <c r="F317" s="399">
        <f>SUM(F301:F316)</f>
        <v>0</v>
      </c>
      <c r="H317" s="426" t="s">
        <v>749</v>
      </c>
      <c r="J317" s="341"/>
      <c r="L317" s="380"/>
      <c r="M317" s="381"/>
      <c r="N317" s="342"/>
      <c r="R317" s="341"/>
      <c r="S317" s="341"/>
    </row>
    <row r="318" spans="1:21" ht="12.75" customHeight="1">
      <c r="A318" s="393"/>
      <c r="B318" s="400" t="s">
        <v>53</v>
      </c>
      <c r="C318" s="2">
        <f>$D$8</f>
        <v>0</v>
      </c>
      <c r="D318" s="401"/>
      <c r="E318" s="402"/>
      <c r="F318" s="403">
        <f>ROUND(F317*C318,2)</f>
        <v>0</v>
      </c>
      <c r="J318" s="341"/>
      <c r="L318" s="380"/>
      <c r="M318" s="381"/>
      <c r="N318" s="342"/>
      <c r="R318" s="341"/>
      <c r="S318" s="341"/>
    </row>
    <row r="319" spans="1:21" ht="12.75" customHeight="1">
      <c r="A319" s="404"/>
      <c r="B319" s="405" t="s">
        <v>227</v>
      </c>
      <c r="C319" s="406"/>
      <c r="D319" s="406"/>
      <c r="E319" s="407"/>
      <c r="F319" s="408">
        <f>F317+F318</f>
        <v>0</v>
      </c>
      <c r="G319" s="424" t="s">
        <v>871</v>
      </c>
      <c r="J319" s="341"/>
      <c r="L319" s="380"/>
      <c r="M319" s="381"/>
      <c r="N319" s="342"/>
      <c r="R319" s="341"/>
      <c r="S319" s="341"/>
    </row>
    <row r="320" spans="1:21" ht="12.75" customHeight="1">
      <c r="A320" s="374" t="s">
        <v>2</v>
      </c>
      <c r="B320" s="375" t="s">
        <v>235</v>
      </c>
      <c r="C320" s="376" t="s">
        <v>231</v>
      </c>
      <c r="D320" s="376" t="s">
        <v>232</v>
      </c>
      <c r="E320" s="377" t="s">
        <v>233</v>
      </c>
      <c r="F320" s="378" t="s">
        <v>234</v>
      </c>
      <c r="J320" s="341"/>
      <c r="L320" s="380"/>
      <c r="M320" s="381"/>
      <c r="N320" s="342"/>
      <c r="R320" s="341"/>
      <c r="S320" s="341"/>
    </row>
    <row r="321" spans="1:19" ht="12.75" customHeight="1">
      <c r="A321" s="393" t="str">
        <f>VII.A!$A$155</f>
        <v>2.13</v>
      </c>
      <c r="B321" s="394" t="str">
        <f>VII.A!B155</f>
        <v>COMPRESSOR DE AR REBOCÁVEL, VAZÃO 189 PCM, PRESSÃO DE TRABALHO 102 PSI, MOTOR DIESEL, POT. 63 CV - CHP</v>
      </c>
      <c r="C321" s="20">
        <f>ROUND(1.1137*0.1,2)</f>
        <v>0.11</v>
      </c>
      <c r="D321" s="384" t="str">
        <f>VII.A!C155</f>
        <v>CHP</v>
      </c>
      <c r="E321" s="387">
        <f>VII.A!D155</f>
        <v>0</v>
      </c>
      <c r="F321" s="388">
        <f t="shared" ref="F321:F330" si="93">ROUND(C321*E321,2)</f>
        <v>0</v>
      </c>
      <c r="H321" s="341">
        <f>IF(A321="","",VLOOKUP(A321,VII.A!$A$10:$D$199,4,FALSE))</f>
        <v>0</v>
      </c>
      <c r="I321" s="341" t="str">
        <f t="shared" ref="I321:I330" si="94">IF(A321="","",IF(E321=H321,"SIM","NÃO"))</f>
        <v>SIM</v>
      </c>
      <c r="J321" s="341" t="str">
        <f>IF(A321="","",VLOOKUP(A321,VII.A!$A$10:$D$199,3,FALSE))</f>
        <v>CHP</v>
      </c>
      <c r="K321" s="342" t="str">
        <f t="shared" ref="K321:K330" si="95">IF(A321="","",IF(J321=D321,"SIM","NÃO"))</f>
        <v>SIM</v>
      </c>
      <c r="L321" s="380">
        <f>IF(C321="","",G299*C321)</f>
        <v>220</v>
      </c>
      <c r="M321" s="381" t="str">
        <f>IF(A321="","",VLOOKUP(A321,VII.A!$A$10:$B$199,2,FALSE))</f>
        <v>COMPRESSOR DE AR REBOCÁVEL, VAZÃO 189 PCM, PRESSÃO DE TRABALHO 102 PSI, MOTOR DIESEL, POT. 63 CV - CHP</v>
      </c>
      <c r="N321" s="342" t="str">
        <f t="shared" ref="N321:N330" si="96">IF(B321="","",IF(M321=B321,"si","no"))</f>
        <v>si</v>
      </c>
      <c r="R321" s="341"/>
      <c r="S321" s="341"/>
    </row>
    <row r="322" spans="1:19" ht="12.75" customHeight="1">
      <c r="A322" s="393" t="str">
        <f>VII.A!$A$164</f>
        <v>2.22</v>
      </c>
      <c r="B322" s="394" t="str">
        <f>VII.A!B164</f>
        <v>MARTELETE OU ROMPEDOR PNEUMÁTICO MANUAL, 28 KG, COM SILENCIADOR - CHP</v>
      </c>
      <c r="C322" s="20">
        <f>ROUND(1.1137*0.1,2)</f>
        <v>0.11</v>
      </c>
      <c r="D322" s="384" t="str">
        <f>VII.A!C164</f>
        <v>CHP</v>
      </c>
      <c r="E322" s="387">
        <f>VII.A!D164</f>
        <v>0</v>
      </c>
      <c r="F322" s="388">
        <f t="shared" si="93"/>
        <v>0</v>
      </c>
      <c r="H322" s="341">
        <f>IF(A322="","",VLOOKUP(A322,VII.A!$A$10:$D$199,4,FALSE))</f>
        <v>0</v>
      </c>
      <c r="I322" s="341" t="str">
        <f t="shared" si="94"/>
        <v>SIM</v>
      </c>
      <c r="J322" s="341" t="str">
        <f>IF(A322="","",VLOOKUP(A322,VII.A!$A$10:$D$199,3,FALSE))</f>
        <v>CHP</v>
      </c>
      <c r="K322" s="342" t="str">
        <f t="shared" si="95"/>
        <v>SIM</v>
      </c>
      <c r="L322" s="380">
        <f>IF(C322="","",G299*C322)</f>
        <v>220</v>
      </c>
      <c r="M322" s="381" t="str">
        <f>IF(A322="","",VLOOKUP(A322,VII.A!$A$10:$B$199,2,FALSE))</f>
        <v>MARTELETE OU ROMPEDOR PNEUMÁTICO MANUAL, 28 KG, COM SILENCIADOR - CHP</v>
      </c>
      <c r="N322" s="342" t="str">
        <f t="shared" si="96"/>
        <v>si</v>
      </c>
      <c r="R322" s="341"/>
      <c r="S322" s="341"/>
    </row>
    <row r="323" spans="1:19" ht="12.75" customHeight="1">
      <c r="A323" s="393"/>
      <c r="C323" s="20"/>
      <c r="E323" s="387"/>
      <c r="F323" s="388">
        <f t="shared" si="93"/>
        <v>0</v>
      </c>
      <c r="H323" s="341" t="str">
        <f>IF(A323="","",VLOOKUP(A323,VII.A!$A$10:$D$199,4,FALSE))</f>
        <v/>
      </c>
      <c r="I323" s="341" t="str">
        <f t="shared" si="94"/>
        <v/>
      </c>
      <c r="J323" s="341" t="str">
        <f>IF(A323="","",VLOOKUP(A323,VII.A!$A$10:$D$199,3,FALSE))</f>
        <v/>
      </c>
      <c r="K323" s="342" t="str">
        <f t="shared" si="95"/>
        <v/>
      </c>
      <c r="L323" s="380" t="str">
        <f>IF(C323="","",G299*C323)</f>
        <v/>
      </c>
      <c r="M323" s="381" t="str">
        <f>IF(A323="","",VLOOKUP(A323,VII.A!$A$10:$B$199,2,FALSE))</f>
        <v/>
      </c>
      <c r="N323" s="342" t="str">
        <f t="shared" si="96"/>
        <v/>
      </c>
      <c r="R323" s="341"/>
      <c r="S323" s="341"/>
    </row>
    <row r="324" spans="1:19" ht="12.75" customHeight="1">
      <c r="A324" s="393"/>
      <c r="C324" s="20"/>
      <c r="E324" s="387"/>
      <c r="F324" s="388">
        <f t="shared" si="93"/>
        <v>0</v>
      </c>
      <c r="G324" s="390"/>
      <c r="H324" s="341" t="str">
        <f>IF(A324="","",VLOOKUP(A324,VII.A!$A$10:$D$199,4,FALSE))</f>
        <v/>
      </c>
      <c r="I324" s="341" t="str">
        <f t="shared" si="94"/>
        <v/>
      </c>
      <c r="J324" s="341" t="str">
        <f>IF(A324="","",VLOOKUP(A324,VII.A!$A$10:$D$199,3,FALSE))</f>
        <v/>
      </c>
      <c r="K324" s="342" t="str">
        <f t="shared" si="95"/>
        <v/>
      </c>
      <c r="L324" s="380" t="str">
        <f>IF(C324="","",G299*C324)</f>
        <v/>
      </c>
      <c r="M324" s="381" t="str">
        <f>IF(A324="","",VLOOKUP(A324,VII.A!$A$10:$B$199,2,FALSE))</f>
        <v/>
      </c>
      <c r="N324" s="342" t="str">
        <f t="shared" si="96"/>
        <v/>
      </c>
      <c r="R324" s="341"/>
      <c r="S324" s="341"/>
    </row>
    <row r="325" spans="1:19" ht="12.75" customHeight="1">
      <c r="A325" s="393"/>
      <c r="C325" s="20"/>
      <c r="E325" s="387"/>
      <c r="F325" s="388">
        <f t="shared" si="93"/>
        <v>0</v>
      </c>
      <c r="G325" s="391"/>
      <c r="H325" s="341" t="str">
        <f>IF(A325="","",VLOOKUP(A325,VII.A!$A$10:$D$199,4,FALSE))</f>
        <v/>
      </c>
      <c r="I325" s="341" t="str">
        <f t="shared" si="94"/>
        <v/>
      </c>
      <c r="J325" s="341" t="str">
        <f>IF(A325="","",VLOOKUP(A325,VII.A!$A$10:$D$199,3,FALSE))</f>
        <v/>
      </c>
      <c r="K325" s="342" t="str">
        <f t="shared" si="95"/>
        <v/>
      </c>
      <c r="L325" s="380" t="str">
        <f>IF(C325="","",G299*C325)</f>
        <v/>
      </c>
      <c r="M325" s="381" t="str">
        <f>IF(A325="","",VLOOKUP(A325,VII.A!$A$10:$B$199,2,FALSE))</f>
        <v/>
      </c>
      <c r="N325" s="342" t="str">
        <f t="shared" si="96"/>
        <v/>
      </c>
      <c r="R325" s="341"/>
      <c r="S325" s="341"/>
    </row>
    <row r="326" spans="1:19" ht="12.75" customHeight="1">
      <c r="A326" s="393"/>
      <c r="C326" s="20"/>
      <c r="E326" s="387"/>
      <c r="F326" s="388">
        <f>ROUND(C326*E326,2)</f>
        <v>0</v>
      </c>
      <c r="H326" s="341" t="str">
        <f>IF(A326="","",VLOOKUP(A326,VII.A!$A$10:$D$199,4,FALSE))</f>
        <v/>
      </c>
      <c r="I326" s="341" t="str">
        <f>IF(A326="","",IF(E326=H326,"SIM","NÃO"))</f>
        <v/>
      </c>
      <c r="J326" s="341" t="str">
        <f>IF(A326="","",VLOOKUP(A326,VII.A!$A$10:$D$199,3,FALSE))</f>
        <v/>
      </c>
      <c r="K326" s="342" t="str">
        <f>IF(A326="","",IF(J326=D326,"SIM","NÃO"))</f>
        <v/>
      </c>
      <c r="L326" s="380" t="str">
        <f>IF(C326="","",G298*C326)</f>
        <v/>
      </c>
      <c r="M326" s="381" t="str">
        <f>IF(A326="","",VLOOKUP(A326,VII.A!$A$10:$B$199,2,FALSE))</f>
        <v/>
      </c>
      <c r="N326" s="342" t="str">
        <f>IF(B326="","",IF(M326=B326,"si","no"))</f>
        <v/>
      </c>
      <c r="R326" s="341"/>
      <c r="S326" s="341"/>
    </row>
    <row r="327" spans="1:19" ht="12.75" customHeight="1">
      <c r="A327" s="393"/>
      <c r="C327" s="20"/>
      <c r="E327" s="387"/>
      <c r="F327" s="388">
        <f t="shared" si="93"/>
        <v>0</v>
      </c>
      <c r="H327" s="341" t="str">
        <f>IF(A327="","",VLOOKUP(A327,VII.A!$A$10:$D$199,4,FALSE))</f>
        <v/>
      </c>
      <c r="I327" s="341" t="str">
        <f t="shared" si="94"/>
        <v/>
      </c>
      <c r="J327" s="341" t="str">
        <f>IF(A327="","",VLOOKUP(A327,VII.A!$A$10:$D$199,3,FALSE))</f>
        <v/>
      </c>
      <c r="K327" s="342" t="str">
        <f t="shared" si="95"/>
        <v/>
      </c>
      <c r="L327" s="380" t="str">
        <f>IF(C327="","",G299*C327)</f>
        <v/>
      </c>
      <c r="M327" s="381" t="str">
        <f>IF(A327="","",VLOOKUP(A327,VII.A!$A$10:$B$199,2,FALSE))</f>
        <v/>
      </c>
      <c r="N327" s="342" t="str">
        <f t="shared" si="96"/>
        <v/>
      </c>
      <c r="R327" s="341"/>
      <c r="S327" s="341"/>
    </row>
    <row r="328" spans="1:19" ht="12.75" customHeight="1">
      <c r="A328" s="393"/>
      <c r="C328" s="20"/>
      <c r="E328" s="387"/>
      <c r="F328" s="388">
        <f t="shared" si="93"/>
        <v>0</v>
      </c>
      <c r="H328" s="341" t="str">
        <f>IF(A328="","",VLOOKUP(A328,VII.A!$A$10:$D$199,4,FALSE))</f>
        <v/>
      </c>
      <c r="I328" s="341" t="str">
        <f t="shared" si="94"/>
        <v/>
      </c>
      <c r="J328" s="341" t="str">
        <f>IF(A328="","",VLOOKUP(A328,VII.A!$A$10:$D$199,3,FALSE))</f>
        <v/>
      </c>
      <c r="K328" s="342" t="str">
        <f t="shared" si="95"/>
        <v/>
      </c>
      <c r="L328" s="380" t="str">
        <f>IF(C328="","",G299*C328)</f>
        <v/>
      </c>
      <c r="M328" s="381" t="str">
        <f>IF(A328="","",VLOOKUP(A328,VII.A!$A$10:$B$199,2,FALSE))</f>
        <v/>
      </c>
      <c r="N328" s="342" t="str">
        <f t="shared" si="96"/>
        <v/>
      </c>
      <c r="R328" s="341"/>
      <c r="S328" s="341"/>
    </row>
    <row r="329" spans="1:19" ht="12.75" customHeight="1">
      <c r="A329" s="393"/>
      <c r="C329" s="20"/>
      <c r="E329" s="387"/>
      <c r="F329" s="388">
        <f t="shared" si="93"/>
        <v>0</v>
      </c>
      <c r="H329" s="341" t="str">
        <f>IF(A329="","",VLOOKUP(A329,VII.A!$A$10:$D$199,4,FALSE))</f>
        <v/>
      </c>
      <c r="I329" s="341" t="str">
        <f t="shared" si="94"/>
        <v/>
      </c>
      <c r="J329" s="341" t="str">
        <f>IF(A329="","",VLOOKUP(A329,VII.A!$A$10:$D$199,3,FALSE))</f>
        <v/>
      </c>
      <c r="K329" s="342" t="str">
        <f t="shared" si="95"/>
        <v/>
      </c>
      <c r="L329" s="380" t="str">
        <f>IF(C329="","",G299*C329)</f>
        <v/>
      </c>
      <c r="M329" s="381" t="str">
        <f>IF(A329="","",VLOOKUP(A329,VII.A!$A$10:$B$199,2,FALSE))</f>
        <v/>
      </c>
      <c r="N329" s="342" t="str">
        <f t="shared" si="96"/>
        <v/>
      </c>
      <c r="R329" s="341"/>
      <c r="S329" s="341"/>
    </row>
    <row r="330" spans="1:19" ht="12.75" customHeight="1">
      <c r="A330" s="393"/>
      <c r="C330" s="20"/>
      <c r="E330" s="387"/>
      <c r="F330" s="388">
        <f t="shared" si="93"/>
        <v>0</v>
      </c>
      <c r="H330" s="341" t="str">
        <f>IF(A330="","",VLOOKUP(A330,VII.A!$A$10:$D$199,4,FALSE))</f>
        <v/>
      </c>
      <c r="I330" s="341" t="str">
        <f t="shared" si="94"/>
        <v/>
      </c>
      <c r="J330" s="341" t="str">
        <f>IF(A330="","",VLOOKUP(A330,VII.A!$A$10:$D$199,3,FALSE))</f>
        <v/>
      </c>
      <c r="K330" s="342" t="str">
        <f t="shared" si="95"/>
        <v/>
      </c>
      <c r="L330" s="380" t="str">
        <f>IF(C330="","",G299*C330)</f>
        <v/>
      </c>
      <c r="M330" s="381" t="str">
        <f>IF(A330="","",VLOOKUP(A330,VII.A!$A$10:$B$199,2,FALSE))</f>
        <v/>
      </c>
      <c r="N330" s="342" t="str">
        <f t="shared" si="96"/>
        <v/>
      </c>
      <c r="R330" s="341"/>
      <c r="S330" s="341"/>
    </row>
    <row r="331" spans="1:19" ht="12.75" customHeight="1">
      <c r="A331" s="393"/>
      <c r="B331" s="395" t="s">
        <v>226</v>
      </c>
      <c r="C331" s="396"/>
      <c r="D331" s="397"/>
      <c r="E331" s="398"/>
      <c r="F331" s="399">
        <f>SUM(F321:F330)</f>
        <v>0</v>
      </c>
      <c r="J331" s="341"/>
      <c r="L331" s="380"/>
      <c r="M331" s="381"/>
      <c r="N331" s="342"/>
      <c r="R331" s="341"/>
      <c r="S331" s="341"/>
    </row>
    <row r="332" spans="1:19" ht="12.75" customHeight="1">
      <c r="A332" s="393"/>
      <c r="B332" s="400" t="s">
        <v>53</v>
      </c>
      <c r="C332" s="2">
        <f>$D$8</f>
        <v>0</v>
      </c>
      <c r="D332" s="401"/>
      <c r="E332" s="402"/>
      <c r="F332" s="403">
        <f>ROUND(C332*F331,2)</f>
        <v>0</v>
      </c>
      <c r="J332" s="341"/>
      <c r="L332" s="380"/>
      <c r="M332" s="381"/>
      <c r="N332" s="342"/>
      <c r="R332" s="341"/>
      <c r="S332" s="341"/>
    </row>
    <row r="333" spans="1:19" ht="12.75" customHeight="1">
      <c r="A333" s="404"/>
      <c r="B333" s="405" t="s">
        <v>228</v>
      </c>
      <c r="C333" s="406"/>
      <c r="D333" s="406"/>
      <c r="E333" s="407"/>
      <c r="F333" s="408">
        <f>F331+F332</f>
        <v>0</v>
      </c>
      <c r="J333" s="341"/>
      <c r="L333" s="380"/>
      <c r="M333" s="381"/>
      <c r="N333" s="342"/>
      <c r="R333" s="341"/>
      <c r="S333" s="341"/>
    </row>
    <row r="334" spans="1:19" ht="12.75" customHeight="1">
      <c r="A334" s="409" t="s">
        <v>47</v>
      </c>
      <c r="B334" s="410" t="s">
        <v>236</v>
      </c>
      <c r="C334" s="411" t="s">
        <v>231</v>
      </c>
      <c r="D334" s="412" t="s">
        <v>232</v>
      </c>
      <c r="E334" s="413" t="s">
        <v>233</v>
      </c>
      <c r="F334" s="378" t="s">
        <v>234</v>
      </c>
      <c r="J334" s="341"/>
      <c r="L334" s="380"/>
      <c r="M334" s="381"/>
      <c r="N334" s="342"/>
      <c r="R334" s="341"/>
      <c r="S334" s="341"/>
    </row>
    <row r="335" spans="1:19" ht="12.75" customHeight="1">
      <c r="A335" s="393" t="str">
        <f>VII.A!$A$196</f>
        <v>3.16</v>
      </c>
      <c r="B335" s="394" t="s">
        <v>157</v>
      </c>
      <c r="C335" s="20">
        <f>ROUND(0.4479*0.1,2)</f>
        <v>0.04</v>
      </c>
      <c r="D335" s="384" t="str">
        <f>VLOOKUP(A335,VII.A!$A$10:$G$199,3,FALSE)</f>
        <v>H</v>
      </c>
      <c r="E335" s="387">
        <f>VII.A!D196</f>
        <v>0</v>
      </c>
      <c r="F335" s="388">
        <f t="shared" ref="F335:F341" si="97">ROUND(C335*E335,2)</f>
        <v>0</v>
      </c>
      <c r="H335" s="341">
        <f>IF(A335="","",VLOOKUP(A335,VII.A!$A$10:$D$199,4,FALSE))</f>
        <v>0</v>
      </c>
      <c r="I335" s="341" t="str">
        <f t="shared" ref="I335:I341" si="98">IF(A335="","",IF(E335=H335,"SIM","NÃO"))</f>
        <v>SIM</v>
      </c>
      <c r="J335" s="341" t="str">
        <f>IF(A335="","",VLOOKUP(A335,VII.A!$A$10:$D$199,3,FALSE))</f>
        <v>H</v>
      </c>
      <c r="K335" s="342" t="str">
        <f t="shared" ref="K335:K341" si="99">IF(A335="","",IF(J335=D335,"SIM","NÃO"))</f>
        <v>SIM</v>
      </c>
      <c r="L335" s="380">
        <f>IF(C335="","",G299*C335)</f>
        <v>80</v>
      </c>
      <c r="M335" s="381" t="str">
        <f>IF(A335="","",VLOOKUP(A335,VII.A!$A$10:$B$199,2,FALSE))</f>
        <v>SERVENTE COM ENCARGOS COMPLEMENTARES</v>
      </c>
      <c r="N335" s="342" t="str">
        <f t="shared" ref="N335:N341" si="100">IF(B335="","",IF(M335=B335,"si","no"))</f>
        <v>si</v>
      </c>
      <c r="R335" s="341"/>
      <c r="S335" s="341"/>
    </row>
    <row r="336" spans="1:19" ht="12.75" customHeight="1">
      <c r="A336" s="393" t="str">
        <f>VII.A!$A$192</f>
        <v>3.12</v>
      </c>
      <c r="B336" s="394" t="s">
        <v>153</v>
      </c>
      <c r="C336" s="20">
        <f>ROUND(0.0722*0.1,2)</f>
        <v>0.01</v>
      </c>
      <c r="D336" s="384" t="str">
        <f>VLOOKUP(A336,VII.A!$A$10:$G$199,3,FALSE)</f>
        <v>H</v>
      </c>
      <c r="E336" s="387">
        <f>VII.A!D192</f>
        <v>0</v>
      </c>
      <c r="F336" s="388">
        <f t="shared" si="97"/>
        <v>0</v>
      </c>
      <c r="H336" s="341">
        <f>IF(A336="","",VLOOKUP(A336,VII.A!$A$10:$D$199,4,FALSE))</f>
        <v>0</v>
      </c>
      <c r="I336" s="341" t="str">
        <f t="shared" si="98"/>
        <v>SIM</v>
      </c>
      <c r="J336" s="341" t="str">
        <f>IF(A336="","",VLOOKUP(A336,VII.A!$A$10:$D$199,3,FALSE))</f>
        <v>H</v>
      </c>
      <c r="K336" s="342" t="str">
        <f t="shared" si="99"/>
        <v>SIM</v>
      </c>
      <c r="L336" s="380">
        <f>IF(C336="","",G299*C336)</f>
        <v>20</v>
      </c>
      <c r="M336" s="381" t="str">
        <f>IF(A336="","",VLOOKUP(A336,VII.A!$A$10:$B$199,2,FALSE))</f>
        <v>PEDREIRO COM ENCARGOS COMPLEMENTARES</v>
      </c>
      <c r="N336" s="342" t="str">
        <f t="shared" si="100"/>
        <v>si</v>
      </c>
      <c r="R336" s="341"/>
      <c r="S336" s="341"/>
    </row>
    <row r="337" spans="1:25" ht="12.75" customHeight="1">
      <c r="A337" s="393"/>
      <c r="C337" s="20"/>
      <c r="E337" s="387"/>
      <c r="F337" s="388">
        <f t="shared" si="97"/>
        <v>0</v>
      </c>
      <c r="H337" s="341" t="str">
        <f>IF(A337="","",VLOOKUP(A337,VII.A!$A$10:$D$199,4,FALSE))</f>
        <v/>
      </c>
      <c r="I337" s="341" t="str">
        <f t="shared" si="98"/>
        <v/>
      </c>
      <c r="J337" s="341" t="str">
        <f>IF(A337="","",VLOOKUP(A337,VII.A!$A$10:$D$199,3,FALSE))</f>
        <v/>
      </c>
      <c r="K337" s="342" t="str">
        <f t="shared" si="99"/>
        <v/>
      </c>
      <c r="L337" s="380" t="str">
        <f>IF(C337="","",G299*C337)</f>
        <v/>
      </c>
      <c r="M337" s="381" t="str">
        <f>IF(A337="","",VLOOKUP(A337,VII.A!$A$10:$B$199,2,FALSE))</f>
        <v/>
      </c>
      <c r="N337" s="342" t="str">
        <f t="shared" si="100"/>
        <v/>
      </c>
      <c r="R337" s="341"/>
      <c r="S337" s="341"/>
    </row>
    <row r="338" spans="1:25" ht="12.75" customHeight="1">
      <c r="A338" s="393"/>
      <c r="C338" s="20"/>
      <c r="E338" s="387"/>
      <c r="F338" s="388">
        <f t="shared" si="97"/>
        <v>0</v>
      </c>
      <c r="H338" s="341" t="str">
        <f>IF(A338="","",VLOOKUP(A338,VII.A!$A$10:$D$199,4,FALSE))</f>
        <v/>
      </c>
      <c r="I338" s="341" t="str">
        <f t="shared" si="98"/>
        <v/>
      </c>
      <c r="J338" s="341" t="str">
        <f>IF(A338="","",VLOOKUP(A338,VII.A!$A$10:$D$199,3,FALSE))</f>
        <v/>
      </c>
      <c r="K338" s="342" t="str">
        <f t="shared" si="99"/>
        <v/>
      </c>
      <c r="L338" s="380" t="str">
        <f>IF(C338="","",G299*C338)</f>
        <v/>
      </c>
      <c r="M338" s="381" t="str">
        <f>IF(A338="","",VLOOKUP(A338,VII.A!$A$10:$B$199,2,FALSE))</f>
        <v/>
      </c>
      <c r="N338" s="342" t="str">
        <f t="shared" si="100"/>
        <v/>
      </c>
      <c r="R338" s="341"/>
      <c r="S338" s="341"/>
    </row>
    <row r="339" spans="1:25" ht="12.75" customHeight="1">
      <c r="A339" s="393"/>
      <c r="C339" s="20"/>
      <c r="E339" s="387"/>
      <c r="F339" s="388">
        <f t="shared" si="97"/>
        <v>0</v>
      </c>
      <c r="H339" s="341" t="str">
        <f>IF(A339="","",VLOOKUP(A339,VII.A!$A$10:$D$199,4,FALSE))</f>
        <v/>
      </c>
      <c r="I339" s="341" t="str">
        <f t="shared" si="98"/>
        <v/>
      </c>
      <c r="J339" s="341" t="str">
        <f>IF(A339="","",VLOOKUP(A339,VII.A!$A$10:$D$199,3,FALSE))</f>
        <v/>
      </c>
      <c r="K339" s="342" t="str">
        <f t="shared" si="99"/>
        <v/>
      </c>
      <c r="L339" s="380" t="str">
        <f>IF(C339="","",G299*C339)</f>
        <v/>
      </c>
      <c r="M339" s="381" t="str">
        <f>IF(A339="","",VLOOKUP(A339,VII.A!$A$10:$B$199,2,FALSE))</f>
        <v/>
      </c>
      <c r="N339" s="342" t="str">
        <f t="shared" si="100"/>
        <v/>
      </c>
      <c r="R339" s="341"/>
      <c r="S339" s="341"/>
    </row>
    <row r="340" spans="1:25" ht="12.75" customHeight="1">
      <c r="A340" s="393"/>
      <c r="C340" s="20"/>
      <c r="E340" s="387"/>
      <c r="F340" s="388">
        <f t="shared" si="97"/>
        <v>0</v>
      </c>
      <c r="H340" s="341" t="str">
        <f>IF(A340="","",VLOOKUP(A340,VII.A!$A$10:$D$199,4,FALSE))</f>
        <v/>
      </c>
      <c r="I340" s="341" t="str">
        <f t="shared" si="98"/>
        <v/>
      </c>
      <c r="J340" s="341" t="str">
        <f>IF(A340="","",VLOOKUP(A340,VII.A!$A$10:$D$199,3,FALSE))</f>
        <v/>
      </c>
      <c r="K340" s="342" t="str">
        <f t="shared" si="99"/>
        <v/>
      </c>
      <c r="L340" s="380" t="str">
        <f>IF(C340="","",G299*C340)</f>
        <v/>
      </c>
      <c r="M340" s="381" t="str">
        <f>IF(A340="","",VLOOKUP(A340,VII.A!$A$10:$B$199,2,FALSE))</f>
        <v/>
      </c>
      <c r="N340" s="342" t="str">
        <f t="shared" si="100"/>
        <v/>
      </c>
      <c r="R340" s="341"/>
      <c r="S340" s="341"/>
    </row>
    <row r="341" spans="1:25" ht="12.75" customHeight="1">
      <c r="A341" s="393"/>
      <c r="C341" s="20"/>
      <c r="E341" s="387"/>
      <c r="F341" s="388">
        <f t="shared" si="97"/>
        <v>0</v>
      </c>
      <c r="H341" s="341" t="str">
        <f>IF(A341="","",VLOOKUP(A341,VII.A!$A$10:$D$199,4,FALSE))</f>
        <v/>
      </c>
      <c r="I341" s="341" t="str">
        <f t="shared" si="98"/>
        <v/>
      </c>
      <c r="J341" s="341" t="str">
        <f>IF(A341="","",VLOOKUP(A341,VII.A!$A$10:$D$199,3,FALSE))</f>
        <v/>
      </c>
      <c r="K341" s="342" t="str">
        <f t="shared" si="99"/>
        <v/>
      </c>
      <c r="L341" s="380" t="str">
        <f>IF(C341="","",G299*C341)</f>
        <v/>
      </c>
      <c r="M341" s="381" t="str">
        <f>IF(A341="","",VLOOKUP(A341,VII.A!$A$10:$B$199,2,FALSE))</f>
        <v/>
      </c>
      <c r="N341" s="342" t="str">
        <f t="shared" si="100"/>
        <v/>
      </c>
      <c r="R341" s="341"/>
      <c r="S341" s="341"/>
    </row>
    <row r="342" spans="1:25" ht="12.75" customHeight="1">
      <c r="A342" s="393"/>
      <c r="B342" s="395" t="s">
        <v>226</v>
      </c>
      <c r="C342" s="396"/>
      <c r="D342" s="397"/>
      <c r="E342" s="398"/>
      <c r="F342" s="399">
        <f>SUM(F335:F341)</f>
        <v>0</v>
      </c>
      <c r="J342" s="341"/>
      <c r="L342" s="380"/>
      <c r="M342" s="381"/>
      <c r="N342" s="342"/>
      <c r="R342" s="341"/>
      <c r="S342" s="341"/>
    </row>
    <row r="343" spans="1:25" ht="12.75" customHeight="1">
      <c r="A343" s="393"/>
      <c r="B343" s="400" t="s">
        <v>229</v>
      </c>
      <c r="C343" s="2">
        <f>IX.A!$C$45</f>
        <v>0</v>
      </c>
      <c r="D343" s="401"/>
      <c r="E343" s="402"/>
      <c r="F343" s="403">
        <f>ROUND(F342*C343,2)</f>
        <v>0</v>
      </c>
      <c r="J343" s="341"/>
      <c r="L343" s="380"/>
      <c r="M343" s="381"/>
      <c r="N343" s="342"/>
      <c r="R343" s="341"/>
      <c r="S343" s="341"/>
    </row>
    <row r="344" spans="1:25" ht="12.75" customHeight="1">
      <c r="A344" s="393"/>
      <c r="B344" s="400" t="s">
        <v>53</v>
      </c>
      <c r="C344" s="2">
        <f>$D$8</f>
        <v>0</v>
      </c>
      <c r="D344" s="401"/>
      <c r="E344" s="402"/>
      <c r="F344" s="403">
        <f>ROUND(SUM(F342:F343)*C344,2)</f>
        <v>0</v>
      </c>
      <c r="J344" s="341"/>
      <c r="L344" s="380"/>
      <c r="M344" s="381"/>
      <c r="N344" s="342"/>
      <c r="R344" s="341"/>
      <c r="S344" s="341"/>
    </row>
    <row r="345" spans="1:25" ht="12.75" customHeight="1" thickBot="1">
      <c r="A345" s="414"/>
      <c r="B345" s="415" t="s">
        <v>230</v>
      </c>
      <c r="C345" s="416"/>
      <c r="D345" s="416"/>
      <c r="E345" s="417"/>
      <c r="F345" s="418">
        <f>SUM(F342:F344)</f>
        <v>0</v>
      </c>
      <c r="J345" s="341"/>
      <c r="L345" s="380"/>
      <c r="M345" s="381"/>
      <c r="N345" s="342"/>
      <c r="R345" s="341"/>
      <c r="S345" s="341"/>
    </row>
    <row r="346" spans="1:25" ht="12.75" customHeight="1" thickBot="1">
      <c r="A346" s="357"/>
      <c r="B346" s="358"/>
      <c r="C346" s="359"/>
      <c r="D346" s="359"/>
      <c r="E346" s="360"/>
      <c r="F346" s="419"/>
      <c r="J346" s="341"/>
      <c r="L346" s="380"/>
      <c r="M346" s="381"/>
      <c r="N346" s="342"/>
      <c r="R346" s="341"/>
      <c r="S346" s="341"/>
    </row>
    <row r="347" spans="1:25" ht="30" customHeight="1">
      <c r="A347" s="370" t="str">
        <f>IV.A!$A$27</f>
        <v>2.1.3</v>
      </c>
      <c r="B347" s="371" t="str">
        <f>IV.A!$B$27</f>
        <v>REMOÇÃO MANUAL DE GUIAS EM CONCRETO, COM OU SEM REAPROVEITAMENTO</v>
      </c>
      <c r="C347" s="871" t="s">
        <v>237</v>
      </c>
      <c r="D347" s="872"/>
      <c r="E347" s="372" t="str">
        <f>IV.A!$C$27</f>
        <v>M</v>
      </c>
      <c r="F347" s="11">
        <f>ROUND(F367+F381+F393,2)</f>
        <v>0</v>
      </c>
      <c r="G347" s="1">
        <f>VLOOKUP(A347,IV.A!$A$16:$L$172,4,FALSE)</f>
        <v>1200</v>
      </c>
      <c r="H347" s="361">
        <f>SUM(F349:F364)+F366</f>
        <v>0</v>
      </c>
      <c r="I347" s="361">
        <f>SUM(F369:F378)+F380</f>
        <v>0</v>
      </c>
      <c r="J347" s="361">
        <f>SUM(F383:F389)+F391+F392</f>
        <v>0</v>
      </c>
      <c r="K347" s="361">
        <f>SUM(H347:J347)</f>
        <v>0</v>
      </c>
      <c r="L347" s="362" t="str">
        <f>IF(K347=F347,"SIM","NÃO")</f>
        <v>SIM</v>
      </c>
      <c r="M347" s="373">
        <f>ROUND(SUM(F349:F364),2)+ROUND(SUM(F349:F364)*C366,2)+ROUND(SUM(F369:F378)*C380,2)+ROUND(SUM(F369:F378),2)+ROUND(SUM(F383:F389)*C391,2)+ROUND((SUM(F383:F389)+ROUND(SUM(F383:F389)*C391,2))*C392,2)+ROUND(SUM(F383:F389),2)</f>
        <v>0</v>
      </c>
      <c r="N347" s="343" t="str">
        <f>IF(M347=F347,"SIM","NÃO")</f>
        <v>SIM</v>
      </c>
      <c r="O347" s="364" t="str">
        <f>VLOOKUP(A347,IV.A!$A$16:$E$172,3,FALSE)</f>
        <v>M</v>
      </c>
      <c r="P347" s="344" t="str">
        <f>IF(O347=E347,"SIM","NÃO")</f>
        <v>SIM</v>
      </c>
      <c r="Q347" s="365">
        <f>ROUND(G347*F367,2)+ROUND(G347*F381,2)+ROUND(G347*F393,2)</f>
        <v>0</v>
      </c>
      <c r="R347" s="364">
        <f>VLOOKUP(A347,IV.A!$A$16:$L$172,12,FALSE)</f>
        <v>0</v>
      </c>
      <c r="S347" s="366" t="str">
        <f>IF(Q347=R347,"si","no")</f>
        <v>si</v>
      </c>
      <c r="T347" s="367">
        <f>SUM(L349:L364)+SUM(L369:L378)+SUM(L383:L389)</f>
        <v>480</v>
      </c>
      <c r="U347" s="341">
        <f>(SUM(C349:C364)+SUM(C369:C378)+SUM(C383:C389))*G347</f>
        <v>480</v>
      </c>
      <c r="V347" s="368" t="str">
        <f>IF(T347=U347,"si","no")</f>
        <v>si</v>
      </c>
      <c r="W347" s="369">
        <f>SUM(F349:F364)</f>
        <v>0</v>
      </c>
      <c r="X347" s="369">
        <f>SUM(F369:F378)</f>
        <v>0</v>
      </c>
      <c r="Y347" s="369">
        <f>SUM(F383:F389)</f>
        <v>0</v>
      </c>
    </row>
    <row r="348" spans="1:25" ht="12.75" customHeight="1">
      <c r="A348" s="374" t="s">
        <v>14</v>
      </c>
      <c r="B348" s="375" t="s">
        <v>132</v>
      </c>
      <c r="C348" s="376" t="s">
        <v>231</v>
      </c>
      <c r="D348" s="376" t="s">
        <v>232</v>
      </c>
      <c r="E348" s="377" t="s">
        <v>233</v>
      </c>
      <c r="F348" s="378" t="s">
        <v>234</v>
      </c>
      <c r="G348" s="379"/>
      <c r="J348" s="341"/>
      <c r="L348" s="380"/>
      <c r="M348" s="381"/>
      <c r="N348" s="342"/>
      <c r="O348" s="382"/>
      <c r="P348" s="383"/>
      <c r="Q348" s="383"/>
      <c r="R348" s="383"/>
      <c r="S348" s="383"/>
      <c r="T348" s="382"/>
      <c r="U348" s="341"/>
      <c r="V348" s="384"/>
      <c r="W348" s="384"/>
      <c r="X348" s="384"/>
      <c r="Y348" s="384"/>
    </row>
    <row r="349" spans="1:25" ht="12.75" customHeight="1">
      <c r="A349" s="385"/>
      <c r="B349" s="386"/>
      <c r="C349" s="20"/>
      <c r="D349" s="342"/>
      <c r="E349" s="387"/>
      <c r="F349" s="388">
        <f>ROUND(C349*E349,2)</f>
        <v>0</v>
      </c>
      <c r="H349" s="341" t="str">
        <f>IF(A349="","",VLOOKUP(A349,VII.A!$A$10:$D$199,4,FALSE))</f>
        <v/>
      </c>
      <c r="I349" s="341" t="str">
        <f t="shared" ref="I349:I364" si="101">IF(A349="","",IF(E349=H349,"SIM","NÃO"))</f>
        <v/>
      </c>
      <c r="J349" s="341" t="str">
        <f>IF(A349="","",VLOOKUP(A349,VII.A!$A$10:$D$199,3,FALSE))</f>
        <v/>
      </c>
      <c r="K349" s="342" t="str">
        <f t="shared" ref="K349:K364" si="102">IF(A349="","",IF(J349=D349,"SIM","NÃO"))</f>
        <v/>
      </c>
      <c r="L349" s="380" t="str">
        <f>IF(C349="","",G347*C349)</f>
        <v/>
      </c>
      <c r="M349" s="381" t="str">
        <f>IF(A349="","",VLOOKUP(A349,VII.A!$A$10:$B$199,2,FALSE))</f>
        <v/>
      </c>
      <c r="N349" s="342" t="str">
        <f t="shared" ref="N349:N364" si="103">IF(B349="","",IF(M349=B349,"si","no"))</f>
        <v/>
      </c>
      <c r="R349" s="341"/>
      <c r="S349" s="341"/>
    </row>
    <row r="350" spans="1:25" ht="12.75" customHeight="1">
      <c r="A350" s="385"/>
      <c r="B350" s="386"/>
      <c r="C350" s="20"/>
      <c r="D350" s="342"/>
      <c r="E350" s="387"/>
      <c r="F350" s="388">
        <f t="shared" ref="F350:F364" si="104">ROUND(C350*E350,2)</f>
        <v>0</v>
      </c>
      <c r="H350" s="341" t="str">
        <f>IF(A350="","",VLOOKUP(A350,VII.A!$A$10:$D$199,4,FALSE))</f>
        <v/>
      </c>
      <c r="I350" s="341" t="str">
        <f t="shared" si="101"/>
        <v/>
      </c>
      <c r="J350" s="341" t="str">
        <f>IF(A350="","",VLOOKUP(A350,VII.A!$A$10:$D$199,3,FALSE))</f>
        <v/>
      </c>
      <c r="K350" s="342" t="str">
        <f t="shared" si="102"/>
        <v/>
      </c>
      <c r="L350" s="380" t="str">
        <f>IF(C350="","",G347*C350)</f>
        <v/>
      </c>
      <c r="M350" s="381" t="str">
        <f>IF(A350="","",VLOOKUP(A350,VII.A!$A$10:$B$199,2,FALSE))</f>
        <v/>
      </c>
      <c r="N350" s="342" t="str">
        <f t="shared" si="103"/>
        <v/>
      </c>
      <c r="R350" s="341"/>
      <c r="S350" s="341"/>
    </row>
    <row r="351" spans="1:25" ht="12.75" customHeight="1">
      <c r="A351" s="385"/>
      <c r="B351" s="386"/>
      <c r="C351" s="20"/>
      <c r="D351" s="342"/>
      <c r="E351" s="387"/>
      <c r="F351" s="388">
        <f t="shared" si="104"/>
        <v>0</v>
      </c>
      <c r="H351" s="341" t="str">
        <f>IF(A351="","",VLOOKUP(A351,VII.A!$A$10:$D$199,4,FALSE))</f>
        <v/>
      </c>
      <c r="I351" s="341" t="str">
        <f t="shared" si="101"/>
        <v/>
      </c>
      <c r="J351" s="341" t="str">
        <f>IF(A351="","",VLOOKUP(A351,VII.A!$A$10:$D$199,3,FALSE))</f>
        <v/>
      </c>
      <c r="K351" s="342" t="str">
        <f t="shared" si="102"/>
        <v/>
      </c>
      <c r="L351" s="380" t="str">
        <f>IF(C351="","",G347*C351)</f>
        <v/>
      </c>
      <c r="M351" s="381" t="str">
        <f>IF(A351="","",VLOOKUP(A351,VII.A!$A$10:$B$199,2,FALSE))</f>
        <v/>
      </c>
      <c r="N351" s="342" t="str">
        <f t="shared" si="103"/>
        <v/>
      </c>
      <c r="R351" s="341"/>
      <c r="S351" s="341"/>
    </row>
    <row r="352" spans="1:25" ht="12.75" customHeight="1">
      <c r="A352" s="385"/>
      <c r="B352" s="386"/>
      <c r="C352" s="20"/>
      <c r="D352" s="342"/>
      <c r="E352" s="387"/>
      <c r="F352" s="388">
        <f t="shared" si="104"/>
        <v>0</v>
      </c>
      <c r="H352" s="341" t="str">
        <f>IF(A352="","",VLOOKUP(A352,VII.A!$A$10:$D$199,4,FALSE))</f>
        <v/>
      </c>
      <c r="I352" s="341" t="str">
        <f t="shared" si="101"/>
        <v/>
      </c>
      <c r="J352" s="341" t="str">
        <f>IF(A352="","",VLOOKUP(A352,VII.A!$A$10:$D$199,3,FALSE))</f>
        <v/>
      </c>
      <c r="K352" s="342" t="str">
        <f t="shared" si="102"/>
        <v/>
      </c>
      <c r="L352" s="380" t="str">
        <f>IF(C352="","",G347*C352)</f>
        <v/>
      </c>
      <c r="M352" s="381" t="str">
        <f>IF(A352="","",VLOOKUP(A352,VII.A!$A$10:$B$199,2,FALSE))</f>
        <v/>
      </c>
      <c r="N352" s="342" t="str">
        <f t="shared" si="103"/>
        <v/>
      </c>
      <c r="R352" s="341"/>
      <c r="S352" s="341"/>
    </row>
    <row r="353" spans="1:21" ht="12.75" customHeight="1">
      <c r="A353" s="385"/>
      <c r="B353" s="386"/>
      <c r="C353" s="20"/>
      <c r="D353" s="342"/>
      <c r="E353" s="387"/>
      <c r="F353" s="388">
        <f t="shared" si="104"/>
        <v>0</v>
      </c>
      <c r="H353" s="341" t="str">
        <f>IF(A353="","",VLOOKUP(A353,VII.A!$A$10:$D$199,4,FALSE))</f>
        <v/>
      </c>
      <c r="I353" s="341" t="str">
        <f t="shared" si="101"/>
        <v/>
      </c>
      <c r="J353" s="341" t="str">
        <f>IF(A353="","",VLOOKUP(A353,VII.A!$A$10:$D$199,3,FALSE))</f>
        <v/>
      </c>
      <c r="K353" s="342" t="str">
        <f t="shared" si="102"/>
        <v/>
      </c>
      <c r="L353" s="380" t="str">
        <f>IF(C353="","",G347*C353)</f>
        <v/>
      </c>
      <c r="M353" s="381" t="str">
        <f>IF(A353="","",VLOOKUP(A353,VII.A!$A$10:$B$199,2,FALSE))</f>
        <v/>
      </c>
      <c r="N353" s="342" t="str">
        <f t="shared" si="103"/>
        <v/>
      </c>
      <c r="R353" s="341"/>
      <c r="S353" s="341"/>
    </row>
    <row r="354" spans="1:21" ht="12.75" customHeight="1">
      <c r="A354" s="385"/>
      <c r="B354" s="386"/>
      <c r="C354" s="20"/>
      <c r="D354" s="342"/>
      <c r="E354" s="387"/>
      <c r="F354" s="388">
        <f t="shared" si="104"/>
        <v>0</v>
      </c>
      <c r="H354" s="341" t="str">
        <f>IF(A354="","",VLOOKUP(A354,VII.A!$A$10:$D$199,4,FALSE))</f>
        <v/>
      </c>
      <c r="I354" s="341" t="str">
        <f t="shared" si="101"/>
        <v/>
      </c>
      <c r="J354" s="341" t="str">
        <f>IF(A354="","",VLOOKUP(A354,VII.A!$A$10:$D$199,3,FALSE))</f>
        <v/>
      </c>
      <c r="K354" s="342" t="str">
        <f t="shared" si="102"/>
        <v/>
      </c>
      <c r="L354" s="380" t="str">
        <f>IF(C354="","",G347*C354)</f>
        <v/>
      </c>
      <c r="M354" s="381" t="str">
        <f>IF(A354="","",VLOOKUP(A354,VII.A!$A$10:$B$199,2,FALSE))</f>
        <v/>
      </c>
      <c r="N354" s="342" t="str">
        <f t="shared" si="103"/>
        <v/>
      </c>
      <c r="R354" s="341"/>
      <c r="S354" s="341"/>
      <c r="U354" s="389"/>
    </row>
    <row r="355" spans="1:21" ht="12.75" customHeight="1">
      <c r="A355" s="385"/>
      <c r="B355" s="386"/>
      <c r="C355" s="20"/>
      <c r="D355" s="342"/>
      <c r="E355" s="387"/>
      <c r="F355" s="388">
        <f t="shared" si="104"/>
        <v>0</v>
      </c>
      <c r="H355" s="341" t="str">
        <f>IF(A355="","",VLOOKUP(A355,VII.A!$A$10:$D$199,4,FALSE))</f>
        <v/>
      </c>
      <c r="I355" s="341" t="str">
        <f t="shared" si="101"/>
        <v/>
      </c>
      <c r="J355" s="341" t="str">
        <f>IF(A355="","",VLOOKUP(A355,VII.A!$A$10:$D$199,3,FALSE))</f>
        <v/>
      </c>
      <c r="K355" s="342" t="str">
        <f t="shared" si="102"/>
        <v/>
      </c>
      <c r="L355" s="380" t="str">
        <f>IF(C355="","",G347*C355)</f>
        <v/>
      </c>
      <c r="M355" s="381" t="str">
        <f>IF(A355="","",VLOOKUP(A355,VII.A!$A$10:$B$199,2,FALSE))</f>
        <v/>
      </c>
      <c r="N355" s="342" t="str">
        <f t="shared" si="103"/>
        <v/>
      </c>
      <c r="R355" s="341"/>
      <c r="S355" s="341"/>
    </row>
    <row r="356" spans="1:21" ht="12.75" customHeight="1">
      <c r="A356" s="385"/>
      <c r="B356" s="386"/>
      <c r="C356" s="20"/>
      <c r="D356" s="342"/>
      <c r="E356" s="387"/>
      <c r="F356" s="388">
        <f t="shared" si="104"/>
        <v>0</v>
      </c>
      <c r="G356" s="390"/>
      <c r="H356" s="341" t="str">
        <f>IF(A356="","",VLOOKUP(A356,VII.A!$A$10:$D$199,4,FALSE))</f>
        <v/>
      </c>
      <c r="I356" s="341" t="str">
        <f t="shared" si="101"/>
        <v/>
      </c>
      <c r="J356" s="341" t="str">
        <f>IF(A356="","",VLOOKUP(A356,VII.A!$A$10:$D$199,3,FALSE))</f>
        <v/>
      </c>
      <c r="K356" s="342" t="str">
        <f t="shared" si="102"/>
        <v/>
      </c>
      <c r="L356" s="380" t="str">
        <f>IF(C356="","",G347*C356)</f>
        <v/>
      </c>
      <c r="M356" s="381" t="str">
        <f>IF(A356="","",VLOOKUP(A356,VII.A!$A$10:$B$199,2,FALSE))</f>
        <v/>
      </c>
      <c r="N356" s="342" t="str">
        <f t="shared" si="103"/>
        <v/>
      </c>
      <c r="R356" s="341"/>
      <c r="S356" s="341"/>
    </row>
    <row r="357" spans="1:21" ht="12.75" customHeight="1">
      <c r="A357" s="385"/>
      <c r="B357" s="386"/>
      <c r="C357" s="20"/>
      <c r="D357" s="342"/>
      <c r="E357" s="387"/>
      <c r="F357" s="388">
        <f t="shared" si="104"/>
        <v>0</v>
      </c>
      <c r="G357" s="390"/>
      <c r="H357" s="341" t="str">
        <f>IF(A357="","",VLOOKUP(A357,VII.A!$A$10:$D$199,4,FALSE))</f>
        <v/>
      </c>
      <c r="I357" s="341" t="str">
        <f t="shared" si="101"/>
        <v/>
      </c>
      <c r="J357" s="341" t="str">
        <f>IF(A357="","",VLOOKUP(A357,VII.A!$A$10:$D$199,3,FALSE))</f>
        <v/>
      </c>
      <c r="K357" s="342" t="str">
        <f t="shared" si="102"/>
        <v/>
      </c>
      <c r="L357" s="380" t="str">
        <f>IF(C357="","",G347*C357)</f>
        <v/>
      </c>
      <c r="M357" s="381" t="str">
        <f>IF(A357="","",VLOOKUP(A357,VII.A!$A$10:$B$199,2,FALSE))</f>
        <v/>
      </c>
      <c r="N357" s="342" t="str">
        <f t="shared" si="103"/>
        <v/>
      </c>
      <c r="R357" s="341"/>
      <c r="S357" s="341"/>
    </row>
    <row r="358" spans="1:21" ht="12.75" customHeight="1">
      <c r="A358" s="385"/>
      <c r="B358" s="386"/>
      <c r="C358" s="20"/>
      <c r="D358" s="342"/>
      <c r="E358" s="387"/>
      <c r="F358" s="388">
        <f t="shared" si="104"/>
        <v>0</v>
      </c>
      <c r="G358" s="391"/>
      <c r="H358" s="341" t="str">
        <f>IF(A358="","",VLOOKUP(A358,VII.A!$A$10:$D$199,4,FALSE))</f>
        <v/>
      </c>
      <c r="I358" s="341" t="str">
        <f t="shared" si="101"/>
        <v/>
      </c>
      <c r="J358" s="341" t="str">
        <f>IF(A358="","",VLOOKUP(A358,VII.A!$A$10:$D$199,3,FALSE))</f>
        <v/>
      </c>
      <c r="K358" s="342" t="str">
        <f t="shared" si="102"/>
        <v/>
      </c>
      <c r="L358" s="380" t="str">
        <f>IF(C358="","",G347*C358)</f>
        <v/>
      </c>
      <c r="M358" s="381" t="str">
        <f>IF(A358="","",VLOOKUP(A358,VII.A!$A$10:$B$199,2,FALSE))</f>
        <v/>
      </c>
      <c r="N358" s="342" t="str">
        <f t="shared" si="103"/>
        <v/>
      </c>
      <c r="R358" s="341"/>
      <c r="S358" s="341"/>
    </row>
    <row r="359" spans="1:21" ht="12.75" customHeight="1">
      <c r="A359" s="385"/>
      <c r="B359" s="386"/>
      <c r="C359" s="20"/>
      <c r="D359" s="342"/>
      <c r="E359" s="387"/>
      <c r="F359" s="388">
        <f t="shared" si="104"/>
        <v>0</v>
      </c>
      <c r="H359" s="341" t="str">
        <f>IF(A359="","",VLOOKUP(A359,VII.A!$A$10:$D$199,4,FALSE))</f>
        <v/>
      </c>
      <c r="I359" s="341" t="str">
        <f t="shared" si="101"/>
        <v/>
      </c>
      <c r="J359" s="341" t="str">
        <f>IF(A359="","",VLOOKUP(A359,VII.A!$A$10:$D$199,3,FALSE))</f>
        <v/>
      </c>
      <c r="K359" s="342" t="str">
        <f t="shared" si="102"/>
        <v/>
      </c>
      <c r="L359" s="380" t="str">
        <f>IF(C359="","",G347*C359)</f>
        <v/>
      </c>
      <c r="M359" s="381" t="str">
        <f>IF(A359="","",VLOOKUP(A359,VII.A!$A$10:$B$199,2,FALSE))</f>
        <v/>
      </c>
      <c r="N359" s="342" t="str">
        <f t="shared" si="103"/>
        <v/>
      </c>
      <c r="R359" s="341"/>
      <c r="S359" s="341"/>
    </row>
    <row r="360" spans="1:21" ht="12.75" customHeight="1">
      <c r="A360" s="385"/>
      <c r="B360" s="386"/>
      <c r="C360" s="20"/>
      <c r="D360" s="392"/>
      <c r="E360" s="387"/>
      <c r="F360" s="388">
        <f t="shared" si="104"/>
        <v>0</v>
      </c>
      <c r="H360" s="341" t="str">
        <f>IF(A360="","",VLOOKUP(A360,VII.A!$A$10:$D$199,4,FALSE))</f>
        <v/>
      </c>
      <c r="I360" s="341" t="str">
        <f t="shared" si="101"/>
        <v/>
      </c>
      <c r="J360" s="341" t="str">
        <f>IF(A360="","",VLOOKUP(A360,VII.A!$A$10:$D$199,3,FALSE))</f>
        <v/>
      </c>
      <c r="K360" s="342" t="str">
        <f t="shared" si="102"/>
        <v/>
      </c>
      <c r="L360" s="380" t="str">
        <f>IF(C360="","",G347*C360)</f>
        <v/>
      </c>
      <c r="M360" s="381" t="str">
        <f>IF(A360="","",VLOOKUP(A360,VII.A!$A$10:$B$199,2,FALSE))</f>
        <v/>
      </c>
      <c r="N360" s="342" t="str">
        <f t="shared" si="103"/>
        <v/>
      </c>
      <c r="R360" s="341"/>
      <c r="S360" s="341"/>
    </row>
    <row r="361" spans="1:21" ht="12.75" customHeight="1">
      <c r="A361" s="385"/>
      <c r="B361" s="386"/>
      <c r="C361" s="20"/>
      <c r="D361" s="392"/>
      <c r="E361" s="387"/>
      <c r="F361" s="388">
        <f t="shared" si="104"/>
        <v>0</v>
      </c>
      <c r="H361" s="341" t="str">
        <f>IF(A361="","",VLOOKUP(A361,VII.A!$A$10:$D$199,4,FALSE))</f>
        <v/>
      </c>
      <c r="I361" s="341" t="str">
        <f t="shared" si="101"/>
        <v/>
      </c>
      <c r="J361" s="341" t="str">
        <f>IF(A361="","",VLOOKUP(A361,VII.A!$A$10:$D$199,3,FALSE))</f>
        <v/>
      </c>
      <c r="K361" s="342" t="str">
        <f t="shared" si="102"/>
        <v/>
      </c>
      <c r="L361" s="380" t="str">
        <f>IF(C361="","",G347*C361)</f>
        <v/>
      </c>
      <c r="M361" s="381" t="str">
        <f>IF(A361="","",VLOOKUP(A361,VII.A!$A$10:$B$199,2,FALSE))</f>
        <v/>
      </c>
      <c r="N361" s="342" t="str">
        <f t="shared" si="103"/>
        <v/>
      </c>
      <c r="O361" s="342"/>
      <c r="R361" s="341"/>
      <c r="S361" s="341"/>
    </row>
    <row r="362" spans="1:21" ht="12.75" customHeight="1">
      <c r="A362" s="385"/>
      <c r="B362" s="386"/>
      <c r="C362" s="20"/>
      <c r="D362" s="392"/>
      <c r="E362" s="387"/>
      <c r="F362" s="388">
        <f t="shared" si="104"/>
        <v>0</v>
      </c>
      <c r="H362" s="341" t="str">
        <f>IF(A362="","",VLOOKUP(A362,VII.A!$A$10:$D$199,4,FALSE))</f>
        <v/>
      </c>
      <c r="I362" s="341" t="str">
        <f t="shared" si="101"/>
        <v/>
      </c>
      <c r="J362" s="341" t="str">
        <f>IF(A362="","",VLOOKUP(A362,VII.A!$A$10:$D$199,3,FALSE))</f>
        <v/>
      </c>
      <c r="K362" s="342" t="str">
        <f t="shared" si="102"/>
        <v/>
      </c>
      <c r="L362" s="380" t="str">
        <f>IF(C362="","",G347*C362)</f>
        <v/>
      </c>
      <c r="M362" s="381" t="str">
        <f>IF(A362="","",VLOOKUP(A362,VII.A!$A$10:$B$199,2,FALSE))</f>
        <v/>
      </c>
      <c r="N362" s="342" t="str">
        <f t="shared" si="103"/>
        <v/>
      </c>
      <c r="R362" s="341"/>
      <c r="S362" s="341"/>
    </row>
    <row r="363" spans="1:21" ht="12.75" customHeight="1">
      <c r="A363" s="393"/>
      <c r="C363" s="20"/>
      <c r="E363" s="387"/>
      <c r="F363" s="388">
        <f t="shared" si="104"/>
        <v>0</v>
      </c>
      <c r="H363" s="341" t="str">
        <f>IF(A363="","",VLOOKUP(A363,VII.A!$A$10:$D$199,4,FALSE))</f>
        <v/>
      </c>
      <c r="I363" s="341" t="str">
        <f t="shared" si="101"/>
        <v/>
      </c>
      <c r="J363" s="341" t="str">
        <f>IF(A363="","",VLOOKUP(A363,VII.A!$A$10:$D$199,3,FALSE))</f>
        <v/>
      </c>
      <c r="K363" s="342" t="str">
        <f t="shared" si="102"/>
        <v/>
      </c>
      <c r="L363" s="380" t="str">
        <f>IF(C363="","",G347*C363)</f>
        <v/>
      </c>
      <c r="M363" s="381" t="str">
        <f>IF(A363="","",VLOOKUP(A363,VII.A!$A$10:$B$199,2,FALSE))</f>
        <v/>
      </c>
      <c r="N363" s="342" t="str">
        <f t="shared" si="103"/>
        <v/>
      </c>
      <c r="R363" s="341"/>
      <c r="S363" s="341"/>
    </row>
    <row r="364" spans="1:21" ht="12.75" customHeight="1">
      <c r="A364" s="393"/>
      <c r="C364" s="20"/>
      <c r="E364" s="387"/>
      <c r="F364" s="388">
        <f t="shared" si="104"/>
        <v>0</v>
      </c>
      <c r="H364" s="341" t="str">
        <f>IF(A364="","",VLOOKUP(A364,VII.A!$A$10:$D$199,4,FALSE))</f>
        <v/>
      </c>
      <c r="I364" s="341" t="str">
        <f t="shared" si="101"/>
        <v/>
      </c>
      <c r="J364" s="341" t="str">
        <f>IF(A364="","",VLOOKUP(A364,VII.A!$A$10:$D$199,3,FALSE))</f>
        <v/>
      </c>
      <c r="K364" s="342" t="str">
        <f t="shared" si="102"/>
        <v/>
      </c>
      <c r="L364" s="380" t="str">
        <f>IF(C364="","",G347*C364)</f>
        <v/>
      </c>
      <c r="M364" s="381" t="str">
        <f>IF(A364="","",VLOOKUP(A364,VII.A!$A$10:$B$199,2,FALSE))</f>
        <v/>
      </c>
      <c r="N364" s="342" t="str">
        <f t="shared" si="103"/>
        <v/>
      </c>
      <c r="R364" s="341"/>
      <c r="S364" s="341"/>
    </row>
    <row r="365" spans="1:21" ht="12.75" customHeight="1">
      <c r="A365" s="393"/>
      <c r="B365" s="395" t="s">
        <v>226</v>
      </c>
      <c r="C365" s="396"/>
      <c r="D365" s="397"/>
      <c r="E365" s="398"/>
      <c r="F365" s="399">
        <f>SUM(F349:F364)</f>
        <v>0</v>
      </c>
      <c r="J365" s="341"/>
      <c r="L365" s="380"/>
      <c r="M365" s="381"/>
      <c r="N365" s="342"/>
      <c r="R365" s="341"/>
      <c r="S365" s="341"/>
    </row>
    <row r="366" spans="1:21" ht="12.75" customHeight="1">
      <c r="A366" s="393"/>
      <c r="B366" s="400" t="s">
        <v>53</v>
      </c>
      <c r="C366" s="2">
        <f>$D$8</f>
        <v>0</v>
      </c>
      <c r="D366" s="401"/>
      <c r="E366" s="402"/>
      <c r="F366" s="403">
        <f>ROUND(F365*C366,2)</f>
        <v>0</v>
      </c>
      <c r="H366" s="426" t="s">
        <v>389</v>
      </c>
      <c r="J366" s="341"/>
      <c r="L366" s="380"/>
      <c r="M366" s="381"/>
      <c r="N366" s="342"/>
      <c r="R366" s="341"/>
      <c r="S366" s="341"/>
    </row>
    <row r="367" spans="1:21" ht="12.75" customHeight="1">
      <c r="A367" s="404"/>
      <c r="B367" s="405" t="s">
        <v>227</v>
      </c>
      <c r="C367" s="406"/>
      <c r="D367" s="406"/>
      <c r="E367" s="407"/>
      <c r="F367" s="408">
        <f>F365+F366</f>
        <v>0</v>
      </c>
      <c r="J367" s="341"/>
      <c r="L367" s="380"/>
      <c r="M367" s="381"/>
      <c r="N367" s="342"/>
      <c r="R367" s="341"/>
      <c r="S367" s="341"/>
    </row>
    <row r="368" spans="1:21" ht="12.75" customHeight="1">
      <c r="A368" s="374" t="s">
        <v>2</v>
      </c>
      <c r="B368" s="375" t="s">
        <v>235</v>
      </c>
      <c r="C368" s="376" t="s">
        <v>231</v>
      </c>
      <c r="D368" s="376" t="s">
        <v>232</v>
      </c>
      <c r="E368" s="377" t="s">
        <v>233</v>
      </c>
      <c r="F368" s="378" t="s">
        <v>234</v>
      </c>
      <c r="J368" s="341"/>
      <c r="L368" s="380"/>
      <c r="M368" s="381"/>
      <c r="N368" s="342"/>
      <c r="R368" s="341"/>
      <c r="S368" s="341"/>
    </row>
    <row r="369" spans="1:19" ht="12.75" customHeight="1">
      <c r="A369" s="393"/>
      <c r="B369" s="423"/>
      <c r="C369" s="20"/>
      <c r="E369" s="387"/>
      <c r="F369" s="388">
        <f t="shared" ref="F369:F378" si="105">ROUND(C369*E369,2)</f>
        <v>0</v>
      </c>
      <c r="H369" s="341" t="str">
        <f>IF(A369="","",VLOOKUP(A369,VII.A!$A$10:$D$199,4,FALSE))</f>
        <v/>
      </c>
      <c r="I369" s="341" t="str">
        <f t="shared" ref="I369:I378" si="106">IF(A369="","",IF(E369=H369,"SIM","NÃO"))</f>
        <v/>
      </c>
      <c r="J369" s="341" t="str">
        <f>IF(A369="","",VLOOKUP(A369,VII.A!$A$10:$D$199,3,FALSE))</f>
        <v/>
      </c>
      <c r="K369" s="342" t="str">
        <f t="shared" ref="K369:K378" si="107">IF(A369="","",IF(J369=D369,"SIM","NÃO"))</f>
        <v/>
      </c>
      <c r="L369" s="380" t="str">
        <f>IF(C369="","",G347*C369)</f>
        <v/>
      </c>
      <c r="M369" s="381" t="str">
        <f>IF(A369="","",VLOOKUP(A369,VII.A!$A$10:$B$199,2,FALSE))</f>
        <v/>
      </c>
      <c r="N369" s="342" t="str">
        <f t="shared" ref="N369:N378" si="108">IF(B369="","",IF(M369=B369,"si","no"))</f>
        <v/>
      </c>
      <c r="R369" s="341"/>
      <c r="S369" s="341"/>
    </row>
    <row r="370" spans="1:19" ht="12.75" customHeight="1">
      <c r="A370" s="393"/>
      <c r="C370" s="20"/>
      <c r="E370" s="387"/>
      <c r="F370" s="388">
        <f t="shared" si="105"/>
        <v>0</v>
      </c>
      <c r="H370" s="341" t="str">
        <f>IF(A370="","",VLOOKUP(A370,VII.A!$A$10:$D$199,4,FALSE))</f>
        <v/>
      </c>
      <c r="I370" s="341" t="str">
        <f t="shared" si="106"/>
        <v/>
      </c>
      <c r="J370" s="341" t="str">
        <f>IF(A370="","",VLOOKUP(A370,VII.A!$A$10:$D$199,3,FALSE))</f>
        <v/>
      </c>
      <c r="K370" s="342" t="str">
        <f t="shared" si="107"/>
        <v/>
      </c>
      <c r="L370" s="380" t="str">
        <f>IF(C370="","",G347*C370)</f>
        <v/>
      </c>
      <c r="M370" s="381" t="str">
        <f>IF(A370="","",VLOOKUP(A370,VII.A!$A$10:$B$199,2,FALSE))</f>
        <v/>
      </c>
      <c r="N370" s="342" t="str">
        <f t="shared" si="108"/>
        <v/>
      </c>
      <c r="R370" s="341"/>
      <c r="S370" s="341"/>
    </row>
    <row r="371" spans="1:19" ht="12.75" customHeight="1">
      <c r="A371" s="393"/>
      <c r="C371" s="20"/>
      <c r="E371" s="387"/>
      <c r="F371" s="388">
        <f t="shared" si="105"/>
        <v>0</v>
      </c>
      <c r="H371" s="341" t="str">
        <f>IF(A371="","",VLOOKUP(A371,VII.A!$A$10:$D$199,4,FALSE))</f>
        <v/>
      </c>
      <c r="I371" s="341" t="str">
        <f t="shared" si="106"/>
        <v/>
      </c>
      <c r="J371" s="341" t="str">
        <f>IF(A371="","",VLOOKUP(A371,VII.A!$A$10:$D$199,3,FALSE))</f>
        <v/>
      </c>
      <c r="K371" s="342" t="str">
        <f t="shared" si="107"/>
        <v/>
      </c>
      <c r="L371" s="380" t="str">
        <f>IF(C371="","",G347*C371)</f>
        <v/>
      </c>
      <c r="M371" s="381" t="str">
        <f>IF(A371="","",VLOOKUP(A371,VII.A!$A$10:$B$199,2,FALSE))</f>
        <v/>
      </c>
      <c r="N371" s="342" t="str">
        <f t="shared" si="108"/>
        <v/>
      </c>
      <c r="R371" s="341"/>
      <c r="S371" s="341"/>
    </row>
    <row r="372" spans="1:19" ht="12.75" customHeight="1">
      <c r="A372" s="393"/>
      <c r="C372" s="20"/>
      <c r="E372" s="387"/>
      <c r="F372" s="388">
        <f t="shared" si="105"/>
        <v>0</v>
      </c>
      <c r="H372" s="341" t="str">
        <f>IF(A372="","",VLOOKUP(A372,VII.A!$A$10:$D$199,4,FALSE))</f>
        <v/>
      </c>
      <c r="I372" s="341" t="str">
        <f t="shared" si="106"/>
        <v/>
      </c>
      <c r="J372" s="341" t="str">
        <f>IF(A372="","",VLOOKUP(A372,VII.A!$A$10:$D$199,3,FALSE))</f>
        <v/>
      </c>
      <c r="K372" s="342" t="str">
        <f t="shared" si="107"/>
        <v/>
      </c>
      <c r="L372" s="380" t="str">
        <f>IF(C372="","",G347*C372)</f>
        <v/>
      </c>
      <c r="M372" s="381" t="str">
        <f>IF(A372="","",VLOOKUP(A372,VII.A!$A$10:$B$199,2,FALSE))</f>
        <v/>
      </c>
      <c r="N372" s="342" t="str">
        <f t="shared" si="108"/>
        <v/>
      </c>
      <c r="R372" s="341"/>
      <c r="S372" s="341"/>
    </row>
    <row r="373" spans="1:19" ht="12.75" customHeight="1">
      <c r="A373" s="393"/>
      <c r="C373" s="20"/>
      <c r="E373" s="387"/>
      <c r="F373" s="388">
        <f t="shared" si="105"/>
        <v>0</v>
      </c>
      <c r="G373" s="390"/>
      <c r="H373" s="341" t="str">
        <f>IF(A373="","",VLOOKUP(A373,VII.A!$A$10:$D$199,4,FALSE))</f>
        <v/>
      </c>
      <c r="I373" s="341" t="str">
        <f t="shared" si="106"/>
        <v/>
      </c>
      <c r="J373" s="341" t="str">
        <f>IF(A373="","",VLOOKUP(A373,VII.A!$A$10:$D$199,3,FALSE))</f>
        <v/>
      </c>
      <c r="K373" s="342" t="str">
        <f t="shared" si="107"/>
        <v/>
      </c>
      <c r="L373" s="380" t="str">
        <f>IF(C373="","",G347*C373)</f>
        <v/>
      </c>
      <c r="M373" s="381" t="str">
        <f>IF(A373="","",VLOOKUP(A373,VII.A!$A$10:$B$199,2,FALSE))</f>
        <v/>
      </c>
      <c r="N373" s="342" t="str">
        <f t="shared" si="108"/>
        <v/>
      </c>
      <c r="R373" s="341"/>
      <c r="S373" s="341"/>
    </row>
    <row r="374" spans="1:19" ht="12.75" customHeight="1">
      <c r="A374" s="393"/>
      <c r="C374" s="20"/>
      <c r="E374" s="387"/>
      <c r="F374" s="388">
        <f t="shared" si="105"/>
        <v>0</v>
      </c>
      <c r="G374" s="391"/>
      <c r="H374" s="341" t="str">
        <f>IF(A374="","",VLOOKUP(A374,VII.A!$A$10:$D$199,4,FALSE))</f>
        <v/>
      </c>
      <c r="I374" s="341" t="str">
        <f t="shared" si="106"/>
        <v/>
      </c>
      <c r="J374" s="341" t="str">
        <f>IF(A374="","",VLOOKUP(A374,VII.A!$A$10:$D$199,3,FALSE))</f>
        <v/>
      </c>
      <c r="K374" s="342" t="str">
        <f t="shared" si="107"/>
        <v/>
      </c>
      <c r="L374" s="380" t="str">
        <f>IF(C374="","",G347*C374)</f>
        <v/>
      </c>
      <c r="M374" s="381" t="str">
        <f>IF(A374="","",VLOOKUP(A374,VII.A!$A$10:$B$199,2,FALSE))</f>
        <v/>
      </c>
      <c r="N374" s="342" t="str">
        <f t="shared" si="108"/>
        <v/>
      </c>
      <c r="R374" s="341"/>
      <c r="S374" s="341"/>
    </row>
    <row r="375" spans="1:19" ht="12.75" customHeight="1">
      <c r="A375" s="393"/>
      <c r="C375" s="20"/>
      <c r="E375" s="387"/>
      <c r="F375" s="388">
        <f t="shared" si="105"/>
        <v>0</v>
      </c>
      <c r="H375" s="341" t="str">
        <f>IF(A375="","",VLOOKUP(A375,VII.A!$A$10:$D$199,4,FALSE))</f>
        <v/>
      </c>
      <c r="I375" s="341" t="str">
        <f t="shared" si="106"/>
        <v/>
      </c>
      <c r="J375" s="341" t="str">
        <f>IF(A375="","",VLOOKUP(A375,VII.A!$A$10:$D$199,3,FALSE))</f>
        <v/>
      </c>
      <c r="K375" s="342" t="str">
        <f t="shared" si="107"/>
        <v/>
      </c>
      <c r="L375" s="380" t="str">
        <f>IF(C375="","",G347*C375)</f>
        <v/>
      </c>
      <c r="M375" s="381" t="str">
        <f>IF(A375="","",VLOOKUP(A375,VII.A!$A$10:$B$199,2,FALSE))</f>
        <v/>
      </c>
      <c r="N375" s="342" t="str">
        <f t="shared" si="108"/>
        <v/>
      </c>
      <c r="R375" s="341"/>
      <c r="S375" s="341"/>
    </row>
    <row r="376" spans="1:19" ht="12.75" customHeight="1">
      <c r="A376" s="393"/>
      <c r="C376" s="20"/>
      <c r="E376" s="387"/>
      <c r="F376" s="388">
        <f t="shared" si="105"/>
        <v>0</v>
      </c>
      <c r="H376" s="341" t="str">
        <f>IF(A376="","",VLOOKUP(A376,VII.A!$A$10:$D$199,4,FALSE))</f>
        <v/>
      </c>
      <c r="I376" s="341" t="str">
        <f t="shared" si="106"/>
        <v/>
      </c>
      <c r="J376" s="341" t="str">
        <f>IF(A376="","",VLOOKUP(A376,VII.A!$A$10:$D$199,3,FALSE))</f>
        <v/>
      </c>
      <c r="K376" s="342" t="str">
        <f t="shared" si="107"/>
        <v/>
      </c>
      <c r="L376" s="380" t="str">
        <f>IF(C376="","",G347*C376)</f>
        <v/>
      </c>
      <c r="M376" s="381" t="str">
        <f>IF(A376="","",VLOOKUP(A376,VII.A!$A$10:$B$199,2,FALSE))</f>
        <v/>
      </c>
      <c r="N376" s="342" t="str">
        <f t="shared" si="108"/>
        <v/>
      </c>
      <c r="R376" s="341"/>
      <c r="S376" s="341"/>
    </row>
    <row r="377" spans="1:19" ht="12.75" customHeight="1">
      <c r="A377" s="393"/>
      <c r="C377" s="20"/>
      <c r="E377" s="387"/>
      <c r="F377" s="388">
        <f t="shared" si="105"/>
        <v>0</v>
      </c>
      <c r="H377" s="341" t="str">
        <f>IF(A377="","",VLOOKUP(A377,VII.A!$A$10:$D$199,4,FALSE))</f>
        <v/>
      </c>
      <c r="I377" s="341" t="str">
        <f t="shared" si="106"/>
        <v/>
      </c>
      <c r="J377" s="341" t="str">
        <f>IF(A377="","",VLOOKUP(A377,VII.A!$A$10:$D$199,3,FALSE))</f>
        <v/>
      </c>
      <c r="K377" s="342" t="str">
        <f t="shared" si="107"/>
        <v/>
      </c>
      <c r="L377" s="380" t="str">
        <f>IF(C377="","",G347*C377)</f>
        <v/>
      </c>
      <c r="M377" s="381" t="str">
        <f>IF(A377="","",VLOOKUP(A377,VII.A!$A$10:$B$199,2,FALSE))</f>
        <v/>
      </c>
      <c r="N377" s="342" t="str">
        <f t="shared" si="108"/>
        <v/>
      </c>
      <c r="R377" s="341"/>
      <c r="S377" s="341"/>
    </row>
    <row r="378" spans="1:19" ht="12.75" customHeight="1">
      <c r="A378" s="393"/>
      <c r="C378" s="20"/>
      <c r="E378" s="387"/>
      <c r="F378" s="388">
        <f t="shared" si="105"/>
        <v>0</v>
      </c>
      <c r="H378" s="341" t="str">
        <f>IF(A378="","",VLOOKUP(A378,VII.A!$A$10:$D$199,4,FALSE))</f>
        <v/>
      </c>
      <c r="I378" s="341" t="str">
        <f t="shared" si="106"/>
        <v/>
      </c>
      <c r="J378" s="341" t="str">
        <f>IF(A378="","",VLOOKUP(A378,VII.A!$A$10:$D$199,3,FALSE))</f>
        <v/>
      </c>
      <c r="K378" s="342" t="str">
        <f t="shared" si="107"/>
        <v/>
      </c>
      <c r="L378" s="380" t="str">
        <f>IF(C378="","",G347*C378)</f>
        <v/>
      </c>
      <c r="M378" s="381" t="str">
        <f>IF(A378="","",VLOOKUP(A378,VII.A!$A$10:$B$199,2,FALSE))</f>
        <v/>
      </c>
      <c r="N378" s="342" t="str">
        <f t="shared" si="108"/>
        <v/>
      </c>
      <c r="R378" s="341"/>
      <c r="S378" s="341"/>
    </row>
    <row r="379" spans="1:19" ht="12.75" customHeight="1">
      <c r="A379" s="393"/>
      <c r="B379" s="395" t="s">
        <v>226</v>
      </c>
      <c r="C379" s="396"/>
      <c r="D379" s="397"/>
      <c r="E379" s="398"/>
      <c r="F379" s="399">
        <f>SUM(F369:F378)</f>
        <v>0</v>
      </c>
      <c r="J379" s="341"/>
      <c r="L379" s="380"/>
      <c r="M379" s="381"/>
      <c r="N379" s="342"/>
      <c r="R379" s="341"/>
      <c r="S379" s="341"/>
    </row>
    <row r="380" spans="1:19" ht="12.75" customHeight="1">
      <c r="A380" s="393"/>
      <c r="B380" s="400" t="s">
        <v>53</v>
      </c>
      <c r="C380" s="2">
        <f>$D$8</f>
        <v>0</v>
      </c>
      <c r="D380" s="401"/>
      <c r="E380" s="402"/>
      <c r="F380" s="403">
        <f>ROUND(C380*F379,2)</f>
        <v>0</v>
      </c>
      <c r="J380" s="341"/>
      <c r="L380" s="380"/>
      <c r="M380" s="381"/>
      <c r="N380" s="342"/>
      <c r="R380" s="341"/>
      <c r="S380" s="341"/>
    </row>
    <row r="381" spans="1:19" ht="12.75" customHeight="1">
      <c r="A381" s="404"/>
      <c r="B381" s="405" t="s">
        <v>228</v>
      </c>
      <c r="C381" s="406"/>
      <c r="D381" s="406"/>
      <c r="E381" s="407"/>
      <c r="F381" s="408">
        <f>F379+F380</f>
        <v>0</v>
      </c>
      <c r="J381" s="341"/>
      <c r="L381" s="380"/>
      <c r="M381" s="381"/>
      <c r="N381" s="342"/>
      <c r="R381" s="341"/>
      <c r="S381" s="341"/>
    </row>
    <row r="382" spans="1:19" ht="12.75" customHeight="1">
      <c r="A382" s="409" t="s">
        <v>47</v>
      </c>
      <c r="B382" s="410" t="s">
        <v>236</v>
      </c>
      <c r="C382" s="411" t="s">
        <v>231</v>
      </c>
      <c r="D382" s="412" t="s">
        <v>232</v>
      </c>
      <c r="E382" s="413" t="s">
        <v>233</v>
      </c>
      <c r="F382" s="378" t="s">
        <v>234</v>
      </c>
      <c r="J382" s="341"/>
      <c r="L382" s="380"/>
      <c r="M382" s="381"/>
      <c r="N382" s="342"/>
      <c r="R382" s="341"/>
      <c r="S382" s="341"/>
    </row>
    <row r="383" spans="1:19" ht="12.75" customHeight="1">
      <c r="A383" s="393" t="str">
        <f>VII.A!$A$196</f>
        <v>3.16</v>
      </c>
      <c r="B383" s="394" t="s">
        <v>157</v>
      </c>
      <c r="C383" s="20">
        <v>0.4</v>
      </c>
      <c r="D383" s="384" t="str">
        <f>VLOOKUP(A383,VII.A!$A$10:$G$199,3,FALSE)</f>
        <v>H</v>
      </c>
      <c r="E383" s="387">
        <f>VII.A!D196</f>
        <v>0</v>
      </c>
      <c r="F383" s="388">
        <f t="shared" ref="F383:F389" si="109">ROUND(C383*E383,2)</f>
        <v>0</v>
      </c>
      <c r="H383" s="341">
        <f>IF(A383="","",VLOOKUP(A383,VII.A!$A$10:$D$199,4,FALSE))</f>
        <v>0</v>
      </c>
      <c r="I383" s="341" t="str">
        <f t="shared" ref="I383:I389" si="110">IF(A383="","",IF(E383=H383,"SIM","NÃO"))</f>
        <v>SIM</v>
      </c>
      <c r="J383" s="341" t="str">
        <f>IF(A383="","",VLOOKUP(A383,VII.A!$A$10:$D$199,3,FALSE))</f>
        <v>H</v>
      </c>
      <c r="K383" s="342" t="str">
        <f t="shared" ref="K383:K389" si="111">IF(A383="","",IF(J383=D383,"SIM","NÃO"))</f>
        <v>SIM</v>
      </c>
      <c r="L383" s="380">
        <f>IF(C383="","",G347*C383)</f>
        <v>480</v>
      </c>
      <c r="M383" s="381" t="str">
        <f>IF(A383="","",VLOOKUP(A383,VII.A!$A$10:$B$199,2,FALSE))</f>
        <v>SERVENTE COM ENCARGOS COMPLEMENTARES</v>
      </c>
      <c r="N383" s="342" t="str">
        <f t="shared" ref="N383:N389" si="112">IF(B383="","",IF(M383=B383,"si","no"))</f>
        <v>si</v>
      </c>
      <c r="R383" s="341"/>
      <c r="S383" s="341"/>
    </row>
    <row r="384" spans="1:19" ht="12.75" customHeight="1">
      <c r="A384" s="393"/>
      <c r="C384" s="20"/>
      <c r="E384" s="387"/>
      <c r="F384" s="388">
        <f t="shared" si="109"/>
        <v>0</v>
      </c>
      <c r="H384" s="341" t="str">
        <f>IF(A384="","",VLOOKUP(A384,VII.A!$A$10:$D$199,4,FALSE))</f>
        <v/>
      </c>
      <c r="I384" s="341" t="str">
        <f t="shared" si="110"/>
        <v/>
      </c>
      <c r="J384" s="341" t="str">
        <f>IF(A384="","",VLOOKUP(A384,VII.A!$A$10:$D$199,3,FALSE))</f>
        <v/>
      </c>
      <c r="K384" s="342" t="str">
        <f t="shared" si="111"/>
        <v/>
      </c>
      <c r="L384" s="380" t="str">
        <f>IF(C384="","",G347*C384)</f>
        <v/>
      </c>
      <c r="M384" s="381" t="str">
        <f>IF(A384="","",VLOOKUP(A384,VII.A!$A$10:$B$199,2,FALSE))</f>
        <v/>
      </c>
      <c r="N384" s="342" t="str">
        <f t="shared" si="112"/>
        <v/>
      </c>
      <c r="R384" s="341"/>
      <c r="S384" s="341"/>
    </row>
    <row r="385" spans="1:25" ht="12.75" customHeight="1">
      <c r="A385" s="393"/>
      <c r="C385" s="20"/>
      <c r="E385" s="387"/>
      <c r="F385" s="388">
        <f t="shared" si="109"/>
        <v>0</v>
      </c>
      <c r="H385" s="341" t="str">
        <f>IF(A385="","",VLOOKUP(A385,VII.A!$A$10:$D$199,4,FALSE))</f>
        <v/>
      </c>
      <c r="I385" s="341" t="str">
        <f t="shared" si="110"/>
        <v/>
      </c>
      <c r="J385" s="341" t="str">
        <f>IF(A385="","",VLOOKUP(A385,VII.A!$A$10:$D$199,3,FALSE))</f>
        <v/>
      </c>
      <c r="K385" s="342" t="str">
        <f t="shared" si="111"/>
        <v/>
      </c>
      <c r="L385" s="380" t="str">
        <f>IF(C385="","",G347*C385)</f>
        <v/>
      </c>
      <c r="M385" s="381" t="str">
        <f>IF(A385="","",VLOOKUP(A385,VII.A!$A$10:$B$199,2,FALSE))</f>
        <v/>
      </c>
      <c r="N385" s="342" t="str">
        <f t="shared" si="112"/>
        <v/>
      </c>
      <c r="R385" s="341"/>
      <c r="S385" s="341"/>
    </row>
    <row r="386" spans="1:25" ht="12.75" customHeight="1">
      <c r="A386" s="393"/>
      <c r="C386" s="20"/>
      <c r="E386" s="387"/>
      <c r="F386" s="388">
        <f t="shared" si="109"/>
        <v>0</v>
      </c>
      <c r="H386" s="341" t="str">
        <f>IF(A386="","",VLOOKUP(A386,VII.A!$A$10:$D$199,4,FALSE))</f>
        <v/>
      </c>
      <c r="I386" s="341" t="str">
        <f t="shared" si="110"/>
        <v/>
      </c>
      <c r="J386" s="341" t="str">
        <f>IF(A386="","",VLOOKUP(A386,VII.A!$A$10:$D$199,3,FALSE))</f>
        <v/>
      </c>
      <c r="K386" s="342" t="str">
        <f t="shared" si="111"/>
        <v/>
      </c>
      <c r="L386" s="380" t="str">
        <f>IF(C386="","",G347*C386)</f>
        <v/>
      </c>
      <c r="M386" s="381" t="str">
        <f>IF(A386="","",VLOOKUP(A386,VII.A!$A$10:$B$199,2,FALSE))</f>
        <v/>
      </c>
      <c r="N386" s="342" t="str">
        <f t="shared" si="112"/>
        <v/>
      </c>
      <c r="R386" s="341"/>
      <c r="S386" s="341"/>
    </row>
    <row r="387" spans="1:25" ht="12.75" customHeight="1">
      <c r="A387" s="393"/>
      <c r="C387" s="20"/>
      <c r="E387" s="387"/>
      <c r="F387" s="388">
        <f t="shared" si="109"/>
        <v>0</v>
      </c>
      <c r="H387" s="341" t="str">
        <f>IF(A387="","",VLOOKUP(A387,VII.A!$A$10:$D$199,4,FALSE))</f>
        <v/>
      </c>
      <c r="I387" s="341" t="str">
        <f t="shared" si="110"/>
        <v/>
      </c>
      <c r="J387" s="341" t="str">
        <f>IF(A387="","",VLOOKUP(A387,VII.A!$A$10:$D$199,3,FALSE))</f>
        <v/>
      </c>
      <c r="K387" s="342" t="str">
        <f t="shared" si="111"/>
        <v/>
      </c>
      <c r="L387" s="380" t="str">
        <f>IF(C387="","",G347*C387)</f>
        <v/>
      </c>
      <c r="M387" s="381" t="str">
        <f>IF(A387="","",VLOOKUP(A387,VII.A!$A$10:$B$199,2,FALSE))</f>
        <v/>
      </c>
      <c r="N387" s="342" t="str">
        <f t="shared" si="112"/>
        <v/>
      </c>
      <c r="R387" s="341"/>
      <c r="S387" s="341"/>
    </row>
    <row r="388" spans="1:25" ht="12.75" customHeight="1">
      <c r="A388" s="393"/>
      <c r="C388" s="20"/>
      <c r="E388" s="387"/>
      <c r="F388" s="388">
        <f t="shared" si="109"/>
        <v>0</v>
      </c>
      <c r="H388" s="341" t="str">
        <f>IF(A388="","",VLOOKUP(A388,VII.A!$A$10:$D$199,4,FALSE))</f>
        <v/>
      </c>
      <c r="I388" s="341" t="str">
        <f t="shared" si="110"/>
        <v/>
      </c>
      <c r="J388" s="341" t="str">
        <f>IF(A388="","",VLOOKUP(A388,VII.A!$A$10:$D$199,3,FALSE))</f>
        <v/>
      </c>
      <c r="K388" s="342" t="str">
        <f t="shared" si="111"/>
        <v/>
      </c>
      <c r="L388" s="380" t="str">
        <f>IF(C388="","",G347*C388)</f>
        <v/>
      </c>
      <c r="M388" s="381" t="str">
        <f>IF(A388="","",VLOOKUP(A388,VII.A!$A$10:$B$199,2,FALSE))</f>
        <v/>
      </c>
      <c r="N388" s="342" t="str">
        <f t="shared" si="112"/>
        <v/>
      </c>
      <c r="R388" s="341"/>
      <c r="S388" s="341"/>
    </row>
    <row r="389" spans="1:25" ht="12.75" customHeight="1">
      <c r="A389" s="393"/>
      <c r="C389" s="20"/>
      <c r="E389" s="387"/>
      <c r="F389" s="388">
        <f t="shared" si="109"/>
        <v>0</v>
      </c>
      <c r="H389" s="341" t="str">
        <f>IF(A389="","",VLOOKUP(A389,VII.A!$A$10:$D$199,4,FALSE))</f>
        <v/>
      </c>
      <c r="I389" s="341" t="str">
        <f t="shared" si="110"/>
        <v/>
      </c>
      <c r="J389" s="341" t="str">
        <f>IF(A389="","",VLOOKUP(A389,VII.A!$A$10:$D$199,3,FALSE))</f>
        <v/>
      </c>
      <c r="K389" s="342" t="str">
        <f t="shared" si="111"/>
        <v/>
      </c>
      <c r="L389" s="380" t="str">
        <f>IF(C389="","",G347*C389)</f>
        <v/>
      </c>
      <c r="M389" s="381" t="str">
        <f>IF(A389="","",VLOOKUP(A389,VII.A!$A$10:$B$199,2,FALSE))</f>
        <v/>
      </c>
      <c r="N389" s="342" t="str">
        <f t="shared" si="112"/>
        <v/>
      </c>
      <c r="R389" s="341"/>
      <c r="S389" s="341"/>
    </row>
    <row r="390" spans="1:25" ht="12.75" customHeight="1">
      <c r="A390" s="393"/>
      <c r="B390" s="395" t="s">
        <v>226</v>
      </c>
      <c r="C390" s="396"/>
      <c r="D390" s="397"/>
      <c r="E390" s="398"/>
      <c r="F390" s="399">
        <f>SUM(F383:F389)</f>
        <v>0</v>
      </c>
      <c r="J390" s="341"/>
      <c r="L390" s="380"/>
      <c r="M390" s="381"/>
      <c r="N390" s="342"/>
      <c r="R390" s="341"/>
      <c r="S390" s="341"/>
    </row>
    <row r="391" spans="1:25" ht="12.75" customHeight="1">
      <c r="A391" s="393"/>
      <c r="B391" s="400" t="s">
        <v>229</v>
      </c>
      <c r="C391" s="2">
        <f>IX.A!$C$45</f>
        <v>0</v>
      </c>
      <c r="D391" s="401"/>
      <c r="E391" s="402"/>
      <c r="F391" s="403">
        <f>ROUND(F390*C391,2)</f>
        <v>0</v>
      </c>
      <c r="J391" s="341"/>
      <c r="L391" s="380"/>
      <c r="M391" s="381"/>
      <c r="N391" s="342"/>
      <c r="R391" s="341"/>
      <c r="S391" s="341"/>
    </row>
    <row r="392" spans="1:25" ht="12.75" customHeight="1">
      <c r="A392" s="393"/>
      <c r="B392" s="400" t="s">
        <v>53</v>
      </c>
      <c r="C392" s="2">
        <f>$D$8</f>
        <v>0</v>
      </c>
      <c r="D392" s="401"/>
      <c r="E392" s="402"/>
      <c r="F392" s="403">
        <f>ROUND(SUM(F390:F391)*C392,2)</f>
        <v>0</v>
      </c>
      <c r="J392" s="341"/>
      <c r="L392" s="380"/>
      <c r="M392" s="381"/>
      <c r="N392" s="342"/>
      <c r="R392" s="341"/>
      <c r="S392" s="341"/>
    </row>
    <row r="393" spans="1:25" ht="12.75" customHeight="1" thickBot="1">
      <c r="A393" s="414"/>
      <c r="B393" s="415" t="s">
        <v>230</v>
      </c>
      <c r="C393" s="416"/>
      <c r="D393" s="416"/>
      <c r="E393" s="417"/>
      <c r="F393" s="418">
        <f>SUM(F390:F392)</f>
        <v>0</v>
      </c>
      <c r="J393" s="341"/>
      <c r="L393" s="380"/>
      <c r="M393" s="381"/>
      <c r="N393" s="342"/>
      <c r="R393" s="341"/>
      <c r="S393" s="341"/>
    </row>
    <row r="394" spans="1:25" ht="12.75" customHeight="1" thickBot="1">
      <c r="A394" s="357"/>
      <c r="B394" s="358"/>
      <c r="C394" s="359"/>
      <c r="D394" s="359"/>
      <c r="E394" s="360"/>
      <c r="F394" s="419"/>
      <c r="J394" s="341"/>
      <c r="L394" s="380"/>
      <c r="M394" s="381"/>
      <c r="N394" s="342"/>
      <c r="R394" s="341"/>
      <c r="S394" s="341"/>
    </row>
    <row r="395" spans="1:25" ht="30" customHeight="1">
      <c r="A395" s="370" t="str">
        <f>IV.A!$A$28</f>
        <v>2.1.4</v>
      </c>
      <c r="B395" s="371" t="str">
        <f>IV.A!$B$28</f>
        <v>DEMOLIÇÃO DE SARJETAS EM CONCRETO</v>
      </c>
      <c r="C395" s="871" t="s">
        <v>237</v>
      </c>
      <c r="D395" s="872"/>
      <c r="E395" s="372" t="str">
        <f>IV.A!$C$28</f>
        <v>M2</v>
      </c>
      <c r="F395" s="11">
        <f>ROUND(F415+F429+F441,2)</f>
        <v>0</v>
      </c>
      <c r="G395" s="1">
        <f>VLOOKUP(A395,IV.A!$A$16:$L$172,4,FALSE)</f>
        <v>20</v>
      </c>
      <c r="H395" s="361">
        <f>SUM(F397:F412)+F414</f>
        <v>0</v>
      </c>
      <c r="I395" s="361">
        <f>SUM(F417:F426)+F428</f>
        <v>0</v>
      </c>
      <c r="J395" s="361">
        <f>SUM(F431:F437)+F439+F440</f>
        <v>0</v>
      </c>
      <c r="K395" s="361">
        <f>SUM(H395:J395)</f>
        <v>0</v>
      </c>
      <c r="L395" s="362" t="str">
        <f>IF(K395=F395,"SIM","NÃO")</f>
        <v>SIM</v>
      </c>
      <c r="M395" s="373">
        <f>ROUND(SUM(F397:F412),2)+ROUND(SUM(F397:F412)*C414,2)+ROUND(SUM(F417:F426)*C428,2)+ROUND(SUM(F417:F426),2)+ROUND(SUM(F431:F437)*C439,2)+ROUND((SUM(F431:F437)+ROUND(SUM(F431:F437)*C439,2))*C440,2)+ROUND(SUM(F431:F437),2)</f>
        <v>0</v>
      </c>
      <c r="N395" s="343" t="str">
        <f>IF(M395=F395,"SIM","NÃO")</f>
        <v>SIM</v>
      </c>
      <c r="O395" s="364" t="str">
        <f>VLOOKUP(A395,IV.A!$A$16:$E$172,3,FALSE)</f>
        <v>M2</v>
      </c>
      <c r="P395" s="344" t="str">
        <f>IF(O395=E395,"SIM","NÃO")</f>
        <v>SIM</v>
      </c>
      <c r="Q395" s="365">
        <f>ROUND(G395*F415,2)+ROUND(G395*F429,2)+ROUND(G395*F441,2)</f>
        <v>0</v>
      </c>
      <c r="R395" s="364">
        <f>VLOOKUP(A395,IV.A!$A$16:$L$172,12,FALSE)</f>
        <v>0</v>
      </c>
      <c r="S395" s="366" t="str">
        <f>IF(Q395=R395,"si","no")</f>
        <v>si</v>
      </c>
      <c r="T395" s="367">
        <f>SUM(L397:L412)+SUM(L417:L426)+SUM(L431:L437)</f>
        <v>17.600000000000001</v>
      </c>
      <c r="U395" s="341">
        <f>(SUM(C397:C412)+SUM(C417:C426)+SUM(C431:C437))*G395</f>
        <v>17.600000000000001</v>
      </c>
      <c r="V395" s="368" t="str">
        <f>IF(T395=U395,"si","no")</f>
        <v>si</v>
      </c>
      <c r="W395" s="369">
        <f>SUM(F397:F412)</f>
        <v>0</v>
      </c>
      <c r="X395" s="369">
        <f>SUM(F417:F426)</f>
        <v>0</v>
      </c>
      <c r="Y395" s="369">
        <f>SUM(F431:F437)</f>
        <v>0</v>
      </c>
    </row>
    <row r="396" spans="1:25" ht="12.75" customHeight="1">
      <c r="A396" s="374" t="s">
        <v>14</v>
      </c>
      <c r="B396" s="375" t="s">
        <v>132</v>
      </c>
      <c r="C396" s="376" t="s">
        <v>231</v>
      </c>
      <c r="D396" s="376" t="s">
        <v>232</v>
      </c>
      <c r="E396" s="377" t="s">
        <v>233</v>
      </c>
      <c r="F396" s="378" t="s">
        <v>234</v>
      </c>
      <c r="G396" s="379"/>
      <c r="J396" s="341"/>
      <c r="L396" s="380"/>
      <c r="M396" s="381"/>
      <c r="N396" s="342"/>
      <c r="O396" s="382"/>
      <c r="P396" s="383"/>
      <c r="Q396" s="383"/>
      <c r="R396" s="383"/>
      <c r="S396" s="383"/>
      <c r="T396" s="382"/>
      <c r="U396" s="341"/>
      <c r="V396" s="384"/>
      <c r="W396" s="384"/>
      <c r="X396" s="384"/>
      <c r="Y396" s="384"/>
    </row>
    <row r="397" spans="1:25" ht="12.75" customHeight="1">
      <c r="A397" s="385"/>
      <c r="B397" s="386"/>
      <c r="C397" s="20"/>
      <c r="D397" s="342"/>
      <c r="E397" s="387"/>
      <c r="F397" s="388">
        <f>ROUND(C397*E397,2)</f>
        <v>0</v>
      </c>
      <c r="H397" s="341" t="str">
        <f>IF(A397="","",VLOOKUP(A397,VII.A!$A$10:$D$199,4,FALSE))</f>
        <v/>
      </c>
      <c r="I397" s="341" t="str">
        <f t="shared" ref="I397:I412" si="113">IF(A397="","",IF(E397=H397,"SIM","NÃO"))</f>
        <v/>
      </c>
      <c r="J397" s="341" t="str">
        <f>IF(A397="","",VLOOKUP(A397,VII.A!$A$10:$D$199,3,FALSE))</f>
        <v/>
      </c>
      <c r="K397" s="342" t="str">
        <f t="shared" ref="K397:K412" si="114">IF(A397="","",IF(J397=D397,"SIM","NÃO"))</f>
        <v/>
      </c>
      <c r="L397" s="380" t="str">
        <f>IF(C397="","",G395*C397)</f>
        <v/>
      </c>
      <c r="M397" s="381" t="str">
        <f>IF(A397="","",VLOOKUP(A397,VII.A!$A$10:$B$199,2,FALSE))</f>
        <v/>
      </c>
      <c r="N397" s="342" t="str">
        <f t="shared" ref="N397:N412" si="115">IF(B397="","",IF(M397=B397,"si","no"))</f>
        <v/>
      </c>
      <c r="R397" s="341"/>
      <c r="S397" s="341"/>
    </row>
    <row r="398" spans="1:25" ht="12.75" customHeight="1">
      <c r="A398" s="385"/>
      <c r="B398" s="386"/>
      <c r="C398" s="20"/>
      <c r="D398" s="342"/>
      <c r="E398" s="387"/>
      <c r="F398" s="388">
        <f t="shared" ref="F398:F412" si="116">ROUND(C398*E398,2)</f>
        <v>0</v>
      </c>
      <c r="H398" s="341" t="str">
        <f>IF(A398="","",VLOOKUP(A398,VII.A!$A$10:$D$199,4,FALSE))</f>
        <v/>
      </c>
      <c r="I398" s="341" t="str">
        <f t="shared" si="113"/>
        <v/>
      </c>
      <c r="J398" s="341" t="str">
        <f>IF(A398="","",VLOOKUP(A398,VII.A!$A$10:$D$199,3,FALSE))</f>
        <v/>
      </c>
      <c r="K398" s="342" t="str">
        <f t="shared" si="114"/>
        <v/>
      </c>
      <c r="L398" s="380" t="str">
        <f>IF(C398="","",G395*C398)</f>
        <v/>
      </c>
      <c r="M398" s="381" t="str">
        <f>IF(A398="","",VLOOKUP(A398,VII.A!$A$10:$B$199,2,FALSE))</f>
        <v/>
      </c>
      <c r="N398" s="342" t="str">
        <f t="shared" si="115"/>
        <v/>
      </c>
      <c r="R398" s="341"/>
      <c r="S398" s="341"/>
    </row>
    <row r="399" spans="1:25" ht="12.75" customHeight="1">
      <c r="A399" s="385"/>
      <c r="B399" s="386"/>
      <c r="C399" s="20"/>
      <c r="D399" s="342"/>
      <c r="E399" s="387"/>
      <c r="F399" s="388">
        <f t="shared" si="116"/>
        <v>0</v>
      </c>
      <c r="H399" s="341" t="str">
        <f>IF(A399="","",VLOOKUP(A399,VII.A!$A$10:$D$199,4,FALSE))</f>
        <v/>
      </c>
      <c r="I399" s="341" t="str">
        <f t="shared" si="113"/>
        <v/>
      </c>
      <c r="J399" s="341" t="str">
        <f>IF(A399="","",VLOOKUP(A399,VII.A!$A$10:$D$199,3,FALSE))</f>
        <v/>
      </c>
      <c r="K399" s="342" t="str">
        <f t="shared" si="114"/>
        <v/>
      </c>
      <c r="L399" s="380" t="str">
        <f>IF(C399="","",G395*C399)</f>
        <v/>
      </c>
      <c r="M399" s="381" t="str">
        <f>IF(A399="","",VLOOKUP(A399,VII.A!$A$10:$B$199,2,FALSE))</f>
        <v/>
      </c>
      <c r="N399" s="342" t="str">
        <f t="shared" si="115"/>
        <v/>
      </c>
      <c r="R399" s="341"/>
      <c r="S399" s="341"/>
    </row>
    <row r="400" spans="1:25" ht="12.75" customHeight="1">
      <c r="A400" s="385"/>
      <c r="B400" s="386"/>
      <c r="C400" s="20"/>
      <c r="D400" s="342"/>
      <c r="E400" s="387"/>
      <c r="F400" s="388">
        <f t="shared" si="116"/>
        <v>0</v>
      </c>
      <c r="H400" s="341" t="str">
        <f>IF(A400="","",VLOOKUP(A400,VII.A!$A$10:$D$199,4,FALSE))</f>
        <v/>
      </c>
      <c r="I400" s="341" t="str">
        <f t="shared" si="113"/>
        <v/>
      </c>
      <c r="J400" s="341" t="str">
        <f>IF(A400="","",VLOOKUP(A400,VII.A!$A$10:$D$199,3,FALSE))</f>
        <v/>
      </c>
      <c r="K400" s="342" t="str">
        <f t="shared" si="114"/>
        <v/>
      </c>
      <c r="L400" s="380" t="str">
        <f>IF(C400="","",G395*C400)</f>
        <v/>
      </c>
      <c r="M400" s="381" t="str">
        <f>IF(A400="","",VLOOKUP(A400,VII.A!$A$10:$B$199,2,FALSE))</f>
        <v/>
      </c>
      <c r="N400" s="342" t="str">
        <f t="shared" si="115"/>
        <v/>
      </c>
      <c r="R400" s="341"/>
      <c r="S400" s="341"/>
    </row>
    <row r="401" spans="1:21" ht="12.75" customHeight="1">
      <c r="A401" s="385"/>
      <c r="B401" s="386"/>
      <c r="C401" s="20"/>
      <c r="D401" s="342"/>
      <c r="E401" s="387"/>
      <c r="F401" s="388">
        <f t="shared" si="116"/>
        <v>0</v>
      </c>
      <c r="H401" s="341" t="str">
        <f>IF(A401="","",VLOOKUP(A401,VII.A!$A$10:$D$199,4,FALSE))</f>
        <v/>
      </c>
      <c r="I401" s="341" t="str">
        <f t="shared" si="113"/>
        <v/>
      </c>
      <c r="J401" s="341" t="str">
        <f>IF(A401="","",VLOOKUP(A401,VII.A!$A$10:$D$199,3,FALSE))</f>
        <v/>
      </c>
      <c r="K401" s="342" t="str">
        <f t="shared" si="114"/>
        <v/>
      </c>
      <c r="L401" s="380" t="str">
        <f>IF(C401="","",G395*C401)</f>
        <v/>
      </c>
      <c r="M401" s="381" t="str">
        <f>IF(A401="","",VLOOKUP(A401,VII.A!$A$10:$B$199,2,FALSE))</f>
        <v/>
      </c>
      <c r="N401" s="342" t="str">
        <f t="shared" si="115"/>
        <v/>
      </c>
      <c r="R401" s="341"/>
      <c r="S401" s="341"/>
    </row>
    <row r="402" spans="1:21" ht="12.75" customHeight="1">
      <c r="A402" s="385"/>
      <c r="B402" s="386"/>
      <c r="C402" s="20"/>
      <c r="D402" s="342"/>
      <c r="E402" s="387"/>
      <c r="F402" s="388">
        <f t="shared" si="116"/>
        <v>0</v>
      </c>
      <c r="H402" s="341" t="str">
        <f>IF(A402="","",VLOOKUP(A402,VII.A!$A$10:$D$199,4,FALSE))</f>
        <v/>
      </c>
      <c r="I402" s="341" t="str">
        <f t="shared" si="113"/>
        <v/>
      </c>
      <c r="J402" s="341" t="str">
        <f>IF(A402="","",VLOOKUP(A402,VII.A!$A$10:$D$199,3,FALSE))</f>
        <v/>
      </c>
      <c r="K402" s="342" t="str">
        <f t="shared" si="114"/>
        <v/>
      </c>
      <c r="L402" s="380" t="str">
        <f>IF(C402="","",G395*C402)</f>
        <v/>
      </c>
      <c r="M402" s="381" t="str">
        <f>IF(A402="","",VLOOKUP(A402,VII.A!$A$10:$B$199,2,FALSE))</f>
        <v/>
      </c>
      <c r="N402" s="342" t="str">
        <f t="shared" si="115"/>
        <v/>
      </c>
      <c r="R402" s="341"/>
      <c r="S402" s="341"/>
      <c r="U402" s="389"/>
    </row>
    <row r="403" spans="1:21" ht="12.75" customHeight="1">
      <c r="A403" s="385"/>
      <c r="B403" s="386"/>
      <c r="C403" s="20"/>
      <c r="D403" s="342"/>
      <c r="E403" s="387"/>
      <c r="F403" s="388">
        <f t="shared" si="116"/>
        <v>0</v>
      </c>
      <c r="H403" s="341" t="str">
        <f>IF(A403="","",VLOOKUP(A403,VII.A!$A$10:$D$199,4,FALSE))</f>
        <v/>
      </c>
      <c r="I403" s="341" t="str">
        <f t="shared" si="113"/>
        <v/>
      </c>
      <c r="J403" s="341" t="str">
        <f>IF(A403="","",VLOOKUP(A403,VII.A!$A$10:$D$199,3,FALSE))</f>
        <v/>
      </c>
      <c r="K403" s="342" t="str">
        <f t="shared" si="114"/>
        <v/>
      </c>
      <c r="L403" s="380" t="str">
        <f>IF(C403="","",G395*C403)</f>
        <v/>
      </c>
      <c r="M403" s="381" t="str">
        <f>IF(A403="","",VLOOKUP(A403,VII.A!$A$10:$B$199,2,FALSE))</f>
        <v/>
      </c>
      <c r="N403" s="342" t="str">
        <f t="shared" si="115"/>
        <v/>
      </c>
      <c r="R403" s="341"/>
      <c r="S403" s="341"/>
    </row>
    <row r="404" spans="1:21" ht="12.75" customHeight="1">
      <c r="A404" s="385"/>
      <c r="B404" s="386"/>
      <c r="C404" s="20"/>
      <c r="D404" s="342"/>
      <c r="E404" s="387"/>
      <c r="F404" s="388">
        <f t="shared" si="116"/>
        <v>0</v>
      </c>
      <c r="G404" s="390"/>
      <c r="H404" s="341" t="str">
        <f>IF(A404="","",VLOOKUP(A404,VII.A!$A$10:$D$199,4,FALSE))</f>
        <v/>
      </c>
      <c r="I404" s="341" t="str">
        <f t="shared" si="113"/>
        <v/>
      </c>
      <c r="J404" s="341" t="str">
        <f>IF(A404="","",VLOOKUP(A404,VII.A!$A$10:$D$199,3,FALSE))</f>
        <v/>
      </c>
      <c r="K404" s="342" t="str">
        <f t="shared" si="114"/>
        <v/>
      </c>
      <c r="L404" s="380" t="str">
        <f>IF(C404="","",G395*C404)</f>
        <v/>
      </c>
      <c r="M404" s="381" t="str">
        <f>IF(A404="","",VLOOKUP(A404,VII.A!$A$10:$B$199,2,FALSE))</f>
        <v/>
      </c>
      <c r="N404" s="342" t="str">
        <f t="shared" si="115"/>
        <v/>
      </c>
      <c r="R404" s="341"/>
      <c r="S404" s="341"/>
    </row>
    <row r="405" spans="1:21" ht="12.75" customHeight="1">
      <c r="A405" s="385"/>
      <c r="B405" s="386"/>
      <c r="C405" s="20"/>
      <c r="D405" s="342"/>
      <c r="E405" s="387"/>
      <c r="F405" s="388">
        <f t="shared" si="116"/>
        <v>0</v>
      </c>
      <c r="G405" s="390"/>
      <c r="H405" s="341" t="str">
        <f>IF(A405="","",VLOOKUP(A405,VII.A!$A$10:$D$199,4,FALSE))</f>
        <v/>
      </c>
      <c r="I405" s="341" t="str">
        <f t="shared" si="113"/>
        <v/>
      </c>
      <c r="J405" s="341" t="str">
        <f>IF(A405="","",VLOOKUP(A405,VII.A!$A$10:$D$199,3,FALSE))</f>
        <v/>
      </c>
      <c r="K405" s="342" t="str">
        <f t="shared" si="114"/>
        <v/>
      </c>
      <c r="L405" s="380" t="str">
        <f>IF(C405="","",G395*C405)</f>
        <v/>
      </c>
      <c r="M405" s="381" t="str">
        <f>IF(A405="","",VLOOKUP(A405,VII.A!$A$10:$B$199,2,FALSE))</f>
        <v/>
      </c>
      <c r="N405" s="342" t="str">
        <f t="shared" si="115"/>
        <v/>
      </c>
      <c r="R405" s="341"/>
      <c r="S405" s="341"/>
    </row>
    <row r="406" spans="1:21" ht="12.75" customHeight="1">
      <c r="A406" s="385"/>
      <c r="B406" s="386"/>
      <c r="C406" s="20"/>
      <c r="D406" s="342"/>
      <c r="E406" s="387"/>
      <c r="F406" s="388">
        <f t="shared" si="116"/>
        <v>0</v>
      </c>
      <c r="G406" s="391"/>
      <c r="H406" s="341" t="str">
        <f>IF(A406="","",VLOOKUP(A406,VII.A!$A$10:$D$199,4,FALSE))</f>
        <v/>
      </c>
      <c r="I406" s="341" t="str">
        <f t="shared" si="113"/>
        <v/>
      </c>
      <c r="J406" s="341" t="str">
        <f>IF(A406="","",VLOOKUP(A406,VII.A!$A$10:$D$199,3,FALSE))</f>
        <v/>
      </c>
      <c r="K406" s="342" t="str">
        <f t="shared" si="114"/>
        <v/>
      </c>
      <c r="L406" s="380" t="str">
        <f>IF(C406="","",G395*C406)</f>
        <v/>
      </c>
      <c r="M406" s="381" t="str">
        <f>IF(A406="","",VLOOKUP(A406,VII.A!$A$10:$B$199,2,FALSE))</f>
        <v/>
      </c>
      <c r="N406" s="342" t="str">
        <f t="shared" si="115"/>
        <v/>
      </c>
      <c r="R406" s="341"/>
      <c r="S406" s="341"/>
    </row>
    <row r="407" spans="1:21" ht="12.75" customHeight="1">
      <c r="A407" s="385"/>
      <c r="B407" s="386"/>
      <c r="C407" s="20"/>
      <c r="D407" s="342"/>
      <c r="E407" s="387"/>
      <c r="F407" s="388">
        <f t="shared" si="116"/>
        <v>0</v>
      </c>
      <c r="H407" s="341" t="str">
        <f>IF(A407="","",VLOOKUP(A407,VII.A!$A$10:$D$199,4,FALSE))</f>
        <v/>
      </c>
      <c r="I407" s="341" t="str">
        <f t="shared" si="113"/>
        <v/>
      </c>
      <c r="J407" s="341" t="str">
        <f>IF(A407="","",VLOOKUP(A407,VII.A!$A$10:$D$199,3,FALSE))</f>
        <v/>
      </c>
      <c r="K407" s="342" t="str">
        <f t="shared" si="114"/>
        <v/>
      </c>
      <c r="L407" s="380" t="str">
        <f>IF(C407="","",G395*C407)</f>
        <v/>
      </c>
      <c r="M407" s="381" t="str">
        <f>IF(A407="","",VLOOKUP(A407,VII.A!$A$10:$B$199,2,FALSE))</f>
        <v/>
      </c>
      <c r="N407" s="342" t="str">
        <f t="shared" si="115"/>
        <v/>
      </c>
      <c r="R407" s="341"/>
      <c r="S407" s="341"/>
    </row>
    <row r="408" spans="1:21" ht="12.75" customHeight="1">
      <c r="A408" s="385"/>
      <c r="B408" s="386"/>
      <c r="C408" s="20"/>
      <c r="D408" s="392"/>
      <c r="E408" s="387"/>
      <c r="F408" s="388">
        <f t="shared" si="116"/>
        <v>0</v>
      </c>
      <c r="H408" s="341" t="str">
        <f>IF(A408="","",VLOOKUP(A408,VII.A!$A$10:$D$199,4,FALSE))</f>
        <v/>
      </c>
      <c r="I408" s="341" t="str">
        <f t="shared" si="113"/>
        <v/>
      </c>
      <c r="J408" s="341" t="str">
        <f>IF(A408="","",VLOOKUP(A408,VII.A!$A$10:$D$199,3,FALSE))</f>
        <v/>
      </c>
      <c r="K408" s="342" t="str">
        <f t="shared" si="114"/>
        <v/>
      </c>
      <c r="L408" s="380" t="str">
        <f>IF(C408="","",G395*C408)</f>
        <v/>
      </c>
      <c r="M408" s="381" t="str">
        <f>IF(A408="","",VLOOKUP(A408,VII.A!$A$10:$B$199,2,FALSE))</f>
        <v/>
      </c>
      <c r="N408" s="342" t="str">
        <f t="shared" si="115"/>
        <v/>
      </c>
      <c r="R408" s="341"/>
      <c r="S408" s="341"/>
    </row>
    <row r="409" spans="1:21" ht="12.75" customHeight="1">
      <c r="A409" s="385"/>
      <c r="B409" s="386"/>
      <c r="C409" s="20"/>
      <c r="D409" s="392"/>
      <c r="E409" s="387"/>
      <c r="F409" s="388">
        <f t="shared" si="116"/>
        <v>0</v>
      </c>
      <c r="H409" s="341" t="str">
        <f>IF(A409="","",VLOOKUP(A409,VII.A!$A$10:$D$199,4,FALSE))</f>
        <v/>
      </c>
      <c r="I409" s="341" t="str">
        <f t="shared" si="113"/>
        <v/>
      </c>
      <c r="J409" s="341" t="str">
        <f>IF(A409="","",VLOOKUP(A409,VII.A!$A$10:$D$199,3,FALSE))</f>
        <v/>
      </c>
      <c r="K409" s="342" t="str">
        <f t="shared" si="114"/>
        <v/>
      </c>
      <c r="L409" s="380" t="str">
        <f>IF(C409="","",G395*C409)</f>
        <v/>
      </c>
      <c r="M409" s="381" t="str">
        <f>IF(A409="","",VLOOKUP(A409,VII.A!$A$10:$B$199,2,FALSE))</f>
        <v/>
      </c>
      <c r="N409" s="342" t="str">
        <f t="shared" si="115"/>
        <v/>
      </c>
      <c r="O409" s="342"/>
      <c r="R409" s="341"/>
      <c r="S409" s="341"/>
    </row>
    <row r="410" spans="1:21" ht="12.75" customHeight="1">
      <c r="A410" s="385"/>
      <c r="B410" s="386"/>
      <c r="C410" s="20"/>
      <c r="D410" s="392"/>
      <c r="E410" s="387"/>
      <c r="F410" s="388">
        <f t="shared" si="116"/>
        <v>0</v>
      </c>
      <c r="H410" s="341" t="str">
        <f>IF(A410="","",VLOOKUP(A410,VII.A!$A$10:$D$199,4,FALSE))</f>
        <v/>
      </c>
      <c r="I410" s="341" t="str">
        <f t="shared" si="113"/>
        <v/>
      </c>
      <c r="J410" s="341" t="str">
        <f>IF(A410="","",VLOOKUP(A410,VII.A!$A$10:$D$199,3,FALSE))</f>
        <v/>
      </c>
      <c r="K410" s="342" t="str">
        <f t="shared" si="114"/>
        <v/>
      </c>
      <c r="L410" s="380" t="str">
        <f>IF(C410="","",G395*C410)</f>
        <v/>
      </c>
      <c r="M410" s="381" t="str">
        <f>IF(A410="","",VLOOKUP(A410,VII.A!$A$10:$B$199,2,FALSE))</f>
        <v/>
      </c>
      <c r="N410" s="342" t="str">
        <f t="shared" si="115"/>
        <v/>
      </c>
      <c r="R410" s="341"/>
      <c r="S410" s="341"/>
    </row>
    <row r="411" spans="1:21" ht="12.75" customHeight="1">
      <c r="A411" s="393"/>
      <c r="C411" s="20"/>
      <c r="E411" s="387"/>
      <c r="F411" s="388">
        <f t="shared" si="116"/>
        <v>0</v>
      </c>
      <c r="H411" s="341" t="str">
        <f>IF(A411="","",VLOOKUP(A411,VII.A!$A$10:$D$199,4,FALSE))</f>
        <v/>
      </c>
      <c r="I411" s="341" t="str">
        <f t="shared" si="113"/>
        <v/>
      </c>
      <c r="J411" s="341" t="str">
        <f>IF(A411="","",VLOOKUP(A411,VII.A!$A$10:$D$199,3,FALSE))</f>
        <v/>
      </c>
      <c r="K411" s="342" t="str">
        <f t="shared" si="114"/>
        <v/>
      </c>
      <c r="L411" s="380" t="str">
        <f>IF(C411="","",G395*C411)</f>
        <v/>
      </c>
      <c r="M411" s="381" t="str">
        <f>IF(A411="","",VLOOKUP(A411,VII.A!$A$10:$B$199,2,FALSE))</f>
        <v/>
      </c>
      <c r="N411" s="342" t="str">
        <f t="shared" si="115"/>
        <v/>
      </c>
      <c r="R411" s="341"/>
      <c r="S411" s="341"/>
    </row>
    <row r="412" spans="1:21" ht="12.75" customHeight="1">
      <c r="A412" s="393"/>
      <c r="C412" s="20"/>
      <c r="E412" s="387"/>
      <c r="F412" s="388">
        <f t="shared" si="116"/>
        <v>0</v>
      </c>
      <c r="H412" s="341" t="str">
        <f>IF(A412="","",VLOOKUP(A412,VII.A!$A$10:$D$199,4,FALSE))</f>
        <v/>
      </c>
      <c r="I412" s="341" t="str">
        <f t="shared" si="113"/>
        <v/>
      </c>
      <c r="J412" s="341" t="str">
        <f>IF(A412="","",VLOOKUP(A412,VII.A!$A$10:$D$199,3,FALSE))</f>
        <v/>
      </c>
      <c r="K412" s="342" t="str">
        <f t="shared" si="114"/>
        <v/>
      </c>
      <c r="L412" s="380" t="str">
        <f>IF(C412="","",G395*C412)</f>
        <v/>
      </c>
      <c r="M412" s="381" t="str">
        <f>IF(A412="","",VLOOKUP(A412,VII.A!$A$10:$B$199,2,FALSE))</f>
        <v/>
      </c>
      <c r="N412" s="342" t="str">
        <f t="shared" si="115"/>
        <v/>
      </c>
      <c r="R412" s="341"/>
      <c r="S412" s="341"/>
    </row>
    <row r="413" spans="1:21" ht="12.75" customHeight="1">
      <c r="A413" s="393"/>
      <c r="B413" s="395" t="s">
        <v>226</v>
      </c>
      <c r="C413" s="396"/>
      <c r="D413" s="397"/>
      <c r="E413" s="398"/>
      <c r="F413" s="399">
        <f>SUM(F397:F412)</f>
        <v>0</v>
      </c>
      <c r="H413" s="426" t="s">
        <v>391</v>
      </c>
      <c r="J413" s="341"/>
      <c r="L413" s="380"/>
      <c r="M413" s="381"/>
      <c r="N413" s="342"/>
      <c r="R413" s="341"/>
      <c r="S413" s="341"/>
    </row>
    <row r="414" spans="1:21" ht="12.75" customHeight="1">
      <c r="A414" s="393"/>
      <c r="B414" s="400" t="s">
        <v>53</v>
      </c>
      <c r="C414" s="2">
        <f>$D$8</f>
        <v>0</v>
      </c>
      <c r="D414" s="401"/>
      <c r="E414" s="402"/>
      <c r="F414" s="403">
        <f>ROUND(F413*C414,2)</f>
        <v>0</v>
      </c>
      <c r="J414" s="341"/>
      <c r="L414" s="380"/>
      <c r="M414" s="381"/>
      <c r="N414" s="342"/>
      <c r="R414" s="341"/>
      <c r="S414" s="341"/>
    </row>
    <row r="415" spans="1:21" ht="12.75" customHeight="1">
      <c r="A415" s="404"/>
      <c r="B415" s="405" t="s">
        <v>227</v>
      </c>
      <c r="C415" s="406"/>
      <c r="D415" s="406"/>
      <c r="E415" s="407"/>
      <c r="F415" s="408">
        <f>F413+F414</f>
        <v>0</v>
      </c>
      <c r="J415" s="341"/>
      <c r="L415" s="380"/>
      <c r="M415" s="381"/>
      <c r="N415" s="342"/>
      <c r="R415" s="341"/>
      <c r="S415" s="341"/>
    </row>
    <row r="416" spans="1:21" ht="12.75" customHeight="1">
      <c r="A416" s="374" t="s">
        <v>2</v>
      </c>
      <c r="B416" s="375" t="s">
        <v>235</v>
      </c>
      <c r="C416" s="376" t="s">
        <v>231</v>
      </c>
      <c r="D416" s="376" t="s">
        <v>232</v>
      </c>
      <c r="E416" s="377" t="s">
        <v>233</v>
      </c>
      <c r="F416" s="378" t="s">
        <v>234</v>
      </c>
      <c r="J416" s="341"/>
      <c r="L416" s="380"/>
      <c r="M416" s="381"/>
      <c r="N416" s="342"/>
      <c r="R416" s="341"/>
      <c r="S416" s="341"/>
    </row>
    <row r="417" spans="1:19" ht="12.75" customHeight="1">
      <c r="A417" s="393"/>
      <c r="B417" s="423"/>
      <c r="C417" s="20"/>
      <c r="E417" s="387"/>
      <c r="F417" s="388">
        <f t="shared" ref="F417:F426" si="117">ROUND(C417*E417,2)</f>
        <v>0</v>
      </c>
      <c r="H417" s="341" t="str">
        <f>IF(A417="","",VLOOKUP(A417,VII.A!$A$10:$D$199,4,FALSE))</f>
        <v/>
      </c>
      <c r="I417" s="341" t="str">
        <f t="shared" ref="I417:I426" si="118">IF(A417="","",IF(E417=H417,"SIM","NÃO"))</f>
        <v/>
      </c>
      <c r="J417" s="341" t="str">
        <f>IF(A417="","",VLOOKUP(A417,VII.A!$A$10:$D$199,3,FALSE))</f>
        <v/>
      </c>
      <c r="K417" s="342" t="str">
        <f t="shared" ref="K417:K426" si="119">IF(A417="","",IF(J417=D417,"SIM","NÃO"))</f>
        <v/>
      </c>
      <c r="L417" s="380" t="str">
        <f>IF(C417="","",G395*C417)</f>
        <v/>
      </c>
      <c r="M417" s="381" t="str">
        <f>IF(A417="","",VLOOKUP(A417,VII.A!$A$10:$B$199,2,FALSE))</f>
        <v/>
      </c>
      <c r="N417" s="342" t="str">
        <f t="shared" ref="N417:N426" si="120">IF(B417="","",IF(M417=B417,"si","no"))</f>
        <v/>
      </c>
      <c r="R417" s="341"/>
      <c r="S417" s="341"/>
    </row>
    <row r="418" spans="1:19" ht="12.75" customHeight="1">
      <c r="A418" s="393"/>
      <c r="C418" s="20"/>
      <c r="E418" s="387"/>
      <c r="F418" s="388">
        <f t="shared" si="117"/>
        <v>0</v>
      </c>
      <c r="H418" s="341" t="str">
        <f>IF(A418="","",VLOOKUP(A418,VII.A!$A$10:$D$199,4,FALSE))</f>
        <v/>
      </c>
      <c r="I418" s="341" t="str">
        <f t="shared" si="118"/>
        <v/>
      </c>
      <c r="J418" s="341" t="str">
        <f>IF(A418="","",VLOOKUP(A418,VII.A!$A$10:$D$199,3,FALSE))</f>
        <v/>
      </c>
      <c r="K418" s="342" t="str">
        <f t="shared" si="119"/>
        <v/>
      </c>
      <c r="L418" s="380" t="str">
        <f>IF(C418="","",G395*C418)</f>
        <v/>
      </c>
      <c r="M418" s="381" t="str">
        <f>IF(A418="","",VLOOKUP(A418,VII.A!$A$10:$B$199,2,FALSE))</f>
        <v/>
      </c>
      <c r="N418" s="342" t="str">
        <f t="shared" si="120"/>
        <v/>
      </c>
      <c r="R418" s="341"/>
      <c r="S418" s="341"/>
    </row>
    <row r="419" spans="1:19" ht="12.75" customHeight="1">
      <c r="A419" s="393"/>
      <c r="C419" s="20"/>
      <c r="E419" s="387"/>
      <c r="F419" s="388">
        <f t="shared" si="117"/>
        <v>0</v>
      </c>
      <c r="H419" s="341" t="str">
        <f>IF(A419="","",VLOOKUP(A419,VII.A!$A$10:$D$199,4,FALSE))</f>
        <v/>
      </c>
      <c r="I419" s="341" t="str">
        <f t="shared" si="118"/>
        <v/>
      </c>
      <c r="J419" s="341" t="str">
        <f>IF(A419="","",VLOOKUP(A419,VII.A!$A$10:$D$199,3,FALSE))</f>
        <v/>
      </c>
      <c r="K419" s="342" t="str">
        <f t="shared" si="119"/>
        <v/>
      </c>
      <c r="L419" s="380" t="str">
        <f>IF(C419="","",G395*C419)</f>
        <v/>
      </c>
      <c r="M419" s="381" t="str">
        <f>IF(A419="","",VLOOKUP(A419,VII.A!$A$10:$B$199,2,FALSE))</f>
        <v/>
      </c>
      <c r="N419" s="342" t="str">
        <f t="shared" si="120"/>
        <v/>
      </c>
      <c r="R419" s="341"/>
      <c r="S419" s="341"/>
    </row>
    <row r="420" spans="1:19" ht="12.75" customHeight="1">
      <c r="A420" s="393"/>
      <c r="C420" s="20"/>
      <c r="E420" s="387"/>
      <c r="F420" s="388">
        <f t="shared" si="117"/>
        <v>0</v>
      </c>
      <c r="H420" s="341" t="str">
        <f>IF(A420="","",VLOOKUP(A420,VII.A!$A$10:$D$199,4,FALSE))</f>
        <v/>
      </c>
      <c r="I420" s="341" t="str">
        <f t="shared" si="118"/>
        <v/>
      </c>
      <c r="J420" s="341" t="str">
        <f>IF(A420="","",VLOOKUP(A420,VII.A!$A$10:$D$199,3,FALSE))</f>
        <v/>
      </c>
      <c r="K420" s="342" t="str">
        <f t="shared" si="119"/>
        <v/>
      </c>
      <c r="L420" s="380" t="str">
        <f>IF(C420="","",G395*C420)</f>
        <v/>
      </c>
      <c r="M420" s="381" t="str">
        <f>IF(A420="","",VLOOKUP(A420,VII.A!$A$10:$B$199,2,FALSE))</f>
        <v/>
      </c>
      <c r="N420" s="342" t="str">
        <f t="shared" si="120"/>
        <v/>
      </c>
      <c r="R420" s="341"/>
      <c r="S420" s="341"/>
    </row>
    <row r="421" spans="1:19" ht="12.75" customHeight="1">
      <c r="A421" s="393"/>
      <c r="C421" s="20"/>
      <c r="E421" s="387"/>
      <c r="F421" s="388">
        <f t="shared" si="117"/>
        <v>0</v>
      </c>
      <c r="G421" s="390"/>
      <c r="H421" s="341" t="str">
        <f>IF(A421="","",VLOOKUP(A421,VII.A!$A$10:$D$199,4,FALSE))</f>
        <v/>
      </c>
      <c r="I421" s="341" t="str">
        <f t="shared" si="118"/>
        <v/>
      </c>
      <c r="J421" s="341" t="str">
        <f>IF(A421="","",VLOOKUP(A421,VII.A!$A$10:$D$199,3,FALSE))</f>
        <v/>
      </c>
      <c r="K421" s="342" t="str">
        <f t="shared" si="119"/>
        <v/>
      </c>
      <c r="L421" s="380" t="str">
        <f>IF(C421="","",G395*C421)</f>
        <v/>
      </c>
      <c r="M421" s="381" t="str">
        <f>IF(A421="","",VLOOKUP(A421,VII.A!$A$10:$B$199,2,FALSE))</f>
        <v/>
      </c>
      <c r="N421" s="342" t="str">
        <f t="shared" si="120"/>
        <v/>
      </c>
      <c r="R421" s="341"/>
      <c r="S421" s="341"/>
    </row>
    <row r="422" spans="1:19" ht="12.75" customHeight="1">
      <c r="A422" s="393"/>
      <c r="C422" s="20"/>
      <c r="E422" s="387"/>
      <c r="F422" s="388">
        <f t="shared" si="117"/>
        <v>0</v>
      </c>
      <c r="G422" s="391"/>
      <c r="H422" s="341" t="str">
        <f>IF(A422="","",VLOOKUP(A422,VII.A!$A$10:$D$199,4,FALSE))</f>
        <v/>
      </c>
      <c r="I422" s="341" t="str">
        <f t="shared" si="118"/>
        <v/>
      </c>
      <c r="J422" s="341" t="str">
        <f>IF(A422="","",VLOOKUP(A422,VII.A!$A$10:$D$199,3,FALSE))</f>
        <v/>
      </c>
      <c r="K422" s="342" t="str">
        <f t="shared" si="119"/>
        <v/>
      </c>
      <c r="L422" s="380" t="str">
        <f>IF(C422="","",G395*C422)</f>
        <v/>
      </c>
      <c r="M422" s="381" t="str">
        <f>IF(A422="","",VLOOKUP(A422,VII.A!$A$10:$B$199,2,FALSE))</f>
        <v/>
      </c>
      <c r="N422" s="342" t="str">
        <f t="shared" si="120"/>
        <v/>
      </c>
      <c r="R422" s="341"/>
      <c r="S422" s="341"/>
    </row>
    <row r="423" spans="1:19" ht="12.75" customHeight="1">
      <c r="A423" s="393"/>
      <c r="C423" s="20"/>
      <c r="E423" s="387"/>
      <c r="F423" s="388">
        <f t="shared" si="117"/>
        <v>0</v>
      </c>
      <c r="H423" s="341" t="str">
        <f>IF(A423="","",VLOOKUP(A423,VII.A!$A$10:$D$199,4,FALSE))</f>
        <v/>
      </c>
      <c r="I423" s="341" t="str">
        <f t="shared" si="118"/>
        <v/>
      </c>
      <c r="J423" s="341" t="str">
        <f>IF(A423="","",VLOOKUP(A423,VII.A!$A$10:$D$199,3,FALSE))</f>
        <v/>
      </c>
      <c r="K423" s="342" t="str">
        <f t="shared" si="119"/>
        <v/>
      </c>
      <c r="L423" s="380" t="str">
        <f>IF(C423="","",G395*C423)</f>
        <v/>
      </c>
      <c r="M423" s="381" t="str">
        <f>IF(A423="","",VLOOKUP(A423,VII.A!$A$10:$B$199,2,FALSE))</f>
        <v/>
      </c>
      <c r="N423" s="342" t="str">
        <f t="shared" si="120"/>
        <v/>
      </c>
      <c r="R423" s="341"/>
      <c r="S423" s="341"/>
    </row>
    <row r="424" spans="1:19" ht="12.75" customHeight="1">
      <c r="A424" s="393"/>
      <c r="C424" s="20"/>
      <c r="E424" s="387"/>
      <c r="F424" s="388">
        <f t="shared" si="117"/>
        <v>0</v>
      </c>
      <c r="H424" s="341" t="str">
        <f>IF(A424="","",VLOOKUP(A424,VII.A!$A$10:$D$199,4,FALSE))</f>
        <v/>
      </c>
      <c r="I424" s="341" t="str">
        <f t="shared" si="118"/>
        <v/>
      </c>
      <c r="J424" s="341" t="str">
        <f>IF(A424="","",VLOOKUP(A424,VII.A!$A$10:$D$199,3,FALSE))</f>
        <v/>
      </c>
      <c r="K424" s="342" t="str">
        <f t="shared" si="119"/>
        <v/>
      </c>
      <c r="L424" s="380" t="str">
        <f>IF(C424="","",G395*C424)</f>
        <v/>
      </c>
      <c r="M424" s="381" t="str">
        <f>IF(A424="","",VLOOKUP(A424,VII.A!$A$10:$B$199,2,FALSE))</f>
        <v/>
      </c>
      <c r="N424" s="342" t="str">
        <f t="shared" si="120"/>
        <v/>
      </c>
      <c r="R424" s="341"/>
      <c r="S424" s="341"/>
    </row>
    <row r="425" spans="1:19" ht="12.75" customHeight="1">
      <c r="A425" s="393"/>
      <c r="C425" s="20"/>
      <c r="E425" s="387"/>
      <c r="F425" s="388">
        <f t="shared" si="117"/>
        <v>0</v>
      </c>
      <c r="H425" s="341" t="str">
        <f>IF(A425="","",VLOOKUP(A425,VII.A!$A$10:$D$199,4,FALSE))</f>
        <v/>
      </c>
      <c r="I425" s="341" t="str">
        <f t="shared" si="118"/>
        <v/>
      </c>
      <c r="J425" s="341" t="str">
        <f>IF(A425="","",VLOOKUP(A425,VII.A!$A$10:$D$199,3,FALSE))</f>
        <v/>
      </c>
      <c r="K425" s="342" t="str">
        <f t="shared" si="119"/>
        <v/>
      </c>
      <c r="L425" s="380" t="str">
        <f>IF(C425="","",G395*C425)</f>
        <v/>
      </c>
      <c r="M425" s="381" t="str">
        <f>IF(A425="","",VLOOKUP(A425,VII.A!$A$10:$B$199,2,FALSE))</f>
        <v/>
      </c>
      <c r="N425" s="342" t="str">
        <f t="shared" si="120"/>
        <v/>
      </c>
      <c r="R425" s="341"/>
      <c r="S425" s="341"/>
    </row>
    <row r="426" spans="1:19" ht="12.75" customHeight="1">
      <c r="A426" s="393"/>
      <c r="C426" s="20"/>
      <c r="E426" s="387"/>
      <c r="F426" s="388">
        <f t="shared" si="117"/>
        <v>0</v>
      </c>
      <c r="H426" s="341" t="str">
        <f>IF(A426="","",VLOOKUP(A426,VII.A!$A$10:$D$199,4,FALSE))</f>
        <v/>
      </c>
      <c r="I426" s="341" t="str">
        <f t="shared" si="118"/>
        <v/>
      </c>
      <c r="J426" s="341" t="str">
        <f>IF(A426="","",VLOOKUP(A426,VII.A!$A$10:$D$199,3,FALSE))</f>
        <v/>
      </c>
      <c r="K426" s="342" t="str">
        <f t="shared" si="119"/>
        <v/>
      </c>
      <c r="L426" s="380" t="str">
        <f>IF(C426="","",G395*C426)</f>
        <v/>
      </c>
      <c r="M426" s="381" t="str">
        <f>IF(A426="","",VLOOKUP(A426,VII.A!$A$10:$B$199,2,FALSE))</f>
        <v/>
      </c>
      <c r="N426" s="342" t="str">
        <f t="shared" si="120"/>
        <v/>
      </c>
      <c r="R426" s="341"/>
      <c r="S426" s="341"/>
    </row>
    <row r="427" spans="1:19" ht="12.75" customHeight="1">
      <c r="A427" s="393"/>
      <c r="B427" s="395" t="s">
        <v>226</v>
      </c>
      <c r="C427" s="396"/>
      <c r="D427" s="397"/>
      <c r="E427" s="398"/>
      <c r="F427" s="399">
        <f>SUM(F417:F426)</f>
        <v>0</v>
      </c>
      <c r="J427" s="341"/>
      <c r="L427" s="380"/>
      <c r="M427" s="381"/>
      <c r="N427" s="342"/>
      <c r="R427" s="341"/>
      <c r="S427" s="341"/>
    </row>
    <row r="428" spans="1:19" ht="12.75" customHeight="1">
      <c r="A428" s="393"/>
      <c r="B428" s="400" t="s">
        <v>53</v>
      </c>
      <c r="C428" s="2">
        <f>$D$8</f>
        <v>0</v>
      </c>
      <c r="D428" s="401"/>
      <c r="E428" s="402"/>
      <c r="F428" s="403">
        <f>ROUND(C428*F427,2)</f>
        <v>0</v>
      </c>
      <c r="J428" s="341"/>
      <c r="L428" s="380"/>
      <c r="M428" s="381"/>
      <c r="N428" s="342"/>
      <c r="R428" s="341"/>
      <c r="S428" s="341"/>
    </row>
    <row r="429" spans="1:19" ht="12.75" customHeight="1">
      <c r="A429" s="404"/>
      <c r="B429" s="405" t="s">
        <v>228</v>
      </c>
      <c r="C429" s="406"/>
      <c r="D429" s="406"/>
      <c r="E429" s="407"/>
      <c r="F429" s="408">
        <f>F427+F428</f>
        <v>0</v>
      </c>
      <c r="J429" s="341"/>
      <c r="L429" s="380"/>
      <c r="M429" s="381"/>
      <c r="N429" s="342"/>
      <c r="R429" s="341"/>
      <c r="S429" s="341"/>
    </row>
    <row r="430" spans="1:19" ht="12.75" customHeight="1">
      <c r="A430" s="409" t="s">
        <v>47</v>
      </c>
      <c r="B430" s="410" t="s">
        <v>236</v>
      </c>
      <c r="C430" s="411" t="s">
        <v>231</v>
      </c>
      <c r="D430" s="412" t="s">
        <v>232</v>
      </c>
      <c r="E430" s="413" t="s">
        <v>233</v>
      </c>
      <c r="F430" s="378" t="s">
        <v>234</v>
      </c>
      <c r="J430" s="341"/>
      <c r="L430" s="380"/>
      <c r="M430" s="381"/>
      <c r="N430" s="342"/>
      <c r="R430" s="341"/>
      <c r="S430" s="341"/>
    </row>
    <row r="431" spans="1:19" ht="12.75" customHeight="1">
      <c r="A431" s="393" t="str">
        <f>VII.A!$A$192</f>
        <v>3.12</v>
      </c>
      <c r="B431" s="394" t="s">
        <v>153</v>
      </c>
      <c r="C431" s="20">
        <v>0.08</v>
      </c>
      <c r="D431" s="384" t="str">
        <f>VLOOKUP(A431,VII.A!$A$10:$G$199,3,FALSE)</f>
        <v>H</v>
      </c>
      <c r="E431" s="387">
        <f>VII.A!D192</f>
        <v>0</v>
      </c>
      <c r="F431" s="388">
        <f t="shared" ref="F431:F437" si="121">ROUND(C431*E431,2)</f>
        <v>0</v>
      </c>
      <c r="H431" s="341">
        <f>IF(A431="","",VLOOKUP(A431,VII.A!$A$10:$D$199,4,FALSE))</f>
        <v>0</v>
      </c>
      <c r="I431" s="341" t="str">
        <f t="shared" ref="I431:I437" si="122">IF(A431="","",IF(E431=H431,"SIM","NÃO"))</f>
        <v>SIM</v>
      </c>
      <c r="J431" s="341" t="str">
        <f>IF(A431="","",VLOOKUP(A431,VII.A!$A$10:$D$199,3,FALSE))</f>
        <v>H</v>
      </c>
      <c r="K431" s="342" t="str">
        <f t="shared" ref="K431:K437" si="123">IF(A431="","",IF(J431=D431,"SIM","NÃO"))</f>
        <v>SIM</v>
      </c>
      <c r="L431" s="380">
        <f>IF(C431="","",G395*C431)</f>
        <v>1.6</v>
      </c>
      <c r="M431" s="381" t="str">
        <f>IF(A431="","",VLOOKUP(A431,VII.A!$A$10:$B$199,2,FALSE))</f>
        <v>PEDREIRO COM ENCARGOS COMPLEMENTARES</v>
      </c>
      <c r="N431" s="342" t="str">
        <f t="shared" ref="N431:N437" si="124">IF(B431="","",IF(M431=B431,"si","no"))</f>
        <v>si</v>
      </c>
      <c r="R431" s="341"/>
      <c r="S431" s="341"/>
    </row>
    <row r="432" spans="1:19" ht="12.75" customHeight="1">
      <c r="A432" s="393" t="str">
        <f>VII.A!$A$196</f>
        <v>3.16</v>
      </c>
      <c r="B432" s="394" t="s">
        <v>157</v>
      </c>
      <c r="C432" s="20">
        <v>0.8</v>
      </c>
      <c r="D432" s="384" t="str">
        <f>VLOOKUP(A432,VII.A!$A$10:$G$199,3,FALSE)</f>
        <v>H</v>
      </c>
      <c r="E432" s="387">
        <f>VII.A!D196</f>
        <v>0</v>
      </c>
      <c r="F432" s="388">
        <f t="shared" si="121"/>
        <v>0</v>
      </c>
      <c r="H432" s="341">
        <f>IF(A432="","",VLOOKUP(A432,VII.A!$A$10:$D$199,4,FALSE))</f>
        <v>0</v>
      </c>
      <c r="I432" s="341" t="str">
        <f t="shared" si="122"/>
        <v>SIM</v>
      </c>
      <c r="J432" s="341" t="str">
        <f>IF(A432="","",VLOOKUP(A432,VII.A!$A$10:$D$199,3,FALSE))</f>
        <v>H</v>
      </c>
      <c r="K432" s="342" t="str">
        <f t="shared" si="123"/>
        <v>SIM</v>
      </c>
      <c r="L432" s="380">
        <f>IF(C432="","",G395*C432)</f>
        <v>16</v>
      </c>
      <c r="M432" s="381" t="str">
        <f>IF(A432="","",VLOOKUP(A432,VII.A!$A$10:$B$199,2,FALSE))</f>
        <v>SERVENTE COM ENCARGOS COMPLEMENTARES</v>
      </c>
      <c r="N432" s="342" t="str">
        <f t="shared" si="124"/>
        <v>si</v>
      </c>
      <c r="R432" s="341"/>
      <c r="S432" s="341"/>
    </row>
    <row r="433" spans="1:25" ht="12.75" customHeight="1">
      <c r="A433" s="393"/>
      <c r="C433" s="20"/>
      <c r="E433" s="387"/>
      <c r="F433" s="388">
        <f t="shared" si="121"/>
        <v>0</v>
      </c>
      <c r="H433" s="341" t="str">
        <f>IF(A433="","",VLOOKUP(A433,VII.A!$A$10:$D$199,4,FALSE))</f>
        <v/>
      </c>
      <c r="I433" s="341" t="str">
        <f t="shared" si="122"/>
        <v/>
      </c>
      <c r="J433" s="341" t="str">
        <f>IF(A433="","",VLOOKUP(A433,VII.A!$A$10:$D$199,3,FALSE))</f>
        <v/>
      </c>
      <c r="K433" s="342" t="str">
        <f t="shared" si="123"/>
        <v/>
      </c>
      <c r="L433" s="380" t="str">
        <f>IF(C433="","",G395*C433)</f>
        <v/>
      </c>
      <c r="M433" s="381" t="str">
        <f>IF(A433="","",VLOOKUP(A433,VII.A!$A$10:$B$199,2,FALSE))</f>
        <v/>
      </c>
      <c r="N433" s="342" t="str">
        <f t="shared" si="124"/>
        <v/>
      </c>
      <c r="R433" s="341"/>
      <c r="S433" s="341"/>
    </row>
    <row r="434" spans="1:25" ht="12.75" customHeight="1">
      <c r="A434" s="393"/>
      <c r="C434" s="20"/>
      <c r="E434" s="387"/>
      <c r="F434" s="388">
        <f t="shared" si="121"/>
        <v>0</v>
      </c>
      <c r="H434" s="341" t="str">
        <f>IF(A434="","",VLOOKUP(A434,VII.A!$A$10:$D$199,4,FALSE))</f>
        <v/>
      </c>
      <c r="I434" s="341" t="str">
        <f t="shared" si="122"/>
        <v/>
      </c>
      <c r="J434" s="341" t="str">
        <f>IF(A434="","",VLOOKUP(A434,VII.A!$A$10:$D$199,3,FALSE))</f>
        <v/>
      </c>
      <c r="K434" s="342" t="str">
        <f t="shared" si="123"/>
        <v/>
      </c>
      <c r="L434" s="380" t="str">
        <f>IF(C434="","",G395*C434)</f>
        <v/>
      </c>
      <c r="M434" s="381" t="str">
        <f>IF(A434="","",VLOOKUP(A434,VII.A!$A$10:$B$199,2,FALSE))</f>
        <v/>
      </c>
      <c r="N434" s="342" t="str">
        <f t="shared" si="124"/>
        <v/>
      </c>
      <c r="R434" s="341"/>
      <c r="S434" s="341"/>
    </row>
    <row r="435" spans="1:25" ht="12.75" customHeight="1">
      <c r="A435" s="393"/>
      <c r="C435" s="20"/>
      <c r="E435" s="387"/>
      <c r="F435" s="388">
        <f t="shared" si="121"/>
        <v>0</v>
      </c>
      <c r="H435" s="341" t="str">
        <f>IF(A435="","",VLOOKUP(A435,VII.A!$A$10:$D$199,4,FALSE))</f>
        <v/>
      </c>
      <c r="I435" s="341" t="str">
        <f t="shared" si="122"/>
        <v/>
      </c>
      <c r="J435" s="341" t="str">
        <f>IF(A435="","",VLOOKUP(A435,VII.A!$A$10:$D$199,3,FALSE))</f>
        <v/>
      </c>
      <c r="K435" s="342" t="str">
        <f t="shared" si="123"/>
        <v/>
      </c>
      <c r="L435" s="380" t="str">
        <f>IF(C435="","",G395*C435)</f>
        <v/>
      </c>
      <c r="M435" s="381" t="str">
        <f>IF(A435="","",VLOOKUP(A435,VII.A!$A$10:$B$199,2,FALSE))</f>
        <v/>
      </c>
      <c r="N435" s="342" t="str">
        <f t="shared" si="124"/>
        <v/>
      </c>
      <c r="R435" s="341"/>
      <c r="S435" s="341"/>
    </row>
    <row r="436" spans="1:25" ht="12.75" customHeight="1">
      <c r="A436" s="393"/>
      <c r="C436" s="20"/>
      <c r="E436" s="387"/>
      <c r="F436" s="388">
        <f t="shared" si="121"/>
        <v>0</v>
      </c>
      <c r="H436" s="341" t="str">
        <f>IF(A436="","",VLOOKUP(A436,VII.A!$A$10:$D$199,4,FALSE))</f>
        <v/>
      </c>
      <c r="I436" s="341" t="str">
        <f t="shared" si="122"/>
        <v/>
      </c>
      <c r="J436" s="341" t="str">
        <f>IF(A436="","",VLOOKUP(A436,VII.A!$A$10:$D$199,3,FALSE))</f>
        <v/>
      </c>
      <c r="K436" s="342" t="str">
        <f t="shared" si="123"/>
        <v/>
      </c>
      <c r="L436" s="380" t="str">
        <f>IF(C436="","",G395*C436)</f>
        <v/>
      </c>
      <c r="M436" s="381" t="str">
        <f>IF(A436="","",VLOOKUP(A436,VII.A!$A$10:$B$199,2,FALSE))</f>
        <v/>
      </c>
      <c r="N436" s="342" t="str">
        <f t="shared" si="124"/>
        <v/>
      </c>
      <c r="R436" s="341"/>
      <c r="S436" s="341"/>
    </row>
    <row r="437" spans="1:25" ht="12.75" customHeight="1">
      <c r="A437" s="393"/>
      <c r="C437" s="20"/>
      <c r="E437" s="387"/>
      <c r="F437" s="388">
        <f t="shared" si="121"/>
        <v>0</v>
      </c>
      <c r="H437" s="341" t="str">
        <f>IF(A437="","",VLOOKUP(A437,VII.A!$A$10:$D$199,4,FALSE))</f>
        <v/>
      </c>
      <c r="I437" s="341" t="str">
        <f t="shared" si="122"/>
        <v/>
      </c>
      <c r="J437" s="341" t="str">
        <f>IF(A437="","",VLOOKUP(A437,VII.A!$A$10:$D$199,3,FALSE))</f>
        <v/>
      </c>
      <c r="K437" s="342" t="str">
        <f t="shared" si="123"/>
        <v/>
      </c>
      <c r="L437" s="380" t="str">
        <f>IF(C437="","",G395*C437)</f>
        <v/>
      </c>
      <c r="M437" s="381" t="str">
        <f>IF(A437="","",VLOOKUP(A437,VII.A!$A$10:$B$199,2,FALSE))</f>
        <v/>
      </c>
      <c r="N437" s="342" t="str">
        <f t="shared" si="124"/>
        <v/>
      </c>
      <c r="R437" s="341"/>
      <c r="S437" s="341"/>
    </row>
    <row r="438" spans="1:25" ht="12.75" customHeight="1">
      <c r="A438" s="393"/>
      <c r="B438" s="395" t="s">
        <v>226</v>
      </c>
      <c r="C438" s="396"/>
      <c r="D438" s="397"/>
      <c r="E438" s="398"/>
      <c r="F438" s="399">
        <f>SUM(F431:F437)</f>
        <v>0</v>
      </c>
      <c r="J438" s="341"/>
      <c r="L438" s="380"/>
      <c r="M438" s="381"/>
      <c r="N438" s="342"/>
      <c r="R438" s="341"/>
      <c r="S438" s="341"/>
    </row>
    <row r="439" spans="1:25" ht="12.75" customHeight="1">
      <c r="A439" s="393"/>
      <c r="B439" s="400" t="s">
        <v>229</v>
      </c>
      <c r="C439" s="2">
        <f>IX.A!$C$45</f>
        <v>0</v>
      </c>
      <c r="D439" s="401"/>
      <c r="E439" s="402"/>
      <c r="F439" s="403">
        <f>ROUND(F438*C439,2)</f>
        <v>0</v>
      </c>
      <c r="J439" s="341"/>
      <c r="L439" s="380"/>
      <c r="M439" s="381"/>
      <c r="N439" s="342"/>
      <c r="R439" s="341"/>
      <c r="S439" s="341"/>
    </row>
    <row r="440" spans="1:25" ht="12.75" customHeight="1">
      <c r="A440" s="393"/>
      <c r="B440" s="400" t="s">
        <v>53</v>
      </c>
      <c r="C440" s="2">
        <f>$D$8</f>
        <v>0</v>
      </c>
      <c r="D440" s="401"/>
      <c r="E440" s="402"/>
      <c r="F440" s="403">
        <f>ROUND(SUM(F438:F439)*C440,2)</f>
        <v>0</v>
      </c>
      <c r="J440" s="341"/>
      <c r="L440" s="380"/>
      <c r="M440" s="381"/>
      <c r="N440" s="342"/>
      <c r="R440" s="341"/>
      <c r="S440" s="341"/>
    </row>
    <row r="441" spans="1:25" ht="12.75" customHeight="1" thickBot="1">
      <c r="A441" s="414"/>
      <c r="B441" s="415" t="s">
        <v>230</v>
      </c>
      <c r="C441" s="416"/>
      <c r="D441" s="416"/>
      <c r="E441" s="417"/>
      <c r="F441" s="418">
        <f>SUM(F438:F440)</f>
        <v>0</v>
      </c>
      <c r="J441" s="341"/>
      <c r="L441" s="380"/>
      <c r="M441" s="381"/>
      <c r="N441" s="342"/>
      <c r="R441" s="341"/>
      <c r="S441" s="341"/>
    </row>
    <row r="442" spans="1:25" ht="12.75" customHeight="1" thickBot="1">
      <c r="A442" s="357"/>
      <c r="B442" s="358"/>
      <c r="C442" s="359"/>
      <c r="D442" s="359"/>
      <c r="E442" s="360"/>
      <c r="F442" s="419"/>
      <c r="J442" s="341"/>
      <c r="L442" s="380"/>
      <c r="M442" s="381"/>
      <c r="N442" s="342"/>
      <c r="R442" s="341"/>
      <c r="S442" s="341"/>
    </row>
    <row r="443" spans="1:25" ht="30" customHeight="1">
      <c r="A443" s="370" t="str">
        <f>IV.A!A29</f>
        <v>2.1.5</v>
      </c>
      <c r="B443" s="371" t="str">
        <f>IV.A!B29</f>
        <v>REMOÇÃO MANUAL DE PORTÃO, GRADE DE PROTEÇÃO E ESQUADRIAS METÁLICAS EM GERAL, COM OU SEM REAPROVEITAMENTO</v>
      </c>
      <c r="C443" s="871" t="s">
        <v>237</v>
      </c>
      <c r="D443" s="872"/>
      <c r="E443" s="372" t="str">
        <f>IV.A!C29</f>
        <v>M2</v>
      </c>
      <c r="F443" s="11">
        <f>ROUND(F463+F477+F489,2)</f>
        <v>0</v>
      </c>
      <c r="G443" s="1">
        <f>VLOOKUP(A443,IV.A!$A$16:$L$172,4,FALSE)</f>
        <v>64</v>
      </c>
      <c r="H443" s="361">
        <f>SUM(F445:F460)+F462</f>
        <v>0</v>
      </c>
      <c r="I443" s="361">
        <f>SUM(F465:F474)+F476</f>
        <v>0</v>
      </c>
      <c r="J443" s="361">
        <f>SUM(F479:F485)+F487+F488</f>
        <v>0</v>
      </c>
      <c r="K443" s="361">
        <f>SUM(H443:J443)</f>
        <v>0</v>
      </c>
      <c r="L443" s="362" t="str">
        <f>IF(K443=F443,"SIM","NÃO")</f>
        <v>SIM</v>
      </c>
      <c r="M443" s="373">
        <f>ROUND(SUM(F445:F460),2)+ROUND(SUM(F445:F460)*C462,2)+ROUND(SUM(F465:F474)*C476,2)+ROUND(SUM(F465:F474),2)+ROUND(SUM(F479:F485)*C487,2)+ROUND((SUM(F479:F485)+ROUND(SUM(F479:F485)*C487,2))*C488,2)+ROUND(SUM(F479:F485),2)</f>
        <v>0</v>
      </c>
      <c r="N443" s="343" t="str">
        <f>IF(M443=F443,"SIM","NÃO")</f>
        <v>SIM</v>
      </c>
      <c r="O443" s="364" t="str">
        <f>VLOOKUP(A443,IV.A!$A$16:$E$172,3,FALSE)</f>
        <v>M2</v>
      </c>
      <c r="P443" s="344" t="str">
        <f>IF(O443=E443,"SIM","NÃO")</f>
        <v>SIM</v>
      </c>
      <c r="Q443" s="365">
        <f>ROUND(G443*F463,2)+ROUND(G443*F477,2)+ROUND(G443*F489,2)</f>
        <v>0</v>
      </c>
      <c r="R443" s="364">
        <f>VLOOKUP(A443,IV.A!$A$16:$L$172,12,FALSE)</f>
        <v>0</v>
      </c>
      <c r="S443" s="366" t="str">
        <f>IF(Q443=R443,"si","no")</f>
        <v>si</v>
      </c>
      <c r="T443" s="367">
        <f>SUM(L445:L460)+SUM(L465:L474)+SUM(L479:L485)</f>
        <v>35.200000000000003</v>
      </c>
      <c r="U443" s="341">
        <f>(SUM(C445:C460)+SUM(C465:C474)+SUM(C479:C485))*G443</f>
        <v>35.200000000000003</v>
      </c>
      <c r="V443" s="368" t="str">
        <f>IF(T443=U443,"si","no")</f>
        <v>si</v>
      </c>
      <c r="W443" s="369">
        <f>SUM(F445:F460)</f>
        <v>0</v>
      </c>
      <c r="X443" s="369">
        <f>SUM(F465:F474)</f>
        <v>0</v>
      </c>
      <c r="Y443" s="369">
        <f>SUM(F479:F485)</f>
        <v>0</v>
      </c>
    </row>
    <row r="444" spans="1:25" ht="12.75" customHeight="1">
      <c r="A444" s="374" t="s">
        <v>14</v>
      </c>
      <c r="B444" s="375" t="s">
        <v>132</v>
      </c>
      <c r="C444" s="376" t="s">
        <v>231</v>
      </c>
      <c r="D444" s="376" t="s">
        <v>232</v>
      </c>
      <c r="E444" s="377" t="s">
        <v>233</v>
      </c>
      <c r="F444" s="378" t="s">
        <v>234</v>
      </c>
      <c r="G444" s="379"/>
      <c r="J444" s="341"/>
      <c r="L444" s="380"/>
      <c r="M444" s="381"/>
      <c r="N444" s="342"/>
      <c r="O444" s="382"/>
      <c r="P444" s="383"/>
      <c r="Q444" s="383"/>
      <c r="R444" s="383"/>
      <c r="S444" s="383"/>
      <c r="T444" s="382"/>
      <c r="U444" s="341"/>
      <c r="V444" s="384"/>
      <c r="W444" s="384"/>
      <c r="X444" s="384"/>
      <c r="Y444" s="384"/>
    </row>
    <row r="445" spans="1:25" ht="12.75" customHeight="1">
      <c r="A445" s="385"/>
      <c r="B445" s="386"/>
      <c r="C445" s="20"/>
      <c r="D445" s="342"/>
      <c r="E445" s="387"/>
      <c r="F445" s="388">
        <f>ROUND(C445*E445,2)</f>
        <v>0</v>
      </c>
      <c r="H445" s="341" t="str">
        <f>IF(A445="","",VLOOKUP(A445,VII.A!$A$10:$D$199,4,FALSE))</f>
        <v/>
      </c>
      <c r="I445" s="341" t="str">
        <f t="shared" ref="I445:I460" si="125">IF(A445="","",IF(E445=H445,"SIM","NÃO"))</f>
        <v/>
      </c>
      <c r="J445" s="341" t="str">
        <f>IF(A445="","",VLOOKUP(A445,VII.A!$A$10:$D$199,3,FALSE))</f>
        <v/>
      </c>
      <c r="K445" s="342" t="str">
        <f t="shared" ref="K445:K460" si="126">IF(A445="","",IF(J445=D445,"SIM","NÃO"))</f>
        <v/>
      </c>
      <c r="L445" s="380" t="str">
        <f>IF(C445="","",G443*C445)</f>
        <v/>
      </c>
      <c r="M445" s="381" t="str">
        <f>IF(A445="","",VLOOKUP(A445,VII.A!$A$10:$B$199,2,FALSE))</f>
        <v/>
      </c>
      <c r="N445" s="342" t="str">
        <f t="shared" ref="N445:N460" si="127">IF(B445="","",IF(M445=B445,"si","no"))</f>
        <v/>
      </c>
      <c r="R445" s="341"/>
      <c r="S445" s="341"/>
    </row>
    <row r="446" spans="1:25" ht="12.75" customHeight="1">
      <c r="A446" s="385"/>
      <c r="B446" s="386"/>
      <c r="C446" s="20"/>
      <c r="D446" s="342"/>
      <c r="E446" s="387"/>
      <c r="F446" s="388">
        <f t="shared" ref="F446:F460" si="128">ROUND(C446*E446,2)</f>
        <v>0</v>
      </c>
      <c r="H446" s="341" t="str">
        <f>IF(A446="","",VLOOKUP(A446,VII.A!$A$10:$D$199,4,FALSE))</f>
        <v/>
      </c>
      <c r="I446" s="341" t="str">
        <f t="shared" si="125"/>
        <v/>
      </c>
      <c r="J446" s="341" t="str">
        <f>IF(A446="","",VLOOKUP(A446,VII.A!$A$10:$D$199,3,FALSE))</f>
        <v/>
      </c>
      <c r="K446" s="342" t="str">
        <f t="shared" si="126"/>
        <v/>
      </c>
      <c r="L446" s="380" t="str">
        <f>IF(C446="","",G443*C446)</f>
        <v/>
      </c>
      <c r="M446" s="381" t="str">
        <f>IF(A446="","",VLOOKUP(A446,VII.A!$A$10:$B$199,2,FALSE))</f>
        <v/>
      </c>
      <c r="N446" s="342" t="str">
        <f t="shared" si="127"/>
        <v/>
      </c>
      <c r="R446" s="341"/>
      <c r="S446" s="341"/>
    </row>
    <row r="447" spans="1:25" ht="12.75" customHeight="1">
      <c r="A447" s="385"/>
      <c r="B447" s="386"/>
      <c r="C447" s="20"/>
      <c r="D447" s="342"/>
      <c r="E447" s="387"/>
      <c r="F447" s="388">
        <f t="shared" si="128"/>
        <v>0</v>
      </c>
      <c r="H447" s="341" t="str">
        <f>IF(A447="","",VLOOKUP(A447,VII.A!$A$10:$D$199,4,FALSE))</f>
        <v/>
      </c>
      <c r="I447" s="341" t="str">
        <f t="shared" si="125"/>
        <v/>
      </c>
      <c r="J447" s="341" t="str">
        <f>IF(A447="","",VLOOKUP(A447,VII.A!$A$10:$D$199,3,FALSE))</f>
        <v/>
      </c>
      <c r="K447" s="342" t="str">
        <f t="shared" si="126"/>
        <v/>
      </c>
      <c r="L447" s="380" t="str">
        <f>IF(C447="","",G443*C447)</f>
        <v/>
      </c>
      <c r="M447" s="381" t="str">
        <f>IF(A447="","",VLOOKUP(A447,VII.A!$A$10:$B$199,2,FALSE))</f>
        <v/>
      </c>
      <c r="N447" s="342" t="str">
        <f t="shared" si="127"/>
        <v/>
      </c>
      <c r="R447" s="341"/>
      <c r="S447" s="341"/>
    </row>
    <row r="448" spans="1:25" ht="12.75" customHeight="1">
      <c r="A448" s="385"/>
      <c r="B448" s="386"/>
      <c r="C448" s="20"/>
      <c r="D448" s="342"/>
      <c r="E448" s="387"/>
      <c r="F448" s="388">
        <f t="shared" si="128"/>
        <v>0</v>
      </c>
      <c r="H448" s="341" t="str">
        <f>IF(A448="","",VLOOKUP(A448,VII.A!$A$10:$D$199,4,FALSE))</f>
        <v/>
      </c>
      <c r="I448" s="341" t="str">
        <f t="shared" si="125"/>
        <v/>
      </c>
      <c r="J448" s="341" t="str">
        <f>IF(A448="","",VLOOKUP(A448,VII.A!$A$10:$D$199,3,FALSE))</f>
        <v/>
      </c>
      <c r="K448" s="342" t="str">
        <f t="shared" si="126"/>
        <v/>
      </c>
      <c r="L448" s="380" t="str">
        <f>IF(C448="","",G443*C448)</f>
        <v/>
      </c>
      <c r="M448" s="381" t="str">
        <f>IF(A448="","",VLOOKUP(A448,VII.A!$A$10:$B$199,2,FALSE))</f>
        <v/>
      </c>
      <c r="N448" s="342" t="str">
        <f t="shared" si="127"/>
        <v/>
      </c>
      <c r="R448" s="341"/>
      <c r="S448" s="341"/>
    </row>
    <row r="449" spans="1:21" ht="12.75" customHeight="1">
      <c r="A449" s="385"/>
      <c r="B449" s="386"/>
      <c r="C449" s="20"/>
      <c r="D449" s="342"/>
      <c r="E449" s="387"/>
      <c r="F449" s="388">
        <f t="shared" si="128"/>
        <v>0</v>
      </c>
      <c r="H449" s="341" t="str">
        <f>IF(A449="","",VLOOKUP(A449,VII.A!$A$10:$D$199,4,FALSE))</f>
        <v/>
      </c>
      <c r="I449" s="341" t="str">
        <f t="shared" si="125"/>
        <v/>
      </c>
      <c r="J449" s="341" t="str">
        <f>IF(A449="","",VLOOKUP(A449,VII.A!$A$10:$D$199,3,FALSE))</f>
        <v/>
      </c>
      <c r="K449" s="342" t="str">
        <f t="shared" si="126"/>
        <v/>
      </c>
      <c r="L449" s="380" t="str">
        <f>IF(C449="","",G443*C449)</f>
        <v/>
      </c>
      <c r="M449" s="381" t="str">
        <f>IF(A449="","",VLOOKUP(A449,VII.A!$A$10:$B$199,2,FALSE))</f>
        <v/>
      </c>
      <c r="N449" s="342" t="str">
        <f t="shared" si="127"/>
        <v/>
      </c>
      <c r="R449" s="341"/>
      <c r="S449" s="341"/>
    </row>
    <row r="450" spans="1:21" ht="12.75" customHeight="1">
      <c r="A450" s="385"/>
      <c r="B450" s="386"/>
      <c r="C450" s="20"/>
      <c r="D450" s="342"/>
      <c r="E450" s="387"/>
      <c r="F450" s="388">
        <f t="shared" si="128"/>
        <v>0</v>
      </c>
      <c r="H450" s="341" t="str">
        <f>IF(A450="","",VLOOKUP(A450,VII.A!$A$10:$D$199,4,FALSE))</f>
        <v/>
      </c>
      <c r="I450" s="341" t="str">
        <f t="shared" si="125"/>
        <v/>
      </c>
      <c r="J450" s="341" t="str">
        <f>IF(A450="","",VLOOKUP(A450,VII.A!$A$10:$D$199,3,FALSE))</f>
        <v/>
      </c>
      <c r="K450" s="342" t="str">
        <f t="shared" si="126"/>
        <v/>
      </c>
      <c r="L450" s="380" t="str">
        <f>IF(C450="","",G443*C450)</f>
        <v/>
      </c>
      <c r="M450" s="381" t="str">
        <f>IF(A450="","",VLOOKUP(A450,VII.A!$A$10:$B$199,2,FALSE))</f>
        <v/>
      </c>
      <c r="N450" s="342" t="str">
        <f t="shared" si="127"/>
        <v/>
      </c>
      <c r="R450" s="341"/>
      <c r="S450" s="341"/>
      <c r="U450" s="389"/>
    </row>
    <row r="451" spans="1:21" ht="12.75" customHeight="1">
      <c r="A451" s="385"/>
      <c r="B451" s="386"/>
      <c r="C451" s="20"/>
      <c r="D451" s="342"/>
      <c r="E451" s="387"/>
      <c r="F451" s="388">
        <f t="shared" si="128"/>
        <v>0</v>
      </c>
      <c r="H451" s="341" t="str">
        <f>IF(A451="","",VLOOKUP(A451,VII.A!$A$10:$D$199,4,FALSE))</f>
        <v/>
      </c>
      <c r="I451" s="341" t="str">
        <f t="shared" si="125"/>
        <v/>
      </c>
      <c r="J451" s="341" t="str">
        <f>IF(A451="","",VLOOKUP(A451,VII.A!$A$10:$D$199,3,FALSE))</f>
        <v/>
      </c>
      <c r="K451" s="342" t="str">
        <f t="shared" si="126"/>
        <v/>
      </c>
      <c r="L451" s="380" t="str">
        <f>IF(C451="","",G443*C451)</f>
        <v/>
      </c>
      <c r="M451" s="381" t="str">
        <f>IF(A451="","",VLOOKUP(A451,VII.A!$A$10:$B$199,2,FALSE))</f>
        <v/>
      </c>
      <c r="N451" s="342" t="str">
        <f t="shared" si="127"/>
        <v/>
      </c>
      <c r="R451" s="341"/>
      <c r="S451" s="341"/>
    </row>
    <row r="452" spans="1:21" ht="12.75" customHeight="1">
      <c r="A452" s="385"/>
      <c r="B452" s="386"/>
      <c r="C452" s="20"/>
      <c r="D452" s="342"/>
      <c r="E452" s="387"/>
      <c r="F452" s="388">
        <f t="shared" si="128"/>
        <v>0</v>
      </c>
      <c r="G452" s="390"/>
      <c r="H452" s="341" t="str">
        <f>IF(A452="","",VLOOKUP(A452,VII.A!$A$10:$D$199,4,FALSE))</f>
        <v/>
      </c>
      <c r="I452" s="341" t="str">
        <f t="shared" si="125"/>
        <v/>
      </c>
      <c r="J452" s="341" t="str">
        <f>IF(A452="","",VLOOKUP(A452,VII.A!$A$10:$D$199,3,FALSE))</f>
        <v/>
      </c>
      <c r="K452" s="342" t="str">
        <f t="shared" si="126"/>
        <v/>
      </c>
      <c r="L452" s="380" t="str">
        <f>IF(C452="","",G443*C452)</f>
        <v/>
      </c>
      <c r="M452" s="381" t="str">
        <f>IF(A452="","",VLOOKUP(A452,VII.A!$A$10:$B$199,2,FALSE))</f>
        <v/>
      </c>
      <c r="N452" s="342" t="str">
        <f t="shared" si="127"/>
        <v/>
      </c>
      <c r="R452" s="341"/>
      <c r="S452" s="341"/>
    </row>
    <row r="453" spans="1:21" ht="12.75" customHeight="1">
      <c r="A453" s="385"/>
      <c r="B453" s="386"/>
      <c r="C453" s="20"/>
      <c r="D453" s="342"/>
      <c r="E453" s="387"/>
      <c r="F453" s="388">
        <f t="shared" si="128"/>
        <v>0</v>
      </c>
      <c r="G453" s="390"/>
      <c r="H453" s="341" t="str">
        <f>IF(A453="","",VLOOKUP(A453,VII.A!$A$10:$D$199,4,FALSE))</f>
        <v/>
      </c>
      <c r="I453" s="341" t="str">
        <f t="shared" si="125"/>
        <v/>
      </c>
      <c r="J453" s="341" t="str">
        <f>IF(A453="","",VLOOKUP(A453,VII.A!$A$10:$D$199,3,FALSE))</f>
        <v/>
      </c>
      <c r="K453" s="342" t="str">
        <f t="shared" si="126"/>
        <v/>
      </c>
      <c r="L453" s="380" t="str">
        <f>IF(C453="","",G443*C453)</f>
        <v/>
      </c>
      <c r="M453" s="381" t="str">
        <f>IF(A453="","",VLOOKUP(A453,VII.A!$A$10:$B$199,2,FALSE))</f>
        <v/>
      </c>
      <c r="N453" s="342" t="str">
        <f t="shared" si="127"/>
        <v/>
      </c>
      <c r="R453" s="341"/>
      <c r="S453" s="341"/>
    </row>
    <row r="454" spans="1:21" ht="12.75" customHeight="1">
      <c r="A454" s="385"/>
      <c r="B454" s="386"/>
      <c r="C454" s="20"/>
      <c r="D454" s="342"/>
      <c r="E454" s="387"/>
      <c r="F454" s="388">
        <f t="shared" si="128"/>
        <v>0</v>
      </c>
      <c r="G454" s="391"/>
      <c r="H454" s="341" t="str">
        <f>IF(A454="","",VLOOKUP(A454,VII.A!$A$10:$D$199,4,FALSE))</f>
        <v/>
      </c>
      <c r="I454" s="341" t="str">
        <f t="shared" si="125"/>
        <v/>
      </c>
      <c r="J454" s="341" t="str">
        <f>IF(A454="","",VLOOKUP(A454,VII.A!$A$10:$D$199,3,FALSE))</f>
        <v/>
      </c>
      <c r="K454" s="342" t="str">
        <f t="shared" si="126"/>
        <v/>
      </c>
      <c r="L454" s="380" t="str">
        <f>IF(C454="","",G443*C454)</f>
        <v/>
      </c>
      <c r="M454" s="381" t="str">
        <f>IF(A454="","",VLOOKUP(A454,VII.A!$A$10:$B$199,2,FALSE))</f>
        <v/>
      </c>
      <c r="N454" s="342" t="str">
        <f t="shared" si="127"/>
        <v/>
      </c>
      <c r="R454" s="341"/>
      <c r="S454" s="341"/>
    </row>
    <row r="455" spans="1:21" ht="12.75" customHeight="1">
      <c r="A455" s="385"/>
      <c r="B455" s="386"/>
      <c r="C455" s="20"/>
      <c r="D455" s="342"/>
      <c r="E455" s="387"/>
      <c r="F455" s="388">
        <f t="shared" si="128"/>
        <v>0</v>
      </c>
      <c r="H455" s="341" t="str">
        <f>IF(A455="","",VLOOKUP(A455,VII.A!$A$10:$D$199,4,FALSE))</f>
        <v/>
      </c>
      <c r="I455" s="341" t="str">
        <f t="shared" si="125"/>
        <v/>
      </c>
      <c r="J455" s="341" t="str">
        <f>IF(A455="","",VLOOKUP(A455,VII.A!$A$10:$D$199,3,FALSE))</f>
        <v/>
      </c>
      <c r="K455" s="342" t="str">
        <f t="shared" si="126"/>
        <v/>
      </c>
      <c r="L455" s="380" t="str">
        <f>IF(C455="","",G443*C455)</f>
        <v/>
      </c>
      <c r="M455" s="381" t="str">
        <f>IF(A455="","",VLOOKUP(A455,VII.A!$A$10:$B$199,2,FALSE))</f>
        <v/>
      </c>
      <c r="N455" s="342" t="str">
        <f t="shared" si="127"/>
        <v/>
      </c>
      <c r="R455" s="341"/>
      <c r="S455" s="341"/>
    </row>
    <row r="456" spans="1:21" ht="12.75" customHeight="1">
      <c r="A456" s="385"/>
      <c r="B456" s="386"/>
      <c r="C456" s="20"/>
      <c r="D456" s="392"/>
      <c r="E456" s="387"/>
      <c r="F456" s="388">
        <f t="shared" si="128"/>
        <v>0</v>
      </c>
      <c r="H456" s="341" t="str">
        <f>IF(A456="","",VLOOKUP(A456,VII.A!$A$10:$D$199,4,FALSE))</f>
        <v/>
      </c>
      <c r="I456" s="341" t="str">
        <f t="shared" si="125"/>
        <v/>
      </c>
      <c r="J456" s="341" t="str">
        <f>IF(A456="","",VLOOKUP(A456,VII.A!$A$10:$D$199,3,FALSE))</f>
        <v/>
      </c>
      <c r="K456" s="342" t="str">
        <f t="shared" si="126"/>
        <v/>
      </c>
      <c r="L456" s="380" t="str">
        <f>IF(C456="","",G443*C456)</f>
        <v/>
      </c>
      <c r="M456" s="381" t="str">
        <f>IF(A456="","",VLOOKUP(A456,VII.A!$A$10:$B$199,2,FALSE))</f>
        <v/>
      </c>
      <c r="N456" s="342" t="str">
        <f t="shared" si="127"/>
        <v/>
      </c>
      <c r="R456" s="341"/>
      <c r="S456" s="341"/>
    </row>
    <row r="457" spans="1:21" ht="12.75" customHeight="1">
      <c r="A457" s="385"/>
      <c r="B457" s="386"/>
      <c r="C457" s="20"/>
      <c r="D457" s="392"/>
      <c r="E457" s="387"/>
      <c r="F457" s="388">
        <f t="shared" si="128"/>
        <v>0</v>
      </c>
      <c r="H457" s="341" t="str">
        <f>IF(A457="","",VLOOKUP(A457,VII.A!$A$10:$D$199,4,FALSE))</f>
        <v/>
      </c>
      <c r="I457" s="341" t="str">
        <f t="shared" si="125"/>
        <v/>
      </c>
      <c r="J457" s="341" t="str">
        <f>IF(A457="","",VLOOKUP(A457,VII.A!$A$10:$D$199,3,FALSE))</f>
        <v/>
      </c>
      <c r="K457" s="342" t="str">
        <f t="shared" si="126"/>
        <v/>
      </c>
      <c r="L457" s="380" t="str">
        <f>IF(C457="","",G443*C457)</f>
        <v/>
      </c>
      <c r="M457" s="381" t="str">
        <f>IF(A457="","",VLOOKUP(A457,VII.A!$A$10:$B$199,2,FALSE))</f>
        <v/>
      </c>
      <c r="N457" s="342" t="str">
        <f t="shared" si="127"/>
        <v/>
      </c>
      <c r="O457" s="342"/>
      <c r="R457" s="341"/>
      <c r="S457" s="341"/>
    </row>
    <row r="458" spans="1:21" ht="12.75" customHeight="1">
      <c r="A458" s="385"/>
      <c r="B458" s="386"/>
      <c r="C458" s="20"/>
      <c r="D458" s="392"/>
      <c r="E458" s="387"/>
      <c r="F458" s="388">
        <f t="shared" si="128"/>
        <v>0</v>
      </c>
      <c r="H458" s="341" t="str">
        <f>IF(A458="","",VLOOKUP(A458,VII.A!$A$10:$D$199,4,FALSE))</f>
        <v/>
      </c>
      <c r="I458" s="341" t="str">
        <f t="shared" si="125"/>
        <v/>
      </c>
      <c r="J458" s="341" t="str">
        <f>IF(A458="","",VLOOKUP(A458,VII.A!$A$10:$D$199,3,FALSE))</f>
        <v/>
      </c>
      <c r="K458" s="342" t="str">
        <f t="shared" si="126"/>
        <v/>
      </c>
      <c r="L458" s="380" t="str">
        <f>IF(C458="","",G443*C458)</f>
        <v/>
      </c>
      <c r="M458" s="381" t="str">
        <f>IF(A458="","",VLOOKUP(A458,VII.A!$A$10:$B$199,2,FALSE))</f>
        <v/>
      </c>
      <c r="N458" s="342" t="str">
        <f t="shared" si="127"/>
        <v/>
      </c>
      <c r="R458" s="341"/>
      <c r="S458" s="341"/>
    </row>
    <row r="459" spans="1:21" ht="12.75" customHeight="1">
      <c r="A459" s="393"/>
      <c r="C459" s="20"/>
      <c r="E459" s="387"/>
      <c r="F459" s="388">
        <f t="shared" si="128"/>
        <v>0</v>
      </c>
      <c r="H459" s="341" t="str">
        <f>IF(A459="","",VLOOKUP(A459,VII.A!$A$10:$D$199,4,FALSE))</f>
        <v/>
      </c>
      <c r="I459" s="341" t="str">
        <f t="shared" si="125"/>
        <v/>
      </c>
      <c r="J459" s="341" t="str">
        <f>IF(A459="","",VLOOKUP(A459,VII.A!$A$10:$D$199,3,FALSE))</f>
        <v/>
      </c>
      <c r="K459" s="342" t="str">
        <f t="shared" si="126"/>
        <v/>
      </c>
      <c r="L459" s="380" t="str">
        <f>IF(C459="","",G443*C459)</f>
        <v/>
      </c>
      <c r="M459" s="381" t="str">
        <f>IF(A459="","",VLOOKUP(A459,VII.A!$A$10:$B$199,2,FALSE))</f>
        <v/>
      </c>
      <c r="N459" s="342" t="str">
        <f t="shared" si="127"/>
        <v/>
      </c>
      <c r="R459" s="341"/>
      <c r="S459" s="341"/>
    </row>
    <row r="460" spans="1:21" ht="12.75" customHeight="1">
      <c r="A460" s="393"/>
      <c r="C460" s="20"/>
      <c r="E460" s="387"/>
      <c r="F460" s="388">
        <f t="shared" si="128"/>
        <v>0</v>
      </c>
      <c r="H460" s="341" t="str">
        <f>IF(A460="","",VLOOKUP(A460,VII.A!$A$10:$D$199,4,FALSE))</f>
        <v/>
      </c>
      <c r="I460" s="341" t="str">
        <f t="shared" si="125"/>
        <v/>
      </c>
      <c r="J460" s="341" t="str">
        <f>IF(A460="","",VLOOKUP(A460,VII.A!$A$10:$D$199,3,FALSE))</f>
        <v/>
      </c>
      <c r="K460" s="342" t="str">
        <f t="shared" si="126"/>
        <v/>
      </c>
      <c r="L460" s="380" t="str">
        <f>IF(C460="","",G443*C460)</f>
        <v/>
      </c>
      <c r="M460" s="381" t="str">
        <f>IF(A460="","",VLOOKUP(A460,VII.A!$A$10:$B$199,2,FALSE))</f>
        <v/>
      </c>
      <c r="N460" s="342" t="str">
        <f t="shared" si="127"/>
        <v/>
      </c>
      <c r="R460" s="341"/>
      <c r="S460" s="341"/>
    </row>
    <row r="461" spans="1:21" ht="12.75" customHeight="1">
      <c r="A461" s="393"/>
      <c r="B461" s="395" t="s">
        <v>226</v>
      </c>
      <c r="C461" s="396"/>
      <c r="D461" s="397"/>
      <c r="E461" s="398"/>
      <c r="F461" s="399">
        <f>SUM(F445:F460)</f>
        <v>0</v>
      </c>
      <c r="J461" s="341"/>
      <c r="L461" s="380"/>
      <c r="M461" s="381"/>
      <c r="N461" s="342"/>
      <c r="R461" s="341"/>
      <c r="S461" s="341"/>
    </row>
    <row r="462" spans="1:21" ht="12.75" customHeight="1">
      <c r="A462" s="393"/>
      <c r="B462" s="400" t="s">
        <v>53</v>
      </c>
      <c r="C462" s="2">
        <f>$D$8</f>
        <v>0</v>
      </c>
      <c r="D462" s="401"/>
      <c r="E462" s="402"/>
      <c r="F462" s="403">
        <f>ROUND(F461*C462,2)</f>
        <v>0</v>
      </c>
      <c r="H462" s="426" t="s">
        <v>392</v>
      </c>
      <c r="J462" s="341"/>
      <c r="L462" s="380"/>
      <c r="M462" s="381"/>
      <c r="N462" s="342"/>
      <c r="R462" s="341"/>
      <c r="S462" s="341"/>
    </row>
    <row r="463" spans="1:21" ht="12.75" customHeight="1">
      <c r="A463" s="404"/>
      <c r="B463" s="405" t="s">
        <v>227</v>
      </c>
      <c r="C463" s="406"/>
      <c r="D463" s="406"/>
      <c r="E463" s="407"/>
      <c r="F463" s="408">
        <f>F461+F462</f>
        <v>0</v>
      </c>
      <c r="J463" s="341"/>
      <c r="L463" s="380"/>
      <c r="M463" s="381"/>
      <c r="N463" s="342"/>
      <c r="R463" s="341"/>
      <c r="S463" s="341"/>
    </row>
    <row r="464" spans="1:21" ht="12.75" customHeight="1">
      <c r="A464" s="374" t="s">
        <v>2</v>
      </c>
      <c r="B464" s="375" t="s">
        <v>235</v>
      </c>
      <c r="C464" s="376" t="s">
        <v>231</v>
      </c>
      <c r="D464" s="376" t="s">
        <v>232</v>
      </c>
      <c r="E464" s="377" t="s">
        <v>233</v>
      </c>
      <c r="F464" s="378" t="s">
        <v>234</v>
      </c>
      <c r="J464" s="341"/>
      <c r="L464" s="380"/>
      <c r="M464" s="381"/>
      <c r="N464" s="342"/>
      <c r="R464" s="341"/>
      <c r="S464" s="341"/>
    </row>
    <row r="465" spans="1:19" ht="12.75" customHeight="1">
      <c r="A465" s="393"/>
      <c r="B465" s="423"/>
      <c r="C465" s="20"/>
      <c r="E465" s="387"/>
      <c r="F465" s="388">
        <f t="shared" ref="F465:F474" si="129">ROUND(C465*E465,2)</f>
        <v>0</v>
      </c>
      <c r="H465" s="341" t="str">
        <f>IF(A465="","",VLOOKUP(A465,VII.A!$A$10:$D$199,4,FALSE))</f>
        <v/>
      </c>
      <c r="I465" s="341" t="str">
        <f t="shared" ref="I465:I474" si="130">IF(A465="","",IF(E465=H465,"SIM","NÃO"))</f>
        <v/>
      </c>
      <c r="J465" s="341" t="str">
        <f>IF(A465="","",VLOOKUP(A465,VII.A!$A$10:$D$199,3,FALSE))</f>
        <v/>
      </c>
      <c r="K465" s="342" t="str">
        <f t="shared" ref="K465:K474" si="131">IF(A465="","",IF(J465=D465,"SIM","NÃO"))</f>
        <v/>
      </c>
      <c r="L465" s="380" t="str">
        <f>IF(C465="","",G443*C465)</f>
        <v/>
      </c>
      <c r="M465" s="381" t="str">
        <f>IF(A465="","",VLOOKUP(A465,VII.A!$A$10:$B$199,2,FALSE))</f>
        <v/>
      </c>
      <c r="N465" s="342" t="str">
        <f t="shared" ref="N465:N474" si="132">IF(B465="","",IF(M465=B465,"si","no"))</f>
        <v/>
      </c>
      <c r="R465" s="341"/>
      <c r="S465" s="341"/>
    </row>
    <row r="466" spans="1:19" ht="12.75" customHeight="1">
      <c r="A466" s="393"/>
      <c r="C466" s="20"/>
      <c r="E466" s="387"/>
      <c r="F466" s="388">
        <f t="shared" si="129"/>
        <v>0</v>
      </c>
      <c r="H466" s="341" t="str">
        <f>IF(A466="","",VLOOKUP(A466,VII.A!$A$10:$D$199,4,FALSE))</f>
        <v/>
      </c>
      <c r="I466" s="341" t="str">
        <f t="shared" si="130"/>
        <v/>
      </c>
      <c r="J466" s="341" t="str">
        <f>IF(A466="","",VLOOKUP(A466,VII.A!$A$10:$D$199,3,FALSE))</f>
        <v/>
      </c>
      <c r="K466" s="342" t="str">
        <f t="shared" si="131"/>
        <v/>
      </c>
      <c r="L466" s="380" t="str">
        <f>IF(C466="","",G443*C466)</f>
        <v/>
      </c>
      <c r="M466" s="381" t="str">
        <f>IF(A466="","",VLOOKUP(A466,VII.A!$A$10:$B$199,2,FALSE))</f>
        <v/>
      </c>
      <c r="N466" s="342" t="str">
        <f t="shared" si="132"/>
        <v/>
      </c>
      <c r="R466" s="341"/>
      <c r="S466" s="341"/>
    </row>
    <row r="467" spans="1:19" ht="12.75" customHeight="1">
      <c r="A467" s="393"/>
      <c r="C467" s="20"/>
      <c r="E467" s="387"/>
      <c r="F467" s="388">
        <f t="shared" si="129"/>
        <v>0</v>
      </c>
      <c r="H467" s="341" t="str">
        <f>IF(A467="","",VLOOKUP(A467,VII.A!$A$10:$D$199,4,FALSE))</f>
        <v/>
      </c>
      <c r="I467" s="341" t="str">
        <f t="shared" si="130"/>
        <v/>
      </c>
      <c r="J467" s="341" t="str">
        <f>IF(A467="","",VLOOKUP(A467,VII.A!$A$10:$D$199,3,FALSE))</f>
        <v/>
      </c>
      <c r="K467" s="342" t="str">
        <f t="shared" si="131"/>
        <v/>
      </c>
      <c r="L467" s="380" t="str">
        <f>IF(C467="","",G443*C467)</f>
        <v/>
      </c>
      <c r="M467" s="381" t="str">
        <f>IF(A467="","",VLOOKUP(A467,VII.A!$A$10:$B$199,2,FALSE))</f>
        <v/>
      </c>
      <c r="N467" s="342" t="str">
        <f t="shared" si="132"/>
        <v/>
      </c>
      <c r="R467" s="341"/>
      <c r="S467" s="341"/>
    </row>
    <row r="468" spans="1:19" ht="12.75" customHeight="1">
      <c r="A468" s="393"/>
      <c r="C468" s="20"/>
      <c r="E468" s="387"/>
      <c r="F468" s="388">
        <f t="shared" si="129"/>
        <v>0</v>
      </c>
      <c r="H468" s="341" t="str">
        <f>IF(A468="","",VLOOKUP(A468,VII.A!$A$10:$D$199,4,FALSE))</f>
        <v/>
      </c>
      <c r="I468" s="341" t="str">
        <f t="shared" si="130"/>
        <v/>
      </c>
      <c r="J468" s="341" t="str">
        <f>IF(A468="","",VLOOKUP(A468,VII.A!$A$10:$D$199,3,FALSE))</f>
        <v/>
      </c>
      <c r="K468" s="342" t="str">
        <f t="shared" si="131"/>
        <v/>
      </c>
      <c r="L468" s="380" t="str">
        <f>IF(C468="","",G443*C468)</f>
        <v/>
      </c>
      <c r="M468" s="381" t="str">
        <f>IF(A468="","",VLOOKUP(A468,VII.A!$A$10:$B$199,2,FALSE))</f>
        <v/>
      </c>
      <c r="N468" s="342" t="str">
        <f t="shared" si="132"/>
        <v/>
      </c>
      <c r="R468" s="341"/>
      <c r="S468" s="341"/>
    </row>
    <row r="469" spans="1:19" ht="12.75" customHeight="1">
      <c r="A469" s="393"/>
      <c r="C469" s="20"/>
      <c r="E469" s="387"/>
      <c r="F469" s="388">
        <f t="shared" si="129"/>
        <v>0</v>
      </c>
      <c r="G469" s="390"/>
      <c r="H469" s="341" t="str">
        <f>IF(A469="","",VLOOKUP(A469,VII.A!$A$10:$D$199,4,FALSE))</f>
        <v/>
      </c>
      <c r="I469" s="341" t="str">
        <f t="shared" si="130"/>
        <v/>
      </c>
      <c r="J469" s="341" t="str">
        <f>IF(A469="","",VLOOKUP(A469,VII.A!$A$10:$D$199,3,FALSE))</f>
        <v/>
      </c>
      <c r="K469" s="342" t="str">
        <f t="shared" si="131"/>
        <v/>
      </c>
      <c r="L469" s="380" t="str">
        <f>IF(C469="","",G443*C469)</f>
        <v/>
      </c>
      <c r="M469" s="381" t="str">
        <f>IF(A469="","",VLOOKUP(A469,VII.A!$A$10:$B$199,2,FALSE))</f>
        <v/>
      </c>
      <c r="N469" s="342" t="str">
        <f t="shared" si="132"/>
        <v/>
      </c>
      <c r="R469" s="341"/>
      <c r="S469" s="341"/>
    </row>
    <row r="470" spans="1:19" ht="12.75" customHeight="1">
      <c r="A470" s="393"/>
      <c r="C470" s="20"/>
      <c r="E470" s="387"/>
      <c r="F470" s="388">
        <f t="shared" si="129"/>
        <v>0</v>
      </c>
      <c r="G470" s="391"/>
      <c r="H470" s="341" t="str">
        <f>IF(A470="","",VLOOKUP(A470,VII.A!$A$10:$D$199,4,FALSE))</f>
        <v/>
      </c>
      <c r="I470" s="341" t="str">
        <f t="shared" si="130"/>
        <v/>
      </c>
      <c r="J470" s="341" t="str">
        <f>IF(A470="","",VLOOKUP(A470,VII.A!$A$10:$D$199,3,FALSE))</f>
        <v/>
      </c>
      <c r="K470" s="342" t="str">
        <f t="shared" si="131"/>
        <v/>
      </c>
      <c r="L470" s="380" t="str">
        <f>IF(C470="","",G443*C470)</f>
        <v/>
      </c>
      <c r="M470" s="381" t="str">
        <f>IF(A470="","",VLOOKUP(A470,VII.A!$A$10:$B$199,2,FALSE))</f>
        <v/>
      </c>
      <c r="N470" s="342" t="str">
        <f t="shared" si="132"/>
        <v/>
      </c>
      <c r="R470" s="341"/>
      <c r="S470" s="341"/>
    </row>
    <row r="471" spans="1:19" ht="12.75" customHeight="1">
      <c r="A471" s="393"/>
      <c r="C471" s="20"/>
      <c r="E471" s="387"/>
      <c r="F471" s="388">
        <f t="shared" si="129"/>
        <v>0</v>
      </c>
      <c r="H471" s="341" t="str">
        <f>IF(A471="","",VLOOKUP(A471,VII.A!$A$10:$D$199,4,FALSE))</f>
        <v/>
      </c>
      <c r="I471" s="341" t="str">
        <f t="shared" si="130"/>
        <v/>
      </c>
      <c r="J471" s="341" t="str">
        <f>IF(A471="","",VLOOKUP(A471,VII.A!$A$10:$D$199,3,FALSE))</f>
        <v/>
      </c>
      <c r="K471" s="342" t="str">
        <f t="shared" si="131"/>
        <v/>
      </c>
      <c r="L471" s="380" t="str">
        <f>IF(C471="","",G443*C471)</f>
        <v/>
      </c>
      <c r="M471" s="381" t="str">
        <f>IF(A471="","",VLOOKUP(A471,VII.A!$A$10:$B$199,2,FALSE))</f>
        <v/>
      </c>
      <c r="N471" s="342" t="str">
        <f t="shared" si="132"/>
        <v/>
      </c>
      <c r="R471" s="341"/>
      <c r="S471" s="341"/>
    </row>
    <row r="472" spans="1:19" ht="12.75" customHeight="1">
      <c r="A472" s="393"/>
      <c r="C472" s="20"/>
      <c r="E472" s="387"/>
      <c r="F472" s="388">
        <f t="shared" si="129"/>
        <v>0</v>
      </c>
      <c r="H472" s="341" t="str">
        <f>IF(A472="","",VLOOKUP(A472,VII.A!$A$10:$D$199,4,FALSE))</f>
        <v/>
      </c>
      <c r="I472" s="341" t="str">
        <f t="shared" si="130"/>
        <v/>
      </c>
      <c r="J472" s="341" t="str">
        <f>IF(A472="","",VLOOKUP(A472,VII.A!$A$10:$D$199,3,FALSE))</f>
        <v/>
      </c>
      <c r="K472" s="342" t="str">
        <f t="shared" si="131"/>
        <v/>
      </c>
      <c r="L472" s="380" t="str">
        <f>IF(C472="","",G443*C472)</f>
        <v/>
      </c>
      <c r="M472" s="381" t="str">
        <f>IF(A472="","",VLOOKUP(A472,VII.A!$A$10:$B$199,2,FALSE))</f>
        <v/>
      </c>
      <c r="N472" s="342" t="str">
        <f t="shared" si="132"/>
        <v/>
      </c>
      <c r="R472" s="341"/>
      <c r="S472" s="341"/>
    </row>
    <row r="473" spans="1:19" ht="12.75" customHeight="1">
      <c r="A473" s="393"/>
      <c r="C473" s="20"/>
      <c r="E473" s="387"/>
      <c r="F473" s="388">
        <f t="shared" si="129"/>
        <v>0</v>
      </c>
      <c r="H473" s="341" t="str">
        <f>IF(A473="","",VLOOKUP(A473,VII.A!$A$10:$D$199,4,FALSE))</f>
        <v/>
      </c>
      <c r="I473" s="341" t="str">
        <f t="shared" si="130"/>
        <v/>
      </c>
      <c r="J473" s="341" t="str">
        <f>IF(A473="","",VLOOKUP(A473,VII.A!$A$10:$D$199,3,FALSE))</f>
        <v/>
      </c>
      <c r="K473" s="342" t="str">
        <f t="shared" si="131"/>
        <v/>
      </c>
      <c r="L473" s="380" t="str">
        <f>IF(C473="","",G443*C473)</f>
        <v/>
      </c>
      <c r="M473" s="381" t="str">
        <f>IF(A473="","",VLOOKUP(A473,VII.A!$A$10:$B$199,2,FALSE))</f>
        <v/>
      </c>
      <c r="N473" s="342" t="str">
        <f t="shared" si="132"/>
        <v/>
      </c>
      <c r="R473" s="341"/>
      <c r="S473" s="341"/>
    </row>
    <row r="474" spans="1:19" ht="12.75" customHeight="1">
      <c r="A474" s="393"/>
      <c r="C474" s="20"/>
      <c r="E474" s="387"/>
      <c r="F474" s="388">
        <f t="shared" si="129"/>
        <v>0</v>
      </c>
      <c r="H474" s="341" t="str">
        <f>IF(A474="","",VLOOKUP(A474,VII.A!$A$10:$D$199,4,FALSE))</f>
        <v/>
      </c>
      <c r="I474" s="341" t="str">
        <f t="shared" si="130"/>
        <v/>
      </c>
      <c r="J474" s="341" t="str">
        <f>IF(A474="","",VLOOKUP(A474,VII.A!$A$10:$D$199,3,FALSE))</f>
        <v/>
      </c>
      <c r="K474" s="342" t="str">
        <f t="shared" si="131"/>
        <v/>
      </c>
      <c r="L474" s="380" t="str">
        <f>IF(C474="","",G443*C474)</f>
        <v/>
      </c>
      <c r="M474" s="381" t="str">
        <f>IF(A474="","",VLOOKUP(A474,VII.A!$A$10:$B$199,2,FALSE))</f>
        <v/>
      </c>
      <c r="N474" s="342" t="str">
        <f t="shared" si="132"/>
        <v/>
      </c>
      <c r="R474" s="341"/>
      <c r="S474" s="341"/>
    </row>
    <row r="475" spans="1:19" ht="12.75" customHeight="1">
      <c r="A475" s="393"/>
      <c r="B475" s="395" t="s">
        <v>226</v>
      </c>
      <c r="C475" s="396"/>
      <c r="D475" s="397"/>
      <c r="E475" s="398"/>
      <c r="F475" s="399">
        <f>SUM(F465:F474)</f>
        <v>0</v>
      </c>
      <c r="J475" s="341"/>
      <c r="L475" s="380"/>
      <c r="M475" s="381"/>
      <c r="N475" s="342"/>
      <c r="R475" s="341"/>
      <c r="S475" s="341"/>
    </row>
    <row r="476" spans="1:19" ht="12.75" customHeight="1">
      <c r="A476" s="393"/>
      <c r="B476" s="400" t="s">
        <v>53</v>
      </c>
      <c r="C476" s="2">
        <f>$D$8</f>
        <v>0</v>
      </c>
      <c r="D476" s="401"/>
      <c r="E476" s="402"/>
      <c r="F476" s="403">
        <f>ROUND(C476*F475,2)</f>
        <v>0</v>
      </c>
      <c r="J476" s="341"/>
      <c r="L476" s="380"/>
      <c r="M476" s="381"/>
      <c r="N476" s="342"/>
      <c r="R476" s="341"/>
      <c r="S476" s="341"/>
    </row>
    <row r="477" spans="1:19" ht="12.75" customHeight="1">
      <c r="A477" s="404"/>
      <c r="B477" s="405" t="s">
        <v>228</v>
      </c>
      <c r="C477" s="406"/>
      <c r="D477" s="406"/>
      <c r="E477" s="407"/>
      <c r="F477" s="408">
        <f>F475+F476</f>
        <v>0</v>
      </c>
      <c r="J477" s="341"/>
      <c r="L477" s="380"/>
      <c r="M477" s="381"/>
      <c r="N477" s="342"/>
      <c r="R477" s="341"/>
      <c r="S477" s="341"/>
    </row>
    <row r="478" spans="1:19" ht="12.75" customHeight="1">
      <c r="A478" s="409" t="s">
        <v>47</v>
      </c>
      <c r="B478" s="410" t="s">
        <v>236</v>
      </c>
      <c r="C478" s="411" t="s">
        <v>231</v>
      </c>
      <c r="D478" s="412" t="s">
        <v>232</v>
      </c>
      <c r="E478" s="413" t="s">
        <v>233</v>
      </c>
      <c r="F478" s="378" t="s">
        <v>234</v>
      </c>
      <c r="J478" s="341"/>
      <c r="L478" s="380"/>
      <c r="M478" s="381"/>
      <c r="N478" s="342"/>
      <c r="R478" s="341"/>
      <c r="S478" s="341"/>
    </row>
    <row r="479" spans="1:19" ht="12.75" customHeight="1">
      <c r="A479" s="393" t="str">
        <f>VII.A!$A$196</f>
        <v>3.16</v>
      </c>
      <c r="B479" s="394" t="s">
        <v>157</v>
      </c>
      <c r="C479" s="20">
        <v>0.5</v>
      </c>
      <c r="D479" s="384" t="str">
        <f>VLOOKUP(A479,VII.A!$A$10:$G$199,3,FALSE)</f>
        <v>H</v>
      </c>
      <c r="E479" s="387">
        <f>VII.A!D196</f>
        <v>0</v>
      </c>
      <c r="F479" s="388">
        <f t="shared" ref="F479:F485" si="133">ROUND(C479*E479,2)</f>
        <v>0</v>
      </c>
      <c r="H479" s="341">
        <f>IF(A479="","",VLOOKUP(A479,VII.A!$A$10:$D$199,4,FALSE))</f>
        <v>0</v>
      </c>
      <c r="I479" s="341" t="str">
        <f t="shared" ref="I479:I485" si="134">IF(A479="","",IF(E479=H479,"SIM","NÃO"))</f>
        <v>SIM</v>
      </c>
      <c r="J479" s="341" t="str">
        <f>IF(A479="","",VLOOKUP(A479,VII.A!$A$10:$D$199,3,FALSE))</f>
        <v>H</v>
      </c>
      <c r="K479" s="342" t="str">
        <f t="shared" ref="K479:K485" si="135">IF(A479="","",IF(J479=D479,"SIM","NÃO"))</f>
        <v>SIM</v>
      </c>
      <c r="L479" s="380">
        <f>IF(C479="","",G443*C479)</f>
        <v>32</v>
      </c>
      <c r="M479" s="381" t="str">
        <f>IF(A479="","",VLOOKUP(A479,VII.A!$A$10:$B$199,2,FALSE))</f>
        <v>SERVENTE COM ENCARGOS COMPLEMENTARES</v>
      </c>
      <c r="N479" s="342" t="str">
        <f t="shared" ref="N479:N485" si="136">IF(B479="","",IF(M479=B479,"si","no"))</f>
        <v>si</v>
      </c>
      <c r="R479" s="341"/>
      <c r="S479" s="341"/>
    </row>
    <row r="480" spans="1:19" ht="12.75" customHeight="1">
      <c r="A480" s="393" t="str">
        <f>VII.A!$A$192</f>
        <v>3.12</v>
      </c>
      <c r="B480" s="394" t="str">
        <f>VII.A!B192</f>
        <v>PEDREIRO COM ENCARGOS COMPLEMENTARES</v>
      </c>
      <c r="C480" s="20">
        <v>0.05</v>
      </c>
      <c r="D480" s="384" t="str">
        <f>VII.A!C192</f>
        <v>H</v>
      </c>
      <c r="E480" s="387">
        <f>VII.A!D192</f>
        <v>0</v>
      </c>
      <c r="F480" s="388">
        <f t="shared" si="133"/>
        <v>0</v>
      </c>
      <c r="H480" s="341">
        <f>IF(A480="","",VLOOKUP(A480,VII.A!$A$10:$D$199,4,FALSE))</f>
        <v>0</v>
      </c>
      <c r="I480" s="341" t="str">
        <f t="shared" si="134"/>
        <v>SIM</v>
      </c>
      <c r="J480" s="341" t="str">
        <f>IF(A480="","",VLOOKUP(A480,VII.A!$A$10:$D$199,3,FALSE))</f>
        <v>H</v>
      </c>
      <c r="K480" s="342" t="str">
        <f t="shared" si="135"/>
        <v>SIM</v>
      </c>
      <c r="L480" s="380">
        <f>IF(C480="","",G443*C480)</f>
        <v>3.2</v>
      </c>
      <c r="M480" s="381" t="str">
        <f>IF(A480="","",VLOOKUP(A480,VII.A!$A$10:$B$199,2,FALSE))</f>
        <v>PEDREIRO COM ENCARGOS COMPLEMENTARES</v>
      </c>
      <c r="N480" s="342" t="str">
        <f t="shared" si="136"/>
        <v>si</v>
      </c>
      <c r="R480" s="341"/>
      <c r="S480" s="341"/>
    </row>
    <row r="481" spans="1:25" ht="12.75" customHeight="1">
      <c r="A481" s="393"/>
      <c r="C481" s="20"/>
      <c r="E481" s="387"/>
      <c r="F481" s="388">
        <f t="shared" si="133"/>
        <v>0</v>
      </c>
      <c r="H481" s="341" t="str">
        <f>IF(A481="","",VLOOKUP(A481,VII.A!$A$10:$D$199,4,FALSE))</f>
        <v/>
      </c>
      <c r="I481" s="341" t="str">
        <f t="shared" si="134"/>
        <v/>
      </c>
      <c r="J481" s="341" t="str">
        <f>IF(A481="","",VLOOKUP(A481,VII.A!$A$10:$D$199,3,FALSE))</f>
        <v/>
      </c>
      <c r="K481" s="342" t="str">
        <f t="shared" si="135"/>
        <v/>
      </c>
      <c r="L481" s="380" t="str">
        <f>IF(C481="","",G443*C481)</f>
        <v/>
      </c>
      <c r="M481" s="381" t="str">
        <f>IF(A481="","",VLOOKUP(A481,VII.A!$A$10:$B$199,2,FALSE))</f>
        <v/>
      </c>
      <c r="N481" s="342" t="str">
        <f t="shared" si="136"/>
        <v/>
      </c>
      <c r="R481" s="341"/>
      <c r="S481" s="341"/>
    </row>
    <row r="482" spans="1:25" ht="12.75" customHeight="1">
      <c r="A482" s="393"/>
      <c r="C482" s="20"/>
      <c r="E482" s="387"/>
      <c r="F482" s="388">
        <f t="shared" si="133"/>
        <v>0</v>
      </c>
      <c r="H482" s="341" t="str">
        <f>IF(A482="","",VLOOKUP(A482,VII.A!$A$10:$D$199,4,FALSE))</f>
        <v/>
      </c>
      <c r="I482" s="341" t="str">
        <f t="shared" si="134"/>
        <v/>
      </c>
      <c r="J482" s="341" t="str">
        <f>IF(A482="","",VLOOKUP(A482,VII.A!$A$10:$D$199,3,FALSE))</f>
        <v/>
      </c>
      <c r="K482" s="342" t="str">
        <f t="shared" si="135"/>
        <v/>
      </c>
      <c r="L482" s="380" t="str">
        <f>IF(C482="","",G443*C482)</f>
        <v/>
      </c>
      <c r="M482" s="381" t="str">
        <f>IF(A482="","",VLOOKUP(A482,VII.A!$A$10:$B$199,2,FALSE))</f>
        <v/>
      </c>
      <c r="N482" s="342" t="str">
        <f t="shared" si="136"/>
        <v/>
      </c>
      <c r="R482" s="341"/>
      <c r="S482" s="341"/>
    </row>
    <row r="483" spans="1:25" ht="12.75" customHeight="1">
      <c r="A483" s="393"/>
      <c r="C483" s="20"/>
      <c r="E483" s="387"/>
      <c r="F483" s="388">
        <f t="shared" si="133"/>
        <v>0</v>
      </c>
      <c r="H483" s="341" t="str">
        <f>IF(A483="","",VLOOKUP(A483,VII.A!$A$10:$D$199,4,FALSE))</f>
        <v/>
      </c>
      <c r="I483" s="341" t="str">
        <f t="shared" si="134"/>
        <v/>
      </c>
      <c r="J483" s="341" t="str">
        <f>IF(A483="","",VLOOKUP(A483,VII.A!$A$10:$D$199,3,FALSE))</f>
        <v/>
      </c>
      <c r="K483" s="342" t="str">
        <f t="shared" si="135"/>
        <v/>
      </c>
      <c r="L483" s="380" t="str">
        <f>IF(C483="","",G443*C483)</f>
        <v/>
      </c>
      <c r="M483" s="381" t="str">
        <f>IF(A483="","",VLOOKUP(A483,VII.A!$A$10:$B$199,2,FALSE))</f>
        <v/>
      </c>
      <c r="N483" s="342" t="str">
        <f t="shared" si="136"/>
        <v/>
      </c>
      <c r="R483" s="341"/>
      <c r="S483" s="341"/>
    </row>
    <row r="484" spans="1:25" ht="12.75" customHeight="1">
      <c r="A484" s="393"/>
      <c r="C484" s="20"/>
      <c r="E484" s="387"/>
      <c r="F484" s="388">
        <f t="shared" si="133"/>
        <v>0</v>
      </c>
      <c r="H484" s="341" t="str">
        <f>IF(A484="","",VLOOKUP(A484,VII.A!$A$10:$D$199,4,FALSE))</f>
        <v/>
      </c>
      <c r="I484" s="341" t="str">
        <f t="shared" si="134"/>
        <v/>
      </c>
      <c r="J484" s="341" t="str">
        <f>IF(A484="","",VLOOKUP(A484,VII.A!$A$10:$D$199,3,FALSE))</f>
        <v/>
      </c>
      <c r="K484" s="342" t="str">
        <f t="shared" si="135"/>
        <v/>
      </c>
      <c r="L484" s="380" t="str">
        <f>IF(C484="","",G443*C484)</f>
        <v/>
      </c>
      <c r="M484" s="381" t="str">
        <f>IF(A484="","",VLOOKUP(A484,VII.A!$A$10:$B$199,2,FALSE))</f>
        <v/>
      </c>
      <c r="N484" s="342" t="str">
        <f t="shared" si="136"/>
        <v/>
      </c>
      <c r="R484" s="341"/>
      <c r="S484" s="341"/>
    </row>
    <row r="485" spans="1:25" ht="12.75" customHeight="1">
      <c r="A485" s="393"/>
      <c r="C485" s="20"/>
      <c r="E485" s="387"/>
      <c r="F485" s="388">
        <f t="shared" si="133"/>
        <v>0</v>
      </c>
      <c r="H485" s="341" t="str">
        <f>IF(A485="","",VLOOKUP(A485,VII.A!$A$10:$D$199,4,FALSE))</f>
        <v/>
      </c>
      <c r="I485" s="341" t="str">
        <f t="shared" si="134"/>
        <v/>
      </c>
      <c r="J485" s="341" t="str">
        <f>IF(A485="","",VLOOKUP(A485,VII.A!$A$10:$D$199,3,FALSE))</f>
        <v/>
      </c>
      <c r="K485" s="342" t="str">
        <f t="shared" si="135"/>
        <v/>
      </c>
      <c r="L485" s="380" t="str">
        <f>IF(C485="","",G443*C485)</f>
        <v/>
      </c>
      <c r="M485" s="381" t="str">
        <f>IF(A485="","",VLOOKUP(A485,VII.A!$A$10:$B$199,2,FALSE))</f>
        <v/>
      </c>
      <c r="N485" s="342" t="str">
        <f t="shared" si="136"/>
        <v/>
      </c>
      <c r="R485" s="341"/>
      <c r="S485" s="341"/>
    </row>
    <row r="486" spans="1:25" ht="12.75" customHeight="1">
      <c r="A486" s="393"/>
      <c r="B486" s="395" t="s">
        <v>226</v>
      </c>
      <c r="C486" s="396"/>
      <c r="D486" s="397"/>
      <c r="E486" s="398"/>
      <c r="F486" s="399">
        <f>SUM(F479:F485)</f>
        <v>0</v>
      </c>
      <c r="J486" s="341"/>
      <c r="L486" s="380"/>
      <c r="M486" s="381"/>
      <c r="N486" s="342"/>
      <c r="R486" s="341"/>
      <c r="S486" s="341"/>
    </row>
    <row r="487" spans="1:25" ht="12.75" customHeight="1">
      <c r="A487" s="393"/>
      <c r="B487" s="400" t="s">
        <v>229</v>
      </c>
      <c r="C487" s="2">
        <f>IX.A!$C$45</f>
        <v>0</v>
      </c>
      <c r="D487" s="401"/>
      <c r="E487" s="402"/>
      <c r="F487" s="403">
        <f>ROUND(F486*C487,2)</f>
        <v>0</v>
      </c>
      <c r="J487" s="341"/>
      <c r="L487" s="380"/>
      <c r="M487" s="381"/>
      <c r="N487" s="342"/>
      <c r="R487" s="341"/>
      <c r="S487" s="341"/>
    </row>
    <row r="488" spans="1:25" ht="12.75" customHeight="1">
      <c r="A488" s="393"/>
      <c r="B488" s="400" t="s">
        <v>53</v>
      </c>
      <c r="C488" s="2">
        <f>$D$8</f>
        <v>0</v>
      </c>
      <c r="D488" s="401"/>
      <c r="E488" s="402"/>
      <c r="F488" s="403">
        <f>ROUND(SUM(F486:F487)*C488,2)</f>
        <v>0</v>
      </c>
      <c r="J488" s="341"/>
      <c r="L488" s="380"/>
      <c r="M488" s="381"/>
      <c r="N488" s="342"/>
      <c r="R488" s="341"/>
      <c r="S488" s="341"/>
    </row>
    <row r="489" spans="1:25" ht="12.75" customHeight="1" thickBot="1">
      <c r="A489" s="414"/>
      <c r="B489" s="415" t="s">
        <v>230</v>
      </c>
      <c r="C489" s="416"/>
      <c r="D489" s="416"/>
      <c r="E489" s="417"/>
      <c r="F489" s="418">
        <f>SUM(F486:F488)</f>
        <v>0</v>
      </c>
      <c r="J489" s="341"/>
      <c r="L489" s="380"/>
      <c r="M489" s="381"/>
      <c r="N489" s="342"/>
      <c r="R489" s="341"/>
      <c r="S489" s="341"/>
    </row>
    <row r="490" spans="1:25" ht="12.75" customHeight="1" thickBot="1">
      <c r="A490" s="427"/>
      <c r="B490" s="428"/>
      <c r="C490" s="429"/>
      <c r="D490" s="429"/>
      <c r="E490" s="430"/>
      <c r="F490" s="431"/>
      <c r="J490" s="341"/>
      <c r="L490" s="380"/>
      <c r="M490" s="381"/>
      <c r="N490" s="342"/>
      <c r="R490" s="341"/>
      <c r="S490" s="341"/>
    </row>
    <row r="491" spans="1:25" ht="30" customHeight="1">
      <c r="A491" s="370" t="str">
        <f>IV.A!$A$30</f>
        <v>2.1.6</v>
      </c>
      <c r="B491" s="371" t="str">
        <f>IV.A!$B$30</f>
        <v>REMOÇÃO DE CALHAS, RUFOS, PINGADEIRAS E CONDUTORES VERTICAIS</v>
      </c>
      <c r="C491" s="871" t="s">
        <v>237</v>
      </c>
      <c r="D491" s="872"/>
      <c r="E491" s="372" t="str">
        <f>IV.A!$C$30</f>
        <v>M</v>
      </c>
      <c r="F491" s="11">
        <f>ROUND(F511+F525+F537,2)</f>
        <v>0</v>
      </c>
      <c r="G491" s="1">
        <f>VLOOKUP(A491,IV.A!$A$16:$L$172,4,FALSE)</f>
        <v>100</v>
      </c>
      <c r="H491" s="361">
        <f>SUM(F493:F508)+F510</f>
        <v>0</v>
      </c>
      <c r="I491" s="361">
        <f>SUM(F513:F522)+F524</f>
        <v>0</v>
      </c>
      <c r="J491" s="361">
        <f>SUM(F527:F533)+F535+F536</f>
        <v>0</v>
      </c>
      <c r="K491" s="361">
        <f>SUM(H491:J491)</f>
        <v>0</v>
      </c>
      <c r="L491" s="362" t="str">
        <f>IF(K491=F491,"SIM","NÃO")</f>
        <v>SIM</v>
      </c>
      <c r="M491" s="373">
        <f>ROUND(SUM(F493:F508),2)+ROUND(SUM(F493:F508)*C510,2)+ROUND(SUM(F513:F522)*C524,2)+ROUND(SUM(F513:F522),2)+ROUND(SUM(F527:F533)*C535,2)+ROUND((SUM(F527:F533)+ROUND(SUM(F527:F533)*C535,2))*C536,2)+ROUND(SUM(F527:F533),2)</f>
        <v>0</v>
      </c>
      <c r="N491" s="343" t="str">
        <f>IF(M491=F491,"SIM","NÃO")</f>
        <v>SIM</v>
      </c>
      <c r="O491" s="364" t="str">
        <f>VLOOKUP(A491,IV.A!$A$16:$E$172,3,FALSE)</f>
        <v>M</v>
      </c>
      <c r="P491" s="344" t="str">
        <f>IF(O491=E491,"SIM","NÃO")</f>
        <v>SIM</v>
      </c>
      <c r="Q491" s="365">
        <f>ROUND(G491*F511,2)+ROUND(G491*F525,2)+ROUND(G491*F537,2)</f>
        <v>0</v>
      </c>
      <c r="R491" s="364">
        <f>VLOOKUP(A491,IV.A!$A$16:$L$172,12,FALSE)</f>
        <v>0</v>
      </c>
      <c r="S491" s="366" t="str">
        <f>IF(Q491=R491,"si","no")</f>
        <v>si</v>
      </c>
      <c r="T491" s="367">
        <f>SUM(L493:L508)+SUM(L513:L522)+SUM(L527:L533)</f>
        <v>23.34</v>
      </c>
      <c r="U491" s="341">
        <f>(SUM(C493:C508)+SUM(C513:C522)+SUM(C527:C533))*G491</f>
        <v>23.34</v>
      </c>
      <c r="V491" s="368" t="str">
        <f>IF(T491=U491,"si","no")</f>
        <v>si</v>
      </c>
      <c r="W491" s="369">
        <f>SUM(F493:F508)</f>
        <v>0</v>
      </c>
      <c r="X491" s="369">
        <f>SUM(F513:F522)</f>
        <v>0</v>
      </c>
      <c r="Y491" s="369">
        <f>SUM(F527:F533)</f>
        <v>0</v>
      </c>
    </row>
    <row r="492" spans="1:25" ht="12.75" customHeight="1">
      <c r="A492" s="374" t="s">
        <v>14</v>
      </c>
      <c r="B492" s="375" t="s">
        <v>132</v>
      </c>
      <c r="C492" s="376" t="s">
        <v>231</v>
      </c>
      <c r="D492" s="376" t="s">
        <v>232</v>
      </c>
      <c r="E492" s="377" t="s">
        <v>233</v>
      </c>
      <c r="F492" s="378" t="s">
        <v>234</v>
      </c>
      <c r="G492" s="379"/>
      <c r="J492" s="341"/>
      <c r="L492" s="380"/>
      <c r="M492" s="381"/>
      <c r="N492" s="342"/>
      <c r="O492" s="382"/>
      <c r="P492" s="383"/>
      <c r="Q492" s="383"/>
      <c r="R492" s="383"/>
      <c r="S492" s="383"/>
      <c r="T492" s="382"/>
      <c r="U492" s="341"/>
      <c r="V492" s="384"/>
      <c r="W492" s="384"/>
      <c r="X492" s="384"/>
      <c r="Y492" s="384"/>
    </row>
    <row r="493" spans="1:25" ht="12.75" customHeight="1">
      <c r="A493" s="385"/>
      <c r="B493" s="386"/>
      <c r="C493" s="20"/>
      <c r="D493" s="342"/>
      <c r="E493" s="387"/>
      <c r="F493" s="388">
        <f>ROUND(C493*E493,2)</f>
        <v>0</v>
      </c>
      <c r="H493" s="341" t="str">
        <f>IF(A493="","",VLOOKUP(A493,VII.A!$A$10:$D$199,4,FALSE))</f>
        <v/>
      </c>
      <c r="I493" s="341" t="str">
        <f t="shared" ref="I493:I508" si="137">IF(A493="","",IF(E493=H493,"SIM","NÃO"))</f>
        <v/>
      </c>
      <c r="J493" s="341" t="str">
        <f>IF(A493="","",VLOOKUP(A493,VII.A!$A$10:$D$199,3,FALSE))</f>
        <v/>
      </c>
      <c r="K493" s="342" t="str">
        <f t="shared" ref="K493:K508" si="138">IF(A493="","",IF(J493=D493,"SIM","NÃO"))</f>
        <v/>
      </c>
      <c r="L493" s="380" t="str">
        <f>IF(C493="","",G491*C493)</f>
        <v/>
      </c>
      <c r="M493" s="381" t="str">
        <f>IF(A493="","",VLOOKUP(A493,VII.A!$A$10:$B$199,2,FALSE))</f>
        <v/>
      </c>
      <c r="N493" s="342" t="str">
        <f t="shared" ref="N493:N508" si="139">IF(B493="","",IF(M493=B493,"si","no"))</f>
        <v/>
      </c>
      <c r="R493" s="341"/>
      <c r="S493" s="341"/>
    </row>
    <row r="494" spans="1:25" ht="12.75" customHeight="1">
      <c r="A494" s="385"/>
      <c r="B494" s="386"/>
      <c r="C494" s="20"/>
      <c r="D494" s="342"/>
      <c r="E494" s="387"/>
      <c r="F494" s="388">
        <f t="shared" ref="F494:F508" si="140">ROUND(C494*E494,2)</f>
        <v>0</v>
      </c>
      <c r="H494" s="341" t="str">
        <f>IF(A494="","",VLOOKUP(A494,VII.A!$A$10:$D$199,4,FALSE))</f>
        <v/>
      </c>
      <c r="I494" s="341" t="str">
        <f t="shared" si="137"/>
        <v/>
      </c>
      <c r="J494" s="341" t="str">
        <f>IF(A494="","",VLOOKUP(A494,VII.A!$A$10:$D$199,3,FALSE))</f>
        <v/>
      </c>
      <c r="K494" s="342" t="str">
        <f t="shared" si="138"/>
        <v/>
      </c>
      <c r="L494" s="380" t="str">
        <f>IF(C494="","",G491*C494)</f>
        <v/>
      </c>
      <c r="M494" s="381" t="str">
        <f>IF(A494="","",VLOOKUP(A494,VII.A!$A$10:$B$199,2,FALSE))</f>
        <v/>
      </c>
      <c r="N494" s="342" t="str">
        <f t="shared" si="139"/>
        <v/>
      </c>
      <c r="R494" s="341"/>
      <c r="S494" s="341"/>
    </row>
    <row r="495" spans="1:25" ht="12.75" customHeight="1">
      <c r="A495" s="385"/>
      <c r="B495" s="386"/>
      <c r="C495" s="20"/>
      <c r="D495" s="342"/>
      <c r="E495" s="387"/>
      <c r="F495" s="388">
        <f t="shared" si="140"/>
        <v>0</v>
      </c>
      <c r="H495" s="341" t="str">
        <f>IF(A495="","",VLOOKUP(A495,VII.A!$A$10:$D$199,4,FALSE))</f>
        <v/>
      </c>
      <c r="I495" s="341" t="str">
        <f t="shared" si="137"/>
        <v/>
      </c>
      <c r="J495" s="341" t="str">
        <f>IF(A495="","",VLOOKUP(A495,VII.A!$A$10:$D$199,3,FALSE))</f>
        <v/>
      </c>
      <c r="K495" s="342" t="str">
        <f t="shared" si="138"/>
        <v/>
      </c>
      <c r="L495" s="380" t="str">
        <f>IF(C495="","",G491*C495)</f>
        <v/>
      </c>
      <c r="M495" s="381" t="str">
        <f>IF(A495="","",VLOOKUP(A495,VII.A!$A$10:$B$199,2,FALSE))</f>
        <v/>
      </c>
      <c r="N495" s="342" t="str">
        <f t="shared" si="139"/>
        <v/>
      </c>
      <c r="R495" s="341"/>
      <c r="S495" s="341"/>
    </row>
    <row r="496" spans="1:25" ht="12.75" customHeight="1">
      <c r="A496" s="385"/>
      <c r="B496" s="386"/>
      <c r="C496" s="20"/>
      <c r="D496" s="342"/>
      <c r="E496" s="387"/>
      <c r="F496" s="388">
        <f t="shared" si="140"/>
        <v>0</v>
      </c>
      <c r="H496" s="341" t="str">
        <f>IF(A496="","",VLOOKUP(A496,VII.A!$A$10:$D$199,4,FALSE))</f>
        <v/>
      </c>
      <c r="I496" s="341" t="str">
        <f t="shared" si="137"/>
        <v/>
      </c>
      <c r="J496" s="341" t="str">
        <f>IF(A496="","",VLOOKUP(A496,VII.A!$A$10:$D$199,3,FALSE))</f>
        <v/>
      </c>
      <c r="K496" s="342" t="str">
        <f t="shared" si="138"/>
        <v/>
      </c>
      <c r="L496" s="380" t="str">
        <f>IF(C496="","",G491*C496)</f>
        <v/>
      </c>
      <c r="M496" s="381" t="str">
        <f>IF(A496="","",VLOOKUP(A496,VII.A!$A$10:$B$199,2,FALSE))</f>
        <v/>
      </c>
      <c r="N496" s="342" t="str">
        <f t="shared" si="139"/>
        <v/>
      </c>
      <c r="R496" s="341"/>
      <c r="S496" s="341"/>
    </row>
    <row r="497" spans="1:21" ht="12.75" customHeight="1">
      <c r="A497" s="385"/>
      <c r="B497" s="386"/>
      <c r="C497" s="20"/>
      <c r="D497" s="342"/>
      <c r="E497" s="387"/>
      <c r="F497" s="388">
        <f t="shared" si="140"/>
        <v>0</v>
      </c>
      <c r="H497" s="341" t="str">
        <f>IF(A497="","",VLOOKUP(A497,VII.A!$A$10:$D$199,4,FALSE))</f>
        <v/>
      </c>
      <c r="I497" s="341" t="str">
        <f t="shared" si="137"/>
        <v/>
      </c>
      <c r="J497" s="341" t="str">
        <f>IF(A497="","",VLOOKUP(A497,VII.A!$A$10:$D$199,3,FALSE))</f>
        <v/>
      </c>
      <c r="K497" s="342" t="str">
        <f t="shared" si="138"/>
        <v/>
      </c>
      <c r="L497" s="380" t="str">
        <f>IF(C497="","",G491*C497)</f>
        <v/>
      </c>
      <c r="M497" s="381" t="str">
        <f>IF(A497="","",VLOOKUP(A497,VII.A!$A$10:$B$199,2,FALSE))</f>
        <v/>
      </c>
      <c r="N497" s="342" t="str">
        <f t="shared" si="139"/>
        <v/>
      </c>
      <c r="R497" s="341"/>
      <c r="S497" s="341"/>
    </row>
    <row r="498" spans="1:21" ht="12.75" customHeight="1">
      <c r="A498" s="385"/>
      <c r="B498" s="386"/>
      <c r="C498" s="20"/>
      <c r="D498" s="342"/>
      <c r="E498" s="387"/>
      <c r="F498" s="388">
        <f t="shared" si="140"/>
        <v>0</v>
      </c>
      <c r="H498" s="341" t="str">
        <f>IF(A498="","",VLOOKUP(A498,VII.A!$A$10:$D$199,4,FALSE))</f>
        <v/>
      </c>
      <c r="I498" s="341" t="str">
        <f t="shared" si="137"/>
        <v/>
      </c>
      <c r="J498" s="341" t="str">
        <f>IF(A498="","",VLOOKUP(A498,VII.A!$A$10:$D$199,3,FALSE))</f>
        <v/>
      </c>
      <c r="K498" s="342" t="str">
        <f t="shared" si="138"/>
        <v/>
      </c>
      <c r="L498" s="380" t="str">
        <f>IF(C498="","",G491*C498)</f>
        <v/>
      </c>
      <c r="M498" s="381" t="str">
        <f>IF(A498="","",VLOOKUP(A498,VII.A!$A$10:$B$199,2,FALSE))</f>
        <v/>
      </c>
      <c r="N498" s="342" t="str">
        <f t="shared" si="139"/>
        <v/>
      </c>
      <c r="R498" s="341"/>
      <c r="S498" s="341"/>
      <c r="U498" s="389"/>
    </row>
    <row r="499" spans="1:21" ht="12.75" customHeight="1">
      <c r="A499" s="385"/>
      <c r="B499" s="386"/>
      <c r="C499" s="20"/>
      <c r="D499" s="342"/>
      <c r="E499" s="387"/>
      <c r="F499" s="388">
        <f t="shared" si="140"/>
        <v>0</v>
      </c>
      <c r="H499" s="341" t="str">
        <f>IF(A499="","",VLOOKUP(A499,VII.A!$A$10:$D$199,4,FALSE))</f>
        <v/>
      </c>
      <c r="I499" s="341" t="str">
        <f t="shared" si="137"/>
        <v/>
      </c>
      <c r="J499" s="341" t="str">
        <f>IF(A499="","",VLOOKUP(A499,VII.A!$A$10:$D$199,3,FALSE))</f>
        <v/>
      </c>
      <c r="K499" s="342" t="str">
        <f t="shared" si="138"/>
        <v/>
      </c>
      <c r="L499" s="380" t="str">
        <f>IF(C499="","",G491*C499)</f>
        <v/>
      </c>
      <c r="M499" s="381" t="str">
        <f>IF(A499="","",VLOOKUP(A499,VII.A!$A$10:$B$199,2,FALSE))</f>
        <v/>
      </c>
      <c r="N499" s="342" t="str">
        <f t="shared" si="139"/>
        <v/>
      </c>
      <c r="R499" s="341"/>
      <c r="S499" s="341"/>
    </row>
    <row r="500" spans="1:21" ht="12.75" customHeight="1">
      <c r="A500" s="385"/>
      <c r="B500" s="386"/>
      <c r="C500" s="20"/>
      <c r="D500" s="342"/>
      <c r="E500" s="387"/>
      <c r="F500" s="388">
        <f t="shared" si="140"/>
        <v>0</v>
      </c>
      <c r="G500" s="390"/>
      <c r="H500" s="341" t="str">
        <f>IF(A500="","",VLOOKUP(A500,VII.A!$A$10:$D$199,4,FALSE))</f>
        <v/>
      </c>
      <c r="I500" s="341" t="str">
        <f t="shared" si="137"/>
        <v/>
      </c>
      <c r="J500" s="341" t="str">
        <f>IF(A500="","",VLOOKUP(A500,VII.A!$A$10:$D$199,3,FALSE))</f>
        <v/>
      </c>
      <c r="K500" s="342" t="str">
        <f t="shared" si="138"/>
        <v/>
      </c>
      <c r="L500" s="380" t="str">
        <f>IF(C500="","",G491*C500)</f>
        <v/>
      </c>
      <c r="M500" s="381" t="str">
        <f>IF(A500="","",VLOOKUP(A500,VII.A!$A$10:$B$199,2,FALSE))</f>
        <v/>
      </c>
      <c r="N500" s="342" t="str">
        <f t="shared" si="139"/>
        <v/>
      </c>
      <c r="R500" s="341"/>
      <c r="S500" s="341"/>
    </row>
    <row r="501" spans="1:21" ht="12.75" customHeight="1">
      <c r="A501" s="385"/>
      <c r="B501" s="386"/>
      <c r="C501" s="20"/>
      <c r="D501" s="342"/>
      <c r="E501" s="387"/>
      <c r="F501" s="388">
        <f t="shared" si="140"/>
        <v>0</v>
      </c>
      <c r="G501" s="390"/>
      <c r="H501" s="341" t="str">
        <f>IF(A501="","",VLOOKUP(A501,VII.A!$A$10:$D$199,4,FALSE))</f>
        <v/>
      </c>
      <c r="I501" s="341" t="str">
        <f t="shared" si="137"/>
        <v/>
      </c>
      <c r="J501" s="341" t="str">
        <f>IF(A501="","",VLOOKUP(A501,VII.A!$A$10:$D$199,3,FALSE))</f>
        <v/>
      </c>
      <c r="K501" s="342" t="str">
        <f t="shared" si="138"/>
        <v/>
      </c>
      <c r="L501" s="380" t="str">
        <f>IF(C501="","",G491*C501)</f>
        <v/>
      </c>
      <c r="M501" s="381" t="str">
        <f>IF(A501="","",VLOOKUP(A501,VII.A!$A$10:$B$199,2,FALSE))</f>
        <v/>
      </c>
      <c r="N501" s="342" t="str">
        <f t="shared" si="139"/>
        <v/>
      </c>
      <c r="R501" s="341"/>
      <c r="S501" s="341"/>
    </row>
    <row r="502" spans="1:21" ht="12.75" customHeight="1">
      <c r="A502" s="385"/>
      <c r="B502" s="386"/>
      <c r="C502" s="20"/>
      <c r="D502" s="342"/>
      <c r="E502" s="387"/>
      <c r="F502" s="388">
        <f t="shared" si="140"/>
        <v>0</v>
      </c>
      <c r="G502" s="391"/>
      <c r="H502" s="341" t="str">
        <f>IF(A502="","",VLOOKUP(A502,VII.A!$A$10:$D$199,4,FALSE))</f>
        <v/>
      </c>
      <c r="I502" s="341" t="str">
        <f t="shared" si="137"/>
        <v/>
      </c>
      <c r="J502" s="341" t="str">
        <f>IF(A502="","",VLOOKUP(A502,VII.A!$A$10:$D$199,3,FALSE))</f>
        <v/>
      </c>
      <c r="K502" s="342" t="str">
        <f t="shared" si="138"/>
        <v/>
      </c>
      <c r="L502" s="380" t="str">
        <f>IF(C502="","",G491*C502)</f>
        <v/>
      </c>
      <c r="M502" s="381" t="str">
        <f>IF(A502="","",VLOOKUP(A502,VII.A!$A$10:$B$199,2,FALSE))</f>
        <v/>
      </c>
      <c r="N502" s="342" t="str">
        <f t="shared" si="139"/>
        <v/>
      </c>
      <c r="R502" s="341"/>
      <c r="S502" s="341"/>
    </row>
    <row r="503" spans="1:21" ht="12.75" customHeight="1">
      <c r="A503" s="385"/>
      <c r="B503" s="386"/>
      <c r="C503" s="20"/>
      <c r="D503" s="342"/>
      <c r="E503" s="387"/>
      <c r="F503" s="388">
        <f t="shared" si="140"/>
        <v>0</v>
      </c>
      <c r="H503" s="341" t="str">
        <f>IF(A503="","",VLOOKUP(A503,VII.A!$A$10:$D$199,4,FALSE))</f>
        <v/>
      </c>
      <c r="I503" s="341" t="str">
        <f t="shared" si="137"/>
        <v/>
      </c>
      <c r="J503" s="341" t="str">
        <f>IF(A503="","",VLOOKUP(A503,VII.A!$A$10:$D$199,3,FALSE))</f>
        <v/>
      </c>
      <c r="K503" s="342" t="str">
        <f t="shared" si="138"/>
        <v/>
      </c>
      <c r="L503" s="380" t="str">
        <f>IF(C503="","",G491*C503)</f>
        <v/>
      </c>
      <c r="M503" s="381" t="str">
        <f>IF(A503="","",VLOOKUP(A503,VII.A!$A$10:$B$199,2,FALSE))</f>
        <v/>
      </c>
      <c r="N503" s="342" t="str">
        <f t="shared" si="139"/>
        <v/>
      </c>
      <c r="R503" s="341"/>
      <c r="S503" s="341"/>
    </row>
    <row r="504" spans="1:21" ht="12.75" customHeight="1">
      <c r="A504" s="385"/>
      <c r="B504" s="386"/>
      <c r="C504" s="20"/>
      <c r="D504" s="392"/>
      <c r="E504" s="387"/>
      <c r="F504" s="388">
        <f t="shared" si="140"/>
        <v>0</v>
      </c>
      <c r="H504" s="341" t="str">
        <f>IF(A504="","",VLOOKUP(A504,VII.A!$A$10:$D$199,4,FALSE))</f>
        <v/>
      </c>
      <c r="I504" s="341" t="str">
        <f t="shared" si="137"/>
        <v/>
      </c>
      <c r="J504" s="341" t="str">
        <f>IF(A504="","",VLOOKUP(A504,VII.A!$A$10:$D$199,3,FALSE))</f>
        <v/>
      </c>
      <c r="K504" s="342" t="str">
        <f t="shared" si="138"/>
        <v/>
      </c>
      <c r="L504" s="380" t="str">
        <f>IF(C504="","",G491*C504)</f>
        <v/>
      </c>
      <c r="M504" s="381" t="str">
        <f>IF(A504="","",VLOOKUP(A504,VII.A!$A$10:$B$199,2,FALSE))</f>
        <v/>
      </c>
      <c r="N504" s="342" t="str">
        <f t="shared" si="139"/>
        <v/>
      </c>
      <c r="R504" s="341"/>
      <c r="S504" s="341"/>
    </row>
    <row r="505" spans="1:21" ht="12.75" customHeight="1">
      <c r="A505" s="385"/>
      <c r="B505" s="386"/>
      <c r="C505" s="20"/>
      <c r="D505" s="392"/>
      <c r="E505" s="387"/>
      <c r="F505" s="388">
        <f t="shared" si="140"/>
        <v>0</v>
      </c>
      <c r="H505" s="341" t="str">
        <f>IF(A505="","",VLOOKUP(A505,VII.A!$A$10:$D$199,4,FALSE))</f>
        <v/>
      </c>
      <c r="I505" s="341" t="str">
        <f t="shared" si="137"/>
        <v/>
      </c>
      <c r="J505" s="341" t="str">
        <f>IF(A505="","",VLOOKUP(A505,VII.A!$A$10:$D$199,3,FALSE))</f>
        <v/>
      </c>
      <c r="K505" s="342" t="str">
        <f t="shared" si="138"/>
        <v/>
      </c>
      <c r="L505" s="380" t="str">
        <f>IF(C505="","",G491*C505)</f>
        <v/>
      </c>
      <c r="M505" s="381" t="str">
        <f>IF(A505="","",VLOOKUP(A505,VII.A!$A$10:$B$199,2,FALSE))</f>
        <v/>
      </c>
      <c r="N505" s="342" t="str">
        <f t="shared" si="139"/>
        <v/>
      </c>
      <c r="O505" s="342"/>
      <c r="R505" s="341"/>
      <c r="S505" s="341"/>
    </row>
    <row r="506" spans="1:21" ht="12.75" customHeight="1">
      <c r="A506" s="385"/>
      <c r="B506" s="386"/>
      <c r="C506" s="20"/>
      <c r="D506" s="392"/>
      <c r="E506" s="387"/>
      <c r="F506" s="388">
        <f t="shared" si="140"/>
        <v>0</v>
      </c>
      <c r="H506" s="341" t="str">
        <f>IF(A506="","",VLOOKUP(A506,VII.A!$A$10:$D$199,4,FALSE))</f>
        <v/>
      </c>
      <c r="I506" s="341" t="str">
        <f t="shared" si="137"/>
        <v/>
      </c>
      <c r="J506" s="341" t="str">
        <f>IF(A506="","",VLOOKUP(A506,VII.A!$A$10:$D$199,3,FALSE))</f>
        <v/>
      </c>
      <c r="K506" s="342" t="str">
        <f t="shared" si="138"/>
        <v/>
      </c>
      <c r="L506" s="380" t="str">
        <f>IF(C506="","",G491*C506)</f>
        <v/>
      </c>
      <c r="M506" s="381" t="str">
        <f>IF(A506="","",VLOOKUP(A506,VII.A!$A$10:$B$199,2,FALSE))</f>
        <v/>
      </c>
      <c r="N506" s="342" t="str">
        <f t="shared" si="139"/>
        <v/>
      </c>
      <c r="R506" s="341"/>
      <c r="S506" s="341"/>
    </row>
    <row r="507" spans="1:21" ht="12.75" customHeight="1">
      <c r="A507" s="393"/>
      <c r="C507" s="20"/>
      <c r="E507" s="387"/>
      <c r="F507" s="388">
        <f t="shared" si="140"/>
        <v>0</v>
      </c>
      <c r="H507" s="341" t="str">
        <f>IF(A507="","",VLOOKUP(A507,VII.A!$A$10:$D$199,4,FALSE))</f>
        <v/>
      </c>
      <c r="I507" s="341" t="str">
        <f t="shared" si="137"/>
        <v/>
      </c>
      <c r="J507" s="341" t="str">
        <f>IF(A507="","",VLOOKUP(A507,VII.A!$A$10:$D$199,3,FALSE))</f>
        <v/>
      </c>
      <c r="K507" s="342" t="str">
        <f t="shared" si="138"/>
        <v/>
      </c>
      <c r="L507" s="380" t="str">
        <f>IF(C507="","",G491*C507)</f>
        <v/>
      </c>
      <c r="M507" s="381" t="str">
        <f>IF(A507="","",VLOOKUP(A507,VII.A!$A$10:$B$199,2,FALSE))</f>
        <v/>
      </c>
      <c r="N507" s="342" t="str">
        <f t="shared" si="139"/>
        <v/>
      </c>
      <c r="R507" s="341"/>
      <c r="S507" s="341"/>
    </row>
    <row r="508" spans="1:21" ht="12.75" customHeight="1">
      <c r="A508" s="393"/>
      <c r="C508" s="20"/>
      <c r="E508" s="387"/>
      <c r="F508" s="388">
        <f t="shared" si="140"/>
        <v>0</v>
      </c>
      <c r="H508" s="341" t="str">
        <f>IF(A508="","",VLOOKUP(A508,VII.A!$A$10:$D$199,4,FALSE))</f>
        <v/>
      </c>
      <c r="I508" s="341" t="str">
        <f t="shared" si="137"/>
        <v/>
      </c>
      <c r="J508" s="341" t="str">
        <f>IF(A508="","",VLOOKUP(A508,VII.A!$A$10:$D$199,3,FALSE))</f>
        <v/>
      </c>
      <c r="K508" s="342" t="str">
        <f t="shared" si="138"/>
        <v/>
      </c>
      <c r="L508" s="380" t="str">
        <f>IF(C508="","",G491*C508)</f>
        <v/>
      </c>
      <c r="M508" s="381" t="str">
        <f>IF(A508="","",VLOOKUP(A508,VII.A!$A$10:$B$199,2,FALSE))</f>
        <v/>
      </c>
      <c r="N508" s="342" t="str">
        <f t="shared" si="139"/>
        <v/>
      </c>
      <c r="R508" s="341"/>
      <c r="S508" s="341"/>
    </row>
    <row r="509" spans="1:21" ht="12.75" customHeight="1">
      <c r="A509" s="393"/>
      <c r="B509" s="395" t="s">
        <v>226</v>
      </c>
      <c r="C509" s="396"/>
      <c r="D509" s="397"/>
      <c r="E509" s="398"/>
      <c r="F509" s="399">
        <f>SUM(F493:F508)</f>
        <v>0</v>
      </c>
      <c r="J509" s="341"/>
      <c r="L509" s="380"/>
      <c r="M509" s="381"/>
      <c r="N509" s="342"/>
      <c r="R509" s="341"/>
      <c r="S509" s="341"/>
    </row>
    <row r="510" spans="1:21" ht="12.75" customHeight="1">
      <c r="A510" s="393"/>
      <c r="B510" s="400" t="s">
        <v>53</v>
      </c>
      <c r="C510" s="2">
        <f>$D$8</f>
        <v>0</v>
      </c>
      <c r="D510" s="401"/>
      <c r="E510" s="402"/>
      <c r="F510" s="403">
        <f>ROUND(F509*C510,2)</f>
        <v>0</v>
      </c>
      <c r="H510" s="873" t="s">
        <v>393</v>
      </c>
      <c r="I510" s="873"/>
      <c r="J510" s="873"/>
      <c r="K510" s="873"/>
      <c r="L510" s="873"/>
      <c r="M510" s="873"/>
      <c r="N510" s="342"/>
      <c r="R510" s="341"/>
      <c r="S510" s="341"/>
    </row>
    <row r="511" spans="1:21" ht="12.75" customHeight="1">
      <c r="A511" s="404"/>
      <c r="B511" s="405" t="s">
        <v>227</v>
      </c>
      <c r="C511" s="406"/>
      <c r="D511" s="406"/>
      <c r="E511" s="407"/>
      <c r="F511" s="408">
        <f>F509+F510</f>
        <v>0</v>
      </c>
      <c r="I511" s="341">
        <f>5.67/1.28</f>
        <v>4.4296875</v>
      </c>
      <c r="J511" s="341"/>
      <c r="L511" s="380"/>
      <c r="M511" s="381"/>
      <c r="N511" s="342"/>
      <c r="R511" s="341"/>
      <c r="S511" s="341"/>
    </row>
    <row r="512" spans="1:21" ht="12.75" customHeight="1">
      <c r="A512" s="374" t="s">
        <v>2</v>
      </c>
      <c r="B512" s="375" t="s">
        <v>235</v>
      </c>
      <c r="C512" s="376" t="s">
        <v>231</v>
      </c>
      <c r="D512" s="376" t="s">
        <v>232</v>
      </c>
      <c r="E512" s="377" t="s">
        <v>233</v>
      </c>
      <c r="F512" s="378" t="s">
        <v>234</v>
      </c>
      <c r="J512" s="341"/>
      <c r="L512" s="380"/>
      <c r="M512" s="381"/>
      <c r="N512" s="342"/>
      <c r="R512" s="341"/>
      <c r="S512" s="341"/>
    </row>
    <row r="513" spans="1:19" ht="12.75" customHeight="1">
      <c r="A513" s="393"/>
      <c r="B513" s="423"/>
      <c r="C513" s="20"/>
      <c r="E513" s="387"/>
      <c r="F513" s="388">
        <f t="shared" ref="F513:F522" si="141">ROUND(C513*E513,2)</f>
        <v>0</v>
      </c>
      <c r="H513" s="341" t="str">
        <f>IF(A513="","",VLOOKUP(A513,VII.A!$A$10:$D$199,4,FALSE))</f>
        <v/>
      </c>
      <c r="I513" s="341" t="str">
        <f t="shared" ref="I513:I522" si="142">IF(A513="","",IF(E513=H513,"SIM","NÃO"))</f>
        <v/>
      </c>
      <c r="J513" s="341" t="str">
        <f>IF(A513="","",VLOOKUP(A513,VII.A!$A$10:$D$199,3,FALSE))</f>
        <v/>
      </c>
      <c r="K513" s="342" t="str">
        <f t="shared" ref="K513:K522" si="143">IF(A513="","",IF(J513=D513,"SIM","NÃO"))</f>
        <v/>
      </c>
      <c r="L513" s="380" t="str">
        <f>IF(C513="","",G491*C513)</f>
        <v/>
      </c>
      <c r="M513" s="381" t="str">
        <f>IF(A513="","",VLOOKUP(A513,VII.A!$A$10:$B$199,2,FALSE))</f>
        <v/>
      </c>
      <c r="N513" s="342" t="str">
        <f t="shared" ref="N513:N522" si="144">IF(B513="","",IF(M513=B513,"si","no"))</f>
        <v/>
      </c>
      <c r="R513" s="341"/>
      <c r="S513" s="341"/>
    </row>
    <row r="514" spans="1:19" ht="12.75" customHeight="1">
      <c r="A514" s="393"/>
      <c r="C514" s="20"/>
      <c r="E514" s="387"/>
      <c r="F514" s="388">
        <f t="shared" si="141"/>
        <v>0</v>
      </c>
      <c r="H514" s="341" t="str">
        <f>IF(A514="","",VLOOKUP(A514,VII.A!$A$10:$D$199,4,FALSE))</f>
        <v/>
      </c>
      <c r="I514" s="341" t="str">
        <f t="shared" si="142"/>
        <v/>
      </c>
      <c r="J514" s="341" t="str">
        <f>IF(A514="","",VLOOKUP(A514,VII.A!$A$10:$D$199,3,FALSE))</f>
        <v/>
      </c>
      <c r="K514" s="342" t="str">
        <f t="shared" si="143"/>
        <v/>
      </c>
      <c r="L514" s="380" t="str">
        <f>IF(C514="","",G491*C514)</f>
        <v/>
      </c>
      <c r="M514" s="381" t="str">
        <f>IF(A514="","",VLOOKUP(A514,VII.A!$A$10:$B$199,2,FALSE))</f>
        <v/>
      </c>
      <c r="N514" s="342" t="str">
        <f t="shared" si="144"/>
        <v/>
      </c>
      <c r="R514" s="341"/>
      <c r="S514" s="341"/>
    </row>
    <row r="515" spans="1:19" ht="12.75" customHeight="1">
      <c r="A515" s="393"/>
      <c r="C515" s="20"/>
      <c r="E515" s="387"/>
      <c r="F515" s="388">
        <f t="shared" si="141"/>
        <v>0</v>
      </c>
      <c r="H515" s="341" t="str">
        <f>IF(A515="","",VLOOKUP(A515,VII.A!$A$10:$D$199,4,FALSE))</f>
        <v/>
      </c>
      <c r="I515" s="341" t="str">
        <f t="shared" si="142"/>
        <v/>
      </c>
      <c r="J515" s="341" t="str">
        <f>IF(A515="","",VLOOKUP(A515,VII.A!$A$10:$D$199,3,FALSE))</f>
        <v/>
      </c>
      <c r="K515" s="342" t="str">
        <f t="shared" si="143"/>
        <v/>
      </c>
      <c r="L515" s="380" t="str">
        <f>IF(C515="","",G491*C515)</f>
        <v/>
      </c>
      <c r="M515" s="381" t="str">
        <f>IF(A515="","",VLOOKUP(A515,VII.A!$A$10:$B$199,2,FALSE))</f>
        <v/>
      </c>
      <c r="N515" s="342" t="str">
        <f t="shared" si="144"/>
        <v/>
      </c>
      <c r="R515" s="341"/>
      <c r="S515" s="341"/>
    </row>
    <row r="516" spans="1:19" ht="12.75" customHeight="1">
      <c r="A516" s="393"/>
      <c r="C516" s="20"/>
      <c r="E516" s="387"/>
      <c r="F516" s="388">
        <f t="shared" si="141"/>
        <v>0</v>
      </c>
      <c r="H516" s="341" t="str">
        <f>IF(A516="","",VLOOKUP(A516,VII.A!$A$10:$D$199,4,FALSE))</f>
        <v/>
      </c>
      <c r="I516" s="341" t="str">
        <f t="shared" si="142"/>
        <v/>
      </c>
      <c r="J516" s="341" t="str">
        <f>IF(A516="","",VLOOKUP(A516,VII.A!$A$10:$D$199,3,FALSE))</f>
        <v/>
      </c>
      <c r="K516" s="342" t="str">
        <f t="shared" si="143"/>
        <v/>
      </c>
      <c r="L516" s="380" t="str">
        <f>IF(C516="","",G491*C516)</f>
        <v/>
      </c>
      <c r="M516" s="381" t="str">
        <f>IF(A516="","",VLOOKUP(A516,VII.A!$A$10:$B$199,2,FALSE))</f>
        <v/>
      </c>
      <c r="N516" s="342" t="str">
        <f t="shared" si="144"/>
        <v/>
      </c>
      <c r="R516" s="341"/>
      <c r="S516" s="341"/>
    </row>
    <row r="517" spans="1:19" ht="12.75" customHeight="1">
      <c r="A517" s="393"/>
      <c r="C517" s="20"/>
      <c r="E517" s="387"/>
      <c r="F517" s="388">
        <f t="shared" si="141"/>
        <v>0</v>
      </c>
      <c r="G517" s="390"/>
      <c r="H517" s="341" t="str">
        <f>IF(A517="","",VLOOKUP(A517,VII.A!$A$10:$D$199,4,FALSE))</f>
        <v/>
      </c>
      <c r="I517" s="341" t="str">
        <f t="shared" si="142"/>
        <v/>
      </c>
      <c r="J517" s="341" t="str">
        <f>IF(A517="","",VLOOKUP(A517,VII.A!$A$10:$D$199,3,FALSE))</f>
        <v/>
      </c>
      <c r="K517" s="342" t="str">
        <f t="shared" si="143"/>
        <v/>
      </c>
      <c r="L517" s="380" t="str">
        <f>IF(C517="","",G491*C517)</f>
        <v/>
      </c>
      <c r="M517" s="381" t="str">
        <f>IF(A517="","",VLOOKUP(A517,VII.A!$A$10:$B$199,2,FALSE))</f>
        <v/>
      </c>
      <c r="N517" s="342" t="str">
        <f t="shared" si="144"/>
        <v/>
      </c>
      <c r="R517" s="341"/>
      <c r="S517" s="341"/>
    </row>
    <row r="518" spans="1:19" ht="12.75" customHeight="1">
      <c r="A518" s="393"/>
      <c r="C518" s="20"/>
      <c r="E518" s="387"/>
      <c r="F518" s="388">
        <f t="shared" si="141"/>
        <v>0</v>
      </c>
      <c r="G518" s="391"/>
      <c r="H518" s="341" t="str">
        <f>IF(A518="","",VLOOKUP(A518,VII.A!$A$10:$D$199,4,FALSE))</f>
        <v/>
      </c>
      <c r="I518" s="341" t="str">
        <f t="shared" si="142"/>
        <v/>
      </c>
      <c r="J518" s="341" t="str">
        <f>IF(A518="","",VLOOKUP(A518,VII.A!$A$10:$D$199,3,FALSE))</f>
        <v/>
      </c>
      <c r="K518" s="342" t="str">
        <f t="shared" si="143"/>
        <v/>
      </c>
      <c r="L518" s="380" t="str">
        <f>IF(C518="","",G491*C518)</f>
        <v/>
      </c>
      <c r="M518" s="381" t="str">
        <f>IF(A518="","",VLOOKUP(A518,VII.A!$A$10:$B$199,2,FALSE))</f>
        <v/>
      </c>
      <c r="N518" s="342" t="str">
        <f t="shared" si="144"/>
        <v/>
      </c>
      <c r="R518" s="341"/>
      <c r="S518" s="341"/>
    </row>
    <row r="519" spans="1:19" ht="12.75" customHeight="1">
      <c r="A519" s="393"/>
      <c r="C519" s="20"/>
      <c r="E519" s="387"/>
      <c r="F519" s="388">
        <f t="shared" si="141"/>
        <v>0</v>
      </c>
      <c r="H519" s="341" t="str">
        <f>IF(A519="","",VLOOKUP(A519,VII.A!$A$10:$D$199,4,FALSE))</f>
        <v/>
      </c>
      <c r="I519" s="341" t="str">
        <f t="shared" si="142"/>
        <v/>
      </c>
      <c r="J519" s="341" t="str">
        <f>IF(A519="","",VLOOKUP(A519,VII.A!$A$10:$D$199,3,FALSE))</f>
        <v/>
      </c>
      <c r="K519" s="342" t="str">
        <f t="shared" si="143"/>
        <v/>
      </c>
      <c r="L519" s="380" t="str">
        <f>IF(C519="","",G491*C519)</f>
        <v/>
      </c>
      <c r="M519" s="381" t="str">
        <f>IF(A519="","",VLOOKUP(A519,VII.A!$A$10:$B$199,2,FALSE))</f>
        <v/>
      </c>
      <c r="N519" s="342" t="str">
        <f t="shared" si="144"/>
        <v/>
      </c>
      <c r="R519" s="341"/>
      <c r="S519" s="341"/>
    </row>
    <row r="520" spans="1:19" ht="12.75" customHeight="1">
      <c r="A520" s="393"/>
      <c r="C520" s="20"/>
      <c r="E520" s="387"/>
      <c r="F520" s="388">
        <f t="shared" si="141"/>
        <v>0</v>
      </c>
      <c r="H520" s="341" t="str">
        <f>IF(A520="","",VLOOKUP(A520,VII.A!$A$10:$D$199,4,FALSE))</f>
        <v/>
      </c>
      <c r="I520" s="341" t="str">
        <f t="shared" si="142"/>
        <v/>
      </c>
      <c r="J520" s="341" t="str">
        <f>IF(A520="","",VLOOKUP(A520,VII.A!$A$10:$D$199,3,FALSE))</f>
        <v/>
      </c>
      <c r="K520" s="342" t="str">
        <f t="shared" si="143"/>
        <v/>
      </c>
      <c r="L520" s="380" t="str">
        <f>IF(C520="","",G491*C520)</f>
        <v/>
      </c>
      <c r="M520" s="381" t="str">
        <f>IF(A520="","",VLOOKUP(A520,VII.A!$A$10:$B$199,2,FALSE))</f>
        <v/>
      </c>
      <c r="N520" s="342" t="str">
        <f t="shared" si="144"/>
        <v/>
      </c>
      <c r="R520" s="341"/>
      <c r="S520" s="341"/>
    </row>
    <row r="521" spans="1:19" ht="12.75" customHeight="1">
      <c r="A521" s="393"/>
      <c r="C521" s="20"/>
      <c r="E521" s="387"/>
      <c r="F521" s="388">
        <f t="shared" si="141"/>
        <v>0</v>
      </c>
      <c r="H521" s="341" t="str">
        <f>IF(A521="","",VLOOKUP(A521,VII.A!$A$10:$D$199,4,FALSE))</f>
        <v/>
      </c>
      <c r="I521" s="341" t="str">
        <f t="shared" si="142"/>
        <v/>
      </c>
      <c r="J521" s="341" t="str">
        <f>IF(A521="","",VLOOKUP(A521,VII.A!$A$10:$D$199,3,FALSE))</f>
        <v/>
      </c>
      <c r="K521" s="342" t="str">
        <f t="shared" si="143"/>
        <v/>
      </c>
      <c r="L521" s="380" t="str">
        <f>IF(C521="","",G491*C521)</f>
        <v/>
      </c>
      <c r="M521" s="381" t="str">
        <f>IF(A521="","",VLOOKUP(A521,VII.A!$A$10:$B$199,2,FALSE))</f>
        <v/>
      </c>
      <c r="N521" s="342" t="str">
        <f t="shared" si="144"/>
        <v/>
      </c>
      <c r="R521" s="341"/>
      <c r="S521" s="341"/>
    </row>
    <row r="522" spans="1:19" ht="12.75" customHeight="1">
      <c r="A522" s="393"/>
      <c r="C522" s="20"/>
      <c r="E522" s="387"/>
      <c r="F522" s="388">
        <f t="shared" si="141"/>
        <v>0</v>
      </c>
      <c r="H522" s="341" t="str">
        <f>IF(A522="","",VLOOKUP(A522,VII.A!$A$10:$D$199,4,FALSE))</f>
        <v/>
      </c>
      <c r="I522" s="341" t="str">
        <f t="shared" si="142"/>
        <v/>
      </c>
      <c r="J522" s="341" t="str">
        <f>IF(A522="","",VLOOKUP(A522,VII.A!$A$10:$D$199,3,FALSE))</f>
        <v/>
      </c>
      <c r="K522" s="342" t="str">
        <f t="shared" si="143"/>
        <v/>
      </c>
      <c r="L522" s="380" t="str">
        <f>IF(C522="","",G491*C522)</f>
        <v/>
      </c>
      <c r="M522" s="381" t="str">
        <f>IF(A522="","",VLOOKUP(A522,VII.A!$A$10:$B$199,2,FALSE))</f>
        <v/>
      </c>
      <c r="N522" s="342" t="str">
        <f t="shared" si="144"/>
        <v/>
      </c>
      <c r="R522" s="341"/>
      <c r="S522" s="341"/>
    </row>
    <row r="523" spans="1:19" ht="12.75" customHeight="1">
      <c r="A523" s="393"/>
      <c r="B523" s="395" t="s">
        <v>226</v>
      </c>
      <c r="C523" s="396"/>
      <c r="D523" s="397"/>
      <c r="E523" s="398"/>
      <c r="F523" s="399">
        <f>SUM(F513:F522)</f>
        <v>0</v>
      </c>
      <c r="J523" s="341"/>
      <c r="L523" s="380"/>
      <c r="M523" s="381"/>
      <c r="N523" s="342"/>
      <c r="R523" s="341"/>
      <c r="S523" s="341"/>
    </row>
    <row r="524" spans="1:19" ht="12.75" customHeight="1">
      <c r="A524" s="393"/>
      <c r="B524" s="400" t="s">
        <v>53</v>
      </c>
      <c r="C524" s="2">
        <f>$D$8</f>
        <v>0</v>
      </c>
      <c r="D524" s="401"/>
      <c r="E524" s="402"/>
      <c r="F524" s="403">
        <f>ROUND(C524*F523,2)</f>
        <v>0</v>
      </c>
      <c r="J524" s="341"/>
      <c r="L524" s="380"/>
      <c r="M524" s="381"/>
      <c r="N524" s="342"/>
      <c r="R524" s="341"/>
      <c r="S524" s="341"/>
    </row>
    <row r="525" spans="1:19" ht="12.75" customHeight="1">
      <c r="A525" s="404"/>
      <c r="B525" s="405" t="s">
        <v>228</v>
      </c>
      <c r="C525" s="406"/>
      <c r="D525" s="406"/>
      <c r="E525" s="407"/>
      <c r="F525" s="408">
        <f>F523+F524</f>
        <v>0</v>
      </c>
      <c r="J525" s="341"/>
      <c r="L525" s="380"/>
      <c r="M525" s="381"/>
      <c r="N525" s="342"/>
      <c r="R525" s="341"/>
      <c r="S525" s="341"/>
    </row>
    <row r="526" spans="1:19" ht="12.75" customHeight="1">
      <c r="A526" s="409" t="s">
        <v>47</v>
      </c>
      <c r="B526" s="410" t="s">
        <v>236</v>
      </c>
      <c r="C526" s="411" t="s">
        <v>231</v>
      </c>
      <c r="D526" s="412" t="s">
        <v>232</v>
      </c>
      <c r="E526" s="413" t="s">
        <v>233</v>
      </c>
      <c r="F526" s="378" t="s">
        <v>234</v>
      </c>
      <c r="J526" s="341"/>
      <c r="L526" s="380"/>
      <c r="M526" s="381"/>
      <c r="N526" s="342"/>
      <c r="R526" s="341"/>
      <c r="S526" s="341"/>
    </row>
    <row r="527" spans="1:19" ht="12.75" customHeight="1">
      <c r="A527" s="393" t="str">
        <f>VII.A!$A$196</f>
        <v>3.16</v>
      </c>
      <c r="B527" s="394" t="s">
        <v>157</v>
      </c>
      <c r="C527" s="20">
        <v>0.2334</v>
      </c>
      <c r="D527" s="384" t="str">
        <f>VLOOKUP(A527,VII.A!$A$10:$G$199,3,FALSE)</f>
        <v>H</v>
      </c>
      <c r="E527" s="387">
        <f>VII.A!$D$196</f>
        <v>0</v>
      </c>
      <c r="F527" s="388">
        <f t="shared" ref="F527:F533" si="145">ROUND(C527*E527,2)</f>
        <v>0</v>
      </c>
      <c r="H527" s="341">
        <f>IF(A527="","",VLOOKUP(A527,VII.A!$A$10:$D$199,4,FALSE))</f>
        <v>0</v>
      </c>
      <c r="I527" s="341" t="str">
        <f t="shared" ref="I527:I533" si="146">IF(A527="","",IF(E527=H527,"SIM","NÃO"))</f>
        <v>SIM</v>
      </c>
      <c r="J527" s="341" t="str">
        <f>IF(A527="","",VLOOKUP(A527,VII.A!$A$10:$D$199,3,FALSE))</f>
        <v>H</v>
      </c>
      <c r="K527" s="342" t="str">
        <f t="shared" ref="K527:K533" si="147">IF(A527="","",IF(J527=D527,"SIM","NÃO"))</f>
        <v>SIM</v>
      </c>
      <c r="L527" s="380">
        <f>IF(C527="","",G491*C527)</f>
        <v>23.34</v>
      </c>
      <c r="M527" s="381" t="str">
        <f>IF(A527="","",VLOOKUP(A527,VII.A!$A$10:$B$199,2,FALSE))</f>
        <v>SERVENTE COM ENCARGOS COMPLEMENTARES</v>
      </c>
      <c r="N527" s="342" t="str">
        <f t="shared" ref="N527:N533" si="148">IF(B527="","",IF(M527=B527,"si","no"))</f>
        <v>si</v>
      </c>
      <c r="R527" s="341"/>
      <c r="S527" s="341"/>
    </row>
    <row r="528" spans="1:19" ht="12.75" customHeight="1">
      <c r="A528" s="393"/>
      <c r="C528" s="20"/>
      <c r="E528" s="387"/>
      <c r="F528" s="388">
        <f t="shared" si="145"/>
        <v>0</v>
      </c>
      <c r="H528" s="341" t="str">
        <f>IF(A528="","",VLOOKUP(A528,VII.A!$A$10:$D$199,4,FALSE))</f>
        <v/>
      </c>
      <c r="I528" s="341" t="str">
        <f t="shared" si="146"/>
        <v/>
      </c>
      <c r="J528" s="341" t="str">
        <f>IF(A528="","",VLOOKUP(A528,VII.A!$A$10:$D$199,3,FALSE))</f>
        <v/>
      </c>
      <c r="K528" s="342" t="str">
        <f t="shared" si="147"/>
        <v/>
      </c>
      <c r="L528" s="380" t="str">
        <f>IF(C528="","",G491*C528)</f>
        <v/>
      </c>
      <c r="M528" s="381" t="str">
        <f>IF(A528="","",VLOOKUP(A528,VII.A!$A$10:$B$199,2,FALSE))</f>
        <v/>
      </c>
      <c r="N528" s="342" t="str">
        <f t="shared" si="148"/>
        <v/>
      </c>
      <c r="R528" s="341"/>
      <c r="S528" s="341"/>
    </row>
    <row r="529" spans="1:25" ht="12.75" customHeight="1">
      <c r="A529" s="393"/>
      <c r="C529" s="20"/>
      <c r="E529" s="387"/>
      <c r="F529" s="388">
        <f t="shared" si="145"/>
        <v>0</v>
      </c>
      <c r="H529" s="341" t="str">
        <f>IF(A529="","",VLOOKUP(A529,VII.A!$A$10:$D$199,4,FALSE))</f>
        <v/>
      </c>
      <c r="I529" s="341" t="str">
        <f t="shared" si="146"/>
        <v/>
      </c>
      <c r="J529" s="341" t="str">
        <f>IF(A529="","",VLOOKUP(A529,VII.A!$A$10:$D$199,3,FALSE))</f>
        <v/>
      </c>
      <c r="K529" s="342" t="str">
        <f t="shared" si="147"/>
        <v/>
      </c>
      <c r="L529" s="380" t="str">
        <f>IF(C529="","",G491*C529)</f>
        <v/>
      </c>
      <c r="M529" s="381" t="str">
        <f>IF(A529="","",VLOOKUP(A529,VII.A!$A$10:$B$199,2,FALSE))</f>
        <v/>
      </c>
      <c r="N529" s="342" t="str">
        <f t="shared" si="148"/>
        <v/>
      </c>
      <c r="R529" s="341"/>
      <c r="S529" s="341"/>
    </row>
    <row r="530" spans="1:25" ht="12.75" customHeight="1">
      <c r="A530" s="393"/>
      <c r="C530" s="20"/>
      <c r="E530" s="387"/>
      <c r="F530" s="388">
        <f t="shared" si="145"/>
        <v>0</v>
      </c>
      <c r="H530" s="341" t="str">
        <f>IF(A530="","",VLOOKUP(A530,VII.A!$A$10:$D$199,4,FALSE))</f>
        <v/>
      </c>
      <c r="I530" s="341" t="str">
        <f t="shared" si="146"/>
        <v/>
      </c>
      <c r="J530" s="341" t="str">
        <f>IF(A530="","",VLOOKUP(A530,VII.A!$A$10:$D$199,3,FALSE))</f>
        <v/>
      </c>
      <c r="K530" s="342" t="str">
        <f t="shared" si="147"/>
        <v/>
      </c>
      <c r="L530" s="380" t="str">
        <f>IF(C530="","",G491*C530)</f>
        <v/>
      </c>
      <c r="M530" s="381" t="str">
        <f>IF(A530="","",VLOOKUP(A530,VII.A!$A$10:$B$199,2,FALSE))</f>
        <v/>
      </c>
      <c r="N530" s="342" t="str">
        <f t="shared" si="148"/>
        <v/>
      </c>
      <c r="R530" s="341"/>
      <c r="S530" s="341"/>
    </row>
    <row r="531" spans="1:25" ht="12.75" customHeight="1">
      <c r="A531" s="393"/>
      <c r="C531" s="20"/>
      <c r="E531" s="387"/>
      <c r="F531" s="388">
        <f t="shared" si="145"/>
        <v>0</v>
      </c>
      <c r="H531" s="341" t="str">
        <f>IF(A531="","",VLOOKUP(A531,VII.A!$A$10:$D$199,4,FALSE))</f>
        <v/>
      </c>
      <c r="I531" s="341" t="str">
        <f t="shared" si="146"/>
        <v/>
      </c>
      <c r="J531" s="341" t="str">
        <f>IF(A531="","",VLOOKUP(A531,VII.A!$A$10:$D$199,3,FALSE))</f>
        <v/>
      </c>
      <c r="K531" s="342" t="str">
        <f t="shared" si="147"/>
        <v/>
      </c>
      <c r="L531" s="380" t="str">
        <f>IF(C531="","",G491*C531)</f>
        <v/>
      </c>
      <c r="M531" s="381" t="str">
        <f>IF(A531="","",VLOOKUP(A531,VII.A!$A$10:$B$199,2,FALSE))</f>
        <v/>
      </c>
      <c r="N531" s="342" t="str">
        <f t="shared" si="148"/>
        <v/>
      </c>
      <c r="R531" s="341"/>
      <c r="S531" s="341"/>
    </row>
    <row r="532" spans="1:25" ht="12.75" customHeight="1">
      <c r="A532" s="393"/>
      <c r="C532" s="20"/>
      <c r="E532" s="387"/>
      <c r="F532" s="388">
        <f t="shared" si="145"/>
        <v>0</v>
      </c>
      <c r="H532" s="341" t="str">
        <f>IF(A532="","",VLOOKUP(A532,VII.A!$A$10:$D$199,4,FALSE))</f>
        <v/>
      </c>
      <c r="I532" s="341" t="str">
        <f t="shared" si="146"/>
        <v/>
      </c>
      <c r="J532" s="341" t="str">
        <f>IF(A532="","",VLOOKUP(A532,VII.A!$A$10:$D$199,3,FALSE))</f>
        <v/>
      </c>
      <c r="K532" s="342" t="str">
        <f t="shared" si="147"/>
        <v/>
      </c>
      <c r="L532" s="380" t="str">
        <f>IF(C532="","",G491*C532)</f>
        <v/>
      </c>
      <c r="M532" s="381" t="str">
        <f>IF(A532="","",VLOOKUP(A532,VII.A!$A$10:$B$199,2,FALSE))</f>
        <v/>
      </c>
      <c r="N532" s="342" t="str">
        <f t="shared" si="148"/>
        <v/>
      </c>
      <c r="R532" s="341"/>
      <c r="S532" s="341"/>
    </row>
    <row r="533" spans="1:25" ht="12.75" customHeight="1">
      <c r="A533" s="393"/>
      <c r="C533" s="20"/>
      <c r="E533" s="387"/>
      <c r="F533" s="388">
        <f t="shared" si="145"/>
        <v>0</v>
      </c>
      <c r="H533" s="341" t="str">
        <f>IF(A533="","",VLOOKUP(A533,VII.A!$A$10:$D$199,4,FALSE))</f>
        <v/>
      </c>
      <c r="I533" s="341" t="str">
        <f t="shared" si="146"/>
        <v/>
      </c>
      <c r="J533" s="341" t="str">
        <f>IF(A533="","",VLOOKUP(A533,VII.A!$A$10:$D$199,3,FALSE))</f>
        <v/>
      </c>
      <c r="K533" s="342" t="str">
        <f t="shared" si="147"/>
        <v/>
      </c>
      <c r="L533" s="380" t="str">
        <f>IF(C533="","",G491*C533)</f>
        <v/>
      </c>
      <c r="M533" s="381" t="str">
        <f>IF(A533="","",VLOOKUP(A533,VII.A!$A$10:$B$199,2,FALSE))</f>
        <v/>
      </c>
      <c r="N533" s="342" t="str">
        <f t="shared" si="148"/>
        <v/>
      </c>
      <c r="R533" s="341"/>
      <c r="S533" s="341"/>
    </row>
    <row r="534" spans="1:25" ht="12.75" customHeight="1">
      <c r="A534" s="393"/>
      <c r="B534" s="395" t="s">
        <v>226</v>
      </c>
      <c r="C534" s="396"/>
      <c r="D534" s="397"/>
      <c r="E534" s="398"/>
      <c r="F534" s="399">
        <f>SUM(F527:F533)</f>
        <v>0</v>
      </c>
      <c r="J534" s="341"/>
      <c r="L534" s="380"/>
      <c r="M534" s="381"/>
      <c r="N534" s="342"/>
      <c r="R534" s="341"/>
      <c r="S534" s="341"/>
    </row>
    <row r="535" spans="1:25" ht="12.75" customHeight="1">
      <c r="A535" s="393"/>
      <c r="B535" s="400" t="s">
        <v>229</v>
      </c>
      <c r="C535" s="2">
        <f>IX.A!$C$45</f>
        <v>0</v>
      </c>
      <c r="D535" s="401"/>
      <c r="E535" s="402"/>
      <c r="F535" s="403">
        <f>ROUND(F534*C535,2)</f>
        <v>0</v>
      </c>
      <c r="J535" s="341"/>
      <c r="L535" s="380"/>
      <c r="M535" s="381"/>
      <c r="N535" s="342"/>
      <c r="R535" s="341"/>
      <c r="S535" s="341"/>
    </row>
    <row r="536" spans="1:25" ht="12.75" customHeight="1">
      <c r="A536" s="393"/>
      <c r="B536" s="400" t="s">
        <v>53</v>
      </c>
      <c r="C536" s="2">
        <f>$D$8</f>
        <v>0</v>
      </c>
      <c r="D536" s="401"/>
      <c r="E536" s="402"/>
      <c r="F536" s="403">
        <f>ROUND(SUM(F534:F535)*C536,2)</f>
        <v>0</v>
      </c>
      <c r="J536" s="341"/>
      <c r="L536" s="380"/>
      <c r="M536" s="381"/>
      <c r="N536" s="342"/>
      <c r="R536" s="341"/>
      <c r="S536" s="341"/>
    </row>
    <row r="537" spans="1:25" ht="12.75" customHeight="1" thickBot="1">
      <c r="A537" s="414"/>
      <c r="B537" s="415" t="s">
        <v>230</v>
      </c>
      <c r="C537" s="416"/>
      <c r="D537" s="416"/>
      <c r="E537" s="417"/>
      <c r="F537" s="418">
        <f>SUM(F534:F536)</f>
        <v>0</v>
      </c>
      <c r="J537" s="341"/>
      <c r="L537" s="380"/>
      <c r="M537" s="381"/>
      <c r="N537" s="342"/>
      <c r="R537" s="341"/>
      <c r="S537" s="341"/>
    </row>
    <row r="538" spans="1:25" ht="12.75" customHeight="1" thickBot="1">
      <c r="A538" s="357"/>
      <c r="B538" s="358"/>
      <c r="C538" s="359"/>
      <c r="D538" s="359"/>
      <c r="E538" s="360"/>
      <c r="F538" s="419"/>
      <c r="J538" s="341"/>
      <c r="L538" s="380"/>
      <c r="M538" s="381"/>
      <c r="N538" s="342"/>
      <c r="R538" s="341"/>
      <c r="S538" s="341"/>
    </row>
    <row r="539" spans="1:25" ht="30" customHeight="1">
      <c r="A539" s="370" t="str">
        <f>IV.A!$A$31</f>
        <v>2.1.7</v>
      </c>
      <c r="B539" s="371" t="str">
        <f>IV.A!$B$31</f>
        <v>REMOÇÃO COMPLETA DE CERCA DE ALAMBRADO COM OU SEM REAPROVEITAMENTO</v>
      </c>
      <c r="C539" s="871" t="s">
        <v>237</v>
      </c>
      <c r="D539" s="872"/>
      <c r="E539" s="372" t="str">
        <f>IV.A!$C$31</f>
        <v>M</v>
      </c>
      <c r="F539" s="11">
        <f>ROUND(F559+F573+F585,2)</f>
        <v>0</v>
      </c>
      <c r="G539" s="1">
        <f>VLOOKUP(A539,IV.A!$A$16:$L$172,4,FALSE)</f>
        <v>3000</v>
      </c>
      <c r="H539" s="361">
        <f>SUM(F541:F556)+F558</f>
        <v>0</v>
      </c>
      <c r="I539" s="361">
        <f>SUM(F561:F570)+F572</f>
        <v>0</v>
      </c>
      <c r="J539" s="361">
        <f>SUM(F575:F581)+F583+F584</f>
        <v>0</v>
      </c>
      <c r="K539" s="361">
        <f>SUM(H539:J539)</f>
        <v>0</v>
      </c>
      <c r="L539" s="362" t="str">
        <f>IF(K539=F539,"SIM","NÃO")</f>
        <v>SIM</v>
      </c>
      <c r="M539" s="373">
        <f>ROUND(SUM(F541:F556),2)+ROUND(SUM(F541:F556)*C558,2)+ROUND(SUM(F561:F570)*C572,2)+ROUND(SUM(F561:F570),2)+ROUND(SUM(F575:F581)*C583,2)+ROUND((SUM(F575:F581)+ROUND(SUM(F575:F581)*C583,2))*C584,2)+ROUND(SUM(F575:F581),2)</f>
        <v>0</v>
      </c>
      <c r="N539" s="343" t="str">
        <f>IF(M539=F539,"SIM","NÃO")</f>
        <v>SIM</v>
      </c>
      <c r="O539" s="364" t="str">
        <f>VLOOKUP(A539,IV.A!$A$16:$E$172,3,FALSE)</f>
        <v>M</v>
      </c>
      <c r="P539" s="344" t="str">
        <f>IF(O539=E539,"SIM","NÃO")</f>
        <v>SIM</v>
      </c>
      <c r="Q539" s="365">
        <f>ROUND(G539*F559,2)+ROUND(G539*F573,2)+ROUND(G539*F585,2)</f>
        <v>0</v>
      </c>
      <c r="R539" s="364">
        <f>VLOOKUP(A539,IV.A!$A$16:$L$172,12,FALSE)</f>
        <v>0</v>
      </c>
      <c r="S539" s="366" t="str">
        <f>IF(Q539=R539,"si","no")</f>
        <v>si</v>
      </c>
      <c r="T539" s="367">
        <f>SUM(L541:L556)+SUM(L561:L570)+SUM(L575:L581)</f>
        <v>6000</v>
      </c>
      <c r="U539" s="341">
        <f>(SUM(C541:C556)+SUM(C561:C570)+SUM(C575:C581))*G539</f>
        <v>6000</v>
      </c>
      <c r="V539" s="368" t="str">
        <f>IF(T539=U539,"si","no")</f>
        <v>si</v>
      </c>
      <c r="W539" s="369">
        <f>SUM(F541:F556)</f>
        <v>0</v>
      </c>
      <c r="X539" s="369">
        <f>SUM(F561:F570)</f>
        <v>0</v>
      </c>
      <c r="Y539" s="369">
        <f>SUM(F575:F581)</f>
        <v>0</v>
      </c>
    </row>
    <row r="540" spans="1:25" ht="12.75" customHeight="1">
      <c r="A540" s="374" t="s">
        <v>14</v>
      </c>
      <c r="B540" s="375" t="s">
        <v>132</v>
      </c>
      <c r="C540" s="376" t="s">
        <v>231</v>
      </c>
      <c r="D540" s="376" t="s">
        <v>232</v>
      </c>
      <c r="E540" s="377" t="s">
        <v>233</v>
      </c>
      <c r="F540" s="378" t="s">
        <v>234</v>
      </c>
      <c r="G540" s="379"/>
      <c r="J540" s="341"/>
      <c r="L540" s="380"/>
      <c r="M540" s="381"/>
      <c r="N540" s="342"/>
      <c r="O540" s="382"/>
      <c r="P540" s="383"/>
      <c r="Q540" s="383"/>
      <c r="R540" s="383"/>
      <c r="S540" s="383"/>
      <c r="T540" s="382"/>
      <c r="U540" s="341"/>
      <c r="V540" s="384"/>
      <c r="W540" s="384"/>
      <c r="X540" s="384"/>
      <c r="Y540" s="384"/>
    </row>
    <row r="541" spans="1:25" ht="12.75" customHeight="1">
      <c r="A541" s="385"/>
      <c r="B541" s="386"/>
      <c r="C541" s="20"/>
      <c r="D541" s="342"/>
      <c r="E541" s="387"/>
      <c r="F541" s="388">
        <f>ROUND(C541*E541,2)</f>
        <v>0</v>
      </c>
      <c r="H541" s="341" t="str">
        <f>IF(A541="","",VLOOKUP(A541,VII.A!$A$10:$D$199,4,FALSE))</f>
        <v/>
      </c>
      <c r="I541" s="341" t="str">
        <f t="shared" ref="I541:I556" si="149">IF(A541="","",IF(E541=H541,"SIM","NÃO"))</f>
        <v/>
      </c>
      <c r="J541" s="341" t="str">
        <f>IF(A541="","",VLOOKUP(A541,VII.A!$A$10:$D$199,3,FALSE))</f>
        <v/>
      </c>
      <c r="K541" s="342" t="str">
        <f t="shared" ref="K541:K556" si="150">IF(A541="","",IF(J541=D541,"SIM","NÃO"))</f>
        <v/>
      </c>
      <c r="L541" s="380" t="str">
        <f>IF(C541="","",G539*C541)</f>
        <v/>
      </c>
      <c r="M541" s="381" t="str">
        <f>IF(A541="","",VLOOKUP(A541,VII.A!$A$10:$B$199,2,FALSE))</f>
        <v/>
      </c>
      <c r="N541" s="342" t="str">
        <f t="shared" ref="N541:N556" si="151">IF(B541="","",IF(M541=B541,"si","no"))</f>
        <v/>
      </c>
      <c r="R541" s="341"/>
      <c r="S541" s="341"/>
    </row>
    <row r="542" spans="1:25" ht="12.75" customHeight="1">
      <c r="A542" s="385"/>
      <c r="B542" s="386"/>
      <c r="C542" s="20"/>
      <c r="D542" s="342"/>
      <c r="E542" s="387"/>
      <c r="F542" s="388">
        <f t="shared" ref="F542:F556" si="152">ROUND(C542*E542,2)</f>
        <v>0</v>
      </c>
      <c r="H542" s="341" t="str">
        <f>IF(A542="","",VLOOKUP(A542,VII.A!$A$10:$D$199,4,FALSE))</f>
        <v/>
      </c>
      <c r="I542" s="341" t="str">
        <f t="shared" si="149"/>
        <v/>
      </c>
      <c r="J542" s="341" t="str">
        <f>IF(A542="","",VLOOKUP(A542,VII.A!$A$10:$D$199,3,FALSE))</f>
        <v/>
      </c>
      <c r="K542" s="342" t="str">
        <f t="shared" si="150"/>
        <v/>
      </c>
      <c r="L542" s="380" t="str">
        <f>IF(C542="","",G539*C542)</f>
        <v/>
      </c>
      <c r="M542" s="381" t="str">
        <f>IF(A542="","",VLOOKUP(A542,VII.A!$A$10:$B$199,2,FALSE))</f>
        <v/>
      </c>
      <c r="N542" s="342" t="str">
        <f t="shared" si="151"/>
        <v/>
      </c>
      <c r="R542" s="341"/>
      <c r="S542" s="341"/>
    </row>
    <row r="543" spans="1:25" ht="12.75" customHeight="1">
      <c r="A543" s="385"/>
      <c r="B543" s="386"/>
      <c r="C543" s="20"/>
      <c r="D543" s="342"/>
      <c r="E543" s="387"/>
      <c r="F543" s="388">
        <f t="shared" si="152"/>
        <v>0</v>
      </c>
      <c r="H543" s="341" t="str">
        <f>IF(A543="","",VLOOKUP(A543,VII.A!$A$10:$D$199,4,FALSE))</f>
        <v/>
      </c>
      <c r="I543" s="341" t="str">
        <f t="shared" si="149"/>
        <v/>
      </c>
      <c r="J543" s="341" t="str">
        <f>IF(A543="","",VLOOKUP(A543,VII.A!$A$10:$D$199,3,FALSE))</f>
        <v/>
      </c>
      <c r="K543" s="342" t="str">
        <f t="shared" si="150"/>
        <v/>
      </c>
      <c r="L543" s="380" t="str">
        <f>IF(C543="","",G539*C543)</f>
        <v/>
      </c>
      <c r="M543" s="381" t="str">
        <f>IF(A543="","",VLOOKUP(A543,VII.A!$A$10:$B$199,2,FALSE))</f>
        <v/>
      </c>
      <c r="N543" s="342" t="str">
        <f t="shared" si="151"/>
        <v/>
      </c>
      <c r="R543" s="341"/>
      <c r="S543" s="341"/>
    </row>
    <row r="544" spans="1:25" ht="12.75" customHeight="1">
      <c r="A544" s="385"/>
      <c r="B544" s="386"/>
      <c r="C544" s="20"/>
      <c r="D544" s="342"/>
      <c r="E544" s="387"/>
      <c r="F544" s="388">
        <f t="shared" si="152"/>
        <v>0</v>
      </c>
      <c r="H544" s="341" t="str">
        <f>IF(A544="","",VLOOKUP(A544,VII.A!$A$10:$D$199,4,FALSE))</f>
        <v/>
      </c>
      <c r="I544" s="341" t="str">
        <f t="shared" si="149"/>
        <v/>
      </c>
      <c r="J544" s="341" t="str">
        <f>IF(A544="","",VLOOKUP(A544,VII.A!$A$10:$D$199,3,FALSE))</f>
        <v/>
      </c>
      <c r="K544" s="342" t="str">
        <f t="shared" si="150"/>
        <v/>
      </c>
      <c r="L544" s="380" t="str">
        <f>IF(C544="","",G539*C544)</f>
        <v/>
      </c>
      <c r="M544" s="381" t="str">
        <f>IF(A544="","",VLOOKUP(A544,VII.A!$A$10:$B$199,2,FALSE))</f>
        <v/>
      </c>
      <c r="N544" s="342" t="str">
        <f t="shared" si="151"/>
        <v/>
      </c>
      <c r="R544" s="341"/>
      <c r="S544" s="341"/>
    </row>
    <row r="545" spans="1:21" ht="12.75" customHeight="1">
      <c r="A545" s="385"/>
      <c r="B545" s="386"/>
      <c r="C545" s="20"/>
      <c r="D545" s="342"/>
      <c r="E545" s="387"/>
      <c r="F545" s="388">
        <f t="shared" si="152"/>
        <v>0</v>
      </c>
      <c r="H545" s="341" t="str">
        <f>IF(A545="","",VLOOKUP(A545,VII.A!$A$10:$D$199,4,FALSE))</f>
        <v/>
      </c>
      <c r="I545" s="341" t="str">
        <f t="shared" si="149"/>
        <v/>
      </c>
      <c r="J545" s="341" t="str">
        <f>IF(A545="","",VLOOKUP(A545,VII.A!$A$10:$D$199,3,FALSE))</f>
        <v/>
      </c>
      <c r="K545" s="342" t="str">
        <f t="shared" si="150"/>
        <v/>
      </c>
      <c r="L545" s="380" t="str">
        <f>IF(C545="","",G539*C545)</f>
        <v/>
      </c>
      <c r="M545" s="381" t="str">
        <f>IF(A545="","",VLOOKUP(A545,VII.A!$A$10:$B$199,2,FALSE))</f>
        <v/>
      </c>
      <c r="N545" s="342" t="str">
        <f t="shared" si="151"/>
        <v/>
      </c>
      <c r="R545" s="341"/>
      <c r="S545" s="341"/>
    </row>
    <row r="546" spans="1:21" ht="12.75" customHeight="1">
      <c r="A546" s="385"/>
      <c r="B546" s="386"/>
      <c r="C546" s="20"/>
      <c r="D546" s="342"/>
      <c r="E546" s="387"/>
      <c r="F546" s="388">
        <f t="shared" si="152"/>
        <v>0</v>
      </c>
      <c r="H546" s="341" t="str">
        <f>IF(A546="","",VLOOKUP(A546,VII.A!$A$10:$D$199,4,FALSE))</f>
        <v/>
      </c>
      <c r="I546" s="341" t="str">
        <f t="shared" si="149"/>
        <v/>
      </c>
      <c r="J546" s="341" t="str">
        <f>IF(A546="","",VLOOKUP(A546,VII.A!$A$10:$D$199,3,FALSE))</f>
        <v/>
      </c>
      <c r="K546" s="342" t="str">
        <f t="shared" si="150"/>
        <v/>
      </c>
      <c r="L546" s="380" t="str">
        <f>IF(C546="","",G539*C546)</f>
        <v/>
      </c>
      <c r="M546" s="381" t="str">
        <f>IF(A546="","",VLOOKUP(A546,VII.A!$A$10:$B$199,2,FALSE))</f>
        <v/>
      </c>
      <c r="N546" s="342" t="str">
        <f t="shared" si="151"/>
        <v/>
      </c>
      <c r="R546" s="341"/>
      <c r="S546" s="341"/>
      <c r="U546" s="389"/>
    </row>
    <row r="547" spans="1:21" ht="12.75" customHeight="1">
      <c r="A547" s="385"/>
      <c r="B547" s="386"/>
      <c r="C547" s="20"/>
      <c r="D547" s="342"/>
      <c r="E547" s="387"/>
      <c r="F547" s="388">
        <f t="shared" si="152"/>
        <v>0</v>
      </c>
      <c r="H547" s="341" t="str">
        <f>IF(A547="","",VLOOKUP(A547,VII.A!$A$10:$D$199,4,FALSE))</f>
        <v/>
      </c>
      <c r="I547" s="341" t="str">
        <f t="shared" si="149"/>
        <v/>
      </c>
      <c r="J547" s="341" t="str">
        <f>IF(A547="","",VLOOKUP(A547,VII.A!$A$10:$D$199,3,FALSE))</f>
        <v/>
      </c>
      <c r="K547" s="342" t="str">
        <f t="shared" si="150"/>
        <v/>
      </c>
      <c r="L547" s="380" t="str">
        <f>IF(C547="","",G539*C547)</f>
        <v/>
      </c>
      <c r="M547" s="381" t="str">
        <f>IF(A547="","",VLOOKUP(A547,VII.A!$A$10:$B$199,2,FALSE))</f>
        <v/>
      </c>
      <c r="N547" s="342" t="str">
        <f t="shared" si="151"/>
        <v/>
      </c>
      <c r="R547" s="341"/>
      <c r="S547" s="341"/>
    </row>
    <row r="548" spans="1:21" ht="12.75" customHeight="1">
      <c r="A548" s="385"/>
      <c r="B548" s="386"/>
      <c r="C548" s="20"/>
      <c r="D548" s="342"/>
      <c r="E548" s="387"/>
      <c r="F548" s="388">
        <f t="shared" si="152"/>
        <v>0</v>
      </c>
      <c r="G548" s="390"/>
      <c r="H548" s="341" t="str">
        <f>IF(A548="","",VLOOKUP(A548,VII.A!$A$10:$D$199,4,FALSE))</f>
        <v/>
      </c>
      <c r="I548" s="341" t="str">
        <f t="shared" si="149"/>
        <v/>
      </c>
      <c r="J548" s="341" t="str">
        <f>IF(A548="","",VLOOKUP(A548,VII.A!$A$10:$D$199,3,FALSE))</f>
        <v/>
      </c>
      <c r="K548" s="342" t="str">
        <f t="shared" si="150"/>
        <v/>
      </c>
      <c r="L548" s="380" t="str">
        <f>IF(C548="","",G539*C548)</f>
        <v/>
      </c>
      <c r="M548" s="381" t="str">
        <f>IF(A548="","",VLOOKUP(A548,VII.A!$A$10:$B$199,2,FALSE))</f>
        <v/>
      </c>
      <c r="N548" s="342" t="str">
        <f t="shared" si="151"/>
        <v/>
      </c>
      <c r="R548" s="341"/>
      <c r="S548" s="341"/>
    </row>
    <row r="549" spans="1:21" ht="12.75" customHeight="1">
      <c r="A549" s="385"/>
      <c r="B549" s="386"/>
      <c r="C549" s="20"/>
      <c r="D549" s="342"/>
      <c r="E549" s="387"/>
      <c r="F549" s="388">
        <f t="shared" si="152"/>
        <v>0</v>
      </c>
      <c r="G549" s="390"/>
      <c r="H549" s="341" t="str">
        <f>IF(A549="","",VLOOKUP(A549,VII.A!$A$10:$D$199,4,FALSE))</f>
        <v/>
      </c>
      <c r="I549" s="341" t="str">
        <f t="shared" si="149"/>
        <v/>
      </c>
      <c r="J549" s="341" t="str">
        <f>IF(A549="","",VLOOKUP(A549,VII.A!$A$10:$D$199,3,FALSE))</f>
        <v/>
      </c>
      <c r="K549" s="342" t="str">
        <f t="shared" si="150"/>
        <v/>
      </c>
      <c r="L549" s="380" t="str">
        <f>IF(C549="","",G539*C549)</f>
        <v/>
      </c>
      <c r="M549" s="381" t="str">
        <f>IF(A549="","",VLOOKUP(A549,VII.A!$A$10:$B$199,2,FALSE))</f>
        <v/>
      </c>
      <c r="N549" s="342" t="str">
        <f t="shared" si="151"/>
        <v/>
      </c>
      <c r="R549" s="341"/>
      <c r="S549" s="341"/>
    </row>
    <row r="550" spans="1:21" ht="12.75" customHeight="1">
      <c r="A550" s="385"/>
      <c r="B550" s="386"/>
      <c r="C550" s="20"/>
      <c r="D550" s="342"/>
      <c r="E550" s="387"/>
      <c r="F550" s="388">
        <f t="shared" si="152"/>
        <v>0</v>
      </c>
      <c r="G550" s="391"/>
      <c r="H550" s="341" t="str">
        <f>IF(A550="","",VLOOKUP(A550,VII.A!$A$10:$D$199,4,FALSE))</f>
        <v/>
      </c>
      <c r="I550" s="341" t="str">
        <f t="shared" si="149"/>
        <v/>
      </c>
      <c r="J550" s="341" t="str">
        <f>IF(A550="","",VLOOKUP(A550,VII.A!$A$10:$D$199,3,FALSE))</f>
        <v/>
      </c>
      <c r="K550" s="342" t="str">
        <f t="shared" si="150"/>
        <v/>
      </c>
      <c r="L550" s="380" t="str">
        <f>IF(C550="","",G539*C550)</f>
        <v/>
      </c>
      <c r="M550" s="381" t="str">
        <f>IF(A550="","",VLOOKUP(A550,VII.A!$A$10:$B$199,2,FALSE))</f>
        <v/>
      </c>
      <c r="N550" s="342" t="str">
        <f t="shared" si="151"/>
        <v/>
      </c>
      <c r="R550" s="341"/>
      <c r="S550" s="341"/>
    </row>
    <row r="551" spans="1:21" ht="12.75" customHeight="1">
      <c r="A551" s="385"/>
      <c r="B551" s="386"/>
      <c r="C551" s="20"/>
      <c r="D551" s="342"/>
      <c r="E551" s="387"/>
      <c r="F551" s="388">
        <f t="shared" si="152"/>
        <v>0</v>
      </c>
      <c r="H551" s="341" t="str">
        <f>IF(A551="","",VLOOKUP(A551,VII.A!$A$10:$D$199,4,FALSE))</f>
        <v/>
      </c>
      <c r="I551" s="341" t="str">
        <f t="shared" si="149"/>
        <v/>
      </c>
      <c r="J551" s="341" t="str">
        <f>IF(A551="","",VLOOKUP(A551,VII.A!$A$10:$D$199,3,FALSE))</f>
        <v/>
      </c>
      <c r="K551" s="342" t="str">
        <f t="shared" si="150"/>
        <v/>
      </c>
      <c r="L551" s="380" t="str">
        <f>IF(C551="","",G539*C551)</f>
        <v/>
      </c>
      <c r="M551" s="381" t="str">
        <f>IF(A551="","",VLOOKUP(A551,VII.A!$A$10:$B$199,2,FALSE))</f>
        <v/>
      </c>
      <c r="N551" s="342" t="str">
        <f t="shared" si="151"/>
        <v/>
      </c>
      <c r="R551" s="341"/>
      <c r="S551" s="341"/>
    </row>
    <row r="552" spans="1:21" ht="12.75" customHeight="1">
      <c r="A552" s="385"/>
      <c r="B552" s="386"/>
      <c r="C552" s="20"/>
      <c r="D552" s="392"/>
      <c r="E552" s="387"/>
      <c r="F552" s="388">
        <f t="shared" si="152"/>
        <v>0</v>
      </c>
      <c r="H552" s="341" t="str">
        <f>IF(A552="","",VLOOKUP(A552,VII.A!$A$10:$D$199,4,FALSE))</f>
        <v/>
      </c>
      <c r="I552" s="341" t="str">
        <f t="shared" si="149"/>
        <v/>
      </c>
      <c r="J552" s="341" t="str">
        <f>IF(A552="","",VLOOKUP(A552,VII.A!$A$10:$D$199,3,FALSE))</f>
        <v/>
      </c>
      <c r="K552" s="342" t="str">
        <f t="shared" si="150"/>
        <v/>
      </c>
      <c r="L552" s="380" t="str">
        <f>IF(C552="","",G539*C552)</f>
        <v/>
      </c>
      <c r="M552" s="381" t="str">
        <f>IF(A552="","",VLOOKUP(A552,VII.A!$A$10:$B$199,2,FALSE))</f>
        <v/>
      </c>
      <c r="N552" s="342" t="str">
        <f t="shared" si="151"/>
        <v/>
      </c>
      <c r="R552" s="341"/>
      <c r="S552" s="341"/>
    </row>
    <row r="553" spans="1:21" ht="12.75" customHeight="1">
      <c r="A553" s="385"/>
      <c r="B553" s="386"/>
      <c r="C553" s="20"/>
      <c r="D553" s="392"/>
      <c r="E553" s="387"/>
      <c r="F553" s="388">
        <f t="shared" si="152"/>
        <v>0</v>
      </c>
      <c r="H553" s="341" t="str">
        <f>IF(A553="","",VLOOKUP(A553,VII.A!$A$10:$D$199,4,FALSE))</f>
        <v/>
      </c>
      <c r="I553" s="341" t="str">
        <f t="shared" si="149"/>
        <v/>
      </c>
      <c r="J553" s="341" t="str">
        <f>IF(A553="","",VLOOKUP(A553,VII.A!$A$10:$D$199,3,FALSE))</f>
        <v/>
      </c>
      <c r="K553" s="342" t="str">
        <f t="shared" si="150"/>
        <v/>
      </c>
      <c r="L553" s="380" t="str">
        <f>IF(C553="","",G539*C553)</f>
        <v/>
      </c>
      <c r="M553" s="381" t="str">
        <f>IF(A553="","",VLOOKUP(A553,VII.A!$A$10:$B$199,2,FALSE))</f>
        <v/>
      </c>
      <c r="N553" s="342" t="str">
        <f t="shared" si="151"/>
        <v/>
      </c>
      <c r="O553" s="342"/>
      <c r="R553" s="341"/>
      <c r="S553" s="341"/>
    </row>
    <row r="554" spans="1:21" ht="12.75" customHeight="1">
      <c r="A554" s="385"/>
      <c r="B554" s="386"/>
      <c r="C554" s="20"/>
      <c r="D554" s="392"/>
      <c r="E554" s="387"/>
      <c r="F554" s="388">
        <f t="shared" si="152"/>
        <v>0</v>
      </c>
      <c r="H554" s="341" t="str">
        <f>IF(A554="","",VLOOKUP(A554,VII.A!$A$10:$D$199,4,FALSE))</f>
        <v/>
      </c>
      <c r="I554" s="341" t="str">
        <f t="shared" si="149"/>
        <v/>
      </c>
      <c r="J554" s="341" t="str">
        <f>IF(A554="","",VLOOKUP(A554,VII.A!$A$10:$D$199,3,FALSE))</f>
        <v/>
      </c>
      <c r="K554" s="342" t="str">
        <f t="shared" si="150"/>
        <v/>
      </c>
      <c r="L554" s="380" t="str">
        <f>IF(C554="","",G539*C554)</f>
        <v/>
      </c>
      <c r="M554" s="381" t="str">
        <f>IF(A554="","",VLOOKUP(A554,VII.A!$A$10:$B$199,2,FALSE))</f>
        <v/>
      </c>
      <c r="N554" s="342" t="str">
        <f t="shared" si="151"/>
        <v/>
      </c>
      <c r="R554" s="341"/>
      <c r="S554" s="341"/>
    </row>
    <row r="555" spans="1:21" ht="12.75" customHeight="1">
      <c r="A555" s="393"/>
      <c r="C555" s="20"/>
      <c r="E555" s="387"/>
      <c r="F555" s="388">
        <f t="shared" si="152"/>
        <v>0</v>
      </c>
      <c r="H555" s="341" t="str">
        <f>IF(A555="","",VLOOKUP(A555,VII.A!$A$10:$D$199,4,FALSE))</f>
        <v/>
      </c>
      <c r="I555" s="341" t="str">
        <f t="shared" si="149"/>
        <v/>
      </c>
      <c r="J555" s="341" t="str">
        <f>IF(A555="","",VLOOKUP(A555,VII.A!$A$10:$D$199,3,FALSE))</f>
        <v/>
      </c>
      <c r="K555" s="342" t="str">
        <f t="shared" si="150"/>
        <v/>
      </c>
      <c r="L555" s="380" t="str">
        <f>IF(C555="","",G539*C555)</f>
        <v/>
      </c>
      <c r="M555" s="381" t="str">
        <f>IF(A555="","",VLOOKUP(A555,VII.A!$A$10:$B$199,2,FALSE))</f>
        <v/>
      </c>
      <c r="N555" s="342" t="str">
        <f t="shared" si="151"/>
        <v/>
      </c>
      <c r="R555" s="341"/>
      <c r="S555" s="341"/>
    </row>
    <row r="556" spans="1:21" ht="12.75" customHeight="1">
      <c r="A556" s="393"/>
      <c r="C556" s="20"/>
      <c r="E556" s="387"/>
      <c r="F556" s="388">
        <f t="shared" si="152"/>
        <v>0</v>
      </c>
      <c r="H556" s="341" t="str">
        <f>IF(A556="","",VLOOKUP(A556,VII.A!$A$10:$D$199,4,FALSE))</f>
        <v/>
      </c>
      <c r="I556" s="341" t="str">
        <f t="shared" si="149"/>
        <v/>
      </c>
      <c r="J556" s="341" t="str">
        <f>IF(A556="","",VLOOKUP(A556,VII.A!$A$10:$D$199,3,FALSE))</f>
        <v/>
      </c>
      <c r="K556" s="342" t="str">
        <f t="shared" si="150"/>
        <v/>
      </c>
      <c r="L556" s="380" t="str">
        <f>IF(C556="","",G539*C556)</f>
        <v/>
      </c>
      <c r="M556" s="381" t="str">
        <f>IF(A556="","",VLOOKUP(A556,VII.A!$A$10:$B$199,2,FALSE))</f>
        <v/>
      </c>
      <c r="N556" s="342" t="str">
        <f t="shared" si="151"/>
        <v/>
      </c>
      <c r="R556" s="341"/>
      <c r="S556" s="341"/>
    </row>
    <row r="557" spans="1:21" ht="12.75" customHeight="1">
      <c r="A557" s="393"/>
      <c r="B557" s="395" t="s">
        <v>226</v>
      </c>
      <c r="C557" s="396"/>
      <c r="D557" s="397"/>
      <c r="E557" s="398"/>
      <c r="F557" s="399">
        <f>SUM(F541:F556)</f>
        <v>0</v>
      </c>
      <c r="J557" s="341"/>
      <c r="L557" s="380"/>
      <c r="M557" s="381"/>
      <c r="N557" s="342"/>
      <c r="R557" s="341"/>
      <c r="S557" s="341"/>
    </row>
    <row r="558" spans="1:21" ht="12.75" customHeight="1">
      <c r="A558" s="393"/>
      <c r="B558" s="400" t="s">
        <v>53</v>
      </c>
      <c r="C558" s="2">
        <f>$D$8</f>
        <v>0</v>
      </c>
      <c r="D558" s="401"/>
      <c r="E558" s="402"/>
      <c r="F558" s="403">
        <f>ROUND(F557*C558,2)</f>
        <v>0</v>
      </c>
      <c r="H558" s="873" t="s">
        <v>394</v>
      </c>
      <c r="I558" s="873"/>
      <c r="J558" s="873"/>
      <c r="K558" s="873"/>
      <c r="L558" s="873"/>
      <c r="M558" s="873"/>
      <c r="N558" s="342"/>
      <c r="R558" s="341"/>
      <c r="S558" s="341"/>
    </row>
    <row r="559" spans="1:21" ht="12.75" customHeight="1">
      <c r="A559" s="404"/>
      <c r="B559" s="405" t="s">
        <v>227</v>
      </c>
      <c r="C559" s="406"/>
      <c r="D559" s="406"/>
      <c r="E559" s="407"/>
      <c r="F559" s="408">
        <f>F557+F558</f>
        <v>0</v>
      </c>
      <c r="I559" s="341">
        <f>49.31/1.28</f>
        <v>38.5234375</v>
      </c>
      <c r="J559" s="341"/>
      <c r="L559" s="380"/>
      <c r="M559" s="381"/>
      <c r="N559" s="342"/>
      <c r="R559" s="341"/>
      <c r="S559" s="341"/>
    </row>
    <row r="560" spans="1:21" ht="12.75" customHeight="1">
      <c r="A560" s="374" t="s">
        <v>2</v>
      </c>
      <c r="B560" s="375" t="s">
        <v>235</v>
      </c>
      <c r="C560" s="376" t="s">
        <v>231</v>
      </c>
      <c r="D560" s="376" t="s">
        <v>232</v>
      </c>
      <c r="E560" s="377" t="s">
        <v>233</v>
      </c>
      <c r="F560" s="378" t="s">
        <v>234</v>
      </c>
      <c r="J560" s="341"/>
      <c r="L560" s="380"/>
      <c r="M560" s="381"/>
      <c r="N560" s="342"/>
      <c r="R560" s="341"/>
      <c r="S560" s="341"/>
    </row>
    <row r="561" spans="1:19" ht="12.75" customHeight="1">
      <c r="A561" s="393"/>
      <c r="B561" s="423"/>
      <c r="C561" s="20"/>
      <c r="E561" s="387"/>
      <c r="F561" s="388">
        <f t="shared" ref="F561:F570" si="153">ROUND(C561*E561,2)</f>
        <v>0</v>
      </c>
      <c r="H561" s="341" t="str">
        <f>IF(A561="","",VLOOKUP(A561,VII.A!$A$10:$D$199,4,FALSE))</f>
        <v/>
      </c>
      <c r="I561" s="341" t="str">
        <f t="shared" ref="I561:I570" si="154">IF(A561="","",IF(E561=H561,"SIM","NÃO"))</f>
        <v/>
      </c>
      <c r="J561" s="341" t="str">
        <f>IF(A561="","",VLOOKUP(A561,VII.A!$A$10:$D$199,3,FALSE))</f>
        <v/>
      </c>
      <c r="K561" s="342" t="str">
        <f t="shared" ref="K561:K570" si="155">IF(A561="","",IF(J561=D561,"SIM","NÃO"))</f>
        <v/>
      </c>
      <c r="L561" s="380" t="str">
        <f>IF(C561="","",G539*C561)</f>
        <v/>
      </c>
      <c r="M561" s="381" t="str">
        <f>IF(A561="","",VLOOKUP(A561,VII.A!$A$10:$B$199,2,FALSE))</f>
        <v/>
      </c>
      <c r="N561" s="342" t="str">
        <f t="shared" ref="N561:N570" si="156">IF(B561="","",IF(M561=B561,"si","no"))</f>
        <v/>
      </c>
      <c r="R561" s="341"/>
      <c r="S561" s="341"/>
    </row>
    <row r="562" spans="1:19" ht="12.75" customHeight="1">
      <c r="A562" s="393"/>
      <c r="C562" s="20"/>
      <c r="E562" s="387"/>
      <c r="F562" s="388">
        <f t="shared" si="153"/>
        <v>0</v>
      </c>
      <c r="H562" s="341" t="str">
        <f>IF(A562="","",VLOOKUP(A562,VII.A!$A$10:$D$199,4,FALSE))</f>
        <v/>
      </c>
      <c r="I562" s="341" t="str">
        <f t="shared" si="154"/>
        <v/>
      </c>
      <c r="J562" s="341" t="str">
        <f>IF(A562="","",VLOOKUP(A562,VII.A!$A$10:$D$199,3,FALSE))</f>
        <v/>
      </c>
      <c r="K562" s="342" t="str">
        <f t="shared" si="155"/>
        <v/>
      </c>
      <c r="L562" s="380" t="str">
        <f>IF(C562="","",G539*C562)</f>
        <v/>
      </c>
      <c r="M562" s="381" t="str">
        <f>IF(A562="","",VLOOKUP(A562,VII.A!$A$10:$B$199,2,FALSE))</f>
        <v/>
      </c>
      <c r="N562" s="342" t="str">
        <f t="shared" si="156"/>
        <v/>
      </c>
      <c r="R562" s="341"/>
      <c r="S562" s="341"/>
    </row>
    <row r="563" spans="1:19" ht="12.75" customHeight="1">
      <c r="A563" s="393"/>
      <c r="C563" s="20"/>
      <c r="E563" s="387"/>
      <c r="F563" s="388">
        <f t="shared" si="153"/>
        <v>0</v>
      </c>
      <c r="H563" s="341" t="str">
        <f>IF(A563="","",VLOOKUP(A563,VII.A!$A$10:$D$199,4,FALSE))</f>
        <v/>
      </c>
      <c r="I563" s="341" t="str">
        <f t="shared" si="154"/>
        <v/>
      </c>
      <c r="J563" s="341" t="str">
        <f>IF(A563="","",VLOOKUP(A563,VII.A!$A$10:$D$199,3,FALSE))</f>
        <v/>
      </c>
      <c r="K563" s="342" t="str">
        <f t="shared" si="155"/>
        <v/>
      </c>
      <c r="L563" s="380" t="str">
        <f>IF(C563="","",G539*C563)</f>
        <v/>
      </c>
      <c r="M563" s="381" t="str">
        <f>IF(A563="","",VLOOKUP(A563,VII.A!$A$10:$B$199,2,FALSE))</f>
        <v/>
      </c>
      <c r="N563" s="342" t="str">
        <f t="shared" si="156"/>
        <v/>
      </c>
      <c r="R563" s="341"/>
      <c r="S563" s="341"/>
    </row>
    <row r="564" spans="1:19" ht="12.75" customHeight="1">
      <c r="A564" s="393"/>
      <c r="C564" s="20"/>
      <c r="E564" s="387"/>
      <c r="F564" s="388">
        <f t="shared" si="153"/>
        <v>0</v>
      </c>
      <c r="H564" s="341" t="str">
        <f>IF(A564="","",VLOOKUP(A564,VII.A!$A$10:$D$199,4,FALSE))</f>
        <v/>
      </c>
      <c r="I564" s="341" t="str">
        <f t="shared" si="154"/>
        <v/>
      </c>
      <c r="J564" s="341" t="str">
        <f>IF(A564="","",VLOOKUP(A564,VII.A!$A$10:$D$199,3,FALSE))</f>
        <v/>
      </c>
      <c r="K564" s="342" t="str">
        <f t="shared" si="155"/>
        <v/>
      </c>
      <c r="L564" s="380" t="str">
        <f>IF(C564="","",G539*C564)</f>
        <v/>
      </c>
      <c r="M564" s="381" t="str">
        <f>IF(A564="","",VLOOKUP(A564,VII.A!$A$10:$B$199,2,FALSE))</f>
        <v/>
      </c>
      <c r="N564" s="342" t="str">
        <f t="shared" si="156"/>
        <v/>
      </c>
      <c r="R564" s="341"/>
      <c r="S564" s="341"/>
    </row>
    <row r="565" spans="1:19" ht="12.75" customHeight="1">
      <c r="A565" s="393"/>
      <c r="C565" s="20"/>
      <c r="E565" s="387"/>
      <c r="F565" s="388">
        <f t="shared" si="153"/>
        <v>0</v>
      </c>
      <c r="G565" s="390"/>
      <c r="H565" s="341" t="str">
        <f>IF(A565="","",VLOOKUP(A565,VII.A!$A$10:$D$199,4,FALSE))</f>
        <v/>
      </c>
      <c r="I565" s="341" t="str">
        <f t="shared" si="154"/>
        <v/>
      </c>
      <c r="J565" s="341" t="str">
        <f>IF(A565="","",VLOOKUP(A565,VII.A!$A$10:$D$199,3,FALSE))</f>
        <v/>
      </c>
      <c r="K565" s="342" t="str">
        <f t="shared" si="155"/>
        <v/>
      </c>
      <c r="L565" s="380" t="str">
        <f>IF(C565="","",G539*C565)</f>
        <v/>
      </c>
      <c r="M565" s="381" t="str">
        <f>IF(A565="","",VLOOKUP(A565,VII.A!$A$10:$B$199,2,FALSE))</f>
        <v/>
      </c>
      <c r="N565" s="342" t="str">
        <f t="shared" si="156"/>
        <v/>
      </c>
      <c r="R565" s="341"/>
      <c r="S565" s="341"/>
    </row>
    <row r="566" spans="1:19" ht="12.75" customHeight="1">
      <c r="A566" s="393"/>
      <c r="C566" s="20"/>
      <c r="E566" s="387"/>
      <c r="F566" s="388">
        <f t="shared" si="153"/>
        <v>0</v>
      </c>
      <c r="G566" s="391"/>
      <c r="H566" s="341" t="str">
        <f>IF(A566="","",VLOOKUP(A566,VII.A!$A$10:$D$199,4,FALSE))</f>
        <v/>
      </c>
      <c r="I566" s="341" t="str">
        <f t="shared" si="154"/>
        <v/>
      </c>
      <c r="J566" s="341" t="str">
        <f>IF(A566="","",VLOOKUP(A566,VII.A!$A$10:$D$199,3,FALSE))</f>
        <v/>
      </c>
      <c r="K566" s="342" t="str">
        <f t="shared" si="155"/>
        <v/>
      </c>
      <c r="L566" s="380" t="str">
        <f>IF(C566="","",G539*C566)</f>
        <v/>
      </c>
      <c r="M566" s="381" t="str">
        <f>IF(A566="","",VLOOKUP(A566,VII.A!$A$10:$B$199,2,FALSE))</f>
        <v/>
      </c>
      <c r="N566" s="342" t="str">
        <f t="shared" si="156"/>
        <v/>
      </c>
      <c r="R566" s="341"/>
      <c r="S566" s="341"/>
    </row>
    <row r="567" spans="1:19" ht="12.75" customHeight="1">
      <c r="A567" s="393"/>
      <c r="C567" s="20"/>
      <c r="E567" s="387"/>
      <c r="F567" s="388">
        <f t="shared" si="153"/>
        <v>0</v>
      </c>
      <c r="H567" s="341" t="str">
        <f>IF(A567="","",VLOOKUP(A567,VII.A!$A$10:$D$199,4,FALSE))</f>
        <v/>
      </c>
      <c r="I567" s="341" t="str">
        <f t="shared" si="154"/>
        <v/>
      </c>
      <c r="J567" s="341" t="str">
        <f>IF(A567="","",VLOOKUP(A567,VII.A!$A$10:$D$199,3,FALSE))</f>
        <v/>
      </c>
      <c r="K567" s="342" t="str">
        <f t="shared" si="155"/>
        <v/>
      </c>
      <c r="L567" s="380" t="str">
        <f>IF(C567="","",G539*C567)</f>
        <v/>
      </c>
      <c r="M567" s="381" t="str">
        <f>IF(A567="","",VLOOKUP(A567,VII.A!$A$10:$B$199,2,FALSE))</f>
        <v/>
      </c>
      <c r="N567" s="342" t="str">
        <f t="shared" si="156"/>
        <v/>
      </c>
      <c r="R567" s="341"/>
      <c r="S567" s="341"/>
    </row>
    <row r="568" spans="1:19" ht="12.75" customHeight="1">
      <c r="A568" s="393"/>
      <c r="C568" s="20"/>
      <c r="E568" s="387"/>
      <c r="F568" s="388">
        <f t="shared" si="153"/>
        <v>0</v>
      </c>
      <c r="H568" s="341" t="str">
        <f>IF(A568="","",VLOOKUP(A568,VII.A!$A$10:$D$199,4,FALSE))</f>
        <v/>
      </c>
      <c r="I568" s="341" t="str">
        <f t="shared" si="154"/>
        <v/>
      </c>
      <c r="J568" s="341" t="str">
        <f>IF(A568="","",VLOOKUP(A568,VII.A!$A$10:$D$199,3,FALSE))</f>
        <v/>
      </c>
      <c r="K568" s="342" t="str">
        <f t="shared" si="155"/>
        <v/>
      </c>
      <c r="L568" s="380" t="str">
        <f>IF(C568="","",G539*C568)</f>
        <v/>
      </c>
      <c r="M568" s="381" t="str">
        <f>IF(A568="","",VLOOKUP(A568,VII.A!$A$10:$B$199,2,FALSE))</f>
        <v/>
      </c>
      <c r="N568" s="342" t="str">
        <f t="shared" si="156"/>
        <v/>
      </c>
      <c r="R568" s="341"/>
      <c r="S568" s="341"/>
    </row>
    <row r="569" spans="1:19" ht="12.75" customHeight="1">
      <c r="A569" s="393"/>
      <c r="C569" s="20"/>
      <c r="E569" s="387"/>
      <c r="F569" s="388">
        <f t="shared" si="153"/>
        <v>0</v>
      </c>
      <c r="H569" s="341" t="str">
        <f>IF(A569="","",VLOOKUP(A569,VII.A!$A$10:$D$199,4,FALSE))</f>
        <v/>
      </c>
      <c r="I569" s="341" t="str">
        <f t="shared" si="154"/>
        <v/>
      </c>
      <c r="J569" s="341" t="str">
        <f>IF(A569="","",VLOOKUP(A569,VII.A!$A$10:$D$199,3,FALSE))</f>
        <v/>
      </c>
      <c r="K569" s="342" t="str">
        <f t="shared" si="155"/>
        <v/>
      </c>
      <c r="L569" s="380" t="str">
        <f>IF(C569="","",G539*C569)</f>
        <v/>
      </c>
      <c r="M569" s="381" t="str">
        <f>IF(A569="","",VLOOKUP(A569,VII.A!$A$10:$B$199,2,FALSE))</f>
        <v/>
      </c>
      <c r="N569" s="342" t="str">
        <f t="shared" si="156"/>
        <v/>
      </c>
      <c r="R569" s="341"/>
      <c r="S569" s="341"/>
    </row>
    <row r="570" spans="1:19" ht="12.75" customHeight="1">
      <c r="A570" s="393"/>
      <c r="C570" s="20"/>
      <c r="E570" s="387"/>
      <c r="F570" s="388">
        <f t="shared" si="153"/>
        <v>0</v>
      </c>
      <c r="H570" s="341" t="str">
        <f>IF(A570="","",VLOOKUP(A570,VII.A!$A$10:$D$199,4,FALSE))</f>
        <v/>
      </c>
      <c r="I570" s="341" t="str">
        <f t="shared" si="154"/>
        <v/>
      </c>
      <c r="J570" s="341" t="str">
        <f>IF(A570="","",VLOOKUP(A570,VII.A!$A$10:$D$199,3,FALSE))</f>
        <v/>
      </c>
      <c r="K570" s="342" t="str">
        <f t="shared" si="155"/>
        <v/>
      </c>
      <c r="L570" s="380" t="str">
        <f>IF(C570="","",G539*C570)</f>
        <v/>
      </c>
      <c r="M570" s="381" t="str">
        <f>IF(A570="","",VLOOKUP(A570,VII.A!$A$10:$B$199,2,FALSE))</f>
        <v/>
      </c>
      <c r="N570" s="342" t="str">
        <f t="shared" si="156"/>
        <v/>
      </c>
      <c r="R570" s="341"/>
      <c r="S570" s="341"/>
    </row>
    <row r="571" spans="1:19" ht="12.75" customHeight="1">
      <c r="A571" s="393"/>
      <c r="B571" s="395" t="s">
        <v>226</v>
      </c>
      <c r="C571" s="396"/>
      <c r="D571" s="397"/>
      <c r="E571" s="398"/>
      <c r="F571" s="399">
        <f>SUM(F561:F570)</f>
        <v>0</v>
      </c>
      <c r="J571" s="341"/>
      <c r="L571" s="380"/>
      <c r="M571" s="381"/>
      <c r="N571" s="342"/>
      <c r="R571" s="341"/>
      <c r="S571" s="341"/>
    </row>
    <row r="572" spans="1:19" ht="12.75" customHeight="1">
      <c r="A572" s="393"/>
      <c r="B572" s="400" t="s">
        <v>53</v>
      </c>
      <c r="C572" s="2">
        <f>$D$8</f>
        <v>0</v>
      </c>
      <c r="D572" s="401"/>
      <c r="E572" s="402"/>
      <c r="F572" s="403">
        <f>ROUND(C572*F571,2)</f>
        <v>0</v>
      </c>
      <c r="J572" s="341"/>
      <c r="L572" s="380"/>
      <c r="M572" s="381"/>
      <c r="N572" s="342"/>
      <c r="R572" s="341"/>
      <c r="S572" s="341"/>
    </row>
    <row r="573" spans="1:19" ht="12.75" customHeight="1">
      <c r="A573" s="404"/>
      <c r="B573" s="405" t="s">
        <v>228</v>
      </c>
      <c r="C573" s="406"/>
      <c r="D573" s="406"/>
      <c r="E573" s="407"/>
      <c r="F573" s="408">
        <f>F571+F572</f>
        <v>0</v>
      </c>
      <c r="J573" s="341"/>
      <c r="L573" s="380"/>
      <c r="M573" s="381"/>
      <c r="N573" s="342"/>
      <c r="R573" s="341"/>
      <c r="S573" s="341"/>
    </row>
    <row r="574" spans="1:19" ht="12.75" customHeight="1">
      <c r="A574" s="409" t="s">
        <v>47</v>
      </c>
      <c r="B574" s="410" t="s">
        <v>236</v>
      </c>
      <c r="C574" s="411" t="s">
        <v>231</v>
      </c>
      <c r="D574" s="412" t="s">
        <v>232</v>
      </c>
      <c r="E574" s="413" t="s">
        <v>233</v>
      </c>
      <c r="F574" s="378" t="s">
        <v>234</v>
      </c>
      <c r="J574" s="341"/>
      <c r="L574" s="380"/>
      <c r="M574" s="381"/>
      <c r="N574" s="342"/>
      <c r="R574" s="341"/>
      <c r="S574" s="341"/>
    </row>
    <row r="575" spans="1:19" ht="12.75" customHeight="1">
      <c r="A575" s="393" t="str">
        <f>VII.A!$A$196</f>
        <v>3.16</v>
      </c>
      <c r="B575" s="394" t="s">
        <v>157</v>
      </c>
      <c r="C575" s="20">
        <v>2</v>
      </c>
      <c r="D575" s="384" t="str">
        <f>VLOOKUP(A575,VII.A!$A$10:$G$199,3,FALSE)</f>
        <v>H</v>
      </c>
      <c r="E575" s="387">
        <f>VII.A!$D$196</f>
        <v>0</v>
      </c>
      <c r="F575" s="388">
        <f t="shared" ref="F575:F581" si="157">ROUND(C575*E575,2)</f>
        <v>0</v>
      </c>
      <c r="H575" s="341">
        <f>IF(A575="","",VLOOKUP(A575,VII.A!$A$10:$D$199,4,FALSE))</f>
        <v>0</v>
      </c>
      <c r="I575" s="341" t="str">
        <f t="shared" ref="I575:I581" si="158">IF(A575="","",IF(E575=H575,"SIM","NÃO"))</f>
        <v>SIM</v>
      </c>
      <c r="J575" s="341" t="str">
        <f>IF(A575="","",VLOOKUP(A575,VII.A!$A$10:$D$199,3,FALSE))</f>
        <v>H</v>
      </c>
      <c r="K575" s="342" t="str">
        <f t="shared" ref="K575:K581" si="159">IF(A575="","",IF(J575=D575,"SIM","NÃO"))</f>
        <v>SIM</v>
      </c>
      <c r="L575" s="380">
        <f>IF(C575="","",G539*C575)</f>
        <v>6000</v>
      </c>
      <c r="M575" s="381" t="str">
        <f>IF(A575="","",VLOOKUP(A575,VII.A!$A$10:$B$199,2,FALSE))</f>
        <v>SERVENTE COM ENCARGOS COMPLEMENTARES</v>
      </c>
      <c r="N575" s="342" t="str">
        <f t="shared" ref="N575:N581" si="160">IF(B575="","",IF(M575=B575,"si","no"))</f>
        <v>si</v>
      </c>
      <c r="R575" s="341"/>
      <c r="S575" s="341"/>
    </row>
    <row r="576" spans="1:19" ht="12.75" customHeight="1">
      <c r="A576" s="393"/>
      <c r="C576" s="20"/>
      <c r="E576" s="387"/>
      <c r="F576" s="388">
        <f t="shared" si="157"/>
        <v>0</v>
      </c>
      <c r="H576" s="341" t="str">
        <f>IF(A576="","",VLOOKUP(A576,VII.A!$A$10:$D$199,4,FALSE))</f>
        <v/>
      </c>
      <c r="I576" s="341" t="str">
        <f t="shared" si="158"/>
        <v/>
      </c>
      <c r="J576" s="341" t="str">
        <f>IF(A576="","",VLOOKUP(A576,VII.A!$A$10:$D$199,3,FALSE))</f>
        <v/>
      </c>
      <c r="K576" s="342" t="str">
        <f t="shared" si="159"/>
        <v/>
      </c>
      <c r="L576" s="380" t="str">
        <f>IF(C576="","",G539*C576)</f>
        <v/>
      </c>
      <c r="M576" s="381" t="str">
        <f>IF(A576="","",VLOOKUP(A576,VII.A!$A$10:$B$199,2,FALSE))</f>
        <v/>
      </c>
      <c r="N576" s="342" t="str">
        <f t="shared" si="160"/>
        <v/>
      </c>
      <c r="R576" s="341"/>
      <c r="S576" s="341"/>
    </row>
    <row r="577" spans="1:25" ht="12.75" customHeight="1">
      <c r="A577" s="393"/>
      <c r="C577" s="20"/>
      <c r="E577" s="387"/>
      <c r="F577" s="388">
        <f t="shared" si="157"/>
        <v>0</v>
      </c>
      <c r="H577" s="341" t="str">
        <f>IF(A577="","",VLOOKUP(A577,VII.A!$A$10:$D$199,4,FALSE))</f>
        <v/>
      </c>
      <c r="I577" s="341" t="str">
        <f t="shared" si="158"/>
        <v/>
      </c>
      <c r="J577" s="341" t="str">
        <f>IF(A577="","",VLOOKUP(A577,VII.A!$A$10:$D$199,3,FALSE))</f>
        <v/>
      </c>
      <c r="K577" s="342" t="str">
        <f t="shared" si="159"/>
        <v/>
      </c>
      <c r="L577" s="380" t="str">
        <f>IF(C577="","",G539*C577)</f>
        <v/>
      </c>
      <c r="M577" s="381" t="str">
        <f>IF(A577="","",VLOOKUP(A577,VII.A!$A$10:$B$199,2,FALSE))</f>
        <v/>
      </c>
      <c r="N577" s="342" t="str">
        <f t="shared" si="160"/>
        <v/>
      </c>
      <c r="R577" s="341"/>
      <c r="S577" s="341"/>
    </row>
    <row r="578" spans="1:25" ht="12.75" customHeight="1">
      <c r="A578" s="393"/>
      <c r="C578" s="20"/>
      <c r="E578" s="387"/>
      <c r="F578" s="388">
        <f t="shared" si="157"/>
        <v>0</v>
      </c>
      <c r="H578" s="341" t="str">
        <f>IF(A578="","",VLOOKUP(A578,VII.A!$A$10:$D$199,4,FALSE))</f>
        <v/>
      </c>
      <c r="I578" s="341" t="str">
        <f t="shared" si="158"/>
        <v/>
      </c>
      <c r="J578" s="341" t="str">
        <f>IF(A578="","",VLOOKUP(A578,VII.A!$A$10:$D$199,3,FALSE))</f>
        <v/>
      </c>
      <c r="K578" s="342" t="str">
        <f t="shared" si="159"/>
        <v/>
      </c>
      <c r="L578" s="380" t="str">
        <f>IF(C578="","",G539*C578)</f>
        <v/>
      </c>
      <c r="M578" s="381" t="str">
        <f>IF(A578="","",VLOOKUP(A578,VII.A!$A$10:$B$199,2,FALSE))</f>
        <v/>
      </c>
      <c r="N578" s="342" t="str">
        <f t="shared" si="160"/>
        <v/>
      </c>
      <c r="R578" s="341"/>
      <c r="S578" s="341"/>
    </row>
    <row r="579" spans="1:25" ht="12.75" customHeight="1">
      <c r="A579" s="393"/>
      <c r="C579" s="20"/>
      <c r="E579" s="387"/>
      <c r="F579" s="388">
        <f t="shared" si="157"/>
        <v>0</v>
      </c>
      <c r="H579" s="341" t="str">
        <f>IF(A579="","",VLOOKUP(A579,VII.A!$A$10:$D$199,4,FALSE))</f>
        <v/>
      </c>
      <c r="I579" s="341" t="str">
        <f t="shared" si="158"/>
        <v/>
      </c>
      <c r="J579" s="341" t="str">
        <f>IF(A579="","",VLOOKUP(A579,VII.A!$A$10:$D$199,3,FALSE))</f>
        <v/>
      </c>
      <c r="K579" s="342" t="str">
        <f t="shared" si="159"/>
        <v/>
      </c>
      <c r="L579" s="380" t="str">
        <f>IF(C579="","",G539*C579)</f>
        <v/>
      </c>
      <c r="M579" s="381" t="str">
        <f>IF(A579="","",VLOOKUP(A579,VII.A!$A$10:$B$199,2,FALSE))</f>
        <v/>
      </c>
      <c r="N579" s="342" t="str">
        <f t="shared" si="160"/>
        <v/>
      </c>
      <c r="R579" s="341"/>
      <c r="S579" s="341"/>
    </row>
    <row r="580" spans="1:25" ht="12.75" customHeight="1">
      <c r="A580" s="393"/>
      <c r="C580" s="20"/>
      <c r="E580" s="387"/>
      <c r="F580" s="388">
        <f t="shared" si="157"/>
        <v>0</v>
      </c>
      <c r="H580" s="341" t="str">
        <f>IF(A580="","",VLOOKUP(A580,VII.A!$A$10:$D$199,4,FALSE))</f>
        <v/>
      </c>
      <c r="I580" s="341" t="str">
        <f t="shared" si="158"/>
        <v/>
      </c>
      <c r="J580" s="341" t="str">
        <f>IF(A580="","",VLOOKUP(A580,VII.A!$A$10:$D$199,3,FALSE))</f>
        <v/>
      </c>
      <c r="K580" s="342" t="str">
        <f t="shared" si="159"/>
        <v/>
      </c>
      <c r="L580" s="380" t="str">
        <f>IF(C580="","",G539*C580)</f>
        <v/>
      </c>
      <c r="M580" s="381" t="str">
        <f>IF(A580="","",VLOOKUP(A580,VII.A!$A$10:$B$199,2,FALSE))</f>
        <v/>
      </c>
      <c r="N580" s="342" t="str">
        <f t="shared" si="160"/>
        <v/>
      </c>
      <c r="R580" s="341"/>
      <c r="S580" s="341"/>
    </row>
    <row r="581" spans="1:25" ht="12.75" customHeight="1">
      <c r="A581" s="393"/>
      <c r="C581" s="20"/>
      <c r="E581" s="387"/>
      <c r="F581" s="388">
        <f t="shared" si="157"/>
        <v>0</v>
      </c>
      <c r="H581" s="341" t="str">
        <f>IF(A581="","",VLOOKUP(A581,VII.A!$A$10:$D$199,4,FALSE))</f>
        <v/>
      </c>
      <c r="I581" s="341" t="str">
        <f t="shared" si="158"/>
        <v/>
      </c>
      <c r="J581" s="341" t="str">
        <f>IF(A581="","",VLOOKUP(A581,VII.A!$A$10:$D$199,3,FALSE))</f>
        <v/>
      </c>
      <c r="K581" s="342" t="str">
        <f t="shared" si="159"/>
        <v/>
      </c>
      <c r="L581" s="380" t="str">
        <f>IF(C581="","",G539*C581)</f>
        <v/>
      </c>
      <c r="M581" s="381" t="str">
        <f>IF(A581="","",VLOOKUP(A581,VII.A!$A$10:$B$199,2,FALSE))</f>
        <v/>
      </c>
      <c r="N581" s="342" t="str">
        <f t="shared" si="160"/>
        <v/>
      </c>
      <c r="R581" s="341"/>
      <c r="S581" s="341"/>
    </row>
    <row r="582" spans="1:25" ht="12.75" customHeight="1">
      <c r="A582" s="393"/>
      <c r="B582" s="395" t="s">
        <v>226</v>
      </c>
      <c r="C582" s="396"/>
      <c r="D582" s="397"/>
      <c r="E582" s="398"/>
      <c r="F582" s="399">
        <f>SUM(F575:F581)</f>
        <v>0</v>
      </c>
      <c r="J582" s="341"/>
      <c r="L582" s="380"/>
      <c r="M582" s="381"/>
      <c r="N582" s="342"/>
      <c r="R582" s="341"/>
      <c r="S582" s="341"/>
    </row>
    <row r="583" spans="1:25" ht="12.75" customHeight="1">
      <c r="A583" s="393"/>
      <c r="B583" s="400" t="s">
        <v>229</v>
      </c>
      <c r="C583" s="2">
        <f>IX.A!$C$45</f>
        <v>0</v>
      </c>
      <c r="D583" s="401"/>
      <c r="E583" s="402"/>
      <c r="F583" s="403">
        <f>ROUND(F582*C583,2)</f>
        <v>0</v>
      </c>
      <c r="J583" s="341"/>
      <c r="L583" s="380"/>
      <c r="M583" s="381"/>
      <c r="N583" s="342"/>
      <c r="R583" s="341"/>
      <c r="S583" s="341"/>
    </row>
    <row r="584" spans="1:25" ht="12.75" customHeight="1">
      <c r="A584" s="393"/>
      <c r="B584" s="400" t="s">
        <v>53</v>
      </c>
      <c r="C584" s="2">
        <f>$D$8</f>
        <v>0</v>
      </c>
      <c r="D584" s="401"/>
      <c r="E584" s="402"/>
      <c r="F584" s="403">
        <f>ROUND(SUM(F582:F583)*C584,2)</f>
        <v>0</v>
      </c>
      <c r="J584" s="341"/>
      <c r="L584" s="380"/>
      <c r="M584" s="381"/>
      <c r="N584" s="342"/>
      <c r="R584" s="341"/>
      <c r="S584" s="341"/>
    </row>
    <row r="585" spans="1:25" ht="12.75" customHeight="1" thickBot="1">
      <c r="A585" s="414"/>
      <c r="B585" s="415" t="s">
        <v>230</v>
      </c>
      <c r="C585" s="416"/>
      <c r="D585" s="416"/>
      <c r="E585" s="417"/>
      <c r="F585" s="418">
        <f>SUM(F582:F584)</f>
        <v>0</v>
      </c>
      <c r="J585" s="341"/>
      <c r="L585" s="380"/>
      <c r="M585" s="381"/>
      <c r="N585" s="342"/>
      <c r="R585" s="341"/>
      <c r="S585" s="341"/>
    </row>
    <row r="586" spans="1:25" ht="12.75" customHeight="1" thickBot="1">
      <c r="A586" s="357"/>
      <c r="B586" s="358"/>
      <c r="C586" s="359"/>
      <c r="D586" s="359"/>
      <c r="E586" s="360"/>
      <c r="F586" s="419"/>
      <c r="J586" s="341"/>
      <c r="L586" s="380"/>
      <c r="M586" s="381"/>
      <c r="N586" s="342"/>
      <c r="R586" s="341"/>
      <c r="S586" s="341"/>
    </row>
    <row r="587" spans="1:25" ht="30" customHeight="1">
      <c r="A587" s="370" t="str">
        <f>IV.A!$A$33</f>
        <v>2.2.1</v>
      </c>
      <c r="B587" s="371" t="str">
        <f>IV.A!$B$33</f>
        <v>CARGA MANUAL DE MATERIAIS PROVENIENTES DE DEMOLIÇÕES EM GERAL</v>
      </c>
      <c r="C587" s="871" t="s">
        <v>237</v>
      </c>
      <c r="D587" s="872"/>
      <c r="E587" s="372" t="str">
        <f>IV.A!$C$33</f>
        <v>M3</v>
      </c>
      <c r="F587" s="11">
        <f>ROUND(F607+F621+F633,2)</f>
        <v>0</v>
      </c>
      <c r="G587" s="1">
        <f>VLOOKUP(A587,IV.A!$A$16:$L$172,4,FALSE)</f>
        <v>50</v>
      </c>
      <c r="H587" s="361">
        <f>SUM(F589:F604)+F606</f>
        <v>0</v>
      </c>
      <c r="I587" s="361">
        <f>SUM(F609:F618)+F620</f>
        <v>0</v>
      </c>
      <c r="J587" s="361">
        <f>SUM(F623:F629)+F631+F632</f>
        <v>0</v>
      </c>
      <c r="K587" s="361">
        <f>SUM(H587:J587)</f>
        <v>0</v>
      </c>
      <c r="L587" s="362" t="str">
        <f>IF(K587=F587,"SIM","NÃO")</f>
        <v>SIM</v>
      </c>
      <c r="M587" s="373">
        <f>ROUND(SUM(F589:F604),2)+ROUND(SUM(F589:F604)*C606,2)+ROUND(SUM(F609:F618)*C620,2)+ROUND(SUM(F609:F618),2)+ROUND(SUM(F623:F629)*C631,2)+ROUND((SUM(F623:F629)+ROUND(SUM(F623:F629)*C631,2))*C632,2)+ROUND(SUM(F623:F629),2)</f>
        <v>0</v>
      </c>
      <c r="N587" s="343" t="str">
        <f>IF(M587=F587,"SIM","NÃO")</f>
        <v>SIM</v>
      </c>
      <c r="O587" s="364" t="str">
        <f>VLOOKUP(A587,IV.A!$A$16:$E$172,3,FALSE)</f>
        <v>M3</v>
      </c>
      <c r="P587" s="344" t="str">
        <f>IF(O587=E587,"SIM","NÃO")</f>
        <v>SIM</v>
      </c>
      <c r="Q587" s="365">
        <f>ROUND(G587*F607,2)+ROUND(G587*F621,2)+ROUND(G587*F633,2)</f>
        <v>0</v>
      </c>
      <c r="R587" s="364">
        <f>VLOOKUP(A587,IV.A!$A$16:$L$172,12,FALSE)</f>
        <v>0</v>
      </c>
      <c r="S587" s="366" t="str">
        <f>IF(Q587=R587,"si","no")</f>
        <v>si</v>
      </c>
      <c r="T587" s="367">
        <f>SUM(L589:L604)+SUM(L609:L618)+SUM(L623:L629)</f>
        <v>47.5</v>
      </c>
      <c r="U587" s="341">
        <f>(SUM(C589:C604)+SUM(C609:C618)+SUM(C623:C629))*G587</f>
        <v>47.5</v>
      </c>
      <c r="V587" s="368" t="str">
        <f>IF(T587=U587,"si","no")</f>
        <v>si</v>
      </c>
      <c r="W587" s="369">
        <f>SUM(F589:F604)</f>
        <v>0</v>
      </c>
      <c r="X587" s="369">
        <f>SUM(F609:F618)</f>
        <v>0</v>
      </c>
      <c r="Y587" s="369">
        <f>SUM(F623:F629)</f>
        <v>0</v>
      </c>
    </row>
    <row r="588" spans="1:25" ht="12.75" customHeight="1">
      <c r="A588" s="374" t="s">
        <v>14</v>
      </c>
      <c r="B588" s="375" t="s">
        <v>132</v>
      </c>
      <c r="C588" s="376" t="s">
        <v>231</v>
      </c>
      <c r="D588" s="376" t="s">
        <v>232</v>
      </c>
      <c r="E588" s="377" t="s">
        <v>233</v>
      </c>
      <c r="F588" s="378" t="s">
        <v>234</v>
      </c>
      <c r="G588" s="379"/>
      <c r="J588" s="341"/>
      <c r="L588" s="380"/>
      <c r="M588" s="381"/>
      <c r="N588" s="342"/>
      <c r="O588" s="382"/>
      <c r="P588" s="383"/>
      <c r="Q588" s="383"/>
      <c r="R588" s="383"/>
      <c r="S588" s="383"/>
      <c r="T588" s="382"/>
      <c r="U588" s="341"/>
      <c r="V588" s="384"/>
      <c r="W588" s="384"/>
      <c r="X588" s="384"/>
      <c r="Y588" s="384"/>
    </row>
    <row r="589" spans="1:25" ht="12.75" customHeight="1">
      <c r="A589" s="385"/>
      <c r="B589" s="386"/>
      <c r="C589" s="20"/>
      <c r="D589" s="342"/>
      <c r="E589" s="387"/>
      <c r="F589" s="388">
        <f>ROUND(C589*E589,2)</f>
        <v>0</v>
      </c>
      <c r="H589" s="341" t="str">
        <f>IF(A589="","",VLOOKUP(A589,VII.A!$A$10:$D$199,4,FALSE))</f>
        <v/>
      </c>
      <c r="I589" s="341" t="str">
        <f t="shared" ref="I589:I604" si="161">IF(A589="","",IF(E589=H589,"SIM","NÃO"))</f>
        <v/>
      </c>
      <c r="J589" s="341" t="str">
        <f>IF(A589="","",VLOOKUP(A589,VII.A!$A$10:$D$199,3,FALSE))</f>
        <v/>
      </c>
      <c r="K589" s="342" t="str">
        <f t="shared" ref="K589:K604" si="162">IF(A589="","",IF(J589=D589,"SIM","NÃO"))</f>
        <v/>
      </c>
      <c r="L589" s="380" t="str">
        <f>IF(C589="","",G587*C589)</f>
        <v/>
      </c>
      <c r="M589" s="381" t="str">
        <f>IF(A589="","",VLOOKUP(A589,VII.A!$A$10:$B$199,2,FALSE))</f>
        <v/>
      </c>
      <c r="N589" s="342" t="str">
        <f t="shared" ref="N589:N604" si="163">IF(B589="","",IF(M589=B589,"si","no"))</f>
        <v/>
      </c>
      <c r="R589" s="341"/>
      <c r="S589" s="341"/>
    </row>
    <row r="590" spans="1:25" ht="12.75" customHeight="1">
      <c r="A590" s="385"/>
      <c r="B590" s="386"/>
      <c r="C590" s="20"/>
      <c r="D590" s="342"/>
      <c r="E590" s="387"/>
      <c r="F590" s="388">
        <f t="shared" ref="F590:F604" si="164">ROUND(C590*E590,2)</f>
        <v>0</v>
      </c>
      <c r="H590" s="341" t="str">
        <f>IF(A590="","",VLOOKUP(A590,VII.A!$A$10:$D$199,4,FALSE))</f>
        <v/>
      </c>
      <c r="I590" s="341" t="str">
        <f t="shared" si="161"/>
        <v/>
      </c>
      <c r="J590" s="341" t="str">
        <f>IF(A590="","",VLOOKUP(A590,VII.A!$A$10:$D$199,3,FALSE))</f>
        <v/>
      </c>
      <c r="K590" s="342" t="str">
        <f t="shared" si="162"/>
        <v/>
      </c>
      <c r="L590" s="380" t="str">
        <f>IF(C590="","",G587*C590)</f>
        <v/>
      </c>
      <c r="M590" s="381" t="str">
        <f>IF(A590="","",VLOOKUP(A590,VII.A!$A$10:$B$199,2,FALSE))</f>
        <v/>
      </c>
      <c r="N590" s="342" t="str">
        <f t="shared" si="163"/>
        <v/>
      </c>
      <c r="R590" s="341"/>
      <c r="S590" s="341"/>
    </row>
    <row r="591" spans="1:25" ht="12.75" customHeight="1">
      <c r="A591" s="385"/>
      <c r="B591" s="386"/>
      <c r="C591" s="20"/>
      <c r="D591" s="342"/>
      <c r="E591" s="387"/>
      <c r="F591" s="388">
        <f t="shared" si="164"/>
        <v>0</v>
      </c>
      <c r="H591" s="341" t="str">
        <f>IF(A591="","",VLOOKUP(A591,VII.A!$A$10:$D$199,4,FALSE))</f>
        <v/>
      </c>
      <c r="I591" s="341" t="str">
        <f t="shared" si="161"/>
        <v/>
      </c>
      <c r="J591" s="341" t="str">
        <f>IF(A591="","",VLOOKUP(A591,VII.A!$A$10:$D$199,3,FALSE))</f>
        <v/>
      </c>
      <c r="K591" s="342" t="str">
        <f t="shared" si="162"/>
        <v/>
      </c>
      <c r="L591" s="380" t="str">
        <f>IF(C591="","",G587*C591)</f>
        <v/>
      </c>
      <c r="M591" s="381" t="str">
        <f>IF(A591="","",VLOOKUP(A591,VII.A!$A$10:$B$199,2,FALSE))</f>
        <v/>
      </c>
      <c r="N591" s="342" t="str">
        <f t="shared" si="163"/>
        <v/>
      </c>
      <c r="R591" s="341"/>
      <c r="S591" s="341"/>
    </row>
    <row r="592" spans="1:25" ht="12.75" customHeight="1">
      <c r="A592" s="385"/>
      <c r="B592" s="386"/>
      <c r="C592" s="20"/>
      <c r="D592" s="342"/>
      <c r="E592" s="387"/>
      <c r="F592" s="388">
        <f t="shared" si="164"/>
        <v>0</v>
      </c>
      <c r="H592" s="341" t="str">
        <f>IF(A592="","",VLOOKUP(A592,VII.A!$A$10:$D$199,4,FALSE))</f>
        <v/>
      </c>
      <c r="I592" s="341" t="str">
        <f t="shared" si="161"/>
        <v/>
      </c>
      <c r="J592" s="341" t="str">
        <f>IF(A592="","",VLOOKUP(A592,VII.A!$A$10:$D$199,3,FALSE))</f>
        <v/>
      </c>
      <c r="K592" s="342" t="str">
        <f t="shared" si="162"/>
        <v/>
      </c>
      <c r="L592" s="380" t="str">
        <f>IF(C592="","",G587*C592)</f>
        <v/>
      </c>
      <c r="M592" s="381" t="str">
        <f>IF(A592="","",VLOOKUP(A592,VII.A!$A$10:$B$199,2,FALSE))</f>
        <v/>
      </c>
      <c r="N592" s="342" t="str">
        <f t="shared" si="163"/>
        <v/>
      </c>
      <c r="R592" s="341"/>
      <c r="S592" s="341"/>
    </row>
    <row r="593" spans="1:21" ht="12.75" customHeight="1">
      <c r="A593" s="385"/>
      <c r="B593" s="386"/>
      <c r="C593" s="20"/>
      <c r="D593" s="342"/>
      <c r="E593" s="387"/>
      <c r="F593" s="388">
        <f t="shared" si="164"/>
        <v>0</v>
      </c>
      <c r="H593" s="341" t="str">
        <f>IF(A593="","",VLOOKUP(A593,VII.A!$A$10:$D$199,4,FALSE))</f>
        <v/>
      </c>
      <c r="I593" s="341" t="str">
        <f t="shared" si="161"/>
        <v/>
      </c>
      <c r="J593" s="341" t="str">
        <f>IF(A593="","",VLOOKUP(A593,VII.A!$A$10:$D$199,3,FALSE))</f>
        <v/>
      </c>
      <c r="K593" s="342" t="str">
        <f t="shared" si="162"/>
        <v/>
      </c>
      <c r="L593" s="380" t="str">
        <f>IF(C593="","",G587*C593)</f>
        <v/>
      </c>
      <c r="M593" s="381" t="str">
        <f>IF(A593="","",VLOOKUP(A593,VII.A!$A$10:$B$199,2,FALSE))</f>
        <v/>
      </c>
      <c r="N593" s="342" t="str">
        <f t="shared" si="163"/>
        <v/>
      </c>
      <c r="R593" s="341"/>
      <c r="S593" s="341"/>
    </row>
    <row r="594" spans="1:21" ht="12.75" customHeight="1">
      <c r="A594" s="385"/>
      <c r="B594" s="386"/>
      <c r="C594" s="20"/>
      <c r="D594" s="342"/>
      <c r="E594" s="387"/>
      <c r="F594" s="388">
        <f t="shared" si="164"/>
        <v>0</v>
      </c>
      <c r="H594" s="341" t="str">
        <f>IF(A594="","",VLOOKUP(A594,VII.A!$A$10:$D$199,4,FALSE))</f>
        <v/>
      </c>
      <c r="I594" s="341" t="str">
        <f t="shared" si="161"/>
        <v/>
      </c>
      <c r="J594" s="341" t="str">
        <f>IF(A594="","",VLOOKUP(A594,VII.A!$A$10:$D$199,3,FALSE))</f>
        <v/>
      </c>
      <c r="K594" s="342" t="str">
        <f t="shared" si="162"/>
        <v/>
      </c>
      <c r="L594" s="380" t="str">
        <f>IF(C594="","",G587*C594)</f>
        <v/>
      </c>
      <c r="M594" s="381" t="str">
        <f>IF(A594="","",VLOOKUP(A594,VII.A!$A$10:$B$199,2,FALSE))</f>
        <v/>
      </c>
      <c r="N594" s="342" t="str">
        <f t="shared" si="163"/>
        <v/>
      </c>
      <c r="R594" s="341"/>
      <c r="S594" s="341"/>
      <c r="U594" s="389"/>
    </row>
    <row r="595" spans="1:21" ht="12.75" customHeight="1">
      <c r="A595" s="385"/>
      <c r="B595" s="386"/>
      <c r="C595" s="20"/>
      <c r="D595" s="342"/>
      <c r="E595" s="387"/>
      <c r="F595" s="388">
        <f t="shared" si="164"/>
        <v>0</v>
      </c>
      <c r="H595" s="341" t="str">
        <f>IF(A595="","",VLOOKUP(A595,VII.A!$A$10:$D$199,4,FALSE))</f>
        <v/>
      </c>
      <c r="I595" s="341" t="str">
        <f t="shared" si="161"/>
        <v/>
      </c>
      <c r="J595" s="341" t="str">
        <f>IF(A595="","",VLOOKUP(A595,VII.A!$A$10:$D$199,3,FALSE))</f>
        <v/>
      </c>
      <c r="K595" s="342" t="str">
        <f t="shared" si="162"/>
        <v/>
      </c>
      <c r="L595" s="380" t="str">
        <f>IF(C595="","",G587*C595)</f>
        <v/>
      </c>
      <c r="M595" s="381" t="str">
        <f>IF(A595="","",VLOOKUP(A595,VII.A!$A$10:$B$199,2,FALSE))</f>
        <v/>
      </c>
      <c r="N595" s="342" t="str">
        <f t="shared" si="163"/>
        <v/>
      </c>
      <c r="R595" s="341"/>
      <c r="S595" s="341"/>
    </row>
    <row r="596" spans="1:21" ht="12.75" customHeight="1">
      <c r="A596" s="385"/>
      <c r="B596" s="386"/>
      <c r="C596" s="20"/>
      <c r="D596" s="342"/>
      <c r="E596" s="387"/>
      <c r="F596" s="388">
        <f t="shared" si="164"/>
        <v>0</v>
      </c>
      <c r="G596" s="390"/>
      <c r="H596" s="341" t="str">
        <f>IF(A596="","",VLOOKUP(A596,VII.A!$A$10:$D$199,4,FALSE))</f>
        <v/>
      </c>
      <c r="I596" s="341" t="str">
        <f t="shared" si="161"/>
        <v/>
      </c>
      <c r="J596" s="341" t="str">
        <f>IF(A596="","",VLOOKUP(A596,VII.A!$A$10:$D$199,3,FALSE))</f>
        <v/>
      </c>
      <c r="K596" s="342" t="str">
        <f t="shared" si="162"/>
        <v/>
      </c>
      <c r="L596" s="380" t="str">
        <f>IF(C596="","",G587*C596)</f>
        <v/>
      </c>
      <c r="M596" s="381" t="str">
        <f>IF(A596="","",VLOOKUP(A596,VII.A!$A$10:$B$199,2,FALSE))</f>
        <v/>
      </c>
      <c r="N596" s="342" t="str">
        <f t="shared" si="163"/>
        <v/>
      </c>
      <c r="R596" s="341"/>
      <c r="S596" s="341"/>
    </row>
    <row r="597" spans="1:21" ht="12.75" customHeight="1">
      <c r="A597" s="385"/>
      <c r="B597" s="386"/>
      <c r="C597" s="20"/>
      <c r="D597" s="342"/>
      <c r="E597" s="387"/>
      <c r="F597" s="388">
        <f t="shared" si="164"/>
        <v>0</v>
      </c>
      <c r="G597" s="390"/>
      <c r="H597" s="341" t="str">
        <f>IF(A597="","",VLOOKUP(A597,VII.A!$A$10:$D$199,4,FALSE))</f>
        <v/>
      </c>
      <c r="I597" s="341" t="str">
        <f t="shared" si="161"/>
        <v/>
      </c>
      <c r="J597" s="341" t="str">
        <f>IF(A597="","",VLOOKUP(A597,VII.A!$A$10:$D$199,3,FALSE))</f>
        <v/>
      </c>
      <c r="K597" s="342" t="str">
        <f t="shared" si="162"/>
        <v/>
      </c>
      <c r="L597" s="380" t="str">
        <f>IF(C597="","",G587*C597)</f>
        <v/>
      </c>
      <c r="M597" s="381" t="str">
        <f>IF(A597="","",VLOOKUP(A597,VII.A!$A$10:$B$199,2,FALSE))</f>
        <v/>
      </c>
      <c r="N597" s="342" t="str">
        <f t="shared" si="163"/>
        <v/>
      </c>
      <c r="R597" s="341"/>
      <c r="S597" s="341"/>
    </row>
    <row r="598" spans="1:21" ht="12.75" customHeight="1">
      <c r="A598" s="385"/>
      <c r="B598" s="386"/>
      <c r="C598" s="20"/>
      <c r="D598" s="342"/>
      <c r="E598" s="387"/>
      <c r="F598" s="388">
        <f t="shared" si="164"/>
        <v>0</v>
      </c>
      <c r="G598" s="391"/>
      <c r="H598" s="341" t="str">
        <f>IF(A598="","",VLOOKUP(A598,VII.A!$A$10:$D$199,4,FALSE))</f>
        <v/>
      </c>
      <c r="I598" s="341" t="str">
        <f t="shared" si="161"/>
        <v/>
      </c>
      <c r="J598" s="341" t="str">
        <f>IF(A598="","",VLOOKUP(A598,VII.A!$A$10:$D$199,3,FALSE))</f>
        <v/>
      </c>
      <c r="K598" s="342" t="str">
        <f t="shared" si="162"/>
        <v/>
      </c>
      <c r="L598" s="380" t="str">
        <f>IF(C598="","",G587*C598)</f>
        <v/>
      </c>
      <c r="M598" s="381" t="str">
        <f>IF(A598="","",VLOOKUP(A598,VII.A!$A$10:$B$199,2,FALSE))</f>
        <v/>
      </c>
      <c r="N598" s="342" t="str">
        <f t="shared" si="163"/>
        <v/>
      </c>
      <c r="R598" s="341"/>
      <c r="S598" s="341"/>
    </row>
    <row r="599" spans="1:21" ht="12.75" customHeight="1">
      <c r="A599" s="385"/>
      <c r="B599" s="386"/>
      <c r="C599" s="20"/>
      <c r="D599" s="342"/>
      <c r="E599" s="387"/>
      <c r="F599" s="388">
        <f t="shared" si="164"/>
        <v>0</v>
      </c>
      <c r="H599" s="341" t="str">
        <f>IF(A599="","",VLOOKUP(A599,VII.A!$A$10:$D$199,4,FALSE))</f>
        <v/>
      </c>
      <c r="I599" s="341" t="str">
        <f t="shared" si="161"/>
        <v/>
      </c>
      <c r="J599" s="341" t="str">
        <f>IF(A599="","",VLOOKUP(A599,VII.A!$A$10:$D$199,3,FALSE))</f>
        <v/>
      </c>
      <c r="K599" s="342" t="str">
        <f t="shared" si="162"/>
        <v/>
      </c>
      <c r="L599" s="380" t="str">
        <f>IF(C599="","",G587*C599)</f>
        <v/>
      </c>
      <c r="M599" s="381" t="str">
        <f>IF(A599="","",VLOOKUP(A599,VII.A!$A$10:$B$199,2,FALSE))</f>
        <v/>
      </c>
      <c r="N599" s="342" t="str">
        <f t="shared" si="163"/>
        <v/>
      </c>
      <c r="R599" s="341"/>
      <c r="S599" s="341"/>
    </row>
    <row r="600" spans="1:21" ht="12.75" customHeight="1">
      <c r="A600" s="385"/>
      <c r="B600" s="386"/>
      <c r="C600" s="20"/>
      <c r="D600" s="392"/>
      <c r="E600" s="387"/>
      <c r="F600" s="388">
        <f t="shared" si="164"/>
        <v>0</v>
      </c>
      <c r="H600" s="341" t="str">
        <f>IF(A600="","",VLOOKUP(A600,VII.A!$A$10:$D$199,4,FALSE))</f>
        <v/>
      </c>
      <c r="I600" s="341" t="str">
        <f t="shared" si="161"/>
        <v/>
      </c>
      <c r="J600" s="341" t="str">
        <f>IF(A600="","",VLOOKUP(A600,VII.A!$A$10:$D$199,3,FALSE))</f>
        <v/>
      </c>
      <c r="K600" s="342" t="str">
        <f t="shared" si="162"/>
        <v/>
      </c>
      <c r="L600" s="380" t="str">
        <f>IF(C600="","",G587*C600)</f>
        <v/>
      </c>
      <c r="M600" s="381" t="str">
        <f>IF(A600="","",VLOOKUP(A600,VII.A!$A$10:$B$199,2,FALSE))</f>
        <v/>
      </c>
      <c r="N600" s="342" t="str">
        <f t="shared" si="163"/>
        <v/>
      </c>
      <c r="R600" s="341"/>
      <c r="S600" s="341"/>
    </row>
    <row r="601" spans="1:21" ht="12.75" customHeight="1">
      <c r="A601" s="385"/>
      <c r="B601" s="386"/>
      <c r="C601" s="20"/>
      <c r="D601" s="392"/>
      <c r="E601" s="387"/>
      <c r="F601" s="388">
        <f t="shared" si="164"/>
        <v>0</v>
      </c>
      <c r="H601" s="341" t="str">
        <f>IF(A601="","",VLOOKUP(A601,VII.A!$A$10:$D$199,4,FALSE))</f>
        <v/>
      </c>
      <c r="I601" s="341" t="str">
        <f t="shared" si="161"/>
        <v/>
      </c>
      <c r="J601" s="341" t="str">
        <f>IF(A601="","",VLOOKUP(A601,VII.A!$A$10:$D$199,3,FALSE))</f>
        <v/>
      </c>
      <c r="K601" s="342" t="str">
        <f t="shared" si="162"/>
        <v/>
      </c>
      <c r="L601" s="380" t="str">
        <f>IF(C601="","",G587*C601)</f>
        <v/>
      </c>
      <c r="M601" s="381" t="str">
        <f>IF(A601="","",VLOOKUP(A601,VII.A!$A$10:$B$199,2,FALSE))</f>
        <v/>
      </c>
      <c r="N601" s="342" t="str">
        <f t="shared" si="163"/>
        <v/>
      </c>
      <c r="O601" s="342"/>
      <c r="R601" s="341"/>
      <c r="S601" s="341"/>
    </row>
    <row r="602" spans="1:21" ht="12.75" customHeight="1">
      <c r="A602" s="385"/>
      <c r="B602" s="386"/>
      <c r="C602" s="20"/>
      <c r="D602" s="392"/>
      <c r="E602" s="387"/>
      <c r="F602" s="388">
        <f t="shared" si="164"/>
        <v>0</v>
      </c>
      <c r="H602" s="341" t="str">
        <f>IF(A602="","",VLOOKUP(A602,VII.A!$A$10:$D$199,4,FALSE))</f>
        <v/>
      </c>
      <c r="I602" s="341" t="str">
        <f t="shared" si="161"/>
        <v/>
      </c>
      <c r="J602" s="341" t="str">
        <f>IF(A602="","",VLOOKUP(A602,VII.A!$A$10:$D$199,3,FALSE))</f>
        <v/>
      </c>
      <c r="K602" s="342" t="str">
        <f t="shared" si="162"/>
        <v/>
      </c>
      <c r="L602" s="380" t="str">
        <f>IF(C602="","",G587*C602)</f>
        <v/>
      </c>
      <c r="M602" s="381" t="str">
        <f>IF(A602="","",VLOOKUP(A602,VII.A!$A$10:$B$199,2,FALSE))</f>
        <v/>
      </c>
      <c r="N602" s="342" t="str">
        <f t="shared" si="163"/>
        <v/>
      </c>
      <c r="R602" s="341"/>
      <c r="S602" s="341"/>
    </row>
    <row r="603" spans="1:21" ht="12.75" customHeight="1">
      <c r="A603" s="393"/>
      <c r="C603" s="20"/>
      <c r="E603" s="387"/>
      <c r="F603" s="388">
        <f t="shared" si="164"/>
        <v>0</v>
      </c>
      <c r="H603" s="341" t="str">
        <f>IF(A603="","",VLOOKUP(A603,VII.A!$A$10:$D$199,4,FALSE))</f>
        <v/>
      </c>
      <c r="I603" s="341" t="str">
        <f t="shared" si="161"/>
        <v/>
      </c>
      <c r="J603" s="341" t="str">
        <f>IF(A603="","",VLOOKUP(A603,VII.A!$A$10:$D$199,3,FALSE))</f>
        <v/>
      </c>
      <c r="K603" s="342" t="str">
        <f t="shared" si="162"/>
        <v/>
      </c>
      <c r="L603" s="380" t="str">
        <f>IF(C603="","",G587*C603)</f>
        <v/>
      </c>
      <c r="M603" s="381" t="str">
        <f>IF(A603="","",VLOOKUP(A603,VII.A!$A$10:$B$199,2,FALSE))</f>
        <v/>
      </c>
      <c r="N603" s="342" t="str">
        <f t="shared" si="163"/>
        <v/>
      </c>
      <c r="R603" s="341"/>
      <c r="S603" s="341"/>
    </row>
    <row r="604" spans="1:21" ht="12.75" customHeight="1">
      <c r="A604" s="393"/>
      <c r="C604" s="20"/>
      <c r="E604" s="387"/>
      <c r="F604" s="388">
        <f t="shared" si="164"/>
        <v>0</v>
      </c>
      <c r="H604" s="341" t="str">
        <f>IF(A604="","",VLOOKUP(A604,VII.A!$A$10:$D$199,4,FALSE))</f>
        <v/>
      </c>
      <c r="I604" s="341" t="str">
        <f t="shared" si="161"/>
        <v/>
      </c>
      <c r="J604" s="341" t="str">
        <f>IF(A604="","",VLOOKUP(A604,VII.A!$A$10:$D$199,3,FALSE))</f>
        <v/>
      </c>
      <c r="K604" s="342" t="str">
        <f t="shared" si="162"/>
        <v/>
      </c>
      <c r="L604" s="380" t="str">
        <f>IF(C604="","",G587*C604)</f>
        <v/>
      </c>
      <c r="M604" s="381" t="str">
        <f>IF(A604="","",VLOOKUP(A604,VII.A!$A$10:$B$199,2,FALSE))</f>
        <v/>
      </c>
      <c r="N604" s="342" t="str">
        <f t="shared" si="163"/>
        <v/>
      </c>
      <c r="R604" s="341"/>
      <c r="S604" s="341"/>
    </row>
    <row r="605" spans="1:21" ht="12.75" customHeight="1">
      <c r="A605" s="393"/>
      <c r="B605" s="395" t="s">
        <v>226</v>
      </c>
      <c r="C605" s="396"/>
      <c r="D605" s="397"/>
      <c r="E605" s="398"/>
      <c r="F605" s="399">
        <f>SUM(F589:F604)</f>
        <v>0</v>
      </c>
      <c r="H605" s="425" t="s">
        <v>395</v>
      </c>
      <c r="I605" s="425"/>
      <c r="J605" s="425"/>
      <c r="K605" s="425"/>
      <c r="L605" s="380"/>
      <c r="M605" s="381"/>
      <c r="N605" s="342"/>
      <c r="R605" s="341"/>
      <c r="S605" s="341"/>
    </row>
    <row r="606" spans="1:21" ht="12.75" customHeight="1">
      <c r="A606" s="393"/>
      <c r="B606" s="400" t="s">
        <v>53</v>
      </c>
      <c r="C606" s="2">
        <f>$D$8</f>
        <v>0</v>
      </c>
      <c r="D606" s="401"/>
      <c r="E606" s="402"/>
      <c r="F606" s="403">
        <f>ROUND(F605*C606,2)</f>
        <v>0</v>
      </c>
      <c r="J606" s="341"/>
      <c r="L606" s="380"/>
      <c r="M606" s="381"/>
      <c r="N606" s="342"/>
      <c r="R606" s="341"/>
      <c r="S606" s="341"/>
    </row>
    <row r="607" spans="1:21" ht="12.75" customHeight="1">
      <c r="A607" s="404"/>
      <c r="B607" s="405" t="s">
        <v>227</v>
      </c>
      <c r="C607" s="406"/>
      <c r="D607" s="406"/>
      <c r="E607" s="407"/>
      <c r="F607" s="408">
        <f>F605+F606</f>
        <v>0</v>
      </c>
      <c r="J607" s="341"/>
      <c r="L607" s="380"/>
      <c r="M607" s="381"/>
      <c r="N607" s="342"/>
      <c r="R607" s="341"/>
      <c r="S607" s="341"/>
    </row>
    <row r="608" spans="1:21" ht="12.75" customHeight="1">
      <c r="A608" s="374" t="s">
        <v>2</v>
      </c>
      <c r="B608" s="375" t="s">
        <v>235</v>
      </c>
      <c r="C608" s="376" t="s">
        <v>231</v>
      </c>
      <c r="D608" s="376" t="s">
        <v>232</v>
      </c>
      <c r="E608" s="377" t="s">
        <v>233</v>
      </c>
      <c r="F608" s="378" t="s">
        <v>234</v>
      </c>
      <c r="J608" s="341"/>
      <c r="L608" s="380"/>
      <c r="M608" s="381"/>
      <c r="N608" s="342"/>
      <c r="R608" s="341"/>
      <c r="S608" s="341"/>
    </row>
    <row r="609" spans="1:19" ht="12.75" customHeight="1">
      <c r="A609" s="393" t="str">
        <f>VII.A!$A$151</f>
        <v>2.9</v>
      </c>
      <c r="B609" s="394" t="str">
        <f>VLOOKUP(A609,VII.A!$A$10:$G$199,2,FALSE)</f>
        <v>CAMINHÃO BASCULANTE, INCLUINDO CACAMBA METÁLICA DE 6 M3 - CHI</v>
      </c>
      <c r="C609" s="20">
        <v>0.25</v>
      </c>
      <c r="D609" s="384" t="str">
        <f>VLOOKUP(A609,VII.A!$A$10:$G$199,3,FALSE)</f>
        <v>CHI</v>
      </c>
      <c r="E609" s="387">
        <f>VII.A!$D$151</f>
        <v>0</v>
      </c>
      <c r="F609" s="388">
        <f t="shared" ref="F609:F618" si="165">ROUND(C609*E609,2)</f>
        <v>0</v>
      </c>
      <c r="H609" s="341">
        <f>IF(A609="","",VLOOKUP(A609,VII.A!$A$10:$D$199,4,FALSE))</f>
        <v>0</v>
      </c>
      <c r="I609" s="341" t="str">
        <f t="shared" ref="I609:I618" si="166">IF(A609="","",IF(E609=H609,"SIM","NÃO"))</f>
        <v>SIM</v>
      </c>
      <c r="J609" s="341" t="str">
        <f>IF(A609="","",VLOOKUP(A609,VII.A!$A$10:$D$199,3,FALSE))</f>
        <v>CHI</v>
      </c>
      <c r="K609" s="342" t="str">
        <f t="shared" ref="K609:K618" si="167">IF(A609="","",IF(J609=D609,"SIM","NÃO"))</f>
        <v>SIM</v>
      </c>
      <c r="L609" s="380">
        <f>IF(C609="","",G587*C609)</f>
        <v>12.5</v>
      </c>
      <c r="M609" s="381" t="str">
        <f>IF(A609="","",VLOOKUP(A609,VII.A!$A$10:$B$199,2,FALSE))</f>
        <v>CAMINHÃO BASCULANTE, INCLUINDO CACAMBA METÁLICA DE 6 M3 - CHI</v>
      </c>
      <c r="N609" s="342" t="str">
        <f t="shared" ref="N609:N618" si="168">IF(B609="","",IF(M609=B609,"si","no"))</f>
        <v>si</v>
      </c>
      <c r="R609" s="341"/>
      <c r="S609" s="341"/>
    </row>
    <row r="610" spans="1:19" ht="12.75" customHeight="1">
      <c r="A610" s="393"/>
      <c r="C610" s="20"/>
      <c r="E610" s="387"/>
      <c r="F610" s="388">
        <f t="shared" si="165"/>
        <v>0</v>
      </c>
      <c r="H610" s="341" t="str">
        <f>IF(A610="","",VLOOKUP(A610,VII.A!$A$10:$D$199,4,FALSE))</f>
        <v/>
      </c>
      <c r="I610" s="341" t="str">
        <f t="shared" si="166"/>
        <v/>
      </c>
      <c r="J610" s="341" t="str">
        <f>IF(A610="","",VLOOKUP(A610,VII.A!$A$10:$D$199,3,FALSE))</f>
        <v/>
      </c>
      <c r="K610" s="342" t="str">
        <f t="shared" si="167"/>
        <v/>
      </c>
      <c r="L610" s="380" t="str">
        <f>IF(C610="","",G587*C610)</f>
        <v/>
      </c>
      <c r="M610" s="381" t="str">
        <f>IF(A610="","",VLOOKUP(A610,VII.A!$A$10:$B$199,2,FALSE))</f>
        <v/>
      </c>
      <c r="N610" s="342" t="str">
        <f t="shared" si="168"/>
        <v/>
      </c>
      <c r="R610" s="341"/>
      <c r="S610" s="341"/>
    </row>
    <row r="611" spans="1:19" ht="12.75" customHeight="1">
      <c r="A611" s="393"/>
      <c r="C611" s="20"/>
      <c r="E611" s="387"/>
      <c r="F611" s="388">
        <f t="shared" si="165"/>
        <v>0</v>
      </c>
      <c r="H611" s="341" t="str">
        <f>IF(A611="","",VLOOKUP(A611,VII.A!$A$10:$D$199,4,FALSE))</f>
        <v/>
      </c>
      <c r="I611" s="341" t="str">
        <f t="shared" si="166"/>
        <v/>
      </c>
      <c r="J611" s="341" t="str">
        <f>IF(A611="","",VLOOKUP(A611,VII.A!$A$10:$D$199,3,FALSE))</f>
        <v/>
      </c>
      <c r="K611" s="342" t="str">
        <f t="shared" si="167"/>
        <v/>
      </c>
      <c r="L611" s="380" t="str">
        <f>IF(C611="","",G587*C611)</f>
        <v/>
      </c>
      <c r="M611" s="381" t="str">
        <f>IF(A611="","",VLOOKUP(A611,VII.A!$A$10:$B$199,2,FALSE))</f>
        <v/>
      </c>
      <c r="N611" s="342" t="str">
        <f t="shared" si="168"/>
        <v/>
      </c>
      <c r="R611" s="341"/>
      <c r="S611" s="341"/>
    </row>
    <row r="612" spans="1:19" ht="12.75" customHeight="1">
      <c r="A612" s="393"/>
      <c r="C612" s="20"/>
      <c r="E612" s="387"/>
      <c r="F612" s="388">
        <f t="shared" si="165"/>
        <v>0</v>
      </c>
      <c r="H612" s="341" t="str">
        <f>IF(A612="","",VLOOKUP(A612,VII.A!$A$10:$D$199,4,FALSE))</f>
        <v/>
      </c>
      <c r="I612" s="341" t="str">
        <f t="shared" si="166"/>
        <v/>
      </c>
      <c r="J612" s="341" t="str">
        <f>IF(A612="","",VLOOKUP(A612,VII.A!$A$10:$D$199,3,FALSE))</f>
        <v/>
      </c>
      <c r="K612" s="342" t="str">
        <f t="shared" si="167"/>
        <v/>
      </c>
      <c r="L612" s="380" t="str">
        <f>IF(C612="","",G587*C612)</f>
        <v/>
      </c>
      <c r="M612" s="381" t="str">
        <f>IF(A612="","",VLOOKUP(A612,VII.A!$A$10:$B$199,2,FALSE))</f>
        <v/>
      </c>
      <c r="N612" s="342" t="str">
        <f t="shared" si="168"/>
        <v/>
      </c>
      <c r="R612" s="341"/>
      <c r="S612" s="341"/>
    </row>
    <row r="613" spans="1:19" ht="12.75" customHeight="1">
      <c r="A613" s="393"/>
      <c r="C613" s="20"/>
      <c r="E613" s="387"/>
      <c r="F613" s="388">
        <f t="shared" si="165"/>
        <v>0</v>
      </c>
      <c r="G613" s="390"/>
      <c r="H613" s="341" t="str">
        <f>IF(A613="","",VLOOKUP(A613,VII.A!$A$10:$D$199,4,FALSE))</f>
        <v/>
      </c>
      <c r="I613" s="341" t="str">
        <f t="shared" si="166"/>
        <v/>
      </c>
      <c r="J613" s="341" t="str">
        <f>IF(A613="","",VLOOKUP(A613,VII.A!$A$10:$D$199,3,FALSE))</f>
        <v/>
      </c>
      <c r="K613" s="342" t="str">
        <f t="shared" si="167"/>
        <v/>
      </c>
      <c r="L613" s="380" t="str">
        <f>IF(C613="","",G587*C613)</f>
        <v/>
      </c>
      <c r="M613" s="381" t="str">
        <f>IF(A613="","",VLOOKUP(A613,VII.A!$A$10:$B$199,2,FALSE))</f>
        <v/>
      </c>
      <c r="N613" s="342" t="str">
        <f t="shared" si="168"/>
        <v/>
      </c>
      <c r="R613" s="341"/>
      <c r="S613" s="341"/>
    </row>
    <row r="614" spans="1:19" ht="12.75" customHeight="1">
      <c r="A614" s="393"/>
      <c r="C614" s="20"/>
      <c r="E614" s="387"/>
      <c r="F614" s="388">
        <f t="shared" si="165"/>
        <v>0</v>
      </c>
      <c r="G614" s="391"/>
      <c r="H614" s="341" t="str">
        <f>IF(A614="","",VLOOKUP(A614,VII.A!$A$10:$D$199,4,FALSE))</f>
        <v/>
      </c>
      <c r="I614" s="341" t="str">
        <f t="shared" si="166"/>
        <v/>
      </c>
      <c r="J614" s="341" t="str">
        <f>IF(A614="","",VLOOKUP(A614,VII.A!$A$10:$D$199,3,FALSE))</f>
        <v/>
      </c>
      <c r="K614" s="342" t="str">
        <f t="shared" si="167"/>
        <v/>
      </c>
      <c r="L614" s="380" t="str">
        <f>IF(C614="","",G587*C614)</f>
        <v/>
      </c>
      <c r="M614" s="381" t="str">
        <f>IF(A614="","",VLOOKUP(A614,VII.A!$A$10:$B$199,2,FALSE))</f>
        <v/>
      </c>
      <c r="N614" s="342" t="str">
        <f t="shared" si="168"/>
        <v/>
      </c>
      <c r="R614" s="341"/>
      <c r="S614" s="341"/>
    </row>
    <row r="615" spans="1:19" ht="12.75" customHeight="1">
      <c r="A615" s="393"/>
      <c r="C615" s="20"/>
      <c r="E615" s="387"/>
      <c r="F615" s="388">
        <f t="shared" si="165"/>
        <v>0</v>
      </c>
      <c r="H615" s="341" t="str">
        <f>IF(A615="","",VLOOKUP(A615,VII.A!$A$10:$D$199,4,FALSE))</f>
        <v/>
      </c>
      <c r="I615" s="341" t="str">
        <f t="shared" si="166"/>
        <v/>
      </c>
      <c r="J615" s="341" t="str">
        <f>IF(A615="","",VLOOKUP(A615,VII.A!$A$10:$D$199,3,FALSE))</f>
        <v/>
      </c>
      <c r="K615" s="342" t="str">
        <f t="shared" si="167"/>
        <v/>
      </c>
      <c r="L615" s="380" t="str">
        <f>IF(C615="","",G587*C615)</f>
        <v/>
      </c>
      <c r="M615" s="381" t="str">
        <f>IF(A615="","",VLOOKUP(A615,VII.A!$A$10:$B$199,2,FALSE))</f>
        <v/>
      </c>
      <c r="N615" s="342" t="str">
        <f t="shared" si="168"/>
        <v/>
      </c>
      <c r="R615" s="341"/>
      <c r="S615" s="341"/>
    </row>
    <row r="616" spans="1:19" ht="12.75" customHeight="1">
      <c r="A616" s="393"/>
      <c r="C616" s="20"/>
      <c r="E616" s="387"/>
      <c r="F616" s="388">
        <f t="shared" si="165"/>
        <v>0</v>
      </c>
      <c r="H616" s="341" t="str">
        <f>IF(A616="","",VLOOKUP(A616,VII.A!$A$10:$D$199,4,FALSE))</f>
        <v/>
      </c>
      <c r="I616" s="341" t="str">
        <f t="shared" si="166"/>
        <v/>
      </c>
      <c r="J616" s="341" t="str">
        <f>IF(A616="","",VLOOKUP(A616,VII.A!$A$10:$D$199,3,FALSE))</f>
        <v/>
      </c>
      <c r="K616" s="342" t="str">
        <f t="shared" si="167"/>
        <v/>
      </c>
      <c r="L616" s="380" t="str">
        <f>IF(C616="","",G587*C616)</f>
        <v/>
      </c>
      <c r="M616" s="381" t="str">
        <f>IF(A616="","",VLOOKUP(A616,VII.A!$A$10:$B$199,2,FALSE))</f>
        <v/>
      </c>
      <c r="N616" s="342" t="str">
        <f t="shared" si="168"/>
        <v/>
      </c>
      <c r="R616" s="341"/>
      <c r="S616" s="341"/>
    </row>
    <row r="617" spans="1:19" ht="12.75" customHeight="1">
      <c r="A617" s="393"/>
      <c r="C617" s="20"/>
      <c r="E617" s="387"/>
      <c r="F617" s="388">
        <f t="shared" si="165"/>
        <v>0</v>
      </c>
      <c r="H617" s="341" t="str">
        <f>IF(A617="","",VLOOKUP(A617,VII.A!$A$10:$D$199,4,FALSE))</f>
        <v/>
      </c>
      <c r="I617" s="341" t="str">
        <f t="shared" si="166"/>
        <v/>
      </c>
      <c r="J617" s="341" t="str">
        <f>IF(A617="","",VLOOKUP(A617,VII.A!$A$10:$D$199,3,FALSE))</f>
        <v/>
      </c>
      <c r="K617" s="342" t="str">
        <f t="shared" si="167"/>
        <v/>
      </c>
      <c r="L617" s="380" t="str">
        <f>IF(C617="","",G587*C617)</f>
        <v/>
      </c>
      <c r="M617" s="381" t="str">
        <f>IF(A617="","",VLOOKUP(A617,VII.A!$A$10:$B$199,2,FALSE))</f>
        <v/>
      </c>
      <c r="N617" s="342" t="str">
        <f t="shared" si="168"/>
        <v/>
      </c>
      <c r="R617" s="341"/>
      <c r="S617" s="341"/>
    </row>
    <row r="618" spans="1:19" ht="12.75" customHeight="1">
      <c r="A618" s="393"/>
      <c r="C618" s="20"/>
      <c r="E618" s="387"/>
      <c r="F618" s="388">
        <f t="shared" si="165"/>
        <v>0</v>
      </c>
      <c r="H618" s="341" t="str">
        <f>IF(A618="","",VLOOKUP(A618,VII.A!$A$10:$D$199,4,FALSE))</f>
        <v/>
      </c>
      <c r="I618" s="341" t="str">
        <f t="shared" si="166"/>
        <v/>
      </c>
      <c r="J618" s="341" t="str">
        <f>IF(A618="","",VLOOKUP(A618,VII.A!$A$10:$D$199,3,FALSE))</f>
        <v/>
      </c>
      <c r="K618" s="342" t="str">
        <f t="shared" si="167"/>
        <v/>
      </c>
      <c r="L618" s="380" t="str">
        <f>IF(C618="","",G587*C618)</f>
        <v/>
      </c>
      <c r="M618" s="381" t="str">
        <f>IF(A618="","",VLOOKUP(A618,VII.A!$A$10:$B$199,2,FALSE))</f>
        <v/>
      </c>
      <c r="N618" s="342" t="str">
        <f t="shared" si="168"/>
        <v/>
      </c>
      <c r="R618" s="341"/>
      <c r="S618" s="341"/>
    </row>
    <row r="619" spans="1:19" ht="12.75" customHeight="1">
      <c r="A619" s="393"/>
      <c r="B619" s="395" t="s">
        <v>226</v>
      </c>
      <c r="C619" s="396"/>
      <c r="D619" s="397"/>
      <c r="E619" s="398"/>
      <c r="F619" s="399">
        <f>SUM(F609:F618)</f>
        <v>0</v>
      </c>
      <c r="J619" s="341"/>
      <c r="L619" s="380"/>
      <c r="M619" s="381"/>
      <c r="N619" s="342"/>
      <c r="R619" s="341"/>
      <c r="S619" s="341"/>
    </row>
    <row r="620" spans="1:19" ht="12.75" customHeight="1">
      <c r="A620" s="393"/>
      <c r="B620" s="400" t="s">
        <v>53</v>
      </c>
      <c r="C620" s="2">
        <f>$D$8</f>
        <v>0</v>
      </c>
      <c r="D620" s="401"/>
      <c r="E620" s="402"/>
      <c r="F620" s="403">
        <f>ROUND(C620*F619,2)</f>
        <v>0</v>
      </c>
      <c r="J620" s="341"/>
      <c r="L620" s="380"/>
      <c r="M620" s="381"/>
      <c r="N620" s="342"/>
      <c r="R620" s="341"/>
      <c r="S620" s="341"/>
    </row>
    <row r="621" spans="1:19" ht="12.75" customHeight="1">
      <c r="A621" s="404"/>
      <c r="B621" s="405" t="s">
        <v>228</v>
      </c>
      <c r="C621" s="406"/>
      <c r="D621" s="406"/>
      <c r="E621" s="407"/>
      <c r="F621" s="408">
        <f>F619+F620</f>
        <v>0</v>
      </c>
      <c r="J621" s="341"/>
      <c r="L621" s="380"/>
      <c r="M621" s="381"/>
      <c r="N621" s="342"/>
      <c r="R621" s="341"/>
      <c r="S621" s="341"/>
    </row>
    <row r="622" spans="1:19" ht="12.75" customHeight="1">
      <c r="A622" s="409" t="s">
        <v>47</v>
      </c>
      <c r="B622" s="410" t="s">
        <v>236</v>
      </c>
      <c r="C622" s="411" t="s">
        <v>231</v>
      </c>
      <c r="D622" s="412" t="s">
        <v>232</v>
      </c>
      <c r="E622" s="413" t="s">
        <v>233</v>
      </c>
      <c r="F622" s="378" t="s">
        <v>234</v>
      </c>
      <c r="J622" s="341"/>
      <c r="L622" s="380"/>
      <c r="M622" s="381"/>
      <c r="N622" s="342"/>
      <c r="R622" s="341"/>
      <c r="S622" s="341"/>
    </row>
    <row r="623" spans="1:19" ht="12.75" customHeight="1">
      <c r="A623" s="393" t="str">
        <f>VII.A!$A$196</f>
        <v>3.16</v>
      </c>
      <c r="B623" s="394" t="str">
        <f>VLOOKUP(A623,VII.A!$A$10:$G$199,2,FALSE)</f>
        <v>SERVENTE COM ENCARGOS COMPLEMENTARES</v>
      </c>
      <c r="C623" s="20">
        <v>0.7</v>
      </c>
      <c r="D623" s="384" t="str">
        <f>VLOOKUP(A623,VII.A!$A$10:$G$199,3,FALSE)</f>
        <v>H</v>
      </c>
      <c r="E623" s="387">
        <f>VII.A!$D$196</f>
        <v>0</v>
      </c>
      <c r="F623" s="388">
        <f t="shared" ref="F623:F629" si="169">ROUND(C623*E623,2)</f>
        <v>0</v>
      </c>
      <c r="H623" s="341">
        <f>IF(A623="","",VLOOKUP(A623,VII.A!$A$10:$D$199,4,FALSE))</f>
        <v>0</v>
      </c>
      <c r="I623" s="341" t="str">
        <f t="shared" ref="I623:I629" si="170">IF(A623="","",IF(E623=H623,"SIM","NÃO"))</f>
        <v>SIM</v>
      </c>
      <c r="J623" s="341" t="str">
        <f>IF(A623="","",VLOOKUP(A623,VII.A!$A$10:$D$199,3,FALSE))</f>
        <v>H</v>
      </c>
      <c r="K623" s="342" t="str">
        <f t="shared" ref="K623:K629" si="171">IF(A623="","",IF(J623=D623,"SIM","NÃO"))</f>
        <v>SIM</v>
      </c>
      <c r="L623" s="380">
        <f>IF(C623="","",G587*C623)</f>
        <v>35</v>
      </c>
      <c r="M623" s="381" t="str">
        <f>IF(A623="","",VLOOKUP(A623,VII.A!$A$10:$B$199,2,FALSE))</f>
        <v>SERVENTE COM ENCARGOS COMPLEMENTARES</v>
      </c>
      <c r="N623" s="342" t="str">
        <f t="shared" ref="N623:N629" si="172">IF(B623="","",IF(M623=B623,"si","no"))</f>
        <v>si</v>
      </c>
      <c r="R623" s="341"/>
      <c r="S623" s="341"/>
    </row>
    <row r="624" spans="1:19" ht="12.75" customHeight="1">
      <c r="A624" s="393"/>
      <c r="C624" s="20"/>
      <c r="E624" s="387"/>
      <c r="F624" s="388">
        <f t="shared" si="169"/>
        <v>0</v>
      </c>
      <c r="H624" s="341" t="str">
        <f>IF(A624="","",VLOOKUP(A624,VII.A!$A$10:$D$199,4,FALSE))</f>
        <v/>
      </c>
      <c r="I624" s="341" t="str">
        <f t="shared" si="170"/>
        <v/>
      </c>
      <c r="J624" s="341" t="str">
        <f>IF(A624="","",VLOOKUP(A624,VII.A!$A$10:$D$199,3,FALSE))</f>
        <v/>
      </c>
      <c r="K624" s="342" t="str">
        <f t="shared" si="171"/>
        <v/>
      </c>
      <c r="L624" s="380" t="str">
        <f>IF(C624="","",G587*C624)</f>
        <v/>
      </c>
      <c r="M624" s="381" t="str">
        <f>IF(A624="","",VLOOKUP(A624,VII.A!$A$10:$B$199,2,FALSE))</f>
        <v/>
      </c>
      <c r="N624" s="342" t="str">
        <f t="shared" si="172"/>
        <v/>
      </c>
      <c r="R624" s="341"/>
      <c r="S624" s="341"/>
    </row>
    <row r="625" spans="1:25" ht="12.75" customHeight="1">
      <c r="A625" s="393"/>
      <c r="C625" s="20"/>
      <c r="E625" s="387"/>
      <c r="F625" s="388">
        <f t="shared" si="169"/>
        <v>0</v>
      </c>
      <c r="H625" s="341" t="str">
        <f>IF(A625="","",VLOOKUP(A625,VII.A!$A$10:$D$199,4,FALSE))</f>
        <v/>
      </c>
      <c r="I625" s="341" t="str">
        <f t="shared" si="170"/>
        <v/>
      </c>
      <c r="J625" s="341" t="str">
        <f>IF(A625="","",VLOOKUP(A625,VII.A!$A$10:$D$199,3,FALSE))</f>
        <v/>
      </c>
      <c r="K625" s="342" t="str">
        <f t="shared" si="171"/>
        <v/>
      </c>
      <c r="L625" s="380" t="str">
        <f>IF(C625="","",G587*C625)</f>
        <v/>
      </c>
      <c r="M625" s="381" t="str">
        <f>IF(A625="","",VLOOKUP(A625,VII.A!$A$10:$B$199,2,FALSE))</f>
        <v/>
      </c>
      <c r="N625" s="342" t="str">
        <f t="shared" si="172"/>
        <v/>
      </c>
      <c r="R625" s="341"/>
      <c r="S625" s="341"/>
    </row>
    <row r="626" spans="1:25" ht="12.75" customHeight="1">
      <c r="A626" s="393"/>
      <c r="C626" s="20"/>
      <c r="E626" s="387"/>
      <c r="F626" s="388">
        <f t="shared" si="169"/>
        <v>0</v>
      </c>
      <c r="H626" s="341" t="str">
        <f>IF(A626="","",VLOOKUP(A626,VII.A!$A$10:$D$199,4,FALSE))</f>
        <v/>
      </c>
      <c r="I626" s="341" t="str">
        <f t="shared" si="170"/>
        <v/>
      </c>
      <c r="J626" s="341" t="str">
        <f>IF(A626="","",VLOOKUP(A626,VII.A!$A$10:$D$199,3,FALSE))</f>
        <v/>
      </c>
      <c r="K626" s="342" t="str">
        <f t="shared" si="171"/>
        <v/>
      </c>
      <c r="L626" s="380" t="str">
        <f>IF(C626="","",G587*C626)</f>
        <v/>
      </c>
      <c r="M626" s="381" t="str">
        <f>IF(A626="","",VLOOKUP(A626,VII.A!$A$10:$B$199,2,FALSE))</f>
        <v/>
      </c>
      <c r="N626" s="342" t="str">
        <f t="shared" si="172"/>
        <v/>
      </c>
      <c r="R626" s="341"/>
      <c r="S626" s="341"/>
    </row>
    <row r="627" spans="1:25" ht="12.75" customHeight="1">
      <c r="A627" s="393"/>
      <c r="C627" s="20"/>
      <c r="E627" s="387"/>
      <c r="F627" s="388">
        <f t="shared" si="169"/>
        <v>0</v>
      </c>
      <c r="H627" s="341" t="str">
        <f>IF(A627="","",VLOOKUP(A627,VII.A!$A$10:$D$199,4,FALSE))</f>
        <v/>
      </c>
      <c r="I627" s="341" t="str">
        <f t="shared" si="170"/>
        <v/>
      </c>
      <c r="J627" s="341" t="str">
        <f>IF(A627="","",VLOOKUP(A627,VII.A!$A$10:$D$199,3,FALSE))</f>
        <v/>
      </c>
      <c r="K627" s="342" t="str">
        <f t="shared" si="171"/>
        <v/>
      </c>
      <c r="L627" s="380" t="str">
        <f>IF(C627="","",G587*C627)</f>
        <v/>
      </c>
      <c r="M627" s="381" t="str">
        <f>IF(A627="","",VLOOKUP(A627,VII.A!$A$10:$B$199,2,FALSE))</f>
        <v/>
      </c>
      <c r="N627" s="342" t="str">
        <f t="shared" si="172"/>
        <v/>
      </c>
      <c r="R627" s="341"/>
      <c r="S627" s="341"/>
    </row>
    <row r="628" spans="1:25" ht="12.75" customHeight="1">
      <c r="A628" s="393"/>
      <c r="C628" s="20"/>
      <c r="E628" s="387"/>
      <c r="F628" s="388">
        <f t="shared" si="169"/>
        <v>0</v>
      </c>
      <c r="H628" s="341" t="str">
        <f>IF(A628="","",VLOOKUP(A628,VII.A!$A$10:$D$199,4,FALSE))</f>
        <v/>
      </c>
      <c r="I628" s="341" t="str">
        <f t="shared" si="170"/>
        <v/>
      </c>
      <c r="J628" s="341" t="str">
        <f>IF(A628="","",VLOOKUP(A628,VII.A!$A$10:$D$199,3,FALSE))</f>
        <v/>
      </c>
      <c r="K628" s="342" t="str">
        <f t="shared" si="171"/>
        <v/>
      </c>
      <c r="L628" s="380" t="str">
        <f>IF(C628="","",G587*C628)</f>
        <v/>
      </c>
      <c r="M628" s="381" t="str">
        <f>IF(A628="","",VLOOKUP(A628,VII.A!$A$10:$B$199,2,FALSE))</f>
        <v/>
      </c>
      <c r="N628" s="342" t="str">
        <f t="shared" si="172"/>
        <v/>
      </c>
      <c r="R628" s="341"/>
      <c r="S628" s="341"/>
    </row>
    <row r="629" spans="1:25" ht="12.75" customHeight="1">
      <c r="A629" s="393"/>
      <c r="C629" s="20"/>
      <c r="E629" s="387"/>
      <c r="F629" s="388">
        <f t="shared" si="169"/>
        <v>0</v>
      </c>
      <c r="H629" s="341" t="str">
        <f>IF(A629="","",VLOOKUP(A629,VII.A!$A$10:$D$199,4,FALSE))</f>
        <v/>
      </c>
      <c r="I629" s="341" t="str">
        <f t="shared" si="170"/>
        <v/>
      </c>
      <c r="J629" s="341" t="str">
        <f>IF(A629="","",VLOOKUP(A629,VII.A!$A$10:$D$199,3,FALSE))</f>
        <v/>
      </c>
      <c r="K629" s="342" t="str">
        <f t="shared" si="171"/>
        <v/>
      </c>
      <c r="L629" s="380" t="str">
        <f>IF(C629="","",G587*C629)</f>
        <v/>
      </c>
      <c r="M629" s="381" t="str">
        <f>IF(A629="","",VLOOKUP(A629,VII.A!$A$10:$B$199,2,FALSE))</f>
        <v/>
      </c>
      <c r="N629" s="342" t="str">
        <f t="shared" si="172"/>
        <v/>
      </c>
      <c r="R629" s="341"/>
      <c r="S629" s="341"/>
    </row>
    <row r="630" spans="1:25" ht="12.75" customHeight="1">
      <c r="A630" s="393"/>
      <c r="B630" s="395" t="s">
        <v>226</v>
      </c>
      <c r="C630" s="396"/>
      <c r="D630" s="397"/>
      <c r="E630" s="398"/>
      <c r="F630" s="399">
        <f>SUM(F623:F629)</f>
        <v>0</v>
      </c>
      <c r="J630" s="341"/>
      <c r="L630" s="380"/>
      <c r="M630" s="381"/>
      <c r="N630" s="342"/>
      <c r="R630" s="341"/>
      <c r="S630" s="341"/>
    </row>
    <row r="631" spans="1:25" ht="12.75" customHeight="1">
      <c r="A631" s="393"/>
      <c r="B631" s="400" t="s">
        <v>229</v>
      </c>
      <c r="C631" s="2">
        <f>IX.A!$C$45</f>
        <v>0</v>
      </c>
      <c r="D631" s="401"/>
      <c r="E631" s="402"/>
      <c r="F631" s="403">
        <f>ROUND(F630*C631,2)</f>
        <v>0</v>
      </c>
      <c r="J631" s="341"/>
      <c r="L631" s="380"/>
      <c r="M631" s="381"/>
      <c r="N631" s="342"/>
      <c r="R631" s="341"/>
      <c r="S631" s="341"/>
    </row>
    <row r="632" spans="1:25" ht="12.75" customHeight="1">
      <c r="A632" s="393"/>
      <c r="B632" s="400" t="s">
        <v>53</v>
      </c>
      <c r="C632" s="2">
        <f>$D$8</f>
        <v>0</v>
      </c>
      <c r="D632" s="401"/>
      <c r="E632" s="402"/>
      <c r="F632" s="403">
        <f>ROUND(SUM(F630:F631)*C632,2)</f>
        <v>0</v>
      </c>
      <c r="J632" s="341"/>
      <c r="L632" s="380"/>
      <c r="M632" s="381"/>
      <c r="N632" s="342"/>
      <c r="R632" s="341"/>
      <c r="S632" s="341"/>
    </row>
    <row r="633" spans="1:25" ht="12.75" customHeight="1" thickBot="1">
      <c r="A633" s="414"/>
      <c r="B633" s="415" t="s">
        <v>230</v>
      </c>
      <c r="C633" s="416"/>
      <c r="D633" s="416"/>
      <c r="E633" s="417"/>
      <c r="F633" s="418">
        <f>SUM(F630:F632)</f>
        <v>0</v>
      </c>
      <c r="J633" s="341"/>
      <c r="L633" s="380"/>
      <c r="M633" s="381"/>
      <c r="N633" s="342"/>
      <c r="R633" s="341"/>
      <c r="S633" s="341"/>
    </row>
    <row r="634" spans="1:25" ht="12.75" customHeight="1" thickBot="1">
      <c r="A634" s="357"/>
      <c r="B634" s="358"/>
      <c r="C634" s="359"/>
      <c r="D634" s="359"/>
      <c r="E634" s="360"/>
      <c r="F634" s="419"/>
      <c r="J634" s="341"/>
      <c r="L634" s="380"/>
      <c r="M634" s="381"/>
      <c r="N634" s="342"/>
      <c r="R634" s="341"/>
      <c r="S634" s="341"/>
    </row>
    <row r="635" spans="1:25" ht="30" customHeight="1">
      <c r="A635" s="370" t="str">
        <f>IV.A!$A$34</f>
        <v>2.2.2</v>
      </c>
      <c r="B635" s="371" t="str">
        <f>IV.A!$B$34</f>
        <v>CARGA MECANIZADA DE MATERIAIS PROVENIENTES DE DEMOLIÇÕES EM GERAL</v>
      </c>
      <c r="C635" s="871" t="s">
        <v>237</v>
      </c>
      <c r="D635" s="872"/>
      <c r="E635" s="372" t="str">
        <f>IV.A!$C$34</f>
        <v>M3</v>
      </c>
      <c r="F635" s="11">
        <f>ROUND(F655+F669+F681,2)</f>
        <v>0</v>
      </c>
      <c r="G635" s="1">
        <f>VLOOKUP(A635,IV.A!$A$16:$L$172,4,FALSE)</f>
        <v>300</v>
      </c>
      <c r="H635" s="361">
        <f>SUM(F637:F652)+F654</f>
        <v>0</v>
      </c>
      <c r="I635" s="361">
        <f>SUM(F657:F666)+F668</f>
        <v>0</v>
      </c>
      <c r="J635" s="361">
        <f>SUM(F671:F677)+F679+F680</f>
        <v>0</v>
      </c>
      <c r="K635" s="361">
        <f>SUM(H635:J635)</f>
        <v>0</v>
      </c>
      <c r="L635" s="362" t="str">
        <f>IF(K635=F635,"SIM","NÃO")</f>
        <v>SIM</v>
      </c>
      <c r="M635" s="373">
        <f>ROUND(SUM(F637:F652),2)+ROUND(SUM(F637:F652)*C654,2)+ROUND(SUM(F657:F666)*C668,2)+ROUND(SUM(F657:F666),2)+ROUND(SUM(F671:F677)*C679,2)+ROUND((SUM(F671:F677)+ROUND(SUM(F671:F677)*C679,2))*C680,2)+ROUND(SUM(F671:F677),2)</f>
        <v>0</v>
      </c>
      <c r="N635" s="343" t="str">
        <f>IF(M635=F635,"SIM","NÃO")</f>
        <v>SIM</v>
      </c>
      <c r="O635" s="364" t="str">
        <f>VLOOKUP(A635,IV.A!$A$16:$E$172,3,FALSE)</f>
        <v>M3</v>
      </c>
      <c r="P635" s="344" t="str">
        <f>IF(O635=E635,"SIM","NÃO")</f>
        <v>SIM</v>
      </c>
      <c r="Q635" s="365">
        <f>ROUND(G635*F655,2)+ROUND(G635*F669,2)+ROUND(G635*F681,2)</f>
        <v>0</v>
      </c>
      <c r="R635" s="364">
        <f>VLOOKUP(A635,IV.A!$A$16:$L$172,12,FALSE)</f>
        <v>0</v>
      </c>
      <c r="S635" s="366" t="str">
        <f>IF(Q635=R635,"si","no")</f>
        <v>si</v>
      </c>
      <c r="T635" s="367">
        <f>SUM(L637:L652)+SUM(L657:L666)+SUM(L671:L677)</f>
        <v>12.899999999999999</v>
      </c>
      <c r="U635" s="341">
        <f>(SUM(C637:C652)+SUM(C657:C666)+SUM(C671:C677))*G635</f>
        <v>12.899999999999999</v>
      </c>
      <c r="V635" s="368" t="str">
        <f>IF(T635=U635,"si","no")</f>
        <v>si</v>
      </c>
      <c r="W635" s="369">
        <f>SUM(F637:F652)</f>
        <v>0</v>
      </c>
      <c r="X635" s="369">
        <f>SUM(F657:F666)</f>
        <v>0</v>
      </c>
      <c r="Y635" s="369">
        <f>SUM(F671:F677)</f>
        <v>0</v>
      </c>
    </row>
    <row r="636" spans="1:25" ht="12.75" customHeight="1">
      <c r="A636" s="374" t="s">
        <v>14</v>
      </c>
      <c r="B636" s="375" t="s">
        <v>132</v>
      </c>
      <c r="C636" s="376" t="s">
        <v>231</v>
      </c>
      <c r="D636" s="376" t="s">
        <v>232</v>
      </c>
      <c r="E636" s="377" t="s">
        <v>233</v>
      </c>
      <c r="F636" s="378" t="s">
        <v>234</v>
      </c>
      <c r="G636" s="379"/>
      <c r="J636" s="341"/>
      <c r="L636" s="380"/>
      <c r="M636" s="381"/>
      <c r="N636" s="342"/>
      <c r="O636" s="382"/>
      <c r="P636" s="383"/>
      <c r="Q636" s="383"/>
      <c r="R636" s="383"/>
      <c r="S636" s="383"/>
      <c r="T636" s="382"/>
      <c r="U636" s="341"/>
      <c r="V636" s="384"/>
      <c r="W636" s="384"/>
      <c r="X636" s="384"/>
      <c r="Y636" s="384"/>
    </row>
    <row r="637" spans="1:25" ht="12.75" customHeight="1">
      <c r="A637" s="385"/>
      <c r="B637" s="386"/>
      <c r="C637" s="20"/>
      <c r="D637" s="342"/>
      <c r="E637" s="387"/>
      <c r="F637" s="388">
        <f>ROUND(C637*E637,2)</f>
        <v>0</v>
      </c>
      <c r="H637" s="341" t="str">
        <f>IF(A637="","",VLOOKUP(A637,VII.A!$A$10:$D$199,4,FALSE))</f>
        <v/>
      </c>
      <c r="I637" s="341" t="str">
        <f t="shared" ref="I637:I652" si="173">IF(A637="","",IF(E637=H637,"SIM","NÃO"))</f>
        <v/>
      </c>
      <c r="J637" s="341" t="str">
        <f>IF(A637="","",VLOOKUP(A637,VII.A!$A$10:$D$199,3,FALSE))</f>
        <v/>
      </c>
      <c r="K637" s="342" t="str">
        <f t="shared" ref="K637:K652" si="174">IF(A637="","",IF(J637=D637,"SIM","NÃO"))</f>
        <v/>
      </c>
      <c r="L637" s="380" t="str">
        <f>IF(C637="","",G635*C637)</f>
        <v/>
      </c>
      <c r="M637" s="381" t="str">
        <f>IF(A637="","",VLOOKUP(A637,VII.A!$A$10:$B$199,2,FALSE))</f>
        <v/>
      </c>
      <c r="N637" s="342" t="str">
        <f t="shared" ref="N637:N652" si="175">IF(B637="","",IF(M637=B637,"si","no"))</f>
        <v/>
      </c>
      <c r="R637" s="341"/>
      <c r="S637" s="341"/>
    </row>
    <row r="638" spans="1:25" ht="12.75" customHeight="1">
      <c r="A638" s="385"/>
      <c r="B638" s="386"/>
      <c r="C638" s="20"/>
      <c r="D638" s="342"/>
      <c r="E638" s="387"/>
      <c r="F638" s="388">
        <f t="shared" ref="F638:F652" si="176">ROUND(C638*E638,2)</f>
        <v>0</v>
      </c>
      <c r="H638" s="341" t="str">
        <f>IF(A638="","",VLOOKUP(A638,VII.A!$A$10:$D$199,4,FALSE))</f>
        <v/>
      </c>
      <c r="I638" s="341" t="str">
        <f t="shared" si="173"/>
        <v/>
      </c>
      <c r="J638" s="341" t="str">
        <f>IF(A638="","",VLOOKUP(A638,VII.A!$A$10:$D$199,3,FALSE))</f>
        <v/>
      </c>
      <c r="K638" s="342" t="str">
        <f t="shared" si="174"/>
        <v/>
      </c>
      <c r="L638" s="380" t="str">
        <f>IF(C638="","",G635*C638)</f>
        <v/>
      </c>
      <c r="M638" s="381" t="str">
        <f>IF(A638="","",VLOOKUP(A638,VII.A!$A$10:$B$199,2,FALSE))</f>
        <v/>
      </c>
      <c r="N638" s="342" t="str">
        <f t="shared" si="175"/>
        <v/>
      </c>
      <c r="R638" s="341"/>
      <c r="S638" s="341"/>
    </row>
    <row r="639" spans="1:25" ht="12.75" customHeight="1">
      <c r="A639" s="385"/>
      <c r="B639" s="386"/>
      <c r="C639" s="20"/>
      <c r="D639" s="342"/>
      <c r="E639" s="387"/>
      <c r="F639" s="388">
        <f t="shared" si="176"/>
        <v>0</v>
      </c>
      <c r="H639" s="341" t="str">
        <f>IF(A639="","",VLOOKUP(A639,VII.A!$A$10:$D$199,4,FALSE))</f>
        <v/>
      </c>
      <c r="I639" s="341" t="str">
        <f t="shared" si="173"/>
        <v/>
      </c>
      <c r="J639" s="341" t="str">
        <f>IF(A639="","",VLOOKUP(A639,VII.A!$A$10:$D$199,3,FALSE))</f>
        <v/>
      </c>
      <c r="K639" s="342" t="str">
        <f t="shared" si="174"/>
        <v/>
      </c>
      <c r="L639" s="380" t="str">
        <f>IF(C639="","",G635*C639)</f>
        <v/>
      </c>
      <c r="M639" s="381" t="str">
        <f>IF(A639="","",VLOOKUP(A639,VII.A!$A$10:$B$199,2,FALSE))</f>
        <v/>
      </c>
      <c r="N639" s="342" t="str">
        <f t="shared" si="175"/>
        <v/>
      </c>
      <c r="R639" s="341"/>
      <c r="S639" s="341"/>
    </row>
    <row r="640" spans="1:25" ht="12.75" customHeight="1">
      <c r="A640" s="385"/>
      <c r="B640" s="386"/>
      <c r="C640" s="20"/>
      <c r="D640" s="342"/>
      <c r="E640" s="387"/>
      <c r="F640" s="388">
        <f t="shared" si="176"/>
        <v>0</v>
      </c>
      <c r="H640" s="341" t="str">
        <f>IF(A640="","",VLOOKUP(A640,VII.A!$A$10:$D$199,4,FALSE))</f>
        <v/>
      </c>
      <c r="I640" s="341" t="str">
        <f t="shared" si="173"/>
        <v/>
      </c>
      <c r="J640" s="341" t="str">
        <f>IF(A640="","",VLOOKUP(A640,VII.A!$A$10:$D$199,3,FALSE))</f>
        <v/>
      </c>
      <c r="K640" s="342" t="str">
        <f t="shared" si="174"/>
        <v/>
      </c>
      <c r="L640" s="380" t="str">
        <f>IF(C640="","",G635*C640)</f>
        <v/>
      </c>
      <c r="M640" s="381" t="str">
        <f>IF(A640="","",VLOOKUP(A640,VII.A!$A$10:$B$199,2,FALSE))</f>
        <v/>
      </c>
      <c r="N640" s="342" t="str">
        <f t="shared" si="175"/>
        <v/>
      </c>
      <c r="R640" s="341"/>
      <c r="S640" s="341"/>
    </row>
    <row r="641" spans="1:21" ht="12.75" customHeight="1">
      <c r="A641" s="385"/>
      <c r="B641" s="386"/>
      <c r="C641" s="20"/>
      <c r="D641" s="342"/>
      <c r="E641" s="387"/>
      <c r="F641" s="388">
        <f t="shared" si="176"/>
        <v>0</v>
      </c>
      <c r="H641" s="341" t="str">
        <f>IF(A641="","",VLOOKUP(A641,VII.A!$A$10:$D$199,4,FALSE))</f>
        <v/>
      </c>
      <c r="I641" s="341" t="str">
        <f t="shared" si="173"/>
        <v/>
      </c>
      <c r="J641" s="341" t="str">
        <f>IF(A641="","",VLOOKUP(A641,VII.A!$A$10:$D$199,3,FALSE))</f>
        <v/>
      </c>
      <c r="K641" s="342" t="str">
        <f t="shared" si="174"/>
        <v/>
      </c>
      <c r="L641" s="380" t="str">
        <f>IF(C641="","",G635*C641)</f>
        <v/>
      </c>
      <c r="M641" s="381" t="str">
        <f>IF(A641="","",VLOOKUP(A641,VII.A!$A$10:$B$199,2,FALSE))</f>
        <v/>
      </c>
      <c r="N641" s="342" t="str">
        <f t="shared" si="175"/>
        <v/>
      </c>
      <c r="R641" s="341"/>
      <c r="S641" s="341"/>
    </row>
    <row r="642" spans="1:21" ht="12.75" customHeight="1">
      <c r="A642" s="385"/>
      <c r="B642" s="386"/>
      <c r="C642" s="20"/>
      <c r="D642" s="342"/>
      <c r="E642" s="387"/>
      <c r="F642" s="388">
        <f t="shared" si="176"/>
        <v>0</v>
      </c>
      <c r="H642" s="341" t="str">
        <f>IF(A642="","",VLOOKUP(A642,VII.A!$A$10:$D$199,4,FALSE))</f>
        <v/>
      </c>
      <c r="I642" s="341" t="str">
        <f t="shared" si="173"/>
        <v/>
      </c>
      <c r="J642" s="341" t="str">
        <f>IF(A642="","",VLOOKUP(A642,VII.A!$A$10:$D$199,3,FALSE))</f>
        <v/>
      </c>
      <c r="K642" s="342" t="str">
        <f t="shared" si="174"/>
        <v/>
      </c>
      <c r="L642" s="380" t="str">
        <f>IF(C642="","",G635*C642)</f>
        <v/>
      </c>
      <c r="M642" s="381" t="str">
        <f>IF(A642="","",VLOOKUP(A642,VII.A!$A$10:$B$199,2,FALSE))</f>
        <v/>
      </c>
      <c r="N642" s="342" t="str">
        <f t="shared" si="175"/>
        <v/>
      </c>
      <c r="R642" s="341"/>
      <c r="S642" s="341"/>
      <c r="U642" s="389"/>
    </row>
    <row r="643" spans="1:21" ht="12.75" customHeight="1">
      <c r="A643" s="385"/>
      <c r="B643" s="386"/>
      <c r="C643" s="20"/>
      <c r="D643" s="342"/>
      <c r="E643" s="387"/>
      <c r="F643" s="388">
        <f t="shared" si="176"/>
        <v>0</v>
      </c>
      <c r="H643" s="341" t="str">
        <f>IF(A643="","",VLOOKUP(A643,VII.A!$A$10:$D$199,4,FALSE))</f>
        <v/>
      </c>
      <c r="I643" s="341" t="str">
        <f t="shared" si="173"/>
        <v/>
      </c>
      <c r="J643" s="341" t="str">
        <f>IF(A643="","",VLOOKUP(A643,VII.A!$A$10:$D$199,3,FALSE))</f>
        <v/>
      </c>
      <c r="K643" s="342" t="str">
        <f t="shared" si="174"/>
        <v/>
      </c>
      <c r="L643" s="380" t="str">
        <f>IF(C643="","",G635*C643)</f>
        <v/>
      </c>
      <c r="M643" s="381" t="str">
        <f>IF(A643="","",VLOOKUP(A643,VII.A!$A$10:$B$199,2,FALSE))</f>
        <v/>
      </c>
      <c r="N643" s="342" t="str">
        <f t="shared" si="175"/>
        <v/>
      </c>
      <c r="R643" s="341"/>
      <c r="S643" s="341"/>
    </row>
    <row r="644" spans="1:21" ht="12.75" customHeight="1">
      <c r="A644" s="385"/>
      <c r="B644" s="386"/>
      <c r="C644" s="20"/>
      <c r="D644" s="342"/>
      <c r="E644" s="387"/>
      <c r="F644" s="388">
        <f t="shared" si="176"/>
        <v>0</v>
      </c>
      <c r="G644" s="390"/>
      <c r="H644" s="341" t="str">
        <f>IF(A644="","",VLOOKUP(A644,VII.A!$A$10:$D$199,4,FALSE))</f>
        <v/>
      </c>
      <c r="I644" s="341" t="str">
        <f t="shared" si="173"/>
        <v/>
      </c>
      <c r="J644" s="341" t="str">
        <f>IF(A644="","",VLOOKUP(A644,VII.A!$A$10:$D$199,3,FALSE))</f>
        <v/>
      </c>
      <c r="K644" s="342" t="str">
        <f t="shared" si="174"/>
        <v/>
      </c>
      <c r="L644" s="380" t="str">
        <f>IF(C644="","",G635*C644)</f>
        <v/>
      </c>
      <c r="M644" s="381" t="str">
        <f>IF(A644="","",VLOOKUP(A644,VII.A!$A$10:$B$199,2,FALSE))</f>
        <v/>
      </c>
      <c r="N644" s="342" t="str">
        <f t="shared" si="175"/>
        <v/>
      </c>
      <c r="R644" s="341"/>
      <c r="S644" s="341"/>
    </row>
    <row r="645" spans="1:21" ht="12.75" customHeight="1">
      <c r="A645" s="385"/>
      <c r="B645" s="386"/>
      <c r="C645" s="20"/>
      <c r="D645" s="342"/>
      <c r="E645" s="387"/>
      <c r="F645" s="388">
        <f t="shared" si="176"/>
        <v>0</v>
      </c>
      <c r="G645" s="390"/>
      <c r="H645" s="341" t="str">
        <f>IF(A645="","",VLOOKUP(A645,VII.A!$A$10:$D$199,4,FALSE))</f>
        <v/>
      </c>
      <c r="I645" s="341" t="str">
        <f t="shared" si="173"/>
        <v/>
      </c>
      <c r="J645" s="341" t="str">
        <f>IF(A645="","",VLOOKUP(A645,VII.A!$A$10:$D$199,3,FALSE))</f>
        <v/>
      </c>
      <c r="K645" s="342" t="str">
        <f t="shared" si="174"/>
        <v/>
      </c>
      <c r="L645" s="380" t="str">
        <f>IF(C645="","",G635*C645)</f>
        <v/>
      </c>
      <c r="M645" s="381" t="str">
        <f>IF(A645="","",VLOOKUP(A645,VII.A!$A$10:$B$199,2,FALSE))</f>
        <v/>
      </c>
      <c r="N645" s="342" t="str">
        <f t="shared" si="175"/>
        <v/>
      </c>
      <c r="R645" s="341"/>
      <c r="S645" s="341"/>
    </row>
    <row r="646" spans="1:21" ht="12.75" customHeight="1">
      <c r="A646" s="385"/>
      <c r="B646" s="386"/>
      <c r="C646" s="20"/>
      <c r="D646" s="342"/>
      <c r="E646" s="387"/>
      <c r="F646" s="388">
        <f t="shared" si="176"/>
        <v>0</v>
      </c>
      <c r="G646" s="391"/>
      <c r="H646" s="341" t="str">
        <f>IF(A646="","",VLOOKUP(A646,VII.A!$A$10:$D$199,4,FALSE))</f>
        <v/>
      </c>
      <c r="I646" s="341" t="str">
        <f t="shared" si="173"/>
        <v/>
      </c>
      <c r="J646" s="341" t="str">
        <f>IF(A646="","",VLOOKUP(A646,VII.A!$A$10:$D$199,3,FALSE))</f>
        <v/>
      </c>
      <c r="K646" s="342" t="str">
        <f t="shared" si="174"/>
        <v/>
      </c>
      <c r="L646" s="380" t="str">
        <f>IF(C646="","",G635*C646)</f>
        <v/>
      </c>
      <c r="M646" s="381" t="str">
        <f>IF(A646="","",VLOOKUP(A646,VII.A!$A$10:$B$199,2,FALSE))</f>
        <v/>
      </c>
      <c r="N646" s="342" t="str">
        <f t="shared" si="175"/>
        <v/>
      </c>
      <c r="R646" s="341"/>
      <c r="S646" s="341"/>
    </row>
    <row r="647" spans="1:21" ht="12.75" customHeight="1">
      <c r="A647" s="385"/>
      <c r="B647" s="386"/>
      <c r="C647" s="20"/>
      <c r="D647" s="342"/>
      <c r="E647" s="387"/>
      <c r="F647" s="388">
        <f t="shared" si="176"/>
        <v>0</v>
      </c>
      <c r="H647" s="341" t="str">
        <f>IF(A647="","",VLOOKUP(A647,VII.A!$A$10:$D$199,4,FALSE))</f>
        <v/>
      </c>
      <c r="I647" s="341" t="str">
        <f t="shared" si="173"/>
        <v/>
      </c>
      <c r="J647" s="341" t="str">
        <f>IF(A647="","",VLOOKUP(A647,VII.A!$A$10:$D$199,3,FALSE))</f>
        <v/>
      </c>
      <c r="K647" s="342" t="str">
        <f t="shared" si="174"/>
        <v/>
      </c>
      <c r="L647" s="380" t="str">
        <f>IF(C647="","",G635*C647)</f>
        <v/>
      </c>
      <c r="M647" s="381" t="str">
        <f>IF(A647="","",VLOOKUP(A647,VII.A!$A$10:$B$199,2,FALSE))</f>
        <v/>
      </c>
      <c r="N647" s="342" t="str">
        <f t="shared" si="175"/>
        <v/>
      </c>
      <c r="R647" s="341"/>
      <c r="S647" s="341"/>
    </row>
    <row r="648" spans="1:21" ht="12.75" customHeight="1">
      <c r="A648" s="385"/>
      <c r="B648" s="386"/>
      <c r="C648" s="20"/>
      <c r="D648" s="392"/>
      <c r="E648" s="387"/>
      <c r="F648" s="388">
        <f t="shared" si="176"/>
        <v>0</v>
      </c>
      <c r="H648" s="341" t="str">
        <f>IF(A648="","",VLOOKUP(A648,VII.A!$A$10:$D$199,4,FALSE))</f>
        <v/>
      </c>
      <c r="I648" s="341" t="str">
        <f t="shared" si="173"/>
        <v/>
      </c>
      <c r="J648" s="341" t="str">
        <f>IF(A648="","",VLOOKUP(A648,VII.A!$A$10:$D$199,3,FALSE))</f>
        <v/>
      </c>
      <c r="K648" s="342" t="str">
        <f t="shared" si="174"/>
        <v/>
      </c>
      <c r="L648" s="380" t="str">
        <f>IF(C648="","",G635*C648)</f>
        <v/>
      </c>
      <c r="M648" s="381" t="str">
        <f>IF(A648="","",VLOOKUP(A648,VII.A!$A$10:$B$199,2,FALSE))</f>
        <v/>
      </c>
      <c r="N648" s="342" t="str">
        <f t="shared" si="175"/>
        <v/>
      </c>
      <c r="R648" s="341"/>
      <c r="S648" s="341"/>
    </row>
    <row r="649" spans="1:21" ht="12.75" customHeight="1">
      <c r="A649" s="385"/>
      <c r="B649" s="386"/>
      <c r="C649" s="20"/>
      <c r="D649" s="392"/>
      <c r="E649" s="387"/>
      <c r="F649" s="388">
        <f t="shared" si="176"/>
        <v>0</v>
      </c>
      <c r="H649" s="341" t="str">
        <f>IF(A649="","",VLOOKUP(A649,VII.A!$A$10:$D$199,4,FALSE))</f>
        <v/>
      </c>
      <c r="I649" s="341" t="str">
        <f t="shared" si="173"/>
        <v/>
      </c>
      <c r="J649" s="341" t="str">
        <f>IF(A649="","",VLOOKUP(A649,VII.A!$A$10:$D$199,3,FALSE))</f>
        <v/>
      </c>
      <c r="K649" s="342" t="str">
        <f t="shared" si="174"/>
        <v/>
      </c>
      <c r="L649" s="380" t="str">
        <f>IF(C649="","",G635*C649)</f>
        <v/>
      </c>
      <c r="M649" s="381" t="str">
        <f>IF(A649="","",VLOOKUP(A649,VII.A!$A$10:$B$199,2,FALSE))</f>
        <v/>
      </c>
      <c r="N649" s="342" t="str">
        <f t="shared" si="175"/>
        <v/>
      </c>
      <c r="O649" s="342"/>
      <c r="R649" s="341"/>
      <c r="S649" s="341"/>
    </row>
    <row r="650" spans="1:21" ht="12.75" customHeight="1">
      <c r="A650" s="385"/>
      <c r="B650" s="386"/>
      <c r="C650" s="20"/>
      <c r="D650" s="392"/>
      <c r="E650" s="387"/>
      <c r="F650" s="388">
        <f t="shared" si="176"/>
        <v>0</v>
      </c>
      <c r="H650" s="341" t="str">
        <f>IF(A650="","",VLOOKUP(A650,VII.A!$A$10:$D$199,4,FALSE))</f>
        <v/>
      </c>
      <c r="I650" s="341" t="str">
        <f t="shared" si="173"/>
        <v/>
      </c>
      <c r="J650" s="341" t="str">
        <f>IF(A650="","",VLOOKUP(A650,VII.A!$A$10:$D$199,3,FALSE))</f>
        <v/>
      </c>
      <c r="K650" s="342" t="str">
        <f t="shared" si="174"/>
        <v/>
      </c>
      <c r="L650" s="380" t="str">
        <f>IF(C650="","",G635*C650)</f>
        <v/>
      </c>
      <c r="M650" s="381" t="str">
        <f>IF(A650="","",VLOOKUP(A650,VII.A!$A$10:$B$199,2,FALSE))</f>
        <v/>
      </c>
      <c r="N650" s="342" t="str">
        <f t="shared" si="175"/>
        <v/>
      </c>
      <c r="R650" s="341"/>
      <c r="S650" s="341"/>
    </row>
    <row r="651" spans="1:21" ht="12.75" customHeight="1">
      <c r="A651" s="393"/>
      <c r="C651" s="20"/>
      <c r="E651" s="387"/>
      <c r="F651" s="388">
        <f t="shared" si="176"/>
        <v>0</v>
      </c>
      <c r="H651" s="341" t="str">
        <f>IF(A651="","",VLOOKUP(A651,VII.A!$A$10:$D$199,4,FALSE))</f>
        <v/>
      </c>
      <c r="I651" s="341" t="str">
        <f t="shared" si="173"/>
        <v/>
      </c>
      <c r="J651" s="341" t="str">
        <f>IF(A651="","",VLOOKUP(A651,VII.A!$A$10:$D$199,3,FALSE))</f>
        <v/>
      </c>
      <c r="K651" s="342" t="str">
        <f t="shared" si="174"/>
        <v/>
      </c>
      <c r="L651" s="380" t="str">
        <f>IF(C651="","",G635*C651)</f>
        <v/>
      </c>
      <c r="M651" s="381" t="str">
        <f>IF(A651="","",VLOOKUP(A651,VII.A!$A$10:$B$199,2,FALSE))</f>
        <v/>
      </c>
      <c r="N651" s="342" t="str">
        <f t="shared" si="175"/>
        <v/>
      </c>
      <c r="R651" s="341"/>
      <c r="S651" s="341"/>
    </row>
    <row r="652" spans="1:21" ht="12.75" customHeight="1">
      <c r="A652" s="393"/>
      <c r="C652" s="20"/>
      <c r="E652" s="387"/>
      <c r="F652" s="388">
        <f t="shared" si="176"/>
        <v>0</v>
      </c>
      <c r="H652" s="341" t="str">
        <f>IF(A652="","",VLOOKUP(A652,VII.A!$A$10:$D$199,4,FALSE))</f>
        <v/>
      </c>
      <c r="I652" s="341" t="str">
        <f t="shared" si="173"/>
        <v/>
      </c>
      <c r="J652" s="341" t="str">
        <f>IF(A652="","",VLOOKUP(A652,VII.A!$A$10:$D$199,3,FALSE))</f>
        <v/>
      </c>
      <c r="K652" s="342" t="str">
        <f t="shared" si="174"/>
        <v/>
      </c>
      <c r="L652" s="380" t="str">
        <f>IF(C652="","",G635*C652)</f>
        <v/>
      </c>
      <c r="M652" s="381" t="str">
        <f>IF(A652="","",VLOOKUP(A652,VII.A!$A$10:$B$199,2,FALSE))</f>
        <v/>
      </c>
      <c r="N652" s="342" t="str">
        <f t="shared" si="175"/>
        <v/>
      </c>
      <c r="R652" s="341"/>
      <c r="S652" s="341"/>
    </row>
    <row r="653" spans="1:21" ht="12.75" customHeight="1">
      <c r="A653" s="393"/>
      <c r="B653" s="395" t="s">
        <v>226</v>
      </c>
      <c r="C653" s="396"/>
      <c r="D653" s="397"/>
      <c r="E653" s="398"/>
      <c r="F653" s="399">
        <f>SUM(F637:F652)</f>
        <v>0</v>
      </c>
      <c r="H653" s="425" t="s">
        <v>396</v>
      </c>
      <c r="J653" s="341"/>
      <c r="L653" s="380"/>
      <c r="M653" s="381"/>
      <c r="N653" s="342"/>
      <c r="R653" s="341"/>
      <c r="S653" s="341"/>
    </row>
    <row r="654" spans="1:21" ht="12.75" customHeight="1">
      <c r="A654" s="393"/>
      <c r="B654" s="400" t="s">
        <v>53</v>
      </c>
      <c r="C654" s="2">
        <f>$D$8</f>
        <v>0</v>
      </c>
      <c r="D654" s="401"/>
      <c r="E654" s="402"/>
      <c r="F654" s="403">
        <f>ROUND(F653*C654,2)</f>
        <v>0</v>
      </c>
      <c r="J654" s="341"/>
      <c r="L654" s="380"/>
      <c r="M654" s="381"/>
      <c r="N654" s="342"/>
      <c r="R654" s="341"/>
      <c r="S654" s="341"/>
    </row>
    <row r="655" spans="1:21" ht="12.75" customHeight="1">
      <c r="A655" s="404"/>
      <c r="B655" s="405" t="s">
        <v>227</v>
      </c>
      <c r="C655" s="406"/>
      <c r="D655" s="406"/>
      <c r="E655" s="407"/>
      <c r="F655" s="408">
        <f>F653+F654</f>
        <v>0</v>
      </c>
      <c r="J655" s="341"/>
      <c r="L655" s="380"/>
      <c r="M655" s="381"/>
      <c r="N655" s="342"/>
      <c r="R655" s="341"/>
      <c r="S655" s="341"/>
    </row>
    <row r="656" spans="1:21" ht="12.75" customHeight="1">
      <c r="A656" s="374" t="s">
        <v>2</v>
      </c>
      <c r="B656" s="375" t="s">
        <v>235</v>
      </c>
      <c r="C656" s="376" t="s">
        <v>231</v>
      </c>
      <c r="D656" s="376" t="s">
        <v>232</v>
      </c>
      <c r="E656" s="377" t="s">
        <v>233</v>
      </c>
      <c r="F656" s="378" t="s">
        <v>234</v>
      </c>
      <c r="J656" s="341"/>
      <c r="L656" s="380"/>
      <c r="M656" s="381"/>
      <c r="N656" s="342"/>
      <c r="R656" s="341"/>
      <c r="S656" s="341"/>
    </row>
    <row r="657" spans="1:19" ht="12.75" customHeight="1">
      <c r="A657" s="393" t="str">
        <f>VII.A!$A$165</f>
        <v>2.23</v>
      </c>
      <c r="B657" s="394" t="str">
        <f>VLOOKUP(A657,VII.A!$A$10:$G$199,2,FALSE)</f>
        <v>PÁ  CARREGADEIRA A DIESEL SOBRE PNEUS - CAÇAMBA DE 1,70 A 2,80 M3 - 128 HP - CHP</v>
      </c>
      <c r="C657" s="20">
        <v>1.7999999999999999E-2</v>
      </c>
      <c r="D657" s="384" t="str">
        <f>VLOOKUP(A657,VII.A!$A$10:$G$199,3,FALSE)</f>
        <v>CHP</v>
      </c>
      <c r="E657" s="387">
        <f>VII.A!$D$165</f>
        <v>0</v>
      </c>
      <c r="F657" s="388">
        <f t="shared" ref="F657:F666" si="177">ROUND(C657*E657,2)</f>
        <v>0</v>
      </c>
      <c r="H657" s="341">
        <f>IF(A657="","",VLOOKUP(A657,VII.A!$A$10:$D$199,4,FALSE))</f>
        <v>0</v>
      </c>
      <c r="I657" s="341" t="str">
        <f t="shared" ref="I657:I666" si="178">IF(A657="","",IF(E657=H657,"SIM","NÃO"))</f>
        <v>SIM</v>
      </c>
      <c r="J657" s="341" t="str">
        <f>IF(A657="","",VLOOKUP(A657,VII.A!$A$10:$D$199,3,FALSE))</f>
        <v>CHP</v>
      </c>
      <c r="K657" s="342" t="str">
        <f t="shared" ref="K657:K666" si="179">IF(A657="","",IF(J657=D657,"SIM","NÃO"))</f>
        <v>SIM</v>
      </c>
      <c r="L657" s="380">
        <f>IF(C657="","",G635*C657)</f>
        <v>5.3999999999999995</v>
      </c>
      <c r="M657" s="381" t="str">
        <f>IF(A657="","",VLOOKUP(A657,VII.A!$A$10:$B$199,2,FALSE))</f>
        <v>PÁ  CARREGADEIRA A DIESEL SOBRE PNEUS - CAÇAMBA DE 1,70 A 2,80 M3 - 128 HP - CHP</v>
      </c>
      <c r="N657" s="342" t="str">
        <f t="shared" ref="N657:N666" si="180">IF(B657="","",IF(M657=B657,"si","no"))</f>
        <v>si</v>
      </c>
      <c r="R657" s="341"/>
      <c r="S657" s="341"/>
    </row>
    <row r="658" spans="1:19" ht="12.75" customHeight="1">
      <c r="A658" s="393" t="str">
        <f>VII.A!$A$150</f>
        <v>2.8</v>
      </c>
      <c r="B658" s="394" t="str">
        <f>VLOOKUP(A658,VII.A!$A$10:$G$199,2,FALSE)</f>
        <v>CAMINHÃO BASCULANTE, INCLUINDO CACAMBA METÁLICA DE 6 M3 - CHP</v>
      </c>
      <c r="C658" s="20">
        <v>7.0000000000000001E-3</v>
      </c>
      <c r="D658" s="384" t="str">
        <f>VLOOKUP(A658,VII.A!$A$10:$G$199,3,FALSE)</f>
        <v>CHP</v>
      </c>
      <c r="E658" s="387">
        <f>VII.A!$D$150</f>
        <v>0</v>
      </c>
      <c r="F658" s="388">
        <f t="shared" si="177"/>
        <v>0</v>
      </c>
      <c r="H658" s="341">
        <f>IF(A658="","",VLOOKUP(A658,VII.A!$A$10:$D$199,4,FALSE))</f>
        <v>0</v>
      </c>
      <c r="I658" s="341" t="str">
        <f t="shared" si="178"/>
        <v>SIM</v>
      </c>
      <c r="J658" s="341" t="str">
        <f>IF(A658="","",VLOOKUP(A658,VII.A!$A$10:$D$199,3,FALSE))</f>
        <v>CHP</v>
      </c>
      <c r="K658" s="342" t="str">
        <f t="shared" si="179"/>
        <v>SIM</v>
      </c>
      <c r="L658" s="380">
        <f>IF(C658="","",G635*C658)</f>
        <v>2.1</v>
      </c>
      <c r="M658" s="381" t="str">
        <f>IF(A658="","",VLOOKUP(A658,VII.A!$A$10:$B$199,2,FALSE))</f>
        <v>CAMINHÃO BASCULANTE, INCLUINDO CACAMBA METÁLICA DE 6 M3 - CHP</v>
      </c>
      <c r="N658" s="342" t="str">
        <f t="shared" si="180"/>
        <v>si</v>
      </c>
      <c r="R658" s="341"/>
      <c r="S658" s="341"/>
    </row>
    <row r="659" spans="1:19" ht="12.75" customHeight="1">
      <c r="A659" s="393"/>
      <c r="C659" s="20"/>
      <c r="E659" s="387"/>
      <c r="F659" s="388">
        <f t="shared" si="177"/>
        <v>0</v>
      </c>
      <c r="H659" s="341" t="str">
        <f>IF(A659="","",VLOOKUP(A659,VII.A!$A$10:$D$199,4,FALSE))</f>
        <v/>
      </c>
      <c r="I659" s="341" t="str">
        <f t="shared" si="178"/>
        <v/>
      </c>
      <c r="J659" s="341" t="str">
        <f>IF(A659="","",VLOOKUP(A659,VII.A!$A$10:$D$199,3,FALSE))</f>
        <v/>
      </c>
      <c r="K659" s="342" t="str">
        <f t="shared" si="179"/>
        <v/>
      </c>
      <c r="L659" s="380" t="str">
        <f>IF(C659="","",G635*C659)</f>
        <v/>
      </c>
      <c r="M659" s="381" t="str">
        <f>IF(A659="","",VLOOKUP(A659,VII.A!$A$10:$B$199,2,FALSE))</f>
        <v/>
      </c>
      <c r="N659" s="342" t="str">
        <f t="shared" si="180"/>
        <v/>
      </c>
      <c r="R659" s="341"/>
      <c r="S659" s="341"/>
    </row>
    <row r="660" spans="1:19" ht="12.75" customHeight="1">
      <c r="A660" s="393"/>
      <c r="C660" s="20"/>
      <c r="E660" s="387"/>
      <c r="F660" s="388">
        <f t="shared" si="177"/>
        <v>0</v>
      </c>
      <c r="H660" s="341" t="str">
        <f>IF(A660="","",VLOOKUP(A660,VII.A!$A$10:$D$199,4,FALSE))</f>
        <v/>
      </c>
      <c r="I660" s="341" t="str">
        <f t="shared" si="178"/>
        <v/>
      </c>
      <c r="J660" s="341" t="str">
        <f>IF(A660="","",VLOOKUP(A660,VII.A!$A$10:$D$199,3,FALSE))</f>
        <v/>
      </c>
      <c r="K660" s="342" t="str">
        <f t="shared" si="179"/>
        <v/>
      </c>
      <c r="L660" s="380" t="str">
        <f>IF(C660="","",G635*C660)</f>
        <v/>
      </c>
      <c r="M660" s="381" t="str">
        <f>IF(A660="","",VLOOKUP(A660,VII.A!$A$10:$B$199,2,FALSE))</f>
        <v/>
      </c>
      <c r="N660" s="342" t="str">
        <f t="shared" si="180"/>
        <v/>
      </c>
      <c r="R660" s="341"/>
      <c r="S660" s="341"/>
    </row>
    <row r="661" spans="1:19" ht="12.75" customHeight="1">
      <c r="A661" s="393"/>
      <c r="C661" s="20"/>
      <c r="E661" s="387"/>
      <c r="F661" s="388">
        <f t="shared" si="177"/>
        <v>0</v>
      </c>
      <c r="G661" s="390"/>
      <c r="H661" s="341" t="str">
        <f>IF(A661="","",VLOOKUP(A661,VII.A!$A$10:$D$199,4,FALSE))</f>
        <v/>
      </c>
      <c r="I661" s="341" t="str">
        <f t="shared" si="178"/>
        <v/>
      </c>
      <c r="J661" s="341" t="str">
        <f>IF(A661="","",VLOOKUP(A661,VII.A!$A$10:$D$199,3,FALSE))</f>
        <v/>
      </c>
      <c r="K661" s="342" t="str">
        <f t="shared" si="179"/>
        <v/>
      </c>
      <c r="L661" s="380" t="str">
        <f>IF(C661="","",G635*C661)</f>
        <v/>
      </c>
      <c r="M661" s="381" t="str">
        <f>IF(A661="","",VLOOKUP(A661,VII.A!$A$10:$B$199,2,FALSE))</f>
        <v/>
      </c>
      <c r="N661" s="342" t="str">
        <f t="shared" si="180"/>
        <v/>
      </c>
      <c r="R661" s="341"/>
      <c r="S661" s="341"/>
    </row>
    <row r="662" spans="1:19" ht="12.75" customHeight="1">
      <c r="A662" s="393"/>
      <c r="C662" s="20"/>
      <c r="E662" s="387"/>
      <c r="F662" s="388">
        <f t="shared" si="177"/>
        <v>0</v>
      </c>
      <c r="G662" s="391"/>
      <c r="H662" s="341" t="str">
        <f>IF(A662="","",VLOOKUP(A662,VII.A!$A$10:$D$199,4,FALSE))</f>
        <v/>
      </c>
      <c r="I662" s="341" t="str">
        <f t="shared" si="178"/>
        <v/>
      </c>
      <c r="J662" s="341" t="str">
        <f>IF(A662="","",VLOOKUP(A662,VII.A!$A$10:$D$199,3,FALSE))</f>
        <v/>
      </c>
      <c r="K662" s="342" t="str">
        <f t="shared" si="179"/>
        <v/>
      </c>
      <c r="L662" s="380" t="str">
        <f>IF(C662="","",G635*C662)</f>
        <v/>
      </c>
      <c r="M662" s="381" t="str">
        <f>IF(A662="","",VLOOKUP(A662,VII.A!$A$10:$B$199,2,FALSE))</f>
        <v/>
      </c>
      <c r="N662" s="342" t="str">
        <f t="shared" si="180"/>
        <v/>
      </c>
      <c r="R662" s="341"/>
      <c r="S662" s="341"/>
    </row>
    <row r="663" spans="1:19" ht="12.75" customHeight="1">
      <c r="A663" s="393"/>
      <c r="C663" s="20"/>
      <c r="E663" s="387"/>
      <c r="F663" s="388">
        <f t="shared" si="177"/>
        <v>0</v>
      </c>
      <c r="H663" s="341" t="str">
        <f>IF(A663="","",VLOOKUP(A663,VII.A!$A$10:$D$199,4,FALSE))</f>
        <v/>
      </c>
      <c r="I663" s="341" t="str">
        <f t="shared" si="178"/>
        <v/>
      </c>
      <c r="J663" s="341" t="str">
        <f>IF(A663="","",VLOOKUP(A663,VII.A!$A$10:$D$199,3,FALSE))</f>
        <v/>
      </c>
      <c r="K663" s="342" t="str">
        <f t="shared" si="179"/>
        <v/>
      </c>
      <c r="L663" s="380" t="str">
        <f>IF(C663="","",G635*C663)</f>
        <v/>
      </c>
      <c r="M663" s="381" t="str">
        <f>IF(A663="","",VLOOKUP(A663,VII.A!$A$10:$B$199,2,FALSE))</f>
        <v/>
      </c>
      <c r="N663" s="342" t="str">
        <f t="shared" si="180"/>
        <v/>
      </c>
      <c r="R663" s="341"/>
      <c r="S663" s="341"/>
    </row>
    <row r="664" spans="1:19" ht="12.75" customHeight="1">
      <c r="A664" s="393"/>
      <c r="C664" s="20"/>
      <c r="E664" s="387"/>
      <c r="F664" s="388">
        <f t="shared" si="177"/>
        <v>0</v>
      </c>
      <c r="H664" s="341" t="str">
        <f>IF(A664="","",VLOOKUP(A664,VII.A!$A$10:$D$199,4,FALSE))</f>
        <v/>
      </c>
      <c r="I664" s="341" t="str">
        <f t="shared" si="178"/>
        <v/>
      </c>
      <c r="J664" s="341" t="str">
        <f>IF(A664="","",VLOOKUP(A664,VII.A!$A$10:$D$199,3,FALSE))</f>
        <v/>
      </c>
      <c r="K664" s="342" t="str">
        <f t="shared" si="179"/>
        <v/>
      </c>
      <c r="L664" s="380" t="str">
        <f>IF(C664="","",G635*C664)</f>
        <v/>
      </c>
      <c r="M664" s="381" t="str">
        <f>IF(A664="","",VLOOKUP(A664,VII.A!$A$10:$B$199,2,FALSE))</f>
        <v/>
      </c>
      <c r="N664" s="342" t="str">
        <f t="shared" si="180"/>
        <v/>
      </c>
      <c r="R664" s="341"/>
      <c r="S664" s="341"/>
    </row>
    <row r="665" spans="1:19" ht="12.75" customHeight="1">
      <c r="A665" s="393"/>
      <c r="C665" s="20"/>
      <c r="E665" s="387"/>
      <c r="F665" s="388">
        <f t="shared" si="177"/>
        <v>0</v>
      </c>
      <c r="H665" s="341" t="str">
        <f>IF(A665="","",VLOOKUP(A665,VII.A!$A$10:$D$199,4,FALSE))</f>
        <v/>
      </c>
      <c r="I665" s="341" t="str">
        <f t="shared" si="178"/>
        <v/>
      </c>
      <c r="J665" s="341" t="str">
        <f>IF(A665="","",VLOOKUP(A665,VII.A!$A$10:$D$199,3,FALSE))</f>
        <v/>
      </c>
      <c r="K665" s="342" t="str">
        <f t="shared" si="179"/>
        <v/>
      </c>
      <c r="L665" s="380" t="str">
        <f>IF(C665="","",G635*C665)</f>
        <v/>
      </c>
      <c r="M665" s="381" t="str">
        <f>IF(A665="","",VLOOKUP(A665,VII.A!$A$10:$B$199,2,FALSE))</f>
        <v/>
      </c>
      <c r="N665" s="342" t="str">
        <f t="shared" si="180"/>
        <v/>
      </c>
      <c r="R665" s="341"/>
      <c r="S665" s="341"/>
    </row>
    <row r="666" spans="1:19" ht="12.75" customHeight="1">
      <c r="A666" s="393"/>
      <c r="C666" s="20"/>
      <c r="E666" s="387"/>
      <c r="F666" s="388">
        <f t="shared" si="177"/>
        <v>0</v>
      </c>
      <c r="H666" s="341" t="str">
        <f>IF(A666="","",VLOOKUP(A666,VII.A!$A$10:$D$199,4,FALSE))</f>
        <v/>
      </c>
      <c r="I666" s="341" t="str">
        <f t="shared" si="178"/>
        <v/>
      </c>
      <c r="J666" s="341" t="str">
        <f>IF(A666="","",VLOOKUP(A666,VII.A!$A$10:$D$199,3,FALSE))</f>
        <v/>
      </c>
      <c r="K666" s="342" t="str">
        <f t="shared" si="179"/>
        <v/>
      </c>
      <c r="L666" s="380" t="str">
        <f>IF(C666="","",G635*C666)</f>
        <v/>
      </c>
      <c r="M666" s="381" t="str">
        <f>IF(A666="","",VLOOKUP(A666,VII.A!$A$10:$B$199,2,FALSE))</f>
        <v/>
      </c>
      <c r="N666" s="342" t="str">
        <f t="shared" si="180"/>
        <v/>
      </c>
      <c r="R666" s="341"/>
      <c r="S666" s="341"/>
    </row>
    <row r="667" spans="1:19" ht="12.75" customHeight="1">
      <c r="A667" s="393"/>
      <c r="B667" s="395" t="s">
        <v>226</v>
      </c>
      <c r="C667" s="396"/>
      <c r="D667" s="397"/>
      <c r="E667" s="398"/>
      <c r="F667" s="399">
        <f>SUM(F657:F666)</f>
        <v>0</v>
      </c>
      <c r="J667" s="341"/>
      <c r="L667" s="380"/>
      <c r="M667" s="381"/>
      <c r="N667" s="342"/>
      <c r="R667" s="341"/>
      <c r="S667" s="341"/>
    </row>
    <row r="668" spans="1:19" ht="12.75" customHeight="1">
      <c r="A668" s="393"/>
      <c r="B668" s="400" t="s">
        <v>53</v>
      </c>
      <c r="C668" s="2">
        <f>$D$8</f>
        <v>0</v>
      </c>
      <c r="D668" s="401"/>
      <c r="E668" s="402"/>
      <c r="F668" s="403">
        <f>ROUND(C668*F667,2)</f>
        <v>0</v>
      </c>
      <c r="J668" s="341"/>
      <c r="L668" s="380"/>
      <c r="M668" s="381"/>
      <c r="N668" s="342"/>
      <c r="R668" s="341"/>
      <c r="S668" s="341"/>
    </row>
    <row r="669" spans="1:19" ht="12.75" customHeight="1">
      <c r="A669" s="404"/>
      <c r="B669" s="405" t="s">
        <v>228</v>
      </c>
      <c r="C669" s="406"/>
      <c r="D669" s="406"/>
      <c r="E669" s="407"/>
      <c r="F669" s="408">
        <f>F667+F668</f>
        <v>0</v>
      </c>
      <c r="J669" s="341"/>
      <c r="L669" s="380"/>
      <c r="M669" s="381"/>
      <c r="N669" s="342"/>
      <c r="R669" s="341"/>
      <c r="S669" s="341"/>
    </row>
    <row r="670" spans="1:19" ht="12.75" customHeight="1">
      <c r="A670" s="409" t="s">
        <v>47</v>
      </c>
      <c r="B670" s="410" t="s">
        <v>236</v>
      </c>
      <c r="C670" s="411" t="s">
        <v>231</v>
      </c>
      <c r="D670" s="412" t="s">
        <v>232</v>
      </c>
      <c r="E670" s="413" t="s">
        <v>233</v>
      </c>
      <c r="F670" s="378" t="s">
        <v>234</v>
      </c>
      <c r="J670" s="341"/>
      <c r="L670" s="380"/>
      <c r="M670" s="381"/>
      <c r="N670" s="342"/>
      <c r="R670" s="341"/>
      <c r="S670" s="341"/>
    </row>
    <row r="671" spans="1:19" ht="12.75" customHeight="1">
      <c r="A671" s="393" t="str">
        <f>VII.A!$A$196</f>
        <v>3.16</v>
      </c>
      <c r="B671" s="394" t="s">
        <v>157</v>
      </c>
      <c r="C671" s="20">
        <v>1.7999999999999999E-2</v>
      </c>
      <c r="D671" s="384" t="str">
        <f>VLOOKUP(A671,VII.A!$A$10:$G$199,3,FALSE)</f>
        <v>H</v>
      </c>
      <c r="E671" s="387">
        <f>VII.A!$D$196</f>
        <v>0</v>
      </c>
      <c r="F671" s="388">
        <f t="shared" ref="F671:F677" si="181">ROUND(C671*E671,2)</f>
        <v>0</v>
      </c>
      <c r="H671" s="341">
        <f>IF(A671="","",VLOOKUP(A671,VII.A!$A$10:$D$199,4,FALSE))</f>
        <v>0</v>
      </c>
      <c r="I671" s="341" t="str">
        <f t="shared" ref="I671:I677" si="182">IF(A671="","",IF(E671=H671,"SIM","NÃO"))</f>
        <v>SIM</v>
      </c>
      <c r="J671" s="341" t="str">
        <f>IF(A671="","",VLOOKUP(A671,VII.A!$A$10:$D$199,3,FALSE))</f>
        <v>H</v>
      </c>
      <c r="K671" s="342" t="str">
        <f t="shared" ref="K671:K677" si="183">IF(A671="","",IF(J671=D671,"SIM","NÃO"))</f>
        <v>SIM</v>
      </c>
      <c r="L671" s="380">
        <f>IF(C671="","",G635*C671)</f>
        <v>5.3999999999999995</v>
      </c>
      <c r="M671" s="381" t="str">
        <f>IF(A671="","",VLOOKUP(A671,VII.A!$A$10:$B$199,2,FALSE))</f>
        <v>SERVENTE COM ENCARGOS COMPLEMENTARES</v>
      </c>
      <c r="N671" s="342" t="str">
        <f t="shared" ref="N671:N677" si="184">IF(B671="","",IF(M671=B671,"si","no"))</f>
        <v>si</v>
      </c>
      <c r="R671" s="341"/>
      <c r="S671" s="341"/>
    </row>
    <row r="672" spans="1:19" ht="12.75" customHeight="1">
      <c r="A672" s="393"/>
      <c r="C672" s="20"/>
      <c r="E672" s="387"/>
      <c r="F672" s="388">
        <f t="shared" si="181"/>
        <v>0</v>
      </c>
      <c r="H672" s="341" t="str">
        <f>IF(A672="","",VLOOKUP(A672,VII.A!$A$10:$D$199,4,FALSE))</f>
        <v/>
      </c>
      <c r="I672" s="341" t="str">
        <f t="shared" si="182"/>
        <v/>
      </c>
      <c r="J672" s="341" t="str">
        <f>IF(A672="","",VLOOKUP(A672,VII.A!$A$10:$D$199,3,FALSE))</f>
        <v/>
      </c>
      <c r="K672" s="342" t="str">
        <f t="shared" si="183"/>
        <v/>
      </c>
      <c r="L672" s="380" t="str">
        <f>IF(C672="","",G635*C672)</f>
        <v/>
      </c>
      <c r="M672" s="381" t="str">
        <f>IF(A672="","",VLOOKUP(A672,VII.A!$A$10:$B$199,2,FALSE))</f>
        <v/>
      </c>
      <c r="N672" s="342" t="str">
        <f t="shared" si="184"/>
        <v/>
      </c>
      <c r="R672" s="341"/>
      <c r="S672" s="341"/>
    </row>
    <row r="673" spans="1:25" ht="12.75" customHeight="1">
      <c r="A673" s="393"/>
      <c r="C673" s="20"/>
      <c r="E673" s="387"/>
      <c r="F673" s="388">
        <f t="shared" si="181"/>
        <v>0</v>
      </c>
      <c r="H673" s="341" t="str">
        <f>IF(A673="","",VLOOKUP(A673,VII.A!$A$10:$D$199,4,FALSE))</f>
        <v/>
      </c>
      <c r="I673" s="341" t="str">
        <f t="shared" si="182"/>
        <v/>
      </c>
      <c r="J673" s="341" t="str">
        <f>IF(A673="","",VLOOKUP(A673,VII.A!$A$10:$D$199,3,FALSE))</f>
        <v/>
      </c>
      <c r="K673" s="342" t="str">
        <f t="shared" si="183"/>
        <v/>
      </c>
      <c r="L673" s="380" t="str">
        <f>IF(C673="","",G635*C673)</f>
        <v/>
      </c>
      <c r="M673" s="381" t="str">
        <f>IF(A673="","",VLOOKUP(A673,VII.A!$A$10:$B$199,2,FALSE))</f>
        <v/>
      </c>
      <c r="N673" s="342" t="str">
        <f t="shared" si="184"/>
        <v/>
      </c>
      <c r="R673" s="341"/>
      <c r="S673" s="341"/>
    </row>
    <row r="674" spans="1:25" ht="12.75" customHeight="1">
      <c r="A674" s="393"/>
      <c r="C674" s="20"/>
      <c r="E674" s="387"/>
      <c r="F674" s="388">
        <f t="shared" si="181"/>
        <v>0</v>
      </c>
      <c r="H674" s="341" t="str">
        <f>IF(A674="","",VLOOKUP(A674,VII.A!$A$10:$D$199,4,FALSE))</f>
        <v/>
      </c>
      <c r="I674" s="341" t="str">
        <f t="shared" si="182"/>
        <v/>
      </c>
      <c r="J674" s="341" t="str">
        <f>IF(A674="","",VLOOKUP(A674,VII.A!$A$10:$D$199,3,FALSE))</f>
        <v/>
      </c>
      <c r="K674" s="342" t="str">
        <f t="shared" si="183"/>
        <v/>
      </c>
      <c r="L674" s="380" t="str">
        <f>IF(C674="","",G635*C674)</f>
        <v/>
      </c>
      <c r="M674" s="381" t="str">
        <f>IF(A674="","",VLOOKUP(A674,VII.A!$A$10:$B$199,2,FALSE))</f>
        <v/>
      </c>
      <c r="N674" s="342" t="str">
        <f t="shared" si="184"/>
        <v/>
      </c>
      <c r="R674" s="341"/>
      <c r="S674" s="341"/>
    </row>
    <row r="675" spans="1:25" ht="12.75" customHeight="1">
      <c r="A675" s="393"/>
      <c r="C675" s="20"/>
      <c r="E675" s="387"/>
      <c r="F675" s="388">
        <f t="shared" si="181"/>
        <v>0</v>
      </c>
      <c r="H675" s="341" t="str">
        <f>IF(A675="","",VLOOKUP(A675,VII.A!$A$10:$D$199,4,FALSE))</f>
        <v/>
      </c>
      <c r="I675" s="341" t="str">
        <f t="shared" si="182"/>
        <v/>
      </c>
      <c r="J675" s="341" t="str">
        <f>IF(A675="","",VLOOKUP(A675,VII.A!$A$10:$D$199,3,FALSE))</f>
        <v/>
      </c>
      <c r="K675" s="342" t="str">
        <f t="shared" si="183"/>
        <v/>
      </c>
      <c r="L675" s="380" t="str">
        <f>IF(C675="","",G635*C675)</f>
        <v/>
      </c>
      <c r="M675" s="381" t="str">
        <f>IF(A675="","",VLOOKUP(A675,VII.A!$A$10:$B$199,2,FALSE))</f>
        <v/>
      </c>
      <c r="N675" s="342" t="str">
        <f t="shared" si="184"/>
        <v/>
      </c>
      <c r="R675" s="341"/>
      <c r="S675" s="341"/>
    </row>
    <row r="676" spans="1:25" ht="12.75" customHeight="1">
      <c r="A676" s="393"/>
      <c r="C676" s="20"/>
      <c r="E676" s="387"/>
      <c r="F676" s="388">
        <f t="shared" si="181"/>
        <v>0</v>
      </c>
      <c r="H676" s="341" t="str">
        <f>IF(A676="","",VLOOKUP(A676,VII.A!$A$10:$D$199,4,FALSE))</f>
        <v/>
      </c>
      <c r="I676" s="341" t="str">
        <f t="shared" si="182"/>
        <v/>
      </c>
      <c r="J676" s="341" t="str">
        <f>IF(A676="","",VLOOKUP(A676,VII.A!$A$10:$D$199,3,FALSE))</f>
        <v/>
      </c>
      <c r="K676" s="342" t="str">
        <f t="shared" si="183"/>
        <v/>
      </c>
      <c r="L676" s="380" t="str">
        <f>IF(C676="","",G635*C676)</f>
        <v/>
      </c>
      <c r="M676" s="381" t="str">
        <f>IF(A676="","",VLOOKUP(A676,VII.A!$A$10:$B$199,2,FALSE))</f>
        <v/>
      </c>
      <c r="N676" s="342" t="str">
        <f t="shared" si="184"/>
        <v/>
      </c>
      <c r="R676" s="341"/>
      <c r="S676" s="341"/>
    </row>
    <row r="677" spans="1:25" ht="12.75" customHeight="1">
      <c r="A677" s="393"/>
      <c r="C677" s="20"/>
      <c r="E677" s="387"/>
      <c r="F677" s="388">
        <f t="shared" si="181"/>
        <v>0</v>
      </c>
      <c r="H677" s="341" t="str">
        <f>IF(A677="","",VLOOKUP(A677,VII.A!$A$10:$D$199,4,FALSE))</f>
        <v/>
      </c>
      <c r="I677" s="341" t="str">
        <f t="shared" si="182"/>
        <v/>
      </c>
      <c r="J677" s="341" t="str">
        <f>IF(A677="","",VLOOKUP(A677,VII.A!$A$10:$D$199,3,FALSE))</f>
        <v/>
      </c>
      <c r="K677" s="342" t="str">
        <f t="shared" si="183"/>
        <v/>
      </c>
      <c r="L677" s="380" t="str">
        <f>IF(C677="","",G635*C677)</f>
        <v/>
      </c>
      <c r="M677" s="381" t="str">
        <f>IF(A677="","",VLOOKUP(A677,VII.A!$A$10:$B$199,2,FALSE))</f>
        <v/>
      </c>
      <c r="N677" s="342" t="str">
        <f t="shared" si="184"/>
        <v/>
      </c>
      <c r="R677" s="341"/>
      <c r="S677" s="341"/>
    </row>
    <row r="678" spans="1:25" ht="12.75" customHeight="1">
      <c r="A678" s="393"/>
      <c r="B678" s="395" t="s">
        <v>226</v>
      </c>
      <c r="C678" s="396"/>
      <c r="D678" s="397"/>
      <c r="E678" s="398"/>
      <c r="F678" s="399">
        <f>SUM(F671:F677)</f>
        <v>0</v>
      </c>
      <c r="J678" s="341"/>
      <c r="L678" s="380"/>
      <c r="M678" s="381"/>
      <c r="N678" s="342"/>
      <c r="R678" s="341"/>
      <c r="S678" s="341"/>
    </row>
    <row r="679" spans="1:25" ht="12.75" customHeight="1">
      <c r="A679" s="393"/>
      <c r="B679" s="400" t="s">
        <v>229</v>
      </c>
      <c r="C679" s="2">
        <f>IX.A!$C$45</f>
        <v>0</v>
      </c>
      <c r="D679" s="401"/>
      <c r="E679" s="402"/>
      <c r="F679" s="403">
        <f>ROUND(F678*C679,2)</f>
        <v>0</v>
      </c>
      <c r="J679" s="341"/>
      <c r="L679" s="380"/>
      <c r="M679" s="381"/>
      <c r="N679" s="342"/>
      <c r="R679" s="341"/>
      <c r="S679" s="341"/>
    </row>
    <row r="680" spans="1:25" ht="12.75" customHeight="1">
      <c r="A680" s="393"/>
      <c r="B680" s="400" t="s">
        <v>53</v>
      </c>
      <c r="C680" s="2">
        <f>$D$8</f>
        <v>0</v>
      </c>
      <c r="D680" s="401"/>
      <c r="E680" s="402"/>
      <c r="F680" s="403">
        <f>ROUND(SUM(F678:F679)*C680,2)</f>
        <v>0</v>
      </c>
      <c r="J680" s="341"/>
      <c r="L680" s="380"/>
      <c r="M680" s="381"/>
      <c r="N680" s="342"/>
      <c r="R680" s="341"/>
      <c r="S680" s="341"/>
    </row>
    <row r="681" spans="1:25" ht="12.75" customHeight="1" thickBot="1">
      <c r="A681" s="414"/>
      <c r="B681" s="415" t="s">
        <v>230</v>
      </c>
      <c r="C681" s="416"/>
      <c r="D681" s="416"/>
      <c r="E681" s="417"/>
      <c r="F681" s="418">
        <f>SUM(F678:F680)</f>
        <v>0</v>
      </c>
      <c r="J681" s="341"/>
      <c r="L681" s="380"/>
      <c r="M681" s="381"/>
      <c r="N681" s="342"/>
      <c r="R681" s="341"/>
      <c r="S681" s="341"/>
    </row>
    <row r="682" spans="1:25" ht="12.75" customHeight="1" thickBot="1">
      <c r="A682" s="357"/>
      <c r="B682" s="358"/>
      <c r="C682" s="359"/>
      <c r="D682" s="359"/>
      <c r="E682" s="360"/>
      <c r="F682" s="419"/>
      <c r="J682" s="341"/>
      <c r="L682" s="380"/>
      <c r="M682" s="381"/>
      <c r="N682" s="342"/>
      <c r="R682" s="341"/>
      <c r="S682" s="341"/>
    </row>
    <row r="683" spans="1:25" ht="30" customHeight="1">
      <c r="A683" s="370" t="str">
        <f>IV.A!$A$35</f>
        <v>2.2.3</v>
      </c>
      <c r="B683" s="371" t="str">
        <f>IV.A!$B$35</f>
        <v>BOTA-FORA E DESCARGA DE MATERIAIS PROVENIENTES DE DEMOLIÇÕES EM GERAL</v>
      </c>
      <c r="C683" s="871" t="s">
        <v>237</v>
      </c>
      <c r="D683" s="872"/>
      <c r="E683" s="372" t="str">
        <f>IV.A!$C$35</f>
        <v>M3.KM</v>
      </c>
      <c r="F683" s="11">
        <f>ROUND(F703+F717+F729,2)</f>
        <v>0</v>
      </c>
      <c r="G683" s="1">
        <f>VLOOKUP(A683,IV.A!$A$16:$L$172,4,FALSE)</f>
        <v>10500</v>
      </c>
      <c r="H683" s="361">
        <f>SUM(F685:F700)+F702</f>
        <v>0</v>
      </c>
      <c r="I683" s="361">
        <f>SUM(F705:F714)+F716</f>
        <v>0</v>
      </c>
      <c r="J683" s="361">
        <f>SUM(F719:F725)+F727+F728</f>
        <v>0</v>
      </c>
      <c r="K683" s="361">
        <f>SUM(H683:J683)</f>
        <v>0</v>
      </c>
      <c r="L683" s="362" t="str">
        <f>IF(K683=F683,"SIM","NÃO")</f>
        <v>SIM</v>
      </c>
      <c r="M683" s="373">
        <f>ROUND(SUM(F685:F700),2)+ROUND(SUM(F685:F700)*C702,2)+ROUND(SUM(F705:F714)*C716,2)+ROUND(SUM(F705:F714),2)+ROUND(SUM(F719:F725)*C727,2)+ROUND((SUM(F719:F725)+ROUND(SUM(F719:F725)*C727,2))*C728,2)+ROUND(SUM(F719:F725),2)</f>
        <v>0</v>
      </c>
      <c r="N683" s="343" t="str">
        <f>IF(M683=F683,"SIM","NÃO")</f>
        <v>SIM</v>
      </c>
      <c r="O683" s="364" t="str">
        <f>VLOOKUP(A683,IV.A!$A$16:$E$172,3,FALSE)</f>
        <v>M3.KM</v>
      </c>
      <c r="P683" s="344" t="str">
        <f>IF(O683=E683,"SIM","NÃO")</f>
        <v>SIM</v>
      </c>
      <c r="Q683" s="365">
        <f>ROUND(G683*F703,2)+ROUND(G683*F717,2)+ROUND(G683*F729,2)</f>
        <v>0</v>
      </c>
      <c r="R683" s="364">
        <f>VLOOKUP(A683,IV.A!$A$16:$L$172,12,FALSE)</f>
        <v>0</v>
      </c>
      <c r="S683" s="366" t="str">
        <f>IF(Q683=R683,"si","no")</f>
        <v>si</v>
      </c>
      <c r="T683" s="367">
        <f>SUM(L685:L700)+SUM(L705:L714)+SUM(L719:L725)</f>
        <v>94.499999999999986</v>
      </c>
      <c r="U683" s="341">
        <f>(SUM(C685:C700)+SUM(C705:C714)+SUM(C719:C725))*G683</f>
        <v>94.499999999999986</v>
      </c>
      <c r="V683" s="368" t="str">
        <f>IF(T683=U683,"si","no")</f>
        <v>si</v>
      </c>
      <c r="W683" s="369">
        <f>SUM(F685:F700)</f>
        <v>0</v>
      </c>
      <c r="X683" s="369">
        <f>SUM(F705:F714)</f>
        <v>0</v>
      </c>
      <c r="Y683" s="369">
        <f>SUM(F719:F725)</f>
        <v>0</v>
      </c>
    </row>
    <row r="684" spans="1:25" ht="12.75" customHeight="1">
      <c r="A684" s="374" t="s">
        <v>14</v>
      </c>
      <c r="B684" s="375" t="s">
        <v>132</v>
      </c>
      <c r="C684" s="376" t="s">
        <v>231</v>
      </c>
      <c r="D684" s="376" t="s">
        <v>232</v>
      </c>
      <c r="E684" s="377" t="s">
        <v>233</v>
      </c>
      <c r="F684" s="378" t="s">
        <v>234</v>
      </c>
      <c r="G684" s="379"/>
      <c r="J684" s="341"/>
      <c r="L684" s="380"/>
      <c r="M684" s="381"/>
      <c r="N684" s="342"/>
      <c r="O684" s="382"/>
      <c r="P684" s="383"/>
      <c r="Q684" s="383"/>
      <c r="R684" s="383"/>
      <c r="S684" s="383"/>
      <c r="T684" s="382"/>
      <c r="U684" s="341"/>
      <c r="V684" s="384"/>
      <c r="W684" s="384"/>
      <c r="X684" s="384"/>
      <c r="Y684" s="384"/>
    </row>
    <row r="685" spans="1:25" ht="12.75" customHeight="1">
      <c r="A685" s="385"/>
      <c r="B685" s="386"/>
      <c r="C685" s="20"/>
      <c r="D685" s="342"/>
      <c r="E685" s="387"/>
      <c r="F685" s="388">
        <f>ROUND(C685*E685,2)</f>
        <v>0</v>
      </c>
      <c r="H685" s="341" t="str">
        <f>IF(A685="","",VLOOKUP(A685,VII.A!$A$10:$D$199,4,FALSE))</f>
        <v/>
      </c>
      <c r="I685" s="341" t="str">
        <f t="shared" ref="I685:I700" si="185">IF(A685="","",IF(E685=H685,"SIM","NÃO"))</f>
        <v/>
      </c>
      <c r="J685" s="341" t="str">
        <f>IF(A685="","",VLOOKUP(A685,VII.A!$A$10:$D$199,3,FALSE))</f>
        <v/>
      </c>
      <c r="K685" s="342" t="str">
        <f t="shared" ref="K685:K700" si="186">IF(A685="","",IF(J685=D685,"SIM","NÃO"))</f>
        <v/>
      </c>
      <c r="L685" s="380" t="str">
        <f>IF(C685="","",G683*C685)</f>
        <v/>
      </c>
      <c r="M685" s="381" t="str">
        <f>IF(A685="","",VLOOKUP(A685,VII.A!$A$10:$B$199,2,FALSE))</f>
        <v/>
      </c>
      <c r="N685" s="342" t="str">
        <f t="shared" ref="N685:N700" si="187">IF(B685="","",IF(M685=B685,"si","no"))</f>
        <v/>
      </c>
      <c r="R685" s="341"/>
      <c r="S685" s="341"/>
    </row>
    <row r="686" spans="1:25" ht="12.75" customHeight="1">
      <c r="A686" s="385"/>
      <c r="B686" s="386"/>
      <c r="C686" s="20"/>
      <c r="D686" s="342"/>
      <c r="E686" s="387"/>
      <c r="F686" s="388">
        <f t="shared" ref="F686:F700" si="188">ROUND(C686*E686,2)</f>
        <v>0</v>
      </c>
      <c r="H686" s="341" t="str">
        <f>IF(A686="","",VLOOKUP(A686,VII.A!$A$10:$D$199,4,FALSE))</f>
        <v/>
      </c>
      <c r="I686" s="341" t="str">
        <f t="shared" si="185"/>
        <v/>
      </c>
      <c r="J686" s="341" t="str">
        <f>IF(A686="","",VLOOKUP(A686,VII.A!$A$10:$D$199,3,FALSE))</f>
        <v/>
      </c>
      <c r="K686" s="342" t="str">
        <f t="shared" si="186"/>
        <v/>
      </c>
      <c r="L686" s="380" t="str">
        <f>IF(C686="","",G683*C686)</f>
        <v/>
      </c>
      <c r="M686" s="381" t="str">
        <f>IF(A686="","",VLOOKUP(A686,VII.A!$A$10:$B$199,2,FALSE))</f>
        <v/>
      </c>
      <c r="N686" s="342" t="str">
        <f t="shared" si="187"/>
        <v/>
      </c>
      <c r="R686" s="341"/>
      <c r="S686" s="341"/>
    </row>
    <row r="687" spans="1:25" ht="12.75" customHeight="1">
      <c r="A687" s="385"/>
      <c r="B687" s="386"/>
      <c r="C687" s="20"/>
      <c r="D687" s="342"/>
      <c r="E687" s="387"/>
      <c r="F687" s="388">
        <f t="shared" si="188"/>
        <v>0</v>
      </c>
      <c r="H687" s="341" t="str">
        <f>IF(A687="","",VLOOKUP(A687,VII.A!$A$10:$D$199,4,FALSE))</f>
        <v/>
      </c>
      <c r="I687" s="341" t="str">
        <f t="shared" si="185"/>
        <v/>
      </c>
      <c r="J687" s="341" t="str">
        <f>IF(A687="","",VLOOKUP(A687,VII.A!$A$10:$D$199,3,FALSE))</f>
        <v/>
      </c>
      <c r="K687" s="342" t="str">
        <f t="shared" si="186"/>
        <v/>
      </c>
      <c r="L687" s="380" t="str">
        <f>IF(C687="","",G683*C687)</f>
        <v/>
      </c>
      <c r="M687" s="381" t="str">
        <f>IF(A687="","",VLOOKUP(A687,VII.A!$A$10:$B$199,2,FALSE))</f>
        <v/>
      </c>
      <c r="N687" s="342" t="str">
        <f t="shared" si="187"/>
        <v/>
      </c>
      <c r="R687" s="341"/>
      <c r="S687" s="341"/>
    </row>
    <row r="688" spans="1:25" ht="12.75" customHeight="1">
      <c r="A688" s="385"/>
      <c r="B688" s="386"/>
      <c r="C688" s="20"/>
      <c r="D688" s="342"/>
      <c r="E688" s="387"/>
      <c r="F688" s="388">
        <f t="shared" si="188"/>
        <v>0</v>
      </c>
      <c r="H688" s="341" t="str">
        <f>IF(A688="","",VLOOKUP(A688,VII.A!$A$10:$D$199,4,FALSE))</f>
        <v/>
      </c>
      <c r="I688" s="341" t="str">
        <f t="shared" si="185"/>
        <v/>
      </c>
      <c r="J688" s="341" t="str">
        <f>IF(A688="","",VLOOKUP(A688,VII.A!$A$10:$D$199,3,FALSE))</f>
        <v/>
      </c>
      <c r="K688" s="342" t="str">
        <f t="shared" si="186"/>
        <v/>
      </c>
      <c r="L688" s="380" t="str">
        <f>IF(C688="","",G683*C688)</f>
        <v/>
      </c>
      <c r="M688" s="381" t="str">
        <f>IF(A688="","",VLOOKUP(A688,VII.A!$A$10:$B$199,2,FALSE))</f>
        <v/>
      </c>
      <c r="N688" s="342" t="str">
        <f t="shared" si="187"/>
        <v/>
      </c>
      <c r="R688" s="341"/>
      <c r="S688" s="341"/>
    </row>
    <row r="689" spans="1:21" ht="12.75" customHeight="1">
      <c r="A689" s="385"/>
      <c r="B689" s="386"/>
      <c r="C689" s="20"/>
      <c r="D689" s="342"/>
      <c r="E689" s="387"/>
      <c r="F689" s="388">
        <f t="shared" si="188"/>
        <v>0</v>
      </c>
      <c r="H689" s="341" t="str">
        <f>IF(A689="","",VLOOKUP(A689,VII.A!$A$10:$D$199,4,FALSE))</f>
        <v/>
      </c>
      <c r="I689" s="341" t="str">
        <f t="shared" si="185"/>
        <v/>
      </c>
      <c r="J689" s="341" t="str">
        <f>IF(A689="","",VLOOKUP(A689,VII.A!$A$10:$D$199,3,FALSE))</f>
        <v/>
      </c>
      <c r="K689" s="342" t="str">
        <f t="shared" si="186"/>
        <v/>
      </c>
      <c r="L689" s="380" t="str">
        <f>IF(C689="","",G683*C689)</f>
        <v/>
      </c>
      <c r="M689" s="381" t="str">
        <f>IF(A689="","",VLOOKUP(A689,VII.A!$A$10:$B$199,2,FALSE))</f>
        <v/>
      </c>
      <c r="N689" s="342" t="str">
        <f t="shared" si="187"/>
        <v/>
      </c>
      <c r="R689" s="341"/>
      <c r="S689" s="341"/>
    </row>
    <row r="690" spans="1:21" ht="12.75" customHeight="1">
      <c r="A690" s="385"/>
      <c r="B690" s="386"/>
      <c r="C690" s="20"/>
      <c r="D690" s="342"/>
      <c r="E690" s="387"/>
      <c r="F690" s="388">
        <f t="shared" si="188"/>
        <v>0</v>
      </c>
      <c r="H690" s="341" t="str">
        <f>IF(A690="","",VLOOKUP(A690,VII.A!$A$10:$D$199,4,FALSE))</f>
        <v/>
      </c>
      <c r="I690" s="341" t="str">
        <f t="shared" si="185"/>
        <v/>
      </c>
      <c r="J690" s="341" t="str">
        <f>IF(A690="","",VLOOKUP(A690,VII.A!$A$10:$D$199,3,FALSE))</f>
        <v/>
      </c>
      <c r="K690" s="342" t="str">
        <f t="shared" si="186"/>
        <v/>
      </c>
      <c r="L690" s="380" t="str">
        <f>IF(C690="","",G683*C690)</f>
        <v/>
      </c>
      <c r="M690" s="381" t="str">
        <f>IF(A690="","",VLOOKUP(A690,VII.A!$A$10:$B$199,2,FALSE))</f>
        <v/>
      </c>
      <c r="N690" s="342" t="str">
        <f t="shared" si="187"/>
        <v/>
      </c>
      <c r="R690" s="341"/>
      <c r="S690" s="341"/>
      <c r="U690" s="389"/>
    </row>
    <row r="691" spans="1:21" ht="12.75" customHeight="1">
      <c r="A691" s="385"/>
      <c r="B691" s="386"/>
      <c r="C691" s="20"/>
      <c r="D691" s="342"/>
      <c r="E691" s="387"/>
      <c r="F691" s="388">
        <f t="shared" si="188"/>
        <v>0</v>
      </c>
      <c r="H691" s="341" t="str">
        <f>IF(A691="","",VLOOKUP(A691,VII.A!$A$10:$D$199,4,FALSE))</f>
        <v/>
      </c>
      <c r="I691" s="341" t="str">
        <f t="shared" si="185"/>
        <v/>
      </c>
      <c r="J691" s="341" t="str">
        <f>IF(A691="","",VLOOKUP(A691,VII.A!$A$10:$D$199,3,FALSE))</f>
        <v/>
      </c>
      <c r="K691" s="342" t="str">
        <f t="shared" si="186"/>
        <v/>
      </c>
      <c r="L691" s="380" t="str">
        <f>IF(C691="","",G683*C691)</f>
        <v/>
      </c>
      <c r="M691" s="381" t="str">
        <f>IF(A691="","",VLOOKUP(A691,VII.A!$A$10:$B$199,2,FALSE))</f>
        <v/>
      </c>
      <c r="N691" s="342" t="str">
        <f t="shared" si="187"/>
        <v/>
      </c>
      <c r="R691" s="341"/>
      <c r="S691" s="341"/>
    </row>
    <row r="692" spans="1:21" ht="12.75" customHeight="1">
      <c r="A692" s="385"/>
      <c r="B692" s="386"/>
      <c r="C692" s="20"/>
      <c r="D692" s="342"/>
      <c r="E692" s="387"/>
      <c r="F692" s="388">
        <f t="shared" si="188"/>
        <v>0</v>
      </c>
      <c r="G692" s="390"/>
      <c r="H692" s="341" t="str">
        <f>IF(A692="","",VLOOKUP(A692,VII.A!$A$10:$D$199,4,FALSE))</f>
        <v/>
      </c>
      <c r="I692" s="341" t="str">
        <f t="shared" si="185"/>
        <v/>
      </c>
      <c r="J692" s="341" t="str">
        <f>IF(A692="","",VLOOKUP(A692,VII.A!$A$10:$D$199,3,FALSE))</f>
        <v/>
      </c>
      <c r="K692" s="342" t="str">
        <f t="shared" si="186"/>
        <v/>
      </c>
      <c r="L692" s="380" t="str">
        <f>IF(C692="","",G683*C692)</f>
        <v/>
      </c>
      <c r="M692" s="381" t="str">
        <f>IF(A692="","",VLOOKUP(A692,VII.A!$A$10:$B$199,2,FALSE))</f>
        <v/>
      </c>
      <c r="N692" s="342" t="str">
        <f t="shared" si="187"/>
        <v/>
      </c>
      <c r="R692" s="341"/>
      <c r="S692" s="341"/>
    </row>
    <row r="693" spans="1:21" ht="12.75" customHeight="1">
      <c r="A693" s="385"/>
      <c r="B693" s="386"/>
      <c r="C693" s="20"/>
      <c r="D693" s="342"/>
      <c r="E693" s="387"/>
      <c r="F693" s="388">
        <f t="shared" si="188"/>
        <v>0</v>
      </c>
      <c r="G693" s="390"/>
      <c r="H693" s="341" t="str">
        <f>IF(A693="","",VLOOKUP(A693,VII.A!$A$10:$D$199,4,FALSE))</f>
        <v/>
      </c>
      <c r="I693" s="341" t="str">
        <f t="shared" si="185"/>
        <v/>
      </c>
      <c r="J693" s="341" t="str">
        <f>IF(A693="","",VLOOKUP(A693,VII.A!$A$10:$D$199,3,FALSE))</f>
        <v/>
      </c>
      <c r="K693" s="342" t="str">
        <f t="shared" si="186"/>
        <v/>
      </c>
      <c r="L693" s="380" t="str">
        <f>IF(C693="","",G683*C693)</f>
        <v/>
      </c>
      <c r="M693" s="381" t="str">
        <f>IF(A693="","",VLOOKUP(A693,VII.A!$A$10:$B$199,2,FALSE))</f>
        <v/>
      </c>
      <c r="N693" s="342" t="str">
        <f t="shared" si="187"/>
        <v/>
      </c>
      <c r="R693" s="341"/>
      <c r="S693" s="341"/>
    </row>
    <row r="694" spans="1:21" ht="12.75" customHeight="1">
      <c r="A694" s="385"/>
      <c r="B694" s="386"/>
      <c r="C694" s="20"/>
      <c r="D694" s="342"/>
      <c r="E694" s="387"/>
      <c r="F694" s="388">
        <f t="shared" si="188"/>
        <v>0</v>
      </c>
      <c r="G694" s="391"/>
      <c r="H694" s="341" t="str">
        <f>IF(A694="","",VLOOKUP(A694,VII.A!$A$10:$D$199,4,FALSE))</f>
        <v/>
      </c>
      <c r="I694" s="341" t="str">
        <f t="shared" si="185"/>
        <v/>
      </c>
      <c r="J694" s="341" t="str">
        <f>IF(A694="","",VLOOKUP(A694,VII.A!$A$10:$D$199,3,FALSE))</f>
        <v/>
      </c>
      <c r="K694" s="342" t="str">
        <f t="shared" si="186"/>
        <v/>
      </c>
      <c r="L694" s="380" t="str">
        <f>IF(C694="","",G683*C694)</f>
        <v/>
      </c>
      <c r="M694" s="381" t="str">
        <f>IF(A694="","",VLOOKUP(A694,VII.A!$A$10:$B$199,2,FALSE))</f>
        <v/>
      </c>
      <c r="N694" s="342" t="str">
        <f t="shared" si="187"/>
        <v/>
      </c>
      <c r="R694" s="341"/>
      <c r="S694" s="341"/>
    </row>
    <row r="695" spans="1:21" ht="12.75" customHeight="1">
      <c r="A695" s="385"/>
      <c r="B695" s="386"/>
      <c r="C695" s="20"/>
      <c r="D695" s="342"/>
      <c r="E695" s="387"/>
      <c r="F695" s="388">
        <f t="shared" si="188"/>
        <v>0</v>
      </c>
      <c r="H695" s="341" t="str">
        <f>IF(A695="","",VLOOKUP(A695,VII.A!$A$10:$D$199,4,FALSE))</f>
        <v/>
      </c>
      <c r="I695" s="341" t="str">
        <f t="shared" si="185"/>
        <v/>
      </c>
      <c r="J695" s="341" t="str">
        <f>IF(A695="","",VLOOKUP(A695,VII.A!$A$10:$D$199,3,FALSE))</f>
        <v/>
      </c>
      <c r="K695" s="342" t="str">
        <f t="shared" si="186"/>
        <v/>
      </c>
      <c r="L695" s="380" t="str">
        <f>IF(C695="","",G683*C695)</f>
        <v/>
      </c>
      <c r="M695" s="381" t="str">
        <f>IF(A695="","",VLOOKUP(A695,VII.A!$A$10:$B$199,2,FALSE))</f>
        <v/>
      </c>
      <c r="N695" s="342" t="str">
        <f t="shared" si="187"/>
        <v/>
      </c>
      <c r="R695" s="341"/>
      <c r="S695" s="341"/>
    </row>
    <row r="696" spans="1:21" ht="12.75" customHeight="1">
      <c r="A696" s="385"/>
      <c r="B696" s="386"/>
      <c r="C696" s="20"/>
      <c r="D696" s="392"/>
      <c r="E696" s="387"/>
      <c r="F696" s="388">
        <f t="shared" si="188"/>
        <v>0</v>
      </c>
      <c r="H696" s="341" t="str">
        <f>IF(A696="","",VLOOKUP(A696,VII.A!$A$10:$D$199,4,FALSE))</f>
        <v/>
      </c>
      <c r="I696" s="341" t="str">
        <f t="shared" si="185"/>
        <v/>
      </c>
      <c r="J696" s="341" t="str">
        <f>IF(A696="","",VLOOKUP(A696,VII.A!$A$10:$D$199,3,FALSE))</f>
        <v/>
      </c>
      <c r="K696" s="342" t="str">
        <f t="shared" si="186"/>
        <v/>
      </c>
      <c r="L696" s="380" t="str">
        <f>IF(C696="","",G683*C696)</f>
        <v/>
      </c>
      <c r="M696" s="381" t="str">
        <f>IF(A696="","",VLOOKUP(A696,VII.A!$A$10:$B$199,2,FALSE))</f>
        <v/>
      </c>
      <c r="N696" s="342" t="str">
        <f t="shared" si="187"/>
        <v/>
      </c>
      <c r="R696" s="341"/>
      <c r="S696" s="341"/>
    </row>
    <row r="697" spans="1:21" ht="12.75" customHeight="1">
      <c r="A697" s="385"/>
      <c r="B697" s="386"/>
      <c r="C697" s="20"/>
      <c r="D697" s="392"/>
      <c r="E697" s="387"/>
      <c r="F697" s="388">
        <f t="shared" si="188"/>
        <v>0</v>
      </c>
      <c r="H697" s="341" t="str">
        <f>IF(A697="","",VLOOKUP(A697,VII.A!$A$10:$D$199,4,FALSE))</f>
        <v/>
      </c>
      <c r="I697" s="341" t="str">
        <f t="shared" si="185"/>
        <v/>
      </c>
      <c r="J697" s="341" t="str">
        <f>IF(A697="","",VLOOKUP(A697,VII.A!$A$10:$D$199,3,FALSE))</f>
        <v/>
      </c>
      <c r="K697" s="342" t="str">
        <f t="shared" si="186"/>
        <v/>
      </c>
      <c r="L697" s="380" t="str">
        <f>IF(C697="","",G683*C697)</f>
        <v/>
      </c>
      <c r="M697" s="381" t="str">
        <f>IF(A697="","",VLOOKUP(A697,VII.A!$A$10:$B$199,2,FALSE))</f>
        <v/>
      </c>
      <c r="N697" s="342" t="str">
        <f t="shared" si="187"/>
        <v/>
      </c>
      <c r="O697" s="342"/>
      <c r="R697" s="341"/>
      <c r="S697" s="341"/>
    </row>
    <row r="698" spans="1:21" ht="12.75" customHeight="1">
      <c r="A698" s="385"/>
      <c r="B698" s="386"/>
      <c r="C698" s="20"/>
      <c r="D698" s="392"/>
      <c r="E698" s="387"/>
      <c r="F698" s="388">
        <f t="shared" si="188"/>
        <v>0</v>
      </c>
      <c r="H698" s="341" t="str">
        <f>IF(A698="","",VLOOKUP(A698,VII.A!$A$10:$D$199,4,FALSE))</f>
        <v/>
      </c>
      <c r="I698" s="341" t="str">
        <f t="shared" si="185"/>
        <v/>
      </c>
      <c r="J698" s="341" t="str">
        <f>IF(A698="","",VLOOKUP(A698,VII.A!$A$10:$D$199,3,FALSE))</f>
        <v/>
      </c>
      <c r="K698" s="342" t="str">
        <f t="shared" si="186"/>
        <v/>
      </c>
      <c r="L698" s="380" t="str">
        <f>IF(C698="","",G683*C698)</f>
        <v/>
      </c>
      <c r="M698" s="381" t="str">
        <f>IF(A698="","",VLOOKUP(A698,VII.A!$A$10:$B$199,2,FALSE))</f>
        <v/>
      </c>
      <c r="N698" s="342" t="str">
        <f t="shared" si="187"/>
        <v/>
      </c>
      <c r="R698" s="341"/>
      <c r="S698" s="341"/>
    </row>
    <row r="699" spans="1:21" ht="12.75" customHeight="1">
      <c r="A699" s="393"/>
      <c r="C699" s="20"/>
      <c r="E699" s="387"/>
      <c r="F699" s="388">
        <f t="shared" si="188"/>
        <v>0</v>
      </c>
      <c r="H699" s="341" t="str">
        <f>IF(A699="","",VLOOKUP(A699,VII.A!$A$10:$D$199,4,FALSE))</f>
        <v/>
      </c>
      <c r="I699" s="341" t="str">
        <f t="shared" si="185"/>
        <v/>
      </c>
      <c r="J699" s="341" t="str">
        <f>IF(A699="","",VLOOKUP(A699,VII.A!$A$10:$D$199,3,FALSE))</f>
        <v/>
      </c>
      <c r="K699" s="342" t="str">
        <f t="shared" si="186"/>
        <v/>
      </c>
      <c r="L699" s="380" t="str">
        <f>IF(C699="","",G683*C699)</f>
        <v/>
      </c>
      <c r="M699" s="381" t="str">
        <f>IF(A699="","",VLOOKUP(A699,VII.A!$A$10:$B$199,2,FALSE))</f>
        <v/>
      </c>
      <c r="N699" s="342" t="str">
        <f t="shared" si="187"/>
        <v/>
      </c>
      <c r="R699" s="341"/>
      <c r="S699" s="341"/>
    </row>
    <row r="700" spans="1:21" ht="12.75" customHeight="1">
      <c r="A700" s="393"/>
      <c r="C700" s="20"/>
      <c r="E700" s="387"/>
      <c r="F700" s="388">
        <f t="shared" si="188"/>
        <v>0</v>
      </c>
      <c r="H700" s="341" t="str">
        <f>IF(A700="","",VLOOKUP(A700,VII.A!$A$10:$D$199,4,FALSE))</f>
        <v/>
      </c>
      <c r="I700" s="341" t="str">
        <f t="shared" si="185"/>
        <v/>
      </c>
      <c r="J700" s="341" t="str">
        <f>IF(A700="","",VLOOKUP(A700,VII.A!$A$10:$D$199,3,FALSE))</f>
        <v/>
      </c>
      <c r="K700" s="342" t="str">
        <f t="shared" si="186"/>
        <v/>
      </c>
      <c r="L700" s="380" t="str">
        <f>IF(C700="","",G683*C700)</f>
        <v/>
      </c>
      <c r="M700" s="381" t="str">
        <f>IF(A700="","",VLOOKUP(A700,VII.A!$A$10:$B$199,2,FALSE))</f>
        <v/>
      </c>
      <c r="N700" s="342" t="str">
        <f t="shared" si="187"/>
        <v/>
      </c>
      <c r="R700" s="341"/>
      <c r="S700" s="341"/>
    </row>
    <row r="701" spans="1:21" ht="12.75" customHeight="1">
      <c r="A701" s="393"/>
      <c r="B701" s="395" t="s">
        <v>226</v>
      </c>
      <c r="C701" s="396"/>
      <c r="D701" s="397"/>
      <c r="E701" s="398"/>
      <c r="F701" s="399">
        <f>SUM(F685:F700)</f>
        <v>0</v>
      </c>
      <c r="H701" s="426"/>
      <c r="J701" s="341"/>
      <c r="L701" s="380"/>
      <c r="M701" s="381"/>
      <c r="N701" s="342"/>
      <c r="R701" s="341"/>
      <c r="S701" s="341"/>
    </row>
    <row r="702" spans="1:21" ht="12.75" customHeight="1">
      <c r="A702" s="393"/>
      <c r="B702" s="400" t="s">
        <v>53</v>
      </c>
      <c r="C702" s="2">
        <f>$D$8</f>
        <v>0</v>
      </c>
      <c r="D702" s="401"/>
      <c r="E702" s="402"/>
      <c r="F702" s="403">
        <f>ROUND(F701*C702,2)</f>
        <v>0</v>
      </c>
      <c r="J702" s="341"/>
      <c r="L702" s="380"/>
      <c r="M702" s="381"/>
      <c r="N702" s="342"/>
      <c r="R702" s="341"/>
      <c r="S702" s="341"/>
    </row>
    <row r="703" spans="1:21" ht="12.75" customHeight="1">
      <c r="A703" s="404"/>
      <c r="B703" s="405" t="s">
        <v>227</v>
      </c>
      <c r="C703" s="406"/>
      <c r="D703" s="406"/>
      <c r="E703" s="407"/>
      <c r="F703" s="408">
        <f>F701+F702</f>
        <v>0</v>
      </c>
      <c r="J703" s="341"/>
      <c r="L703" s="380"/>
      <c r="M703" s="381"/>
      <c r="N703" s="342"/>
      <c r="R703" s="341"/>
      <c r="S703" s="341"/>
    </row>
    <row r="704" spans="1:21" ht="12.75" customHeight="1">
      <c r="A704" s="374" t="s">
        <v>2</v>
      </c>
      <c r="B704" s="375" t="s">
        <v>235</v>
      </c>
      <c r="C704" s="376" t="s">
        <v>231</v>
      </c>
      <c r="D704" s="376" t="s">
        <v>232</v>
      </c>
      <c r="E704" s="377" t="s">
        <v>233</v>
      </c>
      <c r="F704" s="378" t="s">
        <v>234</v>
      </c>
      <c r="J704" s="341"/>
      <c r="L704" s="380"/>
      <c r="M704" s="381"/>
      <c r="N704" s="342"/>
      <c r="R704" s="341"/>
      <c r="S704" s="341"/>
    </row>
    <row r="705" spans="1:19" ht="12.75" customHeight="1">
      <c r="A705" s="393" t="str">
        <f>VII.A!$A$150</f>
        <v>2.8</v>
      </c>
      <c r="B705" s="394" t="str">
        <f>VLOOKUP(A705,VII.A!$A$10:$G$199,2,FALSE)</f>
        <v>CAMINHÃO BASCULANTE, INCLUINDO CACAMBA METÁLICA DE 6 M3 - CHP</v>
      </c>
      <c r="C705" s="20">
        <v>8.9999999999999993E-3</v>
      </c>
      <c r="D705" s="384" t="str">
        <f>VLOOKUP(A705,VII.A!$A$10:$G$199,3,FALSE)</f>
        <v>CHP</v>
      </c>
      <c r="E705" s="387">
        <f>VII.A!$D$150</f>
        <v>0</v>
      </c>
      <c r="F705" s="388">
        <f t="shared" ref="F705:F714" si="189">ROUND(C705*E705,2)</f>
        <v>0</v>
      </c>
      <c r="H705" s="341">
        <f>IF(A705="","",VLOOKUP(A705,VII.A!$A$10:$D$199,4,FALSE))</f>
        <v>0</v>
      </c>
      <c r="I705" s="341" t="str">
        <f t="shared" ref="I705:I714" si="190">IF(A705="","",IF(E705=H705,"SIM","NÃO"))</f>
        <v>SIM</v>
      </c>
      <c r="J705" s="341" t="str">
        <f>IF(A705="","",VLOOKUP(A705,VII.A!$A$10:$D$199,3,FALSE))</f>
        <v>CHP</v>
      </c>
      <c r="K705" s="342" t="str">
        <f t="shared" ref="K705:K714" si="191">IF(A705="","",IF(J705=D705,"SIM","NÃO"))</f>
        <v>SIM</v>
      </c>
      <c r="L705" s="380">
        <f>IF(C705="","",G683*C705)</f>
        <v>94.499999999999986</v>
      </c>
      <c r="M705" s="381" t="str">
        <f>IF(A705="","",VLOOKUP(A705,VII.A!$A$10:$B$199,2,FALSE))</f>
        <v>CAMINHÃO BASCULANTE, INCLUINDO CACAMBA METÁLICA DE 6 M3 - CHP</v>
      </c>
      <c r="N705" s="342" t="str">
        <f t="shared" ref="N705:N714" si="192">IF(B705="","",IF(M705=B705,"si","no"))</f>
        <v>si</v>
      </c>
      <c r="R705" s="341"/>
      <c r="S705" s="341"/>
    </row>
    <row r="706" spans="1:19" ht="12.75" customHeight="1">
      <c r="A706" s="393"/>
      <c r="C706" s="20"/>
      <c r="E706" s="387"/>
      <c r="F706" s="388">
        <f t="shared" si="189"/>
        <v>0</v>
      </c>
      <c r="H706" s="341" t="str">
        <f>IF(A706="","",VLOOKUP(A706,VII.A!$A$10:$D$199,4,FALSE))</f>
        <v/>
      </c>
      <c r="I706" s="341" t="str">
        <f t="shared" si="190"/>
        <v/>
      </c>
      <c r="J706" s="341" t="str">
        <f>IF(A706="","",VLOOKUP(A706,VII.A!$A$10:$D$199,3,FALSE))</f>
        <v/>
      </c>
      <c r="K706" s="342" t="str">
        <f t="shared" si="191"/>
        <v/>
      </c>
      <c r="L706" s="380" t="str">
        <f>IF(C706="","",G683*C706)</f>
        <v/>
      </c>
      <c r="M706" s="381" t="str">
        <f>IF(A706="","",VLOOKUP(A706,VII.A!$A$10:$B$199,2,FALSE))</f>
        <v/>
      </c>
      <c r="N706" s="342" t="str">
        <f t="shared" si="192"/>
        <v/>
      </c>
      <c r="R706" s="341"/>
      <c r="S706" s="341"/>
    </row>
    <row r="707" spans="1:19" ht="12.75" customHeight="1">
      <c r="A707" s="393"/>
      <c r="C707" s="20"/>
      <c r="E707" s="387"/>
      <c r="F707" s="388">
        <f t="shared" si="189"/>
        <v>0</v>
      </c>
      <c r="H707" s="341" t="str">
        <f>IF(A707="","",VLOOKUP(A707,VII.A!$A$10:$D$199,4,FALSE))</f>
        <v/>
      </c>
      <c r="I707" s="341" t="str">
        <f t="shared" si="190"/>
        <v/>
      </c>
      <c r="J707" s="341" t="str">
        <f>IF(A707="","",VLOOKUP(A707,VII.A!$A$10:$D$199,3,FALSE))</f>
        <v/>
      </c>
      <c r="K707" s="342" t="str">
        <f t="shared" si="191"/>
        <v/>
      </c>
      <c r="L707" s="380" t="str">
        <f>IF(C707="","",G683*C707)</f>
        <v/>
      </c>
      <c r="M707" s="381" t="str">
        <f>IF(A707="","",VLOOKUP(A707,VII.A!$A$10:$B$199,2,FALSE))</f>
        <v/>
      </c>
      <c r="N707" s="342" t="str">
        <f t="shared" si="192"/>
        <v/>
      </c>
      <c r="R707" s="341"/>
      <c r="S707" s="341"/>
    </row>
    <row r="708" spans="1:19" ht="12.75" customHeight="1">
      <c r="A708" s="393"/>
      <c r="C708" s="20"/>
      <c r="E708" s="387"/>
      <c r="F708" s="388">
        <f t="shared" si="189"/>
        <v>0</v>
      </c>
      <c r="H708" s="341" t="str">
        <f>IF(A708="","",VLOOKUP(A708,VII.A!$A$10:$D$199,4,FALSE))</f>
        <v/>
      </c>
      <c r="I708" s="341" t="str">
        <f t="shared" si="190"/>
        <v/>
      </c>
      <c r="J708" s="341" t="str">
        <f>IF(A708="","",VLOOKUP(A708,VII.A!$A$10:$D$199,3,FALSE))</f>
        <v/>
      </c>
      <c r="K708" s="342" t="str">
        <f t="shared" si="191"/>
        <v/>
      </c>
      <c r="L708" s="380" t="str">
        <f>IF(C708="","",G683*C708)</f>
        <v/>
      </c>
      <c r="M708" s="381" t="str">
        <f>IF(A708="","",VLOOKUP(A708,VII.A!$A$10:$B$199,2,FALSE))</f>
        <v/>
      </c>
      <c r="N708" s="342" t="str">
        <f t="shared" si="192"/>
        <v/>
      </c>
      <c r="R708" s="341"/>
      <c r="S708" s="341"/>
    </row>
    <row r="709" spans="1:19" ht="12.75" customHeight="1">
      <c r="A709" s="393"/>
      <c r="C709" s="20"/>
      <c r="E709" s="387"/>
      <c r="F709" s="388">
        <f t="shared" si="189"/>
        <v>0</v>
      </c>
      <c r="G709" s="390"/>
      <c r="H709" s="341" t="str">
        <f>IF(A709="","",VLOOKUP(A709,VII.A!$A$10:$D$199,4,FALSE))</f>
        <v/>
      </c>
      <c r="I709" s="341" t="str">
        <f t="shared" si="190"/>
        <v/>
      </c>
      <c r="J709" s="341" t="str">
        <f>IF(A709="","",VLOOKUP(A709,VII.A!$A$10:$D$199,3,FALSE))</f>
        <v/>
      </c>
      <c r="K709" s="342" t="str">
        <f t="shared" si="191"/>
        <v/>
      </c>
      <c r="L709" s="380" t="str">
        <f>IF(C709="","",G683*C709)</f>
        <v/>
      </c>
      <c r="M709" s="381" t="str">
        <f>IF(A709="","",VLOOKUP(A709,VII.A!$A$10:$B$199,2,FALSE))</f>
        <v/>
      </c>
      <c r="N709" s="342" t="str">
        <f t="shared" si="192"/>
        <v/>
      </c>
      <c r="R709" s="341"/>
      <c r="S709" s="341"/>
    </row>
    <row r="710" spans="1:19" ht="12.75" customHeight="1">
      <c r="A710" s="393"/>
      <c r="C710" s="20"/>
      <c r="E710" s="387"/>
      <c r="F710" s="388">
        <f t="shared" si="189"/>
        <v>0</v>
      </c>
      <c r="G710" s="391"/>
      <c r="H710" s="341" t="str">
        <f>IF(A710="","",VLOOKUP(A710,VII.A!$A$10:$D$199,4,FALSE))</f>
        <v/>
      </c>
      <c r="I710" s="341" t="str">
        <f t="shared" si="190"/>
        <v/>
      </c>
      <c r="J710" s="341" t="str">
        <f>IF(A710="","",VLOOKUP(A710,VII.A!$A$10:$D$199,3,FALSE))</f>
        <v/>
      </c>
      <c r="K710" s="342" t="str">
        <f t="shared" si="191"/>
        <v/>
      </c>
      <c r="L710" s="380" t="str">
        <f>IF(C710="","",G683*C710)</f>
        <v/>
      </c>
      <c r="M710" s="381" t="str">
        <f>IF(A710="","",VLOOKUP(A710,VII.A!$A$10:$B$199,2,FALSE))</f>
        <v/>
      </c>
      <c r="N710" s="342" t="str">
        <f t="shared" si="192"/>
        <v/>
      </c>
      <c r="R710" s="341"/>
      <c r="S710" s="341"/>
    </row>
    <row r="711" spans="1:19" ht="12.75" customHeight="1">
      <c r="A711" s="393"/>
      <c r="C711" s="20"/>
      <c r="E711" s="387"/>
      <c r="F711" s="388">
        <f t="shared" si="189"/>
        <v>0</v>
      </c>
      <c r="H711" s="341" t="str">
        <f>IF(A711="","",VLOOKUP(A711,VII.A!$A$10:$D$199,4,FALSE))</f>
        <v/>
      </c>
      <c r="I711" s="341" t="str">
        <f t="shared" si="190"/>
        <v/>
      </c>
      <c r="J711" s="341" t="str">
        <f>IF(A711="","",VLOOKUP(A711,VII.A!$A$10:$D$199,3,FALSE))</f>
        <v/>
      </c>
      <c r="K711" s="342" t="str">
        <f t="shared" si="191"/>
        <v/>
      </c>
      <c r="L711" s="380" t="str">
        <f>IF(C711="","",G683*C711)</f>
        <v/>
      </c>
      <c r="M711" s="381" t="str">
        <f>IF(A711="","",VLOOKUP(A711,VII.A!$A$10:$B$199,2,FALSE))</f>
        <v/>
      </c>
      <c r="N711" s="342" t="str">
        <f t="shared" si="192"/>
        <v/>
      </c>
      <c r="R711" s="341"/>
      <c r="S711" s="341"/>
    </row>
    <row r="712" spans="1:19" ht="12.75" customHeight="1">
      <c r="A712" s="393"/>
      <c r="C712" s="20"/>
      <c r="E712" s="387"/>
      <c r="F712" s="388">
        <f t="shared" si="189"/>
        <v>0</v>
      </c>
      <c r="H712" s="341" t="str">
        <f>IF(A712="","",VLOOKUP(A712,VII.A!$A$10:$D$199,4,FALSE))</f>
        <v/>
      </c>
      <c r="I712" s="341" t="str">
        <f t="shared" si="190"/>
        <v/>
      </c>
      <c r="J712" s="341" t="str">
        <f>IF(A712="","",VLOOKUP(A712,VII.A!$A$10:$D$199,3,FALSE))</f>
        <v/>
      </c>
      <c r="K712" s="342" t="str">
        <f t="shared" si="191"/>
        <v/>
      </c>
      <c r="L712" s="380" t="str">
        <f>IF(C712="","",G683*C712)</f>
        <v/>
      </c>
      <c r="M712" s="381" t="str">
        <f>IF(A712="","",VLOOKUP(A712,VII.A!$A$10:$B$199,2,FALSE))</f>
        <v/>
      </c>
      <c r="N712" s="342" t="str">
        <f t="shared" si="192"/>
        <v/>
      </c>
      <c r="R712" s="341"/>
      <c r="S712" s="341"/>
    </row>
    <row r="713" spans="1:19" ht="12.75" customHeight="1">
      <c r="A713" s="393"/>
      <c r="C713" s="20"/>
      <c r="E713" s="387"/>
      <c r="F713" s="388">
        <f t="shared" si="189"/>
        <v>0</v>
      </c>
      <c r="H713" s="341" t="str">
        <f>IF(A713="","",VLOOKUP(A713,VII.A!$A$10:$D$199,4,FALSE))</f>
        <v/>
      </c>
      <c r="I713" s="341" t="str">
        <f t="shared" si="190"/>
        <v/>
      </c>
      <c r="J713" s="341" t="str">
        <f>IF(A713="","",VLOOKUP(A713,VII.A!$A$10:$D$199,3,FALSE))</f>
        <v/>
      </c>
      <c r="K713" s="342" t="str">
        <f t="shared" si="191"/>
        <v/>
      </c>
      <c r="L713" s="380" t="str">
        <f>IF(C713="","",G683*C713)</f>
        <v/>
      </c>
      <c r="M713" s="381" t="str">
        <f>IF(A713="","",VLOOKUP(A713,VII.A!$A$10:$B$199,2,FALSE))</f>
        <v/>
      </c>
      <c r="N713" s="342" t="str">
        <f t="shared" si="192"/>
        <v/>
      </c>
      <c r="R713" s="341"/>
      <c r="S713" s="341"/>
    </row>
    <row r="714" spans="1:19" ht="12.75" customHeight="1">
      <c r="A714" s="393"/>
      <c r="C714" s="20"/>
      <c r="E714" s="387"/>
      <c r="F714" s="388">
        <f t="shared" si="189"/>
        <v>0</v>
      </c>
      <c r="H714" s="341" t="str">
        <f>IF(A714="","",VLOOKUP(A714,VII.A!$A$10:$D$199,4,FALSE))</f>
        <v/>
      </c>
      <c r="I714" s="341" t="str">
        <f t="shared" si="190"/>
        <v/>
      </c>
      <c r="J714" s="341" t="str">
        <f>IF(A714="","",VLOOKUP(A714,VII.A!$A$10:$D$199,3,FALSE))</f>
        <v/>
      </c>
      <c r="K714" s="342" t="str">
        <f t="shared" si="191"/>
        <v/>
      </c>
      <c r="L714" s="380" t="str">
        <f>IF(C714="","",G683*C714)</f>
        <v/>
      </c>
      <c r="M714" s="381" t="str">
        <f>IF(A714="","",VLOOKUP(A714,VII.A!$A$10:$B$199,2,FALSE))</f>
        <v/>
      </c>
      <c r="N714" s="342" t="str">
        <f t="shared" si="192"/>
        <v/>
      </c>
      <c r="R714" s="341"/>
      <c r="S714" s="341"/>
    </row>
    <row r="715" spans="1:19" ht="12.75" customHeight="1">
      <c r="A715" s="393"/>
      <c r="B715" s="395" t="s">
        <v>226</v>
      </c>
      <c r="C715" s="396"/>
      <c r="D715" s="397"/>
      <c r="E715" s="398"/>
      <c r="F715" s="399">
        <f>SUM(F705:F714)</f>
        <v>0</v>
      </c>
      <c r="J715" s="341"/>
      <c r="L715" s="380"/>
      <c r="M715" s="381"/>
      <c r="N715" s="342"/>
      <c r="R715" s="341"/>
      <c r="S715" s="341"/>
    </row>
    <row r="716" spans="1:19" ht="12.75" customHeight="1">
      <c r="A716" s="393"/>
      <c r="B716" s="400" t="s">
        <v>53</v>
      </c>
      <c r="C716" s="2">
        <f>$D$8</f>
        <v>0</v>
      </c>
      <c r="D716" s="401"/>
      <c r="E716" s="402"/>
      <c r="F716" s="403">
        <f>ROUND(C716*F715,2)</f>
        <v>0</v>
      </c>
      <c r="J716" s="341"/>
      <c r="L716" s="380"/>
      <c r="M716" s="381"/>
      <c r="N716" s="342"/>
      <c r="R716" s="341"/>
      <c r="S716" s="341"/>
    </row>
    <row r="717" spans="1:19" ht="12.75" customHeight="1">
      <c r="A717" s="404"/>
      <c r="B717" s="405" t="s">
        <v>228</v>
      </c>
      <c r="C717" s="406"/>
      <c r="D717" s="406"/>
      <c r="E717" s="407"/>
      <c r="F717" s="408">
        <f>F715+F716</f>
        <v>0</v>
      </c>
      <c r="J717" s="341"/>
      <c r="L717" s="380"/>
      <c r="M717" s="381"/>
      <c r="N717" s="342"/>
      <c r="R717" s="341"/>
      <c r="S717" s="341"/>
    </row>
    <row r="718" spans="1:19" ht="12.75" customHeight="1">
      <c r="A718" s="409" t="s">
        <v>47</v>
      </c>
      <c r="B718" s="410" t="s">
        <v>236</v>
      </c>
      <c r="C718" s="411" t="s">
        <v>231</v>
      </c>
      <c r="D718" s="412" t="s">
        <v>232</v>
      </c>
      <c r="E718" s="413" t="s">
        <v>233</v>
      </c>
      <c r="F718" s="378" t="s">
        <v>234</v>
      </c>
      <c r="J718" s="341"/>
      <c r="L718" s="380"/>
      <c r="M718" s="381"/>
      <c r="N718" s="342"/>
      <c r="R718" s="341"/>
      <c r="S718" s="341"/>
    </row>
    <row r="719" spans="1:19" ht="12.75" customHeight="1">
      <c r="A719" s="393"/>
      <c r="C719" s="20"/>
      <c r="E719" s="387"/>
      <c r="F719" s="388">
        <f t="shared" ref="F719:F725" si="193">ROUND(C719*E719,2)</f>
        <v>0</v>
      </c>
      <c r="H719" s="341" t="str">
        <f>IF(A719="","",VLOOKUP(A719,VII.A!$A$10:$D$199,4,FALSE))</f>
        <v/>
      </c>
      <c r="I719" s="341" t="str">
        <f t="shared" ref="I719:I725" si="194">IF(A719="","",IF(E719=H719,"SIM","NÃO"))</f>
        <v/>
      </c>
      <c r="J719" s="341" t="str">
        <f>IF(A719="","",VLOOKUP(A719,VII.A!$A$10:$D$199,3,FALSE))</f>
        <v/>
      </c>
      <c r="K719" s="342" t="str">
        <f t="shared" ref="K719:K725" si="195">IF(A719="","",IF(J719=D719,"SIM","NÃO"))</f>
        <v/>
      </c>
      <c r="L719" s="380" t="str">
        <f>IF(C719="","",G683*C719)</f>
        <v/>
      </c>
      <c r="M719" s="381" t="str">
        <f>IF(A719="","",VLOOKUP(A719,VII.A!$A$10:$B$199,2,FALSE))</f>
        <v/>
      </c>
      <c r="N719" s="342" t="str">
        <f t="shared" ref="N719:N725" si="196">IF(B719="","",IF(M719=B719,"si","no"))</f>
        <v/>
      </c>
      <c r="R719" s="341"/>
      <c r="S719" s="341"/>
    </row>
    <row r="720" spans="1:19" ht="12.75" customHeight="1">
      <c r="A720" s="393"/>
      <c r="C720" s="20"/>
      <c r="E720" s="387"/>
      <c r="F720" s="388">
        <f t="shared" si="193"/>
        <v>0</v>
      </c>
      <c r="H720" s="341" t="str">
        <f>IF(A720="","",VLOOKUP(A720,VII.A!$A$10:$D$199,4,FALSE))</f>
        <v/>
      </c>
      <c r="I720" s="341" t="str">
        <f t="shared" si="194"/>
        <v/>
      </c>
      <c r="J720" s="341" t="str">
        <f>IF(A720="","",VLOOKUP(A720,VII.A!$A$10:$D$199,3,FALSE))</f>
        <v/>
      </c>
      <c r="K720" s="342" t="str">
        <f t="shared" si="195"/>
        <v/>
      </c>
      <c r="L720" s="380" t="str">
        <f>IF(C720="","",G683*C720)</f>
        <v/>
      </c>
      <c r="M720" s="381" t="str">
        <f>IF(A720="","",VLOOKUP(A720,VII.A!$A$10:$B$199,2,FALSE))</f>
        <v/>
      </c>
      <c r="N720" s="342" t="str">
        <f t="shared" si="196"/>
        <v/>
      </c>
      <c r="R720" s="341"/>
      <c r="S720" s="341"/>
    </row>
    <row r="721" spans="1:25" ht="12.75" customHeight="1">
      <c r="A721" s="393"/>
      <c r="C721" s="20"/>
      <c r="E721" s="387"/>
      <c r="F721" s="388">
        <f t="shared" si="193"/>
        <v>0</v>
      </c>
      <c r="H721" s="341" t="str">
        <f>IF(A721="","",VLOOKUP(A721,VII.A!$A$10:$D$199,4,FALSE))</f>
        <v/>
      </c>
      <c r="I721" s="341" t="str">
        <f t="shared" si="194"/>
        <v/>
      </c>
      <c r="J721" s="341" t="str">
        <f>IF(A721="","",VLOOKUP(A721,VII.A!$A$10:$D$199,3,FALSE))</f>
        <v/>
      </c>
      <c r="K721" s="342" t="str">
        <f t="shared" si="195"/>
        <v/>
      </c>
      <c r="L721" s="380" t="str">
        <f>IF(C721="","",G683*C721)</f>
        <v/>
      </c>
      <c r="M721" s="381" t="str">
        <f>IF(A721="","",VLOOKUP(A721,VII.A!$A$10:$B$199,2,FALSE))</f>
        <v/>
      </c>
      <c r="N721" s="342" t="str">
        <f t="shared" si="196"/>
        <v/>
      </c>
      <c r="R721" s="341"/>
      <c r="S721" s="341"/>
    </row>
    <row r="722" spans="1:25" ht="12.75" customHeight="1">
      <c r="A722" s="393"/>
      <c r="C722" s="20"/>
      <c r="E722" s="387"/>
      <c r="F722" s="388">
        <f t="shared" si="193"/>
        <v>0</v>
      </c>
      <c r="H722" s="341" t="str">
        <f>IF(A722="","",VLOOKUP(A722,VII.A!$A$10:$D$199,4,FALSE))</f>
        <v/>
      </c>
      <c r="I722" s="341" t="str">
        <f t="shared" si="194"/>
        <v/>
      </c>
      <c r="J722" s="341" t="str">
        <f>IF(A722="","",VLOOKUP(A722,VII.A!$A$10:$D$199,3,FALSE))</f>
        <v/>
      </c>
      <c r="K722" s="342" t="str">
        <f t="shared" si="195"/>
        <v/>
      </c>
      <c r="L722" s="380" t="str">
        <f>IF(C722="","",G683*C722)</f>
        <v/>
      </c>
      <c r="M722" s="381" t="str">
        <f>IF(A722="","",VLOOKUP(A722,VII.A!$A$10:$B$199,2,FALSE))</f>
        <v/>
      </c>
      <c r="N722" s="342" t="str">
        <f t="shared" si="196"/>
        <v/>
      </c>
      <c r="R722" s="341"/>
      <c r="S722" s="341"/>
    </row>
    <row r="723" spans="1:25" ht="12.75" customHeight="1">
      <c r="A723" s="393"/>
      <c r="C723" s="20"/>
      <c r="E723" s="387"/>
      <c r="F723" s="388">
        <f t="shared" si="193"/>
        <v>0</v>
      </c>
      <c r="H723" s="341" t="str">
        <f>IF(A723="","",VLOOKUP(A723,VII.A!$A$10:$D$199,4,FALSE))</f>
        <v/>
      </c>
      <c r="I723" s="341" t="str">
        <f t="shared" si="194"/>
        <v/>
      </c>
      <c r="J723" s="341" t="str">
        <f>IF(A723="","",VLOOKUP(A723,VII.A!$A$10:$D$199,3,FALSE))</f>
        <v/>
      </c>
      <c r="K723" s="342" t="str">
        <f t="shared" si="195"/>
        <v/>
      </c>
      <c r="L723" s="380" t="str">
        <f>IF(C723="","",G683*C723)</f>
        <v/>
      </c>
      <c r="M723" s="381" t="str">
        <f>IF(A723="","",VLOOKUP(A723,VII.A!$A$10:$B$199,2,FALSE))</f>
        <v/>
      </c>
      <c r="N723" s="342" t="str">
        <f t="shared" si="196"/>
        <v/>
      </c>
      <c r="R723" s="341"/>
      <c r="S723" s="341"/>
    </row>
    <row r="724" spans="1:25" ht="12.75" customHeight="1">
      <c r="A724" s="393"/>
      <c r="C724" s="20"/>
      <c r="E724" s="387"/>
      <c r="F724" s="388">
        <f t="shared" si="193"/>
        <v>0</v>
      </c>
      <c r="H724" s="341" t="str">
        <f>IF(A724="","",VLOOKUP(A724,VII.A!$A$10:$D$199,4,FALSE))</f>
        <v/>
      </c>
      <c r="I724" s="341" t="str">
        <f t="shared" si="194"/>
        <v/>
      </c>
      <c r="J724" s="341" t="str">
        <f>IF(A724="","",VLOOKUP(A724,VII.A!$A$10:$D$199,3,FALSE))</f>
        <v/>
      </c>
      <c r="K724" s="342" t="str">
        <f t="shared" si="195"/>
        <v/>
      </c>
      <c r="L724" s="380" t="str">
        <f>IF(C724="","",G683*C724)</f>
        <v/>
      </c>
      <c r="M724" s="381" t="str">
        <f>IF(A724="","",VLOOKUP(A724,VII.A!$A$10:$B$199,2,FALSE))</f>
        <v/>
      </c>
      <c r="N724" s="342" t="str">
        <f t="shared" si="196"/>
        <v/>
      </c>
      <c r="R724" s="341"/>
      <c r="S724" s="341"/>
    </row>
    <row r="725" spans="1:25" ht="12.75" customHeight="1">
      <c r="A725" s="393"/>
      <c r="C725" s="20"/>
      <c r="E725" s="387"/>
      <c r="F725" s="388">
        <f t="shared" si="193"/>
        <v>0</v>
      </c>
      <c r="H725" s="341" t="str">
        <f>IF(A725="","",VLOOKUP(A725,VII.A!$A$10:$D$199,4,FALSE))</f>
        <v/>
      </c>
      <c r="I725" s="341" t="str">
        <f t="shared" si="194"/>
        <v/>
      </c>
      <c r="J725" s="341" t="str">
        <f>IF(A725="","",VLOOKUP(A725,VII.A!$A$10:$D$199,3,FALSE))</f>
        <v/>
      </c>
      <c r="K725" s="342" t="str">
        <f t="shared" si="195"/>
        <v/>
      </c>
      <c r="L725" s="380" t="str">
        <f>IF(C725="","",G683*C725)</f>
        <v/>
      </c>
      <c r="M725" s="381" t="str">
        <f>IF(A725="","",VLOOKUP(A725,VII.A!$A$10:$B$199,2,FALSE))</f>
        <v/>
      </c>
      <c r="N725" s="342" t="str">
        <f t="shared" si="196"/>
        <v/>
      </c>
      <c r="R725" s="341"/>
      <c r="S725" s="341"/>
    </row>
    <row r="726" spans="1:25" ht="12.75" customHeight="1">
      <c r="A726" s="393"/>
      <c r="B726" s="395" t="s">
        <v>226</v>
      </c>
      <c r="C726" s="396"/>
      <c r="D726" s="397"/>
      <c r="E726" s="398"/>
      <c r="F726" s="399">
        <f>SUM(F719:F725)</f>
        <v>0</v>
      </c>
      <c r="J726" s="341"/>
      <c r="L726" s="380"/>
      <c r="M726" s="381"/>
      <c r="N726" s="342"/>
      <c r="R726" s="341"/>
      <c r="S726" s="341"/>
    </row>
    <row r="727" spans="1:25" ht="12.75" customHeight="1">
      <c r="A727" s="393"/>
      <c r="B727" s="400" t="s">
        <v>229</v>
      </c>
      <c r="C727" s="2">
        <f>IX.A!$C$45</f>
        <v>0</v>
      </c>
      <c r="D727" s="401"/>
      <c r="E727" s="402"/>
      <c r="F727" s="403">
        <f>ROUND(F726*C727,2)</f>
        <v>0</v>
      </c>
      <c r="J727" s="341"/>
      <c r="L727" s="380"/>
      <c r="M727" s="381"/>
      <c r="N727" s="342"/>
      <c r="R727" s="341"/>
      <c r="S727" s="341"/>
    </row>
    <row r="728" spans="1:25" ht="12.75" customHeight="1">
      <c r="A728" s="393"/>
      <c r="B728" s="400" t="s">
        <v>53</v>
      </c>
      <c r="C728" s="2">
        <f>$D$8</f>
        <v>0</v>
      </c>
      <c r="D728" s="401"/>
      <c r="E728" s="402"/>
      <c r="F728" s="403">
        <f>ROUND(SUM(F726:F727)*C728,2)</f>
        <v>0</v>
      </c>
      <c r="J728" s="341"/>
      <c r="L728" s="380"/>
      <c r="M728" s="381"/>
      <c r="N728" s="342"/>
      <c r="R728" s="341"/>
      <c r="S728" s="341"/>
    </row>
    <row r="729" spans="1:25" ht="12.75" customHeight="1" thickBot="1">
      <c r="A729" s="414"/>
      <c r="B729" s="415" t="s">
        <v>230</v>
      </c>
      <c r="C729" s="416"/>
      <c r="D729" s="416"/>
      <c r="E729" s="417"/>
      <c r="F729" s="418">
        <f>SUM(F726:F728)</f>
        <v>0</v>
      </c>
      <c r="J729" s="341"/>
      <c r="L729" s="380"/>
      <c r="M729" s="381"/>
      <c r="N729" s="342"/>
      <c r="R729" s="341"/>
      <c r="S729" s="341"/>
    </row>
    <row r="730" spans="1:25" ht="12.75" customHeight="1" thickBot="1">
      <c r="A730" s="357"/>
      <c r="B730" s="358"/>
      <c r="C730" s="359"/>
      <c r="D730" s="359"/>
      <c r="E730" s="360"/>
      <c r="F730" s="419"/>
      <c r="J730" s="341"/>
      <c r="L730" s="380"/>
      <c r="M730" s="381"/>
      <c r="N730" s="342"/>
      <c r="R730" s="341"/>
      <c r="S730" s="341"/>
    </row>
    <row r="731" spans="1:25" ht="30" customHeight="1">
      <c r="A731" s="370" t="str">
        <f>IV.A!$A$36</f>
        <v>2.2.4</v>
      </c>
      <c r="B731" s="371" t="str">
        <f>IV.A!$B$36</f>
        <v>LOCAL LICENCIADO PARA DEPÓSITO DE BOTA FORA</v>
      </c>
      <c r="C731" s="871" t="s">
        <v>237</v>
      </c>
      <c r="D731" s="872"/>
      <c r="E731" s="372" t="str">
        <f>IV.A!$C$36</f>
        <v>M3</v>
      </c>
      <c r="F731" s="11">
        <f>ROUND(F751+F765+F777,2)</f>
        <v>0</v>
      </c>
      <c r="G731" s="1">
        <f>VLOOKUP(A731,IV.A!$A$16:$L$172,4,FALSE)</f>
        <v>350</v>
      </c>
      <c r="H731" s="361">
        <f>SUM(F733:F748)+F750</f>
        <v>0</v>
      </c>
      <c r="I731" s="361">
        <f>SUM(F753:F762)+F764</f>
        <v>0</v>
      </c>
      <c r="J731" s="361">
        <f>SUM(F767:F773)+F775+F776</f>
        <v>0</v>
      </c>
      <c r="K731" s="361">
        <f>SUM(H731:J731)</f>
        <v>0</v>
      </c>
      <c r="L731" s="362" t="str">
        <f>IF(K731=F731,"SIM","NÃO")</f>
        <v>SIM</v>
      </c>
      <c r="M731" s="373">
        <f>ROUND(SUM(F733:F748),2)+ROUND(SUM(F733:F748)*C750,2)+ROUND(SUM(F753:F762)*C764,2)+ROUND(SUM(F753:F762),2)+ROUND(SUM(F767:F773)*C775,2)+ROUND((SUM(F767:F773)+ROUND(SUM(F767:F773)*C775,2))*C776,2)+ROUND(SUM(F767:F773),2)</f>
        <v>0</v>
      </c>
      <c r="N731" s="343" t="str">
        <f>IF(M731=F731,"SIM","NÃO")</f>
        <v>SIM</v>
      </c>
      <c r="O731" s="364" t="str">
        <f>VLOOKUP(A731,IV.A!$A$16:$E$172,3,FALSE)</f>
        <v>M3</v>
      </c>
      <c r="P731" s="344" t="str">
        <f>IF(O731=E731,"SIM","NÃO")</f>
        <v>SIM</v>
      </c>
      <c r="Q731" s="365">
        <f>ROUND(G731*F751,2)+ROUND(G731*F765,2)+ROUND(G731*F777,2)</f>
        <v>0</v>
      </c>
      <c r="R731" s="364">
        <f>VLOOKUP(A731,IV.A!$A$16:$L$172,12,FALSE)</f>
        <v>0</v>
      </c>
      <c r="S731" s="366" t="str">
        <f>IF(Q731=R731,"si","no")</f>
        <v>si</v>
      </c>
      <c r="T731" s="367">
        <f>SUM(L733:L748)+SUM(L753:L762)+SUM(L767:L773)</f>
        <v>350</v>
      </c>
      <c r="U731" s="341">
        <f>(SUM(C733:C748)+SUM(C753:C762)+SUM(C767:C773))*G731</f>
        <v>350</v>
      </c>
      <c r="V731" s="368" t="str">
        <f>IF(T731=U731,"si","no")</f>
        <v>si</v>
      </c>
      <c r="W731" s="369">
        <f>SUM(F733:F748)</f>
        <v>0</v>
      </c>
      <c r="X731" s="369">
        <f>SUM(F753:F762)</f>
        <v>0</v>
      </c>
      <c r="Y731" s="369">
        <f>SUM(F767:F773)</f>
        <v>0</v>
      </c>
    </row>
    <row r="732" spans="1:25" ht="12.75" customHeight="1">
      <c r="A732" s="374" t="s">
        <v>14</v>
      </c>
      <c r="B732" s="375" t="s">
        <v>132</v>
      </c>
      <c r="C732" s="376" t="s">
        <v>231</v>
      </c>
      <c r="D732" s="376" t="s">
        <v>232</v>
      </c>
      <c r="E732" s="377" t="s">
        <v>233</v>
      </c>
      <c r="F732" s="378" t="s">
        <v>234</v>
      </c>
      <c r="G732" s="379"/>
      <c r="J732" s="341"/>
      <c r="L732" s="380"/>
      <c r="M732" s="381"/>
      <c r="N732" s="342"/>
      <c r="O732" s="382"/>
      <c r="P732" s="383"/>
      <c r="Q732" s="383"/>
      <c r="R732" s="383"/>
      <c r="S732" s="383"/>
      <c r="T732" s="382"/>
      <c r="U732" s="341"/>
      <c r="V732" s="384"/>
      <c r="W732" s="384"/>
      <c r="X732" s="384"/>
      <c r="Y732" s="384"/>
    </row>
    <row r="733" spans="1:25" ht="12.75" customHeight="1">
      <c r="A733" s="385"/>
      <c r="B733" s="386"/>
      <c r="C733" s="20"/>
      <c r="D733" s="342"/>
      <c r="E733" s="387"/>
      <c r="F733" s="388">
        <f>ROUND(C733*E733,2)</f>
        <v>0</v>
      </c>
      <c r="H733" s="341" t="str">
        <f>IF(A733="","",VLOOKUP(A733,VII.A!$A$10:$D$199,4,FALSE))</f>
        <v/>
      </c>
      <c r="I733" s="341" t="str">
        <f t="shared" ref="I733:I748" si="197">IF(A733="","",IF(E733=H733,"SIM","NÃO"))</f>
        <v/>
      </c>
      <c r="J733" s="341" t="str">
        <f>IF(A733="","",VLOOKUP(A733,VII.A!$A$10:$D$199,3,FALSE))</f>
        <v/>
      </c>
      <c r="K733" s="342" t="str">
        <f t="shared" ref="K733:K748" si="198">IF(A733="","",IF(J733=D733,"SIM","NÃO"))</f>
        <v/>
      </c>
      <c r="L733" s="380" t="str">
        <f>IF(C733="","",G731*C733)</f>
        <v/>
      </c>
      <c r="M733" s="381" t="str">
        <f>IF(A733="","",VLOOKUP(A733,VII.A!$A$10:$B$199,2,FALSE))</f>
        <v/>
      </c>
      <c r="N733" s="342" t="str">
        <f t="shared" ref="N733:N748" si="199">IF(B733="","",IF(M733=B733,"si","no"))</f>
        <v/>
      </c>
      <c r="R733" s="341"/>
      <c r="S733" s="341"/>
    </row>
    <row r="734" spans="1:25" ht="12.75" customHeight="1">
      <c r="A734" s="385"/>
      <c r="B734" s="386"/>
      <c r="C734" s="20"/>
      <c r="D734" s="342"/>
      <c r="E734" s="387"/>
      <c r="F734" s="388">
        <f t="shared" ref="F734:F748" si="200">ROUND(C734*E734,2)</f>
        <v>0</v>
      </c>
      <c r="H734" s="341" t="str">
        <f>IF(A734="","",VLOOKUP(A734,VII.A!$A$10:$D$199,4,FALSE))</f>
        <v/>
      </c>
      <c r="I734" s="341" t="str">
        <f t="shared" si="197"/>
        <v/>
      </c>
      <c r="J734" s="341" t="str">
        <f>IF(A734="","",VLOOKUP(A734,VII.A!$A$10:$D$199,3,FALSE))</f>
        <v/>
      </c>
      <c r="K734" s="342" t="str">
        <f t="shared" si="198"/>
        <v/>
      </c>
      <c r="L734" s="380" t="str">
        <f>IF(C734="","",G731*C734)</f>
        <v/>
      </c>
      <c r="M734" s="381" t="str">
        <f>IF(A734="","",VLOOKUP(A734,VII.A!$A$10:$B$199,2,FALSE))</f>
        <v/>
      </c>
      <c r="N734" s="342" t="str">
        <f t="shared" si="199"/>
        <v/>
      </c>
      <c r="R734" s="341"/>
      <c r="S734" s="341"/>
    </row>
    <row r="735" spans="1:25" ht="12.75" customHeight="1">
      <c r="A735" s="385"/>
      <c r="B735" s="386"/>
      <c r="C735" s="20"/>
      <c r="D735" s="342"/>
      <c r="E735" s="387"/>
      <c r="F735" s="388">
        <f t="shared" si="200"/>
        <v>0</v>
      </c>
      <c r="H735" s="341" t="str">
        <f>IF(A735="","",VLOOKUP(A735,VII.A!$A$10:$D$199,4,FALSE))</f>
        <v/>
      </c>
      <c r="I735" s="341" t="str">
        <f t="shared" si="197"/>
        <v/>
      </c>
      <c r="J735" s="341" t="str">
        <f>IF(A735="","",VLOOKUP(A735,VII.A!$A$10:$D$199,3,FALSE))</f>
        <v/>
      </c>
      <c r="K735" s="342" t="str">
        <f t="shared" si="198"/>
        <v/>
      </c>
      <c r="L735" s="380" t="str">
        <f>IF(C735="","",G731*C735)</f>
        <v/>
      </c>
      <c r="M735" s="381" t="str">
        <f>IF(A735="","",VLOOKUP(A735,VII.A!$A$10:$B$199,2,FALSE))</f>
        <v/>
      </c>
      <c r="N735" s="342" t="str">
        <f t="shared" si="199"/>
        <v/>
      </c>
      <c r="R735" s="341"/>
      <c r="S735" s="341"/>
    </row>
    <row r="736" spans="1:25" ht="12.75" customHeight="1">
      <c r="A736" s="385"/>
      <c r="B736" s="386"/>
      <c r="C736" s="20"/>
      <c r="D736" s="342"/>
      <c r="E736" s="387"/>
      <c r="F736" s="388">
        <f t="shared" si="200"/>
        <v>0</v>
      </c>
      <c r="H736" s="341" t="str">
        <f>IF(A736="","",VLOOKUP(A736,VII.A!$A$10:$D$199,4,FALSE))</f>
        <v/>
      </c>
      <c r="I736" s="341" t="str">
        <f t="shared" si="197"/>
        <v/>
      </c>
      <c r="J736" s="341" t="str">
        <f>IF(A736="","",VLOOKUP(A736,VII.A!$A$10:$D$199,3,FALSE))</f>
        <v/>
      </c>
      <c r="K736" s="342" t="str">
        <f t="shared" si="198"/>
        <v/>
      </c>
      <c r="L736" s="380" t="str">
        <f>IF(C736="","",G731*C736)</f>
        <v/>
      </c>
      <c r="M736" s="381" t="str">
        <f>IF(A736="","",VLOOKUP(A736,VII.A!$A$10:$B$199,2,FALSE))</f>
        <v/>
      </c>
      <c r="N736" s="342" t="str">
        <f t="shared" si="199"/>
        <v/>
      </c>
      <c r="R736" s="341"/>
      <c r="S736" s="341"/>
    </row>
    <row r="737" spans="1:21" ht="12.75" customHeight="1">
      <c r="A737" s="385"/>
      <c r="B737" s="386"/>
      <c r="C737" s="20"/>
      <c r="D737" s="342"/>
      <c r="E737" s="387"/>
      <c r="F737" s="388">
        <f t="shared" si="200"/>
        <v>0</v>
      </c>
      <c r="H737" s="341" t="str">
        <f>IF(A737="","",VLOOKUP(A737,VII.A!$A$10:$D$199,4,FALSE))</f>
        <v/>
      </c>
      <c r="I737" s="341" t="str">
        <f t="shared" si="197"/>
        <v/>
      </c>
      <c r="J737" s="341" t="str">
        <f>IF(A737="","",VLOOKUP(A737,VII.A!$A$10:$D$199,3,FALSE))</f>
        <v/>
      </c>
      <c r="K737" s="342" t="str">
        <f t="shared" si="198"/>
        <v/>
      </c>
      <c r="L737" s="380" t="str">
        <f>IF(C737="","",G731*C737)</f>
        <v/>
      </c>
      <c r="M737" s="381" t="str">
        <f>IF(A737="","",VLOOKUP(A737,VII.A!$A$10:$B$199,2,FALSE))</f>
        <v/>
      </c>
      <c r="N737" s="342" t="str">
        <f t="shared" si="199"/>
        <v/>
      </c>
      <c r="R737" s="341"/>
      <c r="S737" s="341"/>
    </row>
    <row r="738" spans="1:21" ht="12.75" customHeight="1">
      <c r="A738" s="385"/>
      <c r="B738" s="386"/>
      <c r="C738" s="20"/>
      <c r="D738" s="342"/>
      <c r="E738" s="387"/>
      <c r="F738" s="388">
        <f t="shared" si="200"/>
        <v>0</v>
      </c>
      <c r="H738" s="341" t="str">
        <f>IF(A738="","",VLOOKUP(A738,VII.A!$A$10:$D$199,4,FALSE))</f>
        <v/>
      </c>
      <c r="I738" s="341" t="str">
        <f t="shared" si="197"/>
        <v/>
      </c>
      <c r="J738" s="341" t="str">
        <f>IF(A738="","",VLOOKUP(A738,VII.A!$A$10:$D$199,3,FALSE))</f>
        <v/>
      </c>
      <c r="K738" s="342" t="str">
        <f t="shared" si="198"/>
        <v/>
      </c>
      <c r="L738" s="380" t="str">
        <f>IF(C738="","",G731*C738)</f>
        <v/>
      </c>
      <c r="M738" s="381" t="str">
        <f>IF(A738="","",VLOOKUP(A738,VII.A!$A$10:$B$199,2,FALSE))</f>
        <v/>
      </c>
      <c r="N738" s="342" t="str">
        <f t="shared" si="199"/>
        <v/>
      </c>
      <c r="R738" s="341"/>
      <c r="S738" s="341"/>
      <c r="U738" s="389"/>
    </row>
    <row r="739" spans="1:21" ht="12.75" customHeight="1">
      <c r="A739" s="385"/>
      <c r="B739" s="386"/>
      <c r="C739" s="20"/>
      <c r="D739" s="342"/>
      <c r="E739" s="387"/>
      <c r="F739" s="388">
        <f t="shared" si="200"/>
        <v>0</v>
      </c>
      <c r="H739" s="341" t="str">
        <f>IF(A739="","",VLOOKUP(A739,VII.A!$A$10:$D$199,4,FALSE))</f>
        <v/>
      </c>
      <c r="I739" s="341" t="str">
        <f t="shared" si="197"/>
        <v/>
      </c>
      <c r="J739" s="341" t="str">
        <f>IF(A739="","",VLOOKUP(A739,VII.A!$A$10:$D$199,3,FALSE))</f>
        <v/>
      </c>
      <c r="K739" s="342" t="str">
        <f t="shared" si="198"/>
        <v/>
      </c>
      <c r="L739" s="380" t="str">
        <f>IF(C739="","",G731*C739)</f>
        <v/>
      </c>
      <c r="M739" s="381" t="str">
        <f>IF(A739="","",VLOOKUP(A739,VII.A!$A$10:$B$199,2,FALSE))</f>
        <v/>
      </c>
      <c r="N739" s="342" t="str">
        <f t="shared" si="199"/>
        <v/>
      </c>
      <c r="R739" s="341"/>
      <c r="S739" s="341"/>
    </row>
    <row r="740" spans="1:21" ht="12.75" customHeight="1">
      <c r="A740" s="385"/>
      <c r="B740" s="386"/>
      <c r="C740" s="20"/>
      <c r="D740" s="342"/>
      <c r="E740" s="387"/>
      <c r="F740" s="388">
        <f t="shared" si="200"/>
        <v>0</v>
      </c>
      <c r="G740" s="390"/>
      <c r="H740" s="341" t="str">
        <f>IF(A740="","",VLOOKUP(A740,VII.A!$A$10:$D$199,4,FALSE))</f>
        <v/>
      </c>
      <c r="I740" s="341" t="str">
        <f t="shared" si="197"/>
        <v/>
      </c>
      <c r="J740" s="341" t="str">
        <f>IF(A740="","",VLOOKUP(A740,VII.A!$A$10:$D$199,3,FALSE))</f>
        <v/>
      </c>
      <c r="K740" s="342" t="str">
        <f t="shared" si="198"/>
        <v/>
      </c>
      <c r="L740" s="380" t="str">
        <f>IF(C740="","",G731*C740)</f>
        <v/>
      </c>
      <c r="M740" s="381" t="str">
        <f>IF(A740="","",VLOOKUP(A740,VII.A!$A$10:$B$199,2,FALSE))</f>
        <v/>
      </c>
      <c r="N740" s="342" t="str">
        <f t="shared" si="199"/>
        <v/>
      </c>
      <c r="R740" s="341"/>
      <c r="S740" s="341"/>
    </row>
    <row r="741" spans="1:21" ht="12.75" customHeight="1">
      <c r="A741" s="385"/>
      <c r="B741" s="386"/>
      <c r="C741" s="20"/>
      <c r="D741" s="342"/>
      <c r="E741" s="387"/>
      <c r="F741" s="388">
        <f t="shared" si="200"/>
        <v>0</v>
      </c>
      <c r="G741" s="390"/>
      <c r="H741" s="341" t="str">
        <f>IF(A741="","",VLOOKUP(A741,VII.A!$A$10:$D$199,4,FALSE))</f>
        <v/>
      </c>
      <c r="I741" s="341" t="str">
        <f t="shared" si="197"/>
        <v/>
      </c>
      <c r="J741" s="341" t="str">
        <f>IF(A741="","",VLOOKUP(A741,VII.A!$A$10:$D$199,3,FALSE))</f>
        <v/>
      </c>
      <c r="K741" s="342" t="str">
        <f t="shared" si="198"/>
        <v/>
      </c>
      <c r="L741" s="380" t="str">
        <f>IF(C741="","",G731*C741)</f>
        <v/>
      </c>
      <c r="M741" s="381" t="str">
        <f>IF(A741="","",VLOOKUP(A741,VII.A!$A$10:$B$199,2,FALSE))</f>
        <v/>
      </c>
      <c r="N741" s="342" t="str">
        <f t="shared" si="199"/>
        <v/>
      </c>
      <c r="R741" s="341"/>
      <c r="S741" s="341"/>
    </row>
    <row r="742" spans="1:21" ht="12.75" customHeight="1">
      <c r="A742" s="385"/>
      <c r="B742" s="386"/>
      <c r="C742" s="20"/>
      <c r="D742" s="342"/>
      <c r="E742" s="387"/>
      <c r="F742" s="388">
        <f t="shared" si="200"/>
        <v>0</v>
      </c>
      <c r="G742" s="391"/>
      <c r="H742" s="341" t="str">
        <f>IF(A742="","",VLOOKUP(A742,VII.A!$A$10:$D$199,4,FALSE))</f>
        <v/>
      </c>
      <c r="I742" s="341" t="str">
        <f t="shared" si="197"/>
        <v/>
      </c>
      <c r="J742" s="341" t="str">
        <f>IF(A742="","",VLOOKUP(A742,VII.A!$A$10:$D$199,3,FALSE))</f>
        <v/>
      </c>
      <c r="K742" s="342" t="str">
        <f t="shared" si="198"/>
        <v/>
      </c>
      <c r="L742" s="380" t="str">
        <f>IF(C742="","",G731*C742)</f>
        <v/>
      </c>
      <c r="M742" s="381" t="str">
        <f>IF(A742="","",VLOOKUP(A742,VII.A!$A$10:$B$199,2,FALSE))</f>
        <v/>
      </c>
      <c r="N742" s="342" t="str">
        <f t="shared" si="199"/>
        <v/>
      </c>
      <c r="R742" s="341"/>
      <c r="S742" s="341"/>
    </row>
    <row r="743" spans="1:21" ht="12.75" customHeight="1">
      <c r="A743" s="385"/>
      <c r="B743" s="386"/>
      <c r="C743" s="20"/>
      <c r="D743" s="342"/>
      <c r="E743" s="387"/>
      <c r="F743" s="388">
        <f t="shared" si="200"/>
        <v>0</v>
      </c>
      <c r="H743" s="341" t="str">
        <f>IF(A743="","",VLOOKUP(A743,VII.A!$A$10:$D$199,4,FALSE))</f>
        <v/>
      </c>
      <c r="I743" s="341" t="str">
        <f t="shared" si="197"/>
        <v/>
      </c>
      <c r="J743" s="341" t="str">
        <f>IF(A743="","",VLOOKUP(A743,VII.A!$A$10:$D$199,3,FALSE))</f>
        <v/>
      </c>
      <c r="K743" s="342" t="str">
        <f t="shared" si="198"/>
        <v/>
      </c>
      <c r="L743" s="380" t="str">
        <f>IF(C743="","",G731*C743)</f>
        <v/>
      </c>
      <c r="M743" s="381" t="str">
        <f>IF(A743="","",VLOOKUP(A743,VII.A!$A$10:$B$199,2,FALSE))</f>
        <v/>
      </c>
      <c r="N743" s="342" t="str">
        <f t="shared" si="199"/>
        <v/>
      </c>
      <c r="R743" s="341"/>
      <c r="S743" s="341"/>
    </row>
    <row r="744" spans="1:21" ht="12.75" customHeight="1">
      <c r="A744" s="385"/>
      <c r="B744" s="386"/>
      <c r="C744" s="20"/>
      <c r="D744" s="392"/>
      <c r="E744" s="387"/>
      <c r="F744" s="388">
        <f t="shared" si="200"/>
        <v>0</v>
      </c>
      <c r="H744" s="341" t="str">
        <f>IF(A744="","",VLOOKUP(A744,VII.A!$A$10:$D$199,4,FALSE))</f>
        <v/>
      </c>
      <c r="I744" s="341" t="str">
        <f t="shared" si="197"/>
        <v/>
      </c>
      <c r="J744" s="341" t="str">
        <f>IF(A744="","",VLOOKUP(A744,VII.A!$A$10:$D$199,3,FALSE))</f>
        <v/>
      </c>
      <c r="K744" s="342" t="str">
        <f t="shared" si="198"/>
        <v/>
      </c>
      <c r="L744" s="380" t="str">
        <f>IF(C744="","",G731*C744)</f>
        <v/>
      </c>
      <c r="M744" s="381" t="str">
        <f>IF(A744="","",VLOOKUP(A744,VII.A!$A$10:$B$199,2,FALSE))</f>
        <v/>
      </c>
      <c r="N744" s="342" t="str">
        <f t="shared" si="199"/>
        <v/>
      </c>
      <c r="R744" s="341"/>
      <c r="S744" s="341"/>
    </row>
    <row r="745" spans="1:21" ht="12.75" customHeight="1">
      <c r="A745" s="385"/>
      <c r="B745" s="386"/>
      <c r="C745" s="20"/>
      <c r="D745" s="392"/>
      <c r="E745" s="387"/>
      <c r="F745" s="388">
        <f t="shared" si="200"/>
        <v>0</v>
      </c>
      <c r="H745" s="341" t="str">
        <f>IF(A745="","",VLOOKUP(A745,VII.A!$A$10:$D$199,4,FALSE))</f>
        <v/>
      </c>
      <c r="I745" s="341" t="str">
        <f t="shared" si="197"/>
        <v/>
      </c>
      <c r="J745" s="341" t="str">
        <f>IF(A745="","",VLOOKUP(A745,VII.A!$A$10:$D$199,3,FALSE))</f>
        <v/>
      </c>
      <c r="K745" s="342" t="str">
        <f t="shared" si="198"/>
        <v/>
      </c>
      <c r="L745" s="380" t="str">
        <f>IF(C745="","",G731*C745)</f>
        <v/>
      </c>
      <c r="M745" s="381" t="str">
        <f>IF(A745="","",VLOOKUP(A745,VII.A!$A$10:$B$199,2,FALSE))</f>
        <v/>
      </c>
      <c r="N745" s="342" t="str">
        <f t="shared" si="199"/>
        <v/>
      </c>
      <c r="O745" s="342"/>
      <c r="R745" s="341"/>
      <c r="S745" s="341"/>
    </row>
    <row r="746" spans="1:21" ht="12.75" customHeight="1">
      <c r="A746" s="385"/>
      <c r="B746" s="386"/>
      <c r="C746" s="20"/>
      <c r="D746" s="392"/>
      <c r="E746" s="387"/>
      <c r="F746" s="388">
        <f t="shared" si="200"/>
        <v>0</v>
      </c>
      <c r="H746" s="341" t="str">
        <f>IF(A746="","",VLOOKUP(A746,VII.A!$A$10:$D$199,4,FALSE))</f>
        <v/>
      </c>
      <c r="I746" s="341" t="str">
        <f t="shared" si="197"/>
        <v/>
      </c>
      <c r="J746" s="341" t="str">
        <f>IF(A746="","",VLOOKUP(A746,VII.A!$A$10:$D$199,3,FALSE))</f>
        <v/>
      </c>
      <c r="K746" s="342" t="str">
        <f t="shared" si="198"/>
        <v/>
      </c>
      <c r="L746" s="380" t="str">
        <f>IF(C746="","",G731*C746)</f>
        <v/>
      </c>
      <c r="M746" s="381" t="str">
        <f>IF(A746="","",VLOOKUP(A746,VII.A!$A$10:$B$199,2,FALSE))</f>
        <v/>
      </c>
      <c r="N746" s="342" t="str">
        <f t="shared" si="199"/>
        <v/>
      </c>
      <c r="R746" s="341"/>
      <c r="S746" s="341"/>
    </row>
    <row r="747" spans="1:21" ht="12.75" customHeight="1">
      <c r="A747" s="393"/>
      <c r="C747" s="20"/>
      <c r="E747" s="387"/>
      <c r="F747" s="388">
        <f t="shared" si="200"/>
        <v>0</v>
      </c>
      <c r="H747" s="341" t="str">
        <f>IF(A747="","",VLOOKUP(A747,VII.A!$A$10:$D$199,4,FALSE))</f>
        <v/>
      </c>
      <c r="I747" s="341" t="str">
        <f t="shared" si="197"/>
        <v/>
      </c>
      <c r="J747" s="341" t="str">
        <f>IF(A747="","",VLOOKUP(A747,VII.A!$A$10:$D$199,3,FALSE))</f>
        <v/>
      </c>
      <c r="K747" s="342" t="str">
        <f t="shared" si="198"/>
        <v/>
      </c>
      <c r="L747" s="380" t="str">
        <f>IF(C747="","",G731*C747)</f>
        <v/>
      </c>
      <c r="M747" s="381" t="str">
        <f>IF(A747="","",VLOOKUP(A747,VII.A!$A$10:$B$199,2,FALSE))</f>
        <v/>
      </c>
      <c r="N747" s="342" t="str">
        <f t="shared" si="199"/>
        <v/>
      </c>
      <c r="R747" s="341"/>
      <c r="S747" s="341"/>
    </row>
    <row r="748" spans="1:21" ht="12.75" customHeight="1">
      <c r="A748" s="393"/>
      <c r="C748" s="20"/>
      <c r="E748" s="387"/>
      <c r="F748" s="388">
        <f t="shared" si="200"/>
        <v>0</v>
      </c>
      <c r="H748" s="341" t="str">
        <f>IF(A748="","",VLOOKUP(A748,VII.A!$A$10:$D$199,4,FALSE))</f>
        <v/>
      </c>
      <c r="I748" s="341" t="str">
        <f t="shared" si="197"/>
        <v/>
      </c>
      <c r="J748" s="341" t="str">
        <f>IF(A748="","",VLOOKUP(A748,VII.A!$A$10:$D$199,3,FALSE))</f>
        <v/>
      </c>
      <c r="K748" s="342" t="str">
        <f t="shared" si="198"/>
        <v/>
      </c>
      <c r="L748" s="380" t="str">
        <f>IF(C748="","",G731*C748)</f>
        <v/>
      </c>
      <c r="M748" s="381" t="str">
        <f>IF(A748="","",VLOOKUP(A748,VII.A!$A$10:$B$199,2,FALSE))</f>
        <v/>
      </c>
      <c r="N748" s="342" t="str">
        <f t="shared" si="199"/>
        <v/>
      </c>
      <c r="R748" s="341"/>
      <c r="S748" s="341"/>
    </row>
    <row r="749" spans="1:21" ht="12.75" customHeight="1">
      <c r="A749" s="393"/>
      <c r="B749" s="395" t="s">
        <v>226</v>
      </c>
      <c r="C749" s="396"/>
      <c r="D749" s="397"/>
      <c r="E749" s="398"/>
      <c r="F749" s="399">
        <f>SUM(F733:F748)</f>
        <v>0</v>
      </c>
      <c r="H749" s="426"/>
      <c r="J749" s="341"/>
      <c r="L749" s="380"/>
      <c r="M749" s="381"/>
      <c r="N749" s="342"/>
      <c r="R749" s="341"/>
      <c r="S749" s="341"/>
    </row>
    <row r="750" spans="1:21" ht="12.75" customHeight="1">
      <c r="A750" s="393"/>
      <c r="B750" s="400" t="s">
        <v>53</v>
      </c>
      <c r="C750" s="2">
        <f>$D$8</f>
        <v>0</v>
      </c>
      <c r="D750" s="401"/>
      <c r="E750" s="402"/>
      <c r="F750" s="403">
        <f>ROUND(F749*C750,2)</f>
        <v>0</v>
      </c>
      <c r="J750" s="341"/>
      <c r="L750" s="380"/>
      <c r="M750" s="381"/>
      <c r="N750" s="342"/>
      <c r="R750" s="341"/>
      <c r="S750" s="341"/>
    </row>
    <row r="751" spans="1:21" ht="12.75" customHeight="1">
      <c r="A751" s="404"/>
      <c r="B751" s="405" t="s">
        <v>227</v>
      </c>
      <c r="C751" s="406"/>
      <c r="D751" s="406"/>
      <c r="E751" s="407"/>
      <c r="F751" s="408">
        <f>F749+F750</f>
        <v>0</v>
      </c>
      <c r="J751" s="341"/>
      <c r="L751" s="380"/>
      <c r="M751" s="381"/>
      <c r="N751" s="342"/>
      <c r="R751" s="341"/>
      <c r="S751" s="341"/>
    </row>
    <row r="752" spans="1:21" ht="12.75" customHeight="1">
      <c r="A752" s="374" t="s">
        <v>2</v>
      </c>
      <c r="B752" s="375" t="s">
        <v>235</v>
      </c>
      <c r="C752" s="376" t="s">
        <v>231</v>
      </c>
      <c r="D752" s="376" t="s">
        <v>232</v>
      </c>
      <c r="E752" s="377" t="s">
        <v>233</v>
      </c>
      <c r="F752" s="378" t="s">
        <v>234</v>
      </c>
      <c r="J752" s="341"/>
      <c r="L752" s="380"/>
      <c r="M752" s="381"/>
      <c r="N752" s="342"/>
      <c r="R752" s="341"/>
      <c r="S752" s="341"/>
    </row>
    <row r="753" spans="1:19" ht="12.75" customHeight="1">
      <c r="A753" s="393" t="str">
        <f>VII.A!$A$171</f>
        <v>2.29</v>
      </c>
      <c r="B753" s="394" t="str">
        <f>VLOOKUP(A753,VII.A!$A$10:$G$199,2,FALSE)</f>
        <v>LOCAL LICENCIADO PARA DEPÓSITO DE BOTA FORA</v>
      </c>
      <c r="C753" s="20">
        <v>1</v>
      </c>
      <c r="D753" s="384" t="str">
        <f>VLOOKUP(A753,VII.A!$A$10:$G$199,3,FALSE)</f>
        <v>M3</v>
      </c>
      <c r="E753" s="387">
        <f>VII.A!$D$171</f>
        <v>0</v>
      </c>
      <c r="F753" s="388">
        <f t="shared" ref="F753:F762" si="201">ROUND(C753*E753,2)</f>
        <v>0</v>
      </c>
      <c r="H753" s="341">
        <f>IF(A753="","",VLOOKUP(A753,VII.A!$A$10:$D$199,4,FALSE))</f>
        <v>0</v>
      </c>
      <c r="I753" s="341" t="str">
        <f t="shared" ref="I753:I762" si="202">IF(A753="","",IF(E753=H753,"SIM","NÃO"))</f>
        <v>SIM</v>
      </c>
      <c r="J753" s="341" t="str">
        <f>IF(A753="","",VLOOKUP(A753,VII.A!$A$10:$D$199,3,FALSE))</f>
        <v>M3</v>
      </c>
      <c r="K753" s="342" t="str">
        <f t="shared" ref="K753:K762" si="203">IF(A753="","",IF(J753=D753,"SIM","NÃO"))</f>
        <v>SIM</v>
      </c>
      <c r="L753" s="380">
        <f>IF(C753="","",G731*C753)</f>
        <v>350</v>
      </c>
      <c r="M753" s="381" t="str">
        <f>IF(A753="","",VLOOKUP(A753,VII.A!$A$10:$B$199,2,FALSE))</f>
        <v>LOCAL LICENCIADO PARA DEPÓSITO DE BOTA FORA</v>
      </c>
      <c r="N753" s="342" t="str">
        <f t="shared" ref="N753:N762" si="204">IF(B753="","",IF(M753=B753,"si","no"))</f>
        <v>si</v>
      </c>
      <c r="R753" s="341"/>
      <c r="S753" s="341"/>
    </row>
    <row r="754" spans="1:19" ht="12.75" customHeight="1">
      <c r="A754" s="393"/>
      <c r="C754" s="20"/>
      <c r="E754" s="387"/>
      <c r="F754" s="388">
        <f>ROUND(C754*E754,2)</f>
        <v>0</v>
      </c>
      <c r="H754" s="341" t="str">
        <f>IF(A754="","",VLOOKUP(A754,VII.A!$A$10:$D$199,4,FALSE))</f>
        <v/>
      </c>
      <c r="I754" s="341" t="str">
        <f>IF(A754="","",IF(E754=H754,"SIM","NÃO"))</f>
        <v/>
      </c>
      <c r="J754" s="341" t="str">
        <f>IF(A754="","",VLOOKUP(A754,VII.A!$A$10:$D$199,3,FALSE))</f>
        <v/>
      </c>
      <c r="K754" s="342" t="str">
        <f>IF(A754="","",IF(J754=D754,"SIM","NÃO"))</f>
        <v/>
      </c>
      <c r="L754" s="380" t="str">
        <f>IF(C754="","",G731*C754)</f>
        <v/>
      </c>
      <c r="M754" s="381" t="str">
        <f>IF(A754="","",VLOOKUP(A754,VII.A!$A$10:$B$199,2,FALSE))</f>
        <v/>
      </c>
      <c r="N754" s="342" t="str">
        <f>IF(B754="","",IF(M754=B754,"si","no"))</f>
        <v/>
      </c>
      <c r="R754" s="341"/>
      <c r="S754" s="341"/>
    </row>
    <row r="755" spans="1:19" ht="12.75" customHeight="1">
      <c r="A755" s="393"/>
      <c r="C755" s="20"/>
      <c r="E755" s="387"/>
      <c r="F755" s="388">
        <f t="shared" si="201"/>
        <v>0</v>
      </c>
      <c r="H755" s="341" t="str">
        <f>IF(A755="","",VLOOKUP(A755,VII.A!$A$10:$D$199,4,FALSE))</f>
        <v/>
      </c>
      <c r="I755" s="341" t="str">
        <f t="shared" si="202"/>
        <v/>
      </c>
      <c r="J755" s="341" t="str">
        <f>IF(A755="","",VLOOKUP(A755,VII.A!$A$10:$D$199,3,FALSE))</f>
        <v/>
      </c>
      <c r="K755" s="342" t="str">
        <f t="shared" si="203"/>
        <v/>
      </c>
      <c r="L755" s="380" t="str">
        <f>IF(C755="","",G731*C755)</f>
        <v/>
      </c>
      <c r="M755" s="381" t="str">
        <f>IF(A755="","",VLOOKUP(A755,VII.A!$A$10:$B$199,2,FALSE))</f>
        <v/>
      </c>
      <c r="N755" s="342" t="str">
        <f t="shared" si="204"/>
        <v/>
      </c>
      <c r="R755" s="341"/>
      <c r="S755" s="341"/>
    </row>
    <row r="756" spans="1:19" ht="12.75" customHeight="1">
      <c r="A756" s="393"/>
      <c r="C756" s="20"/>
      <c r="E756" s="387"/>
      <c r="F756" s="388">
        <f t="shared" si="201"/>
        <v>0</v>
      </c>
      <c r="H756" s="341" t="str">
        <f>IF(A756="","",VLOOKUP(A756,VII.A!$A$10:$D$199,4,FALSE))</f>
        <v/>
      </c>
      <c r="I756" s="341" t="str">
        <f t="shared" si="202"/>
        <v/>
      </c>
      <c r="J756" s="341" t="str">
        <f>IF(A756="","",VLOOKUP(A756,VII.A!$A$10:$D$199,3,FALSE))</f>
        <v/>
      </c>
      <c r="K756" s="342" t="str">
        <f t="shared" si="203"/>
        <v/>
      </c>
      <c r="L756" s="380" t="str">
        <f>IF(C756="","",G731*C756)</f>
        <v/>
      </c>
      <c r="M756" s="381" t="str">
        <f>IF(A756="","",VLOOKUP(A756,VII.A!$A$10:$B$199,2,FALSE))</f>
        <v/>
      </c>
      <c r="N756" s="342" t="str">
        <f t="shared" si="204"/>
        <v/>
      </c>
      <c r="R756" s="341"/>
      <c r="S756" s="341"/>
    </row>
    <row r="757" spans="1:19" ht="12.75" customHeight="1">
      <c r="A757" s="393"/>
      <c r="C757" s="20"/>
      <c r="E757" s="387"/>
      <c r="F757" s="388">
        <f t="shared" si="201"/>
        <v>0</v>
      </c>
      <c r="G757" s="390"/>
      <c r="H757" s="341" t="str">
        <f>IF(A757="","",VLOOKUP(A757,VII.A!$A$10:$D$199,4,FALSE))</f>
        <v/>
      </c>
      <c r="I757" s="341" t="str">
        <f t="shared" si="202"/>
        <v/>
      </c>
      <c r="J757" s="341" t="str">
        <f>IF(A757="","",VLOOKUP(A757,VII.A!$A$10:$D$199,3,FALSE))</f>
        <v/>
      </c>
      <c r="K757" s="342" t="str">
        <f t="shared" si="203"/>
        <v/>
      </c>
      <c r="L757" s="380" t="str">
        <f>IF(C757="","",G731*C757)</f>
        <v/>
      </c>
      <c r="M757" s="381" t="str">
        <f>IF(A757="","",VLOOKUP(A757,VII.A!$A$10:$B$199,2,FALSE))</f>
        <v/>
      </c>
      <c r="N757" s="342" t="str">
        <f t="shared" si="204"/>
        <v/>
      </c>
      <c r="R757" s="341"/>
      <c r="S757" s="341"/>
    </row>
    <row r="758" spans="1:19" ht="12.75" customHeight="1">
      <c r="A758" s="393"/>
      <c r="C758" s="20"/>
      <c r="E758" s="387"/>
      <c r="F758" s="388">
        <f t="shared" si="201"/>
        <v>0</v>
      </c>
      <c r="G758" s="391"/>
      <c r="H758" s="341" t="str">
        <f>IF(A758="","",VLOOKUP(A758,VII.A!$A$10:$D$199,4,FALSE))</f>
        <v/>
      </c>
      <c r="I758" s="341" t="str">
        <f t="shared" si="202"/>
        <v/>
      </c>
      <c r="J758" s="341" t="str">
        <f>IF(A758="","",VLOOKUP(A758,VII.A!$A$10:$D$199,3,FALSE))</f>
        <v/>
      </c>
      <c r="K758" s="342" t="str">
        <f t="shared" si="203"/>
        <v/>
      </c>
      <c r="L758" s="380" t="str">
        <f>IF(C758="","",G731*C758)</f>
        <v/>
      </c>
      <c r="M758" s="381" t="str">
        <f>IF(A758="","",VLOOKUP(A758,VII.A!$A$10:$B$199,2,FALSE))</f>
        <v/>
      </c>
      <c r="N758" s="342" t="str">
        <f t="shared" si="204"/>
        <v/>
      </c>
      <c r="R758" s="341"/>
      <c r="S758" s="341"/>
    </row>
    <row r="759" spans="1:19" ht="12.75" customHeight="1">
      <c r="A759" s="393"/>
      <c r="C759" s="20"/>
      <c r="E759" s="387"/>
      <c r="F759" s="388">
        <f t="shared" si="201"/>
        <v>0</v>
      </c>
      <c r="H759" s="341" t="str">
        <f>IF(A759="","",VLOOKUP(A759,VII.A!$A$10:$D$199,4,FALSE))</f>
        <v/>
      </c>
      <c r="I759" s="341" t="str">
        <f t="shared" si="202"/>
        <v/>
      </c>
      <c r="J759" s="341" t="str">
        <f>IF(A759="","",VLOOKUP(A759,VII.A!$A$10:$D$199,3,FALSE))</f>
        <v/>
      </c>
      <c r="K759" s="342" t="str">
        <f t="shared" si="203"/>
        <v/>
      </c>
      <c r="L759" s="380" t="str">
        <f>IF(C759="","",G731*C759)</f>
        <v/>
      </c>
      <c r="M759" s="381" t="str">
        <f>IF(A759="","",VLOOKUP(A759,VII.A!$A$10:$B$199,2,FALSE))</f>
        <v/>
      </c>
      <c r="N759" s="342" t="str">
        <f t="shared" si="204"/>
        <v/>
      </c>
      <c r="R759" s="341"/>
      <c r="S759" s="341"/>
    </row>
    <row r="760" spans="1:19" ht="12.75" customHeight="1">
      <c r="A760" s="393"/>
      <c r="C760" s="20"/>
      <c r="E760" s="387"/>
      <c r="F760" s="388">
        <f t="shared" si="201"/>
        <v>0</v>
      </c>
      <c r="H760" s="341" t="str">
        <f>IF(A760="","",VLOOKUP(A760,VII.A!$A$10:$D$199,4,FALSE))</f>
        <v/>
      </c>
      <c r="I760" s="341" t="str">
        <f t="shared" si="202"/>
        <v/>
      </c>
      <c r="J760" s="341" t="str">
        <f>IF(A760="","",VLOOKUP(A760,VII.A!$A$10:$D$199,3,FALSE))</f>
        <v/>
      </c>
      <c r="K760" s="342" t="str">
        <f t="shared" si="203"/>
        <v/>
      </c>
      <c r="L760" s="380" t="str">
        <f>IF(C760="","",G731*C760)</f>
        <v/>
      </c>
      <c r="M760" s="381" t="str">
        <f>IF(A760="","",VLOOKUP(A760,VII.A!$A$10:$B$199,2,FALSE))</f>
        <v/>
      </c>
      <c r="N760" s="342" t="str">
        <f t="shared" si="204"/>
        <v/>
      </c>
      <c r="R760" s="341"/>
      <c r="S760" s="341"/>
    </row>
    <row r="761" spans="1:19" ht="12.75" customHeight="1">
      <c r="A761" s="393"/>
      <c r="C761" s="20"/>
      <c r="E761" s="387"/>
      <c r="F761" s="388">
        <f t="shared" si="201"/>
        <v>0</v>
      </c>
      <c r="H761" s="341" t="str">
        <f>IF(A761="","",VLOOKUP(A761,VII.A!$A$10:$D$199,4,FALSE))</f>
        <v/>
      </c>
      <c r="I761" s="341" t="str">
        <f t="shared" si="202"/>
        <v/>
      </c>
      <c r="J761" s="341" t="str">
        <f>IF(A761="","",VLOOKUP(A761,VII.A!$A$10:$D$199,3,FALSE))</f>
        <v/>
      </c>
      <c r="K761" s="342" t="str">
        <f t="shared" si="203"/>
        <v/>
      </c>
      <c r="L761" s="380" t="str">
        <f>IF(C761="","",G731*C761)</f>
        <v/>
      </c>
      <c r="M761" s="381" t="str">
        <f>IF(A761="","",VLOOKUP(A761,VII.A!$A$10:$B$199,2,FALSE))</f>
        <v/>
      </c>
      <c r="N761" s="342" t="str">
        <f t="shared" si="204"/>
        <v/>
      </c>
      <c r="R761" s="341"/>
      <c r="S761" s="341"/>
    </row>
    <row r="762" spans="1:19" ht="12.75" customHeight="1">
      <c r="A762" s="393"/>
      <c r="C762" s="20"/>
      <c r="E762" s="387"/>
      <c r="F762" s="388">
        <f t="shared" si="201"/>
        <v>0</v>
      </c>
      <c r="H762" s="341" t="str">
        <f>IF(A762="","",VLOOKUP(A762,VII.A!$A$10:$D$199,4,FALSE))</f>
        <v/>
      </c>
      <c r="I762" s="341" t="str">
        <f t="shared" si="202"/>
        <v/>
      </c>
      <c r="J762" s="341" t="str">
        <f>IF(A762="","",VLOOKUP(A762,VII.A!$A$10:$D$199,3,FALSE))</f>
        <v/>
      </c>
      <c r="K762" s="342" t="str">
        <f t="shared" si="203"/>
        <v/>
      </c>
      <c r="L762" s="380" t="str">
        <f>IF(C762="","",G731*C762)</f>
        <v/>
      </c>
      <c r="M762" s="381" t="str">
        <f>IF(A762="","",VLOOKUP(A762,VII.A!$A$10:$B$199,2,FALSE))</f>
        <v/>
      </c>
      <c r="N762" s="342" t="str">
        <f t="shared" si="204"/>
        <v/>
      </c>
      <c r="R762" s="341"/>
      <c r="S762" s="341"/>
    </row>
    <row r="763" spans="1:19" ht="12.75" customHeight="1">
      <c r="A763" s="393"/>
      <c r="B763" s="395" t="s">
        <v>226</v>
      </c>
      <c r="C763" s="396"/>
      <c r="D763" s="397"/>
      <c r="E763" s="398"/>
      <c r="F763" s="399">
        <f>SUM(F753:F762)</f>
        <v>0</v>
      </c>
      <c r="J763" s="341"/>
      <c r="L763" s="380"/>
      <c r="M763" s="381"/>
      <c r="N763" s="342"/>
      <c r="R763" s="341"/>
      <c r="S763" s="341"/>
    </row>
    <row r="764" spans="1:19" ht="12.75" customHeight="1">
      <c r="A764" s="393"/>
      <c r="B764" s="400" t="s">
        <v>53</v>
      </c>
      <c r="C764" s="2">
        <f>$D$8</f>
        <v>0</v>
      </c>
      <c r="D764" s="401"/>
      <c r="E764" s="402"/>
      <c r="F764" s="403">
        <f>ROUND(C764*F763,2)</f>
        <v>0</v>
      </c>
      <c r="J764" s="341"/>
      <c r="L764" s="380"/>
      <c r="M764" s="381"/>
      <c r="N764" s="342"/>
      <c r="R764" s="341"/>
      <c r="S764" s="341"/>
    </row>
    <row r="765" spans="1:19" ht="12.75" customHeight="1">
      <c r="A765" s="404"/>
      <c r="B765" s="405" t="s">
        <v>228</v>
      </c>
      <c r="C765" s="406"/>
      <c r="D765" s="406"/>
      <c r="E765" s="407"/>
      <c r="F765" s="408">
        <f>F763+F764</f>
        <v>0</v>
      </c>
      <c r="J765" s="341"/>
      <c r="L765" s="380"/>
      <c r="M765" s="381"/>
      <c r="N765" s="342"/>
      <c r="R765" s="341"/>
      <c r="S765" s="341"/>
    </row>
    <row r="766" spans="1:19" ht="12.75" customHeight="1">
      <c r="A766" s="409" t="s">
        <v>47</v>
      </c>
      <c r="B766" s="410" t="s">
        <v>236</v>
      </c>
      <c r="C766" s="411" t="s">
        <v>231</v>
      </c>
      <c r="D766" s="412" t="s">
        <v>232</v>
      </c>
      <c r="E766" s="413" t="s">
        <v>233</v>
      </c>
      <c r="F766" s="378" t="s">
        <v>234</v>
      </c>
      <c r="J766" s="341"/>
      <c r="L766" s="380"/>
      <c r="M766" s="381"/>
      <c r="N766" s="342"/>
      <c r="R766" s="341"/>
      <c r="S766" s="341"/>
    </row>
    <row r="767" spans="1:19" ht="12.75" customHeight="1">
      <c r="A767" s="393"/>
      <c r="C767" s="20"/>
      <c r="E767" s="387"/>
      <c r="F767" s="388">
        <f t="shared" ref="F767:F773" si="205">ROUND(C767*E767,2)</f>
        <v>0</v>
      </c>
      <c r="H767" s="341" t="str">
        <f>IF(A767="","",VLOOKUP(A767,VII.A!$A$10:$D$199,4,FALSE))</f>
        <v/>
      </c>
      <c r="I767" s="341" t="str">
        <f t="shared" ref="I767:I773" si="206">IF(A767="","",IF(E767=H767,"SIM","NÃO"))</f>
        <v/>
      </c>
      <c r="J767" s="341" t="str">
        <f>IF(A767="","",VLOOKUP(A767,VII.A!$A$10:$D$199,3,FALSE))</f>
        <v/>
      </c>
      <c r="K767" s="342" t="str">
        <f t="shared" ref="K767:K773" si="207">IF(A767="","",IF(J767=D767,"SIM","NÃO"))</f>
        <v/>
      </c>
      <c r="L767" s="380" t="str">
        <f>IF(C767="","",G731*C767)</f>
        <v/>
      </c>
      <c r="M767" s="381" t="str">
        <f>IF(A767="","",VLOOKUP(A767,VII.A!$A$10:$B$199,2,FALSE))</f>
        <v/>
      </c>
      <c r="N767" s="342" t="str">
        <f t="shared" ref="N767:N773" si="208">IF(B767="","",IF(M767=B767,"si","no"))</f>
        <v/>
      </c>
      <c r="R767" s="341"/>
      <c r="S767" s="341"/>
    </row>
    <row r="768" spans="1:19" ht="12.75" customHeight="1">
      <c r="A768" s="393"/>
      <c r="C768" s="20"/>
      <c r="E768" s="387"/>
      <c r="F768" s="388">
        <f t="shared" si="205"/>
        <v>0</v>
      </c>
      <c r="H768" s="341" t="str">
        <f>IF(A768="","",VLOOKUP(A768,VII.A!$A$10:$D$199,4,FALSE))</f>
        <v/>
      </c>
      <c r="I768" s="341" t="str">
        <f t="shared" si="206"/>
        <v/>
      </c>
      <c r="J768" s="341" t="str">
        <f>IF(A768="","",VLOOKUP(A768,VII.A!$A$10:$D$199,3,FALSE))</f>
        <v/>
      </c>
      <c r="K768" s="342" t="str">
        <f t="shared" si="207"/>
        <v/>
      </c>
      <c r="L768" s="380" t="str">
        <f>IF(C768="","",G731*C768)</f>
        <v/>
      </c>
      <c r="M768" s="381" t="str">
        <f>IF(A768="","",VLOOKUP(A768,VII.A!$A$10:$B$199,2,FALSE))</f>
        <v/>
      </c>
      <c r="N768" s="342" t="str">
        <f t="shared" si="208"/>
        <v/>
      </c>
      <c r="R768" s="341"/>
      <c r="S768" s="341"/>
    </row>
    <row r="769" spans="1:25" ht="12.75" customHeight="1">
      <c r="A769" s="393"/>
      <c r="C769" s="20"/>
      <c r="E769" s="387"/>
      <c r="F769" s="388">
        <f t="shared" si="205"/>
        <v>0</v>
      </c>
      <c r="H769" s="341" t="str">
        <f>IF(A769="","",VLOOKUP(A769,VII.A!$A$10:$D$199,4,FALSE))</f>
        <v/>
      </c>
      <c r="I769" s="341" t="str">
        <f t="shared" si="206"/>
        <v/>
      </c>
      <c r="J769" s="341" t="str">
        <f>IF(A769="","",VLOOKUP(A769,VII.A!$A$10:$D$199,3,FALSE))</f>
        <v/>
      </c>
      <c r="K769" s="342" t="str">
        <f t="shared" si="207"/>
        <v/>
      </c>
      <c r="L769" s="380" t="str">
        <f>IF(C769="","",G731*C769)</f>
        <v/>
      </c>
      <c r="M769" s="381" t="str">
        <f>IF(A769="","",VLOOKUP(A769,VII.A!$A$10:$B$199,2,FALSE))</f>
        <v/>
      </c>
      <c r="N769" s="342" t="str">
        <f t="shared" si="208"/>
        <v/>
      </c>
      <c r="R769" s="341"/>
      <c r="S769" s="341"/>
    </row>
    <row r="770" spans="1:25" ht="12.75" customHeight="1">
      <c r="A770" s="393"/>
      <c r="C770" s="20"/>
      <c r="E770" s="387"/>
      <c r="F770" s="388">
        <f t="shared" si="205"/>
        <v>0</v>
      </c>
      <c r="H770" s="341" t="str">
        <f>IF(A770="","",VLOOKUP(A770,VII.A!$A$10:$D$199,4,FALSE))</f>
        <v/>
      </c>
      <c r="I770" s="341" t="str">
        <f t="shared" si="206"/>
        <v/>
      </c>
      <c r="J770" s="341" t="str">
        <f>IF(A770="","",VLOOKUP(A770,VII.A!$A$10:$D$199,3,FALSE))</f>
        <v/>
      </c>
      <c r="K770" s="342" t="str">
        <f t="shared" si="207"/>
        <v/>
      </c>
      <c r="L770" s="380" t="str">
        <f>IF(C770="","",G731*C770)</f>
        <v/>
      </c>
      <c r="M770" s="381" t="str">
        <f>IF(A770="","",VLOOKUP(A770,VII.A!$A$10:$B$199,2,FALSE))</f>
        <v/>
      </c>
      <c r="N770" s="342" t="str">
        <f t="shared" si="208"/>
        <v/>
      </c>
      <c r="R770" s="341"/>
      <c r="S770" s="341"/>
    </row>
    <row r="771" spans="1:25" ht="12.75" customHeight="1">
      <c r="A771" s="393"/>
      <c r="C771" s="20"/>
      <c r="E771" s="387"/>
      <c r="F771" s="388">
        <f t="shared" si="205"/>
        <v>0</v>
      </c>
      <c r="H771" s="341" t="str">
        <f>IF(A771="","",VLOOKUP(A771,VII.A!$A$10:$D$199,4,FALSE))</f>
        <v/>
      </c>
      <c r="I771" s="341" t="str">
        <f t="shared" si="206"/>
        <v/>
      </c>
      <c r="J771" s="341" t="str">
        <f>IF(A771="","",VLOOKUP(A771,VII.A!$A$10:$D$199,3,FALSE))</f>
        <v/>
      </c>
      <c r="K771" s="342" t="str">
        <f t="shared" si="207"/>
        <v/>
      </c>
      <c r="L771" s="380" t="str">
        <f>IF(C771="","",G731*C771)</f>
        <v/>
      </c>
      <c r="M771" s="381" t="str">
        <f>IF(A771="","",VLOOKUP(A771,VII.A!$A$10:$B$199,2,FALSE))</f>
        <v/>
      </c>
      <c r="N771" s="342" t="str">
        <f t="shared" si="208"/>
        <v/>
      </c>
      <c r="R771" s="341"/>
      <c r="S771" s="341"/>
    </row>
    <row r="772" spans="1:25" ht="12.75" customHeight="1">
      <c r="A772" s="393"/>
      <c r="C772" s="20"/>
      <c r="E772" s="387"/>
      <c r="F772" s="388">
        <f t="shared" si="205"/>
        <v>0</v>
      </c>
      <c r="H772" s="341" t="str">
        <f>IF(A772="","",VLOOKUP(A772,VII.A!$A$10:$D$199,4,FALSE))</f>
        <v/>
      </c>
      <c r="I772" s="341" t="str">
        <f t="shared" si="206"/>
        <v/>
      </c>
      <c r="J772" s="341" t="str">
        <f>IF(A772="","",VLOOKUP(A772,VII.A!$A$10:$D$199,3,FALSE))</f>
        <v/>
      </c>
      <c r="K772" s="342" t="str">
        <f t="shared" si="207"/>
        <v/>
      </c>
      <c r="L772" s="380" t="str">
        <f>IF(C772="","",G731*C772)</f>
        <v/>
      </c>
      <c r="M772" s="381" t="str">
        <f>IF(A772="","",VLOOKUP(A772,VII.A!$A$10:$B$199,2,FALSE))</f>
        <v/>
      </c>
      <c r="N772" s="342" t="str">
        <f t="shared" si="208"/>
        <v/>
      </c>
      <c r="R772" s="341"/>
      <c r="S772" s="341"/>
    </row>
    <row r="773" spans="1:25" ht="12.75" customHeight="1">
      <c r="A773" s="393"/>
      <c r="C773" s="20"/>
      <c r="E773" s="387"/>
      <c r="F773" s="388">
        <f t="shared" si="205"/>
        <v>0</v>
      </c>
      <c r="H773" s="341" t="str">
        <f>IF(A773="","",VLOOKUP(A773,VII.A!$A$10:$D$199,4,FALSE))</f>
        <v/>
      </c>
      <c r="I773" s="341" t="str">
        <f t="shared" si="206"/>
        <v/>
      </c>
      <c r="J773" s="341" t="str">
        <f>IF(A773="","",VLOOKUP(A773,VII.A!$A$10:$D$199,3,FALSE))</f>
        <v/>
      </c>
      <c r="K773" s="342" t="str">
        <f t="shared" si="207"/>
        <v/>
      </c>
      <c r="L773" s="380" t="str">
        <f>IF(C773="","",G731*C773)</f>
        <v/>
      </c>
      <c r="M773" s="381" t="str">
        <f>IF(A773="","",VLOOKUP(A773,VII.A!$A$10:$B$199,2,FALSE))</f>
        <v/>
      </c>
      <c r="N773" s="342" t="str">
        <f t="shared" si="208"/>
        <v/>
      </c>
      <c r="R773" s="341"/>
      <c r="S773" s="341"/>
    </row>
    <row r="774" spans="1:25" ht="12.75" customHeight="1">
      <c r="A774" s="393"/>
      <c r="B774" s="395" t="s">
        <v>226</v>
      </c>
      <c r="C774" s="396"/>
      <c r="D774" s="397"/>
      <c r="E774" s="398"/>
      <c r="F774" s="399">
        <f>SUM(F767:F773)</f>
        <v>0</v>
      </c>
      <c r="J774" s="341"/>
      <c r="L774" s="380"/>
      <c r="M774" s="381"/>
      <c r="N774" s="342"/>
      <c r="R774" s="341"/>
      <c r="S774" s="341"/>
    </row>
    <row r="775" spans="1:25" ht="12.75" customHeight="1">
      <c r="A775" s="393"/>
      <c r="B775" s="400" t="s">
        <v>229</v>
      </c>
      <c r="C775" s="2">
        <f>IX.A!$C$45</f>
        <v>0</v>
      </c>
      <c r="D775" s="401"/>
      <c r="E775" s="402"/>
      <c r="F775" s="403">
        <f>ROUND(F774*C775,2)</f>
        <v>0</v>
      </c>
      <c r="J775" s="341"/>
      <c r="L775" s="380"/>
      <c r="M775" s="381"/>
      <c r="N775" s="342"/>
      <c r="R775" s="341"/>
      <c r="S775" s="341"/>
    </row>
    <row r="776" spans="1:25" ht="12.75" customHeight="1">
      <c r="A776" s="393"/>
      <c r="B776" s="400" t="s">
        <v>53</v>
      </c>
      <c r="C776" s="2">
        <f>$D$8</f>
        <v>0</v>
      </c>
      <c r="D776" s="401"/>
      <c r="E776" s="402"/>
      <c r="F776" s="403">
        <f>ROUND(SUM(F774:F775)*C776,2)</f>
        <v>0</v>
      </c>
      <c r="J776" s="341"/>
      <c r="L776" s="380"/>
      <c r="M776" s="381"/>
      <c r="N776" s="342"/>
      <c r="R776" s="341"/>
      <c r="S776" s="341"/>
    </row>
    <row r="777" spans="1:25" ht="12.75" customHeight="1" thickBot="1">
      <c r="A777" s="414"/>
      <c r="B777" s="415" t="s">
        <v>230</v>
      </c>
      <c r="C777" s="416"/>
      <c r="D777" s="416"/>
      <c r="E777" s="417"/>
      <c r="F777" s="418">
        <f>SUM(F774:F776)</f>
        <v>0</v>
      </c>
      <c r="J777" s="341"/>
      <c r="L777" s="380"/>
      <c r="M777" s="381"/>
      <c r="N777" s="342"/>
      <c r="R777" s="341"/>
      <c r="S777" s="341"/>
    </row>
    <row r="778" spans="1:25" ht="12.75" customHeight="1" thickBot="1">
      <c r="A778" s="427"/>
      <c r="B778" s="428"/>
      <c r="C778" s="429"/>
      <c r="D778" s="429"/>
      <c r="E778" s="430"/>
      <c r="F778" s="431"/>
      <c r="J778" s="341"/>
      <c r="L778" s="380"/>
      <c r="M778" s="381"/>
      <c r="N778" s="342"/>
      <c r="R778" s="341"/>
      <c r="S778" s="341"/>
    </row>
    <row r="779" spans="1:25" ht="30" customHeight="1">
      <c r="A779" s="370" t="str">
        <f>IV.A!A38</f>
        <v>2.3.1</v>
      </c>
      <c r="B779" s="371" t="str">
        <f>IV.A!B38</f>
        <v>SINALIZAÇÃO DE OBRA COM CONE DE PVC COM PINTURA REFLEXIVA H = 0,70 M</v>
      </c>
      <c r="C779" s="871" t="s">
        <v>237</v>
      </c>
      <c r="D779" s="872"/>
      <c r="E779" s="372" t="str">
        <f>IV.A!C38</f>
        <v>UN</v>
      </c>
      <c r="F779" s="11">
        <f>ROUND(F799+F813+F825,2)</f>
        <v>0</v>
      </c>
      <c r="G779" s="1">
        <f>VLOOKUP(A779,IV.A!$A$16:$L$172,4,FALSE)</f>
        <v>12</v>
      </c>
      <c r="H779" s="361">
        <f>SUM(F781:F796)+F798</f>
        <v>0</v>
      </c>
      <c r="I779" s="361">
        <f>SUM(F801:F810)+F812</f>
        <v>0</v>
      </c>
      <c r="J779" s="361">
        <f>SUM(F815:F821)+F823+F824</f>
        <v>0</v>
      </c>
      <c r="K779" s="361">
        <f>SUM(H779:J779)</f>
        <v>0</v>
      </c>
      <c r="L779" s="362" t="str">
        <f>IF(K779=F779,"SIM","NÃO")</f>
        <v>SIM</v>
      </c>
      <c r="M779" s="373">
        <f>ROUND(SUM(F781:F796),2)+ROUND(SUM(F781:F796)*C798,2)+ROUND(SUM(F801:F810)*C812,2)+ROUND(SUM(F801:F810),2)+ROUND(SUM(F815:F821)*C823,2)+ROUND((SUM(F815:F821)+ROUND(SUM(F815:F821)*C823,2))*C824,2)+ROUND(SUM(F815:F821),2)</f>
        <v>0</v>
      </c>
      <c r="N779" s="343" t="str">
        <f>IF(M779=F779,"SIM","NÃO")</f>
        <v>SIM</v>
      </c>
      <c r="O779" s="364" t="str">
        <f>VLOOKUP(A779,IV.A!$A$16:$E$172,3,FALSE)</f>
        <v>UN</v>
      </c>
      <c r="P779" s="344" t="str">
        <f>IF(O779=E779,"SIM","NÃO")</f>
        <v>SIM</v>
      </c>
      <c r="Q779" s="365">
        <f>ROUND(G779*F799,2)+ROUND(G779*F813,2)+ROUND(G779*F825,2)</f>
        <v>0</v>
      </c>
      <c r="R779" s="364">
        <f>VLOOKUP(A779,IV.A!$A$16:$L$172,12,FALSE)</f>
        <v>0</v>
      </c>
      <c r="S779" s="366" t="str">
        <f>IF(Q779=R779,"si","no")</f>
        <v>si</v>
      </c>
      <c r="T779" s="367">
        <f>SUM(L781:L796)+SUM(L801:L810)+SUM(L815:L821)</f>
        <v>12</v>
      </c>
      <c r="U779" s="341">
        <f>(SUM(C781:C796)+SUM(C801:C810)+SUM(C815:C821))*G779</f>
        <v>12</v>
      </c>
      <c r="V779" s="368" t="str">
        <f>IF(T779=U779,"si","no")</f>
        <v>si</v>
      </c>
      <c r="W779" s="369">
        <f>SUM(F781:F796)</f>
        <v>0</v>
      </c>
      <c r="X779" s="369">
        <f>SUM(F801:F810)</f>
        <v>0</v>
      </c>
      <c r="Y779" s="369">
        <f>SUM(F815:F821)</f>
        <v>0</v>
      </c>
    </row>
    <row r="780" spans="1:25" ht="12.75" customHeight="1">
      <c r="A780" s="374" t="s">
        <v>14</v>
      </c>
      <c r="B780" s="375" t="s">
        <v>132</v>
      </c>
      <c r="C780" s="376" t="s">
        <v>231</v>
      </c>
      <c r="D780" s="376" t="s">
        <v>232</v>
      </c>
      <c r="E780" s="377" t="s">
        <v>233</v>
      </c>
      <c r="F780" s="378" t="s">
        <v>234</v>
      </c>
      <c r="G780" s="379"/>
      <c r="J780" s="341"/>
      <c r="L780" s="380"/>
      <c r="M780" s="381"/>
      <c r="N780" s="342"/>
      <c r="O780" s="382"/>
      <c r="P780" s="383"/>
      <c r="Q780" s="383"/>
      <c r="R780" s="383"/>
      <c r="S780" s="383"/>
      <c r="T780" s="382"/>
      <c r="U780" s="341"/>
      <c r="V780" s="384"/>
      <c r="W780" s="384"/>
      <c r="X780" s="384"/>
      <c r="Y780" s="384"/>
    </row>
    <row r="781" spans="1:25" ht="12.75" customHeight="1">
      <c r="A781" s="385" t="str">
        <f>VII.A!$A$42</f>
        <v>1.33</v>
      </c>
      <c r="B781" s="386" t="str">
        <f>VII.A!B42</f>
        <v>CONE DE SINALIZACAO EM PVC RIGIDO COM FAIXA REFLETIVA, H = 70 / 76 CM</v>
      </c>
      <c r="C781" s="20">
        <v>1</v>
      </c>
      <c r="D781" s="342" t="str">
        <f>VII.A!C42</f>
        <v xml:space="preserve">UN </v>
      </c>
      <c r="E781" s="387">
        <f>VII.A!$D$42</f>
        <v>0</v>
      </c>
      <c r="F781" s="388">
        <f>ROUND(C781*E781,2)</f>
        <v>0</v>
      </c>
      <c r="H781" s="341">
        <f>IF(A781="","",VLOOKUP(A781,VII.A!$A$10:$D$199,4,FALSE))</f>
        <v>0</v>
      </c>
      <c r="I781" s="341" t="str">
        <f t="shared" ref="I781:I796" si="209">IF(A781="","",IF(E781=H781,"SIM","NÃO"))</f>
        <v>SIM</v>
      </c>
      <c r="J781" s="341" t="str">
        <f>IF(A781="","",VLOOKUP(A781,VII.A!$A$10:$D$199,3,FALSE))</f>
        <v xml:space="preserve">UN </v>
      </c>
      <c r="K781" s="342" t="str">
        <f t="shared" ref="K781:K796" si="210">IF(A781="","",IF(J781=D781,"SIM","NÃO"))</f>
        <v>SIM</v>
      </c>
      <c r="L781" s="380">
        <f>IF(C781="","",G779*C781)</f>
        <v>12</v>
      </c>
      <c r="M781" s="381" t="str">
        <f>IF(A781="","",VLOOKUP(A781,VII.A!$A$10:$B$199,2,FALSE))</f>
        <v>CONE DE SINALIZACAO EM PVC RIGIDO COM FAIXA REFLETIVA, H = 70 / 76 CM</v>
      </c>
      <c r="N781" s="342" t="str">
        <f t="shared" ref="N781:N796" si="211">IF(B781="","",IF(M781=B781,"si","no"))</f>
        <v>si</v>
      </c>
      <c r="R781" s="341"/>
      <c r="S781" s="341"/>
    </row>
    <row r="782" spans="1:25" ht="12.75" customHeight="1">
      <c r="A782" s="385"/>
      <c r="B782" s="386"/>
      <c r="C782" s="20"/>
      <c r="D782" s="342"/>
      <c r="E782" s="387"/>
      <c r="F782" s="388">
        <f t="shared" ref="F782:F796" si="212">ROUND(C782*E782,2)</f>
        <v>0</v>
      </c>
      <c r="H782" s="341" t="str">
        <f>IF(A782="","",VLOOKUP(A782,VII.A!$A$10:$D$199,4,FALSE))</f>
        <v/>
      </c>
      <c r="I782" s="341" t="str">
        <f t="shared" si="209"/>
        <v/>
      </c>
      <c r="J782" s="341" t="str">
        <f>IF(A782="","",VLOOKUP(A782,VII.A!$A$10:$D$199,3,FALSE))</f>
        <v/>
      </c>
      <c r="K782" s="342" t="str">
        <f t="shared" si="210"/>
        <v/>
      </c>
      <c r="L782" s="380" t="str">
        <f>IF(C782="","",G779*C782)</f>
        <v/>
      </c>
      <c r="M782" s="381" t="str">
        <f>IF(A782="","",VLOOKUP(A782,VII.A!$A$10:$B$199,2,FALSE))</f>
        <v/>
      </c>
      <c r="N782" s="342" t="str">
        <f t="shared" si="211"/>
        <v/>
      </c>
      <c r="R782" s="341"/>
      <c r="S782" s="341"/>
    </row>
    <row r="783" spans="1:25" ht="12.75" customHeight="1">
      <c r="A783" s="385"/>
      <c r="B783" s="386"/>
      <c r="C783" s="20"/>
      <c r="D783" s="342"/>
      <c r="E783" s="387"/>
      <c r="F783" s="388">
        <f t="shared" si="212"/>
        <v>0</v>
      </c>
      <c r="H783" s="341" t="str">
        <f>IF(A783="","",VLOOKUP(A783,VII.A!$A$10:$D$199,4,FALSE))</f>
        <v/>
      </c>
      <c r="I783" s="341" t="str">
        <f t="shared" si="209"/>
        <v/>
      </c>
      <c r="J783" s="341" t="str">
        <f>IF(A783="","",VLOOKUP(A783,VII.A!$A$10:$D$199,3,FALSE))</f>
        <v/>
      </c>
      <c r="K783" s="342" t="str">
        <f t="shared" si="210"/>
        <v/>
      </c>
      <c r="L783" s="380" t="str">
        <f>IF(C783="","",G779*C783)</f>
        <v/>
      </c>
      <c r="M783" s="381" t="str">
        <f>IF(A783="","",VLOOKUP(A783,VII.A!$A$10:$B$199,2,FALSE))</f>
        <v/>
      </c>
      <c r="N783" s="342" t="str">
        <f t="shared" si="211"/>
        <v/>
      </c>
      <c r="R783" s="341"/>
      <c r="S783" s="341"/>
    </row>
    <row r="784" spans="1:25" ht="12.75" customHeight="1">
      <c r="A784" s="385"/>
      <c r="B784" s="386"/>
      <c r="C784" s="20"/>
      <c r="D784" s="342"/>
      <c r="E784" s="387"/>
      <c r="F784" s="388">
        <f t="shared" si="212"/>
        <v>0</v>
      </c>
      <c r="H784" s="341" t="str">
        <f>IF(A784="","",VLOOKUP(A784,VII.A!$A$10:$D$199,4,FALSE))</f>
        <v/>
      </c>
      <c r="I784" s="341" t="str">
        <f t="shared" si="209"/>
        <v/>
      </c>
      <c r="J784" s="341" t="str">
        <f>IF(A784="","",VLOOKUP(A784,VII.A!$A$10:$D$199,3,FALSE))</f>
        <v/>
      </c>
      <c r="K784" s="342" t="str">
        <f t="shared" si="210"/>
        <v/>
      </c>
      <c r="L784" s="380" t="str">
        <f>IF(C784="","",G779*C784)</f>
        <v/>
      </c>
      <c r="M784" s="381" t="str">
        <f>IF(A784="","",VLOOKUP(A784,VII.A!$A$10:$B$199,2,FALSE))</f>
        <v/>
      </c>
      <c r="N784" s="342" t="str">
        <f t="shared" si="211"/>
        <v/>
      </c>
      <c r="R784" s="341"/>
      <c r="S784" s="341"/>
    </row>
    <row r="785" spans="1:21" ht="12.75" customHeight="1">
      <c r="A785" s="385"/>
      <c r="B785" s="386"/>
      <c r="C785" s="20"/>
      <c r="D785" s="342"/>
      <c r="E785" s="387"/>
      <c r="F785" s="388">
        <f t="shared" si="212"/>
        <v>0</v>
      </c>
      <c r="H785" s="341" t="str">
        <f>IF(A785="","",VLOOKUP(A785,VII.A!$A$10:$D$199,4,FALSE))</f>
        <v/>
      </c>
      <c r="I785" s="341" t="str">
        <f t="shared" si="209"/>
        <v/>
      </c>
      <c r="J785" s="341" t="str">
        <f>IF(A785="","",VLOOKUP(A785,VII.A!$A$10:$D$199,3,FALSE))</f>
        <v/>
      </c>
      <c r="K785" s="342" t="str">
        <f t="shared" si="210"/>
        <v/>
      </c>
      <c r="L785" s="380" t="str">
        <f>IF(C785="","",G779*C785)</f>
        <v/>
      </c>
      <c r="M785" s="381" t="str">
        <f>IF(A785="","",VLOOKUP(A785,VII.A!$A$10:$B$199,2,FALSE))</f>
        <v/>
      </c>
      <c r="N785" s="342" t="str">
        <f t="shared" si="211"/>
        <v/>
      </c>
      <c r="R785" s="341"/>
      <c r="S785" s="341"/>
    </row>
    <row r="786" spans="1:21" ht="12.75" customHeight="1">
      <c r="A786" s="385"/>
      <c r="B786" s="386"/>
      <c r="C786" s="20"/>
      <c r="D786" s="342"/>
      <c r="E786" s="387"/>
      <c r="F786" s="388">
        <f t="shared" si="212"/>
        <v>0</v>
      </c>
      <c r="H786" s="341" t="str">
        <f>IF(A786="","",VLOOKUP(A786,VII.A!$A$10:$D$199,4,FALSE))</f>
        <v/>
      </c>
      <c r="I786" s="341" t="str">
        <f t="shared" si="209"/>
        <v/>
      </c>
      <c r="J786" s="341" t="str">
        <f>IF(A786="","",VLOOKUP(A786,VII.A!$A$10:$D$199,3,FALSE))</f>
        <v/>
      </c>
      <c r="K786" s="342" t="str">
        <f t="shared" si="210"/>
        <v/>
      </c>
      <c r="L786" s="380" t="str">
        <f>IF(C786="","",G779*C786)</f>
        <v/>
      </c>
      <c r="M786" s="381" t="str">
        <f>IF(A786="","",VLOOKUP(A786,VII.A!$A$10:$B$199,2,FALSE))</f>
        <v/>
      </c>
      <c r="N786" s="342" t="str">
        <f t="shared" si="211"/>
        <v/>
      </c>
      <c r="R786" s="341"/>
      <c r="S786" s="341"/>
      <c r="U786" s="389"/>
    </row>
    <row r="787" spans="1:21" ht="12.75" customHeight="1">
      <c r="A787" s="385"/>
      <c r="B787" s="386"/>
      <c r="C787" s="20"/>
      <c r="D787" s="342"/>
      <c r="E787" s="387"/>
      <c r="F787" s="388">
        <f t="shared" si="212"/>
        <v>0</v>
      </c>
      <c r="H787" s="341" t="str">
        <f>IF(A787="","",VLOOKUP(A787,VII.A!$A$10:$D$199,4,FALSE))</f>
        <v/>
      </c>
      <c r="I787" s="341" t="str">
        <f t="shared" si="209"/>
        <v/>
      </c>
      <c r="J787" s="341" t="str">
        <f>IF(A787="","",VLOOKUP(A787,VII.A!$A$10:$D$199,3,FALSE))</f>
        <v/>
      </c>
      <c r="K787" s="342" t="str">
        <f t="shared" si="210"/>
        <v/>
      </c>
      <c r="L787" s="380" t="str">
        <f>IF(C787="","",G779*C787)</f>
        <v/>
      </c>
      <c r="M787" s="381" t="str">
        <f>IF(A787="","",VLOOKUP(A787,VII.A!$A$10:$B$199,2,FALSE))</f>
        <v/>
      </c>
      <c r="N787" s="342" t="str">
        <f t="shared" si="211"/>
        <v/>
      </c>
      <c r="R787" s="341"/>
      <c r="S787" s="341"/>
    </row>
    <row r="788" spans="1:21" ht="12.75" customHeight="1">
      <c r="A788" s="385"/>
      <c r="B788" s="386"/>
      <c r="C788" s="20"/>
      <c r="D788" s="342"/>
      <c r="E788" s="387"/>
      <c r="F788" s="388">
        <f t="shared" si="212"/>
        <v>0</v>
      </c>
      <c r="G788" s="390"/>
      <c r="H788" s="341" t="str">
        <f>IF(A788="","",VLOOKUP(A788,VII.A!$A$10:$D$199,4,FALSE))</f>
        <v/>
      </c>
      <c r="I788" s="341" t="str">
        <f t="shared" si="209"/>
        <v/>
      </c>
      <c r="J788" s="341" t="str">
        <f>IF(A788="","",VLOOKUP(A788,VII.A!$A$10:$D$199,3,FALSE))</f>
        <v/>
      </c>
      <c r="K788" s="342" t="str">
        <f t="shared" si="210"/>
        <v/>
      </c>
      <c r="L788" s="380" t="str">
        <f>IF(C788="","",G779*C788)</f>
        <v/>
      </c>
      <c r="M788" s="381" t="str">
        <f>IF(A788="","",VLOOKUP(A788,VII.A!$A$10:$B$199,2,FALSE))</f>
        <v/>
      </c>
      <c r="N788" s="342" t="str">
        <f t="shared" si="211"/>
        <v/>
      </c>
      <c r="R788" s="341"/>
      <c r="S788" s="341"/>
    </row>
    <row r="789" spans="1:21" ht="12.75" customHeight="1">
      <c r="A789" s="385"/>
      <c r="B789" s="386"/>
      <c r="C789" s="20"/>
      <c r="D789" s="342"/>
      <c r="E789" s="387"/>
      <c r="F789" s="388">
        <f t="shared" si="212"/>
        <v>0</v>
      </c>
      <c r="G789" s="390"/>
      <c r="H789" s="341" t="str">
        <f>IF(A789="","",VLOOKUP(A789,VII.A!$A$10:$D$199,4,FALSE))</f>
        <v/>
      </c>
      <c r="I789" s="341" t="str">
        <f t="shared" si="209"/>
        <v/>
      </c>
      <c r="J789" s="341" t="str">
        <f>IF(A789="","",VLOOKUP(A789,VII.A!$A$10:$D$199,3,FALSE))</f>
        <v/>
      </c>
      <c r="K789" s="342" t="str">
        <f t="shared" si="210"/>
        <v/>
      </c>
      <c r="L789" s="380" t="str">
        <f>IF(C789="","",G779*C789)</f>
        <v/>
      </c>
      <c r="M789" s="381" t="str">
        <f>IF(A789="","",VLOOKUP(A789,VII.A!$A$10:$B$199,2,FALSE))</f>
        <v/>
      </c>
      <c r="N789" s="342" t="str">
        <f t="shared" si="211"/>
        <v/>
      </c>
      <c r="R789" s="341"/>
      <c r="S789" s="341"/>
    </row>
    <row r="790" spans="1:21" ht="12.75" customHeight="1">
      <c r="A790" s="385"/>
      <c r="B790" s="386"/>
      <c r="C790" s="20"/>
      <c r="D790" s="342"/>
      <c r="E790" s="387"/>
      <c r="F790" s="388">
        <f t="shared" si="212"/>
        <v>0</v>
      </c>
      <c r="G790" s="391"/>
      <c r="H790" s="341" t="str">
        <f>IF(A790="","",VLOOKUP(A790,VII.A!$A$10:$D$199,4,FALSE))</f>
        <v/>
      </c>
      <c r="I790" s="341" t="str">
        <f t="shared" si="209"/>
        <v/>
      </c>
      <c r="J790" s="341" t="str">
        <f>IF(A790="","",VLOOKUP(A790,VII.A!$A$10:$D$199,3,FALSE))</f>
        <v/>
      </c>
      <c r="K790" s="342" t="str">
        <f t="shared" si="210"/>
        <v/>
      </c>
      <c r="L790" s="380" t="str">
        <f>IF(C790="","",G779*C790)</f>
        <v/>
      </c>
      <c r="M790" s="381" t="str">
        <f>IF(A790="","",VLOOKUP(A790,VII.A!$A$10:$B$199,2,FALSE))</f>
        <v/>
      </c>
      <c r="N790" s="342" t="str">
        <f t="shared" si="211"/>
        <v/>
      </c>
      <c r="R790" s="341"/>
      <c r="S790" s="341"/>
    </row>
    <row r="791" spans="1:21" ht="12.75" customHeight="1">
      <c r="A791" s="385"/>
      <c r="B791" s="386"/>
      <c r="C791" s="20"/>
      <c r="D791" s="342"/>
      <c r="E791" s="387"/>
      <c r="F791" s="388">
        <f t="shared" si="212"/>
        <v>0</v>
      </c>
      <c r="H791" s="341" t="str">
        <f>IF(A791="","",VLOOKUP(A791,VII.A!$A$10:$D$199,4,FALSE))</f>
        <v/>
      </c>
      <c r="I791" s="341" t="str">
        <f t="shared" si="209"/>
        <v/>
      </c>
      <c r="J791" s="341" t="str">
        <f>IF(A791="","",VLOOKUP(A791,VII.A!$A$10:$D$199,3,FALSE))</f>
        <v/>
      </c>
      <c r="K791" s="342" t="str">
        <f t="shared" si="210"/>
        <v/>
      </c>
      <c r="L791" s="380" t="str">
        <f>IF(C791="","",G779*C791)</f>
        <v/>
      </c>
      <c r="M791" s="381" t="str">
        <f>IF(A791="","",VLOOKUP(A791,VII.A!$A$10:$B$199,2,FALSE))</f>
        <v/>
      </c>
      <c r="N791" s="342" t="str">
        <f t="shared" si="211"/>
        <v/>
      </c>
      <c r="R791" s="341"/>
      <c r="S791" s="341"/>
    </row>
    <row r="792" spans="1:21" ht="12.75" customHeight="1">
      <c r="A792" s="385"/>
      <c r="B792" s="386"/>
      <c r="C792" s="20"/>
      <c r="D792" s="392"/>
      <c r="E792" s="387"/>
      <c r="F792" s="388">
        <f t="shared" si="212"/>
        <v>0</v>
      </c>
      <c r="H792" s="341" t="str">
        <f>IF(A792="","",VLOOKUP(A792,VII.A!$A$10:$D$199,4,FALSE))</f>
        <v/>
      </c>
      <c r="I792" s="341" t="str">
        <f t="shared" si="209"/>
        <v/>
      </c>
      <c r="J792" s="341" t="str">
        <f>IF(A792="","",VLOOKUP(A792,VII.A!$A$10:$D$199,3,FALSE))</f>
        <v/>
      </c>
      <c r="K792" s="342" t="str">
        <f t="shared" si="210"/>
        <v/>
      </c>
      <c r="L792" s="380" t="str">
        <f>IF(C792="","",G779*C792)</f>
        <v/>
      </c>
      <c r="M792" s="381" t="str">
        <f>IF(A792="","",VLOOKUP(A792,VII.A!$A$10:$B$199,2,FALSE))</f>
        <v/>
      </c>
      <c r="N792" s="342" t="str">
        <f t="shared" si="211"/>
        <v/>
      </c>
      <c r="R792" s="341"/>
      <c r="S792" s="341"/>
    </row>
    <row r="793" spans="1:21" ht="12.75" customHeight="1">
      <c r="A793" s="385"/>
      <c r="B793" s="386"/>
      <c r="C793" s="20"/>
      <c r="D793" s="392"/>
      <c r="E793" s="387"/>
      <c r="F793" s="388">
        <f t="shared" si="212"/>
        <v>0</v>
      </c>
      <c r="H793" s="341" t="str">
        <f>IF(A793="","",VLOOKUP(A793,VII.A!$A$10:$D$199,4,FALSE))</f>
        <v/>
      </c>
      <c r="I793" s="341" t="str">
        <f t="shared" si="209"/>
        <v/>
      </c>
      <c r="J793" s="341" t="str">
        <f>IF(A793="","",VLOOKUP(A793,VII.A!$A$10:$D$199,3,FALSE))</f>
        <v/>
      </c>
      <c r="K793" s="342" t="str">
        <f t="shared" si="210"/>
        <v/>
      </c>
      <c r="L793" s="380" t="str">
        <f>IF(C793="","",G779*C793)</f>
        <v/>
      </c>
      <c r="M793" s="381" t="str">
        <f>IF(A793="","",VLOOKUP(A793,VII.A!$A$10:$B$199,2,FALSE))</f>
        <v/>
      </c>
      <c r="N793" s="342" t="str">
        <f t="shared" si="211"/>
        <v/>
      </c>
      <c r="O793" s="342"/>
      <c r="R793" s="341"/>
      <c r="S793" s="341"/>
    </row>
    <row r="794" spans="1:21" ht="12.75" customHeight="1">
      <c r="A794" s="385"/>
      <c r="B794" s="386"/>
      <c r="C794" s="20"/>
      <c r="D794" s="392"/>
      <c r="E794" s="387"/>
      <c r="F794" s="388">
        <f t="shared" si="212"/>
        <v>0</v>
      </c>
      <c r="H794" s="341" t="str">
        <f>IF(A794="","",VLOOKUP(A794,VII.A!$A$10:$D$199,4,FALSE))</f>
        <v/>
      </c>
      <c r="I794" s="341" t="str">
        <f t="shared" si="209"/>
        <v/>
      </c>
      <c r="J794" s="341" t="str">
        <f>IF(A794="","",VLOOKUP(A794,VII.A!$A$10:$D$199,3,FALSE))</f>
        <v/>
      </c>
      <c r="K794" s="342" t="str">
        <f t="shared" si="210"/>
        <v/>
      </c>
      <c r="L794" s="380" t="str">
        <f>IF(C794="","",G779*C794)</f>
        <v/>
      </c>
      <c r="M794" s="381" t="str">
        <f>IF(A794="","",VLOOKUP(A794,VII.A!$A$10:$B$199,2,FALSE))</f>
        <v/>
      </c>
      <c r="N794" s="342" t="str">
        <f t="shared" si="211"/>
        <v/>
      </c>
      <c r="R794" s="341"/>
      <c r="S794" s="341"/>
    </row>
    <row r="795" spans="1:21" ht="12.75" customHeight="1">
      <c r="A795" s="393"/>
      <c r="C795" s="20"/>
      <c r="E795" s="387"/>
      <c r="F795" s="388">
        <f t="shared" si="212"/>
        <v>0</v>
      </c>
      <c r="H795" s="341" t="str">
        <f>IF(A795="","",VLOOKUP(A795,VII.A!$A$10:$D$199,4,FALSE))</f>
        <v/>
      </c>
      <c r="I795" s="341" t="str">
        <f t="shared" si="209"/>
        <v/>
      </c>
      <c r="J795" s="341" t="str">
        <f>IF(A795="","",VLOOKUP(A795,VII.A!$A$10:$D$199,3,FALSE))</f>
        <v/>
      </c>
      <c r="K795" s="342" t="str">
        <f t="shared" si="210"/>
        <v/>
      </c>
      <c r="L795" s="380" t="str">
        <f>IF(C795="","",G779*C795)</f>
        <v/>
      </c>
      <c r="M795" s="381" t="str">
        <f>IF(A795="","",VLOOKUP(A795,VII.A!$A$10:$B$199,2,FALSE))</f>
        <v/>
      </c>
      <c r="N795" s="342" t="str">
        <f t="shared" si="211"/>
        <v/>
      </c>
      <c r="R795" s="341"/>
      <c r="S795" s="341"/>
    </row>
    <row r="796" spans="1:21" ht="12.75" customHeight="1">
      <c r="A796" s="393"/>
      <c r="C796" s="20"/>
      <c r="E796" s="387"/>
      <c r="F796" s="388">
        <f t="shared" si="212"/>
        <v>0</v>
      </c>
      <c r="H796" s="341" t="str">
        <f>IF(A796="","",VLOOKUP(A796,VII.A!$A$10:$D$199,4,FALSE))</f>
        <v/>
      </c>
      <c r="I796" s="341" t="str">
        <f t="shared" si="209"/>
        <v/>
      </c>
      <c r="J796" s="341" t="str">
        <f>IF(A796="","",VLOOKUP(A796,VII.A!$A$10:$D$199,3,FALSE))</f>
        <v/>
      </c>
      <c r="K796" s="342" t="str">
        <f t="shared" si="210"/>
        <v/>
      </c>
      <c r="L796" s="380" t="str">
        <f>IF(C796="","",G779*C796)</f>
        <v/>
      </c>
      <c r="M796" s="381" t="str">
        <f>IF(A796="","",VLOOKUP(A796,VII.A!$A$10:$B$199,2,FALSE))</f>
        <v/>
      </c>
      <c r="N796" s="342" t="str">
        <f t="shared" si="211"/>
        <v/>
      </c>
      <c r="R796" s="341"/>
      <c r="S796" s="341"/>
    </row>
    <row r="797" spans="1:21" ht="12.75" customHeight="1">
      <c r="A797" s="393"/>
      <c r="B797" s="395" t="s">
        <v>226</v>
      </c>
      <c r="C797" s="396"/>
      <c r="D797" s="397"/>
      <c r="E797" s="398"/>
      <c r="F797" s="399">
        <f>SUM(F781:F796)</f>
        <v>0</v>
      </c>
      <c r="H797" s="426" t="s">
        <v>550</v>
      </c>
      <c r="J797" s="341"/>
      <c r="L797" s="380"/>
      <c r="M797" s="381"/>
      <c r="N797" s="342"/>
      <c r="R797" s="341"/>
      <c r="S797" s="341"/>
    </row>
    <row r="798" spans="1:21" ht="12.75" customHeight="1">
      <c r="A798" s="393"/>
      <c r="B798" s="400" t="s">
        <v>53</v>
      </c>
      <c r="C798" s="2">
        <f>$D$8</f>
        <v>0</v>
      </c>
      <c r="D798" s="401"/>
      <c r="E798" s="402"/>
      <c r="F798" s="403">
        <f>ROUND(F797*C798,2)</f>
        <v>0</v>
      </c>
      <c r="J798" s="341"/>
      <c r="L798" s="380"/>
      <c r="M798" s="381"/>
      <c r="N798" s="342"/>
      <c r="R798" s="341"/>
      <c r="S798" s="341"/>
    </row>
    <row r="799" spans="1:21" ht="12.75" customHeight="1">
      <c r="A799" s="404"/>
      <c r="B799" s="405" t="s">
        <v>227</v>
      </c>
      <c r="C799" s="406"/>
      <c r="D799" s="406"/>
      <c r="E799" s="407"/>
      <c r="F799" s="408">
        <f>F797+F798</f>
        <v>0</v>
      </c>
      <c r="J799" s="341"/>
      <c r="L799" s="380"/>
      <c r="M799" s="381"/>
      <c r="N799" s="342"/>
      <c r="R799" s="341"/>
      <c r="S799" s="341"/>
    </row>
    <row r="800" spans="1:21" ht="12.75" customHeight="1">
      <c r="A800" s="374" t="s">
        <v>2</v>
      </c>
      <c r="B800" s="375" t="s">
        <v>235</v>
      </c>
      <c r="C800" s="376" t="s">
        <v>231</v>
      </c>
      <c r="D800" s="376" t="s">
        <v>232</v>
      </c>
      <c r="E800" s="377" t="s">
        <v>233</v>
      </c>
      <c r="F800" s="378" t="s">
        <v>234</v>
      </c>
      <c r="J800" s="341"/>
      <c r="L800" s="380"/>
      <c r="M800" s="381"/>
      <c r="N800" s="342"/>
      <c r="R800" s="341"/>
      <c r="S800" s="341"/>
    </row>
    <row r="801" spans="1:19" ht="12.75" customHeight="1">
      <c r="A801" s="393"/>
      <c r="C801" s="20"/>
      <c r="E801" s="387"/>
      <c r="F801" s="388">
        <f t="shared" ref="F801:F810" si="213">ROUND(C801*E801,2)</f>
        <v>0</v>
      </c>
      <c r="H801" s="341" t="str">
        <f>IF(A801="","",VLOOKUP(A801,VII.A!$A$10:$D$199,4,FALSE))</f>
        <v/>
      </c>
      <c r="I801" s="341" t="str">
        <f t="shared" ref="I801:I810" si="214">IF(A801="","",IF(E801=H801,"SIM","NÃO"))</f>
        <v/>
      </c>
      <c r="J801" s="341" t="str">
        <f>IF(A801="","",VLOOKUP(A801,VII.A!$A$10:$D$199,3,FALSE))</f>
        <v/>
      </c>
      <c r="K801" s="342" t="str">
        <f t="shared" ref="K801:K810" si="215">IF(A801="","",IF(J801=D801,"SIM","NÃO"))</f>
        <v/>
      </c>
      <c r="L801" s="380" t="str">
        <f>IF(C801="","",G779*C801)</f>
        <v/>
      </c>
      <c r="M801" s="381" t="str">
        <f>IF(A801="","",VLOOKUP(A801,VII.A!$A$10:$B$199,2,FALSE))</f>
        <v/>
      </c>
      <c r="N801" s="342" t="str">
        <f t="shared" ref="N801:N810" si="216">IF(B801="","",IF(M801=B801,"si","no"))</f>
        <v/>
      </c>
      <c r="R801" s="341"/>
      <c r="S801" s="341"/>
    </row>
    <row r="802" spans="1:19" ht="12.75" customHeight="1">
      <c r="A802" s="393"/>
      <c r="C802" s="20"/>
      <c r="E802" s="387"/>
      <c r="F802" s="388">
        <f t="shared" si="213"/>
        <v>0</v>
      </c>
      <c r="H802" s="341" t="str">
        <f>IF(A802="","",VLOOKUP(A802,VII.A!$A$10:$D$199,4,FALSE))</f>
        <v/>
      </c>
      <c r="I802" s="341" t="str">
        <f t="shared" si="214"/>
        <v/>
      </c>
      <c r="J802" s="341" t="str">
        <f>IF(A802="","",VLOOKUP(A802,VII.A!$A$10:$D$199,3,FALSE))</f>
        <v/>
      </c>
      <c r="K802" s="342" t="str">
        <f t="shared" si="215"/>
        <v/>
      </c>
      <c r="L802" s="380" t="str">
        <f>IF(C802="","",G779*C802)</f>
        <v/>
      </c>
      <c r="M802" s="381" t="str">
        <f>IF(A802="","",VLOOKUP(A802,VII.A!$A$10:$B$199,2,FALSE))</f>
        <v/>
      </c>
      <c r="N802" s="342" t="str">
        <f t="shared" si="216"/>
        <v/>
      </c>
      <c r="R802" s="341"/>
      <c r="S802" s="341"/>
    </row>
    <row r="803" spans="1:19" ht="12.75" customHeight="1">
      <c r="A803" s="393"/>
      <c r="C803" s="20"/>
      <c r="E803" s="387"/>
      <c r="F803" s="388">
        <f t="shared" si="213"/>
        <v>0</v>
      </c>
      <c r="H803" s="341" t="str">
        <f>IF(A803="","",VLOOKUP(A803,VII.A!$A$10:$D$199,4,FALSE))</f>
        <v/>
      </c>
      <c r="I803" s="341" t="str">
        <f t="shared" si="214"/>
        <v/>
      </c>
      <c r="J803" s="341" t="str">
        <f>IF(A803="","",VLOOKUP(A803,VII.A!$A$10:$D$199,3,FALSE))</f>
        <v/>
      </c>
      <c r="K803" s="342" t="str">
        <f t="shared" si="215"/>
        <v/>
      </c>
      <c r="L803" s="380" t="str">
        <f>IF(C803="","",G779*C803)</f>
        <v/>
      </c>
      <c r="M803" s="381" t="str">
        <f>IF(A803="","",VLOOKUP(A803,VII.A!$A$10:$B$199,2,FALSE))</f>
        <v/>
      </c>
      <c r="N803" s="342" t="str">
        <f t="shared" si="216"/>
        <v/>
      </c>
      <c r="R803" s="341"/>
      <c r="S803" s="341"/>
    </row>
    <row r="804" spans="1:19" ht="12.75" customHeight="1">
      <c r="A804" s="393"/>
      <c r="C804" s="20"/>
      <c r="E804" s="387"/>
      <c r="F804" s="388">
        <f t="shared" si="213"/>
        <v>0</v>
      </c>
      <c r="H804" s="341" t="str">
        <f>IF(A804="","",VLOOKUP(A804,VII.A!$A$10:$D$199,4,FALSE))</f>
        <v/>
      </c>
      <c r="I804" s="341" t="str">
        <f t="shared" si="214"/>
        <v/>
      </c>
      <c r="J804" s="341" t="str">
        <f>IF(A804="","",VLOOKUP(A804,VII.A!$A$10:$D$199,3,FALSE))</f>
        <v/>
      </c>
      <c r="K804" s="342" t="str">
        <f t="shared" si="215"/>
        <v/>
      </c>
      <c r="L804" s="380" t="str">
        <f>IF(C804="","",G779*C804)</f>
        <v/>
      </c>
      <c r="M804" s="381" t="str">
        <f>IF(A804="","",VLOOKUP(A804,VII.A!$A$10:$B$199,2,FALSE))</f>
        <v/>
      </c>
      <c r="N804" s="342" t="str">
        <f t="shared" si="216"/>
        <v/>
      </c>
      <c r="R804" s="341"/>
      <c r="S804" s="341"/>
    </row>
    <row r="805" spans="1:19" ht="12.75" customHeight="1">
      <c r="A805" s="393"/>
      <c r="C805" s="20"/>
      <c r="E805" s="387"/>
      <c r="F805" s="388">
        <f t="shared" si="213"/>
        <v>0</v>
      </c>
      <c r="G805" s="390"/>
      <c r="H805" s="341" t="str">
        <f>IF(A805="","",VLOOKUP(A805,VII.A!$A$10:$D$199,4,FALSE))</f>
        <v/>
      </c>
      <c r="I805" s="341" t="str">
        <f t="shared" si="214"/>
        <v/>
      </c>
      <c r="J805" s="341" t="str">
        <f>IF(A805="","",VLOOKUP(A805,VII.A!$A$10:$D$199,3,FALSE))</f>
        <v/>
      </c>
      <c r="K805" s="342" t="str">
        <f t="shared" si="215"/>
        <v/>
      </c>
      <c r="L805" s="380" t="str">
        <f>IF(C805="","",G779*C805)</f>
        <v/>
      </c>
      <c r="M805" s="381" t="str">
        <f>IF(A805="","",VLOOKUP(A805,VII.A!$A$10:$B$199,2,FALSE))</f>
        <v/>
      </c>
      <c r="N805" s="342" t="str">
        <f t="shared" si="216"/>
        <v/>
      </c>
      <c r="R805" s="341"/>
      <c r="S805" s="341"/>
    </row>
    <row r="806" spans="1:19" ht="12.75" customHeight="1">
      <c r="A806" s="393"/>
      <c r="C806" s="20"/>
      <c r="E806" s="387"/>
      <c r="F806" s="388">
        <f t="shared" si="213"/>
        <v>0</v>
      </c>
      <c r="G806" s="391"/>
      <c r="H806" s="341" t="str">
        <f>IF(A806="","",VLOOKUP(A806,VII.A!$A$10:$D$199,4,FALSE))</f>
        <v/>
      </c>
      <c r="I806" s="341" t="str">
        <f t="shared" si="214"/>
        <v/>
      </c>
      <c r="J806" s="341" t="str">
        <f>IF(A806="","",VLOOKUP(A806,VII.A!$A$10:$D$199,3,FALSE))</f>
        <v/>
      </c>
      <c r="K806" s="342" t="str">
        <f t="shared" si="215"/>
        <v/>
      </c>
      <c r="L806" s="380" t="str">
        <f>IF(C806="","",G779*C806)</f>
        <v/>
      </c>
      <c r="M806" s="381" t="str">
        <f>IF(A806="","",VLOOKUP(A806,VII.A!$A$10:$B$199,2,FALSE))</f>
        <v/>
      </c>
      <c r="N806" s="342" t="str">
        <f t="shared" si="216"/>
        <v/>
      </c>
      <c r="R806" s="341"/>
      <c r="S806" s="341"/>
    </row>
    <row r="807" spans="1:19" ht="12.75" customHeight="1">
      <c r="A807" s="393"/>
      <c r="C807" s="20"/>
      <c r="E807" s="387"/>
      <c r="F807" s="388">
        <f t="shared" si="213"/>
        <v>0</v>
      </c>
      <c r="H807" s="341" t="str">
        <f>IF(A807="","",VLOOKUP(A807,VII.A!$A$10:$D$199,4,FALSE))</f>
        <v/>
      </c>
      <c r="I807" s="341" t="str">
        <f t="shared" si="214"/>
        <v/>
      </c>
      <c r="J807" s="341" t="str">
        <f>IF(A807="","",VLOOKUP(A807,VII.A!$A$10:$D$199,3,FALSE))</f>
        <v/>
      </c>
      <c r="K807" s="342" t="str">
        <f t="shared" si="215"/>
        <v/>
      </c>
      <c r="L807" s="380" t="str">
        <f>IF(C807="","",G779*C807)</f>
        <v/>
      </c>
      <c r="M807" s="381" t="str">
        <f>IF(A807="","",VLOOKUP(A807,VII.A!$A$10:$B$199,2,FALSE))</f>
        <v/>
      </c>
      <c r="N807" s="342" t="str">
        <f t="shared" si="216"/>
        <v/>
      </c>
      <c r="R807" s="341"/>
      <c r="S807" s="341"/>
    </row>
    <row r="808" spans="1:19" ht="12.75" customHeight="1">
      <c r="A808" s="393"/>
      <c r="C808" s="20"/>
      <c r="E808" s="387"/>
      <c r="F808" s="388">
        <f t="shared" si="213"/>
        <v>0</v>
      </c>
      <c r="H808" s="341" t="str">
        <f>IF(A808="","",VLOOKUP(A808,VII.A!$A$10:$D$199,4,FALSE))</f>
        <v/>
      </c>
      <c r="I808" s="341" t="str">
        <f t="shared" si="214"/>
        <v/>
      </c>
      <c r="J808" s="341" t="str">
        <f>IF(A808="","",VLOOKUP(A808,VII.A!$A$10:$D$199,3,FALSE))</f>
        <v/>
      </c>
      <c r="K808" s="342" t="str">
        <f t="shared" si="215"/>
        <v/>
      </c>
      <c r="L808" s="380" t="str">
        <f>IF(C808="","",G779*C808)</f>
        <v/>
      </c>
      <c r="M808" s="381" t="str">
        <f>IF(A808="","",VLOOKUP(A808,VII.A!$A$10:$B$199,2,FALSE))</f>
        <v/>
      </c>
      <c r="N808" s="342" t="str">
        <f t="shared" si="216"/>
        <v/>
      </c>
      <c r="R808" s="341"/>
      <c r="S808" s="341"/>
    </row>
    <row r="809" spans="1:19" ht="12.75" customHeight="1">
      <c r="A809" s="393"/>
      <c r="C809" s="20"/>
      <c r="E809" s="387"/>
      <c r="F809" s="388">
        <f t="shared" si="213"/>
        <v>0</v>
      </c>
      <c r="H809" s="341" t="str">
        <f>IF(A809="","",VLOOKUP(A809,VII.A!$A$10:$D$199,4,FALSE))</f>
        <v/>
      </c>
      <c r="I809" s="341" t="str">
        <f t="shared" si="214"/>
        <v/>
      </c>
      <c r="J809" s="341" t="str">
        <f>IF(A809="","",VLOOKUP(A809,VII.A!$A$10:$D$199,3,FALSE))</f>
        <v/>
      </c>
      <c r="K809" s="342" t="str">
        <f t="shared" si="215"/>
        <v/>
      </c>
      <c r="L809" s="380" t="str">
        <f>IF(C809="","",G779*C809)</f>
        <v/>
      </c>
      <c r="M809" s="381" t="str">
        <f>IF(A809="","",VLOOKUP(A809,VII.A!$A$10:$B$199,2,FALSE))</f>
        <v/>
      </c>
      <c r="N809" s="342" t="str">
        <f t="shared" si="216"/>
        <v/>
      </c>
      <c r="R809" s="341"/>
      <c r="S809" s="341"/>
    </row>
    <row r="810" spans="1:19" ht="12.75" customHeight="1">
      <c r="A810" s="393"/>
      <c r="C810" s="20"/>
      <c r="E810" s="387"/>
      <c r="F810" s="388">
        <f t="shared" si="213"/>
        <v>0</v>
      </c>
      <c r="H810" s="341" t="str">
        <f>IF(A810="","",VLOOKUP(A810,VII.A!$A$10:$D$199,4,FALSE))</f>
        <v/>
      </c>
      <c r="I810" s="341" t="str">
        <f t="shared" si="214"/>
        <v/>
      </c>
      <c r="J810" s="341" t="str">
        <f>IF(A810="","",VLOOKUP(A810,VII.A!$A$10:$D$199,3,FALSE))</f>
        <v/>
      </c>
      <c r="K810" s="342" t="str">
        <f t="shared" si="215"/>
        <v/>
      </c>
      <c r="L810" s="380" t="str">
        <f>IF(C810="","",G779*C810)</f>
        <v/>
      </c>
      <c r="M810" s="381" t="str">
        <f>IF(A810="","",VLOOKUP(A810,VII.A!$A$10:$B$199,2,FALSE))</f>
        <v/>
      </c>
      <c r="N810" s="342" t="str">
        <f t="shared" si="216"/>
        <v/>
      </c>
      <c r="R810" s="341"/>
      <c r="S810" s="341"/>
    </row>
    <row r="811" spans="1:19" ht="12.75" customHeight="1">
      <c r="A811" s="393"/>
      <c r="B811" s="395" t="s">
        <v>226</v>
      </c>
      <c r="C811" s="396"/>
      <c r="D811" s="397"/>
      <c r="E811" s="398"/>
      <c r="F811" s="399">
        <f>SUM(F801:F810)</f>
        <v>0</v>
      </c>
      <c r="J811" s="341"/>
      <c r="L811" s="380"/>
      <c r="M811" s="381"/>
      <c r="N811" s="342"/>
      <c r="R811" s="341"/>
      <c r="S811" s="341"/>
    </row>
    <row r="812" spans="1:19" ht="12.75" customHeight="1">
      <c r="A812" s="393"/>
      <c r="B812" s="400" t="s">
        <v>53</v>
      </c>
      <c r="C812" s="2">
        <f>$D$8</f>
        <v>0</v>
      </c>
      <c r="D812" s="401"/>
      <c r="E812" s="402"/>
      <c r="F812" s="403">
        <f>ROUND(C812*F811,2)</f>
        <v>0</v>
      </c>
      <c r="J812" s="341"/>
      <c r="L812" s="380"/>
      <c r="M812" s="381"/>
      <c r="N812" s="342"/>
      <c r="R812" s="341"/>
      <c r="S812" s="341"/>
    </row>
    <row r="813" spans="1:19" ht="12.75" customHeight="1">
      <c r="A813" s="404"/>
      <c r="B813" s="405" t="s">
        <v>228</v>
      </c>
      <c r="C813" s="406"/>
      <c r="D813" s="406"/>
      <c r="E813" s="407"/>
      <c r="F813" s="408">
        <f>F811+F812</f>
        <v>0</v>
      </c>
      <c r="J813" s="341"/>
      <c r="L813" s="380"/>
      <c r="M813" s="381"/>
      <c r="N813" s="342"/>
      <c r="R813" s="341"/>
      <c r="S813" s="341"/>
    </row>
    <row r="814" spans="1:19" ht="12.75" customHeight="1">
      <c r="A814" s="409" t="s">
        <v>47</v>
      </c>
      <c r="B814" s="410" t="s">
        <v>236</v>
      </c>
      <c r="C814" s="411" t="s">
        <v>231</v>
      </c>
      <c r="D814" s="412" t="s">
        <v>232</v>
      </c>
      <c r="E814" s="413" t="s">
        <v>233</v>
      </c>
      <c r="F814" s="378" t="s">
        <v>234</v>
      </c>
      <c r="J814" s="341"/>
      <c r="L814" s="380"/>
      <c r="M814" s="381"/>
      <c r="N814" s="342"/>
      <c r="R814" s="341"/>
      <c r="S814" s="341"/>
    </row>
    <row r="815" spans="1:19" ht="12.75" customHeight="1">
      <c r="A815" s="393"/>
      <c r="C815" s="20"/>
      <c r="E815" s="387"/>
      <c r="F815" s="388">
        <f t="shared" ref="F815:F821" si="217">ROUND(C815*E815,2)</f>
        <v>0</v>
      </c>
      <c r="H815" s="341" t="str">
        <f>IF(A815="","",VLOOKUP(A815,VII.A!$A$10:$D$199,4,FALSE))</f>
        <v/>
      </c>
      <c r="I815" s="341" t="str">
        <f t="shared" ref="I815:I821" si="218">IF(A815="","",IF(E815=H815,"SIM","NÃO"))</f>
        <v/>
      </c>
      <c r="J815" s="341" t="str">
        <f>IF(A815="","",VLOOKUP(A815,VII.A!$A$10:$D$199,3,FALSE))</f>
        <v/>
      </c>
      <c r="K815" s="342" t="str">
        <f t="shared" ref="K815:K821" si="219">IF(A815="","",IF(J815=D815,"SIM","NÃO"))</f>
        <v/>
      </c>
      <c r="L815" s="380" t="str">
        <f>IF(C815="","",G779*C815)</f>
        <v/>
      </c>
      <c r="M815" s="381" t="str">
        <f>IF(A815="","",VLOOKUP(A815,VII.A!$A$10:$B$199,2,FALSE))</f>
        <v/>
      </c>
      <c r="N815" s="342" t="str">
        <f t="shared" ref="N815:N821" si="220">IF(B815="","",IF(M815=B815,"si","no"))</f>
        <v/>
      </c>
      <c r="R815" s="341"/>
      <c r="S815" s="341"/>
    </row>
    <row r="816" spans="1:19" ht="12.75" customHeight="1">
      <c r="A816" s="393"/>
      <c r="C816" s="20"/>
      <c r="E816" s="387"/>
      <c r="F816" s="388">
        <f t="shared" si="217"/>
        <v>0</v>
      </c>
      <c r="H816" s="341" t="str">
        <f>IF(A816="","",VLOOKUP(A816,VII.A!$A$10:$D$199,4,FALSE))</f>
        <v/>
      </c>
      <c r="I816" s="341" t="str">
        <f t="shared" si="218"/>
        <v/>
      </c>
      <c r="J816" s="341" t="str">
        <f>IF(A816="","",VLOOKUP(A816,VII.A!$A$10:$D$199,3,FALSE))</f>
        <v/>
      </c>
      <c r="K816" s="342" t="str">
        <f t="shared" si="219"/>
        <v/>
      </c>
      <c r="L816" s="380" t="str">
        <f>IF(C816="","",G779*C816)</f>
        <v/>
      </c>
      <c r="M816" s="381" t="str">
        <f>IF(A816="","",VLOOKUP(A816,VII.A!$A$10:$B$199,2,FALSE))</f>
        <v/>
      </c>
      <c r="N816" s="342" t="str">
        <f t="shared" si="220"/>
        <v/>
      </c>
      <c r="R816" s="341"/>
      <c r="S816" s="341"/>
    </row>
    <row r="817" spans="1:25" ht="12.75" customHeight="1">
      <c r="A817" s="393"/>
      <c r="C817" s="20"/>
      <c r="E817" s="387"/>
      <c r="F817" s="388">
        <f t="shared" si="217"/>
        <v>0</v>
      </c>
      <c r="H817" s="341" t="str">
        <f>IF(A817="","",VLOOKUP(A817,VII.A!$A$10:$D$199,4,FALSE))</f>
        <v/>
      </c>
      <c r="I817" s="341" t="str">
        <f t="shared" si="218"/>
        <v/>
      </c>
      <c r="J817" s="341" t="str">
        <f>IF(A817="","",VLOOKUP(A817,VII.A!$A$10:$D$199,3,FALSE))</f>
        <v/>
      </c>
      <c r="K817" s="342" t="str">
        <f t="shared" si="219"/>
        <v/>
      </c>
      <c r="L817" s="380" t="str">
        <f>IF(C817="","",G779*C817)</f>
        <v/>
      </c>
      <c r="M817" s="381" t="str">
        <f>IF(A817="","",VLOOKUP(A817,VII.A!$A$10:$B$199,2,FALSE))</f>
        <v/>
      </c>
      <c r="N817" s="342" t="str">
        <f t="shared" si="220"/>
        <v/>
      </c>
      <c r="R817" s="341"/>
      <c r="S817" s="341"/>
    </row>
    <row r="818" spans="1:25" ht="12.75" customHeight="1">
      <c r="A818" s="393"/>
      <c r="C818" s="20"/>
      <c r="E818" s="387"/>
      <c r="F818" s="388">
        <f t="shared" si="217"/>
        <v>0</v>
      </c>
      <c r="H818" s="341" t="str">
        <f>IF(A818="","",VLOOKUP(A818,VII.A!$A$10:$D$199,4,FALSE))</f>
        <v/>
      </c>
      <c r="I818" s="341" t="str">
        <f t="shared" si="218"/>
        <v/>
      </c>
      <c r="J818" s="341" t="str">
        <f>IF(A818="","",VLOOKUP(A818,VII.A!$A$10:$D$199,3,FALSE))</f>
        <v/>
      </c>
      <c r="K818" s="342" t="str">
        <f t="shared" si="219"/>
        <v/>
      </c>
      <c r="L818" s="380" t="str">
        <f>IF(C818="","",G779*C818)</f>
        <v/>
      </c>
      <c r="M818" s="381" t="str">
        <f>IF(A818="","",VLOOKUP(A818,VII.A!$A$10:$B$199,2,FALSE))</f>
        <v/>
      </c>
      <c r="N818" s="342" t="str">
        <f t="shared" si="220"/>
        <v/>
      </c>
      <c r="R818" s="341"/>
      <c r="S818" s="341"/>
    </row>
    <row r="819" spans="1:25" ht="12.75" customHeight="1">
      <c r="A819" s="393"/>
      <c r="C819" s="20"/>
      <c r="E819" s="387"/>
      <c r="F819" s="388">
        <f t="shared" si="217"/>
        <v>0</v>
      </c>
      <c r="H819" s="341" t="str">
        <f>IF(A819="","",VLOOKUP(A819,VII.A!$A$10:$D$199,4,FALSE))</f>
        <v/>
      </c>
      <c r="I819" s="341" t="str">
        <f t="shared" si="218"/>
        <v/>
      </c>
      <c r="J819" s="341" t="str">
        <f>IF(A819="","",VLOOKUP(A819,VII.A!$A$10:$D$199,3,FALSE))</f>
        <v/>
      </c>
      <c r="K819" s="342" t="str">
        <f t="shared" si="219"/>
        <v/>
      </c>
      <c r="L819" s="380" t="str">
        <f>IF(C819="","",G779*C819)</f>
        <v/>
      </c>
      <c r="M819" s="381" t="str">
        <f>IF(A819="","",VLOOKUP(A819,VII.A!$A$10:$B$199,2,FALSE))</f>
        <v/>
      </c>
      <c r="N819" s="342" t="str">
        <f t="shared" si="220"/>
        <v/>
      </c>
      <c r="R819" s="341"/>
      <c r="S819" s="341"/>
    </row>
    <row r="820" spans="1:25" ht="12.75" customHeight="1">
      <c r="A820" s="393"/>
      <c r="C820" s="20"/>
      <c r="E820" s="387"/>
      <c r="F820" s="388">
        <f t="shared" si="217"/>
        <v>0</v>
      </c>
      <c r="H820" s="341" t="str">
        <f>IF(A820="","",VLOOKUP(A820,VII.A!$A$10:$D$199,4,FALSE))</f>
        <v/>
      </c>
      <c r="I820" s="341" t="str">
        <f t="shared" si="218"/>
        <v/>
      </c>
      <c r="J820" s="341" t="str">
        <f>IF(A820="","",VLOOKUP(A820,VII.A!$A$10:$D$199,3,FALSE))</f>
        <v/>
      </c>
      <c r="K820" s="342" t="str">
        <f t="shared" si="219"/>
        <v/>
      </c>
      <c r="L820" s="380" t="str">
        <f>IF(C820="","",G779*C820)</f>
        <v/>
      </c>
      <c r="M820" s="381" t="str">
        <f>IF(A820="","",VLOOKUP(A820,VII.A!$A$10:$B$199,2,FALSE))</f>
        <v/>
      </c>
      <c r="N820" s="342" t="str">
        <f t="shared" si="220"/>
        <v/>
      </c>
      <c r="R820" s="341"/>
      <c r="S820" s="341"/>
    </row>
    <row r="821" spans="1:25" ht="12.75" customHeight="1">
      <c r="A821" s="393"/>
      <c r="C821" s="20"/>
      <c r="E821" s="387"/>
      <c r="F821" s="388">
        <f t="shared" si="217"/>
        <v>0</v>
      </c>
      <c r="H821" s="341" t="str">
        <f>IF(A821="","",VLOOKUP(A821,VII.A!$A$10:$D$199,4,FALSE))</f>
        <v/>
      </c>
      <c r="I821" s="341" t="str">
        <f t="shared" si="218"/>
        <v/>
      </c>
      <c r="J821" s="341" t="str">
        <f>IF(A821="","",VLOOKUP(A821,VII.A!$A$10:$D$199,3,FALSE))</f>
        <v/>
      </c>
      <c r="K821" s="342" t="str">
        <f t="shared" si="219"/>
        <v/>
      </c>
      <c r="L821" s="380" t="str">
        <f>IF(C821="","",G779*C821)</f>
        <v/>
      </c>
      <c r="M821" s="381" t="str">
        <f>IF(A821="","",VLOOKUP(A821,VII.A!$A$10:$B$199,2,FALSE))</f>
        <v/>
      </c>
      <c r="N821" s="342" t="str">
        <f t="shared" si="220"/>
        <v/>
      </c>
      <c r="R821" s="341"/>
      <c r="S821" s="341"/>
    </row>
    <row r="822" spans="1:25" ht="12.75" customHeight="1">
      <c r="A822" s="393"/>
      <c r="B822" s="395" t="s">
        <v>226</v>
      </c>
      <c r="C822" s="396"/>
      <c r="D822" s="397"/>
      <c r="E822" s="398"/>
      <c r="F822" s="399">
        <f>SUM(F815:F821)</f>
        <v>0</v>
      </c>
      <c r="J822" s="341"/>
      <c r="L822" s="380"/>
      <c r="M822" s="381"/>
      <c r="N822" s="342"/>
      <c r="R822" s="341"/>
      <c r="S822" s="341"/>
    </row>
    <row r="823" spans="1:25" ht="12.75" customHeight="1">
      <c r="A823" s="393"/>
      <c r="B823" s="400" t="s">
        <v>229</v>
      </c>
      <c r="C823" s="2">
        <f>IX.A!$C$45</f>
        <v>0</v>
      </c>
      <c r="D823" s="401"/>
      <c r="E823" s="402"/>
      <c r="F823" s="403">
        <f>ROUND(F822*C823,2)</f>
        <v>0</v>
      </c>
      <c r="J823" s="341"/>
      <c r="L823" s="380"/>
      <c r="M823" s="381"/>
      <c r="N823" s="342"/>
      <c r="R823" s="341"/>
      <c r="S823" s="341"/>
    </row>
    <row r="824" spans="1:25" ht="12.75" customHeight="1">
      <c r="A824" s="393"/>
      <c r="B824" s="400" t="s">
        <v>53</v>
      </c>
      <c r="C824" s="2">
        <f>$D$8</f>
        <v>0</v>
      </c>
      <c r="D824" s="401"/>
      <c r="E824" s="402"/>
      <c r="F824" s="403">
        <f>ROUND(SUM(F822:F823)*C824,2)</f>
        <v>0</v>
      </c>
      <c r="J824" s="341"/>
      <c r="L824" s="380"/>
      <c r="M824" s="381"/>
      <c r="N824" s="342"/>
      <c r="R824" s="341"/>
      <c r="S824" s="341"/>
    </row>
    <row r="825" spans="1:25" ht="12.75" customHeight="1" thickBot="1">
      <c r="A825" s="414"/>
      <c r="B825" s="415" t="s">
        <v>230</v>
      </c>
      <c r="C825" s="416"/>
      <c r="D825" s="416"/>
      <c r="E825" s="417"/>
      <c r="F825" s="418">
        <f>SUM(F822:F824)</f>
        <v>0</v>
      </c>
      <c r="J825" s="341"/>
      <c r="L825" s="380"/>
      <c r="M825" s="381"/>
      <c r="N825" s="342"/>
      <c r="R825" s="341"/>
      <c r="S825" s="341"/>
    </row>
    <row r="826" spans="1:25" ht="12.75" customHeight="1" thickBot="1">
      <c r="A826" s="357"/>
      <c r="B826" s="358"/>
      <c r="C826" s="359"/>
      <c r="D826" s="359"/>
      <c r="E826" s="360"/>
      <c r="F826" s="419"/>
      <c r="J826" s="341"/>
      <c r="L826" s="380"/>
      <c r="M826" s="381"/>
      <c r="N826" s="342"/>
      <c r="R826" s="341"/>
      <c r="S826" s="341"/>
    </row>
    <row r="827" spans="1:25" ht="30" customHeight="1">
      <c r="A827" s="370" t="str">
        <f>IV.A!$A$39</f>
        <v>2.3.2</v>
      </c>
      <c r="B827" s="371" t="str">
        <f>IV.A!B39</f>
        <v>ISOLAMENTO DE OBRA COM TELA PLÁSTICA COM MALHA DE 5 MM</v>
      </c>
      <c r="C827" s="871" t="s">
        <v>237</v>
      </c>
      <c r="D827" s="872"/>
      <c r="E827" s="372" t="str">
        <f>IV.A!C39</f>
        <v>M</v>
      </c>
      <c r="F827" s="11">
        <f>ROUND(F847+F861+F873,2)</f>
        <v>0</v>
      </c>
      <c r="G827" s="1">
        <f>VLOOKUP(A827,IV.A!$A$16:$L$172,4,FALSE)</f>
        <v>3000</v>
      </c>
      <c r="H827" s="361">
        <f>SUM(F829:F844)+F846</f>
        <v>0</v>
      </c>
      <c r="I827" s="361">
        <f>SUM(F849:F858)+F860</f>
        <v>0</v>
      </c>
      <c r="J827" s="361">
        <f>SUM(F863:F869)+F871+F872</f>
        <v>0</v>
      </c>
      <c r="K827" s="361">
        <f>SUM(H827:J827)</f>
        <v>0</v>
      </c>
      <c r="L827" s="362" t="str">
        <f>IF(K827=F827,"SIM","NÃO")</f>
        <v>SIM</v>
      </c>
      <c r="M827" s="373">
        <f>ROUND(SUM(F829:F844),2)+ROUND(SUM(F829:F844)*C846,2)+ROUND(SUM(F849:F858)*C860,2)+ROUND(SUM(F849:F858),2)+ROUND(SUM(F863:F869)*C871,2)+ROUND((SUM(F863:F869)+ROUND(SUM(F863:F869)*C871,2))*C872,2)+ROUND(SUM(F863:F869),2)</f>
        <v>0</v>
      </c>
      <c r="N827" s="343" t="str">
        <f>IF(M827=F827,"SIM","NÃO")</f>
        <v>SIM</v>
      </c>
      <c r="O827" s="364" t="str">
        <f>VLOOKUP(A827,IV.A!$A$16:$E$172,3,FALSE)</f>
        <v>M</v>
      </c>
      <c r="P827" s="344" t="str">
        <f>IF(O827=E827,"SIM","NÃO")</f>
        <v>SIM</v>
      </c>
      <c r="Q827" s="365">
        <f>ROUND(G827*F847,2)+ROUND(G827*F861,2)+ROUND(G827*F873,2)</f>
        <v>0</v>
      </c>
      <c r="R827" s="364">
        <f>VLOOKUP(A827,IV.A!$A$16:$L$172,12,FALSE)</f>
        <v>0</v>
      </c>
      <c r="S827" s="366" t="str">
        <f>IF(Q827=R827,"si","no")</f>
        <v>si</v>
      </c>
      <c r="T827" s="367">
        <f>SUM(L829:L844)+SUM(L849:L858)+SUM(L863:L869)</f>
        <v>9872.5</v>
      </c>
      <c r="U827" s="341">
        <f>(SUM(C829:C844)+SUM(C849:C858)+SUM(C863:C869))*G827</f>
        <v>9872.5</v>
      </c>
      <c r="V827" s="368" t="str">
        <f>IF(T827=U827,"si","no")</f>
        <v>si</v>
      </c>
      <c r="W827" s="369">
        <f>SUM(F829:F844)</f>
        <v>0</v>
      </c>
      <c r="X827" s="369">
        <f>SUM(F849:F858)</f>
        <v>0</v>
      </c>
      <c r="Y827" s="369">
        <f>SUM(F863:F869)</f>
        <v>0</v>
      </c>
    </row>
    <row r="828" spans="1:25" ht="12.75" customHeight="1">
      <c r="A828" s="374" t="s">
        <v>14</v>
      </c>
      <c r="B828" s="375" t="s">
        <v>132</v>
      </c>
      <c r="C828" s="376" t="s">
        <v>231</v>
      </c>
      <c r="D828" s="376" t="s">
        <v>232</v>
      </c>
      <c r="E828" s="377" t="s">
        <v>233</v>
      </c>
      <c r="F828" s="378" t="s">
        <v>234</v>
      </c>
      <c r="G828" s="379"/>
      <c r="J828" s="341"/>
      <c r="L828" s="380"/>
      <c r="M828" s="381"/>
      <c r="N828" s="342"/>
      <c r="O828" s="382"/>
      <c r="P828" s="383"/>
      <c r="Q828" s="383"/>
      <c r="R828" s="383"/>
      <c r="S828" s="383"/>
      <c r="T828" s="382"/>
      <c r="U828" s="341"/>
      <c r="V828" s="384"/>
      <c r="W828" s="384"/>
      <c r="X828" s="384"/>
      <c r="Y828" s="384"/>
    </row>
    <row r="829" spans="1:25" ht="12.75" customHeight="1">
      <c r="A829" s="385" t="str">
        <f>VII.A!$A$10</f>
        <v>1.1</v>
      </c>
      <c r="B829" s="386" t="str">
        <f>VII.A!$B$10</f>
        <v>AÇO CA-50 (MÉDIA DAS BITOLAS)</v>
      </c>
      <c r="C829" s="20">
        <f>0.25/4</f>
        <v>6.25E-2</v>
      </c>
      <c r="D829" s="342" t="str">
        <f>VII.A!$C$10</f>
        <v>KG</v>
      </c>
      <c r="E829" s="387">
        <f>VII.A!$D$10</f>
        <v>0</v>
      </c>
      <c r="F829" s="388">
        <f>ROUND(C829*E829,2)</f>
        <v>0</v>
      </c>
      <c r="H829" s="341">
        <f>IF(A829="","",VLOOKUP(A829,VII.A!$A$10:$D$199,4,FALSE))</f>
        <v>0</v>
      </c>
      <c r="I829" s="341" t="str">
        <f t="shared" ref="I829:I844" si="221">IF(A829="","",IF(E829=H829,"SIM","NÃO"))</f>
        <v>SIM</v>
      </c>
      <c r="J829" s="341" t="str">
        <f>IF(A829="","",VLOOKUP(A829,VII.A!$A$10:$D$199,3,FALSE))</f>
        <v>KG</v>
      </c>
      <c r="K829" s="342" t="str">
        <f t="shared" ref="K829:K844" si="222">IF(A829="","",IF(J829=D829,"SIM","NÃO"))</f>
        <v>SIM</v>
      </c>
      <c r="L829" s="380">
        <f>IF(C829="","",G827*C829)</f>
        <v>187.5</v>
      </c>
      <c r="M829" s="381" t="str">
        <f>IF(A829="","",VLOOKUP(A829,VII.A!$A$10:$B$199,2,FALSE))</f>
        <v>AÇO CA-50 (MÉDIA DAS BITOLAS)</v>
      </c>
      <c r="N829" s="342" t="str">
        <f t="shared" ref="N829:N844" si="223">IF(B829="","",IF(M829=B829,"si","no"))</f>
        <v>si</v>
      </c>
      <c r="R829" s="341"/>
      <c r="S829" s="341"/>
    </row>
    <row r="830" spans="1:25" ht="12.75" customHeight="1">
      <c r="A830" s="385" t="str">
        <f>VII.A!$A$18</f>
        <v>1.9</v>
      </c>
      <c r="B830" s="386" t="str">
        <f>VII.A!$B$18</f>
        <v>ARAME RECOZIDO 18 BWG - 1,25MM - 9,60 G/M</v>
      </c>
      <c r="C830" s="20">
        <v>0.02</v>
      </c>
      <c r="D830" s="342" t="str">
        <f>VII.A!$C$18</f>
        <v>KG</v>
      </c>
      <c r="E830" s="387">
        <f>VII.A!$D$18</f>
        <v>0</v>
      </c>
      <c r="F830" s="388">
        <f t="shared" ref="F830:F844" si="224">ROUND(C830*E830,2)</f>
        <v>0</v>
      </c>
      <c r="H830" s="341">
        <f>IF(A830="","",VLOOKUP(A830,VII.A!$A$10:$D$199,4,FALSE))</f>
        <v>0</v>
      </c>
      <c r="I830" s="341" t="str">
        <f t="shared" si="221"/>
        <v>SIM</v>
      </c>
      <c r="J830" s="341" t="str">
        <f>IF(A830="","",VLOOKUP(A830,VII.A!$A$10:$D$199,3,FALSE))</f>
        <v>KG</v>
      </c>
      <c r="K830" s="342" t="str">
        <f t="shared" si="222"/>
        <v>SIM</v>
      </c>
      <c r="L830" s="380">
        <f>IF(C830="","",G827*C830)</f>
        <v>60</v>
      </c>
      <c r="M830" s="381" t="str">
        <f>IF(A830="","",VLOOKUP(A830,VII.A!$A$10:$B$199,2,FALSE))</f>
        <v>ARAME RECOZIDO 18 BWG - 1,25MM - 9,60 G/M</v>
      </c>
      <c r="N830" s="342" t="str">
        <f t="shared" si="223"/>
        <v>si</v>
      </c>
      <c r="R830" s="341"/>
      <c r="S830" s="341"/>
    </row>
    <row r="831" spans="1:25" ht="12.75" customHeight="1">
      <c r="A831" s="385" t="str">
        <f>VII.A!$A$53</f>
        <v>1.44</v>
      </c>
      <c r="B831" s="386" t="str">
        <f>VII.A!$B$53</f>
        <v>FITA PLASTICA ZEBRADA PARA DEMARCACAO DE AREAS, LARGURA = 7 CM</v>
      </c>
      <c r="C831" s="20">
        <v>2</v>
      </c>
      <c r="D831" s="342" t="str">
        <f>VII.A!$C$53</f>
        <v>M</v>
      </c>
      <c r="E831" s="387">
        <f>VII.A!$D$53</f>
        <v>0</v>
      </c>
      <c r="F831" s="388">
        <f t="shared" si="224"/>
        <v>0</v>
      </c>
      <c r="H831" s="341">
        <f>IF(A831="","",VLOOKUP(A831,VII.A!$A$10:$D$199,4,FALSE))</f>
        <v>0</v>
      </c>
      <c r="I831" s="341" t="str">
        <f t="shared" si="221"/>
        <v>SIM</v>
      </c>
      <c r="J831" s="341" t="str">
        <f>IF(A831="","",VLOOKUP(A831,VII.A!$A$10:$D$199,3,FALSE))</f>
        <v>M</v>
      </c>
      <c r="K831" s="342" t="str">
        <f t="shared" si="222"/>
        <v>SIM</v>
      </c>
      <c r="L831" s="380">
        <f>IF(C831="","",G827*C831)</f>
        <v>6000</v>
      </c>
      <c r="M831" s="381" t="str">
        <f>IF(A831="","",VLOOKUP(A831,VII.A!$A$10:$B$199,2,FALSE))</f>
        <v>FITA PLASTICA ZEBRADA PARA DEMARCACAO DE AREAS, LARGURA = 7 CM</v>
      </c>
      <c r="N831" s="342" t="str">
        <f t="shared" si="223"/>
        <v>si</v>
      </c>
      <c r="R831" s="341"/>
      <c r="S831" s="341"/>
    </row>
    <row r="832" spans="1:25" ht="12.75" customHeight="1">
      <c r="A832" s="385" t="str">
        <f>VII.A!$A$79</f>
        <v>1.70</v>
      </c>
      <c r="B832" s="386" t="str">
        <f>VII.A!$B$79</f>
        <v>PONTALETE DE MADEIRA NAO APARELHADA - 7,5 X 7,5 CM (3 X 3 ")</v>
      </c>
      <c r="C832" s="20">
        <f>0.5/4</f>
        <v>0.125</v>
      </c>
      <c r="D832" s="342" t="str">
        <f>VII.A!$C$79</f>
        <v>M</v>
      </c>
      <c r="E832" s="387">
        <f>VII.A!$D$79</f>
        <v>0</v>
      </c>
      <c r="F832" s="388">
        <f t="shared" si="224"/>
        <v>0</v>
      </c>
      <c r="H832" s="341">
        <f>IF(A832="","",VLOOKUP(A832,VII.A!$A$10:$D$199,4,FALSE))</f>
        <v>0</v>
      </c>
      <c r="I832" s="341" t="str">
        <f t="shared" si="221"/>
        <v>SIM</v>
      </c>
      <c r="J832" s="341" t="str">
        <f>IF(A832="","",VLOOKUP(A832,VII.A!$A$10:$D$199,3,FALSE))</f>
        <v>M</v>
      </c>
      <c r="K832" s="342" t="str">
        <f t="shared" si="222"/>
        <v>SIM</v>
      </c>
      <c r="L832" s="380">
        <f>IF(C832="","",G827*C832)</f>
        <v>375</v>
      </c>
      <c r="M832" s="381" t="str">
        <f>IF(A832="","",VLOOKUP(A832,VII.A!$A$10:$B$199,2,FALSE))</f>
        <v>PONTALETE DE MADEIRA NAO APARELHADA - 7,5 X 7,5 CM (3 X 3 ")</v>
      </c>
      <c r="N832" s="342" t="str">
        <f t="shared" si="223"/>
        <v>si</v>
      </c>
      <c r="R832" s="341"/>
      <c r="S832" s="341"/>
    </row>
    <row r="833" spans="1:21" ht="12.75" customHeight="1">
      <c r="A833" s="385" t="str">
        <f>VII.A!$A$105</f>
        <v>1.95</v>
      </c>
      <c r="B833" s="386" t="str">
        <f>VII.A!$B$105</f>
        <v>TELA PLASTICA TECIDA LISTRADA BRANCA E LARANJA, TIPO GUARDA CORPO, EM POLIETILENO MONOFILADO, ROLO 1,20 X 50 M (L X C)</v>
      </c>
      <c r="C833" s="20">
        <v>1</v>
      </c>
      <c r="D833" s="342" t="str">
        <f>VII.A!$C$105</f>
        <v>M</v>
      </c>
      <c r="E833" s="387">
        <f>VII.A!$D$105</f>
        <v>0</v>
      </c>
      <c r="F833" s="388">
        <f t="shared" si="224"/>
        <v>0</v>
      </c>
      <c r="H833" s="341">
        <f>IF(A833="","",VLOOKUP(A833,VII.A!$A$10:$D$199,4,FALSE))</f>
        <v>0</v>
      </c>
      <c r="I833" s="341" t="str">
        <f t="shared" si="221"/>
        <v>SIM</v>
      </c>
      <c r="J833" s="341" t="str">
        <f>IF(A833="","",VLOOKUP(A833,VII.A!$A$10:$D$199,3,FALSE))</f>
        <v>M</v>
      </c>
      <c r="K833" s="342" t="str">
        <f t="shared" si="222"/>
        <v>SIM</v>
      </c>
      <c r="L833" s="380">
        <f>IF(C833="","",G827*C833)</f>
        <v>3000</v>
      </c>
      <c r="M833" s="381" t="str">
        <f>IF(A833="","",VLOOKUP(A833,VII.A!$A$10:$B$199,2,FALSE))</f>
        <v>TELA PLASTICA TECIDA LISTRADA BRANCA E LARANJA, TIPO GUARDA CORPO, EM POLIETILENO MONOFILADO, ROLO 1,20 X 50 M (L X C)</v>
      </c>
      <c r="N833" s="342" t="str">
        <f t="shared" si="223"/>
        <v>si</v>
      </c>
      <c r="R833" s="341"/>
      <c r="S833" s="341"/>
    </row>
    <row r="834" spans="1:21" ht="12.75" customHeight="1">
      <c r="A834" s="385"/>
      <c r="B834" s="386"/>
      <c r="C834" s="20"/>
      <c r="D834" s="342"/>
      <c r="E834" s="387"/>
      <c r="F834" s="388">
        <f t="shared" si="224"/>
        <v>0</v>
      </c>
      <c r="H834" s="341" t="str">
        <f>IF(A834="","",VLOOKUP(A834,VII.A!$A$10:$D$199,4,FALSE))</f>
        <v/>
      </c>
      <c r="I834" s="341" t="str">
        <f t="shared" si="221"/>
        <v/>
      </c>
      <c r="J834" s="341" t="str">
        <f>IF(A834="","",VLOOKUP(A834,VII.A!$A$10:$D$199,3,FALSE))</f>
        <v/>
      </c>
      <c r="K834" s="342" t="str">
        <f t="shared" si="222"/>
        <v/>
      </c>
      <c r="L834" s="380" t="str">
        <f>IF(C834="","",G827*C834)</f>
        <v/>
      </c>
      <c r="M834" s="381" t="str">
        <f>IF(A834="","",VLOOKUP(A834,VII.A!$A$10:$B$199,2,FALSE))</f>
        <v/>
      </c>
      <c r="N834" s="342" t="str">
        <f t="shared" si="223"/>
        <v/>
      </c>
      <c r="R834" s="341"/>
      <c r="S834" s="341"/>
      <c r="U834" s="389"/>
    </row>
    <row r="835" spans="1:21" ht="12.75" customHeight="1">
      <c r="A835" s="385"/>
      <c r="B835" s="386"/>
      <c r="C835" s="20"/>
      <c r="D835" s="342"/>
      <c r="E835" s="387"/>
      <c r="F835" s="388">
        <f t="shared" si="224"/>
        <v>0</v>
      </c>
      <c r="H835" s="341" t="str">
        <f>IF(A835="","",VLOOKUP(A835,VII.A!$A$10:$D$199,4,FALSE))</f>
        <v/>
      </c>
      <c r="I835" s="341" t="str">
        <f t="shared" si="221"/>
        <v/>
      </c>
      <c r="J835" s="341" t="str">
        <f>IF(A835="","",VLOOKUP(A835,VII.A!$A$10:$D$199,3,FALSE))</f>
        <v/>
      </c>
      <c r="K835" s="342" t="str">
        <f t="shared" si="222"/>
        <v/>
      </c>
      <c r="L835" s="380" t="str">
        <f>IF(C835="","",G827*C835)</f>
        <v/>
      </c>
      <c r="M835" s="381" t="str">
        <f>IF(A835="","",VLOOKUP(A835,VII.A!$A$10:$B$199,2,FALSE))</f>
        <v/>
      </c>
      <c r="N835" s="342" t="str">
        <f t="shared" si="223"/>
        <v/>
      </c>
      <c r="R835" s="341"/>
      <c r="S835" s="341"/>
    </row>
    <row r="836" spans="1:21" ht="12.75" customHeight="1">
      <c r="A836" s="385"/>
      <c r="B836" s="386"/>
      <c r="C836" s="20"/>
      <c r="D836" s="342"/>
      <c r="E836" s="387"/>
      <c r="F836" s="388">
        <f t="shared" si="224"/>
        <v>0</v>
      </c>
      <c r="G836" s="390"/>
      <c r="H836" s="341" t="str">
        <f>IF(A836="","",VLOOKUP(A836,VII.A!$A$10:$D$199,4,FALSE))</f>
        <v/>
      </c>
      <c r="I836" s="341" t="str">
        <f t="shared" si="221"/>
        <v/>
      </c>
      <c r="J836" s="341" t="str">
        <f>IF(A836="","",VLOOKUP(A836,VII.A!$A$10:$D$199,3,FALSE))</f>
        <v/>
      </c>
      <c r="K836" s="342" t="str">
        <f t="shared" si="222"/>
        <v/>
      </c>
      <c r="L836" s="380" t="str">
        <f>IF(C836="","",G827*C836)</f>
        <v/>
      </c>
      <c r="M836" s="381" t="str">
        <f>IF(A836="","",VLOOKUP(A836,VII.A!$A$10:$B$199,2,FALSE))</f>
        <v/>
      </c>
      <c r="N836" s="342" t="str">
        <f t="shared" si="223"/>
        <v/>
      </c>
      <c r="R836" s="341"/>
      <c r="S836" s="341"/>
    </row>
    <row r="837" spans="1:21" ht="12.75" customHeight="1">
      <c r="A837" s="385"/>
      <c r="B837" s="386"/>
      <c r="C837" s="20"/>
      <c r="D837" s="342"/>
      <c r="E837" s="387"/>
      <c r="F837" s="388">
        <f t="shared" si="224"/>
        <v>0</v>
      </c>
      <c r="G837" s="390"/>
      <c r="H837" s="341" t="str">
        <f>IF(A837="","",VLOOKUP(A837,VII.A!$A$10:$D$199,4,FALSE))</f>
        <v/>
      </c>
      <c r="I837" s="341" t="str">
        <f t="shared" si="221"/>
        <v/>
      </c>
      <c r="J837" s="341" t="str">
        <f>IF(A837="","",VLOOKUP(A837,VII.A!$A$10:$D$199,3,FALSE))</f>
        <v/>
      </c>
      <c r="K837" s="342" t="str">
        <f t="shared" si="222"/>
        <v/>
      </c>
      <c r="L837" s="380" t="str">
        <f>IF(C837="","",G827*C837)</f>
        <v/>
      </c>
      <c r="M837" s="381" t="str">
        <f>IF(A837="","",VLOOKUP(A837,VII.A!$A$10:$B$199,2,FALSE))</f>
        <v/>
      </c>
      <c r="N837" s="342" t="str">
        <f t="shared" si="223"/>
        <v/>
      </c>
      <c r="R837" s="341"/>
      <c r="S837" s="341"/>
    </row>
    <row r="838" spans="1:21" ht="12.75" customHeight="1">
      <c r="A838" s="385"/>
      <c r="B838" s="386"/>
      <c r="C838" s="20"/>
      <c r="D838" s="342"/>
      <c r="E838" s="387"/>
      <c r="F838" s="388">
        <f t="shared" si="224"/>
        <v>0</v>
      </c>
      <c r="G838" s="391"/>
      <c r="H838" s="341" t="str">
        <f>IF(A838="","",VLOOKUP(A838,VII.A!$A$10:$D$199,4,FALSE))</f>
        <v/>
      </c>
      <c r="I838" s="341" t="str">
        <f t="shared" si="221"/>
        <v/>
      </c>
      <c r="J838" s="341" t="str">
        <f>IF(A838="","",VLOOKUP(A838,VII.A!$A$10:$D$199,3,FALSE))</f>
        <v/>
      </c>
      <c r="K838" s="342" t="str">
        <f t="shared" si="222"/>
        <v/>
      </c>
      <c r="L838" s="380" t="str">
        <f>IF(C838="","",G827*C838)</f>
        <v/>
      </c>
      <c r="M838" s="381" t="str">
        <f>IF(A838="","",VLOOKUP(A838,VII.A!$A$10:$B$199,2,FALSE))</f>
        <v/>
      </c>
      <c r="N838" s="342" t="str">
        <f t="shared" si="223"/>
        <v/>
      </c>
      <c r="R838" s="341"/>
      <c r="S838" s="341"/>
    </row>
    <row r="839" spans="1:21" ht="12.75" customHeight="1">
      <c r="A839" s="385"/>
      <c r="B839" s="386"/>
      <c r="C839" s="20"/>
      <c r="D839" s="342"/>
      <c r="E839" s="387"/>
      <c r="F839" s="388">
        <f t="shared" si="224"/>
        <v>0</v>
      </c>
      <c r="H839" s="341" t="str">
        <f>IF(A839="","",VLOOKUP(A839,VII.A!$A$10:$D$199,4,FALSE))</f>
        <v/>
      </c>
      <c r="I839" s="341" t="str">
        <f t="shared" si="221"/>
        <v/>
      </c>
      <c r="J839" s="341" t="str">
        <f>IF(A839="","",VLOOKUP(A839,VII.A!$A$10:$D$199,3,FALSE))</f>
        <v/>
      </c>
      <c r="K839" s="342" t="str">
        <f t="shared" si="222"/>
        <v/>
      </c>
      <c r="L839" s="380" t="str">
        <f>IF(C839="","",G827*C839)</f>
        <v/>
      </c>
      <c r="M839" s="381" t="str">
        <f>IF(A839="","",VLOOKUP(A839,VII.A!$A$10:$B$199,2,FALSE))</f>
        <v/>
      </c>
      <c r="N839" s="342" t="str">
        <f t="shared" si="223"/>
        <v/>
      </c>
      <c r="R839" s="341"/>
      <c r="S839" s="341"/>
    </row>
    <row r="840" spans="1:21" ht="12.75" customHeight="1">
      <c r="A840" s="385"/>
      <c r="B840" s="386"/>
      <c r="C840" s="20"/>
      <c r="D840" s="392"/>
      <c r="E840" s="387"/>
      <c r="F840" s="388">
        <f t="shared" si="224"/>
        <v>0</v>
      </c>
      <c r="H840" s="341" t="str">
        <f>IF(A840="","",VLOOKUP(A840,VII.A!$A$10:$D$199,4,FALSE))</f>
        <v/>
      </c>
      <c r="I840" s="341" t="str">
        <f t="shared" si="221"/>
        <v/>
      </c>
      <c r="J840" s="341" t="str">
        <f>IF(A840="","",VLOOKUP(A840,VII.A!$A$10:$D$199,3,FALSE))</f>
        <v/>
      </c>
      <c r="K840" s="342" t="str">
        <f t="shared" si="222"/>
        <v/>
      </c>
      <c r="L840" s="380" t="str">
        <f>IF(C840="","",G827*C840)</f>
        <v/>
      </c>
      <c r="M840" s="381" t="str">
        <f>IF(A840="","",VLOOKUP(A840,VII.A!$A$10:$B$199,2,FALSE))</f>
        <v/>
      </c>
      <c r="N840" s="342" t="str">
        <f t="shared" si="223"/>
        <v/>
      </c>
      <c r="R840" s="341"/>
      <c r="S840" s="341"/>
    </row>
    <row r="841" spans="1:21" ht="12.75" customHeight="1">
      <c r="A841" s="385"/>
      <c r="B841" s="386"/>
      <c r="C841" s="20"/>
      <c r="D841" s="392"/>
      <c r="E841" s="387"/>
      <c r="F841" s="388">
        <f t="shared" si="224"/>
        <v>0</v>
      </c>
      <c r="H841" s="341" t="str">
        <f>IF(A841="","",VLOOKUP(A841,VII.A!$A$10:$D$199,4,FALSE))</f>
        <v/>
      </c>
      <c r="I841" s="341" t="str">
        <f t="shared" si="221"/>
        <v/>
      </c>
      <c r="J841" s="341" t="str">
        <f>IF(A841="","",VLOOKUP(A841,VII.A!$A$10:$D$199,3,FALSE))</f>
        <v/>
      </c>
      <c r="K841" s="342" t="str">
        <f t="shared" si="222"/>
        <v/>
      </c>
      <c r="L841" s="380" t="str">
        <f>IF(C841="","",G827*C841)</f>
        <v/>
      </c>
      <c r="M841" s="381" t="str">
        <f>IF(A841="","",VLOOKUP(A841,VII.A!$A$10:$B$199,2,FALSE))</f>
        <v/>
      </c>
      <c r="N841" s="342" t="str">
        <f t="shared" si="223"/>
        <v/>
      </c>
      <c r="O841" s="342"/>
      <c r="R841" s="341"/>
      <c r="S841" s="341"/>
    </row>
    <row r="842" spans="1:21" ht="12.75" customHeight="1">
      <c r="A842" s="385"/>
      <c r="B842" s="386"/>
      <c r="C842" s="20"/>
      <c r="D842" s="392"/>
      <c r="E842" s="387"/>
      <c r="F842" s="388">
        <f t="shared" si="224"/>
        <v>0</v>
      </c>
      <c r="H842" s="341" t="str">
        <f>IF(A842="","",VLOOKUP(A842,VII.A!$A$10:$D$199,4,FALSE))</f>
        <v/>
      </c>
      <c r="I842" s="341" t="str">
        <f t="shared" si="221"/>
        <v/>
      </c>
      <c r="J842" s="341" t="str">
        <f>IF(A842="","",VLOOKUP(A842,VII.A!$A$10:$D$199,3,FALSE))</f>
        <v/>
      </c>
      <c r="K842" s="342" t="str">
        <f t="shared" si="222"/>
        <v/>
      </c>
      <c r="L842" s="380" t="str">
        <f>IF(C842="","",G827*C842)</f>
        <v/>
      </c>
      <c r="M842" s="381" t="str">
        <f>IF(A842="","",VLOOKUP(A842,VII.A!$A$10:$B$199,2,FALSE))</f>
        <v/>
      </c>
      <c r="N842" s="342" t="str">
        <f t="shared" si="223"/>
        <v/>
      </c>
      <c r="R842" s="341"/>
      <c r="S842" s="341"/>
    </row>
    <row r="843" spans="1:21" ht="12.75" customHeight="1">
      <c r="A843" s="393"/>
      <c r="C843" s="20"/>
      <c r="E843" s="387"/>
      <c r="F843" s="388">
        <f t="shared" si="224"/>
        <v>0</v>
      </c>
      <c r="H843" s="341" t="str">
        <f>IF(A843="","",VLOOKUP(A843,VII.A!$A$10:$D$199,4,FALSE))</f>
        <v/>
      </c>
      <c r="I843" s="341" t="str">
        <f t="shared" si="221"/>
        <v/>
      </c>
      <c r="J843" s="341" t="str">
        <f>IF(A843="","",VLOOKUP(A843,VII.A!$A$10:$D$199,3,FALSE))</f>
        <v/>
      </c>
      <c r="K843" s="342" t="str">
        <f t="shared" si="222"/>
        <v/>
      </c>
      <c r="L843" s="380" t="str">
        <f>IF(C843="","",G827*C843)</f>
        <v/>
      </c>
      <c r="M843" s="381" t="str">
        <f>IF(A843="","",VLOOKUP(A843,VII.A!$A$10:$B$199,2,FALSE))</f>
        <v/>
      </c>
      <c r="N843" s="342" t="str">
        <f t="shared" si="223"/>
        <v/>
      </c>
      <c r="R843" s="341"/>
      <c r="S843" s="341"/>
    </row>
    <row r="844" spans="1:21" ht="12.75" customHeight="1">
      <c r="A844" s="393"/>
      <c r="C844" s="20"/>
      <c r="E844" s="387"/>
      <c r="F844" s="388">
        <f t="shared" si="224"/>
        <v>0</v>
      </c>
      <c r="H844" s="341" t="str">
        <f>IF(A844="","",VLOOKUP(A844,VII.A!$A$10:$D$199,4,FALSE))</f>
        <v/>
      </c>
      <c r="I844" s="341" t="str">
        <f t="shared" si="221"/>
        <v/>
      </c>
      <c r="J844" s="341" t="str">
        <f>IF(A844="","",VLOOKUP(A844,VII.A!$A$10:$D$199,3,FALSE))</f>
        <v/>
      </c>
      <c r="K844" s="342" t="str">
        <f t="shared" si="222"/>
        <v/>
      </c>
      <c r="L844" s="380" t="str">
        <f>IF(C844="","",G827*C844)</f>
        <v/>
      </c>
      <c r="M844" s="381" t="str">
        <f>IF(A844="","",VLOOKUP(A844,VII.A!$A$10:$B$199,2,FALSE))</f>
        <v/>
      </c>
      <c r="N844" s="342" t="str">
        <f t="shared" si="223"/>
        <v/>
      </c>
      <c r="R844" s="341"/>
      <c r="S844" s="341"/>
    </row>
    <row r="845" spans="1:21" ht="12.75" customHeight="1">
      <c r="A845" s="393"/>
      <c r="B845" s="395" t="s">
        <v>226</v>
      </c>
      <c r="C845" s="396"/>
      <c r="D845" s="397"/>
      <c r="E845" s="398"/>
      <c r="F845" s="399">
        <f>SUM(F829:F844)</f>
        <v>0</v>
      </c>
      <c r="H845" s="426" t="s">
        <v>550</v>
      </c>
      <c r="J845" s="341"/>
      <c r="L845" s="380"/>
      <c r="M845" s="381"/>
      <c r="N845" s="342"/>
      <c r="R845" s="341"/>
      <c r="S845" s="341"/>
    </row>
    <row r="846" spans="1:21" ht="12.75" customHeight="1">
      <c r="A846" s="393"/>
      <c r="B846" s="400" t="s">
        <v>53</v>
      </c>
      <c r="C846" s="2">
        <f>$D$8</f>
        <v>0</v>
      </c>
      <c r="D846" s="401"/>
      <c r="E846" s="402"/>
      <c r="F846" s="403">
        <f>ROUND(F845*C846,2)</f>
        <v>0</v>
      </c>
      <c r="J846" s="341"/>
      <c r="L846" s="380"/>
      <c r="M846" s="381"/>
      <c r="N846" s="342"/>
      <c r="R846" s="341"/>
      <c r="S846" s="341"/>
    </row>
    <row r="847" spans="1:21" ht="12.75" customHeight="1">
      <c r="A847" s="404"/>
      <c r="B847" s="405" t="s">
        <v>227</v>
      </c>
      <c r="C847" s="406"/>
      <c r="D847" s="406"/>
      <c r="E847" s="407"/>
      <c r="F847" s="408">
        <f>F845+F846</f>
        <v>0</v>
      </c>
      <c r="J847" s="341"/>
      <c r="L847" s="380"/>
      <c r="M847" s="381"/>
      <c r="N847" s="342"/>
      <c r="R847" s="341"/>
      <c r="S847" s="341"/>
    </row>
    <row r="848" spans="1:21" ht="12.75" customHeight="1">
      <c r="A848" s="374" t="s">
        <v>2</v>
      </c>
      <c r="B848" s="375" t="s">
        <v>235</v>
      </c>
      <c r="C848" s="376" t="s">
        <v>231</v>
      </c>
      <c r="D848" s="376" t="s">
        <v>232</v>
      </c>
      <c r="E848" s="377" t="s">
        <v>233</v>
      </c>
      <c r="F848" s="378" t="s">
        <v>234</v>
      </c>
      <c r="J848" s="341"/>
      <c r="L848" s="380"/>
      <c r="M848" s="381"/>
      <c r="N848" s="342"/>
      <c r="R848" s="341"/>
      <c r="S848" s="341"/>
    </row>
    <row r="849" spans="1:19" ht="12.75" customHeight="1">
      <c r="A849" s="393"/>
      <c r="C849" s="20"/>
      <c r="E849" s="387"/>
      <c r="F849" s="388">
        <f t="shared" ref="F849:F858" si="225">ROUND(C849*E849,2)</f>
        <v>0</v>
      </c>
      <c r="H849" s="341" t="str">
        <f>IF(A849="","",VLOOKUP(A849,VII.A!$A$10:$D$199,4,FALSE))</f>
        <v/>
      </c>
      <c r="I849" s="341" t="str">
        <f t="shared" ref="I849:I858" si="226">IF(A849="","",IF(E849=H849,"SIM","NÃO"))</f>
        <v/>
      </c>
      <c r="J849" s="341" t="str">
        <f>IF(A849="","",VLOOKUP(A849,VII.A!$A$10:$D$199,3,FALSE))</f>
        <v/>
      </c>
      <c r="K849" s="342" t="str">
        <f t="shared" ref="K849:K858" si="227">IF(A849="","",IF(J849=D849,"SIM","NÃO"))</f>
        <v/>
      </c>
      <c r="L849" s="380" t="str">
        <f>IF(C849="","",G827*C849)</f>
        <v/>
      </c>
      <c r="M849" s="381" t="str">
        <f>IF(A849="","",VLOOKUP(A849,VII.A!$A$10:$B$199,2,FALSE))</f>
        <v/>
      </c>
      <c r="N849" s="342" t="str">
        <f t="shared" ref="N849:N858" si="228">IF(B849="","",IF(M849=B849,"si","no"))</f>
        <v/>
      </c>
      <c r="R849" s="341"/>
      <c r="S849" s="341"/>
    </row>
    <row r="850" spans="1:19" ht="12.75" customHeight="1">
      <c r="A850" s="393"/>
      <c r="C850" s="20"/>
      <c r="E850" s="387"/>
      <c r="F850" s="388">
        <f t="shared" si="225"/>
        <v>0</v>
      </c>
      <c r="H850" s="341" t="str">
        <f>IF(A850="","",VLOOKUP(A850,VII.A!$A$10:$D$199,4,FALSE))</f>
        <v/>
      </c>
      <c r="I850" s="341" t="str">
        <f t="shared" si="226"/>
        <v/>
      </c>
      <c r="J850" s="341" t="str">
        <f>IF(A850="","",VLOOKUP(A850,VII.A!$A$10:$D$199,3,FALSE))</f>
        <v/>
      </c>
      <c r="K850" s="342" t="str">
        <f t="shared" si="227"/>
        <v/>
      </c>
      <c r="L850" s="380" t="str">
        <f>IF(C850="","",G827*C850)</f>
        <v/>
      </c>
      <c r="M850" s="381" t="str">
        <f>IF(A850="","",VLOOKUP(A850,VII.A!$A$10:$B$199,2,FALSE))</f>
        <v/>
      </c>
      <c r="N850" s="342" t="str">
        <f t="shared" si="228"/>
        <v/>
      </c>
      <c r="R850" s="341"/>
      <c r="S850" s="341"/>
    </row>
    <row r="851" spans="1:19" ht="12.75" customHeight="1">
      <c r="A851" s="393"/>
      <c r="C851" s="20"/>
      <c r="E851" s="387"/>
      <c r="F851" s="388">
        <f t="shared" si="225"/>
        <v>0</v>
      </c>
      <c r="H851" s="341" t="str">
        <f>IF(A851="","",VLOOKUP(A851,VII.A!$A$10:$D$199,4,FALSE))</f>
        <v/>
      </c>
      <c r="I851" s="341" t="str">
        <f t="shared" si="226"/>
        <v/>
      </c>
      <c r="J851" s="341" t="str">
        <f>IF(A851="","",VLOOKUP(A851,VII.A!$A$10:$D$199,3,FALSE))</f>
        <v/>
      </c>
      <c r="K851" s="342" t="str">
        <f t="shared" si="227"/>
        <v/>
      </c>
      <c r="L851" s="380" t="str">
        <f>IF(C851="","",G827*C851)</f>
        <v/>
      </c>
      <c r="M851" s="381" t="str">
        <f>IF(A851="","",VLOOKUP(A851,VII.A!$A$10:$B$199,2,FALSE))</f>
        <v/>
      </c>
      <c r="N851" s="342" t="str">
        <f t="shared" si="228"/>
        <v/>
      </c>
      <c r="R851" s="341"/>
      <c r="S851" s="341"/>
    </row>
    <row r="852" spans="1:19" ht="12.75" customHeight="1">
      <c r="A852" s="393"/>
      <c r="C852" s="20"/>
      <c r="E852" s="387"/>
      <c r="F852" s="388">
        <f t="shared" si="225"/>
        <v>0</v>
      </c>
      <c r="H852" s="341" t="str">
        <f>IF(A852="","",VLOOKUP(A852,VII.A!$A$10:$D$199,4,FALSE))</f>
        <v/>
      </c>
      <c r="I852" s="341" t="str">
        <f t="shared" si="226"/>
        <v/>
      </c>
      <c r="J852" s="341" t="str">
        <f>IF(A852="","",VLOOKUP(A852,VII.A!$A$10:$D$199,3,FALSE))</f>
        <v/>
      </c>
      <c r="K852" s="342" t="str">
        <f t="shared" si="227"/>
        <v/>
      </c>
      <c r="L852" s="380" t="str">
        <f>IF(C852="","",G827*C852)</f>
        <v/>
      </c>
      <c r="M852" s="381" t="str">
        <f>IF(A852="","",VLOOKUP(A852,VII.A!$A$10:$B$199,2,FALSE))</f>
        <v/>
      </c>
      <c r="N852" s="342" t="str">
        <f t="shared" si="228"/>
        <v/>
      </c>
      <c r="R852" s="341"/>
      <c r="S852" s="341"/>
    </row>
    <row r="853" spans="1:19" ht="12.75" customHeight="1">
      <c r="A853" s="393"/>
      <c r="C853" s="20"/>
      <c r="E853" s="387"/>
      <c r="F853" s="388">
        <f t="shared" si="225"/>
        <v>0</v>
      </c>
      <c r="G853" s="390"/>
      <c r="H853" s="341" t="str">
        <f>IF(A853="","",VLOOKUP(A853,VII.A!$A$10:$D$199,4,FALSE))</f>
        <v/>
      </c>
      <c r="I853" s="341" t="str">
        <f t="shared" si="226"/>
        <v/>
      </c>
      <c r="J853" s="341" t="str">
        <f>IF(A853="","",VLOOKUP(A853,VII.A!$A$10:$D$199,3,FALSE))</f>
        <v/>
      </c>
      <c r="K853" s="342" t="str">
        <f t="shared" si="227"/>
        <v/>
      </c>
      <c r="L853" s="380" t="str">
        <f>IF(C853="","",G827*C853)</f>
        <v/>
      </c>
      <c r="M853" s="381" t="str">
        <f>IF(A853="","",VLOOKUP(A853,VII.A!$A$10:$B$199,2,FALSE))</f>
        <v/>
      </c>
      <c r="N853" s="342" t="str">
        <f t="shared" si="228"/>
        <v/>
      </c>
      <c r="R853" s="341"/>
      <c r="S853" s="341"/>
    </row>
    <row r="854" spans="1:19" ht="12.75" customHeight="1">
      <c r="A854" s="393"/>
      <c r="C854" s="20"/>
      <c r="E854" s="387"/>
      <c r="F854" s="388">
        <f t="shared" si="225"/>
        <v>0</v>
      </c>
      <c r="G854" s="391"/>
      <c r="H854" s="341" t="str">
        <f>IF(A854="","",VLOOKUP(A854,VII.A!$A$10:$D$199,4,FALSE))</f>
        <v/>
      </c>
      <c r="I854" s="341" t="str">
        <f t="shared" si="226"/>
        <v/>
      </c>
      <c r="J854" s="341" t="str">
        <f>IF(A854="","",VLOOKUP(A854,VII.A!$A$10:$D$199,3,FALSE))</f>
        <v/>
      </c>
      <c r="K854" s="342" t="str">
        <f t="shared" si="227"/>
        <v/>
      </c>
      <c r="L854" s="380" t="str">
        <f>IF(C854="","",G827*C854)</f>
        <v/>
      </c>
      <c r="M854" s="381" t="str">
        <f>IF(A854="","",VLOOKUP(A854,VII.A!$A$10:$B$199,2,FALSE))</f>
        <v/>
      </c>
      <c r="N854" s="342" t="str">
        <f t="shared" si="228"/>
        <v/>
      </c>
      <c r="R854" s="341"/>
      <c r="S854" s="341"/>
    </row>
    <row r="855" spans="1:19" ht="12.75" customHeight="1">
      <c r="A855" s="393"/>
      <c r="C855" s="20"/>
      <c r="E855" s="387"/>
      <c r="F855" s="388">
        <f t="shared" si="225"/>
        <v>0</v>
      </c>
      <c r="H855" s="341" t="str">
        <f>IF(A855="","",VLOOKUP(A855,VII.A!$A$10:$D$199,4,FALSE))</f>
        <v/>
      </c>
      <c r="I855" s="341" t="str">
        <f t="shared" si="226"/>
        <v/>
      </c>
      <c r="J855" s="341" t="str">
        <f>IF(A855="","",VLOOKUP(A855,VII.A!$A$10:$D$199,3,FALSE))</f>
        <v/>
      </c>
      <c r="K855" s="342" t="str">
        <f t="shared" si="227"/>
        <v/>
      </c>
      <c r="L855" s="380" t="str">
        <f>IF(C855="","",G827*C855)</f>
        <v/>
      </c>
      <c r="M855" s="381" t="str">
        <f>IF(A855="","",VLOOKUP(A855,VII.A!$A$10:$B$199,2,FALSE))</f>
        <v/>
      </c>
      <c r="N855" s="342" t="str">
        <f t="shared" si="228"/>
        <v/>
      </c>
      <c r="R855" s="341"/>
      <c r="S855" s="341"/>
    </row>
    <row r="856" spans="1:19" ht="12.75" customHeight="1">
      <c r="A856" s="393"/>
      <c r="C856" s="20"/>
      <c r="E856" s="387"/>
      <c r="F856" s="388">
        <f t="shared" si="225"/>
        <v>0</v>
      </c>
      <c r="H856" s="341" t="str">
        <f>IF(A856="","",VLOOKUP(A856,VII.A!$A$10:$D$199,4,FALSE))</f>
        <v/>
      </c>
      <c r="I856" s="341" t="str">
        <f t="shared" si="226"/>
        <v/>
      </c>
      <c r="J856" s="341" t="str">
        <f>IF(A856="","",VLOOKUP(A856,VII.A!$A$10:$D$199,3,FALSE))</f>
        <v/>
      </c>
      <c r="K856" s="342" t="str">
        <f t="shared" si="227"/>
        <v/>
      </c>
      <c r="L856" s="380" t="str">
        <f>IF(C856="","",G827*C856)</f>
        <v/>
      </c>
      <c r="M856" s="381" t="str">
        <f>IF(A856="","",VLOOKUP(A856,VII.A!$A$10:$B$199,2,FALSE))</f>
        <v/>
      </c>
      <c r="N856" s="342" t="str">
        <f t="shared" si="228"/>
        <v/>
      </c>
      <c r="R856" s="341"/>
      <c r="S856" s="341"/>
    </row>
    <row r="857" spans="1:19" ht="12.75" customHeight="1">
      <c r="A857" s="393"/>
      <c r="C857" s="20"/>
      <c r="E857" s="387"/>
      <c r="F857" s="388">
        <f t="shared" si="225"/>
        <v>0</v>
      </c>
      <c r="H857" s="341" t="str">
        <f>IF(A857="","",VLOOKUP(A857,VII.A!$A$10:$D$199,4,FALSE))</f>
        <v/>
      </c>
      <c r="I857" s="341" t="str">
        <f t="shared" si="226"/>
        <v/>
      </c>
      <c r="J857" s="341" t="str">
        <f>IF(A857="","",VLOOKUP(A857,VII.A!$A$10:$D$199,3,FALSE))</f>
        <v/>
      </c>
      <c r="K857" s="342" t="str">
        <f t="shared" si="227"/>
        <v/>
      </c>
      <c r="L857" s="380" t="str">
        <f>IF(C857="","",G827*C857)</f>
        <v/>
      </c>
      <c r="M857" s="381" t="str">
        <f>IF(A857="","",VLOOKUP(A857,VII.A!$A$10:$B$199,2,FALSE))</f>
        <v/>
      </c>
      <c r="N857" s="342" t="str">
        <f t="shared" si="228"/>
        <v/>
      </c>
      <c r="R857" s="341"/>
      <c r="S857" s="341"/>
    </row>
    <row r="858" spans="1:19" ht="12.75" customHeight="1">
      <c r="A858" s="393"/>
      <c r="C858" s="20"/>
      <c r="E858" s="387"/>
      <c r="F858" s="388">
        <f t="shared" si="225"/>
        <v>0</v>
      </c>
      <c r="H858" s="341" t="str">
        <f>IF(A858="","",VLOOKUP(A858,VII.A!$A$10:$D$199,4,FALSE))</f>
        <v/>
      </c>
      <c r="I858" s="341" t="str">
        <f t="shared" si="226"/>
        <v/>
      </c>
      <c r="J858" s="341" t="str">
        <f>IF(A858="","",VLOOKUP(A858,VII.A!$A$10:$D$199,3,FALSE))</f>
        <v/>
      </c>
      <c r="K858" s="342" t="str">
        <f t="shared" si="227"/>
        <v/>
      </c>
      <c r="L858" s="380" t="str">
        <f>IF(C858="","",G827*C858)</f>
        <v/>
      </c>
      <c r="M858" s="381" t="str">
        <f>IF(A858="","",VLOOKUP(A858,VII.A!$A$10:$B$199,2,FALSE))</f>
        <v/>
      </c>
      <c r="N858" s="342" t="str">
        <f t="shared" si="228"/>
        <v/>
      </c>
      <c r="R858" s="341"/>
      <c r="S858" s="341"/>
    </row>
    <row r="859" spans="1:19" ht="12.75" customHeight="1">
      <c r="A859" s="393"/>
      <c r="B859" s="395" t="s">
        <v>226</v>
      </c>
      <c r="C859" s="396"/>
      <c r="D859" s="397"/>
      <c r="E859" s="398"/>
      <c r="F859" s="399">
        <f>SUM(F849:F858)</f>
        <v>0</v>
      </c>
      <c r="J859" s="341"/>
      <c r="L859" s="380"/>
      <c r="M859" s="381"/>
      <c r="N859" s="342"/>
      <c r="R859" s="341"/>
      <c r="S859" s="341"/>
    </row>
    <row r="860" spans="1:19" ht="12.75" customHeight="1">
      <c r="A860" s="393"/>
      <c r="B860" s="400" t="s">
        <v>53</v>
      </c>
      <c r="C860" s="2">
        <f>$D$8</f>
        <v>0</v>
      </c>
      <c r="D860" s="401"/>
      <c r="E860" s="402"/>
      <c r="F860" s="403">
        <f>ROUND(C860*F859,2)</f>
        <v>0</v>
      </c>
      <c r="J860" s="341"/>
      <c r="L860" s="380"/>
      <c r="M860" s="381"/>
      <c r="N860" s="342"/>
      <c r="R860" s="341"/>
      <c r="S860" s="341"/>
    </row>
    <row r="861" spans="1:19" ht="12.75" customHeight="1">
      <c r="A861" s="404"/>
      <c r="B861" s="405" t="s">
        <v>228</v>
      </c>
      <c r="C861" s="406"/>
      <c r="D861" s="406"/>
      <c r="E861" s="407"/>
      <c r="F861" s="408">
        <f>F859+F860</f>
        <v>0</v>
      </c>
      <c r="J861" s="341"/>
      <c r="L861" s="380"/>
      <c r="M861" s="381"/>
      <c r="N861" s="342"/>
      <c r="R861" s="341"/>
      <c r="S861" s="341"/>
    </row>
    <row r="862" spans="1:19" ht="12.75" customHeight="1">
      <c r="A862" s="409" t="s">
        <v>47</v>
      </c>
      <c r="B862" s="410" t="s">
        <v>236</v>
      </c>
      <c r="C862" s="411" t="s">
        <v>231</v>
      </c>
      <c r="D862" s="412" t="s">
        <v>232</v>
      </c>
      <c r="E862" s="413" t="s">
        <v>233</v>
      </c>
      <c r="F862" s="378" t="s">
        <v>234</v>
      </c>
      <c r="J862" s="341"/>
      <c r="L862" s="380"/>
      <c r="M862" s="381"/>
      <c r="N862" s="342"/>
      <c r="R862" s="341"/>
      <c r="S862" s="341"/>
    </row>
    <row r="863" spans="1:19" ht="12.75" customHeight="1">
      <c r="A863" s="393" t="str">
        <f>VII.A!$A$181</f>
        <v>3.1</v>
      </c>
      <c r="B863" s="394" t="str">
        <f>VII.A!$B$181</f>
        <v>AJUDANTE COM ENCARGOS COMPLEMENTARES</v>
      </c>
      <c r="C863" s="20">
        <f>5/60</f>
        <v>8.3333333333333329E-2</v>
      </c>
      <c r="D863" s="384" t="str">
        <f>VII.A!$C$181</f>
        <v>H</v>
      </c>
      <c r="E863" s="387">
        <f>VII.A!$D$181</f>
        <v>0</v>
      </c>
      <c r="F863" s="388">
        <f t="shared" ref="F863:F869" si="229">ROUND(C863*E863,2)</f>
        <v>0</v>
      </c>
      <c r="H863" s="341">
        <f>IF(A863="","",VLOOKUP(A863,VII.A!$A$10:$D$199,4,FALSE))</f>
        <v>0</v>
      </c>
      <c r="I863" s="341" t="str">
        <f t="shared" ref="I863:I869" si="230">IF(A863="","",IF(E863=H863,"SIM","NÃO"))</f>
        <v>SIM</v>
      </c>
      <c r="J863" s="341" t="str">
        <f>IF(A863="","",VLOOKUP(A863,VII.A!$A$10:$D$199,3,FALSE))</f>
        <v>H</v>
      </c>
      <c r="K863" s="342" t="str">
        <f t="shared" ref="K863:K869" si="231">IF(A863="","",IF(J863=D863,"SIM","NÃO"))</f>
        <v>SIM</v>
      </c>
      <c r="L863" s="380">
        <f>IF(C863="","",G827*C863)</f>
        <v>250</v>
      </c>
      <c r="M863" s="381" t="str">
        <f>IF(A863="","",VLOOKUP(A863,VII.A!$A$10:$B$199,2,FALSE))</f>
        <v>AJUDANTE COM ENCARGOS COMPLEMENTARES</v>
      </c>
      <c r="N863" s="342" t="str">
        <f t="shared" ref="N863:N869" si="232">IF(B863="","",IF(M863=B863,"si","no"))</f>
        <v>si</v>
      </c>
      <c r="R863" s="341"/>
      <c r="S863" s="341"/>
    </row>
    <row r="864" spans="1:19" ht="12.75" customHeight="1">
      <c r="A864" s="393"/>
      <c r="C864" s="20"/>
      <c r="E864" s="387"/>
      <c r="F864" s="388">
        <f t="shared" si="229"/>
        <v>0</v>
      </c>
      <c r="H864" s="341" t="str">
        <f>IF(A864="","",VLOOKUP(A864,VII.A!$A$10:$D$199,4,FALSE))</f>
        <v/>
      </c>
      <c r="I864" s="341" t="str">
        <f t="shared" si="230"/>
        <v/>
      </c>
      <c r="J864" s="341" t="str">
        <f>IF(A864="","",VLOOKUP(A864,VII.A!$A$10:$D$199,3,FALSE))</f>
        <v/>
      </c>
      <c r="K864" s="342" t="str">
        <f t="shared" si="231"/>
        <v/>
      </c>
      <c r="L864" s="380" t="str">
        <f>IF(C864="","",G827*C864)</f>
        <v/>
      </c>
      <c r="M864" s="381" t="str">
        <f>IF(A864="","",VLOOKUP(A864,VII.A!$A$10:$B$199,2,FALSE))</f>
        <v/>
      </c>
      <c r="N864" s="342" t="str">
        <f t="shared" si="232"/>
        <v/>
      </c>
      <c r="R864" s="341"/>
      <c r="S864" s="341"/>
    </row>
    <row r="865" spans="1:25" ht="12.75" customHeight="1">
      <c r="A865" s="393"/>
      <c r="C865" s="20"/>
      <c r="E865" s="387"/>
      <c r="F865" s="388">
        <f t="shared" si="229"/>
        <v>0</v>
      </c>
      <c r="H865" s="341" t="str">
        <f>IF(A865="","",VLOOKUP(A865,VII.A!$A$10:$D$199,4,FALSE))</f>
        <v/>
      </c>
      <c r="I865" s="341" t="str">
        <f t="shared" si="230"/>
        <v/>
      </c>
      <c r="J865" s="341" t="str">
        <f>IF(A865="","",VLOOKUP(A865,VII.A!$A$10:$D$199,3,FALSE))</f>
        <v/>
      </c>
      <c r="K865" s="342" t="str">
        <f t="shared" si="231"/>
        <v/>
      </c>
      <c r="L865" s="380" t="str">
        <f>IF(C865="","",G827*C865)</f>
        <v/>
      </c>
      <c r="M865" s="381" t="str">
        <f>IF(A865="","",VLOOKUP(A865,VII.A!$A$10:$B$199,2,FALSE))</f>
        <v/>
      </c>
      <c r="N865" s="342" t="str">
        <f t="shared" si="232"/>
        <v/>
      </c>
      <c r="R865" s="341"/>
      <c r="S865" s="341"/>
    </row>
    <row r="866" spans="1:25" ht="12.75" customHeight="1">
      <c r="A866" s="393"/>
      <c r="C866" s="20"/>
      <c r="E866" s="387"/>
      <c r="F866" s="388">
        <f t="shared" si="229"/>
        <v>0</v>
      </c>
      <c r="H866" s="341" t="str">
        <f>IF(A866="","",VLOOKUP(A866,VII.A!$A$10:$D$199,4,FALSE))</f>
        <v/>
      </c>
      <c r="I866" s="341" t="str">
        <f t="shared" si="230"/>
        <v/>
      </c>
      <c r="J866" s="341" t="str">
        <f>IF(A866="","",VLOOKUP(A866,VII.A!$A$10:$D$199,3,FALSE))</f>
        <v/>
      </c>
      <c r="K866" s="342" t="str">
        <f t="shared" si="231"/>
        <v/>
      </c>
      <c r="L866" s="380" t="str">
        <f>IF(C866="","",G827*C866)</f>
        <v/>
      </c>
      <c r="M866" s="381" t="str">
        <f>IF(A866="","",VLOOKUP(A866,VII.A!$A$10:$B$199,2,FALSE))</f>
        <v/>
      </c>
      <c r="N866" s="342" t="str">
        <f t="shared" si="232"/>
        <v/>
      </c>
      <c r="R866" s="341"/>
      <c r="S866" s="341"/>
    </row>
    <row r="867" spans="1:25" ht="12.75" customHeight="1">
      <c r="A867" s="393"/>
      <c r="C867" s="20"/>
      <c r="E867" s="387"/>
      <c r="F867" s="388">
        <f t="shared" si="229"/>
        <v>0</v>
      </c>
      <c r="H867" s="341" t="str">
        <f>IF(A867="","",VLOOKUP(A867,VII.A!$A$10:$D$199,4,FALSE))</f>
        <v/>
      </c>
      <c r="I867" s="341" t="str">
        <f t="shared" si="230"/>
        <v/>
      </c>
      <c r="J867" s="341" t="str">
        <f>IF(A867="","",VLOOKUP(A867,VII.A!$A$10:$D$199,3,FALSE))</f>
        <v/>
      </c>
      <c r="K867" s="342" t="str">
        <f t="shared" si="231"/>
        <v/>
      </c>
      <c r="L867" s="380" t="str">
        <f>IF(C867="","",G827*C867)</f>
        <v/>
      </c>
      <c r="M867" s="381" t="str">
        <f>IF(A867="","",VLOOKUP(A867,VII.A!$A$10:$B$199,2,FALSE))</f>
        <v/>
      </c>
      <c r="N867" s="342" t="str">
        <f t="shared" si="232"/>
        <v/>
      </c>
      <c r="R867" s="341"/>
      <c r="S867" s="341"/>
    </row>
    <row r="868" spans="1:25" ht="12.75" customHeight="1">
      <c r="A868" s="393"/>
      <c r="C868" s="20"/>
      <c r="E868" s="387"/>
      <c r="F868" s="388">
        <f t="shared" si="229"/>
        <v>0</v>
      </c>
      <c r="I868" s="341" t="str">
        <f t="shared" si="230"/>
        <v/>
      </c>
      <c r="J868" s="341" t="str">
        <f>IF(A868="","",VLOOKUP(A868,VII.A!$A$10:$D$199,3,FALSE))</f>
        <v/>
      </c>
      <c r="K868" s="342" t="str">
        <f t="shared" si="231"/>
        <v/>
      </c>
      <c r="L868" s="380" t="str">
        <f>IF(C868="","",G827*C868)</f>
        <v/>
      </c>
      <c r="M868" s="381" t="str">
        <f>IF(A868="","",VLOOKUP(A868,VII.A!$A$10:$B$199,2,FALSE))</f>
        <v/>
      </c>
      <c r="N868" s="342" t="str">
        <f t="shared" si="232"/>
        <v/>
      </c>
      <c r="R868" s="341"/>
      <c r="S868" s="341"/>
    </row>
    <row r="869" spans="1:25" ht="12.75" customHeight="1">
      <c r="A869" s="393"/>
      <c r="C869" s="20"/>
      <c r="E869" s="387"/>
      <c r="F869" s="388">
        <f t="shared" si="229"/>
        <v>0</v>
      </c>
      <c r="H869" s="341" t="str">
        <f>IF(A869="","",VLOOKUP(A869,VII.A!$A$10:$D$199,4,FALSE))</f>
        <v/>
      </c>
      <c r="I869" s="341" t="str">
        <f t="shared" si="230"/>
        <v/>
      </c>
      <c r="J869" s="341" t="str">
        <f>IF(A869="","",VLOOKUP(A869,VII.A!$A$10:$D$199,3,FALSE))</f>
        <v/>
      </c>
      <c r="K869" s="342" t="str">
        <f t="shared" si="231"/>
        <v/>
      </c>
      <c r="L869" s="380" t="str">
        <f>IF(C869="","",G827*C869)</f>
        <v/>
      </c>
      <c r="M869" s="381" t="str">
        <f>IF(A869="","",VLOOKUP(A869,VII.A!$A$10:$B$199,2,FALSE))</f>
        <v/>
      </c>
      <c r="N869" s="342" t="str">
        <f t="shared" si="232"/>
        <v/>
      </c>
      <c r="R869" s="341"/>
      <c r="S869" s="341"/>
    </row>
    <row r="870" spans="1:25" ht="12.75" customHeight="1">
      <c r="A870" s="393"/>
      <c r="B870" s="395" t="s">
        <v>226</v>
      </c>
      <c r="C870" s="396"/>
      <c r="D870" s="397"/>
      <c r="E870" s="398"/>
      <c r="F870" s="399">
        <f>SUM(F863:F869)</f>
        <v>0</v>
      </c>
      <c r="J870" s="341"/>
      <c r="L870" s="380"/>
      <c r="M870" s="381"/>
      <c r="N870" s="342"/>
      <c r="R870" s="341"/>
      <c r="S870" s="341"/>
    </row>
    <row r="871" spans="1:25" ht="12.75" customHeight="1">
      <c r="A871" s="393"/>
      <c r="B871" s="400" t="s">
        <v>229</v>
      </c>
      <c r="C871" s="2">
        <f>IX.A!$C$45</f>
        <v>0</v>
      </c>
      <c r="D871" s="401"/>
      <c r="E871" s="402"/>
      <c r="F871" s="403">
        <f>ROUND(F870*C871,2)</f>
        <v>0</v>
      </c>
      <c r="J871" s="341"/>
      <c r="L871" s="380"/>
      <c r="M871" s="381"/>
      <c r="N871" s="342"/>
      <c r="R871" s="341"/>
      <c r="S871" s="341"/>
    </row>
    <row r="872" spans="1:25" ht="12.75" customHeight="1">
      <c r="A872" s="393"/>
      <c r="B872" s="400" t="s">
        <v>53</v>
      </c>
      <c r="C872" s="2">
        <f>$D$8</f>
        <v>0</v>
      </c>
      <c r="D872" s="401"/>
      <c r="E872" s="402"/>
      <c r="F872" s="403">
        <f>ROUND(SUM(F870:F871)*C872,2)</f>
        <v>0</v>
      </c>
      <c r="J872" s="341"/>
      <c r="L872" s="380"/>
      <c r="M872" s="381"/>
      <c r="N872" s="342"/>
      <c r="R872" s="341"/>
      <c r="S872" s="341"/>
    </row>
    <row r="873" spans="1:25" ht="12.75" customHeight="1" thickBot="1">
      <c r="A873" s="414"/>
      <c r="B873" s="415" t="s">
        <v>230</v>
      </c>
      <c r="C873" s="416"/>
      <c r="D873" s="416"/>
      <c r="E873" s="417"/>
      <c r="F873" s="418">
        <f>SUM(F870:F872)</f>
        <v>0</v>
      </c>
      <c r="J873" s="341"/>
      <c r="L873" s="380"/>
      <c r="M873" s="381"/>
      <c r="N873" s="342"/>
      <c r="R873" s="341"/>
      <c r="S873" s="341"/>
    </row>
    <row r="874" spans="1:25" ht="12.75" customHeight="1" thickBot="1">
      <c r="A874" s="357"/>
      <c r="B874" s="358"/>
      <c r="C874" s="359"/>
      <c r="D874" s="359"/>
      <c r="E874" s="360"/>
      <c r="F874" s="419"/>
      <c r="J874" s="341"/>
      <c r="L874" s="380"/>
      <c r="M874" s="381"/>
      <c r="N874" s="342"/>
      <c r="R874" s="341"/>
      <c r="S874" s="341"/>
    </row>
    <row r="875" spans="1:25" ht="30" customHeight="1">
      <c r="A875" s="370" t="str">
        <f>IV.A!$A$40</f>
        <v>2.3.3</v>
      </c>
      <c r="B875" s="371" t="str">
        <f>IV.A!B40</f>
        <v>FORNECIMENTO E MONTAGEM/INSTALAÇÃO DE PLACAS DE SINALIZAÇÃO COM PINTURA REFLETIVA PARA APROVEITAMENTO</v>
      </c>
      <c r="C875" s="871" t="s">
        <v>237</v>
      </c>
      <c r="D875" s="872"/>
      <c r="E875" s="372" t="str">
        <f>IV.A!C40</f>
        <v>M2</v>
      </c>
      <c r="F875" s="11">
        <f>ROUND(F895+F909+F921,2)</f>
        <v>0</v>
      </c>
      <c r="G875" s="1">
        <f>VLOOKUP(A875,IV.A!$A$16:$L$172,4,FALSE)</f>
        <v>5</v>
      </c>
      <c r="H875" s="361">
        <f>SUM(F877:F892)+F894</f>
        <v>0</v>
      </c>
      <c r="I875" s="361">
        <f>SUM(F897:F906)+F908</f>
        <v>0</v>
      </c>
      <c r="J875" s="361">
        <f>SUM(F911:F917)+F919+F920</f>
        <v>0</v>
      </c>
      <c r="K875" s="361">
        <f>SUM(H875:J875)</f>
        <v>0</v>
      </c>
      <c r="L875" s="362" t="str">
        <f>IF(K875=F875,"SIM","NÃO")</f>
        <v>SIM</v>
      </c>
      <c r="M875" s="373">
        <f>ROUND(SUM(F877:F892),2)+ROUND(SUM(F877:F892)*C894,2)+ROUND(SUM(F897:F906)*C908,2)+ROUND(SUM(F897:F906),2)+ROUND(SUM(F911:F917)*C919,2)+ROUND((SUM(F911:F917)+ROUND(SUM(F911:F917)*C919,2))*C920,2)+ROUND(SUM(F911:F917),2)</f>
        <v>0</v>
      </c>
      <c r="N875" s="343" t="str">
        <f>IF(M875=F875,"SIM","NÃO")</f>
        <v>SIM</v>
      </c>
      <c r="O875" s="364" t="str">
        <f>VLOOKUP(A875,IV.A!$A$16:$E$172,3,FALSE)</f>
        <v>M2</v>
      </c>
      <c r="P875" s="344" t="str">
        <f>IF(O875=E875,"SIM","NÃO")</f>
        <v>SIM</v>
      </c>
      <c r="Q875" s="365">
        <f>ROUND(G875*F895,2)+ROUND(G875*F909,2)+ROUND(G875*F921,2)</f>
        <v>0</v>
      </c>
      <c r="R875" s="364">
        <f>VLOOKUP(A875,IV.A!$A$16:$L$172,12,FALSE)</f>
        <v>0</v>
      </c>
      <c r="S875" s="366" t="str">
        <f>IF(Q875=R875,"si","no")</f>
        <v>si</v>
      </c>
      <c r="T875" s="367">
        <f>SUM(L877:L892)+SUM(L897:L906)+SUM(L911:L917)</f>
        <v>123.5</v>
      </c>
      <c r="U875" s="341">
        <f>(SUM(C877:C892)+SUM(C897:C906)+SUM(C911:C917))*G875</f>
        <v>123.5</v>
      </c>
      <c r="V875" s="368" t="str">
        <f>IF(T875=U875,"si","no")</f>
        <v>si</v>
      </c>
      <c r="W875" s="369">
        <f>SUM(F877:F892)</f>
        <v>0</v>
      </c>
      <c r="X875" s="369">
        <f>SUM(F897:F906)</f>
        <v>0</v>
      </c>
      <c r="Y875" s="369">
        <f>SUM(F911:F917)</f>
        <v>0</v>
      </c>
    </row>
    <row r="876" spans="1:25" ht="12.75" customHeight="1">
      <c r="A876" s="374" t="s">
        <v>14</v>
      </c>
      <c r="B876" s="375" t="s">
        <v>132</v>
      </c>
      <c r="C876" s="376" t="s">
        <v>231</v>
      </c>
      <c r="D876" s="376" t="s">
        <v>232</v>
      </c>
      <c r="E876" s="377" t="s">
        <v>233</v>
      </c>
      <c r="F876" s="378" t="s">
        <v>234</v>
      </c>
      <c r="G876" s="379"/>
      <c r="J876" s="341"/>
      <c r="L876" s="380"/>
      <c r="M876" s="381"/>
      <c r="N876" s="342"/>
      <c r="O876" s="382"/>
      <c r="P876" s="383"/>
      <c r="Q876" s="383"/>
      <c r="R876" s="383"/>
      <c r="S876" s="383"/>
      <c r="T876" s="382"/>
      <c r="U876" s="341"/>
      <c r="V876" s="384"/>
      <c r="W876" s="384"/>
      <c r="X876" s="384"/>
      <c r="Y876" s="384"/>
    </row>
    <row r="877" spans="1:25" ht="12.75" customHeight="1">
      <c r="A877" s="385" t="str">
        <f>VII.A!$A$77</f>
        <v>1.68</v>
      </c>
      <c r="B877" s="386" t="str">
        <f>VII.A!$B$77</f>
        <v>PARAFUSO FRANCES ZINCADO, DIAMETRO 1/2", COMPRIMENTO 4", COM PORCA E ARRUELA</v>
      </c>
      <c r="C877" s="20">
        <v>10</v>
      </c>
      <c r="D877" s="342" t="str">
        <f>VII.A!$C$77</f>
        <v>UN</v>
      </c>
      <c r="E877" s="387">
        <f>VII.A!$D$77</f>
        <v>0</v>
      </c>
      <c r="F877" s="388">
        <f>ROUND(C877*E877,2)</f>
        <v>0</v>
      </c>
      <c r="H877" s="341">
        <f>IF(A877="","",VLOOKUP(A877,VII.A!$A$10:$D$199,4,FALSE))</f>
        <v>0</v>
      </c>
      <c r="I877" s="341" t="str">
        <f t="shared" ref="I877:I892" si="233">IF(A877="","",IF(E877=H877,"SIM","NÃO"))</f>
        <v>SIM</v>
      </c>
      <c r="J877" s="341" t="str">
        <f>IF(A877="","",VLOOKUP(A877,VII.A!$A$10:$D$199,3,FALSE))</f>
        <v>UN</v>
      </c>
      <c r="K877" s="342" t="str">
        <f t="shared" ref="K877:K892" si="234">IF(A877="","",IF(J877=D877,"SIM","NÃO"))</f>
        <v>SIM</v>
      </c>
      <c r="L877" s="380">
        <f>IF(C877="","",G875*C877)</f>
        <v>50</v>
      </c>
      <c r="M877" s="381" t="str">
        <f>IF(A877="","",VLOOKUP(A877,VII.A!$A$10:$B$199,2,FALSE))</f>
        <v>PARAFUSO FRANCES ZINCADO, DIAMETRO 1/2", COMPRIMENTO 4", COM PORCA E ARRUELA</v>
      </c>
      <c r="N877" s="342" t="str">
        <f t="shared" ref="N877:N892" si="235">IF(B877="","",IF(M877=B877,"si","no"))</f>
        <v>si</v>
      </c>
      <c r="R877" s="341"/>
      <c r="S877" s="341"/>
    </row>
    <row r="878" spans="1:25" ht="12.75" customHeight="1">
      <c r="A878" s="385" t="str">
        <f>VII.A!$A$79</f>
        <v>1.70</v>
      </c>
      <c r="B878" s="386" t="str">
        <f>VII.A!$B$79</f>
        <v>PONTALETE DE MADEIRA NAO APARELHADA - 7,5 X 7,5 CM (3 X 3 ")</v>
      </c>
      <c r="C878" s="20">
        <f>1*4</f>
        <v>4</v>
      </c>
      <c r="D878" s="342" t="str">
        <f>VII.A!$C$79</f>
        <v>M</v>
      </c>
      <c r="E878" s="387">
        <f>VII.A!$D$79</f>
        <v>0</v>
      </c>
      <c r="F878" s="388">
        <f t="shared" ref="F878:F892" si="236">ROUND(C878*E878,2)</f>
        <v>0</v>
      </c>
      <c r="H878" s="341">
        <f>IF(A878="","",VLOOKUP(A878,VII.A!$A$10:$D$199,4,FALSE))</f>
        <v>0</v>
      </c>
      <c r="I878" s="341" t="str">
        <f t="shared" si="233"/>
        <v>SIM</v>
      </c>
      <c r="J878" s="341" t="str">
        <f>IF(A878="","",VLOOKUP(A878,VII.A!$A$10:$D$199,3,FALSE))</f>
        <v>M</v>
      </c>
      <c r="K878" s="342" t="str">
        <f t="shared" si="234"/>
        <v>SIM</v>
      </c>
      <c r="L878" s="380">
        <f>IF(C878="","",G875*C878)</f>
        <v>20</v>
      </c>
      <c r="M878" s="381" t="str">
        <f>IF(A878="","",VLOOKUP(A878,VII.A!$A$10:$B$199,2,FALSE))</f>
        <v>PONTALETE DE MADEIRA NAO APARELHADA - 7,5 X 7,5 CM (3 X 3 ")</v>
      </c>
      <c r="N878" s="342" t="str">
        <f t="shared" si="235"/>
        <v>si</v>
      </c>
      <c r="R878" s="341"/>
      <c r="S878" s="341"/>
    </row>
    <row r="879" spans="1:25" ht="12.75" customHeight="1">
      <c r="A879" s="385" t="str">
        <f>VII.A!$A$96</f>
        <v>1.86</v>
      </c>
      <c r="B879" s="386" t="str">
        <f>VII.A!$B$96</f>
        <v xml:space="preserve">SARRAFO 3A. CONSTRUÇÃO (SEÇÃO TRANSVERSAL: 1X2" - 2,5CM X 5,0CM) </v>
      </c>
      <c r="C879" s="20">
        <f>4*1</f>
        <v>4</v>
      </c>
      <c r="D879" s="342" t="str">
        <f>VII.A!$C$96</f>
        <v>M</v>
      </c>
      <c r="E879" s="387">
        <f>VII.A!$D$96</f>
        <v>0</v>
      </c>
      <c r="F879" s="388">
        <f t="shared" si="236"/>
        <v>0</v>
      </c>
      <c r="H879" s="341">
        <f>IF(A879="","",VLOOKUP(A879,VII.A!$A$10:$D$199,4,FALSE))</f>
        <v>0</v>
      </c>
      <c r="I879" s="341" t="str">
        <f t="shared" si="233"/>
        <v>SIM</v>
      </c>
      <c r="J879" s="341" t="str">
        <f>IF(A879="","",VLOOKUP(A879,VII.A!$A$10:$D$199,3,FALSE))</f>
        <v>M</v>
      </c>
      <c r="K879" s="342" t="str">
        <f t="shared" si="234"/>
        <v>SIM</v>
      </c>
      <c r="L879" s="380">
        <f>IF(C879="","",G875*C879)</f>
        <v>20</v>
      </c>
      <c r="M879" s="381" t="str">
        <f>IF(A879="","",VLOOKUP(A879,VII.A!$A$10:$B$199,2,FALSE))</f>
        <v xml:space="preserve">SARRAFO 3A. CONSTRUÇÃO (SEÇÃO TRANSVERSAL: 1X2" - 2,5CM X 5,0CM) </v>
      </c>
      <c r="N879" s="342" t="str">
        <f t="shared" si="235"/>
        <v>si</v>
      </c>
      <c r="R879" s="341"/>
      <c r="S879" s="341"/>
    </row>
    <row r="880" spans="1:25" ht="12.75" customHeight="1">
      <c r="A880" s="385" t="str">
        <f>VII.A!$A$97</f>
        <v>1.87</v>
      </c>
      <c r="B880" s="386" t="str">
        <f>VII.A!$B$97</f>
        <v xml:space="preserve">SARRAFO 3A. CONSTRUÇÃO (SEÇÃO TRANSVERSAL: 1X4" - 2,5CM X 10,0CM) </v>
      </c>
      <c r="C880" s="20">
        <f>4.5</f>
        <v>4.5</v>
      </c>
      <c r="D880" s="342" t="str">
        <f>VII.A!$C$97</f>
        <v>M</v>
      </c>
      <c r="E880" s="387">
        <f>VII.A!$D$97</f>
        <v>0</v>
      </c>
      <c r="F880" s="388">
        <f t="shared" si="236"/>
        <v>0</v>
      </c>
      <c r="H880" s="341">
        <f>IF(A880="","",VLOOKUP(A880,VII.A!$A$10:$D$199,4,FALSE))</f>
        <v>0</v>
      </c>
      <c r="I880" s="341" t="str">
        <f t="shared" si="233"/>
        <v>SIM</v>
      </c>
      <c r="J880" s="341" t="str">
        <f>IF(A880="","",VLOOKUP(A880,VII.A!$A$10:$D$199,3,FALSE))</f>
        <v>M</v>
      </c>
      <c r="K880" s="342" t="str">
        <f t="shared" si="234"/>
        <v>SIM</v>
      </c>
      <c r="L880" s="380">
        <f>IF(C880="","",G875*C880)</f>
        <v>22.5</v>
      </c>
      <c r="M880" s="381" t="str">
        <f>IF(A880="","",VLOOKUP(A880,VII.A!$A$10:$B$199,2,FALSE))</f>
        <v xml:space="preserve">SARRAFO 3A. CONSTRUÇÃO (SEÇÃO TRANSVERSAL: 1X4" - 2,5CM X 10,0CM) </v>
      </c>
      <c r="N880" s="342" t="str">
        <f t="shared" si="235"/>
        <v>si</v>
      </c>
      <c r="R880" s="341"/>
      <c r="S880" s="341"/>
    </row>
    <row r="881" spans="1:21" ht="12.75" customHeight="1">
      <c r="A881" s="385" t="str">
        <f>VII.A!$A$87</f>
        <v>1.77</v>
      </c>
      <c r="B881" s="386" t="str">
        <f>VII.A!$B$87</f>
        <v>PLACA DE SINALIZACAO EM CHAPA DE AÇO Nº 16 COM PINTURA REFLETIVA</v>
      </c>
      <c r="C881" s="20">
        <v>1</v>
      </c>
      <c r="D881" s="342" t="str">
        <f>VII.A!$C$87</f>
        <v>M2</v>
      </c>
      <c r="E881" s="387">
        <f>VII.A!$D$87</f>
        <v>0</v>
      </c>
      <c r="F881" s="388">
        <f t="shared" si="236"/>
        <v>0</v>
      </c>
      <c r="H881" s="341">
        <f>IF(A881="","",VLOOKUP(A881,VII.A!$A$10:$D$199,4,FALSE))</f>
        <v>0</v>
      </c>
      <c r="I881" s="341" t="str">
        <f t="shared" si="233"/>
        <v>SIM</v>
      </c>
      <c r="J881" s="341" t="str">
        <f>IF(A881="","",VLOOKUP(A881,VII.A!$A$10:$D$199,3,FALSE))</f>
        <v>M2</v>
      </c>
      <c r="K881" s="342" t="str">
        <f t="shared" si="234"/>
        <v>SIM</v>
      </c>
      <c r="L881" s="380">
        <f>IF(C881="","",G875*C881)</f>
        <v>5</v>
      </c>
      <c r="M881" s="381" t="str">
        <f>IF(A881="","",VLOOKUP(A881,VII.A!$A$10:$B$199,2,FALSE))</f>
        <v>PLACA DE SINALIZACAO EM CHAPA DE AÇO Nº 16 COM PINTURA REFLETIVA</v>
      </c>
      <c r="N881" s="342" t="str">
        <f t="shared" si="235"/>
        <v>si</v>
      </c>
      <c r="R881" s="341"/>
      <c r="S881" s="341"/>
    </row>
    <row r="882" spans="1:21" ht="12.75" customHeight="1">
      <c r="A882" s="385"/>
      <c r="B882" s="386"/>
      <c r="C882" s="20"/>
      <c r="D882" s="342"/>
      <c r="E882" s="387"/>
      <c r="F882" s="388">
        <f t="shared" si="236"/>
        <v>0</v>
      </c>
      <c r="H882" s="341" t="str">
        <f>IF(A882="","",VLOOKUP(A882,VII.A!$A$10:$D$199,4,FALSE))</f>
        <v/>
      </c>
      <c r="I882" s="341" t="str">
        <f t="shared" si="233"/>
        <v/>
      </c>
      <c r="J882" s="341" t="str">
        <f>IF(A882="","",VLOOKUP(A882,VII.A!$A$10:$D$199,3,FALSE))</f>
        <v/>
      </c>
      <c r="K882" s="342" t="str">
        <f t="shared" si="234"/>
        <v/>
      </c>
      <c r="L882" s="380" t="str">
        <f>IF(C882="","",G875*C882)</f>
        <v/>
      </c>
      <c r="M882" s="381" t="str">
        <f>IF(A882="","",VLOOKUP(A882,VII.A!$A$10:$B$199,2,FALSE))</f>
        <v/>
      </c>
      <c r="N882" s="342" t="str">
        <f t="shared" si="235"/>
        <v/>
      </c>
      <c r="R882" s="341"/>
      <c r="S882" s="341"/>
      <c r="U882" s="389"/>
    </row>
    <row r="883" spans="1:21" ht="12.75" customHeight="1">
      <c r="A883" s="385"/>
      <c r="B883" s="386"/>
      <c r="C883" s="20"/>
      <c r="D883" s="342"/>
      <c r="E883" s="387"/>
      <c r="F883" s="388">
        <f t="shared" si="236"/>
        <v>0</v>
      </c>
      <c r="H883" s="341" t="str">
        <f>IF(A883="","",VLOOKUP(A883,VII.A!$A$10:$D$199,4,FALSE))</f>
        <v/>
      </c>
      <c r="I883" s="341" t="str">
        <f t="shared" si="233"/>
        <v/>
      </c>
      <c r="J883" s="341" t="str">
        <f>IF(A883="","",VLOOKUP(A883,VII.A!$A$10:$D$199,3,FALSE))</f>
        <v/>
      </c>
      <c r="K883" s="342" t="str">
        <f t="shared" si="234"/>
        <v/>
      </c>
      <c r="L883" s="380" t="str">
        <f>IF(C883="","",G875*C883)</f>
        <v/>
      </c>
      <c r="M883" s="381" t="str">
        <f>IF(A883="","",VLOOKUP(A883,VII.A!$A$10:$B$199,2,FALSE))</f>
        <v/>
      </c>
      <c r="N883" s="342" t="str">
        <f t="shared" si="235"/>
        <v/>
      </c>
      <c r="R883" s="341"/>
      <c r="S883" s="341"/>
    </row>
    <row r="884" spans="1:21" ht="12.75" customHeight="1">
      <c r="A884" s="385"/>
      <c r="B884" s="386"/>
      <c r="C884" s="20"/>
      <c r="D884" s="342"/>
      <c r="E884" s="387"/>
      <c r="F884" s="388">
        <f t="shared" si="236"/>
        <v>0</v>
      </c>
      <c r="G884" s="390"/>
      <c r="H884" s="341" t="str">
        <f>IF(A884="","",VLOOKUP(A884,VII.A!$A$10:$D$199,4,FALSE))</f>
        <v/>
      </c>
      <c r="I884" s="341" t="str">
        <f t="shared" si="233"/>
        <v/>
      </c>
      <c r="J884" s="341" t="str">
        <f>IF(A884="","",VLOOKUP(A884,VII.A!$A$10:$D$199,3,FALSE))</f>
        <v/>
      </c>
      <c r="K884" s="342" t="str">
        <f t="shared" si="234"/>
        <v/>
      </c>
      <c r="L884" s="380" t="str">
        <f>IF(C884="","",G875*C884)</f>
        <v/>
      </c>
      <c r="M884" s="381" t="str">
        <f>IF(A884="","",VLOOKUP(A884,VII.A!$A$10:$B$199,2,FALSE))</f>
        <v/>
      </c>
      <c r="N884" s="342" t="str">
        <f t="shared" si="235"/>
        <v/>
      </c>
      <c r="R884" s="341"/>
      <c r="S884" s="341"/>
    </row>
    <row r="885" spans="1:21" ht="12.75" customHeight="1">
      <c r="A885" s="385"/>
      <c r="B885" s="386"/>
      <c r="C885" s="20"/>
      <c r="D885" s="342"/>
      <c r="E885" s="387"/>
      <c r="F885" s="388">
        <f t="shared" si="236"/>
        <v>0</v>
      </c>
      <c r="G885" s="390"/>
      <c r="H885" s="341" t="str">
        <f>IF(A885="","",VLOOKUP(A885,VII.A!$A$10:$D$199,4,FALSE))</f>
        <v/>
      </c>
      <c r="I885" s="341" t="str">
        <f t="shared" si="233"/>
        <v/>
      </c>
      <c r="J885" s="341" t="str">
        <f>IF(A885="","",VLOOKUP(A885,VII.A!$A$10:$D$199,3,FALSE))</f>
        <v/>
      </c>
      <c r="K885" s="342" t="str">
        <f t="shared" si="234"/>
        <v/>
      </c>
      <c r="L885" s="380" t="str">
        <f>IF(C885="","",G875*C885)</f>
        <v/>
      </c>
      <c r="M885" s="381" t="str">
        <f>IF(A885="","",VLOOKUP(A885,VII.A!$A$10:$B$199,2,FALSE))</f>
        <v/>
      </c>
      <c r="N885" s="342" t="str">
        <f t="shared" si="235"/>
        <v/>
      </c>
      <c r="R885" s="341"/>
      <c r="S885" s="341"/>
    </row>
    <row r="886" spans="1:21" ht="12.75" customHeight="1">
      <c r="A886" s="385"/>
      <c r="B886" s="386"/>
      <c r="C886" s="20"/>
      <c r="D886" s="342"/>
      <c r="E886" s="387"/>
      <c r="F886" s="388">
        <f t="shared" si="236"/>
        <v>0</v>
      </c>
      <c r="G886" s="391"/>
      <c r="H886" s="341" t="str">
        <f>IF(A886="","",VLOOKUP(A886,VII.A!$A$10:$D$199,4,FALSE))</f>
        <v/>
      </c>
      <c r="I886" s="341" t="str">
        <f t="shared" si="233"/>
        <v/>
      </c>
      <c r="J886" s="341" t="str">
        <f>IF(A886="","",VLOOKUP(A886,VII.A!$A$10:$D$199,3,FALSE))</f>
        <v/>
      </c>
      <c r="K886" s="342" t="str">
        <f t="shared" si="234"/>
        <v/>
      </c>
      <c r="L886" s="380" t="str">
        <f>IF(C886="","",G875*C886)</f>
        <v/>
      </c>
      <c r="M886" s="381" t="str">
        <f>IF(A886="","",VLOOKUP(A886,VII.A!$A$10:$B$199,2,FALSE))</f>
        <v/>
      </c>
      <c r="N886" s="342" t="str">
        <f t="shared" si="235"/>
        <v/>
      </c>
      <c r="R886" s="341"/>
      <c r="S886" s="341"/>
    </row>
    <row r="887" spans="1:21" ht="12.75" customHeight="1">
      <c r="A887" s="385"/>
      <c r="B887" s="386"/>
      <c r="C887" s="20"/>
      <c r="D887" s="342"/>
      <c r="E887" s="387"/>
      <c r="F887" s="388">
        <f t="shared" si="236"/>
        <v>0</v>
      </c>
      <c r="H887" s="341" t="str">
        <f>IF(A887="","",VLOOKUP(A887,VII.A!$A$10:$D$199,4,FALSE))</f>
        <v/>
      </c>
      <c r="I887" s="341" t="str">
        <f t="shared" si="233"/>
        <v/>
      </c>
      <c r="J887" s="341" t="str">
        <f>IF(A887="","",VLOOKUP(A887,VII.A!$A$10:$D$199,3,FALSE))</f>
        <v/>
      </c>
      <c r="K887" s="342" t="str">
        <f t="shared" si="234"/>
        <v/>
      </c>
      <c r="L887" s="380" t="str">
        <f>IF(C887="","",G875*C887)</f>
        <v/>
      </c>
      <c r="M887" s="381" t="str">
        <f>IF(A887="","",VLOOKUP(A887,VII.A!$A$10:$B$199,2,FALSE))</f>
        <v/>
      </c>
      <c r="N887" s="342" t="str">
        <f t="shared" si="235"/>
        <v/>
      </c>
      <c r="R887" s="341"/>
      <c r="S887" s="341"/>
    </row>
    <row r="888" spans="1:21" ht="12.75" customHeight="1">
      <c r="A888" s="385"/>
      <c r="B888" s="386"/>
      <c r="C888" s="20"/>
      <c r="D888" s="392"/>
      <c r="E888" s="387"/>
      <c r="F888" s="388">
        <f t="shared" si="236"/>
        <v>0</v>
      </c>
      <c r="H888" s="341" t="str">
        <f>IF(A888="","",VLOOKUP(A888,VII.A!$A$10:$D$199,4,FALSE))</f>
        <v/>
      </c>
      <c r="I888" s="341" t="str">
        <f t="shared" si="233"/>
        <v/>
      </c>
      <c r="J888" s="341" t="str">
        <f>IF(A888="","",VLOOKUP(A888,VII.A!$A$10:$D$199,3,FALSE))</f>
        <v/>
      </c>
      <c r="K888" s="342" t="str">
        <f t="shared" si="234"/>
        <v/>
      </c>
      <c r="L888" s="380" t="str">
        <f>IF(C888="","",G875*C888)</f>
        <v/>
      </c>
      <c r="M888" s="381" t="str">
        <f>IF(A888="","",VLOOKUP(A888,VII.A!$A$10:$B$199,2,FALSE))</f>
        <v/>
      </c>
      <c r="N888" s="342" t="str">
        <f t="shared" si="235"/>
        <v/>
      </c>
      <c r="R888" s="341"/>
      <c r="S888" s="341"/>
    </row>
    <row r="889" spans="1:21" ht="12.75" customHeight="1">
      <c r="A889" s="385"/>
      <c r="B889" s="386"/>
      <c r="C889" s="20"/>
      <c r="D889" s="392"/>
      <c r="E889" s="387"/>
      <c r="F889" s="388">
        <f t="shared" si="236"/>
        <v>0</v>
      </c>
      <c r="H889" s="341" t="str">
        <f>IF(A889="","",VLOOKUP(A889,VII.A!$A$10:$D$199,4,FALSE))</f>
        <v/>
      </c>
      <c r="I889" s="341" t="str">
        <f t="shared" si="233"/>
        <v/>
      </c>
      <c r="J889" s="341" t="str">
        <f>IF(A889="","",VLOOKUP(A889,VII.A!$A$10:$D$199,3,FALSE))</f>
        <v/>
      </c>
      <c r="K889" s="342" t="str">
        <f t="shared" si="234"/>
        <v/>
      </c>
      <c r="L889" s="380" t="str">
        <f>IF(C889="","",G875*C889)</f>
        <v/>
      </c>
      <c r="M889" s="381" t="str">
        <f>IF(A889="","",VLOOKUP(A889,VII.A!$A$10:$B$199,2,FALSE))</f>
        <v/>
      </c>
      <c r="N889" s="342" t="str">
        <f t="shared" si="235"/>
        <v/>
      </c>
      <c r="O889" s="342"/>
      <c r="R889" s="341"/>
      <c r="S889" s="341"/>
    </row>
    <row r="890" spans="1:21" ht="12.75" customHeight="1">
      <c r="A890" s="385"/>
      <c r="B890" s="386"/>
      <c r="C890" s="20"/>
      <c r="D890" s="392"/>
      <c r="E890" s="387"/>
      <c r="F890" s="388">
        <f t="shared" si="236"/>
        <v>0</v>
      </c>
      <c r="H890" s="341" t="str">
        <f>IF(A890="","",VLOOKUP(A890,VII.A!$A$10:$D$199,4,FALSE))</f>
        <v/>
      </c>
      <c r="I890" s="341" t="str">
        <f t="shared" si="233"/>
        <v/>
      </c>
      <c r="J890" s="341" t="str">
        <f>IF(A890="","",VLOOKUP(A890,VII.A!$A$10:$D$199,3,FALSE))</f>
        <v/>
      </c>
      <c r="K890" s="342" t="str">
        <f t="shared" si="234"/>
        <v/>
      </c>
      <c r="L890" s="380" t="str">
        <f>IF(C890="","",G875*C890)</f>
        <v/>
      </c>
      <c r="M890" s="381" t="str">
        <f>IF(A890="","",VLOOKUP(A890,VII.A!$A$10:$B$199,2,FALSE))</f>
        <v/>
      </c>
      <c r="N890" s="342" t="str">
        <f t="shared" si="235"/>
        <v/>
      </c>
      <c r="R890" s="341"/>
      <c r="S890" s="341"/>
    </row>
    <row r="891" spans="1:21" ht="12.75" customHeight="1">
      <c r="A891" s="393"/>
      <c r="C891" s="20"/>
      <c r="E891" s="387"/>
      <c r="F891" s="388">
        <f t="shared" si="236"/>
        <v>0</v>
      </c>
      <c r="H891" s="341" t="str">
        <f>IF(A891="","",VLOOKUP(A891,VII.A!$A$10:$D$199,4,FALSE))</f>
        <v/>
      </c>
      <c r="I891" s="341" t="str">
        <f t="shared" si="233"/>
        <v/>
      </c>
      <c r="J891" s="341" t="str">
        <f>IF(A891="","",VLOOKUP(A891,VII.A!$A$10:$D$199,3,FALSE))</f>
        <v/>
      </c>
      <c r="K891" s="342" t="str">
        <f t="shared" si="234"/>
        <v/>
      </c>
      <c r="L891" s="380" t="str">
        <f>IF(C891="","",G875*C891)</f>
        <v/>
      </c>
      <c r="M891" s="381" t="str">
        <f>IF(A891="","",VLOOKUP(A891,VII.A!$A$10:$B$199,2,FALSE))</f>
        <v/>
      </c>
      <c r="N891" s="342" t="str">
        <f t="shared" si="235"/>
        <v/>
      </c>
      <c r="R891" s="341"/>
      <c r="S891" s="341"/>
    </row>
    <row r="892" spans="1:21" ht="12.75" customHeight="1">
      <c r="A892" s="393"/>
      <c r="C892" s="20"/>
      <c r="E892" s="387"/>
      <c r="F892" s="388">
        <f t="shared" si="236"/>
        <v>0</v>
      </c>
      <c r="H892" s="341" t="str">
        <f>IF(A892="","",VLOOKUP(A892,VII.A!$A$10:$D$199,4,FALSE))</f>
        <v/>
      </c>
      <c r="I892" s="341" t="str">
        <f t="shared" si="233"/>
        <v/>
      </c>
      <c r="J892" s="341" t="str">
        <f>IF(A892="","",VLOOKUP(A892,VII.A!$A$10:$D$199,3,FALSE))</f>
        <v/>
      </c>
      <c r="K892" s="342" t="str">
        <f t="shared" si="234"/>
        <v/>
      </c>
      <c r="L892" s="380" t="str">
        <f>IF(C892="","",G875*C892)</f>
        <v/>
      </c>
      <c r="M892" s="381" t="str">
        <f>IF(A892="","",VLOOKUP(A892,VII.A!$A$10:$B$199,2,FALSE))</f>
        <v/>
      </c>
      <c r="N892" s="342" t="str">
        <f t="shared" si="235"/>
        <v/>
      </c>
      <c r="R892" s="341"/>
      <c r="S892" s="341"/>
    </row>
    <row r="893" spans="1:21" ht="12.75" customHeight="1">
      <c r="A893" s="393"/>
      <c r="B893" s="395" t="s">
        <v>226</v>
      </c>
      <c r="C893" s="396"/>
      <c r="D893" s="397"/>
      <c r="E893" s="398"/>
      <c r="F893" s="399">
        <f>SUM(F877:F892)</f>
        <v>0</v>
      </c>
      <c r="H893" s="426" t="s">
        <v>550</v>
      </c>
      <c r="J893" s="341"/>
      <c r="L893" s="380"/>
      <c r="M893" s="381"/>
      <c r="N893" s="342"/>
      <c r="R893" s="341"/>
      <c r="S893" s="341"/>
    </row>
    <row r="894" spans="1:21" ht="12.75" customHeight="1">
      <c r="A894" s="393"/>
      <c r="B894" s="400" t="s">
        <v>53</v>
      </c>
      <c r="C894" s="2">
        <f>$D$8</f>
        <v>0</v>
      </c>
      <c r="D894" s="401"/>
      <c r="E894" s="402"/>
      <c r="F894" s="403">
        <f>ROUND(F893*C894,2)</f>
        <v>0</v>
      </c>
      <c r="J894" s="341"/>
      <c r="L894" s="380"/>
      <c r="M894" s="381"/>
      <c r="N894" s="342"/>
      <c r="R894" s="341"/>
      <c r="S894" s="341"/>
    </row>
    <row r="895" spans="1:21" ht="12.75" customHeight="1">
      <c r="A895" s="404"/>
      <c r="B895" s="405" t="s">
        <v>227</v>
      </c>
      <c r="C895" s="406"/>
      <c r="D895" s="406"/>
      <c r="E895" s="407"/>
      <c r="F895" s="408">
        <f>F893+F894</f>
        <v>0</v>
      </c>
      <c r="J895" s="341"/>
      <c r="L895" s="380"/>
      <c r="M895" s="381"/>
      <c r="N895" s="342"/>
      <c r="R895" s="341"/>
      <c r="S895" s="341"/>
    </row>
    <row r="896" spans="1:21" ht="12.75" customHeight="1">
      <c r="A896" s="374" t="s">
        <v>2</v>
      </c>
      <c r="B896" s="375" t="s">
        <v>235</v>
      </c>
      <c r="C896" s="376" t="s">
        <v>231</v>
      </c>
      <c r="D896" s="376" t="s">
        <v>232</v>
      </c>
      <c r="E896" s="377" t="s">
        <v>233</v>
      </c>
      <c r="F896" s="378" t="s">
        <v>234</v>
      </c>
      <c r="J896" s="341"/>
      <c r="L896" s="380"/>
      <c r="M896" s="381"/>
      <c r="N896" s="342"/>
      <c r="R896" s="341"/>
      <c r="S896" s="341"/>
    </row>
    <row r="897" spans="1:19" ht="12.75" customHeight="1">
      <c r="A897" s="393"/>
      <c r="C897" s="20"/>
      <c r="E897" s="387"/>
      <c r="F897" s="388">
        <f t="shared" ref="F897:F906" si="237">ROUND(C897*E897,2)</f>
        <v>0</v>
      </c>
      <c r="H897" s="341" t="str">
        <f>IF(A897="","",VLOOKUP(A897,VII.A!$A$10:$D$199,4,FALSE))</f>
        <v/>
      </c>
      <c r="I897" s="341" t="str">
        <f t="shared" ref="I897:I906" si="238">IF(A897="","",IF(E897=H897,"SIM","NÃO"))</f>
        <v/>
      </c>
      <c r="J897" s="341" t="str">
        <f>IF(A897="","",VLOOKUP(A897,VII.A!$A$10:$D$199,3,FALSE))</f>
        <v/>
      </c>
      <c r="K897" s="342" t="str">
        <f t="shared" ref="K897:K906" si="239">IF(A897="","",IF(J897=D897,"SIM","NÃO"))</f>
        <v/>
      </c>
      <c r="L897" s="380" t="str">
        <f>IF(C897="","",G875*C897)</f>
        <v/>
      </c>
      <c r="M897" s="381" t="str">
        <f>IF(A897="","",VLOOKUP(A897,VII.A!$A$10:$B$199,2,FALSE))</f>
        <v/>
      </c>
      <c r="N897" s="342" t="str">
        <f t="shared" ref="N897:N906" si="240">IF(B897="","",IF(M897=B897,"si","no"))</f>
        <v/>
      </c>
      <c r="R897" s="341"/>
      <c r="S897" s="341"/>
    </row>
    <row r="898" spans="1:19" ht="12.75" customHeight="1">
      <c r="A898" s="393"/>
      <c r="C898" s="20"/>
      <c r="E898" s="387"/>
      <c r="F898" s="388">
        <f t="shared" si="237"/>
        <v>0</v>
      </c>
      <c r="H898" s="341" t="str">
        <f>IF(A898="","",VLOOKUP(A898,VII.A!$A$10:$D$199,4,FALSE))</f>
        <v/>
      </c>
      <c r="I898" s="341" t="str">
        <f t="shared" si="238"/>
        <v/>
      </c>
      <c r="J898" s="341" t="str">
        <f>IF(A898="","",VLOOKUP(A898,VII.A!$A$10:$D$199,3,FALSE))</f>
        <v/>
      </c>
      <c r="K898" s="342" t="str">
        <f t="shared" si="239"/>
        <v/>
      </c>
      <c r="L898" s="380" t="str">
        <f>IF(C898="","",G875*C898)</f>
        <v/>
      </c>
      <c r="M898" s="381" t="str">
        <f>IF(A898="","",VLOOKUP(A898,VII.A!$A$10:$B$199,2,FALSE))</f>
        <v/>
      </c>
      <c r="N898" s="342" t="str">
        <f t="shared" si="240"/>
        <v/>
      </c>
      <c r="R898" s="341"/>
      <c r="S898" s="341"/>
    </row>
    <row r="899" spans="1:19" ht="12.75" customHeight="1">
      <c r="A899" s="393"/>
      <c r="C899" s="20"/>
      <c r="E899" s="387"/>
      <c r="F899" s="388">
        <f t="shared" si="237"/>
        <v>0</v>
      </c>
      <c r="H899" s="341" t="str">
        <f>IF(A899="","",VLOOKUP(A899,VII.A!$A$10:$D$199,4,FALSE))</f>
        <v/>
      </c>
      <c r="I899" s="341" t="str">
        <f t="shared" si="238"/>
        <v/>
      </c>
      <c r="J899" s="341" t="str">
        <f>IF(A899="","",VLOOKUP(A899,VII.A!$A$10:$D$199,3,FALSE))</f>
        <v/>
      </c>
      <c r="K899" s="342" t="str">
        <f t="shared" si="239"/>
        <v/>
      </c>
      <c r="L899" s="380" t="str">
        <f>IF(C899="","",G875*C899)</f>
        <v/>
      </c>
      <c r="M899" s="381" t="str">
        <f>IF(A899="","",VLOOKUP(A899,VII.A!$A$10:$B$199,2,FALSE))</f>
        <v/>
      </c>
      <c r="N899" s="342" t="str">
        <f t="shared" si="240"/>
        <v/>
      </c>
      <c r="R899" s="341"/>
      <c r="S899" s="341"/>
    </row>
    <row r="900" spans="1:19" ht="12.75" customHeight="1">
      <c r="A900" s="393"/>
      <c r="C900" s="20"/>
      <c r="E900" s="387"/>
      <c r="F900" s="388">
        <f t="shared" si="237"/>
        <v>0</v>
      </c>
      <c r="H900" s="341" t="str">
        <f>IF(A900="","",VLOOKUP(A900,VII.A!$A$10:$D$199,4,FALSE))</f>
        <v/>
      </c>
      <c r="I900" s="341" t="str">
        <f t="shared" si="238"/>
        <v/>
      </c>
      <c r="J900" s="341" t="str">
        <f>IF(A900="","",VLOOKUP(A900,VII.A!$A$10:$D$199,3,FALSE))</f>
        <v/>
      </c>
      <c r="K900" s="342" t="str">
        <f t="shared" si="239"/>
        <v/>
      </c>
      <c r="L900" s="380" t="str">
        <f>IF(C900="","",G875*C900)</f>
        <v/>
      </c>
      <c r="M900" s="381" t="str">
        <f>IF(A900="","",VLOOKUP(A900,VII.A!$A$10:$B$199,2,FALSE))</f>
        <v/>
      </c>
      <c r="N900" s="342" t="str">
        <f t="shared" si="240"/>
        <v/>
      </c>
      <c r="R900" s="341"/>
      <c r="S900" s="341"/>
    </row>
    <row r="901" spans="1:19" ht="12.75" customHeight="1">
      <c r="A901" s="393"/>
      <c r="C901" s="20"/>
      <c r="E901" s="387"/>
      <c r="F901" s="388">
        <f t="shared" si="237"/>
        <v>0</v>
      </c>
      <c r="G901" s="390"/>
      <c r="H901" s="341" t="str">
        <f>IF(A901="","",VLOOKUP(A901,VII.A!$A$10:$D$199,4,FALSE))</f>
        <v/>
      </c>
      <c r="I901" s="341" t="str">
        <f t="shared" si="238"/>
        <v/>
      </c>
      <c r="J901" s="341" t="str">
        <f>IF(A901="","",VLOOKUP(A901,VII.A!$A$10:$D$199,3,FALSE))</f>
        <v/>
      </c>
      <c r="K901" s="342" t="str">
        <f t="shared" si="239"/>
        <v/>
      </c>
      <c r="L901" s="380" t="str">
        <f>IF(C901="","",G875*C901)</f>
        <v/>
      </c>
      <c r="M901" s="381" t="str">
        <f>IF(A901="","",VLOOKUP(A901,VII.A!$A$10:$B$199,2,FALSE))</f>
        <v/>
      </c>
      <c r="N901" s="342" t="str">
        <f t="shared" si="240"/>
        <v/>
      </c>
      <c r="R901" s="341"/>
      <c r="S901" s="341"/>
    </row>
    <row r="902" spans="1:19" ht="12.75" customHeight="1">
      <c r="A902" s="393"/>
      <c r="C902" s="20"/>
      <c r="E902" s="387"/>
      <c r="F902" s="388">
        <f t="shared" si="237"/>
        <v>0</v>
      </c>
      <c r="G902" s="391"/>
      <c r="H902" s="341" t="str">
        <f>IF(A902="","",VLOOKUP(A902,VII.A!$A$10:$D$199,4,FALSE))</f>
        <v/>
      </c>
      <c r="I902" s="341" t="str">
        <f t="shared" si="238"/>
        <v/>
      </c>
      <c r="J902" s="341" t="str">
        <f>IF(A902="","",VLOOKUP(A902,VII.A!$A$10:$D$199,3,FALSE))</f>
        <v/>
      </c>
      <c r="K902" s="342" t="str">
        <f t="shared" si="239"/>
        <v/>
      </c>
      <c r="L902" s="380" t="str">
        <f>IF(C902="","",G875*C902)</f>
        <v/>
      </c>
      <c r="M902" s="381" t="str">
        <f>IF(A902="","",VLOOKUP(A902,VII.A!$A$10:$B$199,2,FALSE))</f>
        <v/>
      </c>
      <c r="N902" s="342" t="str">
        <f t="shared" si="240"/>
        <v/>
      </c>
      <c r="R902" s="341"/>
      <c r="S902" s="341"/>
    </row>
    <row r="903" spans="1:19" ht="12.75" customHeight="1">
      <c r="A903" s="393"/>
      <c r="C903" s="20"/>
      <c r="E903" s="387"/>
      <c r="F903" s="388">
        <f t="shared" si="237"/>
        <v>0</v>
      </c>
      <c r="H903" s="341" t="str">
        <f>IF(A903="","",VLOOKUP(A903,VII.A!$A$10:$D$199,4,FALSE))</f>
        <v/>
      </c>
      <c r="I903" s="341" t="str">
        <f t="shared" si="238"/>
        <v/>
      </c>
      <c r="J903" s="341" t="str">
        <f>IF(A903="","",VLOOKUP(A903,VII.A!$A$10:$D$199,3,FALSE))</f>
        <v/>
      </c>
      <c r="K903" s="342" t="str">
        <f t="shared" si="239"/>
        <v/>
      </c>
      <c r="L903" s="380" t="str">
        <f>IF(C903="","",G875*C903)</f>
        <v/>
      </c>
      <c r="M903" s="381" t="str">
        <f>IF(A903="","",VLOOKUP(A903,VII.A!$A$10:$B$199,2,FALSE))</f>
        <v/>
      </c>
      <c r="N903" s="342" t="str">
        <f t="shared" si="240"/>
        <v/>
      </c>
      <c r="R903" s="341"/>
      <c r="S903" s="341"/>
    </row>
    <row r="904" spans="1:19" ht="12.75" customHeight="1">
      <c r="A904" s="393"/>
      <c r="C904" s="20"/>
      <c r="E904" s="387"/>
      <c r="F904" s="388">
        <f t="shared" si="237"/>
        <v>0</v>
      </c>
      <c r="H904" s="341" t="str">
        <f>IF(A904="","",VLOOKUP(A904,VII.A!$A$10:$D$199,4,FALSE))</f>
        <v/>
      </c>
      <c r="I904" s="341" t="str">
        <f t="shared" si="238"/>
        <v/>
      </c>
      <c r="J904" s="341" t="str">
        <f>IF(A904="","",VLOOKUP(A904,VII.A!$A$10:$D$199,3,FALSE))</f>
        <v/>
      </c>
      <c r="K904" s="342" t="str">
        <f t="shared" si="239"/>
        <v/>
      </c>
      <c r="L904" s="380" t="str">
        <f>IF(C904="","",G875*C904)</f>
        <v/>
      </c>
      <c r="M904" s="381" t="str">
        <f>IF(A904="","",VLOOKUP(A904,VII.A!$A$10:$B$199,2,FALSE))</f>
        <v/>
      </c>
      <c r="N904" s="342" t="str">
        <f t="shared" si="240"/>
        <v/>
      </c>
      <c r="R904" s="341"/>
      <c r="S904" s="341"/>
    </row>
    <row r="905" spans="1:19" ht="12.75" customHeight="1">
      <c r="A905" s="393"/>
      <c r="C905" s="20"/>
      <c r="E905" s="387"/>
      <c r="F905" s="388">
        <f t="shared" si="237"/>
        <v>0</v>
      </c>
      <c r="H905" s="341" t="str">
        <f>IF(A905="","",VLOOKUP(A905,VII.A!$A$10:$D$199,4,FALSE))</f>
        <v/>
      </c>
      <c r="I905" s="341" t="str">
        <f t="shared" si="238"/>
        <v/>
      </c>
      <c r="J905" s="341" t="str">
        <f>IF(A905="","",VLOOKUP(A905,VII.A!$A$10:$D$199,3,FALSE))</f>
        <v/>
      </c>
      <c r="K905" s="342" t="str">
        <f t="shared" si="239"/>
        <v/>
      </c>
      <c r="L905" s="380" t="str">
        <f>IF(C905="","",G875*C905)</f>
        <v/>
      </c>
      <c r="M905" s="381" t="str">
        <f>IF(A905="","",VLOOKUP(A905,VII.A!$A$10:$B$199,2,FALSE))</f>
        <v/>
      </c>
      <c r="N905" s="342" t="str">
        <f t="shared" si="240"/>
        <v/>
      </c>
      <c r="R905" s="341"/>
      <c r="S905" s="341"/>
    </row>
    <row r="906" spans="1:19" ht="12.75" customHeight="1">
      <c r="A906" s="393"/>
      <c r="C906" s="20"/>
      <c r="E906" s="387"/>
      <c r="F906" s="388">
        <f t="shared" si="237"/>
        <v>0</v>
      </c>
      <c r="H906" s="341" t="str">
        <f>IF(A906="","",VLOOKUP(A906,VII.A!$A$10:$D$199,4,FALSE))</f>
        <v/>
      </c>
      <c r="I906" s="341" t="str">
        <f t="shared" si="238"/>
        <v/>
      </c>
      <c r="J906" s="341" t="str">
        <f>IF(A906="","",VLOOKUP(A906,VII.A!$A$10:$D$199,3,FALSE))</f>
        <v/>
      </c>
      <c r="K906" s="342" t="str">
        <f t="shared" si="239"/>
        <v/>
      </c>
      <c r="L906" s="380" t="str">
        <f>IF(C906="","",G875*C906)</f>
        <v/>
      </c>
      <c r="M906" s="381" t="str">
        <f>IF(A906="","",VLOOKUP(A906,VII.A!$A$10:$B$199,2,FALSE))</f>
        <v/>
      </c>
      <c r="N906" s="342" t="str">
        <f t="shared" si="240"/>
        <v/>
      </c>
      <c r="R906" s="341"/>
      <c r="S906" s="341"/>
    </row>
    <row r="907" spans="1:19" ht="12.75" customHeight="1">
      <c r="A907" s="393"/>
      <c r="B907" s="395" t="s">
        <v>226</v>
      </c>
      <c r="C907" s="396"/>
      <c r="D907" s="397"/>
      <c r="E907" s="398"/>
      <c r="F907" s="399">
        <f>SUM(F897:F906)</f>
        <v>0</v>
      </c>
      <c r="J907" s="341"/>
      <c r="L907" s="380"/>
      <c r="M907" s="381"/>
      <c r="N907" s="342"/>
      <c r="R907" s="341"/>
      <c r="S907" s="341"/>
    </row>
    <row r="908" spans="1:19" ht="12.75" customHeight="1">
      <c r="A908" s="393"/>
      <c r="B908" s="400" t="s">
        <v>53</v>
      </c>
      <c r="C908" s="2">
        <f>$D$8</f>
        <v>0</v>
      </c>
      <c r="D908" s="401"/>
      <c r="E908" s="402"/>
      <c r="F908" s="403">
        <f>ROUND(C908*F907,2)</f>
        <v>0</v>
      </c>
      <c r="J908" s="341"/>
      <c r="L908" s="380"/>
      <c r="M908" s="381"/>
      <c r="N908" s="342"/>
      <c r="R908" s="341"/>
      <c r="S908" s="341"/>
    </row>
    <row r="909" spans="1:19" ht="12.75" customHeight="1">
      <c r="A909" s="404"/>
      <c r="B909" s="405" t="s">
        <v>228</v>
      </c>
      <c r="C909" s="406"/>
      <c r="D909" s="406"/>
      <c r="E909" s="407"/>
      <c r="F909" s="408">
        <f>F907+F908</f>
        <v>0</v>
      </c>
      <c r="J909" s="341"/>
      <c r="L909" s="380"/>
      <c r="M909" s="381"/>
      <c r="N909" s="342"/>
      <c r="R909" s="341"/>
      <c r="S909" s="341"/>
    </row>
    <row r="910" spans="1:19" ht="12.75" customHeight="1">
      <c r="A910" s="409" t="s">
        <v>47</v>
      </c>
      <c r="B910" s="410" t="s">
        <v>236</v>
      </c>
      <c r="C910" s="411" t="s">
        <v>231</v>
      </c>
      <c r="D910" s="412" t="s">
        <v>232</v>
      </c>
      <c r="E910" s="413" t="s">
        <v>233</v>
      </c>
      <c r="F910" s="378" t="s">
        <v>234</v>
      </c>
      <c r="J910" s="341"/>
      <c r="L910" s="380"/>
      <c r="M910" s="381"/>
      <c r="N910" s="342"/>
      <c r="R910" s="341"/>
      <c r="S910" s="341"/>
    </row>
    <row r="911" spans="1:19" ht="12.75" customHeight="1">
      <c r="A911" s="393" t="str">
        <f>VII.A!$A$186</f>
        <v>3.6</v>
      </c>
      <c r="B911" s="394" t="str">
        <f>VII.A!$B$186</f>
        <v>CARPINTEIRO COM ENCARGOS COMPLEMENTARES</v>
      </c>
      <c r="C911" s="20">
        <v>0.6</v>
      </c>
      <c r="D911" s="384" t="str">
        <f>VII.A!$C$186</f>
        <v>H</v>
      </c>
      <c r="E911" s="387">
        <f>VII.A!$D$186</f>
        <v>0</v>
      </c>
      <c r="F911" s="388">
        <f t="shared" ref="F911:F917" si="241">ROUND(C911*E911,2)</f>
        <v>0</v>
      </c>
      <c r="H911" s="341">
        <f>IF(A911="","",VLOOKUP(A911,VII.A!$A$10:$D$199,4,FALSE))</f>
        <v>0</v>
      </c>
      <c r="I911" s="341" t="str">
        <f t="shared" ref="I911:I917" si="242">IF(A911="","",IF(E911=H911,"SIM","NÃO"))</f>
        <v>SIM</v>
      </c>
      <c r="J911" s="341" t="str">
        <f>IF(A911="","",VLOOKUP(A911,VII.A!$A$10:$D$199,3,FALSE))</f>
        <v>H</v>
      </c>
      <c r="K911" s="342" t="str">
        <f t="shared" ref="K911:K917" si="243">IF(A911="","",IF(J911=D911,"SIM","NÃO"))</f>
        <v>SIM</v>
      </c>
      <c r="L911" s="380">
        <f>IF(C911="","",G875*C911)</f>
        <v>3</v>
      </c>
      <c r="M911" s="381" t="str">
        <f>IF(A911="","",VLOOKUP(A911,VII.A!$A$10:$B$199,2,FALSE))</f>
        <v>CARPINTEIRO COM ENCARGOS COMPLEMENTARES</v>
      </c>
      <c r="N911" s="342" t="str">
        <f t="shared" ref="N911:N917" si="244">IF(B911="","",IF(M911=B911,"si","no"))</f>
        <v>si</v>
      </c>
      <c r="R911" s="341"/>
      <c r="S911" s="341"/>
    </row>
    <row r="912" spans="1:19" ht="12.75" customHeight="1">
      <c r="A912" s="393" t="str">
        <f>VII.A!$A$196</f>
        <v>3.16</v>
      </c>
      <c r="B912" s="394" t="str">
        <f>VII.A!$B$196</f>
        <v>SERVENTE COM ENCARGOS COMPLEMENTARES</v>
      </c>
      <c r="C912" s="20">
        <v>0.6</v>
      </c>
      <c r="D912" s="384" t="str">
        <f>VII.A!$C$196</f>
        <v>H</v>
      </c>
      <c r="E912" s="387">
        <f>VII.A!$D$196</f>
        <v>0</v>
      </c>
      <c r="F912" s="388">
        <f t="shared" si="241"/>
        <v>0</v>
      </c>
      <c r="H912" s="341">
        <f>IF(A912="","",VLOOKUP(A912,VII.A!$A$10:$D$199,4,FALSE))</f>
        <v>0</v>
      </c>
      <c r="I912" s="341" t="str">
        <f t="shared" si="242"/>
        <v>SIM</v>
      </c>
      <c r="J912" s="341" t="str">
        <f>IF(A912="","",VLOOKUP(A912,VII.A!$A$10:$D$199,3,FALSE))</f>
        <v>H</v>
      </c>
      <c r="K912" s="342" t="str">
        <f t="shared" si="243"/>
        <v>SIM</v>
      </c>
      <c r="L912" s="380">
        <f>IF(C912="","",G875*C912)</f>
        <v>3</v>
      </c>
      <c r="M912" s="381" t="str">
        <f>IF(A912="","",VLOOKUP(A912,VII.A!$A$10:$B$199,2,FALSE))</f>
        <v>SERVENTE COM ENCARGOS COMPLEMENTARES</v>
      </c>
      <c r="N912" s="342" t="str">
        <f t="shared" si="244"/>
        <v>si</v>
      </c>
      <c r="R912" s="341"/>
      <c r="S912" s="341"/>
    </row>
    <row r="913" spans="1:25" ht="12.75" customHeight="1">
      <c r="A913" s="393"/>
      <c r="C913" s="20"/>
      <c r="E913" s="387"/>
      <c r="F913" s="388">
        <f t="shared" si="241"/>
        <v>0</v>
      </c>
      <c r="H913" s="341" t="str">
        <f>IF(A913="","",VLOOKUP(A913,VII.A!$A$10:$D$199,4,FALSE))</f>
        <v/>
      </c>
      <c r="I913" s="341" t="str">
        <f t="shared" si="242"/>
        <v/>
      </c>
      <c r="J913" s="341" t="str">
        <f>IF(A913="","",VLOOKUP(A913,VII.A!$A$10:$D$199,3,FALSE))</f>
        <v/>
      </c>
      <c r="K913" s="342" t="str">
        <f t="shared" si="243"/>
        <v/>
      </c>
      <c r="L913" s="380" t="str">
        <f>IF(C913="","",G875*C913)</f>
        <v/>
      </c>
      <c r="M913" s="381" t="str">
        <f>IF(A913="","",VLOOKUP(A913,VII.A!$A$10:$B$199,2,FALSE))</f>
        <v/>
      </c>
      <c r="N913" s="342" t="str">
        <f t="shared" si="244"/>
        <v/>
      </c>
      <c r="R913" s="341"/>
      <c r="S913" s="341"/>
    </row>
    <row r="914" spans="1:25" ht="12.75" customHeight="1">
      <c r="A914" s="393"/>
      <c r="C914" s="20"/>
      <c r="E914" s="387"/>
      <c r="F914" s="388">
        <f t="shared" si="241"/>
        <v>0</v>
      </c>
      <c r="H914" s="341" t="str">
        <f>IF(A914="","",VLOOKUP(A914,VII.A!$A$10:$D$199,4,FALSE))</f>
        <v/>
      </c>
      <c r="I914" s="341" t="str">
        <f t="shared" si="242"/>
        <v/>
      </c>
      <c r="J914" s="341" t="str">
        <f>IF(A914="","",VLOOKUP(A914,VII.A!$A$10:$D$199,3,FALSE))</f>
        <v/>
      </c>
      <c r="K914" s="342" t="str">
        <f t="shared" si="243"/>
        <v/>
      </c>
      <c r="L914" s="380" t="str">
        <f>IF(C914="","",G875*C914)</f>
        <v/>
      </c>
      <c r="M914" s="381" t="str">
        <f>IF(A914="","",VLOOKUP(A914,VII.A!$A$10:$B$199,2,FALSE))</f>
        <v/>
      </c>
      <c r="N914" s="342" t="str">
        <f t="shared" si="244"/>
        <v/>
      </c>
      <c r="R914" s="341"/>
      <c r="S914" s="341"/>
    </row>
    <row r="915" spans="1:25" ht="12.75" customHeight="1">
      <c r="A915" s="393"/>
      <c r="C915" s="20"/>
      <c r="E915" s="387"/>
      <c r="F915" s="388">
        <f t="shared" si="241"/>
        <v>0</v>
      </c>
      <c r="H915" s="341" t="str">
        <f>IF(A915="","",VLOOKUP(A915,VII.A!$A$10:$D$199,4,FALSE))</f>
        <v/>
      </c>
      <c r="I915" s="341" t="str">
        <f t="shared" si="242"/>
        <v/>
      </c>
      <c r="J915" s="341" t="str">
        <f>IF(A915="","",VLOOKUP(A915,VII.A!$A$10:$D$199,3,FALSE))</f>
        <v/>
      </c>
      <c r="K915" s="342" t="str">
        <f t="shared" si="243"/>
        <v/>
      </c>
      <c r="L915" s="380" t="str">
        <f>IF(C915="","",G875*C915)</f>
        <v/>
      </c>
      <c r="M915" s="381" t="str">
        <f>IF(A915="","",VLOOKUP(A915,VII.A!$A$10:$B$199,2,FALSE))</f>
        <v/>
      </c>
      <c r="N915" s="342" t="str">
        <f t="shared" si="244"/>
        <v/>
      </c>
      <c r="R915" s="341"/>
      <c r="S915" s="341"/>
    </row>
    <row r="916" spans="1:25" ht="12.75" customHeight="1">
      <c r="A916" s="393"/>
      <c r="C916" s="20"/>
      <c r="E916" s="387"/>
      <c r="F916" s="388">
        <f t="shared" si="241"/>
        <v>0</v>
      </c>
      <c r="H916" s="341" t="str">
        <f>IF(A916="","",VLOOKUP(A916,VII.A!$A$10:$D$199,4,FALSE))</f>
        <v/>
      </c>
      <c r="I916" s="341" t="str">
        <f t="shared" si="242"/>
        <v/>
      </c>
      <c r="J916" s="341" t="str">
        <f>IF(A916="","",VLOOKUP(A916,VII.A!$A$10:$D$199,3,FALSE))</f>
        <v/>
      </c>
      <c r="K916" s="342" t="str">
        <f t="shared" si="243"/>
        <v/>
      </c>
      <c r="L916" s="380" t="str">
        <f>IF(C916="","",G875*C916)</f>
        <v/>
      </c>
      <c r="M916" s="381" t="str">
        <f>IF(A916="","",VLOOKUP(A916,VII.A!$A$10:$B$199,2,FALSE))</f>
        <v/>
      </c>
      <c r="N916" s="342" t="str">
        <f t="shared" si="244"/>
        <v/>
      </c>
      <c r="R916" s="341"/>
      <c r="S916" s="341"/>
    </row>
    <row r="917" spans="1:25" ht="12.75" customHeight="1">
      <c r="A917" s="393"/>
      <c r="C917" s="20"/>
      <c r="E917" s="387"/>
      <c r="F917" s="388">
        <f t="shared" si="241"/>
        <v>0</v>
      </c>
      <c r="H917" s="341" t="str">
        <f>IF(A917="","",VLOOKUP(A917,VII.A!$A$10:$D$199,4,FALSE))</f>
        <v/>
      </c>
      <c r="I917" s="341" t="str">
        <f t="shared" si="242"/>
        <v/>
      </c>
      <c r="J917" s="341" t="str">
        <f>IF(A917="","",VLOOKUP(A917,VII.A!$A$10:$D$199,3,FALSE))</f>
        <v/>
      </c>
      <c r="K917" s="342" t="str">
        <f t="shared" si="243"/>
        <v/>
      </c>
      <c r="L917" s="380" t="str">
        <f>IF(C917="","",G875*C917)</f>
        <v/>
      </c>
      <c r="M917" s="381" t="str">
        <f>IF(A917="","",VLOOKUP(A917,VII.A!$A$10:$B$199,2,FALSE))</f>
        <v/>
      </c>
      <c r="N917" s="342" t="str">
        <f t="shared" si="244"/>
        <v/>
      </c>
      <c r="R917" s="341"/>
      <c r="S917" s="341"/>
    </row>
    <row r="918" spans="1:25" ht="12.75" customHeight="1">
      <c r="A918" s="393"/>
      <c r="B918" s="395" t="s">
        <v>226</v>
      </c>
      <c r="C918" s="396"/>
      <c r="D918" s="397"/>
      <c r="E918" s="398"/>
      <c r="F918" s="399">
        <f>SUM(F911:F917)</f>
        <v>0</v>
      </c>
      <c r="J918" s="341"/>
      <c r="L918" s="380"/>
      <c r="M918" s="381"/>
      <c r="N918" s="342"/>
      <c r="R918" s="341"/>
      <c r="S918" s="341"/>
    </row>
    <row r="919" spans="1:25" ht="12.75" customHeight="1">
      <c r="A919" s="393"/>
      <c r="B919" s="400" t="s">
        <v>229</v>
      </c>
      <c r="C919" s="2">
        <f>IX.A!$C$45</f>
        <v>0</v>
      </c>
      <c r="D919" s="401"/>
      <c r="E919" s="402"/>
      <c r="F919" s="403">
        <f>ROUND(F918*C919,2)</f>
        <v>0</v>
      </c>
      <c r="J919" s="341"/>
      <c r="L919" s="380"/>
      <c r="M919" s="381"/>
      <c r="N919" s="342"/>
      <c r="R919" s="341"/>
      <c r="S919" s="341"/>
    </row>
    <row r="920" spans="1:25" ht="12.75" customHeight="1">
      <c r="A920" s="393"/>
      <c r="B920" s="400" t="s">
        <v>53</v>
      </c>
      <c r="C920" s="2">
        <f>$D$8</f>
        <v>0</v>
      </c>
      <c r="D920" s="401"/>
      <c r="E920" s="402"/>
      <c r="F920" s="403">
        <f>ROUND(SUM(F918:F919)*C920,2)</f>
        <v>0</v>
      </c>
      <c r="J920" s="341"/>
      <c r="L920" s="380"/>
      <c r="M920" s="381"/>
      <c r="N920" s="342"/>
      <c r="R920" s="341"/>
      <c r="S920" s="341"/>
    </row>
    <row r="921" spans="1:25" ht="12.75" customHeight="1" thickBot="1">
      <c r="A921" s="414"/>
      <c r="B921" s="415" t="s">
        <v>230</v>
      </c>
      <c r="C921" s="416"/>
      <c r="D921" s="416"/>
      <c r="E921" s="417"/>
      <c r="F921" s="418">
        <f>SUM(F918:F920)</f>
        <v>0</v>
      </c>
      <c r="J921" s="341"/>
      <c r="L921" s="380"/>
      <c r="M921" s="381"/>
      <c r="N921" s="342"/>
      <c r="R921" s="341"/>
      <c r="S921" s="341"/>
    </row>
    <row r="922" spans="1:25" ht="12.75" customHeight="1" thickBot="1">
      <c r="A922" s="357"/>
      <c r="B922" s="358"/>
      <c r="C922" s="359"/>
      <c r="D922" s="359"/>
      <c r="E922" s="360"/>
      <c r="F922" s="419"/>
      <c r="J922" s="341"/>
      <c r="L922" s="380"/>
      <c r="M922" s="381"/>
      <c r="N922" s="342"/>
      <c r="R922" s="341"/>
      <c r="S922" s="341"/>
    </row>
    <row r="923" spans="1:25" ht="30" customHeight="1">
      <c r="A923" s="370" t="str">
        <f>IV.A!A41</f>
        <v>2.3.4</v>
      </c>
      <c r="B923" s="371" t="str">
        <f>IV.A!B41</f>
        <v>SINALIZAÇÃO DE TRÂNSITO COM CAVALETE DE MADEIRA SIMPLES</v>
      </c>
      <c r="C923" s="871" t="s">
        <v>237</v>
      </c>
      <c r="D923" s="872"/>
      <c r="E923" s="372" t="str">
        <f>IV.A!C41</f>
        <v>UN</v>
      </c>
      <c r="F923" s="11">
        <f>ROUND(F943+F957+F969,2)</f>
        <v>0</v>
      </c>
      <c r="G923" s="1">
        <f>VLOOKUP(A923,IV.A!$A$16:$L$172,4,FALSE)</f>
        <v>10</v>
      </c>
      <c r="H923" s="361">
        <f>SUM(F925:F940)+F942</f>
        <v>0</v>
      </c>
      <c r="I923" s="361">
        <f>SUM(F945:F954)+F956</f>
        <v>0</v>
      </c>
      <c r="J923" s="361">
        <f>SUM(F959:F965)+F967+F968</f>
        <v>0</v>
      </c>
      <c r="K923" s="361">
        <f>SUM(H923:J923)</f>
        <v>0</v>
      </c>
      <c r="L923" s="362" t="str">
        <f>IF(K923=F923,"SIM","NÃO")</f>
        <v>SIM</v>
      </c>
      <c r="M923" s="373">
        <f>ROUND(SUM(F925:F940),2)+ROUND(SUM(F925:F940)*C942,2)+ROUND(SUM(F945:F954)*C956,2)+ROUND(SUM(F945:F954),2)+ROUND(SUM(F959:F965)*C967,2)+ROUND((SUM(F959:F965)+ROUND(SUM(F959:F965)*C967,2))*C968,2)+ROUND(SUM(F959:F965),2)</f>
        <v>0</v>
      </c>
      <c r="N923" s="343" t="str">
        <f>IF(M923=F923,"SIM","NÃO")</f>
        <v>SIM</v>
      </c>
      <c r="O923" s="364" t="str">
        <f>VLOOKUP(A923,IV.A!$A$16:$E$172,3,FALSE)</f>
        <v>UN</v>
      </c>
      <c r="P923" s="344" t="str">
        <f>IF(O923=E923,"SIM","NÃO")</f>
        <v>SIM</v>
      </c>
      <c r="Q923" s="365">
        <f>ROUND(G923*F943,2)+ROUND(G923*F957,2)+ROUND(G923*F969,2)</f>
        <v>0</v>
      </c>
      <c r="R923" s="364">
        <f>VLOOKUP(A923,IV.A!$A$16:$L$172,12,FALSE)</f>
        <v>0</v>
      </c>
      <c r="S923" s="366" t="str">
        <f>IF(Q923=R923,"si","no")</f>
        <v>si</v>
      </c>
      <c r="T923" s="367">
        <f>SUM(L925:L940)+SUM(L945:L954)+SUM(L959:L965)</f>
        <v>111</v>
      </c>
      <c r="U923" s="341">
        <f>(SUM(C925:C940)+SUM(C945:C954)+SUM(C959:C965))*G923</f>
        <v>111</v>
      </c>
      <c r="V923" s="368" t="str">
        <f>IF(T923=U923,"si","no")</f>
        <v>si</v>
      </c>
      <c r="W923" s="369">
        <f>SUM(F925:F940)</f>
        <v>0</v>
      </c>
      <c r="X923" s="369">
        <f>SUM(F945:F954)</f>
        <v>0</v>
      </c>
      <c r="Y923" s="369">
        <f>SUM(F959:F965)</f>
        <v>0</v>
      </c>
    </row>
    <row r="924" spans="1:25" ht="12.75" customHeight="1">
      <c r="A924" s="374" t="s">
        <v>14</v>
      </c>
      <c r="B924" s="375" t="s">
        <v>132</v>
      </c>
      <c r="C924" s="376" t="s">
        <v>231</v>
      </c>
      <c r="D924" s="376" t="s">
        <v>232</v>
      </c>
      <c r="E924" s="377" t="s">
        <v>233</v>
      </c>
      <c r="F924" s="378" t="s">
        <v>234</v>
      </c>
      <c r="G924" s="379"/>
      <c r="J924" s="341"/>
      <c r="L924" s="380"/>
      <c r="M924" s="381"/>
      <c r="N924" s="342"/>
      <c r="O924" s="382"/>
      <c r="P924" s="383"/>
      <c r="Q924" s="383"/>
      <c r="R924" s="383"/>
      <c r="S924" s="383"/>
      <c r="T924" s="382"/>
      <c r="U924" s="341"/>
      <c r="V924" s="384"/>
      <c r="W924" s="384"/>
      <c r="X924" s="384"/>
      <c r="Y924" s="384"/>
    </row>
    <row r="925" spans="1:25" ht="12.75" customHeight="1">
      <c r="A925" s="385" t="str">
        <f>VII.A!$A$44</f>
        <v>1.35</v>
      </c>
      <c r="B925" s="386" t="str">
        <f>VII.A!$B$44</f>
        <v>DOBRADICA EM AÇO/FERRO, 3" X 2 1/2", CROMADO OU ZINCADO, COM PARAFUSOS</v>
      </c>
      <c r="C925" s="20">
        <v>2</v>
      </c>
      <c r="D925" s="342" t="str">
        <f>VII.A!$C$44</f>
        <v>UN</v>
      </c>
      <c r="E925" s="387">
        <f>VII.A!$D$44</f>
        <v>0</v>
      </c>
      <c r="F925" s="388">
        <f>ROUND(C925*E925,2)</f>
        <v>0</v>
      </c>
      <c r="H925" s="341">
        <f>IF(A925="","",VLOOKUP(A925,VII.A!$A$10:$D$199,4,FALSE))</f>
        <v>0</v>
      </c>
      <c r="I925" s="341" t="str">
        <f t="shared" ref="I925:I940" si="245">IF(A925="","",IF(E925=H925,"SIM","NÃO"))</f>
        <v>SIM</v>
      </c>
      <c r="J925" s="341" t="str">
        <f>IF(A925="","",VLOOKUP(A925,VII.A!$A$10:$D$199,3,FALSE))</f>
        <v>UN</v>
      </c>
      <c r="K925" s="342" t="str">
        <f t="shared" ref="K925:K940" si="246">IF(A925="","",IF(J925=D925,"SIM","NÃO"))</f>
        <v>SIM</v>
      </c>
      <c r="L925" s="380">
        <f>IF(C925="","",G923*C925)</f>
        <v>20</v>
      </c>
      <c r="M925" s="381" t="str">
        <f>IF(A925="","",VLOOKUP(A925,VII.A!$A$10:$B$199,2,FALSE))</f>
        <v>DOBRADICA EM AÇO/FERRO, 3" X 2 1/2", CROMADO OU ZINCADO, COM PARAFUSOS</v>
      </c>
      <c r="N925" s="342" t="str">
        <f t="shared" ref="N925:N940" si="247">IF(B925="","",IF(M925=B925,"si","no"))</f>
        <v>si</v>
      </c>
      <c r="R925" s="341"/>
      <c r="S925" s="341"/>
    </row>
    <row r="926" spans="1:25" ht="12.75" customHeight="1">
      <c r="A926" s="385" t="str">
        <f>VII.A!$A$90</f>
        <v>1.80</v>
      </c>
      <c r="B926" s="386" t="str">
        <f>VII.A!$B$90</f>
        <v>PREGO EM AÇO POLIDO COM CABEÇA (MEDIA DAS BITOLAS)</v>
      </c>
      <c r="C926" s="20">
        <v>0.1</v>
      </c>
      <c r="D926" s="342" t="str">
        <f>VII.A!$C$90</f>
        <v>KG</v>
      </c>
      <c r="E926" s="387">
        <f>VII.A!$D$90</f>
        <v>0</v>
      </c>
      <c r="F926" s="388">
        <f t="shared" ref="F926:F940" si="248">ROUND(C926*E926,2)</f>
        <v>0</v>
      </c>
      <c r="H926" s="341">
        <f>IF(A926="","",VLOOKUP(A926,VII.A!$A$10:$D$199,4,FALSE))</f>
        <v>0</v>
      </c>
      <c r="I926" s="341" t="str">
        <f t="shared" si="245"/>
        <v>SIM</v>
      </c>
      <c r="J926" s="341" t="str">
        <f>IF(A926="","",VLOOKUP(A926,VII.A!$A$10:$D$199,3,FALSE))</f>
        <v>KG</v>
      </c>
      <c r="K926" s="342" t="str">
        <f t="shared" si="246"/>
        <v>SIM</v>
      </c>
      <c r="L926" s="380">
        <f>IF(C926="","",G923*C926)</f>
        <v>1</v>
      </c>
      <c r="M926" s="381" t="str">
        <f>IF(A926="","",VLOOKUP(A926,VII.A!$A$10:$B$199,2,FALSE))</f>
        <v>PREGO EM AÇO POLIDO COM CABEÇA (MEDIA DAS BITOLAS)</v>
      </c>
      <c r="N926" s="342" t="str">
        <f t="shared" si="247"/>
        <v>si</v>
      </c>
      <c r="R926" s="341"/>
      <c r="S926" s="341"/>
    </row>
    <row r="927" spans="1:25" ht="12.75" customHeight="1">
      <c r="A927" s="385" t="str">
        <f>VII.A!$A$96</f>
        <v>1.86</v>
      </c>
      <c r="B927" s="386" t="str">
        <f>VII.A!$B$96</f>
        <v xml:space="preserve">SARRAFO 3A. CONSTRUÇÃO (SEÇÃO TRANSVERSAL: 1X2" - 2,5CM X 5,0CM) </v>
      </c>
      <c r="C927" s="20">
        <f>1*4</f>
        <v>4</v>
      </c>
      <c r="D927" s="342" t="str">
        <f>VII.A!$C$96</f>
        <v>M</v>
      </c>
      <c r="E927" s="387">
        <f>VII.A!$D$96</f>
        <v>0</v>
      </c>
      <c r="F927" s="388">
        <f t="shared" si="248"/>
        <v>0</v>
      </c>
      <c r="H927" s="341">
        <f>IF(A927="","",VLOOKUP(A927,VII.A!$A$10:$D$199,4,FALSE))</f>
        <v>0</v>
      </c>
      <c r="I927" s="341" t="str">
        <f t="shared" si="245"/>
        <v>SIM</v>
      </c>
      <c r="J927" s="341" t="str">
        <f>IF(A927="","",VLOOKUP(A927,VII.A!$A$10:$D$199,3,FALSE))</f>
        <v>M</v>
      </c>
      <c r="K927" s="342" t="str">
        <f t="shared" si="246"/>
        <v>SIM</v>
      </c>
      <c r="L927" s="380">
        <f>IF(C927="","",G923*C927)</f>
        <v>40</v>
      </c>
      <c r="M927" s="381" t="str">
        <f>IF(A927="","",VLOOKUP(A927,VII.A!$A$10:$B$199,2,FALSE))</f>
        <v xml:space="preserve">SARRAFO 3A. CONSTRUÇÃO (SEÇÃO TRANSVERSAL: 1X2" - 2,5CM X 5,0CM) </v>
      </c>
      <c r="N927" s="342" t="str">
        <f t="shared" si="247"/>
        <v>si</v>
      </c>
      <c r="R927" s="341"/>
      <c r="S927" s="341"/>
    </row>
    <row r="928" spans="1:25" ht="12.75" customHeight="1">
      <c r="A928" s="385" t="str">
        <f>VII.A!$A$97</f>
        <v>1.87</v>
      </c>
      <c r="B928" s="386" t="str">
        <f>VII.A!$B$97</f>
        <v xml:space="preserve">SARRAFO 3A. CONSTRUÇÃO (SEÇÃO TRANSVERSAL: 1X4" - 2,5CM X 10,0CM) </v>
      </c>
      <c r="C928" s="20">
        <f>1.1*2</f>
        <v>2.2000000000000002</v>
      </c>
      <c r="D928" s="342" t="str">
        <f>VII.A!$C$97</f>
        <v>M</v>
      </c>
      <c r="E928" s="387">
        <f>VII.A!$D$97</f>
        <v>0</v>
      </c>
      <c r="F928" s="388">
        <f t="shared" si="248"/>
        <v>0</v>
      </c>
      <c r="H928" s="341">
        <f>IF(A928="","",VLOOKUP(A928,VII.A!$A$10:$D$199,4,FALSE))</f>
        <v>0</v>
      </c>
      <c r="I928" s="341" t="str">
        <f t="shared" si="245"/>
        <v>SIM</v>
      </c>
      <c r="J928" s="341" t="str">
        <f>IF(A928="","",VLOOKUP(A928,VII.A!$A$10:$D$199,3,FALSE))</f>
        <v>M</v>
      </c>
      <c r="K928" s="342" t="str">
        <f t="shared" si="246"/>
        <v>SIM</v>
      </c>
      <c r="L928" s="380">
        <f>IF(C928="","",G923*C928)</f>
        <v>22</v>
      </c>
      <c r="M928" s="381" t="str">
        <f>IF(A928="","",VLOOKUP(A928,VII.A!$A$10:$B$199,2,FALSE))</f>
        <v xml:space="preserve">SARRAFO 3A. CONSTRUÇÃO (SEÇÃO TRANSVERSAL: 1X4" - 2,5CM X 10,0CM) </v>
      </c>
      <c r="N928" s="342" t="str">
        <f t="shared" si="247"/>
        <v>si</v>
      </c>
      <c r="R928" s="341"/>
      <c r="S928" s="341"/>
    </row>
    <row r="929" spans="1:21" ht="12.75" customHeight="1">
      <c r="A929" s="385" t="str">
        <f>VII.A!$A$101</f>
        <v>1.91</v>
      </c>
      <c r="B929" s="386" t="str">
        <f>VII.A!$B$101</f>
        <v>TÁBUA MADEIRA 3A QUALIDADE 2,5 X 30CM (1X12") NÃO APARELHADA</v>
      </c>
      <c r="C929" s="20">
        <f>1.1*2</f>
        <v>2.2000000000000002</v>
      </c>
      <c r="D929" s="342" t="str">
        <f>VII.A!$C$101</f>
        <v>M</v>
      </c>
      <c r="E929" s="387">
        <f>VII.A!$D$101</f>
        <v>0</v>
      </c>
      <c r="F929" s="388">
        <f t="shared" si="248"/>
        <v>0</v>
      </c>
      <c r="H929" s="341">
        <f>IF(A929="","",VLOOKUP(A929,VII.A!$A$10:$D$199,4,FALSE))</f>
        <v>0</v>
      </c>
      <c r="I929" s="341" t="str">
        <f t="shared" si="245"/>
        <v>SIM</v>
      </c>
      <c r="J929" s="341" t="str">
        <f>IF(A929="","",VLOOKUP(A929,VII.A!$A$10:$D$199,3,FALSE))</f>
        <v>M</v>
      </c>
      <c r="K929" s="342" t="str">
        <f t="shared" si="246"/>
        <v>SIM</v>
      </c>
      <c r="L929" s="380">
        <f>IF(C929="","",G923*C929)</f>
        <v>22</v>
      </c>
      <c r="M929" s="381" t="str">
        <f>IF(A929="","",VLOOKUP(A929,VII.A!$A$10:$B$199,2,FALSE))</f>
        <v>TÁBUA MADEIRA 3A QUALIDADE 2,5 X 30CM (1X12") NÃO APARELHADA</v>
      </c>
      <c r="N929" s="342" t="str">
        <f t="shared" si="247"/>
        <v>si</v>
      </c>
      <c r="R929" s="341"/>
      <c r="S929" s="341"/>
    </row>
    <row r="930" spans="1:21" ht="12.75" customHeight="1">
      <c r="A930" s="385" t="str">
        <f>VII.A!$A$112</f>
        <v>1.102</v>
      </c>
      <c r="B930" s="386" t="str">
        <f>VII.A!$B$112</f>
        <v>TINTA LÁTEX ACRÍLICA - 1ª LINHA</v>
      </c>
      <c r="C930" s="20">
        <v>0.1</v>
      </c>
      <c r="D930" s="342" t="str">
        <f>VII.A!$C$112</f>
        <v>L</v>
      </c>
      <c r="E930" s="387">
        <f>VII.A!$D$112</f>
        <v>0</v>
      </c>
      <c r="F930" s="388">
        <f t="shared" si="248"/>
        <v>0</v>
      </c>
      <c r="H930" s="341">
        <f>IF(A930="","",VLOOKUP(A930,VII.A!$A$10:$D$199,4,FALSE))</f>
        <v>0</v>
      </c>
      <c r="I930" s="341" t="str">
        <f t="shared" si="245"/>
        <v>SIM</v>
      </c>
      <c r="J930" s="341" t="str">
        <f>IF(A930="","",VLOOKUP(A930,VII.A!$A$10:$D$199,3,FALSE))</f>
        <v>L</v>
      </c>
      <c r="K930" s="342" t="str">
        <f t="shared" si="246"/>
        <v>SIM</v>
      </c>
      <c r="L930" s="380">
        <f>IF(C930="","",G923*C930)</f>
        <v>1</v>
      </c>
      <c r="M930" s="381" t="str">
        <f>IF(A930="","",VLOOKUP(A930,VII.A!$A$10:$B$199,2,FALSE))</f>
        <v>TINTA LÁTEX ACRÍLICA - 1ª LINHA</v>
      </c>
      <c r="N930" s="342" t="str">
        <f t="shared" si="247"/>
        <v>si</v>
      </c>
      <c r="R930" s="341"/>
      <c r="S930" s="341"/>
      <c r="U930" s="389"/>
    </row>
    <row r="931" spans="1:21" ht="12.75" customHeight="1">
      <c r="A931" s="385"/>
      <c r="B931" s="386"/>
      <c r="C931" s="20"/>
      <c r="D931" s="342"/>
      <c r="E931" s="387"/>
      <c r="F931" s="388">
        <f t="shared" si="248"/>
        <v>0</v>
      </c>
      <c r="H931" s="341" t="str">
        <f>IF(A931="","",VLOOKUP(A931,VII.A!$A$10:$D$199,4,FALSE))</f>
        <v/>
      </c>
      <c r="I931" s="341" t="str">
        <f t="shared" si="245"/>
        <v/>
      </c>
      <c r="J931" s="341" t="str">
        <f>IF(A931="","",VLOOKUP(A931,VII.A!$A$10:$D$199,3,FALSE))</f>
        <v/>
      </c>
      <c r="K931" s="342" t="str">
        <f t="shared" si="246"/>
        <v/>
      </c>
      <c r="L931" s="380" t="str">
        <f>IF(C931="","",G923*C931)</f>
        <v/>
      </c>
      <c r="M931" s="381" t="str">
        <f>IF(A931="","",VLOOKUP(A931,VII.A!$A$10:$B$199,2,FALSE))</f>
        <v/>
      </c>
      <c r="N931" s="342" t="str">
        <f t="shared" si="247"/>
        <v/>
      </c>
      <c r="R931" s="341"/>
      <c r="S931" s="341"/>
    </row>
    <row r="932" spans="1:21" ht="12.75" customHeight="1">
      <c r="A932" s="385"/>
      <c r="B932" s="386"/>
      <c r="C932" s="20"/>
      <c r="D932" s="342"/>
      <c r="E932" s="387"/>
      <c r="F932" s="388">
        <f t="shared" si="248"/>
        <v>0</v>
      </c>
      <c r="G932" s="390"/>
      <c r="H932" s="341" t="str">
        <f>IF(A932="","",VLOOKUP(A932,VII.A!$A$10:$D$199,4,FALSE))</f>
        <v/>
      </c>
      <c r="I932" s="341" t="str">
        <f t="shared" si="245"/>
        <v/>
      </c>
      <c r="J932" s="341" t="str">
        <f>IF(A932="","",VLOOKUP(A932,VII.A!$A$10:$D$199,3,FALSE))</f>
        <v/>
      </c>
      <c r="K932" s="342" t="str">
        <f t="shared" si="246"/>
        <v/>
      </c>
      <c r="L932" s="380" t="str">
        <f>IF(C932="","",G923*C932)</f>
        <v/>
      </c>
      <c r="M932" s="381" t="str">
        <f>IF(A932="","",VLOOKUP(A932,VII.A!$A$10:$B$199,2,FALSE))</f>
        <v/>
      </c>
      <c r="N932" s="342" t="str">
        <f t="shared" si="247"/>
        <v/>
      </c>
      <c r="R932" s="341"/>
      <c r="S932" s="341"/>
    </row>
    <row r="933" spans="1:21" ht="12.75" customHeight="1">
      <c r="A933" s="385"/>
      <c r="B933" s="386"/>
      <c r="C933" s="20"/>
      <c r="D933" s="342"/>
      <c r="E933" s="387"/>
      <c r="F933" s="388">
        <f t="shared" si="248"/>
        <v>0</v>
      </c>
      <c r="G933" s="390"/>
      <c r="H933" s="341" t="str">
        <f>IF(A933="","",VLOOKUP(A933,VII.A!$A$10:$D$199,4,FALSE))</f>
        <v/>
      </c>
      <c r="I933" s="341" t="str">
        <f t="shared" si="245"/>
        <v/>
      </c>
      <c r="J933" s="341" t="str">
        <f>IF(A933="","",VLOOKUP(A933,VII.A!$A$10:$D$199,3,FALSE))</f>
        <v/>
      </c>
      <c r="K933" s="342" t="str">
        <f t="shared" si="246"/>
        <v/>
      </c>
      <c r="L933" s="380" t="str">
        <f>IF(C933="","",G923*C933)</f>
        <v/>
      </c>
      <c r="M933" s="381" t="str">
        <f>IF(A933="","",VLOOKUP(A933,VII.A!$A$10:$B$199,2,FALSE))</f>
        <v/>
      </c>
      <c r="N933" s="342" t="str">
        <f t="shared" si="247"/>
        <v/>
      </c>
      <c r="R933" s="341"/>
      <c r="S933" s="341"/>
    </row>
    <row r="934" spans="1:21" ht="12.75" customHeight="1">
      <c r="A934" s="385"/>
      <c r="B934" s="386"/>
      <c r="C934" s="20"/>
      <c r="D934" s="342"/>
      <c r="E934" s="387"/>
      <c r="F934" s="388">
        <f t="shared" si="248"/>
        <v>0</v>
      </c>
      <c r="G934" s="391"/>
      <c r="H934" s="341" t="str">
        <f>IF(A934="","",VLOOKUP(A934,VII.A!$A$10:$D$199,4,FALSE))</f>
        <v/>
      </c>
      <c r="I934" s="341" t="str">
        <f t="shared" si="245"/>
        <v/>
      </c>
      <c r="J934" s="341" t="str">
        <f>IF(A934="","",VLOOKUP(A934,VII.A!$A$10:$D$199,3,FALSE))</f>
        <v/>
      </c>
      <c r="K934" s="342" t="str">
        <f t="shared" si="246"/>
        <v/>
      </c>
      <c r="L934" s="380" t="str">
        <f>IF(C934="","",G923*C934)</f>
        <v/>
      </c>
      <c r="M934" s="381" t="str">
        <f>IF(A934="","",VLOOKUP(A934,VII.A!$A$10:$B$199,2,FALSE))</f>
        <v/>
      </c>
      <c r="N934" s="342" t="str">
        <f t="shared" si="247"/>
        <v/>
      </c>
      <c r="R934" s="341"/>
      <c r="S934" s="341"/>
    </row>
    <row r="935" spans="1:21" ht="12.75" customHeight="1">
      <c r="A935" s="385"/>
      <c r="B935" s="386"/>
      <c r="C935" s="20"/>
      <c r="D935" s="342"/>
      <c r="E935" s="387"/>
      <c r="F935" s="388">
        <f t="shared" si="248"/>
        <v>0</v>
      </c>
      <c r="H935" s="341" t="str">
        <f>IF(A935="","",VLOOKUP(A935,VII.A!$A$10:$D$199,4,FALSE))</f>
        <v/>
      </c>
      <c r="I935" s="341" t="str">
        <f t="shared" si="245"/>
        <v/>
      </c>
      <c r="J935" s="341" t="str">
        <f>IF(A935="","",VLOOKUP(A935,VII.A!$A$10:$D$199,3,FALSE))</f>
        <v/>
      </c>
      <c r="K935" s="342" t="str">
        <f t="shared" si="246"/>
        <v/>
      </c>
      <c r="L935" s="380" t="str">
        <f>IF(C935="","",G923*C935)</f>
        <v/>
      </c>
      <c r="M935" s="381" t="str">
        <f>IF(A935="","",VLOOKUP(A935,VII.A!$A$10:$B$199,2,FALSE))</f>
        <v/>
      </c>
      <c r="N935" s="342" t="str">
        <f t="shared" si="247"/>
        <v/>
      </c>
      <c r="R935" s="341"/>
      <c r="S935" s="341"/>
    </row>
    <row r="936" spans="1:21" ht="12.75" customHeight="1">
      <c r="A936" s="385"/>
      <c r="B936" s="386"/>
      <c r="C936" s="20"/>
      <c r="D936" s="392"/>
      <c r="E936" s="387"/>
      <c r="F936" s="388">
        <f t="shared" si="248"/>
        <v>0</v>
      </c>
      <c r="H936" s="341" t="str">
        <f>IF(A936="","",VLOOKUP(A936,VII.A!$A$10:$D$199,4,FALSE))</f>
        <v/>
      </c>
      <c r="I936" s="341" t="str">
        <f t="shared" si="245"/>
        <v/>
      </c>
      <c r="J936" s="341" t="str">
        <f>IF(A936="","",VLOOKUP(A936,VII.A!$A$10:$D$199,3,FALSE))</f>
        <v/>
      </c>
      <c r="K936" s="342" t="str">
        <f t="shared" si="246"/>
        <v/>
      </c>
      <c r="L936" s="380" t="str">
        <f>IF(C936="","",G923*C936)</f>
        <v/>
      </c>
      <c r="M936" s="381" t="str">
        <f>IF(A936="","",VLOOKUP(A936,VII.A!$A$10:$B$199,2,FALSE))</f>
        <v/>
      </c>
      <c r="N936" s="342" t="str">
        <f t="shared" si="247"/>
        <v/>
      </c>
      <c r="R936" s="341"/>
      <c r="S936" s="341"/>
    </row>
    <row r="937" spans="1:21" ht="12.75" customHeight="1">
      <c r="A937" s="385"/>
      <c r="B937" s="386"/>
      <c r="C937" s="20"/>
      <c r="D937" s="392"/>
      <c r="E937" s="387"/>
      <c r="F937" s="388">
        <f t="shared" si="248"/>
        <v>0</v>
      </c>
      <c r="H937" s="341" t="str">
        <f>IF(A937="","",VLOOKUP(A937,VII.A!$A$10:$D$199,4,FALSE))</f>
        <v/>
      </c>
      <c r="I937" s="341" t="str">
        <f t="shared" si="245"/>
        <v/>
      </c>
      <c r="J937" s="341" t="str">
        <f>IF(A937="","",VLOOKUP(A937,VII.A!$A$10:$D$199,3,FALSE))</f>
        <v/>
      </c>
      <c r="K937" s="342" t="str">
        <f t="shared" si="246"/>
        <v/>
      </c>
      <c r="L937" s="380" t="str">
        <f>IF(C937="","",G923*C937)</f>
        <v/>
      </c>
      <c r="M937" s="381" t="str">
        <f>IF(A937="","",VLOOKUP(A937,VII.A!$A$10:$B$199,2,FALSE))</f>
        <v/>
      </c>
      <c r="N937" s="342" t="str">
        <f t="shared" si="247"/>
        <v/>
      </c>
      <c r="O937" s="342"/>
      <c r="R937" s="341"/>
      <c r="S937" s="341"/>
    </row>
    <row r="938" spans="1:21" ht="12.75" customHeight="1">
      <c r="A938" s="385"/>
      <c r="B938" s="386"/>
      <c r="C938" s="20"/>
      <c r="D938" s="392"/>
      <c r="E938" s="387"/>
      <c r="F938" s="388">
        <f t="shared" si="248"/>
        <v>0</v>
      </c>
      <c r="H938" s="341" t="str">
        <f>IF(A938="","",VLOOKUP(A938,VII.A!$A$10:$D$199,4,FALSE))</f>
        <v/>
      </c>
      <c r="I938" s="341" t="str">
        <f t="shared" si="245"/>
        <v/>
      </c>
      <c r="J938" s="341" t="str">
        <f>IF(A938="","",VLOOKUP(A938,VII.A!$A$10:$D$199,3,FALSE))</f>
        <v/>
      </c>
      <c r="K938" s="342" t="str">
        <f t="shared" si="246"/>
        <v/>
      </c>
      <c r="L938" s="380" t="str">
        <f>IF(C938="","",G923*C938)</f>
        <v/>
      </c>
      <c r="M938" s="381" t="str">
        <f>IF(A938="","",VLOOKUP(A938,VII.A!$A$10:$B$199,2,FALSE))</f>
        <v/>
      </c>
      <c r="N938" s="342" t="str">
        <f t="shared" si="247"/>
        <v/>
      </c>
      <c r="R938" s="341"/>
      <c r="S938" s="341"/>
    </row>
    <row r="939" spans="1:21" ht="12.75" customHeight="1">
      <c r="A939" s="393"/>
      <c r="C939" s="20"/>
      <c r="E939" s="387"/>
      <c r="F939" s="388">
        <f t="shared" si="248"/>
        <v>0</v>
      </c>
      <c r="H939" s="341" t="str">
        <f>IF(A939="","",VLOOKUP(A939,VII.A!$A$10:$D$199,4,FALSE))</f>
        <v/>
      </c>
      <c r="I939" s="341" t="str">
        <f t="shared" si="245"/>
        <v/>
      </c>
      <c r="J939" s="341" t="str">
        <f>IF(A939="","",VLOOKUP(A939,VII.A!$A$10:$D$199,3,FALSE))</f>
        <v/>
      </c>
      <c r="K939" s="342" t="str">
        <f t="shared" si="246"/>
        <v/>
      </c>
      <c r="L939" s="380" t="str">
        <f>IF(C939="","",G923*C939)</f>
        <v/>
      </c>
      <c r="M939" s="381" t="str">
        <f>IF(A939="","",VLOOKUP(A939,VII.A!$A$10:$B$199,2,FALSE))</f>
        <v/>
      </c>
      <c r="N939" s="342" t="str">
        <f t="shared" si="247"/>
        <v/>
      </c>
      <c r="R939" s="341"/>
      <c r="S939" s="341"/>
    </row>
    <row r="940" spans="1:21" ht="12.75" customHeight="1">
      <c r="A940" s="393"/>
      <c r="C940" s="20"/>
      <c r="E940" s="387"/>
      <c r="F940" s="388">
        <f t="shared" si="248"/>
        <v>0</v>
      </c>
      <c r="H940" s="341" t="str">
        <f>IF(A940="","",VLOOKUP(A940,VII.A!$A$10:$D$199,4,FALSE))</f>
        <v/>
      </c>
      <c r="I940" s="341" t="str">
        <f t="shared" si="245"/>
        <v/>
      </c>
      <c r="J940" s="341" t="str">
        <f>IF(A940="","",VLOOKUP(A940,VII.A!$A$10:$D$199,3,FALSE))</f>
        <v/>
      </c>
      <c r="K940" s="342" t="str">
        <f t="shared" si="246"/>
        <v/>
      </c>
      <c r="L940" s="380" t="str">
        <f>IF(C940="","",G923*C940)</f>
        <v/>
      </c>
      <c r="M940" s="381" t="str">
        <f>IF(A940="","",VLOOKUP(A940,VII.A!$A$10:$B$199,2,FALSE))</f>
        <v/>
      </c>
      <c r="N940" s="342" t="str">
        <f t="shared" si="247"/>
        <v/>
      </c>
      <c r="R940" s="341"/>
      <c r="S940" s="341"/>
    </row>
    <row r="941" spans="1:21" ht="12.75" customHeight="1">
      <c r="A941" s="393"/>
      <c r="B941" s="395" t="s">
        <v>226</v>
      </c>
      <c r="C941" s="396"/>
      <c r="D941" s="397"/>
      <c r="E941" s="398"/>
      <c r="F941" s="399">
        <f>SUM(F925:F940)</f>
        <v>0</v>
      </c>
      <c r="H941" s="426" t="s">
        <v>550</v>
      </c>
      <c r="J941" s="341"/>
      <c r="L941" s="380"/>
      <c r="M941" s="381"/>
      <c r="N941" s="342"/>
      <c r="R941" s="341"/>
      <c r="S941" s="341"/>
    </row>
    <row r="942" spans="1:21" ht="12.75" customHeight="1">
      <c r="A942" s="393"/>
      <c r="B942" s="400" t="s">
        <v>53</v>
      </c>
      <c r="C942" s="2">
        <f>$D$8</f>
        <v>0</v>
      </c>
      <c r="D942" s="401"/>
      <c r="E942" s="402"/>
      <c r="F942" s="403">
        <f>ROUND(F941*C942,2)</f>
        <v>0</v>
      </c>
      <c r="J942" s="341"/>
      <c r="L942" s="380"/>
      <c r="M942" s="381"/>
      <c r="N942" s="342"/>
      <c r="R942" s="341"/>
      <c r="S942" s="341"/>
    </row>
    <row r="943" spans="1:21" ht="12.75" customHeight="1">
      <c r="A943" s="404"/>
      <c r="B943" s="405" t="s">
        <v>227</v>
      </c>
      <c r="C943" s="406"/>
      <c r="D943" s="406"/>
      <c r="E943" s="407"/>
      <c r="F943" s="408">
        <f>F941+F942</f>
        <v>0</v>
      </c>
      <c r="J943" s="341"/>
      <c r="L943" s="380"/>
      <c r="M943" s="381"/>
      <c r="N943" s="342"/>
      <c r="R943" s="341"/>
      <c r="S943" s="341"/>
    </row>
    <row r="944" spans="1:21" ht="12.75" customHeight="1">
      <c r="A944" s="374" t="s">
        <v>2</v>
      </c>
      <c r="B944" s="375" t="s">
        <v>235</v>
      </c>
      <c r="C944" s="376" t="s">
        <v>231</v>
      </c>
      <c r="D944" s="376" t="s">
        <v>232</v>
      </c>
      <c r="E944" s="377" t="s">
        <v>233</v>
      </c>
      <c r="F944" s="378" t="s">
        <v>234</v>
      </c>
      <c r="J944" s="341"/>
      <c r="L944" s="380"/>
      <c r="M944" s="381"/>
      <c r="N944" s="342"/>
      <c r="R944" s="341"/>
      <c r="S944" s="341"/>
    </row>
    <row r="945" spans="1:19" ht="12.75" customHeight="1">
      <c r="A945" s="393"/>
      <c r="C945" s="20"/>
      <c r="E945" s="387"/>
      <c r="F945" s="388">
        <f t="shared" ref="F945:F954" si="249">ROUND(C945*E945,2)</f>
        <v>0</v>
      </c>
      <c r="H945" s="341" t="str">
        <f>IF(A945="","",VLOOKUP(A945,VII.A!$A$10:$D$199,4,FALSE))</f>
        <v/>
      </c>
      <c r="I945" s="341" t="str">
        <f t="shared" ref="I945:I954" si="250">IF(A945="","",IF(E945=H945,"SIM","NÃO"))</f>
        <v/>
      </c>
      <c r="J945" s="341" t="str">
        <f>IF(A945="","",VLOOKUP(A945,VII.A!$A$10:$D$199,3,FALSE))</f>
        <v/>
      </c>
      <c r="K945" s="342" t="str">
        <f t="shared" ref="K945:K954" si="251">IF(A945="","",IF(J945=D945,"SIM","NÃO"))</f>
        <v/>
      </c>
      <c r="L945" s="380" t="str">
        <f>IF(C945="","",G923*C945)</f>
        <v/>
      </c>
      <c r="M945" s="381" t="str">
        <f>IF(A945="","",VLOOKUP(A945,VII.A!$A$10:$B$199,2,FALSE))</f>
        <v/>
      </c>
      <c r="N945" s="342" t="str">
        <f t="shared" ref="N945:N954" si="252">IF(B945="","",IF(M945=B945,"si","no"))</f>
        <v/>
      </c>
      <c r="R945" s="341"/>
      <c r="S945" s="341"/>
    </row>
    <row r="946" spans="1:19" ht="12.75" customHeight="1">
      <c r="A946" s="393"/>
      <c r="C946" s="20"/>
      <c r="E946" s="387"/>
      <c r="F946" s="388">
        <f t="shared" si="249"/>
        <v>0</v>
      </c>
      <c r="H946" s="341" t="str">
        <f>IF(A946="","",VLOOKUP(A946,VII.A!$A$10:$D$199,4,FALSE))</f>
        <v/>
      </c>
      <c r="I946" s="341" t="str">
        <f t="shared" si="250"/>
        <v/>
      </c>
      <c r="J946" s="341" t="str">
        <f>IF(A946="","",VLOOKUP(A946,VII.A!$A$10:$D$199,3,FALSE))</f>
        <v/>
      </c>
      <c r="K946" s="342" t="str">
        <f t="shared" si="251"/>
        <v/>
      </c>
      <c r="L946" s="380" t="str">
        <f>IF(C946="","",G923*C946)</f>
        <v/>
      </c>
      <c r="M946" s="381" t="str">
        <f>IF(A946="","",VLOOKUP(A946,VII.A!$A$10:$B$199,2,FALSE))</f>
        <v/>
      </c>
      <c r="N946" s="342" t="str">
        <f t="shared" si="252"/>
        <v/>
      </c>
      <c r="R946" s="341"/>
      <c r="S946" s="341"/>
    </row>
    <row r="947" spans="1:19" ht="12.75" customHeight="1">
      <c r="A947" s="393"/>
      <c r="C947" s="20"/>
      <c r="E947" s="387"/>
      <c r="F947" s="388">
        <f t="shared" si="249"/>
        <v>0</v>
      </c>
      <c r="H947" s="341" t="str">
        <f>IF(A947="","",VLOOKUP(A947,VII.A!$A$10:$D$199,4,FALSE))</f>
        <v/>
      </c>
      <c r="I947" s="341" t="str">
        <f t="shared" si="250"/>
        <v/>
      </c>
      <c r="J947" s="341" t="str">
        <f>IF(A947="","",VLOOKUP(A947,VII.A!$A$10:$D$199,3,FALSE))</f>
        <v/>
      </c>
      <c r="K947" s="342" t="str">
        <f t="shared" si="251"/>
        <v/>
      </c>
      <c r="L947" s="380" t="str">
        <f>IF(C947="","",G923*C947)</f>
        <v/>
      </c>
      <c r="M947" s="381" t="str">
        <f>IF(A947="","",VLOOKUP(A947,VII.A!$A$10:$B$199,2,FALSE))</f>
        <v/>
      </c>
      <c r="N947" s="342" t="str">
        <f t="shared" si="252"/>
        <v/>
      </c>
      <c r="R947" s="341"/>
      <c r="S947" s="341"/>
    </row>
    <row r="948" spans="1:19" ht="12.75" customHeight="1">
      <c r="A948" s="393"/>
      <c r="C948" s="20"/>
      <c r="E948" s="387"/>
      <c r="F948" s="388">
        <f t="shared" si="249"/>
        <v>0</v>
      </c>
      <c r="H948" s="341" t="str">
        <f>IF(A948="","",VLOOKUP(A948,VII.A!$A$10:$D$199,4,FALSE))</f>
        <v/>
      </c>
      <c r="I948" s="341" t="str">
        <f t="shared" si="250"/>
        <v/>
      </c>
      <c r="J948" s="341" t="str">
        <f>IF(A948="","",VLOOKUP(A948,VII.A!$A$10:$D$199,3,FALSE))</f>
        <v/>
      </c>
      <c r="K948" s="342" t="str">
        <f t="shared" si="251"/>
        <v/>
      </c>
      <c r="L948" s="380" t="str">
        <f>IF(C948="","",G923*C948)</f>
        <v/>
      </c>
      <c r="M948" s="381" t="str">
        <f>IF(A948="","",VLOOKUP(A948,VII.A!$A$10:$B$199,2,FALSE))</f>
        <v/>
      </c>
      <c r="N948" s="342" t="str">
        <f t="shared" si="252"/>
        <v/>
      </c>
      <c r="R948" s="341"/>
      <c r="S948" s="341"/>
    </row>
    <row r="949" spans="1:19" ht="12.75" customHeight="1">
      <c r="A949" s="393"/>
      <c r="C949" s="20"/>
      <c r="E949" s="387"/>
      <c r="F949" s="388">
        <f t="shared" si="249"/>
        <v>0</v>
      </c>
      <c r="G949" s="390"/>
      <c r="H949" s="341" t="str">
        <f>IF(A949="","",VLOOKUP(A949,VII.A!$A$10:$D$199,4,FALSE))</f>
        <v/>
      </c>
      <c r="I949" s="341" t="str">
        <f t="shared" si="250"/>
        <v/>
      </c>
      <c r="J949" s="341" t="str">
        <f>IF(A949="","",VLOOKUP(A949,VII.A!$A$10:$D$199,3,FALSE))</f>
        <v/>
      </c>
      <c r="K949" s="342" t="str">
        <f t="shared" si="251"/>
        <v/>
      </c>
      <c r="L949" s="380" t="str">
        <f>IF(C949="","",G923*C949)</f>
        <v/>
      </c>
      <c r="M949" s="381" t="str">
        <f>IF(A949="","",VLOOKUP(A949,VII.A!$A$10:$B$199,2,FALSE))</f>
        <v/>
      </c>
      <c r="N949" s="342" t="str">
        <f t="shared" si="252"/>
        <v/>
      </c>
      <c r="R949" s="341"/>
      <c r="S949" s="341"/>
    </row>
    <row r="950" spans="1:19" ht="12.75" customHeight="1">
      <c r="A950" s="393"/>
      <c r="C950" s="20"/>
      <c r="E950" s="387"/>
      <c r="F950" s="388">
        <f t="shared" si="249"/>
        <v>0</v>
      </c>
      <c r="G950" s="391"/>
      <c r="H950" s="341" t="str">
        <f>IF(A950="","",VLOOKUP(A950,VII.A!$A$10:$D$199,4,FALSE))</f>
        <v/>
      </c>
      <c r="I950" s="341" t="str">
        <f t="shared" si="250"/>
        <v/>
      </c>
      <c r="J950" s="341" t="str">
        <f>IF(A950="","",VLOOKUP(A950,VII.A!$A$10:$D$199,3,FALSE))</f>
        <v/>
      </c>
      <c r="K950" s="342" t="str">
        <f t="shared" si="251"/>
        <v/>
      </c>
      <c r="L950" s="380" t="str">
        <f>IF(C950="","",G923*C950)</f>
        <v/>
      </c>
      <c r="M950" s="381" t="str">
        <f>IF(A950="","",VLOOKUP(A950,VII.A!$A$10:$B$199,2,FALSE))</f>
        <v/>
      </c>
      <c r="N950" s="342" t="str">
        <f t="shared" si="252"/>
        <v/>
      </c>
      <c r="R950" s="341"/>
      <c r="S950" s="341"/>
    </row>
    <row r="951" spans="1:19" ht="12.75" customHeight="1">
      <c r="A951" s="393"/>
      <c r="C951" s="20"/>
      <c r="E951" s="387"/>
      <c r="F951" s="388">
        <f t="shared" si="249"/>
        <v>0</v>
      </c>
      <c r="H951" s="341" t="str">
        <f>IF(A951="","",VLOOKUP(A951,VII.A!$A$10:$D$199,4,FALSE))</f>
        <v/>
      </c>
      <c r="I951" s="341" t="str">
        <f t="shared" si="250"/>
        <v/>
      </c>
      <c r="J951" s="341" t="str">
        <f>IF(A951="","",VLOOKUP(A951,VII.A!$A$10:$D$199,3,FALSE))</f>
        <v/>
      </c>
      <c r="K951" s="342" t="str">
        <f t="shared" si="251"/>
        <v/>
      </c>
      <c r="L951" s="380" t="str">
        <f>IF(C951="","",G923*C951)</f>
        <v/>
      </c>
      <c r="M951" s="381" t="str">
        <f>IF(A951="","",VLOOKUP(A951,VII.A!$A$10:$B$199,2,FALSE))</f>
        <v/>
      </c>
      <c r="N951" s="342" t="str">
        <f t="shared" si="252"/>
        <v/>
      </c>
      <c r="R951" s="341"/>
      <c r="S951" s="341"/>
    </row>
    <row r="952" spans="1:19" ht="12.75" customHeight="1">
      <c r="A952" s="393"/>
      <c r="C952" s="20"/>
      <c r="E952" s="387"/>
      <c r="F952" s="388">
        <f t="shared" si="249"/>
        <v>0</v>
      </c>
      <c r="H952" s="341" t="str">
        <f>IF(A952="","",VLOOKUP(A952,VII.A!$A$10:$D$199,4,FALSE))</f>
        <v/>
      </c>
      <c r="I952" s="341" t="str">
        <f t="shared" si="250"/>
        <v/>
      </c>
      <c r="J952" s="341" t="str">
        <f>IF(A952="","",VLOOKUP(A952,VII.A!$A$10:$D$199,3,FALSE))</f>
        <v/>
      </c>
      <c r="K952" s="342" t="str">
        <f t="shared" si="251"/>
        <v/>
      </c>
      <c r="L952" s="380" t="str">
        <f>IF(C952="","",G923*C952)</f>
        <v/>
      </c>
      <c r="M952" s="381" t="str">
        <f>IF(A952="","",VLOOKUP(A952,VII.A!$A$10:$B$199,2,FALSE))</f>
        <v/>
      </c>
      <c r="N952" s="342" t="str">
        <f t="shared" si="252"/>
        <v/>
      </c>
      <c r="R952" s="341"/>
      <c r="S952" s="341"/>
    </row>
    <row r="953" spans="1:19" ht="12.75" customHeight="1">
      <c r="A953" s="393"/>
      <c r="C953" s="20"/>
      <c r="E953" s="387"/>
      <c r="F953" s="388">
        <f t="shared" si="249"/>
        <v>0</v>
      </c>
      <c r="H953" s="341" t="str">
        <f>IF(A953="","",VLOOKUP(A953,VII.A!$A$10:$D$199,4,FALSE))</f>
        <v/>
      </c>
      <c r="I953" s="341" t="str">
        <f t="shared" si="250"/>
        <v/>
      </c>
      <c r="J953" s="341" t="str">
        <f>IF(A953="","",VLOOKUP(A953,VII.A!$A$10:$D$199,3,FALSE))</f>
        <v/>
      </c>
      <c r="K953" s="342" t="str">
        <f t="shared" si="251"/>
        <v/>
      </c>
      <c r="L953" s="380" t="str">
        <f>IF(C953="","",G923*C953)</f>
        <v/>
      </c>
      <c r="M953" s="381" t="str">
        <f>IF(A953="","",VLOOKUP(A953,VII.A!$A$10:$B$199,2,FALSE))</f>
        <v/>
      </c>
      <c r="N953" s="342" t="str">
        <f t="shared" si="252"/>
        <v/>
      </c>
      <c r="R953" s="341"/>
      <c r="S953" s="341"/>
    </row>
    <row r="954" spans="1:19" ht="12.75" customHeight="1">
      <c r="A954" s="393"/>
      <c r="C954" s="20"/>
      <c r="E954" s="387"/>
      <c r="F954" s="388">
        <f t="shared" si="249"/>
        <v>0</v>
      </c>
      <c r="H954" s="341" t="str">
        <f>IF(A954="","",VLOOKUP(A954,VII.A!$A$10:$D$199,4,FALSE))</f>
        <v/>
      </c>
      <c r="I954" s="341" t="str">
        <f t="shared" si="250"/>
        <v/>
      </c>
      <c r="J954" s="341" t="str">
        <f>IF(A954="","",VLOOKUP(A954,VII.A!$A$10:$D$199,3,FALSE))</f>
        <v/>
      </c>
      <c r="K954" s="342" t="str">
        <f t="shared" si="251"/>
        <v/>
      </c>
      <c r="L954" s="380" t="str">
        <f>IF(C954="","",G923*C954)</f>
        <v/>
      </c>
      <c r="M954" s="381" t="str">
        <f>IF(A954="","",VLOOKUP(A954,VII.A!$A$10:$B$199,2,FALSE))</f>
        <v/>
      </c>
      <c r="N954" s="342" t="str">
        <f t="shared" si="252"/>
        <v/>
      </c>
      <c r="R954" s="341"/>
      <c r="S954" s="341"/>
    </row>
    <row r="955" spans="1:19" ht="12.75" customHeight="1">
      <c r="A955" s="393"/>
      <c r="B955" s="395" t="s">
        <v>226</v>
      </c>
      <c r="C955" s="396"/>
      <c r="D955" s="397"/>
      <c r="E955" s="398"/>
      <c r="F955" s="399">
        <f>SUM(F945:F954)</f>
        <v>0</v>
      </c>
      <c r="J955" s="341"/>
      <c r="L955" s="380"/>
      <c r="M955" s="381"/>
      <c r="N955" s="342"/>
      <c r="R955" s="341"/>
      <c r="S955" s="341"/>
    </row>
    <row r="956" spans="1:19" ht="12.75" customHeight="1">
      <c r="A956" s="393"/>
      <c r="B956" s="400" t="s">
        <v>53</v>
      </c>
      <c r="C956" s="2">
        <f>$D$8</f>
        <v>0</v>
      </c>
      <c r="D956" s="401"/>
      <c r="E956" s="402"/>
      <c r="F956" s="403">
        <f>ROUND(C956*F955,2)</f>
        <v>0</v>
      </c>
      <c r="J956" s="341"/>
      <c r="L956" s="380"/>
      <c r="M956" s="381"/>
      <c r="N956" s="342"/>
      <c r="R956" s="341"/>
      <c r="S956" s="341"/>
    </row>
    <row r="957" spans="1:19" ht="12.75" customHeight="1">
      <c r="A957" s="404"/>
      <c r="B957" s="405" t="s">
        <v>228</v>
      </c>
      <c r="C957" s="406"/>
      <c r="D957" s="406"/>
      <c r="E957" s="407"/>
      <c r="F957" s="408">
        <f>F955+F956</f>
        <v>0</v>
      </c>
      <c r="J957" s="341"/>
      <c r="L957" s="380"/>
      <c r="M957" s="381"/>
      <c r="N957" s="342"/>
      <c r="R957" s="341"/>
      <c r="S957" s="341"/>
    </row>
    <row r="958" spans="1:19" ht="12.75" customHeight="1">
      <c r="A958" s="409" t="s">
        <v>47</v>
      </c>
      <c r="B958" s="410" t="s">
        <v>236</v>
      </c>
      <c r="C958" s="411" t="s">
        <v>231</v>
      </c>
      <c r="D958" s="412" t="s">
        <v>232</v>
      </c>
      <c r="E958" s="413" t="s">
        <v>233</v>
      </c>
      <c r="F958" s="378" t="s">
        <v>234</v>
      </c>
      <c r="J958" s="341"/>
      <c r="L958" s="380"/>
      <c r="M958" s="381"/>
      <c r="N958" s="342"/>
      <c r="R958" s="341"/>
      <c r="S958" s="341"/>
    </row>
    <row r="959" spans="1:19" ht="12.75" customHeight="1">
      <c r="A959" s="393" t="str">
        <f>VII.A!$A$181</f>
        <v>3.1</v>
      </c>
      <c r="B959" s="394" t="str">
        <f>VII.A!$B$181</f>
        <v>AJUDANTE COM ENCARGOS COMPLEMENTARES</v>
      </c>
      <c r="C959" s="20">
        <v>0.5</v>
      </c>
      <c r="D959" s="384" t="str">
        <f>VII.A!$C$181</f>
        <v>H</v>
      </c>
      <c r="E959" s="387">
        <f>VII.A!$D$181</f>
        <v>0</v>
      </c>
      <c r="F959" s="388">
        <f t="shared" ref="F959:F965" si="253">ROUND(C959*E959,2)</f>
        <v>0</v>
      </c>
      <c r="H959" s="341">
        <f>IF(A959="","",VLOOKUP(A959,VII.A!$A$10:$D$199,4,FALSE))</f>
        <v>0</v>
      </c>
      <c r="I959" s="341" t="str">
        <f t="shared" ref="I959:I965" si="254">IF(A959="","",IF(E959=H959,"SIM","NÃO"))</f>
        <v>SIM</v>
      </c>
      <c r="J959" s="341" t="str">
        <f>IF(A959="","",VLOOKUP(A959,VII.A!$A$10:$D$199,3,FALSE))</f>
        <v>H</v>
      </c>
      <c r="K959" s="342" t="str">
        <f t="shared" ref="K959:K965" si="255">IF(A959="","",IF(J959=D959,"SIM","NÃO"))</f>
        <v>SIM</v>
      </c>
      <c r="L959" s="380">
        <f>IF(C959="","",G923*C959)</f>
        <v>5</v>
      </c>
      <c r="M959" s="381" t="str">
        <f>IF(A959="","",VLOOKUP(A959,VII.A!$A$10:$B$199,2,FALSE))</f>
        <v>AJUDANTE COM ENCARGOS COMPLEMENTARES</v>
      </c>
      <c r="N959" s="342" t="str">
        <f t="shared" ref="N959:N965" si="256">IF(B959="","",IF(M959=B959,"si","no"))</f>
        <v>si</v>
      </c>
      <c r="R959" s="341"/>
      <c r="S959" s="341"/>
    </row>
    <row r="960" spans="1:19" ht="12.75" customHeight="1">
      <c r="A960" s="393"/>
      <c r="C960" s="20"/>
      <c r="E960" s="387"/>
      <c r="F960" s="388">
        <f t="shared" si="253"/>
        <v>0</v>
      </c>
      <c r="H960" s="341" t="str">
        <f>IF(A960="","",VLOOKUP(A960,VII.A!$A$10:$D$199,4,FALSE))</f>
        <v/>
      </c>
      <c r="I960" s="341" t="str">
        <f t="shared" si="254"/>
        <v/>
      </c>
      <c r="J960" s="341" t="str">
        <f>IF(A960="","",VLOOKUP(A960,VII.A!$A$10:$D$199,3,FALSE))</f>
        <v/>
      </c>
      <c r="K960" s="342" t="str">
        <f t="shared" si="255"/>
        <v/>
      </c>
      <c r="L960" s="380" t="str">
        <f>IF(C960="","",G923*C960)</f>
        <v/>
      </c>
      <c r="M960" s="381" t="str">
        <f>IF(A960="","",VLOOKUP(A960,VII.A!$A$10:$B$199,2,FALSE))</f>
        <v/>
      </c>
      <c r="N960" s="342" t="str">
        <f t="shared" si="256"/>
        <v/>
      </c>
      <c r="R960" s="341"/>
      <c r="S960" s="341"/>
    </row>
    <row r="961" spans="1:25" ht="12.75" customHeight="1">
      <c r="A961" s="393"/>
      <c r="C961" s="20"/>
      <c r="E961" s="387"/>
      <c r="F961" s="388">
        <f t="shared" si="253"/>
        <v>0</v>
      </c>
      <c r="H961" s="341" t="str">
        <f>IF(A961="","",VLOOKUP(A961,VII.A!$A$10:$D$199,4,FALSE))</f>
        <v/>
      </c>
      <c r="I961" s="341" t="str">
        <f t="shared" si="254"/>
        <v/>
      </c>
      <c r="J961" s="341" t="str">
        <f>IF(A961="","",VLOOKUP(A961,VII.A!$A$10:$D$199,3,FALSE))</f>
        <v/>
      </c>
      <c r="K961" s="342" t="str">
        <f t="shared" si="255"/>
        <v/>
      </c>
      <c r="L961" s="380" t="str">
        <f>IF(C961="","",G923*C961)</f>
        <v/>
      </c>
      <c r="M961" s="381" t="str">
        <f>IF(A961="","",VLOOKUP(A961,VII.A!$A$10:$B$199,2,FALSE))</f>
        <v/>
      </c>
      <c r="N961" s="342" t="str">
        <f t="shared" si="256"/>
        <v/>
      </c>
      <c r="R961" s="341"/>
      <c r="S961" s="341"/>
    </row>
    <row r="962" spans="1:25" ht="12.75" customHeight="1">
      <c r="A962" s="393"/>
      <c r="C962" s="20"/>
      <c r="E962" s="387"/>
      <c r="F962" s="388">
        <f t="shared" si="253"/>
        <v>0</v>
      </c>
      <c r="H962" s="341" t="str">
        <f>IF(A962="","",VLOOKUP(A962,VII.A!$A$10:$D$199,4,FALSE))</f>
        <v/>
      </c>
      <c r="I962" s="341" t="str">
        <f t="shared" si="254"/>
        <v/>
      </c>
      <c r="J962" s="341" t="str">
        <f>IF(A962="","",VLOOKUP(A962,VII.A!$A$10:$D$199,3,FALSE))</f>
        <v/>
      </c>
      <c r="K962" s="342" t="str">
        <f t="shared" si="255"/>
        <v/>
      </c>
      <c r="L962" s="380" t="str">
        <f>IF(C962="","",G923*C962)</f>
        <v/>
      </c>
      <c r="M962" s="381" t="str">
        <f>IF(A962="","",VLOOKUP(A962,VII.A!$A$10:$B$199,2,FALSE))</f>
        <v/>
      </c>
      <c r="N962" s="342" t="str">
        <f t="shared" si="256"/>
        <v/>
      </c>
      <c r="R962" s="341"/>
      <c r="S962" s="341"/>
    </row>
    <row r="963" spans="1:25" ht="12.75" customHeight="1">
      <c r="A963" s="393"/>
      <c r="C963" s="20"/>
      <c r="E963" s="387"/>
      <c r="F963" s="388">
        <f t="shared" si="253"/>
        <v>0</v>
      </c>
      <c r="H963" s="341" t="str">
        <f>IF(A963="","",VLOOKUP(A963,VII.A!$A$10:$D$199,4,FALSE))</f>
        <v/>
      </c>
      <c r="I963" s="341" t="str">
        <f t="shared" si="254"/>
        <v/>
      </c>
      <c r="J963" s="341" t="str">
        <f>IF(A963="","",VLOOKUP(A963,VII.A!$A$10:$D$199,3,FALSE))</f>
        <v/>
      </c>
      <c r="K963" s="342" t="str">
        <f t="shared" si="255"/>
        <v/>
      </c>
      <c r="L963" s="380" t="str">
        <f>IF(C963="","",G923*C963)</f>
        <v/>
      </c>
      <c r="M963" s="381" t="str">
        <f>IF(A963="","",VLOOKUP(A963,VII.A!$A$10:$B$199,2,FALSE))</f>
        <v/>
      </c>
      <c r="N963" s="342" t="str">
        <f t="shared" si="256"/>
        <v/>
      </c>
      <c r="R963" s="341"/>
      <c r="S963" s="341"/>
    </row>
    <row r="964" spans="1:25" ht="12.75" customHeight="1">
      <c r="A964" s="393"/>
      <c r="C964" s="20"/>
      <c r="E964" s="387"/>
      <c r="F964" s="388">
        <f t="shared" si="253"/>
        <v>0</v>
      </c>
      <c r="H964" s="341" t="str">
        <f>IF(A964="","",VLOOKUP(A964,VII.A!$A$10:$D$199,4,FALSE))</f>
        <v/>
      </c>
      <c r="I964" s="341" t="str">
        <f t="shared" si="254"/>
        <v/>
      </c>
      <c r="J964" s="341" t="str">
        <f>IF(A964="","",VLOOKUP(A964,VII.A!$A$10:$D$199,3,FALSE))</f>
        <v/>
      </c>
      <c r="K964" s="342" t="str">
        <f t="shared" si="255"/>
        <v/>
      </c>
      <c r="L964" s="380" t="str">
        <f>IF(C964="","",G923*C964)</f>
        <v/>
      </c>
      <c r="M964" s="381" t="str">
        <f>IF(A964="","",VLOOKUP(A964,VII.A!$A$10:$B$199,2,FALSE))</f>
        <v/>
      </c>
      <c r="N964" s="342" t="str">
        <f t="shared" si="256"/>
        <v/>
      </c>
      <c r="R964" s="341"/>
      <c r="S964" s="341"/>
    </row>
    <row r="965" spans="1:25" ht="12.75" customHeight="1">
      <c r="A965" s="393"/>
      <c r="C965" s="20"/>
      <c r="E965" s="387"/>
      <c r="F965" s="388">
        <f t="shared" si="253"/>
        <v>0</v>
      </c>
      <c r="H965" s="341" t="str">
        <f>IF(A965="","",VLOOKUP(A965,VII.A!$A$10:$D$199,4,FALSE))</f>
        <v/>
      </c>
      <c r="I965" s="341" t="str">
        <f t="shared" si="254"/>
        <v/>
      </c>
      <c r="J965" s="341" t="str">
        <f>IF(A965="","",VLOOKUP(A965,VII.A!$A$10:$D$199,3,FALSE))</f>
        <v/>
      </c>
      <c r="K965" s="342" t="str">
        <f t="shared" si="255"/>
        <v/>
      </c>
      <c r="L965" s="380" t="str">
        <f>IF(C965="","",G923*C965)</f>
        <v/>
      </c>
      <c r="M965" s="381" t="str">
        <f>IF(A965="","",VLOOKUP(A965,VII.A!$A$10:$B$199,2,FALSE))</f>
        <v/>
      </c>
      <c r="N965" s="342" t="str">
        <f t="shared" si="256"/>
        <v/>
      </c>
      <c r="R965" s="341"/>
      <c r="S965" s="341"/>
    </row>
    <row r="966" spans="1:25" ht="12.75" customHeight="1">
      <c r="A966" s="393"/>
      <c r="B966" s="395" t="s">
        <v>226</v>
      </c>
      <c r="C966" s="396"/>
      <c r="D966" s="397"/>
      <c r="E966" s="398"/>
      <c r="F966" s="399">
        <f>SUM(F959:F965)</f>
        <v>0</v>
      </c>
      <c r="J966" s="341"/>
      <c r="L966" s="380"/>
      <c r="M966" s="381"/>
      <c r="N966" s="342"/>
      <c r="R966" s="341"/>
      <c r="S966" s="341"/>
    </row>
    <row r="967" spans="1:25" ht="12.75" customHeight="1">
      <c r="A967" s="393"/>
      <c r="B967" s="400" t="s">
        <v>229</v>
      </c>
      <c r="C967" s="2">
        <f>IX.A!$C$45</f>
        <v>0</v>
      </c>
      <c r="D967" s="401"/>
      <c r="E967" s="402"/>
      <c r="F967" s="403">
        <f>ROUND(F966*C967,2)</f>
        <v>0</v>
      </c>
      <c r="J967" s="341"/>
      <c r="L967" s="380"/>
      <c r="M967" s="381"/>
      <c r="N967" s="342"/>
      <c r="R967" s="341"/>
      <c r="S967" s="341"/>
    </row>
    <row r="968" spans="1:25" ht="12.75" customHeight="1">
      <c r="A968" s="393"/>
      <c r="B968" s="400" t="s">
        <v>53</v>
      </c>
      <c r="C968" s="2">
        <f>$D$8</f>
        <v>0</v>
      </c>
      <c r="D968" s="401"/>
      <c r="E968" s="402"/>
      <c r="F968" s="403">
        <f>ROUND(SUM(F966:F967)*C968,2)</f>
        <v>0</v>
      </c>
      <c r="J968" s="341"/>
      <c r="L968" s="380"/>
      <c r="M968" s="381"/>
      <c r="N968" s="342"/>
      <c r="R968" s="341"/>
      <c r="S968" s="341"/>
    </row>
    <row r="969" spans="1:25" ht="12.75" customHeight="1" thickBot="1">
      <c r="A969" s="414"/>
      <c r="B969" s="415" t="s">
        <v>230</v>
      </c>
      <c r="C969" s="416"/>
      <c r="D969" s="416"/>
      <c r="E969" s="417"/>
      <c r="F969" s="418">
        <f>SUM(F966:F968)</f>
        <v>0</v>
      </c>
      <c r="J969" s="341"/>
      <c r="L969" s="380"/>
      <c r="M969" s="381"/>
      <c r="N969" s="342"/>
      <c r="R969" s="341"/>
      <c r="S969" s="341"/>
    </row>
    <row r="970" spans="1:25" ht="12.75" customHeight="1" thickBot="1">
      <c r="A970" s="427"/>
      <c r="B970" s="428"/>
      <c r="C970" s="429"/>
      <c r="D970" s="429"/>
      <c r="E970" s="430"/>
      <c r="F970" s="431"/>
      <c r="J970" s="341"/>
      <c r="L970" s="380"/>
      <c r="M970" s="381"/>
      <c r="N970" s="342"/>
      <c r="R970" s="341"/>
      <c r="S970" s="341"/>
    </row>
    <row r="971" spans="1:25" ht="30" customHeight="1">
      <c r="A971" s="370" t="str">
        <f>IV.A!$A$46</f>
        <v>3.1.1</v>
      </c>
      <c r="B971" s="371" t="str">
        <f>IV.A!$B$46</f>
        <v>ALAMBRADO COM TELA DE ARAME GALVANIZADO, FIXADA EM MOURÃO DE CONCRETO ARMADO, INCLUINDO MURETA DE CONCRETO</v>
      </c>
      <c r="C971" s="871" t="s">
        <v>237</v>
      </c>
      <c r="D971" s="872"/>
      <c r="E971" s="372" t="str">
        <f>IV.A!$C$46</f>
        <v>M</v>
      </c>
      <c r="F971" s="11">
        <f>ROUND(F991+F1005+F1017,2)</f>
        <v>0</v>
      </c>
      <c r="G971" s="1">
        <f>VLOOKUP(A971,IV.A!$A$16:$L$172,4,FALSE)</f>
        <v>250</v>
      </c>
      <c r="H971" s="361">
        <f>SUM(F973:F988)+F990</f>
        <v>0</v>
      </c>
      <c r="I971" s="361">
        <f>SUM(F993:F1002)+F1004</f>
        <v>0</v>
      </c>
      <c r="J971" s="361">
        <f>SUM(F1007:F1013)+F1015+F1016</f>
        <v>0</v>
      </c>
      <c r="K971" s="361">
        <f>SUM(H971:J971)</f>
        <v>0</v>
      </c>
      <c r="L971" s="362" t="str">
        <f>IF(K971=F971,"SIM","NÃO")</f>
        <v>SIM</v>
      </c>
      <c r="M971" s="373">
        <f>ROUND(SUM(F973:F988),2)+ROUND(SUM(F973:F988)*C990,2)+ROUND(SUM(F993:F1002)*C1004,2)+ROUND(SUM(F993:F1002),2)+ROUND(SUM(F1007:F1013)*C1015,2)+ROUND((SUM(F1007:F1013)+ROUND(SUM(F1007:F1013)*C1015,2))*C1016,2)+ROUND(SUM(F1007:F1013),2)</f>
        <v>0</v>
      </c>
      <c r="N971" s="343" t="str">
        <f>IF(M971=F971,"SIM","NÃO")</f>
        <v>SIM</v>
      </c>
      <c r="O971" s="364" t="str">
        <f>VLOOKUP(A971,IV.A!$A$16:$E$172,3,FALSE)</f>
        <v>M</v>
      </c>
      <c r="P971" s="344" t="str">
        <f>IF(O971=E971,"SIM","NÃO")</f>
        <v>SIM</v>
      </c>
      <c r="Q971" s="365">
        <f>ROUND(G971*F991,2)+ROUND(G971*F1005,2)+ROUND(G971*F1017,2)</f>
        <v>0</v>
      </c>
      <c r="R971" s="364">
        <f>VLOOKUP(A971,IV.A!$A$16:$L$172,12,FALSE)</f>
        <v>0</v>
      </c>
      <c r="S971" s="366" t="str">
        <f>IF(Q971=R971,"si","no")</f>
        <v>si</v>
      </c>
      <c r="T971" s="367">
        <f>SUM(L973:L988)+SUM(L993:L1002)+SUM(L1007:L1013)</f>
        <v>3226.7849999999999</v>
      </c>
      <c r="U971" s="341">
        <f>(SUM(C973:C988)+SUM(C993:C1002)+SUM(C1007:C1013))*G971</f>
        <v>3226.7849999999994</v>
      </c>
      <c r="V971" s="368" t="str">
        <f>IF(T971=U971,"si","no")</f>
        <v>si</v>
      </c>
      <c r="W971" s="369">
        <f>SUM(F973:F988)</f>
        <v>0</v>
      </c>
      <c r="X971" s="369">
        <f>SUM(F993:F1002)</f>
        <v>0</v>
      </c>
      <c r="Y971" s="369">
        <f>SUM(F1007:F1013)</f>
        <v>0</v>
      </c>
    </row>
    <row r="972" spans="1:25" ht="12.75" customHeight="1">
      <c r="A972" s="374" t="s">
        <v>14</v>
      </c>
      <c r="B972" s="375" t="s">
        <v>132</v>
      </c>
      <c r="C972" s="376" t="s">
        <v>231</v>
      </c>
      <c r="D972" s="376" t="s">
        <v>232</v>
      </c>
      <c r="E972" s="377" t="s">
        <v>233</v>
      </c>
      <c r="F972" s="378" t="s">
        <v>234</v>
      </c>
      <c r="G972" s="379"/>
      <c r="J972" s="341"/>
      <c r="L972" s="380"/>
      <c r="M972" s="381"/>
      <c r="N972" s="342"/>
      <c r="O972" s="382"/>
      <c r="P972" s="383"/>
      <c r="Q972" s="383"/>
      <c r="R972" s="383"/>
      <c r="S972" s="383"/>
      <c r="T972" s="382"/>
      <c r="U972" s="341"/>
      <c r="V972" s="384"/>
      <c r="W972" s="384"/>
      <c r="X972" s="384"/>
      <c r="Y972" s="384"/>
    </row>
    <row r="973" spans="1:25" ht="12.75" customHeight="1">
      <c r="A973" s="385" t="str">
        <f>VII.A!$A$16</f>
        <v>1.7</v>
      </c>
      <c r="B973" s="394" t="str">
        <f>VLOOKUP(A973,VII.A!$A$10:$G$199,2,FALSE)</f>
        <v>ARAME GALVANIZADO 14 BWG (0,026 KG/M)</v>
      </c>
      <c r="C973" s="20">
        <v>0.15</v>
      </c>
      <c r="D973" s="342" t="str">
        <f>VLOOKUP(A973,VII.A!$A$10:$G$199,3,FALSE)</f>
        <v>KG</v>
      </c>
      <c r="E973" s="387">
        <f>VII.A!$D$16</f>
        <v>0</v>
      </c>
      <c r="F973" s="388">
        <f>ROUND(C973*E973,2)</f>
        <v>0</v>
      </c>
      <c r="H973" s="341">
        <f>IF(A973="","",VLOOKUP(A973,VII.A!$A$10:$D$199,4,FALSE))</f>
        <v>0</v>
      </c>
      <c r="I973" s="341" t="str">
        <f t="shared" ref="I973:I988" si="257">IF(A973="","",IF(E973=H973,"SIM","NÃO"))</f>
        <v>SIM</v>
      </c>
      <c r="J973" s="341" t="str">
        <f>IF(A973="","",VLOOKUP(A973,VII.A!$A$10:$D$199,3,FALSE))</f>
        <v>KG</v>
      </c>
      <c r="K973" s="342" t="str">
        <f t="shared" ref="K973:K988" si="258">IF(A973="","",IF(J973=D973,"SIM","NÃO"))</f>
        <v>SIM</v>
      </c>
      <c r="L973" s="380">
        <f>IF(C973="","",G971*C973)</f>
        <v>37.5</v>
      </c>
      <c r="M973" s="381" t="str">
        <f>IF(A973="","",VLOOKUP(A973,VII.A!$A$10:$B$199,2,FALSE))</f>
        <v>ARAME GALVANIZADO 14 BWG (0,026 KG/M)</v>
      </c>
      <c r="N973" s="342" t="str">
        <f t="shared" ref="N973:N988" si="259">IF(B973="","",IF(M973=B973,"si","no"))</f>
        <v>si</v>
      </c>
      <c r="R973" s="341"/>
      <c r="S973" s="341"/>
    </row>
    <row r="974" spans="1:25" ht="12.75" customHeight="1">
      <c r="A974" s="385" t="str">
        <f>VII.A!$A$17</f>
        <v>1.8</v>
      </c>
      <c r="B974" s="394" t="str">
        <f>VLOOKUP(A974,VII.A!$A$10:$G$199,2,FALSE)</f>
        <v>ARAME GALVANIZADO 10 BWG (0,0713 KG/M)</v>
      </c>
      <c r="C974" s="20">
        <v>5.9839999999999997E-2</v>
      </c>
      <c r="D974" s="342" t="str">
        <f>VLOOKUP(A974,VII.A!$A$10:$G$199,3,FALSE)</f>
        <v>KG</v>
      </c>
      <c r="E974" s="387">
        <f>VII.A!$D$17</f>
        <v>0</v>
      </c>
      <c r="F974" s="388">
        <f t="shared" ref="F974:F988" si="260">ROUND(C974*E974,2)</f>
        <v>0</v>
      </c>
      <c r="H974" s="341">
        <f>IF(A974="","",VLOOKUP(A974,VII.A!$A$10:$D$199,4,FALSE))</f>
        <v>0</v>
      </c>
      <c r="I974" s="341" t="str">
        <f t="shared" si="257"/>
        <v>SIM</v>
      </c>
      <c r="J974" s="341" t="str">
        <f>IF(A974="","",VLOOKUP(A974,VII.A!$A$10:$D$199,3,FALSE))</f>
        <v>KG</v>
      </c>
      <c r="K974" s="342" t="str">
        <f t="shared" si="258"/>
        <v>SIM</v>
      </c>
      <c r="L974" s="380">
        <f>IF(C974="","",G971*C974)</f>
        <v>14.959999999999999</v>
      </c>
      <c r="M974" s="381" t="str">
        <f>IF(A974="","",VLOOKUP(A974,VII.A!$A$10:$B$199,2,FALSE))</f>
        <v>ARAME GALVANIZADO 10 BWG (0,0713 KG/M)</v>
      </c>
      <c r="N974" s="342" t="str">
        <f t="shared" si="259"/>
        <v>si</v>
      </c>
      <c r="R974" s="341"/>
      <c r="S974" s="341"/>
    </row>
    <row r="975" spans="1:25" ht="12.75" customHeight="1">
      <c r="A975" s="385" t="str">
        <f>VII.A!$A$19</f>
        <v>1.10</v>
      </c>
      <c r="B975" s="394" t="str">
        <f>VLOOKUP(A975,VII.A!$A$10:$G$199,2,FALSE)</f>
        <v>AREIA MÉDIA LAVADA</v>
      </c>
      <c r="C975" s="20">
        <v>1.6799999999999999E-2</v>
      </c>
      <c r="D975" s="342" t="str">
        <f>VLOOKUP(A975,VII.A!$A$10:$G$199,3,FALSE)</f>
        <v>M3</v>
      </c>
      <c r="E975" s="387">
        <f>VII.A!$D$19</f>
        <v>0</v>
      </c>
      <c r="F975" s="388">
        <f t="shared" si="260"/>
        <v>0</v>
      </c>
      <c r="H975" s="341">
        <f>IF(A975="","",VLOOKUP(A975,VII.A!$A$10:$D$199,4,FALSE))</f>
        <v>0</v>
      </c>
      <c r="I975" s="341" t="str">
        <f t="shared" si="257"/>
        <v>SIM</v>
      </c>
      <c r="J975" s="341" t="str">
        <f>IF(A975="","",VLOOKUP(A975,VII.A!$A$10:$D$199,3,FALSE))</f>
        <v>M3</v>
      </c>
      <c r="K975" s="342" t="str">
        <f t="shared" si="258"/>
        <v>SIM</v>
      </c>
      <c r="L975" s="380">
        <f>IF(C975="","",G971*C975)</f>
        <v>4.2</v>
      </c>
      <c r="M975" s="381" t="str">
        <f>IF(A975="","",VLOOKUP(A975,VII.A!$A$10:$B$199,2,FALSE))</f>
        <v>AREIA MÉDIA LAVADA</v>
      </c>
      <c r="N975" s="342" t="str">
        <f t="shared" si="259"/>
        <v>si</v>
      </c>
      <c r="R975" s="341"/>
      <c r="S975" s="341"/>
    </row>
    <row r="976" spans="1:25" ht="12.75" customHeight="1">
      <c r="A976" s="385" t="str">
        <f>VII.A!$A$38</f>
        <v>1.29</v>
      </c>
      <c r="B976" s="394" t="str">
        <f>VLOOKUP(A976,VII.A!$A$10:$G$199,2,FALSE)</f>
        <v>CIMENTO PORTLAND CP II-E-32</v>
      </c>
      <c r="C976" s="20">
        <v>4.6399999999999997</v>
      </c>
      <c r="D976" s="342" t="str">
        <f>VLOOKUP(A976,VII.A!$A$10:$G$199,3,FALSE)</f>
        <v>KG</v>
      </c>
      <c r="E976" s="387">
        <f>VII.A!$D$38</f>
        <v>0</v>
      </c>
      <c r="F976" s="388">
        <f t="shared" si="260"/>
        <v>0</v>
      </c>
      <c r="H976" s="341">
        <f>IF(A976="","",VLOOKUP(A976,VII.A!$A$10:$D$199,4,FALSE))</f>
        <v>0</v>
      </c>
      <c r="I976" s="341" t="str">
        <f t="shared" si="257"/>
        <v>SIM</v>
      </c>
      <c r="J976" s="341" t="str">
        <f>IF(A976="","",VLOOKUP(A976,VII.A!$A$10:$D$199,3,FALSE))</f>
        <v>KG</v>
      </c>
      <c r="K976" s="342" t="str">
        <f t="shared" si="258"/>
        <v>SIM</v>
      </c>
      <c r="L976" s="380">
        <f>IF(C976="","",G971*C976)</f>
        <v>1160</v>
      </c>
      <c r="M976" s="381" t="str">
        <f>IF(A976="","",VLOOKUP(A976,VII.A!$A$10:$B$199,2,FALSE))</f>
        <v>CIMENTO PORTLAND CP II-E-32</v>
      </c>
      <c r="N976" s="342" t="str">
        <f t="shared" si="259"/>
        <v>si</v>
      </c>
      <c r="R976" s="341"/>
      <c r="S976" s="341"/>
    </row>
    <row r="977" spans="1:21" ht="12.75" customHeight="1">
      <c r="A977" s="385" t="str">
        <f>VII.A!$A$75</f>
        <v>1.66</v>
      </c>
      <c r="B977" s="394" t="str">
        <f>VLOOKUP(A977,VII.A!$A$10:$G$199,2,FALSE)</f>
        <v>MOURÃO DE CONCRETO CURVO, 10X10CM, *H = 2,50* M + CURVA COM 0,40* M</v>
      </c>
      <c r="C977" s="20">
        <v>0.4</v>
      </c>
      <c r="D977" s="342" t="str">
        <f>VLOOKUP(A977,VII.A!$A$10:$G$199,3,FALSE)</f>
        <v>UN</v>
      </c>
      <c r="E977" s="387">
        <f>VII.A!$D$75</f>
        <v>0</v>
      </c>
      <c r="F977" s="388">
        <f t="shared" si="260"/>
        <v>0</v>
      </c>
      <c r="H977" s="341">
        <f>IF(A977="","",VLOOKUP(A977,VII.A!$A$10:$D$199,4,FALSE))</f>
        <v>0</v>
      </c>
      <c r="I977" s="341" t="str">
        <f t="shared" si="257"/>
        <v>SIM</v>
      </c>
      <c r="J977" s="341" t="str">
        <f>IF(A977="","",VLOOKUP(A977,VII.A!$A$10:$D$199,3,FALSE))</f>
        <v>UN</v>
      </c>
      <c r="K977" s="342" t="str">
        <f t="shared" si="258"/>
        <v>SIM</v>
      </c>
      <c r="L977" s="380">
        <f>IF(C977="","",G971*C977)</f>
        <v>100</v>
      </c>
      <c r="M977" s="381" t="str">
        <f>IF(A977="","",VLOOKUP(A977,VII.A!$A$10:$B$199,2,FALSE))</f>
        <v>MOURÃO DE CONCRETO CURVO, 10X10CM, *H = 2,50* M + CURVA COM 0,40* M</v>
      </c>
      <c r="N977" s="342" t="str">
        <f t="shared" si="259"/>
        <v>si</v>
      </c>
      <c r="R977" s="341"/>
      <c r="S977" s="341"/>
    </row>
    <row r="978" spans="1:21" ht="12.75" customHeight="1">
      <c r="A978" s="385" t="str">
        <f>VII.A!$A$84</f>
        <v>1.74</v>
      </c>
      <c r="B978" s="394" t="str">
        <f>VLOOKUP(A978,VII.A!$A$10:$G$199,2,FALSE)</f>
        <v>PEDRA BRITADA Nº 2 GRANULOMETRIA ENTRE (21,0 E 32,0 MM)</v>
      </c>
      <c r="C978" s="20">
        <v>1.2999999999999999E-2</v>
      </c>
      <c r="D978" s="342" t="str">
        <f>VLOOKUP(A978,VII.A!$A$10:$G$199,3,FALSE)</f>
        <v>M3</v>
      </c>
      <c r="E978" s="387">
        <f>VII.A!$D$84</f>
        <v>0</v>
      </c>
      <c r="F978" s="388">
        <f t="shared" si="260"/>
        <v>0</v>
      </c>
      <c r="H978" s="341">
        <f>IF(A978="","",VLOOKUP(A978,VII.A!$A$10:$D$199,4,FALSE))</f>
        <v>0</v>
      </c>
      <c r="I978" s="341" t="str">
        <f t="shared" si="257"/>
        <v>SIM</v>
      </c>
      <c r="J978" s="341" t="str">
        <f>IF(A978="","",VLOOKUP(A978,VII.A!$A$10:$D$199,3,FALSE))</f>
        <v>M3</v>
      </c>
      <c r="K978" s="342" t="str">
        <f t="shared" si="258"/>
        <v>SIM</v>
      </c>
      <c r="L978" s="380">
        <f>IF(C978="","",G971*C978)</f>
        <v>3.25</v>
      </c>
      <c r="M978" s="381" t="str">
        <f>IF(A978="","",VLOOKUP(A978,VII.A!$A$10:$B$199,2,FALSE))</f>
        <v>PEDRA BRITADA Nº 2 GRANULOMETRIA ENTRE (21,0 E 32,0 MM)</v>
      </c>
      <c r="N978" s="342" t="str">
        <f t="shared" si="259"/>
        <v>si</v>
      </c>
      <c r="R978" s="341"/>
      <c r="S978" s="341"/>
      <c r="U978" s="389"/>
    </row>
    <row r="979" spans="1:21" ht="12.75" customHeight="1">
      <c r="A979" s="385" t="str">
        <f>VII.A!$A$82</f>
        <v>1.73</v>
      </c>
      <c r="B979" s="394" t="str">
        <f>VLOOKUP(A979,VII.A!$A$10:$G$199,2,FALSE)</f>
        <v>PEDRA BRITADA Nº 1 GRANULOMETRIA ENTRE (9,5 E 25,00 MM)</v>
      </c>
      <c r="C979" s="20">
        <v>1.2999999999999999E-2</v>
      </c>
      <c r="D979" s="342" t="str">
        <f>VLOOKUP(A979,VII.A!$A$10:$G$199,3,FALSE)</f>
        <v>M3</v>
      </c>
      <c r="E979" s="387">
        <f>VII.A!$D$82</f>
        <v>0</v>
      </c>
      <c r="F979" s="388">
        <f t="shared" si="260"/>
        <v>0</v>
      </c>
      <c r="H979" s="341">
        <f>IF(A979="","",VLOOKUP(A979,VII.A!$A$10:$D$199,4,FALSE))</f>
        <v>0</v>
      </c>
      <c r="I979" s="341" t="str">
        <f t="shared" si="257"/>
        <v>SIM</v>
      </c>
      <c r="J979" s="341" t="str">
        <f>IF(A979="","",VLOOKUP(A979,VII.A!$A$10:$D$199,3,FALSE))</f>
        <v>M3</v>
      </c>
      <c r="K979" s="342" t="str">
        <f t="shared" si="258"/>
        <v>SIM</v>
      </c>
      <c r="L979" s="380">
        <f>IF(C979="","",G971*C979)</f>
        <v>3.25</v>
      </c>
      <c r="M979" s="381" t="str">
        <f>IF(A979="","",VLOOKUP(A979,VII.A!$A$10:$B$199,2,FALSE))</f>
        <v>PEDRA BRITADA Nº 1 GRANULOMETRIA ENTRE (9,5 E 25,00 MM)</v>
      </c>
      <c r="N979" s="342" t="str">
        <f t="shared" si="259"/>
        <v>si</v>
      </c>
      <c r="R979" s="341"/>
      <c r="S979" s="341"/>
    </row>
    <row r="980" spans="1:21" ht="12.75" customHeight="1">
      <c r="A980" s="385" t="str">
        <f>VII.A!$A$102</f>
        <v>1.92</v>
      </c>
      <c r="B980" s="394" t="str">
        <f>VLOOKUP(A980,VII.A!$A$10:$G$199,2,FALSE)</f>
        <v>TELA ARAME GALVANIZADO FIO 12 BWG (2,77MM) MALHA 5 X 5CM, H=2M</v>
      </c>
      <c r="C980" s="20">
        <v>1.9</v>
      </c>
      <c r="D980" s="342" t="str">
        <f>VLOOKUP(A980,VII.A!$A$10:$G$199,3,FALSE)</f>
        <v>M2</v>
      </c>
      <c r="E980" s="387">
        <f>VII.A!$D$102</f>
        <v>0</v>
      </c>
      <c r="F980" s="388">
        <f t="shared" si="260"/>
        <v>0</v>
      </c>
      <c r="G980" s="390"/>
      <c r="H980" s="341">
        <f>IF(A980="","",VLOOKUP(A980,VII.A!$A$10:$D$199,4,FALSE))</f>
        <v>0</v>
      </c>
      <c r="I980" s="341" t="str">
        <f t="shared" si="257"/>
        <v>SIM</v>
      </c>
      <c r="J980" s="341" t="str">
        <f>IF(A980="","",VLOOKUP(A980,VII.A!$A$10:$D$199,3,FALSE))</f>
        <v>M2</v>
      </c>
      <c r="K980" s="342" t="str">
        <f t="shared" si="258"/>
        <v>SIM</v>
      </c>
      <c r="L980" s="380">
        <f>IF(C980="","",G971*C980)</f>
        <v>475</v>
      </c>
      <c r="M980" s="381" t="str">
        <f>IF(A980="","",VLOOKUP(A980,VII.A!$A$10:$B$199,2,FALSE))</f>
        <v>TELA ARAME GALVANIZADO FIO 12 BWG (2,77MM) MALHA 5 X 5CM, H=2M</v>
      </c>
      <c r="N980" s="342" t="str">
        <f t="shared" si="259"/>
        <v>si</v>
      </c>
      <c r="R980" s="341"/>
      <c r="S980" s="341"/>
    </row>
    <row r="981" spans="1:21" ht="12.75" customHeight="1">
      <c r="A981" s="385" t="str">
        <f>VII.A!$A$15</f>
        <v>1.6</v>
      </c>
      <c r="B981" s="394" t="str">
        <f>VLOOKUP(A981,VII.A!$A$10:$G$199,2,FALSE)</f>
        <v>ARAME FARPADO GALVANIZADO 16 BWG, CLASSE 250</v>
      </c>
      <c r="C981" s="20">
        <v>3</v>
      </c>
      <c r="D981" s="342" t="str">
        <f>VLOOKUP(A981,VII.A!$A$10:$G$199,3,FALSE)</f>
        <v>M</v>
      </c>
      <c r="E981" s="387">
        <f>VII.A!$D$15</f>
        <v>0</v>
      </c>
      <c r="F981" s="388">
        <f t="shared" si="260"/>
        <v>0</v>
      </c>
      <c r="G981" s="390"/>
      <c r="H981" s="341">
        <f>IF(A981="","",VLOOKUP(A981,VII.A!$A$10:$D$199,4,FALSE))</f>
        <v>0</v>
      </c>
      <c r="I981" s="341" t="str">
        <f t="shared" si="257"/>
        <v>SIM</v>
      </c>
      <c r="J981" s="341" t="str">
        <f>IF(A981="","",VLOOKUP(A981,VII.A!$A$10:$D$199,3,FALSE))</f>
        <v>M</v>
      </c>
      <c r="K981" s="342" t="str">
        <f t="shared" si="258"/>
        <v>SIM</v>
      </c>
      <c r="L981" s="380">
        <f>IF(C981="","",G971*C981)</f>
        <v>750</v>
      </c>
      <c r="M981" s="381" t="str">
        <f>IF(A981="","",VLOOKUP(A981,VII.A!$A$10:$B$199,2,FALSE))</f>
        <v>ARAME FARPADO GALVANIZADO 16 BWG, CLASSE 250</v>
      </c>
      <c r="N981" s="342" t="str">
        <f t="shared" si="259"/>
        <v>si</v>
      </c>
      <c r="R981" s="341"/>
      <c r="S981" s="341"/>
    </row>
    <row r="982" spans="1:21" ht="12.75" customHeight="1">
      <c r="A982" s="385"/>
      <c r="B982" s="386"/>
      <c r="C982" s="20"/>
      <c r="D982" s="342"/>
      <c r="E982" s="387"/>
      <c r="F982" s="388">
        <f t="shared" si="260"/>
        <v>0</v>
      </c>
      <c r="G982" s="391"/>
      <c r="H982" s="341" t="str">
        <f>IF(A982="","",VLOOKUP(A982,VII.A!$A$10:$D$199,4,FALSE))</f>
        <v/>
      </c>
      <c r="I982" s="341" t="str">
        <f t="shared" si="257"/>
        <v/>
      </c>
      <c r="J982" s="341" t="str">
        <f>IF(A982="","",VLOOKUP(A982,VII.A!$A$10:$D$199,3,FALSE))</f>
        <v/>
      </c>
      <c r="K982" s="342" t="str">
        <f t="shared" si="258"/>
        <v/>
      </c>
      <c r="L982" s="380" t="str">
        <f>IF(C982="","",G971*C982)</f>
        <v/>
      </c>
      <c r="M982" s="381" t="str">
        <f>IF(A982="","",VLOOKUP(A982,VII.A!$A$10:$B$199,2,FALSE))</f>
        <v/>
      </c>
      <c r="N982" s="342" t="str">
        <f t="shared" si="259"/>
        <v/>
      </c>
      <c r="R982" s="341"/>
      <c r="S982" s="341"/>
    </row>
    <row r="983" spans="1:21" ht="12.75" customHeight="1">
      <c r="A983" s="385"/>
      <c r="B983" s="386"/>
      <c r="C983" s="20"/>
      <c r="D983" s="342"/>
      <c r="E983" s="387"/>
      <c r="F983" s="388">
        <f t="shared" si="260"/>
        <v>0</v>
      </c>
      <c r="H983" s="341" t="str">
        <f>IF(A983="","",VLOOKUP(A983,VII.A!$A$10:$D$199,4,FALSE))</f>
        <v/>
      </c>
      <c r="I983" s="341" t="str">
        <f t="shared" si="257"/>
        <v/>
      </c>
      <c r="J983" s="341" t="str">
        <f>IF(A983="","",VLOOKUP(A983,VII.A!$A$10:$D$199,3,FALSE))</f>
        <v/>
      </c>
      <c r="K983" s="342" t="str">
        <f t="shared" si="258"/>
        <v/>
      </c>
      <c r="L983" s="380" t="str">
        <f>IF(C983="","",G971*C983)</f>
        <v/>
      </c>
      <c r="M983" s="381" t="str">
        <f>IF(A983="","",VLOOKUP(A983,VII.A!$A$10:$B$199,2,FALSE))</f>
        <v/>
      </c>
      <c r="N983" s="342" t="str">
        <f t="shared" si="259"/>
        <v/>
      </c>
      <c r="R983" s="341"/>
      <c r="S983" s="341"/>
    </row>
    <row r="984" spans="1:21" ht="12.75" customHeight="1">
      <c r="A984" s="385"/>
      <c r="B984" s="386"/>
      <c r="C984" s="20"/>
      <c r="D984" s="392"/>
      <c r="E984" s="387"/>
      <c r="F984" s="388">
        <f t="shared" si="260"/>
        <v>0</v>
      </c>
      <c r="H984" s="341" t="str">
        <f>IF(A984="","",VLOOKUP(A984,VII.A!$A$10:$D$199,4,FALSE))</f>
        <v/>
      </c>
      <c r="I984" s="341" t="str">
        <f t="shared" si="257"/>
        <v/>
      </c>
      <c r="J984" s="341" t="str">
        <f>IF(A984="","",VLOOKUP(A984,VII.A!$A$10:$D$199,3,FALSE))</f>
        <v/>
      </c>
      <c r="K984" s="342" t="str">
        <f t="shared" si="258"/>
        <v/>
      </c>
      <c r="L984" s="380" t="str">
        <f>IF(C984="","",G971*C984)</f>
        <v/>
      </c>
      <c r="M984" s="381" t="str">
        <f>IF(A984="","",VLOOKUP(A984,VII.A!$A$10:$B$199,2,FALSE))</f>
        <v/>
      </c>
      <c r="N984" s="342" t="str">
        <f t="shared" si="259"/>
        <v/>
      </c>
      <c r="R984" s="341"/>
      <c r="S984" s="341"/>
    </row>
    <row r="985" spans="1:21" ht="12.75" customHeight="1">
      <c r="A985" s="385"/>
      <c r="B985" s="386"/>
      <c r="C985" s="20"/>
      <c r="D985" s="392"/>
      <c r="E985" s="387"/>
      <c r="F985" s="388">
        <f t="shared" si="260"/>
        <v>0</v>
      </c>
      <c r="H985" s="341" t="str">
        <f>IF(A985="","",VLOOKUP(A985,VII.A!$A$10:$D$199,4,FALSE))</f>
        <v/>
      </c>
      <c r="I985" s="341" t="str">
        <f t="shared" si="257"/>
        <v/>
      </c>
      <c r="J985" s="341" t="str">
        <f>IF(A985="","",VLOOKUP(A985,VII.A!$A$10:$D$199,3,FALSE))</f>
        <v/>
      </c>
      <c r="K985" s="342" t="str">
        <f t="shared" si="258"/>
        <v/>
      </c>
      <c r="L985" s="380" t="str">
        <f>IF(C985="","",G971*C985)</f>
        <v/>
      </c>
      <c r="M985" s="381" t="str">
        <f>IF(A985="","",VLOOKUP(A985,VII.A!$A$10:$B$199,2,FALSE))</f>
        <v/>
      </c>
      <c r="N985" s="342" t="str">
        <f t="shared" si="259"/>
        <v/>
      </c>
      <c r="O985" s="342"/>
      <c r="R985" s="341"/>
      <c r="S985" s="341"/>
    </row>
    <row r="986" spans="1:21" ht="12.75" customHeight="1">
      <c r="A986" s="385"/>
      <c r="B986" s="386"/>
      <c r="C986" s="20"/>
      <c r="D986" s="392"/>
      <c r="E986" s="387"/>
      <c r="F986" s="388">
        <f t="shared" si="260"/>
        <v>0</v>
      </c>
      <c r="H986" s="341" t="str">
        <f>IF(A986="","",VLOOKUP(A986,VII.A!$A$10:$D$199,4,FALSE))</f>
        <v/>
      </c>
      <c r="I986" s="341" t="str">
        <f t="shared" si="257"/>
        <v/>
      </c>
      <c r="J986" s="341" t="str">
        <f>IF(A986="","",VLOOKUP(A986,VII.A!$A$10:$D$199,3,FALSE))</f>
        <v/>
      </c>
      <c r="K986" s="342" t="str">
        <f t="shared" si="258"/>
        <v/>
      </c>
      <c r="L986" s="380" t="str">
        <f>IF(C986="","",G971*C986)</f>
        <v/>
      </c>
      <c r="M986" s="381" t="str">
        <f>IF(A986="","",VLOOKUP(A986,VII.A!$A$10:$B$199,2,FALSE))</f>
        <v/>
      </c>
      <c r="N986" s="342" t="str">
        <f t="shared" si="259"/>
        <v/>
      </c>
      <c r="R986" s="341"/>
      <c r="S986" s="341"/>
    </row>
    <row r="987" spans="1:21" ht="12.75" customHeight="1">
      <c r="A987" s="393"/>
      <c r="C987" s="20"/>
      <c r="E987" s="387"/>
      <c r="F987" s="388">
        <f t="shared" si="260"/>
        <v>0</v>
      </c>
      <c r="H987" s="341" t="str">
        <f>IF(A987="","",VLOOKUP(A987,VII.A!$A$10:$D$199,4,FALSE))</f>
        <v/>
      </c>
      <c r="I987" s="341" t="str">
        <f t="shared" si="257"/>
        <v/>
      </c>
      <c r="J987" s="341" t="str">
        <f>IF(A987="","",VLOOKUP(A987,VII.A!$A$10:$D$199,3,FALSE))</f>
        <v/>
      </c>
      <c r="K987" s="342" t="str">
        <f t="shared" si="258"/>
        <v/>
      </c>
      <c r="L987" s="380" t="str">
        <f>IF(C987="","",G971*C987)</f>
        <v/>
      </c>
      <c r="M987" s="381" t="str">
        <f>IF(A987="","",VLOOKUP(A987,VII.A!$A$10:$B$199,2,FALSE))</f>
        <v/>
      </c>
      <c r="N987" s="342" t="str">
        <f t="shared" si="259"/>
        <v/>
      </c>
      <c r="R987" s="341"/>
      <c r="S987" s="341"/>
    </row>
    <row r="988" spans="1:21" ht="12.75" customHeight="1">
      <c r="A988" s="393"/>
      <c r="C988" s="20"/>
      <c r="E988" s="387"/>
      <c r="F988" s="388">
        <f t="shared" si="260"/>
        <v>0</v>
      </c>
      <c r="H988" s="341" t="str">
        <f>IF(A988="","",VLOOKUP(A988,VII.A!$A$10:$D$199,4,FALSE))</f>
        <v/>
      </c>
      <c r="I988" s="341" t="str">
        <f t="shared" si="257"/>
        <v/>
      </c>
      <c r="J988" s="341" t="str">
        <f>IF(A988="","",VLOOKUP(A988,VII.A!$A$10:$D$199,3,FALSE))</f>
        <v/>
      </c>
      <c r="K988" s="342" t="str">
        <f t="shared" si="258"/>
        <v/>
      </c>
      <c r="L988" s="380" t="str">
        <f>IF(C988="","",G971*C988)</f>
        <v/>
      </c>
      <c r="M988" s="381" t="str">
        <f>IF(A988="","",VLOOKUP(A988,VII.A!$A$10:$B$199,2,FALSE))</f>
        <v/>
      </c>
      <c r="N988" s="342" t="str">
        <f t="shared" si="259"/>
        <v/>
      </c>
      <c r="R988" s="341"/>
      <c r="S988" s="341"/>
    </row>
    <row r="989" spans="1:21" ht="12.75" customHeight="1">
      <c r="A989" s="393"/>
      <c r="B989" s="395" t="s">
        <v>226</v>
      </c>
      <c r="C989" s="396"/>
      <c r="D989" s="397"/>
      <c r="E989" s="398"/>
      <c r="F989" s="399">
        <f>SUM(F973:F988)</f>
        <v>0</v>
      </c>
      <c r="J989" s="341"/>
      <c r="L989" s="380"/>
      <c r="M989" s="381"/>
      <c r="N989" s="342"/>
      <c r="R989" s="341"/>
      <c r="S989" s="341"/>
    </row>
    <row r="990" spans="1:21" ht="12.75" customHeight="1">
      <c r="A990" s="393"/>
      <c r="B990" s="400" t="s">
        <v>53</v>
      </c>
      <c r="C990" s="2">
        <f>$D$8</f>
        <v>0</v>
      </c>
      <c r="D990" s="401"/>
      <c r="E990" s="402"/>
      <c r="F990" s="403">
        <f>ROUND(F989*C990,2)</f>
        <v>0</v>
      </c>
      <c r="H990" s="426" t="s">
        <v>398</v>
      </c>
      <c r="J990" s="341"/>
      <c r="L990" s="380"/>
      <c r="M990" s="381"/>
      <c r="N990" s="342"/>
      <c r="R990" s="341"/>
      <c r="S990" s="341"/>
    </row>
    <row r="991" spans="1:21" ht="12.75" customHeight="1">
      <c r="A991" s="404"/>
      <c r="B991" s="405" t="s">
        <v>227</v>
      </c>
      <c r="C991" s="406"/>
      <c r="D991" s="406"/>
      <c r="E991" s="407"/>
      <c r="F991" s="408">
        <f>F989+F990</f>
        <v>0</v>
      </c>
      <c r="J991" s="341"/>
      <c r="L991" s="380"/>
      <c r="M991" s="381"/>
      <c r="N991" s="342"/>
      <c r="R991" s="341"/>
      <c r="S991" s="341"/>
    </row>
    <row r="992" spans="1:21" ht="12.75" customHeight="1">
      <c r="A992" s="374" t="s">
        <v>2</v>
      </c>
      <c r="B992" s="375" t="s">
        <v>235</v>
      </c>
      <c r="C992" s="376" t="s">
        <v>231</v>
      </c>
      <c r="D992" s="376" t="s">
        <v>232</v>
      </c>
      <c r="E992" s="377" t="s">
        <v>233</v>
      </c>
      <c r="F992" s="378" t="s">
        <v>234</v>
      </c>
      <c r="J992" s="341"/>
      <c r="L992" s="380"/>
      <c r="M992" s="381"/>
      <c r="N992" s="342"/>
      <c r="R992" s="341"/>
      <c r="S992" s="341"/>
    </row>
    <row r="993" spans="1:19" ht="12.75" customHeight="1">
      <c r="A993" s="393" t="str">
        <f>VII.A!$A$149</f>
        <v>2.7</v>
      </c>
      <c r="B993" s="394" t="str">
        <f>VLOOKUP(A993,VII.A!$A$10:$G$199,2,FALSE)</f>
        <v>BETONEIRA, CAPACIDADE NOMINAL DE 400L, MOTOR ELÉTRICO TRIFÁSICO DE  2CV - CHP</v>
      </c>
      <c r="C993" s="20">
        <v>1.4500000000000001E-2</v>
      </c>
      <c r="D993" s="384" t="str">
        <f>VLOOKUP(A993,VII.A!$A$10:$G$199,3,FALSE)</f>
        <v>CHP</v>
      </c>
      <c r="E993" s="387">
        <f>VII.A!$D$149</f>
        <v>0</v>
      </c>
      <c r="F993" s="388">
        <f t="shared" ref="F993:F1002" si="261">ROUND(C993*E993,2)</f>
        <v>0</v>
      </c>
      <c r="H993" s="341">
        <f>IF(A993="","",VLOOKUP(A993,VII.A!$A$10:$D$199,4,FALSE))</f>
        <v>0</v>
      </c>
      <c r="I993" s="341" t="str">
        <f t="shared" ref="I993:I1002" si="262">IF(A993="","",IF(E993=H993,"SIM","NÃO"))</f>
        <v>SIM</v>
      </c>
      <c r="J993" s="341" t="str">
        <f>IF(A993="","",VLOOKUP(A993,VII.A!$A$10:$D$199,3,FALSE))</f>
        <v>CHP</v>
      </c>
      <c r="K993" s="342" t="str">
        <f t="shared" ref="K993:K1002" si="263">IF(A993="","",IF(J993=D993,"SIM","NÃO"))</f>
        <v>SIM</v>
      </c>
      <c r="L993" s="380">
        <f>IF(C993="","",G971*C993)</f>
        <v>3.625</v>
      </c>
      <c r="M993" s="381" t="str">
        <f>IF(A993="","",VLOOKUP(A993,VII.A!$A$10:$B$199,2,FALSE))</f>
        <v>BETONEIRA, CAPACIDADE NOMINAL DE 400L, MOTOR ELÉTRICO TRIFÁSICO DE  2CV - CHP</v>
      </c>
      <c r="N993" s="342" t="str">
        <f t="shared" ref="N993:N1002" si="264">IF(B993="","",IF(M993=B993,"si","no"))</f>
        <v>si</v>
      </c>
      <c r="R993" s="341"/>
      <c r="S993" s="341"/>
    </row>
    <row r="994" spans="1:19" ht="12.75" customHeight="1">
      <c r="A994" s="393"/>
      <c r="C994" s="20"/>
      <c r="E994" s="387"/>
      <c r="F994" s="388">
        <f t="shared" si="261"/>
        <v>0</v>
      </c>
      <c r="H994" s="341" t="str">
        <f>IF(A994="","",VLOOKUP(A994,VII.A!$A$10:$D$199,4,FALSE))</f>
        <v/>
      </c>
      <c r="I994" s="341" t="str">
        <f t="shared" si="262"/>
        <v/>
      </c>
      <c r="J994" s="341" t="str">
        <f>IF(A994="","",VLOOKUP(A994,VII.A!$A$10:$D$199,3,FALSE))</f>
        <v/>
      </c>
      <c r="K994" s="342" t="str">
        <f t="shared" si="263"/>
        <v/>
      </c>
      <c r="L994" s="380" t="str">
        <f>IF(C994="","",G971*C994)</f>
        <v/>
      </c>
      <c r="M994" s="381" t="str">
        <f>IF(A994="","",VLOOKUP(A994,VII.A!$A$10:$B$199,2,FALSE))</f>
        <v/>
      </c>
      <c r="N994" s="342" t="str">
        <f t="shared" si="264"/>
        <v/>
      </c>
      <c r="R994" s="341"/>
      <c r="S994" s="341"/>
    </row>
    <row r="995" spans="1:19" ht="12.75" customHeight="1">
      <c r="A995" s="393"/>
      <c r="C995" s="20"/>
      <c r="E995" s="387"/>
      <c r="F995" s="388">
        <f t="shared" si="261"/>
        <v>0</v>
      </c>
      <c r="H995" s="341" t="str">
        <f>IF(A995="","",VLOOKUP(A995,VII.A!$A$10:$D$199,4,FALSE))</f>
        <v/>
      </c>
      <c r="I995" s="341" t="str">
        <f t="shared" si="262"/>
        <v/>
      </c>
      <c r="J995" s="341" t="str">
        <f>IF(A995="","",VLOOKUP(A995,VII.A!$A$10:$D$199,3,FALSE))</f>
        <v/>
      </c>
      <c r="K995" s="342" t="str">
        <f t="shared" si="263"/>
        <v/>
      </c>
      <c r="L995" s="380" t="str">
        <f>IF(C995="","",G971*C995)</f>
        <v/>
      </c>
      <c r="M995" s="381" t="str">
        <f>IF(A995="","",VLOOKUP(A995,VII.A!$A$10:$B$199,2,FALSE))</f>
        <v/>
      </c>
      <c r="N995" s="342" t="str">
        <f t="shared" si="264"/>
        <v/>
      </c>
      <c r="R995" s="341"/>
      <c r="S995" s="341"/>
    </row>
    <row r="996" spans="1:19" ht="12.75" customHeight="1">
      <c r="A996" s="393"/>
      <c r="C996" s="20"/>
      <c r="E996" s="387"/>
      <c r="F996" s="388">
        <f t="shared" si="261"/>
        <v>0</v>
      </c>
      <c r="H996" s="341" t="str">
        <f>IF(A996="","",VLOOKUP(A996,VII.A!$A$10:$D$199,4,FALSE))</f>
        <v/>
      </c>
      <c r="I996" s="341" t="str">
        <f t="shared" si="262"/>
        <v/>
      </c>
      <c r="J996" s="341" t="str">
        <f>IF(A996="","",VLOOKUP(A996,VII.A!$A$10:$D$199,3,FALSE))</f>
        <v/>
      </c>
      <c r="K996" s="342" t="str">
        <f t="shared" si="263"/>
        <v/>
      </c>
      <c r="L996" s="380" t="str">
        <f>IF(C996="","",G971*C996)</f>
        <v/>
      </c>
      <c r="M996" s="381" t="str">
        <f>IF(A996="","",VLOOKUP(A996,VII.A!$A$10:$B$199,2,FALSE))</f>
        <v/>
      </c>
      <c r="N996" s="342" t="str">
        <f t="shared" si="264"/>
        <v/>
      </c>
      <c r="R996" s="341"/>
      <c r="S996" s="341"/>
    </row>
    <row r="997" spans="1:19" ht="12.75" customHeight="1">
      <c r="A997" s="393"/>
      <c r="C997" s="20"/>
      <c r="E997" s="387"/>
      <c r="F997" s="388">
        <f t="shared" si="261"/>
        <v>0</v>
      </c>
      <c r="G997" s="390"/>
      <c r="H997" s="341" t="str">
        <f>IF(A997="","",VLOOKUP(A997,VII.A!$A$10:$D$199,4,FALSE))</f>
        <v/>
      </c>
      <c r="I997" s="341" t="str">
        <f t="shared" si="262"/>
        <v/>
      </c>
      <c r="J997" s="341" t="str">
        <f>IF(A997="","",VLOOKUP(A997,VII.A!$A$10:$D$199,3,FALSE))</f>
        <v/>
      </c>
      <c r="K997" s="342" t="str">
        <f t="shared" si="263"/>
        <v/>
      </c>
      <c r="L997" s="380" t="str">
        <f>IF(C997="","",G971*C997)</f>
        <v/>
      </c>
      <c r="M997" s="381" t="str">
        <f>IF(A997="","",VLOOKUP(A997,VII.A!$A$10:$B$199,2,FALSE))</f>
        <v/>
      </c>
      <c r="N997" s="342" t="str">
        <f t="shared" si="264"/>
        <v/>
      </c>
      <c r="R997" s="341"/>
      <c r="S997" s="341"/>
    </row>
    <row r="998" spans="1:19" ht="12.75" customHeight="1">
      <c r="A998" s="393"/>
      <c r="C998" s="20"/>
      <c r="E998" s="387"/>
      <c r="F998" s="388">
        <f t="shared" si="261"/>
        <v>0</v>
      </c>
      <c r="G998" s="391"/>
      <c r="H998" s="341" t="str">
        <f>IF(A998="","",VLOOKUP(A998,VII.A!$A$10:$D$199,4,FALSE))</f>
        <v/>
      </c>
      <c r="I998" s="341" t="str">
        <f t="shared" si="262"/>
        <v/>
      </c>
      <c r="J998" s="341" t="str">
        <f>IF(A998="","",VLOOKUP(A998,VII.A!$A$10:$D$199,3,FALSE))</f>
        <v/>
      </c>
      <c r="K998" s="342" t="str">
        <f t="shared" si="263"/>
        <v/>
      </c>
      <c r="L998" s="380" t="str">
        <f>IF(C998="","",G971*C998)</f>
        <v/>
      </c>
      <c r="M998" s="381" t="str">
        <f>IF(A998="","",VLOOKUP(A998,VII.A!$A$10:$B$199,2,FALSE))</f>
        <v/>
      </c>
      <c r="N998" s="342" t="str">
        <f t="shared" si="264"/>
        <v/>
      </c>
      <c r="R998" s="341"/>
      <c r="S998" s="341"/>
    </row>
    <row r="999" spans="1:19" ht="12.75" customHeight="1">
      <c r="A999" s="393"/>
      <c r="C999" s="20"/>
      <c r="E999" s="387"/>
      <c r="F999" s="388">
        <f t="shared" si="261"/>
        <v>0</v>
      </c>
      <c r="H999" s="341" t="str">
        <f>IF(A999="","",VLOOKUP(A999,VII.A!$A$10:$D$199,4,FALSE))</f>
        <v/>
      </c>
      <c r="I999" s="341" t="str">
        <f t="shared" si="262"/>
        <v/>
      </c>
      <c r="J999" s="341" t="str">
        <f>IF(A999="","",VLOOKUP(A999,VII.A!$A$10:$D$199,3,FALSE))</f>
        <v/>
      </c>
      <c r="K999" s="342" t="str">
        <f t="shared" si="263"/>
        <v/>
      </c>
      <c r="L999" s="380" t="str">
        <f>IF(C999="","",G971*C999)</f>
        <v/>
      </c>
      <c r="M999" s="381" t="str">
        <f>IF(A999="","",VLOOKUP(A999,VII.A!$A$10:$B$199,2,FALSE))</f>
        <v/>
      </c>
      <c r="N999" s="342" t="str">
        <f t="shared" si="264"/>
        <v/>
      </c>
      <c r="R999" s="341"/>
      <c r="S999" s="341"/>
    </row>
    <row r="1000" spans="1:19" ht="12.75" customHeight="1">
      <c r="A1000" s="393"/>
      <c r="C1000" s="20"/>
      <c r="E1000" s="387"/>
      <c r="F1000" s="388">
        <f t="shared" si="261"/>
        <v>0</v>
      </c>
      <c r="H1000" s="341" t="str">
        <f>IF(A1000="","",VLOOKUP(A1000,VII.A!$A$10:$D$199,4,FALSE))</f>
        <v/>
      </c>
      <c r="I1000" s="341" t="str">
        <f t="shared" si="262"/>
        <v/>
      </c>
      <c r="J1000" s="341" t="str">
        <f>IF(A1000="","",VLOOKUP(A1000,VII.A!$A$10:$D$199,3,FALSE))</f>
        <v/>
      </c>
      <c r="K1000" s="342" t="str">
        <f t="shared" si="263"/>
        <v/>
      </c>
      <c r="L1000" s="380" t="str">
        <f>IF(C1000="","",G971*C1000)</f>
        <v/>
      </c>
      <c r="M1000" s="381" t="str">
        <f>IF(A1000="","",VLOOKUP(A1000,VII.A!$A$10:$B$199,2,FALSE))</f>
        <v/>
      </c>
      <c r="N1000" s="342" t="str">
        <f t="shared" si="264"/>
        <v/>
      </c>
      <c r="R1000" s="341"/>
      <c r="S1000" s="341"/>
    </row>
    <row r="1001" spans="1:19" ht="12.75" customHeight="1">
      <c r="A1001" s="393"/>
      <c r="C1001" s="20"/>
      <c r="E1001" s="387"/>
      <c r="F1001" s="388">
        <f t="shared" si="261"/>
        <v>0</v>
      </c>
      <c r="H1001" s="341" t="str">
        <f>IF(A1001="","",VLOOKUP(A1001,VII.A!$A$10:$D$199,4,FALSE))</f>
        <v/>
      </c>
      <c r="I1001" s="341" t="str">
        <f t="shared" si="262"/>
        <v/>
      </c>
      <c r="J1001" s="341" t="str">
        <f>IF(A1001="","",VLOOKUP(A1001,VII.A!$A$10:$D$199,3,FALSE))</f>
        <v/>
      </c>
      <c r="K1001" s="342" t="str">
        <f t="shared" si="263"/>
        <v/>
      </c>
      <c r="L1001" s="380" t="str">
        <f>IF(C1001="","",G971*C1001)</f>
        <v/>
      </c>
      <c r="M1001" s="381" t="str">
        <f>IF(A1001="","",VLOOKUP(A1001,VII.A!$A$10:$B$199,2,FALSE))</f>
        <v/>
      </c>
      <c r="N1001" s="342" t="str">
        <f t="shared" si="264"/>
        <v/>
      </c>
      <c r="R1001" s="341"/>
      <c r="S1001" s="341"/>
    </row>
    <row r="1002" spans="1:19" ht="12.75" customHeight="1">
      <c r="A1002" s="393"/>
      <c r="C1002" s="20"/>
      <c r="E1002" s="387"/>
      <c r="F1002" s="388">
        <f t="shared" si="261"/>
        <v>0</v>
      </c>
      <c r="H1002" s="341" t="str">
        <f>IF(A1002="","",VLOOKUP(A1002,VII.A!$A$10:$D$199,4,FALSE))</f>
        <v/>
      </c>
      <c r="I1002" s="341" t="str">
        <f t="shared" si="262"/>
        <v/>
      </c>
      <c r="J1002" s="341" t="str">
        <f>IF(A1002="","",VLOOKUP(A1002,VII.A!$A$10:$D$199,3,FALSE))</f>
        <v/>
      </c>
      <c r="K1002" s="342" t="str">
        <f t="shared" si="263"/>
        <v/>
      </c>
      <c r="L1002" s="380" t="str">
        <f>IF(C1002="","",G971*C1002)</f>
        <v/>
      </c>
      <c r="M1002" s="381" t="str">
        <f>IF(A1002="","",VLOOKUP(A1002,VII.A!$A$10:$B$199,2,FALSE))</f>
        <v/>
      </c>
      <c r="N1002" s="342" t="str">
        <f t="shared" si="264"/>
        <v/>
      </c>
      <c r="R1002" s="341"/>
      <c r="S1002" s="341"/>
    </row>
    <row r="1003" spans="1:19" ht="12.75" customHeight="1">
      <c r="A1003" s="393"/>
      <c r="B1003" s="395" t="s">
        <v>226</v>
      </c>
      <c r="C1003" s="396"/>
      <c r="D1003" s="397"/>
      <c r="E1003" s="398"/>
      <c r="F1003" s="399">
        <f>SUM(F993:F1002)</f>
        <v>0</v>
      </c>
      <c r="J1003" s="341"/>
      <c r="L1003" s="380"/>
      <c r="M1003" s="381"/>
      <c r="N1003" s="342"/>
      <c r="R1003" s="341"/>
      <c r="S1003" s="341"/>
    </row>
    <row r="1004" spans="1:19" ht="12.75" customHeight="1">
      <c r="A1004" s="393"/>
      <c r="B1004" s="400" t="s">
        <v>53</v>
      </c>
      <c r="C1004" s="2">
        <f>$D$8</f>
        <v>0</v>
      </c>
      <c r="D1004" s="401"/>
      <c r="E1004" s="402"/>
      <c r="F1004" s="403">
        <f>ROUND(C1004*F1003,2)</f>
        <v>0</v>
      </c>
      <c r="J1004" s="341"/>
      <c r="L1004" s="380"/>
      <c r="M1004" s="381"/>
      <c r="N1004" s="342"/>
      <c r="R1004" s="341"/>
      <c r="S1004" s="341"/>
    </row>
    <row r="1005" spans="1:19" ht="12.75" customHeight="1">
      <c r="A1005" s="404"/>
      <c r="B1005" s="405" t="s">
        <v>228</v>
      </c>
      <c r="C1005" s="406"/>
      <c r="D1005" s="406"/>
      <c r="E1005" s="407"/>
      <c r="F1005" s="408">
        <f>F1003+F1004</f>
        <v>0</v>
      </c>
      <c r="J1005" s="341"/>
      <c r="L1005" s="380"/>
      <c r="M1005" s="381"/>
      <c r="N1005" s="342"/>
      <c r="R1005" s="341"/>
      <c r="S1005" s="341"/>
    </row>
    <row r="1006" spans="1:19" ht="12.75" customHeight="1">
      <c r="A1006" s="409" t="s">
        <v>47</v>
      </c>
      <c r="B1006" s="410" t="s">
        <v>236</v>
      </c>
      <c r="C1006" s="411" t="s">
        <v>231</v>
      </c>
      <c r="D1006" s="412" t="s">
        <v>232</v>
      </c>
      <c r="E1006" s="413" t="s">
        <v>233</v>
      </c>
      <c r="F1006" s="378" t="s">
        <v>234</v>
      </c>
      <c r="J1006" s="341"/>
      <c r="L1006" s="380"/>
      <c r="M1006" s="381"/>
      <c r="N1006" s="342"/>
      <c r="R1006" s="341"/>
      <c r="S1006" s="341"/>
    </row>
    <row r="1007" spans="1:19" ht="12.75" customHeight="1">
      <c r="A1007" s="393" t="str">
        <f>VII.A!$A$192</f>
        <v>3.12</v>
      </c>
      <c r="B1007" s="394" t="s">
        <v>153</v>
      </c>
      <c r="C1007" s="20">
        <v>0.8</v>
      </c>
      <c r="D1007" s="384" t="str">
        <f>VLOOKUP(A1007,VII.A!$A$10:$G$199,3,FALSE)</f>
        <v>H</v>
      </c>
      <c r="E1007" s="387">
        <f>VII.A!$D$192</f>
        <v>0</v>
      </c>
      <c r="F1007" s="388">
        <f t="shared" ref="F1007:F1013" si="265">ROUND(C1007*E1007,2)</f>
        <v>0</v>
      </c>
      <c r="H1007" s="341">
        <f>IF(A1007="","",VLOOKUP(A1007,VII.A!$A$10:$D$199,4,FALSE))</f>
        <v>0</v>
      </c>
      <c r="I1007" s="341" t="str">
        <f t="shared" ref="I1007:I1013" si="266">IF(A1007="","",IF(E1007=H1007,"SIM","NÃO"))</f>
        <v>SIM</v>
      </c>
      <c r="J1007" s="341" t="str">
        <f>IF(A1007="","",VLOOKUP(A1007,VII.A!$A$10:$D$199,3,FALSE))</f>
        <v>H</v>
      </c>
      <c r="K1007" s="342" t="str">
        <f t="shared" ref="K1007:K1013" si="267">IF(A1007="","",IF(J1007=D1007,"SIM","NÃO"))</f>
        <v>SIM</v>
      </c>
      <c r="L1007" s="380">
        <f>IF(C1007="","",G971*C1007)</f>
        <v>200</v>
      </c>
      <c r="M1007" s="381" t="str">
        <f>IF(A1007="","",VLOOKUP(A1007,VII.A!$A$10:$B$199,2,FALSE))</f>
        <v>PEDREIRO COM ENCARGOS COMPLEMENTARES</v>
      </c>
      <c r="N1007" s="342" t="str">
        <f t="shared" ref="N1007:N1013" si="268">IF(B1007="","",IF(M1007=B1007,"si","no"))</f>
        <v>si</v>
      </c>
      <c r="R1007" s="341"/>
      <c r="S1007" s="341"/>
    </row>
    <row r="1008" spans="1:19" ht="12.75" customHeight="1">
      <c r="A1008" s="393" t="str">
        <f>VII.A!$A$196</f>
        <v>3.16</v>
      </c>
      <c r="B1008" s="394" t="s">
        <v>157</v>
      </c>
      <c r="C1008" s="20">
        <v>1.9</v>
      </c>
      <c r="D1008" s="384" t="str">
        <f>VLOOKUP(A1008,VII.A!$A$10:$G$199,3,FALSE)</f>
        <v>H</v>
      </c>
      <c r="E1008" s="387">
        <f>VII.A!$D$196</f>
        <v>0</v>
      </c>
      <c r="F1008" s="388">
        <f t="shared" si="265"/>
        <v>0</v>
      </c>
      <c r="H1008" s="341">
        <f>IF(A1008="","",VLOOKUP(A1008,VII.A!$A$10:$D$199,4,FALSE))</f>
        <v>0</v>
      </c>
      <c r="I1008" s="341" t="str">
        <f t="shared" si="266"/>
        <v>SIM</v>
      </c>
      <c r="J1008" s="341" t="str">
        <f>IF(A1008="","",VLOOKUP(A1008,VII.A!$A$10:$D$199,3,FALSE))</f>
        <v>H</v>
      </c>
      <c r="K1008" s="342" t="str">
        <f t="shared" si="267"/>
        <v>SIM</v>
      </c>
      <c r="L1008" s="380">
        <f>IF(C1008="","",G971*C1008)</f>
        <v>475</v>
      </c>
      <c r="M1008" s="381" t="str">
        <f>IF(A1008="","",VLOOKUP(A1008,VII.A!$A$10:$B$199,2,FALSE))</f>
        <v>SERVENTE COM ENCARGOS COMPLEMENTARES</v>
      </c>
      <c r="N1008" s="342" t="str">
        <f t="shared" si="268"/>
        <v>si</v>
      </c>
      <c r="R1008" s="341"/>
      <c r="S1008" s="341"/>
    </row>
    <row r="1009" spans="1:25" ht="12.75" customHeight="1">
      <c r="A1009" s="393"/>
      <c r="C1009" s="20"/>
      <c r="E1009" s="387"/>
      <c r="F1009" s="388">
        <f t="shared" si="265"/>
        <v>0</v>
      </c>
      <c r="H1009" s="341" t="str">
        <f>IF(A1009="","",VLOOKUP(A1009,VII.A!$A$10:$D$199,4,FALSE))</f>
        <v/>
      </c>
      <c r="I1009" s="341" t="str">
        <f t="shared" si="266"/>
        <v/>
      </c>
      <c r="J1009" s="341" t="str">
        <f>IF(A1009="","",VLOOKUP(A1009,VII.A!$A$10:$D$199,3,FALSE))</f>
        <v/>
      </c>
      <c r="K1009" s="342" t="str">
        <f t="shared" si="267"/>
        <v/>
      </c>
      <c r="L1009" s="380" t="str">
        <f>IF(C1009="","",G971*C1009)</f>
        <v/>
      </c>
      <c r="M1009" s="381" t="str">
        <f>IF(A1009="","",VLOOKUP(A1009,VII.A!$A$10:$B$199,2,FALSE))</f>
        <v/>
      </c>
      <c r="N1009" s="342" t="str">
        <f t="shared" si="268"/>
        <v/>
      </c>
      <c r="R1009" s="341"/>
      <c r="S1009" s="341"/>
    </row>
    <row r="1010" spans="1:25" ht="12.75" customHeight="1">
      <c r="A1010" s="393"/>
      <c r="C1010" s="20"/>
      <c r="E1010" s="387"/>
      <c r="F1010" s="388">
        <f t="shared" si="265"/>
        <v>0</v>
      </c>
      <c r="H1010" s="341" t="str">
        <f>IF(A1010="","",VLOOKUP(A1010,VII.A!$A$10:$D$199,4,FALSE))</f>
        <v/>
      </c>
      <c r="I1010" s="341" t="str">
        <f t="shared" si="266"/>
        <v/>
      </c>
      <c r="J1010" s="341" t="str">
        <f>IF(A1010="","",VLOOKUP(A1010,VII.A!$A$10:$D$199,3,FALSE))</f>
        <v/>
      </c>
      <c r="K1010" s="342" t="str">
        <f t="shared" si="267"/>
        <v/>
      </c>
      <c r="L1010" s="380" t="str">
        <f>IF(C1010="","",G971*C1010)</f>
        <v/>
      </c>
      <c r="M1010" s="381" t="str">
        <f>IF(A1010="","",VLOOKUP(A1010,VII.A!$A$10:$B$199,2,FALSE))</f>
        <v/>
      </c>
      <c r="N1010" s="342" t="str">
        <f t="shared" si="268"/>
        <v/>
      </c>
      <c r="R1010" s="341"/>
      <c r="S1010" s="341"/>
    </row>
    <row r="1011" spans="1:25" ht="12.75" customHeight="1">
      <c r="A1011" s="393"/>
      <c r="C1011" s="20"/>
      <c r="E1011" s="387"/>
      <c r="F1011" s="388">
        <f t="shared" si="265"/>
        <v>0</v>
      </c>
      <c r="H1011" s="341" t="str">
        <f>IF(A1011="","",VLOOKUP(A1011,VII.A!$A$10:$D$199,4,FALSE))</f>
        <v/>
      </c>
      <c r="I1011" s="341" t="str">
        <f t="shared" si="266"/>
        <v/>
      </c>
      <c r="J1011" s="341" t="str">
        <f>IF(A1011="","",VLOOKUP(A1011,VII.A!$A$10:$D$199,3,FALSE))</f>
        <v/>
      </c>
      <c r="K1011" s="342" t="str">
        <f t="shared" si="267"/>
        <v/>
      </c>
      <c r="L1011" s="380" t="str">
        <f>IF(C1011="","",G971*C1011)</f>
        <v/>
      </c>
      <c r="M1011" s="381" t="str">
        <f>IF(A1011="","",VLOOKUP(A1011,VII.A!$A$10:$B$199,2,FALSE))</f>
        <v/>
      </c>
      <c r="N1011" s="342" t="str">
        <f t="shared" si="268"/>
        <v/>
      </c>
      <c r="R1011" s="341"/>
      <c r="S1011" s="341"/>
    </row>
    <row r="1012" spans="1:25" ht="12.75" customHeight="1">
      <c r="A1012" s="393"/>
      <c r="C1012" s="20"/>
      <c r="E1012" s="387"/>
      <c r="F1012" s="388">
        <f t="shared" si="265"/>
        <v>0</v>
      </c>
      <c r="H1012" s="341" t="str">
        <f>IF(A1012="","",VLOOKUP(A1012,VII.A!$A$10:$D$199,4,FALSE))</f>
        <v/>
      </c>
      <c r="I1012" s="341" t="str">
        <f t="shared" si="266"/>
        <v/>
      </c>
      <c r="J1012" s="341" t="str">
        <f>IF(A1012="","",VLOOKUP(A1012,VII.A!$A$10:$D$199,3,FALSE))</f>
        <v/>
      </c>
      <c r="K1012" s="342" t="str">
        <f t="shared" si="267"/>
        <v/>
      </c>
      <c r="L1012" s="380" t="str">
        <f>IF(C1012="","",G971*C1012)</f>
        <v/>
      </c>
      <c r="M1012" s="381" t="str">
        <f>IF(A1012="","",VLOOKUP(A1012,VII.A!$A$10:$B$199,2,FALSE))</f>
        <v/>
      </c>
      <c r="N1012" s="342" t="str">
        <f t="shared" si="268"/>
        <v/>
      </c>
      <c r="R1012" s="341"/>
      <c r="S1012" s="341"/>
    </row>
    <row r="1013" spans="1:25" ht="12.75" customHeight="1">
      <c r="A1013" s="393"/>
      <c r="C1013" s="20"/>
      <c r="E1013" s="387"/>
      <c r="F1013" s="388">
        <f t="shared" si="265"/>
        <v>0</v>
      </c>
      <c r="H1013" s="341" t="str">
        <f>IF(A1013="","",VLOOKUP(A1013,VII.A!$A$10:$D$199,4,FALSE))</f>
        <v/>
      </c>
      <c r="I1013" s="341" t="str">
        <f t="shared" si="266"/>
        <v/>
      </c>
      <c r="J1013" s="341" t="str">
        <f>IF(A1013="","",VLOOKUP(A1013,VII.A!$A$10:$D$199,3,FALSE))</f>
        <v/>
      </c>
      <c r="K1013" s="342" t="str">
        <f t="shared" si="267"/>
        <v/>
      </c>
      <c r="L1013" s="380" t="str">
        <f>IF(C1013="","",G971*C1013)</f>
        <v/>
      </c>
      <c r="M1013" s="381" t="str">
        <f>IF(A1013="","",VLOOKUP(A1013,VII.A!$A$10:$B$199,2,FALSE))</f>
        <v/>
      </c>
      <c r="N1013" s="342" t="str">
        <f t="shared" si="268"/>
        <v/>
      </c>
      <c r="R1013" s="341"/>
      <c r="S1013" s="341"/>
    </row>
    <row r="1014" spans="1:25" ht="12.75" customHeight="1">
      <c r="A1014" s="393"/>
      <c r="B1014" s="395" t="s">
        <v>226</v>
      </c>
      <c r="C1014" s="396"/>
      <c r="D1014" s="397"/>
      <c r="E1014" s="398"/>
      <c r="F1014" s="399">
        <f>SUM(F1007:F1013)</f>
        <v>0</v>
      </c>
      <c r="J1014" s="341"/>
      <c r="L1014" s="380"/>
      <c r="M1014" s="381"/>
      <c r="N1014" s="342"/>
      <c r="R1014" s="341"/>
      <c r="S1014" s="341"/>
    </row>
    <row r="1015" spans="1:25" ht="12.75" customHeight="1">
      <c r="A1015" s="393"/>
      <c r="B1015" s="400" t="s">
        <v>229</v>
      </c>
      <c r="C1015" s="2">
        <f>IX.A!$C$45</f>
        <v>0</v>
      </c>
      <c r="D1015" s="401"/>
      <c r="E1015" s="402"/>
      <c r="F1015" s="403">
        <f>ROUND(F1014*C1015,2)</f>
        <v>0</v>
      </c>
      <c r="J1015" s="341"/>
      <c r="L1015" s="380"/>
      <c r="M1015" s="381"/>
      <c r="N1015" s="342"/>
      <c r="R1015" s="341"/>
      <c r="S1015" s="341"/>
    </row>
    <row r="1016" spans="1:25" ht="12.75" customHeight="1">
      <c r="A1016" s="393"/>
      <c r="B1016" s="400" t="s">
        <v>53</v>
      </c>
      <c r="C1016" s="2">
        <f>$D$8</f>
        <v>0</v>
      </c>
      <c r="D1016" s="401"/>
      <c r="E1016" s="402"/>
      <c r="F1016" s="403">
        <f>ROUND(SUM(F1014:F1015)*C1016,2)</f>
        <v>0</v>
      </c>
      <c r="J1016" s="341"/>
      <c r="L1016" s="380"/>
      <c r="M1016" s="381"/>
      <c r="N1016" s="342"/>
      <c r="R1016" s="341"/>
      <c r="S1016" s="341"/>
    </row>
    <row r="1017" spans="1:25" ht="12.75" customHeight="1" thickBot="1">
      <c r="A1017" s="414"/>
      <c r="B1017" s="415" t="s">
        <v>230</v>
      </c>
      <c r="C1017" s="416"/>
      <c r="D1017" s="416"/>
      <c r="E1017" s="417"/>
      <c r="F1017" s="418">
        <f>SUM(F1014:F1016)</f>
        <v>0</v>
      </c>
      <c r="J1017" s="341"/>
      <c r="L1017" s="380"/>
      <c r="M1017" s="381"/>
      <c r="N1017" s="342"/>
      <c r="R1017" s="341"/>
      <c r="S1017" s="341"/>
    </row>
    <row r="1018" spans="1:25" ht="12.75" customHeight="1" thickBot="1">
      <c r="A1018" s="357"/>
      <c r="B1018" s="358"/>
      <c r="C1018" s="359"/>
      <c r="D1018" s="359"/>
      <c r="E1018" s="360"/>
      <c r="F1018" s="419"/>
      <c r="J1018" s="341"/>
      <c r="L1018" s="380"/>
      <c r="M1018" s="381"/>
      <c r="N1018" s="342"/>
      <c r="R1018" s="341"/>
      <c r="S1018" s="341"/>
    </row>
    <row r="1019" spans="1:25" ht="30" customHeight="1">
      <c r="A1019" s="370" t="str">
        <f>IV.A!$A$47</f>
        <v>3.1.2</v>
      </c>
      <c r="B1019" s="371" t="str">
        <f>IV.A!B47</f>
        <v>ALTEAMENTO DE PROTEÇÃO EM ARAME COM LÂMINAS - CONCERTINA AÇO GALVANIZADO - FORNECIMENTO E INSTALAÇÃO</v>
      </c>
      <c r="C1019" s="871" t="s">
        <v>237</v>
      </c>
      <c r="D1019" s="872"/>
      <c r="E1019" s="372" t="str">
        <f>IV.A!C47</f>
        <v>M</v>
      </c>
      <c r="F1019" s="11">
        <f>ROUND(F1039+F1053+F1065,2)</f>
        <v>0</v>
      </c>
      <c r="G1019" s="1">
        <f>VLOOKUP(A1019,IV.A!$A$16:$L$172,4,FALSE)</f>
        <v>3500</v>
      </c>
      <c r="H1019" s="361">
        <f>SUM(F1021:F1036)+F1038</f>
        <v>0</v>
      </c>
      <c r="I1019" s="361">
        <f>SUM(F1041:F1050)+F1052</f>
        <v>0</v>
      </c>
      <c r="J1019" s="361">
        <f>SUM(F1055:F1061)+F1063+F1064</f>
        <v>0</v>
      </c>
      <c r="K1019" s="361">
        <f>SUM(H1019:J1019)</f>
        <v>0</v>
      </c>
      <c r="L1019" s="362" t="str">
        <f>IF(K1019=F1019,"SIM","NÃO")</f>
        <v>SIM</v>
      </c>
      <c r="M1019" s="373">
        <f>ROUND(SUM(F1021:F1036),2)+ROUND(SUM(F1021:F1036)*C1038,2)+ROUND(SUM(F1041:F1050)*C1052,2)+ROUND(SUM(F1041:F1050),2)+ROUND(SUM(F1055:F1061)*C1063,2)+ROUND((SUM(F1055:F1061)+ROUND(SUM(F1055:F1061)*C1063,2))*C1064,2)+ROUND(SUM(F1055:F1061),2)</f>
        <v>0</v>
      </c>
      <c r="N1019" s="343" t="str">
        <f>IF(M1019=F1019,"SIM","NÃO")</f>
        <v>SIM</v>
      </c>
      <c r="O1019" s="364" t="str">
        <f>VLOOKUP(A1019,IV.A!$A$16:$E$172,3,FALSE)</f>
        <v>M</v>
      </c>
      <c r="P1019" s="344" t="str">
        <f>IF(O1019=E1019,"SIM","NÃO")</f>
        <v>SIM</v>
      </c>
      <c r="Q1019" s="365">
        <f>ROUND(G1019*F1039,2)+ROUND(G1019*F1053,2)+ROUND(G1019*F1065,2)</f>
        <v>0</v>
      </c>
      <c r="R1019" s="364">
        <f>VLOOKUP(A1019,IV.A!$A$16:$L$172,12,FALSE)</f>
        <v>0</v>
      </c>
      <c r="S1019" s="366" t="str">
        <f>IF(Q1019=R1019,"si","no")</f>
        <v>si</v>
      </c>
      <c r="T1019" s="367">
        <f>SUM(L1021:L1036)+SUM(L1041:L1050)+SUM(L1055:L1061)</f>
        <v>13141.45</v>
      </c>
      <c r="U1019" s="341">
        <f>(SUM(C1021:C1036)+SUM(C1041:C1050)+SUM(C1055:C1061))*G1019</f>
        <v>13141.449999999999</v>
      </c>
      <c r="V1019" s="368" t="str">
        <f>IF(T1019=U1019,"si","no")</f>
        <v>si</v>
      </c>
      <c r="W1019" s="369">
        <f>SUM(F1021:F1036)</f>
        <v>0</v>
      </c>
      <c r="X1019" s="369">
        <f>SUM(F1041:F1050)</f>
        <v>0</v>
      </c>
      <c r="Y1019" s="369">
        <f>SUM(F1055:F1061)</f>
        <v>0</v>
      </c>
    </row>
    <row r="1020" spans="1:25" ht="12.75" customHeight="1">
      <c r="A1020" s="374" t="s">
        <v>14</v>
      </c>
      <c r="B1020" s="375" t="s">
        <v>132</v>
      </c>
      <c r="C1020" s="376" t="s">
        <v>231</v>
      </c>
      <c r="D1020" s="376" t="s">
        <v>232</v>
      </c>
      <c r="E1020" s="377" t="s">
        <v>233</v>
      </c>
      <c r="F1020" s="378" t="s">
        <v>234</v>
      </c>
      <c r="G1020" s="379"/>
      <c r="J1020" s="341"/>
      <c r="L1020" s="380"/>
      <c r="M1020" s="381"/>
      <c r="N1020" s="342"/>
      <c r="O1020" s="382"/>
      <c r="P1020" s="383"/>
      <c r="Q1020" s="383"/>
      <c r="R1020" s="383"/>
      <c r="S1020" s="383"/>
      <c r="T1020" s="382"/>
      <c r="U1020" s="341"/>
      <c r="V1020" s="384"/>
      <c r="W1020" s="384"/>
      <c r="X1020" s="384"/>
      <c r="Y1020" s="384"/>
    </row>
    <row r="1021" spans="1:25" ht="12.75" customHeight="1">
      <c r="A1021" s="385" t="str">
        <f>VII.A!$A$40</f>
        <v>1.31</v>
      </c>
      <c r="B1021" s="394" t="str">
        <f>VII.A!$B$40</f>
        <v>CONCERTINA CLIPADA (DUPLA) EM ACO GALVANIZADO DE ALTA RESISTENCIA, ESPIRAL DE 300 MM, D = 2,76 MM</v>
      </c>
      <c r="C1021" s="20">
        <v>1</v>
      </c>
      <c r="D1021" s="342" t="str">
        <f>VII.A!$C$40</f>
        <v>M</v>
      </c>
      <c r="E1021" s="387">
        <f>VII.A!$D$40</f>
        <v>0</v>
      </c>
      <c r="F1021" s="388">
        <f>ROUND(C1021*E1021,2)</f>
        <v>0</v>
      </c>
      <c r="H1021" s="341">
        <f>IF(A1021="","",VLOOKUP(A1021,VII.A!$A$10:$D$199,4,FALSE))</f>
        <v>0</v>
      </c>
      <c r="I1021" s="341" t="str">
        <f t="shared" ref="I1021:I1036" si="269">IF(A1021="","",IF(E1021=H1021,"SIM","NÃO"))</f>
        <v>SIM</v>
      </c>
      <c r="J1021" s="341" t="str">
        <f>IF(A1021="","",VLOOKUP(A1021,VII.A!$A$10:$D$199,3,FALSE))</f>
        <v>M</v>
      </c>
      <c r="K1021" s="342" t="str">
        <f t="shared" ref="K1021:K1036" si="270">IF(A1021="","",IF(J1021=D1021,"SIM","NÃO"))</f>
        <v>SIM</v>
      </c>
      <c r="L1021" s="380">
        <f>IF(C1021="","",G1019*C1021)</f>
        <v>3500</v>
      </c>
      <c r="M1021" s="381" t="str">
        <f>IF(A1021="","",VLOOKUP(A1021,VII.A!$A$10:$B$199,2,FALSE))</f>
        <v>CONCERTINA CLIPADA (DUPLA) EM ACO GALVANIZADO DE ALTA RESISTENCIA, ESPIRAL DE 300 MM, D = 2,76 MM</v>
      </c>
      <c r="N1021" s="342" t="str">
        <f t="shared" ref="N1021:N1036" si="271">IF(B1021="","",IF(M1021=B1021,"si","no"))</f>
        <v>si</v>
      </c>
      <c r="R1021" s="341"/>
      <c r="S1021" s="341"/>
    </row>
    <row r="1022" spans="1:25" ht="12.75" customHeight="1">
      <c r="A1022" s="385" t="str">
        <f>VII.A!$A$46</f>
        <v>1.37</v>
      </c>
      <c r="B1022" s="394" t="str">
        <f>VII.A!$B$46</f>
        <v>ELETRODO REVESTIDO AWS - E7018, DIAMETRO IGUAL A 4,00 MM</v>
      </c>
      <c r="C1022" s="20">
        <v>0.01</v>
      </c>
      <c r="D1022" s="342" t="str">
        <f>VII.A!$C$46</f>
        <v>KG</v>
      </c>
      <c r="E1022" s="387">
        <f>VII.A!$D$46</f>
        <v>0</v>
      </c>
      <c r="F1022" s="388">
        <f t="shared" ref="F1022:F1036" si="272">ROUND(C1022*E1022,2)</f>
        <v>0</v>
      </c>
      <c r="H1022" s="341">
        <f>IF(A1022="","",VLOOKUP(A1022,VII.A!$A$10:$D$199,4,FALSE))</f>
        <v>0</v>
      </c>
      <c r="I1022" s="341" t="str">
        <f t="shared" si="269"/>
        <v>SIM</v>
      </c>
      <c r="J1022" s="341" t="str">
        <f>IF(A1022="","",VLOOKUP(A1022,VII.A!$A$10:$D$199,3,FALSE))</f>
        <v>KG</v>
      </c>
      <c r="K1022" s="342" t="str">
        <f t="shared" si="270"/>
        <v>SIM</v>
      </c>
      <c r="L1022" s="380">
        <f>IF(C1022="","",G1019*C1022)</f>
        <v>35</v>
      </c>
      <c r="M1022" s="381" t="str">
        <f>IF(A1022="","",VLOOKUP(A1022,VII.A!$A$10:$B$199,2,FALSE))</f>
        <v>ELETRODO REVESTIDO AWS - E7018, DIAMETRO IGUAL A 4,00 MM</v>
      </c>
      <c r="N1022" s="342" t="str">
        <f t="shared" si="271"/>
        <v>si</v>
      </c>
      <c r="R1022" s="341"/>
      <c r="S1022" s="341"/>
    </row>
    <row r="1023" spans="1:25" ht="12.75" customHeight="1">
      <c r="A1023" s="385" t="str">
        <f>VII.A!$A$131</f>
        <v>1.121</v>
      </c>
      <c r="B1023" s="394" t="str">
        <f>VII.A!$B$131</f>
        <v>HASTE RETA DE ACO GALVANIZADO, H = *30* CM, BASE RETANGULAR, PARA FIXACAO DE CONCERTINA SIMPLES DE 30 CM (NAO INCLUI OS FIXADORES)</v>
      </c>
      <c r="C1023" s="20">
        <v>1.25</v>
      </c>
      <c r="D1023" s="342" t="str">
        <f>VII.A!$C$131</f>
        <v>UN</v>
      </c>
      <c r="E1023" s="387">
        <f>VII.A!$D$131</f>
        <v>0</v>
      </c>
      <c r="F1023" s="388">
        <f t="shared" si="272"/>
        <v>0</v>
      </c>
      <c r="H1023" s="341">
        <f>IF(A1023="","",VLOOKUP(A1023,VII.A!$A$10:$D$199,4,FALSE))</f>
        <v>0</v>
      </c>
      <c r="I1023" s="341" t="str">
        <f t="shared" si="269"/>
        <v>SIM</v>
      </c>
      <c r="J1023" s="341" t="str">
        <f>IF(A1023="","",VLOOKUP(A1023,VII.A!$A$10:$D$199,3,FALSE))</f>
        <v>UN</v>
      </c>
      <c r="K1023" s="342" t="str">
        <f t="shared" si="270"/>
        <v>SIM</v>
      </c>
      <c r="L1023" s="380">
        <f>IF(C1023="","",G1019*C1023)</f>
        <v>4375</v>
      </c>
      <c r="M1023" s="381" t="str">
        <f>IF(A1023="","",VLOOKUP(A1023,VII.A!$A$10:$B$199,2,FALSE))</f>
        <v>HASTE RETA DE ACO GALVANIZADO, H = *30* CM, BASE RETANGULAR, PARA FIXACAO DE CONCERTINA SIMPLES DE 30 CM (NAO INCLUI OS FIXADORES)</v>
      </c>
      <c r="N1023" s="342" t="str">
        <f t="shared" si="271"/>
        <v>si</v>
      </c>
      <c r="R1023" s="341"/>
      <c r="S1023" s="341"/>
    </row>
    <row r="1024" spans="1:25" ht="12.75" customHeight="1">
      <c r="A1024" s="385" t="str">
        <f>VII.A!$A$16</f>
        <v>1.7</v>
      </c>
      <c r="B1024" s="394" t="str">
        <f>VII.A!$B$16</f>
        <v>ARAME GALVANIZADO 14 BWG (0,026 KG/M)</v>
      </c>
      <c r="C1024" s="20">
        <v>3.5000000000000003E-2</v>
      </c>
      <c r="D1024" s="342" t="str">
        <f>VII.A!$C$16</f>
        <v>KG</v>
      </c>
      <c r="E1024" s="387">
        <f>VII.A!$D$16</f>
        <v>0</v>
      </c>
      <c r="F1024" s="388">
        <f t="shared" si="272"/>
        <v>0</v>
      </c>
      <c r="H1024" s="341">
        <f>IF(A1024="","",VLOOKUP(A1024,VII.A!$A$10:$D$199,4,FALSE))</f>
        <v>0</v>
      </c>
      <c r="I1024" s="341" t="str">
        <f t="shared" si="269"/>
        <v>SIM</v>
      </c>
      <c r="J1024" s="341" t="str">
        <f>IF(A1024="","",VLOOKUP(A1024,VII.A!$A$10:$D$199,3,FALSE))</f>
        <v>KG</v>
      </c>
      <c r="K1024" s="342" t="str">
        <f t="shared" si="270"/>
        <v>SIM</v>
      </c>
      <c r="L1024" s="380">
        <f>IF(C1024="","",G1019*C1024)</f>
        <v>122.50000000000001</v>
      </c>
      <c r="M1024" s="381" t="str">
        <f>IF(A1024="","",VLOOKUP(A1024,VII.A!$A$10:$B$199,2,FALSE))</f>
        <v>ARAME GALVANIZADO 14 BWG (0,026 KG/M)</v>
      </c>
      <c r="N1024" s="342" t="str">
        <f t="shared" si="271"/>
        <v>si</v>
      </c>
      <c r="R1024" s="341"/>
      <c r="S1024" s="341"/>
    </row>
    <row r="1025" spans="1:21" ht="12.75" customHeight="1">
      <c r="A1025" s="385"/>
      <c r="B1025" s="386"/>
      <c r="C1025" s="20"/>
      <c r="D1025" s="342"/>
      <c r="E1025" s="387"/>
      <c r="F1025" s="388">
        <f t="shared" si="272"/>
        <v>0</v>
      </c>
      <c r="H1025" s="341" t="str">
        <f>IF(A1025="","",VLOOKUP(A1025,VII.A!$A$10:$D$199,4,FALSE))</f>
        <v/>
      </c>
      <c r="I1025" s="341" t="str">
        <f t="shared" si="269"/>
        <v/>
      </c>
      <c r="J1025" s="341" t="str">
        <f>IF(A1025="","",VLOOKUP(A1025,VII.A!$A$10:$D$199,3,FALSE))</f>
        <v/>
      </c>
      <c r="K1025" s="342" t="str">
        <f t="shared" si="270"/>
        <v/>
      </c>
      <c r="L1025" s="380" t="str">
        <f>IF(C1025="","",G1019*C1025)</f>
        <v/>
      </c>
      <c r="M1025" s="381" t="str">
        <f>IF(A1025="","",VLOOKUP(A1025,VII.A!$A$10:$B$199,2,FALSE))</f>
        <v/>
      </c>
      <c r="N1025" s="342" t="str">
        <f t="shared" si="271"/>
        <v/>
      </c>
      <c r="R1025" s="341"/>
      <c r="S1025" s="341"/>
    </row>
    <row r="1026" spans="1:21" ht="12.75" customHeight="1">
      <c r="A1026" s="385"/>
      <c r="B1026" s="386"/>
      <c r="C1026" s="20"/>
      <c r="D1026" s="342"/>
      <c r="E1026" s="387"/>
      <c r="F1026" s="388">
        <f t="shared" si="272"/>
        <v>0</v>
      </c>
      <c r="H1026" s="341" t="str">
        <f>IF(A1026="","",VLOOKUP(A1026,VII.A!$A$10:$D$199,4,FALSE))</f>
        <v/>
      </c>
      <c r="I1026" s="341" t="str">
        <f t="shared" si="269"/>
        <v/>
      </c>
      <c r="J1026" s="341" t="str">
        <f>IF(A1026="","",VLOOKUP(A1026,VII.A!$A$10:$D$199,3,FALSE))</f>
        <v/>
      </c>
      <c r="K1026" s="342" t="str">
        <f t="shared" si="270"/>
        <v/>
      </c>
      <c r="L1026" s="380" t="str">
        <f>IF(C1026="","",G1019*C1026)</f>
        <v/>
      </c>
      <c r="M1026" s="381" t="str">
        <f>IF(A1026="","",VLOOKUP(A1026,VII.A!$A$10:$B$199,2,FALSE))</f>
        <v/>
      </c>
      <c r="N1026" s="342" t="str">
        <f t="shared" si="271"/>
        <v/>
      </c>
      <c r="R1026" s="341"/>
      <c r="S1026" s="341"/>
      <c r="U1026" s="389"/>
    </row>
    <row r="1027" spans="1:21" ht="12.75" customHeight="1">
      <c r="A1027" s="385"/>
      <c r="B1027" s="386"/>
      <c r="C1027" s="20"/>
      <c r="D1027" s="342"/>
      <c r="E1027" s="387"/>
      <c r="F1027" s="388">
        <f t="shared" si="272"/>
        <v>0</v>
      </c>
      <c r="H1027" s="341" t="str">
        <f>IF(A1027="","",VLOOKUP(A1027,VII.A!$A$10:$D$199,4,FALSE))</f>
        <v/>
      </c>
      <c r="I1027" s="341" t="str">
        <f t="shared" si="269"/>
        <v/>
      </c>
      <c r="J1027" s="341" t="str">
        <f>IF(A1027="","",VLOOKUP(A1027,VII.A!$A$10:$D$199,3,FALSE))</f>
        <v/>
      </c>
      <c r="K1027" s="342" t="str">
        <f t="shared" si="270"/>
        <v/>
      </c>
      <c r="L1027" s="380" t="str">
        <f>IF(C1027="","",G1019*C1027)</f>
        <v/>
      </c>
      <c r="M1027" s="381" t="str">
        <f>IF(A1027="","",VLOOKUP(A1027,VII.A!$A$10:$B$199,2,FALSE))</f>
        <v/>
      </c>
      <c r="N1027" s="342" t="str">
        <f t="shared" si="271"/>
        <v/>
      </c>
      <c r="R1027" s="341"/>
      <c r="S1027" s="341"/>
    </row>
    <row r="1028" spans="1:21" ht="12.75" customHeight="1">
      <c r="A1028" s="385"/>
      <c r="B1028" s="386"/>
      <c r="C1028" s="20"/>
      <c r="D1028" s="342"/>
      <c r="E1028" s="387"/>
      <c r="F1028" s="388">
        <f t="shared" si="272"/>
        <v>0</v>
      </c>
      <c r="G1028" s="390"/>
      <c r="H1028" s="341" t="str">
        <f>IF(A1028="","",VLOOKUP(A1028,VII.A!$A$10:$D$199,4,FALSE))</f>
        <v/>
      </c>
      <c r="I1028" s="341" t="str">
        <f t="shared" si="269"/>
        <v/>
      </c>
      <c r="J1028" s="341" t="str">
        <f>IF(A1028="","",VLOOKUP(A1028,VII.A!$A$10:$D$199,3,FALSE))</f>
        <v/>
      </c>
      <c r="K1028" s="342" t="str">
        <f t="shared" si="270"/>
        <v/>
      </c>
      <c r="L1028" s="380" t="str">
        <f>IF(C1028="","",G1019*C1028)</f>
        <v/>
      </c>
      <c r="M1028" s="381" t="str">
        <f>IF(A1028="","",VLOOKUP(A1028,VII.A!$A$10:$B$199,2,FALSE))</f>
        <v/>
      </c>
      <c r="N1028" s="342" t="str">
        <f t="shared" si="271"/>
        <v/>
      </c>
      <c r="R1028" s="341"/>
      <c r="S1028" s="341"/>
    </row>
    <row r="1029" spans="1:21" ht="12.75" customHeight="1">
      <c r="A1029" s="385"/>
      <c r="B1029" s="386"/>
      <c r="C1029" s="20"/>
      <c r="D1029" s="342"/>
      <c r="E1029" s="387"/>
      <c r="F1029" s="388">
        <f t="shared" si="272"/>
        <v>0</v>
      </c>
      <c r="G1029" s="390"/>
      <c r="H1029" s="341" t="str">
        <f>IF(A1029="","",VLOOKUP(A1029,VII.A!$A$10:$D$199,4,FALSE))</f>
        <v/>
      </c>
      <c r="I1029" s="341" t="str">
        <f t="shared" si="269"/>
        <v/>
      </c>
      <c r="J1029" s="341" t="str">
        <f>IF(A1029="","",VLOOKUP(A1029,VII.A!$A$10:$D$199,3,FALSE))</f>
        <v/>
      </c>
      <c r="K1029" s="342" t="str">
        <f t="shared" si="270"/>
        <v/>
      </c>
      <c r="L1029" s="380" t="str">
        <f>IF(C1029="","",G1019*C1029)</f>
        <v/>
      </c>
      <c r="M1029" s="381" t="str">
        <f>IF(A1029="","",VLOOKUP(A1029,VII.A!$A$10:$B$199,2,FALSE))</f>
        <v/>
      </c>
      <c r="N1029" s="342" t="str">
        <f t="shared" si="271"/>
        <v/>
      </c>
      <c r="R1029" s="341"/>
      <c r="S1029" s="341"/>
    </row>
    <row r="1030" spans="1:21" ht="12.75" customHeight="1">
      <c r="A1030" s="385"/>
      <c r="B1030" s="386"/>
      <c r="C1030" s="20"/>
      <c r="D1030" s="342"/>
      <c r="E1030" s="387"/>
      <c r="F1030" s="388">
        <f t="shared" si="272"/>
        <v>0</v>
      </c>
      <c r="G1030" s="391"/>
      <c r="H1030" s="341" t="str">
        <f>IF(A1030="","",VLOOKUP(A1030,VII.A!$A$10:$D$199,4,FALSE))</f>
        <v/>
      </c>
      <c r="I1030" s="341" t="str">
        <f t="shared" si="269"/>
        <v/>
      </c>
      <c r="J1030" s="341" t="str">
        <f>IF(A1030="","",VLOOKUP(A1030,VII.A!$A$10:$D$199,3,FALSE))</f>
        <v/>
      </c>
      <c r="K1030" s="342" t="str">
        <f t="shared" si="270"/>
        <v/>
      </c>
      <c r="L1030" s="380" t="str">
        <f>IF(C1030="","",G1019*C1030)</f>
        <v/>
      </c>
      <c r="M1030" s="381" t="str">
        <f>IF(A1030="","",VLOOKUP(A1030,VII.A!$A$10:$B$199,2,FALSE))</f>
        <v/>
      </c>
      <c r="N1030" s="342" t="str">
        <f t="shared" si="271"/>
        <v/>
      </c>
      <c r="R1030" s="341"/>
      <c r="S1030" s="341"/>
    </row>
    <row r="1031" spans="1:21" ht="12.75" customHeight="1">
      <c r="A1031" s="385"/>
      <c r="B1031" s="386"/>
      <c r="C1031" s="20"/>
      <c r="D1031" s="342"/>
      <c r="E1031" s="387"/>
      <c r="F1031" s="388">
        <f t="shared" si="272"/>
        <v>0</v>
      </c>
      <c r="H1031" s="341" t="str">
        <f>IF(A1031="","",VLOOKUP(A1031,VII.A!$A$10:$D$199,4,FALSE))</f>
        <v/>
      </c>
      <c r="I1031" s="341" t="str">
        <f t="shared" si="269"/>
        <v/>
      </c>
      <c r="J1031" s="341" t="str">
        <f>IF(A1031="","",VLOOKUP(A1031,VII.A!$A$10:$D$199,3,FALSE))</f>
        <v/>
      </c>
      <c r="K1031" s="342" t="str">
        <f t="shared" si="270"/>
        <v/>
      </c>
      <c r="L1031" s="380" t="str">
        <f>IF(C1031="","",G1019*C1031)</f>
        <v/>
      </c>
      <c r="M1031" s="381" t="str">
        <f>IF(A1031="","",VLOOKUP(A1031,VII.A!$A$10:$B$199,2,FALSE))</f>
        <v/>
      </c>
      <c r="N1031" s="342" t="str">
        <f t="shared" si="271"/>
        <v/>
      </c>
      <c r="R1031" s="341"/>
      <c r="S1031" s="341"/>
    </row>
    <row r="1032" spans="1:21" ht="12.75" customHeight="1">
      <c r="A1032" s="385"/>
      <c r="B1032" s="386"/>
      <c r="C1032" s="20"/>
      <c r="D1032" s="392"/>
      <c r="E1032" s="387"/>
      <c r="F1032" s="388">
        <f t="shared" si="272"/>
        <v>0</v>
      </c>
      <c r="H1032" s="341" t="str">
        <f>IF(A1032="","",VLOOKUP(A1032,VII.A!$A$10:$D$199,4,FALSE))</f>
        <v/>
      </c>
      <c r="I1032" s="341" t="str">
        <f t="shared" si="269"/>
        <v/>
      </c>
      <c r="J1032" s="341" t="str">
        <f>IF(A1032="","",VLOOKUP(A1032,VII.A!$A$10:$D$199,3,FALSE))</f>
        <v/>
      </c>
      <c r="K1032" s="342" t="str">
        <f t="shared" si="270"/>
        <v/>
      </c>
      <c r="L1032" s="380" t="str">
        <f>IF(C1032="","",G1019*C1032)</f>
        <v/>
      </c>
      <c r="M1032" s="381" t="str">
        <f>IF(A1032="","",VLOOKUP(A1032,VII.A!$A$10:$B$199,2,FALSE))</f>
        <v/>
      </c>
      <c r="N1032" s="342" t="str">
        <f t="shared" si="271"/>
        <v/>
      </c>
      <c r="R1032" s="341"/>
      <c r="S1032" s="341"/>
    </row>
    <row r="1033" spans="1:21" ht="12.75" customHeight="1">
      <c r="A1033" s="385"/>
      <c r="B1033" s="386"/>
      <c r="C1033" s="20"/>
      <c r="D1033" s="392"/>
      <c r="E1033" s="387"/>
      <c r="F1033" s="388">
        <f t="shared" si="272"/>
        <v>0</v>
      </c>
      <c r="H1033" s="341" t="str">
        <f>IF(A1033="","",VLOOKUP(A1033,VII.A!$A$10:$D$199,4,FALSE))</f>
        <v/>
      </c>
      <c r="I1033" s="341" t="str">
        <f t="shared" si="269"/>
        <v/>
      </c>
      <c r="J1033" s="341" t="str">
        <f>IF(A1033="","",VLOOKUP(A1033,VII.A!$A$10:$D$199,3,FALSE))</f>
        <v/>
      </c>
      <c r="K1033" s="342" t="str">
        <f t="shared" si="270"/>
        <v/>
      </c>
      <c r="L1033" s="380" t="str">
        <f>IF(C1033="","",G1019*C1033)</f>
        <v/>
      </c>
      <c r="M1033" s="381" t="str">
        <f>IF(A1033="","",VLOOKUP(A1033,VII.A!$A$10:$B$199,2,FALSE))</f>
        <v/>
      </c>
      <c r="N1033" s="342" t="str">
        <f t="shared" si="271"/>
        <v/>
      </c>
      <c r="O1033" s="342"/>
      <c r="R1033" s="341"/>
      <c r="S1033" s="341"/>
    </row>
    <row r="1034" spans="1:21" ht="12.75" customHeight="1">
      <c r="A1034" s="385"/>
      <c r="B1034" s="386"/>
      <c r="C1034" s="20"/>
      <c r="D1034" s="392"/>
      <c r="E1034" s="387"/>
      <c r="F1034" s="388">
        <f t="shared" si="272"/>
        <v>0</v>
      </c>
      <c r="H1034" s="341" t="str">
        <f>IF(A1034="","",VLOOKUP(A1034,VII.A!$A$10:$D$199,4,FALSE))</f>
        <v/>
      </c>
      <c r="I1034" s="341" t="str">
        <f t="shared" si="269"/>
        <v/>
      </c>
      <c r="J1034" s="341" t="str">
        <f>IF(A1034="","",VLOOKUP(A1034,VII.A!$A$10:$D$199,3,FALSE))</f>
        <v/>
      </c>
      <c r="K1034" s="342" t="str">
        <f t="shared" si="270"/>
        <v/>
      </c>
      <c r="L1034" s="380" t="str">
        <f>IF(C1034="","",G1019*C1034)</f>
        <v/>
      </c>
      <c r="M1034" s="381" t="str">
        <f>IF(A1034="","",VLOOKUP(A1034,VII.A!$A$10:$B$199,2,FALSE))</f>
        <v/>
      </c>
      <c r="N1034" s="342" t="str">
        <f t="shared" si="271"/>
        <v/>
      </c>
      <c r="R1034" s="341"/>
      <c r="S1034" s="341"/>
    </row>
    <row r="1035" spans="1:21" ht="12.75" customHeight="1">
      <c r="A1035" s="393"/>
      <c r="C1035" s="20"/>
      <c r="E1035" s="387"/>
      <c r="F1035" s="388">
        <f t="shared" si="272"/>
        <v>0</v>
      </c>
      <c r="H1035" s="341" t="str">
        <f>IF(A1035="","",VLOOKUP(A1035,VII.A!$A$10:$D$199,4,FALSE))</f>
        <v/>
      </c>
      <c r="I1035" s="341" t="str">
        <f t="shared" si="269"/>
        <v/>
      </c>
      <c r="J1035" s="341" t="str">
        <f>IF(A1035="","",VLOOKUP(A1035,VII.A!$A$10:$D$199,3,FALSE))</f>
        <v/>
      </c>
      <c r="K1035" s="342" t="str">
        <f t="shared" si="270"/>
        <v/>
      </c>
      <c r="L1035" s="380" t="str">
        <f>IF(C1035="","",G1019*C1035)</f>
        <v/>
      </c>
      <c r="M1035" s="381" t="str">
        <f>IF(A1035="","",VLOOKUP(A1035,VII.A!$A$10:$B$199,2,FALSE))</f>
        <v/>
      </c>
      <c r="N1035" s="342" t="str">
        <f t="shared" si="271"/>
        <v/>
      </c>
      <c r="R1035" s="341"/>
      <c r="S1035" s="341"/>
    </row>
    <row r="1036" spans="1:21" ht="12.75" customHeight="1">
      <c r="A1036" s="393"/>
      <c r="C1036" s="20"/>
      <c r="E1036" s="387"/>
      <c r="F1036" s="388">
        <f t="shared" si="272"/>
        <v>0</v>
      </c>
      <c r="H1036" s="341" t="str">
        <f>IF(A1036="","",VLOOKUP(A1036,VII.A!$A$10:$D$199,4,FALSE))</f>
        <v/>
      </c>
      <c r="I1036" s="341" t="str">
        <f t="shared" si="269"/>
        <v/>
      </c>
      <c r="J1036" s="341" t="str">
        <f>IF(A1036="","",VLOOKUP(A1036,VII.A!$A$10:$D$199,3,FALSE))</f>
        <v/>
      </c>
      <c r="K1036" s="342" t="str">
        <f t="shared" si="270"/>
        <v/>
      </c>
      <c r="L1036" s="380" t="str">
        <f>IF(C1036="","",G1019*C1036)</f>
        <v/>
      </c>
      <c r="M1036" s="381" t="str">
        <f>IF(A1036="","",VLOOKUP(A1036,VII.A!$A$10:$B$199,2,FALSE))</f>
        <v/>
      </c>
      <c r="N1036" s="342" t="str">
        <f t="shared" si="271"/>
        <v/>
      </c>
      <c r="R1036" s="341"/>
      <c r="S1036" s="341"/>
    </row>
    <row r="1037" spans="1:21" ht="12.75" customHeight="1">
      <c r="A1037" s="393"/>
      <c r="B1037" s="395" t="s">
        <v>226</v>
      </c>
      <c r="C1037" s="396"/>
      <c r="D1037" s="397"/>
      <c r="E1037" s="398"/>
      <c r="F1037" s="399">
        <f>SUM(F1021:F1036)</f>
        <v>0</v>
      </c>
      <c r="J1037" s="341"/>
      <c r="L1037" s="380"/>
      <c r="M1037" s="381"/>
      <c r="N1037" s="342"/>
      <c r="R1037" s="341"/>
      <c r="S1037" s="341"/>
    </row>
    <row r="1038" spans="1:21" ht="12.75" customHeight="1">
      <c r="A1038" s="393"/>
      <c r="B1038" s="400" t="s">
        <v>53</v>
      </c>
      <c r="C1038" s="2">
        <f>$D$8</f>
        <v>0</v>
      </c>
      <c r="D1038" s="401"/>
      <c r="E1038" s="402"/>
      <c r="F1038" s="403">
        <f>ROUND(F1037*C1038,2)</f>
        <v>0</v>
      </c>
      <c r="H1038" s="426" t="s">
        <v>934</v>
      </c>
      <c r="J1038" s="341"/>
      <c r="L1038" s="380"/>
      <c r="M1038" s="381"/>
      <c r="N1038" s="342"/>
      <c r="R1038" s="341"/>
      <c r="S1038" s="341"/>
    </row>
    <row r="1039" spans="1:21" ht="12.75" customHeight="1">
      <c r="A1039" s="404"/>
      <c r="B1039" s="405" t="s">
        <v>227</v>
      </c>
      <c r="C1039" s="406"/>
      <c r="D1039" s="406"/>
      <c r="E1039" s="407"/>
      <c r="F1039" s="408">
        <f>F1037+F1038</f>
        <v>0</v>
      </c>
      <c r="H1039" s="873"/>
      <c r="I1039" s="873"/>
      <c r="J1039" s="873"/>
      <c r="K1039" s="873"/>
      <c r="L1039" s="380"/>
      <c r="M1039" s="381"/>
      <c r="N1039" s="342"/>
      <c r="R1039" s="341"/>
      <c r="S1039" s="341"/>
    </row>
    <row r="1040" spans="1:21" ht="12.75" customHeight="1">
      <c r="A1040" s="374" t="s">
        <v>2</v>
      </c>
      <c r="B1040" s="375" t="s">
        <v>235</v>
      </c>
      <c r="C1040" s="376" t="s">
        <v>231</v>
      </c>
      <c r="D1040" s="376" t="s">
        <v>232</v>
      </c>
      <c r="E1040" s="377" t="s">
        <v>233</v>
      </c>
      <c r="F1040" s="378" t="s">
        <v>234</v>
      </c>
      <c r="J1040" s="341"/>
      <c r="L1040" s="380"/>
      <c r="M1040" s="381"/>
      <c r="N1040" s="342"/>
      <c r="R1040" s="341"/>
      <c r="S1040" s="341"/>
    </row>
    <row r="1041" spans="1:19" ht="12.75" customHeight="1">
      <c r="A1041" s="393" t="str">
        <f>VII.A!$A$159</f>
        <v>2.17</v>
      </c>
      <c r="B1041" s="423" t="str">
        <f>VII.A!$B$159</f>
        <v>GRUPO DE SOLDA 600A, GERADOR DIESEL 60 CV PARA SOLDA ELÉTRICA, SOBRE RODAS, MOTOR 4 CILINDROS - CHP</v>
      </c>
      <c r="C1041" s="20">
        <v>5.9900000000000002E-2</v>
      </c>
      <c r="D1041" s="384" t="str">
        <f>VII.A!$C$159</f>
        <v>CHP</v>
      </c>
      <c r="E1041" s="387">
        <f>VII.A!$D$159</f>
        <v>0</v>
      </c>
      <c r="F1041" s="388">
        <f t="shared" ref="F1041:F1050" si="273">ROUND(C1041*E1041,2)</f>
        <v>0</v>
      </c>
      <c r="H1041" s="341">
        <f>IF(A1041="","",VLOOKUP(A1041,VII.A!$A$10:$D$199,4,FALSE))</f>
        <v>0</v>
      </c>
      <c r="I1041" s="341" t="str">
        <f t="shared" ref="I1041:I1050" si="274">IF(A1041="","",IF(E1041=H1041,"SIM","NÃO"))</f>
        <v>SIM</v>
      </c>
      <c r="J1041" s="341" t="str">
        <f>IF(A1041="","",VLOOKUP(A1041,VII.A!$A$10:$D$199,3,FALSE))</f>
        <v>CHP</v>
      </c>
      <c r="K1041" s="342" t="str">
        <f t="shared" ref="K1041:K1050" si="275">IF(A1041="","",IF(J1041=D1041,"SIM","NÃO"))</f>
        <v>SIM</v>
      </c>
      <c r="L1041" s="380">
        <f>IF(C1041="","",G1019*C1041)</f>
        <v>209.65</v>
      </c>
      <c r="M1041" s="381" t="str">
        <f>IF(A1041="","",VLOOKUP(A1041,VII.A!$A$10:$B$199,2,FALSE))</f>
        <v>GRUPO DE SOLDA 600A, GERADOR DIESEL 60 CV PARA SOLDA ELÉTRICA, SOBRE RODAS, MOTOR 4 CILINDROS - CHP</v>
      </c>
      <c r="N1041" s="342" t="str">
        <f t="shared" ref="N1041:N1050" si="276">IF(B1041="","",IF(M1041=B1041,"si","no"))</f>
        <v>si</v>
      </c>
      <c r="R1041" s="341"/>
      <c r="S1041" s="341"/>
    </row>
    <row r="1042" spans="1:19" ht="12.75" customHeight="1">
      <c r="A1042" s="393"/>
      <c r="C1042" s="20"/>
      <c r="E1042" s="387"/>
      <c r="F1042" s="388">
        <f t="shared" si="273"/>
        <v>0</v>
      </c>
      <c r="H1042" s="341" t="str">
        <f>IF(A1042="","",VLOOKUP(A1042,VII.A!$A$10:$D$199,4,FALSE))</f>
        <v/>
      </c>
      <c r="I1042" s="341" t="str">
        <f t="shared" si="274"/>
        <v/>
      </c>
      <c r="J1042" s="341" t="str">
        <f>IF(A1042="","",VLOOKUP(A1042,VII.A!$A$10:$D$199,3,FALSE))</f>
        <v/>
      </c>
      <c r="K1042" s="342" t="str">
        <f t="shared" si="275"/>
        <v/>
      </c>
      <c r="L1042" s="380" t="str">
        <f>IF(C1042="","",G1019*C1042)</f>
        <v/>
      </c>
      <c r="M1042" s="381" t="str">
        <f>IF(A1042="","",VLOOKUP(A1042,VII.A!$A$10:$B$199,2,FALSE))</f>
        <v/>
      </c>
      <c r="N1042" s="342" t="str">
        <f t="shared" si="276"/>
        <v/>
      </c>
      <c r="R1042" s="341"/>
      <c r="S1042" s="341"/>
    </row>
    <row r="1043" spans="1:19" ht="12.75" customHeight="1">
      <c r="A1043" s="393"/>
      <c r="C1043" s="20"/>
      <c r="E1043" s="387"/>
      <c r="F1043" s="388">
        <f t="shared" si="273"/>
        <v>0</v>
      </c>
      <c r="H1043" s="341" t="str">
        <f>IF(A1043="","",VLOOKUP(A1043,VII.A!$A$10:$D$199,4,FALSE))</f>
        <v/>
      </c>
      <c r="I1043" s="341" t="str">
        <f t="shared" si="274"/>
        <v/>
      </c>
      <c r="J1043" s="341" t="str">
        <f>IF(A1043="","",VLOOKUP(A1043,VII.A!$A$10:$D$199,3,FALSE))</f>
        <v/>
      </c>
      <c r="K1043" s="342" t="str">
        <f t="shared" si="275"/>
        <v/>
      </c>
      <c r="L1043" s="380" t="str">
        <f>IF(C1043="","",G1019*C1043)</f>
        <v/>
      </c>
      <c r="M1043" s="381" t="str">
        <f>IF(A1043="","",VLOOKUP(A1043,VII.A!$A$10:$B$199,2,FALSE))</f>
        <v/>
      </c>
      <c r="N1043" s="342" t="str">
        <f t="shared" si="276"/>
        <v/>
      </c>
      <c r="R1043" s="341"/>
      <c r="S1043" s="341"/>
    </row>
    <row r="1044" spans="1:19" ht="12.75" customHeight="1">
      <c r="A1044" s="393"/>
      <c r="C1044" s="20"/>
      <c r="E1044" s="387"/>
      <c r="F1044" s="388">
        <f t="shared" si="273"/>
        <v>0</v>
      </c>
      <c r="H1044" s="341" t="str">
        <f>IF(A1044="","",VLOOKUP(A1044,VII.A!$A$10:$D$199,4,FALSE))</f>
        <v/>
      </c>
      <c r="I1044" s="341" t="str">
        <f t="shared" si="274"/>
        <v/>
      </c>
      <c r="J1044" s="341" t="str">
        <f>IF(A1044="","",VLOOKUP(A1044,VII.A!$A$10:$D$199,3,FALSE))</f>
        <v/>
      </c>
      <c r="K1044" s="342" t="str">
        <f t="shared" si="275"/>
        <v/>
      </c>
      <c r="L1044" s="380" t="str">
        <f>IF(C1044="","",G1019*C1044)</f>
        <v/>
      </c>
      <c r="M1044" s="381" t="str">
        <f>IF(A1044="","",VLOOKUP(A1044,VII.A!$A$10:$B$199,2,FALSE))</f>
        <v/>
      </c>
      <c r="N1044" s="342" t="str">
        <f t="shared" si="276"/>
        <v/>
      </c>
      <c r="R1044" s="341"/>
      <c r="S1044" s="341"/>
    </row>
    <row r="1045" spans="1:19" ht="12.75" customHeight="1">
      <c r="A1045" s="393"/>
      <c r="C1045" s="20"/>
      <c r="E1045" s="387"/>
      <c r="F1045" s="388">
        <f t="shared" si="273"/>
        <v>0</v>
      </c>
      <c r="G1045" s="390"/>
      <c r="H1045" s="341" t="str">
        <f>IF(A1045="","",VLOOKUP(A1045,VII.A!$A$10:$D$199,4,FALSE))</f>
        <v/>
      </c>
      <c r="I1045" s="341" t="str">
        <f t="shared" si="274"/>
        <v/>
      </c>
      <c r="J1045" s="341" t="str">
        <f>IF(A1045="","",VLOOKUP(A1045,VII.A!$A$10:$D$199,3,FALSE))</f>
        <v/>
      </c>
      <c r="K1045" s="342" t="str">
        <f t="shared" si="275"/>
        <v/>
      </c>
      <c r="L1045" s="380" t="str">
        <f>IF(C1045="","",G1019*C1045)</f>
        <v/>
      </c>
      <c r="M1045" s="381" t="str">
        <f>IF(A1045="","",VLOOKUP(A1045,VII.A!$A$10:$B$199,2,FALSE))</f>
        <v/>
      </c>
      <c r="N1045" s="342" t="str">
        <f t="shared" si="276"/>
        <v/>
      </c>
      <c r="R1045" s="341"/>
      <c r="S1045" s="341"/>
    </row>
    <row r="1046" spans="1:19" ht="12.75" customHeight="1">
      <c r="A1046" s="393"/>
      <c r="C1046" s="20"/>
      <c r="E1046" s="387"/>
      <c r="F1046" s="388">
        <f t="shared" si="273"/>
        <v>0</v>
      </c>
      <c r="G1046" s="391"/>
      <c r="H1046" s="341" t="str">
        <f>IF(A1046="","",VLOOKUP(A1046,VII.A!$A$10:$D$199,4,FALSE))</f>
        <v/>
      </c>
      <c r="I1046" s="341" t="str">
        <f t="shared" si="274"/>
        <v/>
      </c>
      <c r="J1046" s="341" t="str">
        <f>IF(A1046="","",VLOOKUP(A1046,VII.A!$A$10:$D$199,3,FALSE))</f>
        <v/>
      </c>
      <c r="K1046" s="342" t="str">
        <f t="shared" si="275"/>
        <v/>
      </c>
      <c r="L1046" s="380" t="str">
        <f>IF(C1046="","",G1019*C1046)</f>
        <v/>
      </c>
      <c r="M1046" s="381" t="str">
        <f>IF(A1046="","",VLOOKUP(A1046,VII.A!$A$10:$B$199,2,FALSE))</f>
        <v/>
      </c>
      <c r="N1046" s="342" t="str">
        <f t="shared" si="276"/>
        <v/>
      </c>
      <c r="R1046" s="341"/>
      <c r="S1046" s="341"/>
    </row>
    <row r="1047" spans="1:19" ht="12.75" customHeight="1">
      <c r="A1047" s="393"/>
      <c r="C1047" s="20"/>
      <c r="E1047" s="387"/>
      <c r="F1047" s="388">
        <f t="shared" si="273"/>
        <v>0</v>
      </c>
      <c r="H1047" s="341" t="str">
        <f>IF(A1047="","",VLOOKUP(A1047,VII.A!$A$10:$D$199,4,FALSE))</f>
        <v/>
      </c>
      <c r="I1047" s="341" t="str">
        <f t="shared" si="274"/>
        <v/>
      </c>
      <c r="J1047" s="341" t="str">
        <f>IF(A1047="","",VLOOKUP(A1047,VII.A!$A$10:$D$199,3,FALSE))</f>
        <v/>
      </c>
      <c r="K1047" s="342" t="str">
        <f t="shared" si="275"/>
        <v/>
      </c>
      <c r="L1047" s="380" t="str">
        <f>IF(C1047="","",G1019*C1047)</f>
        <v/>
      </c>
      <c r="M1047" s="381" t="str">
        <f>IF(A1047="","",VLOOKUP(A1047,VII.A!$A$10:$B$199,2,FALSE))</f>
        <v/>
      </c>
      <c r="N1047" s="342" t="str">
        <f t="shared" si="276"/>
        <v/>
      </c>
      <c r="R1047" s="341"/>
      <c r="S1047" s="341"/>
    </row>
    <row r="1048" spans="1:19" ht="12.75" customHeight="1">
      <c r="A1048" s="393"/>
      <c r="C1048" s="20"/>
      <c r="E1048" s="387"/>
      <c r="F1048" s="388">
        <f t="shared" si="273"/>
        <v>0</v>
      </c>
      <c r="H1048" s="341" t="str">
        <f>IF(A1048="","",VLOOKUP(A1048,VII.A!$A$10:$D$199,4,FALSE))</f>
        <v/>
      </c>
      <c r="I1048" s="341" t="str">
        <f t="shared" si="274"/>
        <v/>
      </c>
      <c r="J1048" s="341" t="str">
        <f>IF(A1048="","",VLOOKUP(A1048,VII.A!$A$10:$D$199,3,FALSE))</f>
        <v/>
      </c>
      <c r="K1048" s="342" t="str">
        <f t="shared" si="275"/>
        <v/>
      </c>
      <c r="L1048" s="380" t="str">
        <f>IF(C1048="","",G1019*C1048)</f>
        <v/>
      </c>
      <c r="M1048" s="381" t="str">
        <f>IF(A1048="","",VLOOKUP(A1048,VII.A!$A$10:$B$199,2,FALSE))</f>
        <v/>
      </c>
      <c r="N1048" s="342" t="str">
        <f t="shared" si="276"/>
        <v/>
      </c>
      <c r="R1048" s="341"/>
      <c r="S1048" s="341"/>
    </row>
    <row r="1049" spans="1:19" ht="12.75" customHeight="1">
      <c r="A1049" s="393"/>
      <c r="C1049" s="20"/>
      <c r="E1049" s="387"/>
      <c r="F1049" s="388">
        <f t="shared" si="273"/>
        <v>0</v>
      </c>
      <c r="H1049" s="341" t="str">
        <f>IF(A1049="","",VLOOKUP(A1049,VII.A!$A$10:$D$199,4,FALSE))</f>
        <v/>
      </c>
      <c r="I1049" s="341" t="str">
        <f t="shared" si="274"/>
        <v/>
      </c>
      <c r="J1049" s="341" t="str">
        <f>IF(A1049="","",VLOOKUP(A1049,VII.A!$A$10:$D$199,3,FALSE))</f>
        <v/>
      </c>
      <c r="K1049" s="342" t="str">
        <f t="shared" si="275"/>
        <v/>
      </c>
      <c r="L1049" s="380" t="str">
        <f>IF(C1049="","",G1019*C1049)</f>
        <v/>
      </c>
      <c r="M1049" s="381" t="str">
        <f>IF(A1049="","",VLOOKUP(A1049,VII.A!$A$10:$B$199,2,FALSE))</f>
        <v/>
      </c>
      <c r="N1049" s="342" t="str">
        <f t="shared" si="276"/>
        <v/>
      </c>
      <c r="R1049" s="341"/>
      <c r="S1049" s="341"/>
    </row>
    <row r="1050" spans="1:19" ht="12.75" customHeight="1">
      <c r="A1050" s="393"/>
      <c r="C1050" s="20"/>
      <c r="E1050" s="387"/>
      <c r="F1050" s="388">
        <f t="shared" si="273"/>
        <v>0</v>
      </c>
      <c r="H1050" s="341" t="str">
        <f>IF(A1050="","",VLOOKUP(A1050,VII.A!$A$10:$D$199,4,FALSE))</f>
        <v/>
      </c>
      <c r="I1050" s="341" t="str">
        <f t="shared" si="274"/>
        <v/>
      </c>
      <c r="J1050" s="341" t="str">
        <f>IF(A1050="","",VLOOKUP(A1050,VII.A!$A$10:$D$199,3,FALSE))</f>
        <v/>
      </c>
      <c r="K1050" s="342" t="str">
        <f t="shared" si="275"/>
        <v/>
      </c>
      <c r="L1050" s="380" t="str">
        <f>IF(C1050="","",G1019*C1050)</f>
        <v/>
      </c>
      <c r="M1050" s="381" t="str">
        <f>IF(A1050="","",VLOOKUP(A1050,VII.A!$A$10:$B$199,2,FALSE))</f>
        <v/>
      </c>
      <c r="N1050" s="342" t="str">
        <f t="shared" si="276"/>
        <v/>
      </c>
      <c r="R1050" s="341"/>
      <c r="S1050" s="341"/>
    </row>
    <row r="1051" spans="1:19" ht="12.75" customHeight="1">
      <c r="A1051" s="393"/>
      <c r="B1051" s="395" t="s">
        <v>226</v>
      </c>
      <c r="C1051" s="396"/>
      <c r="D1051" s="397"/>
      <c r="E1051" s="398"/>
      <c r="F1051" s="399">
        <f>SUM(F1041:F1050)</f>
        <v>0</v>
      </c>
      <c r="J1051" s="341"/>
      <c r="L1051" s="380"/>
      <c r="M1051" s="381"/>
      <c r="N1051" s="342"/>
      <c r="R1051" s="341"/>
      <c r="S1051" s="341"/>
    </row>
    <row r="1052" spans="1:19" ht="12.75" customHeight="1">
      <c r="A1052" s="393"/>
      <c r="B1052" s="400" t="s">
        <v>53</v>
      </c>
      <c r="C1052" s="2">
        <f>$D$8</f>
        <v>0</v>
      </c>
      <c r="D1052" s="401"/>
      <c r="E1052" s="402"/>
      <c r="F1052" s="403">
        <f>ROUND(C1052*F1051,2)</f>
        <v>0</v>
      </c>
      <c r="J1052" s="341"/>
      <c r="L1052" s="380"/>
      <c r="M1052" s="381"/>
      <c r="N1052" s="342"/>
      <c r="R1052" s="341"/>
      <c r="S1052" s="341"/>
    </row>
    <row r="1053" spans="1:19" ht="12.75" customHeight="1">
      <c r="A1053" s="404"/>
      <c r="B1053" s="405" t="s">
        <v>228</v>
      </c>
      <c r="C1053" s="406"/>
      <c r="D1053" s="406"/>
      <c r="E1053" s="407"/>
      <c r="F1053" s="408">
        <f>F1051+F1052</f>
        <v>0</v>
      </c>
      <c r="J1053" s="341"/>
      <c r="L1053" s="380"/>
      <c r="M1053" s="381"/>
      <c r="N1053" s="342"/>
      <c r="R1053" s="341"/>
      <c r="S1053" s="341"/>
    </row>
    <row r="1054" spans="1:19" ht="12.75" customHeight="1">
      <c r="A1054" s="409" t="s">
        <v>47</v>
      </c>
      <c r="B1054" s="410" t="s">
        <v>236</v>
      </c>
      <c r="C1054" s="411" t="s">
        <v>231</v>
      </c>
      <c r="D1054" s="412" t="s">
        <v>232</v>
      </c>
      <c r="E1054" s="413" t="s">
        <v>233</v>
      </c>
      <c r="F1054" s="378" t="s">
        <v>234</v>
      </c>
      <c r="J1054" s="341"/>
      <c r="L1054" s="380"/>
      <c r="M1054" s="381"/>
      <c r="N1054" s="342"/>
      <c r="R1054" s="341"/>
      <c r="S1054" s="341"/>
    </row>
    <row r="1055" spans="1:19" ht="12.75" customHeight="1">
      <c r="A1055" s="393" t="str">
        <f>VII.A!$A$195</f>
        <v>3.15</v>
      </c>
      <c r="B1055" s="394" t="str">
        <f>VII.A!$B$195</f>
        <v>SERRALHEIRO COM ENCARGOS COMPLEMENTARES</v>
      </c>
      <c r="C1055" s="20">
        <v>0.69989999999999997</v>
      </c>
      <c r="D1055" s="384" t="str">
        <f>VII.A!$C$195</f>
        <v>H</v>
      </c>
      <c r="E1055" s="387">
        <f>VII.A!$D$195</f>
        <v>0</v>
      </c>
      <c r="F1055" s="388">
        <f t="shared" ref="F1055:F1061" si="277">ROUND(C1055*E1055,2)</f>
        <v>0</v>
      </c>
      <c r="H1055" s="341">
        <f>IF(A1055="","",VLOOKUP(A1055,VII.A!$A$10:$D$199,4,FALSE))</f>
        <v>0</v>
      </c>
      <c r="I1055" s="341" t="str">
        <f t="shared" ref="I1055:I1061" si="278">IF(A1055="","",IF(E1055=H1055,"SIM","NÃO"))</f>
        <v>SIM</v>
      </c>
      <c r="J1055" s="341" t="str">
        <f>IF(A1055="","",VLOOKUP(A1055,VII.A!$A$10:$D$199,3,FALSE))</f>
        <v>H</v>
      </c>
      <c r="K1055" s="342" t="str">
        <f t="shared" ref="K1055:K1061" si="279">IF(A1055="","",IF(J1055=D1055,"SIM","NÃO"))</f>
        <v>SIM</v>
      </c>
      <c r="L1055" s="380">
        <f>IF(C1055="","",G1019*C1055)</f>
        <v>2449.65</v>
      </c>
      <c r="M1055" s="381" t="str">
        <f>IF(A1055="","",VLOOKUP(A1055,VII.A!$A$10:$B$199,2,FALSE))</f>
        <v>SERRALHEIRO COM ENCARGOS COMPLEMENTARES</v>
      </c>
      <c r="N1055" s="342" t="str">
        <f t="shared" ref="N1055:N1061" si="280">IF(B1055="","",IF(M1055=B1055,"si","no"))</f>
        <v>si</v>
      </c>
      <c r="R1055" s="341"/>
      <c r="S1055" s="341"/>
    </row>
    <row r="1056" spans="1:19" ht="12.75" customHeight="1">
      <c r="A1056" s="393" t="str">
        <f>VII.A!$A$196</f>
        <v>3.16</v>
      </c>
      <c r="B1056" s="394" t="str">
        <f>VII.A!$B$196</f>
        <v>SERVENTE COM ENCARGOS COMPLEMENTARES</v>
      </c>
      <c r="C1056" s="20">
        <v>0.69989999999999997</v>
      </c>
      <c r="D1056" s="384" t="str">
        <f>VII.A!$C$196</f>
        <v>H</v>
      </c>
      <c r="E1056" s="387">
        <f>VII.A!$D$196</f>
        <v>0</v>
      </c>
      <c r="F1056" s="388">
        <f t="shared" si="277"/>
        <v>0</v>
      </c>
      <c r="H1056" s="341">
        <f>IF(A1056="","",VLOOKUP(A1056,VII.A!$A$10:$D$199,4,FALSE))</f>
        <v>0</v>
      </c>
      <c r="I1056" s="341" t="str">
        <f t="shared" si="278"/>
        <v>SIM</v>
      </c>
      <c r="J1056" s="341" t="str">
        <f>IF(A1056="","",VLOOKUP(A1056,VII.A!$A$10:$D$199,3,FALSE))</f>
        <v>H</v>
      </c>
      <c r="K1056" s="342" t="str">
        <f t="shared" si="279"/>
        <v>SIM</v>
      </c>
      <c r="L1056" s="380">
        <f>IF(C1056="","",G1019*C1056)</f>
        <v>2449.65</v>
      </c>
      <c r="M1056" s="381" t="str">
        <f>IF(A1056="","",VLOOKUP(A1056,VII.A!$A$10:$B$199,2,FALSE))</f>
        <v>SERVENTE COM ENCARGOS COMPLEMENTARES</v>
      </c>
      <c r="N1056" s="342" t="str">
        <f t="shared" si="280"/>
        <v>si</v>
      </c>
      <c r="R1056" s="341"/>
      <c r="S1056" s="341"/>
    </row>
    <row r="1057" spans="1:25" ht="12.75" customHeight="1">
      <c r="A1057" s="393"/>
      <c r="C1057" s="20"/>
      <c r="E1057" s="387"/>
      <c r="F1057" s="388">
        <f t="shared" si="277"/>
        <v>0</v>
      </c>
      <c r="H1057" s="341" t="str">
        <f>IF(A1057="","",VLOOKUP(A1057,VII.A!$A$10:$D$199,4,FALSE))</f>
        <v/>
      </c>
      <c r="I1057" s="341" t="str">
        <f t="shared" si="278"/>
        <v/>
      </c>
      <c r="J1057" s="341" t="str">
        <f>IF(A1057="","",VLOOKUP(A1057,VII.A!$A$10:$D$199,3,FALSE))</f>
        <v/>
      </c>
      <c r="K1057" s="342" t="str">
        <f t="shared" si="279"/>
        <v/>
      </c>
      <c r="L1057" s="380" t="str">
        <f>IF(C1057="","",G1019*C1057)</f>
        <v/>
      </c>
      <c r="M1057" s="381" t="str">
        <f>IF(A1057="","",VLOOKUP(A1057,VII.A!$A$10:$B$199,2,FALSE))</f>
        <v/>
      </c>
      <c r="N1057" s="342" t="str">
        <f t="shared" si="280"/>
        <v/>
      </c>
      <c r="R1057" s="341"/>
      <c r="S1057" s="341"/>
    </row>
    <row r="1058" spans="1:25" ht="12.75" customHeight="1">
      <c r="A1058" s="393"/>
      <c r="C1058" s="20"/>
      <c r="E1058" s="387"/>
      <c r="F1058" s="388">
        <f t="shared" si="277"/>
        <v>0</v>
      </c>
      <c r="H1058" s="341" t="str">
        <f>IF(A1058="","",VLOOKUP(A1058,VII.A!$A$10:$D$199,4,FALSE))</f>
        <v/>
      </c>
      <c r="I1058" s="341" t="str">
        <f t="shared" si="278"/>
        <v/>
      </c>
      <c r="J1058" s="341" t="str">
        <f>IF(A1058="","",VLOOKUP(A1058,VII.A!$A$10:$D$199,3,FALSE))</f>
        <v/>
      </c>
      <c r="K1058" s="342" t="str">
        <f t="shared" si="279"/>
        <v/>
      </c>
      <c r="L1058" s="380" t="str">
        <f>IF(C1058="","",G1019*C1058)</f>
        <v/>
      </c>
      <c r="M1058" s="381" t="str">
        <f>IF(A1058="","",VLOOKUP(A1058,VII.A!$A$10:$B$199,2,FALSE))</f>
        <v/>
      </c>
      <c r="N1058" s="342" t="str">
        <f t="shared" si="280"/>
        <v/>
      </c>
      <c r="R1058" s="341"/>
      <c r="S1058" s="341"/>
    </row>
    <row r="1059" spans="1:25" ht="12.75" customHeight="1">
      <c r="A1059" s="393"/>
      <c r="C1059" s="20"/>
      <c r="E1059" s="387"/>
      <c r="F1059" s="388">
        <f t="shared" si="277"/>
        <v>0</v>
      </c>
      <c r="H1059" s="341" t="str">
        <f>IF(A1059="","",VLOOKUP(A1059,VII.A!$A$10:$D$199,4,FALSE))</f>
        <v/>
      </c>
      <c r="I1059" s="341" t="str">
        <f t="shared" si="278"/>
        <v/>
      </c>
      <c r="J1059" s="341" t="str">
        <f>IF(A1059="","",VLOOKUP(A1059,VII.A!$A$10:$D$199,3,FALSE))</f>
        <v/>
      </c>
      <c r="K1059" s="342" t="str">
        <f t="shared" si="279"/>
        <v/>
      </c>
      <c r="L1059" s="380" t="str">
        <f>IF(C1059="","",G1019*C1059)</f>
        <v/>
      </c>
      <c r="M1059" s="381" t="str">
        <f>IF(A1059="","",VLOOKUP(A1059,VII.A!$A$10:$B$199,2,FALSE))</f>
        <v/>
      </c>
      <c r="N1059" s="342" t="str">
        <f t="shared" si="280"/>
        <v/>
      </c>
      <c r="R1059" s="341"/>
      <c r="S1059" s="341"/>
    </row>
    <row r="1060" spans="1:25" ht="12.75" customHeight="1">
      <c r="A1060" s="393"/>
      <c r="C1060" s="20"/>
      <c r="E1060" s="387"/>
      <c r="F1060" s="388">
        <f t="shared" si="277"/>
        <v>0</v>
      </c>
      <c r="H1060" s="341" t="str">
        <f>IF(A1060="","",VLOOKUP(A1060,VII.A!$A$10:$D$199,4,FALSE))</f>
        <v/>
      </c>
      <c r="I1060" s="341" t="str">
        <f t="shared" si="278"/>
        <v/>
      </c>
      <c r="J1060" s="341" t="str">
        <f>IF(A1060="","",VLOOKUP(A1060,VII.A!$A$10:$D$199,3,FALSE))</f>
        <v/>
      </c>
      <c r="K1060" s="342" t="str">
        <f t="shared" si="279"/>
        <v/>
      </c>
      <c r="L1060" s="380" t="str">
        <f>IF(C1060="","",G1019*C1060)</f>
        <v/>
      </c>
      <c r="M1060" s="381" t="str">
        <f>IF(A1060="","",VLOOKUP(A1060,VII.A!$A$10:$B$199,2,FALSE))</f>
        <v/>
      </c>
      <c r="N1060" s="342" t="str">
        <f t="shared" si="280"/>
        <v/>
      </c>
      <c r="R1060" s="341"/>
      <c r="S1060" s="341"/>
    </row>
    <row r="1061" spans="1:25" ht="12.75" customHeight="1">
      <c r="A1061" s="393"/>
      <c r="C1061" s="20"/>
      <c r="E1061" s="387"/>
      <c r="F1061" s="388">
        <f t="shared" si="277"/>
        <v>0</v>
      </c>
      <c r="H1061" s="341" t="str">
        <f>IF(A1061="","",VLOOKUP(A1061,VII.A!$A$10:$D$199,4,FALSE))</f>
        <v/>
      </c>
      <c r="I1061" s="341" t="str">
        <f t="shared" si="278"/>
        <v/>
      </c>
      <c r="J1061" s="341" t="str">
        <f>IF(A1061="","",VLOOKUP(A1061,VII.A!$A$10:$D$199,3,FALSE))</f>
        <v/>
      </c>
      <c r="K1061" s="342" t="str">
        <f t="shared" si="279"/>
        <v/>
      </c>
      <c r="L1061" s="380" t="str">
        <f>IF(C1061="","",G1019*C1061)</f>
        <v/>
      </c>
      <c r="M1061" s="381" t="str">
        <f>IF(A1061="","",VLOOKUP(A1061,VII.A!$A$10:$B$199,2,FALSE))</f>
        <v/>
      </c>
      <c r="N1061" s="342" t="str">
        <f t="shared" si="280"/>
        <v/>
      </c>
      <c r="R1061" s="341"/>
      <c r="S1061" s="341"/>
    </row>
    <row r="1062" spans="1:25" ht="12.75" customHeight="1">
      <c r="A1062" s="393"/>
      <c r="B1062" s="395" t="s">
        <v>226</v>
      </c>
      <c r="C1062" s="396"/>
      <c r="D1062" s="397"/>
      <c r="E1062" s="398"/>
      <c r="F1062" s="399">
        <f>SUM(F1055:F1061)</f>
        <v>0</v>
      </c>
      <c r="J1062" s="341"/>
      <c r="L1062" s="380"/>
      <c r="M1062" s="381"/>
      <c r="N1062" s="342"/>
      <c r="R1062" s="341"/>
      <c r="S1062" s="341"/>
    </row>
    <row r="1063" spans="1:25" ht="12.75" customHeight="1">
      <c r="A1063" s="393"/>
      <c r="B1063" s="400" t="s">
        <v>229</v>
      </c>
      <c r="C1063" s="2">
        <f>IX.A!$C$45</f>
        <v>0</v>
      </c>
      <c r="D1063" s="401"/>
      <c r="E1063" s="402"/>
      <c r="F1063" s="403">
        <f>ROUND(F1062*C1063,2)</f>
        <v>0</v>
      </c>
      <c r="J1063" s="341"/>
      <c r="L1063" s="380"/>
      <c r="M1063" s="381"/>
      <c r="N1063" s="342"/>
      <c r="R1063" s="341"/>
      <c r="S1063" s="341"/>
    </row>
    <row r="1064" spans="1:25" ht="12.75" customHeight="1">
      <c r="A1064" s="393"/>
      <c r="B1064" s="400" t="s">
        <v>53</v>
      </c>
      <c r="C1064" s="2">
        <f>$D$8</f>
        <v>0</v>
      </c>
      <c r="D1064" s="401"/>
      <c r="E1064" s="402"/>
      <c r="F1064" s="403">
        <f>ROUND(SUM(F1062:F1063)*C1064,2)</f>
        <v>0</v>
      </c>
      <c r="J1064" s="341"/>
      <c r="L1064" s="380"/>
      <c r="M1064" s="381"/>
      <c r="N1064" s="342"/>
      <c r="R1064" s="341"/>
      <c r="S1064" s="341"/>
    </row>
    <row r="1065" spans="1:25" ht="12.75" customHeight="1" thickBot="1">
      <c r="A1065" s="414"/>
      <c r="B1065" s="415" t="s">
        <v>230</v>
      </c>
      <c r="C1065" s="416"/>
      <c r="D1065" s="416"/>
      <c r="E1065" s="417"/>
      <c r="F1065" s="418">
        <f>SUM(F1062:F1064)</f>
        <v>0</v>
      </c>
      <c r="J1065" s="341"/>
      <c r="L1065" s="380"/>
      <c r="M1065" s="381"/>
      <c r="N1065" s="342"/>
      <c r="R1065" s="341"/>
      <c r="S1065" s="341"/>
    </row>
    <row r="1066" spans="1:25" ht="12.75" customHeight="1" thickBot="1">
      <c r="A1066" s="427"/>
      <c r="B1066" s="428"/>
      <c r="C1066" s="429"/>
      <c r="D1066" s="429"/>
      <c r="E1066" s="430"/>
      <c r="F1066" s="431"/>
      <c r="J1066" s="341"/>
      <c r="L1066" s="380"/>
      <c r="M1066" s="381"/>
      <c r="N1066" s="342"/>
      <c r="R1066" s="341"/>
      <c r="S1066" s="341"/>
    </row>
    <row r="1067" spans="1:25" ht="30" customHeight="1">
      <c r="A1067" s="370" t="str">
        <f>IV.A!$A$48</f>
        <v>3.1.3</v>
      </c>
      <c r="B1067" s="371" t="str">
        <f>IV.A!B48</f>
        <v>FORNECIMENTO E INSTALAÇÃO DE CONJUNTO DE PORTÕES DE ABRIR EM BARRA CHATA, SOB MEDIDA, COMPLETO, PADRÃO ANEXO X.I-A, PORTÃO SOCIAL (1,00 X 2,6) E PORTÃO DE VEÍCULOS (4,00 X 2,60), INCLUSIVE PILARES DE FIXAÇÃO</v>
      </c>
      <c r="C1067" s="871" t="s">
        <v>237</v>
      </c>
      <c r="D1067" s="872"/>
      <c r="E1067" s="372" t="str">
        <f>IV.A!C48</f>
        <v>UN</v>
      </c>
      <c r="F1067" s="11">
        <f>ROUND(F1087+F1101+F1113,2)</f>
        <v>0</v>
      </c>
      <c r="G1067" s="1">
        <f>VLOOKUP(A1067,IV.A!$A$16:$L$172,4,FALSE)</f>
        <v>40</v>
      </c>
      <c r="H1067" s="361">
        <f>SUM(F1069:F1084)+F1086</f>
        <v>0</v>
      </c>
      <c r="I1067" s="361">
        <f>SUM(F1089:F1098)+F1100</f>
        <v>0</v>
      </c>
      <c r="J1067" s="361">
        <f>SUM(F1103:F1109)+F1111+F1112</f>
        <v>0</v>
      </c>
      <c r="K1067" s="361">
        <f>SUM(H1067:J1067)</f>
        <v>0</v>
      </c>
      <c r="L1067" s="362" t="str">
        <f>IF(K1067=F1067,"SIM","NÃO")</f>
        <v>SIM</v>
      </c>
      <c r="M1067" s="373">
        <f>ROUND(SUM(F1069:F1084),2)+ROUND(SUM(F1069:F1084)*C1086,2)+ROUND(SUM(F1089:F1098)*C1100,2)+ROUND(SUM(F1089:F1098),2)+ROUND(SUM(F1103:F1109)*C1111,2)+ROUND((SUM(F1103:F1109)+ROUND(SUM(F1103:F1109)*C1111,2))*C1112,2)+ROUND(SUM(F1103:F1109),2)</f>
        <v>0</v>
      </c>
      <c r="N1067" s="343" t="str">
        <f>IF(M1067=F1067,"SIM","NÃO")</f>
        <v>SIM</v>
      </c>
      <c r="O1067" s="364" t="str">
        <f>VLOOKUP(A1067,IV.A!$A$16:$E$172,3,FALSE)</f>
        <v>UN</v>
      </c>
      <c r="P1067" s="344" t="str">
        <f>IF(O1067=E1067,"SIM","NÃO")</f>
        <v>SIM</v>
      </c>
      <c r="Q1067" s="365">
        <f>ROUND(G1067*F1087,2)+ROUND(G1067*F1101,2)+ROUND(G1067*F1113,2)</f>
        <v>0</v>
      </c>
      <c r="R1067" s="364">
        <f>VLOOKUP(A1067,IV.A!$A$16:$L$172,12,FALSE)</f>
        <v>0</v>
      </c>
      <c r="S1067" s="366" t="str">
        <f>IF(Q1067=R1067,"si","no")</f>
        <v>si</v>
      </c>
      <c r="T1067" s="367">
        <f>SUM(L1069:L1084)+SUM(L1089:L1098)+SUM(L1103:L1109)</f>
        <v>3246.4</v>
      </c>
      <c r="U1067" s="341">
        <f>(SUM(C1069:C1084)+SUM(C1089:C1098)+SUM(C1103:C1109))*G1067</f>
        <v>3246.3999999999996</v>
      </c>
      <c r="V1067" s="368" t="str">
        <f>IF(T1067=U1067,"si","no")</f>
        <v>si</v>
      </c>
      <c r="W1067" s="369">
        <f>SUM(F1069:F1084)</f>
        <v>0</v>
      </c>
      <c r="X1067" s="369">
        <f>SUM(F1089:F1098)</f>
        <v>0</v>
      </c>
      <c r="Y1067" s="369">
        <f>SUM(F1103:F1109)</f>
        <v>0</v>
      </c>
    </row>
    <row r="1068" spans="1:25" ht="12.75" customHeight="1">
      <c r="A1068" s="374" t="s">
        <v>14</v>
      </c>
      <c r="B1068" s="375" t="s">
        <v>132</v>
      </c>
      <c r="C1068" s="376" t="s">
        <v>231</v>
      </c>
      <c r="D1068" s="376" t="s">
        <v>232</v>
      </c>
      <c r="E1068" s="377" t="s">
        <v>233</v>
      </c>
      <c r="F1068" s="378" t="s">
        <v>234</v>
      </c>
      <c r="G1068" s="379"/>
      <c r="J1068" s="341"/>
      <c r="L1068" s="380"/>
      <c r="M1068" s="381"/>
      <c r="N1068" s="342"/>
      <c r="O1068" s="382"/>
      <c r="P1068" s="383"/>
      <c r="Q1068" s="383"/>
      <c r="R1068" s="383"/>
      <c r="S1068" s="383"/>
      <c r="T1068" s="382"/>
      <c r="U1068" s="341"/>
      <c r="V1068" s="384"/>
      <c r="W1068" s="384"/>
      <c r="X1068" s="384"/>
      <c r="Y1068" s="384"/>
    </row>
    <row r="1069" spans="1:25" ht="12.75" customHeight="1">
      <c r="A1069" s="385" t="str">
        <f>VII.A!$A$26</f>
        <v>1.17</v>
      </c>
      <c r="B1069" s="394" t="str">
        <f>VLOOKUP(A1069,VII.A!$A$10:$G$199,2,FALSE)</f>
        <v>CADEADO SIMPLES, CORPO EM LATAO MACICO, COM LARGURA DE 50 MM E ALTURA DE APROX 40 MM, HASTE CEMENTADA EM ACO TEMPERADO COM DIAMETRO DE APROX 8,0 MM, INCLUINDO 2 CHAVES</v>
      </c>
      <c r="C1069" s="20">
        <v>1</v>
      </c>
      <c r="D1069" s="342" t="str">
        <f>VLOOKUP(A1069,VII.A!$A$10:$G$199,3,FALSE)</f>
        <v>UN</v>
      </c>
      <c r="E1069" s="387">
        <f>VII.A!$D$26</f>
        <v>0</v>
      </c>
      <c r="F1069" s="388">
        <f>ROUND(C1069*E1069,2)</f>
        <v>0</v>
      </c>
      <c r="H1069" s="341">
        <f>IF(A1069="","",VLOOKUP(A1069,VII.A!$A$10:$D$199,4,FALSE))</f>
        <v>0</v>
      </c>
      <c r="I1069" s="341" t="str">
        <f t="shared" ref="I1069:I1084" si="281">IF(A1069="","",IF(E1069=H1069,"SIM","NÃO"))</f>
        <v>SIM</v>
      </c>
      <c r="J1069" s="341" t="str">
        <f>IF(A1069="","",VLOOKUP(A1069,VII.A!$A$10:$D$199,3,FALSE))</f>
        <v>UN</v>
      </c>
      <c r="K1069" s="342" t="str">
        <f t="shared" ref="K1069:K1084" si="282">IF(A1069="","",IF(J1069=D1069,"SIM","NÃO"))</f>
        <v>SIM</v>
      </c>
      <c r="L1069" s="380">
        <f>IF(C1069="","",G1067*C1069)</f>
        <v>40</v>
      </c>
      <c r="M1069" s="381" t="str">
        <f>IF(A1069="","",VLOOKUP(A1069,VII.A!$A$10:$B$199,2,FALSE))</f>
        <v>CADEADO SIMPLES, CORPO EM LATAO MACICO, COM LARGURA DE 50 MM E ALTURA DE APROX 40 MM, HASTE CEMENTADA EM ACO TEMPERADO COM DIAMETRO DE APROX 8,0 MM, INCLUINDO 2 CHAVES</v>
      </c>
      <c r="N1069" s="342" t="str">
        <f t="shared" ref="N1069:N1084" si="283">IF(B1069="","",IF(M1069=B1069,"si","no"))</f>
        <v>si</v>
      </c>
      <c r="R1069" s="341"/>
      <c r="S1069" s="341"/>
    </row>
    <row r="1070" spans="1:25" ht="12.75" customHeight="1">
      <c r="A1070" s="385" t="str">
        <f>VII.A!$A$38</f>
        <v>1.29</v>
      </c>
      <c r="B1070" s="394" t="str">
        <f>VLOOKUP(A1070,VII.A!$A$10:$G$199,2,FALSE)</f>
        <v>CIMENTO PORTLAND CP II-E-32</v>
      </c>
      <c r="C1070" s="20">
        <f>5*2.6+2.03</f>
        <v>15.03</v>
      </c>
      <c r="D1070" s="342" t="str">
        <f>VLOOKUP(A1070,VII.A!$A$10:$G$199,3,FALSE)</f>
        <v>KG</v>
      </c>
      <c r="E1070" s="387">
        <f>VLOOKUP(A1070,VII.A!$A$10:$G$199,4,FALSE)</f>
        <v>0</v>
      </c>
      <c r="F1070" s="388">
        <f t="shared" ref="F1070:F1084" si="284">ROUND(C1070*E1070,2)</f>
        <v>0</v>
      </c>
      <c r="H1070" s="341">
        <f>IF(A1070="","",VLOOKUP(A1070,VII.A!$A$10:$D$199,4,FALSE))</f>
        <v>0</v>
      </c>
      <c r="I1070" s="341" t="str">
        <f t="shared" si="281"/>
        <v>SIM</v>
      </c>
      <c r="J1070" s="341" t="str">
        <f>IF(A1070="","",VLOOKUP(A1070,VII.A!$A$10:$D$199,3,FALSE))</f>
        <v>KG</v>
      </c>
      <c r="K1070" s="342" t="str">
        <f t="shared" si="282"/>
        <v>SIM</v>
      </c>
      <c r="L1070" s="380">
        <f>IF(C1070="","",G1067*C1070)</f>
        <v>601.19999999999993</v>
      </c>
      <c r="M1070" s="381" t="str">
        <f>IF(A1070="","",VLOOKUP(A1070,VII.A!$A$10:$B$199,2,FALSE))</f>
        <v>CIMENTO PORTLAND CP II-E-32</v>
      </c>
      <c r="N1070" s="342" t="str">
        <f t="shared" si="283"/>
        <v>si</v>
      </c>
      <c r="R1070" s="341"/>
      <c r="S1070" s="341"/>
    </row>
    <row r="1071" spans="1:25" ht="12.75" customHeight="1">
      <c r="A1071" s="385" t="str">
        <f>VII.A!$A$19</f>
        <v>1.10</v>
      </c>
      <c r="B1071" s="394" t="str">
        <f>VLOOKUP(A1071,VII.A!$A$10:$G$199,2,FALSE)</f>
        <v>AREIA MÉDIA LAVADA</v>
      </c>
      <c r="C1071" s="20">
        <f>0.01*5*2.6</f>
        <v>0.13</v>
      </c>
      <c r="D1071" s="342" t="str">
        <f>VLOOKUP(A1071,VII.A!$A$10:$G$199,3,FALSE)</f>
        <v>M3</v>
      </c>
      <c r="E1071" s="387">
        <f>VLOOKUP(A1071,VII.A!$A$10:$G$199,4,FALSE)</f>
        <v>0</v>
      </c>
      <c r="F1071" s="388">
        <f t="shared" si="284"/>
        <v>0</v>
      </c>
      <c r="H1071" s="341">
        <f>IF(A1071="","",VLOOKUP(A1071,VII.A!$A$10:$D$199,4,FALSE))</f>
        <v>0</v>
      </c>
      <c r="I1071" s="341" t="str">
        <f t="shared" si="281"/>
        <v>SIM</v>
      </c>
      <c r="J1071" s="341" t="str">
        <f>IF(A1071="","",VLOOKUP(A1071,VII.A!$A$10:$D$199,3,FALSE))</f>
        <v>M3</v>
      </c>
      <c r="K1071" s="342" t="str">
        <f t="shared" si="282"/>
        <v>SIM</v>
      </c>
      <c r="L1071" s="380">
        <f>IF(C1071="","",G1067*C1071)</f>
        <v>5.2</v>
      </c>
      <c r="M1071" s="381" t="str">
        <f>IF(A1071="","",VLOOKUP(A1071,VII.A!$A$10:$B$199,2,FALSE))</f>
        <v>AREIA MÉDIA LAVADA</v>
      </c>
      <c r="N1071" s="342" t="str">
        <f t="shared" si="283"/>
        <v>si</v>
      </c>
      <c r="R1071" s="341"/>
      <c r="S1071" s="341"/>
    </row>
    <row r="1072" spans="1:25" ht="12.75" customHeight="1">
      <c r="A1072" s="385"/>
      <c r="B1072" s="386"/>
      <c r="C1072" s="20"/>
      <c r="D1072" s="342"/>
      <c r="E1072" s="387"/>
      <c r="F1072" s="388">
        <f t="shared" si="284"/>
        <v>0</v>
      </c>
      <c r="H1072" s="341" t="str">
        <f>IF(A1072="","",VLOOKUP(A1072,VII.A!$A$10:$D$199,4,FALSE))</f>
        <v/>
      </c>
      <c r="I1072" s="341" t="str">
        <f t="shared" si="281"/>
        <v/>
      </c>
      <c r="J1072" s="341" t="str">
        <f>IF(A1072="","",VLOOKUP(A1072,VII.A!$A$10:$D$199,3,FALSE))</f>
        <v/>
      </c>
      <c r="K1072" s="342" t="str">
        <f t="shared" si="282"/>
        <v/>
      </c>
      <c r="L1072" s="380" t="str">
        <f>IF(C1072="","",G1067*C1072)</f>
        <v/>
      </c>
      <c r="M1072" s="381" t="str">
        <f>IF(A1072="","",VLOOKUP(A1072,VII.A!$A$10:$B$199,2,FALSE))</f>
        <v/>
      </c>
      <c r="N1072" s="342" t="str">
        <f t="shared" si="283"/>
        <v/>
      </c>
      <c r="R1072" s="341"/>
      <c r="S1072" s="341"/>
    </row>
    <row r="1073" spans="1:21" ht="12.75" customHeight="1">
      <c r="A1073" s="385"/>
      <c r="B1073" s="386"/>
      <c r="C1073" s="20"/>
      <c r="D1073" s="342"/>
      <c r="E1073" s="387"/>
      <c r="F1073" s="388">
        <f t="shared" si="284"/>
        <v>0</v>
      </c>
      <c r="H1073" s="341" t="str">
        <f>IF(A1073="","",VLOOKUP(A1073,VII.A!$A$10:$D$199,4,FALSE))</f>
        <v/>
      </c>
      <c r="I1073" s="341" t="str">
        <f t="shared" si="281"/>
        <v/>
      </c>
      <c r="J1073" s="341" t="str">
        <f>IF(A1073="","",VLOOKUP(A1073,VII.A!$A$10:$D$199,3,FALSE))</f>
        <v/>
      </c>
      <c r="K1073" s="342" t="str">
        <f t="shared" si="282"/>
        <v/>
      </c>
      <c r="L1073" s="380" t="str">
        <f>IF(C1073="","",G1067*C1073)</f>
        <v/>
      </c>
      <c r="M1073" s="381" t="str">
        <f>IF(A1073="","",VLOOKUP(A1073,VII.A!$A$10:$B$199,2,FALSE))</f>
        <v/>
      </c>
      <c r="N1073" s="342" t="str">
        <f t="shared" si="283"/>
        <v/>
      </c>
      <c r="R1073" s="341"/>
      <c r="S1073" s="341"/>
    </row>
    <row r="1074" spans="1:21" ht="12.75" customHeight="1">
      <c r="A1074" s="385"/>
      <c r="B1074" s="386"/>
      <c r="C1074" s="20"/>
      <c r="D1074" s="342"/>
      <c r="E1074" s="387"/>
      <c r="F1074" s="388">
        <f t="shared" si="284"/>
        <v>0</v>
      </c>
      <c r="H1074" s="341" t="str">
        <f>IF(A1074="","",VLOOKUP(A1074,VII.A!$A$10:$D$199,4,FALSE))</f>
        <v/>
      </c>
      <c r="I1074" s="341" t="str">
        <f t="shared" si="281"/>
        <v/>
      </c>
      <c r="J1074" s="341" t="str">
        <f>IF(A1074="","",VLOOKUP(A1074,VII.A!$A$10:$D$199,3,FALSE))</f>
        <v/>
      </c>
      <c r="K1074" s="342" t="str">
        <f t="shared" si="282"/>
        <v/>
      </c>
      <c r="L1074" s="380" t="str">
        <f>IF(C1074="","",G1067*C1074)</f>
        <v/>
      </c>
      <c r="M1074" s="381" t="str">
        <f>IF(A1074="","",VLOOKUP(A1074,VII.A!$A$10:$B$199,2,FALSE))</f>
        <v/>
      </c>
      <c r="N1074" s="342" t="str">
        <f t="shared" si="283"/>
        <v/>
      </c>
      <c r="R1074" s="341"/>
      <c r="S1074" s="341"/>
      <c r="U1074" s="389"/>
    </row>
    <row r="1075" spans="1:21" ht="12.75" customHeight="1">
      <c r="A1075" s="385"/>
      <c r="B1075" s="386"/>
      <c r="C1075" s="20"/>
      <c r="D1075" s="342"/>
      <c r="E1075" s="387"/>
      <c r="F1075" s="388">
        <f t="shared" si="284"/>
        <v>0</v>
      </c>
      <c r="H1075" s="341" t="str">
        <f>IF(A1075="","",VLOOKUP(A1075,VII.A!$A$10:$D$199,4,FALSE))</f>
        <v/>
      </c>
      <c r="I1075" s="341" t="str">
        <f t="shared" si="281"/>
        <v/>
      </c>
      <c r="J1075" s="341" t="str">
        <f>IF(A1075="","",VLOOKUP(A1075,VII.A!$A$10:$D$199,3,FALSE))</f>
        <v/>
      </c>
      <c r="K1075" s="342" t="str">
        <f t="shared" si="282"/>
        <v/>
      </c>
      <c r="L1075" s="380" t="str">
        <f>IF(C1075="","",G1067*C1075)</f>
        <v/>
      </c>
      <c r="M1075" s="381" t="str">
        <f>IF(A1075="","",VLOOKUP(A1075,VII.A!$A$10:$B$199,2,FALSE))</f>
        <v/>
      </c>
      <c r="N1075" s="342" t="str">
        <f t="shared" si="283"/>
        <v/>
      </c>
      <c r="R1075" s="341"/>
      <c r="S1075" s="341"/>
    </row>
    <row r="1076" spans="1:21" ht="12.75" customHeight="1">
      <c r="A1076" s="385"/>
      <c r="B1076" s="386"/>
      <c r="C1076" s="20"/>
      <c r="D1076" s="342"/>
      <c r="E1076" s="387"/>
      <c r="F1076" s="388">
        <f t="shared" si="284"/>
        <v>0</v>
      </c>
      <c r="G1076" s="390"/>
      <c r="H1076" s="341" t="str">
        <f>IF(A1076="","",VLOOKUP(A1076,VII.A!$A$10:$D$199,4,FALSE))</f>
        <v/>
      </c>
      <c r="I1076" s="341" t="str">
        <f t="shared" si="281"/>
        <v/>
      </c>
      <c r="J1076" s="341" t="str">
        <f>IF(A1076="","",VLOOKUP(A1076,VII.A!$A$10:$D$199,3,FALSE))</f>
        <v/>
      </c>
      <c r="K1076" s="342" t="str">
        <f t="shared" si="282"/>
        <v/>
      </c>
      <c r="L1076" s="380" t="str">
        <f>IF(C1076="","",G1067*C1076)</f>
        <v/>
      </c>
      <c r="M1076" s="381" t="str">
        <f>IF(A1076="","",VLOOKUP(A1076,VII.A!$A$10:$B$199,2,FALSE))</f>
        <v/>
      </c>
      <c r="N1076" s="342" t="str">
        <f t="shared" si="283"/>
        <v/>
      </c>
      <c r="R1076" s="341"/>
      <c r="S1076" s="341"/>
    </row>
    <row r="1077" spans="1:21" ht="12.75" customHeight="1">
      <c r="A1077" s="385"/>
      <c r="B1077" s="386"/>
      <c r="C1077" s="20"/>
      <c r="D1077" s="342"/>
      <c r="E1077" s="387"/>
      <c r="F1077" s="388">
        <f t="shared" si="284"/>
        <v>0</v>
      </c>
      <c r="G1077" s="390"/>
      <c r="H1077" s="341" t="str">
        <f>IF(A1077="","",VLOOKUP(A1077,VII.A!$A$10:$D$199,4,FALSE))</f>
        <v/>
      </c>
      <c r="I1077" s="341" t="str">
        <f t="shared" si="281"/>
        <v/>
      </c>
      <c r="J1077" s="341" t="str">
        <f>IF(A1077="","",VLOOKUP(A1077,VII.A!$A$10:$D$199,3,FALSE))</f>
        <v/>
      </c>
      <c r="K1077" s="342" t="str">
        <f t="shared" si="282"/>
        <v/>
      </c>
      <c r="L1077" s="380" t="str">
        <f>IF(C1077="","",G1067*C1077)</f>
        <v/>
      </c>
      <c r="M1077" s="381" t="str">
        <f>IF(A1077="","",VLOOKUP(A1077,VII.A!$A$10:$B$199,2,FALSE))</f>
        <v/>
      </c>
      <c r="N1077" s="342" t="str">
        <f t="shared" si="283"/>
        <v/>
      </c>
      <c r="R1077" s="341"/>
      <c r="S1077" s="341"/>
    </row>
    <row r="1078" spans="1:21" ht="12.75" customHeight="1">
      <c r="A1078" s="385"/>
      <c r="B1078" s="386"/>
      <c r="C1078" s="20"/>
      <c r="D1078" s="342"/>
      <c r="E1078" s="387"/>
      <c r="F1078" s="388">
        <f t="shared" si="284"/>
        <v>0</v>
      </c>
      <c r="G1078" s="391"/>
      <c r="H1078" s="341" t="str">
        <f>IF(A1078="","",VLOOKUP(A1078,VII.A!$A$10:$D$199,4,FALSE))</f>
        <v/>
      </c>
      <c r="I1078" s="341" t="str">
        <f t="shared" si="281"/>
        <v/>
      </c>
      <c r="J1078" s="341" t="str">
        <f>IF(A1078="","",VLOOKUP(A1078,VII.A!$A$10:$D$199,3,FALSE))</f>
        <v/>
      </c>
      <c r="K1078" s="342" t="str">
        <f t="shared" si="282"/>
        <v/>
      </c>
      <c r="L1078" s="380" t="str">
        <f>IF(C1078="","",G1067*C1078)</f>
        <v/>
      </c>
      <c r="M1078" s="381" t="str">
        <f>IF(A1078="","",VLOOKUP(A1078,VII.A!$A$10:$B$199,2,FALSE))</f>
        <v/>
      </c>
      <c r="N1078" s="342" t="str">
        <f t="shared" si="283"/>
        <v/>
      </c>
      <c r="R1078" s="341"/>
      <c r="S1078" s="341"/>
    </row>
    <row r="1079" spans="1:21" ht="12.75" customHeight="1">
      <c r="A1079" s="385"/>
      <c r="B1079" s="386"/>
      <c r="C1079" s="20"/>
      <c r="D1079" s="342"/>
      <c r="E1079" s="387"/>
      <c r="F1079" s="388">
        <f t="shared" si="284"/>
        <v>0</v>
      </c>
      <c r="H1079" s="341" t="str">
        <f>IF(A1079="","",VLOOKUP(A1079,VII.A!$A$10:$D$199,4,FALSE))</f>
        <v/>
      </c>
      <c r="I1079" s="341" t="str">
        <f t="shared" si="281"/>
        <v/>
      </c>
      <c r="J1079" s="341" t="str">
        <f>IF(A1079="","",VLOOKUP(A1079,VII.A!$A$10:$D$199,3,FALSE))</f>
        <v/>
      </c>
      <c r="K1079" s="342" t="str">
        <f t="shared" si="282"/>
        <v/>
      </c>
      <c r="L1079" s="380" t="str">
        <f>IF(C1079="","",G1067*C1079)</f>
        <v/>
      </c>
      <c r="M1079" s="381" t="str">
        <f>IF(A1079="","",VLOOKUP(A1079,VII.A!$A$10:$B$199,2,FALSE))</f>
        <v/>
      </c>
      <c r="N1079" s="342" t="str">
        <f t="shared" si="283"/>
        <v/>
      </c>
      <c r="R1079" s="341"/>
      <c r="S1079" s="341"/>
    </row>
    <row r="1080" spans="1:21" ht="12.75" customHeight="1">
      <c r="A1080" s="385"/>
      <c r="B1080" s="386"/>
      <c r="C1080" s="20"/>
      <c r="D1080" s="392"/>
      <c r="E1080" s="387"/>
      <c r="F1080" s="388">
        <f t="shared" si="284"/>
        <v>0</v>
      </c>
      <c r="H1080" s="341" t="str">
        <f>IF(A1080="","",VLOOKUP(A1080,VII.A!$A$10:$D$199,4,FALSE))</f>
        <v/>
      </c>
      <c r="I1080" s="341" t="str">
        <f t="shared" si="281"/>
        <v/>
      </c>
      <c r="J1080" s="341" t="str">
        <f>IF(A1080="","",VLOOKUP(A1080,VII.A!$A$10:$D$199,3,FALSE))</f>
        <v/>
      </c>
      <c r="K1080" s="342" t="str">
        <f t="shared" si="282"/>
        <v/>
      </c>
      <c r="L1080" s="380" t="str">
        <f>IF(C1080="","",G1067*C1080)</f>
        <v/>
      </c>
      <c r="M1080" s="381" t="str">
        <f>IF(A1080="","",VLOOKUP(A1080,VII.A!$A$10:$B$199,2,FALSE))</f>
        <v/>
      </c>
      <c r="N1080" s="342" t="str">
        <f t="shared" si="283"/>
        <v/>
      </c>
      <c r="R1080" s="341"/>
      <c r="S1080" s="341"/>
    </row>
    <row r="1081" spans="1:21" ht="12.75" customHeight="1">
      <c r="A1081" s="385"/>
      <c r="B1081" s="386"/>
      <c r="C1081" s="20"/>
      <c r="D1081" s="392"/>
      <c r="E1081" s="387"/>
      <c r="F1081" s="388">
        <f t="shared" si="284"/>
        <v>0</v>
      </c>
      <c r="H1081" s="341" t="str">
        <f>IF(A1081="","",VLOOKUP(A1081,VII.A!$A$10:$D$199,4,FALSE))</f>
        <v/>
      </c>
      <c r="I1081" s="341" t="str">
        <f t="shared" si="281"/>
        <v/>
      </c>
      <c r="J1081" s="341" t="str">
        <f>IF(A1081="","",VLOOKUP(A1081,VII.A!$A$10:$D$199,3,FALSE))</f>
        <v/>
      </c>
      <c r="K1081" s="342" t="str">
        <f t="shared" si="282"/>
        <v/>
      </c>
      <c r="L1081" s="380" t="str">
        <f>IF(C1081="","",G1067*C1081)</f>
        <v/>
      </c>
      <c r="M1081" s="381" t="str">
        <f>IF(A1081="","",VLOOKUP(A1081,VII.A!$A$10:$B$199,2,FALSE))</f>
        <v/>
      </c>
      <c r="N1081" s="342" t="str">
        <f t="shared" si="283"/>
        <v/>
      </c>
      <c r="O1081" s="342"/>
      <c r="R1081" s="341"/>
      <c r="S1081" s="341"/>
    </row>
    <row r="1082" spans="1:21" ht="12.75" customHeight="1">
      <c r="A1082" s="385"/>
      <c r="B1082" s="386"/>
      <c r="C1082" s="20"/>
      <c r="D1082" s="392"/>
      <c r="E1082" s="387"/>
      <c r="F1082" s="388">
        <f t="shared" si="284"/>
        <v>0</v>
      </c>
      <c r="H1082" s="341" t="str">
        <f>IF(A1082="","",VLOOKUP(A1082,VII.A!$A$10:$D$199,4,FALSE))</f>
        <v/>
      </c>
      <c r="I1082" s="341" t="str">
        <f t="shared" si="281"/>
        <v/>
      </c>
      <c r="J1082" s="341" t="str">
        <f>IF(A1082="","",VLOOKUP(A1082,VII.A!$A$10:$D$199,3,FALSE))</f>
        <v/>
      </c>
      <c r="K1082" s="342" t="str">
        <f t="shared" si="282"/>
        <v/>
      </c>
      <c r="L1082" s="380" t="str">
        <f>IF(C1082="","",G1067*C1082)</f>
        <v/>
      </c>
      <c r="M1082" s="381" t="str">
        <f>IF(A1082="","",VLOOKUP(A1082,VII.A!$A$10:$B$199,2,FALSE))</f>
        <v/>
      </c>
      <c r="N1082" s="342" t="str">
        <f t="shared" si="283"/>
        <v/>
      </c>
      <c r="R1082" s="341"/>
      <c r="S1082" s="341"/>
    </row>
    <row r="1083" spans="1:21" ht="12.75" customHeight="1">
      <c r="A1083" s="393"/>
      <c r="C1083" s="20"/>
      <c r="E1083" s="387"/>
      <c r="F1083" s="388">
        <f t="shared" si="284"/>
        <v>0</v>
      </c>
      <c r="H1083" s="341" t="str">
        <f>IF(A1083="","",VLOOKUP(A1083,VII.A!$A$10:$D$199,4,FALSE))</f>
        <v/>
      </c>
      <c r="I1083" s="341" t="str">
        <f t="shared" si="281"/>
        <v/>
      </c>
      <c r="J1083" s="341" t="str">
        <f>IF(A1083="","",VLOOKUP(A1083,VII.A!$A$10:$D$199,3,FALSE))</f>
        <v/>
      </c>
      <c r="K1083" s="342" t="str">
        <f t="shared" si="282"/>
        <v/>
      </c>
      <c r="L1083" s="380" t="str">
        <f>IF(C1083="","",G1067*C1083)</f>
        <v/>
      </c>
      <c r="M1083" s="381" t="str">
        <f>IF(A1083="","",VLOOKUP(A1083,VII.A!$A$10:$B$199,2,FALSE))</f>
        <v/>
      </c>
      <c r="N1083" s="342" t="str">
        <f t="shared" si="283"/>
        <v/>
      </c>
      <c r="R1083" s="341"/>
      <c r="S1083" s="341"/>
    </row>
    <row r="1084" spans="1:21" ht="12.75" customHeight="1">
      <c r="A1084" s="393"/>
      <c r="C1084" s="20"/>
      <c r="E1084" s="387"/>
      <c r="F1084" s="388">
        <f t="shared" si="284"/>
        <v>0</v>
      </c>
      <c r="H1084" s="341" t="str">
        <f>IF(A1084="","",VLOOKUP(A1084,VII.A!$A$10:$D$199,4,FALSE))</f>
        <v/>
      </c>
      <c r="I1084" s="341" t="str">
        <f t="shared" si="281"/>
        <v/>
      </c>
      <c r="J1084" s="341" t="str">
        <f>IF(A1084="","",VLOOKUP(A1084,VII.A!$A$10:$D$199,3,FALSE))</f>
        <v/>
      </c>
      <c r="K1084" s="342" t="str">
        <f t="shared" si="282"/>
        <v/>
      </c>
      <c r="L1084" s="380" t="str">
        <f>IF(C1084="","",G1067*C1084)</f>
        <v/>
      </c>
      <c r="M1084" s="381" t="str">
        <f>IF(A1084="","",VLOOKUP(A1084,VII.A!$A$10:$B$199,2,FALSE))</f>
        <v/>
      </c>
      <c r="N1084" s="342" t="str">
        <f t="shared" si="283"/>
        <v/>
      </c>
      <c r="R1084" s="341"/>
      <c r="S1084" s="341"/>
    </row>
    <row r="1085" spans="1:21" ht="12.75" customHeight="1">
      <c r="A1085" s="393"/>
      <c r="B1085" s="395" t="s">
        <v>226</v>
      </c>
      <c r="C1085" s="396"/>
      <c r="D1085" s="397"/>
      <c r="E1085" s="398"/>
      <c r="F1085" s="399">
        <f>SUM(F1069:F1084)</f>
        <v>0</v>
      </c>
      <c r="H1085" s="426" t="s">
        <v>508</v>
      </c>
      <c r="J1085" s="341"/>
      <c r="L1085" s="380"/>
      <c r="M1085" s="381"/>
      <c r="N1085" s="342"/>
      <c r="R1085" s="341"/>
      <c r="S1085" s="341"/>
    </row>
    <row r="1086" spans="1:21" ht="12.75" customHeight="1">
      <c r="A1086" s="393"/>
      <c r="B1086" s="400" t="s">
        <v>53</v>
      </c>
      <c r="C1086" s="2">
        <f>$D$8</f>
        <v>0</v>
      </c>
      <c r="D1086" s="401"/>
      <c r="E1086" s="402"/>
      <c r="F1086" s="403">
        <f>ROUND(F1085*C1086,2)</f>
        <v>0</v>
      </c>
      <c r="H1086" s="426" t="s">
        <v>509</v>
      </c>
      <c r="J1086" s="341"/>
      <c r="L1086" s="380"/>
      <c r="M1086" s="381"/>
      <c r="N1086" s="342"/>
      <c r="R1086" s="341"/>
      <c r="S1086" s="341"/>
    </row>
    <row r="1087" spans="1:21" ht="12.75" customHeight="1">
      <c r="A1087" s="404"/>
      <c r="B1087" s="405" t="s">
        <v>227</v>
      </c>
      <c r="C1087" s="406"/>
      <c r="D1087" s="406"/>
      <c r="E1087" s="407"/>
      <c r="F1087" s="408">
        <f>F1085+F1086</f>
        <v>0</v>
      </c>
      <c r="J1087" s="341"/>
      <c r="L1087" s="380"/>
      <c r="M1087" s="381"/>
      <c r="N1087" s="342"/>
      <c r="R1087" s="341"/>
      <c r="S1087" s="341"/>
    </row>
    <row r="1088" spans="1:21" ht="12.75" customHeight="1">
      <c r="A1088" s="374" t="s">
        <v>2</v>
      </c>
      <c r="B1088" s="375" t="s">
        <v>235</v>
      </c>
      <c r="C1088" s="376" t="s">
        <v>231</v>
      </c>
      <c r="D1088" s="376" t="s">
        <v>232</v>
      </c>
      <c r="E1088" s="377" t="s">
        <v>233</v>
      </c>
      <c r="F1088" s="378" t="s">
        <v>234</v>
      </c>
      <c r="J1088" s="341"/>
      <c r="L1088" s="380"/>
      <c r="M1088" s="381"/>
      <c r="N1088" s="342"/>
      <c r="R1088" s="341"/>
      <c r="S1088" s="341"/>
    </row>
    <row r="1089" spans="1:19" ht="12.75" customHeight="1">
      <c r="A1089" s="393" t="str">
        <f>VII.A!$A$170</f>
        <v>2.28</v>
      </c>
      <c r="B1089" s="394" t="str">
        <f>VLOOKUP(A1089,VII.A!$A$10:$G$199,2,FALSE)</f>
        <v>PORTÃO DE ABRIR EM GRADE DE AÇO, MALHA 65 X 132 MM, MANUAL DO LOTEADOR</v>
      </c>
      <c r="C1089" s="20">
        <f>5*2.6</f>
        <v>13</v>
      </c>
      <c r="D1089" s="342" t="str">
        <f>VLOOKUP(A1089,VII.A!$A$10:$G$199,3,FALSE)</f>
        <v>M2</v>
      </c>
      <c r="E1089" s="387">
        <f>VLOOKUP(A1089,VII.A!$A$10:$G$199,4,FALSE)</f>
        <v>0</v>
      </c>
      <c r="F1089" s="388">
        <f t="shared" ref="F1089:F1098" si="285">ROUND(C1089*E1089,2)</f>
        <v>0</v>
      </c>
      <c r="H1089" s="341">
        <f>IF(A1089="","",VLOOKUP(A1089,VII.A!$A$10:$D$199,4,FALSE))</f>
        <v>0</v>
      </c>
      <c r="I1089" s="341" t="str">
        <f t="shared" ref="I1089:I1098" si="286">IF(A1089="","",IF(E1089=H1089,"SIM","NÃO"))</f>
        <v>SIM</v>
      </c>
      <c r="J1089" s="341" t="str">
        <f>IF(A1089="","",VLOOKUP(A1089,VII.A!$A$10:$D$199,3,FALSE))</f>
        <v>M2</v>
      </c>
      <c r="K1089" s="342" t="str">
        <f t="shared" ref="K1089:K1098" si="287">IF(A1089="","",IF(J1089=D1089,"SIM","NÃO"))</f>
        <v>SIM</v>
      </c>
      <c r="L1089" s="380">
        <f>IF(C1089="","",G1067*C1089)</f>
        <v>520</v>
      </c>
      <c r="M1089" s="381" t="str">
        <f>IF(A1089="","",VLOOKUP(A1089,VII.A!$A$10:$B$199,2,FALSE))</f>
        <v>PORTÃO DE ABRIR EM GRADE DE AÇO, MALHA 65 X 132 MM, MANUAL DO LOTEADOR</v>
      </c>
      <c r="N1089" s="342" t="str">
        <f t="shared" ref="N1089:N1098" si="288">IF(B1089="","",IF(M1089=B1089,"si","no"))</f>
        <v>si</v>
      </c>
      <c r="R1089" s="341"/>
      <c r="S1089" s="341"/>
    </row>
    <row r="1090" spans="1:19" ht="12.75" customHeight="1">
      <c r="A1090" s="393"/>
      <c r="C1090" s="20"/>
      <c r="E1090" s="387"/>
      <c r="F1090" s="388">
        <f t="shared" si="285"/>
        <v>0</v>
      </c>
      <c r="H1090" s="341" t="str">
        <f>IF(A1090="","",VLOOKUP(A1090,VII.A!$A$10:$D$199,4,FALSE))</f>
        <v/>
      </c>
      <c r="I1090" s="341" t="str">
        <f t="shared" si="286"/>
        <v/>
      </c>
      <c r="J1090" s="341" t="str">
        <f>IF(A1090="","",VLOOKUP(A1090,VII.A!$A$10:$D$199,3,FALSE))</f>
        <v/>
      </c>
      <c r="K1090" s="342" t="str">
        <f t="shared" si="287"/>
        <v/>
      </c>
      <c r="L1090" s="380" t="str">
        <f>IF(C1090="","",G1067*C1090)</f>
        <v/>
      </c>
      <c r="M1090" s="381" t="str">
        <f>IF(A1090="","",VLOOKUP(A1090,VII.A!$A$10:$B$199,2,FALSE))</f>
        <v/>
      </c>
      <c r="N1090" s="342" t="str">
        <f t="shared" si="288"/>
        <v/>
      </c>
      <c r="R1090" s="341"/>
      <c r="S1090" s="341"/>
    </row>
    <row r="1091" spans="1:19" ht="12.75" customHeight="1">
      <c r="A1091" s="393"/>
      <c r="C1091" s="20"/>
      <c r="E1091" s="387"/>
      <c r="F1091" s="388">
        <f t="shared" si="285"/>
        <v>0</v>
      </c>
      <c r="H1091" s="341" t="str">
        <f>IF(A1091="","",VLOOKUP(A1091,VII.A!$A$10:$D$199,4,FALSE))</f>
        <v/>
      </c>
      <c r="I1091" s="341" t="str">
        <f t="shared" si="286"/>
        <v/>
      </c>
      <c r="J1091" s="341" t="str">
        <f>IF(A1091="","",VLOOKUP(A1091,VII.A!$A$10:$D$199,3,FALSE))</f>
        <v/>
      </c>
      <c r="K1091" s="342" t="str">
        <f t="shared" si="287"/>
        <v/>
      </c>
      <c r="L1091" s="380" t="str">
        <f>IF(C1091="","",G1067*C1091)</f>
        <v/>
      </c>
      <c r="M1091" s="381" t="str">
        <f>IF(A1091="","",VLOOKUP(A1091,VII.A!$A$10:$B$199,2,FALSE))</f>
        <v/>
      </c>
      <c r="N1091" s="342" t="str">
        <f t="shared" si="288"/>
        <v/>
      </c>
      <c r="R1091" s="341"/>
      <c r="S1091" s="341"/>
    </row>
    <row r="1092" spans="1:19" ht="12.75" customHeight="1">
      <c r="A1092" s="393"/>
      <c r="C1092" s="20"/>
      <c r="E1092" s="387"/>
      <c r="F1092" s="388">
        <f t="shared" si="285"/>
        <v>0</v>
      </c>
      <c r="H1092" s="341" t="str">
        <f>IF(A1092="","",VLOOKUP(A1092,VII.A!$A$10:$D$199,4,FALSE))</f>
        <v/>
      </c>
      <c r="I1092" s="341" t="str">
        <f t="shared" si="286"/>
        <v/>
      </c>
      <c r="J1092" s="341" t="str">
        <f>IF(A1092="","",VLOOKUP(A1092,VII.A!$A$10:$D$199,3,FALSE))</f>
        <v/>
      </c>
      <c r="K1092" s="342" t="str">
        <f t="shared" si="287"/>
        <v/>
      </c>
      <c r="L1092" s="380" t="str">
        <f>IF(C1092="","",G1067*C1092)</f>
        <v/>
      </c>
      <c r="M1092" s="381" t="str">
        <f>IF(A1092="","",VLOOKUP(A1092,VII.A!$A$10:$B$199,2,FALSE))</f>
        <v/>
      </c>
      <c r="N1092" s="342" t="str">
        <f t="shared" si="288"/>
        <v/>
      </c>
      <c r="R1092" s="341"/>
      <c r="S1092" s="341"/>
    </row>
    <row r="1093" spans="1:19" ht="12.75" customHeight="1">
      <c r="A1093" s="393"/>
      <c r="C1093" s="20"/>
      <c r="E1093" s="387"/>
      <c r="F1093" s="388">
        <f t="shared" si="285"/>
        <v>0</v>
      </c>
      <c r="G1093" s="390"/>
      <c r="H1093" s="341" t="str">
        <f>IF(A1093="","",VLOOKUP(A1093,VII.A!$A$10:$D$199,4,FALSE))</f>
        <v/>
      </c>
      <c r="I1093" s="341" t="str">
        <f t="shared" si="286"/>
        <v/>
      </c>
      <c r="J1093" s="341" t="str">
        <f>IF(A1093="","",VLOOKUP(A1093,VII.A!$A$10:$D$199,3,FALSE))</f>
        <v/>
      </c>
      <c r="K1093" s="342" t="str">
        <f t="shared" si="287"/>
        <v/>
      </c>
      <c r="L1093" s="380" t="str">
        <f>IF(C1093="","",G1067*C1093)</f>
        <v/>
      </c>
      <c r="M1093" s="381" t="str">
        <f>IF(A1093="","",VLOOKUP(A1093,VII.A!$A$10:$B$199,2,FALSE))</f>
        <v/>
      </c>
      <c r="N1093" s="342" t="str">
        <f t="shared" si="288"/>
        <v/>
      </c>
      <c r="R1093" s="341"/>
      <c r="S1093" s="341"/>
    </row>
    <row r="1094" spans="1:19" ht="12.75" customHeight="1">
      <c r="A1094" s="393"/>
      <c r="C1094" s="20"/>
      <c r="E1094" s="387"/>
      <c r="F1094" s="388">
        <f t="shared" si="285"/>
        <v>0</v>
      </c>
      <c r="G1094" s="391"/>
      <c r="H1094" s="341" t="str">
        <f>IF(A1094="","",VLOOKUP(A1094,VII.A!$A$10:$D$199,4,FALSE))</f>
        <v/>
      </c>
      <c r="I1094" s="341" t="str">
        <f t="shared" si="286"/>
        <v/>
      </c>
      <c r="J1094" s="341" t="str">
        <f>IF(A1094="","",VLOOKUP(A1094,VII.A!$A$10:$D$199,3,FALSE))</f>
        <v/>
      </c>
      <c r="K1094" s="342" t="str">
        <f t="shared" si="287"/>
        <v/>
      </c>
      <c r="L1094" s="380" t="str">
        <f>IF(C1094="","",G1067*C1094)</f>
        <v/>
      </c>
      <c r="M1094" s="381" t="str">
        <f>IF(A1094="","",VLOOKUP(A1094,VII.A!$A$10:$B$199,2,FALSE))</f>
        <v/>
      </c>
      <c r="N1094" s="342" t="str">
        <f t="shared" si="288"/>
        <v/>
      </c>
      <c r="R1094" s="341"/>
      <c r="S1094" s="341"/>
    </row>
    <row r="1095" spans="1:19" ht="12.75" customHeight="1">
      <c r="A1095" s="393"/>
      <c r="C1095" s="20"/>
      <c r="E1095" s="387"/>
      <c r="F1095" s="388">
        <f t="shared" si="285"/>
        <v>0</v>
      </c>
      <c r="H1095" s="341" t="str">
        <f>IF(A1095="","",VLOOKUP(A1095,VII.A!$A$10:$D$199,4,FALSE))</f>
        <v/>
      </c>
      <c r="I1095" s="341" t="str">
        <f t="shared" si="286"/>
        <v/>
      </c>
      <c r="J1095" s="341" t="str">
        <f>IF(A1095="","",VLOOKUP(A1095,VII.A!$A$10:$D$199,3,FALSE))</f>
        <v/>
      </c>
      <c r="K1095" s="342" t="str">
        <f t="shared" si="287"/>
        <v/>
      </c>
      <c r="L1095" s="380" t="str">
        <f>IF(C1095="","",G1067*C1095)</f>
        <v/>
      </c>
      <c r="M1095" s="381" t="str">
        <f>IF(A1095="","",VLOOKUP(A1095,VII.A!$A$10:$B$199,2,FALSE))</f>
        <v/>
      </c>
      <c r="N1095" s="342" t="str">
        <f t="shared" si="288"/>
        <v/>
      </c>
      <c r="R1095" s="341"/>
      <c r="S1095" s="341"/>
    </row>
    <row r="1096" spans="1:19" ht="12.75" customHeight="1">
      <c r="A1096" s="393"/>
      <c r="C1096" s="20"/>
      <c r="E1096" s="387"/>
      <c r="F1096" s="388">
        <f t="shared" si="285"/>
        <v>0</v>
      </c>
      <c r="H1096" s="341" t="str">
        <f>IF(A1096="","",VLOOKUP(A1096,VII.A!$A$10:$D$199,4,FALSE))</f>
        <v/>
      </c>
      <c r="I1096" s="341" t="str">
        <f t="shared" si="286"/>
        <v/>
      </c>
      <c r="J1096" s="341" t="str">
        <f>IF(A1096="","",VLOOKUP(A1096,VII.A!$A$10:$D$199,3,FALSE))</f>
        <v/>
      </c>
      <c r="K1096" s="342" t="str">
        <f t="shared" si="287"/>
        <v/>
      </c>
      <c r="L1096" s="380" t="str">
        <f>IF(C1096="","",G1067*C1096)</f>
        <v/>
      </c>
      <c r="M1096" s="381" t="str">
        <f>IF(A1096="","",VLOOKUP(A1096,VII.A!$A$10:$B$199,2,FALSE))</f>
        <v/>
      </c>
      <c r="N1096" s="342" t="str">
        <f t="shared" si="288"/>
        <v/>
      </c>
      <c r="R1096" s="341"/>
      <c r="S1096" s="341"/>
    </row>
    <row r="1097" spans="1:19" ht="12.75" customHeight="1">
      <c r="A1097" s="393"/>
      <c r="C1097" s="20"/>
      <c r="E1097" s="387"/>
      <c r="F1097" s="388">
        <f t="shared" si="285"/>
        <v>0</v>
      </c>
      <c r="H1097" s="341" t="str">
        <f>IF(A1097="","",VLOOKUP(A1097,VII.A!$A$10:$D$199,4,FALSE))</f>
        <v/>
      </c>
      <c r="I1097" s="341" t="str">
        <f t="shared" si="286"/>
        <v/>
      </c>
      <c r="J1097" s="341" t="str">
        <f>IF(A1097="","",VLOOKUP(A1097,VII.A!$A$10:$D$199,3,FALSE))</f>
        <v/>
      </c>
      <c r="K1097" s="342" t="str">
        <f t="shared" si="287"/>
        <v/>
      </c>
      <c r="L1097" s="380" t="str">
        <f>IF(C1097="","",G1067*C1097)</f>
        <v/>
      </c>
      <c r="M1097" s="381" t="str">
        <f>IF(A1097="","",VLOOKUP(A1097,VII.A!$A$10:$B$199,2,FALSE))</f>
        <v/>
      </c>
      <c r="N1097" s="342" t="str">
        <f t="shared" si="288"/>
        <v/>
      </c>
      <c r="R1097" s="341"/>
      <c r="S1097" s="341"/>
    </row>
    <row r="1098" spans="1:19" ht="12.75" customHeight="1">
      <c r="A1098" s="393"/>
      <c r="C1098" s="20"/>
      <c r="E1098" s="387"/>
      <c r="F1098" s="388">
        <f t="shared" si="285"/>
        <v>0</v>
      </c>
      <c r="H1098" s="341" t="str">
        <f>IF(A1098="","",VLOOKUP(A1098,VII.A!$A$10:$D$199,4,FALSE))</f>
        <v/>
      </c>
      <c r="I1098" s="341" t="str">
        <f t="shared" si="286"/>
        <v/>
      </c>
      <c r="J1098" s="341" t="str">
        <f>IF(A1098="","",VLOOKUP(A1098,VII.A!$A$10:$D$199,3,FALSE))</f>
        <v/>
      </c>
      <c r="K1098" s="342" t="str">
        <f t="shared" si="287"/>
        <v/>
      </c>
      <c r="L1098" s="380" t="str">
        <f>IF(C1098="","",G1067*C1098)</f>
        <v/>
      </c>
      <c r="M1098" s="381" t="str">
        <f>IF(A1098="","",VLOOKUP(A1098,VII.A!$A$10:$B$199,2,FALSE))</f>
        <v/>
      </c>
      <c r="N1098" s="342" t="str">
        <f t="shared" si="288"/>
        <v/>
      </c>
      <c r="R1098" s="341"/>
      <c r="S1098" s="341"/>
    </row>
    <row r="1099" spans="1:19" ht="12.75" customHeight="1">
      <c r="A1099" s="393"/>
      <c r="B1099" s="395" t="s">
        <v>226</v>
      </c>
      <c r="C1099" s="396"/>
      <c r="D1099" s="397"/>
      <c r="E1099" s="398"/>
      <c r="F1099" s="399">
        <f>SUM(F1089:F1098)</f>
        <v>0</v>
      </c>
      <c r="J1099" s="341"/>
      <c r="L1099" s="380"/>
      <c r="M1099" s="381"/>
      <c r="N1099" s="342"/>
      <c r="R1099" s="341"/>
      <c r="S1099" s="341"/>
    </row>
    <row r="1100" spans="1:19" ht="12.75" customHeight="1">
      <c r="A1100" s="393"/>
      <c r="B1100" s="400" t="s">
        <v>53</v>
      </c>
      <c r="C1100" s="2">
        <f>$D$8</f>
        <v>0</v>
      </c>
      <c r="D1100" s="401"/>
      <c r="E1100" s="402"/>
      <c r="F1100" s="403">
        <f>ROUND(C1100*F1099,2)</f>
        <v>0</v>
      </c>
      <c r="J1100" s="341"/>
      <c r="L1100" s="380"/>
      <c r="M1100" s="381"/>
      <c r="N1100" s="342"/>
      <c r="R1100" s="341"/>
      <c r="S1100" s="341"/>
    </row>
    <row r="1101" spans="1:19" ht="12.75" customHeight="1">
      <c r="A1101" s="404"/>
      <c r="B1101" s="405" t="s">
        <v>228</v>
      </c>
      <c r="C1101" s="406"/>
      <c r="D1101" s="406"/>
      <c r="E1101" s="407"/>
      <c r="F1101" s="408">
        <f>F1099+F1100</f>
        <v>0</v>
      </c>
      <c r="J1101" s="341"/>
      <c r="L1101" s="380"/>
      <c r="M1101" s="381"/>
      <c r="N1101" s="342"/>
      <c r="R1101" s="341"/>
      <c r="S1101" s="341"/>
    </row>
    <row r="1102" spans="1:19" ht="12.75" customHeight="1">
      <c r="A1102" s="409" t="s">
        <v>47</v>
      </c>
      <c r="B1102" s="410" t="s">
        <v>236</v>
      </c>
      <c r="C1102" s="411" t="s">
        <v>231</v>
      </c>
      <c r="D1102" s="412" t="s">
        <v>232</v>
      </c>
      <c r="E1102" s="413" t="s">
        <v>233</v>
      </c>
      <c r="F1102" s="378" t="s">
        <v>234</v>
      </c>
      <c r="J1102" s="341"/>
      <c r="L1102" s="380"/>
      <c r="M1102" s="381"/>
      <c r="N1102" s="342"/>
      <c r="R1102" s="341"/>
      <c r="S1102" s="341"/>
    </row>
    <row r="1103" spans="1:19" ht="12.75" customHeight="1">
      <c r="A1103" s="393" t="str">
        <f>VII.A!$A$192</f>
        <v>3.12</v>
      </c>
      <c r="B1103" s="394" t="str">
        <f>VLOOKUP(A1103,VII.A!$A$10:$G$199,2,FALSE)</f>
        <v>PEDREIRO COM ENCARGOS COMPLEMENTARES</v>
      </c>
      <c r="C1103" s="20">
        <f>5*2.6*1</f>
        <v>13</v>
      </c>
      <c r="D1103" s="342" t="str">
        <f>VLOOKUP(A1103,VII.A!$A$10:$G$199,3,FALSE)</f>
        <v>H</v>
      </c>
      <c r="E1103" s="387">
        <f>VLOOKUP(A1103,VII.A!$A$10:$G$199,4,FALSE)</f>
        <v>0</v>
      </c>
      <c r="F1103" s="388">
        <f t="shared" ref="F1103:F1109" si="289">ROUND(C1103*E1103,2)</f>
        <v>0</v>
      </c>
      <c r="H1103" s="341">
        <f>IF(A1103="","",VLOOKUP(A1103,VII.A!$A$10:$D$199,4,FALSE))</f>
        <v>0</v>
      </c>
      <c r="I1103" s="341" t="str">
        <f t="shared" ref="I1103:I1109" si="290">IF(A1103="","",IF(E1103=H1103,"SIM","NÃO"))</f>
        <v>SIM</v>
      </c>
      <c r="J1103" s="341" t="str">
        <f>IF(A1103="","",VLOOKUP(A1103,VII.A!$A$10:$D$199,3,FALSE))</f>
        <v>H</v>
      </c>
      <c r="K1103" s="342" t="str">
        <f t="shared" ref="K1103:K1109" si="291">IF(A1103="","",IF(J1103=D1103,"SIM","NÃO"))</f>
        <v>SIM</v>
      </c>
      <c r="L1103" s="380">
        <f>IF(C1103="","",G1067*C1103)</f>
        <v>520</v>
      </c>
      <c r="M1103" s="381" t="str">
        <f>IF(A1103="","",VLOOKUP(A1103,VII.A!$A$10:$B$199,2,FALSE))</f>
        <v>PEDREIRO COM ENCARGOS COMPLEMENTARES</v>
      </c>
      <c r="N1103" s="342" t="str">
        <f t="shared" ref="N1103:N1109" si="292">IF(B1103="","",IF(M1103=B1103,"si","no"))</f>
        <v>si</v>
      </c>
      <c r="R1103" s="341"/>
      <c r="S1103" s="341"/>
    </row>
    <row r="1104" spans="1:19" ht="12.75" customHeight="1">
      <c r="A1104" s="393" t="str">
        <f>VII.A!$A$196</f>
        <v>3.16</v>
      </c>
      <c r="B1104" s="394" t="str">
        <f>VLOOKUP(A1104,VII.A!$A$10:$G$199,2,FALSE)</f>
        <v>SERVENTE COM ENCARGOS COMPLEMENTARES</v>
      </c>
      <c r="C1104" s="20">
        <f>5*2.6*3</f>
        <v>39</v>
      </c>
      <c r="D1104" s="342" t="str">
        <f>VLOOKUP(A1104,VII.A!$A$10:$G$199,3,FALSE)</f>
        <v>H</v>
      </c>
      <c r="E1104" s="387">
        <f>VLOOKUP(A1104,VII.A!$A$10:$G$199,4,FALSE)</f>
        <v>0</v>
      </c>
      <c r="F1104" s="388">
        <f t="shared" si="289"/>
        <v>0</v>
      </c>
      <c r="H1104" s="341">
        <f>IF(A1104="","",VLOOKUP(A1104,VII.A!$A$10:$D$199,4,FALSE))</f>
        <v>0</v>
      </c>
      <c r="I1104" s="341" t="str">
        <f t="shared" si="290"/>
        <v>SIM</v>
      </c>
      <c r="J1104" s="341" t="str">
        <f>IF(A1104="","",VLOOKUP(A1104,VII.A!$A$10:$D$199,3,FALSE))</f>
        <v>H</v>
      </c>
      <c r="K1104" s="342" t="str">
        <f t="shared" si="291"/>
        <v>SIM</v>
      </c>
      <c r="L1104" s="380">
        <f>IF(C1104="","",G1067*C1104)</f>
        <v>1560</v>
      </c>
      <c r="M1104" s="381" t="str">
        <f>IF(A1104="","",VLOOKUP(A1104,VII.A!$A$10:$B$199,2,FALSE))</f>
        <v>SERVENTE COM ENCARGOS COMPLEMENTARES</v>
      </c>
      <c r="N1104" s="342" t="str">
        <f t="shared" si="292"/>
        <v>si</v>
      </c>
      <c r="R1104" s="341"/>
      <c r="S1104" s="341"/>
    </row>
    <row r="1105" spans="1:25" ht="12.75" customHeight="1">
      <c r="A1105" s="393"/>
      <c r="C1105" s="20"/>
      <c r="E1105" s="387"/>
      <c r="F1105" s="388">
        <f t="shared" si="289"/>
        <v>0</v>
      </c>
      <c r="H1105" s="341" t="str">
        <f>IF(A1105="","",VLOOKUP(A1105,VII.A!$A$10:$D$199,4,FALSE))</f>
        <v/>
      </c>
      <c r="I1105" s="341" t="str">
        <f t="shared" si="290"/>
        <v/>
      </c>
      <c r="J1105" s="341" t="str">
        <f>IF(A1105="","",VLOOKUP(A1105,VII.A!$A$10:$D$199,3,FALSE))</f>
        <v/>
      </c>
      <c r="K1105" s="342" t="str">
        <f t="shared" si="291"/>
        <v/>
      </c>
      <c r="L1105" s="380" t="str">
        <f>IF(C1105="","",G1067*C1105)</f>
        <v/>
      </c>
      <c r="M1105" s="381" t="str">
        <f>IF(A1105="","",VLOOKUP(A1105,VII.A!$A$10:$B$199,2,FALSE))</f>
        <v/>
      </c>
      <c r="N1105" s="342" t="str">
        <f t="shared" si="292"/>
        <v/>
      </c>
      <c r="R1105" s="341"/>
      <c r="S1105" s="341"/>
    </row>
    <row r="1106" spans="1:25" ht="12.75" customHeight="1">
      <c r="A1106" s="393"/>
      <c r="C1106" s="20"/>
      <c r="E1106" s="387"/>
      <c r="F1106" s="388">
        <f t="shared" si="289"/>
        <v>0</v>
      </c>
      <c r="H1106" s="341" t="str">
        <f>IF(A1106="","",VLOOKUP(A1106,VII.A!$A$10:$D$199,4,FALSE))</f>
        <v/>
      </c>
      <c r="I1106" s="341" t="str">
        <f t="shared" si="290"/>
        <v/>
      </c>
      <c r="J1106" s="341" t="str">
        <f>IF(A1106="","",VLOOKUP(A1106,VII.A!$A$10:$D$199,3,FALSE))</f>
        <v/>
      </c>
      <c r="K1106" s="342" t="str">
        <f t="shared" si="291"/>
        <v/>
      </c>
      <c r="L1106" s="380" t="str">
        <f>IF(C1106="","",G1067*C1106)</f>
        <v/>
      </c>
      <c r="M1106" s="381" t="str">
        <f>IF(A1106="","",VLOOKUP(A1106,VII.A!$A$10:$B$199,2,FALSE))</f>
        <v/>
      </c>
      <c r="N1106" s="342" t="str">
        <f t="shared" si="292"/>
        <v/>
      </c>
      <c r="R1106" s="341"/>
      <c r="S1106" s="341"/>
    </row>
    <row r="1107" spans="1:25" ht="12.75" customHeight="1">
      <c r="A1107" s="393"/>
      <c r="C1107" s="20"/>
      <c r="E1107" s="387"/>
      <c r="F1107" s="388">
        <f t="shared" si="289"/>
        <v>0</v>
      </c>
      <c r="H1107" s="341" t="str">
        <f>IF(A1107="","",VLOOKUP(A1107,VII.A!$A$10:$D$199,4,FALSE))</f>
        <v/>
      </c>
      <c r="I1107" s="341" t="str">
        <f t="shared" si="290"/>
        <v/>
      </c>
      <c r="J1107" s="341" t="str">
        <f>IF(A1107="","",VLOOKUP(A1107,VII.A!$A$10:$D$199,3,FALSE))</f>
        <v/>
      </c>
      <c r="K1107" s="342" t="str">
        <f t="shared" si="291"/>
        <v/>
      </c>
      <c r="L1107" s="380" t="str">
        <f>IF(C1107="","",G1067*C1107)</f>
        <v/>
      </c>
      <c r="M1107" s="381" t="str">
        <f>IF(A1107="","",VLOOKUP(A1107,VII.A!$A$10:$B$199,2,FALSE))</f>
        <v/>
      </c>
      <c r="N1107" s="342" t="str">
        <f t="shared" si="292"/>
        <v/>
      </c>
      <c r="R1107" s="341"/>
      <c r="S1107" s="341"/>
    </row>
    <row r="1108" spans="1:25" ht="12.75" customHeight="1">
      <c r="A1108" s="393"/>
      <c r="C1108" s="20"/>
      <c r="E1108" s="387"/>
      <c r="F1108" s="388">
        <f t="shared" si="289"/>
        <v>0</v>
      </c>
      <c r="H1108" s="341" t="str">
        <f>IF(A1108="","",VLOOKUP(A1108,VII.A!$A$10:$D$199,4,FALSE))</f>
        <v/>
      </c>
      <c r="I1108" s="341" t="str">
        <f t="shared" si="290"/>
        <v/>
      </c>
      <c r="J1108" s="341" t="str">
        <f>IF(A1108="","",VLOOKUP(A1108,VII.A!$A$10:$D$199,3,FALSE))</f>
        <v/>
      </c>
      <c r="K1108" s="342" t="str">
        <f t="shared" si="291"/>
        <v/>
      </c>
      <c r="L1108" s="380" t="str">
        <f>IF(C1108="","",G1067*C1108)</f>
        <v/>
      </c>
      <c r="M1108" s="381" t="str">
        <f>IF(A1108="","",VLOOKUP(A1108,VII.A!$A$10:$B$199,2,FALSE))</f>
        <v/>
      </c>
      <c r="N1108" s="342" t="str">
        <f t="shared" si="292"/>
        <v/>
      </c>
      <c r="R1108" s="341"/>
      <c r="S1108" s="341"/>
    </row>
    <row r="1109" spans="1:25" ht="12.75" customHeight="1">
      <c r="A1109" s="393"/>
      <c r="C1109" s="20"/>
      <c r="E1109" s="387"/>
      <c r="F1109" s="388">
        <f t="shared" si="289"/>
        <v>0</v>
      </c>
      <c r="H1109" s="341" t="str">
        <f>IF(A1109="","",VLOOKUP(A1109,VII.A!$A$10:$D$199,4,FALSE))</f>
        <v/>
      </c>
      <c r="I1109" s="341" t="str">
        <f t="shared" si="290"/>
        <v/>
      </c>
      <c r="J1109" s="341" t="str">
        <f>IF(A1109="","",VLOOKUP(A1109,VII.A!$A$10:$D$199,3,FALSE))</f>
        <v/>
      </c>
      <c r="K1109" s="342" t="str">
        <f t="shared" si="291"/>
        <v/>
      </c>
      <c r="L1109" s="380" t="str">
        <f>IF(C1109="","",G1067*C1109)</f>
        <v/>
      </c>
      <c r="M1109" s="381" t="str">
        <f>IF(A1109="","",VLOOKUP(A1109,VII.A!$A$10:$B$199,2,FALSE))</f>
        <v/>
      </c>
      <c r="N1109" s="342" t="str">
        <f t="shared" si="292"/>
        <v/>
      </c>
      <c r="R1109" s="341"/>
      <c r="S1109" s="341"/>
    </row>
    <row r="1110" spans="1:25" ht="12.75" customHeight="1">
      <c r="A1110" s="393"/>
      <c r="B1110" s="395" t="s">
        <v>226</v>
      </c>
      <c r="C1110" s="396"/>
      <c r="D1110" s="397"/>
      <c r="E1110" s="398"/>
      <c r="F1110" s="399">
        <f>SUM(F1103:F1109)</f>
        <v>0</v>
      </c>
      <c r="J1110" s="341"/>
      <c r="L1110" s="380"/>
      <c r="M1110" s="381"/>
      <c r="N1110" s="342"/>
      <c r="R1110" s="341"/>
      <c r="S1110" s="341"/>
    </row>
    <row r="1111" spans="1:25" ht="12.75" customHeight="1">
      <c r="A1111" s="393"/>
      <c r="B1111" s="400" t="s">
        <v>229</v>
      </c>
      <c r="C1111" s="2">
        <f>IX.A!$C$45</f>
        <v>0</v>
      </c>
      <c r="D1111" s="401"/>
      <c r="E1111" s="402"/>
      <c r="F1111" s="403">
        <f>ROUND(F1110*C1111,2)</f>
        <v>0</v>
      </c>
      <c r="J1111" s="341"/>
      <c r="L1111" s="380"/>
      <c r="M1111" s="381"/>
      <c r="N1111" s="342"/>
      <c r="R1111" s="341"/>
      <c r="S1111" s="341"/>
    </row>
    <row r="1112" spans="1:25" ht="12.75" customHeight="1">
      <c r="A1112" s="393"/>
      <c r="B1112" s="400" t="s">
        <v>53</v>
      </c>
      <c r="C1112" s="2">
        <f>$D$8</f>
        <v>0</v>
      </c>
      <c r="D1112" s="401"/>
      <c r="E1112" s="402"/>
      <c r="F1112" s="403">
        <f>ROUND(SUM(F1110:F1111)*C1112,2)</f>
        <v>0</v>
      </c>
      <c r="J1112" s="341"/>
      <c r="L1112" s="380"/>
      <c r="M1112" s="381"/>
      <c r="N1112" s="342"/>
      <c r="R1112" s="341"/>
      <c r="S1112" s="341"/>
    </row>
    <row r="1113" spans="1:25" ht="12.75" customHeight="1" thickBot="1">
      <c r="A1113" s="414"/>
      <c r="B1113" s="415" t="s">
        <v>230</v>
      </c>
      <c r="C1113" s="416"/>
      <c r="D1113" s="416"/>
      <c r="E1113" s="417"/>
      <c r="F1113" s="418">
        <f>SUM(F1110:F1112)</f>
        <v>0</v>
      </c>
      <c r="J1113" s="341"/>
      <c r="L1113" s="380"/>
      <c r="M1113" s="381"/>
      <c r="N1113" s="342"/>
      <c r="R1113" s="341"/>
      <c r="S1113" s="341"/>
    </row>
    <row r="1114" spans="1:25" ht="12.75" customHeight="1" thickBot="1">
      <c r="A1114" s="357"/>
      <c r="B1114" s="358"/>
      <c r="C1114" s="359"/>
      <c r="D1114" s="359"/>
      <c r="E1114" s="360"/>
      <c r="F1114" s="419"/>
      <c r="J1114" s="341"/>
      <c r="L1114" s="380"/>
      <c r="M1114" s="381"/>
      <c r="N1114" s="342"/>
      <c r="R1114" s="341"/>
      <c r="S1114" s="341"/>
    </row>
    <row r="1115" spans="1:25" ht="30" customHeight="1">
      <c r="A1115" s="370" t="str">
        <f>IV.A!$A$50</f>
        <v>3.2.1</v>
      </c>
      <c r="B1115" s="371" t="str">
        <f>IV.A!$B$50</f>
        <v>EXECUÇÃO DE PORTA PARA RESERVATÓRIOS</v>
      </c>
      <c r="C1115" s="871" t="s">
        <v>237</v>
      </c>
      <c r="D1115" s="872"/>
      <c r="E1115" s="372" t="str">
        <f>IV.A!$C$50</f>
        <v>UN</v>
      </c>
      <c r="F1115" s="11">
        <f>ROUND(F1135+F1149+F1161,2)</f>
        <v>0</v>
      </c>
      <c r="G1115" s="1">
        <f>VLOOKUP(A1115,IV.A!$A$16:$L$172,4,FALSE)</f>
        <v>3</v>
      </c>
      <c r="H1115" s="361">
        <f>SUM(F1117:F1132)+F1134</f>
        <v>0</v>
      </c>
      <c r="I1115" s="361">
        <f>SUM(F1137:F1146)+F1148</f>
        <v>0</v>
      </c>
      <c r="J1115" s="361">
        <f>SUM(F1151:F1157)+F1159+F1160</f>
        <v>0</v>
      </c>
      <c r="K1115" s="361">
        <f>SUM(H1115:J1115)</f>
        <v>0</v>
      </c>
      <c r="L1115" s="362" t="str">
        <f>IF(K1115=F1115,"SIM","NÃO")</f>
        <v>SIM</v>
      </c>
      <c r="M1115" s="373">
        <f>ROUND(SUM(F1117:F1132),2)+ROUND(SUM(F1117:F1132)*C1134,2)+ROUND(SUM(F1137:F1146)*C1148,2)+ROUND(SUM(F1137:F1146),2)+ROUND(SUM(F1151:F1157)*C1159,2)+ROUND((SUM(F1151:F1157)+ROUND(SUM(F1151:F1157)*C1159,2))*C1160,2)+ROUND(SUM(F1151:F1157),2)</f>
        <v>0</v>
      </c>
      <c r="N1115" s="343" t="str">
        <f>IF(M1115=F1115,"SIM","NÃO")</f>
        <v>SIM</v>
      </c>
      <c r="O1115" s="364" t="str">
        <f>VLOOKUP(A1115,IV.A!$A$16:$E$172,3,FALSE)</f>
        <v>UN</v>
      </c>
      <c r="P1115" s="344" t="str">
        <f>IF(O1115=E1115,"SIM","NÃO")</f>
        <v>SIM</v>
      </c>
      <c r="Q1115" s="365">
        <f>ROUND(G1115*F1135,2)+ROUND(G1115*F1149,2)+ROUND(G1115*F1161,2)</f>
        <v>0</v>
      </c>
      <c r="R1115" s="364">
        <f>VLOOKUP(A1115,IV.A!$A$16:$L$172,12,FALSE)</f>
        <v>0</v>
      </c>
      <c r="S1115" s="366" t="str">
        <f>IF(Q1115=R1115,"si","no")</f>
        <v>si</v>
      </c>
      <c r="T1115" s="367">
        <f>SUM(L1117:L1132)+SUM(L1137:L1146)+SUM(L1151:L1157)</f>
        <v>41.595000000000006</v>
      </c>
      <c r="U1115" s="341">
        <f>(SUM(C1117:C1132)+SUM(C1137:C1146)+SUM(C1151:C1157))*G1115</f>
        <v>41.594999999999999</v>
      </c>
      <c r="V1115" s="368" t="str">
        <f>IF(T1115=U1115,"si","no")</f>
        <v>si</v>
      </c>
      <c r="W1115" s="369">
        <f>SUM(F1117:F1132)</f>
        <v>0</v>
      </c>
      <c r="X1115" s="369">
        <f>SUM(F1137:F1146)</f>
        <v>0</v>
      </c>
      <c r="Y1115" s="369">
        <f>SUM(F1151:F1157)</f>
        <v>0</v>
      </c>
    </row>
    <row r="1116" spans="1:25" ht="12.75" customHeight="1">
      <c r="A1116" s="374" t="s">
        <v>14</v>
      </c>
      <c r="B1116" s="375" t="s">
        <v>132</v>
      </c>
      <c r="C1116" s="376" t="s">
        <v>231</v>
      </c>
      <c r="D1116" s="376" t="s">
        <v>232</v>
      </c>
      <c r="E1116" s="377" t="s">
        <v>233</v>
      </c>
      <c r="F1116" s="378" t="s">
        <v>234</v>
      </c>
      <c r="G1116" s="379"/>
      <c r="J1116" s="341"/>
      <c r="L1116" s="380"/>
      <c r="M1116" s="381"/>
      <c r="N1116" s="342"/>
      <c r="O1116" s="382"/>
      <c r="P1116" s="383"/>
      <c r="Q1116" s="383"/>
      <c r="R1116" s="383"/>
      <c r="S1116" s="383"/>
      <c r="T1116" s="382"/>
      <c r="U1116" s="341"/>
      <c r="V1116" s="384"/>
      <c r="W1116" s="384"/>
      <c r="X1116" s="384"/>
      <c r="Y1116" s="384"/>
    </row>
    <row r="1117" spans="1:25" ht="12.75" customHeight="1">
      <c r="A1117" s="385" t="str">
        <f>VII.A!$A$85</f>
        <v>1.75</v>
      </c>
      <c r="B1117" s="394" t="str">
        <f>VLOOKUP(A1117,VII.A!$A$10:$G$199,2,FALSE)</f>
        <v>PORTA DE ABRIR EM ACO VENEZIANA, COM FUNDO ANTICORROSIVO,  SEM GUARNICAO - 87 X 210 CM</v>
      </c>
      <c r="C1117" s="20">
        <v>1</v>
      </c>
      <c r="D1117" s="342" t="str">
        <f>VLOOKUP(A1117,VII.A!$A$10:$G$199,3,FALSE)</f>
        <v>UN</v>
      </c>
      <c r="E1117" s="387">
        <f>VII.A!$D$85</f>
        <v>0</v>
      </c>
      <c r="F1117" s="388">
        <f>ROUND(C1117*E1117,2)</f>
        <v>0</v>
      </c>
      <c r="H1117" s="341">
        <f>IF(A1117="","",VLOOKUP(A1117,VII.A!$A$10:$D$199,4,FALSE))</f>
        <v>0</v>
      </c>
      <c r="I1117" s="341" t="str">
        <f t="shared" ref="I1117:I1132" si="293">IF(A1117="","",IF(E1117=H1117,"SIM","NÃO"))</f>
        <v>SIM</v>
      </c>
      <c r="J1117" s="341" t="str">
        <f>IF(A1117="","",VLOOKUP(A1117,VII.A!$A$10:$D$199,3,FALSE))</f>
        <v>UN</v>
      </c>
      <c r="K1117" s="342" t="str">
        <f t="shared" ref="K1117:K1132" si="294">IF(A1117="","",IF(J1117=D1117,"SIM","NÃO"))</f>
        <v>SIM</v>
      </c>
      <c r="L1117" s="380">
        <f>IF(C1117="","",G1115*C1117)</f>
        <v>3</v>
      </c>
      <c r="M1117" s="381" t="str">
        <f>IF(A1117="","",VLOOKUP(A1117,VII.A!$A$10:$B$199,2,FALSE))</f>
        <v>PORTA DE ABRIR EM ACO VENEZIANA, COM FUNDO ANTICORROSIVO,  SEM GUARNICAO - 87 X 210 CM</v>
      </c>
      <c r="N1117" s="342" t="str">
        <f t="shared" ref="N1117:N1132" si="295">IF(B1117="","",IF(M1117=B1117,"si","no"))</f>
        <v>si</v>
      </c>
      <c r="R1117" s="341"/>
      <c r="S1117" s="341"/>
    </row>
    <row r="1118" spans="1:25" ht="12.75" customHeight="1">
      <c r="A1118" s="385" t="str">
        <f>VII.A!$A$99</f>
        <v>1.89</v>
      </c>
      <c r="B1118" s="394" t="str">
        <f>VLOOKUP(A1118,VII.A!$A$10:$G$199,2,FALSE)</f>
        <v>SELANTE ELASTICO MONOCOMPONENTE A BASE DE POLIURETANO PARA JUNTAS DIVERSAS</v>
      </c>
      <c r="C1118" s="20">
        <v>1.613</v>
      </c>
      <c r="D1118" s="342" t="str">
        <f>VLOOKUP(A1118,VII.A!$A$10:$G$199,3,FALSE)</f>
        <v>310 ML</v>
      </c>
      <c r="E1118" s="387">
        <f>VII.A!$D$99</f>
        <v>0</v>
      </c>
      <c r="F1118" s="388">
        <f t="shared" ref="F1118:F1132" si="296">ROUND(C1118*E1118,2)</f>
        <v>0</v>
      </c>
      <c r="H1118" s="341">
        <f>IF(A1118="","",VLOOKUP(A1118,VII.A!$A$10:$D$199,4,FALSE))</f>
        <v>0</v>
      </c>
      <c r="I1118" s="341" t="str">
        <f t="shared" si="293"/>
        <v>SIM</v>
      </c>
      <c r="J1118" s="341" t="str">
        <f>IF(A1118="","",VLOOKUP(A1118,VII.A!$A$10:$D$199,3,FALSE))</f>
        <v>310 ML</v>
      </c>
      <c r="K1118" s="342" t="str">
        <f t="shared" si="294"/>
        <v>SIM</v>
      </c>
      <c r="L1118" s="380">
        <f>IF(C1118="","",G1115*C1118)</f>
        <v>4.8390000000000004</v>
      </c>
      <c r="M1118" s="381" t="str">
        <f>IF(A1118="","",VLOOKUP(A1118,VII.A!$A$10:$B$199,2,FALSE))</f>
        <v>SELANTE ELASTICO MONOCOMPONENTE A BASE DE POLIURETANO PARA JUNTAS DIVERSAS</v>
      </c>
      <c r="N1118" s="342" t="str">
        <f t="shared" si="295"/>
        <v>si</v>
      </c>
      <c r="R1118" s="341"/>
      <c r="S1118" s="341"/>
    </row>
    <row r="1119" spans="1:25" ht="12.75" customHeight="1">
      <c r="A1119" s="385" t="str">
        <f>VII.A!$A$25</f>
        <v>1.16</v>
      </c>
      <c r="B1119" s="394" t="str">
        <f>VLOOKUP(A1119,VII.A!$A$10:$G$199,2,FALSE)</f>
        <v>BUCHA DE NYLON S10 E PARAFUSO 6,10X65MM ACO ZINCADO ROSCA SOBERBA, CAB. CHATA FENDA PHILLIPS</v>
      </c>
      <c r="C1119" s="20">
        <v>8.8000000000000007</v>
      </c>
      <c r="D1119" s="342" t="str">
        <f>VLOOKUP(A1119,VII.A!$A$10:$G$199,3,FALSE)</f>
        <v>UN</v>
      </c>
      <c r="E1119" s="387">
        <f>VII.A!$D$25</f>
        <v>0</v>
      </c>
      <c r="F1119" s="388">
        <f t="shared" si="296"/>
        <v>0</v>
      </c>
      <c r="H1119" s="341">
        <f>IF(A1119="","",VLOOKUP(A1119,VII.A!$A$10:$D$199,4,FALSE))</f>
        <v>0</v>
      </c>
      <c r="I1119" s="341" t="str">
        <f t="shared" si="293"/>
        <v>SIM</v>
      </c>
      <c r="J1119" s="341" t="str">
        <f>IF(A1119="","",VLOOKUP(A1119,VII.A!$A$10:$D$199,3,FALSE))</f>
        <v>UN</v>
      </c>
      <c r="K1119" s="342" t="str">
        <f t="shared" si="294"/>
        <v>SIM</v>
      </c>
      <c r="L1119" s="380">
        <f>IF(C1119="","",G1115*C1119)</f>
        <v>26.400000000000002</v>
      </c>
      <c r="M1119" s="381" t="str">
        <f>IF(A1119="","",VLOOKUP(A1119,VII.A!$A$10:$B$199,2,FALSE))</f>
        <v>BUCHA DE NYLON S10 E PARAFUSO 6,10X65MM ACO ZINCADO ROSCA SOBERBA, CAB. CHATA FENDA PHILLIPS</v>
      </c>
      <c r="N1119" s="342" t="str">
        <f t="shared" si="295"/>
        <v>si</v>
      </c>
      <c r="R1119" s="341"/>
      <c r="S1119" s="341"/>
    </row>
    <row r="1120" spans="1:25" ht="12.75" customHeight="1">
      <c r="A1120" s="385" t="str">
        <f>VII.A!$A$114</f>
        <v>1.104</v>
      </c>
      <c r="B1120" s="394" t="str">
        <f>VLOOKUP(A1120,VII.A!$A$10:$G$199,2,FALSE)</f>
        <v>TRAVA DE SEGURANÇA TIPO FERROLHO</v>
      </c>
      <c r="C1120" s="20">
        <v>1</v>
      </c>
      <c r="D1120" s="342" t="str">
        <f>VLOOKUP(A1120,VII.A!$A$10:$G$199,3,FALSE)</f>
        <v>UN</v>
      </c>
      <c r="E1120" s="387">
        <f>VII.A!$D$114</f>
        <v>0</v>
      </c>
      <c r="F1120" s="388">
        <f t="shared" si="296"/>
        <v>0</v>
      </c>
      <c r="H1120" s="341">
        <f>IF(A1120="","",VLOOKUP(A1120,VII.A!$A$10:$D$199,4,FALSE))</f>
        <v>0</v>
      </c>
      <c r="I1120" s="341" t="str">
        <f t="shared" si="293"/>
        <v>SIM</v>
      </c>
      <c r="J1120" s="341" t="str">
        <f>IF(A1120="","",VLOOKUP(A1120,VII.A!$A$10:$D$199,3,FALSE))</f>
        <v>UN</v>
      </c>
      <c r="K1120" s="342" t="str">
        <f t="shared" si="294"/>
        <v>SIM</v>
      </c>
      <c r="L1120" s="380">
        <f>IF(C1120="","",G1115*C1120)</f>
        <v>3</v>
      </c>
      <c r="M1120" s="381" t="str">
        <f>IF(A1120="","",VLOOKUP(A1120,VII.A!$A$10:$B$199,2,FALSE))</f>
        <v>TRAVA DE SEGURANÇA TIPO FERROLHO</v>
      </c>
      <c r="N1120" s="342" t="str">
        <f t="shared" si="295"/>
        <v>si</v>
      </c>
      <c r="R1120" s="341"/>
      <c r="S1120" s="341"/>
    </row>
    <row r="1121" spans="1:21" ht="12.75" customHeight="1">
      <c r="A1121" s="385"/>
      <c r="B1121" s="386"/>
      <c r="C1121" s="20"/>
      <c r="D1121" s="342"/>
      <c r="E1121" s="387"/>
      <c r="F1121" s="388">
        <f t="shared" si="296"/>
        <v>0</v>
      </c>
      <c r="H1121" s="341" t="str">
        <f>IF(A1121="","",VLOOKUP(A1121,VII.A!$A$10:$D$199,4,FALSE))</f>
        <v/>
      </c>
      <c r="I1121" s="341" t="str">
        <f t="shared" si="293"/>
        <v/>
      </c>
      <c r="J1121" s="341" t="str">
        <f>IF(A1121="","",VLOOKUP(A1121,VII.A!$A$10:$D$199,3,FALSE))</f>
        <v/>
      </c>
      <c r="K1121" s="342" t="str">
        <f t="shared" si="294"/>
        <v/>
      </c>
      <c r="L1121" s="380" t="str">
        <f>IF(C1121="","",G1115*C1121)</f>
        <v/>
      </c>
      <c r="M1121" s="381" t="str">
        <f>IF(A1121="","",VLOOKUP(A1121,VII.A!$A$10:$B$199,2,FALSE))</f>
        <v/>
      </c>
      <c r="N1121" s="342" t="str">
        <f t="shared" si="295"/>
        <v/>
      </c>
      <c r="R1121" s="341"/>
      <c r="S1121" s="341"/>
    </row>
    <row r="1122" spans="1:21" ht="12.75" customHeight="1">
      <c r="A1122" s="385"/>
      <c r="B1122" s="386"/>
      <c r="C1122" s="20"/>
      <c r="D1122" s="342"/>
      <c r="E1122" s="387"/>
      <c r="F1122" s="388">
        <f t="shared" si="296"/>
        <v>0</v>
      </c>
      <c r="H1122" s="341" t="str">
        <f>IF(A1122="","",VLOOKUP(A1122,VII.A!$A$10:$D$199,4,FALSE))</f>
        <v/>
      </c>
      <c r="I1122" s="341" t="str">
        <f t="shared" si="293"/>
        <v/>
      </c>
      <c r="J1122" s="341" t="str">
        <f>IF(A1122="","",VLOOKUP(A1122,VII.A!$A$10:$D$199,3,FALSE))</f>
        <v/>
      </c>
      <c r="K1122" s="342" t="str">
        <f t="shared" si="294"/>
        <v/>
      </c>
      <c r="L1122" s="380" t="str">
        <f>IF(C1122="","",G1115*C1122)</f>
        <v/>
      </c>
      <c r="M1122" s="381" t="str">
        <f>IF(A1122="","",VLOOKUP(A1122,VII.A!$A$10:$B$199,2,FALSE))</f>
        <v/>
      </c>
      <c r="N1122" s="342" t="str">
        <f t="shared" si="295"/>
        <v/>
      </c>
      <c r="R1122" s="341"/>
      <c r="S1122" s="341"/>
      <c r="U1122" s="389"/>
    </row>
    <row r="1123" spans="1:21" ht="12.75" customHeight="1">
      <c r="A1123" s="385"/>
      <c r="B1123" s="386"/>
      <c r="C1123" s="20"/>
      <c r="D1123" s="342"/>
      <c r="E1123" s="387"/>
      <c r="F1123" s="388">
        <f t="shared" si="296"/>
        <v>0</v>
      </c>
      <c r="H1123" s="341" t="str">
        <f>IF(A1123="","",VLOOKUP(A1123,VII.A!$A$10:$D$199,4,FALSE))</f>
        <v/>
      </c>
      <c r="I1123" s="341" t="str">
        <f t="shared" si="293"/>
        <v/>
      </c>
      <c r="J1123" s="341" t="str">
        <f>IF(A1123="","",VLOOKUP(A1123,VII.A!$A$10:$D$199,3,FALSE))</f>
        <v/>
      </c>
      <c r="K1123" s="342" t="str">
        <f t="shared" si="294"/>
        <v/>
      </c>
      <c r="L1123" s="380" t="str">
        <f>IF(C1123="","",G1115*C1123)</f>
        <v/>
      </c>
      <c r="M1123" s="381" t="str">
        <f>IF(A1123="","",VLOOKUP(A1123,VII.A!$A$10:$B$199,2,FALSE))</f>
        <v/>
      </c>
      <c r="N1123" s="342" t="str">
        <f t="shared" si="295"/>
        <v/>
      </c>
      <c r="R1123" s="341"/>
      <c r="S1123" s="341"/>
    </row>
    <row r="1124" spans="1:21" ht="12.75" customHeight="1">
      <c r="A1124" s="385"/>
      <c r="B1124" s="386"/>
      <c r="C1124" s="20"/>
      <c r="D1124" s="342"/>
      <c r="E1124" s="387"/>
      <c r="F1124" s="388">
        <f t="shared" si="296"/>
        <v>0</v>
      </c>
      <c r="G1124" s="390"/>
      <c r="H1124" s="341" t="str">
        <f>IF(A1124="","",VLOOKUP(A1124,VII.A!$A$10:$D$199,4,FALSE))</f>
        <v/>
      </c>
      <c r="I1124" s="341" t="str">
        <f t="shared" si="293"/>
        <v/>
      </c>
      <c r="J1124" s="341" t="str">
        <f>IF(A1124="","",VLOOKUP(A1124,VII.A!$A$10:$D$199,3,FALSE))</f>
        <v/>
      </c>
      <c r="K1124" s="342" t="str">
        <f t="shared" si="294"/>
        <v/>
      </c>
      <c r="L1124" s="380" t="str">
        <f>IF(C1124="","",G1115*C1124)</f>
        <v/>
      </c>
      <c r="M1124" s="381" t="str">
        <f>IF(A1124="","",VLOOKUP(A1124,VII.A!$A$10:$B$199,2,FALSE))</f>
        <v/>
      </c>
      <c r="N1124" s="342" t="str">
        <f t="shared" si="295"/>
        <v/>
      </c>
      <c r="R1124" s="341"/>
      <c r="S1124" s="341"/>
    </row>
    <row r="1125" spans="1:21" ht="12.75" customHeight="1">
      <c r="A1125" s="385"/>
      <c r="B1125" s="386"/>
      <c r="C1125" s="20"/>
      <c r="D1125" s="342"/>
      <c r="E1125" s="387"/>
      <c r="F1125" s="388">
        <f t="shared" si="296"/>
        <v>0</v>
      </c>
      <c r="G1125" s="390"/>
      <c r="H1125" s="341" t="str">
        <f>IF(A1125="","",VLOOKUP(A1125,VII.A!$A$10:$D$199,4,FALSE))</f>
        <v/>
      </c>
      <c r="I1125" s="341" t="str">
        <f t="shared" si="293"/>
        <v/>
      </c>
      <c r="J1125" s="341" t="str">
        <f>IF(A1125="","",VLOOKUP(A1125,VII.A!$A$10:$D$199,3,FALSE))</f>
        <v/>
      </c>
      <c r="K1125" s="342" t="str">
        <f t="shared" si="294"/>
        <v/>
      </c>
      <c r="L1125" s="380" t="str">
        <f>IF(C1125="","",G1115*C1125)</f>
        <v/>
      </c>
      <c r="M1125" s="381" t="str">
        <f>IF(A1125="","",VLOOKUP(A1125,VII.A!$A$10:$B$199,2,FALSE))</f>
        <v/>
      </c>
      <c r="N1125" s="342" t="str">
        <f t="shared" si="295"/>
        <v/>
      </c>
      <c r="R1125" s="341"/>
      <c r="S1125" s="341"/>
    </row>
    <row r="1126" spans="1:21" ht="12.75" customHeight="1">
      <c r="A1126" s="385"/>
      <c r="B1126" s="386"/>
      <c r="C1126" s="20"/>
      <c r="D1126" s="342"/>
      <c r="E1126" s="387"/>
      <c r="F1126" s="388">
        <f t="shared" si="296"/>
        <v>0</v>
      </c>
      <c r="G1126" s="391"/>
      <c r="H1126" s="341" t="str">
        <f>IF(A1126="","",VLOOKUP(A1126,VII.A!$A$10:$D$199,4,FALSE))</f>
        <v/>
      </c>
      <c r="I1126" s="341" t="str">
        <f t="shared" si="293"/>
        <v/>
      </c>
      <c r="J1126" s="341" t="str">
        <f>IF(A1126="","",VLOOKUP(A1126,VII.A!$A$10:$D$199,3,FALSE))</f>
        <v/>
      </c>
      <c r="K1126" s="342" t="str">
        <f t="shared" si="294"/>
        <v/>
      </c>
      <c r="L1126" s="380" t="str">
        <f>IF(C1126="","",G1115*C1126)</f>
        <v/>
      </c>
      <c r="M1126" s="381" t="str">
        <f>IF(A1126="","",VLOOKUP(A1126,VII.A!$A$10:$B$199,2,FALSE))</f>
        <v/>
      </c>
      <c r="N1126" s="342" t="str">
        <f t="shared" si="295"/>
        <v/>
      </c>
      <c r="R1126" s="341"/>
      <c r="S1126" s="341"/>
    </row>
    <row r="1127" spans="1:21" ht="12.75" customHeight="1">
      <c r="A1127" s="385"/>
      <c r="B1127" s="386"/>
      <c r="C1127" s="20"/>
      <c r="D1127" s="342"/>
      <c r="E1127" s="387"/>
      <c r="F1127" s="388">
        <f t="shared" si="296"/>
        <v>0</v>
      </c>
      <c r="H1127" s="341" t="str">
        <f>IF(A1127="","",VLOOKUP(A1127,VII.A!$A$10:$D$199,4,FALSE))</f>
        <v/>
      </c>
      <c r="I1127" s="341" t="str">
        <f t="shared" si="293"/>
        <v/>
      </c>
      <c r="J1127" s="341" t="str">
        <f>IF(A1127="","",VLOOKUP(A1127,VII.A!$A$10:$D$199,3,FALSE))</f>
        <v/>
      </c>
      <c r="K1127" s="342" t="str">
        <f t="shared" si="294"/>
        <v/>
      </c>
      <c r="L1127" s="380" t="str">
        <f>IF(C1127="","",G1115*C1127)</f>
        <v/>
      </c>
      <c r="M1127" s="381" t="str">
        <f>IF(A1127="","",VLOOKUP(A1127,VII.A!$A$10:$B$199,2,FALSE))</f>
        <v/>
      </c>
      <c r="N1127" s="342" t="str">
        <f t="shared" si="295"/>
        <v/>
      </c>
      <c r="R1127" s="341"/>
      <c r="S1127" s="341"/>
    </row>
    <row r="1128" spans="1:21" ht="12.75" customHeight="1">
      <c r="A1128" s="385"/>
      <c r="B1128" s="386"/>
      <c r="C1128" s="20"/>
      <c r="D1128" s="392"/>
      <c r="E1128" s="387"/>
      <c r="F1128" s="388">
        <f t="shared" si="296"/>
        <v>0</v>
      </c>
      <c r="H1128" s="341" t="str">
        <f>IF(A1128="","",VLOOKUP(A1128,VII.A!$A$10:$D$199,4,FALSE))</f>
        <v/>
      </c>
      <c r="I1128" s="341" t="str">
        <f t="shared" si="293"/>
        <v/>
      </c>
      <c r="J1128" s="341" t="str">
        <f>IF(A1128="","",VLOOKUP(A1128,VII.A!$A$10:$D$199,3,FALSE))</f>
        <v/>
      </c>
      <c r="K1128" s="342" t="str">
        <f t="shared" si="294"/>
        <v/>
      </c>
      <c r="L1128" s="380" t="str">
        <f>IF(C1128="","",G1115*C1128)</f>
        <v/>
      </c>
      <c r="M1128" s="381" t="str">
        <f>IF(A1128="","",VLOOKUP(A1128,VII.A!$A$10:$B$199,2,FALSE))</f>
        <v/>
      </c>
      <c r="N1128" s="342" t="str">
        <f t="shared" si="295"/>
        <v/>
      </c>
      <c r="R1128" s="341"/>
      <c r="S1128" s="341"/>
    </row>
    <row r="1129" spans="1:21" ht="12.75" customHeight="1">
      <c r="A1129" s="385"/>
      <c r="B1129" s="386"/>
      <c r="C1129" s="20"/>
      <c r="D1129" s="392"/>
      <c r="E1129" s="387"/>
      <c r="F1129" s="388">
        <f t="shared" si="296"/>
        <v>0</v>
      </c>
      <c r="H1129" s="341" t="str">
        <f>IF(A1129="","",VLOOKUP(A1129,VII.A!$A$10:$D$199,4,FALSE))</f>
        <v/>
      </c>
      <c r="I1129" s="341" t="str">
        <f t="shared" si="293"/>
        <v/>
      </c>
      <c r="J1129" s="341" t="str">
        <f>IF(A1129="","",VLOOKUP(A1129,VII.A!$A$10:$D$199,3,FALSE))</f>
        <v/>
      </c>
      <c r="K1129" s="342" t="str">
        <f t="shared" si="294"/>
        <v/>
      </c>
      <c r="L1129" s="380" t="str">
        <f>IF(C1129="","",G1115*C1129)</f>
        <v/>
      </c>
      <c r="M1129" s="381" t="str">
        <f>IF(A1129="","",VLOOKUP(A1129,VII.A!$A$10:$B$199,2,FALSE))</f>
        <v/>
      </c>
      <c r="N1129" s="342" t="str">
        <f t="shared" si="295"/>
        <v/>
      </c>
      <c r="O1129" s="342"/>
      <c r="R1129" s="341"/>
      <c r="S1129" s="341"/>
    </row>
    <row r="1130" spans="1:21" ht="12.75" customHeight="1">
      <c r="A1130" s="385"/>
      <c r="B1130" s="386"/>
      <c r="C1130" s="20"/>
      <c r="D1130" s="392"/>
      <c r="E1130" s="387"/>
      <c r="F1130" s="388">
        <f t="shared" si="296"/>
        <v>0</v>
      </c>
      <c r="H1130" s="341" t="str">
        <f>IF(A1130="","",VLOOKUP(A1130,VII.A!$A$10:$D$199,4,FALSE))</f>
        <v/>
      </c>
      <c r="I1130" s="341" t="str">
        <f t="shared" si="293"/>
        <v/>
      </c>
      <c r="J1130" s="341" t="str">
        <f>IF(A1130="","",VLOOKUP(A1130,VII.A!$A$10:$D$199,3,FALSE))</f>
        <v/>
      </c>
      <c r="K1130" s="342" t="str">
        <f t="shared" si="294"/>
        <v/>
      </c>
      <c r="L1130" s="380" t="str">
        <f>IF(C1130="","",G1115*C1130)</f>
        <v/>
      </c>
      <c r="M1130" s="381" t="str">
        <f>IF(A1130="","",VLOOKUP(A1130,VII.A!$A$10:$B$199,2,FALSE))</f>
        <v/>
      </c>
      <c r="N1130" s="342" t="str">
        <f t="shared" si="295"/>
        <v/>
      </c>
      <c r="R1130" s="341"/>
      <c r="S1130" s="341"/>
    </row>
    <row r="1131" spans="1:21" ht="12.75" customHeight="1">
      <c r="A1131" s="393"/>
      <c r="C1131" s="20"/>
      <c r="E1131" s="387"/>
      <c r="F1131" s="388">
        <f t="shared" si="296"/>
        <v>0</v>
      </c>
      <c r="H1131" s="341" t="str">
        <f>IF(A1131="","",VLOOKUP(A1131,VII.A!$A$10:$D$199,4,FALSE))</f>
        <v/>
      </c>
      <c r="I1131" s="341" t="str">
        <f t="shared" si="293"/>
        <v/>
      </c>
      <c r="J1131" s="341" t="str">
        <f>IF(A1131="","",VLOOKUP(A1131,VII.A!$A$10:$D$199,3,FALSE))</f>
        <v/>
      </c>
      <c r="K1131" s="342" t="str">
        <f t="shared" si="294"/>
        <v/>
      </c>
      <c r="L1131" s="380" t="str">
        <f>IF(C1131="","",G1115*C1131)</f>
        <v/>
      </c>
      <c r="M1131" s="381" t="str">
        <f>IF(A1131="","",VLOOKUP(A1131,VII.A!$A$10:$B$199,2,FALSE))</f>
        <v/>
      </c>
      <c r="N1131" s="342" t="str">
        <f t="shared" si="295"/>
        <v/>
      </c>
      <c r="R1131" s="341"/>
      <c r="S1131" s="341"/>
    </row>
    <row r="1132" spans="1:21" ht="12.75" customHeight="1">
      <c r="A1132" s="393"/>
      <c r="C1132" s="20"/>
      <c r="E1132" s="387"/>
      <c r="F1132" s="388">
        <f t="shared" si="296"/>
        <v>0</v>
      </c>
      <c r="H1132" s="426" t="str">
        <f>IF(A1132="","",VLOOKUP(A1132,VII.A!$A$10:$D$199,4,FALSE))</f>
        <v/>
      </c>
      <c r="I1132" s="341" t="str">
        <f t="shared" si="293"/>
        <v/>
      </c>
      <c r="J1132" s="341" t="str">
        <f>IF(A1132="","",VLOOKUP(A1132,VII.A!$A$10:$D$199,3,FALSE))</f>
        <v/>
      </c>
      <c r="K1132" s="342" t="str">
        <f t="shared" si="294"/>
        <v/>
      </c>
      <c r="L1132" s="380" t="str">
        <f>IF(C1132="","",G1115*C1132)</f>
        <v/>
      </c>
      <c r="M1132" s="381" t="str">
        <f>IF(A1132="","",VLOOKUP(A1132,VII.A!$A$10:$B$199,2,FALSE))</f>
        <v/>
      </c>
      <c r="N1132" s="342" t="str">
        <f t="shared" si="295"/>
        <v/>
      </c>
      <c r="R1132" s="341"/>
      <c r="S1132" s="341"/>
    </row>
    <row r="1133" spans="1:21" ht="12.75" customHeight="1">
      <c r="A1133" s="393"/>
      <c r="B1133" s="395" t="s">
        <v>226</v>
      </c>
      <c r="C1133" s="396"/>
      <c r="D1133" s="397"/>
      <c r="E1133" s="398"/>
      <c r="F1133" s="399">
        <f>SUM(F1117:F1132)</f>
        <v>0</v>
      </c>
      <c r="H1133" s="426" t="s">
        <v>399</v>
      </c>
      <c r="J1133" s="341"/>
      <c r="L1133" s="380"/>
      <c r="M1133" s="381"/>
      <c r="N1133" s="342"/>
      <c r="R1133" s="341"/>
      <c r="S1133" s="341"/>
    </row>
    <row r="1134" spans="1:21" ht="12.75" customHeight="1">
      <c r="A1134" s="393"/>
      <c r="B1134" s="400" t="s">
        <v>53</v>
      </c>
      <c r="C1134" s="2">
        <f>$D$8</f>
        <v>0</v>
      </c>
      <c r="D1134" s="401"/>
      <c r="E1134" s="402"/>
      <c r="F1134" s="403">
        <f>ROUND(F1133*C1134,2)</f>
        <v>0</v>
      </c>
      <c r="H1134" s="426" t="s">
        <v>510</v>
      </c>
      <c r="J1134" s="341"/>
      <c r="L1134" s="380"/>
      <c r="M1134" s="381"/>
      <c r="N1134" s="342"/>
      <c r="R1134" s="341"/>
      <c r="S1134" s="341"/>
    </row>
    <row r="1135" spans="1:21" ht="12.75" customHeight="1">
      <c r="A1135" s="404"/>
      <c r="B1135" s="405" t="s">
        <v>227</v>
      </c>
      <c r="C1135" s="406"/>
      <c r="D1135" s="406"/>
      <c r="E1135" s="407"/>
      <c r="F1135" s="408">
        <f>F1133+F1134</f>
        <v>0</v>
      </c>
      <c r="J1135" s="341"/>
      <c r="L1135" s="380"/>
      <c r="M1135" s="381"/>
      <c r="N1135" s="342"/>
      <c r="R1135" s="341"/>
      <c r="S1135" s="341"/>
    </row>
    <row r="1136" spans="1:21" ht="12.75" customHeight="1">
      <c r="A1136" s="374" t="s">
        <v>2</v>
      </c>
      <c r="B1136" s="375" t="s">
        <v>235</v>
      </c>
      <c r="C1136" s="376" t="s">
        <v>231</v>
      </c>
      <c r="D1136" s="376" t="s">
        <v>232</v>
      </c>
      <c r="E1136" s="377" t="s">
        <v>233</v>
      </c>
      <c r="F1136" s="378" t="s">
        <v>234</v>
      </c>
      <c r="J1136" s="341"/>
      <c r="L1136" s="380"/>
      <c r="M1136" s="381"/>
      <c r="N1136" s="342"/>
      <c r="R1136" s="341"/>
      <c r="S1136" s="341"/>
    </row>
    <row r="1137" spans="1:19" ht="12.75" customHeight="1">
      <c r="A1137" s="393"/>
      <c r="B1137" s="423"/>
      <c r="C1137" s="20"/>
      <c r="E1137" s="387"/>
      <c r="F1137" s="388">
        <f t="shared" ref="F1137:F1146" si="297">ROUND(C1137*E1137,2)</f>
        <v>0</v>
      </c>
      <c r="H1137" s="341" t="str">
        <f>IF(A1137="","",VLOOKUP(A1137,VII.A!$A$10:$D$199,4,FALSE))</f>
        <v/>
      </c>
      <c r="I1137" s="341" t="str">
        <f t="shared" ref="I1137:I1146" si="298">IF(A1137="","",IF(E1137=H1137,"SIM","NÃO"))</f>
        <v/>
      </c>
      <c r="J1137" s="341" t="str">
        <f>IF(A1137="","",VLOOKUP(A1137,VII.A!$A$10:$D$199,3,FALSE))</f>
        <v/>
      </c>
      <c r="K1137" s="342" t="str">
        <f t="shared" ref="K1137:K1146" si="299">IF(A1137="","",IF(J1137=D1137,"SIM","NÃO"))</f>
        <v/>
      </c>
      <c r="L1137" s="380" t="str">
        <f>IF(C1137="","",G1115*C1137)</f>
        <v/>
      </c>
      <c r="M1137" s="381" t="str">
        <f>IF(A1137="","",VLOOKUP(A1137,VII.A!$A$10:$B$199,2,FALSE))</f>
        <v/>
      </c>
      <c r="N1137" s="342" t="str">
        <f t="shared" ref="N1137:N1146" si="300">IF(B1137="","",IF(M1137=B1137,"si","no"))</f>
        <v/>
      </c>
      <c r="R1137" s="341"/>
      <c r="S1137" s="341"/>
    </row>
    <row r="1138" spans="1:19" ht="12.75" customHeight="1">
      <c r="A1138" s="393"/>
      <c r="C1138" s="20"/>
      <c r="E1138" s="387"/>
      <c r="F1138" s="388">
        <f t="shared" si="297"/>
        <v>0</v>
      </c>
      <c r="H1138" s="341" t="str">
        <f>IF(A1138="","",VLOOKUP(A1138,VII.A!$A$10:$D$199,4,FALSE))</f>
        <v/>
      </c>
      <c r="I1138" s="341" t="str">
        <f t="shared" si="298"/>
        <v/>
      </c>
      <c r="J1138" s="341" t="str">
        <f>IF(A1138="","",VLOOKUP(A1138,VII.A!$A$10:$D$199,3,FALSE))</f>
        <v/>
      </c>
      <c r="K1138" s="342" t="str">
        <f t="shared" si="299"/>
        <v/>
      </c>
      <c r="L1138" s="380" t="str">
        <f>IF(C1138="","",G1115*C1138)</f>
        <v/>
      </c>
      <c r="M1138" s="381" t="str">
        <f>IF(A1138="","",VLOOKUP(A1138,VII.A!$A$10:$B$199,2,FALSE))</f>
        <v/>
      </c>
      <c r="N1138" s="342" t="str">
        <f t="shared" si="300"/>
        <v/>
      </c>
      <c r="R1138" s="341"/>
      <c r="S1138" s="341"/>
    </row>
    <row r="1139" spans="1:19" ht="12.75" customHeight="1">
      <c r="A1139" s="393"/>
      <c r="C1139" s="20"/>
      <c r="E1139" s="387"/>
      <c r="F1139" s="388">
        <f t="shared" si="297"/>
        <v>0</v>
      </c>
      <c r="H1139" s="341" t="str">
        <f>IF(A1139="","",VLOOKUP(A1139,VII.A!$A$10:$D$199,4,FALSE))</f>
        <v/>
      </c>
      <c r="I1139" s="341" t="str">
        <f t="shared" si="298"/>
        <v/>
      </c>
      <c r="J1139" s="341" t="str">
        <f>IF(A1139="","",VLOOKUP(A1139,VII.A!$A$10:$D$199,3,FALSE))</f>
        <v/>
      </c>
      <c r="K1139" s="342" t="str">
        <f t="shared" si="299"/>
        <v/>
      </c>
      <c r="L1139" s="380" t="str">
        <f>IF(C1139="","",G1115*C1139)</f>
        <v/>
      </c>
      <c r="M1139" s="381" t="str">
        <f>IF(A1139="","",VLOOKUP(A1139,VII.A!$A$10:$B$199,2,FALSE))</f>
        <v/>
      </c>
      <c r="N1139" s="342" t="str">
        <f t="shared" si="300"/>
        <v/>
      </c>
      <c r="R1139" s="341"/>
      <c r="S1139" s="341"/>
    </row>
    <row r="1140" spans="1:19" ht="12.75" customHeight="1">
      <c r="A1140" s="393"/>
      <c r="C1140" s="20"/>
      <c r="E1140" s="387"/>
      <c r="F1140" s="388">
        <f t="shared" si="297"/>
        <v>0</v>
      </c>
      <c r="H1140" s="341" t="str">
        <f>IF(A1140="","",VLOOKUP(A1140,VII.A!$A$10:$D$199,4,FALSE))</f>
        <v/>
      </c>
      <c r="I1140" s="341" t="str">
        <f t="shared" si="298"/>
        <v/>
      </c>
      <c r="J1140" s="341" t="str">
        <f>IF(A1140="","",VLOOKUP(A1140,VII.A!$A$10:$D$199,3,FALSE))</f>
        <v/>
      </c>
      <c r="K1140" s="342" t="str">
        <f t="shared" si="299"/>
        <v/>
      </c>
      <c r="L1140" s="380" t="str">
        <f>IF(C1140="","",G1115*C1140)</f>
        <v/>
      </c>
      <c r="M1140" s="381" t="str">
        <f>IF(A1140="","",VLOOKUP(A1140,VII.A!$A$10:$B$199,2,FALSE))</f>
        <v/>
      </c>
      <c r="N1140" s="342" t="str">
        <f t="shared" si="300"/>
        <v/>
      </c>
      <c r="R1140" s="341"/>
      <c r="S1140" s="341"/>
    </row>
    <row r="1141" spans="1:19" ht="12.75" customHeight="1">
      <c r="A1141" s="393"/>
      <c r="C1141" s="20"/>
      <c r="E1141" s="387"/>
      <c r="F1141" s="388">
        <f t="shared" si="297"/>
        <v>0</v>
      </c>
      <c r="G1141" s="390"/>
      <c r="H1141" s="341" t="str">
        <f>IF(A1141="","",VLOOKUP(A1141,VII.A!$A$10:$D$199,4,FALSE))</f>
        <v/>
      </c>
      <c r="I1141" s="341" t="str">
        <f t="shared" si="298"/>
        <v/>
      </c>
      <c r="J1141" s="341" t="str">
        <f>IF(A1141="","",VLOOKUP(A1141,VII.A!$A$10:$D$199,3,FALSE))</f>
        <v/>
      </c>
      <c r="K1141" s="342" t="str">
        <f t="shared" si="299"/>
        <v/>
      </c>
      <c r="L1141" s="380" t="str">
        <f>IF(C1141="","",G1115*C1141)</f>
        <v/>
      </c>
      <c r="M1141" s="381" t="str">
        <f>IF(A1141="","",VLOOKUP(A1141,VII.A!$A$10:$B$199,2,FALSE))</f>
        <v/>
      </c>
      <c r="N1141" s="342" t="str">
        <f t="shared" si="300"/>
        <v/>
      </c>
      <c r="R1141" s="341"/>
      <c r="S1141" s="341"/>
    </row>
    <row r="1142" spans="1:19" ht="12.75" customHeight="1">
      <c r="A1142" s="393"/>
      <c r="C1142" s="20"/>
      <c r="E1142" s="387"/>
      <c r="F1142" s="388">
        <f t="shared" si="297"/>
        <v>0</v>
      </c>
      <c r="G1142" s="391"/>
      <c r="H1142" s="341" t="str">
        <f>IF(A1142="","",VLOOKUP(A1142,VII.A!$A$10:$D$199,4,FALSE))</f>
        <v/>
      </c>
      <c r="I1142" s="341" t="str">
        <f t="shared" si="298"/>
        <v/>
      </c>
      <c r="J1142" s="341" t="str">
        <f>IF(A1142="","",VLOOKUP(A1142,VII.A!$A$10:$D$199,3,FALSE))</f>
        <v/>
      </c>
      <c r="K1142" s="342" t="str">
        <f t="shared" si="299"/>
        <v/>
      </c>
      <c r="L1142" s="380" t="str">
        <f>IF(C1142="","",G1115*C1142)</f>
        <v/>
      </c>
      <c r="M1142" s="381" t="str">
        <f>IF(A1142="","",VLOOKUP(A1142,VII.A!$A$10:$B$199,2,FALSE))</f>
        <v/>
      </c>
      <c r="N1142" s="342" t="str">
        <f t="shared" si="300"/>
        <v/>
      </c>
      <c r="R1142" s="341"/>
      <c r="S1142" s="341"/>
    </row>
    <row r="1143" spans="1:19" ht="12.75" customHeight="1">
      <c r="A1143" s="393"/>
      <c r="C1143" s="20"/>
      <c r="E1143" s="387"/>
      <c r="F1143" s="388">
        <f t="shared" si="297"/>
        <v>0</v>
      </c>
      <c r="H1143" s="341" t="str">
        <f>IF(A1143="","",VLOOKUP(A1143,VII.A!$A$10:$D$199,4,FALSE))</f>
        <v/>
      </c>
      <c r="I1143" s="341" t="str">
        <f t="shared" si="298"/>
        <v/>
      </c>
      <c r="J1143" s="341" t="str">
        <f>IF(A1143="","",VLOOKUP(A1143,VII.A!$A$10:$D$199,3,FALSE))</f>
        <v/>
      </c>
      <c r="K1143" s="342" t="str">
        <f t="shared" si="299"/>
        <v/>
      </c>
      <c r="L1143" s="380" t="str">
        <f>IF(C1143="","",G1115*C1143)</f>
        <v/>
      </c>
      <c r="M1143" s="381" t="str">
        <f>IF(A1143="","",VLOOKUP(A1143,VII.A!$A$10:$B$199,2,FALSE))</f>
        <v/>
      </c>
      <c r="N1143" s="342" t="str">
        <f t="shared" si="300"/>
        <v/>
      </c>
      <c r="R1143" s="341"/>
      <c r="S1143" s="341"/>
    </row>
    <row r="1144" spans="1:19" ht="12.75" customHeight="1">
      <c r="A1144" s="393"/>
      <c r="C1144" s="20"/>
      <c r="E1144" s="387"/>
      <c r="F1144" s="388">
        <f t="shared" si="297"/>
        <v>0</v>
      </c>
      <c r="H1144" s="341" t="str">
        <f>IF(A1144="","",VLOOKUP(A1144,VII.A!$A$10:$D$199,4,FALSE))</f>
        <v/>
      </c>
      <c r="I1144" s="341" t="str">
        <f t="shared" si="298"/>
        <v/>
      </c>
      <c r="J1144" s="341" t="str">
        <f>IF(A1144="","",VLOOKUP(A1144,VII.A!$A$10:$D$199,3,FALSE))</f>
        <v/>
      </c>
      <c r="K1144" s="342" t="str">
        <f t="shared" si="299"/>
        <v/>
      </c>
      <c r="L1144" s="380" t="str">
        <f>IF(C1144="","",G1115*C1144)</f>
        <v/>
      </c>
      <c r="M1144" s="381" t="str">
        <f>IF(A1144="","",VLOOKUP(A1144,VII.A!$A$10:$B$199,2,FALSE))</f>
        <v/>
      </c>
      <c r="N1144" s="342" t="str">
        <f t="shared" si="300"/>
        <v/>
      </c>
      <c r="R1144" s="341"/>
      <c r="S1144" s="341"/>
    </row>
    <row r="1145" spans="1:19" ht="12.75" customHeight="1">
      <c r="A1145" s="393"/>
      <c r="C1145" s="20"/>
      <c r="E1145" s="387"/>
      <c r="F1145" s="388">
        <f t="shared" si="297"/>
        <v>0</v>
      </c>
      <c r="H1145" s="341" t="str">
        <f>IF(A1145="","",VLOOKUP(A1145,VII.A!$A$10:$D$199,4,FALSE))</f>
        <v/>
      </c>
      <c r="I1145" s="341" t="str">
        <f t="shared" si="298"/>
        <v/>
      </c>
      <c r="J1145" s="341" t="str">
        <f>IF(A1145="","",VLOOKUP(A1145,VII.A!$A$10:$D$199,3,FALSE))</f>
        <v/>
      </c>
      <c r="K1145" s="342" t="str">
        <f t="shared" si="299"/>
        <v/>
      </c>
      <c r="L1145" s="380" t="str">
        <f>IF(C1145="","",G1115*C1145)</f>
        <v/>
      </c>
      <c r="M1145" s="381" t="str">
        <f>IF(A1145="","",VLOOKUP(A1145,VII.A!$A$10:$B$199,2,FALSE))</f>
        <v/>
      </c>
      <c r="N1145" s="342" t="str">
        <f t="shared" si="300"/>
        <v/>
      </c>
      <c r="R1145" s="341"/>
      <c r="S1145" s="341"/>
    </row>
    <row r="1146" spans="1:19" ht="12.75" customHeight="1">
      <c r="A1146" s="393"/>
      <c r="C1146" s="20"/>
      <c r="E1146" s="387"/>
      <c r="F1146" s="388">
        <f t="shared" si="297"/>
        <v>0</v>
      </c>
      <c r="H1146" s="341" t="str">
        <f>IF(A1146="","",VLOOKUP(A1146,VII.A!$A$10:$D$199,4,FALSE))</f>
        <v/>
      </c>
      <c r="I1146" s="341" t="str">
        <f t="shared" si="298"/>
        <v/>
      </c>
      <c r="J1146" s="341" t="str">
        <f>IF(A1146="","",VLOOKUP(A1146,VII.A!$A$10:$D$199,3,FALSE))</f>
        <v/>
      </c>
      <c r="K1146" s="342" t="str">
        <f t="shared" si="299"/>
        <v/>
      </c>
      <c r="L1146" s="380" t="str">
        <f>IF(C1146="","",G1115*C1146)</f>
        <v/>
      </c>
      <c r="M1146" s="381" t="str">
        <f>IF(A1146="","",VLOOKUP(A1146,VII.A!$A$10:$B$199,2,FALSE))</f>
        <v/>
      </c>
      <c r="N1146" s="342" t="str">
        <f t="shared" si="300"/>
        <v/>
      </c>
      <c r="R1146" s="341"/>
      <c r="S1146" s="341"/>
    </row>
    <row r="1147" spans="1:19" ht="12.75" customHeight="1">
      <c r="A1147" s="393"/>
      <c r="B1147" s="395" t="s">
        <v>226</v>
      </c>
      <c r="C1147" s="396"/>
      <c r="D1147" s="397"/>
      <c r="E1147" s="398"/>
      <c r="F1147" s="399">
        <f>SUM(F1137:F1146)</f>
        <v>0</v>
      </c>
      <c r="J1147" s="341"/>
      <c r="L1147" s="380"/>
      <c r="M1147" s="381"/>
      <c r="N1147" s="342"/>
      <c r="R1147" s="341"/>
      <c r="S1147" s="341"/>
    </row>
    <row r="1148" spans="1:19" ht="12.75" customHeight="1">
      <c r="A1148" s="393"/>
      <c r="B1148" s="400" t="s">
        <v>53</v>
      </c>
      <c r="C1148" s="2">
        <f>$D$8</f>
        <v>0</v>
      </c>
      <c r="D1148" s="401"/>
      <c r="E1148" s="402"/>
      <c r="F1148" s="403">
        <f>ROUND(C1148*F1147,2)</f>
        <v>0</v>
      </c>
      <c r="J1148" s="341"/>
      <c r="L1148" s="380"/>
      <c r="M1148" s="381"/>
      <c r="N1148" s="342"/>
      <c r="R1148" s="341"/>
      <c r="S1148" s="341"/>
    </row>
    <row r="1149" spans="1:19" ht="12.75" customHeight="1">
      <c r="A1149" s="404"/>
      <c r="B1149" s="405" t="s">
        <v>228</v>
      </c>
      <c r="C1149" s="406"/>
      <c r="D1149" s="406"/>
      <c r="E1149" s="407"/>
      <c r="F1149" s="408">
        <f>F1147+F1148</f>
        <v>0</v>
      </c>
      <c r="J1149" s="341"/>
      <c r="L1149" s="380"/>
      <c r="M1149" s="381"/>
      <c r="N1149" s="342"/>
      <c r="R1149" s="341"/>
      <c r="S1149" s="341"/>
    </row>
    <row r="1150" spans="1:19" ht="12.75" customHeight="1">
      <c r="A1150" s="409" t="s">
        <v>47</v>
      </c>
      <c r="B1150" s="410" t="s">
        <v>236</v>
      </c>
      <c r="C1150" s="411" t="s">
        <v>231</v>
      </c>
      <c r="D1150" s="412" t="s">
        <v>232</v>
      </c>
      <c r="E1150" s="413" t="s">
        <v>233</v>
      </c>
      <c r="F1150" s="378" t="s">
        <v>234</v>
      </c>
      <c r="J1150" s="341"/>
      <c r="L1150" s="380"/>
      <c r="M1150" s="381"/>
      <c r="N1150" s="342"/>
      <c r="R1150" s="341"/>
      <c r="S1150" s="341"/>
    </row>
    <row r="1151" spans="1:19" ht="12.75" customHeight="1">
      <c r="A1151" s="393" t="str">
        <f>VII.A!$A$196</f>
        <v>3.16</v>
      </c>
      <c r="B1151" s="394" t="s">
        <v>157</v>
      </c>
      <c r="C1151" s="20">
        <v>0.48399999999999999</v>
      </c>
      <c r="D1151" s="384" t="str">
        <f>VLOOKUP(A1151,VII.A!$A$10:$G$199,3,FALSE)</f>
        <v>H</v>
      </c>
      <c r="E1151" s="387">
        <f>VII.A!$D$196</f>
        <v>0</v>
      </c>
      <c r="F1151" s="388">
        <f t="shared" ref="F1151:F1157" si="301">ROUND(C1151*E1151,2)</f>
        <v>0</v>
      </c>
      <c r="H1151" s="341">
        <f>IF(A1151="","",VLOOKUP(A1151,VII.A!$A$10:$D$199,4,FALSE))</f>
        <v>0</v>
      </c>
      <c r="I1151" s="341" t="str">
        <f t="shared" ref="I1151:I1157" si="302">IF(A1151="","",IF(E1151=H1151,"SIM","NÃO"))</f>
        <v>SIM</v>
      </c>
      <c r="J1151" s="341" t="str">
        <f>IF(A1151="","",VLOOKUP(A1151,VII.A!$A$10:$D$199,3,FALSE))</f>
        <v>H</v>
      </c>
      <c r="K1151" s="342" t="str">
        <f t="shared" ref="K1151:K1157" si="303">IF(A1151="","",IF(J1151=D1151,"SIM","NÃO"))</f>
        <v>SIM</v>
      </c>
      <c r="L1151" s="380">
        <f>IF(C1151="","",G1115*C1151)</f>
        <v>1.452</v>
      </c>
      <c r="M1151" s="381" t="str">
        <f>IF(A1151="","",VLOOKUP(A1151,VII.A!$A$10:$B$199,2,FALSE))</f>
        <v>SERVENTE COM ENCARGOS COMPLEMENTARES</v>
      </c>
      <c r="N1151" s="342" t="str">
        <f t="shared" ref="N1151:N1157" si="304">IF(B1151="","",IF(M1151=B1151,"si","no"))</f>
        <v>si</v>
      </c>
      <c r="R1151" s="341"/>
      <c r="S1151" s="341"/>
    </row>
    <row r="1152" spans="1:19" ht="12.75" customHeight="1">
      <c r="A1152" s="393" t="str">
        <f>VII.A!$A$192</f>
        <v>3.12</v>
      </c>
      <c r="B1152" s="394" t="s">
        <v>153</v>
      </c>
      <c r="C1152" s="20">
        <v>0.96799999999999997</v>
      </c>
      <c r="D1152" s="384" t="str">
        <f>VLOOKUP(A1152,VII.A!$A$10:$G$199,3,FALSE)</f>
        <v>H</v>
      </c>
      <c r="E1152" s="387">
        <f>VII.A!$D$192</f>
        <v>0</v>
      </c>
      <c r="F1152" s="388">
        <f t="shared" si="301"/>
        <v>0</v>
      </c>
      <c r="H1152" s="341">
        <f>IF(A1152="","",VLOOKUP(A1152,VII.A!$A$10:$D$199,4,FALSE))</f>
        <v>0</v>
      </c>
      <c r="I1152" s="341" t="str">
        <f t="shared" si="302"/>
        <v>SIM</v>
      </c>
      <c r="J1152" s="341" t="str">
        <f>IF(A1152="","",VLOOKUP(A1152,VII.A!$A$10:$D$199,3,FALSE))</f>
        <v>H</v>
      </c>
      <c r="K1152" s="342" t="str">
        <f t="shared" si="303"/>
        <v>SIM</v>
      </c>
      <c r="L1152" s="380">
        <f>IF(C1152="","",G1115*C1152)</f>
        <v>2.9039999999999999</v>
      </c>
      <c r="M1152" s="381" t="str">
        <f>IF(A1152="","",VLOOKUP(A1152,VII.A!$A$10:$B$199,2,FALSE))</f>
        <v>PEDREIRO COM ENCARGOS COMPLEMENTARES</v>
      </c>
      <c r="N1152" s="342" t="str">
        <f t="shared" si="304"/>
        <v>si</v>
      </c>
      <c r="R1152" s="341"/>
      <c r="S1152" s="341"/>
    </row>
    <row r="1153" spans="1:25" ht="12.75" customHeight="1">
      <c r="A1153" s="393"/>
      <c r="C1153" s="20"/>
      <c r="E1153" s="387"/>
      <c r="F1153" s="388">
        <f t="shared" si="301"/>
        <v>0</v>
      </c>
      <c r="H1153" s="341" t="str">
        <f>IF(A1153="","",VLOOKUP(A1153,VII.A!$A$10:$D$199,4,FALSE))</f>
        <v/>
      </c>
      <c r="I1153" s="341" t="str">
        <f t="shared" si="302"/>
        <v/>
      </c>
      <c r="J1153" s="341" t="str">
        <f>IF(A1153="","",VLOOKUP(A1153,VII.A!$A$10:$D$199,3,FALSE))</f>
        <v/>
      </c>
      <c r="K1153" s="342" t="str">
        <f t="shared" si="303"/>
        <v/>
      </c>
      <c r="L1153" s="380" t="str">
        <f>IF(C1153="","",G1115*C1153)</f>
        <v/>
      </c>
      <c r="M1153" s="381" t="str">
        <f>IF(A1153="","",VLOOKUP(A1153,VII.A!$A$10:$B$199,2,FALSE))</f>
        <v/>
      </c>
      <c r="N1153" s="342" t="str">
        <f t="shared" si="304"/>
        <v/>
      </c>
      <c r="R1153" s="341"/>
      <c r="S1153" s="341"/>
    </row>
    <row r="1154" spans="1:25" ht="12.75" customHeight="1">
      <c r="A1154" s="393"/>
      <c r="C1154" s="20"/>
      <c r="E1154" s="387"/>
      <c r="F1154" s="388">
        <f t="shared" si="301"/>
        <v>0</v>
      </c>
      <c r="H1154" s="341" t="str">
        <f>IF(A1154="","",VLOOKUP(A1154,VII.A!$A$10:$D$199,4,FALSE))</f>
        <v/>
      </c>
      <c r="I1154" s="341" t="str">
        <f t="shared" si="302"/>
        <v/>
      </c>
      <c r="J1154" s="341" t="str">
        <f>IF(A1154="","",VLOOKUP(A1154,VII.A!$A$10:$D$199,3,FALSE))</f>
        <v/>
      </c>
      <c r="K1154" s="342" t="str">
        <f t="shared" si="303"/>
        <v/>
      </c>
      <c r="L1154" s="380" t="str">
        <f>IF(C1154="","",G1115*C1154)</f>
        <v/>
      </c>
      <c r="M1154" s="381" t="str">
        <f>IF(A1154="","",VLOOKUP(A1154,VII.A!$A$10:$B$199,2,FALSE))</f>
        <v/>
      </c>
      <c r="N1154" s="342" t="str">
        <f t="shared" si="304"/>
        <v/>
      </c>
      <c r="R1154" s="341"/>
      <c r="S1154" s="341"/>
    </row>
    <row r="1155" spans="1:25" ht="12.75" customHeight="1">
      <c r="A1155" s="393"/>
      <c r="C1155" s="20"/>
      <c r="E1155" s="387"/>
      <c r="F1155" s="388">
        <f t="shared" si="301"/>
        <v>0</v>
      </c>
      <c r="H1155" s="341" t="str">
        <f>IF(A1155="","",VLOOKUP(A1155,VII.A!$A$10:$D$199,4,FALSE))</f>
        <v/>
      </c>
      <c r="I1155" s="341" t="str">
        <f t="shared" si="302"/>
        <v/>
      </c>
      <c r="J1155" s="341" t="str">
        <f>IF(A1155="","",VLOOKUP(A1155,VII.A!$A$10:$D$199,3,FALSE))</f>
        <v/>
      </c>
      <c r="K1155" s="342" t="str">
        <f t="shared" si="303"/>
        <v/>
      </c>
      <c r="L1155" s="380" t="str">
        <f>IF(C1155="","",G1115*C1155)</f>
        <v/>
      </c>
      <c r="M1155" s="381" t="str">
        <f>IF(A1155="","",VLOOKUP(A1155,VII.A!$A$10:$B$199,2,FALSE))</f>
        <v/>
      </c>
      <c r="N1155" s="342" t="str">
        <f t="shared" si="304"/>
        <v/>
      </c>
      <c r="R1155" s="341"/>
      <c r="S1155" s="341"/>
    </row>
    <row r="1156" spans="1:25" ht="12.75" customHeight="1">
      <c r="A1156" s="393"/>
      <c r="C1156" s="20"/>
      <c r="E1156" s="387"/>
      <c r="F1156" s="388">
        <f t="shared" si="301"/>
        <v>0</v>
      </c>
      <c r="H1156" s="341" t="str">
        <f>IF(A1156="","",VLOOKUP(A1156,VII.A!$A$10:$D$199,4,FALSE))</f>
        <v/>
      </c>
      <c r="I1156" s="341" t="str">
        <f t="shared" si="302"/>
        <v/>
      </c>
      <c r="J1156" s="341" t="str">
        <f>IF(A1156="","",VLOOKUP(A1156,VII.A!$A$10:$D$199,3,FALSE))</f>
        <v/>
      </c>
      <c r="K1156" s="342" t="str">
        <f t="shared" si="303"/>
        <v/>
      </c>
      <c r="L1156" s="380" t="str">
        <f>IF(C1156="","",G1115*C1156)</f>
        <v/>
      </c>
      <c r="M1156" s="381" t="str">
        <f>IF(A1156="","",VLOOKUP(A1156,VII.A!$A$10:$B$199,2,FALSE))</f>
        <v/>
      </c>
      <c r="N1156" s="342" t="str">
        <f t="shared" si="304"/>
        <v/>
      </c>
      <c r="R1156" s="341"/>
      <c r="S1156" s="341"/>
    </row>
    <row r="1157" spans="1:25" ht="12.75" customHeight="1">
      <c r="A1157" s="393"/>
      <c r="C1157" s="20"/>
      <c r="E1157" s="387"/>
      <c r="F1157" s="388">
        <f t="shared" si="301"/>
        <v>0</v>
      </c>
      <c r="H1157" s="341" t="str">
        <f>IF(A1157="","",VLOOKUP(A1157,VII.A!$A$10:$D$199,4,FALSE))</f>
        <v/>
      </c>
      <c r="I1157" s="341" t="str">
        <f t="shared" si="302"/>
        <v/>
      </c>
      <c r="J1157" s="341" t="str">
        <f>IF(A1157="","",VLOOKUP(A1157,VII.A!$A$10:$D$199,3,FALSE))</f>
        <v/>
      </c>
      <c r="K1157" s="342" t="str">
        <f t="shared" si="303"/>
        <v/>
      </c>
      <c r="L1157" s="380" t="str">
        <f>IF(C1157="","",G1115*C1157)</f>
        <v/>
      </c>
      <c r="M1157" s="381" t="str">
        <f>IF(A1157="","",VLOOKUP(A1157,VII.A!$A$10:$B$199,2,FALSE))</f>
        <v/>
      </c>
      <c r="N1157" s="342" t="str">
        <f t="shared" si="304"/>
        <v/>
      </c>
      <c r="R1157" s="341"/>
      <c r="S1157" s="341"/>
    </row>
    <row r="1158" spans="1:25" ht="12.75" customHeight="1">
      <c r="A1158" s="393"/>
      <c r="B1158" s="395" t="s">
        <v>226</v>
      </c>
      <c r="C1158" s="396"/>
      <c r="D1158" s="397"/>
      <c r="E1158" s="398"/>
      <c r="F1158" s="399">
        <f>SUM(F1151:F1157)</f>
        <v>0</v>
      </c>
      <c r="J1158" s="341"/>
      <c r="L1158" s="380"/>
      <c r="M1158" s="381"/>
      <c r="N1158" s="342"/>
      <c r="R1158" s="341"/>
      <c r="S1158" s="341"/>
    </row>
    <row r="1159" spans="1:25" ht="12.75" customHeight="1">
      <c r="A1159" s="393"/>
      <c r="B1159" s="400" t="s">
        <v>229</v>
      </c>
      <c r="C1159" s="2">
        <f>IX.A!$C$45</f>
        <v>0</v>
      </c>
      <c r="D1159" s="401"/>
      <c r="E1159" s="402"/>
      <c r="F1159" s="403">
        <f>ROUND(F1158*C1159,2)</f>
        <v>0</v>
      </c>
      <c r="J1159" s="341"/>
      <c r="L1159" s="380"/>
      <c r="M1159" s="381"/>
      <c r="N1159" s="342"/>
      <c r="R1159" s="341"/>
      <c r="S1159" s="341"/>
    </row>
    <row r="1160" spans="1:25" ht="12.75" customHeight="1">
      <c r="A1160" s="393"/>
      <c r="B1160" s="400" t="s">
        <v>53</v>
      </c>
      <c r="C1160" s="2">
        <f>$D$8</f>
        <v>0</v>
      </c>
      <c r="D1160" s="401"/>
      <c r="E1160" s="402"/>
      <c r="F1160" s="403">
        <f>ROUND(SUM(F1158:F1159)*C1160,2)</f>
        <v>0</v>
      </c>
      <c r="J1160" s="341"/>
      <c r="L1160" s="380"/>
      <c r="M1160" s="381"/>
      <c r="N1160" s="342"/>
      <c r="R1160" s="341"/>
      <c r="S1160" s="341"/>
    </row>
    <row r="1161" spans="1:25" ht="12.75" customHeight="1" thickBot="1">
      <c r="A1161" s="414"/>
      <c r="B1161" s="415" t="s">
        <v>230</v>
      </c>
      <c r="C1161" s="416"/>
      <c r="D1161" s="416"/>
      <c r="E1161" s="417"/>
      <c r="F1161" s="418">
        <f>SUM(F1158:F1160)</f>
        <v>0</v>
      </c>
      <c r="J1161" s="341"/>
      <c r="L1161" s="380"/>
      <c r="M1161" s="381"/>
      <c r="N1161" s="342"/>
      <c r="R1161" s="341"/>
      <c r="S1161" s="341"/>
    </row>
    <row r="1162" spans="1:25" ht="12.75" customHeight="1" thickBot="1">
      <c r="A1162" s="357"/>
      <c r="B1162" s="358"/>
      <c r="C1162" s="359"/>
      <c r="D1162" s="359"/>
      <c r="E1162" s="360"/>
      <c r="F1162" s="419"/>
      <c r="J1162" s="341"/>
      <c r="L1162" s="380"/>
      <c r="M1162" s="381"/>
      <c r="N1162" s="342"/>
      <c r="R1162" s="341"/>
      <c r="S1162" s="341"/>
    </row>
    <row r="1163" spans="1:25" ht="30" customHeight="1">
      <c r="A1163" s="370" t="str">
        <f>IV.A!$A$51</f>
        <v>3.2.2</v>
      </c>
      <c r="B1163" s="371" t="str">
        <f>IV.A!B51</f>
        <v>FORNECIMENTO E INSTALAÇÃO DE ESQUADRIA METÁLICA EM VENEZIANA/CHAPA DE FERRO, SOB MEDIDA</v>
      </c>
      <c r="C1163" s="871" t="s">
        <v>237</v>
      </c>
      <c r="D1163" s="872"/>
      <c r="E1163" s="372" t="str">
        <f>IV.A!C51</f>
        <v>M2</v>
      </c>
      <c r="F1163" s="11">
        <f>ROUND(F1183+F1197+F1209,2)</f>
        <v>0</v>
      </c>
      <c r="G1163" s="1">
        <f>VLOOKUP(A1163,IV.A!$A$16:$L$172,4,FALSE)</f>
        <v>80</v>
      </c>
      <c r="H1163" s="361">
        <f>SUM(F1165:F1180)+F1182</f>
        <v>0</v>
      </c>
      <c r="I1163" s="361">
        <f>SUM(F1185:F1194)+F1196</f>
        <v>0</v>
      </c>
      <c r="J1163" s="361">
        <f>SUM(F1199:F1205)+F1207+F1208</f>
        <v>0</v>
      </c>
      <c r="K1163" s="361">
        <f>SUM(H1163:J1163)</f>
        <v>0</v>
      </c>
      <c r="L1163" s="362" t="str">
        <f>IF(K1163=F1163,"SIM","NÃO")</f>
        <v>SIM</v>
      </c>
      <c r="M1163" s="373">
        <f>ROUND(SUM(F1165:F1180),2)+ROUND(SUM(F1165:F1180)*C1182,2)+ROUND(SUM(F1185:F1194)*C1196,2)+ROUND(SUM(F1185:F1194),2)+ROUND(SUM(F1199:F1205)*C1207,2)+ROUND((SUM(F1199:F1205)+ROUND(SUM(F1199:F1205)*C1207,2))*C1208,2)+ROUND(SUM(F1199:F1205),2)</f>
        <v>0</v>
      </c>
      <c r="N1163" s="343" t="str">
        <f>IF(M1163=F1163,"SIM","NÃO")</f>
        <v>SIM</v>
      </c>
      <c r="O1163" s="364" t="str">
        <f>VLOOKUP(A1163,IV.A!$A$16:$E$172,3,FALSE)</f>
        <v>M2</v>
      </c>
      <c r="P1163" s="344" t="str">
        <f>IF(O1163=E1163,"SIM","NÃO")</f>
        <v>SIM</v>
      </c>
      <c r="Q1163" s="365">
        <f>ROUND(G1163*F1183,2)+ROUND(G1163*F1197,2)+ROUND(G1163*F1209,2)</f>
        <v>0</v>
      </c>
      <c r="R1163" s="364">
        <f>VLOOKUP(A1163,IV.A!$A$16:$L$172,12,FALSE)</f>
        <v>0</v>
      </c>
      <c r="S1163" s="366" t="str">
        <f>IF(Q1163=R1163,"si","no")</f>
        <v>si</v>
      </c>
      <c r="T1163" s="367">
        <f>SUM(L1165:L1180)+SUM(L1185:L1194)+SUM(L1199:L1205)</f>
        <v>618.27402999452659</v>
      </c>
      <c r="U1163" s="341">
        <f>(SUM(C1165:C1180)+SUM(C1185:C1194)+SUM(C1199:C1205))*G1163</f>
        <v>618.27402999452659</v>
      </c>
      <c r="V1163" s="368" t="str">
        <f>IF(T1163=U1163,"si","no")</f>
        <v>si</v>
      </c>
      <c r="W1163" s="369">
        <f>SUM(F1165:F1180)</f>
        <v>0</v>
      </c>
      <c r="X1163" s="369">
        <f>SUM(F1185:F1194)</f>
        <v>0</v>
      </c>
      <c r="Y1163" s="369">
        <f>SUM(F1199:F1205)</f>
        <v>0</v>
      </c>
    </row>
    <row r="1164" spans="1:25" ht="12.75" customHeight="1">
      <c r="A1164" s="374" t="s">
        <v>14</v>
      </c>
      <c r="B1164" s="375" t="s">
        <v>132</v>
      </c>
      <c r="C1164" s="376" t="s">
        <v>231</v>
      </c>
      <c r="D1164" s="376" t="s">
        <v>232</v>
      </c>
      <c r="E1164" s="377" t="s">
        <v>233</v>
      </c>
      <c r="F1164" s="378" t="s">
        <v>234</v>
      </c>
      <c r="G1164" s="379"/>
      <c r="J1164" s="341"/>
      <c r="L1164" s="380"/>
      <c r="M1164" s="381"/>
      <c r="N1164" s="342"/>
      <c r="O1164" s="382"/>
      <c r="P1164" s="383"/>
      <c r="Q1164" s="383"/>
      <c r="R1164" s="383"/>
      <c r="S1164" s="383"/>
      <c r="T1164" s="382"/>
      <c r="U1164" s="341"/>
      <c r="V1164" s="384"/>
      <c r="W1164" s="384"/>
      <c r="X1164" s="384"/>
      <c r="Y1164" s="384"/>
    </row>
    <row r="1165" spans="1:25" ht="12.75" customHeight="1">
      <c r="A1165" s="385" t="str">
        <f>VII.A!$A$85</f>
        <v>1.75</v>
      </c>
      <c r="B1165" s="394" t="str">
        <f>VII.A!$B$85</f>
        <v>PORTA DE ABRIR EM ACO VENEZIANA, COM FUNDO ANTICORROSIVO,  SEM GUARNICAO - 87 X 210 CM</v>
      </c>
      <c r="C1165" s="20">
        <v>0.59523999999999999</v>
      </c>
      <c r="D1165" s="342" t="str">
        <f>VII.A!$C$85</f>
        <v>UN</v>
      </c>
      <c r="E1165" s="387">
        <f>VII.A!$D$85</f>
        <v>0</v>
      </c>
      <c r="F1165" s="388">
        <f>ROUND(C1165*E1165,2)</f>
        <v>0</v>
      </c>
      <c r="H1165" s="341">
        <f>IF(A1165="","",VLOOKUP(A1165,VII.A!$A$10:$D$199,4,FALSE))</f>
        <v>0</v>
      </c>
      <c r="I1165" s="341" t="str">
        <f t="shared" ref="I1165:I1180" si="305">IF(A1165="","",IF(E1165=H1165,"SIM","NÃO"))</f>
        <v>SIM</v>
      </c>
      <c r="J1165" s="341" t="str">
        <f>IF(A1165="","",VLOOKUP(A1165,VII.A!$A$10:$D$199,3,FALSE))</f>
        <v>UN</v>
      </c>
      <c r="K1165" s="342" t="str">
        <f t="shared" ref="K1165:K1180" si="306">IF(A1165="","",IF(J1165=D1165,"SIM","NÃO"))</f>
        <v>SIM</v>
      </c>
      <c r="L1165" s="380">
        <f>IF(C1165="","",G1163*C1165)</f>
        <v>47.619199999999999</v>
      </c>
      <c r="M1165" s="381" t="str">
        <f>IF(A1165="","",VLOOKUP(A1165,VII.A!$A$10:$B$199,2,FALSE))</f>
        <v>PORTA DE ABRIR EM ACO VENEZIANA, COM FUNDO ANTICORROSIVO,  SEM GUARNICAO - 87 X 210 CM</v>
      </c>
      <c r="N1165" s="342" t="str">
        <f t="shared" ref="N1165:N1180" si="307">IF(B1165="","",IF(M1165=B1165,"si","no"))</f>
        <v>si</v>
      </c>
      <c r="R1165" s="341"/>
      <c r="S1165" s="341"/>
    </row>
    <row r="1166" spans="1:25" ht="12.75" customHeight="1">
      <c r="A1166" s="385" t="str">
        <f>VII.A!$A$19</f>
        <v>1.10</v>
      </c>
      <c r="B1166" s="394" t="str">
        <f>VII.A!$B$19</f>
        <v>AREIA MÉDIA LAVADA</v>
      </c>
      <c r="C1166" s="20">
        <f>0.006*1.2</f>
        <v>7.1999999999999998E-3</v>
      </c>
      <c r="D1166" s="342" t="str">
        <f>VII.A!$C$19</f>
        <v>M3</v>
      </c>
      <c r="E1166" s="387">
        <f>VII.A!$D$19</f>
        <v>0</v>
      </c>
      <c r="F1166" s="388">
        <f t="shared" ref="F1166:F1180" si="308">ROUND(C1166*E1166,2)</f>
        <v>0</v>
      </c>
      <c r="H1166" s="341">
        <f>IF(A1166="","",VLOOKUP(A1166,VII.A!$A$10:$D$199,4,FALSE))</f>
        <v>0</v>
      </c>
      <c r="I1166" s="341" t="str">
        <f t="shared" si="305"/>
        <v>SIM</v>
      </c>
      <c r="J1166" s="341" t="str">
        <f>IF(A1166="","",VLOOKUP(A1166,VII.A!$A$10:$D$199,3,FALSE))</f>
        <v>M3</v>
      </c>
      <c r="K1166" s="342" t="str">
        <f t="shared" si="306"/>
        <v>SIM</v>
      </c>
      <c r="L1166" s="380">
        <f>IF(C1166="","",G1163*C1166)</f>
        <v>0.57599999999999996</v>
      </c>
      <c r="M1166" s="381" t="str">
        <f>IF(A1166="","",VLOOKUP(A1166,VII.A!$A$10:$B$199,2,FALSE))</f>
        <v>AREIA MÉDIA LAVADA</v>
      </c>
      <c r="N1166" s="342" t="str">
        <f t="shared" si="307"/>
        <v>si</v>
      </c>
      <c r="R1166" s="341"/>
      <c r="S1166" s="341"/>
    </row>
    <row r="1167" spans="1:25" ht="12.75" customHeight="1">
      <c r="A1167" s="385" t="str">
        <f>VII.A!$A$29</f>
        <v>1.20</v>
      </c>
      <c r="B1167" s="394" t="str">
        <f>VII.A!$B$29</f>
        <v>CAL HIDRATADA CH III - NBR 7175</v>
      </c>
      <c r="C1167" s="20">
        <f>0.006*80.23</f>
        <v>0.48138000000000003</v>
      </c>
      <c r="D1167" s="342" t="str">
        <f>VII.A!$C$29</f>
        <v>KG</v>
      </c>
      <c r="E1167" s="387">
        <f>VII.A!$D$29</f>
        <v>0</v>
      </c>
      <c r="F1167" s="388">
        <f t="shared" si="308"/>
        <v>0</v>
      </c>
      <c r="H1167" s="341">
        <f>IF(A1167="","",VLOOKUP(A1167,VII.A!$A$10:$D$199,4,FALSE))</f>
        <v>0</v>
      </c>
      <c r="I1167" s="341" t="str">
        <f t="shared" si="305"/>
        <v>SIM</v>
      </c>
      <c r="J1167" s="341" t="str">
        <f>IF(A1167="","",VLOOKUP(A1167,VII.A!$A$10:$D$199,3,FALSE))</f>
        <v>KG</v>
      </c>
      <c r="K1167" s="342" t="str">
        <f t="shared" si="306"/>
        <v>SIM</v>
      </c>
      <c r="L1167" s="380">
        <f>IF(C1167="","",G1163*C1167)</f>
        <v>38.510400000000004</v>
      </c>
      <c r="M1167" s="381" t="str">
        <f>IF(A1167="","",VLOOKUP(A1167,VII.A!$A$10:$B$199,2,FALSE))</f>
        <v>CAL HIDRATADA CH III - NBR 7175</v>
      </c>
      <c r="N1167" s="342" t="str">
        <f t="shared" si="307"/>
        <v>si</v>
      </c>
      <c r="R1167" s="341"/>
      <c r="S1167" s="341"/>
    </row>
    <row r="1168" spans="1:25" ht="12.75" customHeight="1">
      <c r="A1168" s="385" t="str">
        <f>VII.A!$A$38</f>
        <v>1.29</v>
      </c>
      <c r="B1168" s="394" t="str">
        <f>VII.A!$B$38</f>
        <v>CIMENTO PORTLAND CP II-E-32</v>
      </c>
      <c r="C1168" s="20">
        <f>0.006*307.54</f>
        <v>1.8452400000000002</v>
      </c>
      <c r="D1168" s="342" t="str">
        <f>VII.A!$C$38</f>
        <v>KG</v>
      </c>
      <c r="E1168" s="387">
        <f>VII.A!$D$38</f>
        <v>0</v>
      </c>
      <c r="F1168" s="388">
        <f t="shared" si="308"/>
        <v>0</v>
      </c>
      <c r="H1168" s="341">
        <f>IF(A1168="","",VLOOKUP(A1168,VII.A!$A$10:$D$199,4,FALSE))</f>
        <v>0</v>
      </c>
      <c r="I1168" s="341" t="str">
        <f t="shared" si="305"/>
        <v>SIM</v>
      </c>
      <c r="J1168" s="341" t="str">
        <f>IF(A1168="","",VLOOKUP(A1168,VII.A!$A$10:$D$199,3,FALSE))</f>
        <v>KG</v>
      </c>
      <c r="K1168" s="342" t="str">
        <f t="shared" si="306"/>
        <v>SIM</v>
      </c>
      <c r="L1168" s="380">
        <f>IF(C1168="","",G1163*C1168)</f>
        <v>147.61920000000001</v>
      </c>
      <c r="M1168" s="381" t="str">
        <f>IF(A1168="","",VLOOKUP(A1168,VII.A!$A$10:$B$199,2,FALSE))</f>
        <v>CIMENTO PORTLAND CP II-E-32</v>
      </c>
      <c r="N1168" s="342" t="str">
        <f t="shared" si="307"/>
        <v>si</v>
      </c>
      <c r="R1168" s="341"/>
      <c r="S1168" s="341"/>
    </row>
    <row r="1169" spans="1:21" ht="12.75" customHeight="1">
      <c r="A1169" s="385" t="str">
        <f>VII.A!$A$114</f>
        <v>1.104</v>
      </c>
      <c r="B1169" s="386" t="str">
        <f>VII.A!$B$114</f>
        <v>TRAVA DE SEGURANÇA TIPO FERROLHO</v>
      </c>
      <c r="C1169" s="20">
        <f>1/(0.87*2.1)</f>
        <v>0.54734537493158186</v>
      </c>
      <c r="D1169" s="342" t="str">
        <f>VII.A!$C$114</f>
        <v>UN</v>
      </c>
      <c r="E1169" s="387">
        <f>VII.A!$D$114</f>
        <v>0</v>
      </c>
      <c r="F1169" s="388">
        <f t="shared" si="308"/>
        <v>0</v>
      </c>
      <c r="H1169" s="341">
        <f>IF(A1169="","",VLOOKUP(A1169,VII.A!$A$10:$D$199,4,FALSE))</f>
        <v>0</v>
      </c>
      <c r="I1169" s="341" t="str">
        <f t="shared" si="305"/>
        <v>SIM</v>
      </c>
      <c r="J1169" s="341" t="str">
        <f>IF(A1169="","",VLOOKUP(A1169,VII.A!$A$10:$D$199,3,FALSE))</f>
        <v>UN</v>
      </c>
      <c r="K1169" s="342" t="str">
        <f t="shared" si="306"/>
        <v>SIM</v>
      </c>
      <c r="L1169" s="380">
        <f>IF(C1169="","",G1163*C1169)</f>
        <v>43.787629994526547</v>
      </c>
      <c r="M1169" s="381" t="str">
        <f>IF(A1169="","",VLOOKUP(A1169,VII.A!$A$10:$B$199,2,FALSE))</f>
        <v>TRAVA DE SEGURANÇA TIPO FERROLHO</v>
      </c>
      <c r="N1169" s="342" t="str">
        <f t="shared" si="307"/>
        <v>si</v>
      </c>
      <c r="R1169" s="341"/>
      <c r="S1169" s="341"/>
    </row>
    <row r="1170" spans="1:21" ht="12.75" customHeight="1">
      <c r="A1170" s="385"/>
      <c r="B1170" s="386"/>
      <c r="C1170" s="20"/>
      <c r="D1170" s="342"/>
      <c r="E1170" s="387"/>
      <c r="F1170" s="388">
        <f t="shared" si="308"/>
        <v>0</v>
      </c>
      <c r="H1170" s="341" t="str">
        <f>IF(A1170="","",VLOOKUP(A1170,VII.A!$A$10:$D$199,4,FALSE))</f>
        <v/>
      </c>
      <c r="I1170" s="341" t="str">
        <f t="shared" si="305"/>
        <v/>
      </c>
      <c r="J1170" s="341" t="str">
        <f>IF(A1170="","",VLOOKUP(A1170,VII.A!$A$10:$D$199,3,FALSE))</f>
        <v/>
      </c>
      <c r="K1170" s="342" t="str">
        <f t="shared" si="306"/>
        <v/>
      </c>
      <c r="L1170" s="380" t="str">
        <f>IF(C1170="","",G1163*C1170)</f>
        <v/>
      </c>
      <c r="M1170" s="381" t="str">
        <f>IF(A1170="","",VLOOKUP(A1170,VII.A!$A$10:$B$199,2,FALSE))</f>
        <v/>
      </c>
      <c r="N1170" s="342" t="str">
        <f t="shared" si="307"/>
        <v/>
      </c>
      <c r="R1170" s="341"/>
      <c r="S1170" s="341"/>
      <c r="U1170" s="389"/>
    </row>
    <row r="1171" spans="1:21" ht="12.75" customHeight="1">
      <c r="A1171" s="385"/>
      <c r="B1171" s="386"/>
      <c r="C1171" s="20"/>
      <c r="D1171" s="342"/>
      <c r="E1171" s="387"/>
      <c r="F1171" s="388">
        <f t="shared" si="308"/>
        <v>0</v>
      </c>
      <c r="H1171" s="341" t="str">
        <f>IF(A1171="","",VLOOKUP(A1171,VII.A!$A$10:$D$199,4,FALSE))</f>
        <v/>
      </c>
      <c r="I1171" s="341" t="str">
        <f t="shared" si="305"/>
        <v/>
      </c>
      <c r="J1171" s="341" t="str">
        <f>IF(A1171="","",VLOOKUP(A1171,VII.A!$A$10:$D$199,3,FALSE))</f>
        <v/>
      </c>
      <c r="K1171" s="342" t="str">
        <f t="shared" si="306"/>
        <v/>
      </c>
      <c r="L1171" s="380" t="str">
        <f>IF(C1171="","",G1163*C1171)</f>
        <v/>
      </c>
      <c r="M1171" s="381" t="str">
        <f>IF(A1171="","",VLOOKUP(A1171,VII.A!$A$10:$B$199,2,FALSE))</f>
        <v/>
      </c>
      <c r="N1171" s="342" t="str">
        <f t="shared" si="307"/>
        <v/>
      </c>
      <c r="R1171" s="341"/>
      <c r="S1171" s="341"/>
    </row>
    <row r="1172" spans="1:21" ht="12.75" customHeight="1">
      <c r="A1172" s="385"/>
      <c r="B1172" s="386"/>
      <c r="C1172" s="20"/>
      <c r="D1172" s="342"/>
      <c r="E1172" s="387"/>
      <c r="F1172" s="388">
        <f t="shared" si="308"/>
        <v>0</v>
      </c>
      <c r="G1172" s="390"/>
      <c r="H1172" s="341" t="str">
        <f>IF(A1172="","",VLOOKUP(A1172,VII.A!$A$10:$D$199,4,FALSE))</f>
        <v/>
      </c>
      <c r="I1172" s="341" t="str">
        <f t="shared" si="305"/>
        <v/>
      </c>
      <c r="J1172" s="341" t="str">
        <f>IF(A1172="","",VLOOKUP(A1172,VII.A!$A$10:$D$199,3,FALSE))</f>
        <v/>
      </c>
      <c r="K1172" s="342" t="str">
        <f t="shared" si="306"/>
        <v/>
      </c>
      <c r="L1172" s="380" t="str">
        <f>IF(C1172="","",G1163*C1172)</f>
        <v/>
      </c>
      <c r="M1172" s="381" t="str">
        <f>IF(A1172="","",VLOOKUP(A1172,VII.A!$A$10:$B$199,2,FALSE))</f>
        <v/>
      </c>
      <c r="N1172" s="342" t="str">
        <f t="shared" si="307"/>
        <v/>
      </c>
      <c r="R1172" s="341"/>
      <c r="S1172" s="341"/>
    </row>
    <row r="1173" spans="1:21" ht="12.75" customHeight="1">
      <c r="A1173" s="385"/>
      <c r="B1173" s="386"/>
      <c r="C1173" s="20"/>
      <c r="D1173" s="342"/>
      <c r="E1173" s="387"/>
      <c r="F1173" s="388">
        <f t="shared" si="308"/>
        <v>0</v>
      </c>
      <c r="G1173" s="390"/>
      <c r="H1173" s="341" t="str">
        <f>IF(A1173="","",VLOOKUP(A1173,VII.A!$A$10:$D$199,4,FALSE))</f>
        <v/>
      </c>
      <c r="I1173" s="341" t="str">
        <f t="shared" si="305"/>
        <v/>
      </c>
      <c r="J1173" s="341" t="str">
        <f>IF(A1173="","",VLOOKUP(A1173,VII.A!$A$10:$D$199,3,FALSE))</f>
        <v/>
      </c>
      <c r="K1173" s="342" t="str">
        <f t="shared" si="306"/>
        <v/>
      </c>
      <c r="L1173" s="380" t="str">
        <f>IF(C1173="","",G1163*C1173)</f>
        <v/>
      </c>
      <c r="M1173" s="381" t="str">
        <f>IF(A1173="","",VLOOKUP(A1173,VII.A!$A$10:$B$199,2,FALSE))</f>
        <v/>
      </c>
      <c r="N1173" s="342" t="str">
        <f t="shared" si="307"/>
        <v/>
      </c>
      <c r="R1173" s="341"/>
      <c r="S1173" s="341"/>
    </row>
    <row r="1174" spans="1:21" ht="12.75" customHeight="1">
      <c r="A1174" s="385"/>
      <c r="B1174" s="386"/>
      <c r="C1174" s="20"/>
      <c r="D1174" s="342"/>
      <c r="E1174" s="387"/>
      <c r="F1174" s="388">
        <f t="shared" si="308"/>
        <v>0</v>
      </c>
      <c r="G1174" s="391"/>
      <c r="H1174" s="341" t="str">
        <f>IF(A1174="","",VLOOKUP(A1174,VII.A!$A$10:$D$199,4,FALSE))</f>
        <v/>
      </c>
      <c r="I1174" s="341" t="str">
        <f t="shared" si="305"/>
        <v/>
      </c>
      <c r="J1174" s="341" t="str">
        <f>IF(A1174="","",VLOOKUP(A1174,VII.A!$A$10:$D$199,3,FALSE))</f>
        <v/>
      </c>
      <c r="K1174" s="342" t="str">
        <f t="shared" si="306"/>
        <v/>
      </c>
      <c r="L1174" s="380" t="str">
        <f>IF(C1174="","",G1163*C1174)</f>
        <v/>
      </c>
      <c r="M1174" s="381" t="str">
        <f>IF(A1174="","",VLOOKUP(A1174,VII.A!$A$10:$B$199,2,FALSE))</f>
        <v/>
      </c>
      <c r="N1174" s="342" t="str">
        <f t="shared" si="307"/>
        <v/>
      </c>
      <c r="R1174" s="341"/>
      <c r="S1174" s="341"/>
    </row>
    <row r="1175" spans="1:21" ht="12.75" customHeight="1">
      <c r="A1175" s="385"/>
      <c r="B1175" s="386"/>
      <c r="C1175" s="20"/>
      <c r="D1175" s="342"/>
      <c r="E1175" s="387"/>
      <c r="F1175" s="388">
        <f t="shared" si="308"/>
        <v>0</v>
      </c>
      <c r="H1175" s="341" t="str">
        <f>IF(A1175="","",VLOOKUP(A1175,VII.A!$A$10:$D$199,4,FALSE))</f>
        <v/>
      </c>
      <c r="I1175" s="341" t="str">
        <f t="shared" si="305"/>
        <v/>
      </c>
      <c r="J1175" s="341" t="str">
        <f>IF(A1175="","",VLOOKUP(A1175,VII.A!$A$10:$D$199,3,FALSE))</f>
        <v/>
      </c>
      <c r="K1175" s="342" t="str">
        <f t="shared" si="306"/>
        <v/>
      </c>
      <c r="L1175" s="380" t="str">
        <f>IF(C1175="","",G1163*C1175)</f>
        <v/>
      </c>
      <c r="M1175" s="381" t="str">
        <f>IF(A1175="","",VLOOKUP(A1175,VII.A!$A$10:$B$199,2,FALSE))</f>
        <v/>
      </c>
      <c r="N1175" s="342" t="str">
        <f t="shared" si="307"/>
        <v/>
      </c>
      <c r="R1175" s="341"/>
      <c r="S1175" s="341"/>
    </row>
    <row r="1176" spans="1:21" ht="12.75" customHeight="1">
      <c r="A1176" s="385"/>
      <c r="B1176" s="386"/>
      <c r="C1176" s="20"/>
      <c r="D1176" s="392"/>
      <c r="E1176" s="387"/>
      <c r="F1176" s="388">
        <f t="shared" si="308"/>
        <v>0</v>
      </c>
      <c r="H1176" s="341" t="str">
        <f>IF(A1176="","",VLOOKUP(A1176,VII.A!$A$10:$D$199,4,FALSE))</f>
        <v/>
      </c>
      <c r="I1176" s="341" t="str">
        <f t="shared" si="305"/>
        <v/>
      </c>
      <c r="J1176" s="341" t="str">
        <f>IF(A1176="","",VLOOKUP(A1176,VII.A!$A$10:$D$199,3,FALSE))</f>
        <v/>
      </c>
      <c r="K1176" s="342" t="str">
        <f t="shared" si="306"/>
        <v/>
      </c>
      <c r="L1176" s="380" t="str">
        <f>IF(C1176="","",G1163*C1176)</f>
        <v/>
      </c>
      <c r="M1176" s="381" t="str">
        <f>IF(A1176="","",VLOOKUP(A1176,VII.A!$A$10:$B$199,2,FALSE))</f>
        <v/>
      </c>
      <c r="N1176" s="342" t="str">
        <f t="shared" si="307"/>
        <v/>
      </c>
      <c r="R1176" s="341"/>
      <c r="S1176" s="341"/>
    </row>
    <row r="1177" spans="1:21" ht="12.75" customHeight="1">
      <c r="A1177" s="385"/>
      <c r="B1177" s="386"/>
      <c r="C1177" s="20"/>
      <c r="D1177" s="392"/>
      <c r="E1177" s="387"/>
      <c r="F1177" s="388">
        <f t="shared" si="308"/>
        <v>0</v>
      </c>
      <c r="H1177" s="341" t="str">
        <f>IF(A1177="","",VLOOKUP(A1177,VII.A!$A$10:$D$199,4,FALSE))</f>
        <v/>
      </c>
      <c r="I1177" s="341" t="str">
        <f t="shared" si="305"/>
        <v/>
      </c>
      <c r="J1177" s="341" t="str">
        <f>IF(A1177="","",VLOOKUP(A1177,VII.A!$A$10:$D$199,3,FALSE))</f>
        <v/>
      </c>
      <c r="K1177" s="342" t="str">
        <f t="shared" si="306"/>
        <v/>
      </c>
      <c r="L1177" s="380" t="str">
        <f>IF(C1177="","",G1163*C1177)</f>
        <v/>
      </c>
      <c r="M1177" s="381" t="str">
        <f>IF(A1177="","",VLOOKUP(A1177,VII.A!$A$10:$B$199,2,FALSE))</f>
        <v/>
      </c>
      <c r="N1177" s="342" t="str">
        <f t="shared" si="307"/>
        <v/>
      </c>
      <c r="O1177" s="342"/>
      <c r="R1177" s="341"/>
      <c r="S1177" s="341"/>
    </row>
    <row r="1178" spans="1:21" ht="12.75" customHeight="1">
      <c r="A1178" s="385"/>
      <c r="B1178" s="386"/>
      <c r="C1178" s="20"/>
      <c r="D1178" s="392"/>
      <c r="E1178" s="387"/>
      <c r="F1178" s="388">
        <f t="shared" si="308"/>
        <v>0</v>
      </c>
      <c r="H1178" s="341" t="str">
        <f>IF(A1178="","",VLOOKUP(A1178,VII.A!$A$10:$D$199,4,FALSE))</f>
        <v/>
      </c>
      <c r="I1178" s="341" t="str">
        <f t="shared" si="305"/>
        <v/>
      </c>
      <c r="J1178" s="341" t="str">
        <f>IF(A1178="","",VLOOKUP(A1178,VII.A!$A$10:$D$199,3,FALSE))</f>
        <v/>
      </c>
      <c r="K1178" s="342" t="str">
        <f t="shared" si="306"/>
        <v/>
      </c>
      <c r="L1178" s="380" t="str">
        <f>IF(C1178="","",G1163*C1178)</f>
        <v/>
      </c>
      <c r="M1178" s="381" t="str">
        <f>IF(A1178="","",VLOOKUP(A1178,VII.A!$A$10:$B$199,2,FALSE))</f>
        <v/>
      </c>
      <c r="N1178" s="342" t="str">
        <f t="shared" si="307"/>
        <v/>
      </c>
      <c r="R1178" s="341"/>
      <c r="S1178" s="341"/>
    </row>
    <row r="1179" spans="1:21" ht="12.75" customHeight="1">
      <c r="A1179" s="393"/>
      <c r="C1179" s="20"/>
      <c r="E1179" s="387"/>
      <c r="F1179" s="388">
        <f t="shared" si="308"/>
        <v>0</v>
      </c>
      <c r="H1179" s="341" t="str">
        <f>IF(A1179="","",VLOOKUP(A1179,VII.A!$A$10:$D$199,4,FALSE))</f>
        <v/>
      </c>
      <c r="I1179" s="341" t="str">
        <f t="shared" si="305"/>
        <v/>
      </c>
      <c r="J1179" s="341" t="str">
        <f>IF(A1179="","",VLOOKUP(A1179,VII.A!$A$10:$D$199,3,FALSE))</f>
        <v/>
      </c>
      <c r="K1179" s="342" t="str">
        <f t="shared" si="306"/>
        <v/>
      </c>
      <c r="L1179" s="380" t="str">
        <f>IF(C1179="","",G1163*C1179)</f>
        <v/>
      </c>
      <c r="M1179" s="381" t="str">
        <f>IF(A1179="","",VLOOKUP(A1179,VII.A!$A$10:$B$199,2,FALSE))</f>
        <v/>
      </c>
      <c r="N1179" s="342" t="str">
        <f t="shared" si="307"/>
        <v/>
      </c>
      <c r="R1179" s="341"/>
      <c r="S1179" s="341"/>
    </row>
    <row r="1180" spans="1:21" ht="12.75" customHeight="1">
      <c r="A1180" s="393"/>
      <c r="C1180" s="20"/>
      <c r="E1180" s="387"/>
      <c r="F1180" s="388">
        <f t="shared" si="308"/>
        <v>0</v>
      </c>
      <c r="H1180" s="341" t="str">
        <f>IF(A1180="","",VLOOKUP(A1180,VII.A!$A$10:$D$199,4,FALSE))</f>
        <v/>
      </c>
      <c r="I1180" s="341" t="str">
        <f t="shared" si="305"/>
        <v/>
      </c>
      <c r="J1180" s="341" t="str">
        <f>IF(A1180="","",VLOOKUP(A1180,VII.A!$A$10:$D$199,3,FALSE))</f>
        <v/>
      </c>
      <c r="K1180" s="342" t="str">
        <f t="shared" si="306"/>
        <v/>
      </c>
      <c r="L1180" s="380" t="str">
        <f>IF(C1180="","",G1163*C1180)</f>
        <v/>
      </c>
      <c r="M1180" s="381" t="str">
        <f>IF(A1180="","",VLOOKUP(A1180,VII.A!$A$10:$B$199,2,FALSE))</f>
        <v/>
      </c>
      <c r="N1180" s="342" t="str">
        <f t="shared" si="307"/>
        <v/>
      </c>
      <c r="R1180" s="341"/>
      <c r="S1180" s="341"/>
    </row>
    <row r="1181" spans="1:21" ht="12.75" customHeight="1">
      <c r="A1181" s="393"/>
      <c r="B1181" s="395" t="s">
        <v>226</v>
      </c>
      <c r="C1181" s="396"/>
      <c r="D1181" s="397"/>
      <c r="E1181" s="398"/>
      <c r="F1181" s="399">
        <f>SUM(F1165:F1180)</f>
        <v>0</v>
      </c>
      <c r="H1181" s="426" t="s">
        <v>511</v>
      </c>
      <c r="J1181" s="341"/>
      <c r="L1181" s="380"/>
      <c r="M1181" s="381"/>
      <c r="N1181" s="342"/>
      <c r="R1181" s="341"/>
      <c r="S1181" s="341"/>
    </row>
    <row r="1182" spans="1:21" ht="12.75" customHeight="1">
      <c r="A1182" s="393"/>
      <c r="B1182" s="400" t="s">
        <v>53</v>
      </c>
      <c r="C1182" s="2">
        <f>$D$8</f>
        <v>0</v>
      </c>
      <c r="D1182" s="401"/>
      <c r="E1182" s="402"/>
      <c r="F1182" s="403">
        <f>ROUND(F1181*C1182,2)</f>
        <v>0</v>
      </c>
      <c r="J1182" s="341"/>
      <c r="L1182" s="380"/>
      <c r="M1182" s="381"/>
      <c r="N1182" s="342"/>
      <c r="R1182" s="341"/>
      <c r="S1182" s="341"/>
    </row>
    <row r="1183" spans="1:21" ht="12.75" customHeight="1">
      <c r="A1183" s="404"/>
      <c r="B1183" s="405" t="s">
        <v>227</v>
      </c>
      <c r="C1183" s="406"/>
      <c r="D1183" s="406"/>
      <c r="E1183" s="407"/>
      <c r="F1183" s="408">
        <f>F1181+F1182</f>
        <v>0</v>
      </c>
      <c r="H1183" s="432"/>
      <c r="J1183" s="341"/>
      <c r="L1183" s="380"/>
      <c r="M1183" s="381"/>
      <c r="N1183" s="342"/>
      <c r="R1183" s="341"/>
      <c r="S1183" s="341"/>
    </row>
    <row r="1184" spans="1:21" ht="12.75" customHeight="1">
      <c r="A1184" s="374" t="s">
        <v>2</v>
      </c>
      <c r="B1184" s="375" t="s">
        <v>235</v>
      </c>
      <c r="C1184" s="376" t="s">
        <v>231</v>
      </c>
      <c r="D1184" s="376" t="s">
        <v>232</v>
      </c>
      <c r="E1184" s="377" t="s">
        <v>233</v>
      </c>
      <c r="F1184" s="378" t="s">
        <v>234</v>
      </c>
      <c r="J1184" s="341"/>
      <c r="L1184" s="380"/>
      <c r="M1184" s="381"/>
      <c r="N1184" s="342"/>
      <c r="R1184" s="341"/>
      <c r="S1184" s="341"/>
    </row>
    <row r="1185" spans="1:19" ht="12.75" customHeight="1">
      <c r="A1185" s="393"/>
      <c r="B1185" s="423"/>
      <c r="C1185" s="20"/>
      <c r="E1185" s="387"/>
      <c r="F1185" s="388">
        <f t="shared" ref="F1185:F1194" si="309">ROUND(C1185*E1185,2)</f>
        <v>0</v>
      </c>
      <c r="H1185" s="341" t="str">
        <f>IF(A1185="","",VLOOKUP(A1185,VII.A!$A$10:$D$199,4,FALSE))</f>
        <v/>
      </c>
      <c r="I1185" s="341" t="str">
        <f t="shared" ref="I1185:I1194" si="310">IF(A1185="","",IF(E1185=H1185,"SIM","NÃO"))</f>
        <v/>
      </c>
      <c r="J1185" s="341" t="str">
        <f>IF(A1185="","",VLOOKUP(A1185,VII.A!$A$10:$D$199,3,FALSE))</f>
        <v/>
      </c>
      <c r="K1185" s="342" t="str">
        <f t="shared" ref="K1185:K1194" si="311">IF(A1185="","",IF(J1185=D1185,"SIM","NÃO"))</f>
        <v/>
      </c>
      <c r="L1185" s="380" t="str">
        <f>IF(C1185="","",G1163*C1185)</f>
        <v/>
      </c>
      <c r="M1185" s="381" t="str">
        <f>IF(A1185="","",VLOOKUP(A1185,VII.A!$A$10:$B$199,2,FALSE))</f>
        <v/>
      </c>
      <c r="N1185" s="342" t="str">
        <f t="shared" ref="N1185:N1194" si="312">IF(B1185="","",IF(M1185=B1185,"si","no"))</f>
        <v/>
      </c>
      <c r="R1185" s="341"/>
      <c r="S1185" s="341"/>
    </row>
    <row r="1186" spans="1:19" ht="12.75" customHeight="1">
      <c r="A1186" s="393"/>
      <c r="C1186" s="20"/>
      <c r="E1186" s="387"/>
      <c r="F1186" s="388">
        <f t="shared" si="309"/>
        <v>0</v>
      </c>
      <c r="H1186" s="341" t="str">
        <f>IF(A1186="","",VLOOKUP(A1186,VII.A!$A$10:$D$199,4,FALSE))</f>
        <v/>
      </c>
      <c r="I1186" s="341" t="str">
        <f t="shared" si="310"/>
        <v/>
      </c>
      <c r="J1186" s="341" t="str">
        <f>IF(A1186="","",VLOOKUP(A1186,VII.A!$A$10:$D$199,3,FALSE))</f>
        <v/>
      </c>
      <c r="K1186" s="342" t="str">
        <f t="shared" si="311"/>
        <v/>
      </c>
      <c r="L1186" s="380" t="str">
        <f>IF(C1186="","",G1163*C1186)</f>
        <v/>
      </c>
      <c r="M1186" s="381" t="str">
        <f>IF(A1186="","",VLOOKUP(A1186,VII.A!$A$10:$B$199,2,FALSE))</f>
        <v/>
      </c>
      <c r="N1186" s="342" t="str">
        <f t="shared" si="312"/>
        <v/>
      </c>
      <c r="R1186" s="341"/>
      <c r="S1186" s="341"/>
    </row>
    <row r="1187" spans="1:19" ht="12.75" customHeight="1">
      <c r="A1187" s="393"/>
      <c r="C1187" s="20"/>
      <c r="E1187" s="387"/>
      <c r="F1187" s="388">
        <f t="shared" si="309"/>
        <v>0</v>
      </c>
      <c r="H1187" s="341" t="str">
        <f>IF(A1187="","",VLOOKUP(A1187,VII.A!$A$10:$D$199,4,FALSE))</f>
        <v/>
      </c>
      <c r="I1187" s="341" t="str">
        <f t="shared" si="310"/>
        <v/>
      </c>
      <c r="J1187" s="341" t="str">
        <f>IF(A1187="","",VLOOKUP(A1187,VII.A!$A$10:$D$199,3,FALSE))</f>
        <v/>
      </c>
      <c r="K1187" s="342" t="str">
        <f t="shared" si="311"/>
        <v/>
      </c>
      <c r="L1187" s="380" t="str">
        <f>IF(C1187="","",G1163*C1187)</f>
        <v/>
      </c>
      <c r="M1187" s="381" t="str">
        <f>IF(A1187="","",VLOOKUP(A1187,VII.A!$A$10:$B$199,2,FALSE))</f>
        <v/>
      </c>
      <c r="N1187" s="342" t="str">
        <f t="shared" si="312"/>
        <v/>
      </c>
      <c r="R1187" s="341"/>
      <c r="S1187" s="341"/>
    </row>
    <row r="1188" spans="1:19" ht="12.75" customHeight="1">
      <c r="A1188" s="393"/>
      <c r="C1188" s="20"/>
      <c r="E1188" s="387"/>
      <c r="F1188" s="388">
        <f t="shared" si="309"/>
        <v>0</v>
      </c>
      <c r="H1188" s="341" t="str">
        <f>IF(A1188="","",VLOOKUP(A1188,VII.A!$A$10:$D$199,4,FALSE))</f>
        <v/>
      </c>
      <c r="I1188" s="341" t="str">
        <f t="shared" si="310"/>
        <v/>
      </c>
      <c r="J1188" s="341" t="str">
        <f>IF(A1188="","",VLOOKUP(A1188,VII.A!$A$10:$D$199,3,FALSE))</f>
        <v/>
      </c>
      <c r="K1188" s="342" t="str">
        <f t="shared" si="311"/>
        <v/>
      </c>
      <c r="L1188" s="380" t="str">
        <f>IF(C1188="","",G1163*C1188)</f>
        <v/>
      </c>
      <c r="M1188" s="381" t="str">
        <f>IF(A1188="","",VLOOKUP(A1188,VII.A!$A$10:$B$199,2,FALSE))</f>
        <v/>
      </c>
      <c r="N1188" s="342" t="str">
        <f t="shared" si="312"/>
        <v/>
      </c>
      <c r="R1188" s="341"/>
      <c r="S1188" s="341"/>
    </row>
    <row r="1189" spans="1:19" ht="12.75" customHeight="1">
      <c r="A1189" s="393"/>
      <c r="C1189" s="20"/>
      <c r="E1189" s="387"/>
      <c r="F1189" s="388">
        <f t="shared" si="309"/>
        <v>0</v>
      </c>
      <c r="G1189" s="390"/>
      <c r="H1189" s="341" t="str">
        <f>IF(A1189="","",VLOOKUP(A1189,VII.A!$A$10:$D$199,4,FALSE))</f>
        <v/>
      </c>
      <c r="I1189" s="341" t="str">
        <f t="shared" si="310"/>
        <v/>
      </c>
      <c r="J1189" s="341" t="str">
        <f>IF(A1189="","",VLOOKUP(A1189,VII.A!$A$10:$D$199,3,FALSE))</f>
        <v/>
      </c>
      <c r="K1189" s="342" t="str">
        <f t="shared" si="311"/>
        <v/>
      </c>
      <c r="L1189" s="380" t="str">
        <f>IF(C1189="","",G1163*C1189)</f>
        <v/>
      </c>
      <c r="M1189" s="381" t="str">
        <f>IF(A1189="","",VLOOKUP(A1189,VII.A!$A$10:$B$199,2,FALSE))</f>
        <v/>
      </c>
      <c r="N1189" s="342" t="str">
        <f t="shared" si="312"/>
        <v/>
      </c>
      <c r="R1189" s="341"/>
      <c r="S1189" s="341"/>
    </row>
    <row r="1190" spans="1:19" ht="12.75" customHeight="1">
      <c r="A1190" s="393"/>
      <c r="C1190" s="20"/>
      <c r="E1190" s="387"/>
      <c r="F1190" s="388">
        <f t="shared" si="309"/>
        <v>0</v>
      </c>
      <c r="G1190" s="391"/>
      <c r="H1190" s="341" t="str">
        <f>IF(A1190="","",VLOOKUP(A1190,VII.A!$A$10:$D$199,4,FALSE))</f>
        <v/>
      </c>
      <c r="I1190" s="341" t="str">
        <f t="shared" si="310"/>
        <v/>
      </c>
      <c r="J1190" s="341" t="str">
        <f>IF(A1190="","",VLOOKUP(A1190,VII.A!$A$10:$D$199,3,FALSE))</f>
        <v/>
      </c>
      <c r="K1190" s="342" t="str">
        <f t="shared" si="311"/>
        <v/>
      </c>
      <c r="L1190" s="380" t="str">
        <f>IF(C1190="","",G1163*C1190)</f>
        <v/>
      </c>
      <c r="M1190" s="381" t="str">
        <f>IF(A1190="","",VLOOKUP(A1190,VII.A!$A$10:$B$199,2,FALSE))</f>
        <v/>
      </c>
      <c r="N1190" s="342" t="str">
        <f t="shared" si="312"/>
        <v/>
      </c>
      <c r="R1190" s="341"/>
      <c r="S1190" s="341"/>
    </row>
    <row r="1191" spans="1:19" ht="12.75" customHeight="1">
      <c r="A1191" s="393"/>
      <c r="C1191" s="20"/>
      <c r="E1191" s="387"/>
      <c r="F1191" s="388">
        <f t="shared" si="309"/>
        <v>0</v>
      </c>
      <c r="H1191" s="341" t="str">
        <f>IF(A1191="","",VLOOKUP(A1191,VII.A!$A$10:$D$199,4,FALSE))</f>
        <v/>
      </c>
      <c r="I1191" s="341" t="str">
        <f t="shared" si="310"/>
        <v/>
      </c>
      <c r="J1191" s="341" t="str">
        <f>IF(A1191="","",VLOOKUP(A1191,VII.A!$A$10:$D$199,3,FALSE))</f>
        <v/>
      </c>
      <c r="K1191" s="342" t="str">
        <f t="shared" si="311"/>
        <v/>
      </c>
      <c r="L1191" s="380" t="str">
        <f>IF(C1191="","",G1163*C1191)</f>
        <v/>
      </c>
      <c r="M1191" s="381" t="str">
        <f>IF(A1191="","",VLOOKUP(A1191,VII.A!$A$10:$B$199,2,FALSE))</f>
        <v/>
      </c>
      <c r="N1191" s="342" t="str">
        <f t="shared" si="312"/>
        <v/>
      </c>
      <c r="R1191" s="341"/>
      <c r="S1191" s="341"/>
    </row>
    <row r="1192" spans="1:19" ht="12.75" customHeight="1">
      <c r="A1192" s="393"/>
      <c r="C1192" s="20"/>
      <c r="E1192" s="387"/>
      <c r="F1192" s="388">
        <f t="shared" si="309"/>
        <v>0</v>
      </c>
      <c r="H1192" s="341" t="str">
        <f>IF(A1192="","",VLOOKUP(A1192,VII.A!$A$10:$D$199,4,FALSE))</f>
        <v/>
      </c>
      <c r="I1192" s="341" t="str">
        <f t="shared" si="310"/>
        <v/>
      </c>
      <c r="J1192" s="341" t="str">
        <f>IF(A1192="","",VLOOKUP(A1192,VII.A!$A$10:$D$199,3,FALSE))</f>
        <v/>
      </c>
      <c r="K1192" s="342" t="str">
        <f t="shared" si="311"/>
        <v/>
      </c>
      <c r="L1192" s="380" t="str">
        <f>IF(C1192="","",G1163*C1192)</f>
        <v/>
      </c>
      <c r="M1192" s="381" t="str">
        <f>IF(A1192="","",VLOOKUP(A1192,VII.A!$A$10:$B$199,2,FALSE))</f>
        <v/>
      </c>
      <c r="N1192" s="342" t="str">
        <f t="shared" si="312"/>
        <v/>
      </c>
      <c r="R1192" s="341"/>
      <c r="S1192" s="341"/>
    </row>
    <row r="1193" spans="1:19" ht="12.75" customHeight="1">
      <c r="A1193" s="393"/>
      <c r="C1193" s="20"/>
      <c r="E1193" s="387"/>
      <c r="F1193" s="388">
        <f t="shared" si="309"/>
        <v>0</v>
      </c>
      <c r="H1193" s="341" t="str">
        <f>IF(A1193="","",VLOOKUP(A1193,VII.A!$A$10:$D$199,4,FALSE))</f>
        <v/>
      </c>
      <c r="I1193" s="341" t="str">
        <f t="shared" si="310"/>
        <v/>
      </c>
      <c r="J1193" s="341" t="str">
        <f>IF(A1193="","",VLOOKUP(A1193,VII.A!$A$10:$D$199,3,FALSE))</f>
        <v/>
      </c>
      <c r="K1193" s="342" t="str">
        <f t="shared" si="311"/>
        <v/>
      </c>
      <c r="L1193" s="380" t="str">
        <f>IF(C1193="","",G1163*C1193)</f>
        <v/>
      </c>
      <c r="M1193" s="381" t="str">
        <f>IF(A1193="","",VLOOKUP(A1193,VII.A!$A$10:$B$199,2,FALSE))</f>
        <v/>
      </c>
      <c r="N1193" s="342" t="str">
        <f t="shared" si="312"/>
        <v/>
      </c>
      <c r="R1193" s="341"/>
      <c r="S1193" s="341"/>
    </row>
    <row r="1194" spans="1:19" ht="12.75" customHeight="1">
      <c r="A1194" s="393"/>
      <c r="C1194" s="20"/>
      <c r="E1194" s="387"/>
      <c r="F1194" s="388">
        <f t="shared" si="309"/>
        <v>0</v>
      </c>
      <c r="H1194" s="341" t="str">
        <f>IF(A1194="","",VLOOKUP(A1194,VII.A!$A$10:$D$199,4,FALSE))</f>
        <v/>
      </c>
      <c r="I1194" s="341" t="str">
        <f t="shared" si="310"/>
        <v/>
      </c>
      <c r="J1194" s="341" t="str">
        <f>IF(A1194="","",VLOOKUP(A1194,VII.A!$A$10:$D$199,3,FALSE))</f>
        <v/>
      </c>
      <c r="K1194" s="342" t="str">
        <f t="shared" si="311"/>
        <v/>
      </c>
      <c r="L1194" s="380" t="str">
        <f>IF(C1194="","",G1163*C1194)</f>
        <v/>
      </c>
      <c r="M1194" s="381" t="str">
        <f>IF(A1194="","",VLOOKUP(A1194,VII.A!$A$10:$B$199,2,FALSE))</f>
        <v/>
      </c>
      <c r="N1194" s="342" t="str">
        <f t="shared" si="312"/>
        <v/>
      </c>
      <c r="R1194" s="341"/>
      <c r="S1194" s="341"/>
    </row>
    <row r="1195" spans="1:19" ht="12.75" customHeight="1">
      <c r="A1195" s="393"/>
      <c r="B1195" s="395" t="s">
        <v>226</v>
      </c>
      <c r="C1195" s="396"/>
      <c r="D1195" s="397"/>
      <c r="E1195" s="398"/>
      <c r="F1195" s="399">
        <f>SUM(F1185:F1194)</f>
        <v>0</v>
      </c>
      <c r="J1195" s="341"/>
      <c r="L1195" s="380"/>
      <c r="M1195" s="381"/>
      <c r="N1195" s="342"/>
      <c r="R1195" s="341"/>
      <c r="S1195" s="341"/>
    </row>
    <row r="1196" spans="1:19" ht="12.75" customHeight="1">
      <c r="A1196" s="393"/>
      <c r="B1196" s="400" t="s">
        <v>53</v>
      </c>
      <c r="C1196" s="2">
        <f>$D$8</f>
        <v>0</v>
      </c>
      <c r="D1196" s="401"/>
      <c r="E1196" s="402"/>
      <c r="F1196" s="403">
        <f>ROUND(C1196*F1195,2)</f>
        <v>0</v>
      </c>
      <c r="J1196" s="341"/>
      <c r="L1196" s="380"/>
      <c r="M1196" s="381"/>
      <c r="N1196" s="342"/>
      <c r="R1196" s="341"/>
      <c r="S1196" s="341"/>
    </row>
    <row r="1197" spans="1:19" ht="12.75" customHeight="1">
      <c r="A1197" s="404"/>
      <c r="B1197" s="405" t="s">
        <v>228</v>
      </c>
      <c r="C1197" s="406"/>
      <c r="D1197" s="406"/>
      <c r="E1197" s="407"/>
      <c r="F1197" s="408">
        <f>F1195+F1196</f>
        <v>0</v>
      </c>
      <c r="J1197" s="341"/>
      <c r="L1197" s="380"/>
      <c r="M1197" s="381"/>
      <c r="N1197" s="342"/>
      <c r="R1197" s="341"/>
      <c r="S1197" s="341"/>
    </row>
    <row r="1198" spans="1:19" ht="12.75" customHeight="1">
      <c r="A1198" s="409" t="s">
        <v>47</v>
      </c>
      <c r="B1198" s="410" t="s">
        <v>236</v>
      </c>
      <c r="C1198" s="411" t="s">
        <v>231</v>
      </c>
      <c r="D1198" s="412" t="s">
        <v>232</v>
      </c>
      <c r="E1198" s="413" t="s">
        <v>233</v>
      </c>
      <c r="F1198" s="378" t="s">
        <v>234</v>
      </c>
      <c r="J1198" s="341"/>
      <c r="L1198" s="380"/>
      <c r="M1198" s="381"/>
      <c r="N1198" s="342"/>
      <c r="R1198" s="341"/>
      <c r="S1198" s="341"/>
    </row>
    <row r="1199" spans="1:19" ht="12.75" customHeight="1">
      <c r="A1199" s="393" t="str">
        <f>VII.A!$A$196</f>
        <v>3.16</v>
      </c>
      <c r="B1199" s="394" t="str">
        <f>VII.A!$B$196</f>
        <v>SERVENTE COM ENCARGOS COMPLEMENTARES</v>
      </c>
      <c r="C1199" s="20">
        <f>4.2+(0.006*8.67)</f>
        <v>4.2520199999999999</v>
      </c>
      <c r="D1199" s="384" t="str">
        <f>VII.A!$C$196</f>
        <v>H</v>
      </c>
      <c r="E1199" s="387">
        <f>VII.A!$D$196</f>
        <v>0</v>
      </c>
      <c r="F1199" s="388">
        <f t="shared" ref="F1199:F1205" si="313">ROUND(C1199*E1199,2)</f>
        <v>0</v>
      </c>
      <c r="H1199" s="341">
        <f>IF(A1199="","",VLOOKUP(A1199,VII.A!$A$10:$D$199,4,FALSE))</f>
        <v>0</v>
      </c>
      <c r="I1199" s="341" t="str">
        <f t="shared" ref="I1199:I1205" si="314">IF(A1199="","",IF(E1199=H1199,"SIM","NÃO"))</f>
        <v>SIM</v>
      </c>
      <c r="J1199" s="341" t="str">
        <f>IF(A1199="","",VLOOKUP(A1199,VII.A!$A$10:$D$199,3,FALSE))</f>
        <v>H</v>
      </c>
      <c r="K1199" s="342" t="str">
        <f t="shared" ref="K1199:K1205" si="315">IF(A1199="","",IF(J1199=D1199,"SIM","NÃO"))</f>
        <v>SIM</v>
      </c>
      <c r="L1199" s="380">
        <f>IF(C1199="","",G1163*C1199)</f>
        <v>340.16160000000002</v>
      </c>
      <c r="M1199" s="381" t="str">
        <f>IF(A1199="","",VLOOKUP(A1199,VII.A!$A$10:$B$199,2,FALSE))</f>
        <v>SERVENTE COM ENCARGOS COMPLEMENTARES</v>
      </c>
      <c r="N1199" s="342" t="str">
        <f t="shared" ref="N1199:N1205" si="316">IF(B1199="","",IF(M1199=B1199,"si","no"))</f>
        <v>si</v>
      </c>
      <c r="R1199" s="341"/>
      <c r="S1199" s="341"/>
    </row>
    <row r="1200" spans="1:19" ht="12.75" customHeight="1">
      <c r="A1200" s="393"/>
      <c r="C1200" s="20"/>
      <c r="E1200" s="387"/>
      <c r="F1200" s="388">
        <f t="shared" si="313"/>
        <v>0</v>
      </c>
      <c r="H1200" s="341" t="str">
        <f>IF(A1200="","",VLOOKUP(A1200,VII.A!$A$10:$D$199,4,FALSE))</f>
        <v/>
      </c>
      <c r="I1200" s="341" t="str">
        <f t="shared" si="314"/>
        <v/>
      </c>
      <c r="J1200" s="341" t="str">
        <f>IF(A1200="","",VLOOKUP(A1200,VII.A!$A$10:$D$199,3,FALSE))</f>
        <v/>
      </c>
      <c r="K1200" s="342" t="str">
        <f t="shared" si="315"/>
        <v/>
      </c>
      <c r="L1200" s="380" t="str">
        <f>IF(C1200="","",G1163*C1200)</f>
        <v/>
      </c>
      <c r="M1200" s="381" t="str">
        <f>IF(A1200="","",VLOOKUP(A1200,VII.A!$A$10:$B$199,2,FALSE))</f>
        <v/>
      </c>
      <c r="N1200" s="342" t="str">
        <f t="shared" si="316"/>
        <v/>
      </c>
      <c r="R1200" s="341"/>
      <c r="S1200" s="341"/>
    </row>
    <row r="1201" spans="1:25" ht="12.75" customHeight="1">
      <c r="A1201" s="393"/>
      <c r="C1201" s="20"/>
      <c r="E1201" s="387"/>
      <c r="F1201" s="388">
        <f t="shared" si="313"/>
        <v>0</v>
      </c>
      <c r="H1201" s="341" t="str">
        <f>IF(A1201="","",VLOOKUP(A1201,VII.A!$A$10:$D$199,4,FALSE))</f>
        <v/>
      </c>
      <c r="I1201" s="341" t="str">
        <f t="shared" si="314"/>
        <v/>
      </c>
      <c r="J1201" s="341" t="str">
        <f>IF(A1201="","",VLOOKUP(A1201,VII.A!$A$10:$D$199,3,FALSE))</f>
        <v/>
      </c>
      <c r="K1201" s="342" t="str">
        <f t="shared" si="315"/>
        <v/>
      </c>
      <c r="L1201" s="380" t="str">
        <f>IF(C1201="","",G1163*C1201)</f>
        <v/>
      </c>
      <c r="M1201" s="381" t="str">
        <f>IF(A1201="","",VLOOKUP(A1201,VII.A!$A$10:$B$199,2,FALSE))</f>
        <v/>
      </c>
      <c r="N1201" s="342" t="str">
        <f t="shared" si="316"/>
        <v/>
      </c>
      <c r="R1201" s="341"/>
      <c r="S1201" s="341"/>
    </row>
    <row r="1202" spans="1:25" ht="12.75" customHeight="1">
      <c r="A1202" s="393"/>
      <c r="C1202" s="20"/>
      <c r="E1202" s="387"/>
      <c r="F1202" s="388">
        <f t="shared" si="313"/>
        <v>0</v>
      </c>
      <c r="H1202" s="341" t="str">
        <f>IF(A1202="","",VLOOKUP(A1202,VII.A!$A$10:$D$199,4,FALSE))</f>
        <v/>
      </c>
      <c r="I1202" s="341" t="str">
        <f t="shared" si="314"/>
        <v/>
      </c>
      <c r="J1202" s="341" t="str">
        <f>IF(A1202="","",VLOOKUP(A1202,VII.A!$A$10:$D$199,3,FALSE))</f>
        <v/>
      </c>
      <c r="K1202" s="342" t="str">
        <f t="shared" si="315"/>
        <v/>
      </c>
      <c r="L1202" s="380" t="str">
        <f>IF(C1202="","",G1163*C1202)</f>
        <v/>
      </c>
      <c r="M1202" s="381" t="str">
        <f>IF(A1202="","",VLOOKUP(A1202,VII.A!$A$10:$B$199,2,FALSE))</f>
        <v/>
      </c>
      <c r="N1202" s="342" t="str">
        <f t="shared" si="316"/>
        <v/>
      </c>
      <c r="R1202" s="341"/>
      <c r="S1202" s="341"/>
    </row>
    <row r="1203" spans="1:25" ht="12.75" customHeight="1">
      <c r="A1203" s="393"/>
      <c r="C1203" s="20"/>
      <c r="E1203" s="387"/>
      <c r="F1203" s="388">
        <f t="shared" si="313"/>
        <v>0</v>
      </c>
      <c r="H1203" s="341" t="str">
        <f>IF(A1203="","",VLOOKUP(A1203,VII.A!$A$10:$D$199,4,FALSE))</f>
        <v/>
      </c>
      <c r="I1203" s="341" t="str">
        <f t="shared" si="314"/>
        <v/>
      </c>
      <c r="J1203" s="341" t="str">
        <f>IF(A1203="","",VLOOKUP(A1203,VII.A!$A$10:$D$199,3,FALSE))</f>
        <v/>
      </c>
      <c r="K1203" s="342" t="str">
        <f t="shared" si="315"/>
        <v/>
      </c>
      <c r="L1203" s="380" t="str">
        <f>IF(C1203="","",G1163*C1203)</f>
        <v/>
      </c>
      <c r="M1203" s="381" t="str">
        <f>IF(A1203="","",VLOOKUP(A1203,VII.A!$A$10:$B$199,2,FALSE))</f>
        <v/>
      </c>
      <c r="N1203" s="342" t="str">
        <f t="shared" si="316"/>
        <v/>
      </c>
      <c r="R1203" s="341"/>
      <c r="S1203" s="341"/>
    </row>
    <row r="1204" spans="1:25" ht="12.75" customHeight="1">
      <c r="A1204" s="393"/>
      <c r="C1204" s="20"/>
      <c r="E1204" s="387"/>
      <c r="F1204" s="388">
        <f t="shared" si="313"/>
        <v>0</v>
      </c>
      <c r="H1204" s="341" t="str">
        <f>IF(A1204="","",VLOOKUP(A1204,VII.A!$A$10:$D$199,4,FALSE))</f>
        <v/>
      </c>
      <c r="I1204" s="341" t="str">
        <f t="shared" si="314"/>
        <v/>
      </c>
      <c r="J1204" s="341" t="str">
        <f>IF(A1204="","",VLOOKUP(A1204,VII.A!$A$10:$D$199,3,FALSE))</f>
        <v/>
      </c>
      <c r="K1204" s="342" t="str">
        <f t="shared" si="315"/>
        <v/>
      </c>
      <c r="L1204" s="380" t="str">
        <f>IF(C1204="","",G1163*C1204)</f>
        <v/>
      </c>
      <c r="M1204" s="381" t="str">
        <f>IF(A1204="","",VLOOKUP(A1204,VII.A!$A$10:$B$199,2,FALSE))</f>
        <v/>
      </c>
      <c r="N1204" s="342" t="str">
        <f t="shared" si="316"/>
        <v/>
      </c>
      <c r="R1204" s="341"/>
      <c r="S1204" s="341"/>
    </row>
    <row r="1205" spans="1:25" ht="12.75" customHeight="1">
      <c r="A1205" s="393"/>
      <c r="C1205" s="20"/>
      <c r="E1205" s="387"/>
      <c r="F1205" s="388">
        <f t="shared" si="313"/>
        <v>0</v>
      </c>
      <c r="H1205" s="341" t="str">
        <f>IF(A1205="","",VLOOKUP(A1205,VII.A!$A$10:$D$199,4,FALSE))</f>
        <v/>
      </c>
      <c r="I1205" s="341" t="str">
        <f t="shared" si="314"/>
        <v/>
      </c>
      <c r="J1205" s="341" t="str">
        <f>IF(A1205="","",VLOOKUP(A1205,VII.A!$A$10:$D$199,3,FALSE))</f>
        <v/>
      </c>
      <c r="K1205" s="342" t="str">
        <f t="shared" si="315"/>
        <v/>
      </c>
      <c r="L1205" s="380" t="str">
        <f>IF(C1205="","",G1163*C1205)</f>
        <v/>
      </c>
      <c r="M1205" s="381" t="str">
        <f>IF(A1205="","",VLOOKUP(A1205,VII.A!$A$10:$B$199,2,FALSE))</f>
        <v/>
      </c>
      <c r="N1205" s="342" t="str">
        <f t="shared" si="316"/>
        <v/>
      </c>
      <c r="R1205" s="341"/>
      <c r="S1205" s="341"/>
    </row>
    <row r="1206" spans="1:25" ht="12.75" customHeight="1">
      <c r="A1206" s="393"/>
      <c r="B1206" s="395" t="s">
        <v>226</v>
      </c>
      <c r="C1206" s="396"/>
      <c r="D1206" s="397"/>
      <c r="E1206" s="398"/>
      <c r="F1206" s="399">
        <f>SUM(F1199:F1205)</f>
        <v>0</v>
      </c>
      <c r="J1206" s="341"/>
      <c r="L1206" s="380"/>
      <c r="M1206" s="381"/>
      <c r="N1206" s="342"/>
      <c r="R1206" s="341"/>
      <c r="S1206" s="341"/>
    </row>
    <row r="1207" spans="1:25" ht="12.75" customHeight="1">
      <c r="A1207" s="393"/>
      <c r="B1207" s="400" t="s">
        <v>229</v>
      </c>
      <c r="C1207" s="2">
        <f>IX.A!$C$45</f>
        <v>0</v>
      </c>
      <c r="D1207" s="401"/>
      <c r="E1207" s="402"/>
      <c r="F1207" s="403">
        <f>ROUND(F1206*C1207,2)</f>
        <v>0</v>
      </c>
      <c r="J1207" s="341"/>
      <c r="L1207" s="380"/>
      <c r="M1207" s="381"/>
      <c r="N1207" s="342"/>
      <c r="R1207" s="341"/>
      <c r="S1207" s="341"/>
    </row>
    <row r="1208" spans="1:25" ht="12.75" customHeight="1">
      <c r="A1208" s="393"/>
      <c r="B1208" s="400" t="s">
        <v>53</v>
      </c>
      <c r="C1208" s="2">
        <f>$D$8</f>
        <v>0</v>
      </c>
      <c r="D1208" s="401"/>
      <c r="E1208" s="402"/>
      <c r="F1208" s="403">
        <f>ROUND(SUM(F1206:F1207)*C1208,2)</f>
        <v>0</v>
      </c>
      <c r="J1208" s="341"/>
      <c r="L1208" s="380"/>
      <c r="M1208" s="381"/>
      <c r="N1208" s="342"/>
      <c r="R1208" s="341"/>
      <c r="S1208" s="341"/>
    </row>
    <row r="1209" spans="1:25" ht="12.75" customHeight="1" thickBot="1">
      <c r="A1209" s="414"/>
      <c r="B1209" s="415" t="s">
        <v>230</v>
      </c>
      <c r="C1209" s="416"/>
      <c r="D1209" s="416"/>
      <c r="E1209" s="417"/>
      <c r="F1209" s="418">
        <f>SUM(F1206:F1208)</f>
        <v>0</v>
      </c>
      <c r="J1209" s="341"/>
      <c r="L1209" s="380"/>
      <c r="M1209" s="381"/>
      <c r="N1209" s="342"/>
      <c r="R1209" s="341"/>
      <c r="S1209" s="341"/>
    </row>
    <row r="1210" spans="1:25" ht="12.75" customHeight="1" thickBot="1">
      <c r="A1210" s="427"/>
      <c r="B1210" s="428"/>
      <c r="C1210" s="429"/>
      <c r="D1210" s="429"/>
      <c r="E1210" s="430"/>
      <c r="F1210" s="431"/>
      <c r="J1210" s="341"/>
      <c r="L1210" s="380"/>
      <c r="M1210" s="381"/>
      <c r="N1210" s="342"/>
      <c r="R1210" s="341"/>
      <c r="S1210" s="341"/>
    </row>
    <row r="1211" spans="1:25" ht="30" customHeight="1">
      <c r="A1211" s="370" t="str">
        <f>IV.A!$A$52</f>
        <v>3.2.3</v>
      </c>
      <c r="B1211" s="371" t="str">
        <f>IV.A!B52</f>
        <v>RECOLOCAÇÃO DE ESQUADRIAS METÁLICAS NO GERAL</v>
      </c>
      <c r="C1211" s="871" t="s">
        <v>237</v>
      </c>
      <c r="D1211" s="872"/>
      <c r="E1211" s="372" t="str">
        <f>IV.A!C52</f>
        <v>M2</v>
      </c>
      <c r="F1211" s="11">
        <f>ROUND(F1231+F1245+F1257,2)</f>
        <v>0</v>
      </c>
      <c r="G1211" s="1">
        <f>VLOOKUP(A1211,IV.A!$A$16:$L$172,4,FALSE)</f>
        <v>100</v>
      </c>
      <c r="H1211" s="361">
        <f>SUM(F1213:F1228)+F1230</f>
        <v>0</v>
      </c>
      <c r="I1211" s="361">
        <f>SUM(F1233:F1242)+F1244</f>
        <v>0</v>
      </c>
      <c r="J1211" s="361">
        <f>SUM(F1247:F1253)+F1255+F1256</f>
        <v>0</v>
      </c>
      <c r="K1211" s="361">
        <f>SUM(H1211:J1211)</f>
        <v>0</v>
      </c>
      <c r="L1211" s="362" t="str">
        <f>IF(K1211=F1211,"SIM","NÃO")</f>
        <v>SIM</v>
      </c>
      <c r="M1211" s="373">
        <f>ROUND(SUM(F1213:F1228),2)+ROUND(SUM(F1213:F1228)*C1230,2)+ROUND(SUM(F1233:F1242)*C1244,2)+ROUND(SUM(F1233:F1242),2)+ROUND(SUM(F1247:F1253)*C1255,2)+ROUND((SUM(F1247:F1253)+ROUND(SUM(F1247:F1253)*C1255,2))*C1256,2)+ROUND(SUM(F1247:F1253),2)</f>
        <v>0</v>
      </c>
      <c r="N1211" s="343" t="str">
        <f>IF(M1211=F1211,"SIM","NÃO")</f>
        <v>SIM</v>
      </c>
      <c r="O1211" s="364" t="str">
        <f>VLOOKUP(A1211,IV.A!$A$16:$E$172,3,FALSE)</f>
        <v>M2</v>
      </c>
      <c r="P1211" s="344" t="str">
        <f>IF(O1211=E1211,"SIM","NÃO")</f>
        <v>SIM</v>
      </c>
      <c r="Q1211" s="365">
        <f>ROUND(G1211*F1231,2)+ROUND(G1211*F1245,2)+ROUND(G1211*F1257,2)</f>
        <v>0</v>
      </c>
      <c r="R1211" s="364">
        <f>VLOOKUP(A1211,IV.A!$A$16:$L$172,12,FALSE)</f>
        <v>0</v>
      </c>
      <c r="S1211" s="366" t="str">
        <f>IF(Q1211=R1211,"si","no")</f>
        <v>si</v>
      </c>
      <c r="T1211" s="367">
        <f>SUM(L1213:L1228)+SUM(L1233:L1242)+SUM(L1247:L1253)</f>
        <v>200</v>
      </c>
      <c r="U1211" s="341">
        <f>(SUM(C1213:C1228)+SUM(C1233:C1242)+SUM(C1247:C1253))*G1211</f>
        <v>200</v>
      </c>
      <c r="V1211" s="368" t="str">
        <f>IF(T1211=U1211,"si","no")</f>
        <v>si</v>
      </c>
      <c r="W1211" s="369">
        <f>SUM(F1213:F1228)</f>
        <v>0</v>
      </c>
      <c r="X1211" s="369">
        <f>SUM(F1233:F1242)</f>
        <v>0</v>
      </c>
      <c r="Y1211" s="369">
        <f>SUM(F1247:F1253)</f>
        <v>0</v>
      </c>
    </row>
    <row r="1212" spans="1:25" ht="12.75" customHeight="1">
      <c r="A1212" s="374" t="s">
        <v>14</v>
      </c>
      <c r="B1212" s="375" t="s">
        <v>132</v>
      </c>
      <c r="C1212" s="376" t="s">
        <v>231</v>
      </c>
      <c r="D1212" s="376" t="s">
        <v>232</v>
      </c>
      <c r="E1212" s="377" t="s">
        <v>233</v>
      </c>
      <c r="F1212" s="378" t="s">
        <v>234</v>
      </c>
      <c r="G1212" s="379"/>
      <c r="J1212" s="341"/>
      <c r="L1212" s="380"/>
      <c r="M1212" s="381"/>
      <c r="N1212" s="342"/>
      <c r="O1212" s="382"/>
      <c r="P1212" s="383"/>
      <c r="Q1212" s="383"/>
      <c r="R1212" s="383"/>
      <c r="S1212" s="383"/>
      <c r="T1212" s="382"/>
      <c r="U1212" s="341"/>
      <c r="V1212" s="384"/>
      <c r="W1212" s="384"/>
      <c r="X1212" s="384"/>
      <c r="Y1212" s="384"/>
    </row>
    <row r="1213" spans="1:25" ht="12.75" customHeight="1">
      <c r="A1213" s="385"/>
      <c r="C1213" s="20"/>
      <c r="D1213" s="342"/>
      <c r="E1213" s="387"/>
      <c r="F1213" s="388">
        <f>ROUND(C1213*E1213,2)</f>
        <v>0</v>
      </c>
      <c r="H1213" s="341" t="str">
        <f>IF(A1213="","",VLOOKUP(A1213,VII.A!$A$10:$D$199,4,FALSE))</f>
        <v/>
      </c>
      <c r="I1213" s="341" t="str">
        <f t="shared" ref="I1213:I1228" si="317">IF(A1213="","",IF(E1213=H1213,"SIM","NÃO"))</f>
        <v/>
      </c>
      <c r="J1213" s="341" t="str">
        <f>IF(A1213="","",VLOOKUP(A1213,VII.A!$A$10:$D$199,3,FALSE))</f>
        <v/>
      </c>
      <c r="K1213" s="342" t="str">
        <f t="shared" ref="K1213:K1228" si="318">IF(A1213="","",IF(J1213=D1213,"SIM","NÃO"))</f>
        <v/>
      </c>
      <c r="L1213" s="380" t="str">
        <f>IF(C1213="","",G1211*C1213)</f>
        <v/>
      </c>
      <c r="M1213" s="381" t="str">
        <f>IF(A1213="","",VLOOKUP(A1213,VII.A!$A$10:$B$199,2,FALSE))</f>
        <v/>
      </c>
      <c r="N1213" s="342" t="str">
        <f t="shared" ref="N1213:N1228" si="319">IF(B1213="","",IF(M1213=B1213,"si","no"))</f>
        <v/>
      </c>
      <c r="R1213" s="341"/>
      <c r="S1213" s="341"/>
    </row>
    <row r="1214" spans="1:25" ht="12.75" customHeight="1">
      <c r="A1214" s="385"/>
      <c r="C1214" s="20"/>
      <c r="D1214" s="342"/>
      <c r="E1214" s="387"/>
      <c r="F1214" s="388">
        <f t="shared" ref="F1214:F1228" si="320">ROUND(C1214*E1214,2)</f>
        <v>0</v>
      </c>
      <c r="H1214" s="341" t="str">
        <f>IF(A1214="","",VLOOKUP(A1214,VII.A!$A$10:$D$199,4,FALSE))</f>
        <v/>
      </c>
      <c r="I1214" s="341" t="str">
        <f t="shared" si="317"/>
        <v/>
      </c>
      <c r="J1214" s="341" t="str">
        <f>IF(A1214="","",VLOOKUP(A1214,VII.A!$A$10:$D$199,3,FALSE))</f>
        <v/>
      </c>
      <c r="K1214" s="342" t="str">
        <f t="shared" si="318"/>
        <v/>
      </c>
      <c r="L1214" s="380" t="str">
        <f>IF(C1214="","",G1211*C1214)</f>
        <v/>
      </c>
      <c r="M1214" s="381" t="str">
        <f>IF(A1214="","",VLOOKUP(A1214,VII.A!$A$10:$B$199,2,FALSE))</f>
        <v/>
      </c>
      <c r="N1214" s="342" t="str">
        <f t="shared" si="319"/>
        <v/>
      </c>
      <c r="R1214" s="341"/>
      <c r="S1214" s="341"/>
    </row>
    <row r="1215" spans="1:25" ht="12.75" customHeight="1">
      <c r="A1215" s="385"/>
      <c r="C1215" s="20"/>
      <c r="D1215" s="342"/>
      <c r="E1215" s="387"/>
      <c r="F1215" s="388">
        <f t="shared" si="320"/>
        <v>0</v>
      </c>
      <c r="H1215" s="341" t="str">
        <f>IF(A1215="","",VLOOKUP(A1215,VII.A!$A$10:$D$199,4,FALSE))</f>
        <v/>
      </c>
      <c r="I1215" s="341" t="str">
        <f t="shared" si="317"/>
        <v/>
      </c>
      <c r="J1215" s="341" t="str">
        <f>IF(A1215="","",VLOOKUP(A1215,VII.A!$A$10:$D$199,3,FALSE))</f>
        <v/>
      </c>
      <c r="K1215" s="342" t="str">
        <f t="shared" si="318"/>
        <v/>
      </c>
      <c r="L1215" s="380" t="str">
        <f>IF(C1215="","",G1211*C1215)</f>
        <v/>
      </c>
      <c r="M1215" s="381" t="str">
        <f>IF(A1215="","",VLOOKUP(A1215,VII.A!$A$10:$B$199,2,FALSE))</f>
        <v/>
      </c>
      <c r="N1215" s="342" t="str">
        <f t="shared" si="319"/>
        <v/>
      </c>
      <c r="R1215" s="341"/>
      <c r="S1215" s="341"/>
    </row>
    <row r="1216" spans="1:25" ht="12.75" customHeight="1">
      <c r="A1216" s="385"/>
      <c r="B1216" s="386"/>
      <c r="C1216" s="20"/>
      <c r="D1216" s="342"/>
      <c r="E1216" s="387"/>
      <c r="F1216" s="388">
        <f t="shared" si="320"/>
        <v>0</v>
      </c>
      <c r="H1216" s="341" t="str">
        <f>IF(A1216="","",VLOOKUP(A1216,VII.A!$A$10:$D$199,4,FALSE))</f>
        <v/>
      </c>
      <c r="I1216" s="341" t="str">
        <f t="shared" si="317"/>
        <v/>
      </c>
      <c r="J1216" s="341" t="str">
        <f>IF(A1216="","",VLOOKUP(A1216,VII.A!$A$10:$D$199,3,FALSE))</f>
        <v/>
      </c>
      <c r="K1216" s="342" t="str">
        <f t="shared" si="318"/>
        <v/>
      </c>
      <c r="L1216" s="380" t="str">
        <f>IF(C1216="","",G1211*C1216)</f>
        <v/>
      </c>
      <c r="M1216" s="381" t="str">
        <f>IF(A1216="","",VLOOKUP(A1216,VII.A!$A$10:$B$199,2,FALSE))</f>
        <v/>
      </c>
      <c r="N1216" s="342" t="str">
        <f t="shared" si="319"/>
        <v/>
      </c>
      <c r="R1216" s="341"/>
      <c r="S1216" s="341"/>
    </row>
    <row r="1217" spans="1:21" ht="12.75" customHeight="1">
      <c r="A1217" s="385"/>
      <c r="B1217" s="386"/>
      <c r="C1217" s="20"/>
      <c r="D1217" s="342"/>
      <c r="E1217" s="387"/>
      <c r="F1217" s="388">
        <f t="shared" si="320"/>
        <v>0</v>
      </c>
      <c r="H1217" s="341" t="str">
        <f>IF(A1217="","",VLOOKUP(A1217,VII.A!$A$10:$D$199,4,FALSE))</f>
        <v/>
      </c>
      <c r="I1217" s="341" t="str">
        <f t="shared" si="317"/>
        <v/>
      </c>
      <c r="J1217" s="341" t="str">
        <f>IF(A1217="","",VLOOKUP(A1217,VII.A!$A$10:$D$199,3,FALSE))</f>
        <v/>
      </c>
      <c r="K1217" s="342" t="str">
        <f t="shared" si="318"/>
        <v/>
      </c>
      <c r="L1217" s="380" t="str">
        <f>IF(C1217="","",G1211*C1217)</f>
        <v/>
      </c>
      <c r="M1217" s="381" t="str">
        <f>IF(A1217="","",VLOOKUP(A1217,VII.A!$A$10:$B$199,2,FALSE))</f>
        <v/>
      </c>
      <c r="N1217" s="342" t="str">
        <f t="shared" si="319"/>
        <v/>
      </c>
      <c r="R1217" s="341"/>
      <c r="S1217" s="341"/>
    </row>
    <row r="1218" spans="1:21" ht="12.75" customHeight="1">
      <c r="A1218" s="385"/>
      <c r="B1218" s="386"/>
      <c r="C1218" s="20"/>
      <c r="D1218" s="342"/>
      <c r="E1218" s="387"/>
      <c r="F1218" s="388">
        <f t="shared" si="320"/>
        <v>0</v>
      </c>
      <c r="H1218" s="341" t="str">
        <f>IF(A1218="","",VLOOKUP(A1218,VII.A!$A$10:$D$199,4,FALSE))</f>
        <v/>
      </c>
      <c r="I1218" s="341" t="str">
        <f t="shared" si="317"/>
        <v/>
      </c>
      <c r="J1218" s="341" t="str">
        <f>IF(A1218="","",VLOOKUP(A1218,VII.A!$A$10:$D$199,3,FALSE))</f>
        <v/>
      </c>
      <c r="K1218" s="342" t="str">
        <f t="shared" si="318"/>
        <v/>
      </c>
      <c r="L1218" s="380" t="str">
        <f>IF(C1218="","",G1211*C1218)</f>
        <v/>
      </c>
      <c r="M1218" s="381" t="str">
        <f>IF(A1218="","",VLOOKUP(A1218,VII.A!$A$10:$B$199,2,FALSE))</f>
        <v/>
      </c>
      <c r="N1218" s="342" t="str">
        <f t="shared" si="319"/>
        <v/>
      </c>
      <c r="R1218" s="341"/>
      <c r="S1218" s="341"/>
      <c r="U1218" s="389"/>
    </row>
    <row r="1219" spans="1:21" ht="12.75" customHeight="1">
      <c r="A1219" s="385"/>
      <c r="B1219" s="386"/>
      <c r="C1219" s="20"/>
      <c r="D1219" s="342"/>
      <c r="E1219" s="387"/>
      <c r="F1219" s="388">
        <f t="shared" si="320"/>
        <v>0</v>
      </c>
      <c r="H1219" s="341" t="str">
        <f>IF(A1219="","",VLOOKUP(A1219,VII.A!$A$10:$D$199,4,FALSE))</f>
        <v/>
      </c>
      <c r="I1219" s="341" t="str">
        <f t="shared" si="317"/>
        <v/>
      </c>
      <c r="J1219" s="341" t="str">
        <f>IF(A1219="","",VLOOKUP(A1219,VII.A!$A$10:$D$199,3,FALSE))</f>
        <v/>
      </c>
      <c r="K1219" s="342" t="str">
        <f t="shared" si="318"/>
        <v/>
      </c>
      <c r="L1219" s="380" t="str">
        <f>IF(C1219="","",G1211*C1219)</f>
        <v/>
      </c>
      <c r="M1219" s="381" t="str">
        <f>IF(A1219="","",VLOOKUP(A1219,VII.A!$A$10:$B$199,2,FALSE))</f>
        <v/>
      </c>
      <c r="N1219" s="342" t="str">
        <f t="shared" si="319"/>
        <v/>
      </c>
      <c r="R1219" s="341"/>
      <c r="S1219" s="341"/>
    </row>
    <row r="1220" spans="1:21" ht="12.75" customHeight="1">
      <c r="A1220" s="385"/>
      <c r="B1220" s="386"/>
      <c r="C1220" s="20"/>
      <c r="D1220" s="342"/>
      <c r="E1220" s="387"/>
      <c r="F1220" s="388">
        <f t="shared" si="320"/>
        <v>0</v>
      </c>
      <c r="G1220" s="390"/>
      <c r="H1220" s="341" t="str">
        <f>IF(A1220="","",VLOOKUP(A1220,VII.A!$A$10:$D$199,4,FALSE))</f>
        <v/>
      </c>
      <c r="I1220" s="341" t="str">
        <f t="shared" si="317"/>
        <v/>
      </c>
      <c r="J1220" s="341" t="str">
        <f>IF(A1220="","",VLOOKUP(A1220,VII.A!$A$10:$D$199,3,FALSE))</f>
        <v/>
      </c>
      <c r="K1220" s="342" t="str">
        <f t="shared" si="318"/>
        <v/>
      </c>
      <c r="L1220" s="380" t="str">
        <f>IF(C1220="","",G1211*C1220)</f>
        <v/>
      </c>
      <c r="M1220" s="381" t="str">
        <f>IF(A1220="","",VLOOKUP(A1220,VII.A!$A$10:$B$199,2,FALSE))</f>
        <v/>
      </c>
      <c r="N1220" s="342" t="str">
        <f t="shared" si="319"/>
        <v/>
      </c>
      <c r="R1220" s="341"/>
      <c r="S1220" s="341"/>
    </row>
    <row r="1221" spans="1:21" ht="12.75" customHeight="1">
      <c r="A1221" s="385"/>
      <c r="B1221" s="386"/>
      <c r="C1221" s="20"/>
      <c r="D1221" s="342"/>
      <c r="E1221" s="387"/>
      <c r="F1221" s="388">
        <f t="shared" si="320"/>
        <v>0</v>
      </c>
      <c r="G1221" s="390"/>
      <c r="H1221" s="341" t="str">
        <f>IF(A1221="","",VLOOKUP(A1221,VII.A!$A$10:$D$199,4,FALSE))</f>
        <v/>
      </c>
      <c r="I1221" s="341" t="str">
        <f t="shared" si="317"/>
        <v/>
      </c>
      <c r="J1221" s="341" t="str">
        <f>IF(A1221="","",VLOOKUP(A1221,VII.A!$A$10:$D$199,3,FALSE))</f>
        <v/>
      </c>
      <c r="K1221" s="342" t="str">
        <f t="shared" si="318"/>
        <v/>
      </c>
      <c r="L1221" s="380" t="str">
        <f>IF(C1221="","",G1211*C1221)</f>
        <v/>
      </c>
      <c r="M1221" s="381" t="str">
        <f>IF(A1221="","",VLOOKUP(A1221,VII.A!$A$10:$B$199,2,FALSE))</f>
        <v/>
      </c>
      <c r="N1221" s="342" t="str">
        <f t="shared" si="319"/>
        <v/>
      </c>
      <c r="R1221" s="341"/>
      <c r="S1221" s="341"/>
    </row>
    <row r="1222" spans="1:21" ht="12.75" customHeight="1">
      <c r="A1222" s="385"/>
      <c r="B1222" s="386"/>
      <c r="C1222" s="20"/>
      <c r="D1222" s="342"/>
      <c r="E1222" s="387"/>
      <c r="F1222" s="388">
        <f t="shared" si="320"/>
        <v>0</v>
      </c>
      <c r="G1222" s="391"/>
      <c r="H1222" s="341" t="str">
        <f>IF(A1222="","",VLOOKUP(A1222,VII.A!$A$10:$D$199,4,FALSE))</f>
        <v/>
      </c>
      <c r="I1222" s="341" t="str">
        <f t="shared" si="317"/>
        <v/>
      </c>
      <c r="J1222" s="341" t="str">
        <f>IF(A1222="","",VLOOKUP(A1222,VII.A!$A$10:$D$199,3,FALSE))</f>
        <v/>
      </c>
      <c r="K1222" s="342" t="str">
        <f t="shared" si="318"/>
        <v/>
      </c>
      <c r="L1222" s="380" t="str">
        <f>IF(C1222="","",G1211*C1222)</f>
        <v/>
      </c>
      <c r="M1222" s="381" t="str">
        <f>IF(A1222="","",VLOOKUP(A1222,VII.A!$A$10:$B$199,2,FALSE))</f>
        <v/>
      </c>
      <c r="N1222" s="342" t="str">
        <f t="shared" si="319"/>
        <v/>
      </c>
      <c r="R1222" s="341"/>
      <c r="S1222" s="341"/>
    </row>
    <row r="1223" spans="1:21" ht="12.75" customHeight="1">
      <c r="A1223" s="385"/>
      <c r="B1223" s="386"/>
      <c r="C1223" s="20"/>
      <c r="D1223" s="342"/>
      <c r="E1223" s="387"/>
      <c r="F1223" s="388">
        <f t="shared" si="320"/>
        <v>0</v>
      </c>
      <c r="H1223" s="341" t="str">
        <f>IF(A1223="","",VLOOKUP(A1223,VII.A!$A$10:$D$199,4,FALSE))</f>
        <v/>
      </c>
      <c r="I1223" s="341" t="str">
        <f t="shared" si="317"/>
        <v/>
      </c>
      <c r="J1223" s="341" t="str">
        <f>IF(A1223="","",VLOOKUP(A1223,VII.A!$A$10:$D$199,3,FALSE))</f>
        <v/>
      </c>
      <c r="K1223" s="342" t="str">
        <f t="shared" si="318"/>
        <v/>
      </c>
      <c r="L1223" s="380" t="str">
        <f>IF(C1223="","",G1211*C1223)</f>
        <v/>
      </c>
      <c r="M1223" s="381" t="str">
        <f>IF(A1223="","",VLOOKUP(A1223,VII.A!$A$10:$B$199,2,FALSE))</f>
        <v/>
      </c>
      <c r="N1223" s="342" t="str">
        <f t="shared" si="319"/>
        <v/>
      </c>
      <c r="R1223" s="341"/>
      <c r="S1223" s="341"/>
    </row>
    <row r="1224" spans="1:21" ht="12.75" customHeight="1">
      <c r="A1224" s="385"/>
      <c r="B1224" s="386"/>
      <c r="C1224" s="20"/>
      <c r="D1224" s="392"/>
      <c r="E1224" s="387"/>
      <c r="F1224" s="388">
        <f t="shared" si="320"/>
        <v>0</v>
      </c>
      <c r="H1224" s="341" t="str">
        <f>IF(A1224="","",VLOOKUP(A1224,VII.A!$A$10:$D$199,4,FALSE))</f>
        <v/>
      </c>
      <c r="I1224" s="341" t="str">
        <f t="shared" si="317"/>
        <v/>
      </c>
      <c r="J1224" s="341" t="str">
        <f>IF(A1224="","",VLOOKUP(A1224,VII.A!$A$10:$D$199,3,FALSE))</f>
        <v/>
      </c>
      <c r="K1224" s="342" t="str">
        <f t="shared" si="318"/>
        <v/>
      </c>
      <c r="L1224" s="380" t="str">
        <f>IF(C1224="","",G1211*C1224)</f>
        <v/>
      </c>
      <c r="M1224" s="381" t="str">
        <f>IF(A1224="","",VLOOKUP(A1224,VII.A!$A$10:$B$199,2,FALSE))</f>
        <v/>
      </c>
      <c r="N1224" s="342" t="str">
        <f t="shared" si="319"/>
        <v/>
      </c>
      <c r="R1224" s="341"/>
      <c r="S1224" s="341"/>
    </row>
    <row r="1225" spans="1:21" ht="12.75" customHeight="1">
      <c r="A1225" s="385"/>
      <c r="B1225" s="386"/>
      <c r="C1225" s="20"/>
      <c r="D1225" s="392"/>
      <c r="E1225" s="387"/>
      <c r="F1225" s="388">
        <f t="shared" si="320"/>
        <v>0</v>
      </c>
      <c r="H1225" s="341" t="str">
        <f>IF(A1225="","",VLOOKUP(A1225,VII.A!$A$10:$D$199,4,FALSE))</f>
        <v/>
      </c>
      <c r="I1225" s="341" t="str">
        <f t="shared" si="317"/>
        <v/>
      </c>
      <c r="J1225" s="341" t="str">
        <f>IF(A1225="","",VLOOKUP(A1225,VII.A!$A$10:$D$199,3,FALSE))</f>
        <v/>
      </c>
      <c r="K1225" s="342" t="str">
        <f t="shared" si="318"/>
        <v/>
      </c>
      <c r="L1225" s="380" t="str">
        <f>IF(C1225="","",G1211*C1225)</f>
        <v/>
      </c>
      <c r="M1225" s="381" t="str">
        <f>IF(A1225="","",VLOOKUP(A1225,VII.A!$A$10:$B$199,2,FALSE))</f>
        <v/>
      </c>
      <c r="N1225" s="342" t="str">
        <f t="shared" si="319"/>
        <v/>
      </c>
      <c r="O1225" s="342"/>
      <c r="R1225" s="341"/>
      <c r="S1225" s="341"/>
    </row>
    <row r="1226" spans="1:21" ht="12.75" customHeight="1">
      <c r="A1226" s="385"/>
      <c r="B1226" s="386"/>
      <c r="C1226" s="20"/>
      <c r="D1226" s="392"/>
      <c r="E1226" s="387"/>
      <c r="F1226" s="388">
        <f t="shared" si="320"/>
        <v>0</v>
      </c>
      <c r="H1226" s="341" t="str">
        <f>IF(A1226="","",VLOOKUP(A1226,VII.A!$A$10:$D$199,4,FALSE))</f>
        <v/>
      </c>
      <c r="I1226" s="341" t="str">
        <f t="shared" si="317"/>
        <v/>
      </c>
      <c r="J1226" s="341" t="str">
        <f>IF(A1226="","",VLOOKUP(A1226,VII.A!$A$10:$D$199,3,FALSE))</f>
        <v/>
      </c>
      <c r="K1226" s="342" t="str">
        <f t="shared" si="318"/>
        <v/>
      </c>
      <c r="L1226" s="380" t="str">
        <f>IF(C1226="","",G1211*C1226)</f>
        <v/>
      </c>
      <c r="M1226" s="381" t="str">
        <f>IF(A1226="","",VLOOKUP(A1226,VII.A!$A$10:$B$199,2,FALSE))</f>
        <v/>
      </c>
      <c r="N1226" s="342" t="str">
        <f t="shared" si="319"/>
        <v/>
      </c>
      <c r="R1226" s="341"/>
      <c r="S1226" s="341"/>
    </row>
    <row r="1227" spans="1:21" ht="12.75" customHeight="1">
      <c r="A1227" s="393"/>
      <c r="C1227" s="20"/>
      <c r="E1227" s="387"/>
      <c r="F1227" s="388">
        <f t="shared" si="320"/>
        <v>0</v>
      </c>
      <c r="H1227" s="341" t="str">
        <f>IF(A1227="","",VLOOKUP(A1227,VII.A!$A$10:$D$199,4,FALSE))</f>
        <v/>
      </c>
      <c r="I1227" s="341" t="str">
        <f t="shared" si="317"/>
        <v/>
      </c>
      <c r="J1227" s="341" t="str">
        <f>IF(A1227="","",VLOOKUP(A1227,VII.A!$A$10:$D$199,3,FALSE))</f>
        <v/>
      </c>
      <c r="K1227" s="342" t="str">
        <f t="shared" si="318"/>
        <v/>
      </c>
      <c r="L1227" s="380" t="str">
        <f>IF(C1227="","",G1211*C1227)</f>
        <v/>
      </c>
      <c r="M1227" s="381" t="str">
        <f>IF(A1227="","",VLOOKUP(A1227,VII.A!$A$10:$B$199,2,FALSE))</f>
        <v/>
      </c>
      <c r="N1227" s="342" t="str">
        <f t="shared" si="319"/>
        <v/>
      </c>
      <c r="R1227" s="341"/>
      <c r="S1227" s="341"/>
    </row>
    <row r="1228" spans="1:21" ht="12.75" customHeight="1">
      <c r="A1228" s="393"/>
      <c r="C1228" s="20"/>
      <c r="E1228" s="387"/>
      <c r="F1228" s="388">
        <f t="shared" si="320"/>
        <v>0</v>
      </c>
      <c r="H1228" s="341" t="str">
        <f>IF(A1228="","",VLOOKUP(A1228,VII.A!$A$10:$D$199,4,FALSE))</f>
        <v/>
      </c>
      <c r="I1228" s="341" t="str">
        <f t="shared" si="317"/>
        <v/>
      </c>
      <c r="J1228" s="341" t="str">
        <f>IF(A1228="","",VLOOKUP(A1228,VII.A!$A$10:$D$199,3,FALSE))</f>
        <v/>
      </c>
      <c r="K1228" s="342" t="str">
        <f t="shared" si="318"/>
        <v/>
      </c>
      <c r="L1228" s="380" t="str">
        <f>IF(C1228="","",G1211*C1228)</f>
        <v/>
      </c>
      <c r="M1228" s="381" t="str">
        <f>IF(A1228="","",VLOOKUP(A1228,VII.A!$A$10:$B$199,2,FALSE))</f>
        <v/>
      </c>
      <c r="N1228" s="342" t="str">
        <f t="shared" si="319"/>
        <v/>
      </c>
      <c r="R1228" s="341"/>
      <c r="S1228" s="341"/>
    </row>
    <row r="1229" spans="1:21" ht="12.75" customHeight="1">
      <c r="A1229" s="393"/>
      <c r="B1229" s="395" t="s">
        <v>226</v>
      </c>
      <c r="C1229" s="396"/>
      <c r="D1229" s="397"/>
      <c r="E1229" s="398"/>
      <c r="F1229" s="399">
        <f>SUM(F1213:F1228)</f>
        <v>0</v>
      </c>
      <c r="H1229" s="426" t="s">
        <v>530</v>
      </c>
      <c r="J1229" s="341"/>
      <c r="L1229" s="380"/>
      <c r="M1229" s="381"/>
      <c r="N1229" s="342"/>
      <c r="R1229" s="341"/>
      <c r="S1229" s="341"/>
    </row>
    <row r="1230" spans="1:21" ht="12.75" customHeight="1">
      <c r="A1230" s="393"/>
      <c r="B1230" s="400" t="s">
        <v>53</v>
      </c>
      <c r="C1230" s="2">
        <f>$D$8</f>
        <v>0</v>
      </c>
      <c r="D1230" s="401"/>
      <c r="E1230" s="402"/>
      <c r="F1230" s="403">
        <f>ROUND(F1229*C1230,2)</f>
        <v>0</v>
      </c>
      <c r="J1230" s="341"/>
      <c r="L1230" s="380"/>
      <c r="M1230" s="381"/>
      <c r="N1230" s="342"/>
      <c r="R1230" s="341"/>
      <c r="S1230" s="341"/>
    </row>
    <row r="1231" spans="1:21" ht="12.75" customHeight="1">
      <c r="A1231" s="404"/>
      <c r="B1231" s="405" t="s">
        <v>227</v>
      </c>
      <c r="C1231" s="406"/>
      <c r="D1231" s="406"/>
      <c r="E1231" s="407"/>
      <c r="F1231" s="408">
        <f>F1229+F1230</f>
        <v>0</v>
      </c>
      <c r="J1231" s="341"/>
      <c r="L1231" s="380"/>
      <c r="M1231" s="381"/>
      <c r="N1231" s="342"/>
      <c r="R1231" s="341"/>
      <c r="S1231" s="341"/>
    </row>
    <row r="1232" spans="1:21" ht="12.75" customHeight="1">
      <c r="A1232" s="374" t="s">
        <v>2</v>
      </c>
      <c r="B1232" s="375" t="s">
        <v>235</v>
      </c>
      <c r="C1232" s="376" t="s">
        <v>231</v>
      </c>
      <c r="D1232" s="376" t="s">
        <v>232</v>
      </c>
      <c r="E1232" s="377" t="s">
        <v>233</v>
      </c>
      <c r="F1232" s="378" t="s">
        <v>234</v>
      </c>
      <c r="J1232" s="341"/>
      <c r="L1232" s="380"/>
      <c r="M1232" s="381"/>
      <c r="N1232" s="342"/>
      <c r="R1232" s="341"/>
      <c r="S1232" s="341"/>
    </row>
    <row r="1233" spans="1:19" ht="12.75" customHeight="1">
      <c r="A1233" s="393"/>
      <c r="C1233" s="20"/>
      <c r="E1233" s="387"/>
      <c r="F1233" s="388">
        <f t="shared" ref="F1233:F1242" si="321">ROUND(C1233*E1233,2)</f>
        <v>0</v>
      </c>
      <c r="H1233" s="341" t="str">
        <f>IF(A1233="","",VLOOKUP(A1233,VII.A!$A$10:$D$199,4,FALSE))</f>
        <v/>
      </c>
      <c r="I1233" s="341" t="str">
        <f t="shared" ref="I1233:I1242" si="322">IF(A1233="","",IF(E1233=H1233,"SIM","NÃO"))</f>
        <v/>
      </c>
      <c r="J1233" s="341" t="str">
        <f>IF(A1233="","",VLOOKUP(A1233,VII.A!$A$10:$D$199,3,FALSE))</f>
        <v/>
      </c>
      <c r="K1233" s="342" t="str">
        <f t="shared" ref="K1233:K1242" si="323">IF(A1233="","",IF(J1233=D1233,"SIM","NÃO"))</f>
        <v/>
      </c>
      <c r="L1233" s="380" t="str">
        <f>IF(C1233="","",G1211*C1233)</f>
        <v/>
      </c>
      <c r="M1233" s="381" t="str">
        <f>IF(A1233="","",VLOOKUP(A1233,VII.A!$A$10:$B$199,2,FALSE))</f>
        <v/>
      </c>
      <c r="N1233" s="342" t="str">
        <f t="shared" ref="N1233:N1242" si="324">IF(B1233="","",IF(M1233=B1233,"si","no"))</f>
        <v/>
      </c>
      <c r="R1233" s="341"/>
      <c r="S1233" s="341"/>
    </row>
    <row r="1234" spans="1:19" ht="12.75" customHeight="1">
      <c r="A1234" s="393"/>
      <c r="C1234" s="20"/>
      <c r="E1234" s="387"/>
      <c r="F1234" s="388">
        <f t="shared" si="321"/>
        <v>0</v>
      </c>
      <c r="H1234" s="341" t="str">
        <f>IF(A1234="","",VLOOKUP(A1234,VII.A!$A$10:$D$199,4,FALSE))</f>
        <v/>
      </c>
      <c r="I1234" s="341" t="str">
        <f t="shared" si="322"/>
        <v/>
      </c>
      <c r="J1234" s="341" t="str">
        <f>IF(A1234="","",VLOOKUP(A1234,VII.A!$A$10:$D$199,3,FALSE))</f>
        <v/>
      </c>
      <c r="K1234" s="342" t="str">
        <f t="shared" si="323"/>
        <v/>
      </c>
      <c r="L1234" s="380" t="str">
        <f>IF(C1234="","",G1211*C1234)</f>
        <v/>
      </c>
      <c r="M1234" s="381" t="str">
        <f>IF(A1234="","",VLOOKUP(A1234,VII.A!$A$10:$B$199,2,FALSE))</f>
        <v/>
      </c>
      <c r="N1234" s="342" t="str">
        <f t="shared" si="324"/>
        <v/>
      </c>
      <c r="R1234" s="341"/>
      <c r="S1234" s="341"/>
    </row>
    <row r="1235" spans="1:19" ht="12.75" customHeight="1">
      <c r="A1235" s="393"/>
      <c r="C1235" s="20"/>
      <c r="E1235" s="387"/>
      <c r="F1235" s="388">
        <f t="shared" si="321"/>
        <v>0</v>
      </c>
      <c r="H1235" s="341" t="str">
        <f>IF(A1235="","",VLOOKUP(A1235,VII.A!$A$10:$D$199,4,FALSE))</f>
        <v/>
      </c>
      <c r="I1235" s="341" t="str">
        <f t="shared" si="322"/>
        <v/>
      </c>
      <c r="J1235" s="341" t="str">
        <f>IF(A1235="","",VLOOKUP(A1235,VII.A!$A$10:$D$199,3,FALSE))</f>
        <v/>
      </c>
      <c r="K1235" s="342" t="str">
        <f t="shared" si="323"/>
        <v/>
      </c>
      <c r="L1235" s="380" t="str">
        <f>IF(C1235="","",G1211*C1235)</f>
        <v/>
      </c>
      <c r="M1235" s="381" t="str">
        <f>IF(A1235="","",VLOOKUP(A1235,VII.A!$A$10:$B$199,2,FALSE))</f>
        <v/>
      </c>
      <c r="N1235" s="342" t="str">
        <f t="shared" si="324"/>
        <v/>
      </c>
      <c r="R1235" s="341"/>
      <c r="S1235" s="341"/>
    </row>
    <row r="1236" spans="1:19" ht="12.75" customHeight="1">
      <c r="A1236" s="393"/>
      <c r="C1236" s="20"/>
      <c r="E1236" s="387"/>
      <c r="F1236" s="388">
        <f t="shared" si="321"/>
        <v>0</v>
      </c>
      <c r="H1236" s="341" t="str">
        <f>IF(A1236="","",VLOOKUP(A1236,VII.A!$A$10:$D$199,4,FALSE))</f>
        <v/>
      </c>
      <c r="I1236" s="341" t="str">
        <f t="shared" si="322"/>
        <v/>
      </c>
      <c r="J1236" s="341" t="str">
        <f>IF(A1236="","",VLOOKUP(A1236,VII.A!$A$10:$D$199,3,FALSE))</f>
        <v/>
      </c>
      <c r="K1236" s="342" t="str">
        <f t="shared" si="323"/>
        <v/>
      </c>
      <c r="L1236" s="380" t="str">
        <f>IF(C1236="","",G1211*C1236)</f>
        <v/>
      </c>
      <c r="M1236" s="381" t="str">
        <f>IF(A1236="","",VLOOKUP(A1236,VII.A!$A$10:$B$199,2,FALSE))</f>
        <v/>
      </c>
      <c r="N1236" s="342" t="str">
        <f t="shared" si="324"/>
        <v/>
      </c>
      <c r="R1236" s="341"/>
      <c r="S1236" s="341"/>
    </row>
    <row r="1237" spans="1:19" ht="12.75" customHeight="1">
      <c r="A1237" s="393"/>
      <c r="C1237" s="20"/>
      <c r="E1237" s="387"/>
      <c r="F1237" s="388">
        <f t="shared" si="321"/>
        <v>0</v>
      </c>
      <c r="G1237" s="390"/>
      <c r="H1237" s="341" t="str">
        <f>IF(A1237="","",VLOOKUP(A1237,VII.A!$A$10:$D$199,4,FALSE))</f>
        <v/>
      </c>
      <c r="I1237" s="341" t="str">
        <f t="shared" si="322"/>
        <v/>
      </c>
      <c r="J1237" s="341" t="str">
        <f>IF(A1237="","",VLOOKUP(A1237,VII.A!$A$10:$D$199,3,FALSE))</f>
        <v/>
      </c>
      <c r="K1237" s="342" t="str">
        <f t="shared" si="323"/>
        <v/>
      </c>
      <c r="L1237" s="380" t="str">
        <f>IF(C1237="","",G1211*C1237)</f>
        <v/>
      </c>
      <c r="M1237" s="381" t="str">
        <f>IF(A1237="","",VLOOKUP(A1237,VII.A!$A$10:$B$199,2,FALSE))</f>
        <v/>
      </c>
      <c r="N1237" s="342" t="str">
        <f t="shared" si="324"/>
        <v/>
      </c>
      <c r="R1237" s="341"/>
      <c r="S1237" s="341"/>
    </row>
    <row r="1238" spans="1:19" ht="12.75" customHeight="1">
      <c r="A1238" s="393"/>
      <c r="C1238" s="20"/>
      <c r="E1238" s="387"/>
      <c r="F1238" s="388">
        <f t="shared" si="321"/>
        <v>0</v>
      </c>
      <c r="G1238" s="391"/>
      <c r="H1238" s="341" t="str">
        <f>IF(A1238="","",VLOOKUP(A1238,VII.A!$A$10:$D$199,4,FALSE))</f>
        <v/>
      </c>
      <c r="I1238" s="341" t="str">
        <f t="shared" si="322"/>
        <v/>
      </c>
      <c r="J1238" s="341" t="str">
        <f>IF(A1238="","",VLOOKUP(A1238,VII.A!$A$10:$D$199,3,FALSE))</f>
        <v/>
      </c>
      <c r="K1238" s="342" t="str">
        <f t="shared" si="323"/>
        <v/>
      </c>
      <c r="L1238" s="380" t="str">
        <f>IF(C1238="","",G1211*C1238)</f>
        <v/>
      </c>
      <c r="M1238" s="381" t="str">
        <f>IF(A1238="","",VLOOKUP(A1238,VII.A!$A$10:$B$199,2,FALSE))</f>
        <v/>
      </c>
      <c r="N1238" s="342" t="str">
        <f t="shared" si="324"/>
        <v/>
      </c>
      <c r="R1238" s="341"/>
      <c r="S1238" s="341"/>
    </row>
    <row r="1239" spans="1:19" ht="12.75" customHeight="1">
      <c r="A1239" s="393"/>
      <c r="C1239" s="20"/>
      <c r="E1239" s="387"/>
      <c r="F1239" s="388">
        <f t="shared" si="321"/>
        <v>0</v>
      </c>
      <c r="H1239" s="341" t="str">
        <f>IF(A1239="","",VLOOKUP(A1239,VII.A!$A$10:$D$199,4,FALSE))</f>
        <v/>
      </c>
      <c r="I1239" s="341" t="str">
        <f t="shared" si="322"/>
        <v/>
      </c>
      <c r="J1239" s="341" t="str">
        <f>IF(A1239="","",VLOOKUP(A1239,VII.A!$A$10:$D$199,3,FALSE))</f>
        <v/>
      </c>
      <c r="K1239" s="342" t="str">
        <f t="shared" si="323"/>
        <v/>
      </c>
      <c r="L1239" s="380" t="str">
        <f>IF(C1239="","",G1211*C1239)</f>
        <v/>
      </c>
      <c r="M1239" s="381" t="str">
        <f>IF(A1239="","",VLOOKUP(A1239,VII.A!$A$10:$B$199,2,FALSE))</f>
        <v/>
      </c>
      <c r="N1239" s="342" t="str">
        <f t="shared" si="324"/>
        <v/>
      </c>
      <c r="R1239" s="341"/>
      <c r="S1239" s="341"/>
    </row>
    <row r="1240" spans="1:19" ht="12.75" customHeight="1">
      <c r="A1240" s="393"/>
      <c r="C1240" s="20"/>
      <c r="E1240" s="387"/>
      <c r="F1240" s="388">
        <f t="shared" si="321"/>
        <v>0</v>
      </c>
      <c r="H1240" s="341" t="str">
        <f>IF(A1240="","",VLOOKUP(A1240,VII.A!$A$10:$D$199,4,FALSE))</f>
        <v/>
      </c>
      <c r="I1240" s="341" t="str">
        <f t="shared" si="322"/>
        <v/>
      </c>
      <c r="J1240" s="341" t="str">
        <f>IF(A1240="","",VLOOKUP(A1240,VII.A!$A$10:$D$199,3,FALSE))</f>
        <v/>
      </c>
      <c r="K1240" s="342" t="str">
        <f t="shared" si="323"/>
        <v/>
      </c>
      <c r="L1240" s="380" t="str">
        <f>IF(C1240="","",G1211*C1240)</f>
        <v/>
      </c>
      <c r="M1240" s="381" t="str">
        <f>IF(A1240="","",VLOOKUP(A1240,VII.A!$A$10:$B$199,2,FALSE))</f>
        <v/>
      </c>
      <c r="N1240" s="342" t="str">
        <f t="shared" si="324"/>
        <v/>
      </c>
      <c r="R1240" s="341"/>
      <c r="S1240" s="341"/>
    </row>
    <row r="1241" spans="1:19" ht="12.75" customHeight="1">
      <c r="A1241" s="393"/>
      <c r="C1241" s="20"/>
      <c r="E1241" s="387"/>
      <c r="F1241" s="388">
        <f t="shared" si="321"/>
        <v>0</v>
      </c>
      <c r="H1241" s="341" t="str">
        <f>IF(A1241="","",VLOOKUP(A1241,VII.A!$A$10:$D$199,4,FALSE))</f>
        <v/>
      </c>
      <c r="I1241" s="341" t="str">
        <f t="shared" si="322"/>
        <v/>
      </c>
      <c r="J1241" s="341" t="str">
        <f>IF(A1241="","",VLOOKUP(A1241,VII.A!$A$10:$D$199,3,FALSE))</f>
        <v/>
      </c>
      <c r="K1241" s="342" t="str">
        <f t="shared" si="323"/>
        <v/>
      </c>
      <c r="L1241" s="380" t="str">
        <f>IF(C1241="","",G1211*C1241)</f>
        <v/>
      </c>
      <c r="M1241" s="381" t="str">
        <f>IF(A1241="","",VLOOKUP(A1241,VII.A!$A$10:$B$199,2,FALSE))</f>
        <v/>
      </c>
      <c r="N1241" s="342" t="str">
        <f t="shared" si="324"/>
        <v/>
      </c>
      <c r="R1241" s="341"/>
      <c r="S1241" s="341"/>
    </row>
    <row r="1242" spans="1:19" ht="12.75" customHeight="1">
      <c r="A1242" s="393"/>
      <c r="C1242" s="20"/>
      <c r="E1242" s="387"/>
      <c r="F1242" s="388">
        <f t="shared" si="321"/>
        <v>0</v>
      </c>
      <c r="H1242" s="341" t="str">
        <f>IF(A1242="","",VLOOKUP(A1242,VII.A!$A$10:$D$199,4,FALSE))</f>
        <v/>
      </c>
      <c r="I1242" s="341" t="str">
        <f t="shared" si="322"/>
        <v/>
      </c>
      <c r="J1242" s="341" t="str">
        <f>IF(A1242="","",VLOOKUP(A1242,VII.A!$A$10:$D$199,3,FALSE))</f>
        <v/>
      </c>
      <c r="K1242" s="342" t="str">
        <f t="shared" si="323"/>
        <v/>
      </c>
      <c r="L1242" s="380" t="str">
        <f>IF(C1242="","",G1211*C1242)</f>
        <v/>
      </c>
      <c r="M1242" s="381" t="str">
        <f>IF(A1242="","",VLOOKUP(A1242,VII.A!$A$10:$B$199,2,FALSE))</f>
        <v/>
      </c>
      <c r="N1242" s="342" t="str">
        <f t="shared" si="324"/>
        <v/>
      </c>
      <c r="R1242" s="341"/>
      <c r="S1242" s="341"/>
    </row>
    <row r="1243" spans="1:19" ht="12.75" customHeight="1">
      <c r="A1243" s="393"/>
      <c r="B1243" s="395" t="s">
        <v>226</v>
      </c>
      <c r="C1243" s="396"/>
      <c r="D1243" s="397"/>
      <c r="E1243" s="398"/>
      <c r="F1243" s="399">
        <f>SUM(F1233:F1242)</f>
        <v>0</v>
      </c>
      <c r="J1243" s="341"/>
      <c r="L1243" s="380"/>
      <c r="M1243" s="381"/>
      <c r="N1243" s="342"/>
      <c r="R1243" s="341"/>
      <c r="S1243" s="341"/>
    </row>
    <row r="1244" spans="1:19" ht="12.75" customHeight="1">
      <c r="A1244" s="393"/>
      <c r="B1244" s="400" t="s">
        <v>53</v>
      </c>
      <c r="C1244" s="2">
        <f>$D$8</f>
        <v>0</v>
      </c>
      <c r="D1244" s="401"/>
      <c r="E1244" s="402"/>
      <c r="F1244" s="403">
        <f>ROUND(C1244*F1243,2)</f>
        <v>0</v>
      </c>
      <c r="J1244" s="341"/>
      <c r="L1244" s="380"/>
      <c r="M1244" s="381"/>
      <c r="N1244" s="342"/>
      <c r="R1244" s="341"/>
      <c r="S1244" s="341"/>
    </row>
    <row r="1245" spans="1:19" ht="12.75" customHeight="1">
      <c r="A1245" s="404"/>
      <c r="B1245" s="405" t="s">
        <v>228</v>
      </c>
      <c r="C1245" s="406"/>
      <c r="D1245" s="406"/>
      <c r="E1245" s="407"/>
      <c r="F1245" s="408">
        <f>F1243+F1244</f>
        <v>0</v>
      </c>
      <c r="J1245" s="341"/>
      <c r="L1245" s="380"/>
      <c r="M1245" s="381"/>
      <c r="N1245" s="342"/>
      <c r="R1245" s="341"/>
      <c r="S1245" s="341"/>
    </row>
    <row r="1246" spans="1:19" ht="12.75" customHeight="1">
      <c r="A1246" s="409" t="s">
        <v>47</v>
      </c>
      <c r="B1246" s="410" t="s">
        <v>236</v>
      </c>
      <c r="C1246" s="411" t="s">
        <v>231</v>
      </c>
      <c r="D1246" s="412" t="s">
        <v>232</v>
      </c>
      <c r="E1246" s="413" t="s">
        <v>233</v>
      </c>
      <c r="F1246" s="378" t="s">
        <v>234</v>
      </c>
      <c r="J1246" s="341"/>
      <c r="L1246" s="380"/>
      <c r="M1246" s="381"/>
      <c r="N1246" s="342"/>
      <c r="R1246" s="341"/>
      <c r="S1246" s="341"/>
    </row>
    <row r="1247" spans="1:19" ht="12.75" customHeight="1">
      <c r="A1247" s="393" t="str">
        <f>VII.A!$A$192</f>
        <v>3.12</v>
      </c>
      <c r="B1247" s="394" t="str">
        <f>VII.A!$B$192</f>
        <v>PEDREIRO COM ENCARGOS COMPLEMENTARES</v>
      </c>
      <c r="C1247" s="20">
        <v>1</v>
      </c>
      <c r="D1247" s="384" t="str">
        <f>VII.A!$C$192</f>
        <v>H</v>
      </c>
      <c r="E1247" s="387">
        <f>VII.A!$D$192</f>
        <v>0</v>
      </c>
      <c r="F1247" s="388">
        <f t="shared" ref="F1247:F1253" si="325">ROUND(C1247*E1247,2)</f>
        <v>0</v>
      </c>
      <c r="H1247" s="341">
        <f>IF(A1247="","",VLOOKUP(A1247,VII.A!$A$10:$D$199,4,FALSE))</f>
        <v>0</v>
      </c>
      <c r="I1247" s="341" t="str">
        <f t="shared" ref="I1247:I1253" si="326">IF(A1247="","",IF(E1247=H1247,"SIM","NÃO"))</f>
        <v>SIM</v>
      </c>
      <c r="J1247" s="341" t="str">
        <f>IF(A1247="","",VLOOKUP(A1247,VII.A!$A$10:$D$199,3,FALSE))</f>
        <v>H</v>
      </c>
      <c r="K1247" s="342" t="str">
        <f t="shared" ref="K1247:K1253" si="327">IF(A1247="","",IF(J1247=D1247,"SIM","NÃO"))</f>
        <v>SIM</v>
      </c>
      <c r="L1247" s="380">
        <f>IF(C1247="","",G1211*C1247)</f>
        <v>100</v>
      </c>
      <c r="M1247" s="381" t="str">
        <f>IF(A1247="","",VLOOKUP(A1247,VII.A!$A$10:$B$199,2,FALSE))</f>
        <v>PEDREIRO COM ENCARGOS COMPLEMENTARES</v>
      </c>
      <c r="N1247" s="342" t="str">
        <f t="shared" ref="N1247:N1253" si="328">IF(B1247="","",IF(M1247=B1247,"si","no"))</f>
        <v>si</v>
      </c>
      <c r="R1247" s="341"/>
      <c r="S1247" s="341"/>
    </row>
    <row r="1248" spans="1:19" ht="12.75" customHeight="1">
      <c r="A1248" s="393" t="str">
        <f>VII.A!$A$196</f>
        <v>3.16</v>
      </c>
      <c r="B1248" s="394" t="str">
        <f>VII.A!$B$196</f>
        <v>SERVENTE COM ENCARGOS COMPLEMENTARES</v>
      </c>
      <c r="C1248" s="20">
        <v>1</v>
      </c>
      <c r="D1248" s="384" t="str">
        <f>VII.A!$C$196</f>
        <v>H</v>
      </c>
      <c r="E1248" s="387">
        <f>VII.A!$D$196</f>
        <v>0</v>
      </c>
      <c r="F1248" s="388">
        <f t="shared" si="325"/>
        <v>0</v>
      </c>
      <c r="H1248" s="341">
        <f>IF(A1248="","",VLOOKUP(A1248,VII.A!$A$10:$D$199,4,FALSE))</f>
        <v>0</v>
      </c>
      <c r="I1248" s="341" t="str">
        <f t="shared" si="326"/>
        <v>SIM</v>
      </c>
      <c r="J1248" s="341" t="str">
        <f>IF(A1248="","",VLOOKUP(A1248,VII.A!$A$10:$D$199,3,FALSE))</f>
        <v>H</v>
      </c>
      <c r="K1248" s="342" t="str">
        <f t="shared" si="327"/>
        <v>SIM</v>
      </c>
      <c r="L1248" s="380">
        <f>IF(C1248="","",G1211*C1248)</f>
        <v>100</v>
      </c>
      <c r="M1248" s="381" t="str">
        <f>IF(A1248="","",VLOOKUP(A1248,VII.A!$A$10:$B$199,2,FALSE))</f>
        <v>SERVENTE COM ENCARGOS COMPLEMENTARES</v>
      </c>
      <c r="N1248" s="342" t="str">
        <f t="shared" si="328"/>
        <v>si</v>
      </c>
      <c r="R1248" s="341"/>
      <c r="S1248" s="341"/>
    </row>
    <row r="1249" spans="1:25" ht="12.75" customHeight="1">
      <c r="A1249" s="393"/>
      <c r="C1249" s="20"/>
      <c r="E1249" s="387"/>
      <c r="F1249" s="388">
        <f t="shared" si="325"/>
        <v>0</v>
      </c>
      <c r="H1249" s="341" t="str">
        <f>IF(A1249="","",VLOOKUP(A1249,VII.A!$A$10:$D$199,4,FALSE))</f>
        <v/>
      </c>
      <c r="I1249" s="341" t="str">
        <f t="shared" si="326"/>
        <v/>
      </c>
      <c r="J1249" s="341" t="str">
        <f>IF(A1249="","",VLOOKUP(A1249,VII.A!$A$10:$D$199,3,FALSE))</f>
        <v/>
      </c>
      <c r="K1249" s="342" t="str">
        <f t="shared" si="327"/>
        <v/>
      </c>
      <c r="L1249" s="380" t="str">
        <f>IF(C1249="","",G1211*C1249)</f>
        <v/>
      </c>
      <c r="M1249" s="381" t="str">
        <f>IF(A1249="","",VLOOKUP(A1249,VII.A!$A$10:$B$199,2,FALSE))</f>
        <v/>
      </c>
      <c r="N1249" s="342" t="str">
        <f t="shared" si="328"/>
        <v/>
      </c>
      <c r="R1249" s="341"/>
      <c r="S1249" s="341"/>
    </row>
    <row r="1250" spans="1:25" ht="12.75" customHeight="1">
      <c r="A1250" s="393"/>
      <c r="C1250" s="20"/>
      <c r="E1250" s="387"/>
      <c r="F1250" s="388">
        <f t="shared" si="325"/>
        <v>0</v>
      </c>
      <c r="H1250" s="341" t="str">
        <f>IF(A1250="","",VLOOKUP(A1250,VII.A!$A$10:$D$199,4,FALSE))</f>
        <v/>
      </c>
      <c r="I1250" s="341" t="str">
        <f t="shared" si="326"/>
        <v/>
      </c>
      <c r="J1250" s="341" t="str">
        <f>IF(A1250="","",VLOOKUP(A1250,VII.A!$A$10:$D$199,3,FALSE))</f>
        <v/>
      </c>
      <c r="K1250" s="342" t="str">
        <f t="shared" si="327"/>
        <v/>
      </c>
      <c r="L1250" s="380" t="str">
        <f>IF(C1250="","",G1211*C1250)</f>
        <v/>
      </c>
      <c r="M1250" s="381" t="str">
        <f>IF(A1250="","",VLOOKUP(A1250,VII.A!$A$10:$B$199,2,FALSE))</f>
        <v/>
      </c>
      <c r="N1250" s="342" t="str">
        <f t="shared" si="328"/>
        <v/>
      </c>
      <c r="R1250" s="341"/>
      <c r="S1250" s="341"/>
    </row>
    <row r="1251" spans="1:25" ht="12.75" customHeight="1">
      <c r="A1251" s="393"/>
      <c r="C1251" s="20"/>
      <c r="E1251" s="387"/>
      <c r="F1251" s="388">
        <f t="shared" si="325"/>
        <v>0</v>
      </c>
      <c r="H1251" s="341" t="str">
        <f>IF(A1251="","",VLOOKUP(A1251,VII.A!$A$10:$D$199,4,FALSE))</f>
        <v/>
      </c>
      <c r="I1251" s="341" t="str">
        <f t="shared" si="326"/>
        <v/>
      </c>
      <c r="J1251" s="341" t="str">
        <f>IF(A1251="","",VLOOKUP(A1251,VII.A!$A$10:$D$199,3,FALSE))</f>
        <v/>
      </c>
      <c r="K1251" s="342" t="str">
        <f t="shared" si="327"/>
        <v/>
      </c>
      <c r="L1251" s="380" t="str">
        <f>IF(C1251="","",G1211*C1251)</f>
        <v/>
      </c>
      <c r="M1251" s="381" t="str">
        <f>IF(A1251="","",VLOOKUP(A1251,VII.A!$A$10:$B$199,2,FALSE))</f>
        <v/>
      </c>
      <c r="N1251" s="342" t="str">
        <f t="shared" si="328"/>
        <v/>
      </c>
      <c r="R1251" s="341"/>
      <c r="S1251" s="341"/>
    </row>
    <row r="1252" spans="1:25" ht="12.75" customHeight="1">
      <c r="A1252" s="393"/>
      <c r="C1252" s="20"/>
      <c r="E1252" s="387"/>
      <c r="F1252" s="388">
        <f t="shared" si="325"/>
        <v>0</v>
      </c>
      <c r="H1252" s="341" t="str">
        <f>IF(A1252="","",VLOOKUP(A1252,VII.A!$A$10:$D$199,4,FALSE))</f>
        <v/>
      </c>
      <c r="I1252" s="341" t="str">
        <f t="shared" si="326"/>
        <v/>
      </c>
      <c r="J1252" s="341" t="str">
        <f>IF(A1252="","",VLOOKUP(A1252,VII.A!$A$10:$D$199,3,FALSE))</f>
        <v/>
      </c>
      <c r="K1252" s="342" t="str">
        <f t="shared" si="327"/>
        <v/>
      </c>
      <c r="L1252" s="380" t="str">
        <f>IF(C1252="","",G1211*C1252)</f>
        <v/>
      </c>
      <c r="M1252" s="381" t="str">
        <f>IF(A1252="","",VLOOKUP(A1252,VII.A!$A$10:$B$199,2,FALSE))</f>
        <v/>
      </c>
      <c r="N1252" s="342" t="str">
        <f t="shared" si="328"/>
        <v/>
      </c>
      <c r="R1252" s="341"/>
      <c r="S1252" s="341"/>
    </row>
    <row r="1253" spans="1:25" ht="12.75" customHeight="1">
      <c r="A1253" s="393"/>
      <c r="C1253" s="20"/>
      <c r="E1253" s="387"/>
      <c r="F1253" s="388">
        <f t="shared" si="325"/>
        <v>0</v>
      </c>
      <c r="H1253" s="341" t="str">
        <f>IF(A1253="","",VLOOKUP(A1253,VII.A!$A$10:$D$199,4,FALSE))</f>
        <v/>
      </c>
      <c r="I1253" s="341" t="str">
        <f t="shared" si="326"/>
        <v/>
      </c>
      <c r="J1253" s="341" t="str">
        <f>IF(A1253="","",VLOOKUP(A1253,VII.A!$A$10:$D$199,3,FALSE))</f>
        <v/>
      </c>
      <c r="K1253" s="342" t="str">
        <f t="shared" si="327"/>
        <v/>
      </c>
      <c r="L1253" s="380" t="str">
        <f>IF(C1253="","",G1211*C1253)</f>
        <v/>
      </c>
      <c r="M1253" s="381" t="str">
        <f>IF(A1253="","",VLOOKUP(A1253,VII.A!$A$10:$B$199,2,FALSE))</f>
        <v/>
      </c>
      <c r="N1253" s="342" t="str">
        <f t="shared" si="328"/>
        <v/>
      </c>
      <c r="R1253" s="341"/>
      <c r="S1253" s="341"/>
    </row>
    <row r="1254" spans="1:25" ht="12.75" customHeight="1">
      <c r="A1254" s="393"/>
      <c r="B1254" s="395" t="s">
        <v>226</v>
      </c>
      <c r="C1254" s="396"/>
      <c r="D1254" s="397"/>
      <c r="E1254" s="398"/>
      <c r="F1254" s="399">
        <f>SUM(F1247:F1253)</f>
        <v>0</v>
      </c>
      <c r="J1254" s="341"/>
      <c r="L1254" s="380"/>
      <c r="M1254" s="381"/>
      <c r="N1254" s="342"/>
      <c r="R1254" s="341"/>
      <c r="S1254" s="341"/>
    </row>
    <row r="1255" spans="1:25" ht="12.75" customHeight="1">
      <c r="A1255" s="393"/>
      <c r="B1255" s="400" t="s">
        <v>229</v>
      </c>
      <c r="C1255" s="2">
        <f>IX.A!$C$45</f>
        <v>0</v>
      </c>
      <c r="D1255" s="401"/>
      <c r="E1255" s="402"/>
      <c r="F1255" s="403">
        <f>ROUND(F1254*C1255,2)</f>
        <v>0</v>
      </c>
      <c r="J1255" s="341"/>
      <c r="L1255" s="380"/>
      <c r="M1255" s="381"/>
      <c r="N1255" s="342"/>
      <c r="R1255" s="341"/>
      <c r="S1255" s="341"/>
    </row>
    <row r="1256" spans="1:25" ht="12.75" customHeight="1">
      <c r="A1256" s="393"/>
      <c r="B1256" s="400" t="s">
        <v>53</v>
      </c>
      <c r="C1256" s="2">
        <f>$D$8</f>
        <v>0</v>
      </c>
      <c r="D1256" s="401"/>
      <c r="E1256" s="402"/>
      <c r="F1256" s="403">
        <f>ROUND(SUM(F1254:F1255)*C1256,2)</f>
        <v>0</v>
      </c>
      <c r="J1256" s="341"/>
      <c r="L1256" s="380"/>
      <c r="M1256" s="381"/>
      <c r="N1256" s="342"/>
      <c r="R1256" s="341"/>
      <c r="S1256" s="341"/>
    </row>
    <row r="1257" spans="1:25" ht="12.75" customHeight="1" thickBot="1">
      <c r="A1257" s="414"/>
      <c r="B1257" s="415" t="s">
        <v>230</v>
      </c>
      <c r="C1257" s="416"/>
      <c r="D1257" s="416"/>
      <c r="E1257" s="417"/>
      <c r="F1257" s="418">
        <f>SUM(F1254:F1256)</f>
        <v>0</v>
      </c>
      <c r="J1257" s="341"/>
      <c r="L1257" s="380"/>
      <c r="M1257" s="381"/>
      <c r="N1257" s="342"/>
      <c r="R1257" s="341"/>
      <c r="S1257" s="341"/>
    </row>
    <row r="1258" spans="1:25" ht="12.75" customHeight="1" thickBot="1">
      <c r="A1258" s="427"/>
      <c r="B1258" s="428"/>
      <c r="C1258" s="429"/>
      <c r="D1258" s="429"/>
      <c r="E1258" s="430"/>
      <c r="F1258" s="431"/>
      <c r="J1258" s="341"/>
      <c r="L1258" s="380"/>
      <c r="M1258" s="381"/>
      <c r="N1258" s="342"/>
      <c r="R1258" s="341"/>
      <c r="S1258" s="341"/>
    </row>
    <row r="1259" spans="1:25" ht="30" customHeight="1">
      <c r="A1259" s="370" t="str">
        <f>IV.A!$A$53</f>
        <v>3.2.4</v>
      </c>
      <c r="B1259" s="371" t="str">
        <f>IV.A!$B$53</f>
        <v>FORNECIMENTO ABRIGO DE PROTEÇÃO PARA POÇOS (REFORÇADO)</v>
      </c>
      <c r="C1259" s="871" t="s">
        <v>237</v>
      </c>
      <c r="D1259" s="872"/>
      <c r="E1259" s="372" t="str">
        <f>IV.A!$C$53</f>
        <v>UN</v>
      </c>
      <c r="F1259" s="11">
        <f>ROUND(F1279+F1293+F1305,2)</f>
        <v>0</v>
      </c>
      <c r="G1259" s="1">
        <f>VLOOKUP(A1259,IV.A!$A$16:$L$172,4,FALSE)</f>
        <v>1</v>
      </c>
      <c r="H1259" s="361">
        <f>SUM(F1261:F1276)+F1278</f>
        <v>0</v>
      </c>
      <c r="I1259" s="361">
        <f>SUM(F1281:F1290)+F1292</f>
        <v>0</v>
      </c>
      <c r="J1259" s="361">
        <f>SUM(F1295:F1301)+F1303+F1304</f>
        <v>0</v>
      </c>
      <c r="K1259" s="361">
        <f>SUM(H1259:J1259)</f>
        <v>0</v>
      </c>
      <c r="L1259" s="362" t="str">
        <f>IF(K1259=F1259,"SIM","NÃO")</f>
        <v>SIM</v>
      </c>
      <c r="M1259" s="373">
        <f>ROUND(SUM(F1261:F1276),2)+ROUND(SUM(F1261:F1276)*C1278,2)+ROUND(SUM(F1281:F1290)*C1292,2)+ROUND(SUM(F1281:F1290),2)+ROUND(SUM(F1295:F1301)*C1303,2)+ROUND((SUM(F1295:F1301)+ROUND(SUM(F1295:F1301)*C1303,2))*C1304,2)+ROUND(SUM(F1295:F1301),2)</f>
        <v>0</v>
      </c>
      <c r="N1259" s="343" t="str">
        <f>IF(M1259=F1259,"SIM","NÃO")</f>
        <v>SIM</v>
      </c>
      <c r="O1259" s="364" t="str">
        <f>VLOOKUP(A1259,IV.A!$A$16:$E$172,3,FALSE)</f>
        <v>UN</v>
      </c>
      <c r="P1259" s="344" t="str">
        <f>IF(O1259=E1259,"SIM","NÃO")</f>
        <v>SIM</v>
      </c>
      <c r="Q1259" s="365">
        <f>ROUND(G1259*F1279,2)+ROUND(G1259*F1293,2)+ROUND(G1259*F1305,2)</f>
        <v>0</v>
      </c>
      <c r="R1259" s="364">
        <f>VLOOKUP(A1259,IV.A!$A$16:$L$172,12,FALSE)</f>
        <v>0</v>
      </c>
      <c r="S1259" s="366" t="str">
        <f>IF(Q1259=R1259,"si","no")</f>
        <v>si</v>
      </c>
      <c r="T1259" s="367">
        <f>SUM(L1261:L1276)+SUM(L1281:L1290)+SUM(L1295:L1301)</f>
        <v>206.55392000000001</v>
      </c>
      <c r="U1259" s="341">
        <f>(SUM(C1261:C1276)+SUM(C1281:C1290)+SUM(C1295:C1301))*G1259</f>
        <v>206.55392000000001</v>
      </c>
      <c r="V1259" s="368" t="str">
        <f>IF(T1259=U1259,"si","no")</f>
        <v>si</v>
      </c>
      <c r="W1259" s="369">
        <f>SUM(F1261:F1276)</f>
        <v>0</v>
      </c>
      <c r="X1259" s="369">
        <f>SUM(F1281:F1290)</f>
        <v>0</v>
      </c>
      <c r="Y1259" s="369">
        <f>SUM(F1295:F1301)</f>
        <v>0</v>
      </c>
    </row>
    <row r="1260" spans="1:25" ht="12.75" customHeight="1">
      <c r="A1260" s="374" t="s">
        <v>14</v>
      </c>
      <c r="B1260" s="375" t="s">
        <v>132</v>
      </c>
      <c r="C1260" s="376" t="s">
        <v>231</v>
      </c>
      <c r="D1260" s="376" t="s">
        <v>232</v>
      </c>
      <c r="E1260" s="377" t="s">
        <v>233</v>
      </c>
      <c r="F1260" s="378" t="s">
        <v>234</v>
      </c>
      <c r="G1260" s="379"/>
      <c r="J1260" s="341"/>
      <c r="L1260" s="380"/>
      <c r="M1260" s="381"/>
      <c r="N1260" s="342"/>
      <c r="O1260" s="382"/>
      <c r="P1260" s="383"/>
      <c r="Q1260" s="383"/>
      <c r="R1260" s="383"/>
      <c r="S1260" s="383"/>
      <c r="T1260" s="382"/>
      <c r="U1260" s="341"/>
      <c r="V1260" s="384"/>
      <c r="W1260" s="384"/>
      <c r="X1260" s="384"/>
      <c r="Y1260" s="384"/>
    </row>
    <row r="1261" spans="1:25" ht="12.75" customHeight="1">
      <c r="A1261" s="385" t="str">
        <f>VII.A!$A$10</f>
        <v>1.1</v>
      </c>
      <c r="B1261" s="394" t="str">
        <f>VLOOKUP(A1261,VII.A!$A$10:$G$199,2,FALSE)</f>
        <v>AÇO CA-50 (MÉDIA DAS BITOLAS)</v>
      </c>
      <c r="C1261" s="20">
        <v>68</v>
      </c>
      <c r="D1261" s="342" t="str">
        <f>VLOOKUP(A1261,VII.A!$A$10:$G$199,3,FALSE)</f>
        <v>KG</v>
      </c>
      <c r="E1261" s="387">
        <f>VII.A!$D$10</f>
        <v>0</v>
      </c>
      <c r="F1261" s="388">
        <f>ROUND(C1261*E1261,2)</f>
        <v>0</v>
      </c>
      <c r="H1261" s="341">
        <f>IF(A1261="","",VLOOKUP(A1261,VII.A!$A$10:$D$199,4,FALSE))</f>
        <v>0</v>
      </c>
      <c r="I1261" s="341" t="str">
        <f t="shared" ref="I1261:I1276" si="329">IF(A1261="","",IF(E1261=H1261,"SIM","NÃO"))</f>
        <v>SIM</v>
      </c>
      <c r="J1261" s="341" t="str">
        <f>IF(A1261="","",VLOOKUP(A1261,VII.A!$A$10:$D$199,3,FALSE))</f>
        <v>KG</v>
      </c>
      <c r="K1261" s="342" t="str">
        <f t="shared" ref="K1261:K1276" si="330">IF(A1261="","",IF(J1261=D1261,"SIM","NÃO"))</f>
        <v>SIM</v>
      </c>
      <c r="L1261" s="380">
        <f>IF(C1261="","",G1259*C1261)</f>
        <v>68</v>
      </c>
      <c r="M1261" s="381" t="str">
        <f>IF(A1261="","",VLOOKUP(A1261,VII.A!$A$10:$B$199,2,FALSE))</f>
        <v>AÇO CA-50 (MÉDIA DAS BITOLAS)</v>
      </c>
      <c r="N1261" s="342" t="str">
        <f t="shared" ref="N1261:N1276" si="331">IF(B1261="","",IF(M1261=B1261,"si","no"))</f>
        <v>si</v>
      </c>
      <c r="R1261" s="341"/>
      <c r="S1261" s="341"/>
    </row>
    <row r="1262" spans="1:25" ht="12.75" customHeight="1">
      <c r="A1262" s="385" t="str">
        <f>VII.A!$A$14</f>
        <v>1.5</v>
      </c>
      <c r="B1262" s="394" t="str">
        <f>VLOOKUP(A1262,VII.A!$A$10:$G$199,2,FALSE)</f>
        <v>SOLVENTE DILUENTE A BASE DE AGUARRÁS</v>
      </c>
      <c r="C1262" s="20">
        <v>0.03</v>
      </c>
      <c r="D1262" s="342" t="str">
        <f>VLOOKUP(A1262,VII.A!$A$10:$G$199,3,FALSE)</f>
        <v>L</v>
      </c>
      <c r="E1262" s="387">
        <f>VII.A!$D$14</f>
        <v>0</v>
      </c>
      <c r="F1262" s="388">
        <f t="shared" ref="F1262:F1276" si="332">ROUND(C1262*E1262,2)</f>
        <v>0</v>
      </c>
      <c r="H1262" s="341">
        <f>IF(A1262="","",VLOOKUP(A1262,VII.A!$A$10:$D$199,4,FALSE))</f>
        <v>0</v>
      </c>
      <c r="I1262" s="341" t="str">
        <f t="shared" si="329"/>
        <v>SIM</v>
      </c>
      <c r="J1262" s="341" t="str">
        <f>IF(A1262="","",VLOOKUP(A1262,VII.A!$A$10:$D$199,3,FALSE))</f>
        <v>L</v>
      </c>
      <c r="K1262" s="342" t="str">
        <f t="shared" si="330"/>
        <v>SIM</v>
      </c>
      <c r="L1262" s="380">
        <f>IF(C1262="","",G1259*C1262)</f>
        <v>0.03</v>
      </c>
      <c r="M1262" s="381" t="str">
        <f>IF(A1262="","",VLOOKUP(A1262,VII.A!$A$10:$B$199,2,FALSE))</f>
        <v>SOLVENTE DILUENTE A BASE DE AGUARRÁS</v>
      </c>
      <c r="N1262" s="342" t="str">
        <f t="shared" si="331"/>
        <v>si</v>
      </c>
      <c r="R1262" s="341"/>
      <c r="S1262" s="341"/>
    </row>
    <row r="1263" spans="1:25" ht="12.75" customHeight="1">
      <c r="A1263" s="385" t="str">
        <f>VII.A!$A$23</f>
        <v>1.14</v>
      </c>
      <c r="B1263" s="394" t="str">
        <f>VLOOKUP(A1263,VII.A!$A$10:$G$199,2,FALSE)</f>
        <v>BARRA DE FERRO RETANGULAR, BARRA CHATA  (QUALQUER DIMENSÃO / VALOR MÉDIO)</v>
      </c>
      <c r="C1263" s="20">
        <v>31</v>
      </c>
      <c r="D1263" s="342" t="str">
        <f>VLOOKUP(A1263,VII.A!$A$10:$G$199,3,FALSE)</f>
        <v>KG</v>
      </c>
      <c r="E1263" s="387">
        <f>VII.A!$D$23</f>
        <v>0</v>
      </c>
      <c r="F1263" s="388">
        <f t="shared" si="332"/>
        <v>0</v>
      </c>
      <c r="H1263" s="341">
        <f>IF(A1263="","",VLOOKUP(A1263,VII.A!$A$10:$D$199,4,FALSE))</f>
        <v>0</v>
      </c>
      <c r="I1263" s="341" t="str">
        <f t="shared" si="329"/>
        <v>SIM</v>
      </c>
      <c r="J1263" s="341" t="str">
        <f>IF(A1263="","",VLOOKUP(A1263,VII.A!$A$10:$D$199,3,FALSE))</f>
        <v>KG</v>
      </c>
      <c r="K1263" s="342" t="str">
        <f t="shared" si="330"/>
        <v>SIM</v>
      </c>
      <c r="L1263" s="380">
        <f>IF(C1263="","",G1259*C1263)</f>
        <v>31</v>
      </c>
      <c r="M1263" s="381" t="str">
        <f>IF(A1263="","",VLOOKUP(A1263,VII.A!$A$10:$B$199,2,FALSE))</f>
        <v>BARRA DE FERRO RETANGULAR, BARRA CHATA  (QUALQUER DIMENSÃO / VALOR MÉDIO)</v>
      </c>
      <c r="N1263" s="342" t="str">
        <f t="shared" si="331"/>
        <v>si</v>
      </c>
      <c r="R1263" s="341"/>
      <c r="S1263" s="341"/>
    </row>
    <row r="1264" spans="1:25" ht="12.75" customHeight="1">
      <c r="A1264" s="385" t="str">
        <f>VII.A!$A$26</f>
        <v>1.17</v>
      </c>
      <c r="B1264" s="394" t="str">
        <f>VLOOKUP(A1264,VII.A!$A$10:$G$199,2,FALSE)</f>
        <v>CADEADO SIMPLES, CORPO EM LATAO MACICO, COM LARGURA DE 50 MM E ALTURA DE APROX 40 MM, HASTE CEMENTADA EM ACO TEMPERADO COM DIAMETRO DE APROX 8,0 MM, INCLUINDO 2 CHAVES</v>
      </c>
      <c r="C1264" s="20">
        <v>1</v>
      </c>
      <c r="D1264" s="392" t="str">
        <f>VLOOKUP(A1264,VII.A!$A$10:$G$199,3,FALSE)</f>
        <v>UN</v>
      </c>
      <c r="E1264" s="387">
        <f>VII.A!$D$26</f>
        <v>0</v>
      </c>
      <c r="F1264" s="388">
        <f>ROUND(C1264*E1264,2)</f>
        <v>0</v>
      </c>
      <c r="H1264" s="341">
        <f>IF(A1264="","",VLOOKUP(A1264,VII.A!$A$10:$D$199,4,FALSE))</f>
        <v>0</v>
      </c>
      <c r="I1264" s="341" t="str">
        <f>IF(A1264="","",IF(E1264=H1264,"SIM","NÃO"))</f>
        <v>SIM</v>
      </c>
      <c r="J1264" s="341" t="str">
        <f>IF(A1264="","",VLOOKUP(A1264,VII.A!$A$10:$D$199,3,FALSE))</f>
        <v>UN</v>
      </c>
      <c r="K1264" s="342" t="str">
        <f>IF(A1264="","",IF(J1264=D1264,"SIM","NÃO"))</f>
        <v>SIM</v>
      </c>
      <c r="L1264" s="380">
        <f>IF(C1264="","",G1259*C1264)</f>
        <v>1</v>
      </c>
      <c r="M1264" s="381" t="str">
        <f>IF(A1264="","",VLOOKUP(A1264,VII.A!$A$10:$B$199,2,FALSE))</f>
        <v>CADEADO SIMPLES, CORPO EM LATAO MACICO, COM LARGURA DE 50 MM E ALTURA DE APROX 40 MM, HASTE CEMENTADA EM ACO TEMPERADO COM DIAMETRO DE APROX 8,0 MM, INCLUINDO 2 CHAVES</v>
      </c>
      <c r="N1264" s="342" t="str">
        <f>IF(B1264="","",IF(M1264=B1264,"si","no"))</f>
        <v>si</v>
      </c>
      <c r="O1264" s="342"/>
      <c r="R1264" s="341"/>
      <c r="S1264" s="341"/>
    </row>
    <row r="1265" spans="1:21" ht="12.75" customHeight="1">
      <c r="A1265" s="385" t="str">
        <f>VII.A!$A$32</f>
        <v>1.23</v>
      </c>
      <c r="B1265" s="394" t="str">
        <f>VLOOKUP(A1265,VII.A!$A$10:$G$199,2,FALSE)</f>
        <v>CANTONEIRA DE AÇO ABAS IGUAIS (QUALQUER BITOLA), ESPESSURA ENTRE 1/8" E 1/4"</v>
      </c>
      <c r="C1265" s="20">
        <v>44</v>
      </c>
      <c r="D1265" s="342" t="str">
        <f>VLOOKUP(A1265,VII.A!$A$10:$G$199,3,FALSE)</f>
        <v>KG</v>
      </c>
      <c r="E1265" s="387">
        <f>VII.A!$D$32</f>
        <v>0</v>
      </c>
      <c r="F1265" s="388">
        <f t="shared" si="332"/>
        <v>0</v>
      </c>
      <c r="H1265" s="341">
        <f>IF(A1265="","",VLOOKUP(A1265,VII.A!$A$10:$D$199,4,FALSE))</f>
        <v>0</v>
      </c>
      <c r="I1265" s="341" t="str">
        <f t="shared" si="329"/>
        <v>SIM</v>
      </c>
      <c r="J1265" s="341" t="str">
        <f>IF(A1265="","",VLOOKUP(A1265,VII.A!$A$10:$D$199,3,FALSE))</f>
        <v>KG</v>
      </c>
      <c r="K1265" s="342" t="str">
        <f t="shared" si="330"/>
        <v>SIM</v>
      </c>
      <c r="L1265" s="380">
        <f>IF(C1265="","",G1259*C1265)</f>
        <v>44</v>
      </c>
      <c r="M1265" s="381" t="str">
        <f>IF(A1265="","",VLOOKUP(A1265,VII.A!$A$10:$B$199,2,FALSE))</f>
        <v>CANTONEIRA DE AÇO ABAS IGUAIS (QUALQUER BITOLA), ESPESSURA ENTRE 1/8" E 1/4"</v>
      </c>
      <c r="N1265" s="342" t="str">
        <f t="shared" si="331"/>
        <v>si</v>
      </c>
      <c r="R1265" s="341"/>
      <c r="S1265" s="341"/>
    </row>
    <row r="1266" spans="1:21" ht="12.75" customHeight="1">
      <c r="A1266" s="385" t="str">
        <f>VII.A!$A$34</f>
        <v>1.25</v>
      </c>
      <c r="B1266" s="394" t="str">
        <f>VLOOKUP(A1266,VII.A!$A$10:$G$199,2,FALSE)</f>
        <v>CHAPA DE AÇO - MÉDIA DAS BITOLAS</v>
      </c>
      <c r="C1266" s="20">
        <f>0.088*37.34</f>
        <v>3.28592</v>
      </c>
      <c r="D1266" s="342" t="str">
        <f>VLOOKUP(A1266,VII.A!$A$10:$G$199,3,FALSE)</f>
        <v>KG</v>
      </c>
      <c r="E1266" s="387">
        <f>VII.A!$D$34</f>
        <v>0</v>
      </c>
      <c r="F1266" s="388">
        <f t="shared" si="332"/>
        <v>0</v>
      </c>
      <c r="H1266" s="341">
        <f>IF(A1266="","",VLOOKUP(A1266,VII.A!$A$10:$D$199,4,FALSE))</f>
        <v>0</v>
      </c>
      <c r="I1266" s="341" t="str">
        <f t="shared" si="329"/>
        <v>SIM</v>
      </c>
      <c r="J1266" s="341" t="str">
        <f>IF(A1266="","",VLOOKUP(A1266,VII.A!$A$10:$D$199,3,FALSE))</f>
        <v>KG</v>
      </c>
      <c r="K1266" s="342" t="str">
        <f t="shared" si="330"/>
        <v>SIM</v>
      </c>
      <c r="L1266" s="380">
        <f>IF(C1266="","",G1259*C1266)</f>
        <v>3.28592</v>
      </c>
      <c r="M1266" s="381" t="str">
        <f>IF(A1266="","",VLOOKUP(A1266,VII.A!$A$10:$B$199,2,FALSE))</f>
        <v>CHAPA DE AÇO - MÉDIA DAS BITOLAS</v>
      </c>
      <c r="N1266" s="342" t="str">
        <f t="shared" si="331"/>
        <v>si</v>
      </c>
      <c r="R1266" s="341"/>
      <c r="S1266" s="341"/>
    </row>
    <row r="1267" spans="1:21" ht="12.75" customHeight="1">
      <c r="A1267" s="385" t="str">
        <f>VII.A!$A$52</f>
        <v>1.43</v>
      </c>
      <c r="B1267" s="394" t="str">
        <f>VLOOKUP(A1267,VII.A!$A$10:$G$199,2,FALSE)</f>
        <v>FERRO REDONDO (1/2") - CA-50</v>
      </c>
      <c r="C1267" s="20">
        <v>1</v>
      </c>
      <c r="D1267" s="342" t="str">
        <f>VLOOKUP(A1267,VII.A!$A$10:$G$199,3,FALSE)</f>
        <v>KG</v>
      </c>
      <c r="E1267" s="387">
        <f>VII.A!$D$52</f>
        <v>0</v>
      </c>
      <c r="F1267" s="388">
        <f t="shared" si="332"/>
        <v>0</v>
      </c>
      <c r="H1267" s="341">
        <f>IF(A1267="","",VLOOKUP(A1267,VII.A!$A$10:$D$199,4,FALSE))</f>
        <v>0</v>
      </c>
      <c r="I1267" s="341" t="str">
        <f t="shared" si="329"/>
        <v>SIM</v>
      </c>
      <c r="J1267" s="341" t="str">
        <f>IF(A1267="","",VLOOKUP(A1267,VII.A!$A$10:$D$199,3,FALSE))</f>
        <v>KG</v>
      </c>
      <c r="K1267" s="342" t="str">
        <f t="shared" si="330"/>
        <v>SIM</v>
      </c>
      <c r="L1267" s="380">
        <f>IF(C1267="","",G1259*C1267)</f>
        <v>1</v>
      </c>
      <c r="M1267" s="381" t="str">
        <f>IF(A1267="","",VLOOKUP(A1267,VII.A!$A$10:$B$199,2,FALSE))</f>
        <v>FERRO REDONDO (1/2") - CA-50</v>
      </c>
      <c r="N1267" s="342" t="str">
        <f t="shared" si="331"/>
        <v>si</v>
      </c>
      <c r="R1267" s="341"/>
      <c r="S1267" s="341"/>
    </row>
    <row r="1268" spans="1:21" ht="12.75" customHeight="1">
      <c r="A1268" s="385" t="str">
        <f>VII.A!$A$54</f>
        <v>1.45</v>
      </c>
      <c r="B1268" s="394" t="str">
        <f>VLOOKUP(A1268,VII.A!$A$10:$G$199,2,FALSE)</f>
        <v>FUNDO ANTICORROSIVO PARA METAIS FERROSOS (ZARCAO)</v>
      </c>
      <c r="C1268" s="20">
        <v>0.11799999999999999</v>
      </c>
      <c r="D1268" s="342" t="str">
        <f>VLOOKUP(A1268,VII.A!$A$10:$G$199,3,FALSE)</f>
        <v>L</v>
      </c>
      <c r="E1268" s="387">
        <f>VII.A!$D$54</f>
        <v>0</v>
      </c>
      <c r="F1268" s="388">
        <f>ROUND(C1268*E1268,2)</f>
        <v>0</v>
      </c>
      <c r="H1268" s="341">
        <f>IF(A1268="","",VLOOKUP(A1268,VII.A!$A$10:$D$199,4,FALSE))</f>
        <v>0</v>
      </c>
      <c r="I1268" s="341" t="str">
        <f>IF(A1268="","",IF(E1268=H1268,"SIM","NÃO"))</f>
        <v>SIM</v>
      </c>
      <c r="J1268" s="341" t="str">
        <f>IF(A1268="","",VLOOKUP(A1268,VII.A!$A$10:$D$199,3,FALSE))</f>
        <v>L</v>
      </c>
      <c r="K1268" s="342" t="str">
        <f>IF(A1268="","",IF(J1268=D1268,"SIM","NÃO"))</f>
        <v>SIM</v>
      </c>
      <c r="L1268" s="380">
        <f>IF(C1268="","",G1259*C1268)</f>
        <v>0.11799999999999999</v>
      </c>
      <c r="M1268" s="381" t="str">
        <f>IF(A1268="","",VLOOKUP(A1268,VII.A!$A$10:$B$199,2,FALSE))</f>
        <v>FUNDO ANTICORROSIVO PARA METAIS FERROSOS (ZARCAO)</v>
      </c>
      <c r="N1268" s="342" t="str">
        <f>IF(B1268="","",IF(M1268=B1268,"si","no"))</f>
        <v>si</v>
      </c>
      <c r="R1268" s="341"/>
      <c r="S1268" s="341"/>
    </row>
    <row r="1269" spans="1:21" ht="12.75" customHeight="1">
      <c r="A1269" s="385" t="str">
        <f>VII.A!$A$69</f>
        <v>1.60</v>
      </c>
      <c r="B1269" s="394" t="str">
        <f>VLOOKUP(A1269,VII.A!$A$10:$G$199,2,FALSE)</f>
        <v>LIXA PARA SUPERFICIE METÁLICA, GRANA 150</v>
      </c>
      <c r="C1269" s="20">
        <v>0.3</v>
      </c>
      <c r="D1269" s="342" t="str">
        <f>VLOOKUP(A1269,VII.A!$A$10:$G$199,3,FALSE)</f>
        <v>UN</v>
      </c>
      <c r="E1269" s="387">
        <f>VII.A!$D$69</f>
        <v>0</v>
      </c>
      <c r="F1269" s="388">
        <f t="shared" si="332"/>
        <v>0</v>
      </c>
      <c r="G1269" s="390"/>
      <c r="H1269" s="341">
        <f>IF(A1269="","",VLOOKUP(A1269,VII.A!$A$10:$D$199,4,FALSE))</f>
        <v>0</v>
      </c>
      <c r="I1269" s="341" t="str">
        <f t="shared" si="329"/>
        <v>SIM</v>
      </c>
      <c r="J1269" s="341" t="str">
        <f>IF(A1269="","",VLOOKUP(A1269,VII.A!$A$10:$D$199,3,FALSE))</f>
        <v>UN</v>
      </c>
      <c r="K1269" s="342" t="str">
        <f t="shared" si="330"/>
        <v>SIM</v>
      </c>
      <c r="L1269" s="380">
        <f>IF(C1269="","",G1259*C1269)</f>
        <v>0.3</v>
      </c>
      <c r="M1269" s="381" t="str">
        <f>IF(A1269="","",VLOOKUP(A1269,VII.A!$A$10:$B$199,2,FALSE))</f>
        <v>LIXA PARA SUPERFICIE METÁLICA, GRANA 150</v>
      </c>
      <c r="N1269" s="342" t="str">
        <f t="shared" si="331"/>
        <v>si</v>
      </c>
      <c r="R1269" s="341"/>
      <c r="S1269" s="341"/>
    </row>
    <row r="1270" spans="1:21" ht="12.75" customHeight="1">
      <c r="A1270" s="385" t="str">
        <f>VII.A!$A$76</f>
        <v>1.67</v>
      </c>
      <c r="B1270" s="394" t="str">
        <f>VLOOKUP(A1270,VII.A!$A$10:$G$199,2,FALSE)</f>
        <v>PARAFUSO DE ACO TIPO CHUMBADOR PARABOLT, DIAMETRO 1/2", COMPRIMENTO 75 MM</v>
      </c>
      <c r="C1270" s="20">
        <v>4</v>
      </c>
      <c r="D1270" s="342" t="str">
        <f>VLOOKUP(A1270,VII.A!$A$10:$G$199,3,FALSE)</f>
        <v>UN</v>
      </c>
      <c r="E1270" s="387">
        <f>VII.A!$D$76</f>
        <v>0</v>
      </c>
      <c r="F1270" s="388">
        <f t="shared" si="332"/>
        <v>0</v>
      </c>
      <c r="G1270" s="390"/>
      <c r="H1270" s="341">
        <f>IF(A1270="","",VLOOKUP(A1270,VII.A!$A$10:$D$199,4,FALSE))</f>
        <v>0</v>
      </c>
      <c r="I1270" s="341" t="str">
        <f t="shared" si="329"/>
        <v>SIM</v>
      </c>
      <c r="J1270" s="341" t="str">
        <f>IF(A1270="","",VLOOKUP(A1270,VII.A!$A$10:$D$199,3,FALSE))</f>
        <v>UN</v>
      </c>
      <c r="K1270" s="342" t="str">
        <f t="shared" si="330"/>
        <v>SIM</v>
      </c>
      <c r="L1270" s="380">
        <f>IF(C1270="","",G1259*C1270)</f>
        <v>4</v>
      </c>
      <c r="M1270" s="381" t="str">
        <f>IF(A1270="","",VLOOKUP(A1270,VII.A!$A$10:$B$199,2,FALSE))</f>
        <v>PARAFUSO DE ACO TIPO CHUMBADOR PARABOLT, DIAMETRO 1/2", COMPRIMENTO 75 MM</v>
      </c>
      <c r="N1270" s="342" t="str">
        <f t="shared" si="331"/>
        <v>si</v>
      </c>
      <c r="R1270" s="341"/>
      <c r="S1270" s="341"/>
    </row>
    <row r="1271" spans="1:21" ht="12.75" customHeight="1">
      <c r="A1271" s="385" t="str">
        <f>VII.A!$A$88</f>
        <v>1.78</v>
      </c>
      <c r="B1271" s="394" t="str">
        <f>VLOOKUP(A1271,VII.A!$A$10:$G$199,2,FALSE)</f>
        <v>PORCA 1/2"</v>
      </c>
      <c r="C1271" s="20">
        <v>4</v>
      </c>
      <c r="D1271" s="342" t="str">
        <f>VLOOKUP(A1271,VII.A!$A$10:$G$199,3,FALSE)</f>
        <v>UN</v>
      </c>
      <c r="E1271" s="387">
        <f>VII.A!$D$88</f>
        <v>0</v>
      </c>
      <c r="F1271" s="388">
        <f t="shared" si="332"/>
        <v>0</v>
      </c>
      <c r="G1271" s="391"/>
      <c r="H1271" s="341">
        <f>IF(A1271="","",VLOOKUP(A1271,VII.A!$A$10:$D$199,4,FALSE))</f>
        <v>0</v>
      </c>
      <c r="I1271" s="341" t="str">
        <f t="shared" si="329"/>
        <v>SIM</v>
      </c>
      <c r="J1271" s="341" t="str">
        <f>IF(A1271="","",VLOOKUP(A1271,VII.A!$A$10:$D$199,3,FALSE))</f>
        <v>UN</v>
      </c>
      <c r="K1271" s="342" t="str">
        <f t="shared" si="330"/>
        <v>SIM</v>
      </c>
      <c r="L1271" s="380">
        <f>IF(C1271="","",G1259*C1271)</f>
        <v>4</v>
      </c>
      <c r="M1271" s="381" t="str">
        <f>IF(A1271="","",VLOOKUP(A1271,VII.A!$A$10:$B$199,2,FALSE))</f>
        <v>PORCA 1/2"</v>
      </c>
      <c r="N1271" s="342" t="str">
        <f t="shared" si="331"/>
        <v>si</v>
      </c>
      <c r="R1271" s="341"/>
      <c r="S1271" s="341"/>
    </row>
    <row r="1272" spans="1:21" ht="12.75" customHeight="1">
      <c r="A1272" s="385" t="str">
        <f>VII.A!$A$110</f>
        <v>1.100</v>
      </c>
      <c r="B1272" s="394" t="str">
        <f>VLOOKUP(A1272,VII.A!$A$10:$G$199,2,FALSE)</f>
        <v xml:space="preserve">TINTA ESMALTE SINTETICO PREMIUM </v>
      </c>
      <c r="C1272" s="20">
        <v>0.82</v>
      </c>
      <c r="D1272" s="342" t="str">
        <f>VLOOKUP(A1272,VII.A!$A$10:$G$199,3,FALSE)</f>
        <v>L</v>
      </c>
      <c r="E1272" s="387">
        <f>VII.A!$D$110</f>
        <v>0</v>
      </c>
      <c r="F1272" s="388">
        <f>ROUND(C1272*E1272,2)</f>
        <v>0</v>
      </c>
      <c r="H1272" s="341">
        <f>IF(A1272="","",VLOOKUP(A1272,VII.A!$A$10:$D$199,4,FALSE))</f>
        <v>0</v>
      </c>
      <c r="I1272" s="341" t="str">
        <f>IF(A1272="","",IF(E1272=H1272,"SIM","NÃO"))</f>
        <v>SIM</v>
      </c>
      <c r="J1272" s="341" t="str">
        <f>IF(A1272="","",VLOOKUP(A1272,VII.A!$A$10:$D$199,3,FALSE))</f>
        <v>L</v>
      </c>
      <c r="K1272" s="342" t="str">
        <f>IF(A1272="","",IF(J1272=D1272,"SIM","NÃO"))</f>
        <v>SIM</v>
      </c>
      <c r="L1272" s="380">
        <f>IF(C1272="","",G1259*C1272)</f>
        <v>0.82</v>
      </c>
      <c r="M1272" s="381" t="str">
        <f>IF(A1272="","",VLOOKUP(A1272,VII.A!$A$10:$B$199,2,FALSE))</f>
        <v xml:space="preserve">TINTA ESMALTE SINTETICO PREMIUM </v>
      </c>
      <c r="N1272" s="342" t="str">
        <f>IF(B1272="","",IF(M1272=B1272,"si","no"))</f>
        <v>si</v>
      </c>
      <c r="R1272" s="341"/>
      <c r="S1272" s="341"/>
      <c r="U1272" s="389"/>
    </row>
    <row r="1273" spans="1:21" ht="12.75" customHeight="1">
      <c r="A1273" s="385" t="str">
        <f>VII.A!$A$114</f>
        <v>1.104</v>
      </c>
      <c r="B1273" s="394" t="str">
        <f>VLOOKUP(A1273,VII.A!$A$10:$G$199,2,FALSE)</f>
        <v>TRAVA DE SEGURANÇA TIPO FERROLHO</v>
      </c>
      <c r="C1273" s="20">
        <v>1</v>
      </c>
      <c r="D1273" s="392" t="str">
        <f>VLOOKUP(A1273,VII.A!$A$10:$G$199,3,FALSE)</f>
        <v>UN</v>
      </c>
      <c r="E1273" s="387">
        <f>VII.A!$D$114</f>
        <v>0</v>
      </c>
      <c r="F1273" s="388">
        <f t="shared" si="332"/>
        <v>0</v>
      </c>
      <c r="H1273" s="341">
        <f>IF(A1273="","",VLOOKUP(A1273,VII.A!$A$10:$D$199,4,FALSE))</f>
        <v>0</v>
      </c>
      <c r="I1273" s="341" t="str">
        <f t="shared" si="329"/>
        <v>SIM</v>
      </c>
      <c r="J1273" s="341" t="str">
        <f>IF(A1273="","",VLOOKUP(A1273,VII.A!$A$10:$D$199,3,FALSE))</f>
        <v>UN</v>
      </c>
      <c r="K1273" s="342" t="str">
        <f t="shared" si="330"/>
        <v>SIM</v>
      </c>
      <c r="L1273" s="380">
        <f>IF(C1273="","",G1259*C1273)</f>
        <v>1</v>
      </c>
      <c r="M1273" s="381" t="str">
        <f>IF(A1273="","",VLOOKUP(A1273,VII.A!$A$10:$B$199,2,FALSE))</f>
        <v>TRAVA DE SEGURANÇA TIPO FERROLHO</v>
      </c>
      <c r="N1273" s="342" t="str">
        <f t="shared" si="331"/>
        <v>si</v>
      </c>
      <c r="R1273" s="341"/>
      <c r="S1273" s="341"/>
    </row>
    <row r="1274" spans="1:21" ht="12.75" customHeight="1">
      <c r="A1274" s="385"/>
      <c r="B1274" s="386"/>
      <c r="C1274" s="20"/>
      <c r="D1274" s="392"/>
      <c r="E1274" s="387"/>
      <c r="F1274" s="388">
        <f t="shared" si="332"/>
        <v>0</v>
      </c>
      <c r="H1274" s="341" t="str">
        <f>IF(A1274="","",VLOOKUP(A1274,VII.A!$A$10:$D$199,4,FALSE))</f>
        <v/>
      </c>
      <c r="I1274" s="341" t="str">
        <f t="shared" si="329"/>
        <v/>
      </c>
      <c r="J1274" s="341" t="str">
        <f>IF(A1274="","",VLOOKUP(A1274,VII.A!$A$10:$D$199,3,FALSE))</f>
        <v/>
      </c>
      <c r="K1274" s="342" t="str">
        <f t="shared" si="330"/>
        <v/>
      </c>
      <c r="L1274" s="380" t="str">
        <f>IF(C1274="","",G1259*C1274)</f>
        <v/>
      </c>
      <c r="M1274" s="381" t="str">
        <f>IF(A1274="","",VLOOKUP(A1274,VII.A!$A$10:$B$199,2,FALSE))</f>
        <v/>
      </c>
      <c r="N1274" s="342" t="str">
        <f t="shared" si="331"/>
        <v/>
      </c>
      <c r="R1274" s="341"/>
      <c r="S1274" s="341"/>
    </row>
    <row r="1275" spans="1:21" ht="12.75" customHeight="1">
      <c r="A1275" s="393"/>
      <c r="C1275" s="20"/>
      <c r="E1275" s="387"/>
      <c r="F1275" s="388">
        <f t="shared" si="332"/>
        <v>0</v>
      </c>
      <c r="H1275" s="341" t="str">
        <f>IF(A1275="","",VLOOKUP(A1275,VII.A!$A$10:$D$199,4,FALSE))</f>
        <v/>
      </c>
      <c r="I1275" s="341" t="str">
        <f t="shared" si="329"/>
        <v/>
      </c>
      <c r="J1275" s="341" t="str">
        <f>IF(A1275="","",VLOOKUP(A1275,VII.A!$A$10:$D$199,3,FALSE))</f>
        <v/>
      </c>
      <c r="K1275" s="342" t="str">
        <f t="shared" si="330"/>
        <v/>
      </c>
      <c r="L1275" s="380" t="str">
        <f>IF(C1275="","",G1259*C1275)</f>
        <v/>
      </c>
      <c r="M1275" s="381" t="str">
        <f>IF(A1275="","",VLOOKUP(A1275,VII.A!$A$10:$B$199,2,FALSE))</f>
        <v/>
      </c>
      <c r="N1275" s="342" t="str">
        <f t="shared" si="331"/>
        <v/>
      </c>
      <c r="R1275" s="341"/>
      <c r="S1275" s="341"/>
    </row>
    <row r="1276" spans="1:21" ht="12.75" customHeight="1">
      <c r="A1276" s="393"/>
      <c r="C1276" s="20"/>
      <c r="E1276" s="387"/>
      <c r="F1276" s="388">
        <f t="shared" si="332"/>
        <v>0</v>
      </c>
      <c r="H1276" s="341" t="str">
        <f>IF(A1276="","",VLOOKUP(A1276,VII.A!$A$10:$D$199,4,FALSE))</f>
        <v/>
      </c>
      <c r="I1276" s="341" t="str">
        <f t="shared" si="329"/>
        <v/>
      </c>
      <c r="J1276" s="341" t="str">
        <f>IF(A1276="","",VLOOKUP(A1276,VII.A!$A$10:$D$199,3,FALSE))</f>
        <v/>
      </c>
      <c r="K1276" s="342" t="str">
        <f t="shared" si="330"/>
        <v/>
      </c>
      <c r="L1276" s="380" t="str">
        <f>IF(C1276="","",G1259*C1276)</f>
        <v/>
      </c>
      <c r="M1276" s="381" t="str">
        <f>IF(A1276="","",VLOOKUP(A1276,VII.A!$A$10:$B$199,2,FALSE))</f>
        <v/>
      </c>
      <c r="N1276" s="342" t="str">
        <f t="shared" si="331"/>
        <v/>
      </c>
      <c r="R1276" s="341"/>
      <c r="S1276" s="341"/>
    </row>
    <row r="1277" spans="1:21" ht="12.75" customHeight="1">
      <c r="A1277" s="393"/>
      <c r="B1277" s="395" t="s">
        <v>226</v>
      </c>
      <c r="C1277" s="396"/>
      <c r="D1277" s="397"/>
      <c r="E1277" s="398"/>
      <c r="F1277" s="399">
        <f>SUM(F1261:F1276)</f>
        <v>0</v>
      </c>
      <c r="H1277" s="426" t="s">
        <v>531</v>
      </c>
      <c r="J1277" s="341"/>
      <c r="L1277" s="380"/>
      <c r="M1277" s="381"/>
      <c r="N1277" s="342"/>
      <c r="R1277" s="341"/>
      <c r="S1277" s="341"/>
    </row>
    <row r="1278" spans="1:21" ht="12.75" customHeight="1">
      <c r="A1278" s="393"/>
      <c r="B1278" s="400" t="s">
        <v>53</v>
      </c>
      <c r="C1278" s="2">
        <f>$D$8</f>
        <v>0</v>
      </c>
      <c r="D1278" s="401"/>
      <c r="E1278" s="402"/>
      <c r="F1278" s="403">
        <f>ROUND(F1277*C1278,2)</f>
        <v>0</v>
      </c>
      <c r="J1278" s="341"/>
      <c r="L1278" s="380"/>
      <c r="M1278" s="381"/>
      <c r="N1278" s="342"/>
      <c r="R1278" s="341"/>
      <c r="S1278" s="341"/>
    </row>
    <row r="1279" spans="1:21" ht="12.75" customHeight="1">
      <c r="A1279" s="404"/>
      <c r="B1279" s="405" t="s">
        <v>227</v>
      </c>
      <c r="C1279" s="406"/>
      <c r="D1279" s="406"/>
      <c r="E1279" s="407"/>
      <c r="F1279" s="408">
        <f>F1277+F1278</f>
        <v>0</v>
      </c>
      <c r="J1279" s="341"/>
      <c r="L1279" s="380"/>
      <c r="M1279" s="381"/>
      <c r="N1279" s="342"/>
      <c r="R1279" s="341"/>
      <c r="S1279" s="341"/>
    </row>
    <row r="1280" spans="1:21" ht="12.75" customHeight="1">
      <c r="A1280" s="374" t="s">
        <v>2</v>
      </c>
      <c r="B1280" s="375" t="s">
        <v>235</v>
      </c>
      <c r="C1280" s="376" t="s">
        <v>231</v>
      </c>
      <c r="D1280" s="376" t="s">
        <v>232</v>
      </c>
      <c r="E1280" s="377" t="s">
        <v>233</v>
      </c>
      <c r="F1280" s="378" t="s">
        <v>234</v>
      </c>
      <c r="J1280" s="341"/>
      <c r="L1280" s="380"/>
      <c r="M1280" s="381"/>
      <c r="N1280" s="342"/>
      <c r="R1280" s="341"/>
      <c r="S1280" s="341"/>
    </row>
    <row r="1281" spans="1:19" ht="12.75" customHeight="1">
      <c r="A1281" s="393" t="str">
        <f>VII.A!$A$159</f>
        <v>2.17</v>
      </c>
      <c r="B1281" s="394" t="str">
        <f>VLOOKUP(A1281,VII.A!$A$10:$G$199,2,FALSE)</f>
        <v>GRUPO DE SOLDA 600A, GERADOR DIESEL 60 CV PARA SOLDA ELÉTRICA, SOBRE RODAS, MOTOR 4 CILINDROS - CHP</v>
      </c>
      <c r="C1281" s="20">
        <v>12</v>
      </c>
      <c r="D1281" s="384" t="str">
        <f>VLOOKUP(A1281,VII.A!$A$10:$G$199,3,FALSE)</f>
        <v>CHP</v>
      </c>
      <c r="E1281" s="387">
        <f>VII.A!D159</f>
        <v>0</v>
      </c>
      <c r="F1281" s="388">
        <f t="shared" ref="F1281:F1290" si="333">ROUND(C1281*E1281,2)</f>
        <v>0</v>
      </c>
      <c r="H1281" s="341">
        <f>IF(A1281="","",VLOOKUP(A1281,VII.A!$A$10:$D$199,4,FALSE))</f>
        <v>0</v>
      </c>
      <c r="I1281" s="341" t="str">
        <f t="shared" ref="I1281:I1290" si="334">IF(A1281="","",IF(E1281=H1281,"SIM","NÃO"))</f>
        <v>SIM</v>
      </c>
      <c r="J1281" s="341" t="str">
        <f>IF(A1281="","",VLOOKUP(A1281,VII.A!$A$10:$D$199,3,FALSE))</f>
        <v>CHP</v>
      </c>
      <c r="K1281" s="342" t="str">
        <f t="shared" ref="K1281:K1290" si="335">IF(A1281="","",IF(J1281=D1281,"SIM","NÃO"))</f>
        <v>SIM</v>
      </c>
      <c r="L1281" s="380">
        <f>IF(C1281="","",G1259*C1281)</f>
        <v>12</v>
      </c>
      <c r="M1281" s="381" t="str">
        <f>IF(A1281="","",VLOOKUP(A1281,VII.A!$A$10:$B$199,2,FALSE))</f>
        <v>GRUPO DE SOLDA 600A, GERADOR DIESEL 60 CV PARA SOLDA ELÉTRICA, SOBRE RODAS, MOTOR 4 CILINDROS - CHP</v>
      </c>
      <c r="N1281" s="342" t="str">
        <f t="shared" ref="N1281:N1290" si="336">IF(B1281="","",IF(M1281=B1281,"si","no"))</f>
        <v>si</v>
      </c>
      <c r="R1281" s="341"/>
      <c r="S1281" s="341"/>
    </row>
    <row r="1282" spans="1:19" ht="12.75" customHeight="1">
      <c r="A1282" s="393"/>
      <c r="C1282" s="20"/>
      <c r="E1282" s="387"/>
      <c r="F1282" s="388">
        <f t="shared" si="333"/>
        <v>0</v>
      </c>
      <c r="H1282" s="341" t="str">
        <f>IF(A1282="","",VLOOKUP(A1282,VII.A!$A$10:$D$199,4,FALSE))</f>
        <v/>
      </c>
      <c r="I1282" s="341" t="str">
        <f t="shared" si="334"/>
        <v/>
      </c>
      <c r="J1282" s="341" t="str">
        <f>IF(A1282="","",VLOOKUP(A1282,VII.A!$A$10:$D$199,3,FALSE))</f>
        <v/>
      </c>
      <c r="K1282" s="342" t="str">
        <f t="shared" si="335"/>
        <v/>
      </c>
      <c r="L1282" s="380" t="str">
        <f>IF(C1282="","",G1259*C1282)</f>
        <v/>
      </c>
      <c r="M1282" s="381" t="str">
        <f>IF(A1282="","",VLOOKUP(A1282,VII.A!$A$10:$B$199,2,FALSE))</f>
        <v/>
      </c>
      <c r="N1282" s="342" t="str">
        <f t="shared" si="336"/>
        <v/>
      </c>
      <c r="R1282" s="341"/>
      <c r="S1282" s="341"/>
    </row>
    <row r="1283" spans="1:19" ht="12.75" customHeight="1">
      <c r="A1283" s="393"/>
      <c r="C1283" s="20"/>
      <c r="E1283" s="387"/>
      <c r="F1283" s="388">
        <f t="shared" si="333"/>
        <v>0</v>
      </c>
      <c r="H1283" s="341" t="str">
        <f>IF(A1283="","",VLOOKUP(A1283,VII.A!$A$10:$D$199,4,FALSE))</f>
        <v/>
      </c>
      <c r="I1283" s="341" t="str">
        <f t="shared" si="334"/>
        <v/>
      </c>
      <c r="J1283" s="341" t="str">
        <f>IF(A1283="","",VLOOKUP(A1283,VII.A!$A$10:$D$199,3,FALSE))</f>
        <v/>
      </c>
      <c r="K1283" s="342" t="str">
        <f t="shared" si="335"/>
        <v/>
      </c>
      <c r="L1283" s="380" t="str">
        <f>IF(C1283="","",G1259*C1283)</f>
        <v/>
      </c>
      <c r="M1283" s="381" t="str">
        <f>IF(A1283="","",VLOOKUP(A1283,VII.A!$A$10:$B$199,2,FALSE))</f>
        <v/>
      </c>
      <c r="N1283" s="342" t="str">
        <f t="shared" si="336"/>
        <v/>
      </c>
      <c r="R1283" s="341"/>
      <c r="S1283" s="341"/>
    </row>
    <row r="1284" spans="1:19" ht="12.75" customHeight="1">
      <c r="A1284" s="393"/>
      <c r="C1284" s="20"/>
      <c r="E1284" s="387"/>
      <c r="F1284" s="388">
        <f t="shared" si="333"/>
        <v>0</v>
      </c>
      <c r="H1284" s="341" t="str">
        <f>IF(A1284="","",VLOOKUP(A1284,VII.A!$A$10:$D$199,4,FALSE))</f>
        <v/>
      </c>
      <c r="I1284" s="341" t="str">
        <f t="shared" si="334"/>
        <v/>
      </c>
      <c r="J1284" s="341" t="str">
        <f>IF(A1284="","",VLOOKUP(A1284,VII.A!$A$10:$D$199,3,FALSE))</f>
        <v/>
      </c>
      <c r="K1284" s="342" t="str">
        <f t="shared" si="335"/>
        <v/>
      </c>
      <c r="L1284" s="380" t="str">
        <f>IF(C1284="","",G1259*C1284)</f>
        <v/>
      </c>
      <c r="M1284" s="381" t="str">
        <f>IF(A1284="","",VLOOKUP(A1284,VII.A!$A$10:$B$199,2,FALSE))</f>
        <v/>
      </c>
      <c r="N1284" s="342" t="str">
        <f t="shared" si="336"/>
        <v/>
      </c>
      <c r="R1284" s="341"/>
      <c r="S1284" s="341"/>
    </row>
    <row r="1285" spans="1:19" ht="12.75" customHeight="1">
      <c r="A1285" s="393"/>
      <c r="C1285" s="20"/>
      <c r="E1285" s="387"/>
      <c r="F1285" s="388">
        <f t="shared" si="333"/>
        <v>0</v>
      </c>
      <c r="G1285" s="390"/>
      <c r="H1285" s="341" t="str">
        <f>IF(A1285="","",VLOOKUP(A1285,VII.A!$A$10:$D$199,4,FALSE))</f>
        <v/>
      </c>
      <c r="I1285" s="341" t="str">
        <f t="shared" si="334"/>
        <v/>
      </c>
      <c r="J1285" s="341" t="str">
        <f>IF(A1285="","",VLOOKUP(A1285,VII.A!$A$10:$D$199,3,FALSE))</f>
        <v/>
      </c>
      <c r="K1285" s="342" t="str">
        <f t="shared" si="335"/>
        <v/>
      </c>
      <c r="L1285" s="380" t="str">
        <f>IF(C1285="","",G1259*C1285)</f>
        <v/>
      </c>
      <c r="M1285" s="381" t="str">
        <f>IF(A1285="","",VLOOKUP(A1285,VII.A!$A$10:$B$199,2,FALSE))</f>
        <v/>
      </c>
      <c r="N1285" s="342" t="str">
        <f t="shared" si="336"/>
        <v/>
      </c>
      <c r="R1285" s="341"/>
      <c r="S1285" s="341"/>
    </row>
    <row r="1286" spans="1:19" ht="12.75" customHeight="1">
      <c r="A1286" s="393"/>
      <c r="C1286" s="20"/>
      <c r="E1286" s="387"/>
      <c r="F1286" s="388">
        <f t="shared" si="333"/>
        <v>0</v>
      </c>
      <c r="G1286" s="391"/>
      <c r="H1286" s="341" t="str">
        <f>IF(A1286="","",VLOOKUP(A1286,VII.A!$A$10:$D$199,4,FALSE))</f>
        <v/>
      </c>
      <c r="I1286" s="341" t="str">
        <f t="shared" si="334"/>
        <v/>
      </c>
      <c r="J1286" s="341" t="str">
        <f>IF(A1286="","",VLOOKUP(A1286,VII.A!$A$10:$D$199,3,FALSE))</f>
        <v/>
      </c>
      <c r="K1286" s="342" t="str">
        <f t="shared" si="335"/>
        <v/>
      </c>
      <c r="L1286" s="380" t="str">
        <f>IF(C1286="","",G1259*C1286)</f>
        <v/>
      </c>
      <c r="M1286" s="381" t="str">
        <f>IF(A1286="","",VLOOKUP(A1286,VII.A!$A$10:$B$199,2,FALSE))</f>
        <v/>
      </c>
      <c r="N1286" s="342" t="str">
        <f t="shared" si="336"/>
        <v/>
      </c>
      <c r="R1286" s="341"/>
      <c r="S1286" s="341"/>
    </row>
    <row r="1287" spans="1:19" ht="12.75" customHeight="1">
      <c r="A1287" s="393"/>
      <c r="C1287" s="20"/>
      <c r="E1287" s="387"/>
      <c r="F1287" s="388">
        <f t="shared" si="333"/>
        <v>0</v>
      </c>
      <c r="H1287" s="341" t="str">
        <f>IF(A1287="","",VLOOKUP(A1287,VII.A!$A$10:$D$199,4,FALSE))</f>
        <v/>
      </c>
      <c r="I1287" s="341" t="str">
        <f t="shared" si="334"/>
        <v/>
      </c>
      <c r="J1287" s="341" t="str">
        <f>IF(A1287="","",VLOOKUP(A1287,VII.A!$A$10:$D$199,3,FALSE))</f>
        <v/>
      </c>
      <c r="K1287" s="342" t="str">
        <f t="shared" si="335"/>
        <v/>
      </c>
      <c r="L1287" s="380" t="str">
        <f>IF(C1287="","",G1259*C1287)</f>
        <v/>
      </c>
      <c r="M1287" s="381" t="str">
        <f>IF(A1287="","",VLOOKUP(A1287,VII.A!$A$10:$B$199,2,FALSE))</f>
        <v/>
      </c>
      <c r="N1287" s="342" t="str">
        <f t="shared" si="336"/>
        <v/>
      </c>
      <c r="R1287" s="341"/>
      <c r="S1287" s="341"/>
    </row>
    <row r="1288" spans="1:19" ht="12.75" customHeight="1">
      <c r="A1288" s="393"/>
      <c r="C1288" s="20"/>
      <c r="E1288" s="387"/>
      <c r="F1288" s="388">
        <f t="shared" si="333"/>
        <v>0</v>
      </c>
      <c r="H1288" s="341" t="str">
        <f>IF(A1288="","",VLOOKUP(A1288,VII.A!$A$10:$D$199,4,FALSE))</f>
        <v/>
      </c>
      <c r="I1288" s="341" t="str">
        <f t="shared" si="334"/>
        <v/>
      </c>
      <c r="J1288" s="341" t="str">
        <f>IF(A1288="","",VLOOKUP(A1288,VII.A!$A$10:$D$199,3,FALSE))</f>
        <v/>
      </c>
      <c r="K1288" s="342" t="str">
        <f t="shared" si="335"/>
        <v/>
      </c>
      <c r="L1288" s="380" t="str">
        <f>IF(C1288="","",G1259*C1288)</f>
        <v/>
      </c>
      <c r="M1288" s="381" t="str">
        <f>IF(A1288="","",VLOOKUP(A1288,VII.A!$A$10:$B$199,2,FALSE))</f>
        <v/>
      </c>
      <c r="N1288" s="342" t="str">
        <f t="shared" si="336"/>
        <v/>
      </c>
      <c r="R1288" s="341"/>
      <c r="S1288" s="341"/>
    </row>
    <row r="1289" spans="1:19" ht="12.75" customHeight="1">
      <c r="A1289" s="393"/>
      <c r="C1289" s="20"/>
      <c r="E1289" s="387"/>
      <c r="F1289" s="388">
        <f t="shared" si="333"/>
        <v>0</v>
      </c>
      <c r="H1289" s="341" t="str">
        <f>IF(A1289="","",VLOOKUP(A1289,VII.A!$A$10:$D$199,4,FALSE))</f>
        <v/>
      </c>
      <c r="I1289" s="341" t="str">
        <f t="shared" si="334"/>
        <v/>
      </c>
      <c r="J1289" s="341" t="str">
        <f>IF(A1289="","",VLOOKUP(A1289,VII.A!$A$10:$D$199,3,FALSE))</f>
        <v/>
      </c>
      <c r="K1289" s="342" t="str">
        <f t="shared" si="335"/>
        <v/>
      </c>
      <c r="L1289" s="380" t="str">
        <f>IF(C1289="","",G1259*C1289)</f>
        <v/>
      </c>
      <c r="M1289" s="381" t="str">
        <f>IF(A1289="","",VLOOKUP(A1289,VII.A!$A$10:$B$199,2,FALSE))</f>
        <v/>
      </c>
      <c r="N1289" s="342" t="str">
        <f t="shared" si="336"/>
        <v/>
      </c>
      <c r="R1289" s="341"/>
      <c r="S1289" s="341"/>
    </row>
    <row r="1290" spans="1:19" ht="12.75" customHeight="1">
      <c r="A1290" s="393"/>
      <c r="C1290" s="20"/>
      <c r="E1290" s="387"/>
      <c r="F1290" s="388">
        <f t="shared" si="333"/>
        <v>0</v>
      </c>
      <c r="H1290" s="341" t="str">
        <f>IF(A1290="","",VLOOKUP(A1290,VII.A!$A$10:$D$199,4,FALSE))</f>
        <v/>
      </c>
      <c r="I1290" s="341" t="str">
        <f t="shared" si="334"/>
        <v/>
      </c>
      <c r="J1290" s="341" t="str">
        <f>IF(A1290="","",VLOOKUP(A1290,VII.A!$A$10:$D$199,3,FALSE))</f>
        <v/>
      </c>
      <c r="K1290" s="342" t="str">
        <f t="shared" si="335"/>
        <v/>
      </c>
      <c r="L1290" s="380" t="str">
        <f>IF(C1290="","",G1259*C1290)</f>
        <v/>
      </c>
      <c r="M1290" s="381" t="str">
        <f>IF(A1290="","",VLOOKUP(A1290,VII.A!$A$10:$B$199,2,FALSE))</f>
        <v/>
      </c>
      <c r="N1290" s="342" t="str">
        <f t="shared" si="336"/>
        <v/>
      </c>
      <c r="R1290" s="341"/>
      <c r="S1290" s="341"/>
    </row>
    <row r="1291" spans="1:19" ht="12.75" customHeight="1">
      <c r="A1291" s="393"/>
      <c r="B1291" s="395" t="s">
        <v>226</v>
      </c>
      <c r="C1291" s="396"/>
      <c r="D1291" s="397"/>
      <c r="E1291" s="398"/>
      <c r="F1291" s="399">
        <f>SUM(F1281:F1290)</f>
        <v>0</v>
      </c>
      <c r="J1291" s="341"/>
      <c r="L1291" s="380"/>
      <c r="M1291" s="381"/>
      <c r="N1291" s="342"/>
      <c r="R1291" s="341"/>
      <c r="S1291" s="341"/>
    </row>
    <row r="1292" spans="1:19" ht="12.75" customHeight="1">
      <c r="A1292" s="393"/>
      <c r="B1292" s="400" t="s">
        <v>53</v>
      </c>
      <c r="C1292" s="2">
        <f>$D$8</f>
        <v>0</v>
      </c>
      <c r="D1292" s="401"/>
      <c r="E1292" s="402"/>
      <c r="F1292" s="403">
        <f>ROUND(C1292*F1291,2)</f>
        <v>0</v>
      </c>
      <c r="J1292" s="341"/>
      <c r="L1292" s="380"/>
      <c r="M1292" s="381"/>
      <c r="N1292" s="342"/>
      <c r="R1292" s="341"/>
      <c r="S1292" s="341"/>
    </row>
    <row r="1293" spans="1:19" ht="12.75" customHeight="1">
      <c r="A1293" s="404"/>
      <c r="B1293" s="405" t="s">
        <v>228</v>
      </c>
      <c r="C1293" s="406"/>
      <c r="D1293" s="406"/>
      <c r="E1293" s="407"/>
      <c r="F1293" s="408">
        <f>F1291+F1292</f>
        <v>0</v>
      </c>
      <c r="J1293" s="341"/>
      <c r="L1293" s="380"/>
      <c r="M1293" s="381"/>
      <c r="N1293" s="342"/>
      <c r="R1293" s="341"/>
      <c r="S1293" s="341"/>
    </row>
    <row r="1294" spans="1:19" ht="12.75" customHeight="1">
      <c r="A1294" s="409" t="s">
        <v>47</v>
      </c>
      <c r="B1294" s="410" t="s">
        <v>236</v>
      </c>
      <c r="C1294" s="411" t="s">
        <v>231</v>
      </c>
      <c r="D1294" s="412" t="s">
        <v>232</v>
      </c>
      <c r="E1294" s="413" t="s">
        <v>233</v>
      </c>
      <c r="F1294" s="378" t="s">
        <v>234</v>
      </c>
      <c r="J1294" s="341"/>
      <c r="L1294" s="380"/>
      <c r="M1294" s="381"/>
      <c r="N1294" s="342"/>
      <c r="R1294" s="341"/>
      <c r="S1294" s="341"/>
    </row>
    <row r="1295" spans="1:19" ht="12.75" customHeight="1">
      <c r="A1295" s="393" t="str">
        <f>VII.A!$A$181</f>
        <v>3.1</v>
      </c>
      <c r="B1295" s="394" t="s">
        <v>142</v>
      </c>
      <c r="C1295" s="20">
        <v>8</v>
      </c>
      <c r="D1295" s="384" t="str">
        <f>VLOOKUP(A1295,VII.A!$A$10:$G$199,3,FALSE)</f>
        <v>H</v>
      </c>
      <c r="E1295" s="387">
        <f>VII.A!$D$181</f>
        <v>0</v>
      </c>
      <c r="F1295" s="388">
        <f t="shared" ref="F1295:F1301" si="337">ROUND(C1295*E1295,2)</f>
        <v>0</v>
      </c>
      <c r="H1295" s="341">
        <f>IF(A1295="","",VLOOKUP(A1295,VII.A!$A$10:$D$199,4,FALSE))</f>
        <v>0</v>
      </c>
      <c r="I1295" s="341" t="str">
        <f t="shared" ref="I1295:I1301" si="338">IF(A1295="","",IF(E1295=H1295,"SIM","NÃO"))</f>
        <v>SIM</v>
      </c>
      <c r="J1295" s="341" t="str">
        <f>IF(A1295="","",VLOOKUP(A1295,VII.A!$A$10:$D$199,3,FALSE))</f>
        <v>H</v>
      </c>
      <c r="K1295" s="342" t="str">
        <f t="shared" ref="K1295:K1301" si="339">IF(A1295="","",IF(J1295=D1295,"SIM","NÃO"))</f>
        <v>SIM</v>
      </c>
      <c r="L1295" s="380">
        <f>IF(C1295="","",G1259*C1295)</f>
        <v>8</v>
      </c>
      <c r="M1295" s="381" t="str">
        <f>IF(A1295="","",VLOOKUP(A1295,VII.A!$A$10:$B$199,2,FALSE))</f>
        <v>AJUDANTE COM ENCARGOS COMPLEMENTARES</v>
      </c>
      <c r="N1295" s="342" t="str">
        <f t="shared" ref="N1295:N1301" si="340">IF(B1295="","",IF(M1295=B1295,"si","no"))</f>
        <v>si</v>
      </c>
      <c r="R1295" s="341"/>
      <c r="S1295" s="341"/>
    </row>
    <row r="1296" spans="1:19" ht="12.75" customHeight="1">
      <c r="A1296" s="393" t="str">
        <f>VII.A!$A$193</f>
        <v>3.13</v>
      </c>
      <c r="B1296" s="394" t="s">
        <v>154</v>
      </c>
      <c r="C1296" s="20">
        <v>4</v>
      </c>
      <c r="D1296" s="384" t="str">
        <f>VLOOKUP(A1296,VII.A!$A$10:$G$199,3,FALSE)</f>
        <v>H</v>
      </c>
      <c r="E1296" s="387">
        <f>VII.A!$D$193</f>
        <v>0</v>
      </c>
      <c r="F1296" s="388">
        <f t="shared" si="337"/>
        <v>0</v>
      </c>
      <c r="H1296" s="341">
        <f>IF(A1296="","",VLOOKUP(A1296,VII.A!$A$10:$D$199,4,FALSE))</f>
        <v>0</v>
      </c>
      <c r="I1296" s="341" t="str">
        <f t="shared" si="338"/>
        <v>SIM</v>
      </c>
      <c r="J1296" s="341" t="str">
        <f>IF(A1296="","",VLOOKUP(A1296,VII.A!$A$10:$D$199,3,FALSE))</f>
        <v>H</v>
      </c>
      <c r="K1296" s="342" t="str">
        <f t="shared" si="339"/>
        <v>SIM</v>
      </c>
      <c r="L1296" s="380">
        <f>IF(C1296="","",G1259*C1296)</f>
        <v>4</v>
      </c>
      <c r="M1296" s="381" t="str">
        <f>IF(A1296="","",VLOOKUP(A1296,VII.A!$A$10:$B$199,2,FALSE))</f>
        <v>PINTOR COM ENCARGOS COMPLEMENTARES</v>
      </c>
      <c r="N1296" s="342" t="str">
        <f t="shared" si="340"/>
        <v>si</v>
      </c>
      <c r="R1296" s="341"/>
      <c r="S1296" s="341"/>
    </row>
    <row r="1297" spans="1:25" ht="12.75" customHeight="1">
      <c r="A1297" s="393" t="str">
        <f>VII.A!$A$195</f>
        <v>3.15</v>
      </c>
      <c r="B1297" s="394" t="s">
        <v>156</v>
      </c>
      <c r="C1297" s="20">
        <v>12</v>
      </c>
      <c r="D1297" s="384" t="str">
        <f>VLOOKUP(A1297,VII.A!$A$10:$G$199,3,FALSE)</f>
        <v>H</v>
      </c>
      <c r="E1297" s="387">
        <f>VII.A!$D$195</f>
        <v>0</v>
      </c>
      <c r="F1297" s="388">
        <f>ROUND(C1297*E1297,2)</f>
        <v>0</v>
      </c>
      <c r="H1297" s="341">
        <f>IF(A1297="","",VLOOKUP(A1297,VII.A!$A$10:$D$199,4,FALSE))</f>
        <v>0</v>
      </c>
      <c r="I1297" s="341" t="str">
        <f>IF(A1297="","",IF(E1297=H1297,"SIM","NÃO"))</f>
        <v>SIM</v>
      </c>
      <c r="J1297" s="341" t="str">
        <f>IF(A1297="","",VLOOKUP(A1297,VII.A!$A$10:$D$199,3,FALSE))</f>
        <v>H</v>
      </c>
      <c r="K1297" s="342" t="str">
        <f>IF(A1297="","",IF(J1297=D1297,"SIM","NÃO"))</f>
        <v>SIM</v>
      </c>
      <c r="L1297" s="380">
        <f>IF(C1297="","",G1259*C1297)</f>
        <v>12</v>
      </c>
      <c r="M1297" s="381" t="str">
        <f>IF(A1297="","",VLOOKUP(A1297,VII.A!$A$10:$B$199,2,FALSE))</f>
        <v>SERRALHEIRO COM ENCARGOS COMPLEMENTARES</v>
      </c>
      <c r="N1297" s="342" t="str">
        <f>IF(B1297="","",IF(M1297=B1297,"si","no"))</f>
        <v>si</v>
      </c>
      <c r="R1297" s="341"/>
      <c r="S1297" s="341"/>
    </row>
    <row r="1298" spans="1:25" ht="12.75" customHeight="1">
      <c r="A1298" s="393" t="str">
        <f>VII.A!$A$197</f>
        <v>3.17</v>
      </c>
      <c r="B1298" s="394" t="s">
        <v>158</v>
      </c>
      <c r="C1298" s="20">
        <v>12</v>
      </c>
      <c r="D1298" s="384" t="str">
        <f>VLOOKUP(A1298,VII.A!$A$10:$G$199,3,FALSE)</f>
        <v>H</v>
      </c>
      <c r="E1298" s="387">
        <f>VII.A!$D$197</f>
        <v>0</v>
      </c>
      <c r="F1298" s="388">
        <f t="shared" si="337"/>
        <v>0</v>
      </c>
      <c r="H1298" s="341">
        <f>IF(A1298="","",VLOOKUP(A1298,VII.A!$A$10:$D$199,4,FALSE))</f>
        <v>0</v>
      </c>
      <c r="I1298" s="341" t="str">
        <f t="shared" si="338"/>
        <v>SIM</v>
      </c>
      <c r="J1298" s="341" t="str">
        <f>IF(A1298="","",VLOOKUP(A1298,VII.A!$A$10:$D$199,3,FALSE))</f>
        <v>H</v>
      </c>
      <c r="K1298" s="342" t="str">
        <f t="shared" si="339"/>
        <v>SIM</v>
      </c>
      <c r="L1298" s="380">
        <f>IF(C1298="","",G1259*C1298)</f>
        <v>12</v>
      </c>
      <c r="M1298" s="381" t="str">
        <f>IF(A1298="","",VLOOKUP(A1298,VII.A!$A$10:$B$199,2,FALSE))</f>
        <v>SOLDADOR COM ENCARGOS COMPLEMENTARES</v>
      </c>
      <c r="N1298" s="342" t="str">
        <f t="shared" si="340"/>
        <v>si</v>
      </c>
      <c r="R1298" s="341"/>
      <c r="S1298" s="341"/>
    </row>
    <row r="1299" spans="1:25" ht="12.75" customHeight="1">
      <c r="A1299" s="393"/>
      <c r="C1299" s="20"/>
      <c r="E1299" s="387"/>
      <c r="F1299" s="388">
        <f t="shared" si="337"/>
        <v>0</v>
      </c>
      <c r="H1299" s="341" t="str">
        <f>IF(A1299="","",VLOOKUP(A1299,VII.A!$A$10:$D$199,4,FALSE))</f>
        <v/>
      </c>
      <c r="I1299" s="341" t="str">
        <f t="shared" si="338"/>
        <v/>
      </c>
      <c r="J1299" s="341" t="str">
        <f>IF(A1299="","",VLOOKUP(A1299,VII.A!$A$10:$D$199,3,FALSE))</f>
        <v/>
      </c>
      <c r="K1299" s="342" t="str">
        <f t="shared" si="339"/>
        <v/>
      </c>
      <c r="L1299" s="380" t="str">
        <f>IF(C1299="","",G1259*C1299)</f>
        <v/>
      </c>
      <c r="M1299" s="381" t="str">
        <f>IF(A1299="","",VLOOKUP(A1299,VII.A!$A$10:$B$199,2,FALSE))</f>
        <v/>
      </c>
      <c r="N1299" s="342" t="str">
        <f t="shared" si="340"/>
        <v/>
      </c>
      <c r="R1299" s="341"/>
      <c r="S1299" s="341"/>
    </row>
    <row r="1300" spans="1:25" ht="12.75" customHeight="1">
      <c r="A1300" s="393"/>
      <c r="C1300" s="20"/>
      <c r="E1300" s="387"/>
      <c r="F1300" s="388">
        <f t="shared" si="337"/>
        <v>0</v>
      </c>
      <c r="H1300" s="341" t="str">
        <f>IF(A1300="","",VLOOKUP(A1300,VII.A!$A$10:$D$199,4,FALSE))</f>
        <v/>
      </c>
      <c r="I1300" s="341" t="str">
        <f t="shared" si="338"/>
        <v/>
      </c>
      <c r="J1300" s="341" t="str">
        <f>IF(A1300="","",VLOOKUP(A1300,VII.A!$A$10:$D$199,3,FALSE))</f>
        <v/>
      </c>
      <c r="K1300" s="342" t="str">
        <f t="shared" si="339"/>
        <v/>
      </c>
      <c r="L1300" s="380" t="str">
        <f>IF(C1300="","",G1259*C1300)</f>
        <v/>
      </c>
      <c r="M1300" s="381" t="str">
        <f>IF(A1300="","",VLOOKUP(A1300,VII.A!$A$10:$B$199,2,FALSE))</f>
        <v/>
      </c>
      <c r="N1300" s="342" t="str">
        <f t="shared" si="340"/>
        <v/>
      </c>
      <c r="R1300" s="341"/>
      <c r="S1300" s="341"/>
    </row>
    <row r="1301" spans="1:25" ht="12.75" customHeight="1">
      <c r="A1301" s="393"/>
      <c r="C1301" s="20"/>
      <c r="E1301" s="387"/>
      <c r="F1301" s="388">
        <f t="shared" si="337"/>
        <v>0</v>
      </c>
      <c r="H1301" s="341" t="str">
        <f>IF(A1301="","",VLOOKUP(A1301,VII.A!$A$10:$D$199,4,FALSE))</f>
        <v/>
      </c>
      <c r="I1301" s="341" t="str">
        <f t="shared" si="338"/>
        <v/>
      </c>
      <c r="J1301" s="341" t="str">
        <f>IF(A1301="","",VLOOKUP(A1301,VII.A!$A$10:$D$199,3,FALSE))</f>
        <v/>
      </c>
      <c r="K1301" s="342" t="str">
        <f t="shared" si="339"/>
        <v/>
      </c>
      <c r="L1301" s="380" t="str">
        <f>IF(C1301="","",G1259*C1301)</f>
        <v/>
      </c>
      <c r="M1301" s="381" t="str">
        <f>IF(A1301="","",VLOOKUP(A1301,VII.A!$A$10:$B$199,2,FALSE))</f>
        <v/>
      </c>
      <c r="N1301" s="342" t="str">
        <f t="shared" si="340"/>
        <v/>
      </c>
      <c r="R1301" s="341"/>
      <c r="S1301" s="341"/>
    </row>
    <row r="1302" spans="1:25" ht="12.75" customHeight="1">
      <c r="A1302" s="393"/>
      <c r="B1302" s="395" t="s">
        <v>226</v>
      </c>
      <c r="C1302" s="396"/>
      <c r="D1302" s="397"/>
      <c r="E1302" s="398"/>
      <c r="F1302" s="399">
        <f>SUM(F1295:F1301)</f>
        <v>0</v>
      </c>
      <c r="J1302" s="341"/>
      <c r="L1302" s="380"/>
      <c r="M1302" s="381"/>
      <c r="N1302" s="342"/>
      <c r="R1302" s="341"/>
      <c r="S1302" s="341"/>
    </row>
    <row r="1303" spans="1:25" ht="12.75" customHeight="1">
      <c r="A1303" s="393"/>
      <c r="B1303" s="400" t="s">
        <v>229</v>
      </c>
      <c r="C1303" s="2">
        <f>IX.A!$C$45</f>
        <v>0</v>
      </c>
      <c r="D1303" s="401"/>
      <c r="E1303" s="402"/>
      <c r="F1303" s="403">
        <f>ROUND(F1302*C1303,2)</f>
        <v>0</v>
      </c>
      <c r="J1303" s="341"/>
      <c r="L1303" s="380"/>
      <c r="M1303" s="381"/>
      <c r="N1303" s="342"/>
      <c r="R1303" s="341"/>
      <c r="S1303" s="341"/>
    </row>
    <row r="1304" spans="1:25" ht="12.75" customHeight="1">
      <c r="A1304" s="393"/>
      <c r="B1304" s="400" t="s">
        <v>53</v>
      </c>
      <c r="C1304" s="2">
        <f>$D$8</f>
        <v>0</v>
      </c>
      <c r="D1304" s="401"/>
      <c r="E1304" s="402"/>
      <c r="F1304" s="403">
        <f>ROUND(SUM(F1302:F1303)*C1304,2)</f>
        <v>0</v>
      </c>
      <c r="J1304" s="341"/>
      <c r="L1304" s="380"/>
      <c r="M1304" s="381"/>
      <c r="N1304" s="342"/>
      <c r="R1304" s="341"/>
      <c r="S1304" s="341"/>
    </row>
    <row r="1305" spans="1:25" ht="12.75" customHeight="1" thickBot="1">
      <c r="A1305" s="414"/>
      <c r="B1305" s="415" t="s">
        <v>230</v>
      </c>
      <c r="C1305" s="416"/>
      <c r="D1305" s="416"/>
      <c r="E1305" s="417"/>
      <c r="F1305" s="418">
        <f>SUM(F1302:F1304)</f>
        <v>0</v>
      </c>
      <c r="J1305" s="341"/>
      <c r="L1305" s="380"/>
      <c r="M1305" s="381"/>
      <c r="N1305" s="342"/>
      <c r="R1305" s="341"/>
      <c r="S1305" s="341"/>
    </row>
    <row r="1306" spans="1:25" ht="12.75" customHeight="1" thickBot="1">
      <c r="A1306" s="357"/>
      <c r="B1306" s="358"/>
      <c r="C1306" s="359"/>
      <c r="D1306" s="359"/>
      <c r="E1306" s="360"/>
      <c r="F1306" s="419"/>
      <c r="J1306" s="341"/>
      <c r="L1306" s="380"/>
      <c r="M1306" s="381"/>
      <c r="N1306" s="342"/>
      <c r="R1306" s="341"/>
      <c r="S1306" s="341"/>
    </row>
    <row r="1307" spans="1:25" ht="30" customHeight="1">
      <c r="A1307" s="370" t="str">
        <f>IV.A!$A$54</f>
        <v>3.2.5</v>
      </c>
      <c r="B1307" s="371" t="str">
        <f>IV.A!B54</f>
        <v>JANELA DE AÇO  TIPO BASCULANTE, FIXAÇÃO COM ARGAMASSA</v>
      </c>
      <c r="C1307" s="871" t="s">
        <v>237</v>
      </c>
      <c r="D1307" s="872"/>
      <c r="E1307" s="372" t="str">
        <f>IV.A!C54</f>
        <v>M2</v>
      </c>
      <c r="F1307" s="11">
        <f>ROUND(F1327+F1341+F1353,2)</f>
        <v>0</v>
      </c>
      <c r="G1307" s="1">
        <f>VLOOKUP(A1307,IV.A!$A$16:$L$172,4,FALSE)</f>
        <v>1.5</v>
      </c>
      <c r="H1307" s="361">
        <f>SUM(F1309:F1324)+F1326</f>
        <v>0</v>
      </c>
      <c r="I1307" s="361">
        <f>SUM(F1329:F1338)+F1340</f>
        <v>0</v>
      </c>
      <c r="J1307" s="361">
        <f>SUM(F1343:F1349)+F1351+F1352</f>
        <v>0</v>
      </c>
      <c r="K1307" s="361">
        <f>SUM(H1307:J1307)</f>
        <v>0</v>
      </c>
      <c r="L1307" s="362" t="str">
        <f>IF(K1307=F1307,"SIM","NÃO")</f>
        <v>SIM</v>
      </c>
      <c r="M1307" s="373">
        <f>ROUND(SUM(F1309:F1324),2)+ROUND(SUM(F1309:F1324)*C1326,2)+ROUND(SUM(F1329:F1338)*C1340,2)+ROUND(SUM(F1329:F1338),2)+ROUND(SUM(F1343:F1349)*C1351,2)+ROUND((SUM(F1343:F1349)+ROUND(SUM(F1343:F1349)*C1351,2))*C1352,2)+ROUND(SUM(F1343:F1349),2)</f>
        <v>0</v>
      </c>
      <c r="N1307" s="343" t="str">
        <f>IF(M1307=F1307,"SIM","NÃO")</f>
        <v>SIM</v>
      </c>
      <c r="O1307" s="364" t="str">
        <f>VLOOKUP(A1307,IV.A!$A$16:$E$172,3,FALSE)</f>
        <v>M2</v>
      </c>
      <c r="P1307" s="344" t="str">
        <f>IF(O1307=E1307,"SIM","NÃO")</f>
        <v>SIM</v>
      </c>
      <c r="Q1307" s="365">
        <f>ROUND(G1307*F1327,2)+ROUND(G1307*F1341,2)+ROUND(G1307*F1353,2)</f>
        <v>0</v>
      </c>
      <c r="R1307" s="364">
        <f>VLOOKUP(A1307,IV.A!$A$16:$L$172,12,FALSE)</f>
        <v>0</v>
      </c>
      <c r="S1307" s="366" t="str">
        <f>IF(Q1307=R1307,"si","no")</f>
        <v>si</v>
      </c>
      <c r="T1307" s="367">
        <f>SUM(L1309:L1324)+SUM(L1329:L1338)+SUM(L1343:L1349)</f>
        <v>10.955</v>
      </c>
      <c r="U1307" s="341">
        <f>(SUM(C1309:C1324)+SUM(C1329:C1338)+SUM(C1343:C1349))*G1307</f>
        <v>10.955</v>
      </c>
      <c r="V1307" s="368" t="str">
        <f>IF(T1307=U1307,"si","no")</f>
        <v>si</v>
      </c>
      <c r="W1307" s="369">
        <f>SUM(F1309:F1324)</f>
        <v>0</v>
      </c>
      <c r="X1307" s="369">
        <f>SUM(F1329:F1338)</f>
        <v>0</v>
      </c>
      <c r="Y1307" s="369">
        <f>SUM(F1343:F1349)</f>
        <v>0</v>
      </c>
    </row>
    <row r="1308" spans="1:25" ht="12.75" customHeight="1">
      <c r="A1308" s="374" t="s">
        <v>14</v>
      </c>
      <c r="B1308" s="375" t="s">
        <v>132</v>
      </c>
      <c r="C1308" s="376" t="s">
        <v>231</v>
      </c>
      <c r="D1308" s="376" t="s">
        <v>232</v>
      </c>
      <c r="E1308" s="377" t="s">
        <v>233</v>
      </c>
      <c r="F1308" s="378" t="s">
        <v>234</v>
      </c>
      <c r="G1308" s="379"/>
      <c r="J1308" s="341"/>
      <c r="L1308" s="380"/>
      <c r="M1308" s="381"/>
      <c r="N1308" s="342"/>
      <c r="O1308" s="382"/>
      <c r="P1308" s="383"/>
      <c r="Q1308" s="383"/>
      <c r="R1308" s="383"/>
      <c r="S1308" s="383"/>
      <c r="T1308" s="382"/>
      <c r="U1308" s="341"/>
      <c r="V1308" s="384"/>
      <c r="W1308" s="384"/>
      <c r="X1308" s="384"/>
      <c r="Y1308" s="384"/>
    </row>
    <row r="1309" spans="1:25" ht="12.75" customHeight="1">
      <c r="A1309" s="385" t="str">
        <f>VII.A!$A$19</f>
        <v>1.10</v>
      </c>
      <c r="B1309" s="394" t="str">
        <f>VII.A!$B$19</f>
        <v>AREIA MÉDIA LAVADA</v>
      </c>
      <c r="C1309" s="20">
        <v>0.01</v>
      </c>
      <c r="D1309" s="342" t="str">
        <f>VII.A!$C$19</f>
        <v>M3</v>
      </c>
      <c r="E1309" s="387">
        <f>VII.A!$D$19</f>
        <v>0</v>
      </c>
      <c r="F1309" s="388">
        <f>ROUND(C1309*E1309,2)</f>
        <v>0</v>
      </c>
      <c r="H1309" s="341">
        <f>IF(A1309="","",VLOOKUP(A1309,VII.A!$A$10:$D$199,4,FALSE))</f>
        <v>0</v>
      </c>
      <c r="I1309" s="341" t="str">
        <f t="shared" ref="I1309:I1324" si="341">IF(A1309="","",IF(E1309=H1309,"SIM","NÃO"))</f>
        <v>SIM</v>
      </c>
      <c r="J1309" s="341" t="str">
        <f>IF(A1309="","",VLOOKUP(A1309,VII.A!$A$10:$D$199,3,FALSE))</f>
        <v>M3</v>
      </c>
      <c r="K1309" s="342" t="str">
        <f t="shared" ref="K1309:K1324" si="342">IF(A1309="","",IF(J1309=D1309,"SIM","NÃO"))</f>
        <v>SIM</v>
      </c>
      <c r="L1309" s="380">
        <f>IF(C1309="","",G1307*C1309)</f>
        <v>1.4999999999999999E-2</v>
      </c>
      <c r="M1309" s="381" t="str">
        <f>IF(A1309="","",VLOOKUP(A1309,VII.A!$A$10:$B$199,2,FALSE))</f>
        <v>AREIA MÉDIA LAVADA</v>
      </c>
      <c r="N1309" s="342" t="str">
        <f t="shared" ref="N1309:N1324" si="343">IF(B1309="","",IF(M1309=B1309,"si","no"))</f>
        <v>si</v>
      </c>
      <c r="R1309" s="341"/>
      <c r="S1309" s="341"/>
    </row>
    <row r="1310" spans="1:25" ht="12.75" customHeight="1">
      <c r="A1310" s="385" t="str">
        <f>VII.A!$A$38</f>
        <v>1.29</v>
      </c>
      <c r="B1310" s="394" t="str">
        <f>VII.A!$B$38</f>
        <v>CIMENTO PORTLAND CP II-E-32</v>
      </c>
      <c r="C1310" s="20">
        <v>3.92</v>
      </c>
      <c r="D1310" s="342" t="str">
        <f>VII.A!$C$38</f>
        <v>KG</v>
      </c>
      <c r="E1310" s="387">
        <f>VII.A!$D$38</f>
        <v>0</v>
      </c>
      <c r="F1310" s="388">
        <f t="shared" ref="F1310:F1324" si="344">ROUND(C1310*E1310,2)</f>
        <v>0</v>
      </c>
      <c r="H1310" s="341">
        <f>IF(A1310="","",VLOOKUP(A1310,VII.A!$A$10:$D$199,4,FALSE))</f>
        <v>0</v>
      </c>
      <c r="I1310" s="341" t="str">
        <f t="shared" si="341"/>
        <v>SIM</v>
      </c>
      <c r="J1310" s="341" t="str">
        <f>IF(A1310="","",VLOOKUP(A1310,VII.A!$A$10:$D$199,3,FALSE))</f>
        <v>KG</v>
      </c>
      <c r="K1310" s="342" t="str">
        <f t="shared" si="342"/>
        <v>SIM</v>
      </c>
      <c r="L1310" s="380">
        <f>IF(C1310="","",G1307*C1310)</f>
        <v>5.88</v>
      </c>
      <c r="M1310" s="381" t="str">
        <f>IF(A1310="","",VLOOKUP(A1310,VII.A!$A$10:$B$199,2,FALSE))</f>
        <v>CIMENTO PORTLAND CP II-E-32</v>
      </c>
      <c r="N1310" s="342" t="str">
        <f t="shared" si="343"/>
        <v>si</v>
      </c>
      <c r="R1310" s="341"/>
      <c r="S1310" s="341"/>
    </row>
    <row r="1311" spans="1:25" ht="12.75" customHeight="1">
      <c r="A1311" s="385" t="str">
        <f>VII.A!$A$62</f>
        <v>1.53</v>
      </c>
      <c r="B1311" s="394" t="str">
        <f>VII.A!$B$62</f>
        <v>JANELA BASCULANTE, AÇO, COM BATENTE/REQUADRO, 60X80 CM, SEM VIDROS</v>
      </c>
      <c r="C1311" s="20">
        <f>1/0.48</f>
        <v>2.0833333333333335</v>
      </c>
      <c r="D1311" s="342" t="str">
        <f>VII.A!$C$62</f>
        <v>UN</v>
      </c>
      <c r="E1311" s="387">
        <f>VII.A!$D$62</f>
        <v>0</v>
      </c>
      <c r="F1311" s="388">
        <f t="shared" si="344"/>
        <v>0</v>
      </c>
      <c r="H1311" s="341">
        <f>IF(A1311="","",VLOOKUP(A1311,VII.A!$A$10:$D$199,4,FALSE))</f>
        <v>0</v>
      </c>
      <c r="I1311" s="341" t="str">
        <f t="shared" si="341"/>
        <v>SIM</v>
      </c>
      <c r="J1311" s="341" t="str">
        <f>IF(A1311="","",VLOOKUP(A1311,VII.A!$A$10:$D$199,3,FALSE))</f>
        <v>UN</v>
      </c>
      <c r="K1311" s="342" t="str">
        <f t="shared" si="342"/>
        <v>SIM</v>
      </c>
      <c r="L1311" s="380">
        <f>IF(C1311="","",G1307*C1311)</f>
        <v>3.125</v>
      </c>
      <c r="M1311" s="381" t="str">
        <f>IF(A1311="","",VLOOKUP(A1311,VII.A!$A$10:$B$199,2,FALSE))</f>
        <v>JANELA BASCULANTE, AÇO, COM BATENTE/REQUADRO, 60X80 CM, SEM VIDROS</v>
      </c>
      <c r="N1311" s="342" t="str">
        <f t="shared" si="343"/>
        <v>si</v>
      </c>
      <c r="R1311" s="341"/>
      <c r="S1311" s="341"/>
    </row>
    <row r="1312" spans="1:25" ht="12.75" customHeight="1">
      <c r="A1312" s="385"/>
      <c r="C1312" s="20"/>
      <c r="D1312" s="342"/>
      <c r="E1312" s="387"/>
      <c r="F1312" s="388">
        <f t="shared" si="344"/>
        <v>0</v>
      </c>
      <c r="H1312" s="341" t="str">
        <f>IF(A1312="","",VLOOKUP(A1312,VII.A!$A$10:$D$199,4,FALSE))</f>
        <v/>
      </c>
      <c r="I1312" s="341" t="str">
        <f t="shared" si="341"/>
        <v/>
      </c>
      <c r="J1312" s="341" t="str">
        <f>IF(A1312="","",VLOOKUP(A1312,VII.A!$A$10:$D$199,3,FALSE))</f>
        <v/>
      </c>
      <c r="K1312" s="342" t="str">
        <f t="shared" si="342"/>
        <v/>
      </c>
      <c r="L1312" s="380" t="str">
        <f>IF(C1312="","",G1307*C1312)</f>
        <v/>
      </c>
      <c r="M1312" s="381" t="str">
        <f>IF(A1312="","",VLOOKUP(A1312,VII.A!$A$10:$B$199,2,FALSE))</f>
        <v/>
      </c>
      <c r="N1312" s="342" t="str">
        <f t="shared" si="343"/>
        <v/>
      </c>
      <c r="R1312" s="341"/>
      <c r="S1312" s="341"/>
    </row>
    <row r="1313" spans="1:21" ht="12.75" customHeight="1">
      <c r="A1313" s="385"/>
      <c r="B1313" s="386"/>
      <c r="C1313" s="20"/>
      <c r="D1313" s="342"/>
      <c r="E1313" s="387"/>
      <c r="F1313" s="388">
        <f t="shared" si="344"/>
        <v>0</v>
      </c>
      <c r="H1313" s="341" t="str">
        <f>IF(A1313="","",VLOOKUP(A1313,VII.A!$A$10:$D$199,4,FALSE))</f>
        <v/>
      </c>
      <c r="I1313" s="341" t="str">
        <f t="shared" si="341"/>
        <v/>
      </c>
      <c r="J1313" s="341" t="str">
        <f>IF(A1313="","",VLOOKUP(A1313,VII.A!$A$10:$D$199,3,FALSE))</f>
        <v/>
      </c>
      <c r="K1313" s="342" t="str">
        <f t="shared" si="342"/>
        <v/>
      </c>
      <c r="L1313" s="380" t="str">
        <f>IF(C1313="","",G1307*C1313)</f>
        <v/>
      </c>
      <c r="M1313" s="381" t="str">
        <f>IF(A1313="","",VLOOKUP(A1313,VII.A!$A$10:$B$199,2,FALSE))</f>
        <v/>
      </c>
      <c r="N1313" s="342" t="str">
        <f t="shared" si="343"/>
        <v/>
      </c>
      <c r="R1313" s="341"/>
      <c r="S1313" s="341"/>
    </row>
    <row r="1314" spans="1:21" ht="12.75" customHeight="1">
      <c r="A1314" s="385"/>
      <c r="B1314" s="386"/>
      <c r="C1314" s="20"/>
      <c r="D1314" s="342"/>
      <c r="E1314" s="387"/>
      <c r="F1314" s="388">
        <f t="shared" si="344"/>
        <v>0</v>
      </c>
      <c r="H1314" s="341" t="str">
        <f>IF(A1314="","",VLOOKUP(A1314,VII.A!$A$10:$D$199,4,FALSE))</f>
        <v/>
      </c>
      <c r="I1314" s="341" t="str">
        <f t="shared" si="341"/>
        <v/>
      </c>
      <c r="J1314" s="341" t="str">
        <f>IF(A1314="","",VLOOKUP(A1314,VII.A!$A$10:$D$199,3,FALSE))</f>
        <v/>
      </c>
      <c r="K1314" s="342" t="str">
        <f t="shared" si="342"/>
        <v/>
      </c>
      <c r="L1314" s="380" t="str">
        <f>IF(C1314="","",G1307*C1314)</f>
        <v/>
      </c>
      <c r="M1314" s="381" t="str">
        <f>IF(A1314="","",VLOOKUP(A1314,VII.A!$A$10:$B$199,2,FALSE))</f>
        <v/>
      </c>
      <c r="N1314" s="342" t="str">
        <f t="shared" si="343"/>
        <v/>
      </c>
      <c r="R1314" s="341"/>
      <c r="S1314" s="341"/>
      <c r="U1314" s="389"/>
    </row>
    <row r="1315" spans="1:21" ht="12.75" customHeight="1">
      <c r="A1315" s="385"/>
      <c r="B1315" s="386"/>
      <c r="C1315" s="20"/>
      <c r="D1315" s="342"/>
      <c r="E1315" s="387"/>
      <c r="F1315" s="388">
        <f t="shared" si="344"/>
        <v>0</v>
      </c>
      <c r="H1315" s="341" t="str">
        <f>IF(A1315="","",VLOOKUP(A1315,VII.A!$A$10:$D$199,4,FALSE))</f>
        <v/>
      </c>
      <c r="I1315" s="341" t="str">
        <f t="shared" si="341"/>
        <v/>
      </c>
      <c r="J1315" s="341" t="str">
        <f>IF(A1315="","",VLOOKUP(A1315,VII.A!$A$10:$D$199,3,FALSE))</f>
        <v/>
      </c>
      <c r="K1315" s="342" t="str">
        <f t="shared" si="342"/>
        <v/>
      </c>
      <c r="L1315" s="380" t="str">
        <f>IF(C1315="","",G1307*C1315)</f>
        <v/>
      </c>
      <c r="M1315" s="381" t="str">
        <f>IF(A1315="","",VLOOKUP(A1315,VII.A!$A$10:$B$199,2,FALSE))</f>
        <v/>
      </c>
      <c r="N1315" s="342" t="str">
        <f t="shared" si="343"/>
        <v/>
      </c>
      <c r="R1315" s="341"/>
      <c r="S1315" s="341"/>
    </row>
    <row r="1316" spans="1:21" ht="12.75" customHeight="1">
      <c r="A1316" s="385"/>
      <c r="B1316" s="386"/>
      <c r="C1316" s="20"/>
      <c r="D1316" s="342"/>
      <c r="E1316" s="387"/>
      <c r="F1316" s="388">
        <f t="shared" si="344"/>
        <v>0</v>
      </c>
      <c r="G1316" s="390"/>
      <c r="H1316" s="341" t="str">
        <f>IF(A1316="","",VLOOKUP(A1316,VII.A!$A$10:$D$199,4,FALSE))</f>
        <v/>
      </c>
      <c r="I1316" s="341" t="str">
        <f t="shared" si="341"/>
        <v/>
      </c>
      <c r="J1316" s="341" t="str">
        <f>IF(A1316="","",VLOOKUP(A1316,VII.A!$A$10:$D$199,3,FALSE))</f>
        <v/>
      </c>
      <c r="K1316" s="342" t="str">
        <f t="shared" si="342"/>
        <v/>
      </c>
      <c r="L1316" s="380" t="str">
        <f>IF(C1316="","",G1307*C1316)</f>
        <v/>
      </c>
      <c r="M1316" s="381" t="str">
        <f>IF(A1316="","",VLOOKUP(A1316,VII.A!$A$10:$B$199,2,FALSE))</f>
        <v/>
      </c>
      <c r="N1316" s="342" t="str">
        <f t="shared" si="343"/>
        <v/>
      </c>
      <c r="R1316" s="341"/>
      <c r="S1316" s="341"/>
    </row>
    <row r="1317" spans="1:21" ht="12.75" customHeight="1">
      <c r="A1317" s="385"/>
      <c r="B1317" s="386"/>
      <c r="C1317" s="20"/>
      <c r="D1317" s="342"/>
      <c r="E1317" s="387"/>
      <c r="F1317" s="388">
        <f t="shared" si="344"/>
        <v>0</v>
      </c>
      <c r="G1317" s="390"/>
      <c r="H1317" s="341" t="str">
        <f>IF(A1317="","",VLOOKUP(A1317,VII.A!$A$10:$D$199,4,FALSE))</f>
        <v/>
      </c>
      <c r="I1317" s="341" t="str">
        <f t="shared" si="341"/>
        <v/>
      </c>
      <c r="J1317" s="341" t="str">
        <f>IF(A1317="","",VLOOKUP(A1317,VII.A!$A$10:$D$199,3,FALSE))</f>
        <v/>
      </c>
      <c r="K1317" s="342" t="str">
        <f t="shared" si="342"/>
        <v/>
      </c>
      <c r="L1317" s="380" t="str">
        <f>IF(C1317="","",G1307*C1317)</f>
        <v/>
      </c>
      <c r="M1317" s="381" t="str">
        <f>IF(A1317="","",VLOOKUP(A1317,VII.A!$A$10:$B$199,2,FALSE))</f>
        <v/>
      </c>
      <c r="N1317" s="342" t="str">
        <f t="shared" si="343"/>
        <v/>
      </c>
      <c r="R1317" s="341"/>
      <c r="S1317" s="341"/>
    </row>
    <row r="1318" spans="1:21" ht="12.75" customHeight="1">
      <c r="A1318" s="385"/>
      <c r="B1318" s="386"/>
      <c r="C1318" s="20"/>
      <c r="D1318" s="342"/>
      <c r="E1318" s="387"/>
      <c r="F1318" s="388">
        <f t="shared" si="344"/>
        <v>0</v>
      </c>
      <c r="G1318" s="391"/>
      <c r="H1318" s="341" t="str">
        <f>IF(A1318="","",VLOOKUP(A1318,VII.A!$A$10:$D$199,4,FALSE))</f>
        <v/>
      </c>
      <c r="I1318" s="341" t="str">
        <f t="shared" si="341"/>
        <v/>
      </c>
      <c r="J1318" s="341" t="str">
        <f>IF(A1318="","",VLOOKUP(A1318,VII.A!$A$10:$D$199,3,FALSE))</f>
        <v/>
      </c>
      <c r="K1318" s="342" t="str">
        <f t="shared" si="342"/>
        <v/>
      </c>
      <c r="L1318" s="380" t="str">
        <f>IF(C1318="","",G1307*C1318)</f>
        <v/>
      </c>
      <c r="M1318" s="381" t="str">
        <f>IF(A1318="","",VLOOKUP(A1318,VII.A!$A$10:$B$199,2,FALSE))</f>
        <v/>
      </c>
      <c r="N1318" s="342" t="str">
        <f t="shared" si="343"/>
        <v/>
      </c>
      <c r="R1318" s="341"/>
      <c r="S1318" s="341"/>
    </row>
    <row r="1319" spans="1:21" ht="12.75" customHeight="1">
      <c r="A1319" s="385"/>
      <c r="B1319" s="386"/>
      <c r="C1319" s="20"/>
      <c r="D1319" s="342"/>
      <c r="E1319" s="387"/>
      <c r="F1319" s="388">
        <f t="shared" si="344"/>
        <v>0</v>
      </c>
      <c r="H1319" s="341" t="str">
        <f>IF(A1319="","",VLOOKUP(A1319,VII.A!$A$10:$D$199,4,FALSE))</f>
        <v/>
      </c>
      <c r="I1319" s="341" t="str">
        <f t="shared" si="341"/>
        <v/>
      </c>
      <c r="J1319" s="341" t="str">
        <f>IF(A1319="","",VLOOKUP(A1319,VII.A!$A$10:$D$199,3,FALSE))</f>
        <v/>
      </c>
      <c r="K1319" s="342" t="str">
        <f t="shared" si="342"/>
        <v/>
      </c>
      <c r="L1319" s="380" t="str">
        <f>IF(C1319="","",G1307*C1319)</f>
        <v/>
      </c>
      <c r="M1319" s="381" t="str">
        <f>IF(A1319="","",VLOOKUP(A1319,VII.A!$A$10:$B$199,2,FALSE))</f>
        <v/>
      </c>
      <c r="N1319" s="342" t="str">
        <f t="shared" si="343"/>
        <v/>
      </c>
      <c r="R1319" s="341"/>
      <c r="S1319" s="341"/>
    </row>
    <row r="1320" spans="1:21" ht="12.75" customHeight="1">
      <c r="A1320" s="385"/>
      <c r="B1320" s="386"/>
      <c r="C1320" s="20"/>
      <c r="D1320" s="392"/>
      <c r="E1320" s="387"/>
      <c r="F1320" s="388">
        <f t="shared" si="344"/>
        <v>0</v>
      </c>
      <c r="H1320" s="341" t="str">
        <f>IF(A1320="","",VLOOKUP(A1320,VII.A!$A$10:$D$199,4,FALSE))</f>
        <v/>
      </c>
      <c r="I1320" s="341" t="str">
        <f t="shared" si="341"/>
        <v/>
      </c>
      <c r="J1320" s="341" t="str">
        <f>IF(A1320="","",VLOOKUP(A1320,VII.A!$A$10:$D$199,3,FALSE))</f>
        <v/>
      </c>
      <c r="K1320" s="342" t="str">
        <f t="shared" si="342"/>
        <v/>
      </c>
      <c r="L1320" s="380" t="str">
        <f>IF(C1320="","",G1307*C1320)</f>
        <v/>
      </c>
      <c r="M1320" s="381" t="str">
        <f>IF(A1320="","",VLOOKUP(A1320,VII.A!$A$10:$B$199,2,FALSE))</f>
        <v/>
      </c>
      <c r="N1320" s="342" t="str">
        <f t="shared" si="343"/>
        <v/>
      </c>
      <c r="R1320" s="341"/>
      <c r="S1320" s="341"/>
    </row>
    <row r="1321" spans="1:21" ht="12.75" customHeight="1">
      <c r="A1321" s="385"/>
      <c r="B1321" s="386"/>
      <c r="C1321" s="20"/>
      <c r="D1321" s="392"/>
      <c r="E1321" s="387"/>
      <c r="F1321" s="388">
        <f t="shared" si="344"/>
        <v>0</v>
      </c>
      <c r="H1321" s="341" t="str">
        <f>IF(A1321="","",VLOOKUP(A1321,VII.A!$A$10:$D$199,4,FALSE))</f>
        <v/>
      </c>
      <c r="I1321" s="341" t="str">
        <f t="shared" si="341"/>
        <v/>
      </c>
      <c r="J1321" s="341" t="str">
        <f>IF(A1321="","",VLOOKUP(A1321,VII.A!$A$10:$D$199,3,FALSE))</f>
        <v/>
      </c>
      <c r="K1321" s="342" t="str">
        <f t="shared" si="342"/>
        <v/>
      </c>
      <c r="L1321" s="380" t="str">
        <f>IF(C1321="","",G1307*C1321)</f>
        <v/>
      </c>
      <c r="M1321" s="381" t="str">
        <f>IF(A1321="","",VLOOKUP(A1321,VII.A!$A$10:$B$199,2,FALSE))</f>
        <v/>
      </c>
      <c r="N1321" s="342" t="str">
        <f t="shared" si="343"/>
        <v/>
      </c>
      <c r="O1321" s="342"/>
      <c r="R1321" s="341"/>
      <c r="S1321" s="341"/>
    </row>
    <row r="1322" spans="1:21" ht="12.75" customHeight="1">
      <c r="A1322" s="385"/>
      <c r="B1322" s="386"/>
      <c r="C1322" s="20"/>
      <c r="D1322" s="392"/>
      <c r="E1322" s="387"/>
      <c r="F1322" s="388">
        <f t="shared" si="344"/>
        <v>0</v>
      </c>
      <c r="H1322" s="341" t="str">
        <f>IF(A1322="","",VLOOKUP(A1322,VII.A!$A$10:$D$199,4,FALSE))</f>
        <v/>
      </c>
      <c r="I1322" s="341" t="str">
        <f t="shared" si="341"/>
        <v/>
      </c>
      <c r="J1322" s="341" t="str">
        <f>IF(A1322="","",VLOOKUP(A1322,VII.A!$A$10:$D$199,3,FALSE))</f>
        <v/>
      </c>
      <c r="K1322" s="342" t="str">
        <f t="shared" si="342"/>
        <v/>
      </c>
      <c r="L1322" s="380" t="str">
        <f>IF(C1322="","",G1307*C1322)</f>
        <v/>
      </c>
      <c r="M1322" s="381" t="str">
        <f>IF(A1322="","",VLOOKUP(A1322,VII.A!$A$10:$B$199,2,FALSE))</f>
        <v/>
      </c>
      <c r="N1322" s="342" t="str">
        <f t="shared" si="343"/>
        <v/>
      </c>
      <c r="R1322" s="341"/>
      <c r="S1322" s="341"/>
    </row>
    <row r="1323" spans="1:21" ht="12.75" customHeight="1">
      <c r="A1323" s="393"/>
      <c r="C1323" s="20"/>
      <c r="E1323" s="387"/>
      <c r="F1323" s="388">
        <f t="shared" si="344"/>
        <v>0</v>
      </c>
      <c r="H1323" s="341" t="str">
        <f>IF(A1323="","",VLOOKUP(A1323,VII.A!$A$10:$D$199,4,FALSE))</f>
        <v/>
      </c>
      <c r="I1323" s="341" t="str">
        <f t="shared" si="341"/>
        <v/>
      </c>
      <c r="J1323" s="341" t="str">
        <f>IF(A1323="","",VLOOKUP(A1323,VII.A!$A$10:$D$199,3,FALSE))</f>
        <v/>
      </c>
      <c r="K1323" s="342" t="str">
        <f t="shared" si="342"/>
        <v/>
      </c>
      <c r="L1323" s="380" t="str">
        <f>IF(C1323="","",G1307*C1323)</f>
        <v/>
      </c>
      <c r="M1323" s="381" t="str">
        <f>IF(A1323="","",VLOOKUP(A1323,VII.A!$A$10:$B$199,2,FALSE))</f>
        <v/>
      </c>
      <c r="N1323" s="342" t="str">
        <f t="shared" si="343"/>
        <v/>
      </c>
      <c r="R1323" s="341"/>
      <c r="S1323" s="341"/>
    </row>
    <row r="1324" spans="1:21" ht="12.75" customHeight="1">
      <c r="A1324" s="393"/>
      <c r="C1324" s="20"/>
      <c r="E1324" s="387"/>
      <c r="F1324" s="388">
        <f t="shared" si="344"/>
        <v>0</v>
      </c>
      <c r="H1324" s="341" t="str">
        <f>IF(A1324="","",VLOOKUP(A1324,VII.A!$A$10:$D$199,4,FALSE))</f>
        <v/>
      </c>
      <c r="I1324" s="341" t="str">
        <f t="shared" si="341"/>
        <v/>
      </c>
      <c r="J1324" s="341" t="str">
        <f>IF(A1324="","",VLOOKUP(A1324,VII.A!$A$10:$D$199,3,FALSE))</f>
        <v/>
      </c>
      <c r="K1324" s="342" t="str">
        <f t="shared" si="342"/>
        <v/>
      </c>
      <c r="L1324" s="380" t="str">
        <f>IF(C1324="","",G1307*C1324)</f>
        <v/>
      </c>
      <c r="M1324" s="381" t="str">
        <f>IF(A1324="","",VLOOKUP(A1324,VII.A!$A$10:$B$199,2,FALSE))</f>
        <v/>
      </c>
      <c r="N1324" s="342" t="str">
        <f t="shared" si="343"/>
        <v/>
      </c>
      <c r="R1324" s="341"/>
      <c r="S1324" s="341"/>
    </row>
    <row r="1325" spans="1:21" ht="12.75" customHeight="1">
      <c r="A1325" s="393"/>
      <c r="B1325" s="395" t="s">
        <v>226</v>
      </c>
      <c r="C1325" s="396"/>
      <c r="D1325" s="397"/>
      <c r="E1325" s="398"/>
      <c r="F1325" s="399">
        <f>SUM(F1309:F1324)</f>
        <v>0</v>
      </c>
      <c r="H1325" s="433" t="s">
        <v>533</v>
      </c>
      <c r="J1325" s="341"/>
      <c r="L1325" s="380"/>
      <c r="M1325" s="381"/>
      <c r="N1325" s="342"/>
      <c r="R1325" s="341"/>
      <c r="S1325" s="341"/>
    </row>
    <row r="1326" spans="1:21" ht="12.75" customHeight="1">
      <c r="A1326" s="393"/>
      <c r="B1326" s="400" t="s">
        <v>53</v>
      </c>
      <c r="C1326" s="2">
        <f>$D$8</f>
        <v>0</v>
      </c>
      <c r="D1326" s="401"/>
      <c r="E1326" s="402"/>
      <c r="F1326" s="403">
        <f>ROUND(F1325*C1326,2)</f>
        <v>0</v>
      </c>
      <c r="J1326" s="341"/>
      <c r="L1326" s="380"/>
      <c r="M1326" s="381"/>
      <c r="N1326" s="342"/>
      <c r="R1326" s="341"/>
      <c r="S1326" s="341"/>
    </row>
    <row r="1327" spans="1:21" ht="12.75" customHeight="1">
      <c r="A1327" s="404"/>
      <c r="B1327" s="405" t="s">
        <v>227</v>
      </c>
      <c r="C1327" s="406"/>
      <c r="D1327" s="406"/>
      <c r="E1327" s="407"/>
      <c r="F1327" s="408">
        <f>F1325+F1326</f>
        <v>0</v>
      </c>
      <c r="J1327" s="341"/>
      <c r="L1327" s="380"/>
      <c r="M1327" s="381"/>
      <c r="N1327" s="342"/>
      <c r="R1327" s="341"/>
      <c r="S1327" s="341"/>
    </row>
    <row r="1328" spans="1:21" ht="12.75" customHeight="1">
      <c r="A1328" s="374" t="s">
        <v>2</v>
      </c>
      <c r="B1328" s="375" t="s">
        <v>235</v>
      </c>
      <c r="C1328" s="376" t="s">
        <v>231</v>
      </c>
      <c r="D1328" s="376" t="s">
        <v>232</v>
      </c>
      <c r="E1328" s="377" t="s">
        <v>233</v>
      </c>
      <c r="F1328" s="378" t="s">
        <v>234</v>
      </c>
      <c r="J1328" s="341"/>
      <c r="L1328" s="380"/>
      <c r="M1328" s="381"/>
      <c r="N1328" s="342"/>
      <c r="R1328" s="341"/>
      <c r="S1328" s="341"/>
    </row>
    <row r="1329" spans="1:19" ht="12.75" customHeight="1">
      <c r="A1329" s="393"/>
      <c r="B1329" s="423"/>
      <c r="C1329" s="20"/>
      <c r="E1329" s="387"/>
      <c r="F1329" s="388">
        <f t="shared" ref="F1329:F1338" si="345">ROUND(C1329*E1329,2)</f>
        <v>0</v>
      </c>
      <c r="H1329" s="341" t="str">
        <f>IF(A1329="","",VLOOKUP(A1329,VII.A!$A$10:$D$199,4,FALSE))</f>
        <v/>
      </c>
      <c r="I1329" s="341" t="str">
        <f t="shared" ref="I1329:I1338" si="346">IF(A1329="","",IF(E1329=H1329,"SIM","NÃO"))</f>
        <v/>
      </c>
      <c r="J1329" s="341" t="str">
        <f>IF(A1329="","",VLOOKUP(A1329,VII.A!$A$10:$D$199,3,FALSE))</f>
        <v/>
      </c>
      <c r="K1329" s="342" t="str">
        <f t="shared" ref="K1329:K1338" si="347">IF(A1329="","",IF(J1329=D1329,"SIM","NÃO"))</f>
        <v/>
      </c>
      <c r="L1329" s="380" t="str">
        <f>IF(C1329="","",G1307*C1329)</f>
        <v/>
      </c>
      <c r="M1329" s="381" t="str">
        <f>IF(A1329="","",VLOOKUP(A1329,VII.A!$A$10:$B$199,2,FALSE))</f>
        <v/>
      </c>
      <c r="N1329" s="342" t="str">
        <f t="shared" ref="N1329:N1338" si="348">IF(B1329="","",IF(M1329=B1329,"si","no"))</f>
        <v/>
      </c>
      <c r="R1329" s="341"/>
      <c r="S1329" s="341"/>
    </row>
    <row r="1330" spans="1:19" ht="12.75" customHeight="1">
      <c r="A1330" s="393"/>
      <c r="C1330" s="20"/>
      <c r="E1330" s="387"/>
      <c r="F1330" s="388">
        <f t="shared" si="345"/>
        <v>0</v>
      </c>
      <c r="H1330" s="341" t="str">
        <f>IF(A1330="","",VLOOKUP(A1330,VII.A!$A$10:$D$199,4,FALSE))</f>
        <v/>
      </c>
      <c r="I1330" s="341" t="str">
        <f t="shared" si="346"/>
        <v/>
      </c>
      <c r="J1330" s="341" t="str">
        <f>IF(A1330="","",VLOOKUP(A1330,VII.A!$A$10:$D$199,3,FALSE))</f>
        <v/>
      </c>
      <c r="K1330" s="342" t="str">
        <f t="shared" si="347"/>
        <v/>
      </c>
      <c r="L1330" s="380" t="str">
        <f>IF(C1330="","",G1307*C1330)</f>
        <v/>
      </c>
      <c r="M1330" s="381" t="str">
        <f>IF(A1330="","",VLOOKUP(A1330,VII.A!$A$10:$B$199,2,FALSE))</f>
        <v/>
      </c>
      <c r="N1330" s="342" t="str">
        <f t="shared" si="348"/>
        <v/>
      </c>
      <c r="R1330" s="341"/>
      <c r="S1330" s="341"/>
    </row>
    <row r="1331" spans="1:19" ht="12.75" customHeight="1">
      <c r="A1331" s="393"/>
      <c r="C1331" s="20"/>
      <c r="E1331" s="387"/>
      <c r="F1331" s="388">
        <f t="shared" si="345"/>
        <v>0</v>
      </c>
      <c r="H1331" s="341" t="str">
        <f>IF(A1331="","",VLOOKUP(A1331,VII.A!$A$10:$D$199,4,FALSE))</f>
        <v/>
      </c>
      <c r="I1331" s="341" t="str">
        <f t="shared" si="346"/>
        <v/>
      </c>
      <c r="J1331" s="341" t="str">
        <f>IF(A1331="","",VLOOKUP(A1331,VII.A!$A$10:$D$199,3,FALSE))</f>
        <v/>
      </c>
      <c r="K1331" s="342" t="str">
        <f t="shared" si="347"/>
        <v/>
      </c>
      <c r="L1331" s="380" t="str">
        <f>IF(C1331="","",G1307*C1331)</f>
        <v/>
      </c>
      <c r="M1331" s="381" t="str">
        <f>IF(A1331="","",VLOOKUP(A1331,VII.A!$A$10:$B$199,2,FALSE))</f>
        <v/>
      </c>
      <c r="N1331" s="342" t="str">
        <f t="shared" si="348"/>
        <v/>
      </c>
      <c r="R1331" s="341"/>
      <c r="S1331" s="341"/>
    </row>
    <row r="1332" spans="1:19" ht="12.75" customHeight="1">
      <c r="A1332" s="393"/>
      <c r="C1332" s="20"/>
      <c r="E1332" s="387"/>
      <c r="F1332" s="388">
        <f t="shared" si="345"/>
        <v>0</v>
      </c>
      <c r="H1332" s="341" t="str">
        <f>IF(A1332="","",VLOOKUP(A1332,VII.A!$A$10:$D$199,4,FALSE))</f>
        <v/>
      </c>
      <c r="I1332" s="341" t="str">
        <f t="shared" si="346"/>
        <v/>
      </c>
      <c r="J1332" s="341" t="str">
        <f>IF(A1332="","",VLOOKUP(A1332,VII.A!$A$10:$D$199,3,FALSE))</f>
        <v/>
      </c>
      <c r="K1332" s="342" t="str">
        <f t="shared" si="347"/>
        <v/>
      </c>
      <c r="L1332" s="380" t="str">
        <f>IF(C1332="","",G1307*C1332)</f>
        <v/>
      </c>
      <c r="M1332" s="381" t="str">
        <f>IF(A1332="","",VLOOKUP(A1332,VII.A!$A$10:$B$199,2,FALSE))</f>
        <v/>
      </c>
      <c r="N1332" s="342" t="str">
        <f t="shared" si="348"/>
        <v/>
      </c>
      <c r="R1332" s="341"/>
      <c r="S1332" s="341"/>
    </row>
    <row r="1333" spans="1:19" ht="12.75" customHeight="1">
      <c r="A1333" s="393"/>
      <c r="C1333" s="20"/>
      <c r="E1333" s="387"/>
      <c r="F1333" s="388">
        <f t="shared" si="345"/>
        <v>0</v>
      </c>
      <c r="G1333" s="390"/>
      <c r="H1333" s="341" t="str">
        <f>IF(A1333="","",VLOOKUP(A1333,VII.A!$A$10:$D$199,4,FALSE))</f>
        <v/>
      </c>
      <c r="I1333" s="341" t="str">
        <f t="shared" si="346"/>
        <v/>
      </c>
      <c r="J1333" s="341" t="str">
        <f>IF(A1333="","",VLOOKUP(A1333,VII.A!$A$10:$D$199,3,FALSE))</f>
        <v/>
      </c>
      <c r="K1333" s="342" t="str">
        <f t="shared" si="347"/>
        <v/>
      </c>
      <c r="L1333" s="380" t="str">
        <f>IF(C1333="","",G1307*C1333)</f>
        <v/>
      </c>
      <c r="M1333" s="381" t="str">
        <f>IF(A1333="","",VLOOKUP(A1333,VII.A!$A$10:$B$199,2,FALSE))</f>
        <v/>
      </c>
      <c r="N1333" s="342" t="str">
        <f t="shared" si="348"/>
        <v/>
      </c>
      <c r="R1333" s="341"/>
      <c r="S1333" s="341"/>
    </row>
    <row r="1334" spans="1:19" ht="12.75" customHeight="1">
      <c r="A1334" s="393"/>
      <c r="C1334" s="20"/>
      <c r="E1334" s="387"/>
      <c r="F1334" s="388">
        <f t="shared" si="345"/>
        <v>0</v>
      </c>
      <c r="G1334" s="391"/>
      <c r="H1334" s="341" t="str">
        <f>IF(A1334="","",VLOOKUP(A1334,VII.A!$A$10:$D$199,4,FALSE))</f>
        <v/>
      </c>
      <c r="I1334" s="341" t="str">
        <f t="shared" si="346"/>
        <v/>
      </c>
      <c r="J1334" s="341" t="str">
        <f>IF(A1334="","",VLOOKUP(A1334,VII.A!$A$10:$D$199,3,FALSE))</f>
        <v/>
      </c>
      <c r="K1334" s="342" t="str">
        <f t="shared" si="347"/>
        <v/>
      </c>
      <c r="L1334" s="380" t="str">
        <f>IF(C1334="","",G1307*C1334)</f>
        <v/>
      </c>
      <c r="M1334" s="381" t="str">
        <f>IF(A1334="","",VLOOKUP(A1334,VII.A!$A$10:$B$199,2,FALSE))</f>
        <v/>
      </c>
      <c r="N1334" s="342" t="str">
        <f t="shared" si="348"/>
        <v/>
      </c>
      <c r="R1334" s="341"/>
      <c r="S1334" s="341"/>
    </row>
    <row r="1335" spans="1:19" ht="12.75" customHeight="1">
      <c r="A1335" s="393"/>
      <c r="C1335" s="20"/>
      <c r="E1335" s="387"/>
      <c r="F1335" s="388">
        <f t="shared" si="345"/>
        <v>0</v>
      </c>
      <c r="H1335" s="341" t="str">
        <f>IF(A1335="","",VLOOKUP(A1335,VII.A!$A$10:$D$199,4,FALSE))</f>
        <v/>
      </c>
      <c r="I1335" s="341" t="str">
        <f t="shared" si="346"/>
        <v/>
      </c>
      <c r="J1335" s="341" t="str">
        <f>IF(A1335="","",VLOOKUP(A1335,VII.A!$A$10:$D$199,3,FALSE))</f>
        <v/>
      </c>
      <c r="K1335" s="342" t="str">
        <f t="shared" si="347"/>
        <v/>
      </c>
      <c r="L1335" s="380" t="str">
        <f>IF(C1335="","",G1307*C1335)</f>
        <v/>
      </c>
      <c r="M1335" s="381" t="str">
        <f>IF(A1335="","",VLOOKUP(A1335,VII.A!$A$10:$B$199,2,FALSE))</f>
        <v/>
      </c>
      <c r="N1335" s="342" t="str">
        <f t="shared" si="348"/>
        <v/>
      </c>
      <c r="R1335" s="341"/>
      <c r="S1335" s="341"/>
    </row>
    <row r="1336" spans="1:19" ht="12.75" customHeight="1">
      <c r="A1336" s="393"/>
      <c r="C1336" s="20"/>
      <c r="E1336" s="387"/>
      <c r="F1336" s="388">
        <f t="shared" si="345"/>
        <v>0</v>
      </c>
      <c r="H1336" s="341" t="str">
        <f>IF(A1336="","",VLOOKUP(A1336,VII.A!$A$10:$D$199,4,FALSE))</f>
        <v/>
      </c>
      <c r="I1336" s="341" t="str">
        <f t="shared" si="346"/>
        <v/>
      </c>
      <c r="J1336" s="341" t="str">
        <f>IF(A1336="","",VLOOKUP(A1336,VII.A!$A$10:$D$199,3,FALSE))</f>
        <v/>
      </c>
      <c r="K1336" s="342" t="str">
        <f t="shared" si="347"/>
        <v/>
      </c>
      <c r="L1336" s="380" t="str">
        <f>IF(C1336="","",G1307*C1336)</f>
        <v/>
      </c>
      <c r="M1336" s="381" t="str">
        <f>IF(A1336="","",VLOOKUP(A1336,VII.A!$A$10:$B$199,2,FALSE))</f>
        <v/>
      </c>
      <c r="N1336" s="342" t="str">
        <f t="shared" si="348"/>
        <v/>
      </c>
      <c r="R1336" s="341"/>
      <c r="S1336" s="341"/>
    </row>
    <row r="1337" spans="1:19" ht="12.75" customHeight="1">
      <c r="A1337" s="393"/>
      <c r="C1337" s="20"/>
      <c r="E1337" s="387"/>
      <c r="F1337" s="388">
        <f t="shared" si="345"/>
        <v>0</v>
      </c>
      <c r="H1337" s="341" t="str">
        <f>IF(A1337="","",VLOOKUP(A1337,VII.A!$A$10:$D$199,4,FALSE))</f>
        <v/>
      </c>
      <c r="I1337" s="341" t="str">
        <f t="shared" si="346"/>
        <v/>
      </c>
      <c r="J1337" s="341" t="str">
        <f>IF(A1337="","",VLOOKUP(A1337,VII.A!$A$10:$D$199,3,FALSE))</f>
        <v/>
      </c>
      <c r="K1337" s="342" t="str">
        <f t="shared" si="347"/>
        <v/>
      </c>
      <c r="L1337" s="380" t="str">
        <f>IF(C1337="","",G1307*C1337)</f>
        <v/>
      </c>
      <c r="M1337" s="381" t="str">
        <f>IF(A1337="","",VLOOKUP(A1337,VII.A!$A$10:$B$199,2,FALSE))</f>
        <v/>
      </c>
      <c r="N1337" s="342" t="str">
        <f t="shared" si="348"/>
        <v/>
      </c>
      <c r="R1337" s="341"/>
      <c r="S1337" s="341"/>
    </row>
    <row r="1338" spans="1:19" ht="12.75" customHeight="1">
      <c r="A1338" s="393"/>
      <c r="C1338" s="20"/>
      <c r="E1338" s="387"/>
      <c r="F1338" s="388">
        <f t="shared" si="345"/>
        <v>0</v>
      </c>
      <c r="H1338" s="341" t="str">
        <f>IF(A1338="","",VLOOKUP(A1338,VII.A!$A$10:$D$199,4,FALSE))</f>
        <v/>
      </c>
      <c r="I1338" s="341" t="str">
        <f t="shared" si="346"/>
        <v/>
      </c>
      <c r="J1338" s="341" t="str">
        <f>IF(A1338="","",VLOOKUP(A1338,VII.A!$A$10:$D$199,3,FALSE))</f>
        <v/>
      </c>
      <c r="K1338" s="342" t="str">
        <f t="shared" si="347"/>
        <v/>
      </c>
      <c r="L1338" s="380" t="str">
        <f>IF(C1338="","",G1307*C1338)</f>
        <v/>
      </c>
      <c r="M1338" s="381" t="str">
        <f>IF(A1338="","",VLOOKUP(A1338,VII.A!$A$10:$B$199,2,FALSE))</f>
        <v/>
      </c>
      <c r="N1338" s="342" t="str">
        <f t="shared" si="348"/>
        <v/>
      </c>
      <c r="R1338" s="341"/>
      <c r="S1338" s="341"/>
    </row>
    <row r="1339" spans="1:19" ht="12.75" customHeight="1">
      <c r="A1339" s="393"/>
      <c r="B1339" s="395" t="s">
        <v>226</v>
      </c>
      <c r="C1339" s="396"/>
      <c r="D1339" s="397"/>
      <c r="E1339" s="398"/>
      <c r="F1339" s="399">
        <f>SUM(F1329:F1338)</f>
        <v>0</v>
      </c>
      <c r="J1339" s="341"/>
      <c r="L1339" s="380"/>
      <c r="M1339" s="381"/>
      <c r="N1339" s="342"/>
      <c r="R1339" s="341"/>
      <c r="S1339" s="341"/>
    </row>
    <row r="1340" spans="1:19" ht="12.75" customHeight="1">
      <c r="A1340" s="393"/>
      <c r="B1340" s="400" t="s">
        <v>53</v>
      </c>
      <c r="C1340" s="2">
        <f>$D$8</f>
        <v>0</v>
      </c>
      <c r="D1340" s="401"/>
      <c r="E1340" s="402"/>
      <c r="F1340" s="403">
        <f>ROUND(C1340*F1339,2)</f>
        <v>0</v>
      </c>
      <c r="J1340" s="341"/>
      <c r="L1340" s="380"/>
      <c r="M1340" s="381"/>
      <c r="N1340" s="342"/>
      <c r="R1340" s="341"/>
      <c r="S1340" s="341"/>
    </row>
    <row r="1341" spans="1:19" ht="12.75" customHeight="1">
      <c r="A1341" s="404"/>
      <c r="B1341" s="405" t="s">
        <v>228</v>
      </c>
      <c r="C1341" s="406"/>
      <c r="D1341" s="406"/>
      <c r="E1341" s="407"/>
      <c r="F1341" s="408">
        <f>F1339+F1340</f>
        <v>0</v>
      </c>
      <c r="J1341" s="341"/>
      <c r="L1341" s="380"/>
      <c r="M1341" s="381"/>
      <c r="N1341" s="342"/>
      <c r="R1341" s="341"/>
      <c r="S1341" s="341"/>
    </row>
    <row r="1342" spans="1:19" ht="12.75" customHeight="1">
      <c r="A1342" s="409" t="s">
        <v>47</v>
      </c>
      <c r="B1342" s="410" t="s">
        <v>236</v>
      </c>
      <c r="C1342" s="411" t="s">
        <v>231</v>
      </c>
      <c r="D1342" s="412" t="s">
        <v>232</v>
      </c>
      <c r="E1342" s="413" t="s">
        <v>233</v>
      </c>
      <c r="F1342" s="378" t="s">
        <v>234</v>
      </c>
      <c r="J1342" s="341"/>
      <c r="L1342" s="380"/>
      <c r="M1342" s="381"/>
      <c r="N1342" s="342"/>
      <c r="R1342" s="341"/>
      <c r="S1342" s="341"/>
    </row>
    <row r="1343" spans="1:19" ht="12.75" customHeight="1">
      <c r="A1343" s="393" t="str">
        <f>VII.A!$A$192</f>
        <v>3.12</v>
      </c>
      <c r="B1343" s="394" t="str">
        <f>VII.A!$B$192</f>
        <v>PEDREIRO COM ENCARGOS COMPLEMENTARES</v>
      </c>
      <c r="C1343" s="20">
        <v>0.54</v>
      </c>
      <c r="D1343" s="384" t="str">
        <f>VII.A!$C$192</f>
        <v>H</v>
      </c>
      <c r="E1343" s="387">
        <f>VII.A!$D$192</f>
        <v>0</v>
      </c>
      <c r="F1343" s="388">
        <f t="shared" ref="F1343:F1349" si="349">ROUND(C1343*E1343,2)</f>
        <v>0</v>
      </c>
      <c r="H1343" s="341">
        <f>IF(A1343="","",VLOOKUP(A1343,VII.A!$A$10:$D$199,4,FALSE))</f>
        <v>0</v>
      </c>
      <c r="I1343" s="341" t="str">
        <f t="shared" ref="I1343:I1349" si="350">IF(A1343="","",IF(E1343=H1343,"SIM","NÃO"))</f>
        <v>SIM</v>
      </c>
      <c r="J1343" s="341" t="str">
        <f>IF(A1343="","",VLOOKUP(A1343,VII.A!$A$10:$D$199,3,FALSE))</f>
        <v>H</v>
      </c>
      <c r="K1343" s="342" t="str">
        <f t="shared" ref="K1343:K1349" si="351">IF(A1343="","",IF(J1343=D1343,"SIM","NÃO"))</f>
        <v>SIM</v>
      </c>
      <c r="L1343" s="380">
        <f>IF(C1343="","",G1307*C1343)</f>
        <v>0.81</v>
      </c>
      <c r="M1343" s="381" t="str">
        <f>IF(A1343="","",VLOOKUP(A1343,VII.A!$A$10:$B$199,2,FALSE))</f>
        <v>PEDREIRO COM ENCARGOS COMPLEMENTARES</v>
      </c>
      <c r="N1343" s="342" t="str">
        <f t="shared" ref="N1343:N1349" si="352">IF(B1343="","",IF(M1343=B1343,"si","no"))</f>
        <v>si</v>
      </c>
      <c r="R1343" s="341"/>
      <c r="S1343" s="341"/>
    </row>
    <row r="1344" spans="1:19" ht="12.75" customHeight="1">
      <c r="A1344" s="393" t="str">
        <f>VII.A!$A$196</f>
        <v>3.16</v>
      </c>
      <c r="B1344" s="394" t="str">
        <f>VII.A!$B$196</f>
        <v>SERVENTE COM ENCARGOS COMPLEMENTARES</v>
      </c>
      <c r="C1344" s="20">
        <v>0.75</v>
      </c>
      <c r="D1344" s="384" t="str">
        <f>VII.A!$C$196</f>
        <v>H</v>
      </c>
      <c r="E1344" s="387">
        <f>VII.A!$D$196</f>
        <v>0</v>
      </c>
      <c r="F1344" s="388">
        <f t="shared" si="349"/>
        <v>0</v>
      </c>
      <c r="H1344" s="341">
        <f>IF(A1344="","",VLOOKUP(A1344,VII.A!$A$10:$D$199,4,FALSE))</f>
        <v>0</v>
      </c>
      <c r="I1344" s="341" t="str">
        <f t="shared" si="350"/>
        <v>SIM</v>
      </c>
      <c r="J1344" s="341" t="str">
        <f>IF(A1344="","",VLOOKUP(A1344,VII.A!$A$10:$D$199,3,FALSE))</f>
        <v>H</v>
      </c>
      <c r="K1344" s="342" t="str">
        <f t="shared" si="351"/>
        <v>SIM</v>
      </c>
      <c r="L1344" s="380">
        <f>IF(C1344="","",G1307*C1344)</f>
        <v>1.125</v>
      </c>
      <c r="M1344" s="381" t="str">
        <f>IF(A1344="","",VLOOKUP(A1344,VII.A!$A$10:$B$199,2,FALSE))</f>
        <v>SERVENTE COM ENCARGOS COMPLEMENTARES</v>
      </c>
      <c r="N1344" s="342" t="str">
        <f t="shared" si="352"/>
        <v>si</v>
      </c>
      <c r="R1344" s="341"/>
      <c r="S1344" s="341"/>
    </row>
    <row r="1345" spans="1:25" ht="12.75" customHeight="1">
      <c r="A1345" s="393"/>
      <c r="C1345" s="20"/>
      <c r="E1345" s="387"/>
      <c r="F1345" s="388">
        <f t="shared" si="349"/>
        <v>0</v>
      </c>
      <c r="H1345" s="341" t="str">
        <f>IF(A1345="","",VLOOKUP(A1345,VII.A!$A$10:$D$199,4,FALSE))</f>
        <v/>
      </c>
      <c r="I1345" s="341" t="str">
        <f t="shared" si="350"/>
        <v/>
      </c>
      <c r="J1345" s="341" t="str">
        <f>IF(A1345="","",VLOOKUP(A1345,VII.A!$A$10:$D$199,3,FALSE))</f>
        <v/>
      </c>
      <c r="K1345" s="342" t="str">
        <f t="shared" si="351"/>
        <v/>
      </c>
      <c r="L1345" s="380" t="str">
        <f>IF(C1345="","",G1307*C1345)</f>
        <v/>
      </c>
      <c r="M1345" s="381" t="str">
        <f>IF(A1345="","",VLOOKUP(A1345,VII.A!$A$10:$B$199,2,FALSE))</f>
        <v/>
      </c>
      <c r="N1345" s="342" t="str">
        <f t="shared" si="352"/>
        <v/>
      </c>
      <c r="R1345" s="341"/>
      <c r="S1345" s="341"/>
    </row>
    <row r="1346" spans="1:25" ht="12.75" customHeight="1">
      <c r="A1346" s="393"/>
      <c r="C1346" s="20"/>
      <c r="E1346" s="387"/>
      <c r="F1346" s="388">
        <f t="shared" si="349"/>
        <v>0</v>
      </c>
      <c r="H1346" s="341" t="str">
        <f>IF(A1346="","",VLOOKUP(A1346,VII.A!$A$10:$D$199,4,FALSE))</f>
        <v/>
      </c>
      <c r="I1346" s="341" t="str">
        <f t="shared" si="350"/>
        <v/>
      </c>
      <c r="J1346" s="341" t="str">
        <f>IF(A1346="","",VLOOKUP(A1346,VII.A!$A$10:$D$199,3,FALSE))</f>
        <v/>
      </c>
      <c r="K1346" s="342" t="str">
        <f t="shared" si="351"/>
        <v/>
      </c>
      <c r="L1346" s="380" t="str">
        <f>IF(C1346="","",G1307*C1346)</f>
        <v/>
      </c>
      <c r="M1346" s="381" t="str">
        <f>IF(A1346="","",VLOOKUP(A1346,VII.A!$A$10:$B$199,2,FALSE))</f>
        <v/>
      </c>
      <c r="N1346" s="342" t="str">
        <f t="shared" si="352"/>
        <v/>
      </c>
      <c r="R1346" s="341"/>
      <c r="S1346" s="341"/>
    </row>
    <row r="1347" spans="1:25" ht="12.75" customHeight="1">
      <c r="A1347" s="393"/>
      <c r="C1347" s="20"/>
      <c r="E1347" s="387"/>
      <c r="F1347" s="388">
        <f t="shared" si="349"/>
        <v>0</v>
      </c>
      <c r="H1347" s="341" t="str">
        <f>IF(A1347="","",VLOOKUP(A1347,VII.A!$A$10:$D$199,4,FALSE))</f>
        <v/>
      </c>
      <c r="I1347" s="341" t="str">
        <f t="shared" si="350"/>
        <v/>
      </c>
      <c r="J1347" s="341" t="str">
        <f>IF(A1347="","",VLOOKUP(A1347,VII.A!$A$10:$D$199,3,FALSE))</f>
        <v/>
      </c>
      <c r="K1347" s="342" t="str">
        <f t="shared" si="351"/>
        <v/>
      </c>
      <c r="L1347" s="380" t="str">
        <f>IF(C1347="","",G1307*C1347)</f>
        <v/>
      </c>
      <c r="M1347" s="381" t="str">
        <f>IF(A1347="","",VLOOKUP(A1347,VII.A!$A$10:$B$199,2,FALSE))</f>
        <v/>
      </c>
      <c r="N1347" s="342" t="str">
        <f t="shared" si="352"/>
        <v/>
      </c>
      <c r="R1347" s="341"/>
      <c r="S1347" s="341"/>
    </row>
    <row r="1348" spans="1:25" ht="12.75" customHeight="1">
      <c r="A1348" s="393"/>
      <c r="C1348" s="20"/>
      <c r="E1348" s="387"/>
      <c r="F1348" s="388">
        <f t="shared" si="349"/>
        <v>0</v>
      </c>
      <c r="H1348" s="341" t="str">
        <f>IF(A1348="","",VLOOKUP(A1348,VII.A!$A$10:$D$199,4,FALSE))</f>
        <v/>
      </c>
      <c r="I1348" s="341" t="str">
        <f t="shared" si="350"/>
        <v/>
      </c>
      <c r="J1348" s="341" t="str">
        <f>IF(A1348="","",VLOOKUP(A1348,VII.A!$A$10:$D$199,3,FALSE))</f>
        <v/>
      </c>
      <c r="K1348" s="342" t="str">
        <f t="shared" si="351"/>
        <v/>
      </c>
      <c r="L1348" s="380" t="str">
        <f>IF(C1348="","",G1307*C1348)</f>
        <v/>
      </c>
      <c r="M1348" s="381" t="str">
        <f>IF(A1348="","",VLOOKUP(A1348,VII.A!$A$10:$B$199,2,FALSE))</f>
        <v/>
      </c>
      <c r="N1348" s="342" t="str">
        <f t="shared" si="352"/>
        <v/>
      </c>
      <c r="R1348" s="341"/>
      <c r="S1348" s="341"/>
    </row>
    <row r="1349" spans="1:25" ht="12.75" customHeight="1">
      <c r="A1349" s="393"/>
      <c r="C1349" s="20"/>
      <c r="E1349" s="387"/>
      <c r="F1349" s="388">
        <f t="shared" si="349"/>
        <v>0</v>
      </c>
      <c r="H1349" s="341" t="str">
        <f>IF(A1349="","",VLOOKUP(A1349,VII.A!$A$10:$D$199,4,FALSE))</f>
        <v/>
      </c>
      <c r="I1349" s="341" t="str">
        <f t="shared" si="350"/>
        <v/>
      </c>
      <c r="J1349" s="341" t="str">
        <f>IF(A1349="","",VLOOKUP(A1349,VII.A!$A$10:$D$199,3,FALSE))</f>
        <v/>
      </c>
      <c r="K1349" s="342" t="str">
        <f t="shared" si="351"/>
        <v/>
      </c>
      <c r="L1349" s="380" t="str">
        <f>IF(C1349="","",G1307*C1349)</f>
        <v/>
      </c>
      <c r="M1349" s="381" t="str">
        <f>IF(A1349="","",VLOOKUP(A1349,VII.A!$A$10:$B$199,2,FALSE))</f>
        <v/>
      </c>
      <c r="N1349" s="342" t="str">
        <f t="shared" si="352"/>
        <v/>
      </c>
      <c r="R1349" s="341"/>
      <c r="S1349" s="341"/>
    </row>
    <row r="1350" spans="1:25" ht="12.75" customHeight="1">
      <c r="A1350" s="393"/>
      <c r="B1350" s="395" t="s">
        <v>226</v>
      </c>
      <c r="C1350" s="396"/>
      <c r="D1350" s="397"/>
      <c r="E1350" s="398"/>
      <c r="F1350" s="399">
        <f>SUM(F1343:F1349)</f>
        <v>0</v>
      </c>
      <c r="J1350" s="341"/>
      <c r="L1350" s="380"/>
      <c r="M1350" s="381"/>
      <c r="N1350" s="342"/>
      <c r="R1350" s="341"/>
      <c r="S1350" s="341"/>
    </row>
    <row r="1351" spans="1:25" ht="12.75" customHeight="1">
      <c r="A1351" s="393"/>
      <c r="B1351" s="400" t="s">
        <v>229</v>
      </c>
      <c r="C1351" s="2">
        <f>IX.A!$C$45</f>
        <v>0</v>
      </c>
      <c r="D1351" s="401"/>
      <c r="E1351" s="402"/>
      <c r="F1351" s="403">
        <f>ROUND(F1350*C1351,2)</f>
        <v>0</v>
      </c>
      <c r="J1351" s="341"/>
      <c r="L1351" s="380"/>
      <c r="M1351" s="381"/>
      <c r="N1351" s="342"/>
      <c r="R1351" s="341"/>
      <c r="S1351" s="341"/>
    </row>
    <row r="1352" spans="1:25" ht="12.75" customHeight="1">
      <c r="A1352" s="393"/>
      <c r="B1352" s="400" t="s">
        <v>53</v>
      </c>
      <c r="C1352" s="2">
        <f>$D$8</f>
        <v>0</v>
      </c>
      <c r="D1352" s="401"/>
      <c r="E1352" s="402"/>
      <c r="F1352" s="403">
        <f>ROUND(SUM(F1350:F1351)*C1352,2)</f>
        <v>0</v>
      </c>
      <c r="J1352" s="341"/>
      <c r="L1352" s="380"/>
      <c r="M1352" s="381"/>
      <c r="N1352" s="342"/>
      <c r="R1352" s="341"/>
      <c r="S1352" s="341"/>
    </row>
    <row r="1353" spans="1:25" ht="12.75" customHeight="1" thickBot="1">
      <c r="A1353" s="414"/>
      <c r="B1353" s="415" t="s">
        <v>230</v>
      </c>
      <c r="C1353" s="416"/>
      <c r="D1353" s="416"/>
      <c r="E1353" s="417"/>
      <c r="F1353" s="418">
        <f>SUM(F1350:F1352)</f>
        <v>0</v>
      </c>
      <c r="J1353" s="341"/>
      <c r="L1353" s="380"/>
      <c r="M1353" s="381"/>
      <c r="N1353" s="342"/>
      <c r="R1353" s="341"/>
      <c r="S1353" s="341"/>
    </row>
    <row r="1354" spans="1:25" ht="12.75" customHeight="1" thickBot="1">
      <c r="A1354" s="357"/>
      <c r="B1354" s="358"/>
      <c r="C1354" s="359"/>
      <c r="D1354" s="359"/>
      <c r="E1354" s="360"/>
      <c r="F1354" s="419"/>
      <c r="J1354" s="341"/>
      <c r="L1354" s="380"/>
      <c r="M1354" s="381"/>
      <c r="N1354" s="342"/>
      <c r="R1354" s="341"/>
      <c r="S1354" s="341"/>
    </row>
    <row r="1355" spans="1:25" ht="30" customHeight="1">
      <c r="A1355" s="370" t="str">
        <f>IV.A!$A$55</f>
        <v>3.2.6</v>
      </c>
      <c r="B1355" s="371" t="str">
        <f>IV.A!B55</f>
        <v>JANELA DE AÇO DE CORRER, TIPO VENEZIANA, FIXAÇÃO COM ARGAMASSA</v>
      </c>
      <c r="C1355" s="871" t="s">
        <v>237</v>
      </c>
      <c r="D1355" s="872"/>
      <c r="E1355" s="372" t="str">
        <f>IV.A!C55</f>
        <v>M2</v>
      </c>
      <c r="F1355" s="11">
        <f>ROUND(F1375+F1389+F1401,2)</f>
        <v>0</v>
      </c>
      <c r="G1355" s="1">
        <f>VLOOKUP(A1355,IV.A!$A$16:$L$172,4,FALSE)</f>
        <v>5</v>
      </c>
      <c r="H1355" s="361">
        <f>SUM(F1357:F1372)+F1374</f>
        <v>0</v>
      </c>
      <c r="I1355" s="361">
        <f>SUM(F1377:F1386)+F1388</f>
        <v>0</v>
      </c>
      <c r="J1355" s="361">
        <f>SUM(F1391:F1397)+F1399+F1400</f>
        <v>0</v>
      </c>
      <c r="K1355" s="361">
        <f>SUM(H1355:J1355)</f>
        <v>0</v>
      </c>
      <c r="L1355" s="362" t="str">
        <f>IF(K1355=F1355,"SIM","NÃO")</f>
        <v>SIM</v>
      </c>
      <c r="M1355" s="373">
        <f>ROUND(SUM(F1357:F1372),2)+ROUND(SUM(F1357:F1372)*C1374,2)+ROUND(SUM(F1377:F1386)*C1388,2)+ROUND(SUM(F1377:F1386),2)+ROUND(SUM(F1391:F1397)*C1399,2)+ROUND((SUM(F1391:F1397)+ROUND(SUM(F1391:F1397)*C1399,2))*C1400,2)+ROUND(SUM(F1391:F1397),2)</f>
        <v>0</v>
      </c>
      <c r="N1355" s="343" t="str">
        <f>IF(M1355=F1355,"SIM","NÃO")</f>
        <v>SIM</v>
      </c>
      <c r="O1355" s="364" t="str">
        <f>VLOOKUP(A1355,IV.A!$A$16:$E$172,3,FALSE)</f>
        <v>M2</v>
      </c>
      <c r="P1355" s="344" t="str">
        <f>IF(O1355=E1355,"SIM","NÃO")</f>
        <v>SIM</v>
      </c>
      <c r="Q1355" s="365">
        <f>ROUND(G1355*F1375,2)+ROUND(G1355*F1389,2)+ROUND(G1355*F1401,2)</f>
        <v>0</v>
      </c>
      <c r="R1355" s="364">
        <f>VLOOKUP(A1355,IV.A!$A$16:$L$172,12,FALSE)</f>
        <v>0</v>
      </c>
      <c r="S1355" s="366" t="str">
        <f>IF(Q1355=R1355,"si","no")</f>
        <v>si</v>
      </c>
      <c r="T1355" s="367">
        <f>SUM(L1357:L1372)+SUM(L1377:L1386)+SUM(L1391:L1397)</f>
        <v>38.7879</v>
      </c>
      <c r="U1355" s="341">
        <f>(SUM(C1357:C1372)+SUM(C1377:C1386)+SUM(C1391:C1397))*G1355</f>
        <v>38.787900000000008</v>
      </c>
      <c r="V1355" s="368" t="str">
        <f>IF(T1355=U1355,"si","no")</f>
        <v>si</v>
      </c>
      <c r="W1355" s="369">
        <f>SUM(F1357:F1372)</f>
        <v>0</v>
      </c>
      <c r="X1355" s="369">
        <f>SUM(F1377:F1386)</f>
        <v>0</v>
      </c>
      <c r="Y1355" s="369">
        <f>SUM(F1391:F1397)</f>
        <v>0</v>
      </c>
    </row>
    <row r="1356" spans="1:25" ht="12.75" customHeight="1">
      <c r="A1356" s="374" t="s">
        <v>14</v>
      </c>
      <c r="B1356" s="375" t="s">
        <v>132</v>
      </c>
      <c r="C1356" s="376" t="s">
        <v>231</v>
      </c>
      <c r="D1356" s="376" t="s">
        <v>232</v>
      </c>
      <c r="E1356" s="377" t="s">
        <v>233</v>
      </c>
      <c r="F1356" s="378" t="s">
        <v>234</v>
      </c>
      <c r="G1356" s="379"/>
      <c r="J1356" s="341"/>
      <c r="L1356" s="380"/>
      <c r="M1356" s="381"/>
      <c r="N1356" s="342"/>
      <c r="O1356" s="382"/>
      <c r="P1356" s="383"/>
      <c r="Q1356" s="383"/>
      <c r="R1356" s="383"/>
      <c r="S1356" s="383"/>
      <c r="T1356" s="382"/>
      <c r="U1356" s="341"/>
      <c r="V1356" s="384"/>
      <c r="W1356" s="384"/>
      <c r="X1356" s="384"/>
      <c r="Y1356" s="384"/>
    </row>
    <row r="1357" spans="1:25" ht="12.75" customHeight="1">
      <c r="A1357" s="385" t="str">
        <f>VII.A!$A$63</f>
        <v>1.54</v>
      </c>
      <c r="B1357" s="394" t="str">
        <f>VLOOKUP(A1357,VII.A!$A$10:$G$199,2,FALSE)</f>
        <v>JANELA DE CORRER, ACO, BATENTE 6 A 14 CM, VENEZIANA, PINT ANTICORROSIVA, SEM VIDRO, 4 FLS, 120 X 150 CM</v>
      </c>
      <c r="C1357" s="20">
        <v>1.0004999999999999</v>
      </c>
      <c r="D1357" s="342" t="str">
        <f>VLOOKUP(A1357,VII.A!$A$10:$G$199,3,FALSE)</f>
        <v>M2</v>
      </c>
      <c r="E1357" s="387">
        <f>VII.A!$D$63</f>
        <v>0</v>
      </c>
      <c r="F1357" s="388">
        <f>ROUND(C1357*E1357,2)</f>
        <v>0</v>
      </c>
      <c r="H1357" s="341">
        <f>IF(A1357="","",VLOOKUP(A1357,VII.A!$A$10:$D$199,4,FALSE))</f>
        <v>0</v>
      </c>
      <c r="I1357" s="341" t="str">
        <f t="shared" ref="I1357:I1372" si="353">IF(A1357="","",IF(E1357=H1357,"SIM","NÃO"))</f>
        <v>SIM</v>
      </c>
      <c r="J1357" s="341" t="str">
        <f>IF(A1357="","",VLOOKUP(A1357,VII.A!$A$10:$D$199,3,FALSE))</f>
        <v>M2</v>
      </c>
      <c r="K1357" s="342" t="str">
        <f t="shared" ref="K1357:K1372" si="354">IF(A1357="","",IF(J1357=D1357,"SIM","NÃO"))</f>
        <v>SIM</v>
      </c>
      <c r="L1357" s="380">
        <f>IF(C1357="","",G1355*C1357)</f>
        <v>5.0024999999999995</v>
      </c>
      <c r="M1357" s="381" t="str">
        <f>IF(A1357="","",VLOOKUP(A1357,VII.A!$A$10:$B$199,2,FALSE))</f>
        <v>JANELA DE CORRER, ACO, BATENTE 6 A 14 CM, VENEZIANA, PINT ANTICORROSIVA, SEM VIDRO, 4 FLS, 120 X 150 CM</v>
      </c>
      <c r="N1357" s="342" t="str">
        <f t="shared" ref="N1357:N1372" si="355">IF(B1357="","",IF(M1357=B1357,"si","no"))</f>
        <v>si</v>
      </c>
      <c r="R1357" s="341"/>
      <c r="S1357" s="341"/>
    </row>
    <row r="1358" spans="1:25" ht="12.75" customHeight="1">
      <c r="A1358" s="385" t="str">
        <f>VII.A!$A$19</f>
        <v>1.10</v>
      </c>
      <c r="B1358" s="394" t="str">
        <f>VLOOKUP(A1358,VII.A!$A$10:$G$199,2,FALSE)</f>
        <v>AREIA MÉDIA LAVADA</v>
      </c>
      <c r="C1358" s="20">
        <v>9.1999999999999998E-3</v>
      </c>
      <c r="D1358" s="342" t="str">
        <f>VLOOKUP(A1358,VII.A!$A$10:$G$199,3,FALSE)</f>
        <v>M3</v>
      </c>
      <c r="E1358" s="387">
        <f>VII.A!$D$19</f>
        <v>0</v>
      </c>
      <c r="F1358" s="388">
        <f t="shared" ref="F1358:F1372" si="356">ROUND(C1358*E1358,2)</f>
        <v>0</v>
      </c>
      <c r="H1358" s="341">
        <f>IF(A1358="","",VLOOKUP(A1358,VII.A!$A$10:$D$199,4,FALSE))</f>
        <v>0</v>
      </c>
      <c r="I1358" s="341" t="str">
        <f t="shared" si="353"/>
        <v>SIM</v>
      </c>
      <c r="J1358" s="341" t="str">
        <f>IF(A1358="","",VLOOKUP(A1358,VII.A!$A$10:$D$199,3,FALSE))</f>
        <v>M3</v>
      </c>
      <c r="K1358" s="342" t="str">
        <f t="shared" si="354"/>
        <v>SIM</v>
      </c>
      <c r="L1358" s="380">
        <f>IF(C1358="","",G1355*C1358)</f>
        <v>4.5999999999999999E-2</v>
      </c>
      <c r="M1358" s="381" t="str">
        <f>IF(A1358="","",VLOOKUP(A1358,VII.A!$A$10:$B$199,2,FALSE))</f>
        <v>AREIA MÉDIA LAVADA</v>
      </c>
      <c r="N1358" s="342" t="str">
        <f t="shared" si="355"/>
        <v>si</v>
      </c>
      <c r="R1358" s="341"/>
      <c r="S1358" s="341"/>
    </row>
    <row r="1359" spans="1:25" ht="12.75" customHeight="1">
      <c r="A1359" s="385" t="str">
        <f>VII.A!$A$38</f>
        <v>1.29</v>
      </c>
      <c r="B1359" s="394" t="str">
        <f>VLOOKUP(A1359,VII.A!$A$10:$G$199,2,FALSE)</f>
        <v>CIMENTO PORTLAND CP II-E-32</v>
      </c>
      <c r="C1359" s="20">
        <v>3.5320800000000001</v>
      </c>
      <c r="D1359" s="342" t="str">
        <f>VLOOKUP(A1359,VII.A!$A$10:$G$199,3,FALSE)</f>
        <v>KG</v>
      </c>
      <c r="E1359" s="387">
        <f>VII.A!$D$38</f>
        <v>0</v>
      </c>
      <c r="F1359" s="388">
        <f t="shared" si="356"/>
        <v>0</v>
      </c>
      <c r="H1359" s="341">
        <f>IF(A1359="","",VLOOKUP(A1359,VII.A!$A$10:$D$199,4,FALSE))</f>
        <v>0</v>
      </c>
      <c r="I1359" s="341" t="str">
        <f t="shared" si="353"/>
        <v>SIM</v>
      </c>
      <c r="J1359" s="341" t="str">
        <f>IF(A1359="","",VLOOKUP(A1359,VII.A!$A$10:$D$199,3,FALSE))</f>
        <v>KG</v>
      </c>
      <c r="K1359" s="342" t="str">
        <f t="shared" si="354"/>
        <v>SIM</v>
      </c>
      <c r="L1359" s="380">
        <f>IF(C1359="","",G1355*C1359)</f>
        <v>17.660399999999999</v>
      </c>
      <c r="M1359" s="381" t="str">
        <f>IF(A1359="","",VLOOKUP(A1359,VII.A!$A$10:$B$199,2,FALSE))</f>
        <v>CIMENTO PORTLAND CP II-E-32</v>
      </c>
      <c r="N1359" s="342" t="str">
        <f t="shared" si="355"/>
        <v>si</v>
      </c>
      <c r="R1359" s="341"/>
      <c r="S1359" s="341"/>
    </row>
    <row r="1360" spans="1:25" ht="12.75" customHeight="1">
      <c r="A1360" s="385"/>
      <c r="B1360" s="386"/>
      <c r="C1360" s="20"/>
      <c r="D1360" s="342"/>
      <c r="E1360" s="387"/>
      <c r="F1360" s="388">
        <f t="shared" si="356"/>
        <v>0</v>
      </c>
      <c r="H1360" s="341" t="str">
        <f>IF(A1360="","",VLOOKUP(A1360,VII.A!$A$10:$D$199,4,FALSE))</f>
        <v/>
      </c>
      <c r="I1360" s="341" t="str">
        <f t="shared" si="353"/>
        <v/>
      </c>
      <c r="J1360" s="341" t="str">
        <f>IF(A1360="","",VLOOKUP(A1360,VII.A!$A$10:$D$199,3,FALSE))</f>
        <v/>
      </c>
      <c r="K1360" s="342" t="str">
        <f t="shared" si="354"/>
        <v/>
      </c>
      <c r="L1360" s="380" t="str">
        <f>IF(C1360="","",G1355*C1360)</f>
        <v/>
      </c>
      <c r="M1360" s="381" t="str">
        <f>IF(A1360="","",VLOOKUP(A1360,VII.A!$A$10:$B$199,2,FALSE))</f>
        <v/>
      </c>
      <c r="N1360" s="342" t="str">
        <f t="shared" si="355"/>
        <v/>
      </c>
      <c r="R1360" s="341"/>
      <c r="S1360" s="341"/>
    </row>
    <row r="1361" spans="1:21" ht="12.75" customHeight="1">
      <c r="A1361" s="385"/>
      <c r="B1361" s="386"/>
      <c r="C1361" s="20"/>
      <c r="D1361" s="342"/>
      <c r="E1361" s="387"/>
      <c r="F1361" s="388">
        <f t="shared" si="356"/>
        <v>0</v>
      </c>
      <c r="H1361" s="341" t="str">
        <f>IF(A1361="","",VLOOKUP(A1361,VII.A!$A$10:$D$199,4,FALSE))</f>
        <v/>
      </c>
      <c r="I1361" s="341" t="str">
        <f t="shared" si="353"/>
        <v/>
      </c>
      <c r="J1361" s="341" t="str">
        <f>IF(A1361="","",VLOOKUP(A1361,VII.A!$A$10:$D$199,3,FALSE))</f>
        <v/>
      </c>
      <c r="K1361" s="342" t="str">
        <f t="shared" si="354"/>
        <v/>
      </c>
      <c r="L1361" s="380" t="str">
        <f>IF(C1361="","",G1355*C1361)</f>
        <v/>
      </c>
      <c r="M1361" s="381" t="str">
        <f>IF(A1361="","",VLOOKUP(A1361,VII.A!$A$10:$B$199,2,FALSE))</f>
        <v/>
      </c>
      <c r="N1361" s="342" t="str">
        <f t="shared" si="355"/>
        <v/>
      </c>
      <c r="R1361" s="341"/>
      <c r="S1361" s="341"/>
    </row>
    <row r="1362" spans="1:21" ht="12.75" customHeight="1">
      <c r="A1362" s="385"/>
      <c r="B1362" s="386"/>
      <c r="C1362" s="20"/>
      <c r="D1362" s="342"/>
      <c r="E1362" s="387"/>
      <c r="F1362" s="388">
        <f t="shared" si="356"/>
        <v>0</v>
      </c>
      <c r="H1362" s="341" t="str">
        <f>IF(A1362="","",VLOOKUP(A1362,VII.A!$A$10:$D$199,4,FALSE))</f>
        <v/>
      </c>
      <c r="I1362" s="341" t="str">
        <f t="shared" si="353"/>
        <v/>
      </c>
      <c r="J1362" s="341" t="str">
        <f>IF(A1362="","",VLOOKUP(A1362,VII.A!$A$10:$D$199,3,FALSE))</f>
        <v/>
      </c>
      <c r="K1362" s="342" t="str">
        <f t="shared" si="354"/>
        <v/>
      </c>
      <c r="L1362" s="380" t="str">
        <f>IF(C1362="","",G1355*C1362)</f>
        <v/>
      </c>
      <c r="M1362" s="381" t="str">
        <f>IF(A1362="","",VLOOKUP(A1362,VII.A!$A$10:$B$199,2,FALSE))</f>
        <v/>
      </c>
      <c r="N1362" s="342" t="str">
        <f t="shared" si="355"/>
        <v/>
      </c>
      <c r="R1362" s="341"/>
      <c r="S1362" s="341"/>
      <c r="U1362" s="389"/>
    </row>
    <row r="1363" spans="1:21" ht="12.75" customHeight="1">
      <c r="A1363" s="385"/>
      <c r="B1363" s="386"/>
      <c r="C1363" s="20"/>
      <c r="D1363" s="342"/>
      <c r="E1363" s="387"/>
      <c r="F1363" s="388">
        <f t="shared" si="356"/>
        <v>0</v>
      </c>
      <c r="H1363" s="341" t="str">
        <f>IF(A1363="","",VLOOKUP(A1363,VII.A!$A$10:$D$199,4,FALSE))</f>
        <v/>
      </c>
      <c r="I1363" s="341" t="str">
        <f t="shared" si="353"/>
        <v/>
      </c>
      <c r="J1363" s="341" t="str">
        <f>IF(A1363="","",VLOOKUP(A1363,VII.A!$A$10:$D$199,3,FALSE))</f>
        <v/>
      </c>
      <c r="K1363" s="342" t="str">
        <f t="shared" si="354"/>
        <v/>
      </c>
      <c r="L1363" s="380" t="str">
        <f>IF(C1363="","",G1355*C1363)</f>
        <v/>
      </c>
      <c r="M1363" s="381" t="str">
        <f>IF(A1363="","",VLOOKUP(A1363,VII.A!$A$10:$B$199,2,FALSE))</f>
        <v/>
      </c>
      <c r="N1363" s="342" t="str">
        <f t="shared" si="355"/>
        <v/>
      </c>
      <c r="R1363" s="341"/>
      <c r="S1363" s="341"/>
    </row>
    <row r="1364" spans="1:21" ht="12.75" customHeight="1">
      <c r="A1364" s="385"/>
      <c r="B1364" s="386"/>
      <c r="C1364" s="20"/>
      <c r="D1364" s="342"/>
      <c r="E1364" s="387"/>
      <c r="F1364" s="388">
        <f t="shared" si="356"/>
        <v>0</v>
      </c>
      <c r="G1364" s="390"/>
      <c r="H1364" s="341" t="str">
        <f>IF(A1364="","",VLOOKUP(A1364,VII.A!$A$10:$D$199,4,FALSE))</f>
        <v/>
      </c>
      <c r="I1364" s="341" t="str">
        <f t="shared" si="353"/>
        <v/>
      </c>
      <c r="J1364" s="341" t="str">
        <f>IF(A1364="","",VLOOKUP(A1364,VII.A!$A$10:$D$199,3,FALSE))</f>
        <v/>
      </c>
      <c r="K1364" s="342" t="str">
        <f t="shared" si="354"/>
        <v/>
      </c>
      <c r="L1364" s="380" t="str">
        <f>IF(C1364="","",G1355*C1364)</f>
        <v/>
      </c>
      <c r="M1364" s="381" t="str">
        <f>IF(A1364="","",VLOOKUP(A1364,VII.A!$A$10:$B$199,2,FALSE))</f>
        <v/>
      </c>
      <c r="N1364" s="342" t="str">
        <f t="shared" si="355"/>
        <v/>
      </c>
      <c r="R1364" s="341"/>
      <c r="S1364" s="341"/>
    </row>
    <row r="1365" spans="1:21" ht="12.75" customHeight="1">
      <c r="A1365" s="385"/>
      <c r="B1365" s="386"/>
      <c r="C1365" s="20"/>
      <c r="D1365" s="342"/>
      <c r="E1365" s="387"/>
      <c r="F1365" s="388">
        <f t="shared" si="356"/>
        <v>0</v>
      </c>
      <c r="G1365" s="390"/>
      <c r="H1365" s="341" t="str">
        <f>IF(A1365="","",VLOOKUP(A1365,VII.A!$A$10:$D$199,4,FALSE))</f>
        <v/>
      </c>
      <c r="I1365" s="341" t="str">
        <f t="shared" si="353"/>
        <v/>
      </c>
      <c r="J1365" s="341" t="str">
        <f>IF(A1365="","",VLOOKUP(A1365,VII.A!$A$10:$D$199,3,FALSE))</f>
        <v/>
      </c>
      <c r="K1365" s="342" t="str">
        <f t="shared" si="354"/>
        <v/>
      </c>
      <c r="L1365" s="380" t="str">
        <f>IF(C1365="","",G1355*C1365)</f>
        <v/>
      </c>
      <c r="M1365" s="381" t="str">
        <f>IF(A1365="","",VLOOKUP(A1365,VII.A!$A$10:$B$199,2,FALSE))</f>
        <v/>
      </c>
      <c r="N1365" s="342" t="str">
        <f t="shared" si="355"/>
        <v/>
      </c>
      <c r="R1365" s="341"/>
      <c r="S1365" s="341"/>
    </row>
    <row r="1366" spans="1:21" ht="12.75" customHeight="1">
      <c r="A1366" s="385"/>
      <c r="B1366" s="386"/>
      <c r="C1366" s="20"/>
      <c r="D1366" s="342"/>
      <c r="E1366" s="387"/>
      <c r="F1366" s="388">
        <f t="shared" si="356"/>
        <v>0</v>
      </c>
      <c r="G1366" s="391"/>
      <c r="H1366" s="341" t="str">
        <f>IF(A1366="","",VLOOKUP(A1366,VII.A!$A$10:$D$199,4,FALSE))</f>
        <v/>
      </c>
      <c r="I1366" s="341" t="str">
        <f t="shared" si="353"/>
        <v/>
      </c>
      <c r="J1366" s="341" t="str">
        <f>IF(A1366="","",VLOOKUP(A1366,VII.A!$A$10:$D$199,3,FALSE))</f>
        <v/>
      </c>
      <c r="K1366" s="342" t="str">
        <f t="shared" si="354"/>
        <v/>
      </c>
      <c r="L1366" s="380" t="str">
        <f>IF(C1366="","",G1355*C1366)</f>
        <v/>
      </c>
      <c r="M1366" s="381" t="str">
        <f>IF(A1366="","",VLOOKUP(A1366,VII.A!$A$10:$B$199,2,FALSE))</f>
        <v/>
      </c>
      <c r="N1366" s="342" t="str">
        <f t="shared" si="355"/>
        <v/>
      </c>
      <c r="R1366" s="341"/>
      <c r="S1366" s="341"/>
    </row>
    <row r="1367" spans="1:21" ht="12.75" customHeight="1">
      <c r="A1367" s="385"/>
      <c r="B1367" s="386"/>
      <c r="C1367" s="20"/>
      <c r="D1367" s="342"/>
      <c r="E1367" s="387"/>
      <c r="F1367" s="388">
        <f t="shared" si="356"/>
        <v>0</v>
      </c>
      <c r="H1367" s="341" t="str">
        <f>IF(A1367="","",VLOOKUP(A1367,VII.A!$A$10:$D$199,4,FALSE))</f>
        <v/>
      </c>
      <c r="I1367" s="341" t="str">
        <f t="shared" si="353"/>
        <v/>
      </c>
      <c r="J1367" s="341" t="str">
        <f>IF(A1367="","",VLOOKUP(A1367,VII.A!$A$10:$D$199,3,FALSE))</f>
        <v/>
      </c>
      <c r="K1367" s="342" t="str">
        <f t="shared" si="354"/>
        <v/>
      </c>
      <c r="L1367" s="380" t="str">
        <f>IF(C1367="","",G1355*C1367)</f>
        <v/>
      </c>
      <c r="M1367" s="381" t="str">
        <f>IF(A1367="","",VLOOKUP(A1367,VII.A!$A$10:$B$199,2,FALSE))</f>
        <v/>
      </c>
      <c r="N1367" s="342" t="str">
        <f t="shared" si="355"/>
        <v/>
      </c>
      <c r="R1367" s="341"/>
      <c r="S1367" s="341"/>
    </row>
    <row r="1368" spans="1:21" ht="12.75" customHeight="1">
      <c r="A1368" s="385"/>
      <c r="B1368" s="386"/>
      <c r="C1368" s="20"/>
      <c r="D1368" s="392"/>
      <c r="E1368" s="387"/>
      <c r="F1368" s="388">
        <f t="shared" si="356"/>
        <v>0</v>
      </c>
      <c r="H1368" s="341" t="str">
        <f>IF(A1368="","",VLOOKUP(A1368,VII.A!$A$10:$D$199,4,FALSE))</f>
        <v/>
      </c>
      <c r="I1368" s="341" t="str">
        <f t="shared" si="353"/>
        <v/>
      </c>
      <c r="J1368" s="341" t="str">
        <f>IF(A1368="","",VLOOKUP(A1368,VII.A!$A$10:$D$199,3,FALSE))</f>
        <v/>
      </c>
      <c r="K1368" s="342" t="str">
        <f t="shared" si="354"/>
        <v/>
      </c>
      <c r="L1368" s="380" t="str">
        <f>IF(C1368="","",G1355*C1368)</f>
        <v/>
      </c>
      <c r="M1368" s="381" t="str">
        <f>IF(A1368="","",VLOOKUP(A1368,VII.A!$A$10:$B$199,2,FALSE))</f>
        <v/>
      </c>
      <c r="N1368" s="342" t="str">
        <f t="shared" si="355"/>
        <v/>
      </c>
      <c r="R1368" s="341"/>
      <c r="S1368" s="341"/>
    </row>
    <row r="1369" spans="1:21" ht="12.75" customHeight="1">
      <c r="A1369" s="385"/>
      <c r="B1369" s="386"/>
      <c r="C1369" s="20"/>
      <c r="D1369" s="392"/>
      <c r="E1369" s="387"/>
      <c r="F1369" s="388">
        <f t="shared" si="356"/>
        <v>0</v>
      </c>
      <c r="H1369" s="341" t="str">
        <f>IF(A1369="","",VLOOKUP(A1369,VII.A!$A$10:$D$199,4,FALSE))</f>
        <v/>
      </c>
      <c r="I1369" s="341" t="str">
        <f t="shared" si="353"/>
        <v/>
      </c>
      <c r="J1369" s="341" t="str">
        <f>IF(A1369="","",VLOOKUP(A1369,VII.A!$A$10:$D$199,3,FALSE))</f>
        <v/>
      </c>
      <c r="K1369" s="342" t="str">
        <f t="shared" si="354"/>
        <v/>
      </c>
      <c r="L1369" s="380" t="str">
        <f>IF(C1369="","",G1355*C1369)</f>
        <v/>
      </c>
      <c r="M1369" s="381" t="str">
        <f>IF(A1369="","",VLOOKUP(A1369,VII.A!$A$10:$B$199,2,FALSE))</f>
        <v/>
      </c>
      <c r="N1369" s="342" t="str">
        <f t="shared" si="355"/>
        <v/>
      </c>
      <c r="O1369" s="342"/>
      <c r="R1369" s="341"/>
      <c r="S1369" s="341"/>
    </row>
    <row r="1370" spans="1:21" ht="12.75" customHeight="1">
      <c r="A1370" s="385"/>
      <c r="B1370" s="386"/>
      <c r="C1370" s="20"/>
      <c r="D1370" s="392"/>
      <c r="E1370" s="387"/>
      <c r="F1370" s="388">
        <f t="shared" si="356"/>
        <v>0</v>
      </c>
      <c r="H1370" s="341" t="str">
        <f>IF(A1370="","",VLOOKUP(A1370,VII.A!$A$10:$D$199,4,FALSE))</f>
        <v/>
      </c>
      <c r="I1370" s="341" t="str">
        <f t="shared" si="353"/>
        <v/>
      </c>
      <c r="J1370" s="341" t="str">
        <f>IF(A1370="","",VLOOKUP(A1370,VII.A!$A$10:$D$199,3,FALSE))</f>
        <v/>
      </c>
      <c r="K1370" s="342" t="str">
        <f t="shared" si="354"/>
        <v/>
      </c>
      <c r="L1370" s="380" t="str">
        <f>IF(C1370="","",G1355*C1370)</f>
        <v/>
      </c>
      <c r="M1370" s="381" t="str">
        <f>IF(A1370="","",VLOOKUP(A1370,VII.A!$A$10:$B$199,2,FALSE))</f>
        <v/>
      </c>
      <c r="N1370" s="342" t="str">
        <f t="shared" si="355"/>
        <v/>
      </c>
      <c r="R1370" s="341"/>
      <c r="S1370" s="341"/>
    </row>
    <row r="1371" spans="1:21" ht="12.75" customHeight="1">
      <c r="A1371" s="393"/>
      <c r="C1371" s="20"/>
      <c r="E1371" s="387"/>
      <c r="F1371" s="388">
        <f t="shared" si="356"/>
        <v>0</v>
      </c>
      <c r="H1371" s="341" t="str">
        <f>IF(A1371="","",VLOOKUP(A1371,VII.A!$A$10:$D$199,4,FALSE))</f>
        <v/>
      </c>
      <c r="I1371" s="341" t="str">
        <f t="shared" si="353"/>
        <v/>
      </c>
      <c r="J1371" s="341" t="str">
        <f>IF(A1371="","",VLOOKUP(A1371,VII.A!$A$10:$D$199,3,FALSE))</f>
        <v/>
      </c>
      <c r="K1371" s="342" t="str">
        <f t="shared" si="354"/>
        <v/>
      </c>
      <c r="L1371" s="380" t="str">
        <f>IF(C1371="","",G1355*C1371)</f>
        <v/>
      </c>
      <c r="M1371" s="381" t="str">
        <f>IF(A1371="","",VLOOKUP(A1371,VII.A!$A$10:$B$199,2,FALSE))</f>
        <v/>
      </c>
      <c r="N1371" s="342" t="str">
        <f t="shared" si="355"/>
        <v/>
      </c>
      <c r="R1371" s="341"/>
      <c r="S1371" s="341"/>
    </row>
    <row r="1372" spans="1:21" ht="12.75" customHeight="1">
      <c r="A1372" s="393"/>
      <c r="C1372" s="20"/>
      <c r="E1372" s="387"/>
      <c r="F1372" s="388">
        <f t="shared" si="356"/>
        <v>0</v>
      </c>
      <c r="H1372" s="341" t="str">
        <f>IF(A1372="","",VLOOKUP(A1372,VII.A!$A$10:$D$199,4,FALSE))</f>
        <v/>
      </c>
      <c r="I1372" s="341" t="str">
        <f t="shared" si="353"/>
        <v/>
      </c>
      <c r="J1372" s="341" t="str">
        <f>IF(A1372="","",VLOOKUP(A1372,VII.A!$A$10:$D$199,3,FALSE))</f>
        <v/>
      </c>
      <c r="K1372" s="342" t="str">
        <f t="shared" si="354"/>
        <v/>
      </c>
      <c r="L1372" s="380" t="str">
        <f>IF(C1372="","",G1355*C1372)</f>
        <v/>
      </c>
      <c r="M1372" s="381" t="str">
        <f>IF(A1372="","",VLOOKUP(A1372,VII.A!$A$10:$B$199,2,FALSE))</f>
        <v/>
      </c>
      <c r="N1372" s="342" t="str">
        <f t="shared" si="355"/>
        <v/>
      </c>
      <c r="R1372" s="341"/>
      <c r="S1372" s="341"/>
    </row>
    <row r="1373" spans="1:21" ht="12.75" customHeight="1">
      <c r="A1373" s="393"/>
      <c r="B1373" s="395" t="s">
        <v>226</v>
      </c>
      <c r="C1373" s="396"/>
      <c r="D1373" s="397"/>
      <c r="E1373" s="398"/>
      <c r="F1373" s="399">
        <f>SUM(F1357:F1372)</f>
        <v>0</v>
      </c>
      <c r="H1373" s="426" t="s">
        <v>434</v>
      </c>
      <c r="J1373" s="341"/>
      <c r="L1373" s="380"/>
      <c r="M1373" s="381"/>
      <c r="N1373" s="342"/>
      <c r="R1373" s="341"/>
      <c r="S1373" s="341"/>
    </row>
    <row r="1374" spans="1:21" ht="12.75" customHeight="1">
      <c r="A1374" s="393"/>
      <c r="B1374" s="400" t="s">
        <v>53</v>
      </c>
      <c r="C1374" s="2">
        <f>$D$8</f>
        <v>0</v>
      </c>
      <c r="D1374" s="401"/>
      <c r="E1374" s="402"/>
      <c r="F1374" s="403">
        <f>ROUND(F1373*C1374,2)</f>
        <v>0</v>
      </c>
      <c r="H1374" s="426" t="s">
        <v>552</v>
      </c>
      <c r="J1374" s="341"/>
      <c r="L1374" s="380"/>
      <c r="M1374" s="381"/>
      <c r="N1374" s="342"/>
      <c r="R1374" s="341"/>
      <c r="S1374" s="341"/>
    </row>
    <row r="1375" spans="1:21" ht="12.75" customHeight="1">
      <c r="A1375" s="404"/>
      <c r="B1375" s="405" t="s">
        <v>227</v>
      </c>
      <c r="C1375" s="406"/>
      <c r="D1375" s="406"/>
      <c r="E1375" s="407"/>
      <c r="F1375" s="408">
        <f>F1373+F1374</f>
        <v>0</v>
      </c>
      <c r="J1375" s="341"/>
      <c r="L1375" s="380"/>
      <c r="M1375" s="381"/>
      <c r="N1375" s="342"/>
      <c r="R1375" s="341"/>
      <c r="S1375" s="341"/>
    </row>
    <row r="1376" spans="1:21" ht="12.75" customHeight="1">
      <c r="A1376" s="374" t="s">
        <v>2</v>
      </c>
      <c r="B1376" s="375" t="s">
        <v>235</v>
      </c>
      <c r="C1376" s="376" t="s">
        <v>231</v>
      </c>
      <c r="D1376" s="376" t="s">
        <v>232</v>
      </c>
      <c r="E1376" s="377" t="s">
        <v>233</v>
      </c>
      <c r="F1376" s="378" t="s">
        <v>234</v>
      </c>
      <c r="J1376" s="341"/>
      <c r="L1376" s="380"/>
      <c r="M1376" s="381"/>
      <c r="N1376" s="342"/>
      <c r="R1376" s="341"/>
      <c r="S1376" s="341"/>
    </row>
    <row r="1377" spans="1:19" ht="12.75" customHeight="1">
      <c r="A1377" s="393"/>
      <c r="B1377" s="423"/>
      <c r="C1377" s="20"/>
      <c r="E1377" s="387"/>
      <c r="F1377" s="388">
        <f t="shared" ref="F1377:F1386" si="357">ROUND(C1377*E1377,2)</f>
        <v>0</v>
      </c>
      <c r="H1377" s="341" t="str">
        <f>IF(A1377="","",VLOOKUP(A1377,VII.A!$A$10:$D$199,4,FALSE))</f>
        <v/>
      </c>
      <c r="I1377" s="341" t="str">
        <f t="shared" ref="I1377:I1386" si="358">IF(A1377="","",IF(E1377=H1377,"SIM","NÃO"))</f>
        <v/>
      </c>
      <c r="J1377" s="341" t="str">
        <f>IF(A1377="","",VLOOKUP(A1377,VII.A!$A$10:$D$199,3,FALSE))</f>
        <v/>
      </c>
      <c r="K1377" s="342" t="str">
        <f t="shared" ref="K1377:K1386" si="359">IF(A1377="","",IF(J1377=D1377,"SIM","NÃO"))</f>
        <v/>
      </c>
      <c r="L1377" s="380" t="str">
        <f>IF(C1377="","",G1355*C1377)</f>
        <v/>
      </c>
      <c r="M1377" s="381" t="str">
        <f>IF(A1377="","",VLOOKUP(A1377,VII.A!$A$10:$B$199,2,FALSE))</f>
        <v/>
      </c>
      <c r="N1377" s="342" t="str">
        <f t="shared" ref="N1377:N1386" si="360">IF(B1377="","",IF(M1377=B1377,"si","no"))</f>
        <v/>
      </c>
      <c r="R1377" s="341"/>
      <c r="S1377" s="341"/>
    </row>
    <row r="1378" spans="1:19" ht="12.75" customHeight="1">
      <c r="A1378" s="393"/>
      <c r="C1378" s="20"/>
      <c r="E1378" s="387"/>
      <c r="F1378" s="388">
        <f t="shared" si="357"/>
        <v>0</v>
      </c>
      <c r="H1378" s="341" t="str">
        <f>IF(A1378="","",VLOOKUP(A1378,VII.A!$A$10:$D$199,4,FALSE))</f>
        <v/>
      </c>
      <c r="I1378" s="341" t="str">
        <f t="shared" si="358"/>
        <v/>
      </c>
      <c r="J1378" s="341" t="str">
        <f>IF(A1378="","",VLOOKUP(A1378,VII.A!$A$10:$D$199,3,FALSE))</f>
        <v/>
      </c>
      <c r="K1378" s="342" t="str">
        <f t="shared" si="359"/>
        <v/>
      </c>
      <c r="L1378" s="380" t="str">
        <f>IF(C1378="","",G1355*C1378)</f>
        <v/>
      </c>
      <c r="M1378" s="381" t="str">
        <f>IF(A1378="","",VLOOKUP(A1378,VII.A!$A$10:$B$199,2,FALSE))</f>
        <v/>
      </c>
      <c r="N1378" s="342" t="str">
        <f t="shared" si="360"/>
        <v/>
      </c>
      <c r="R1378" s="341"/>
      <c r="S1378" s="341"/>
    </row>
    <row r="1379" spans="1:19" ht="12.75" customHeight="1">
      <c r="A1379" s="393"/>
      <c r="C1379" s="20"/>
      <c r="E1379" s="387"/>
      <c r="F1379" s="388">
        <f t="shared" si="357"/>
        <v>0</v>
      </c>
      <c r="H1379" s="341" t="str">
        <f>IF(A1379="","",VLOOKUP(A1379,VII.A!$A$10:$D$199,4,FALSE))</f>
        <v/>
      </c>
      <c r="I1379" s="341" t="str">
        <f t="shared" si="358"/>
        <v/>
      </c>
      <c r="J1379" s="341" t="str">
        <f>IF(A1379="","",VLOOKUP(A1379,VII.A!$A$10:$D$199,3,FALSE))</f>
        <v/>
      </c>
      <c r="K1379" s="342" t="str">
        <f t="shared" si="359"/>
        <v/>
      </c>
      <c r="L1379" s="380" t="str">
        <f>IF(C1379="","",G1355*C1379)</f>
        <v/>
      </c>
      <c r="M1379" s="381" t="str">
        <f>IF(A1379="","",VLOOKUP(A1379,VII.A!$A$10:$B$199,2,FALSE))</f>
        <v/>
      </c>
      <c r="N1379" s="342" t="str">
        <f t="shared" si="360"/>
        <v/>
      </c>
      <c r="R1379" s="341"/>
      <c r="S1379" s="341"/>
    </row>
    <row r="1380" spans="1:19" ht="12.75" customHeight="1">
      <c r="A1380" s="393"/>
      <c r="C1380" s="20"/>
      <c r="E1380" s="387"/>
      <c r="F1380" s="388">
        <f t="shared" si="357"/>
        <v>0</v>
      </c>
      <c r="H1380" s="341" t="str">
        <f>IF(A1380="","",VLOOKUP(A1380,VII.A!$A$10:$D$199,4,FALSE))</f>
        <v/>
      </c>
      <c r="I1380" s="341" t="str">
        <f t="shared" si="358"/>
        <v/>
      </c>
      <c r="J1380" s="341" t="str">
        <f>IF(A1380="","",VLOOKUP(A1380,VII.A!$A$10:$D$199,3,FALSE))</f>
        <v/>
      </c>
      <c r="K1380" s="342" t="str">
        <f t="shared" si="359"/>
        <v/>
      </c>
      <c r="L1380" s="380" t="str">
        <f>IF(C1380="","",G1355*C1380)</f>
        <v/>
      </c>
      <c r="M1380" s="381" t="str">
        <f>IF(A1380="","",VLOOKUP(A1380,VII.A!$A$10:$B$199,2,FALSE))</f>
        <v/>
      </c>
      <c r="N1380" s="342" t="str">
        <f t="shared" si="360"/>
        <v/>
      </c>
      <c r="R1380" s="341"/>
      <c r="S1380" s="341"/>
    </row>
    <row r="1381" spans="1:19" ht="12.75" customHeight="1">
      <c r="A1381" s="393"/>
      <c r="C1381" s="20"/>
      <c r="E1381" s="387"/>
      <c r="F1381" s="388">
        <f t="shared" si="357"/>
        <v>0</v>
      </c>
      <c r="G1381" s="390"/>
      <c r="H1381" s="341" t="str">
        <f>IF(A1381="","",VLOOKUP(A1381,VII.A!$A$10:$D$199,4,FALSE))</f>
        <v/>
      </c>
      <c r="I1381" s="341" t="str">
        <f t="shared" si="358"/>
        <v/>
      </c>
      <c r="J1381" s="341" t="str">
        <f>IF(A1381="","",VLOOKUP(A1381,VII.A!$A$10:$D$199,3,FALSE))</f>
        <v/>
      </c>
      <c r="K1381" s="342" t="str">
        <f t="shared" si="359"/>
        <v/>
      </c>
      <c r="L1381" s="380" t="str">
        <f>IF(C1381="","",G1355*C1381)</f>
        <v/>
      </c>
      <c r="M1381" s="381" t="str">
        <f>IF(A1381="","",VLOOKUP(A1381,VII.A!$A$10:$B$199,2,FALSE))</f>
        <v/>
      </c>
      <c r="N1381" s="342" t="str">
        <f t="shared" si="360"/>
        <v/>
      </c>
      <c r="R1381" s="341"/>
      <c r="S1381" s="341"/>
    </row>
    <row r="1382" spans="1:19" ht="12.75" customHeight="1">
      <c r="A1382" s="393"/>
      <c r="C1382" s="20"/>
      <c r="E1382" s="387"/>
      <c r="F1382" s="388">
        <f t="shared" si="357"/>
        <v>0</v>
      </c>
      <c r="G1382" s="391"/>
      <c r="H1382" s="341" t="str">
        <f>IF(A1382="","",VLOOKUP(A1382,VII.A!$A$10:$D$199,4,FALSE))</f>
        <v/>
      </c>
      <c r="I1382" s="341" t="str">
        <f t="shared" si="358"/>
        <v/>
      </c>
      <c r="J1382" s="341" t="str">
        <f>IF(A1382="","",VLOOKUP(A1382,VII.A!$A$10:$D$199,3,FALSE))</f>
        <v/>
      </c>
      <c r="K1382" s="342" t="str">
        <f t="shared" si="359"/>
        <v/>
      </c>
      <c r="L1382" s="380" t="str">
        <f>IF(C1382="","",G1355*C1382)</f>
        <v/>
      </c>
      <c r="M1382" s="381" t="str">
        <f>IF(A1382="","",VLOOKUP(A1382,VII.A!$A$10:$B$199,2,FALSE))</f>
        <v/>
      </c>
      <c r="N1382" s="342" t="str">
        <f t="shared" si="360"/>
        <v/>
      </c>
      <c r="R1382" s="341"/>
      <c r="S1382" s="341"/>
    </row>
    <row r="1383" spans="1:19" ht="12.75" customHeight="1">
      <c r="A1383" s="393"/>
      <c r="C1383" s="20"/>
      <c r="E1383" s="387"/>
      <c r="F1383" s="388">
        <f t="shared" si="357"/>
        <v>0</v>
      </c>
      <c r="H1383" s="341" t="str">
        <f>IF(A1383="","",VLOOKUP(A1383,VII.A!$A$10:$D$199,4,FALSE))</f>
        <v/>
      </c>
      <c r="I1383" s="341" t="str">
        <f t="shared" si="358"/>
        <v/>
      </c>
      <c r="J1383" s="341" t="str">
        <f>IF(A1383="","",VLOOKUP(A1383,VII.A!$A$10:$D$199,3,FALSE))</f>
        <v/>
      </c>
      <c r="K1383" s="342" t="str">
        <f t="shared" si="359"/>
        <v/>
      </c>
      <c r="L1383" s="380" t="str">
        <f>IF(C1383="","",G1355*C1383)</f>
        <v/>
      </c>
      <c r="M1383" s="381" t="str">
        <f>IF(A1383="","",VLOOKUP(A1383,VII.A!$A$10:$B$199,2,FALSE))</f>
        <v/>
      </c>
      <c r="N1383" s="342" t="str">
        <f t="shared" si="360"/>
        <v/>
      </c>
      <c r="R1383" s="341"/>
      <c r="S1383" s="341"/>
    </row>
    <row r="1384" spans="1:19" ht="12.75" customHeight="1">
      <c r="A1384" s="393"/>
      <c r="C1384" s="20"/>
      <c r="E1384" s="387"/>
      <c r="F1384" s="388">
        <f t="shared" si="357"/>
        <v>0</v>
      </c>
      <c r="H1384" s="341" t="str">
        <f>IF(A1384="","",VLOOKUP(A1384,VII.A!$A$10:$D$199,4,FALSE))</f>
        <v/>
      </c>
      <c r="I1384" s="341" t="str">
        <f t="shared" si="358"/>
        <v/>
      </c>
      <c r="J1384" s="341" t="str">
        <f>IF(A1384="","",VLOOKUP(A1384,VII.A!$A$10:$D$199,3,FALSE))</f>
        <v/>
      </c>
      <c r="K1384" s="342" t="str">
        <f t="shared" si="359"/>
        <v/>
      </c>
      <c r="L1384" s="380" t="str">
        <f>IF(C1384="","",G1355*C1384)</f>
        <v/>
      </c>
      <c r="M1384" s="381" t="str">
        <f>IF(A1384="","",VLOOKUP(A1384,VII.A!$A$10:$B$199,2,FALSE))</f>
        <v/>
      </c>
      <c r="N1384" s="342" t="str">
        <f t="shared" si="360"/>
        <v/>
      </c>
      <c r="R1384" s="341"/>
      <c r="S1384" s="341"/>
    </row>
    <row r="1385" spans="1:19" ht="12.75" customHeight="1">
      <c r="A1385" s="393"/>
      <c r="C1385" s="20"/>
      <c r="E1385" s="387"/>
      <c r="F1385" s="388">
        <f t="shared" si="357"/>
        <v>0</v>
      </c>
      <c r="H1385" s="341" t="str">
        <f>IF(A1385="","",VLOOKUP(A1385,VII.A!$A$10:$D$199,4,FALSE))</f>
        <v/>
      </c>
      <c r="I1385" s="341" t="str">
        <f t="shared" si="358"/>
        <v/>
      </c>
      <c r="J1385" s="341" t="str">
        <f>IF(A1385="","",VLOOKUP(A1385,VII.A!$A$10:$D$199,3,FALSE))</f>
        <v/>
      </c>
      <c r="K1385" s="342" t="str">
        <f t="shared" si="359"/>
        <v/>
      </c>
      <c r="L1385" s="380" t="str">
        <f>IF(C1385="","",G1355*C1385)</f>
        <v/>
      </c>
      <c r="M1385" s="381" t="str">
        <f>IF(A1385="","",VLOOKUP(A1385,VII.A!$A$10:$B$199,2,FALSE))</f>
        <v/>
      </c>
      <c r="N1385" s="342" t="str">
        <f t="shared" si="360"/>
        <v/>
      </c>
      <c r="R1385" s="341"/>
      <c r="S1385" s="341"/>
    </row>
    <row r="1386" spans="1:19" ht="12.75" customHeight="1">
      <c r="A1386" s="393"/>
      <c r="C1386" s="20"/>
      <c r="E1386" s="387"/>
      <c r="F1386" s="388">
        <f t="shared" si="357"/>
        <v>0</v>
      </c>
      <c r="H1386" s="341" t="str">
        <f>IF(A1386="","",VLOOKUP(A1386,VII.A!$A$10:$D$199,4,FALSE))</f>
        <v/>
      </c>
      <c r="I1386" s="341" t="str">
        <f t="shared" si="358"/>
        <v/>
      </c>
      <c r="J1386" s="341" t="str">
        <f>IF(A1386="","",VLOOKUP(A1386,VII.A!$A$10:$D$199,3,FALSE))</f>
        <v/>
      </c>
      <c r="K1386" s="342" t="str">
        <f t="shared" si="359"/>
        <v/>
      </c>
      <c r="L1386" s="380" t="str">
        <f>IF(C1386="","",G1355*C1386)</f>
        <v/>
      </c>
      <c r="M1386" s="381" t="str">
        <f>IF(A1386="","",VLOOKUP(A1386,VII.A!$A$10:$B$199,2,FALSE))</f>
        <v/>
      </c>
      <c r="N1386" s="342" t="str">
        <f t="shared" si="360"/>
        <v/>
      </c>
      <c r="R1386" s="341"/>
      <c r="S1386" s="341"/>
    </row>
    <row r="1387" spans="1:19" ht="12.75" customHeight="1">
      <c r="A1387" s="393"/>
      <c r="B1387" s="395" t="s">
        <v>226</v>
      </c>
      <c r="C1387" s="396"/>
      <c r="D1387" s="397"/>
      <c r="E1387" s="398"/>
      <c r="F1387" s="399">
        <f>SUM(F1377:F1386)</f>
        <v>0</v>
      </c>
      <c r="J1387" s="341"/>
      <c r="L1387" s="380"/>
      <c r="M1387" s="381"/>
      <c r="N1387" s="342"/>
      <c r="R1387" s="341"/>
      <c r="S1387" s="341"/>
    </row>
    <row r="1388" spans="1:19" ht="12.75" customHeight="1">
      <c r="A1388" s="393"/>
      <c r="B1388" s="400" t="s">
        <v>53</v>
      </c>
      <c r="C1388" s="2">
        <f>$D$8</f>
        <v>0</v>
      </c>
      <c r="D1388" s="401"/>
      <c r="E1388" s="402"/>
      <c r="F1388" s="403">
        <f>ROUND(C1388*F1387,2)</f>
        <v>0</v>
      </c>
      <c r="J1388" s="341"/>
      <c r="L1388" s="380"/>
      <c r="M1388" s="381"/>
      <c r="N1388" s="342"/>
      <c r="R1388" s="341"/>
      <c r="S1388" s="341"/>
    </row>
    <row r="1389" spans="1:19" ht="12.75" customHeight="1">
      <c r="A1389" s="404"/>
      <c r="B1389" s="405" t="s">
        <v>228</v>
      </c>
      <c r="C1389" s="406"/>
      <c r="D1389" s="406"/>
      <c r="E1389" s="407"/>
      <c r="F1389" s="408">
        <f>F1387+F1388</f>
        <v>0</v>
      </c>
      <c r="J1389" s="341"/>
      <c r="L1389" s="380"/>
      <c r="M1389" s="381"/>
      <c r="N1389" s="342"/>
      <c r="R1389" s="341"/>
      <c r="S1389" s="341"/>
    </row>
    <row r="1390" spans="1:19" ht="12.75" customHeight="1">
      <c r="A1390" s="409" t="s">
        <v>47</v>
      </c>
      <c r="B1390" s="410" t="s">
        <v>236</v>
      </c>
      <c r="C1390" s="411" t="s">
        <v>231</v>
      </c>
      <c r="D1390" s="412" t="s">
        <v>232</v>
      </c>
      <c r="E1390" s="413" t="s">
        <v>233</v>
      </c>
      <c r="F1390" s="378" t="s">
        <v>234</v>
      </c>
      <c r="J1390" s="341"/>
      <c r="L1390" s="380"/>
      <c r="M1390" s="381"/>
      <c r="N1390" s="342"/>
      <c r="R1390" s="341"/>
      <c r="S1390" s="341"/>
    </row>
    <row r="1391" spans="1:19" ht="12.75" customHeight="1">
      <c r="A1391" s="393" t="str">
        <f>VII.A!A$196</f>
        <v>3.16</v>
      </c>
      <c r="B1391" s="394" t="s">
        <v>157</v>
      </c>
      <c r="C1391" s="20">
        <v>1.1168</v>
      </c>
      <c r="D1391" s="384" t="str">
        <f>VLOOKUP(A1391,VII.A!$A$10:$G$199,3,FALSE)</f>
        <v>H</v>
      </c>
      <c r="E1391" s="387">
        <f>VII.A!$D$196</f>
        <v>0</v>
      </c>
      <c r="F1391" s="388">
        <f t="shared" ref="F1391:F1397" si="361">ROUND(C1391*E1391,2)</f>
        <v>0</v>
      </c>
      <c r="H1391" s="341">
        <f>IF(A1391="","",VLOOKUP(A1391,VII.A!$A$10:$D$199,4,FALSE))</f>
        <v>0</v>
      </c>
      <c r="I1391" s="341" t="str">
        <f t="shared" ref="I1391:I1397" si="362">IF(A1391="","",IF(E1391=H1391,"SIM","NÃO"))</f>
        <v>SIM</v>
      </c>
      <c r="J1391" s="341" t="str">
        <f>IF(A1391="","",VLOOKUP(A1391,VII.A!$A$10:$D$199,3,FALSE))</f>
        <v>H</v>
      </c>
      <c r="K1391" s="342" t="str">
        <f t="shared" ref="K1391:K1397" si="363">IF(A1391="","",IF(J1391=D1391,"SIM","NÃO"))</f>
        <v>SIM</v>
      </c>
      <c r="L1391" s="380">
        <f>IF(C1391="","",G1355*C1391)</f>
        <v>5.5839999999999996</v>
      </c>
      <c r="M1391" s="381" t="str">
        <f>IF(A1391="","",VLOOKUP(A1391,VII.A!$A$10:$B$199,2,FALSE))</f>
        <v>SERVENTE COM ENCARGOS COMPLEMENTARES</v>
      </c>
      <c r="N1391" s="342" t="str">
        <f t="shared" ref="N1391:N1397" si="364">IF(B1391="","",IF(M1391=B1391,"si","no"))</f>
        <v>si</v>
      </c>
      <c r="R1391" s="341"/>
      <c r="S1391" s="341"/>
    </row>
    <row r="1392" spans="1:19" ht="12.75" customHeight="1">
      <c r="A1392" s="393" t="str">
        <f>VII.A!$A$192</f>
        <v>3.12</v>
      </c>
      <c r="B1392" s="394" t="s">
        <v>153</v>
      </c>
      <c r="C1392" s="20">
        <v>2.0990000000000002</v>
      </c>
      <c r="D1392" s="384" t="str">
        <f>VLOOKUP(A1392,VII.A!$A$10:$G$199,3,FALSE)</f>
        <v>H</v>
      </c>
      <c r="E1392" s="387">
        <f>VII.A!$D$192</f>
        <v>0</v>
      </c>
      <c r="F1392" s="388">
        <f t="shared" si="361"/>
        <v>0</v>
      </c>
      <c r="H1392" s="341">
        <f>IF(A1392="","",VLOOKUP(A1392,VII.A!$A$10:$D$199,4,FALSE))</f>
        <v>0</v>
      </c>
      <c r="I1392" s="341" t="str">
        <f t="shared" si="362"/>
        <v>SIM</v>
      </c>
      <c r="J1392" s="341" t="str">
        <f>IF(A1392="","",VLOOKUP(A1392,VII.A!$A$10:$D$199,3,FALSE))</f>
        <v>H</v>
      </c>
      <c r="K1392" s="342" t="str">
        <f t="shared" si="363"/>
        <v>SIM</v>
      </c>
      <c r="L1392" s="380">
        <f>IF(C1392="","",G1355*C1392)</f>
        <v>10.495000000000001</v>
      </c>
      <c r="M1392" s="381" t="str">
        <f>IF(A1392="","",VLOOKUP(A1392,VII.A!$A$10:$B$199,2,FALSE))</f>
        <v>PEDREIRO COM ENCARGOS COMPLEMENTARES</v>
      </c>
      <c r="N1392" s="342" t="str">
        <f t="shared" si="364"/>
        <v>si</v>
      </c>
      <c r="R1392" s="341"/>
      <c r="S1392" s="341"/>
    </row>
    <row r="1393" spans="1:25" ht="12.75" customHeight="1">
      <c r="A1393" s="393"/>
      <c r="C1393" s="20"/>
      <c r="E1393" s="387"/>
      <c r="F1393" s="388">
        <f t="shared" si="361"/>
        <v>0</v>
      </c>
      <c r="H1393" s="341" t="str">
        <f>IF(A1393="","",VLOOKUP(A1393,VII.A!$A$10:$D$199,4,FALSE))</f>
        <v/>
      </c>
      <c r="I1393" s="341" t="str">
        <f t="shared" si="362"/>
        <v/>
      </c>
      <c r="J1393" s="341" t="str">
        <f>IF(A1393="","",VLOOKUP(A1393,VII.A!$A$10:$D$199,3,FALSE))</f>
        <v/>
      </c>
      <c r="K1393" s="342" t="str">
        <f t="shared" si="363"/>
        <v/>
      </c>
      <c r="L1393" s="380" t="str">
        <f>IF(C1393="","",G1355*C1393)</f>
        <v/>
      </c>
      <c r="M1393" s="381" t="str">
        <f>IF(A1393="","",VLOOKUP(A1393,VII.A!$A$10:$B$199,2,FALSE))</f>
        <v/>
      </c>
      <c r="N1393" s="342" t="str">
        <f t="shared" si="364"/>
        <v/>
      </c>
      <c r="R1393" s="341"/>
      <c r="S1393" s="341"/>
    </row>
    <row r="1394" spans="1:25" ht="12.75" customHeight="1">
      <c r="A1394" s="393"/>
      <c r="C1394" s="20"/>
      <c r="E1394" s="387"/>
      <c r="F1394" s="388">
        <f t="shared" si="361"/>
        <v>0</v>
      </c>
      <c r="H1394" s="341" t="str">
        <f>IF(A1394="","",VLOOKUP(A1394,VII.A!$A$10:$D$199,4,FALSE))</f>
        <v/>
      </c>
      <c r="I1394" s="341" t="str">
        <f t="shared" si="362"/>
        <v/>
      </c>
      <c r="J1394" s="341" t="str">
        <f>IF(A1394="","",VLOOKUP(A1394,VII.A!$A$10:$D$199,3,FALSE))</f>
        <v/>
      </c>
      <c r="K1394" s="342" t="str">
        <f t="shared" si="363"/>
        <v/>
      </c>
      <c r="L1394" s="380" t="str">
        <f>IF(C1394="","",G1355*C1394)</f>
        <v/>
      </c>
      <c r="M1394" s="381" t="str">
        <f>IF(A1394="","",VLOOKUP(A1394,VII.A!$A$10:$B$199,2,FALSE))</f>
        <v/>
      </c>
      <c r="N1394" s="342" t="str">
        <f t="shared" si="364"/>
        <v/>
      </c>
      <c r="R1394" s="341"/>
      <c r="S1394" s="341"/>
    </row>
    <row r="1395" spans="1:25" ht="12.75" customHeight="1">
      <c r="A1395" s="393"/>
      <c r="C1395" s="20"/>
      <c r="E1395" s="387"/>
      <c r="F1395" s="388">
        <f t="shared" si="361"/>
        <v>0</v>
      </c>
      <c r="H1395" s="341" t="str">
        <f>IF(A1395="","",VLOOKUP(A1395,VII.A!$A$10:$D$199,4,FALSE))</f>
        <v/>
      </c>
      <c r="I1395" s="341" t="str">
        <f t="shared" si="362"/>
        <v/>
      </c>
      <c r="J1395" s="341" t="str">
        <f>IF(A1395="","",VLOOKUP(A1395,VII.A!$A$10:$D$199,3,FALSE))</f>
        <v/>
      </c>
      <c r="K1395" s="342" t="str">
        <f t="shared" si="363"/>
        <v/>
      </c>
      <c r="L1395" s="380" t="str">
        <f>IF(C1395="","",G1355*C1395)</f>
        <v/>
      </c>
      <c r="M1395" s="381" t="str">
        <f>IF(A1395="","",VLOOKUP(A1395,VII.A!$A$10:$B$199,2,FALSE))</f>
        <v/>
      </c>
      <c r="N1395" s="342" t="str">
        <f t="shared" si="364"/>
        <v/>
      </c>
      <c r="R1395" s="341"/>
      <c r="S1395" s="341"/>
    </row>
    <row r="1396" spans="1:25" ht="12.75" customHeight="1">
      <c r="A1396" s="393"/>
      <c r="C1396" s="20"/>
      <c r="E1396" s="387"/>
      <c r="F1396" s="388">
        <f t="shared" si="361"/>
        <v>0</v>
      </c>
      <c r="H1396" s="341" t="str">
        <f>IF(A1396="","",VLOOKUP(A1396,VII.A!$A$10:$D$199,4,FALSE))</f>
        <v/>
      </c>
      <c r="I1396" s="341" t="str">
        <f t="shared" si="362"/>
        <v/>
      </c>
      <c r="J1396" s="341" t="str">
        <f>IF(A1396="","",VLOOKUP(A1396,VII.A!$A$10:$D$199,3,FALSE))</f>
        <v/>
      </c>
      <c r="K1396" s="342" t="str">
        <f t="shared" si="363"/>
        <v/>
      </c>
      <c r="L1396" s="380" t="str">
        <f>IF(C1396="","",G1355*C1396)</f>
        <v/>
      </c>
      <c r="M1396" s="381" t="str">
        <f>IF(A1396="","",VLOOKUP(A1396,VII.A!$A$10:$B$199,2,FALSE))</f>
        <v/>
      </c>
      <c r="N1396" s="342" t="str">
        <f t="shared" si="364"/>
        <v/>
      </c>
      <c r="R1396" s="341"/>
      <c r="S1396" s="341"/>
    </row>
    <row r="1397" spans="1:25" ht="12.75" customHeight="1">
      <c r="A1397" s="393"/>
      <c r="C1397" s="20"/>
      <c r="E1397" s="387"/>
      <c r="F1397" s="388">
        <f t="shared" si="361"/>
        <v>0</v>
      </c>
      <c r="H1397" s="341" t="str">
        <f>IF(A1397="","",VLOOKUP(A1397,VII.A!$A$10:$D$199,4,FALSE))</f>
        <v/>
      </c>
      <c r="I1397" s="341" t="str">
        <f t="shared" si="362"/>
        <v/>
      </c>
      <c r="J1397" s="341" t="str">
        <f>IF(A1397="","",VLOOKUP(A1397,VII.A!$A$10:$D$199,3,FALSE))</f>
        <v/>
      </c>
      <c r="K1397" s="342" t="str">
        <f t="shared" si="363"/>
        <v/>
      </c>
      <c r="L1397" s="380" t="str">
        <f>IF(C1397="","",G1355*C1397)</f>
        <v/>
      </c>
      <c r="M1397" s="381" t="str">
        <f>IF(A1397="","",VLOOKUP(A1397,VII.A!$A$10:$B$199,2,FALSE))</f>
        <v/>
      </c>
      <c r="N1397" s="342" t="str">
        <f t="shared" si="364"/>
        <v/>
      </c>
      <c r="R1397" s="341"/>
      <c r="S1397" s="341"/>
    </row>
    <row r="1398" spans="1:25" ht="12.75" customHeight="1">
      <c r="A1398" s="393"/>
      <c r="B1398" s="395" t="s">
        <v>226</v>
      </c>
      <c r="C1398" s="396"/>
      <c r="D1398" s="397"/>
      <c r="E1398" s="398"/>
      <c r="F1398" s="399">
        <f>SUM(F1391:F1397)</f>
        <v>0</v>
      </c>
      <c r="J1398" s="341"/>
      <c r="L1398" s="380"/>
      <c r="M1398" s="381"/>
      <c r="N1398" s="342"/>
      <c r="R1398" s="341"/>
      <c r="S1398" s="341"/>
    </row>
    <row r="1399" spans="1:25" ht="12.75" customHeight="1">
      <c r="A1399" s="393"/>
      <c r="B1399" s="400" t="s">
        <v>229</v>
      </c>
      <c r="C1399" s="2">
        <f>IX.A!$C$45</f>
        <v>0</v>
      </c>
      <c r="D1399" s="401"/>
      <c r="E1399" s="402"/>
      <c r="F1399" s="403">
        <f>ROUND(F1398*C1399,2)</f>
        <v>0</v>
      </c>
      <c r="J1399" s="341"/>
      <c r="L1399" s="380"/>
      <c r="M1399" s="381"/>
      <c r="N1399" s="342"/>
      <c r="R1399" s="341"/>
      <c r="S1399" s="341"/>
    </row>
    <row r="1400" spans="1:25" ht="12.75" customHeight="1">
      <c r="A1400" s="393"/>
      <c r="B1400" s="400" t="s">
        <v>53</v>
      </c>
      <c r="C1400" s="2">
        <f>$D$8</f>
        <v>0</v>
      </c>
      <c r="D1400" s="401"/>
      <c r="E1400" s="402"/>
      <c r="F1400" s="403">
        <f>ROUND(SUM(F1398:F1399)*C1400,2)</f>
        <v>0</v>
      </c>
      <c r="J1400" s="341"/>
      <c r="L1400" s="380"/>
      <c r="M1400" s="381"/>
      <c r="N1400" s="342"/>
      <c r="R1400" s="341"/>
      <c r="S1400" s="341"/>
    </row>
    <row r="1401" spans="1:25" ht="12.75" customHeight="1" thickBot="1">
      <c r="A1401" s="414"/>
      <c r="B1401" s="415" t="s">
        <v>230</v>
      </c>
      <c r="C1401" s="416"/>
      <c r="D1401" s="416"/>
      <c r="E1401" s="417"/>
      <c r="F1401" s="418">
        <f>SUM(F1398:F1400)</f>
        <v>0</v>
      </c>
      <c r="J1401" s="341"/>
      <c r="L1401" s="380"/>
      <c r="M1401" s="381"/>
      <c r="N1401" s="342"/>
      <c r="R1401" s="341"/>
      <c r="S1401" s="341"/>
    </row>
    <row r="1402" spans="1:25" ht="12.75" customHeight="1" thickBot="1">
      <c r="A1402" s="357"/>
      <c r="B1402" s="358"/>
      <c r="C1402" s="359"/>
      <c r="D1402" s="359"/>
      <c r="E1402" s="360"/>
      <c r="F1402" s="419"/>
      <c r="J1402" s="341"/>
      <c r="L1402" s="380"/>
      <c r="M1402" s="381"/>
      <c r="N1402" s="342"/>
      <c r="R1402" s="341"/>
      <c r="S1402" s="341"/>
    </row>
    <row r="1403" spans="1:25" ht="30" customHeight="1">
      <c r="A1403" s="370" t="str">
        <f>IV.A!$A$56</f>
        <v>3.2.7</v>
      </c>
      <c r="B1403" s="371" t="str">
        <f>IV.A!$B$56</f>
        <v>TAMPA METÁLICA EM CHAPA DE AÇO GALVANIZADA Nº 16 - PADRÃO SEMAE</v>
      </c>
      <c r="C1403" s="871" t="s">
        <v>237</v>
      </c>
      <c r="D1403" s="872"/>
      <c r="E1403" s="372" t="str">
        <f>IV.A!$C$56</f>
        <v>M2</v>
      </c>
      <c r="F1403" s="11">
        <f>ROUND(F1423+F1437+F1449,2)</f>
        <v>0</v>
      </c>
      <c r="G1403" s="1">
        <f>VLOOKUP(A1403,IV.A!$A$16:$L$172,4,FALSE)</f>
        <v>75</v>
      </c>
      <c r="H1403" s="361">
        <f>SUM(F1405:F1420)+F1422</f>
        <v>0</v>
      </c>
      <c r="I1403" s="361">
        <f>SUM(F1425:F1434)+F1436</f>
        <v>0</v>
      </c>
      <c r="J1403" s="361">
        <f>SUM(F1439:F1445)+F1447+F1448</f>
        <v>0</v>
      </c>
      <c r="K1403" s="361">
        <f>SUM(H1403:J1403)</f>
        <v>0</v>
      </c>
      <c r="L1403" s="362" t="str">
        <f>IF(K1403=F1403,"SIM","NÃO")</f>
        <v>SIM</v>
      </c>
      <c r="M1403" s="373">
        <f>ROUND(SUM(F1405:F1420),2)+ROUND(SUM(F1405:F1420)*C1422,2)+ROUND(SUM(F1425:F1434)*C1436,2)+ROUND(SUM(F1425:F1434),2)+ROUND(SUM(F1439:F1445)*C1447,2)+ROUND((SUM(F1439:F1445)+ROUND(SUM(F1439:F1445)*C1447,2))*C1448,2)+ROUND(SUM(F1439:F1445),2)</f>
        <v>0</v>
      </c>
      <c r="N1403" s="343" t="str">
        <f>IF(M1403=F1403,"SIM","NÃO")</f>
        <v>SIM</v>
      </c>
      <c r="O1403" s="364" t="str">
        <f>VLOOKUP(A1403,IV.A!$A$16:$E$172,3,FALSE)</f>
        <v>M2</v>
      </c>
      <c r="P1403" s="344" t="str">
        <f>IF(O1403=E1403,"SIM","NÃO")</f>
        <v>SIM</v>
      </c>
      <c r="Q1403" s="365">
        <f>ROUND(G1403*F1423,2)+ROUND(G1403*F1437,2)+ROUND(G1403*F1449,2)</f>
        <v>0</v>
      </c>
      <c r="R1403" s="364">
        <f>VLOOKUP(A1403,IV.A!$A$16:$L$172,12,FALSE)</f>
        <v>0</v>
      </c>
      <c r="S1403" s="366" t="str">
        <f>IF(Q1403=R1403,"si","no")</f>
        <v>si</v>
      </c>
      <c r="T1403" s="367">
        <f>SUM(L1405:L1420)+SUM(L1425:L1434)+SUM(L1439:L1445)</f>
        <v>3207.7125000000001</v>
      </c>
      <c r="U1403" s="341">
        <f>(SUM(C1405:C1420)+SUM(C1425:C1434)+SUM(C1439:C1445))*G1403</f>
        <v>3207.7125000000001</v>
      </c>
      <c r="V1403" s="368" t="str">
        <f>IF(T1403=U1403,"si","no")</f>
        <v>si</v>
      </c>
      <c r="W1403" s="369">
        <f>SUM(F1405:F1420)</f>
        <v>0</v>
      </c>
      <c r="X1403" s="369">
        <f>SUM(F1425:F1434)</f>
        <v>0</v>
      </c>
      <c r="Y1403" s="369">
        <f>SUM(F1439:F1445)</f>
        <v>0</v>
      </c>
    </row>
    <row r="1404" spans="1:25" ht="12.75" customHeight="1">
      <c r="A1404" s="374" t="s">
        <v>14</v>
      </c>
      <c r="B1404" s="375" t="s">
        <v>132</v>
      </c>
      <c r="C1404" s="376" t="s">
        <v>231</v>
      </c>
      <c r="D1404" s="376" t="s">
        <v>232</v>
      </c>
      <c r="E1404" s="377" t="s">
        <v>233</v>
      </c>
      <c r="F1404" s="378" t="s">
        <v>234</v>
      </c>
      <c r="G1404" s="379"/>
      <c r="J1404" s="341"/>
      <c r="L1404" s="380"/>
      <c r="M1404" s="381"/>
      <c r="N1404" s="342"/>
      <c r="O1404" s="382"/>
      <c r="P1404" s="383"/>
      <c r="Q1404" s="383"/>
      <c r="R1404" s="383"/>
      <c r="S1404" s="383"/>
      <c r="T1404" s="382"/>
      <c r="U1404" s="341"/>
      <c r="V1404" s="384"/>
      <c r="W1404" s="384"/>
      <c r="X1404" s="384"/>
      <c r="Y1404" s="384"/>
    </row>
    <row r="1405" spans="1:25" ht="12.75" customHeight="1">
      <c r="A1405" s="385" t="str">
        <f>VII.A!$A$19</f>
        <v>1.10</v>
      </c>
      <c r="B1405" s="394" t="str">
        <f>VLOOKUP(A1405,VII.A!$A$10:$G$199,2,FALSE)</f>
        <v>AREIA MÉDIA LAVADA</v>
      </c>
      <c r="C1405" s="20">
        <f>5*0.0239</f>
        <v>0.11950000000000001</v>
      </c>
      <c r="D1405" s="342" t="str">
        <f>VLOOKUP(A1405,VII.A!$A$10:$G$199,3,FALSE)</f>
        <v>M3</v>
      </c>
      <c r="E1405" s="387">
        <f>VII.A!$D$19</f>
        <v>0</v>
      </c>
      <c r="F1405" s="388">
        <f>ROUND(C1405*E1405,2)</f>
        <v>0</v>
      </c>
      <c r="H1405" s="341">
        <f>IF(A1405="","",VLOOKUP(A1405,VII.A!$A$10:$D$199,4,FALSE))</f>
        <v>0</v>
      </c>
      <c r="I1405" s="341" t="str">
        <f t="shared" ref="I1405:I1420" si="365">IF(A1405="","",IF(E1405=H1405,"SIM","NÃO"))</f>
        <v>SIM</v>
      </c>
      <c r="J1405" s="341" t="str">
        <f>IF(A1405="","",VLOOKUP(A1405,VII.A!$A$10:$D$199,3,FALSE))</f>
        <v>M3</v>
      </c>
      <c r="K1405" s="342" t="str">
        <f t="shared" ref="K1405:K1420" si="366">IF(A1405="","",IF(J1405=D1405,"SIM","NÃO"))</f>
        <v>SIM</v>
      </c>
      <c r="L1405" s="380">
        <f>IF(C1405="","",G1403*C1405)</f>
        <v>8.9625000000000004</v>
      </c>
      <c r="M1405" s="381" t="str">
        <f>IF(A1405="","",VLOOKUP(A1405,VII.A!$A$10:$B$199,2,FALSE))</f>
        <v>AREIA MÉDIA LAVADA</v>
      </c>
      <c r="N1405" s="342" t="str">
        <f t="shared" ref="N1405:N1420" si="367">IF(B1405="","",IF(M1405=B1405,"si","no"))</f>
        <v>si</v>
      </c>
      <c r="R1405" s="341"/>
      <c r="S1405" s="341"/>
    </row>
    <row r="1406" spans="1:25" ht="12.75" customHeight="1">
      <c r="A1406" s="385" t="str">
        <f>VII.A!$A$31</f>
        <v>1.22</v>
      </c>
      <c r="B1406" s="394" t="str">
        <f>VLOOKUP(A1406,VII.A!$A$10:$G$199,2,FALSE)</f>
        <v>CANTONEIRA DE AÇO GALVANIZADO COM ABAS IGUAIS DE 1" X 1/8" - 25,4 X 3,17 MM - (L x E) - 1,20 KG/M</v>
      </c>
      <c r="C1406" s="20">
        <v>4</v>
      </c>
      <c r="D1406" s="342" t="str">
        <f>VLOOKUP(A1406,VII.A!$A$10:$G$199,3,FALSE)</f>
        <v>M</v>
      </c>
      <c r="E1406" s="387">
        <f>VII.A!$D$31</f>
        <v>0</v>
      </c>
      <c r="F1406" s="388">
        <f t="shared" ref="F1406:F1420" si="368">ROUND(C1406*E1406,2)</f>
        <v>0</v>
      </c>
      <c r="H1406" s="341">
        <f>IF(A1406="","",VLOOKUP(A1406,VII.A!$A$10:$D$199,4,FALSE))</f>
        <v>0</v>
      </c>
      <c r="I1406" s="341" t="str">
        <f t="shared" si="365"/>
        <v>SIM</v>
      </c>
      <c r="J1406" s="341" t="str">
        <f>IF(A1406="","",VLOOKUP(A1406,VII.A!$A$10:$D$199,3,FALSE))</f>
        <v>M</v>
      </c>
      <c r="K1406" s="342" t="str">
        <f t="shared" si="366"/>
        <v>SIM</v>
      </c>
      <c r="L1406" s="380">
        <f>IF(C1406="","",G1403*C1406)</f>
        <v>300</v>
      </c>
      <c r="M1406" s="381" t="str">
        <f>IF(A1406="","",VLOOKUP(A1406,VII.A!$A$10:$B$199,2,FALSE))</f>
        <v>CANTONEIRA DE AÇO GALVANIZADO COM ABAS IGUAIS DE 1" X 1/8" - 25,4 X 3,17 MM - (L x E) - 1,20 KG/M</v>
      </c>
      <c r="N1406" s="342" t="str">
        <f t="shared" si="367"/>
        <v>si</v>
      </c>
      <c r="R1406" s="341"/>
      <c r="S1406" s="341"/>
    </row>
    <row r="1407" spans="1:25" ht="12.75" customHeight="1">
      <c r="A1407" s="385" t="str">
        <f>VII.A!$A$38</f>
        <v>1.29</v>
      </c>
      <c r="B1407" s="394" t="str">
        <f>VLOOKUP(A1407,VII.A!$A$10:$G$199,2,FALSE)</f>
        <v>CIMENTO PORTLAND CP II-E-32</v>
      </c>
      <c r="C1407" s="20">
        <f>5*4.1</f>
        <v>20.5</v>
      </c>
      <c r="D1407" s="342" t="str">
        <f>VLOOKUP(A1407,VII.A!$A$10:$G$199,3,FALSE)</f>
        <v>KG</v>
      </c>
      <c r="E1407" s="387">
        <f>VII.A!$D$38</f>
        <v>0</v>
      </c>
      <c r="F1407" s="388">
        <f t="shared" si="368"/>
        <v>0</v>
      </c>
      <c r="H1407" s="341">
        <f>IF(A1407="","",VLOOKUP(A1407,VII.A!$A$10:$D$199,4,FALSE))</f>
        <v>0</v>
      </c>
      <c r="I1407" s="341" t="str">
        <f t="shared" si="365"/>
        <v>SIM</v>
      </c>
      <c r="J1407" s="341" t="str">
        <f>IF(A1407="","",VLOOKUP(A1407,VII.A!$A$10:$D$199,3,FALSE))</f>
        <v>KG</v>
      </c>
      <c r="K1407" s="342" t="str">
        <f t="shared" si="366"/>
        <v>SIM</v>
      </c>
      <c r="L1407" s="380">
        <f>IF(C1407="","",G1403*C1407)</f>
        <v>1537.5</v>
      </c>
      <c r="M1407" s="381" t="str">
        <f>IF(A1407="","",VLOOKUP(A1407,VII.A!$A$10:$B$199,2,FALSE))</f>
        <v>CIMENTO PORTLAND CP II-E-32</v>
      </c>
      <c r="N1407" s="342" t="str">
        <f t="shared" si="367"/>
        <v>si</v>
      </c>
      <c r="R1407" s="341"/>
      <c r="S1407" s="341"/>
    </row>
    <row r="1408" spans="1:25" ht="12.75" customHeight="1">
      <c r="A1408" s="385" t="str">
        <f>VII.A!$A$35</f>
        <v>1.26</v>
      </c>
      <c r="B1408" s="394" t="str">
        <f>VLOOKUP(A1408,VII.A!$A$10:$G$199,2,FALSE)</f>
        <v>CHAPA DE ACO GALVANIZADA BITOLA GSG 16, E = 1,55 MM (12,40 KG/M2)</v>
      </c>
      <c r="C1408" s="20">
        <v>12.4</v>
      </c>
      <c r="D1408" s="342" t="str">
        <f>VLOOKUP(A1408,VII.A!$A$10:$G$199,3,FALSE)</f>
        <v>KG</v>
      </c>
      <c r="E1408" s="387">
        <f>VII.A!$D$35</f>
        <v>0</v>
      </c>
      <c r="F1408" s="388">
        <f t="shared" si="368"/>
        <v>0</v>
      </c>
      <c r="H1408" s="341">
        <f>IF(A1408="","",VLOOKUP(A1408,VII.A!$A$10:$D$199,4,FALSE))</f>
        <v>0</v>
      </c>
      <c r="I1408" s="341" t="str">
        <f t="shared" si="365"/>
        <v>SIM</v>
      </c>
      <c r="J1408" s="341" t="str">
        <f>IF(A1408="","",VLOOKUP(A1408,VII.A!$A$10:$D$199,3,FALSE))</f>
        <v>KG</v>
      </c>
      <c r="K1408" s="342" t="str">
        <f t="shared" si="366"/>
        <v>SIM</v>
      </c>
      <c r="L1408" s="380">
        <f>IF(C1408="","",G1403*C1408)</f>
        <v>930</v>
      </c>
      <c r="M1408" s="381" t="str">
        <f>IF(A1408="","",VLOOKUP(A1408,VII.A!$A$10:$B$199,2,FALSE))</f>
        <v>CHAPA DE ACO GALVANIZADA BITOLA GSG 16, E = 1,55 MM (12,40 KG/M2)</v>
      </c>
      <c r="N1408" s="342" t="str">
        <f t="shared" si="367"/>
        <v>si</v>
      </c>
      <c r="R1408" s="341"/>
      <c r="S1408" s="341"/>
    </row>
    <row r="1409" spans="1:21" ht="12.75" customHeight="1">
      <c r="A1409" s="385" t="str">
        <f>VII.A!$A$26</f>
        <v>1.17</v>
      </c>
      <c r="B1409" s="394" t="str">
        <f>VLOOKUP(A1409,VII.A!$A$10:$G$199,2,FALSE)</f>
        <v>CADEADO SIMPLES, CORPO EM LATAO MACICO, COM LARGURA DE 50 MM E ALTURA DE APROX 40 MM, HASTE CEMENTADA EM ACO TEMPERADO COM DIAMETRO DE APROX 8,0 MM, INCLUINDO 2 CHAVES</v>
      </c>
      <c r="C1409" s="20">
        <v>1</v>
      </c>
      <c r="D1409" s="342" t="str">
        <f>VLOOKUP(A1409,VII.A!$A$10:$G$199,3,FALSE)</f>
        <v>UN</v>
      </c>
      <c r="E1409" s="387">
        <f>VII.A!D$26</f>
        <v>0</v>
      </c>
      <c r="F1409" s="388">
        <f t="shared" si="368"/>
        <v>0</v>
      </c>
      <c r="H1409" s="341">
        <f>IF(A1409="","",VLOOKUP(A1409,VII.A!$A$10:$D$199,4,FALSE))</f>
        <v>0</v>
      </c>
      <c r="I1409" s="341" t="str">
        <f t="shared" si="365"/>
        <v>SIM</v>
      </c>
      <c r="J1409" s="341" t="str">
        <f>IF(A1409="","",VLOOKUP(A1409,VII.A!$A$10:$D$199,3,FALSE))</f>
        <v>UN</v>
      </c>
      <c r="K1409" s="342" t="str">
        <f t="shared" si="366"/>
        <v>SIM</v>
      </c>
      <c r="L1409" s="380">
        <f>IF(C1409="","",G1403*C1409)</f>
        <v>75</v>
      </c>
      <c r="M1409" s="381" t="str">
        <f>IF(A1409="","",VLOOKUP(A1409,VII.A!$A$10:$B$199,2,FALSE))</f>
        <v>CADEADO SIMPLES, CORPO EM LATAO MACICO, COM LARGURA DE 50 MM E ALTURA DE APROX 40 MM, HASTE CEMENTADA EM ACO TEMPERADO COM DIAMETRO DE APROX 8,0 MM, INCLUINDO 2 CHAVES</v>
      </c>
      <c r="N1409" s="342" t="str">
        <f t="shared" si="367"/>
        <v>si</v>
      </c>
      <c r="R1409" s="341"/>
      <c r="S1409" s="341"/>
    </row>
    <row r="1410" spans="1:21" ht="12.75" customHeight="1">
      <c r="A1410" s="385"/>
      <c r="B1410" s="386"/>
      <c r="C1410" s="20"/>
      <c r="D1410" s="342"/>
      <c r="E1410" s="387"/>
      <c r="F1410" s="388">
        <f t="shared" si="368"/>
        <v>0</v>
      </c>
      <c r="H1410" s="341" t="str">
        <f>IF(A1410="","",VLOOKUP(A1410,VII.A!$A$10:$D$199,4,FALSE))</f>
        <v/>
      </c>
      <c r="I1410" s="341" t="str">
        <f t="shared" si="365"/>
        <v/>
      </c>
      <c r="J1410" s="341" t="str">
        <f>IF(A1410="","",VLOOKUP(A1410,VII.A!$A$10:$D$199,3,FALSE))</f>
        <v/>
      </c>
      <c r="K1410" s="342" t="str">
        <f t="shared" si="366"/>
        <v/>
      </c>
      <c r="L1410" s="380" t="str">
        <f>IF(C1410="","",G1403*C1410)</f>
        <v/>
      </c>
      <c r="M1410" s="381" t="str">
        <f>IF(A1410="","",VLOOKUP(A1410,VII.A!$A$10:$B$199,2,FALSE))</f>
        <v/>
      </c>
      <c r="N1410" s="342" t="str">
        <f t="shared" si="367"/>
        <v/>
      </c>
      <c r="R1410" s="341"/>
      <c r="S1410" s="341"/>
      <c r="U1410" s="389"/>
    </row>
    <row r="1411" spans="1:21" ht="12.75" customHeight="1">
      <c r="A1411" s="385"/>
      <c r="B1411" s="386"/>
      <c r="C1411" s="20"/>
      <c r="D1411" s="342"/>
      <c r="E1411" s="387"/>
      <c r="F1411" s="388">
        <f t="shared" si="368"/>
        <v>0</v>
      </c>
      <c r="H1411" s="341" t="str">
        <f>IF(A1411="","",VLOOKUP(A1411,VII.A!$A$10:$D$199,4,FALSE))</f>
        <v/>
      </c>
      <c r="I1411" s="341" t="str">
        <f t="shared" si="365"/>
        <v/>
      </c>
      <c r="J1411" s="341" t="str">
        <f>IF(A1411="","",VLOOKUP(A1411,VII.A!$A$10:$D$199,3,FALSE))</f>
        <v/>
      </c>
      <c r="K1411" s="342" t="str">
        <f t="shared" si="366"/>
        <v/>
      </c>
      <c r="L1411" s="380" t="str">
        <f>IF(C1411="","",G1403*C1411)</f>
        <v/>
      </c>
      <c r="M1411" s="381" t="str">
        <f>IF(A1411="","",VLOOKUP(A1411,VII.A!$A$10:$B$199,2,FALSE))</f>
        <v/>
      </c>
      <c r="N1411" s="342" t="str">
        <f t="shared" si="367"/>
        <v/>
      </c>
      <c r="R1411" s="341"/>
      <c r="S1411" s="341"/>
    </row>
    <row r="1412" spans="1:21" ht="12.75" customHeight="1">
      <c r="A1412" s="385"/>
      <c r="B1412" s="386"/>
      <c r="C1412" s="20"/>
      <c r="D1412" s="342"/>
      <c r="E1412" s="387"/>
      <c r="F1412" s="388">
        <f t="shared" si="368"/>
        <v>0</v>
      </c>
      <c r="G1412" s="390"/>
      <c r="H1412" s="341" t="str">
        <f>IF(A1412="","",VLOOKUP(A1412,VII.A!$A$10:$D$199,4,FALSE))</f>
        <v/>
      </c>
      <c r="I1412" s="341" t="str">
        <f t="shared" si="365"/>
        <v/>
      </c>
      <c r="J1412" s="341" t="str">
        <f>IF(A1412="","",VLOOKUP(A1412,VII.A!$A$10:$D$199,3,FALSE))</f>
        <v/>
      </c>
      <c r="K1412" s="342" t="str">
        <f t="shared" si="366"/>
        <v/>
      </c>
      <c r="L1412" s="380" t="str">
        <f>IF(C1412="","",G1403*C1412)</f>
        <v/>
      </c>
      <c r="M1412" s="381" t="str">
        <f>IF(A1412="","",VLOOKUP(A1412,VII.A!$A$10:$B$199,2,FALSE))</f>
        <v/>
      </c>
      <c r="N1412" s="342" t="str">
        <f t="shared" si="367"/>
        <v/>
      </c>
      <c r="R1412" s="341"/>
      <c r="S1412" s="341"/>
    </row>
    <row r="1413" spans="1:21" ht="12.75" customHeight="1">
      <c r="A1413" s="385"/>
      <c r="B1413" s="386"/>
      <c r="C1413" s="20"/>
      <c r="D1413" s="342"/>
      <c r="E1413" s="387"/>
      <c r="F1413" s="388">
        <f t="shared" si="368"/>
        <v>0</v>
      </c>
      <c r="G1413" s="390"/>
      <c r="H1413" s="341" t="str">
        <f>IF(A1413="","",VLOOKUP(A1413,VII.A!$A$10:$D$199,4,FALSE))</f>
        <v/>
      </c>
      <c r="I1413" s="341" t="str">
        <f t="shared" si="365"/>
        <v/>
      </c>
      <c r="J1413" s="341" t="str">
        <f>IF(A1413="","",VLOOKUP(A1413,VII.A!$A$10:$D$199,3,FALSE))</f>
        <v/>
      </c>
      <c r="K1413" s="342" t="str">
        <f t="shared" si="366"/>
        <v/>
      </c>
      <c r="L1413" s="380" t="str">
        <f>IF(C1413="","",G1403*C1413)</f>
        <v/>
      </c>
      <c r="M1413" s="381" t="str">
        <f>IF(A1413="","",VLOOKUP(A1413,VII.A!$A$10:$B$199,2,FALSE))</f>
        <v/>
      </c>
      <c r="N1413" s="342" t="str">
        <f t="shared" si="367"/>
        <v/>
      </c>
      <c r="R1413" s="341"/>
      <c r="S1413" s="341"/>
    </row>
    <row r="1414" spans="1:21" ht="12.75" customHeight="1">
      <c r="A1414" s="385"/>
      <c r="B1414" s="386"/>
      <c r="C1414" s="20"/>
      <c r="D1414" s="342"/>
      <c r="E1414" s="387"/>
      <c r="F1414" s="388">
        <f t="shared" si="368"/>
        <v>0</v>
      </c>
      <c r="G1414" s="391"/>
      <c r="H1414" s="341" t="str">
        <f>IF(A1414="","",VLOOKUP(A1414,VII.A!$A$10:$D$199,4,FALSE))</f>
        <v/>
      </c>
      <c r="I1414" s="341" t="str">
        <f t="shared" si="365"/>
        <v/>
      </c>
      <c r="J1414" s="341" t="str">
        <f>IF(A1414="","",VLOOKUP(A1414,VII.A!$A$10:$D$199,3,FALSE))</f>
        <v/>
      </c>
      <c r="K1414" s="342" t="str">
        <f t="shared" si="366"/>
        <v/>
      </c>
      <c r="L1414" s="380" t="str">
        <f>IF(C1414="","",G1403*C1414)</f>
        <v/>
      </c>
      <c r="M1414" s="381" t="str">
        <f>IF(A1414="","",VLOOKUP(A1414,VII.A!$A$10:$B$199,2,FALSE))</f>
        <v/>
      </c>
      <c r="N1414" s="342" t="str">
        <f t="shared" si="367"/>
        <v/>
      </c>
      <c r="R1414" s="341"/>
      <c r="S1414" s="341"/>
    </row>
    <row r="1415" spans="1:21" ht="12.75" customHeight="1">
      <c r="A1415" s="385"/>
      <c r="B1415" s="386"/>
      <c r="C1415" s="20"/>
      <c r="D1415" s="342"/>
      <c r="E1415" s="387"/>
      <c r="F1415" s="388">
        <f t="shared" si="368"/>
        <v>0</v>
      </c>
      <c r="H1415" s="341" t="str">
        <f>IF(A1415="","",VLOOKUP(A1415,VII.A!$A$10:$D$199,4,FALSE))</f>
        <v/>
      </c>
      <c r="I1415" s="341" t="str">
        <f t="shared" si="365"/>
        <v/>
      </c>
      <c r="J1415" s="341" t="str">
        <f>IF(A1415="","",VLOOKUP(A1415,VII.A!$A$10:$D$199,3,FALSE))</f>
        <v/>
      </c>
      <c r="K1415" s="342" t="str">
        <f t="shared" si="366"/>
        <v/>
      </c>
      <c r="L1415" s="380" t="str">
        <f>IF(C1415="","",G1403*C1415)</f>
        <v/>
      </c>
      <c r="M1415" s="381" t="str">
        <f>IF(A1415="","",VLOOKUP(A1415,VII.A!$A$10:$B$199,2,FALSE))</f>
        <v/>
      </c>
      <c r="N1415" s="342" t="str">
        <f t="shared" si="367"/>
        <v/>
      </c>
      <c r="R1415" s="341"/>
      <c r="S1415" s="341"/>
    </row>
    <row r="1416" spans="1:21" ht="12.75" customHeight="1">
      <c r="A1416" s="385"/>
      <c r="B1416" s="386"/>
      <c r="C1416" s="20"/>
      <c r="D1416" s="392"/>
      <c r="E1416" s="387"/>
      <c r="F1416" s="388">
        <f t="shared" si="368"/>
        <v>0</v>
      </c>
      <c r="H1416" s="341" t="str">
        <f>IF(A1416="","",VLOOKUP(A1416,VII.A!$A$10:$D$199,4,FALSE))</f>
        <v/>
      </c>
      <c r="I1416" s="341" t="str">
        <f t="shared" si="365"/>
        <v/>
      </c>
      <c r="J1416" s="341" t="str">
        <f>IF(A1416="","",VLOOKUP(A1416,VII.A!$A$10:$D$199,3,FALSE))</f>
        <v/>
      </c>
      <c r="K1416" s="342" t="str">
        <f t="shared" si="366"/>
        <v/>
      </c>
      <c r="L1416" s="380" t="str">
        <f>IF(C1416="","",G1403*C1416)</f>
        <v/>
      </c>
      <c r="M1416" s="381" t="str">
        <f>IF(A1416="","",VLOOKUP(A1416,VII.A!$A$10:$B$199,2,FALSE))</f>
        <v/>
      </c>
      <c r="N1416" s="342" t="str">
        <f t="shared" si="367"/>
        <v/>
      </c>
      <c r="R1416" s="341"/>
      <c r="S1416" s="341"/>
    </row>
    <row r="1417" spans="1:21" ht="12.75" customHeight="1">
      <c r="A1417" s="385"/>
      <c r="B1417" s="386"/>
      <c r="C1417" s="20"/>
      <c r="D1417" s="392"/>
      <c r="E1417" s="387"/>
      <c r="F1417" s="388">
        <f t="shared" si="368"/>
        <v>0</v>
      </c>
      <c r="H1417" s="341" t="str">
        <f>IF(A1417="","",VLOOKUP(A1417,VII.A!$A$10:$D$199,4,FALSE))</f>
        <v/>
      </c>
      <c r="I1417" s="341" t="str">
        <f t="shared" si="365"/>
        <v/>
      </c>
      <c r="J1417" s="341" t="str">
        <f>IF(A1417="","",VLOOKUP(A1417,VII.A!$A$10:$D$199,3,FALSE))</f>
        <v/>
      </c>
      <c r="K1417" s="342" t="str">
        <f t="shared" si="366"/>
        <v/>
      </c>
      <c r="L1417" s="380" t="str">
        <f>IF(C1417="","",G1403*C1417)</f>
        <v/>
      </c>
      <c r="M1417" s="381" t="str">
        <f>IF(A1417="","",VLOOKUP(A1417,VII.A!$A$10:$B$199,2,FALSE))</f>
        <v/>
      </c>
      <c r="N1417" s="342" t="str">
        <f t="shared" si="367"/>
        <v/>
      </c>
      <c r="O1417" s="342"/>
      <c r="R1417" s="341"/>
      <c r="S1417" s="341"/>
    </row>
    <row r="1418" spans="1:21" ht="12.75" customHeight="1">
      <c r="A1418" s="385"/>
      <c r="B1418" s="386"/>
      <c r="C1418" s="20"/>
      <c r="D1418" s="392"/>
      <c r="E1418" s="387"/>
      <c r="F1418" s="388">
        <f t="shared" si="368"/>
        <v>0</v>
      </c>
      <c r="H1418" s="341" t="str">
        <f>IF(A1418="","",VLOOKUP(A1418,VII.A!$A$10:$D$199,4,FALSE))</f>
        <v/>
      </c>
      <c r="I1418" s="341" t="str">
        <f t="shared" si="365"/>
        <v/>
      </c>
      <c r="J1418" s="341" t="str">
        <f>IF(A1418="","",VLOOKUP(A1418,VII.A!$A$10:$D$199,3,FALSE))</f>
        <v/>
      </c>
      <c r="K1418" s="342" t="str">
        <f t="shared" si="366"/>
        <v/>
      </c>
      <c r="L1418" s="380" t="str">
        <f>IF(C1418="","",G1403*C1418)</f>
        <v/>
      </c>
      <c r="M1418" s="381" t="str">
        <f>IF(A1418="","",VLOOKUP(A1418,VII.A!$A$10:$B$199,2,FALSE))</f>
        <v/>
      </c>
      <c r="N1418" s="342" t="str">
        <f t="shared" si="367"/>
        <v/>
      </c>
      <c r="R1418" s="341"/>
      <c r="S1418" s="341"/>
    </row>
    <row r="1419" spans="1:21" ht="12.75" customHeight="1">
      <c r="A1419" s="393"/>
      <c r="C1419" s="20"/>
      <c r="E1419" s="387"/>
      <c r="F1419" s="388">
        <f t="shared" si="368"/>
        <v>0</v>
      </c>
      <c r="H1419" s="341" t="str">
        <f>IF(A1419="","",VLOOKUP(A1419,VII.A!$A$10:$D$199,4,FALSE))</f>
        <v/>
      </c>
      <c r="I1419" s="341" t="str">
        <f t="shared" si="365"/>
        <v/>
      </c>
      <c r="J1419" s="341" t="str">
        <f>IF(A1419="","",VLOOKUP(A1419,VII.A!$A$10:$D$199,3,FALSE))</f>
        <v/>
      </c>
      <c r="K1419" s="342" t="str">
        <f t="shared" si="366"/>
        <v/>
      </c>
      <c r="L1419" s="380" t="str">
        <f>IF(C1419="","",G1403*C1419)</f>
        <v/>
      </c>
      <c r="M1419" s="381" t="str">
        <f>IF(A1419="","",VLOOKUP(A1419,VII.A!$A$10:$B$199,2,FALSE))</f>
        <v/>
      </c>
      <c r="N1419" s="342" t="str">
        <f t="shared" si="367"/>
        <v/>
      </c>
      <c r="R1419" s="341"/>
      <c r="S1419" s="341"/>
    </row>
    <row r="1420" spans="1:21" ht="12.75" customHeight="1">
      <c r="A1420" s="393"/>
      <c r="C1420" s="20"/>
      <c r="E1420" s="387"/>
      <c r="F1420" s="388">
        <f t="shared" si="368"/>
        <v>0</v>
      </c>
      <c r="H1420" s="341" t="str">
        <f>IF(A1420="","",VLOOKUP(A1420,VII.A!$A$10:$D$199,4,FALSE))</f>
        <v/>
      </c>
      <c r="I1420" s="341" t="str">
        <f t="shared" si="365"/>
        <v/>
      </c>
      <c r="J1420" s="341" t="str">
        <f>IF(A1420="","",VLOOKUP(A1420,VII.A!$A$10:$D$199,3,FALSE))</f>
        <v/>
      </c>
      <c r="K1420" s="342" t="str">
        <f t="shared" si="366"/>
        <v/>
      </c>
      <c r="L1420" s="380" t="str">
        <f>IF(C1420="","",G1403*C1420)</f>
        <v/>
      </c>
      <c r="M1420" s="381" t="str">
        <f>IF(A1420="","",VLOOKUP(A1420,VII.A!$A$10:$B$199,2,FALSE))</f>
        <v/>
      </c>
      <c r="N1420" s="342" t="str">
        <f t="shared" si="367"/>
        <v/>
      </c>
      <c r="R1420" s="341"/>
      <c r="S1420" s="341"/>
    </row>
    <row r="1421" spans="1:21" ht="12.75" customHeight="1">
      <c r="A1421" s="393"/>
      <c r="B1421" s="395" t="s">
        <v>226</v>
      </c>
      <c r="C1421" s="396"/>
      <c r="D1421" s="397"/>
      <c r="E1421" s="398"/>
      <c r="F1421" s="399">
        <f>SUM(F1405:F1420)</f>
        <v>0</v>
      </c>
      <c r="H1421" s="426" t="s">
        <v>434</v>
      </c>
      <c r="J1421" s="341"/>
      <c r="L1421" s="380"/>
      <c r="M1421" s="381"/>
      <c r="N1421" s="342"/>
      <c r="R1421" s="341"/>
      <c r="S1421" s="341"/>
    </row>
    <row r="1422" spans="1:21" ht="12.75" customHeight="1">
      <c r="A1422" s="393"/>
      <c r="B1422" s="400" t="s">
        <v>53</v>
      </c>
      <c r="C1422" s="2">
        <f>$D$8</f>
        <v>0</v>
      </c>
      <c r="D1422" s="401"/>
      <c r="E1422" s="402"/>
      <c r="F1422" s="403">
        <f>ROUND(F1421*C1422,2)</f>
        <v>0</v>
      </c>
      <c r="J1422" s="341"/>
      <c r="L1422" s="380"/>
      <c r="M1422" s="381"/>
      <c r="N1422" s="342"/>
      <c r="R1422" s="341"/>
      <c r="S1422" s="341"/>
    </row>
    <row r="1423" spans="1:21" ht="12.75" customHeight="1">
      <c r="A1423" s="404"/>
      <c r="B1423" s="405" t="s">
        <v>227</v>
      </c>
      <c r="C1423" s="406"/>
      <c r="D1423" s="406"/>
      <c r="E1423" s="407"/>
      <c r="F1423" s="408">
        <f>F1421+F1422</f>
        <v>0</v>
      </c>
      <c r="J1423" s="341"/>
      <c r="L1423" s="380"/>
      <c r="M1423" s="381"/>
      <c r="N1423" s="342"/>
      <c r="R1423" s="341"/>
      <c r="S1423" s="341"/>
    </row>
    <row r="1424" spans="1:21" ht="12.75" customHeight="1">
      <c r="A1424" s="374" t="s">
        <v>2</v>
      </c>
      <c r="B1424" s="375" t="s">
        <v>235</v>
      </c>
      <c r="C1424" s="376" t="s">
        <v>231</v>
      </c>
      <c r="D1424" s="376" t="s">
        <v>232</v>
      </c>
      <c r="E1424" s="377" t="s">
        <v>233</v>
      </c>
      <c r="F1424" s="378" t="s">
        <v>234</v>
      </c>
      <c r="J1424" s="341"/>
      <c r="L1424" s="380"/>
      <c r="M1424" s="381"/>
      <c r="N1424" s="342"/>
      <c r="R1424" s="341"/>
      <c r="S1424" s="341"/>
    </row>
    <row r="1425" spans="1:19" ht="12.75" customHeight="1">
      <c r="A1425" s="393" t="str">
        <f>VII.A!$A$159</f>
        <v>2.17</v>
      </c>
      <c r="B1425" s="394" t="str">
        <f>VLOOKUP(A1425,VII.A!$A$10:$G$199,2,FALSE)</f>
        <v>GRUPO DE SOLDA 600A, GERADOR DIESEL 60 CV PARA SOLDA ELÉTRICA, SOBRE RODAS, MOTOR 4 CILINDROS - CHP</v>
      </c>
      <c r="C1425" s="20">
        <v>0.75</v>
      </c>
      <c r="D1425" s="384" t="str">
        <f>VLOOKUP(A1425,VII.A!$A$10:$G$199,3,FALSE)</f>
        <v>CHP</v>
      </c>
      <c r="E1425" s="387">
        <f>VII.A!$D$159</f>
        <v>0</v>
      </c>
      <c r="F1425" s="388">
        <f t="shared" ref="F1425:F1434" si="369">ROUND(C1425*E1425,2)</f>
        <v>0</v>
      </c>
      <c r="H1425" s="341">
        <f>IF(A1425="","",VLOOKUP(A1425,VII.A!$A$10:$D$199,4,FALSE))</f>
        <v>0</v>
      </c>
      <c r="I1425" s="341" t="str">
        <f t="shared" ref="I1425:I1434" si="370">IF(A1425="","",IF(E1425=H1425,"SIM","NÃO"))</f>
        <v>SIM</v>
      </c>
      <c r="J1425" s="341" t="str">
        <f>IF(A1425="","",VLOOKUP(A1425,VII.A!$A$10:$D$199,3,FALSE))</f>
        <v>CHP</v>
      </c>
      <c r="K1425" s="342" t="str">
        <f t="shared" ref="K1425:K1434" si="371">IF(A1425="","",IF(J1425=D1425,"SIM","NÃO"))</f>
        <v>SIM</v>
      </c>
      <c r="L1425" s="380">
        <f>IF(C1425="","",G1403*C1425)</f>
        <v>56.25</v>
      </c>
      <c r="M1425" s="381" t="str">
        <f>IF(A1425="","",VLOOKUP(A1425,VII.A!$A$10:$B$199,2,FALSE))</f>
        <v>GRUPO DE SOLDA 600A, GERADOR DIESEL 60 CV PARA SOLDA ELÉTRICA, SOBRE RODAS, MOTOR 4 CILINDROS - CHP</v>
      </c>
      <c r="N1425" s="342" t="str">
        <f t="shared" ref="N1425:N1434" si="372">IF(B1425="","",IF(M1425=B1425,"si","no"))</f>
        <v>si</v>
      </c>
      <c r="R1425" s="341"/>
      <c r="S1425" s="341"/>
    </row>
    <row r="1426" spans="1:19" ht="12.75" customHeight="1">
      <c r="A1426" s="393"/>
      <c r="C1426" s="20"/>
      <c r="E1426" s="387"/>
      <c r="F1426" s="388">
        <f t="shared" si="369"/>
        <v>0</v>
      </c>
      <c r="H1426" s="341" t="str">
        <f>IF(A1426="","",VLOOKUP(A1426,VII.A!$A$10:$D$199,4,FALSE))</f>
        <v/>
      </c>
      <c r="I1426" s="341" t="str">
        <f t="shared" si="370"/>
        <v/>
      </c>
      <c r="J1426" s="341" t="str">
        <f>IF(A1426="","",VLOOKUP(A1426,VII.A!$A$10:$D$199,3,FALSE))</f>
        <v/>
      </c>
      <c r="K1426" s="342" t="str">
        <f t="shared" si="371"/>
        <v/>
      </c>
      <c r="L1426" s="380" t="str">
        <f>IF(C1426="","",G1403*C1426)</f>
        <v/>
      </c>
      <c r="M1426" s="381" t="str">
        <f>IF(A1426="","",VLOOKUP(A1426,VII.A!$A$10:$B$199,2,FALSE))</f>
        <v/>
      </c>
      <c r="N1426" s="342" t="str">
        <f t="shared" si="372"/>
        <v/>
      </c>
      <c r="R1426" s="341"/>
      <c r="S1426" s="341"/>
    </row>
    <row r="1427" spans="1:19" ht="12.75" customHeight="1">
      <c r="A1427" s="393"/>
      <c r="C1427" s="20"/>
      <c r="E1427" s="387"/>
      <c r="F1427" s="388">
        <f t="shared" si="369"/>
        <v>0</v>
      </c>
      <c r="H1427" s="341" t="str">
        <f>IF(A1427="","",VLOOKUP(A1427,VII.A!$A$10:$D$199,4,FALSE))</f>
        <v/>
      </c>
      <c r="I1427" s="341" t="str">
        <f t="shared" si="370"/>
        <v/>
      </c>
      <c r="J1427" s="341" t="str">
        <f>IF(A1427="","",VLOOKUP(A1427,VII.A!$A$10:$D$199,3,FALSE))</f>
        <v/>
      </c>
      <c r="K1427" s="342" t="str">
        <f t="shared" si="371"/>
        <v/>
      </c>
      <c r="L1427" s="380" t="str">
        <f>IF(C1427="","",G1403*C1427)</f>
        <v/>
      </c>
      <c r="M1427" s="381" t="str">
        <f>IF(A1427="","",VLOOKUP(A1427,VII.A!$A$10:$B$199,2,FALSE))</f>
        <v/>
      </c>
      <c r="N1427" s="342" t="str">
        <f t="shared" si="372"/>
        <v/>
      </c>
      <c r="R1427" s="341"/>
      <c r="S1427" s="341"/>
    </row>
    <row r="1428" spans="1:19" ht="12.75" customHeight="1">
      <c r="A1428" s="393"/>
      <c r="C1428" s="20"/>
      <c r="E1428" s="387"/>
      <c r="F1428" s="388">
        <f t="shared" si="369"/>
        <v>0</v>
      </c>
      <c r="H1428" s="341" t="str">
        <f>IF(A1428="","",VLOOKUP(A1428,VII.A!$A$10:$D$199,4,FALSE))</f>
        <v/>
      </c>
      <c r="I1428" s="341" t="str">
        <f t="shared" si="370"/>
        <v/>
      </c>
      <c r="J1428" s="341" t="str">
        <f>IF(A1428="","",VLOOKUP(A1428,VII.A!$A$10:$D$199,3,FALSE))</f>
        <v/>
      </c>
      <c r="K1428" s="342" t="str">
        <f t="shared" si="371"/>
        <v/>
      </c>
      <c r="L1428" s="380" t="str">
        <f>IF(C1428="","",G1403*C1428)</f>
        <v/>
      </c>
      <c r="M1428" s="381" t="str">
        <f>IF(A1428="","",VLOOKUP(A1428,VII.A!$A$10:$B$199,2,FALSE))</f>
        <v/>
      </c>
      <c r="N1428" s="342" t="str">
        <f t="shared" si="372"/>
        <v/>
      </c>
      <c r="R1428" s="341"/>
      <c r="S1428" s="341"/>
    </row>
    <row r="1429" spans="1:19" ht="12.75" customHeight="1">
      <c r="A1429" s="393"/>
      <c r="C1429" s="20"/>
      <c r="E1429" s="387"/>
      <c r="F1429" s="388">
        <f t="shared" si="369"/>
        <v>0</v>
      </c>
      <c r="G1429" s="390"/>
      <c r="H1429" s="341" t="str">
        <f>IF(A1429="","",VLOOKUP(A1429,VII.A!$A$10:$D$199,4,FALSE))</f>
        <v/>
      </c>
      <c r="I1429" s="341" t="str">
        <f t="shared" si="370"/>
        <v/>
      </c>
      <c r="J1429" s="341" t="str">
        <f>IF(A1429="","",VLOOKUP(A1429,VII.A!$A$10:$D$199,3,FALSE))</f>
        <v/>
      </c>
      <c r="K1429" s="342" t="str">
        <f t="shared" si="371"/>
        <v/>
      </c>
      <c r="L1429" s="380" t="str">
        <f>IF(C1429="","",G1403*C1429)</f>
        <v/>
      </c>
      <c r="M1429" s="381" t="str">
        <f>IF(A1429="","",VLOOKUP(A1429,VII.A!$A$10:$B$199,2,FALSE))</f>
        <v/>
      </c>
      <c r="N1429" s="342" t="str">
        <f t="shared" si="372"/>
        <v/>
      </c>
      <c r="R1429" s="341"/>
      <c r="S1429" s="341"/>
    </row>
    <row r="1430" spans="1:19" ht="12.75" customHeight="1">
      <c r="A1430" s="393"/>
      <c r="C1430" s="20"/>
      <c r="E1430" s="387"/>
      <c r="F1430" s="388">
        <f t="shared" si="369"/>
        <v>0</v>
      </c>
      <c r="G1430" s="391"/>
      <c r="H1430" s="341" t="str">
        <f>IF(A1430="","",VLOOKUP(A1430,VII.A!$A$10:$D$199,4,FALSE))</f>
        <v/>
      </c>
      <c r="I1430" s="341" t="str">
        <f t="shared" si="370"/>
        <v/>
      </c>
      <c r="J1430" s="341" t="str">
        <f>IF(A1430="","",VLOOKUP(A1430,VII.A!$A$10:$D$199,3,FALSE))</f>
        <v/>
      </c>
      <c r="K1430" s="342" t="str">
        <f t="shared" si="371"/>
        <v/>
      </c>
      <c r="L1430" s="380" t="str">
        <f>IF(C1430="","",G1403*C1430)</f>
        <v/>
      </c>
      <c r="M1430" s="381" t="str">
        <f>IF(A1430="","",VLOOKUP(A1430,VII.A!$A$10:$B$199,2,FALSE))</f>
        <v/>
      </c>
      <c r="N1430" s="342" t="str">
        <f t="shared" si="372"/>
        <v/>
      </c>
      <c r="R1430" s="341"/>
      <c r="S1430" s="341"/>
    </row>
    <row r="1431" spans="1:19" ht="12.75" customHeight="1">
      <c r="A1431" s="393"/>
      <c r="C1431" s="20"/>
      <c r="E1431" s="387"/>
      <c r="F1431" s="388">
        <f t="shared" si="369"/>
        <v>0</v>
      </c>
      <c r="H1431" s="341" t="str">
        <f>IF(A1431="","",VLOOKUP(A1431,VII.A!$A$10:$D$199,4,FALSE))</f>
        <v/>
      </c>
      <c r="I1431" s="341" t="str">
        <f t="shared" si="370"/>
        <v/>
      </c>
      <c r="J1431" s="341" t="str">
        <f>IF(A1431="","",VLOOKUP(A1431,VII.A!$A$10:$D$199,3,FALSE))</f>
        <v/>
      </c>
      <c r="K1431" s="342" t="str">
        <f t="shared" si="371"/>
        <v/>
      </c>
      <c r="L1431" s="380" t="str">
        <f>IF(C1431="","",G1403*C1431)</f>
        <v/>
      </c>
      <c r="M1431" s="381" t="str">
        <f>IF(A1431="","",VLOOKUP(A1431,VII.A!$A$10:$B$199,2,FALSE))</f>
        <v/>
      </c>
      <c r="N1431" s="342" t="str">
        <f t="shared" si="372"/>
        <v/>
      </c>
      <c r="R1431" s="341"/>
      <c r="S1431" s="341"/>
    </row>
    <row r="1432" spans="1:19" ht="12.75" customHeight="1">
      <c r="A1432" s="393"/>
      <c r="C1432" s="20"/>
      <c r="E1432" s="387"/>
      <c r="F1432" s="388">
        <f t="shared" si="369"/>
        <v>0</v>
      </c>
      <c r="H1432" s="341" t="str">
        <f>IF(A1432="","",VLOOKUP(A1432,VII.A!$A$10:$D$199,4,FALSE))</f>
        <v/>
      </c>
      <c r="I1432" s="341" t="str">
        <f t="shared" si="370"/>
        <v/>
      </c>
      <c r="J1432" s="341" t="str">
        <f>IF(A1432="","",VLOOKUP(A1432,VII.A!$A$10:$D$199,3,FALSE))</f>
        <v/>
      </c>
      <c r="K1432" s="342" t="str">
        <f t="shared" si="371"/>
        <v/>
      </c>
      <c r="L1432" s="380" t="str">
        <f>IF(C1432="","",G1403*C1432)</f>
        <v/>
      </c>
      <c r="M1432" s="381" t="str">
        <f>IF(A1432="","",VLOOKUP(A1432,VII.A!$A$10:$B$199,2,FALSE))</f>
        <v/>
      </c>
      <c r="N1432" s="342" t="str">
        <f t="shared" si="372"/>
        <v/>
      </c>
      <c r="R1432" s="341"/>
      <c r="S1432" s="341"/>
    </row>
    <row r="1433" spans="1:19" ht="12.75" customHeight="1">
      <c r="A1433" s="393"/>
      <c r="C1433" s="20"/>
      <c r="E1433" s="387"/>
      <c r="F1433" s="388">
        <f t="shared" si="369"/>
        <v>0</v>
      </c>
      <c r="H1433" s="341" t="str">
        <f>IF(A1433="","",VLOOKUP(A1433,VII.A!$A$10:$D$199,4,FALSE))</f>
        <v/>
      </c>
      <c r="I1433" s="341" t="str">
        <f t="shared" si="370"/>
        <v/>
      </c>
      <c r="J1433" s="341" t="str">
        <f>IF(A1433="","",VLOOKUP(A1433,VII.A!$A$10:$D$199,3,FALSE))</f>
        <v/>
      </c>
      <c r="K1433" s="342" t="str">
        <f t="shared" si="371"/>
        <v/>
      </c>
      <c r="L1433" s="380" t="str">
        <f>IF(C1433="","",G1403*C1433)</f>
        <v/>
      </c>
      <c r="M1433" s="381" t="str">
        <f>IF(A1433="","",VLOOKUP(A1433,VII.A!$A$10:$B$199,2,FALSE))</f>
        <v/>
      </c>
      <c r="N1433" s="342" t="str">
        <f t="shared" si="372"/>
        <v/>
      </c>
      <c r="R1433" s="341"/>
      <c r="S1433" s="341"/>
    </row>
    <row r="1434" spans="1:19" ht="12.75" customHeight="1">
      <c r="A1434" s="393"/>
      <c r="C1434" s="20"/>
      <c r="E1434" s="387"/>
      <c r="F1434" s="388">
        <f t="shared" si="369"/>
        <v>0</v>
      </c>
      <c r="H1434" s="341" t="str">
        <f>IF(A1434="","",VLOOKUP(A1434,VII.A!$A$10:$D$199,4,FALSE))</f>
        <v/>
      </c>
      <c r="I1434" s="341" t="str">
        <f t="shared" si="370"/>
        <v/>
      </c>
      <c r="J1434" s="341" t="str">
        <f>IF(A1434="","",VLOOKUP(A1434,VII.A!$A$10:$D$199,3,FALSE))</f>
        <v/>
      </c>
      <c r="K1434" s="342" t="str">
        <f t="shared" si="371"/>
        <v/>
      </c>
      <c r="L1434" s="380" t="str">
        <f>IF(C1434="","",G1403*C1434)</f>
        <v/>
      </c>
      <c r="M1434" s="381" t="str">
        <f>IF(A1434="","",VLOOKUP(A1434,VII.A!$A$10:$B$199,2,FALSE))</f>
        <v/>
      </c>
      <c r="N1434" s="342" t="str">
        <f t="shared" si="372"/>
        <v/>
      </c>
      <c r="R1434" s="341"/>
      <c r="S1434" s="341"/>
    </row>
    <row r="1435" spans="1:19" ht="12.75" customHeight="1">
      <c r="A1435" s="393"/>
      <c r="B1435" s="395" t="s">
        <v>226</v>
      </c>
      <c r="C1435" s="396"/>
      <c r="D1435" s="397"/>
      <c r="E1435" s="398"/>
      <c r="F1435" s="399">
        <f>SUM(F1425:F1434)</f>
        <v>0</v>
      </c>
      <c r="J1435" s="341"/>
      <c r="L1435" s="380"/>
      <c r="M1435" s="381"/>
      <c r="N1435" s="342"/>
      <c r="R1435" s="341"/>
      <c r="S1435" s="341"/>
    </row>
    <row r="1436" spans="1:19" ht="12.75" customHeight="1">
      <c r="A1436" s="393"/>
      <c r="B1436" s="400" t="s">
        <v>53</v>
      </c>
      <c r="C1436" s="2">
        <f>$D$8</f>
        <v>0</v>
      </c>
      <c r="D1436" s="401"/>
      <c r="E1436" s="402"/>
      <c r="F1436" s="403">
        <f>ROUND(C1436*F1435,2)</f>
        <v>0</v>
      </c>
      <c r="J1436" s="341"/>
      <c r="L1436" s="380"/>
      <c r="M1436" s="381"/>
      <c r="N1436" s="342"/>
      <c r="R1436" s="341"/>
      <c r="S1436" s="341"/>
    </row>
    <row r="1437" spans="1:19" ht="12.75" customHeight="1">
      <c r="A1437" s="404"/>
      <c r="B1437" s="405" t="s">
        <v>228</v>
      </c>
      <c r="C1437" s="406"/>
      <c r="D1437" s="406"/>
      <c r="E1437" s="407"/>
      <c r="F1437" s="408">
        <f>F1435+F1436</f>
        <v>0</v>
      </c>
      <c r="J1437" s="341"/>
      <c r="L1437" s="380"/>
      <c r="M1437" s="381"/>
      <c r="N1437" s="342"/>
      <c r="R1437" s="341"/>
      <c r="S1437" s="341"/>
    </row>
    <row r="1438" spans="1:19" ht="12.75" customHeight="1">
      <c r="A1438" s="409" t="s">
        <v>47</v>
      </c>
      <c r="B1438" s="410" t="s">
        <v>236</v>
      </c>
      <c r="C1438" s="411" t="s">
        <v>231</v>
      </c>
      <c r="D1438" s="412" t="s">
        <v>232</v>
      </c>
      <c r="E1438" s="413" t="s">
        <v>233</v>
      </c>
      <c r="F1438" s="378" t="s">
        <v>234</v>
      </c>
      <c r="J1438" s="341"/>
      <c r="L1438" s="380"/>
      <c r="M1438" s="381"/>
      <c r="N1438" s="342"/>
      <c r="R1438" s="341"/>
      <c r="S1438" s="341"/>
    </row>
    <row r="1439" spans="1:19" ht="12.75" customHeight="1">
      <c r="A1439" s="393" t="str">
        <f>VII.A!$A$192</f>
        <v>3.12</v>
      </c>
      <c r="B1439" s="394" t="s">
        <v>153</v>
      </c>
      <c r="C1439" s="20">
        <v>1</v>
      </c>
      <c r="D1439" s="384" t="str">
        <f>VLOOKUP(A1439,VII.A!$A$10:$G$199,3,FALSE)</f>
        <v>H</v>
      </c>
      <c r="E1439" s="387">
        <f>VII.A!$D$192</f>
        <v>0</v>
      </c>
      <c r="F1439" s="388">
        <f t="shared" ref="F1439:F1445" si="373">ROUND(C1439*E1439,2)</f>
        <v>0</v>
      </c>
      <c r="H1439" s="341">
        <f>IF(A1439="","",VLOOKUP(A1439,VII.A!$A$10:$D$199,4,FALSE))</f>
        <v>0</v>
      </c>
      <c r="I1439" s="341" t="str">
        <f t="shared" ref="I1439:I1445" si="374">IF(A1439="","",IF(E1439=H1439,"SIM","NÃO"))</f>
        <v>SIM</v>
      </c>
      <c r="J1439" s="341" t="str">
        <f>IF(A1439="","",VLOOKUP(A1439,VII.A!$A$10:$D$199,3,FALSE))</f>
        <v>H</v>
      </c>
      <c r="K1439" s="342" t="str">
        <f t="shared" ref="K1439:K1445" si="375">IF(A1439="","",IF(J1439=D1439,"SIM","NÃO"))</f>
        <v>SIM</v>
      </c>
      <c r="L1439" s="380">
        <f>IF(C1439="","",G1403*C1439)</f>
        <v>75</v>
      </c>
      <c r="M1439" s="381" t="str">
        <f>IF(A1439="","",VLOOKUP(A1439,VII.A!$A$10:$B$199,2,FALSE))</f>
        <v>PEDREIRO COM ENCARGOS COMPLEMENTARES</v>
      </c>
      <c r="N1439" s="342" t="str">
        <f t="shared" ref="N1439:N1445" si="376">IF(B1439="","",IF(M1439=B1439,"si","no"))</f>
        <v>si</v>
      </c>
      <c r="R1439" s="341"/>
      <c r="S1439" s="341"/>
    </row>
    <row r="1440" spans="1:19" ht="12.75" customHeight="1">
      <c r="A1440" s="393" t="str">
        <f>VII.A!$A$196</f>
        <v>3.16</v>
      </c>
      <c r="B1440" s="394" t="s">
        <v>157</v>
      </c>
      <c r="C1440" s="20">
        <v>1</v>
      </c>
      <c r="D1440" s="384" t="str">
        <f>VLOOKUP(A1440,VII.A!$A$10:$G$199,3,FALSE)</f>
        <v>H</v>
      </c>
      <c r="E1440" s="387">
        <f>VII.A!$D$196</f>
        <v>0</v>
      </c>
      <c r="F1440" s="388">
        <f t="shared" si="373"/>
        <v>0</v>
      </c>
      <c r="H1440" s="341">
        <f>IF(A1440="","",VLOOKUP(A1440,VII.A!$A$10:$D$199,4,FALSE))</f>
        <v>0</v>
      </c>
      <c r="I1440" s="341" t="str">
        <f t="shared" si="374"/>
        <v>SIM</v>
      </c>
      <c r="J1440" s="341" t="str">
        <f>IF(A1440="","",VLOOKUP(A1440,VII.A!$A$10:$D$199,3,FALSE))</f>
        <v>H</v>
      </c>
      <c r="K1440" s="342" t="str">
        <f t="shared" si="375"/>
        <v>SIM</v>
      </c>
      <c r="L1440" s="380">
        <f>IF(C1440="","",G1403*C1440)</f>
        <v>75</v>
      </c>
      <c r="M1440" s="381" t="str">
        <f>IF(A1440="","",VLOOKUP(A1440,VII.A!$A$10:$B$199,2,FALSE))</f>
        <v>SERVENTE COM ENCARGOS COMPLEMENTARES</v>
      </c>
      <c r="N1440" s="342" t="str">
        <f t="shared" si="376"/>
        <v>si</v>
      </c>
      <c r="R1440" s="341"/>
      <c r="S1440" s="341"/>
    </row>
    <row r="1441" spans="1:25" ht="12.75" customHeight="1">
      <c r="A1441" s="393" t="str">
        <f>VII.A!$A$195</f>
        <v>3.15</v>
      </c>
      <c r="B1441" s="394" t="s">
        <v>156</v>
      </c>
      <c r="C1441" s="20">
        <v>2</v>
      </c>
      <c r="D1441" s="384" t="str">
        <f>VLOOKUP(A1441,VII.A!$A$10:$G$199,3,FALSE)</f>
        <v>H</v>
      </c>
      <c r="E1441" s="387">
        <f>VII.A!$D$195</f>
        <v>0</v>
      </c>
      <c r="F1441" s="388">
        <f t="shared" si="373"/>
        <v>0</v>
      </c>
      <c r="H1441" s="341">
        <f>IF(A1441="","",VLOOKUP(A1441,VII.A!$A$10:$D$199,4,FALSE))</f>
        <v>0</v>
      </c>
      <c r="I1441" s="341" t="str">
        <f t="shared" si="374"/>
        <v>SIM</v>
      </c>
      <c r="J1441" s="341" t="str">
        <f>IF(A1441="","",VLOOKUP(A1441,VII.A!$A$10:$D$199,3,FALSE))</f>
        <v>H</v>
      </c>
      <c r="K1441" s="342" t="str">
        <f t="shared" si="375"/>
        <v>SIM</v>
      </c>
      <c r="L1441" s="380">
        <f>IF(C1441="","",G1403*C1441)</f>
        <v>150</v>
      </c>
      <c r="M1441" s="381" t="str">
        <f>IF(A1441="","",VLOOKUP(A1441,VII.A!$A$10:$B$199,2,FALSE))</f>
        <v>SERRALHEIRO COM ENCARGOS COMPLEMENTARES</v>
      </c>
      <c r="N1441" s="342" t="str">
        <f t="shared" si="376"/>
        <v>si</v>
      </c>
      <c r="R1441" s="341"/>
      <c r="S1441" s="341"/>
    </row>
    <row r="1442" spans="1:25" ht="12.75" customHeight="1">
      <c r="A1442" s="393"/>
      <c r="C1442" s="20"/>
      <c r="E1442" s="387"/>
      <c r="F1442" s="388">
        <f t="shared" si="373"/>
        <v>0</v>
      </c>
      <c r="H1442" s="341" t="str">
        <f>IF(A1442="","",VLOOKUP(A1442,VII.A!$A$10:$D$199,4,FALSE))</f>
        <v/>
      </c>
      <c r="I1442" s="341" t="str">
        <f t="shared" si="374"/>
        <v/>
      </c>
      <c r="J1442" s="341" t="str">
        <f>IF(A1442="","",VLOOKUP(A1442,VII.A!$A$10:$D$199,3,FALSE))</f>
        <v/>
      </c>
      <c r="K1442" s="342" t="str">
        <f t="shared" si="375"/>
        <v/>
      </c>
      <c r="L1442" s="380" t="str">
        <f>IF(C1442="","",G1403*C1442)</f>
        <v/>
      </c>
      <c r="M1442" s="381" t="str">
        <f>IF(A1442="","",VLOOKUP(A1442,VII.A!$A$10:$B$199,2,FALSE))</f>
        <v/>
      </c>
      <c r="N1442" s="342" t="str">
        <f t="shared" si="376"/>
        <v/>
      </c>
      <c r="R1442" s="341"/>
      <c r="S1442" s="341"/>
    </row>
    <row r="1443" spans="1:25" ht="12.75" customHeight="1">
      <c r="A1443" s="393"/>
      <c r="C1443" s="20"/>
      <c r="E1443" s="387"/>
      <c r="F1443" s="388">
        <f t="shared" si="373"/>
        <v>0</v>
      </c>
      <c r="H1443" s="341" t="str">
        <f>IF(A1443="","",VLOOKUP(A1443,VII.A!$A$10:$D$199,4,FALSE))</f>
        <v/>
      </c>
      <c r="I1443" s="341" t="str">
        <f t="shared" si="374"/>
        <v/>
      </c>
      <c r="J1443" s="341" t="str">
        <f>IF(A1443="","",VLOOKUP(A1443,VII.A!$A$10:$D$199,3,FALSE))</f>
        <v/>
      </c>
      <c r="K1443" s="342" t="str">
        <f t="shared" si="375"/>
        <v/>
      </c>
      <c r="L1443" s="380" t="str">
        <f>IF(C1443="","",G1403*C1443)</f>
        <v/>
      </c>
      <c r="M1443" s="381" t="str">
        <f>IF(A1443="","",VLOOKUP(A1443,VII.A!$A$10:$B$199,2,FALSE))</f>
        <v/>
      </c>
      <c r="N1443" s="342" t="str">
        <f t="shared" si="376"/>
        <v/>
      </c>
      <c r="R1443" s="341"/>
      <c r="S1443" s="341"/>
    </row>
    <row r="1444" spans="1:25" ht="12.75" customHeight="1">
      <c r="A1444" s="393"/>
      <c r="C1444" s="20"/>
      <c r="E1444" s="387"/>
      <c r="F1444" s="388">
        <f t="shared" si="373"/>
        <v>0</v>
      </c>
      <c r="H1444" s="341" t="str">
        <f>IF(A1444="","",VLOOKUP(A1444,VII.A!$A$10:$D$199,4,FALSE))</f>
        <v/>
      </c>
      <c r="I1444" s="341" t="str">
        <f t="shared" si="374"/>
        <v/>
      </c>
      <c r="J1444" s="341" t="str">
        <f>IF(A1444="","",VLOOKUP(A1444,VII.A!$A$10:$D$199,3,FALSE))</f>
        <v/>
      </c>
      <c r="K1444" s="342" t="str">
        <f t="shared" si="375"/>
        <v/>
      </c>
      <c r="L1444" s="380" t="str">
        <f>IF(C1444="","",G1403*C1444)</f>
        <v/>
      </c>
      <c r="M1444" s="381" t="str">
        <f>IF(A1444="","",VLOOKUP(A1444,VII.A!$A$10:$B$199,2,FALSE))</f>
        <v/>
      </c>
      <c r="N1444" s="342" t="str">
        <f t="shared" si="376"/>
        <v/>
      </c>
      <c r="R1444" s="341"/>
      <c r="S1444" s="341"/>
    </row>
    <row r="1445" spans="1:25" ht="12.75" customHeight="1">
      <c r="A1445" s="393"/>
      <c r="C1445" s="20"/>
      <c r="E1445" s="387"/>
      <c r="F1445" s="388">
        <f t="shared" si="373"/>
        <v>0</v>
      </c>
      <c r="H1445" s="341" t="str">
        <f>IF(A1445="","",VLOOKUP(A1445,VII.A!$A$10:$D$199,4,FALSE))</f>
        <v/>
      </c>
      <c r="I1445" s="341" t="str">
        <f t="shared" si="374"/>
        <v/>
      </c>
      <c r="J1445" s="341" t="str">
        <f>IF(A1445="","",VLOOKUP(A1445,VII.A!$A$10:$D$199,3,FALSE))</f>
        <v/>
      </c>
      <c r="K1445" s="342" t="str">
        <f t="shared" si="375"/>
        <v/>
      </c>
      <c r="L1445" s="380" t="str">
        <f>IF(C1445="","",G1403*C1445)</f>
        <v/>
      </c>
      <c r="M1445" s="381" t="str">
        <f>IF(A1445="","",VLOOKUP(A1445,VII.A!$A$10:$B$199,2,FALSE))</f>
        <v/>
      </c>
      <c r="N1445" s="342" t="str">
        <f t="shared" si="376"/>
        <v/>
      </c>
      <c r="R1445" s="341"/>
      <c r="S1445" s="341"/>
    </row>
    <row r="1446" spans="1:25" ht="12.75" customHeight="1">
      <c r="A1446" s="393"/>
      <c r="B1446" s="395" t="s">
        <v>226</v>
      </c>
      <c r="C1446" s="396"/>
      <c r="D1446" s="397"/>
      <c r="E1446" s="398"/>
      <c r="F1446" s="399">
        <f>SUM(F1439:F1445)</f>
        <v>0</v>
      </c>
      <c r="J1446" s="341"/>
      <c r="L1446" s="380"/>
      <c r="M1446" s="381"/>
      <c r="N1446" s="342"/>
      <c r="R1446" s="341"/>
      <c r="S1446" s="341"/>
    </row>
    <row r="1447" spans="1:25" ht="12.75" customHeight="1">
      <c r="A1447" s="393"/>
      <c r="B1447" s="400" t="s">
        <v>229</v>
      </c>
      <c r="C1447" s="2">
        <f>IX.A!$C$45</f>
        <v>0</v>
      </c>
      <c r="D1447" s="401"/>
      <c r="E1447" s="402"/>
      <c r="F1447" s="403">
        <f>ROUND(F1446*C1447,2)</f>
        <v>0</v>
      </c>
      <c r="J1447" s="341"/>
      <c r="L1447" s="380"/>
      <c r="M1447" s="381"/>
      <c r="N1447" s="342"/>
      <c r="R1447" s="341"/>
      <c r="S1447" s="341"/>
    </row>
    <row r="1448" spans="1:25" ht="12.75" customHeight="1">
      <c r="A1448" s="393"/>
      <c r="B1448" s="400" t="s">
        <v>53</v>
      </c>
      <c r="C1448" s="2">
        <f>$D$8</f>
        <v>0</v>
      </c>
      <c r="D1448" s="401"/>
      <c r="E1448" s="402"/>
      <c r="F1448" s="403">
        <f>ROUND(SUM(F1446:F1447)*C1448,2)</f>
        <v>0</v>
      </c>
      <c r="J1448" s="341"/>
      <c r="L1448" s="380"/>
      <c r="M1448" s="381"/>
      <c r="N1448" s="342"/>
      <c r="R1448" s="341"/>
      <c r="S1448" s="341"/>
    </row>
    <row r="1449" spans="1:25" ht="12.75" customHeight="1" thickBot="1">
      <c r="A1449" s="414"/>
      <c r="B1449" s="415" t="s">
        <v>230</v>
      </c>
      <c r="C1449" s="416"/>
      <c r="D1449" s="416"/>
      <c r="E1449" s="417"/>
      <c r="F1449" s="418">
        <f>SUM(F1446:F1448)</f>
        <v>0</v>
      </c>
      <c r="J1449" s="341"/>
      <c r="L1449" s="380"/>
      <c r="M1449" s="381"/>
      <c r="N1449" s="342"/>
      <c r="R1449" s="341"/>
      <c r="S1449" s="341"/>
    </row>
    <row r="1450" spans="1:25" ht="12.75" customHeight="1" thickBot="1">
      <c r="A1450" s="357"/>
      <c r="B1450" s="358"/>
      <c r="C1450" s="359"/>
      <c r="D1450" s="359"/>
      <c r="E1450" s="360"/>
      <c r="F1450" s="419"/>
      <c r="J1450" s="341"/>
      <c r="L1450" s="380"/>
      <c r="M1450" s="381"/>
      <c r="N1450" s="342"/>
      <c r="R1450" s="341"/>
      <c r="S1450" s="341"/>
    </row>
    <row r="1451" spans="1:25" ht="30" customHeight="1">
      <c r="A1451" s="370" t="str">
        <f>IV.A!$A$57</f>
        <v>3.2.8</v>
      </c>
      <c r="B1451" s="371" t="str">
        <f>IV.A!$B$57</f>
        <v>GRADE DE PROTEÇÃO DE FERRO EM BARRA CHATA</v>
      </c>
      <c r="C1451" s="871" t="s">
        <v>237</v>
      </c>
      <c r="D1451" s="872"/>
      <c r="E1451" s="372" t="str">
        <f>IV.A!$C$57</f>
        <v>M2</v>
      </c>
      <c r="F1451" s="11">
        <f>ROUND(F1471+F1485+F1497,2)</f>
        <v>0</v>
      </c>
      <c r="G1451" s="1">
        <f>VLOOKUP(A1451,IV.A!$A$16:$L$172,4,FALSE)</f>
        <v>90</v>
      </c>
      <c r="H1451" s="361">
        <f>SUM(F1453:F1468)+F1470</f>
        <v>0</v>
      </c>
      <c r="I1451" s="361">
        <f>SUM(F1473:F1482)+F1484</f>
        <v>0</v>
      </c>
      <c r="J1451" s="361">
        <f>SUM(F1487:F1493)+F1495+F1496</f>
        <v>0</v>
      </c>
      <c r="K1451" s="361">
        <f>SUM(H1451:J1451)</f>
        <v>0</v>
      </c>
      <c r="L1451" s="362" t="str">
        <f>IF(K1451=F1451,"SIM","NÃO")</f>
        <v>SIM</v>
      </c>
      <c r="M1451" s="373">
        <f>ROUND(SUM(F1453:F1468),2)+ROUND(SUM(F1453:F1468)*C1470,2)+ROUND(SUM(F1473:F1482)*C1484,2)+ROUND(SUM(F1473:F1482),2)+ROUND(SUM(F1487:F1493)*C1495,2)+ROUND((SUM(F1487:F1493)+ROUND(SUM(F1487:F1493)*C1495,2))*C1496,2)+ROUND(SUM(F1487:F1493),2)</f>
        <v>0</v>
      </c>
      <c r="N1451" s="343" t="str">
        <f>IF(M1451=F1451,"SIM","NÃO")</f>
        <v>SIM</v>
      </c>
      <c r="O1451" s="364" t="str">
        <f>VLOOKUP(A1451,IV.A!$A$16:$E$172,3,FALSE)</f>
        <v>M2</v>
      </c>
      <c r="P1451" s="344" t="str">
        <f>IF(O1451=E1451,"SIM","NÃO")</f>
        <v>SIM</v>
      </c>
      <c r="Q1451" s="365">
        <f>ROUND(G1451*F1471,2)+ROUND(G1451*F1485,2)+ROUND(G1451*F1497,2)</f>
        <v>0</v>
      </c>
      <c r="R1451" s="364">
        <f>VLOOKUP(A1451,IV.A!$A$16:$L$172,12,FALSE)</f>
        <v>0</v>
      </c>
      <c r="S1451" s="366" t="str">
        <f>IF(Q1451=R1451,"si","no")</f>
        <v>si</v>
      </c>
      <c r="T1451" s="367">
        <f>SUM(L1453:L1468)+SUM(L1473:L1482)+SUM(L1487:L1493)</f>
        <v>5346.4377599999998</v>
      </c>
      <c r="U1451" s="341">
        <f>(SUM(C1453:C1468)+SUM(C1473:C1482)+SUM(C1487:C1493))*G1451</f>
        <v>5346.4377599999998</v>
      </c>
      <c r="V1451" s="368" t="str">
        <f>IF(T1451=U1451,"si","no")</f>
        <v>si</v>
      </c>
      <c r="W1451" s="369">
        <f>SUM(F1453:F1468)</f>
        <v>0</v>
      </c>
      <c r="X1451" s="369">
        <f>SUM(F1473:F1482)</f>
        <v>0</v>
      </c>
      <c r="Y1451" s="369">
        <f>SUM(F1487:F1493)</f>
        <v>0</v>
      </c>
    </row>
    <row r="1452" spans="1:25" ht="12.75" customHeight="1">
      <c r="A1452" s="374" t="s">
        <v>14</v>
      </c>
      <c r="B1452" s="375" t="s">
        <v>132</v>
      </c>
      <c r="C1452" s="376" t="s">
        <v>231</v>
      </c>
      <c r="D1452" s="376" t="s">
        <v>232</v>
      </c>
      <c r="E1452" s="377" t="s">
        <v>233</v>
      </c>
      <c r="F1452" s="378" t="s">
        <v>234</v>
      </c>
      <c r="G1452" s="379"/>
      <c r="J1452" s="341"/>
      <c r="L1452" s="380"/>
      <c r="M1452" s="381"/>
      <c r="N1452" s="342"/>
      <c r="O1452" s="382"/>
      <c r="P1452" s="383"/>
      <c r="Q1452" s="383"/>
      <c r="R1452" s="383"/>
      <c r="S1452" s="383"/>
      <c r="T1452" s="382"/>
      <c r="U1452" s="341"/>
      <c r="V1452" s="384"/>
      <c r="W1452" s="384"/>
      <c r="X1452" s="384"/>
      <c r="Y1452" s="384"/>
    </row>
    <row r="1453" spans="1:25" ht="12.75" customHeight="1">
      <c r="A1453" s="385" t="str">
        <f>VII.A!$A$19</f>
        <v>1.10</v>
      </c>
      <c r="B1453" s="394" t="str">
        <f>VLOOKUP(A1453,VII.A!$A$10:$G$199,2,FALSE)</f>
        <v>AREIA MÉDIA LAVADA</v>
      </c>
      <c r="C1453" s="20">
        <f>1.216*0.004</f>
        <v>4.8640000000000003E-3</v>
      </c>
      <c r="D1453" s="342" t="str">
        <f>VLOOKUP(A1453,VII.A!$A$10:$G$199,3,FALSE)</f>
        <v>M3</v>
      </c>
      <c r="E1453" s="387">
        <f>VII.A!D19</f>
        <v>0</v>
      </c>
      <c r="F1453" s="388">
        <f>ROUND(C1453*E1453,2)</f>
        <v>0</v>
      </c>
      <c r="H1453" s="341">
        <f>IF(A1453="","",VLOOKUP(A1453,VII.A!$A$10:$D$199,4,FALSE))</f>
        <v>0</v>
      </c>
      <c r="I1453" s="341" t="str">
        <f t="shared" ref="I1453:I1468" si="377">IF(A1453="","",IF(E1453=H1453,"SIM","NÃO"))</f>
        <v>SIM</v>
      </c>
      <c r="J1453" s="341" t="str">
        <f>IF(A1453="","",VLOOKUP(A1453,VII.A!$A$10:$D$199,3,FALSE))</f>
        <v>M3</v>
      </c>
      <c r="K1453" s="342" t="str">
        <f t="shared" ref="K1453:K1468" si="378">IF(A1453="","",IF(J1453=D1453,"SIM","NÃO"))</f>
        <v>SIM</v>
      </c>
      <c r="L1453" s="380">
        <f>IF(C1453="","",G1451*C1453)</f>
        <v>0.43776000000000004</v>
      </c>
      <c r="M1453" s="381" t="str">
        <f>IF(A1453="","",VLOOKUP(A1453,VII.A!$A$10:$B$199,2,FALSE))</f>
        <v>AREIA MÉDIA LAVADA</v>
      </c>
      <c r="N1453" s="342" t="str">
        <f t="shared" ref="N1453:N1468" si="379">IF(B1453="","",IF(M1453=B1453,"si","no"))</f>
        <v>si</v>
      </c>
      <c r="R1453" s="341"/>
      <c r="S1453" s="341"/>
    </row>
    <row r="1454" spans="1:25" ht="12.75" customHeight="1">
      <c r="A1454" s="385" t="str">
        <f>VII.A!$A$23</f>
        <v>1.14</v>
      </c>
      <c r="B1454" s="394" t="str">
        <f>VLOOKUP(A1454,VII.A!$A$10:$G$199,2,FALSE)</f>
        <v>BARRA DE FERRO RETANGULAR, BARRA CHATA  (QUALQUER DIMENSÃO / VALOR MÉDIO)</v>
      </c>
      <c r="C1454" s="20">
        <v>42</v>
      </c>
      <c r="D1454" s="342" t="str">
        <f>VLOOKUP(A1454,VII.A!$A$10:$G$199,3,FALSE)</f>
        <v>KG</v>
      </c>
      <c r="E1454" s="387">
        <f>VII.A!D23</f>
        <v>0</v>
      </c>
      <c r="F1454" s="388">
        <f t="shared" ref="F1454:F1468" si="380">ROUND(C1454*E1454,2)</f>
        <v>0</v>
      </c>
      <c r="H1454" s="341">
        <f>IF(A1454="","",VLOOKUP(A1454,VII.A!$A$10:$D$199,4,FALSE))</f>
        <v>0</v>
      </c>
      <c r="I1454" s="341" t="str">
        <f t="shared" si="377"/>
        <v>SIM</v>
      </c>
      <c r="J1454" s="341" t="str">
        <f>IF(A1454="","",VLOOKUP(A1454,VII.A!$A$10:$D$199,3,FALSE))</f>
        <v>KG</v>
      </c>
      <c r="K1454" s="342" t="str">
        <f t="shared" si="378"/>
        <v>SIM</v>
      </c>
      <c r="L1454" s="380">
        <f>IF(C1454="","",G1451*C1454)</f>
        <v>3780</v>
      </c>
      <c r="M1454" s="381" t="str">
        <f>IF(A1454="","",VLOOKUP(A1454,VII.A!$A$10:$B$199,2,FALSE))</f>
        <v>BARRA DE FERRO RETANGULAR, BARRA CHATA  (QUALQUER DIMENSÃO / VALOR MÉDIO)</v>
      </c>
      <c r="N1454" s="342" t="str">
        <f t="shared" si="379"/>
        <v>si</v>
      </c>
      <c r="R1454" s="341"/>
      <c r="S1454" s="341"/>
    </row>
    <row r="1455" spans="1:25" ht="12.75" customHeight="1">
      <c r="A1455" s="385" t="str">
        <f>VII.A!$A$32</f>
        <v>1.23</v>
      </c>
      <c r="B1455" s="394" t="str">
        <f>VLOOKUP(A1455,VII.A!$A$10:$G$199,2,FALSE)</f>
        <v>CANTONEIRA DE AÇO ABAS IGUAIS (QUALQUER BITOLA), ESPESSURA ENTRE 1/8" E 1/4"</v>
      </c>
      <c r="C1455" s="20">
        <v>10.8</v>
      </c>
      <c r="D1455" s="342" t="str">
        <f>VLOOKUP(A1455,VII.A!$A$10:$G$199,3,FALSE)</f>
        <v>KG</v>
      </c>
      <c r="E1455" s="387">
        <f>VII.A!D32</f>
        <v>0</v>
      </c>
      <c r="F1455" s="388">
        <f t="shared" si="380"/>
        <v>0</v>
      </c>
      <c r="H1455" s="341">
        <f>IF(A1455="","",VLOOKUP(A1455,VII.A!$A$10:$D$199,4,FALSE))</f>
        <v>0</v>
      </c>
      <c r="I1455" s="341" t="str">
        <f t="shared" si="377"/>
        <v>SIM</v>
      </c>
      <c r="J1455" s="341" t="str">
        <f>IF(A1455="","",VLOOKUP(A1455,VII.A!$A$10:$D$199,3,FALSE))</f>
        <v>KG</v>
      </c>
      <c r="K1455" s="342" t="str">
        <f t="shared" si="378"/>
        <v>SIM</v>
      </c>
      <c r="L1455" s="380">
        <f>IF(C1455="","",G1451*C1455)</f>
        <v>972.00000000000011</v>
      </c>
      <c r="M1455" s="381" t="str">
        <f>IF(A1455="","",VLOOKUP(A1455,VII.A!$A$10:$B$199,2,FALSE))</f>
        <v>CANTONEIRA DE AÇO ABAS IGUAIS (QUALQUER BITOLA), ESPESSURA ENTRE 1/8" E 1/4"</v>
      </c>
      <c r="N1455" s="342" t="str">
        <f t="shared" si="379"/>
        <v>si</v>
      </c>
      <c r="R1455" s="341"/>
      <c r="S1455" s="341"/>
    </row>
    <row r="1456" spans="1:25" ht="12.75" customHeight="1">
      <c r="A1456" s="385" t="str">
        <f>VII.A!$A$38</f>
        <v>1.29</v>
      </c>
      <c r="B1456" s="394" t="str">
        <f>VLOOKUP(A1456,VII.A!$A$10:$G$199,2,FALSE)</f>
        <v>CIMENTO PORTLAND CP II-E-32</v>
      </c>
      <c r="C1456" s="20">
        <f>0.004*365</f>
        <v>1.46</v>
      </c>
      <c r="D1456" s="342" t="str">
        <f>VLOOKUP(A1456,VII.A!$A$10:$G$199,3,FALSE)</f>
        <v>KG</v>
      </c>
      <c r="E1456" s="387">
        <f>VII.A!D38</f>
        <v>0</v>
      </c>
      <c r="F1456" s="388">
        <f t="shared" si="380"/>
        <v>0</v>
      </c>
      <c r="H1456" s="341">
        <f>IF(A1456="","",VLOOKUP(A1456,VII.A!$A$10:$D$199,4,FALSE))</f>
        <v>0</v>
      </c>
      <c r="I1456" s="341" t="str">
        <f t="shared" si="377"/>
        <v>SIM</v>
      </c>
      <c r="J1456" s="341" t="str">
        <f>IF(A1456="","",VLOOKUP(A1456,VII.A!$A$10:$D$199,3,FALSE))</f>
        <v>KG</v>
      </c>
      <c r="K1456" s="342" t="str">
        <f t="shared" si="378"/>
        <v>SIM</v>
      </c>
      <c r="L1456" s="380">
        <f>IF(C1456="","",G1451*C1456)</f>
        <v>131.4</v>
      </c>
      <c r="M1456" s="381" t="str">
        <f>IF(A1456="","",VLOOKUP(A1456,VII.A!$A$10:$B$199,2,FALSE))</f>
        <v>CIMENTO PORTLAND CP II-E-32</v>
      </c>
      <c r="N1456" s="342" t="str">
        <f t="shared" si="379"/>
        <v>si</v>
      </c>
      <c r="R1456" s="341"/>
      <c r="S1456" s="341"/>
    </row>
    <row r="1457" spans="1:21" ht="12.75" customHeight="1">
      <c r="A1457" s="385" t="str">
        <f>VII.A!$A$114</f>
        <v>1.104</v>
      </c>
      <c r="B1457" s="394" t="str">
        <f>VLOOKUP(A1457,VII.A!$A$10:$G$199,2,FALSE)</f>
        <v>TRAVA DE SEGURANÇA TIPO FERROLHO</v>
      </c>
      <c r="C1457" s="20">
        <v>1</v>
      </c>
      <c r="D1457" s="342" t="str">
        <f>VLOOKUP(A1457,VII.A!$A$10:$G$199,3,FALSE)</f>
        <v>UN</v>
      </c>
      <c r="E1457" s="387">
        <f>VII.A!$D$114</f>
        <v>0</v>
      </c>
      <c r="F1457" s="388">
        <f t="shared" si="380"/>
        <v>0</v>
      </c>
      <c r="H1457" s="341">
        <f>IF(A1457="","",VLOOKUP(A1457,VII.A!$A$10:$D$199,4,FALSE))</f>
        <v>0</v>
      </c>
      <c r="I1457" s="341" t="str">
        <f t="shared" si="377"/>
        <v>SIM</v>
      </c>
      <c r="J1457" s="341" t="str">
        <f>IF(A1457="","",VLOOKUP(A1457,VII.A!$A$10:$D$199,3,FALSE))</f>
        <v>UN</v>
      </c>
      <c r="K1457" s="342" t="str">
        <f t="shared" si="378"/>
        <v>SIM</v>
      </c>
      <c r="L1457" s="380">
        <f>IF(C1457="","",G1451*C1457)</f>
        <v>90</v>
      </c>
      <c r="M1457" s="381" t="str">
        <f>IF(A1457="","",VLOOKUP(A1457,VII.A!$A$10:$B$199,2,FALSE))</f>
        <v>TRAVA DE SEGURANÇA TIPO FERROLHO</v>
      </c>
      <c r="N1457" s="342" t="str">
        <f t="shared" si="379"/>
        <v>si</v>
      </c>
      <c r="R1457" s="341"/>
      <c r="S1457" s="341"/>
    </row>
    <row r="1458" spans="1:21" ht="12.75" customHeight="1">
      <c r="A1458" s="385" t="str">
        <f>VII.A!$A$26</f>
        <v>1.17</v>
      </c>
      <c r="B1458" s="394" t="str">
        <f>VLOOKUP(A1458,VII.A!$A$10:$G$199,2,FALSE)</f>
        <v>CADEADO SIMPLES, CORPO EM LATAO MACICO, COM LARGURA DE 50 MM E ALTURA DE APROX 40 MM, HASTE CEMENTADA EM ACO TEMPERADO COM DIAMETRO DE APROX 8,0 MM, INCLUINDO 2 CHAVES</v>
      </c>
      <c r="C1458" s="20">
        <v>0.5</v>
      </c>
      <c r="D1458" s="342" t="str">
        <f>VLOOKUP(A1458,VII.A!$A$10:$G$199,3,FALSE)</f>
        <v>UN</v>
      </c>
      <c r="E1458" s="387">
        <f>VII.A!$D$26</f>
        <v>0</v>
      </c>
      <c r="F1458" s="388">
        <f t="shared" si="380"/>
        <v>0</v>
      </c>
      <c r="H1458" s="341">
        <f>IF(A1458="","",VLOOKUP(A1458,VII.A!$A$10:$D$199,4,FALSE))</f>
        <v>0</v>
      </c>
      <c r="I1458" s="341" t="str">
        <f t="shared" si="377"/>
        <v>SIM</v>
      </c>
      <c r="J1458" s="341" t="str">
        <f>IF(A1458="","",VLOOKUP(A1458,VII.A!$A$10:$D$199,3,FALSE))</f>
        <v>UN</v>
      </c>
      <c r="K1458" s="342" t="str">
        <f t="shared" si="378"/>
        <v>SIM</v>
      </c>
      <c r="L1458" s="380">
        <f>IF(C1458="","",G1451*C1458)</f>
        <v>45</v>
      </c>
      <c r="M1458" s="381" t="str">
        <f>IF(A1458="","",VLOOKUP(A1458,VII.A!$A$10:$B$199,2,FALSE))</f>
        <v>CADEADO SIMPLES, CORPO EM LATAO MACICO, COM LARGURA DE 50 MM E ALTURA DE APROX 40 MM, HASTE CEMENTADA EM ACO TEMPERADO COM DIAMETRO DE APROX 8,0 MM, INCLUINDO 2 CHAVES</v>
      </c>
      <c r="N1458" s="342" t="str">
        <f t="shared" si="379"/>
        <v>si</v>
      </c>
      <c r="R1458" s="341"/>
      <c r="S1458" s="341"/>
      <c r="U1458" s="389"/>
    </row>
    <row r="1459" spans="1:21" ht="12.75" customHeight="1">
      <c r="A1459" s="385"/>
      <c r="B1459" s="386"/>
      <c r="C1459" s="20"/>
      <c r="D1459" s="342"/>
      <c r="E1459" s="387"/>
      <c r="F1459" s="388">
        <f t="shared" si="380"/>
        <v>0</v>
      </c>
      <c r="H1459" s="341" t="str">
        <f>IF(A1459="","",VLOOKUP(A1459,VII.A!$A$10:$D$199,4,FALSE))</f>
        <v/>
      </c>
      <c r="I1459" s="341" t="str">
        <f t="shared" si="377"/>
        <v/>
      </c>
      <c r="J1459" s="341" t="str">
        <f>IF(A1459="","",VLOOKUP(A1459,VII.A!$A$10:$D$199,3,FALSE))</f>
        <v/>
      </c>
      <c r="K1459" s="342" t="str">
        <f t="shared" si="378"/>
        <v/>
      </c>
      <c r="L1459" s="380" t="str">
        <f>IF(C1459="","",G1451*C1459)</f>
        <v/>
      </c>
      <c r="M1459" s="381" t="str">
        <f>IF(A1459="","",VLOOKUP(A1459,VII.A!$A$10:$B$199,2,FALSE))</f>
        <v/>
      </c>
      <c r="N1459" s="342" t="str">
        <f t="shared" si="379"/>
        <v/>
      </c>
      <c r="R1459" s="341"/>
      <c r="S1459" s="341"/>
    </row>
    <row r="1460" spans="1:21" ht="12.75" customHeight="1">
      <c r="A1460" s="385"/>
      <c r="B1460" s="386"/>
      <c r="C1460" s="20"/>
      <c r="D1460" s="342"/>
      <c r="E1460" s="387"/>
      <c r="F1460" s="388">
        <f t="shared" si="380"/>
        <v>0</v>
      </c>
      <c r="G1460" s="390"/>
      <c r="H1460" s="341" t="str">
        <f>IF(A1460="","",VLOOKUP(A1460,VII.A!$A$10:$D$199,4,FALSE))</f>
        <v/>
      </c>
      <c r="I1460" s="341" t="str">
        <f t="shared" si="377"/>
        <v/>
      </c>
      <c r="J1460" s="341" t="str">
        <f>IF(A1460="","",VLOOKUP(A1460,VII.A!$A$10:$D$199,3,FALSE))</f>
        <v/>
      </c>
      <c r="K1460" s="342" t="str">
        <f t="shared" si="378"/>
        <v/>
      </c>
      <c r="L1460" s="380" t="str">
        <f>IF(C1460="","",G1451*C1460)</f>
        <v/>
      </c>
      <c r="M1460" s="381" t="str">
        <f>IF(A1460="","",VLOOKUP(A1460,VII.A!$A$10:$B$199,2,FALSE))</f>
        <v/>
      </c>
      <c r="N1460" s="342" t="str">
        <f t="shared" si="379"/>
        <v/>
      </c>
      <c r="R1460" s="341"/>
      <c r="S1460" s="341"/>
    </row>
    <row r="1461" spans="1:21" ht="12.75" customHeight="1">
      <c r="A1461" s="385"/>
      <c r="B1461" s="386"/>
      <c r="C1461" s="20"/>
      <c r="D1461" s="342"/>
      <c r="E1461" s="387"/>
      <c r="F1461" s="388">
        <f t="shared" si="380"/>
        <v>0</v>
      </c>
      <c r="G1461" s="390"/>
      <c r="H1461" s="341" t="str">
        <f>IF(A1461="","",VLOOKUP(A1461,VII.A!$A$10:$D$199,4,FALSE))</f>
        <v/>
      </c>
      <c r="I1461" s="341" t="str">
        <f t="shared" si="377"/>
        <v/>
      </c>
      <c r="J1461" s="341" t="str">
        <f>IF(A1461="","",VLOOKUP(A1461,VII.A!$A$10:$D$199,3,FALSE))</f>
        <v/>
      </c>
      <c r="K1461" s="342" t="str">
        <f t="shared" si="378"/>
        <v/>
      </c>
      <c r="L1461" s="380" t="str">
        <f>IF(C1461="","",G1451*C1461)</f>
        <v/>
      </c>
      <c r="M1461" s="381" t="str">
        <f>IF(A1461="","",VLOOKUP(A1461,VII.A!$A$10:$B$199,2,FALSE))</f>
        <v/>
      </c>
      <c r="N1461" s="342" t="str">
        <f t="shared" si="379"/>
        <v/>
      </c>
      <c r="R1461" s="341"/>
      <c r="S1461" s="341"/>
    </row>
    <row r="1462" spans="1:21" ht="12.75" customHeight="1">
      <c r="A1462" s="385"/>
      <c r="B1462" s="386"/>
      <c r="C1462" s="20"/>
      <c r="D1462" s="342"/>
      <c r="E1462" s="387"/>
      <c r="F1462" s="388">
        <f t="shared" si="380"/>
        <v>0</v>
      </c>
      <c r="G1462" s="391"/>
      <c r="H1462" s="341" t="str">
        <f>IF(A1462="","",VLOOKUP(A1462,VII.A!$A$10:$D$199,4,FALSE))</f>
        <v/>
      </c>
      <c r="I1462" s="341" t="str">
        <f t="shared" si="377"/>
        <v/>
      </c>
      <c r="J1462" s="341" t="str">
        <f>IF(A1462="","",VLOOKUP(A1462,VII.A!$A$10:$D$199,3,FALSE))</f>
        <v/>
      </c>
      <c r="K1462" s="342" t="str">
        <f t="shared" si="378"/>
        <v/>
      </c>
      <c r="L1462" s="380" t="str">
        <f>IF(C1462="","",G1451*C1462)</f>
        <v/>
      </c>
      <c r="M1462" s="381" t="str">
        <f>IF(A1462="","",VLOOKUP(A1462,VII.A!$A$10:$B$199,2,FALSE))</f>
        <v/>
      </c>
      <c r="N1462" s="342" t="str">
        <f t="shared" si="379"/>
        <v/>
      </c>
      <c r="R1462" s="341"/>
      <c r="S1462" s="341"/>
    </row>
    <row r="1463" spans="1:21" ht="12.75" customHeight="1">
      <c r="A1463" s="385"/>
      <c r="B1463" s="386"/>
      <c r="C1463" s="20"/>
      <c r="D1463" s="342"/>
      <c r="E1463" s="387"/>
      <c r="F1463" s="388">
        <f t="shared" si="380"/>
        <v>0</v>
      </c>
      <c r="H1463" s="341" t="str">
        <f>IF(A1463="","",VLOOKUP(A1463,VII.A!$A$10:$D$199,4,FALSE))</f>
        <v/>
      </c>
      <c r="I1463" s="341" t="str">
        <f t="shared" si="377"/>
        <v/>
      </c>
      <c r="J1463" s="341" t="str">
        <f>IF(A1463="","",VLOOKUP(A1463,VII.A!$A$10:$D$199,3,FALSE))</f>
        <v/>
      </c>
      <c r="K1463" s="342" t="str">
        <f t="shared" si="378"/>
        <v/>
      </c>
      <c r="L1463" s="380" t="str">
        <f>IF(C1463="","",G1451*C1463)</f>
        <v/>
      </c>
      <c r="M1463" s="381" t="str">
        <f>IF(A1463="","",VLOOKUP(A1463,VII.A!$A$10:$B$199,2,FALSE))</f>
        <v/>
      </c>
      <c r="N1463" s="342" t="str">
        <f t="shared" si="379"/>
        <v/>
      </c>
      <c r="R1463" s="341"/>
      <c r="S1463" s="341"/>
    </row>
    <row r="1464" spans="1:21" ht="12.75" customHeight="1">
      <c r="A1464" s="385"/>
      <c r="B1464" s="386"/>
      <c r="C1464" s="20"/>
      <c r="D1464" s="392"/>
      <c r="E1464" s="387"/>
      <c r="F1464" s="388">
        <f t="shared" si="380"/>
        <v>0</v>
      </c>
      <c r="H1464" s="341" t="str">
        <f>IF(A1464="","",VLOOKUP(A1464,VII.A!$A$10:$D$199,4,FALSE))</f>
        <v/>
      </c>
      <c r="I1464" s="341" t="str">
        <f t="shared" si="377"/>
        <v/>
      </c>
      <c r="J1464" s="341" t="str">
        <f>IF(A1464="","",VLOOKUP(A1464,VII.A!$A$10:$D$199,3,FALSE))</f>
        <v/>
      </c>
      <c r="K1464" s="342" t="str">
        <f t="shared" si="378"/>
        <v/>
      </c>
      <c r="L1464" s="380" t="str">
        <f>IF(C1464="","",G1451*C1464)</f>
        <v/>
      </c>
      <c r="M1464" s="381" t="str">
        <f>IF(A1464="","",VLOOKUP(A1464,VII.A!$A$10:$B$199,2,FALSE))</f>
        <v/>
      </c>
      <c r="N1464" s="342" t="str">
        <f t="shared" si="379"/>
        <v/>
      </c>
      <c r="R1464" s="341"/>
      <c r="S1464" s="341"/>
    </row>
    <row r="1465" spans="1:21" ht="12.75" customHeight="1">
      <c r="A1465" s="385"/>
      <c r="B1465" s="386"/>
      <c r="C1465" s="20"/>
      <c r="D1465" s="392"/>
      <c r="E1465" s="387"/>
      <c r="F1465" s="388">
        <f t="shared" si="380"/>
        <v>0</v>
      </c>
      <c r="H1465" s="341" t="str">
        <f>IF(A1465="","",VLOOKUP(A1465,VII.A!$A$10:$D$199,4,FALSE))</f>
        <v/>
      </c>
      <c r="I1465" s="341" t="str">
        <f t="shared" si="377"/>
        <v/>
      </c>
      <c r="J1465" s="341" t="str">
        <f>IF(A1465="","",VLOOKUP(A1465,VII.A!$A$10:$D$199,3,FALSE))</f>
        <v/>
      </c>
      <c r="K1465" s="342" t="str">
        <f t="shared" si="378"/>
        <v/>
      </c>
      <c r="L1465" s="380" t="str">
        <f>IF(C1465="","",G1451*C1465)</f>
        <v/>
      </c>
      <c r="M1465" s="381" t="str">
        <f>IF(A1465="","",VLOOKUP(A1465,VII.A!$A$10:$B$199,2,FALSE))</f>
        <v/>
      </c>
      <c r="N1465" s="342" t="str">
        <f t="shared" si="379"/>
        <v/>
      </c>
      <c r="O1465" s="342"/>
      <c r="R1465" s="341"/>
      <c r="S1465" s="341"/>
    </row>
    <row r="1466" spans="1:21" ht="12.75" customHeight="1">
      <c r="A1466" s="385"/>
      <c r="B1466" s="386"/>
      <c r="C1466" s="20"/>
      <c r="D1466" s="392"/>
      <c r="E1466" s="387"/>
      <c r="F1466" s="388">
        <f t="shared" si="380"/>
        <v>0</v>
      </c>
      <c r="H1466" s="341" t="str">
        <f>IF(A1466="","",VLOOKUP(A1466,VII.A!$A$10:$D$199,4,FALSE))</f>
        <v/>
      </c>
      <c r="I1466" s="341" t="str">
        <f t="shared" si="377"/>
        <v/>
      </c>
      <c r="J1466" s="341" t="str">
        <f>IF(A1466="","",VLOOKUP(A1466,VII.A!$A$10:$D$199,3,FALSE))</f>
        <v/>
      </c>
      <c r="K1466" s="342" t="str">
        <f t="shared" si="378"/>
        <v/>
      </c>
      <c r="L1466" s="380" t="str">
        <f>IF(C1466="","",G1451*C1466)</f>
        <v/>
      </c>
      <c r="M1466" s="381" t="str">
        <f>IF(A1466="","",VLOOKUP(A1466,VII.A!$A$10:$B$199,2,FALSE))</f>
        <v/>
      </c>
      <c r="N1466" s="342" t="str">
        <f t="shared" si="379"/>
        <v/>
      </c>
      <c r="R1466" s="341"/>
      <c r="S1466" s="341"/>
    </row>
    <row r="1467" spans="1:21" ht="12.75" customHeight="1">
      <c r="A1467" s="393"/>
      <c r="C1467" s="20"/>
      <c r="E1467" s="387"/>
      <c r="F1467" s="388">
        <f t="shared" si="380"/>
        <v>0</v>
      </c>
      <c r="H1467" s="341" t="str">
        <f>IF(A1467="","",VLOOKUP(A1467,VII.A!$A$10:$D$199,4,FALSE))</f>
        <v/>
      </c>
      <c r="I1467" s="341" t="str">
        <f t="shared" si="377"/>
        <v/>
      </c>
      <c r="J1467" s="341" t="str">
        <f>IF(A1467="","",VLOOKUP(A1467,VII.A!$A$10:$D$199,3,FALSE))</f>
        <v/>
      </c>
      <c r="K1467" s="342" t="str">
        <f t="shared" si="378"/>
        <v/>
      </c>
      <c r="L1467" s="380" t="str">
        <f>IF(C1467="","",G1451*C1467)</f>
        <v/>
      </c>
      <c r="M1467" s="381" t="str">
        <f>IF(A1467="","",VLOOKUP(A1467,VII.A!$A$10:$B$199,2,FALSE))</f>
        <v/>
      </c>
      <c r="N1467" s="342" t="str">
        <f t="shared" si="379"/>
        <v/>
      </c>
      <c r="R1467" s="341"/>
      <c r="S1467" s="341"/>
    </row>
    <row r="1468" spans="1:21" ht="12.75" customHeight="1">
      <c r="A1468" s="393"/>
      <c r="C1468" s="20"/>
      <c r="E1468" s="387"/>
      <c r="F1468" s="388">
        <f t="shared" si="380"/>
        <v>0</v>
      </c>
      <c r="H1468" s="341" t="str">
        <f>IF(A1468="","",VLOOKUP(A1468,VII.A!$A$10:$D$199,4,FALSE))</f>
        <v/>
      </c>
      <c r="I1468" s="341" t="str">
        <f t="shared" si="377"/>
        <v/>
      </c>
      <c r="J1468" s="341" t="str">
        <f>IF(A1468="","",VLOOKUP(A1468,VII.A!$A$10:$D$199,3,FALSE))</f>
        <v/>
      </c>
      <c r="K1468" s="342" t="str">
        <f t="shared" si="378"/>
        <v/>
      </c>
      <c r="L1468" s="380" t="str">
        <f>IF(C1468="","",G1451*C1468)</f>
        <v/>
      </c>
      <c r="M1468" s="381" t="str">
        <f>IF(A1468="","",VLOOKUP(A1468,VII.A!$A$10:$B$199,2,FALSE))</f>
        <v/>
      </c>
      <c r="N1468" s="342" t="str">
        <f t="shared" si="379"/>
        <v/>
      </c>
      <c r="R1468" s="341"/>
      <c r="S1468" s="341"/>
    </row>
    <row r="1469" spans="1:21" ht="12.75" customHeight="1">
      <c r="A1469" s="393"/>
      <c r="B1469" s="395" t="s">
        <v>226</v>
      </c>
      <c r="C1469" s="396"/>
      <c r="D1469" s="397"/>
      <c r="E1469" s="398"/>
      <c r="F1469" s="399">
        <f>SUM(F1453:F1468)</f>
        <v>0</v>
      </c>
      <c r="H1469" s="426" t="s">
        <v>434</v>
      </c>
      <c r="J1469" s="341"/>
      <c r="L1469" s="380"/>
      <c r="M1469" s="381"/>
      <c r="N1469" s="342"/>
      <c r="R1469" s="341"/>
      <c r="S1469" s="341"/>
    </row>
    <row r="1470" spans="1:21" ht="12.75" customHeight="1">
      <c r="A1470" s="393"/>
      <c r="B1470" s="400" t="s">
        <v>53</v>
      </c>
      <c r="C1470" s="2">
        <f>$D$8</f>
        <v>0</v>
      </c>
      <c r="D1470" s="401"/>
      <c r="E1470" s="402"/>
      <c r="F1470" s="403">
        <f>ROUND(F1469*C1470,2)</f>
        <v>0</v>
      </c>
      <c r="H1470" s="426" t="s">
        <v>553</v>
      </c>
      <c r="J1470" s="426">
        <v>493.56</v>
      </c>
      <c r="K1470" s="434" t="s">
        <v>34</v>
      </c>
      <c r="L1470" s="380"/>
      <c r="M1470" s="381"/>
      <c r="N1470" s="342"/>
      <c r="R1470" s="341"/>
      <c r="S1470" s="341"/>
    </row>
    <row r="1471" spans="1:21" ht="12.75" customHeight="1">
      <c r="A1471" s="404"/>
      <c r="B1471" s="405" t="s">
        <v>227</v>
      </c>
      <c r="C1471" s="406"/>
      <c r="D1471" s="406"/>
      <c r="E1471" s="407"/>
      <c r="F1471" s="408">
        <f>F1469+F1470</f>
        <v>0</v>
      </c>
      <c r="J1471" s="341"/>
      <c r="L1471" s="380"/>
      <c r="M1471" s="381"/>
      <c r="N1471" s="342"/>
      <c r="R1471" s="341"/>
      <c r="S1471" s="341"/>
    </row>
    <row r="1472" spans="1:21" ht="12.75" customHeight="1">
      <c r="A1472" s="374" t="s">
        <v>2</v>
      </c>
      <c r="B1472" s="375" t="s">
        <v>235</v>
      </c>
      <c r="C1472" s="376" t="s">
        <v>231</v>
      </c>
      <c r="D1472" s="376" t="s">
        <v>232</v>
      </c>
      <c r="E1472" s="377" t="s">
        <v>233</v>
      </c>
      <c r="F1472" s="378" t="s">
        <v>234</v>
      </c>
      <c r="J1472" s="341"/>
      <c r="L1472" s="380"/>
      <c r="M1472" s="381"/>
      <c r="N1472" s="342"/>
      <c r="R1472" s="341"/>
      <c r="S1472" s="341"/>
    </row>
    <row r="1473" spans="1:19" ht="12.75" customHeight="1">
      <c r="A1473" s="393" t="str">
        <f>VII.A!$A$159</f>
        <v>2.17</v>
      </c>
      <c r="B1473" s="394" t="str">
        <f>VLOOKUP(A1473,VII.A!$A$10:$G$199,2,FALSE)</f>
        <v>GRUPO DE SOLDA 600A, GERADOR DIESEL 60 CV PARA SOLDA ELÉTRICA, SOBRE RODAS, MOTOR 4 CILINDROS - CHP</v>
      </c>
      <c r="C1473" s="20">
        <v>0.5</v>
      </c>
      <c r="D1473" s="384" t="str">
        <f>VLOOKUP(A1473,VII.A!$A$10:$G$199,3,FALSE)</f>
        <v>CHP</v>
      </c>
      <c r="E1473" s="387">
        <f>VII.A!D159</f>
        <v>0</v>
      </c>
      <c r="F1473" s="388">
        <f t="shared" ref="F1473:F1482" si="381">ROUND(C1473*E1473,2)</f>
        <v>0</v>
      </c>
      <c r="H1473" s="341">
        <f>IF(A1473="","",VLOOKUP(A1473,VII.A!$A$10:$D$199,4,FALSE))</f>
        <v>0</v>
      </c>
      <c r="I1473" s="341" t="str">
        <f t="shared" ref="I1473:I1482" si="382">IF(A1473="","",IF(E1473=H1473,"SIM","NÃO"))</f>
        <v>SIM</v>
      </c>
      <c r="J1473" s="341" t="str">
        <f>IF(A1473="","",VLOOKUP(A1473,VII.A!$A$10:$D$199,3,FALSE))</f>
        <v>CHP</v>
      </c>
      <c r="K1473" s="342" t="str">
        <f t="shared" ref="K1473:K1482" si="383">IF(A1473="","",IF(J1473=D1473,"SIM","NÃO"))</f>
        <v>SIM</v>
      </c>
      <c r="L1473" s="380">
        <f>IF(C1473="","",G1451*C1473)</f>
        <v>45</v>
      </c>
      <c r="M1473" s="381" t="str">
        <f>IF(A1473="","",VLOOKUP(A1473,VII.A!$A$10:$B$199,2,FALSE))</f>
        <v>GRUPO DE SOLDA 600A, GERADOR DIESEL 60 CV PARA SOLDA ELÉTRICA, SOBRE RODAS, MOTOR 4 CILINDROS - CHP</v>
      </c>
      <c r="N1473" s="342" t="str">
        <f t="shared" ref="N1473:N1482" si="384">IF(B1473="","",IF(M1473=B1473,"si","no"))</f>
        <v>si</v>
      </c>
      <c r="R1473" s="341"/>
      <c r="S1473" s="341"/>
    </row>
    <row r="1474" spans="1:19" ht="12.75" customHeight="1">
      <c r="A1474" s="393"/>
      <c r="C1474" s="20"/>
      <c r="E1474" s="387"/>
      <c r="F1474" s="388">
        <f t="shared" si="381"/>
        <v>0</v>
      </c>
      <c r="H1474" s="341" t="str">
        <f>IF(A1474="","",VLOOKUP(A1474,VII.A!$A$10:$D$199,4,FALSE))</f>
        <v/>
      </c>
      <c r="I1474" s="341" t="str">
        <f t="shared" si="382"/>
        <v/>
      </c>
      <c r="J1474" s="341" t="str">
        <f>IF(A1474="","",VLOOKUP(A1474,VII.A!$A$10:$D$199,3,FALSE))</f>
        <v/>
      </c>
      <c r="K1474" s="342" t="str">
        <f t="shared" si="383"/>
        <v/>
      </c>
      <c r="L1474" s="380" t="str">
        <f>IF(C1474="","",G1451*C1474)</f>
        <v/>
      </c>
      <c r="M1474" s="381" t="str">
        <f>IF(A1474="","",VLOOKUP(A1474,VII.A!$A$10:$B$199,2,FALSE))</f>
        <v/>
      </c>
      <c r="N1474" s="342" t="str">
        <f t="shared" si="384"/>
        <v/>
      </c>
      <c r="R1474" s="341"/>
      <c r="S1474" s="341"/>
    </row>
    <row r="1475" spans="1:19" ht="12.75" customHeight="1">
      <c r="A1475" s="393"/>
      <c r="C1475" s="20"/>
      <c r="E1475" s="387"/>
      <c r="F1475" s="388">
        <f t="shared" si="381"/>
        <v>0</v>
      </c>
      <c r="H1475" s="341" t="str">
        <f>IF(A1475="","",VLOOKUP(A1475,VII.A!$A$10:$D$199,4,FALSE))</f>
        <v/>
      </c>
      <c r="I1475" s="341" t="str">
        <f t="shared" si="382"/>
        <v/>
      </c>
      <c r="J1475" s="341" t="str">
        <f>IF(A1475="","",VLOOKUP(A1475,VII.A!$A$10:$D$199,3,FALSE))</f>
        <v/>
      </c>
      <c r="K1475" s="342" t="str">
        <f t="shared" si="383"/>
        <v/>
      </c>
      <c r="L1475" s="380" t="str">
        <f>IF(C1475="","",G1451*C1475)</f>
        <v/>
      </c>
      <c r="M1475" s="381" t="str">
        <f>IF(A1475="","",VLOOKUP(A1475,VII.A!$A$10:$B$199,2,FALSE))</f>
        <v/>
      </c>
      <c r="N1475" s="342" t="str">
        <f t="shared" si="384"/>
        <v/>
      </c>
      <c r="R1475" s="341"/>
      <c r="S1475" s="341"/>
    </row>
    <row r="1476" spans="1:19" ht="12.75" customHeight="1">
      <c r="A1476" s="393"/>
      <c r="C1476" s="20"/>
      <c r="E1476" s="387"/>
      <c r="F1476" s="388">
        <f t="shared" si="381"/>
        <v>0</v>
      </c>
      <c r="H1476" s="341" t="str">
        <f>IF(A1476="","",VLOOKUP(A1476,VII.A!$A$10:$D$199,4,FALSE))</f>
        <v/>
      </c>
      <c r="I1476" s="341" t="str">
        <f t="shared" si="382"/>
        <v/>
      </c>
      <c r="J1476" s="341" t="str">
        <f>IF(A1476="","",VLOOKUP(A1476,VII.A!$A$10:$D$199,3,FALSE))</f>
        <v/>
      </c>
      <c r="K1476" s="342" t="str">
        <f t="shared" si="383"/>
        <v/>
      </c>
      <c r="L1476" s="380" t="str">
        <f>IF(C1476="","",G1451*C1476)</f>
        <v/>
      </c>
      <c r="M1476" s="381" t="str">
        <f>IF(A1476="","",VLOOKUP(A1476,VII.A!$A$10:$B$199,2,FALSE))</f>
        <v/>
      </c>
      <c r="N1476" s="342" t="str">
        <f t="shared" si="384"/>
        <v/>
      </c>
      <c r="R1476" s="341"/>
      <c r="S1476" s="341"/>
    </row>
    <row r="1477" spans="1:19" ht="12.75" customHeight="1">
      <c r="A1477" s="393"/>
      <c r="C1477" s="20"/>
      <c r="E1477" s="387"/>
      <c r="F1477" s="388">
        <f t="shared" si="381"/>
        <v>0</v>
      </c>
      <c r="G1477" s="390"/>
      <c r="H1477" s="341" t="str">
        <f>IF(A1477="","",VLOOKUP(A1477,VII.A!$A$10:$D$199,4,FALSE))</f>
        <v/>
      </c>
      <c r="I1477" s="341" t="str">
        <f t="shared" si="382"/>
        <v/>
      </c>
      <c r="J1477" s="341" t="str">
        <f>IF(A1477="","",VLOOKUP(A1477,VII.A!$A$10:$D$199,3,FALSE))</f>
        <v/>
      </c>
      <c r="K1477" s="342" t="str">
        <f t="shared" si="383"/>
        <v/>
      </c>
      <c r="L1477" s="380" t="str">
        <f>IF(C1477="","",G1451*C1477)</f>
        <v/>
      </c>
      <c r="M1477" s="381" t="str">
        <f>IF(A1477="","",VLOOKUP(A1477,VII.A!$A$10:$B$199,2,FALSE))</f>
        <v/>
      </c>
      <c r="N1477" s="342" t="str">
        <f t="shared" si="384"/>
        <v/>
      </c>
      <c r="R1477" s="341"/>
      <c r="S1477" s="341"/>
    </row>
    <row r="1478" spans="1:19" ht="12.75" customHeight="1">
      <c r="A1478" s="393"/>
      <c r="C1478" s="20"/>
      <c r="E1478" s="387"/>
      <c r="F1478" s="388">
        <f t="shared" si="381"/>
        <v>0</v>
      </c>
      <c r="G1478" s="391"/>
      <c r="H1478" s="341" t="str">
        <f>IF(A1478="","",VLOOKUP(A1478,VII.A!$A$10:$D$199,4,FALSE))</f>
        <v/>
      </c>
      <c r="I1478" s="341" t="str">
        <f t="shared" si="382"/>
        <v/>
      </c>
      <c r="J1478" s="341" t="str">
        <f>IF(A1478="","",VLOOKUP(A1478,VII.A!$A$10:$D$199,3,FALSE))</f>
        <v/>
      </c>
      <c r="K1478" s="342" t="str">
        <f t="shared" si="383"/>
        <v/>
      </c>
      <c r="L1478" s="380" t="str">
        <f>IF(C1478="","",G1451*C1478)</f>
        <v/>
      </c>
      <c r="M1478" s="381" t="str">
        <f>IF(A1478="","",VLOOKUP(A1478,VII.A!$A$10:$B$199,2,FALSE))</f>
        <v/>
      </c>
      <c r="N1478" s="342" t="str">
        <f t="shared" si="384"/>
        <v/>
      </c>
      <c r="R1478" s="341"/>
      <c r="S1478" s="341"/>
    </row>
    <row r="1479" spans="1:19" ht="12.75" customHeight="1">
      <c r="A1479" s="393"/>
      <c r="C1479" s="20"/>
      <c r="E1479" s="387"/>
      <c r="F1479" s="388">
        <f t="shared" si="381"/>
        <v>0</v>
      </c>
      <c r="H1479" s="341" t="str">
        <f>IF(A1479="","",VLOOKUP(A1479,VII.A!$A$10:$D$199,4,FALSE))</f>
        <v/>
      </c>
      <c r="I1479" s="341" t="str">
        <f t="shared" si="382"/>
        <v/>
      </c>
      <c r="J1479" s="341" t="str">
        <f>IF(A1479="","",VLOOKUP(A1479,VII.A!$A$10:$D$199,3,FALSE))</f>
        <v/>
      </c>
      <c r="K1479" s="342" t="str">
        <f t="shared" si="383"/>
        <v/>
      </c>
      <c r="L1479" s="380" t="str">
        <f>IF(C1479="","",G1451*C1479)</f>
        <v/>
      </c>
      <c r="M1479" s="381" t="str">
        <f>IF(A1479="","",VLOOKUP(A1479,VII.A!$A$10:$B$199,2,FALSE))</f>
        <v/>
      </c>
      <c r="N1479" s="342" t="str">
        <f t="shared" si="384"/>
        <v/>
      </c>
      <c r="R1479" s="341"/>
      <c r="S1479" s="341"/>
    </row>
    <row r="1480" spans="1:19" ht="12.75" customHeight="1">
      <c r="A1480" s="393"/>
      <c r="C1480" s="20"/>
      <c r="E1480" s="387"/>
      <c r="F1480" s="388">
        <f t="shared" si="381"/>
        <v>0</v>
      </c>
      <c r="H1480" s="341" t="str">
        <f>IF(A1480="","",VLOOKUP(A1480,VII.A!$A$10:$D$199,4,FALSE))</f>
        <v/>
      </c>
      <c r="I1480" s="341" t="str">
        <f t="shared" si="382"/>
        <v/>
      </c>
      <c r="J1480" s="341" t="str">
        <f>IF(A1480="","",VLOOKUP(A1480,VII.A!$A$10:$D$199,3,FALSE))</f>
        <v/>
      </c>
      <c r="K1480" s="342" t="str">
        <f t="shared" si="383"/>
        <v/>
      </c>
      <c r="L1480" s="380" t="str">
        <f>IF(C1480="","",G1451*C1480)</f>
        <v/>
      </c>
      <c r="M1480" s="381" t="str">
        <f>IF(A1480="","",VLOOKUP(A1480,VII.A!$A$10:$B$199,2,FALSE))</f>
        <v/>
      </c>
      <c r="N1480" s="342" t="str">
        <f t="shared" si="384"/>
        <v/>
      </c>
      <c r="R1480" s="341"/>
      <c r="S1480" s="341"/>
    </row>
    <row r="1481" spans="1:19" ht="12.75" customHeight="1">
      <c r="A1481" s="393"/>
      <c r="C1481" s="20"/>
      <c r="E1481" s="387"/>
      <c r="F1481" s="388">
        <f t="shared" si="381"/>
        <v>0</v>
      </c>
      <c r="H1481" s="341" t="str">
        <f>IF(A1481="","",VLOOKUP(A1481,VII.A!$A$10:$D$199,4,FALSE))</f>
        <v/>
      </c>
      <c r="I1481" s="341" t="str">
        <f t="shared" si="382"/>
        <v/>
      </c>
      <c r="J1481" s="341" t="str">
        <f>IF(A1481="","",VLOOKUP(A1481,VII.A!$A$10:$D$199,3,FALSE))</f>
        <v/>
      </c>
      <c r="K1481" s="342" t="str">
        <f t="shared" si="383"/>
        <v/>
      </c>
      <c r="L1481" s="380" t="str">
        <f>IF(C1481="","",G1451*C1481)</f>
        <v/>
      </c>
      <c r="M1481" s="381" t="str">
        <f>IF(A1481="","",VLOOKUP(A1481,VII.A!$A$10:$B$199,2,FALSE))</f>
        <v/>
      </c>
      <c r="N1481" s="342" t="str">
        <f t="shared" si="384"/>
        <v/>
      </c>
      <c r="R1481" s="341"/>
      <c r="S1481" s="341"/>
    </row>
    <row r="1482" spans="1:19" ht="12.75" customHeight="1">
      <c r="A1482" s="393"/>
      <c r="C1482" s="20"/>
      <c r="E1482" s="387"/>
      <c r="F1482" s="388">
        <f t="shared" si="381"/>
        <v>0</v>
      </c>
      <c r="H1482" s="341" t="str">
        <f>IF(A1482="","",VLOOKUP(A1482,VII.A!$A$10:$D$199,4,FALSE))</f>
        <v/>
      </c>
      <c r="I1482" s="341" t="str">
        <f t="shared" si="382"/>
        <v/>
      </c>
      <c r="J1482" s="341" t="str">
        <f>IF(A1482="","",VLOOKUP(A1482,VII.A!$A$10:$D$199,3,FALSE))</f>
        <v/>
      </c>
      <c r="K1482" s="342" t="str">
        <f t="shared" si="383"/>
        <v/>
      </c>
      <c r="L1482" s="380" t="str">
        <f>IF(C1482="","",G1451*C1482)</f>
        <v/>
      </c>
      <c r="M1482" s="381" t="str">
        <f>IF(A1482="","",VLOOKUP(A1482,VII.A!$A$10:$B$199,2,FALSE))</f>
        <v/>
      </c>
      <c r="N1482" s="342" t="str">
        <f t="shared" si="384"/>
        <v/>
      </c>
      <c r="R1482" s="341"/>
      <c r="S1482" s="341"/>
    </row>
    <row r="1483" spans="1:19" ht="12.75" customHeight="1">
      <c r="A1483" s="393"/>
      <c r="B1483" s="395" t="s">
        <v>226</v>
      </c>
      <c r="C1483" s="396"/>
      <c r="D1483" s="397"/>
      <c r="E1483" s="398"/>
      <c r="F1483" s="399">
        <f>SUM(F1473:F1482)</f>
        <v>0</v>
      </c>
      <c r="J1483" s="341"/>
      <c r="L1483" s="380"/>
      <c r="M1483" s="381"/>
      <c r="N1483" s="342"/>
      <c r="R1483" s="341"/>
      <c r="S1483" s="341"/>
    </row>
    <row r="1484" spans="1:19" ht="12.75" customHeight="1">
      <c r="A1484" s="393"/>
      <c r="B1484" s="400" t="s">
        <v>53</v>
      </c>
      <c r="C1484" s="2">
        <f>$D$8</f>
        <v>0</v>
      </c>
      <c r="D1484" s="401"/>
      <c r="E1484" s="402"/>
      <c r="F1484" s="403">
        <f>ROUND(C1484*F1483,2)</f>
        <v>0</v>
      </c>
      <c r="J1484" s="341"/>
      <c r="L1484" s="380"/>
      <c r="M1484" s="381"/>
      <c r="N1484" s="342"/>
      <c r="R1484" s="341"/>
      <c r="S1484" s="341"/>
    </row>
    <row r="1485" spans="1:19" ht="12.75" customHeight="1">
      <c r="A1485" s="404"/>
      <c r="B1485" s="405" t="s">
        <v>228</v>
      </c>
      <c r="C1485" s="406"/>
      <c r="D1485" s="406"/>
      <c r="E1485" s="407"/>
      <c r="F1485" s="408">
        <f>F1483+F1484</f>
        <v>0</v>
      </c>
      <c r="J1485" s="341"/>
      <c r="L1485" s="380"/>
      <c r="M1485" s="381"/>
      <c r="N1485" s="342"/>
      <c r="R1485" s="341"/>
      <c r="S1485" s="341"/>
    </row>
    <row r="1486" spans="1:19" ht="12.75" customHeight="1">
      <c r="A1486" s="409" t="s">
        <v>47</v>
      </c>
      <c r="B1486" s="410" t="s">
        <v>236</v>
      </c>
      <c r="C1486" s="411" t="s">
        <v>231</v>
      </c>
      <c r="D1486" s="412" t="s">
        <v>232</v>
      </c>
      <c r="E1486" s="413" t="s">
        <v>233</v>
      </c>
      <c r="F1486" s="378" t="s">
        <v>234</v>
      </c>
      <c r="J1486" s="341"/>
      <c r="L1486" s="380"/>
      <c r="M1486" s="381"/>
      <c r="N1486" s="342"/>
      <c r="R1486" s="341"/>
      <c r="S1486" s="341"/>
    </row>
    <row r="1487" spans="1:19" ht="12.75" customHeight="1">
      <c r="A1487" s="393" t="str">
        <f>VII.A!$A$195</f>
        <v>3.15</v>
      </c>
      <c r="B1487" s="394" t="s">
        <v>156</v>
      </c>
      <c r="C1487" s="20">
        <v>1.5</v>
      </c>
      <c r="D1487" s="384" t="str">
        <f>VLOOKUP(A1487,VII.A!$A$10:$G$199,3,FALSE)</f>
        <v>H</v>
      </c>
      <c r="E1487" s="387">
        <f>VII.A!D195</f>
        <v>0</v>
      </c>
      <c r="F1487" s="388">
        <f t="shared" ref="F1487:F1493" si="385">ROUND(C1487*E1487,2)</f>
        <v>0</v>
      </c>
      <c r="H1487" s="341">
        <f>IF(A1487="","",VLOOKUP(A1487,VII.A!$A$10:$D$199,4,FALSE))</f>
        <v>0</v>
      </c>
      <c r="I1487" s="341" t="str">
        <f t="shared" ref="I1487:I1493" si="386">IF(A1487="","",IF(E1487=H1487,"SIM","NÃO"))</f>
        <v>SIM</v>
      </c>
      <c r="J1487" s="341" t="str">
        <f>IF(A1487="","",VLOOKUP(A1487,VII.A!$A$10:$D$199,3,FALSE))</f>
        <v>H</v>
      </c>
      <c r="K1487" s="342" t="str">
        <f t="shared" ref="K1487:K1493" si="387">IF(A1487="","",IF(J1487=D1487,"SIM","NÃO"))</f>
        <v>SIM</v>
      </c>
      <c r="L1487" s="380">
        <f>IF(C1487="","",G1451*C1487)</f>
        <v>135</v>
      </c>
      <c r="M1487" s="381" t="str">
        <f>IF(A1487="","",VLOOKUP(A1487,VII.A!$A$10:$B$199,2,FALSE))</f>
        <v>SERRALHEIRO COM ENCARGOS COMPLEMENTARES</v>
      </c>
      <c r="N1487" s="342" t="str">
        <f t="shared" ref="N1487:N1493" si="388">IF(B1487="","",IF(M1487=B1487,"si","no"))</f>
        <v>si</v>
      </c>
      <c r="R1487" s="341"/>
      <c r="S1487" s="341"/>
    </row>
    <row r="1488" spans="1:19" ht="12.75" customHeight="1">
      <c r="A1488" s="393" t="str">
        <f>VII.A!$A$196</f>
        <v>3.16</v>
      </c>
      <c r="B1488" s="394" t="s">
        <v>157</v>
      </c>
      <c r="C1488" s="20">
        <v>1.6400000000000001</v>
      </c>
      <c r="D1488" s="384" t="str">
        <f>VLOOKUP(A1488,VII.A!$A$10:$G$199,3,FALSE)</f>
        <v>H</v>
      </c>
      <c r="E1488" s="387">
        <f>VII.A!D196</f>
        <v>0</v>
      </c>
      <c r="F1488" s="388">
        <f t="shared" si="385"/>
        <v>0</v>
      </c>
      <c r="H1488" s="341">
        <f>IF(A1488="","",VLOOKUP(A1488,VII.A!$A$10:$D$199,4,FALSE))</f>
        <v>0</v>
      </c>
      <c r="I1488" s="341" t="str">
        <f t="shared" si="386"/>
        <v>SIM</v>
      </c>
      <c r="J1488" s="341" t="str">
        <f>IF(A1488="","",VLOOKUP(A1488,VII.A!$A$10:$D$199,3,FALSE))</f>
        <v>H</v>
      </c>
      <c r="K1488" s="342" t="str">
        <f t="shared" si="387"/>
        <v>SIM</v>
      </c>
      <c r="L1488" s="380">
        <f>IF(C1488="","",G1451*C1488)</f>
        <v>147.60000000000002</v>
      </c>
      <c r="M1488" s="381" t="str">
        <f>IF(A1488="","",VLOOKUP(A1488,VII.A!$A$10:$B$199,2,FALSE))</f>
        <v>SERVENTE COM ENCARGOS COMPLEMENTARES</v>
      </c>
      <c r="N1488" s="342" t="str">
        <f t="shared" si="388"/>
        <v>si</v>
      </c>
      <c r="R1488" s="341"/>
      <c r="S1488" s="341"/>
    </row>
    <row r="1489" spans="1:25" ht="12.75" customHeight="1">
      <c r="A1489" s="393"/>
      <c r="C1489" s="20"/>
      <c r="E1489" s="387"/>
      <c r="F1489" s="388">
        <f t="shared" si="385"/>
        <v>0</v>
      </c>
      <c r="H1489" s="341" t="str">
        <f>IF(A1489="","",VLOOKUP(A1489,VII.A!$A$10:$D$199,4,FALSE))</f>
        <v/>
      </c>
      <c r="I1489" s="341" t="str">
        <f t="shared" si="386"/>
        <v/>
      </c>
      <c r="J1489" s="341" t="str">
        <f>IF(A1489="","",VLOOKUP(A1489,VII.A!$A$10:$D$199,3,FALSE))</f>
        <v/>
      </c>
      <c r="K1489" s="342" t="str">
        <f t="shared" si="387"/>
        <v/>
      </c>
      <c r="L1489" s="380" t="str">
        <f>IF(C1489="","",G1451*C1489)</f>
        <v/>
      </c>
      <c r="M1489" s="381" t="str">
        <f>IF(A1489="","",VLOOKUP(A1489,VII.A!$A$10:$B$199,2,FALSE))</f>
        <v/>
      </c>
      <c r="N1489" s="342" t="str">
        <f t="shared" si="388"/>
        <v/>
      </c>
      <c r="R1489" s="341"/>
      <c r="S1489" s="341"/>
    </row>
    <row r="1490" spans="1:25" ht="12.75" customHeight="1">
      <c r="A1490" s="393"/>
      <c r="C1490" s="20"/>
      <c r="E1490" s="387"/>
      <c r="F1490" s="388">
        <f t="shared" si="385"/>
        <v>0</v>
      </c>
      <c r="H1490" s="341" t="str">
        <f>IF(A1490="","",VLOOKUP(A1490,VII.A!$A$10:$D$199,4,FALSE))</f>
        <v/>
      </c>
      <c r="I1490" s="341" t="str">
        <f t="shared" si="386"/>
        <v/>
      </c>
      <c r="J1490" s="341" t="str">
        <f>IF(A1490="","",VLOOKUP(A1490,VII.A!$A$10:$D$199,3,FALSE))</f>
        <v/>
      </c>
      <c r="K1490" s="342" t="str">
        <f t="shared" si="387"/>
        <v/>
      </c>
      <c r="L1490" s="380" t="str">
        <f>IF(C1490="","",G1451*C1490)</f>
        <v/>
      </c>
      <c r="M1490" s="381" t="str">
        <f>IF(A1490="","",VLOOKUP(A1490,VII.A!$A$10:$B$199,2,FALSE))</f>
        <v/>
      </c>
      <c r="N1490" s="342" t="str">
        <f t="shared" si="388"/>
        <v/>
      </c>
      <c r="R1490" s="341"/>
      <c r="S1490" s="341"/>
    </row>
    <row r="1491" spans="1:25" ht="12.75" customHeight="1">
      <c r="A1491" s="393"/>
      <c r="C1491" s="20"/>
      <c r="E1491" s="387"/>
      <c r="F1491" s="388">
        <f t="shared" si="385"/>
        <v>0</v>
      </c>
      <c r="H1491" s="341" t="str">
        <f>IF(A1491="","",VLOOKUP(A1491,VII.A!$A$10:$D$199,4,FALSE))</f>
        <v/>
      </c>
      <c r="I1491" s="341" t="str">
        <f t="shared" si="386"/>
        <v/>
      </c>
      <c r="J1491" s="341" t="str">
        <f>IF(A1491="","",VLOOKUP(A1491,VII.A!$A$10:$D$199,3,FALSE))</f>
        <v/>
      </c>
      <c r="K1491" s="342" t="str">
        <f t="shared" si="387"/>
        <v/>
      </c>
      <c r="L1491" s="380" t="str">
        <f>IF(C1491="","",G1451*C1491)</f>
        <v/>
      </c>
      <c r="M1491" s="381" t="str">
        <f>IF(A1491="","",VLOOKUP(A1491,VII.A!$A$10:$B$199,2,FALSE))</f>
        <v/>
      </c>
      <c r="N1491" s="342" t="str">
        <f t="shared" si="388"/>
        <v/>
      </c>
      <c r="R1491" s="341"/>
      <c r="S1491" s="341"/>
    </row>
    <row r="1492" spans="1:25" ht="12.75" customHeight="1">
      <c r="A1492" s="393"/>
      <c r="C1492" s="20"/>
      <c r="E1492" s="387"/>
      <c r="F1492" s="388">
        <f t="shared" si="385"/>
        <v>0</v>
      </c>
      <c r="H1492" s="341" t="str">
        <f>IF(A1492="","",VLOOKUP(A1492,VII.A!$A$10:$D$199,4,FALSE))</f>
        <v/>
      </c>
      <c r="I1492" s="341" t="str">
        <f t="shared" si="386"/>
        <v/>
      </c>
      <c r="J1492" s="341" t="str">
        <f>IF(A1492="","",VLOOKUP(A1492,VII.A!$A$10:$D$199,3,FALSE))</f>
        <v/>
      </c>
      <c r="K1492" s="342" t="str">
        <f t="shared" si="387"/>
        <v/>
      </c>
      <c r="L1492" s="380" t="str">
        <f>IF(C1492="","",G1451*C1492)</f>
        <v/>
      </c>
      <c r="M1492" s="381" t="str">
        <f>IF(A1492="","",VLOOKUP(A1492,VII.A!$A$10:$B$199,2,FALSE))</f>
        <v/>
      </c>
      <c r="N1492" s="342" t="str">
        <f t="shared" si="388"/>
        <v/>
      </c>
      <c r="R1492" s="341"/>
      <c r="S1492" s="341"/>
    </row>
    <row r="1493" spans="1:25" ht="12.75" customHeight="1">
      <c r="A1493" s="393"/>
      <c r="C1493" s="20"/>
      <c r="E1493" s="387"/>
      <c r="F1493" s="388">
        <f t="shared" si="385"/>
        <v>0</v>
      </c>
      <c r="H1493" s="341" t="str">
        <f>IF(A1493="","",VLOOKUP(A1493,VII.A!$A$10:$D$199,4,FALSE))</f>
        <v/>
      </c>
      <c r="I1493" s="341" t="str">
        <f t="shared" si="386"/>
        <v/>
      </c>
      <c r="J1493" s="341" t="str">
        <f>IF(A1493="","",VLOOKUP(A1493,VII.A!$A$10:$D$199,3,FALSE))</f>
        <v/>
      </c>
      <c r="K1493" s="342" t="str">
        <f t="shared" si="387"/>
        <v/>
      </c>
      <c r="L1493" s="380" t="str">
        <f>IF(C1493="","",G1451*C1493)</f>
        <v/>
      </c>
      <c r="M1493" s="381" t="str">
        <f>IF(A1493="","",VLOOKUP(A1493,VII.A!$A$10:$B$199,2,FALSE))</f>
        <v/>
      </c>
      <c r="N1493" s="342" t="str">
        <f t="shared" si="388"/>
        <v/>
      </c>
      <c r="R1493" s="341"/>
      <c r="S1493" s="341"/>
    </row>
    <row r="1494" spans="1:25" ht="12.75" customHeight="1">
      <c r="A1494" s="393"/>
      <c r="B1494" s="395" t="s">
        <v>226</v>
      </c>
      <c r="C1494" s="396"/>
      <c r="D1494" s="397"/>
      <c r="E1494" s="398"/>
      <c r="F1494" s="399">
        <f>SUM(F1487:F1493)</f>
        <v>0</v>
      </c>
      <c r="J1494" s="341"/>
      <c r="L1494" s="380"/>
      <c r="M1494" s="381"/>
      <c r="N1494" s="342"/>
      <c r="R1494" s="341"/>
      <c r="S1494" s="341"/>
    </row>
    <row r="1495" spans="1:25" ht="12.75" customHeight="1">
      <c r="A1495" s="393"/>
      <c r="B1495" s="400" t="s">
        <v>229</v>
      </c>
      <c r="C1495" s="2">
        <f>IX.A!$C$45</f>
        <v>0</v>
      </c>
      <c r="D1495" s="401"/>
      <c r="E1495" s="402"/>
      <c r="F1495" s="403">
        <f>ROUND(F1494*C1495,2)</f>
        <v>0</v>
      </c>
      <c r="J1495" s="341"/>
      <c r="L1495" s="380"/>
      <c r="M1495" s="381"/>
      <c r="N1495" s="342"/>
      <c r="R1495" s="341"/>
      <c r="S1495" s="341"/>
    </row>
    <row r="1496" spans="1:25" ht="12.75" customHeight="1">
      <c r="A1496" s="393"/>
      <c r="B1496" s="400" t="s">
        <v>53</v>
      </c>
      <c r="C1496" s="2">
        <f>$D$8</f>
        <v>0</v>
      </c>
      <c r="D1496" s="401"/>
      <c r="E1496" s="402"/>
      <c r="F1496" s="403">
        <f>ROUND(SUM(F1494:F1495)*C1496,2)</f>
        <v>0</v>
      </c>
      <c r="J1496" s="341"/>
      <c r="L1496" s="380"/>
      <c r="M1496" s="381"/>
      <c r="N1496" s="342"/>
      <c r="R1496" s="341"/>
      <c r="S1496" s="341"/>
    </row>
    <row r="1497" spans="1:25" ht="12.75" customHeight="1" thickBot="1">
      <c r="A1497" s="414"/>
      <c r="B1497" s="415" t="s">
        <v>230</v>
      </c>
      <c r="C1497" s="416"/>
      <c r="D1497" s="416"/>
      <c r="E1497" s="417"/>
      <c r="F1497" s="418">
        <f>SUM(F1494:F1496)</f>
        <v>0</v>
      </c>
      <c r="J1497" s="341"/>
      <c r="L1497" s="380"/>
      <c r="M1497" s="381"/>
      <c r="N1497" s="342"/>
      <c r="R1497" s="341"/>
      <c r="S1497" s="341"/>
    </row>
    <row r="1498" spans="1:25" ht="12.75" customHeight="1" thickBot="1">
      <c r="A1498" s="357"/>
      <c r="B1498" s="358"/>
      <c r="C1498" s="359"/>
      <c r="D1498" s="359"/>
      <c r="E1498" s="360"/>
      <c r="F1498" s="419"/>
      <c r="J1498" s="341"/>
      <c r="L1498" s="380"/>
      <c r="M1498" s="381"/>
      <c r="N1498" s="342"/>
      <c r="R1498" s="341"/>
      <c r="S1498" s="341"/>
    </row>
    <row r="1499" spans="1:25" ht="30" customHeight="1">
      <c r="A1499" s="370" t="str">
        <f>IV.A!A58</f>
        <v>3.2.9</v>
      </c>
      <c r="B1499" s="371" t="str">
        <f>IV.A!B58</f>
        <v>GRELHA EM FERRO FUNDIDO PARA CAIXAS E CANALETAS</v>
      </c>
      <c r="C1499" s="871" t="s">
        <v>237</v>
      </c>
      <c r="D1499" s="872"/>
      <c r="E1499" s="372" t="str">
        <f>IV.A!C58</f>
        <v>M2</v>
      </c>
      <c r="F1499" s="11">
        <f>ROUND(F1519+F1533+F1545,2)</f>
        <v>0</v>
      </c>
      <c r="G1499" s="1">
        <f>VLOOKUP(A1499,IV.A!$A$16:$L$172,4,FALSE)</f>
        <v>10</v>
      </c>
      <c r="H1499" s="361">
        <f>SUM(F1501:F1516)+F1518</f>
        <v>0</v>
      </c>
      <c r="I1499" s="361">
        <f>SUM(F1521:F1530)+F1532</f>
        <v>0</v>
      </c>
      <c r="J1499" s="361">
        <f>SUM(F1535:F1541)+F1543+F1544</f>
        <v>0</v>
      </c>
      <c r="K1499" s="361">
        <f>SUM(H1499:J1499)</f>
        <v>0</v>
      </c>
      <c r="L1499" s="362" t="str">
        <f>IF(K1499=F1499,"SIM","NÃO")</f>
        <v>SIM</v>
      </c>
      <c r="M1499" s="373">
        <f>ROUND(SUM(F1501:F1516),2)+ROUND(SUM(F1501:F1516)*C1518,2)+ROUND(SUM(F1521:F1530)*C1532,2)+ROUND(SUM(F1521:F1530),2)+ROUND(SUM(F1535:F1541)*C1543,2)+ROUND((SUM(F1535:F1541)+ROUND(SUM(F1535:F1541)*C1543,2))*C1544,2)+ROUND(SUM(F1535:F1541),2)</f>
        <v>0</v>
      </c>
      <c r="N1499" s="343" t="str">
        <f>IF(M1499=F1499,"SIM","NÃO")</f>
        <v>SIM</v>
      </c>
      <c r="O1499" s="364" t="str">
        <f>VLOOKUP(A1499,IV.A!$A$16:$E$172,3,FALSE)</f>
        <v>M2</v>
      </c>
      <c r="P1499" s="344" t="str">
        <f>IF(O1499=E1499,"SIM","NÃO")</f>
        <v>SIM</v>
      </c>
      <c r="Q1499" s="365">
        <f>ROUND(G1499*F1519,2)+ROUND(G1499*F1533,2)+ROUND(G1499*F1545,2)</f>
        <v>0</v>
      </c>
      <c r="R1499" s="364">
        <f>VLOOKUP(A1499,IV.A!$A$16:$L$172,12,FALSE)</f>
        <v>0</v>
      </c>
      <c r="S1499" s="366" t="str">
        <f>IF(Q1499=R1499,"si","no")</f>
        <v>si</v>
      </c>
      <c r="T1499" s="367">
        <f>SUM(L1501:L1516)+SUM(L1521:L1530)+SUM(L1535:L1541)</f>
        <v>48.33</v>
      </c>
      <c r="U1499" s="341">
        <f>(SUM(C1501:C1516)+SUM(C1521:C1530)+SUM(C1535:C1541))*G1499</f>
        <v>48.33</v>
      </c>
      <c r="V1499" s="368" t="str">
        <f>IF(T1499=U1499,"si","no")</f>
        <v>si</v>
      </c>
      <c r="W1499" s="369">
        <f>SUM(F1501:F1516)</f>
        <v>0</v>
      </c>
      <c r="X1499" s="369">
        <f>SUM(F1521:F1530)</f>
        <v>0</v>
      </c>
      <c r="Y1499" s="369">
        <f>SUM(F1535:F1541)</f>
        <v>0</v>
      </c>
    </row>
    <row r="1500" spans="1:25" ht="12.75" customHeight="1">
      <c r="A1500" s="374" t="s">
        <v>14</v>
      </c>
      <c r="B1500" s="375" t="s">
        <v>132</v>
      </c>
      <c r="C1500" s="376" t="s">
        <v>231</v>
      </c>
      <c r="D1500" s="376" t="s">
        <v>232</v>
      </c>
      <c r="E1500" s="377" t="s">
        <v>233</v>
      </c>
      <c r="F1500" s="378" t="s">
        <v>234</v>
      </c>
      <c r="G1500" s="379"/>
      <c r="J1500" s="341"/>
      <c r="L1500" s="380"/>
      <c r="M1500" s="381"/>
      <c r="N1500" s="342"/>
      <c r="O1500" s="382"/>
      <c r="P1500" s="383"/>
      <c r="Q1500" s="383"/>
      <c r="R1500" s="383"/>
      <c r="S1500" s="383"/>
      <c r="T1500" s="382"/>
      <c r="U1500" s="341"/>
      <c r="V1500" s="384"/>
      <c r="W1500" s="384"/>
      <c r="X1500" s="384"/>
      <c r="Y1500" s="384"/>
    </row>
    <row r="1501" spans="1:25" ht="12.75" customHeight="1">
      <c r="A1501" s="385" t="str">
        <f>VII.A!$A$59</f>
        <v>1.50</v>
      </c>
      <c r="B1501" s="394" t="str">
        <f>VII.A!B59</f>
        <v>GRELHA EM FERRO FUNDIDO COM REQUADRO, CARGA MAXIMA 12,5 T, 300 X 1000 MM, E = 15 MM</v>
      </c>
      <c r="C1501" s="20">
        <v>3.3330000000000002</v>
      </c>
      <c r="D1501" s="342" t="str">
        <f>VII.A!C59</f>
        <v>UN</v>
      </c>
      <c r="E1501" s="387">
        <f>VII.A!D59</f>
        <v>0</v>
      </c>
      <c r="F1501" s="388">
        <f>ROUND(C1501*E1501,2)</f>
        <v>0</v>
      </c>
      <c r="H1501" s="341">
        <f>IF(A1501="","",VLOOKUP(A1501,VII.A!$A$10:$D$199,4,FALSE))</f>
        <v>0</v>
      </c>
      <c r="I1501" s="341" t="str">
        <f t="shared" ref="I1501:I1516" si="389">IF(A1501="","",IF(E1501=H1501,"SIM","NÃO"))</f>
        <v>SIM</v>
      </c>
      <c r="J1501" s="341" t="str">
        <f>IF(A1501="","",VLOOKUP(A1501,VII.A!$A$10:$D$199,3,FALSE))</f>
        <v>UN</v>
      </c>
      <c r="K1501" s="342" t="str">
        <f t="shared" ref="K1501:K1516" si="390">IF(A1501="","",IF(J1501=D1501,"SIM","NÃO"))</f>
        <v>SIM</v>
      </c>
      <c r="L1501" s="380">
        <f>IF(C1501="","",G1499*C1501)</f>
        <v>33.33</v>
      </c>
      <c r="M1501" s="381" t="str">
        <f>IF(A1501="","",VLOOKUP(A1501,VII.A!$A$10:$B$199,2,FALSE))</f>
        <v>GRELHA EM FERRO FUNDIDO COM REQUADRO, CARGA MAXIMA 12,5 T, 300 X 1000 MM, E = 15 MM</v>
      </c>
      <c r="N1501" s="342" t="str">
        <f t="shared" ref="N1501:N1516" si="391">IF(B1501="","",IF(M1501=B1501,"si","no"))</f>
        <v>si</v>
      </c>
      <c r="R1501" s="341"/>
      <c r="S1501" s="341"/>
    </row>
    <row r="1502" spans="1:25" ht="12.75" customHeight="1">
      <c r="A1502" s="385"/>
      <c r="C1502" s="20"/>
      <c r="D1502" s="342"/>
      <c r="E1502" s="387"/>
      <c r="F1502" s="388">
        <f t="shared" ref="F1502:F1516" si="392">ROUND(C1502*E1502,2)</f>
        <v>0</v>
      </c>
      <c r="H1502" s="341" t="str">
        <f>IF(A1502="","",VLOOKUP(A1502,VII.A!$A$10:$D$199,4,FALSE))</f>
        <v/>
      </c>
      <c r="I1502" s="341" t="str">
        <f t="shared" si="389"/>
        <v/>
      </c>
      <c r="J1502" s="341" t="str">
        <f>IF(A1502="","",VLOOKUP(A1502,VII.A!$A$10:$D$199,3,FALSE))</f>
        <v/>
      </c>
      <c r="K1502" s="342" t="str">
        <f t="shared" si="390"/>
        <v/>
      </c>
      <c r="L1502" s="380" t="str">
        <f>IF(C1502="","",G1499*C1502)</f>
        <v/>
      </c>
      <c r="M1502" s="381" t="str">
        <f>IF(A1502="","",VLOOKUP(A1502,VII.A!$A$10:$B$199,2,FALSE))</f>
        <v/>
      </c>
      <c r="N1502" s="342" t="str">
        <f t="shared" si="391"/>
        <v/>
      </c>
      <c r="R1502" s="341"/>
      <c r="S1502" s="341"/>
    </row>
    <row r="1503" spans="1:25" ht="12.75" customHeight="1">
      <c r="A1503" s="385"/>
      <c r="C1503" s="20"/>
      <c r="D1503" s="342"/>
      <c r="E1503" s="387"/>
      <c r="F1503" s="388">
        <f t="shared" si="392"/>
        <v>0</v>
      </c>
      <c r="H1503" s="341" t="str">
        <f>IF(A1503="","",VLOOKUP(A1503,VII.A!$A$10:$D$199,4,FALSE))</f>
        <v/>
      </c>
      <c r="I1503" s="341" t="str">
        <f t="shared" si="389"/>
        <v/>
      </c>
      <c r="J1503" s="341" t="str">
        <f>IF(A1503="","",VLOOKUP(A1503,VII.A!$A$10:$D$199,3,FALSE))</f>
        <v/>
      </c>
      <c r="K1503" s="342" t="str">
        <f t="shared" si="390"/>
        <v/>
      </c>
      <c r="L1503" s="380" t="str">
        <f>IF(C1503="","",G1499*C1503)</f>
        <v/>
      </c>
      <c r="M1503" s="381" t="str">
        <f>IF(A1503="","",VLOOKUP(A1503,VII.A!$A$10:$B$199,2,FALSE))</f>
        <v/>
      </c>
      <c r="N1503" s="342" t="str">
        <f t="shared" si="391"/>
        <v/>
      </c>
      <c r="R1503" s="341"/>
      <c r="S1503" s="341"/>
    </row>
    <row r="1504" spans="1:25" ht="12.75" customHeight="1">
      <c r="A1504" s="385"/>
      <c r="C1504" s="20"/>
      <c r="D1504" s="342"/>
      <c r="E1504" s="387"/>
      <c r="F1504" s="388">
        <f t="shared" si="392"/>
        <v>0</v>
      </c>
      <c r="H1504" s="341" t="str">
        <f>IF(A1504="","",VLOOKUP(A1504,VII.A!$A$10:$D$199,4,FALSE))</f>
        <v/>
      </c>
      <c r="I1504" s="341" t="str">
        <f t="shared" si="389"/>
        <v/>
      </c>
      <c r="J1504" s="341" t="str">
        <f>IF(A1504="","",VLOOKUP(A1504,VII.A!$A$10:$D$199,3,FALSE))</f>
        <v/>
      </c>
      <c r="K1504" s="342" t="str">
        <f t="shared" si="390"/>
        <v/>
      </c>
      <c r="L1504" s="380" t="str">
        <f>IF(C1504="","",G1499*C1504)</f>
        <v/>
      </c>
      <c r="M1504" s="381" t="str">
        <f>IF(A1504="","",VLOOKUP(A1504,VII.A!$A$10:$B$199,2,FALSE))</f>
        <v/>
      </c>
      <c r="N1504" s="342" t="str">
        <f t="shared" si="391"/>
        <v/>
      </c>
      <c r="R1504" s="341"/>
      <c r="S1504" s="341"/>
    </row>
    <row r="1505" spans="1:21" ht="12.75" customHeight="1">
      <c r="A1505" s="385"/>
      <c r="C1505" s="20"/>
      <c r="D1505" s="342"/>
      <c r="E1505" s="387"/>
      <c r="F1505" s="388">
        <f t="shared" si="392"/>
        <v>0</v>
      </c>
      <c r="H1505" s="341" t="str">
        <f>IF(A1505="","",VLOOKUP(A1505,VII.A!$A$10:$D$199,4,FALSE))</f>
        <v/>
      </c>
      <c r="I1505" s="341" t="str">
        <f t="shared" si="389"/>
        <v/>
      </c>
      <c r="J1505" s="341" t="str">
        <f>IF(A1505="","",VLOOKUP(A1505,VII.A!$A$10:$D$199,3,FALSE))</f>
        <v/>
      </c>
      <c r="K1505" s="342" t="str">
        <f t="shared" si="390"/>
        <v/>
      </c>
      <c r="L1505" s="380" t="str">
        <f>IF(C1505="","",G1499*C1505)</f>
        <v/>
      </c>
      <c r="M1505" s="381" t="str">
        <f>IF(A1505="","",VLOOKUP(A1505,VII.A!$A$10:$B$199,2,FALSE))</f>
        <v/>
      </c>
      <c r="N1505" s="342" t="str">
        <f t="shared" si="391"/>
        <v/>
      </c>
      <c r="R1505" s="341"/>
      <c r="S1505" s="341"/>
    </row>
    <row r="1506" spans="1:21" ht="12.75" customHeight="1">
      <c r="A1506" s="385"/>
      <c r="C1506" s="20"/>
      <c r="D1506" s="342"/>
      <c r="E1506" s="387"/>
      <c r="F1506" s="388">
        <f t="shared" si="392"/>
        <v>0</v>
      </c>
      <c r="H1506" s="341" t="str">
        <f>IF(A1506="","",VLOOKUP(A1506,VII.A!$A$10:$D$199,4,FALSE))</f>
        <v/>
      </c>
      <c r="I1506" s="341" t="str">
        <f t="shared" si="389"/>
        <v/>
      </c>
      <c r="J1506" s="341" t="str">
        <f>IF(A1506="","",VLOOKUP(A1506,VII.A!$A$10:$D$199,3,FALSE))</f>
        <v/>
      </c>
      <c r="K1506" s="342" t="str">
        <f t="shared" si="390"/>
        <v/>
      </c>
      <c r="L1506" s="380" t="str">
        <f>IF(C1506="","",G1499*C1506)</f>
        <v/>
      </c>
      <c r="M1506" s="381" t="str">
        <f>IF(A1506="","",VLOOKUP(A1506,VII.A!$A$10:$B$199,2,FALSE))</f>
        <v/>
      </c>
      <c r="N1506" s="342" t="str">
        <f t="shared" si="391"/>
        <v/>
      </c>
      <c r="R1506" s="341"/>
      <c r="S1506" s="341"/>
      <c r="U1506" s="389"/>
    </row>
    <row r="1507" spans="1:21" ht="12.75" customHeight="1">
      <c r="A1507" s="385"/>
      <c r="B1507" s="386"/>
      <c r="C1507" s="20"/>
      <c r="D1507" s="342"/>
      <c r="E1507" s="387"/>
      <c r="F1507" s="388">
        <f t="shared" si="392"/>
        <v>0</v>
      </c>
      <c r="H1507" s="341" t="str">
        <f>IF(A1507="","",VLOOKUP(A1507,VII.A!$A$10:$D$199,4,FALSE))</f>
        <v/>
      </c>
      <c r="I1507" s="341" t="str">
        <f t="shared" si="389"/>
        <v/>
      </c>
      <c r="J1507" s="341" t="str">
        <f>IF(A1507="","",VLOOKUP(A1507,VII.A!$A$10:$D$199,3,FALSE))</f>
        <v/>
      </c>
      <c r="K1507" s="342" t="str">
        <f t="shared" si="390"/>
        <v/>
      </c>
      <c r="L1507" s="380" t="str">
        <f>IF(C1507="","",G1499*C1507)</f>
        <v/>
      </c>
      <c r="M1507" s="381" t="str">
        <f>IF(A1507="","",VLOOKUP(A1507,VII.A!$A$10:$B$199,2,FALSE))</f>
        <v/>
      </c>
      <c r="N1507" s="342" t="str">
        <f t="shared" si="391"/>
        <v/>
      </c>
      <c r="R1507" s="341"/>
      <c r="S1507" s="341"/>
    </row>
    <row r="1508" spans="1:21" ht="12.75" customHeight="1">
      <c r="A1508" s="385"/>
      <c r="B1508" s="386"/>
      <c r="C1508" s="20"/>
      <c r="D1508" s="342"/>
      <c r="E1508" s="387"/>
      <c r="F1508" s="388">
        <f t="shared" si="392"/>
        <v>0</v>
      </c>
      <c r="G1508" s="390"/>
      <c r="H1508" s="341" t="str">
        <f>IF(A1508="","",VLOOKUP(A1508,VII.A!$A$10:$D$199,4,FALSE))</f>
        <v/>
      </c>
      <c r="I1508" s="341" t="str">
        <f t="shared" si="389"/>
        <v/>
      </c>
      <c r="J1508" s="341" t="str">
        <f>IF(A1508="","",VLOOKUP(A1508,VII.A!$A$10:$D$199,3,FALSE))</f>
        <v/>
      </c>
      <c r="K1508" s="342" t="str">
        <f t="shared" si="390"/>
        <v/>
      </c>
      <c r="L1508" s="380" t="str">
        <f>IF(C1508="","",G1499*C1508)</f>
        <v/>
      </c>
      <c r="M1508" s="381" t="str">
        <f>IF(A1508="","",VLOOKUP(A1508,VII.A!$A$10:$B$199,2,FALSE))</f>
        <v/>
      </c>
      <c r="N1508" s="342" t="str">
        <f t="shared" si="391"/>
        <v/>
      </c>
      <c r="R1508" s="341"/>
      <c r="S1508" s="341"/>
    </row>
    <row r="1509" spans="1:21" ht="12.75" customHeight="1">
      <c r="A1509" s="385"/>
      <c r="B1509" s="386"/>
      <c r="C1509" s="20"/>
      <c r="D1509" s="342"/>
      <c r="E1509" s="387"/>
      <c r="F1509" s="388">
        <f t="shared" si="392"/>
        <v>0</v>
      </c>
      <c r="G1509" s="390"/>
      <c r="H1509" s="341" t="str">
        <f>IF(A1509="","",VLOOKUP(A1509,VII.A!$A$10:$D$199,4,FALSE))</f>
        <v/>
      </c>
      <c r="I1509" s="341" t="str">
        <f t="shared" si="389"/>
        <v/>
      </c>
      <c r="J1509" s="341" t="str">
        <f>IF(A1509="","",VLOOKUP(A1509,VII.A!$A$10:$D$199,3,FALSE))</f>
        <v/>
      </c>
      <c r="K1509" s="342" t="str">
        <f t="shared" si="390"/>
        <v/>
      </c>
      <c r="L1509" s="380" t="str">
        <f>IF(C1509="","",G1499*C1509)</f>
        <v/>
      </c>
      <c r="M1509" s="381" t="str">
        <f>IF(A1509="","",VLOOKUP(A1509,VII.A!$A$10:$B$199,2,FALSE))</f>
        <v/>
      </c>
      <c r="N1509" s="342" t="str">
        <f t="shared" si="391"/>
        <v/>
      </c>
      <c r="R1509" s="341"/>
      <c r="S1509" s="341"/>
    </row>
    <row r="1510" spans="1:21" ht="12.75" customHeight="1">
      <c r="A1510" s="385"/>
      <c r="B1510" s="386"/>
      <c r="C1510" s="20"/>
      <c r="D1510" s="342"/>
      <c r="E1510" s="387"/>
      <c r="F1510" s="388">
        <f t="shared" si="392"/>
        <v>0</v>
      </c>
      <c r="G1510" s="391"/>
      <c r="H1510" s="341" t="str">
        <f>IF(A1510="","",VLOOKUP(A1510,VII.A!$A$10:$D$199,4,FALSE))</f>
        <v/>
      </c>
      <c r="I1510" s="341" t="str">
        <f t="shared" si="389"/>
        <v/>
      </c>
      <c r="J1510" s="341" t="str">
        <f>IF(A1510="","",VLOOKUP(A1510,VII.A!$A$10:$D$199,3,FALSE))</f>
        <v/>
      </c>
      <c r="K1510" s="342" t="str">
        <f t="shared" si="390"/>
        <v/>
      </c>
      <c r="L1510" s="380" t="str">
        <f>IF(C1510="","",G1499*C1510)</f>
        <v/>
      </c>
      <c r="M1510" s="381" t="str">
        <f>IF(A1510="","",VLOOKUP(A1510,VII.A!$A$10:$B$199,2,FALSE))</f>
        <v/>
      </c>
      <c r="N1510" s="342" t="str">
        <f t="shared" si="391"/>
        <v/>
      </c>
      <c r="R1510" s="341"/>
      <c r="S1510" s="341"/>
    </row>
    <row r="1511" spans="1:21" ht="12.75" customHeight="1">
      <c r="A1511" s="385"/>
      <c r="B1511" s="386"/>
      <c r="C1511" s="20"/>
      <c r="D1511" s="342"/>
      <c r="E1511" s="387"/>
      <c r="F1511" s="388">
        <f t="shared" si="392"/>
        <v>0</v>
      </c>
      <c r="H1511" s="341" t="str">
        <f>IF(A1511="","",VLOOKUP(A1511,VII.A!$A$10:$D$199,4,FALSE))</f>
        <v/>
      </c>
      <c r="I1511" s="341" t="str">
        <f t="shared" si="389"/>
        <v/>
      </c>
      <c r="J1511" s="341" t="str">
        <f>IF(A1511="","",VLOOKUP(A1511,VII.A!$A$10:$D$199,3,FALSE))</f>
        <v/>
      </c>
      <c r="K1511" s="342" t="str">
        <f t="shared" si="390"/>
        <v/>
      </c>
      <c r="L1511" s="380" t="str">
        <f>IF(C1511="","",G1499*C1511)</f>
        <v/>
      </c>
      <c r="M1511" s="381" t="str">
        <f>IF(A1511="","",VLOOKUP(A1511,VII.A!$A$10:$B$199,2,FALSE))</f>
        <v/>
      </c>
      <c r="N1511" s="342" t="str">
        <f t="shared" si="391"/>
        <v/>
      </c>
      <c r="R1511" s="341"/>
      <c r="S1511" s="341"/>
    </row>
    <row r="1512" spans="1:21" ht="12.75" customHeight="1">
      <c r="A1512" s="385"/>
      <c r="B1512" s="386"/>
      <c r="C1512" s="20"/>
      <c r="D1512" s="392"/>
      <c r="E1512" s="387"/>
      <c r="F1512" s="388">
        <f t="shared" si="392"/>
        <v>0</v>
      </c>
      <c r="H1512" s="341" t="str">
        <f>IF(A1512="","",VLOOKUP(A1512,VII.A!$A$10:$D$199,4,FALSE))</f>
        <v/>
      </c>
      <c r="I1512" s="341" t="str">
        <f t="shared" si="389"/>
        <v/>
      </c>
      <c r="J1512" s="341" t="str">
        <f>IF(A1512="","",VLOOKUP(A1512,VII.A!$A$10:$D$199,3,FALSE))</f>
        <v/>
      </c>
      <c r="K1512" s="342" t="str">
        <f t="shared" si="390"/>
        <v/>
      </c>
      <c r="L1512" s="380" t="str">
        <f>IF(C1512="","",G1499*C1512)</f>
        <v/>
      </c>
      <c r="M1512" s="381" t="str">
        <f>IF(A1512="","",VLOOKUP(A1512,VII.A!$A$10:$B$199,2,FALSE))</f>
        <v/>
      </c>
      <c r="N1512" s="342" t="str">
        <f t="shared" si="391"/>
        <v/>
      </c>
      <c r="R1512" s="341"/>
      <c r="S1512" s="341"/>
    </row>
    <row r="1513" spans="1:21" ht="12.75" customHeight="1">
      <c r="A1513" s="385"/>
      <c r="B1513" s="386"/>
      <c r="C1513" s="20"/>
      <c r="D1513" s="392"/>
      <c r="E1513" s="387"/>
      <c r="F1513" s="388">
        <f t="shared" si="392"/>
        <v>0</v>
      </c>
      <c r="H1513" s="341" t="str">
        <f>IF(A1513="","",VLOOKUP(A1513,VII.A!$A$10:$D$199,4,FALSE))</f>
        <v/>
      </c>
      <c r="I1513" s="341" t="str">
        <f t="shared" si="389"/>
        <v/>
      </c>
      <c r="J1513" s="341" t="str">
        <f>IF(A1513="","",VLOOKUP(A1513,VII.A!$A$10:$D$199,3,FALSE))</f>
        <v/>
      </c>
      <c r="K1513" s="342" t="str">
        <f t="shared" si="390"/>
        <v/>
      </c>
      <c r="L1513" s="380" t="str">
        <f>IF(C1513="","",G1499*C1513)</f>
        <v/>
      </c>
      <c r="M1513" s="381" t="str">
        <f>IF(A1513="","",VLOOKUP(A1513,VII.A!$A$10:$B$199,2,FALSE))</f>
        <v/>
      </c>
      <c r="N1513" s="342" t="str">
        <f t="shared" si="391"/>
        <v/>
      </c>
      <c r="O1513" s="342"/>
      <c r="R1513" s="341"/>
      <c r="S1513" s="341"/>
    </row>
    <row r="1514" spans="1:21" ht="12.75" customHeight="1">
      <c r="A1514" s="385"/>
      <c r="B1514" s="386"/>
      <c r="C1514" s="20"/>
      <c r="D1514" s="392"/>
      <c r="E1514" s="387"/>
      <c r="F1514" s="388">
        <f t="shared" si="392"/>
        <v>0</v>
      </c>
      <c r="H1514" s="341" t="str">
        <f>IF(A1514="","",VLOOKUP(A1514,VII.A!$A$10:$D$199,4,FALSE))</f>
        <v/>
      </c>
      <c r="I1514" s="341" t="str">
        <f t="shared" si="389"/>
        <v/>
      </c>
      <c r="J1514" s="341" t="str">
        <f>IF(A1514="","",VLOOKUP(A1514,VII.A!$A$10:$D$199,3,FALSE))</f>
        <v/>
      </c>
      <c r="K1514" s="342" t="str">
        <f t="shared" si="390"/>
        <v/>
      </c>
      <c r="L1514" s="380" t="str">
        <f>IF(C1514="","",G1499*C1514)</f>
        <v/>
      </c>
      <c r="M1514" s="381" t="str">
        <f>IF(A1514="","",VLOOKUP(A1514,VII.A!$A$10:$B$199,2,FALSE))</f>
        <v/>
      </c>
      <c r="N1514" s="342" t="str">
        <f t="shared" si="391"/>
        <v/>
      </c>
      <c r="R1514" s="341"/>
      <c r="S1514" s="341"/>
    </row>
    <row r="1515" spans="1:21" ht="12.75" customHeight="1">
      <c r="A1515" s="393"/>
      <c r="C1515" s="20"/>
      <c r="E1515" s="387"/>
      <c r="F1515" s="388">
        <f t="shared" si="392"/>
        <v>0</v>
      </c>
      <c r="H1515" s="341" t="str">
        <f>IF(A1515="","",VLOOKUP(A1515,VII.A!$A$10:$D$199,4,FALSE))</f>
        <v/>
      </c>
      <c r="I1515" s="341" t="str">
        <f t="shared" si="389"/>
        <v/>
      </c>
      <c r="J1515" s="341" t="str">
        <f>IF(A1515="","",VLOOKUP(A1515,VII.A!$A$10:$D$199,3,FALSE))</f>
        <v/>
      </c>
      <c r="K1515" s="342" t="str">
        <f t="shared" si="390"/>
        <v/>
      </c>
      <c r="L1515" s="380" t="str">
        <f>IF(C1515="","",G1499*C1515)</f>
        <v/>
      </c>
      <c r="M1515" s="381" t="str">
        <f>IF(A1515="","",VLOOKUP(A1515,VII.A!$A$10:$B$199,2,FALSE))</f>
        <v/>
      </c>
      <c r="N1515" s="342" t="str">
        <f t="shared" si="391"/>
        <v/>
      </c>
      <c r="R1515" s="341"/>
      <c r="S1515" s="341"/>
    </row>
    <row r="1516" spans="1:21" ht="12.75" customHeight="1">
      <c r="A1516" s="393"/>
      <c r="C1516" s="20"/>
      <c r="E1516" s="387"/>
      <c r="F1516" s="388">
        <f t="shared" si="392"/>
        <v>0</v>
      </c>
      <c r="H1516" s="341" t="str">
        <f>IF(A1516="","",VLOOKUP(A1516,VII.A!$A$10:$D$199,4,FALSE))</f>
        <v/>
      </c>
      <c r="I1516" s="341" t="str">
        <f t="shared" si="389"/>
        <v/>
      </c>
      <c r="J1516" s="341" t="str">
        <f>IF(A1516="","",VLOOKUP(A1516,VII.A!$A$10:$D$199,3,FALSE))</f>
        <v/>
      </c>
      <c r="K1516" s="342" t="str">
        <f t="shared" si="390"/>
        <v/>
      </c>
      <c r="L1516" s="380" t="str">
        <f>IF(C1516="","",G1499*C1516)</f>
        <v/>
      </c>
      <c r="M1516" s="381" t="str">
        <f>IF(A1516="","",VLOOKUP(A1516,VII.A!$A$10:$B$199,2,FALSE))</f>
        <v/>
      </c>
      <c r="N1516" s="342" t="str">
        <f t="shared" si="391"/>
        <v/>
      </c>
      <c r="R1516" s="341"/>
      <c r="S1516" s="341"/>
    </row>
    <row r="1517" spans="1:21" ht="12.75" customHeight="1">
      <c r="A1517" s="393"/>
      <c r="B1517" s="395" t="s">
        <v>226</v>
      </c>
      <c r="C1517" s="396"/>
      <c r="D1517" s="397"/>
      <c r="E1517" s="398"/>
      <c r="F1517" s="399">
        <f>SUM(F1501:F1516)</f>
        <v>0</v>
      </c>
      <c r="H1517" s="426" t="s">
        <v>493</v>
      </c>
      <c r="J1517" s="341"/>
      <c r="L1517" s="380"/>
      <c r="M1517" s="381"/>
      <c r="N1517" s="342"/>
      <c r="R1517" s="341"/>
      <c r="S1517" s="341"/>
    </row>
    <row r="1518" spans="1:21" ht="12.75" customHeight="1">
      <c r="A1518" s="393"/>
      <c r="B1518" s="400" t="s">
        <v>53</v>
      </c>
      <c r="C1518" s="2">
        <f>$D$8</f>
        <v>0</v>
      </c>
      <c r="D1518" s="401"/>
      <c r="E1518" s="402"/>
      <c r="F1518" s="403">
        <f>ROUND(F1517*C1518,2)</f>
        <v>0</v>
      </c>
      <c r="J1518" s="341"/>
      <c r="L1518" s="380"/>
      <c r="M1518" s="381"/>
      <c r="N1518" s="342"/>
      <c r="R1518" s="341"/>
      <c r="S1518" s="341"/>
    </row>
    <row r="1519" spans="1:21" ht="12.75" customHeight="1">
      <c r="A1519" s="404"/>
      <c r="B1519" s="405" t="s">
        <v>227</v>
      </c>
      <c r="C1519" s="406"/>
      <c r="D1519" s="406"/>
      <c r="E1519" s="407"/>
      <c r="F1519" s="408">
        <f>F1517+F1518</f>
        <v>0</v>
      </c>
      <c r="J1519" s="341"/>
      <c r="L1519" s="380"/>
      <c r="M1519" s="381"/>
      <c r="N1519" s="342"/>
      <c r="R1519" s="341"/>
      <c r="S1519" s="341"/>
    </row>
    <row r="1520" spans="1:21" ht="12.75" customHeight="1">
      <c r="A1520" s="374" t="s">
        <v>2</v>
      </c>
      <c r="B1520" s="375" t="s">
        <v>235</v>
      </c>
      <c r="C1520" s="376" t="s">
        <v>231</v>
      </c>
      <c r="D1520" s="376" t="s">
        <v>232</v>
      </c>
      <c r="E1520" s="377" t="s">
        <v>233</v>
      </c>
      <c r="F1520" s="378" t="s">
        <v>234</v>
      </c>
      <c r="J1520" s="341"/>
      <c r="L1520" s="380"/>
      <c r="M1520" s="381"/>
      <c r="N1520" s="342"/>
      <c r="R1520" s="341"/>
      <c r="S1520" s="341"/>
    </row>
    <row r="1521" spans="1:19" ht="12.75" customHeight="1">
      <c r="A1521" s="393"/>
      <c r="C1521" s="20"/>
      <c r="E1521" s="387"/>
      <c r="F1521" s="388">
        <f t="shared" ref="F1521:F1530" si="393">ROUND(C1521*E1521,2)</f>
        <v>0</v>
      </c>
      <c r="H1521" s="341" t="str">
        <f>IF(A1521="","",VLOOKUP(A1521,VII.A!$A$10:$D$199,4,FALSE))</f>
        <v/>
      </c>
      <c r="I1521" s="341" t="str">
        <f t="shared" ref="I1521:I1530" si="394">IF(A1521="","",IF(E1521=H1521,"SIM","NÃO"))</f>
        <v/>
      </c>
      <c r="J1521" s="341" t="str">
        <f>IF(A1521="","",VLOOKUP(A1521,VII.A!$A$10:$D$199,3,FALSE))</f>
        <v/>
      </c>
      <c r="K1521" s="342" t="str">
        <f t="shared" ref="K1521:K1530" si="395">IF(A1521="","",IF(J1521=D1521,"SIM","NÃO"))</f>
        <v/>
      </c>
      <c r="L1521" s="380" t="str">
        <f>IF(C1521="","",G1499*C1521)</f>
        <v/>
      </c>
      <c r="M1521" s="381" t="str">
        <f>IF(A1521="","",VLOOKUP(A1521,VII.A!$A$10:$B$199,2,FALSE))</f>
        <v/>
      </c>
      <c r="N1521" s="342" t="str">
        <f t="shared" ref="N1521:N1530" si="396">IF(B1521="","",IF(M1521=B1521,"si","no"))</f>
        <v/>
      </c>
      <c r="R1521" s="341"/>
      <c r="S1521" s="341"/>
    </row>
    <row r="1522" spans="1:19" ht="12.75" customHeight="1">
      <c r="A1522" s="393"/>
      <c r="C1522" s="20"/>
      <c r="E1522" s="387"/>
      <c r="F1522" s="388">
        <f t="shared" si="393"/>
        <v>0</v>
      </c>
      <c r="H1522" s="341" t="str">
        <f>IF(A1522="","",VLOOKUP(A1522,VII.A!$A$10:$D$199,4,FALSE))</f>
        <v/>
      </c>
      <c r="I1522" s="341" t="str">
        <f t="shared" si="394"/>
        <v/>
      </c>
      <c r="J1522" s="341" t="str">
        <f>IF(A1522="","",VLOOKUP(A1522,VII.A!$A$10:$D$199,3,FALSE))</f>
        <v/>
      </c>
      <c r="K1522" s="342" t="str">
        <f t="shared" si="395"/>
        <v/>
      </c>
      <c r="L1522" s="380" t="str">
        <f>IF(C1522="","",G1499*C1522)</f>
        <v/>
      </c>
      <c r="M1522" s="381" t="str">
        <f>IF(A1522="","",VLOOKUP(A1522,VII.A!$A$10:$B$199,2,FALSE))</f>
        <v/>
      </c>
      <c r="N1522" s="342" t="str">
        <f t="shared" si="396"/>
        <v/>
      </c>
      <c r="R1522" s="341"/>
      <c r="S1522" s="341"/>
    </row>
    <row r="1523" spans="1:19" ht="12.75" customHeight="1">
      <c r="A1523" s="393"/>
      <c r="C1523" s="20"/>
      <c r="E1523" s="387"/>
      <c r="F1523" s="388">
        <f t="shared" si="393"/>
        <v>0</v>
      </c>
      <c r="H1523" s="341" t="str">
        <f>IF(A1523="","",VLOOKUP(A1523,VII.A!$A$10:$D$199,4,FALSE))</f>
        <v/>
      </c>
      <c r="I1523" s="341" t="str">
        <f t="shared" si="394"/>
        <v/>
      </c>
      <c r="J1523" s="341" t="str">
        <f>IF(A1523="","",VLOOKUP(A1523,VII.A!$A$10:$D$199,3,FALSE))</f>
        <v/>
      </c>
      <c r="K1523" s="342" t="str">
        <f t="shared" si="395"/>
        <v/>
      </c>
      <c r="L1523" s="380" t="str">
        <f>IF(C1523="","",G1499*C1523)</f>
        <v/>
      </c>
      <c r="M1523" s="381" t="str">
        <f>IF(A1523="","",VLOOKUP(A1523,VII.A!$A$10:$B$199,2,FALSE))</f>
        <v/>
      </c>
      <c r="N1523" s="342" t="str">
        <f t="shared" si="396"/>
        <v/>
      </c>
      <c r="R1523" s="341"/>
      <c r="S1523" s="341"/>
    </row>
    <row r="1524" spans="1:19" ht="12.75" customHeight="1">
      <c r="A1524" s="393"/>
      <c r="C1524" s="20"/>
      <c r="E1524" s="387"/>
      <c r="F1524" s="388">
        <f t="shared" si="393"/>
        <v>0</v>
      </c>
      <c r="H1524" s="341" t="str">
        <f>IF(A1524="","",VLOOKUP(A1524,VII.A!$A$10:$D$199,4,FALSE))</f>
        <v/>
      </c>
      <c r="I1524" s="341" t="str">
        <f t="shared" si="394"/>
        <v/>
      </c>
      <c r="J1524" s="341" t="str">
        <f>IF(A1524="","",VLOOKUP(A1524,VII.A!$A$10:$D$199,3,FALSE))</f>
        <v/>
      </c>
      <c r="K1524" s="342" t="str">
        <f t="shared" si="395"/>
        <v/>
      </c>
      <c r="L1524" s="380" t="str">
        <f>IF(C1524="","",G1499*C1524)</f>
        <v/>
      </c>
      <c r="M1524" s="381" t="str">
        <f>IF(A1524="","",VLOOKUP(A1524,VII.A!$A$10:$B$199,2,FALSE))</f>
        <v/>
      </c>
      <c r="N1524" s="342" t="str">
        <f t="shared" si="396"/>
        <v/>
      </c>
      <c r="R1524" s="341"/>
      <c r="S1524" s="341"/>
    </row>
    <row r="1525" spans="1:19" ht="12.75" customHeight="1">
      <c r="A1525" s="393"/>
      <c r="C1525" s="20"/>
      <c r="E1525" s="387"/>
      <c r="F1525" s="388">
        <f t="shared" si="393"/>
        <v>0</v>
      </c>
      <c r="G1525" s="390"/>
      <c r="H1525" s="341" t="str">
        <f>IF(A1525="","",VLOOKUP(A1525,VII.A!$A$10:$D$199,4,FALSE))</f>
        <v/>
      </c>
      <c r="I1525" s="341" t="str">
        <f t="shared" si="394"/>
        <v/>
      </c>
      <c r="J1525" s="341" t="str">
        <f>IF(A1525="","",VLOOKUP(A1525,VII.A!$A$10:$D$199,3,FALSE))</f>
        <v/>
      </c>
      <c r="K1525" s="342" t="str">
        <f t="shared" si="395"/>
        <v/>
      </c>
      <c r="L1525" s="380" t="str">
        <f>IF(C1525="","",G1499*C1525)</f>
        <v/>
      </c>
      <c r="M1525" s="381" t="str">
        <f>IF(A1525="","",VLOOKUP(A1525,VII.A!$A$10:$B$199,2,FALSE))</f>
        <v/>
      </c>
      <c r="N1525" s="342" t="str">
        <f t="shared" si="396"/>
        <v/>
      </c>
      <c r="R1525" s="341"/>
      <c r="S1525" s="341"/>
    </row>
    <row r="1526" spans="1:19" ht="12.75" customHeight="1">
      <c r="A1526" s="393"/>
      <c r="C1526" s="20"/>
      <c r="E1526" s="387"/>
      <c r="F1526" s="388">
        <f t="shared" si="393"/>
        <v>0</v>
      </c>
      <c r="G1526" s="391"/>
      <c r="H1526" s="341" t="str">
        <f>IF(A1526="","",VLOOKUP(A1526,VII.A!$A$10:$D$199,4,FALSE))</f>
        <v/>
      </c>
      <c r="I1526" s="341" t="str">
        <f t="shared" si="394"/>
        <v/>
      </c>
      <c r="J1526" s="341" t="str">
        <f>IF(A1526="","",VLOOKUP(A1526,VII.A!$A$10:$D$199,3,FALSE))</f>
        <v/>
      </c>
      <c r="K1526" s="342" t="str">
        <f t="shared" si="395"/>
        <v/>
      </c>
      <c r="L1526" s="380" t="str">
        <f>IF(C1526="","",G1499*C1526)</f>
        <v/>
      </c>
      <c r="M1526" s="381" t="str">
        <f>IF(A1526="","",VLOOKUP(A1526,VII.A!$A$10:$B$199,2,FALSE))</f>
        <v/>
      </c>
      <c r="N1526" s="342" t="str">
        <f t="shared" si="396"/>
        <v/>
      </c>
      <c r="R1526" s="341"/>
      <c r="S1526" s="341"/>
    </row>
    <row r="1527" spans="1:19" ht="12.75" customHeight="1">
      <c r="A1527" s="393"/>
      <c r="C1527" s="20"/>
      <c r="E1527" s="387"/>
      <c r="F1527" s="388">
        <f t="shared" si="393"/>
        <v>0</v>
      </c>
      <c r="H1527" s="341" t="str">
        <f>IF(A1527="","",VLOOKUP(A1527,VII.A!$A$10:$D$199,4,FALSE))</f>
        <v/>
      </c>
      <c r="I1527" s="341" t="str">
        <f t="shared" si="394"/>
        <v/>
      </c>
      <c r="J1527" s="341" t="str">
        <f>IF(A1527="","",VLOOKUP(A1527,VII.A!$A$10:$D$199,3,FALSE))</f>
        <v/>
      </c>
      <c r="K1527" s="342" t="str">
        <f t="shared" si="395"/>
        <v/>
      </c>
      <c r="L1527" s="380" t="str">
        <f>IF(C1527="","",G1499*C1527)</f>
        <v/>
      </c>
      <c r="M1527" s="381" t="str">
        <f>IF(A1527="","",VLOOKUP(A1527,VII.A!$A$10:$B$199,2,FALSE))</f>
        <v/>
      </c>
      <c r="N1527" s="342" t="str">
        <f t="shared" si="396"/>
        <v/>
      </c>
      <c r="R1527" s="341"/>
      <c r="S1527" s="341"/>
    </row>
    <row r="1528" spans="1:19" ht="12.75" customHeight="1">
      <c r="A1528" s="393"/>
      <c r="C1528" s="20"/>
      <c r="E1528" s="387"/>
      <c r="F1528" s="388">
        <f t="shared" si="393"/>
        <v>0</v>
      </c>
      <c r="H1528" s="341" t="str">
        <f>IF(A1528="","",VLOOKUP(A1528,VII.A!$A$10:$D$199,4,FALSE))</f>
        <v/>
      </c>
      <c r="I1528" s="341" t="str">
        <f t="shared" si="394"/>
        <v/>
      </c>
      <c r="J1528" s="341" t="str">
        <f>IF(A1528="","",VLOOKUP(A1528,VII.A!$A$10:$D$199,3,FALSE))</f>
        <v/>
      </c>
      <c r="K1528" s="342" t="str">
        <f t="shared" si="395"/>
        <v/>
      </c>
      <c r="L1528" s="380" t="str">
        <f>IF(C1528="","",G1499*C1528)</f>
        <v/>
      </c>
      <c r="M1528" s="381" t="str">
        <f>IF(A1528="","",VLOOKUP(A1528,VII.A!$A$10:$B$199,2,FALSE))</f>
        <v/>
      </c>
      <c r="N1528" s="342" t="str">
        <f t="shared" si="396"/>
        <v/>
      </c>
      <c r="R1528" s="341"/>
      <c r="S1528" s="341"/>
    </row>
    <row r="1529" spans="1:19" ht="12.75" customHeight="1">
      <c r="A1529" s="393"/>
      <c r="C1529" s="20"/>
      <c r="E1529" s="387"/>
      <c r="F1529" s="388">
        <f t="shared" si="393"/>
        <v>0</v>
      </c>
      <c r="H1529" s="341" t="str">
        <f>IF(A1529="","",VLOOKUP(A1529,VII.A!$A$10:$D$199,4,FALSE))</f>
        <v/>
      </c>
      <c r="I1529" s="341" t="str">
        <f t="shared" si="394"/>
        <v/>
      </c>
      <c r="J1529" s="341" t="str">
        <f>IF(A1529="","",VLOOKUP(A1529,VII.A!$A$10:$D$199,3,FALSE))</f>
        <v/>
      </c>
      <c r="K1529" s="342" t="str">
        <f t="shared" si="395"/>
        <v/>
      </c>
      <c r="L1529" s="380" t="str">
        <f>IF(C1529="","",G1499*C1529)</f>
        <v/>
      </c>
      <c r="M1529" s="381" t="str">
        <f>IF(A1529="","",VLOOKUP(A1529,VII.A!$A$10:$B$199,2,FALSE))</f>
        <v/>
      </c>
      <c r="N1529" s="342" t="str">
        <f t="shared" si="396"/>
        <v/>
      </c>
      <c r="R1529" s="341"/>
      <c r="S1529" s="341"/>
    </row>
    <row r="1530" spans="1:19" ht="12.75" customHeight="1">
      <c r="A1530" s="393"/>
      <c r="C1530" s="20"/>
      <c r="E1530" s="387"/>
      <c r="F1530" s="388">
        <f t="shared" si="393"/>
        <v>0</v>
      </c>
      <c r="H1530" s="341" t="str">
        <f>IF(A1530="","",VLOOKUP(A1530,VII.A!$A$10:$D$199,4,FALSE))</f>
        <v/>
      </c>
      <c r="I1530" s="341" t="str">
        <f t="shared" si="394"/>
        <v/>
      </c>
      <c r="J1530" s="341" t="str">
        <f>IF(A1530="","",VLOOKUP(A1530,VII.A!$A$10:$D$199,3,FALSE))</f>
        <v/>
      </c>
      <c r="K1530" s="342" t="str">
        <f t="shared" si="395"/>
        <v/>
      </c>
      <c r="L1530" s="380" t="str">
        <f>IF(C1530="","",G1499*C1530)</f>
        <v/>
      </c>
      <c r="M1530" s="381" t="str">
        <f>IF(A1530="","",VLOOKUP(A1530,VII.A!$A$10:$B$199,2,FALSE))</f>
        <v/>
      </c>
      <c r="N1530" s="342" t="str">
        <f t="shared" si="396"/>
        <v/>
      </c>
      <c r="R1530" s="341"/>
      <c r="S1530" s="341"/>
    </row>
    <row r="1531" spans="1:19" ht="12.75" customHeight="1">
      <c r="A1531" s="393"/>
      <c r="B1531" s="395" t="s">
        <v>226</v>
      </c>
      <c r="C1531" s="396"/>
      <c r="D1531" s="397"/>
      <c r="E1531" s="398"/>
      <c r="F1531" s="399">
        <f>SUM(F1521:F1530)</f>
        <v>0</v>
      </c>
      <c r="J1531" s="341"/>
      <c r="L1531" s="380"/>
      <c r="M1531" s="381"/>
      <c r="N1531" s="342"/>
      <c r="R1531" s="341"/>
      <c r="S1531" s="341"/>
    </row>
    <row r="1532" spans="1:19" ht="12.75" customHeight="1">
      <c r="A1532" s="393"/>
      <c r="B1532" s="400" t="s">
        <v>53</v>
      </c>
      <c r="C1532" s="2">
        <f>$D$8</f>
        <v>0</v>
      </c>
      <c r="D1532" s="401"/>
      <c r="E1532" s="402"/>
      <c r="F1532" s="403">
        <f>ROUND(C1532*F1531,2)</f>
        <v>0</v>
      </c>
      <c r="J1532" s="341"/>
      <c r="L1532" s="380"/>
      <c r="M1532" s="381"/>
      <c r="N1532" s="342"/>
      <c r="R1532" s="341"/>
      <c r="S1532" s="341"/>
    </row>
    <row r="1533" spans="1:19" ht="12.75" customHeight="1">
      <c r="A1533" s="404"/>
      <c r="B1533" s="405" t="s">
        <v>228</v>
      </c>
      <c r="C1533" s="406"/>
      <c r="D1533" s="406"/>
      <c r="E1533" s="407"/>
      <c r="F1533" s="408">
        <f>F1531+F1532</f>
        <v>0</v>
      </c>
      <c r="J1533" s="341"/>
      <c r="L1533" s="380"/>
      <c r="M1533" s="381"/>
      <c r="N1533" s="342"/>
      <c r="R1533" s="341"/>
      <c r="S1533" s="341"/>
    </row>
    <row r="1534" spans="1:19" ht="12.75" customHeight="1">
      <c r="A1534" s="409" t="s">
        <v>47</v>
      </c>
      <c r="B1534" s="410" t="s">
        <v>236</v>
      </c>
      <c r="C1534" s="411" t="s">
        <v>231</v>
      </c>
      <c r="D1534" s="412" t="s">
        <v>232</v>
      </c>
      <c r="E1534" s="413" t="s">
        <v>233</v>
      </c>
      <c r="F1534" s="378" t="s">
        <v>234</v>
      </c>
      <c r="J1534" s="341"/>
      <c r="L1534" s="380"/>
      <c r="M1534" s="381"/>
      <c r="N1534" s="342"/>
      <c r="R1534" s="341"/>
      <c r="S1534" s="341"/>
    </row>
    <row r="1535" spans="1:19" ht="12.75" customHeight="1">
      <c r="A1535" s="393" t="str">
        <f>VII.A!$A$196</f>
        <v>3.16</v>
      </c>
      <c r="B1535" s="394" t="str">
        <f>VII.A!B196</f>
        <v>SERVENTE COM ENCARGOS COMPLEMENTARES</v>
      </c>
      <c r="C1535" s="20">
        <v>1</v>
      </c>
      <c r="D1535" s="384" t="str">
        <f>VII.A!C196</f>
        <v>H</v>
      </c>
      <c r="E1535" s="387">
        <f>VII.A!D196</f>
        <v>0</v>
      </c>
      <c r="F1535" s="388">
        <f t="shared" ref="F1535:F1541" si="397">ROUND(C1535*E1535,2)</f>
        <v>0</v>
      </c>
      <c r="H1535" s="341">
        <f>IF(A1535="","",VLOOKUP(A1535,VII.A!$A$10:$D$199,4,FALSE))</f>
        <v>0</v>
      </c>
      <c r="I1535" s="341" t="str">
        <f t="shared" ref="I1535:I1541" si="398">IF(A1535="","",IF(E1535=H1535,"SIM","NÃO"))</f>
        <v>SIM</v>
      </c>
      <c r="J1535" s="341" t="str">
        <f>IF(A1535="","",VLOOKUP(A1535,VII.A!$A$10:$D$199,3,FALSE))</f>
        <v>H</v>
      </c>
      <c r="K1535" s="342" t="str">
        <f t="shared" ref="K1535:K1541" si="399">IF(A1535="","",IF(J1535=D1535,"SIM","NÃO"))</f>
        <v>SIM</v>
      </c>
      <c r="L1535" s="380">
        <f>IF(C1535="","",G1499*C1535)</f>
        <v>10</v>
      </c>
      <c r="M1535" s="381" t="str">
        <f>IF(A1535="","",VLOOKUP(A1535,VII.A!$A$10:$B$199,2,FALSE))</f>
        <v>SERVENTE COM ENCARGOS COMPLEMENTARES</v>
      </c>
      <c r="N1535" s="342" t="str">
        <f t="shared" ref="N1535:N1541" si="400">IF(B1535="","",IF(M1535=B1535,"si","no"))</f>
        <v>si</v>
      </c>
      <c r="R1535" s="341"/>
      <c r="S1535" s="341"/>
    </row>
    <row r="1536" spans="1:19" ht="12.75" customHeight="1">
      <c r="A1536" s="393" t="str">
        <f>VII.A!$A$192</f>
        <v>3.12</v>
      </c>
      <c r="B1536" s="394" t="str">
        <f>VII.A!B192</f>
        <v>PEDREIRO COM ENCARGOS COMPLEMENTARES</v>
      </c>
      <c r="C1536" s="20">
        <v>0.5</v>
      </c>
      <c r="D1536" s="384" t="str">
        <f>VII.A!C192</f>
        <v>H</v>
      </c>
      <c r="E1536" s="387">
        <f>VII.A!D192</f>
        <v>0</v>
      </c>
      <c r="F1536" s="388">
        <f t="shared" si="397"/>
        <v>0</v>
      </c>
      <c r="H1536" s="341">
        <f>IF(A1536="","",VLOOKUP(A1536,VII.A!$A$10:$D$199,4,FALSE))</f>
        <v>0</v>
      </c>
      <c r="I1536" s="341" t="str">
        <f t="shared" si="398"/>
        <v>SIM</v>
      </c>
      <c r="J1536" s="341" t="str">
        <f>IF(A1536="","",VLOOKUP(A1536,VII.A!$A$10:$D$199,3,FALSE))</f>
        <v>H</v>
      </c>
      <c r="K1536" s="342" t="str">
        <f t="shared" si="399"/>
        <v>SIM</v>
      </c>
      <c r="L1536" s="380">
        <f>IF(C1536="","",G1499*C1536)</f>
        <v>5</v>
      </c>
      <c r="M1536" s="381" t="str">
        <f>IF(A1536="","",VLOOKUP(A1536,VII.A!$A$10:$B$199,2,FALSE))</f>
        <v>PEDREIRO COM ENCARGOS COMPLEMENTARES</v>
      </c>
      <c r="N1536" s="342" t="str">
        <f t="shared" si="400"/>
        <v>si</v>
      </c>
      <c r="R1536" s="341"/>
      <c r="S1536" s="341"/>
    </row>
    <row r="1537" spans="1:25" ht="12.75" customHeight="1">
      <c r="A1537" s="393"/>
      <c r="C1537" s="20"/>
      <c r="E1537" s="387"/>
      <c r="F1537" s="388">
        <f t="shared" si="397"/>
        <v>0</v>
      </c>
      <c r="H1537" s="341" t="str">
        <f>IF(A1537="","",VLOOKUP(A1537,VII.A!$A$10:$D$199,4,FALSE))</f>
        <v/>
      </c>
      <c r="I1537" s="341" t="str">
        <f t="shared" si="398"/>
        <v/>
      </c>
      <c r="J1537" s="341" t="str">
        <f>IF(A1537="","",VLOOKUP(A1537,VII.A!$A$10:$D$199,3,FALSE))</f>
        <v/>
      </c>
      <c r="K1537" s="342" t="str">
        <f t="shared" si="399"/>
        <v/>
      </c>
      <c r="L1537" s="380" t="str">
        <f>IF(C1537="","",G1499*C1537)</f>
        <v/>
      </c>
      <c r="M1537" s="381" t="str">
        <f>IF(A1537="","",VLOOKUP(A1537,VII.A!$A$10:$B$199,2,FALSE))</f>
        <v/>
      </c>
      <c r="N1537" s="342" t="str">
        <f t="shared" si="400"/>
        <v/>
      </c>
      <c r="R1537" s="341"/>
      <c r="S1537" s="341"/>
    </row>
    <row r="1538" spans="1:25" ht="12.75" customHeight="1">
      <c r="A1538" s="393"/>
      <c r="C1538" s="20"/>
      <c r="E1538" s="387"/>
      <c r="F1538" s="388">
        <f t="shared" si="397"/>
        <v>0</v>
      </c>
      <c r="H1538" s="341" t="str">
        <f>IF(A1538="","",VLOOKUP(A1538,VII.A!$A$10:$D$199,4,FALSE))</f>
        <v/>
      </c>
      <c r="I1538" s="341" t="str">
        <f t="shared" si="398"/>
        <v/>
      </c>
      <c r="J1538" s="341" t="str">
        <f>IF(A1538="","",VLOOKUP(A1538,VII.A!$A$10:$D$199,3,FALSE))</f>
        <v/>
      </c>
      <c r="K1538" s="342" t="str">
        <f t="shared" si="399"/>
        <v/>
      </c>
      <c r="L1538" s="380" t="str">
        <f>IF(C1538="","",G1499*C1538)</f>
        <v/>
      </c>
      <c r="M1538" s="381" t="str">
        <f>IF(A1538="","",VLOOKUP(A1538,VII.A!$A$10:$B$199,2,FALSE))</f>
        <v/>
      </c>
      <c r="N1538" s="342" t="str">
        <f t="shared" si="400"/>
        <v/>
      </c>
      <c r="R1538" s="341"/>
      <c r="S1538" s="341"/>
    </row>
    <row r="1539" spans="1:25" ht="12.75" customHeight="1">
      <c r="A1539" s="393"/>
      <c r="C1539" s="20"/>
      <c r="E1539" s="387"/>
      <c r="F1539" s="388">
        <f t="shared" si="397"/>
        <v>0</v>
      </c>
      <c r="H1539" s="341" t="str">
        <f>IF(A1539="","",VLOOKUP(A1539,VII.A!$A$10:$D$199,4,FALSE))</f>
        <v/>
      </c>
      <c r="I1539" s="341" t="str">
        <f t="shared" si="398"/>
        <v/>
      </c>
      <c r="J1539" s="341" t="str">
        <f>IF(A1539="","",VLOOKUP(A1539,VII.A!$A$10:$D$199,3,FALSE))</f>
        <v/>
      </c>
      <c r="K1539" s="342" t="str">
        <f t="shared" si="399"/>
        <v/>
      </c>
      <c r="L1539" s="380" t="str">
        <f>IF(C1539="","",G1499*C1539)</f>
        <v/>
      </c>
      <c r="M1539" s="381" t="str">
        <f>IF(A1539="","",VLOOKUP(A1539,VII.A!$A$10:$B$199,2,FALSE))</f>
        <v/>
      </c>
      <c r="N1539" s="342" t="str">
        <f t="shared" si="400"/>
        <v/>
      </c>
      <c r="R1539" s="341"/>
      <c r="S1539" s="341"/>
    </row>
    <row r="1540" spans="1:25" ht="12.75" customHeight="1">
      <c r="A1540" s="393"/>
      <c r="C1540" s="20"/>
      <c r="E1540" s="387"/>
      <c r="F1540" s="388">
        <f t="shared" si="397"/>
        <v>0</v>
      </c>
      <c r="H1540" s="341" t="str">
        <f>IF(A1540="","",VLOOKUP(A1540,VII.A!$A$10:$D$199,4,FALSE))</f>
        <v/>
      </c>
      <c r="I1540" s="341" t="str">
        <f t="shared" si="398"/>
        <v/>
      </c>
      <c r="J1540" s="341" t="str">
        <f>IF(A1540="","",VLOOKUP(A1540,VII.A!$A$10:$D$199,3,FALSE))</f>
        <v/>
      </c>
      <c r="K1540" s="342" t="str">
        <f t="shared" si="399"/>
        <v/>
      </c>
      <c r="L1540" s="380" t="str">
        <f>IF(C1540="","",G1499*C1540)</f>
        <v/>
      </c>
      <c r="M1540" s="381" t="str">
        <f>IF(A1540="","",VLOOKUP(A1540,VII.A!$A$10:$B$199,2,FALSE))</f>
        <v/>
      </c>
      <c r="N1540" s="342" t="str">
        <f t="shared" si="400"/>
        <v/>
      </c>
      <c r="R1540" s="341"/>
      <c r="S1540" s="341"/>
    </row>
    <row r="1541" spans="1:25" ht="12.75" customHeight="1">
      <c r="A1541" s="393"/>
      <c r="C1541" s="20"/>
      <c r="E1541" s="387"/>
      <c r="F1541" s="388">
        <f t="shared" si="397"/>
        <v>0</v>
      </c>
      <c r="H1541" s="341" t="str">
        <f>IF(A1541="","",VLOOKUP(A1541,VII.A!$A$10:$D$199,4,FALSE))</f>
        <v/>
      </c>
      <c r="I1541" s="341" t="str">
        <f t="shared" si="398"/>
        <v/>
      </c>
      <c r="J1541" s="341" t="str">
        <f>IF(A1541="","",VLOOKUP(A1541,VII.A!$A$10:$D$199,3,FALSE))</f>
        <v/>
      </c>
      <c r="K1541" s="342" t="str">
        <f t="shared" si="399"/>
        <v/>
      </c>
      <c r="L1541" s="380" t="str">
        <f>IF(C1541="","",G1499*C1541)</f>
        <v/>
      </c>
      <c r="M1541" s="381" t="str">
        <f>IF(A1541="","",VLOOKUP(A1541,VII.A!$A$10:$B$199,2,FALSE))</f>
        <v/>
      </c>
      <c r="N1541" s="342" t="str">
        <f t="shared" si="400"/>
        <v/>
      </c>
      <c r="R1541" s="341"/>
      <c r="S1541" s="341"/>
    </row>
    <row r="1542" spans="1:25" ht="12.75" customHeight="1">
      <c r="A1542" s="393"/>
      <c r="B1542" s="395" t="s">
        <v>226</v>
      </c>
      <c r="C1542" s="396"/>
      <c r="D1542" s="397"/>
      <c r="E1542" s="398"/>
      <c r="F1542" s="399">
        <f>SUM(F1535:F1541)</f>
        <v>0</v>
      </c>
      <c r="J1542" s="341"/>
      <c r="L1542" s="380"/>
      <c r="M1542" s="381"/>
      <c r="N1542" s="342"/>
      <c r="R1542" s="341"/>
      <c r="S1542" s="341"/>
    </row>
    <row r="1543" spans="1:25" ht="12.75" customHeight="1">
      <c r="A1543" s="393"/>
      <c r="B1543" s="400" t="s">
        <v>229</v>
      </c>
      <c r="C1543" s="2">
        <f>IX.A!$C$45</f>
        <v>0</v>
      </c>
      <c r="D1543" s="401"/>
      <c r="E1543" s="402"/>
      <c r="F1543" s="403">
        <f>ROUND(F1542*C1543,2)</f>
        <v>0</v>
      </c>
      <c r="J1543" s="341"/>
      <c r="L1543" s="380"/>
      <c r="M1543" s="381"/>
      <c r="N1543" s="342"/>
      <c r="R1543" s="341"/>
      <c r="S1543" s="341"/>
    </row>
    <row r="1544" spans="1:25" ht="12.75" customHeight="1">
      <c r="A1544" s="393"/>
      <c r="B1544" s="400" t="s">
        <v>53</v>
      </c>
      <c r="C1544" s="2">
        <f>$D$8</f>
        <v>0</v>
      </c>
      <c r="D1544" s="401"/>
      <c r="E1544" s="402"/>
      <c r="F1544" s="403">
        <f>ROUND(SUM(F1542:F1543)*C1544,2)</f>
        <v>0</v>
      </c>
      <c r="J1544" s="341"/>
      <c r="L1544" s="380"/>
      <c r="M1544" s="381"/>
      <c r="N1544" s="342"/>
      <c r="R1544" s="341"/>
      <c r="S1544" s="341"/>
    </row>
    <row r="1545" spans="1:25" ht="12.75" customHeight="1" thickBot="1">
      <c r="A1545" s="414"/>
      <c r="B1545" s="415" t="s">
        <v>230</v>
      </c>
      <c r="C1545" s="416"/>
      <c r="D1545" s="416"/>
      <c r="E1545" s="417"/>
      <c r="F1545" s="418">
        <f>SUM(F1542:F1544)</f>
        <v>0</v>
      </c>
      <c r="J1545" s="341"/>
      <c r="L1545" s="380"/>
      <c r="M1545" s="381"/>
      <c r="N1545" s="342"/>
      <c r="R1545" s="341"/>
      <c r="S1545" s="341"/>
    </row>
    <row r="1546" spans="1:25" ht="12.75" customHeight="1" thickBot="1">
      <c r="A1546" s="427"/>
      <c r="B1546" s="428"/>
      <c r="C1546" s="429"/>
      <c r="D1546" s="429"/>
      <c r="E1546" s="430"/>
      <c r="F1546" s="431"/>
      <c r="J1546" s="341"/>
      <c r="L1546" s="380"/>
      <c r="M1546" s="381"/>
      <c r="N1546" s="342"/>
      <c r="R1546" s="341"/>
      <c r="S1546" s="341"/>
    </row>
    <row r="1547" spans="1:25" ht="30" customHeight="1">
      <c r="A1547" s="370" t="str">
        <f>IV.A!$A$59</f>
        <v>3.2.10</v>
      </c>
      <c r="B1547" s="371" t="str">
        <f>IV.A!B59</f>
        <v>PORTA EM ALUMÍNIO TIPO VENEZIANA, 1 FOLHA, ACABAMENTO EM PINTURA ELETROSTÁTICA BRANCA, 60 MICRAS, CONFORME MEMORIAL, INCLUSIVE FERRAGENS (TRÊS DOBRADIÇAS E DOIS FERROLHOS COM PORTA-CADEADO)</v>
      </c>
      <c r="C1547" s="871" t="s">
        <v>237</v>
      </c>
      <c r="D1547" s="872"/>
      <c r="E1547" s="372" t="str">
        <f>IV.A!$C$59</f>
        <v>M2</v>
      </c>
      <c r="F1547" s="11">
        <f>ROUND(F1567+F1581+F1593,2)</f>
        <v>0</v>
      </c>
      <c r="G1547" s="1">
        <f>VLOOKUP(A1547,IV.A!$A$16:$L$172,4,FALSE)</f>
        <v>50</v>
      </c>
      <c r="H1547" s="361">
        <f>SUM(F1549:F1564)+F1566</f>
        <v>0</v>
      </c>
      <c r="I1547" s="361">
        <f>SUM(F1569:F1578)+F1580</f>
        <v>0</v>
      </c>
      <c r="J1547" s="361">
        <f>SUM(F1583:F1589)+F1591+F1592</f>
        <v>0</v>
      </c>
      <c r="K1547" s="361">
        <f>SUM(H1547:J1547)</f>
        <v>0</v>
      </c>
      <c r="L1547" s="362" t="str">
        <f>IF(K1547=F1547,"SIM","NÃO")</f>
        <v>SIM</v>
      </c>
      <c r="M1547" s="373">
        <f>ROUND(SUM(F1549:F1564),2)+ROUND(SUM(F1549:F1564)*C1566,2)+ROUND(SUM(F1569:F1578)*C1580,2)+ROUND(SUM(F1569:F1578),2)+ROUND(SUM(F1583:F1589)*C1591,2)+ROUND((SUM(F1583:F1589)+ROUND(SUM(F1583:F1589)*C1591,2))*C1592,2)+ROUND(SUM(F1583:F1589),2)</f>
        <v>0</v>
      </c>
      <c r="N1547" s="343" t="str">
        <f>IF(M1547=F1547,"SIM","NÃO")</f>
        <v>SIM</v>
      </c>
      <c r="O1547" s="364" t="str">
        <f>VLOOKUP(A1547,IV.A!$A$16:$E$172,3,FALSE)</f>
        <v>M2</v>
      </c>
      <c r="P1547" s="344" t="str">
        <f>IF(O1547=E1547,"SIM","NÃO")</f>
        <v>SIM</v>
      </c>
      <c r="Q1547" s="365">
        <f>ROUND(G1547*F1567,2)+ROUND(G1547*F1581,2)+ROUND(G1547*F1593,2)</f>
        <v>0</v>
      </c>
      <c r="R1547" s="364">
        <f>VLOOKUP(A1547,IV.A!$A$16:$L$172,12,FALSE)</f>
        <v>0</v>
      </c>
      <c r="S1547" s="366" t="str">
        <f>IF(Q1547=R1547,"si","no")</f>
        <v>si</v>
      </c>
      <c r="T1547" s="367">
        <f>SUM(L1549:L1564)+SUM(L1569:L1578)+SUM(L1583:L1589)</f>
        <v>711.17499999999995</v>
      </c>
      <c r="U1547" s="341">
        <f>(SUM(C1549:C1564)+SUM(C1569:C1578)+SUM(C1583:C1589))*G1547</f>
        <v>711.17500000000007</v>
      </c>
      <c r="V1547" s="368" t="str">
        <f>IF(T1547=U1547,"si","no")</f>
        <v>si</v>
      </c>
      <c r="W1547" s="369">
        <f>SUM(F1549:F1564)</f>
        <v>0</v>
      </c>
      <c r="X1547" s="369">
        <f>SUM(F1569:F1578)</f>
        <v>0</v>
      </c>
      <c r="Y1547" s="369">
        <f>SUM(F1583:F1589)</f>
        <v>0</v>
      </c>
    </row>
    <row r="1548" spans="1:25" ht="12.75" customHeight="1">
      <c r="A1548" s="374" t="s">
        <v>14</v>
      </c>
      <c r="B1548" s="375" t="s">
        <v>132</v>
      </c>
      <c r="C1548" s="376" t="s">
        <v>231</v>
      </c>
      <c r="D1548" s="376" t="s">
        <v>232</v>
      </c>
      <c r="E1548" s="377" t="s">
        <v>233</v>
      </c>
      <c r="F1548" s="378" t="s">
        <v>234</v>
      </c>
      <c r="G1548" s="379"/>
      <c r="J1548" s="341"/>
      <c r="L1548" s="380"/>
      <c r="M1548" s="381"/>
      <c r="N1548" s="342"/>
      <c r="O1548" s="382"/>
      <c r="P1548" s="383"/>
      <c r="Q1548" s="383"/>
      <c r="R1548" s="383"/>
      <c r="S1548" s="383"/>
      <c r="T1548" s="382"/>
      <c r="U1548" s="341"/>
      <c r="V1548" s="384"/>
      <c r="W1548" s="384"/>
      <c r="X1548" s="384"/>
      <c r="Y1548" s="384"/>
    </row>
    <row r="1549" spans="1:25" ht="12.75" customHeight="1">
      <c r="A1549" s="385" t="str">
        <f>VII.A!$A$99</f>
        <v>1.89</v>
      </c>
      <c r="B1549" s="394" t="str">
        <f>VLOOKUP(A1549,VII.A!$A$10:$G$199,2,FALSE)</f>
        <v>SELANTE ELASTICO MONOCOMPONENTE A BASE DE POLIURETANO PARA JUNTAS DIVERSAS</v>
      </c>
      <c r="C1549" s="20">
        <v>0.88290000000000002</v>
      </c>
      <c r="D1549" s="342" t="str">
        <f>VLOOKUP(A1549,VII.A!$A$10:$G$199,3,FALSE)</f>
        <v>310 ML</v>
      </c>
      <c r="E1549" s="387">
        <f>VII.A!D99</f>
        <v>0</v>
      </c>
      <c r="F1549" s="388">
        <f>ROUND(C1549*E1549,2)</f>
        <v>0</v>
      </c>
      <c r="H1549" s="341">
        <f>IF(A1549="","",VLOOKUP(A1549,VII.A!$A$10:$D$199,4,FALSE))</f>
        <v>0</v>
      </c>
      <c r="I1549" s="341" t="str">
        <f t="shared" ref="I1549:I1564" si="401">IF(A1549="","",IF(E1549=H1549,"SIM","NÃO"))</f>
        <v>SIM</v>
      </c>
      <c r="J1549" s="341" t="str">
        <f>IF(A1549="","",VLOOKUP(A1549,VII.A!$A$10:$D$199,3,FALSE))</f>
        <v>310 ML</v>
      </c>
      <c r="K1549" s="342" t="str">
        <f t="shared" ref="K1549:K1564" si="402">IF(A1549="","",IF(J1549=D1549,"SIM","NÃO"))</f>
        <v>SIM</v>
      </c>
      <c r="L1549" s="380">
        <f>IF(C1549="","",G1547*C1549)</f>
        <v>44.145000000000003</v>
      </c>
      <c r="M1549" s="381" t="str">
        <f>IF(A1549="","",VLOOKUP(A1549,VII.A!$A$10:$B$199,2,FALSE))</f>
        <v>SELANTE ELASTICO MONOCOMPONENTE A BASE DE POLIURETANO PARA JUNTAS DIVERSAS</v>
      </c>
      <c r="N1549" s="342" t="str">
        <f t="shared" ref="N1549:N1564" si="403">IF(B1549="","",IF(M1549=B1549,"si","no"))</f>
        <v>si</v>
      </c>
      <c r="R1549" s="341"/>
      <c r="S1549" s="341"/>
    </row>
    <row r="1550" spans="1:25" ht="12.75" customHeight="1">
      <c r="A1550" s="385" t="str">
        <f>VII.A!$A$25</f>
        <v>1.16</v>
      </c>
      <c r="B1550" s="394" t="str">
        <f>VLOOKUP(A1550,VII.A!$A$10:$G$199,2,FALSE)</f>
        <v>BUCHA DE NYLON S10 E PARAFUSO 6,10X65MM ACO ZINCADO ROSCA SOBERBA, CAB. CHATA FENDA PHILLIPS</v>
      </c>
      <c r="C1550" s="20">
        <v>4.8166000000000002</v>
      </c>
      <c r="D1550" s="342" t="str">
        <f>VLOOKUP(A1550,VII.A!$A$10:$G$199,3,FALSE)</f>
        <v>UN</v>
      </c>
      <c r="E1550" s="387">
        <f>VII.A!D25</f>
        <v>0</v>
      </c>
      <c r="F1550" s="388">
        <f t="shared" ref="F1550:F1564" si="404">ROUND(C1550*E1550,2)</f>
        <v>0</v>
      </c>
      <c r="H1550" s="341">
        <f>IF(A1550="","",VLOOKUP(A1550,VII.A!$A$10:$D$199,4,FALSE))</f>
        <v>0</v>
      </c>
      <c r="I1550" s="341" t="str">
        <f t="shared" si="401"/>
        <v>SIM</v>
      </c>
      <c r="J1550" s="341" t="str">
        <f>IF(A1550="","",VLOOKUP(A1550,VII.A!$A$10:$D$199,3,FALSE))</f>
        <v>UN</v>
      </c>
      <c r="K1550" s="342" t="str">
        <f t="shared" si="402"/>
        <v>SIM</v>
      </c>
      <c r="L1550" s="380">
        <f>IF(C1550="","",G1547*C1550)</f>
        <v>240.83</v>
      </c>
      <c r="M1550" s="381" t="str">
        <f>IF(A1550="","",VLOOKUP(A1550,VII.A!$A$10:$B$199,2,FALSE))</f>
        <v>BUCHA DE NYLON S10 E PARAFUSO 6,10X65MM ACO ZINCADO ROSCA SOBERBA, CAB. CHATA FENDA PHILLIPS</v>
      </c>
      <c r="N1550" s="342" t="str">
        <f t="shared" si="403"/>
        <v>si</v>
      </c>
      <c r="R1550" s="341"/>
      <c r="S1550" s="341"/>
    </row>
    <row r="1551" spans="1:25" ht="12.75" customHeight="1">
      <c r="A1551" s="385" t="str">
        <f>VII.A!$A$89</f>
        <v>1.79</v>
      </c>
      <c r="B1551" s="394" t="str">
        <f>VLOOKUP(A1551,VII.A!$A$10:$G$199,2,FALSE)</f>
        <v>PORTA ALUMÍNIO TIPO VENEZIANA, 1 FOLHA, ACABAMENTO EM PINTURA ELETROSTÁTICA BRANCA, 60 MICRAS</v>
      </c>
      <c r="C1551" s="20">
        <v>1</v>
      </c>
      <c r="D1551" s="342" t="str">
        <f>VLOOKUP(A1551,VII.A!$A$10:$G$199,3,FALSE)</f>
        <v>M2</v>
      </c>
      <c r="E1551" s="387">
        <f>VII.A!D89</f>
        <v>0</v>
      </c>
      <c r="F1551" s="388">
        <f t="shared" si="404"/>
        <v>0</v>
      </c>
      <c r="H1551" s="341">
        <f>IF(A1551="","",VLOOKUP(A1551,VII.A!$A$10:$D$199,4,FALSE))</f>
        <v>0</v>
      </c>
      <c r="I1551" s="341" t="str">
        <f t="shared" si="401"/>
        <v>SIM</v>
      </c>
      <c r="J1551" s="341" t="str">
        <f>IF(A1551="","",VLOOKUP(A1551,VII.A!$A$10:$D$199,3,FALSE))</f>
        <v>M2</v>
      </c>
      <c r="K1551" s="342" t="str">
        <f t="shared" si="402"/>
        <v>SIM</v>
      </c>
      <c r="L1551" s="380">
        <f>IF(C1551="","",G1547*C1551)</f>
        <v>50</v>
      </c>
      <c r="M1551" s="381" t="str">
        <f>IF(A1551="","",VLOOKUP(A1551,VII.A!$A$10:$B$199,2,FALSE))</f>
        <v>PORTA ALUMÍNIO TIPO VENEZIANA, 1 FOLHA, ACABAMENTO EM PINTURA ELETROSTÁTICA BRANCA, 60 MICRAS</v>
      </c>
      <c r="N1551" s="342" t="str">
        <f t="shared" si="403"/>
        <v>si</v>
      </c>
      <c r="R1551" s="341"/>
      <c r="S1551" s="341"/>
    </row>
    <row r="1552" spans="1:25" ht="12.75" customHeight="1">
      <c r="A1552" s="385" t="str">
        <f>VII.A!$A$57</f>
        <v>1.48</v>
      </c>
      <c r="B1552" s="394" t="str">
        <f>VLOOKUP(A1552,VII.A!$A$10:$G$199,2,FALSE)</f>
        <v>GUARNICAO/MOLDURA DE ACABAMENTO PARA ESQUADRIA DE ALUMINIO ANODIZADO NATURAL, 1 FACE</v>
      </c>
      <c r="C1552" s="20">
        <v>6.8503999999999996</v>
      </c>
      <c r="D1552" s="342" t="str">
        <f>VLOOKUP(A1552,VII.A!$A$10:$G$199,3,FALSE)</f>
        <v>M</v>
      </c>
      <c r="E1552" s="387">
        <f>VII.A!D57</f>
        <v>0</v>
      </c>
      <c r="F1552" s="388">
        <f t="shared" si="404"/>
        <v>0</v>
      </c>
      <c r="H1552" s="341">
        <f>IF(A1552="","",VLOOKUP(A1552,VII.A!$A$10:$D$199,4,FALSE))</f>
        <v>0</v>
      </c>
      <c r="I1552" s="341" t="str">
        <f t="shared" si="401"/>
        <v>SIM</v>
      </c>
      <c r="J1552" s="341" t="str">
        <f>IF(A1552="","",VLOOKUP(A1552,VII.A!$A$10:$D$199,3,FALSE))</f>
        <v>M</v>
      </c>
      <c r="K1552" s="342" t="str">
        <f t="shared" si="402"/>
        <v>SIM</v>
      </c>
      <c r="L1552" s="380">
        <f>IF(C1552="","",G1547*C1552)</f>
        <v>342.52</v>
      </c>
      <c r="M1552" s="381" t="str">
        <f>IF(A1552="","",VLOOKUP(A1552,VII.A!$A$10:$B$199,2,FALSE))</f>
        <v>GUARNICAO/MOLDURA DE ACABAMENTO PARA ESQUADRIA DE ALUMINIO ANODIZADO NATURAL, 1 FACE</v>
      </c>
      <c r="N1552" s="342" t="str">
        <f t="shared" si="403"/>
        <v>si</v>
      </c>
      <c r="R1552" s="341"/>
      <c r="S1552" s="341"/>
    </row>
    <row r="1553" spans="1:21" ht="12.75" customHeight="1">
      <c r="A1553" s="385" t="str">
        <f>VII.A!$A$26</f>
        <v>1.17</v>
      </c>
      <c r="B1553" s="394" t="str">
        <f>VLOOKUP(A1553,VII.A!$A$10:$G$199,2,FALSE)</f>
        <v>CADEADO SIMPLES, CORPO EM LATAO MACICO, COM LARGURA DE 50 MM E ALTURA DE APROX 40 MM, HASTE CEMENTADA EM ACO TEMPERADO COM DIAMETRO DE APROX 8,0 MM, INCLUINDO 2 CHAVES</v>
      </c>
      <c r="C1553" s="20">
        <v>0.1</v>
      </c>
      <c r="D1553" s="342" t="str">
        <f>VLOOKUP(A1553,VII.A!$A$10:$G$199,3,FALSE)</f>
        <v>UN</v>
      </c>
      <c r="E1553" s="387">
        <f>VII.A!$D$26</f>
        <v>0</v>
      </c>
      <c r="F1553" s="388">
        <f t="shared" si="404"/>
        <v>0</v>
      </c>
      <c r="H1553" s="341">
        <f>IF(A1553="","",VLOOKUP(A1553,VII.A!$A$10:$D$199,4,FALSE))</f>
        <v>0</v>
      </c>
      <c r="I1553" s="341" t="str">
        <f t="shared" si="401"/>
        <v>SIM</v>
      </c>
      <c r="J1553" s="341" t="str">
        <f>IF(A1553="","",VLOOKUP(A1553,VII.A!$A$10:$D$199,3,FALSE))</f>
        <v>UN</v>
      </c>
      <c r="K1553" s="342" t="str">
        <f t="shared" si="402"/>
        <v>SIM</v>
      </c>
      <c r="L1553" s="380">
        <f>IF(C1553="","",G1547*C1553)</f>
        <v>5</v>
      </c>
      <c r="M1553" s="381" t="str">
        <f>IF(A1553="","",VLOOKUP(A1553,VII.A!$A$10:$B$199,2,FALSE))</f>
        <v>CADEADO SIMPLES, CORPO EM LATAO MACICO, COM LARGURA DE 50 MM E ALTURA DE APROX 40 MM, HASTE CEMENTADA EM ACO TEMPERADO COM DIAMETRO DE APROX 8,0 MM, INCLUINDO 2 CHAVES</v>
      </c>
      <c r="N1553" s="342" t="str">
        <f t="shared" si="403"/>
        <v>si</v>
      </c>
      <c r="R1553" s="341"/>
      <c r="S1553" s="341"/>
    </row>
    <row r="1554" spans="1:21" ht="12.75" customHeight="1">
      <c r="A1554" s="385"/>
      <c r="B1554" s="386"/>
      <c r="C1554" s="20"/>
      <c r="D1554" s="342"/>
      <c r="E1554" s="387"/>
      <c r="F1554" s="388">
        <f t="shared" si="404"/>
        <v>0</v>
      </c>
      <c r="H1554" s="341" t="str">
        <f>IF(A1554="","",VLOOKUP(A1554,VII.A!$A$10:$D$199,4,FALSE))</f>
        <v/>
      </c>
      <c r="I1554" s="341" t="str">
        <f t="shared" si="401"/>
        <v/>
      </c>
      <c r="J1554" s="341" t="str">
        <f>IF(A1554="","",VLOOKUP(A1554,VII.A!$A$10:$D$199,3,FALSE))</f>
        <v/>
      </c>
      <c r="K1554" s="342" t="str">
        <f t="shared" si="402"/>
        <v/>
      </c>
      <c r="L1554" s="380" t="str">
        <f>IF(C1554="","",G1547*C1554)</f>
        <v/>
      </c>
      <c r="M1554" s="381" t="str">
        <f>IF(A1554="","",VLOOKUP(A1554,VII.A!$A$10:$B$199,2,FALSE))</f>
        <v/>
      </c>
      <c r="N1554" s="342" t="str">
        <f t="shared" si="403"/>
        <v/>
      </c>
      <c r="R1554" s="341"/>
      <c r="S1554" s="341"/>
      <c r="U1554" s="389"/>
    </row>
    <row r="1555" spans="1:21" ht="12.75" customHeight="1">
      <c r="A1555" s="385"/>
      <c r="B1555" s="386"/>
      <c r="C1555" s="20"/>
      <c r="D1555" s="342"/>
      <c r="E1555" s="387"/>
      <c r="F1555" s="388">
        <f t="shared" si="404"/>
        <v>0</v>
      </c>
      <c r="H1555" s="341" t="str">
        <f>IF(A1555="","",VLOOKUP(A1555,VII.A!$A$10:$D$199,4,FALSE))</f>
        <v/>
      </c>
      <c r="I1555" s="341" t="str">
        <f t="shared" si="401"/>
        <v/>
      </c>
      <c r="J1555" s="341" t="str">
        <f>IF(A1555="","",VLOOKUP(A1555,VII.A!$A$10:$D$199,3,FALSE))</f>
        <v/>
      </c>
      <c r="K1555" s="342" t="str">
        <f t="shared" si="402"/>
        <v/>
      </c>
      <c r="L1555" s="380" t="str">
        <f>IF(C1555="","",G1547*C1555)</f>
        <v/>
      </c>
      <c r="M1555" s="381" t="str">
        <f>IF(A1555="","",VLOOKUP(A1555,VII.A!$A$10:$B$199,2,FALSE))</f>
        <v/>
      </c>
      <c r="N1555" s="342" t="str">
        <f t="shared" si="403"/>
        <v/>
      </c>
      <c r="R1555" s="341"/>
      <c r="S1555" s="341"/>
    </row>
    <row r="1556" spans="1:21" ht="12.75" customHeight="1">
      <c r="A1556" s="385"/>
      <c r="B1556" s="386"/>
      <c r="C1556" s="20"/>
      <c r="D1556" s="342"/>
      <c r="E1556" s="387"/>
      <c r="F1556" s="388">
        <f t="shared" si="404"/>
        <v>0</v>
      </c>
      <c r="G1556" s="390"/>
      <c r="H1556" s="341" t="str">
        <f>IF(A1556="","",VLOOKUP(A1556,VII.A!$A$10:$D$199,4,FALSE))</f>
        <v/>
      </c>
      <c r="I1556" s="341" t="str">
        <f t="shared" si="401"/>
        <v/>
      </c>
      <c r="J1556" s="341" t="str">
        <f>IF(A1556="","",VLOOKUP(A1556,VII.A!$A$10:$D$199,3,FALSE))</f>
        <v/>
      </c>
      <c r="K1556" s="342" t="str">
        <f t="shared" si="402"/>
        <v/>
      </c>
      <c r="L1556" s="380" t="str">
        <f>IF(C1556="","",G1547*C1556)</f>
        <v/>
      </c>
      <c r="M1556" s="381" t="str">
        <f>IF(A1556="","",VLOOKUP(A1556,VII.A!$A$10:$B$199,2,FALSE))</f>
        <v/>
      </c>
      <c r="N1556" s="342" t="str">
        <f t="shared" si="403"/>
        <v/>
      </c>
      <c r="R1556" s="341"/>
      <c r="S1556" s="341"/>
    </row>
    <row r="1557" spans="1:21" ht="12.75" customHeight="1">
      <c r="A1557" s="385"/>
      <c r="B1557" s="386"/>
      <c r="C1557" s="20"/>
      <c r="D1557" s="342"/>
      <c r="E1557" s="387"/>
      <c r="F1557" s="388">
        <f t="shared" si="404"/>
        <v>0</v>
      </c>
      <c r="G1557" s="390"/>
      <c r="H1557" s="341" t="str">
        <f>IF(A1557="","",VLOOKUP(A1557,VII.A!$A$10:$D$199,4,FALSE))</f>
        <v/>
      </c>
      <c r="I1557" s="341" t="str">
        <f t="shared" si="401"/>
        <v/>
      </c>
      <c r="J1557" s="341" t="str">
        <f>IF(A1557="","",VLOOKUP(A1557,VII.A!$A$10:$D$199,3,FALSE))</f>
        <v/>
      </c>
      <c r="K1557" s="342" t="str">
        <f t="shared" si="402"/>
        <v/>
      </c>
      <c r="L1557" s="380" t="str">
        <f>IF(C1557="","",G1547*C1557)</f>
        <v/>
      </c>
      <c r="M1557" s="381" t="str">
        <f>IF(A1557="","",VLOOKUP(A1557,VII.A!$A$10:$B$199,2,FALSE))</f>
        <v/>
      </c>
      <c r="N1557" s="342" t="str">
        <f t="shared" si="403"/>
        <v/>
      </c>
      <c r="R1557" s="341"/>
      <c r="S1557" s="341"/>
    </row>
    <row r="1558" spans="1:21" ht="12.75" customHeight="1">
      <c r="A1558" s="385"/>
      <c r="B1558" s="386"/>
      <c r="C1558" s="20"/>
      <c r="D1558" s="342"/>
      <c r="E1558" s="387"/>
      <c r="F1558" s="388">
        <f t="shared" si="404"/>
        <v>0</v>
      </c>
      <c r="G1558" s="391"/>
      <c r="H1558" s="341" t="str">
        <f>IF(A1558="","",VLOOKUP(A1558,VII.A!$A$10:$D$199,4,FALSE))</f>
        <v/>
      </c>
      <c r="I1558" s="341" t="str">
        <f t="shared" si="401"/>
        <v/>
      </c>
      <c r="J1558" s="341" t="str">
        <f>IF(A1558="","",VLOOKUP(A1558,VII.A!$A$10:$D$199,3,FALSE))</f>
        <v/>
      </c>
      <c r="K1558" s="342" t="str">
        <f t="shared" si="402"/>
        <v/>
      </c>
      <c r="L1558" s="380" t="str">
        <f>IF(C1558="","",G1547*C1558)</f>
        <v/>
      </c>
      <c r="M1558" s="381" t="str">
        <f>IF(A1558="","",VLOOKUP(A1558,VII.A!$A$10:$B$199,2,FALSE))</f>
        <v/>
      </c>
      <c r="N1558" s="342" t="str">
        <f t="shared" si="403"/>
        <v/>
      </c>
      <c r="R1558" s="341"/>
      <c r="S1558" s="341"/>
    </row>
    <row r="1559" spans="1:21" ht="12.75" customHeight="1">
      <c r="A1559" s="385"/>
      <c r="B1559" s="386"/>
      <c r="C1559" s="20"/>
      <c r="D1559" s="342"/>
      <c r="E1559" s="387"/>
      <c r="F1559" s="388">
        <f t="shared" si="404"/>
        <v>0</v>
      </c>
      <c r="H1559" s="341" t="str">
        <f>IF(A1559="","",VLOOKUP(A1559,VII.A!$A$10:$D$199,4,FALSE))</f>
        <v/>
      </c>
      <c r="I1559" s="341" t="str">
        <f t="shared" si="401"/>
        <v/>
      </c>
      <c r="J1559" s="341" t="str">
        <f>IF(A1559="","",VLOOKUP(A1559,VII.A!$A$10:$D$199,3,FALSE))</f>
        <v/>
      </c>
      <c r="K1559" s="342" t="str">
        <f t="shared" si="402"/>
        <v/>
      </c>
      <c r="L1559" s="380" t="str">
        <f>IF(C1559="","",G1547*C1559)</f>
        <v/>
      </c>
      <c r="M1559" s="381" t="str">
        <f>IF(A1559="","",VLOOKUP(A1559,VII.A!$A$10:$B$199,2,FALSE))</f>
        <v/>
      </c>
      <c r="N1559" s="342" t="str">
        <f t="shared" si="403"/>
        <v/>
      </c>
      <c r="R1559" s="341"/>
      <c r="S1559" s="341"/>
    </row>
    <row r="1560" spans="1:21" ht="12.75" customHeight="1">
      <c r="A1560" s="385"/>
      <c r="B1560" s="386"/>
      <c r="C1560" s="20"/>
      <c r="D1560" s="392"/>
      <c r="E1560" s="387"/>
      <c r="F1560" s="388">
        <f t="shared" si="404"/>
        <v>0</v>
      </c>
      <c r="H1560" s="341" t="str">
        <f>IF(A1560="","",VLOOKUP(A1560,VII.A!$A$10:$D$199,4,FALSE))</f>
        <v/>
      </c>
      <c r="I1560" s="341" t="str">
        <f t="shared" si="401"/>
        <v/>
      </c>
      <c r="J1560" s="341" t="str">
        <f>IF(A1560="","",VLOOKUP(A1560,VII.A!$A$10:$D$199,3,FALSE))</f>
        <v/>
      </c>
      <c r="K1560" s="342" t="str">
        <f t="shared" si="402"/>
        <v/>
      </c>
      <c r="L1560" s="380" t="str">
        <f>IF(C1560="","",G1547*C1560)</f>
        <v/>
      </c>
      <c r="M1560" s="381" t="str">
        <f>IF(A1560="","",VLOOKUP(A1560,VII.A!$A$10:$B$199,2,FALSE))</f>
        <v/>
      </c>
      <c r="N1560" s="342" t="str">
        <f t="shared" si="403"/>
        <v/>
      </c>
      <c r="R1560" s="341"/>
      <c r="S1560" s="341"/>
    </row>
    <row r="1561" spans="1:21" ht="12.75" customHeight="1">
      <c r="A1561" s="385"/>
      <c r="B1561" s="386"/>
      <c r="C1561" s="20"/>
      <c r="D1561" s="392"/>
      <c r="E1561" s="387"/>
      <c r="F1561" s="388">
        <f t="shared" si="404"/>
        <v>0</v>
      </c>
      <c r="H1561" s="341" t="str">
        <f>IF(A1561="","",VLOOKUP(A1561,VII.A!$A$10:$D$199,4,FALSE))</f>
        <v/>
      </c>
      <c r="I1561" s="341" t="str">
        <f t="shared" si="401"/>
        <v/>
      </c>
      <c r="J1561" s="341" t="str">
        <f>IF(A1561="","",VLOOKUP(A1561,VII.A!$A$10:$D$199,3,FALSE))</f>
        <v/>
      </c>
      <c r="K1561" s="342" t="str">
        <f t="shared" si="402"/>
        <v/>
      </c>
      <c r="L1561" s="380" t="str">
        <f>IF(C1561="","",G1547*C1561)</f>
        <v/>
      </c>
      <c r="M1561" s="381" t="str">
        <f>IF(A1561="","",VLOOKUP(A1561,VII.A!$A$10:$B$199,2,FALSE))</f>
        <v/>
      </c>
      <c r="N1561" s="342" t="str">
        <f t="shared" si="403"/>
        <v/>
      </c>
      <c r="O1561" s="342"/>
      <c r="R1561" s="341"/>
      <c r="S1561" s="341"/>
    </row>
    <row r="1562" spans="1:21" ht="12.75" customHeight="1">
      <c r="A1562" s="385"/>
      <c r="B1562" s="386"/>
      <c r="C1562" s="20"/>
      <c r="D1562" s="392"/>
      <c r="E1562" s="387"/>
      <c r="F1562" s="388">
        <f t="shared" si="404"/>
        <v>0</v>
      </c>
      <c r="H1562" s="341" t="str">
        <f>IF(A1562="","",VLOOKUP(A1562,VII.A!$A$10:$D$199,4,FALSE))</f>
        <v/>
      </c>
      <c r="I1562" s="341" t="str">
        <f t="shared" si="401"/>
        <v/>
      </c>
      <c r="J1562" s="341" t="str">
        <f>IF(A1562="","",VLOOKUP(A1562,VII.A!$A$10:$D$199,3,FALSE))</f>
        <v/>
      </c>
      <c r="K1562" s="342" t="str">
        <f t="shared" si="402"/>
        <v/>
      </c>
      <c r="L1562" s="380" t="str">
        <f>IF(C1562="","",G1547*C1562)</f>
        <v/>
      </c>
      <c r="M1562" s="381" t="str">
        <f>IF(A1562="","",VLOOKUP(A1562,VII.A!$A$10:$B$199,2,FALSE))</f>
        <v/>
      </c>
      <c r="N1562" s="342" t="str">
        <f t="shared" si="403"/>
        <v/>
      </c>
      <c r="R1562" s="341"/>
      <c r="S1562" s="341"/>
    </row>
    <row r="1563" spans="1:21" ht="12.75" customHeight="1">
      <c r="A1563" s="393"/>
      <c r="C1563" s="20"/>
      <c r="E1563" s="387"/>
      <c r="F1563" s="388">
        <f t="shared" si="404"/>
        <v>0</v>
      </c>
      <c r="H1563" s="341" t="str">
        <f>IF(A1563="","",VLOOKUP(A1563,VII.A!$A$10:$D$199,4,FALSE))</f>
        <v/>
      </c>
      <c r="I1563" s="341" t="str">
        <f t="shared" si="401"/>
        <v/>
      </c>
      <c r="J1563" s="341" t="str">
        <f>IF(A1563="","",VLOOKUP(A1563,VII.A!$A$10:$D$199,3,FALSE))</f>
        <v/>
      </c>
      <c r="K1563" s="342" t="str">
        <f t="shared" si="402"/>
        <v/>
      </c>
      <c r="L1563" s="380" t="str">
        <f>IF(C1563="","",G1547*C1563)</f>
        <v/>
      </c>
      <c r="M1563" s="381" t="str">
        <f>IF(A1563="","",VLOOKUP(A1563,VII.A!$A$10:$B$199,2,FALSE))</f>
        <v/>
      </c>
      <c r="N1563" s="342" t="str">
        <f t="shared" si="403"/>
        <v/>
      </c>
      <c r="R1563" s="341"/>
      <c r="S1563" s="341"/>
    </row>
    <row r="1564" spans="1:21" ht="12.75" customHeight="1">
      <c r="A1564" s="393"/>
      <c r="C1564" s="20"/>
      <c r="E1564" s="387"/>
      <c r="F1564" s="388">
        <f t="shared" si="404"/>
        <v>0</v>
      </c>
      <c r="H1564" s="341" t="str">
        <f>IF(A1564="","",VLOOKUP(A1564,VII.A!$A$10:$D$199,4,FALSE))</f>
        <v/>
      </c>
      <c r="I1564" s="341" t="str">
        <f t="shared" si="401"/>
        <v/>
      </c>
      <c r="J1564" s="341" t="str">
        <f>IF(A1564="","",VLOOKUP(A1564,VII.A!$A$10:$D$199,3,FALSE))</f>
        <v/>
      </c>
      <c r="K1564" s="342" t="str">
        <f t="shared" si="402"/>
        <v/>
      </c>
      <c r="L1564" s="380" t="str">
        <f>IF(C1564="","",G1547*C1564)</f>
        <v/>
      </c>
      <c r="M1564" s="381" t="str">
        <f>IF(A1564="","",VLOOKUP(A1564,VII.A!$A$10:$B$199,2,FALSE))</f>
        <v/>
      </c>
      <c r="N1564" s="342" t="str">
        <f t="shared" si="403"/>
        <v/>
      </c>
      <c r="R1564" s="341"/>
      <c r="S1564" s="341"/>
    </row>
    <row r="1565" spans="1:21" ht="12.75" customHeight="1">
      <c r="A1565" s="393"/>
      <c r="B1565" s="395" t="s">
        <v>226</v>
      </c>
      <c r="C1565" s="396"/>
      <c r="D1565" s="397"/>
      <c r="E1565" s="398"/>
      <c r="F1565" s="399">
        <f>SUM(F1549:F1564)</f>
        <v>0</v>
      </c>
      <c r="H1565" s="426" t="s">
        <v>434</v>
      </c>
      <c r="J1565" s="341"/>
      <c r="L1565" s="380"/>
      <c r="M1565" s="381"/>
      <c r="N1565" s="342"/>
      <c r="R1565" s="341"/>
      <c r="S1565" s="341"/>
    </row>
    <row r="1566" spans="1:21" ht="12.75" customHeight="1">
      <c r="A1566" s="393"/>
      <c r="B1566" s="400" t="s">
        <v>53</v>
      </c>
      <c r="C1566" s="2">
        <f>$D$8</f>
        <v>0</v>
      </c>
      <c r="D1566" s="401"/>
      <c r="E1566" s="402"/>
      <c r="F1566" s="403">
        <f>ROUND(F1565*C1566,2)</f>
        <v>0</v>
      </c>
      <c r="H1566" s="426" t="s">
        <v>554</v>
      </c>
      <c r="J1566" s="341"/>
      <c r="L1566" s="380"/>
      <c r="M1566" s="381"/>
      <c r="N1566" s="342"/>
      <c r="R1566" s="341"/>
      <c r="S1566" s="341"/>
    </row>
    <row r="1567" spans="1:21" ht="12.75" customHeight="1">
      <c r="A1567" s="404"/>
      <c r="B1567" s="405" t="s">
        <v>227</v>
      </c>
      <c r="C1567" s="406"/>
      <c r="D1567" s="406"/>
      <c r="E1567" s="407"/>
      <c r="F1567" s="408">
        <f>F1565+F1566</f>
        <v>0</v>
      </c>
      <c r="J1567" s="341"/>
      <c r="L1567" s="380"/>
      <c r="M1567" s="381"/>
      <c r="N1567" s="342"/>
      <c r="R1567" s="341"/>
      <c r="S1567" s="341"/>
    </row>
    <row r="1568" spans="1:21" ht="12.75" customHeight="1">
      <c r="A1568" s="374" t="s">
        <v>2</v>
      </c>
      <c r="B1568" s="375" t="s">
        <v>235</v>
      </c>
      <c r="C1568" s="376" t="s">
        <v>231</v>
      </c>
      <c r="D1568" s="376" t="s">
        <v>232</v>
      </c>
      <c r="E1568" s="377" t="s">
        <v>233</v>
      </c>
      <c r="F1568" s="378" t="s">
        <v>234</v>
      </c>
      <c r="J1568" s="341"/>
      <c r="L1568" s="380"/>
      <c r="M1568" s="381"/>
      <c r="N1568" s="342"/>
      <c r="R1568" s="341"/>
      <c r="S1568" s="341"/>
    </row>
    <row r="1569" spans="1:19" ht="12.75" customHeight="1">
      <c r="A1569" s="393"/>
      <c r="B1569" s="423"/>
      <c r="C1569" s="20"/>
      <c r="E1569" s="387"/>
      <c r="F1569" s="388">
        <f t="shared" ref="F1569:F1578" si="405">ROUND(C1569*E1569,2)</f>
        <v>0</v>
      </c>
      <c r="H1569" s="341" t="str">
        <f>IF(A1569="","",VLOOKUP(A1569,VII.A!$A$10:$D$199,4,FALSE))</f>
        <v/>
      </c>
      <c r="I1569" s="341" t="str">
        <f t="shared" ref="I1569:I1578" si="406">IF(A1569="","",IF(E1569=H1569,"SIM","NÃO"))</f>
        <v/>
      </c>
      <c r="J1569" s="341" t="str">
        <f>IF(A1569="","",VLOOKUP(A1569,VII.A!$A$10:$D$199,3,FALSE))</f>
        <v/>
      </c>
      <c r="K1569" s="342" t="str">
        <f t="shared" ref="K1569:K1578" si="407">IF(A1569="","",IF(J1569=D1569,"SIM","NÃO"))</f>
        <v/>
      </c>
      <c r="L1569" s="380" t="str">
        <f>IF(C1569="","",G1547*C1569)</f>
        <v/>
      </c>
      <c r="M1569" s="381" t="str">
        <f>IF(A1569="","",VLOOKUP(A1569,VII.A!$A$10:$B$199,2,FALSE))</f>
        <v/>
      </c>
      <c r="N1569" s="342" t="str">
        <f t="shared" ref="N1569:N1578" si="408">IF(B1569="","",IF(M1569=B1569,"si","no"))</f>
        <v/>
      </c>
      <c r="R1569" s="341"/>
      <c r="S1569" s="341"/>
    </row>
    <row r="1570" spans="1:19" ht="12.75" customHeight="1">
      <c r="A1570" s="393"/>
      <c r="C1570" s="20"/>
      <c r="E1570" s="387"/>
      <c r="F1570" s="388">
        <f t="shared" si="405"/>
        <v>0</v>
      </c>
      <c r="H1570" s="341" t="str">
        <f>IF(A1570="","",VLOOKUP(A1570,VII.A!$A$10:$D$199,4,FALSE))</f>
        <v/>
      </c>
      <c r="I1570" s="341" t="str">
        <f t="shared" si="406"/>
        <v/>
      </c>
      <c r="J1570" s="341" t="str">
        <f>IF(A1570="","",VLOOKUP(A1570,VII.A!$A$10:$D$199,3,FALSE))</f>
        <v/>
      </c>
      <c r="K1570" s="342" t="str">
        <f t="shared" si="407"/>
        <v/>
      </c>
      <c r="L1570" s="380" t="str">
        <f>IF(C1570="","",G1547*C1570)</f>
        <v/>
      </c>
      <c r="M1570" s="381" t="str">
        <f>IF(A1570="","",VLOOKUP(A1570,VII.A!$A$10:$B$199,2,FALSE))</f>
        <v/>
      </c>
      <c r="N1570" s="342" t="str">
        <f t="shared" si="408"/>
        <v/>
      </c>
      <c r="R1570" s="341"/>
      <c r="S1570" s="341"/>
    </row>
    <row r="1571" spans="1:19" ht="12.75" customHeight="1">
      <c r="A1571" s="393"/>
      <c r="C1571" s="20"/>
      <c r="E1571" s="387"/>
      <c r="F1571" s="388">
        <f t="shared" si="405"/>
        <v>0</v>
      </c>
      <c r="H1571" s="341" t="str">
        <f>IF(A1571="","",VLOOKUP(A1571,VII.A!$A$10:$D$199,4,FALSE))</f>
        <v/>
      </c>
      <c r="I1571" s="341" t="str">
        <f t="shared" si="406"/>
        <v/>
      </c>
      <c r="J1571" s="341" t="str">
        <f>IF(A1571="","",VLOOKUP(A1571,VII.A!$A$10:$D$199,3,FALSE))</f>
        <v/>
      </c>
      <c r="K1571" s="342" t="str">
        <f t="shared" si="407"/>
        <v/>
      </c>
      <c r="L1571" s="380" t="str">
        <f>IF(C1571="","",G1547*C1571)</f>
        <v/>
      </c>
      <c r="M1571" s="381" t="str">
        <f>IF(A1571="","",VLOOKUP(A1571,VII.A!$A$10:$B$199,2,FALSE))</f>
        <v/>
      </c>
      <c r="N1571" s="342" t="str">
        <f t="shared" si="408"/>
        <v/>
      </c>
      <c r="R1571" s="341"/>
      <c r="S1571" s="341"/>
    </row>
    <row r="1572" spans="1:19" ht="12.75" customHeight="1">
      <c r="A1572" s="393"/>
      <c r="C1572" s="20"/>
      <c r="E1572" s="387"/>
      <c r="F1572" s="388">
        <f t="shared" si="405"/>
        <v>0</v>
      </c>
      <c r="H1572" s="341" t="str">
        <f>IF(A1572="","",VLOOKUP(A1572,VII.A!$A$10:$D$199,4,FALSE))</f>
        <v/>
      </c>
      <c r="I1572" s="341" t="str">
        <f t="shared" si="406"/>
        <v/>
      </c>
      <c r="J1572" s="341" t="str">
        <f>IF(A1572="","",VLOOKUP(A1572,VII.A!$A$10:$D$199,3,FALSE))</f>
        <v/>
      </c>
      <c r="K1572" s="342" t="str">
        <f t="shared" si="407"/>
        <v/>
      </c>
      <c r="L1572" s="380" t="str">
        <f>IF(C1572="","",G1547*C1572)</f>
        <v/>
      </c>
      <c r="M1572" s="381" t="str">
        <f>IF(A1572="","",VLOOKUP(A1572,VII.A!$A$10:$B$199,2,FALSE))</f>
        <v/>
      </c>
      <c r="N1572" s="342" t="str">
        <f t="shared" si="408"/>
        <v/>
      </c>
      <c r="R1572" s="341"/>
      <c r="S1572" s="341"/>
    </row>
    <row r="1573" spans="1:19" ht="12.75" customHeight="1">
      <c r="A1573" s="393"/>
      <c r="C1573" s="20"/>
      <c r="E1573" s="387"/>
      <c r="F1573" s="388">
        <f t="shared" si="405"/>
        <v>0</v>
      </c>
      <c r="G1573" s="390"/>
      <c r="H1573" s="341" t="str">
        <f>IF(A1573="","",VLOOKUP(A1573,VII.A!$A$10:$D$199,4,FALSE))</f>
        <v/>
      </c>
      <c r="I1573" s="341" t="str">
        <f t="shared" si="406"/>
        <v/>
      </c>
      <c r="J1573" s="341" t="str">
        <f>IF(A1573="","",VLOOKUP(A1573,VII.A!$A$10:$D$199,3,FALSE))</f>
        <v/>
      </c>
      <c r="K1573" s="342" t="str">
        <f t="shared" si="407"/>
        <v/>
      </c>
      <c r="L1573" s="380" t="str">
        <f>IF(C1573="","",G1547*C1573)</f>
        <v/>
      </c>
      <c r="M1573" s="381" t="str">
        <f>IF(A1573="","",VLOOKUP(A1573,VII.A!$A$10:$B$199,2,FALSE))</f>
        <v/>
      </c>
      <c r="N1573" s="342" t="str">
        <f t="shared" si="408"/>
        <v/>
      </c>
      <c r="R1573" s="341"/>
      <c r="S1573" s="341"/>
    </row>
    <row r="1574" spans="1:19" ht="12.75" customHeight="1">
      <c r="A1574" s="393"/>
      <c r="C1574" s="20"/>
      <c r="E1574" s="387"/>
      <c r="F1574" s="388">
        <f t="shared" si="405"/>
        <v>0</v>
      </c>
      <c r="G1574" s="391"/>
      <c r="H1574" s="341" t="str">
        <f>IF(A1574="","",VLOOKUP(A1574,VII.A!$A$10:$D$199,4,FALSE))</f>
        <v/>
      </c>
      <c r="I1574" s="341" t="str">
        <f t="shared" si="406"/>
        <v/>
      </c>
      <c r="J1574" s="341" t="str">
        <f>IF(A1574="","",VLOOKUP(A1574,VII.A!$A$10:$D$199,3,FALSE))</f>
        <v/>
      </c>
      <c r="K1574" s="342" t="str">
        <f t="shared" si="407"/>
        <v/>
      </c>
      <c r="L1574" s="380" t="str">
        <f>IF(C1574="","",G1547*C1574)</f>
        <v/>
      </c>
      <c r="M1574" s="381" t="str">
        <f>IF(A1574="","",VLOOKUP(A1574,VII.A!$A$10:$B$199,2,FALSE))</f>
        <v/>
      </c>
      <c r="N1574" s="342" t="str">
        <f t="shared" si="408"/>
        <v/>
      </c>
      <c r="R1574" s="341"/>
      <c r="S1574" s="341"/>
    </row>
    <row r="1575" spans="1:19" ht="12.75" customHeight="1">
      <c r="A1575" s="393"/>
      <c r="C1575" s="20"/>
      <c r="E1575" s="387"/>
      <c r="F1575" s="388">
        <f t="shared" si="405"/>
        <v>0</v>
      </c>
      <c r="H1575" s="341" t="str">
        <f>IF(A1575="","",VLOOKUP(A1575,VII.A!$A$10:$D$199,4,FALSE))</f>
        <v/>
      </c>
      <c r="I1575" s="341" t="str">
        <f t="shared" si="406"/>
        <v/>
      </c>
      <c r="J1575" s="341" t="str">
        <f>IF(A1575="","",VLOOKUP(A1575,VII.A!$A$10:$D$199,3,FALSE))</f>
        <v/>
      </c>
      <c r="K1575" s="342" t="str">
        <f t="shared" si="407"/>
        <v/>
      </c>
      <c r="L1575" s="380" t="str">
        <f>IF(C1575="","",G1547*C1575)</f>
        <v/>
      </c>
      <c r="M1575" s="381" t="str">
        <f>IF(A1575="","",VLOOKUP(A1575,VII.A!$A$10:$B$199,2,FALSE))</f>
        <v/>
      </c>
      <c r="N1575" s="342" t="str">
        <f t="shared" si="408"/>
        <v/>
      </c>
      <c r="R1575" s="341"/>
      <c r="S1575" s="341"/>
    </row>
    <row r="1576" spans="1:19" ht="12.75" customHeight="1">
      <c r="A1576" s="393"/>
      <c r="C1576" s="20"/>
      <c r="E1576" s="387"/>
      <c r="F1576" s="388">
        <f t="shared" si="405"/>
        <v>0</v>
      </c>
      <c r="H1576" s="341" t="str">
        <f>IF(A1576="","",VLOOKUP(A1576,VII.A!$A$10:$D$199,4,FALSE))</f>
        <v/>
      </c>
      <c r="I1576" s="341" t="str">
        <f t="shared" si="406"/>
        <v/>
      </c>
      <c r="J1576" s="341" t="str">
        <f>IF(A1576="","",VLOOKUP(A1576,VII.A!$A$10:$D$199,3,FALSE))</f>
        <v/>
      </c>
      <c r="K1576" s="342" t="str">
        <f t="shared" si="407"/>
        <v/>
      </c>
      <c r="L1576" s="380" t="str">
        <f>IF(C1576="","",G1547*C1576)</f>
        <v/>
      </c>
      <c r="M1576" s="381" t="str">
        <f>IF(A1576="","",VLOOKUP(A1576,VII.A!$A$10:$B$199,2,FALSE))</f>
        <v/>
      </c>
      <c r="N1576" s="342" t="str">
        <f t="shared" si="408"/>
        <v/>
      </c>
      <c r="R1576" s="341"/>
      <c r="S1576" s="341"/>
    </row>
    <row r="1577" spans="1:19" ht="12.75" customHeight="1">
      <c r="A1577" s="393"/>
      <c r="C1577" s="20"/>
      <c r="E1577" s="387"/>
      <c r="F1577" s="388">
        <f t="shared" si="405"/>
        <v>0</v>
      </c>
      <c r="H1577" s="341" t="str">
        <f>IF(A1577="","",VLOOKUP(A1577,VII.A!$A$10:$D$199,4,FALSE))</f>
        <v/>
      </c>
      <c r="I1577" s="341" t="str">
        <f t="shared" si="406"/>
        <v/>
      </c>
      <c r="J1577" s="341" t="str">
        <f>IF(A1577="","",VLOOKUP(A1577,VII.A!$A$10:$D$199,3,FALSE))</f>
        <v/>
      </c>
      <c r="K1577" s="342" t="str">
        <f t="shared" si="407"/>
        <v/>
      </c>
      <c r="L1577" s="380" t="str">
        <f>IF(C1577="","",G1547*C1577)</f>
        <v/>
      </c>
      <c r="M1577" s="381" t="str">
        <f>IF(A1577="","",VLOOKUP(A1577,VII.A!$A$10:$B$199,2,FALSE))</f>
        <v/>
      </c>
      <c r="N1577" s="342" t="str">
        <f t="shared" si="408"/>
        <v/>
      </c>
      <c r="R1577" s="341"/>
      <c r="S1577" s="341"/>
    </row>
    <row r="1578" spans="1:19" ht="12.75" customHeight="1">
      <c r="A1578" s="393"/>
      <c r="C1578" s="20"/>
      <c r="E1578" s="387"/>
      <c r="F1578" s="388">
        <f t="shared" si="405"/>
        <v>0</v>
      </c>
      <c r="H1578" s="341" t="str">
        <f>IF(A1578="","",VLOOKUP(A1578,VII.A!$A$10:$D$199,4,FALSE))</f>
        <v/>
      </c>
      <c r="I1578" s="341" t="str">
        <f t="shared" si="406"/>
        <v/>
      </c>
      <c r="J1578" s="341" t="str">
        <f>IF(A1578="","",VLOOKUP(A1578,VII.A!$A$10:$D$199,3,FALSE))</f>
        <v/>
      </c>
      <c r="K1578" s="342" t="str">
        <f t="shared" si="407"/>
        <v/>
      </c>
      <c r="L1578" s="380" t="str">
        <f>IF(C1578="","",G1547*C1578)</f>
        <v/>
      </c>
      <c r="M1578" s="381" t="str">
        <f>IF(A1578="","",VLOOKUP(A1578,VII.A!$A$10:$B$199,2,FALSE))</f>
        <v/>
      </c>
      <c r="N1578" s="342" t="str">
        <f t="shared" si="408"/>
        <v/>
      </c>
      <c r="R1578" s="341"/>
      <c r="S1578" s="341"/>
    </row>
    <row r="1579" spans="1:19" ht="12.75" customHeight="1">
      <c r="A1579" s="393"/>
      <c r="B1579" s="395" t="s">
        <v>226</v>
      </c>
      <c r="C1579" s="396"/>
      <c r="D1579" s="397"/>
      <c r="E1579" s="398"/>
      <c r="F1579" s="399">
        <f>SUM(F1569:F1578)</f>
        <v>0</v>
      </c>
      <c r="J1579" s="341"/>
      <c r="L1579" s="380"/>
      <c r="M1579" s="381"/>
      <c r="N1579" s="342"/>
      <c r="R1579" s="341"/>
      <c r="S1579" s="341"/>
    </row>
    <row r="1580" spans="1:19" ht="12.75" customHeight="1">
      <c r="A1580" s="393"/>
      <c r="B1580" s="400" t="s">
        <v>53</v>
      </c>
      <c r="C1580" s="2">
        <f>$D$8</f>
        <v>0</v>
      </c>
      <c r="D1580" s="401"/>
      <c r="E1580" s="402"/>
      <c r="F1580" s="403">
        <f>ROUND(C1580*F1579,2)</f>
        <v>0</v>
      </c>
      <c r="J1580" s="341"/>
      <c r="L1580" s="380"/>
      <c r="M1580" s="381"/>
      <c r="N1580" s="342"/>
      <c r="R1580" s="341"/>
      <c r="S1580" s="341"/>
    </row>
    <row r="1581" spans="1:19" ht="12.75" customHeight="1">
      <c r="A1581" s="404"/>
      <c r="B1581" s="405" t="s">
        <v>228</v>
      </c>
      <c r="C1581" s="406"/>
      <c r="D1581" s="406"/>
      <c r="E1581" s="407"/>
      <c r="F1581" s="408">
        <f>F1579+F1580</f>
        <v>0</v>
      </c>
      <c r="J1581" s="341"/>
      <c r="L1581" s="380"/>
      <c r="M1581" s="381"/>
      <c r="N1581" s="342"/>
      <c r="R1581" s="341"/>
      <c r="S1581" s="341"/>
    </row>
    <row r="1582" spans="1:19" ht="12.75" customHeight="1">
      <c r="A1582" s="409" t="s">
        <v>47</v>
      </c>
      <c r="B1582" s="410" t="s">
        <v>236</v>
      </c>
      <c r="C1582" s="411" t="s">
        <v>231</v>
      </c>
      <c r="D1582" s="412" t="s">
        <v>232</v>
      </c>
      <c r="E1582" s="413" t="s">
        <v>233</v>
      </c>
      <c r="F1582" s="378" t="s">
        <v>234</v>
      </c>
      <c r="J1582" s="341"/>
      <c r="L1582" s="380"/>
      <c r="M1582" s="381"/>
      <c r="N1582" s="342"/>
      <c r="R1582" s="341"/>
      <c r="S1582" s="341"/>
    </row>
    <row r="1583" spans="1:19" ht="12.75" customHeight="1">
      <c r="A1583" s="393" t="str">
        <f>VII.A!$A$192</f>
        <v>3.12</v>
      </c>
      <c r="B1583" s="394" t="s">
        <v>153</v>
      </c>
      <c r="C1583" s="20">
        <v>0.3826</v>
      </c>
      <c r="D1583" s="384" t="str">
        <f>VLOOKUP(A1583,VII.A!$A$10:$G$199,3,FALSE)</f>
        <v>H</v>
      </c>
      <c r="E1583" s="387">
        <f>VII.A!D192</f>
        <v>0</v>
      </c>
      <c r="F1583" s="388">
        <f t="shared" ref="F1583:F1589" si="409">ROUND(C1583*E1583,2)</f>
        <v>0</v>
      </c>
      <c r="H1583" s="341">
        <f>IF(A1583="","",VLOOKUP(A1583,VII.A!$A$10:$D$199,4,FALSE))</f>
        <v>0</v>
      </c>
      <c r="I1583" s="341" t="str">
        <f t="shared" ref="I1583:I1589" si="410">IF(A1583="","",IF(E1583=H1583,"SIM","NÃO"))</f>
        <v>SIM</v>
      </c>
      <c r="J1583" s="341" t="str">
        <f>IF(A1583="","",VLOOKUP(A1583,VII.A!$A$10:$D$199,3,FALSE))</f>
        <v>H</v>
      </c>
      <c r="K1583" s="342" t="str">
        <f t="shared" ref="K1583:K1589" si="411">IF(A1583="","",IF(J1583=D1583,"SIM","NÃO"))</f>
        <v>SIM</v>
      </c>
      <c r="L1583" s="380">
        <f>IF(C1583="","",G1547*C1583)</f>
        <v>19.13</v>
      </c>
      <c r="M1583" s="381" t="str">
        <f>IF(A1583="","",VLOOKUP(A1583,VII.A!$A$10:$B$199,2,FALSE))</f>
        <v>PEDREIRO COM ENCARGOS COMPLEMENTARES</v>
      </c>
      <c r="N1583" s="342" t="str">
        <f t="shared" ref="N1583:N1589" si="412">IF(B1583="","",IF(M1583=B1583,"si","no"))</f>
        <v>si</v>
      </c>
      <c r="R1583" s="341"/>
      <c r="S1583" s="341"/>
    </row>
    <row r="1584" spans="1:19" ht="12.75" customHeight="1">
      <c r="A1584" s="393" t="str">
        <f>VII.A!$A$196</f>
        <v>3.16</v>
      </c>
      <c r="B1584" s="394" t="s">
        <v>157</v>
      </c>
      <c r="C1584" s="20">
        <v>0.191</v>
      </c>
      <c r="D1584" s="384" t="str">
        <f>VLOOKUP(A1584,VII.A!$A$10:$G$199,3,FALSE)</f>
        <v>H</v>
      </c>
      <c r="E1584" s="387">
        <f>VII.A!D196</f>
        <v>0</v>
      </c>
      <c r="F1584" s="388">
        <f t="shared" si="409"/>
        <v>0</v>
      </c>
      <c r="H1584" s="341">
        <f>IF(A1584="","",VLOOKUP(A1584,VII.A!$A$10:$D$199,4,FALSE))</f>
        <v>0</v>
      </c>
      <c r="I1584" s="341" t="str">
        <f t="shared" si="410"/>
        <v>SIM</v>
      </c>
      <c r="J1584" s="341" t="str">
        <f>IF(A1584="","",VLOOKUP(A1584,VII.A!$A$10:$D$199,3,FALSE))</f>
        <v>H</v>
      </c>
      <c r="K1584" s="342" t="str">
        <f t="shared" si="411"/>
        <v>SIM</v>
      </c>
      <c r="L1584" s="380">
        <f>IF(C1584="","",G1547*C1584)</f>
        <v>9.5500000000000007</v>
      </c>
      <c r="M1584" s="381" t="str">
        <f>IF(A1584="","",VLOOKUP(A1584,VII.A!$A$10:$B$199,2,FALSE))</f>
        <v>SERVENTE COM ENCARGOS COMPLEMENTARES</v>
      </c>
      <c r="N1584" s="342" t="str">
        <f t="shared" si="412"/>
        <v>si</v>
      </c>
      <c r="R1584" s="341"/>
      <c r="S1584" s="341"/>
    </row>
    <row r="1585" spans="1:25" ht="12.75" customHeight="1">
      <c r="A1585" s="393"/>
      <c r="C1585" s="20"/>
      <c r="E1585" s="387"/>
      <c r="F1585" s="388">
        <f t="shared" si="409"/>
        <v>0</v>
      </c>
      <c r="H1585" s="341" t="str">
        <f>IF(A1585="","",VLOOKUP(A1585,VII.A!$A$10:$D$199,4,FALSE))</f>
        <v/>
      </c>
      <c r="I1585" s="341" t="str">
        <f t="shared" si="410"/>
        <v/>
      </c>
      <c r="J1585" s="341" t="str">
        <f>IF(A1585="","",VLOOKUP(A1585,VII.A!$A$10:$D$199,3,FALSE))</f>
        <v/>
      </c>
      <c r="K1585" s="342" t="str">
        <f t="shared" si="411"/>
        <v/>
      </c>
      <c r="L1585" s="380" t="str">
        <f>IF(C1585="","",G1547*C1585)</f>
        <v/>
      </c>
      <c r="M1585" s="381" t="str">
        <f>IF(A1585="","",VLOOKUP(A1585,VII.A!$A$10:$B$199,2,FALSE))</f>
        <v/>
      </c>
      <c r="N1585" s="342" t="str">
        <f t="shared" si="412"/>
        <v/>
      </c>
      <c r="R1585" s="341"/>
      <c r="S1585" s="341"/>
    </row>
    <row r="1586" spans="1:25" ht="12.75" customHeight="1">
      <c r="A1586" s="393"/>
      <c r="C1586" s="20"/>
      <c r="E1586" s="387"/>
      <c r="F1586" s="388">
        <f t="shared" si="409"/>
        <v>0</v>
      </c>
      <c r="H1586" s="341" t="str">
        <f>IF(A1586="","",VLOOKUP(A1586,VII.A!$A$10:$D$199,4,FALSE))</f>
        <v/>
      </c>
      <c r="I1586" s="341" t="str">
        <f t="shared" si="410"/>
        <v/>
      </c>
      <c r="J1586" s="341" t="str">
        <f>IF(A1586="","",VLOOKUP(A1586,VII.A!$A$10:$D$199,3,FALSE))</f>
        <v/>
      </c>
      <c r="K1586" s="342" t="str">
        <f t="shared" si="411"/>
        <v/>
      </c>
      <c r="L1586" s="380" t="str">
        <f>IF(C1586="","",G1547*C1586)</f>
        <v/>
      </c>
      <c r="M1586" s="381" t="str">
        <f>IF(A1586="","",VLOOKUP(A1586,VII.A!$A$10:$B$199,2,FALSE))</f>
        <v/>
      </c>
      <c r="N1586" s="342" t="str">
        <f t="shared" si="412"/>
        <v/>
      </c>
      <c r="R1586" s="341"/>
      <c r="S1586" s="341"/>
    </row>
    <row r="1587" spans="1:25" ht="12.75" customHeight="1">
      <c r="A1587" s="393"/>
      <c r="C1587" s="20"/>
      <c r="E1587" s="387"/>
      <c r="F1587" s="388">
        <f t="shared" si="409"/>
        <v>0</v>
      </c>
      <c r="H1587" s="341" t="str">
        <f>IF(A1587="","",VLOOKUP(A1587,VII.A!$A$10:$D$199,4,FALSE))</f>
        <v/>
      </c>
      <c r="I1587" s="341" t="str">
        <f t="shared" si="410"/>
        <v/>
      </c>
      <c r="J1587" s="341" t="str">
        <f>IF(A1587="","",VLOOKUP(A1587,VII.A!$A$10:$D$199,3,FALSE))</f>
        <v/>
      </c>
      <c r="K1587" s="342" t="str">
        <f t="shared" si="411"/>
        <v/>
      </c>
      <c r="L1587" s="380" t="str">
        <f>IF(C1587="","",G1547*C1587)</f>
        <v/>
      </c>
      <c r="M1587" s="381" t="str">
        <f>IF(A1587="","",VLOOKUP(A1587,VII.A!$A$10:$B$199,2,FALSE))</f>
        <v/>
      </c>
      <c r="N1587" s="342" t="str">
        <f t="shared" si="412"/>
        <v/>
      </c>
      <c r="R1587" s="341"/>
      <c r="S1587" s="341"/>
    </row>
    <row r="1588" spans="1:25" ht="12.75" customHeight="1">
      <c r="A1588" s="393"/>
      <c r="C1588" s="20"/>
      <c r="E1588" s="387"/>
      <c r="F1588" s="388">
        <f t="shared" si="409"/>
        <v>0</v>
      </c>
      <c r="H1588" s="341" t="str">
        <f>IF(A1588="","",VLOOKUP(A1588,VII.A!$A$10:$D$199,4,FALSE))</f>
        <v/>
      </c>
      <c r="I1588" s="341" t="str">
        <f t="shared" si="410"/>
        <v/>
      </c>
      <c r="J1588" s="341" t="str">
        <f>IF(A1588="","",VLOOKUP(A1588,VII.A!$A$10:$D$199,3,FALSE))</f>
        <v/>
      </c>
      <c r="K1588" s="342" t="str">
        <f t="shared" si="411"/>
        <v/>
      </c>
      <c r="L1588" s="380" t="str">
        <f>IF(C1588="","",G1547*C1588)</f>
        <v/>
      </c>
      <c r="M1588" s="381" t="str">
        <f>IF(A1588="","",VLOOKUP(A1588,VII.A!$A$10:$B$199,2,FALSE))</f>
        <v/>
      </c>
      <c r="N1588" s="342" t="str">
        <f t="shared" si="412"/>
        <v/>
      </c>
      <c r="R1588" s="341"/>
      <c r="S1588" s="341"/>
    </row>
    <row r="1589" spans="1:25" ht="12.75" customHeight="1">
      <c r="A1589" s="393"/>
      <c r="C1589" s="20"/>
      <c r="E1589" s="387"/>
      <c r="F1589" s="388">
        <f t="shared" si="409"/>
        <v>0</v>
      </c>
      <c r="H1589" s="341" t="str">
        <f>IF(A1589="","",VLOOKUP(A1589,VII.A!$A$10:$D$199,4,FALSE))</f>
        <v/>
      </c>
      <c r="I1589" s="341" t="str">
        <f t="shared" si="410"/>
        <v/>
      </c>
      <c r="J1589" s="341" t="str">
        <f>IF(A1589="","",VLOOKUP(A1589,VII.A!$A$10:$D$199,3,FALSE))</f>
        <v/>
      </c>
      <c r="K1589" s="342" t="str">
        <f t="shared" si="411"/>
        <v/>
      </c>
      <c r="L1589" s="380" t="str">
        <f>IF(C1589="","",G1547*C1589)</f>
        <v/>
      </c>
      <c r="M1589" s="381" t="str">
        <f>IF(A1589="","",VLOOKUP(A1589,VII.A!$A$10:$B$199,2,FALSE))</f>
        <v/>
      </c>
      <c r="N1589" s="342" t="str">
        <f t="shared" si="412"/>
        <v/>
      </c>
      <c r="R1589" s="341"/>
      <c r="S1589" s="341"/>
    </row>
    <row r="1590" spans="1:25" ht="12.75" customHeight="1">
      <c r="A1590" s="393"/>
      <c r="B1590" s="395" t="s">
        <v>226</v>
      </c>
      <c r="C1590" s="396"/>
      <c r="D1590" s="397"/>
      <c r="E1590" s="398"/>
      <c r="F1590" s="399">
        <f>SUM(F1583:F1589)</f>
        <v>0</v>
      </c>
      <c r="J1590" s="341"/>
      <c r="L1590" s="380"/>
      <c r="M1590" s="381"/>
      <c r="N1590" s="342"/>
      <c r="R1590" s="341"/>
      <c r="S1590" s="341"/>
    </row>
    <row r="1591" spans="1:25" ht="12.75" customHeight="1">
      <c r="A1591" s="393"/>
      <c r="B1591" s="400" t="s">
        <v>229</v>
      </c>
      <c r="C1591" s="2">
        <f>IX.A!$C$45</f>
        <v>0</v>
      </c>
      <c r="D1591" s="401"/>
      <c r="E1591" s="402"/>
      <c r="F1591" s="403">
        <f>ROUND(F1590*C1591,2)</f>
        <v>0</v>
      </c>
      <c r="J1591" s="341"/>
      <c r="L1591" s="380"/>
      <c r="M1591" s="381"/>
      <c r="N1591" s="342"/>
      <c r="R1591" s="341"/>
      <c r="S1591" s="341"/>
    </row>
    <row r="1592" spans="1:25" ht="12.75" customHeight="1">
      <c r="A1592" s="393"/>
      <c r="B1592" s="400" t="s">
        <v>53</v>
      </c>
      <c r="C1592" s="2">
        <f>$D$8</f>
        <v>0</v>
      </c>
      <c r="D1592" s="401"/>
      <c r="E1592" s="402"/>
      <c r="F1592" s="403">
        <f>ROUND(SUM(F1590:F1591)*C1592,2)</f>
        <v>0</v>
      </c>
      <c r="J1592" s="341"/>
      <c r="L1592" s="380"/>
      <c r="M1592" s="381"/>
      <c r="N1592" s="342"/>
      <c r="R1592" s="341"/>
      <c r="S1592" s="341"/>
    </row>
    <row r="1593" spans="1:25" ht="12.75" customHeight="1" thickBot="1">
      <c r="A1593" s="414"/>
      <c r="B1593" s="415" t="s">
        <v>230</v>
      </c>
      <c r="C1593" s="416"/>
      <c r="D1593" s="416"/>
      <c r="E1593" s="417"/>
      <c r="F1593" s="418">
        <f>SUM(F1590:F1592)</f>
        <v>0</v>
      </c>
      <c r="J1593" s="341"/>
      <c r="L1593" s="380"/>
      <c r="M1593" s="381"/>
      <c r="N1593" s="342"/>
      <c r="R1593" s="341"/>
      <c r="S1593" s="341"/>
    </row>
    <row r="1594" spans="1:25" ht="12.75" customHeight="1" thickBot="1">
      <c r="A1594" s="427"/>
      <c r="B1594" s="428"/>
      <c r="C1594" s="429"/>
      <c r="D1594" s="429"/>
      <c r="E1594" s="430"/>
      <c r="F1594" s="431"/>
      <c r="J1594" s="341"/>
      <c r="L1594" s="380"/>
      <c r="M1594" s="381"/>
      <c r="N1594" s="342"/>
      <c r="R1594" s="341"/>
      <c r="S1594" s="341"/>
    </row>
    <row r="1595" spans="1:25" ht="30" customHeight="1">
      <c r="A1595" s="370" t="str">
        <f>IV.A!A60</f>
        <v>3.2.11</v>
      </c>
      <c r="B1595" s="371" t="str">
        <f>IV.A!B60</f>
        <v>FORNECIMENTO E INSTALAÇÃO DE ESCADA TIPO MARINHEIRO COM GUARDA CORPO DE PROTEÇÃO</v>
      </c>
      <c r="C1595" s="871" t="s">
        <v>237</v>
      </c>
      <c r="D1595" s="872"/>
      <c r="E1595" s="372" t="str">
        <f>IV.A!C60</f>
        <v>M</v>
      </c>
      <c r="F1595" s="11">
        <f>ROUND(F1615+F1629+F1641,2)</f>
        <v>0</v>
      </c>
      <c r="G1595" s="1">
        <f>VLOOKUP(A1595,IV.A!$A$16:$L$172,4,FALSE)</f>
        <v>29</v>
      </c>
      <c r="H1595" s="361">
        <f>SUM(F1597:F1612)+F1614</f>
        <v>0</v>
      </c>
      <c r="I1595" s="361">
        <f>SUM(F1617:F1626)+F1628</f>
        <v>0</v>
      </c>
      <c r="J1595" s="361">
        <f>SUM(F1631:F1637)+F1639+F1640</f>
        <v>0</v>
      </c>
      <c r="K1595" s="361">
        <f>SUM(H1595:J1595)</f>
        <v>0</v>
      </c>
      <c r="L1595" s="362" t="str">
        <f>IF(K1595=F1595,"SIM","NÃO")</f>
        <v>SIM</v>
      </c>
      <c r="M1595" s="373">
        <f>ROUND(SUM(F1597:F1612),2)+ROUND(SUM(F1597:F1612)*C1614,2)+ROUND(SUM(F1617:F1626)*C1628,2)+ROUND(SUM(F1617:F1626),2)+ROUND(SUM(F1631:F1637)*C1639,2)+ROUND((SUM(F1631:F1637)+ROUND(SUM(F1631:F1637)*C1639,2))*C1640,2)+ROUND(SUM(F1631:F1637),2)</f>
        <v>0</v>
      </c>
      <c r="N1595" s="343" t="str">
        <f>IF(M1595=F1595,"SIM","NÃO")</f>
        <v>SIM</v>
      </c>
      <c r="O1595" s="364" t="str">
        <f>VLOOKUP(A1595,IV.A!$A$16:$E$172,3,FALSE)</f>
        <v>M</v>
      </c>
      <c r="P1595" s="344" t="str">
        <f>IF(O1595=E1595,"SIM","NÃO")</f>
        <v>SIM</v>
      </c>
      <c r="Q1595" s="365">
        <f>ROUND(G1595*F1615,2)+ROUND(G1595*F1629,2)+ROUND(G1595*F1641,2)</f>
        <v>0</v>
      </c>
      <c r="R1595" s="364">
        <f>VLOOKUP(A1595,IV.A!$A$16:$L$172,12,FALSE)</f>
        <v>0</v>
      </c>
      <c r="S1595" s="366" t="str">
        <f>IF(Q1595=R1595,"si","no")</f>
        <v>si</v>
      </c>
      <c r="T1595" s="367">
        <f>SUM(L1597:L1612)+SUM(L1617:L1626)+SUM(L1631:L1637)</f>
        <v>1283.54</v>
      </c>
      <c r="U1595" s="341">
        <f>(SUM(C1597:C1612)+SUM(C1617:C1626)+SUM(C1631:C1637))*G1595</f>
        <v>1283.5400000000002</v>
      </c>
      <c r="V1595" s="368" t="str">
        <f>IF(T1595=U1595,"si","no")</f>
        <v>si</v>
      </c>
      <c r="W1595" s="369">
        <f>SUM(F1597:F1612)</f>
        <v>0</v>
      </c>
      <c r="X1595" s="369">
        <f>SUM(F1617:F1626)</f>
        <v>0</v>
      </c>
      <c r="Y1595" s="369">
        <f>SUM(F1631:F1637)</f>
        <v>0</v>
      </c>
    </row>
    <row r="1596" spans="1:25" ht="12.75" customHeight="1">
      <c r="A1596" s="374" t="s">
        <v>14</v>
      </c>
      <c r="B1596" s="375" t="s">
        <v>132</v>
      </c>
      <c r="C1596" s="376" t="s">
        <v>231</v>
      </c>
      <c r="D1596" s="376" t="s">
        <v>232</v>
      </c>
      <c r="E1596" s="377" t="s">
        <v>233</v>
      </c>
      <c r="F1596" s="378" t="s">
        <v>234</v>
      </c>
      <c r="G1596" s="379"/>
      <c r="J1596" s="341"/>
      <c r="L1596" s="380"/>
      <c r="M1596" s="381"/>
      <c r="N1596" s="342"/>
      <c r="O1596" s="382"/>
      <c r="P1596" s="383"/>
      <c r="Q1596" s="383"/>
      <c r="R1596" s="383"/>
      <c r="S1596" s="383"/>
      <c r="T1596" s="382"/>
      <c r="U1596" s="341"/>
      <c r="V1596" s="384"/>
      <c r="W1596" s="384"/>
      <c r="X1596" s="384"/>
      <c r="Y1596" s="384"/>
    </row>
    <row r="1597" spans="1:25" ht="12.75" customHeight="1">
      <c r="A1597" s="385" t="str">
        <f>VII.A!$A$76</f>
        <v>1.67</v>
      </c>
      <c r="B1597" s="394" t="str">
        <f>VII.A!B76</f>
        <v>PARAFUSO DE ACO TIPO CHUMBADOR PARABOLT, DIAMETRO 1/2", COMPRIMENTO 75 MM</v>
      </c>
      <c r="C1597" s="20">
        <v>4</v>
      </c>
      <c r="D1597" s="342" t="str">
        <f>VII.A!C76</f>
        <v>UN</v>
      </c>
      <c r="E1597" s="387">
        <f>VII.A!D76</f>
        <v>0</v>
      </c>
      <c r="F1597" s="388">
        <f>ROUND(C1597*E1597,2)</f>
        <v>0</v>
      </c>
      <c r="H1597" s="341">
        <f>IF(A1597="","",VLOOKUP(A1597,VII.A!$A$10:$D$199,4,FALSE))</f>
        <v>0</v>
      </c>
      <c r="I1597" s="341" t="str">
        <f t="shared" ref="I1597:I1612" si="413">IF(A1597="","",IF(E1597=H1597,"SIM","NÃO"))</f>
        <v>SIM</v>
      </c>
      <c r="J1597" s="341" t="str">
        <f>IF(A1597="","",VLOOKUP(A1597,VII.A!$A$10:$D$199,3,FALSE))</f>
        <v>UN</v>
      </c>
      <c r="K1597" s="342" t="str">
        <f t="shared" ref="K1597:K1612" si="414">IF(A1597="","",IF(J1597=D1597,"SIM","NÃO"))</f>
        <v>SIM</v>
      </c>
      <c r="L1597" s="380">
        <f>IF(C1597="","",G1595*C1597)</f>
        <v>116</v>
      </c>
      <c r="M1597" s="381" t="str">
        <f>IF(A1597="","",VLOOKUP(A1597,VII.A!$A$10:$B$199,2,FALSE))</f>
        <v>PARAFUSO DE ACO TIPO CHUMBADOR PARABOLT, DIAMETRO 1/2", COMPRIMENTO 75 MM</v>
      </c>
      <c r="N1597" s="342" t="str">
        <f t="shared" ref="N1597:N1612" si="415">IF(B1597="","",IF(M1597=B1597,"si","no"))</f>
        <v>si</v>
      </c>
      <c r="R1597" s="341"/>
      <c r="S1597" s="341"/>
    </row>
    <row r="1598" spans="1:25" ht="12.75" customHeight="1">
      <c r="A1598" s="385" t="str">
        <f>VII.A!$A$51</f>
        <v>1.42</v>
      </c>
      <c r="B1598" s="394" t="str">
        <f>VII.A!B51</f>
        <v>ESTANHO PARA SOLDA</v>
      </c>
      <c r="C1598" s="20">
        <v>1.23</v>
      </c>
      <c r="D1598" s="342" t="str">
        <f>VII.A!C51</f>
        <v>KG</v>
      </c>
      <c r="E1598" s="387">
        <f>VII.A!D51</f>
        <v>0</v>
      </c>
      <c r="F1598" s="388">
        <f t="shared" ref="F1598:F1612" si="416">ROUND(C1598*E1598,2)</f>
        <v>0</v>
      </c>
      <c r="H1598" s="341">
        <f>IF(A1598="","",VLOOKUP(A1598,VII.A!$A$10:$D$199,4,FALSE))</f>
        <v>0</v>
      </c>
      <c r="I1598" s="341" t="str">
        <f t="shared" si="413"/>
        <v>SIM</v>
      </c>
      <c r="J1598" s="341" t="str">
        <f>IF(A1598="","",VLOOKUP(A1598,VII.A!$A$10:$D$199,3,FALSE))</f>
        <v>KG</v>
      </c>
      <c r="K1598" s="342" t="str">
        <f t="shared" si="414"/>
        <v>SIM</v>
      </c>
      <c r="L1598" s="380">
        <f>IF(C1598="","",G1595*C1598)</f>
        <v>35.67</v>
      </c>
      <c r="M1598" s="381" t="str">
        <f>IF(A1598="","",VLOOKUP(A1598,VII.A!$A$10:$B$199,2,FALSE))</f>
        <v>ESTANHO PARA SOLDA</v>
      </c>
      <c r="N1598" s="342" t="str">
        <f t="shared" si="415"/>
        <v>si</v>
      </c>
      <c r="R1598" s="341"/>
      <c r="S1598" s="341"/>
    </row>
    <row r="1599" spans="1:25" ht="12.75" customHeight="1">
      <c r="A1599" s="385" t="str">
        <f>VII.A!$A$23</f>
        <v>1.14</v>
      </c>
      <c r="B1599" s="394" t="str">
        <f>VII.A!B23</f>
        <v>BARRA DE FERRO RETANGULAR, BARRA CHATA  (QUALQUER DIMENSÃO / VALOR MÉDIO)</v>
      </c>
      <c r="C1599" s="20">
        <f>6.12+20.41</f>
        <v>26.53</v>
      </c>
      <c r="D1599" s="342" t="str">
        <f>VII.A!C23</f>
        <v>KG</v>
      </c>
      <c r="E1599" s="387">
        <f>VII.A!D23</f>
        <v>0</v>
      </c>
      <c r="F1599" s="388">
        <f t="shared" si="416"/>
        <v>0</v>
      </c>
      <c r="H1599" s="341">
        <f>IF(A1599="","",VLOOKUP(A1599,VII.A!$A$10:$D$199,4,FALSE))</f>
        <v>0</v>
      </c>
      <c r="I1599" s="341" t="str">
        <f t="shared" si="413"/>
        <v>SIM</v>
      </c>
      <c r="J1599" s="341" t="str">
        <f>IF(A1599="","",VLOOKUP(A1599,VII.A!$A$10:$D$199,3,FALSE))</f>
        <v>KG</v>
      </c>
      <c r="K1599" s="342" t="str">
        <f t="shared" si="414"/>
        <v>SIM</v>
      </c>
      <c r="L1599" s="380">
        <f>IF(C1599="","",G1595*C1599)</f>
        <v>769.37</v>
      </c>
      <c r="M1599" s="381" t="str">
        <f>IF(A1599="","",VLOOKUP(A1599,VII.A!$A$10:$B$199,2,FALSE))</f>
        <v>BARRA DE FERRO RETANGULAR, BARRA CHATA  (QUALQUER DIMENSÃO / VALOR MÉDIO)</v>
      </c>
      <c r="N1599" s="342" t="str">
        <f t="shared" si="415"/>
        <v>si</v>
      </c>
      <c r="R1599" s="341"/>
      <c r="S1599" s="341"/>
    </row>
    <row r="1600" spans="1:25" ht="12.75" customHeight="1">
      <c r="A1600" s="385"/>
      <c r="C1600" s="20"/>
      <c r="D1600" s="342"/>
      <c r="E1600" s="387"/>
      <c r="F1600" s="388">
        <f t="shared" si="416"/>
        <v>0</v>
      </c>
      <c r="H1600" s="341" t="str">
        <f>IF(A1600="","",VLOOKUP(A1600,VII.A!$A$10:$D$199,4,FALSE))</f>
        <v/>
      </c>
      <c r="I1600" s="341" t="str">
        <f t="shared" si="413"/>
        <v/>
      </c>
      <c r="J1600" s="341" t="str">
        <f>IF(A1600="","",VLOOKUP(A1600,VII.A!$A$10:$D$199,3,FALSE))</f>
        <v/>
      </c>
      <c r="K1600" s="342" t="str">
        <f t="shared" si="414"/>
        <v/>
      </c>
      <c r="L1600" s="380" t="str">
        <f>IF(C1600="","",G1595*C1600)</f>
        <v/>
      </c>
      <c r="M1600" s="381" t="str">
        <f>IF(A1600="","",VLOOKUP(A1600,VII.A!$A$10:$B$199,2,FALSE))</f>
        <v/>
      </c>
      <c r="N1600" s="342" t="str">
        <f t="shared" si="415"/>
        <v/>
      </c>
      <c r="R1600" s="341"/>
      <c r="S1600" s="341"/>
    </row>
    <row r="1601" spans="1:21" ht="12.75" customHeight="1">
      <c r="A1601" s="385"/>
      <c r="C1601" s="20"/>
      <c r="D1601" s="342"/>
      <c r="E1601" s="387"/>
      <c r="F1601" s="388">
        <f t="shared" si="416"/>
        <v>0</v>
      </c>
      <c r="H1601" s="341" t="str">
        <f>IF(A1601="","",VLOOKUP(A1601,VII.A!$A$10:$D$199,4,FALSE))</f>
        <v/>
      </c>
      <c r="I1601" s="341" t="str">
        <f t="shared" si="413"/>
        <v/>
      </c>
      <c r="J1601" s="341" t="str">
        <f>IF(A1601="","",VLOOKUP(A1601,VII.A!$A$10:$D$199,3,FALSE))</f>
        <v/>
      </c>
      <c r="K1601" s="342" t="str">
        <f t="shared" si="414"/>
        <v/>
      </c>
      <c r="L1601" s="380" t="str">
        <f>IF(C1601="","",G1595*C1601)</f>
        <v/>
      </c>
      <c r="M1601" s="381" t="str">
        <f>IF(A1601="","",VLOOKUP(A1601,VII.A!$A$10:$B$199,2,FALSE))</f>
        <v/>
      </c>
      <c r="N1601" s="342" t="str">
        <f t="shared" si="415"/>
        <v/>
      </c>
      <c r="R1601" s="341"/>
      <c r="S1601" s="341"/>
    </row>
    <row r="1602" spans="1:21" ht="12.75" customHeight="1">
      <c r="A1602" s="385"/>
      <c r="B1602" s="386"/>
      <c r="C1602" s="20"/>
      <c r="D1602" s="342"/>
      <c r="E1602" s="387"/>
      <c r="F1602" s="388">
        <f t="shared" si="416"/>
        <v>0</v>
      </c>
      <c r="H1602" s="341" t="str">
        <f>IF(A1602="","",VLOOKUP(A1602,VII.A!$A$10:$D$199,4,FALSE))</f>
        <v/>
      </c>
      <c r="I1602" s="341" t="str">
        <f t="shared" si="413"/>
        <v/>
      </c>
      <c r="J1602" s="341" t="str">
        <f>IF(A1602="","",VLOOKUP(A1602,VII.A!$A$10:$D$199,3,FALSE))</f>
        <v/>
      </c>
      <c r="K1602" s="342" t="str">
        <f t="shared" si="414"/>
        <v/>
      </c>
      <c r="L1602" s="380" t="str">
        <f>IF(C1602="","",G1595*C1602)</f>
        <v/>
      </c>
      <c r="M1602" s="381" t="str">
        <f>IF(A1602="","",VLOOKUP(A1602,VII.A!$A$10:$B$199,2,FALSE))</f>
        <v/>
      </c>
      <c r="N1602" s="342" t="str">
        <f t="shared" si="415"/>
        <v/>
      </c>
      <c r="R1602" s="341"/>
      <c r="S1602" s="341"/>
      <c r="U1602" s="389"/>
    </row>
    <row r="1603" spans="1:21" ht="12.75" customHeight="1">
      <c r="A1603" s="385"/>
      <c r="B1603" s="386"/>
      <c r="C1603" s="20"/>
      <c r="D1603" s="342"/>
      <c r="E1603" s="387"/>
      <c r="F1603" s="388">
        <f t="shared" si="416"/>
        <v>0</v>
      </c>
      <c r="H1603" s="341" t="str">
        <f>IF(A1603="","",VLOOKUP(A1603,VII.A!$A$10:$D$199,4,FALSE))</f>
        <v/>
      </c>
      <c r="I1603" s="341" t="str">
        <f t="shared" si="413"/>
        <v/>
      </c>
      <c r="J1603" s="341" t="str">
        <f>IF(A1603="","",VLOOKUP(A1603,VII.A!$A$10:$D$199,3,FALSE))</f>
        <v/>
      </c>
      <c r="K1603" s="342" t="str">
        <f t="shared" si="414"/>
        <v/>
      </c>
      <c r="L1603" s="380" t="str">
        <f>IF(C1603="","",G1595*C1603)</f>
        <v/>
      </c>
      <c r="M1603" s="381" t="str">
        <f>IF(A1603="","",VLOOKUP(A1603,VII.A!$A$10:$B$199,2,FALSE))</f>
        <v/>
      </c>
      <c r="N1603" s="342" t="str">
        <f t="shared" si="415"/>
        <v/>
      </c>
      <c r="R1603" s="341"/>
      <c r="S1603" s="341"/>
    </row>
    <row r="1604" spans="1:21" ht="12.75" customHeight="1">
      <c r="A1604" s="385"/>
      <c r="B1604" s="386"/>
      <c r="C1604" s="20"/>
      <c r="D1604" s="342"/>
      <c r="E1604" s="387"/>
      <c r="F1604" s="388">
        <f t="shared" si="416"/>
        <v>0</v>
      </c>
      <c r="G1604" s="390"/>
      <c r="H1604" s="341" t="str">
        <f>IF(A1604="","",VLOOKUP(A1604,VII.A!$A$10:$D$199,4,FALSE))</f>
        <v/>
      </c>
      <c r="I1604" s="341" t="str">
        <f t="shared" si="413"/>
        <v/>
      </c>
      <c r="J1604" s="341" t="str">
        <f>IF(A1604="","",VLOOKUP(A1604,VII.A!$A$10:$D$199,3,FALSE))</f>
        <v/>
      </c>
      <c r="K1604" s="342" t="str">
        <f t="shared" si="414"/>
        <v/>
      </c>
      <c r="L1604" s="380" t="str">
        <f>IF(C1604="","",G1595*C1604)</f>
        <v/>
      </c>
      <c r="M1604" s="381" t="str">
        <f>IF(A1604="","",VLOOKUP(A1604,VII.A!$A$10:$B$199,2,FALSE))</f>
        <v/>
      </c>
      <c r="N1604" s="342" t="str">
        <f t="shared" si="415"/>
        <v/>
      </c>
      <c r="R1604" s="341"/>
      <c r="S1604" s="341"/>
    </row>
    <row r="1605" spans="1:21" ht="12.75" customHeight="1">
      <c r="A1605" s="385"/>
      <c r="B1605" s="386"/>
      <c r="C1605" s="20"/>
      <c r="D1605" s="342"/>
      <c r="E1605" s="387"/>
      <c r="F1605" s="388">
        <f t="shared" si="416"/>
        <v>0</v>
      </c>
      <c r="G1605" s="390"/>
      <c r="H1605" s="341" t="str">
        <f>IF(A1605="","",VLOOKUP(A1605,VII.A!$A$10:$D$199,4,FALSE))</f>
        <v/>
      </c>
      <c r="I1605" s="341" t="str">
        <f t="shared" si="413"/>
        <v/>
      </c>
      <c r="J1605" s="341" t="str">
        <f>IF(A1605="","",VLOOKUP(A1605,VII.A!$A$10:$D$199,3,FALSE))</f>
        <v/>
      </c>
      <c r="K1605" s="342" t="str">
        <f t="shared" si="414"/>
        <v/>
      </c>
      <c r="L1605" s="380" t="str">
        <f>IF(C1605="","",G1595*C1605)</f>
        <v/>
      </c>
      <c r="M1605" s="381" t="str">
        <f>IF(A1605="","",VLOOKUP(A1605,VII.A!$A$10:$B$199,2,FALSE))</f>
        <v/>
      </c>
      <c r="N1605" s="342" t="str">
        <f t="shared" si="415"/>
        <v/>
      </c>
      <c r="R1605" s="341"/>
      <c r="S1605" s="341"/>
    </row>
    <row r="1606" spans="1:21" ht="12.75" customHeight="1">
      <c r="A1606" s="385"/>
      <c r="B1606" s="386"/>
      <c r="C1606" s="20"/>
      <c r="D1606" s="342"/>
      <c r="E1606" s="387"/>
      <c r="F1606" s="388">
        <f t="shared" si="416"/>
        <v>0</v>
      </c>
      <c r="G1606" s="391"/>
      <c r="H1606" s="341" t="str">
        <f>IF(A1606="","",VLOOKUP(A1606,VII.A!$A$10:$D$199,4,FALSE))</f>
        <v/>
      </c>
      <c r="I1606" s="341" t="str">
        <f t="shared" si="413"/>
        <v/>
      </c>
      <c r="J1606" s="341" t="str">
        <f>IF(A1606="","",VLOOKUP(A1606,VII.A!$A$10:$D$199,3,FALSE))</f>
        <v/>
      </c>
      <c r="K1606" s="342" t="str">
        <f t="shared" si="414"/>
        <v/>
      </c>
      <c r="L1606" s="380" t="str">
        <f>IF(C1606="","",G1595*C1606)</f>
        <v/>
      </c>
      <c r="M1606" s="381" t="str">
        <f>IF(A1606="","",VLOOKUP(A1606,VII.A!$A$10:$B$199,2,FALSE))</f>
        <v/>
      </c>
      <c r="N1606" s="342" t="str">
        <f t="shared" si="415"/>
        <v/>
      </c>
      <c r="R1606" s="341"/>
      <c r="S1606" s="341"/>
    </row>
    <row r="1607" spans="1:21" ht="12.75" customHeight="1">
      <c r="A1607" s="385"/>
      <c r="B1607" s="386"/>
      <c r="C1607" s="20"/>
      <c r="D1607" s="342"/>
      <c r="E1607" s="387"/>
      <c r="F1607" s="388">
        <f t="shared" si="416"/>
        <v>0</v>
      </c>
      <c r="H1607" s="341" t="str">
        <f>IF(A1607="","",VLOOKUP(A1607,VII.A!$A$10:$D$199,4,FALSE))</f>
        <v/>
      </c>
      <c r="I1607" s="341" t="str">
        <f t="shared" si="413"/>
        <v/>
      </c>
      <c r="J1607" s="341" t="str">
        <f>IF(A1607="","",VLOOKUP(A1607,VII.A!$A$10:$D$199,3,FALSE))</f>
        <v/>
      </c>
      <c r="K1607" s="342" t="str">
        <f t="shared" si="414"/>
        <v/>
      </c>
      <c r="L1607" s="380" t="str">
        <f>IF(C1607="","",G1595*C1607)</f>
        <v/>
      </c>
      <c r="M1607" s="381" t="str">
        <f>IF(A1607="","",VLOOKUP(A1607,VII.A!$A$10:$B$199,2,FALSE))</f>
        <v/>
      </c>
      <c r="N1607" s="342" t="str">
        <f t="shared" si="415"/>
        <v/>
      </c>
      <c r="R1607" s="341"/>
      <c r="S1607" s="341"/>
    </row>
    <row r="1608" spans="1:21" ht="12.75" customHeight="1">
      <c r="A1608" s="385"/>
      <c r="B1608" s="386"/>
      <c r="C1608" s="20"/>
      <c r="D1608" s="392"/>
      <c r="E1608" s="387"/>
      <c r="F1608" s="388">
        <f t="shared" si="416"/>
        <v>0</v>
      </c>
      <c r="H1608" s="341" t="str">
        <f>IF(A1608="","",VLOOKUP(A1608,VII.A!$A$10:$D$199,4,FALSE))</f>
        <v/>
      </c>
      <c r="I1608" s="341" t="str">
        <f t="shared" si="413"/>
        <v/>
      </c>
      <c r="J1608" s="341" t="str">
        <f>IF(A1608="","",VLOOKUP(A1608,VII.A!$A$10:$D$199,3,FALSE))</f>
        <v/>
      </c>
      <c r="K1608" s="342" t="str">
        <f t="shared" si="414"/>
        <v/>
      </c>
      <c r="L1608" s="380" t="str">
        <f>IF(C1608="","",G1595*C1608)</f>
        <v/>
      </c>
      <c r="M1608" s="381" t="str">
        <f>IF(A1608="","",VLOOKUP(A1608,VII.A!$A$10:$B$199,2,FALSE))</f>
        <v/>
      </c>
      <c r="N1608" s="342" t="str">
        <f t="shared" si="415"/>
        <v/>
      </c>
      <c r="R1608" s="341"/>
      <c r="S1608" s="341"/>
    </row>
    <row r="1609" spans="1:21" ht="12.75" customHeight="1">
      <c r="A1609" s="385"/>
      <c r="B1609" s="386"/>
      <c r="C1609" s="20"/>
      <c r="D1609" s="392"/>
      <c r="E1609" s="387"/>
      <c r="F1609" s="388">
        <f t="shared" si="416"/>
        <v>0</v>
      </c>
      <c r="H1609" s="341" t="str">
        <f>IF(A1609="","",VLOOKUP(A1609,VII.A!$A$10:$D$199,4,FALSE))</f>
        <v/>
      </c>
      <c r="I1609" s="341" t="str">
        <f t="shared" si="413"/>
        <v/>
      </c>
      <c r="J1609" s="341" t="str">
        <f>IF(A1609="","",VLOOKUP(A1609,VII.A!$A$10:$D$199,3,FALSE))</f>
        <v/>
      </c>
      <c r="K1609" s="342" t="str">
        <f t="shared" si="414"/>
        <v/>
      </c>
      <c r="L1609" s="380" t="str">
        <f>IF(C1609="","",G1595*C1609)</f>
        <v/>
      </c>
      <c r="M1609" s="381" t="str">
        <f>IF(A1609="","",VLOOKUP(A1609,VII.A!$A$10:$B$199,2,FALSE))</f>
        <v/>
      </c>
      <c r="N1609" s="342" t="str">
        <f t="shared" si="415"/>
        <v/>
      </c>
      <c r="O1609" s="342"/>
      <c r="R1609" s="341"/>
      <c r="S1609" s="341"/>
    </row>
    <row r="1610" spans="1:21" ht="12.75" customHeight="1">
      <c r="A1610" s="385"/>
      <c r="B1610" s="386"/>
      <c r="C1610" s="20"/>
      <c r="D1610" s="392"/>
      <c r="E1610" s="387"/>
      <c r="F1610" s="388">
        <f t="shared" si="416"/>
        <v>0</v>
      </c>
      <c r="H1610" s="341" t="str">
        <f>IF(A1610="","",VLOOKUP(A1610,VII.A!$A$10:$D$199,4,FALSE))</f>
        <v/>
      </c>
      <c r="I1610" s="341" t="str">
        <f t="shared" si="413"/>
        <v/>
      </c>
      <c r="J1610" s="341" t="str">
        <f>IF(A1610="","",VLOOKUP(A1610,VII.A!$A$10:$D$199,3,FALSE))</f>
        <v/>
      </c>
      <c r="K1610" s="342" t="str">
        <f t="shared" si="414"/>
        <v/>
      </c>
      <c r="L1610" s="380" t="str">
        <f>IF(C1610="","",G1595*C1610)</f>
        <v/>
      </c>
      <c r="M1610" s="381" t="str">
        <f>IF(A1610="","",VLOOKUP(A1610,VII.A!$A$10:$B$199,2,FALSE))</f>
        <v/>
      </c>
      <c r="N1610" s="342" t="str">
        <f t="shared" si="415"/>
        <v/>
      </c>
      <c r="R1610" s="341"/>
      <c r="S1610" s="341"/>
    </row>
    <row r="1611" spans="1:21" ht="12.75" customHeight="1">
      <c r="A1611" s="393"/>
      <c r="C1611" s="20"/>
      <c r="E1611" s="387"/>
      <c r="F1611" s="388">
        <f t="shared" si="416"/>
        <v>0</v>
      </c>
      <c r="H1611" s="341" t="str">
        <f>IF(A1611="","",VLOOKUP(A1611,VII.A!$A$10:$D$199,4,FALSE))</f>
        <v/>
      </c>
      <c r="I1611" s="341" t="str">
        <f t="shared" si="413"/>
        <v/>
      </c>
      <c r="J1611" s="341" t="str">
        <f>IF(A1611="","",VLOOKUP(A1611,VII.A!$A$10:$D$199,3,FALSE))</f>
        <v/>
      </c>
      <c r="K1611" s="342" t="str">
        <f t="shared" si="414"/>
        <v/>
      </c>
      <c r="L1611" s="380" t="str">
        <f>IF(C1611="","",G1595*C1611)</f>
        <v/>
      </c>
      <c r="M1611" s="381" t="str">
        <f>IF(A1611="","",VLOOKUP(A1611,VII.A!$A$10:$B$199,2,FALSE))</f>
        <v/>
      </c>
      <c r="N1611" s="342" t="str">
        <f t="shared" si="415"/>
        <v/>
      </c>
      <c r="R1611" s="341"/>
      <c r="S1611" s="341"/>
    </row>
    <row r="1612" spans="1:21" ht="12.75" customHeight="1">
      <c r="A1612" s="393"/>
      <c r="C1612" s="20"/>
      <c r="E1612" s="387"/>
      <c r="F1612" s="388">
        <f t="shared" si="416"/>
        <v>0</v>
      </c>
      <c r="H1612" s="341" t="str">
        <f>IF(A1612="","",VLOOKUP(A1612,VII.A!$A$10:$D$199,4,FALSE))</f>
        <v/>
      </c>
      <c r="I1612" s="341" t="str">
        <f t="shared" si="413"/>
        <v/>
      </c>
      <c r="J1612" s="341" t="str">
        <f>IF(A1612="","",VLOOKUP(A1612,VII.A!$A$10:$D$199,3,FALSE))</f>
        <v/>
      </c>
      <c r="K1612" s="342" t="str">
        <f t="shared" si="414"/>
        <v/>
      </c>
      <c r="L1612" s="380" t="str">
        <f>IF(C1612="","",G1595*C1612)</f>
        <v/>
      </c>
      <c r="M1612" s="381" t="str">
        <f>IF(A1612="","",VLOOKUP(A1612,VII.A!$A$10:$B$199,2,FALSE))</f>
        <v/>
      </c>
      <c r="N1612" s="342" t="str">
        <f t="shared" si="415"/>
        <v/>
      </c>
      <c r="R1612" s="341"/>
      <c r="S1612" s="341"/>
    </row>
    <row r="1613" spans="1:21" ht="12.75" customHeight="1">
      <c r="A1613" s="393"/>
      <c r="B1613" s="395" t="s">
        <v>226</v>
      </c>
      <c r="C1613" s="396"/>
      <c r="D1613" s="397"/>
      <c r="E1613" s="398"/>
      <c r="F1613" s="399">
        <f>SUM(F1597:F1612)</f>
        <v>0</v>
      </c>
      <c r="H1613" s="341" t="s">
        <v>680</v>
      </c>
      <c r="J1613" s="341"/>
      <c r="L1613" s="380"/>
      <c r="M1613" s="381"/>
      <c r="N1613" s="342"/>
      <c r="R1613" s="341"/>
      <c r="S1613" s="341"/>
    </row>
    <row r="1614" spans="1:21" ht="12.75" customHeight="1">
      <c r="A1614" s="393"/>
      <c r="B1614" s="400" t="s">
        <v>53</v>
      </c>
      <c r="C1614" s="2">
        <f>$D$8</f>
        <v>0</v>
      </c>
      <c r="D1614" s="401"/>
      <c r="E1614" s="402"/>
      <c r="F1614" s="403">
        <f>ROUND(F1613*C1614,2)</f>
        <v>0</v>
      </c>
      <c r="H1614" s="341" t="s">
        <v>633</v>
      </c>
      <c r="J1614" s="341"/>
      <c r="L1614" s="380"/>
      <c r="M1614" s="381"/>
      <c r="N1614" s="342"/>
      <c r="R1614" s="341"/>
      <c r="S1614" s="341"/>
    </row>
    <row r="1615" spans="1:21" ht="12.75" customHeight="1">
      <c r="A1615" s="404"/>
      <c r="B1615" s="405" t="s">
        <v>227</v>
      </c>
      <c r="C1615" s="406"/>
      <c r="D1615" s="406"/>
      <c r="E1615" s="407"/>
      <c r="F1615" s="408">
        <f>F1613+F1614</f>
        <v>0</v>
      </c>
      <c r="H1615" s="426" t="s">
        <v>632</v>
      </c>
      <c r="J1615" s="433">
        <v>70110077</v>
      </c>
      <c r="L1615" s="380"/>
      <c r="M1615" s="381"/>
      <c r="N1615" s="342"/>
      <c r="R1615" s="341"/>
      <c r="S1615" s="341"/>
    </row>
    <row r="1616" spans="1:21" ht="12.75" customHeight="1">
      <c r="A1616" s="374" t="s">
        <v>2</v>
      </c>
      <c r="B1616" s="375" t="s">
        <v>235</v>
      </c>
      <c r="C1616" s="376" t="s">
        <v>231</v>
      </c>
      <c r="D1616" s="376" t="s">
        <v>232</v>
      </c>
      <c r="E1616" s="377" t="s">
        <v>233</v>
      </c>
      <c r="F1616" s="378" t="s">
        <v>234</v>
      </c>
      <c r="J1616" s="341"/>
      <c r="L1616" s="380"/>
      <c r="M1616" s="381"/>
      <c r="N1616" s="342"/>
      <c r="R1616" s="341"/>
      <c r="S1616" s="341"/>
    </row>
    <row r="1617" spans="1:19" ht="12.75" customHeight="1">
      <c r="A1617" s="393" t="str">
        <f>VII.A!$A$152</f>
        <v>2.10</v>
      </c>
      <c r="B1617" s="423" t="str">
        <f>VII.A!B152</f>
        <v>CAMINHÃO - CARROCERIA FIXA ABERTA DE MADEIRA COM CAPACIDADE 5 T *160CV - CHP</v>
      </c>
      <c r="C1617" s="20">
        <v>0.5</v>
      </c>
      <c r="D1617" s="384" t="str">
        <f>VII.A!C152</f>
        <v>CHP</v>
      </c>
      <c r="E1617" s="387">
        <f>VII.A!D152</f>
        <v>0</v>
      </c>
      <c r="F1617" s="388">
        <f t="shared" ref="F1617:F1626" si="417">ROUND(C1617*E1617,2)</f>
        <v>0</v>
      </c>
      <c r="H1617" s="341">
        <f>IF(A1617="","",VLOOKUP(A1617,VII.A!$A$10:$D$199,4,FALSE))</f>
        <v>0</v>
      </c>
      <c r="I1617" s="341" t="str">
        <f t="shared" ref="I1617:I1626" si="418">IF(A1617="","",IF(E1617=H1617,"SIM","NÃO"))</f>
        <v>SIM</v>
      </c>
      <c r="J1617" s="341" t="str">
        <f>IF(A1617="","",VLOOKUP(A1617,VII.A!$A$10:$D$199,3,FALSE))</f>
        <v>CHP</v>
      </c>
      <c r="K1617" s="342" t="str">
        <f t="shared" ref="K1617:K1626" si="419">IF(A1617="","",IF(J1617=D1617,"SIM","NÃO"))</f>
        <v>SIM</v>
      </c>
      <c r="L1617" s="380">
        <f>IF(C1617="","",G1595*C1617)</f>
        <v>14.5</v>
      </c>
      <c r="M1617" s="381" t="str">
        <f>IF(A1617="","",VLOOKUP(A1617,VII.A!$A$10:$B$199,2,FALSE))</f>
        <v>CAMINHÃO - CARROCERIA FIXA ABERTA DE MADEIRA COM CAPACIDADE 5 T *160CV - CHP</v>
      </c>
      <c r="N1617" s="342" t="str">
        <f t="shared" ref="N1617:N1626" si="420">IF(B1617="","",IF(M1617=B1617,"si","no"))</f>
        <v>si</v>
      </c>
      <c r="R1617" s="341"/>
      <c r="S1617" s="341"/>
    </row>
    <row r="1618" spans="1:19" ht="12.75" customHeight="1">
      <c r="A1618" s="393"/>
      <c r="C1618" s="20"/>
      <c r="E1618" s="387"/>
      <c r="F1618" s="388">
        <f t="shared" si="417"/>
        <v>0</v>
      </c>
      <c r="H1618" s="341" t="str">
        <f>IF(A1618="","",VLOOKUP(A1618,VII.A!$A$10:$D$199,4,FALSE))</f>
        <v/>
      </c>
      <c r="I1618" s="341" t="str">
        <f t="shared" si="418"/>
        <v/>
      </c>
      <c r="J1618" s="341" t="str">
        <f>IF(A1618="","",VLOOKUP(A1618,VII.A!$A$10:$D$199,3,FALSE))</f>
        <v/>
      </c>
      <c r="K1618" s="342" t="str">
        <f t="shared" si="419"/>
        <v/>
      </c>
      <c r="L1618" s="380" t="str">
        <f>IF(C1618="","",G1595*C1618)</f>
        <v/>
      </c>
      <c r="M1618" s="381" t="str">
        <f>IF(A1618="","",VLOOKUP(A1618,VII.A!$A$10:$B$199,2,FALSE))</f>
        <v/>
      </c>
      <c r="N1618" s="342" t="str">
        <f t="shared" si="420"/>
        <v/>
      </c>
      <c r="R1618" s="341"/>
      <c r="S1618" s="341"/>
    </row>
    <row r="1619" spans="1:19" ht="12.75" customHeight="1">
      <c r="A1619" s="393"/>
      <c r="C1619" s="20"/>
      <c r="E1619" s="387"/>
      <c r="F1619" s="388">
        <f t="shared" si="417"/>
        <v>0</v>
      </c>
      <c r="H1619" s="341" t="str">
        <f>IF(A1619="","",VLOOKUP(A1619,VII.A!$A$10:$D$199,4,FALSE))</f>
        <v/>
      </c>
      <c r="I1619" s="341" t="str">
        <f t="shared" si="418"/>
        <v/>
      </c>
      <c r="J1619" s="341" t="str">
        <f>IF(A1619="","",VLOOKUP(A1619,VII.A!$A$10:$D$199,3,FALSE))</f>
        <v/>
      </c>
      <c r="K1619" s="342" t="str">
        <f t="shared" si="419"/>
        <v/>
      </c>
      <c r="L1619" s="380" t="str">
        <f>IF(C1619="","",G1595*C1619)</f>
        <v/>
      </c>
      <c r="M1619" s="381" t="str">
        <f>IF(A1619="","",VLOOKUP(A1619,VII.A!$A$10:$B$199,2,FALSE))</f>
        <v/>
      </c>
      <c r="N1619" s="342" t="str">
        <f t="shared" si="420"/>
        <v/>
      </c>
      <c r="R1619" s="341"/>
      <c r="S1619" s="341"/>
    </row>
    <row r="1620" spans="1:19" ht="12.75" customHeight="1">
      <c r="A1620" s="393"/>
      <c r="C1620" s="20"/>
      <c r="E1620" s="387"/>
      <c r="F1620" s="388">
        <f t="shared" si="417"/>
        <v>0</v>
      </c>
      <c r="H1620" s="341" t="str">
        <f>IF(A1620="","",VLOOKUP(A1620,VII.A!$A$10:$D$199,4,FALSE))</f>
        <v/>
      </c>
      <c r="I1620" s="341" t="str">
        <f t="shared" si="418"/>
        <v/>
      </c>
      <c r="J1620" s="341" t="str">
        <f>IF(A1620="","",VLOOKUP(A1620,VII.A!$A$10:$D$199,3,FALSE))</f>
        <v/>
      </c>
      <c r="K1620" s="342" t="str">
        <f t="shared" si="419"/>
        <v/>
      </c>
      <c r="L1620" s="380" t="str">
        <f>IF(C1620="","",G1595*C1620)</f>
        <v/>
      </c>
      <c r="M1620" s="381" t="str">
        <f>IF(A1620="","",VLOOKUP(A1620,VII.A!$A$10:$B$199,2,FALSE))</f>
        <v/>
      </c>
      <c r="N1620" s="342" t="str">
        <f t="shared" si="420"/>
        <v/>
      </c>
      <c r="R1620" s="341"/>
      <c r="S1620" s="341"/>
    </row>
    <row r="1621" spans="1:19" ht="12.75" customHeight="1">
      <c r="A1621" s="393"/>
      <c r="C1621" s="20"/>
      <c r="E1621" s="387"/>
      <c r="F1621" s="388">
        <f t="shared" si="417"/>
        <v>0</v>
      </c>
      <c r="G1621" s="390"/>
      <c r="H1621" s="341" t="str">
        <f>IF(A1621="","",VLOOKUP(A1621,VII.A!$A$10:$D$199,4,FALSE))</f>
        <v/>
      </c>
      <c r="I1621" s="341" t="str">
        <f t="shared" si="418"/>
        <v/>
      </c>
      <c r="J1621" s="341" t="str">
        <f>IF(A1621="","",VLOOKUP(A1621,VII.A!$A$10:$D$199,3,FALSE))</f>
        <v/>
      </c>
      <c r="K1621" s="342" t="str">
        <f t="shared" si="419"/>
        <v/>
      </c>
      <c r="L1621" s="380" t="str">
        <f>IF(C1621="","",G1595*C1621)</f>
        <v/>
      </c>
      <c r="M1621" s="381" t="str">
        <f>IF(A1621="","",VLOOKUP(A1621,VII.A!$A$10:$B$199,2,FALSE))</f>
        <v/>
      </c>
      <c r="N1621" s="342" t="str">
        <f t="shared" si="420"/>
        <v/>
      </c>
      <c r="R1621" s="341"/>
      <c r="S1621" s="341"/>
    </row>
    <row r="1622" spans="1:19" ht="12.75" customHeight="1">
      <c r="A1622" s="393"/>
      <c r="C1622" s="20"/>
      <c r="E1622" s="387"/>
      <c r="F1622" s="388">
        <f t="shared" si="417"/>
        <v>0</v>
      </c>
      <c r="G1622" s="391"/>
      <c r="H1622" s="341" t="str">
        <f>IF(A1622="","",VLOOKUP(A1622,VII.A!$A$10:$D$199,4,FALSE))</f>
        <v/>
      </c>
      <c r="I1622" s="341" t="str">
        <f t="shared" si="418"/>
        <v/>
      </c>
      <c r="J1622" s="341" t="str">
        <f>IF(A1622="","",VLOOKUP(A1622,VII.A!$A$10:$D$199,3,FALSE))</f>
        <v/>
      </c>
      <c r="K1622" s="342" t="str">
        <f t="shared" si="419"/>
        <v/>
      </c>
      <c r="L1622" s="380" t="str">
        <f>IF(C1622="","",G1595*C1622)</f>
        <v/>
      </c>
      <c r="M1622" s="381" t="str">
        <f>IF(A1622="","",VLOOKUP(A1622,VII.A!$A$10:$B$199,2,FALSE))</f>
        <v/>
      </c>
      <c r="N1622" s="342" t="str">
        <f t="shared" si="420"/>
        <v/>
      </c>
      <c r="R1622" s="341"/>
      <c r="S1622" s="341"/>
    </row>
    <row r="1623" spans="1:19" ht="12.75" customHeight="1">
      <c r="A1623" s="393"/>
      <c r="C1623" s="20"/>
      <c r="E1623" s="387"/>
      <c r="F1623" s="388">
        <f t="shared" si="417"/>
        <v>0</v>
      </c>
      <c r="H1623" s="341" t="str">
        <f>IF(A1623="","",VLOOKUP(A1623,VII.A!$A$10:$D$199,4,FALSE))</f>
        <v/>
      </c>
      <c r="I1623" s="341" t="str">
        <f t="shared" si="418"/>
        <v/>
      </c>
      <c r="J1623" s="341" t="str">
        <f>IF(A1623="","",VLOOKUP(A1623,VII.A!$A$10:$D$199,3,FALSE))</f>
        <v/>
      </c>
      <c r="K1623" s="342" t="str">
        <f t="shared" si="419"/>
        <v/>
      </c>
      <c r="L1623" s="380" t="str">
        <f>IF(C1623="","",G1595*C1623)</f>
        <v/>
      </c>
      <c r="M1623" s="381" t="str">
        <f>IF(A1623="","",VLOOKUP(A1623,VII.A!$A$10:$B$199,2,FALSE))</f>
        <v/>
      </c>
      <c r="N1623" s="342" t="str">
        <f t="shared" si="420"/>
        <v/>
      </c>
      <c r="R1623" s="341"/>
      <c r="S1623" s="341"/>
    </row>
    <row r="1624" spans="1:19" ht="12.75" customHeight="1">
      <c r="A1624" s="393"/>
      <c r="C1624" s="20"/>
      <c r="E1624" s="387"/>
      <c r="F1624" s="388">
        <f t="shared" si="417"/>
        <v>0</v>
      </c>
      <c r="H1624" s="341" t="str">
        <f>IF(A1624="","",VLOOKUP(A1624,VII.A!$A$10:$D$199,4,FALSE))</f>
        <v/>
      </c>
      <c r="I1624" s="341" t="str">
        <f t="shared" si="418"/>
        <v/>
      </c>
      <c r="J1624" s="341" t="str">
        <f>IF(A1624="","",VLOOKUP(A1624,VII.A!$A$10:$D$199,3,FALSE))</f>
        <v/>
      </c>
      <c r="K1624" s="342" t="str">
        <f t="shared" si="419"/>
        <v/>
      </c>
      <c r="L1624" s="380" t="str">
        <f>IF(C1624="","",G1595*C1624)</f>
        <v/>
      </c>
      <c r="M1624" s="381" t="str">
        <f>IF(A1624="","",VLOOKUP(A1624,VII.A!$A$10:$B$199,2,FALSE))</f>
        <v/>
      </c>
      <c r="N1624" s="342" t="str">
        <f t="shared" si="420"/>
        <v/>
      </c>
      <c r="R1624" s="341"/>
      <c r="S1624" s="341"/>
    </row>
    <row r="1625" spans="1:19" ht="12.75" customHeight="1">
      <c r="A1625" s="393"/>
      <c r="C1625" s="20"/>
      <c r="E1625" s="387"/>
      <c r="F1625" s="388">
        <f t="shared" si="417"/>
        <v>0</v>
      </c>
      <c r="H1625" s="341" t="str">
        <f>IF(A1625="","",VLOOKUP(A1625,VII.A!$A$10:$D$199,4,FALSE))</f>
        <v/>
      </c>
      <c r="I1625" s="341" t="str">
        <f t="shared" si="418"/>
        <v/>
      </c>
      <c r="J1625" s="341" t="str">
        <f>IF(A1625="","",VLOOKUP(A1625,VII.A!$A$10:$D$199,3,FALSE))</f>
        <v/>
      </c>
      <c r="K1625" s="342" t="str">
        <f t="shared" si="419"/>
        <v/>
      </c>
      <c r="L1625" s="380" t="str">
        <f>IF(C1625="","",G1595*C1625)</f>
        <v/>
      </c>
      <c r="M1625" s="381" t="str">
        <f>IF(A1625="","",VLOOKUP(A1625,VII.A!$A$10:$B$199,2,FALSE))</f>
        <v/>
      </c>
      <c r="N1625" s="342" t="str">
        <f t="shared" si="420"/>
        <v/>
      </c>
      <c r="R1625" s="341"/>
      <c r="S1625" s="341"/>
    </row>
    <row r="1626" spans="1:19" ht="12.75" customHeight="1">
      <c r="A1626" s="393"/>
      <c r="C1626" s="20"/>
      <c r="E1626" s="387"/>
      <c r="F1626" s="388">
        <f t="shared" si="417"/>
        <v>0</v>
      </c>
      <c r="H1626" s="341" t="str">
        <f>IF(A1626="","",VLOOKUP(A1626,VII.A!$A$10:$D$199,4,FALSE))</f>
        <v/>
      </c>
      <c r="I1626" s="341" t="str">
        <f t="shared" si="418"/>
        <v/>
      </c>
      <c r="J1626" s="341" t="str">
        <f>IF(A1626="","",VLOOKUP(A1626,VII.A!$A$10:$D$199,3,FALSE))</f>
        <v/>
      </c>
      <c r="K1626" s="342" t="str">
        <f t="shared" si="419"/>
        <v/>
      </c>
      <c r="L1626" s="380" t="str">
        <f>IF(C1626="","",G1595*C1626)</f>
        <v/>
      </c>
      <c r="M1626" s="381" t="str">
        <f>IF(A1626="","",VLOOKUP(A1626,VII.A!$A$10:$B$199,2,FALSE))</f>
        <v/>
      </c>
      <c r="N1626" s="342" t="str">
        <f t="shared" si="420"/>
        <v/>
      </c>
      <c r="R1626" s="341"/>
      <c r="S1626" s="341"/>
    </row>
    <row r="1627" spans="1:19" ht="12.75" customHeight="1">
      <c r="A1627" s="393"/>
      <c r="B1627" s="395" t="s">
        <v>226</v>
      </c>
      <c r="C1627" s="396"/>
      <c r="D1627" s="397"/>
      <c r="E1627" s="398"/>
      <c r="F1627" s="399">
        <f>SUM(F1617:F1626)</f>
        <v>0</v>
      </c>
      <c r="J1627" s="341"/>
      <c r="L1627" s="380"/>
      <c r="M1627" s="381"/>
      <c r="N1627" s="342"/>
      <c r="R1627" s="341"/>
      <c r="S1627" s="341"/>
    </row>
    <row r="1628" spans="1:19" ht="12.75" customHeight="1">
      <c r="A1628" s="393"/>
      <c r="B1628" s="400" t="s">
        <v>53</v>
      </c>
      <c r="C1628" s="2">
        <f>$D$8</f>
        <v>0</v>
      </c>
      <c r="D1628" s="401"/>
      <c r="E1628" s="402"/>
      <c r="F1628" s="403">
        <f>ROUND(C1628*F1627,2)</f>
        <v>0</v>
      </c>
      <c r="J1628" s="341"/>
      <c r="L1628" s="380"/>
      <c r="M1628" s="381"/>
      <c r="N1628" s="342"/>
      <c r="R1628" s="341"/>
      <c r="S1628" s="341"/>
    </row>
    <row r="1629" spans="1:19" ht="12.75" customHeight="1">
      <c r="A1629" s="404"/>
      <c r="B1629" s="405" t="s">
        <v>228</v>
      </c>
      <c r="C1629" s="406"/>
      <c r="D1629" s="406"/>
      <c r="E1629" s="407"/>
      <c r="F1629" s="408">
        <f>F1627+F1628</f>
        <v>0</v>
      </c>
      <c r="J1629" s="341"/>
      <c r="L1629" s="380"/>
      <c r="M1629" s="381"/>
      <c r="N1629" s="342"/>
      <c r="R1629" s="341"/>
      <c r="S1629" s="341"/>
    </row>
    <row r="1630" spans="1:19" ht="12.75" customHeight="1">
      <c r="A1630" s="409" t="s">
        <v>47</v>
      </c>
      <c r="B1630" s="410" t="s">
        <v>236</v>
      </c>
      <c r="C1630" s="411" t="s">
        <v>231</v>
      </c>
      <c r="D1630" s="412" t="s">
        <v>232</v>
      </c>
      <c r="E1630" s="413" t="s">
        <v>233</v>
      </c>
      <c r="F1630" s="378" t="s">
        <v>234</v>
      </c>
      <c r="J1630" s="341"/>
      <c r="L1630" s="380"/>
      <c r="M1630" s="381"/>
      <c r="N1630" s="342"/>
      <c r="R1630" s="341"/>
      <c r="S1630" s="341"/>
    </row>
    <row r="1631" spans="1:19" ht="12.75" customHeight="1">
      <c r="A1631" s="393" t="str">
        <f>VII.A!$A$181</f>
        <v>3.1</v>
      </c>
      <c r="B1631" s="394" t="str">
        <f>VII.A!B181</f>
        <v>AJUDANTE COM ENCARGOS COMPLEMENTARES</v>
      </c>
      <c r="C1631" s="20">
        <v>6</v>
      </c>
      <c r="D1631" s="384" t="str">
        <f>VII.A!C181</f>
        <v>H</v>
      </c>
      <c r="E1631" s="387">
        <f>VII.A!D181</f>
        <v>0</v>
      </c>
      <c r="F1631" s="388">
        <f t="shared" ref="F1631:F1637" si="421">ROUND(C1631*E1631,2)</f>
        <v>0</v>
      </c>
      <c r="H1631" s="341">
        <f>IF(A1631="","",VLOOKUP(A1631,VII.A!$A$10:$D$199,4,FALSE))</f>
        <v>0</v>
      </c>
      <c r="I1631" s="341" t="str">
        <f t="shared" ref="I1631:I1637" si="422">IF(A1631="","",IF(E1631=H1631,"SIM","NÃO"))</f>
        <v>SIM</v>
      </c>
      <c r="J1631" s="341" t="str">
        <f>IF(A1631="","",VLOOKUP(A1631,VII.A!$A$10:$D$199,3,FALSE))</f>
        <v>H</v>
      </c>
      <c r="K1631" s="342" t="str">
        <f t="shared" ref="K1631:K1637" si="423">IF(A1631="","",IF(J1631=D1631,"SIM","NÃO"))</f>
        <v>SIM</v>
      </c>
      <c r="L1631" s="380">
        <f>IF(C1631="","",G1595*C1631)</f>
        <v>174</v>
      </c>
      <c r="M1631" s="381" t="str">
        <f>IF(A1631="","",VLOOKUP(A1631,VII.A!$A$10:$B$199,2,FALSE))</f>
        <v>AJUDANTE COM ENCARGOS COMPLEMENTARES</v>
      </c>
      <c r="N1631" s="342" t="str">
        <f t="shared" ref="N1631:N1637" si="424">IF(B1631="","",IF(M1631=B1631,"si","no"))</f>
        <v>si</v>
      </c>
      <c r="R1631" s="341"/>
      <c r="S1631" s="341"/>
    </row>
    <row r="1632" spans="1:19" ht="12.75" customHeight="1">
      <c r="A1632" s="393" t="str">
        <f>VII.A!$A$192</f>
        <v>3.12</v>
      </c>
      <c r="B1632" s="394" t="str">
        <f>VII.A!B192</f>
        <v>PEDREIRO COM ENCARGOS COMPLEMENTARES</v>
      </c>
      <c r="C1632" s="20">
        <v>3</v>
      </c>
      <c r="D1632" s="384" t="str">
        <f>VII.A!C192</f>
        <v>H</v>
      </c>
      <c r="E1632" s="387">
        <f>VII.A!D192</f>
        <v>0</v>
      </c>
      <c r="F1632" s="388">
        <f t="shared" si="421"/>
        <v>0</v>
      </c>
      <c r="H1632" s="341">
        <f>IF(A1632="","",VLOOKUP(A1632,VII.A!$A$10:$D$199,4,FALSE))</f>
        <v>0</v>
      </c>
      <c r="I1632" s="341" t="str">
        <f t="shared" si="422"/>
        <v>SIM</v>
      </c>
      <c r="J1632" s="341" t="str">
        <f>IF(A1632="","",VLOOKUP(A1632,VII.A!$A$10:$D$199,3,FALSE))</f>
        <v>H</v>
      </c>
      <c r="K1632" s="342" t="str">
        <f t="shared" si="423"/>
        <v>SIM</v>
      </c>
      <c r="L1632" s="380">
        <f>IF(C1632="","",G1595*C1632)</f>
        <v>87</v>
      </c>
      <c r="M1632" s="381" t="str">
        <f>IF(A1632="","",VLOOKUP(A1632,VII.A!$A$10:$B$199,2,FALSE))</f>
        <v>PEDREIRO COM ENCARGOS COMPLEMENTARES</v>
      </c>
      <c r="N1632" s="342" t="str">
        <f t="shared" si="424"/>
        <v>si</v>
      </c>
      <c r="R1632" s="341"/>
      <c r="S1632" s="341"/>
    </row>
    <row r="1633" spans="1:25" ht="12.75" customHeight="1">
      <c r="A1633" s="393" t="str">
        <f>VII.A!$A$197</f>
        <v>3.17</v>
      </c>
      <c r="B1633" s="394" t="str">
        <f>VII.A!B197</f>
        <v>SOLDADOR COM ENCARGOS COMPLEMENTARES</v>
      </c>
      <c r="C1633" s="20">
        <v>3</v>
      </c>
      <c r="D1633" s="384" t="str">
        <f>VII.A!C197</f>
        <v>H</v>
      </c>
      <c r="E1633" s="387">
        <f>VII.A!D197</f>
        <v>0</v>
      </c>
      <c r="F1633" s="388">
        <f t="shared" si="421"/>
        <v>0</v>
      </c>
      <c r="H1633" s="341">
        <f>IF(A1633="","",VLOOKUP(A1633,VII.A!$A$10:$D$199,4,FALSE))</f>
        <v>0</v>
      </c>
      <c r="I1633" s="341" t="str">
        <f t="shared" si="422"/>
        <v>SIM</v>
      </c>
      <c r="J1633" s="341" t="str">
        <f>IF(A1633="","",VLOOKUP(A1633,VII.A!$A$10:$D$199,3,FALSE))</f>
        <v>H</v>
      </c>
      <c r="K1633" s="342" t="str">
        <f t="shared" si="423"/>
        <v>SIM</v>
      </c>
      <c r="L1633" s="380">
        <f>IF(C1633="","",G1595*C1633)</f>
        <v>87</v>
      </c>
      <c r="M1633" s="381" t="str">
        <f>IF(A1633="","",VLOOKUP(A1633,VII.A!$A$10:$B$199,2,FALSE))</f>
        <v>SOLDADOR COM ENCARGOS COMPLEMENTARES</v>
      </c>
      <c r="N1633" s="342" t="str">
        <f t="shared" si="424"/>
        <v>si</v>
      </c>
      <c r="R1633" s="341"/>
      <c r="S1633" s="341"/>
    </row>
    <row r="1634" spans="1:25" ht="12.75" customHeight="1">
      <c r="A1634" s="393"/>
      <c r="C1634" s="20"/>
      <c r="E1634" s="387"/>
      <c r="F1634" s="388"/>
      <c r="J1634" s="341"/>
      <c r="L1634" s="380"/>
      <c r="M1634" s="381"/>
      <c r="N1634" s="342"/>
      <c r="R1634" s="341"/>
      <c r="S1634" s="341"/>
    </row>
    <row r="1635" spans="1:25" ht="12.75" customHeight="1">
      <c r="A1635" s="393"/>
      <c r="C1635" s="20"/>
      <c r="E1635" s="387"/>
      <c r="F1635" s="388">
        <f t="shared" si="421"/>
        <v>0</v>
      </c>
      <c r="H1635" s="341" t="str">
        <f>IF(A1635="","",VLOOKUP(A1635,VII.A!$A$10:$D$199,4,FALSE))</f>
        <v/>
      </c>
      <c r="I1635" s="341" t="str">
        <f t="shared" si="422"/>
        <v/>
      </c>
      <c r="J1635" s="341" t="str">
        <f>IF(A1635="","",VLOOKUP(A1635,VII.A!$A$10:$D$199,3,FALSE))</f>
        <v/>
      </c>
      <c r="K1635" s="342" t="str">
        <f t="shared" si="423"/>
        <v/>
      </c>
      <c r="L1635" s="380" t="str">
        <f>IF(C1635="","",G1595*C1635)</f>
        <v/>
      </c>
      <c r="M1635" s="381" t="str">
        <f>IF(A1635="","",VLOOKUP(A1635,VII.A!$A$10:$B$199,2,FALSE))</f>
        <v/>
      </c>
      <c r="N1635" s="342" t="str">
        <f t="shared" si="424"/>
        <v/>
      </c>
      <c r="R1635" s="341"/>
      <c r="S1635" s="341"/>
    </row>
    <row r="1636" spans="1:25" ht="12.75" customHeight="1">
      <c r="A1636" s="393"/>
      <c r="C1636" s="20"/>
      <c r="E1636" s="387"/>
      <c r="F1636" s="388">
        <f t="shared" si="421"/>
        <v>0</v>
      </c>
      <c r="H1636" s="341" t="str">
        <f>IF(A1636="","",VLOOKUP(A1636,VII.A!$A$10:$D$199,4,FALSE))</f>
        <v/>
      </c>
      <c r="I1636" s="341" t="str">
        <f t="shared" si="422"/>
        <v/>
      </c>
      <c r="J1636" s="341" t="str">
        <f>IF(A1636="","",VLOOKUP(A1636,VII.A!$A$10:$D$199,3,FALSE))</f>
        <v/>
      </c>
      <c r="K1636" s="342" t="str">
        <f t="shared" si="423"/>
        <v/>
      </c>
      <c r="L1636" s="380" t="str">
        <f>IF(C1636="","",G1595*C1636)</f>
        <v/>
      </c>
      <c r="M1636" s="381" t="str">
        <f>IF(A1636="","",VLOOKUP(A1636,VII.A!$A$10:$B$199,2,FALSE))</f>
        <v/>
      </c>
      <c r="N1636" s="342" t="str">
        <f t="shared" si="424"/>
        <v/>
      </c>
      <c r="R1636" s="341"/>
      <c r="S1636" s="341"/>
    </row>
    <row r="1637" spans="1:25" ht="12.75" customHeight="1">
      <c r="A1637" s="393"/>
      <c r="C1637" s="20"/>
      <c r="E1637" s="387"/>
      <c r="F1637" s="388">
        <f t="shared" si="421"/>
        <v>0</v>
      </c>
      <c r="H1637" s="341" t="str">
        <f>IF(A1637="","",VLOOKUP(A1637,VII.A!$A$10:$D$199,4,FALSE))</f>
        <v/>
      </c>
      <c r="I1637" s="341" t="str">
        <f t="shared" si="422"/>
        <v/>
      </c>
      <c r="J1637" s="341" t="str">
        <f>IF(A1637="","",VLOOKUP(A1637,VII.A!$A$10:$D$199,3,FALSE))</f>
        <v/>
      </c>
      <c r="K1637" s="342" t="str">
        <f t="shared" si="423"/>
        <v/>
      </c>
      <c r="L1637" s="380" t="str">
        <f>IF(C1637="","",G1595*C1637)</f>
        <v/>
      </c>
      <c r="M1637" s="381" t="str">
        <f>IF(A1637="","",VLOOKUP(A1637,VII.A!$A$10:$B$199,2,FALSE))</f>
        <v/>
      </c>
      <c r="N1637" s="342" t="str">
        <f t="shared" si="424"/>
        <v/>
      </c>
      <c r="R1637" s="341"/>
      <c r="S1637" s="341"/>
    </row>
    <row r="1638" spans="1:25" ht="12.75" customHeight="1">
      <c r="A1638" s="393"/>
      <c r="B1638" s="395" t="s">
        <v>226</v>
      </c>
      <c r="C1638" s="396"/>
      <c r="D1638" s="397"/>
      <c r="E1638" s="398"/>
      <c r="F1638" s="399">
        <f>SUM(F1631:F1637)</f>
        <v>0</v>
      </c>
      <c r="J1638" s="341"/>
      <c r="L1638" s="380"/>
      <c r="M1638" s="381"/>
      <c r="N1638" s="342"/>
      <c r="R1638" s="341"/>
      <c r="S1638" s="341"/>
    </row>
    <row r="1639" spans="1:25" ht="12.75" customHeight="1">
      <c r="A1639" s="393"/>
      <c r="B1639" s="400" t="s">
        <v>229</v>
      </c>
      <c r="C1639" s="2">
        <f>IX.A!$C$45</f>
        <v>0</v>
      </c>
      <c r="D1639" s="401"/>
      <c r="E1639" s="402"/>
      <c r="F1639" s="403">
        <f>ROUND(F1638*C1639,2)</f>
        <v>0</v>
      </c>
      <c r="J1639" s="341"/>
      <c r="L1639" s="380"/>
      <c r="M1639" s="381"/>
      <c r="N1639" s="342"/>
      <c r="R1639" s="341"/>
      <c r="S1639" s="341"/>
    </row>
    <row r="1640" spans="1:25" ht="12.75" customHeight="1">
      <c r="A1640" s="393"/>
      <c r="B1640" s="400" t="s">
        <v>53</v>
      </c>
      <c r="C1640" s="2">
        <f>$D$8</f>
        <v>0</v>
      </c>
      <c r="D1640" s="401"/>
      <c r="E1640" s="402"/>
      <c r="F1640" s="403">
        <f>ROUND(SUM(F1638:F1639)*C1640,2)</f>
        <v>0</v>
      </c>
      <c r="J1640" s="341"/>
      <c r="L1640" s="380"/>
      <c r="M1640" s="381"/>
      <c r="N1640" s="342"/>
      <c r="R1640" s="341"/>
      <c r="S1640" s="341"/>
    </row>
    <row r="1641" spans="1:25" ht="12.75" customHeight="1" thickBot="1">
      <c r="A1641" s="414"/>
      <c r="B1641" s="415" t="s">
        <v>230</v>
      </c>
      <c r="C1641" s="416"/>
      <c r="D1641" s="416"/>
      <c r="E1641" s="417"/>
      <c r="F1641" s="418">
        <f>SUM(F1638:F1640)</f>
        <v>0</v>
      </c>
      <c r="J1641" s="341"/>
      <c r="L1641" s="380"/>
      <c r="M1641" s="381"/>
      <c r="N1641" s="342"/>
      <c r="R1641" s="341"/>
      <c r="S1641" s="341"/>
    </row>
    <row r="1642" spans="1:25" ht="12.75" customHeight="1" thickBot="1">
      <c r="A1642" s="427"/>
      <c r="B1642" s="428"/>
      <c r="C1642" s="429"/>
      <c r="D1642" s="429"/>
      <c r="E1642" s="430"/>
      <c r="F1642" s="431"/>
      <c r="J1642" s="341"/>
      <c r="L1642" s="380"/>
      <c r="M1642" s="381"/>
      <c r="N1642" s="342"/>
      <c r="R1642" s="341"/>
      <c r="S1642" s="341"/>
    </row>
    <row r="1643" spans="1:25" ht="30" customHeight="1">
      <c r="A1643" s="370" t="str">
        <f>IV.A!$A$62</f>
        <v>3.3.1</v>
      </c>
      <c r="B1643" s="371" t="str">
        <f>IV.A!$B$62</f>
        <v>RECUPERAÇÃO E EXECUÇÃO DE MURETA</v>
      </c>
      <c r="C1643" s="871" t="s">
        <v>237</v>
      </c>
      <c r="D1643" s="872"/>
      <c r="E1643" s="372" t="str">
        <f>IV.A!$C$62</f>
        <v>M</v>
      </c>
      <c r="F1643" s="11">
        <f>ROUND(F1663+F1677+F1689,2)</f>
        <v>0</v>
      </c>
      <c r="G1643" s="1">
        <f>VLOOKUP(A1643,IV.A!$A$16:$L$172,4,FALSE)</f>
        <v>100</v>
      </c>
      <c r="H1643" s="361">
        <f>SUM(F1645:F1660)+F1662</f>
        <v>0</v>
      </c>
      <c r="I1643" s="361">
        <f>SUM(F1665:F1674)+F1676</f>
        <v>0</v>
      </c>
      <c r="J1643" s="361">
        <f>SUM(F1679:F1685)+F1687+F1688</f>
        <v>0</v>
      </c>
      <c r="K1643" s="361">
        <f>SUM(H1643:J1643)</f>
        <v>0</v>
      </c>
      <c r="L1643" s="362" t="str">
        <f>IF(K1643=F1643,"SIM","NÃO")</f>
        <v>SIM</v>
      </c>
      <c r="M1643" s="373">
        <f>ROUND(SUM(F1645:F1660),2)+ROUND(SUM(F1645:F1660)*C1662,2)+ROUND(SUM(F1665:F1674)*C1676,2)+ROUND(SUM(F1665:F1674),2)+ROUND(SUM(F1679:F1685)*C1687,2)+ROUND((SUM(F1679:F1685)+ROUND(SUM(F1679:F1685)*C1687,2))*C1688,2)+ROUND(SUM(F1679:F1685),2)</f>
        <v>0</v>
      </c>
      <c r="N1643" s="343" t="str">
        <f>IF(M1643=F1643,"SIM","NÃO")</f>
        <v>SIM</v>
      </c>
      <c r="O1643" s="364" t="str">
        <f>VLOOKUP(A1643,IV.A!$A$16:$E$172,3,FALSE)</f>
        <v>M</v>
      </c>
      <c r="P1643" s="344" t="str">
        <f>IF(O1643=E1643,"SIM","NÃO")</f>
        <v>SIM</v>
      </c>
      <c r="Q1643" s="365">
        <f>ROUND(G1643*F1663,2)+ROUND(G1643*F1677,2)+ROUND(G1643*F1689,2)</f>
        <v>0</v>
      </c>
      <c r="R1643" s="364">
        <f>VLOOKUP(A1643,IV.A!$A$16:$L$172,12,FALSE)</f>
        <v>0</v>
      </c>
      <c r="S1643" s="366" t="str">
        <f>IF(Q1643=R1643,"si","no")</f>
        <v>si</v>
      </c>
      <c r="T1643" s="367">
        <f>SUM(L1645:L1660)+SUM(L1665:L1674)+SUM(L1679:L1685)</f>
        <v>755.59</v>
      </c>
      <c r="U1643" s="341">
        <f>(SUM(C1645:C1660)+SUM(C1665:C1674)+SUM(C1679:C1685))*G1643</f>
        <v>755.58999999999992</v>
      </c>
      <c r="V1643" s="368" t="str">
        <f>IF(T1643=U1643,"si","no")</f>
        <v>si</v>
      </c>
      <c r="W1643" s="369">
        <f>SUM(F1645:F1660)</f>
        <v>0</v>
      </c>
      <c r="X1643" s="369">
        <f>SUM(F1665:F1674)</f>
        <v>0</v>
      </c>
      <c r="Y1643" s="369">
        <f>SUM(F1679:F1685)</f>
        <v>0</v>
      </c>
    </row>
    <row r="1644" spans="1:25" ht="12.75" customHeight="1">
      <c r="A1644" s="374" t="s">
        <v>14</v>
      </c>
      <c r="B1644" s="375" t="s">
        <v>132</v>
      </c>
      <c r="C1644" s="376" t="s">
        <v>231</v>
      </c>
      <c r="D1644" s="376" t="s">
        <v>232</v>
      </c>
      <c r="E1644" s="377" t="s">
        <v>233</v>
      </c>
      <c r="F1644" s="378" t="s">
        <v>234</v>
      </c>
      <c r="G1644" s="379"/>
      <c r="J1644" s="341"/>
      <c r="L1644" s="380"/>
      <c r="M1644" s="381"/>
      <c r="N1644" s="342"/>
      <c r="O1644" s="382"/>
      <c r="P1644" s="383"/>
      <c r="Q1644" s="383"/>
      <c r="R1644" s="383"/>
      <c r="S1644" s="383"/>
      <c r="T1644" s="382"/>
      <c r="U1644" s="341"/>
      <c r="V1644" s="384"/>
      <c r="W1644" s="384"/>
      <c r="X1644" s="384"/>
      <c r="Y1644" s="384"/>
    </row>
    <row r="1645" spans="1:25" ht="12.75" customHeight="1">
      <c r="A1645" s="385" t="str">
        <f>VII.A!$A$19</f>
        <v>1.10</v>
      </c>
      <c r="B1645" s="394" t="str">
        <f>VLOOKUP(A1645,VII.A!$A$10:$G$199,2,FALSE)</f>
        <v>AREIA MÉDIA LAVADA</v>
      </c>
      <c r="C1645" s="20">
        <v>2.01E-2</v>
      </c>
      <c r="D1645" s="342" t="str">
        <f>VLOOKUP(A1645,VII.A!$A$10:$G$199,3,FALSE)</f>
        <v>M3</v>
      </c>
      <c r="E1645" s="387">
        <f>VII.A!D19</f>
        <v>0</v>
      </c>
      <c r="F1645" s="388">
        <f>ROUND(C1645*E1645,2)</f>
        <v>0</v>
      </c>
      <c r="H1645" s="341">
        <f>IF(A1645="","",VLOOKUP(A1645,VII.A!$A$10:$D$199,4,FALSE))</f>
        <v>0</v>
      </c>
      <c r="I1645" s="341" t="str">
        <f t="shared" ref="I1645:I1660" si="425">IF(A1645="","",IF(E1645=H1645,"SIM","NÃO"))</f>
        <v>SIM</v>
      </c>
      <c r="J1645" s="341" t="str">
        <f>IF(A1645="","",VLOOKUP(A1645,VII.A!$A$10:$D$199,3,FALSE))</f>
        <v>M3</v>
      </c>
      <c r="K1645" s="342" t="str">
        <f t="shared" ref="K1645:K1660" si="426">IF(A1645="","",IF(J1645=D1645,"SIM","NÃO"))</f>
        <v>SIM</v>
      </c>
      <c r="L1645" s="380">
        <f>IF(C1645="","",G1643*C1645)</f>
        <v>2.0099999999999998</v>
      </c>
      <c r="M1645" s="381" t="str">
        <f>IF(A1645="","",VLOOKUP(A1645,VII.A!$A$10:$B$199,2,FALSE))</f>
        <v>AREIA MÉDIA LAVADA</v>
      </c>
      <c r="N1645" s="342" t="str">
        <f t="shared" ref="N1645:N1660" si="427">IF(B1645="","",IF(M1645=B1645,"si","no"))</f>
        <v>si</v>
      </c>
      <c r="R1645" s="341"/>
      <c r="S1645" s="341"/>
    </row>
    <row r="1646" spans="1:25" ht="12.75" customHeight="1">
      <c r="A1646" s="385" t="str">
        <f>VII.A!$A$84</f>
        <v>1.74</v>
      </c>
      <c r="B1646" s="394" t="str">
        <f>VLOOKUP(A1646,VII.A!$A$10:$G$199,2,FALSE)</f>
        <v>PEDRA BRITADA Nº 2 GRANULOMETRIA ENTRE (21,0 E 32,0 MM)</v>
      </c>
      <c r="C1646" s="20">
        <v>2.53E-2</v>
      </c>
      <c r="D1646" s="342" t="str">
        <f>VLOOKUP(A1646,VII.A!$A$10:$G$199,3,FALSE)</f>
        <v>M3</v>
      </c>
      <c r="E1646" s="387">
        <f>VII.A!D84</f>
        <v>0</v>
      </c>
      <c r="F1646" s="388">
        <f t="shared" ref="F1646:F1660" si="428">ROUND(C1646*E1646,2)</f>
        <v>0</v>
      </c>
      <c r="H1646" s="341">
        <f>IF(A1646="","",VLOOKUP(A1646,VII.A!$A$10:$D$199,4,FALSE))</f>
        <v>0</v>
      </c>
      <c r="I1646" s="341" t="str">
        <f t="shared" si="425"/>
        <v>SIM</v>
      </c>
      <c r="J1646" s="341" t="str">
        <f>IF(A1646="","",VLOOKUP(A1646,VII.A!$A$10:$D$199,3,FALSE))</f>
        <v>M3</v>
      </c>
      <c r="K1646" s="342" t="str">
        <f t="shared" si="426"/>
        <v>SIM</v>
      </c>
      <c r="L1646" s="380">
        <f>IF(C1646="","",G1643*C1646)</f>
        <v>2.5299999999999998</v>
      </c>
      <c r="M1646" s="381" t="str">
        <f>IF(A1646="","",VLOOKUP(A1646,VII.A!$A$10:$B$199,2,FALSE))</f>
        <v>PEDRA BRITADA Nº 2 GRANULOMETRIA ENTRE (21,0 E 32,0 MM)</v>
      </c>
      <c r="N1646" s="342" t="str">
        <f t="shared" si="427"/>
        <v>si</v>
      </c>
      <c r="R1646" s="341"/>
      <c r="S1646" s="341"/>
    </row>
    <row r="1647" spans="1:25" ht="12.75" customHeight="1">
      <c r="A1647" s="385" t="str">
        <f>VII.A!$A$38</f>
        <v>1.29</v>
      </c>
      <c r="B1647" s="394" t="str">
        <f>VLOOKUP(A1647,VII.A!$A$10:$G$199,2,FALSE)</f>
        <v>CIMENTO PORTLAND CP II-E-32</v>
      </c>
      <c r="C1647" s="20">
        <v>6.34</v>
      </c>
      <c r="D1647" s="342" t="str">
        <f>VLOOKUP(A1647,VII.A!$A$10:$G$199,3,FALSE)</f>
        <v>KG</v>
      </c>
      <c r="E1647" s="387">
        <f>VII.A!D38</f>
        <v>0</v>
      </c>
      <c r="F1647" s="388">
        <f t="shared" si="428"/>
        <v>0</v>
      </c>
      <c r="H1647" s="341">
        <f>IF(A1647="","",VLOOKUP(A1647,VII.A!$A$10:$D$199,4,FALSE))</f>
        <v>0</v>
      </c>
      <c r="I1647" s="341" t="str">
        <f t="shared" si="425"/>
        <v>SIM</v>
      </c>
      <c r="J1647" s="341" t="str">
        <f>IF(A1647="","",VLOOKUP(A1647,VII.A!$A$10:$D$199,3,FALSE))</f>
        <v>KG</v>
      </c>
      <c r="K1647" s="342" t="str">
        <f t="shared" si="426"/>
        <v>SIM</v>
      </c>
      <c r="L1647" s="380">
        <f>IF(C1647="","",G1643*C1647)</f>
        <v>634</v>
      </c>
      <c r="M1647" s="381" t="str">
        <f>IF(A1647="","",VLOOKUP(A1647,VII.A!$A$10:$B$199,2,FALSE))</f>
        <v>CIMENTO PORTLAND CP II-E-32</v>
      </c>
      <c r="N1647" s="342" t="str">
        <f t="shared" si="427"/>
        <v>si</v>
      </c>
      <c r="R1647" s="341"/>
      <c r="S1647" s="341"/>
    </row>
    <row r="1648" spans="1:25" ht="12.75" customHeight="1">
      <c r="A1648" s="385" t="str">
        <f>VII.A!$A$112</f>
        <v>1.102</v>
      </c>
      <c r="B1648" s="394" t="str">
        <f>VLOOKUP(A1648,VII.A!$A$10:$G$199,2,FALSE)</f>
        <v>TINTA LÁTEX ACRÍLICA - 1ª LINHA</v>
      </c>
      <c r="C1648" s="20">
        <v>5.6000000000000001E-2</v>
      </c>
      <c r="D1648" s="342" t="str">
        <f>VLOOKUP(A1648,VII.A!$A$10:$G$199,3,FALSE)</f>
        <v>L</v>
      </c>
      <c r="E1648" s="387">
        <f>VII.A!$D$112</f>
        <v>0</v>
      </c>
      <c r="F1648" s="388">
        <f t="shared" si="428"/>
        <v>0</v>
      </c>
      <c r="H1648" s="341">
        <f>IF(A1648="","",VLOOKUP(A1648,VII.A!$A$10:$D$199,4,FALSE))</f>
        <v>0</v>
      </c>
      <c r="I1648" s="341" t="str">
        <f t="shared" si="425"/>
        <v>SIM</v>
      </c>
      <c r="J1648" s="341" t="str">
        <f>IF(A1648="","",VLOOKUP(A1648,VII.A!$A$10:$D$199,3,FALSE))</f>
        <v>L</v>
      </c>
      <c r="K1648" s="342" t="str">
        <f t="shared" si="426"/>
        <v>SIM</v>
      </c>
      <c r="L1648" s="380">
        <f>IF(C1648="","",G1643*C1648)</f>
        <v>5.6000000000000005</v>
      </c>
      <c r="M1648" s="381" t="str">
        <f>IF(A1648="","",VLOOKUP(A1648,VII.A!$A$10:$B$199,2,FALSE))</f>
        <v>TINTA LÁTEX ACRÍLICA - 1ª LINHA</v>
      </c>
      <c r="N1648" s="342" t="str">
        <f t="shared" si="427"/>
        <v>si</v>
      </c>
      <c r="R1648" s="341"/>
      <c r="S1648" s="341"/>
    </row>
    <row r="1649" spans="1:21" ht="12.75" customHeight="1">
      <c r="A1649" s="385"/>
      <c r="B1649" s="386"/>
      <c r="C1649" s="20"/>
      <c r="D1649" s="342"/>
      <c r="E1649" s="387"/>
      <c r="F1649" s="388">
        <f t="shared" si="428"/>
        <v>0</v>
      </c>
      <c r="H1649" s="341" t="str">
        <f>IF(A1649="","",VLOOKUP(A1649,VII.A!$A$10:$D$199,4,FALSE))</f>
        <v/>
      </c>
      <c r="I1649" s="341" t="str">
        <f t="shared" si="425"/>
        <v/>
      </c>
      <c r="J1649" s="341" t="str">
        <f>IF(A1649="","",VLOOKUP(A1649,VII.A!$A$10:$D$199,3,FALSE))</f>
        <v/>
      </c>
      <c r="K1649" s="342" t="str">
        <f t="shared" si="426"/>
        <v/>
      </c>
      <c r="L1649" s="380" t="str">
        <f>IF(C1649="","",G1643*C1649)</f>
        <v/>
      </c>
      <c r="M1649" s="381" t="str">
        <f>IF(A1649="","",VLOOKUP(A1649,VII.A!$A$10:$B$199,2,FALSE))</f>
        <v/>
      </c>
      <c r="N1649" s="342" t="str">
        <f t="shared" si="427"/>
        <v/>
      </c>
      <c r="R1649" s="341"/>
      <c r="S1649" s="341"/>
    </row>
    <row r="1650" spans="1:21" ht="12.75" customHeight="1">
      <c r="A1650" s="385"/>
      <c r="B1650" s="386"/>
      <c r="C1650" s="20"/>
      <c r="D1650" s="342"/>
      <c r="E1650" s="387"/>
      <c r="F1650" s="388">
        <f t="shared" si="428"/>
        <v>0</v>
      </c>
      <c r="H1650" s="341" t="str">
        <f>IF(A1650="","",VLOOKUP(A1650,VII.A!$A$10:$D$199,4,FALSE))</f>
        <v/>
      </c>
      <c r="I1650" s="341" t="str">
        <f t="shared" si="425"/>
        <v/>
      </c>
      <c r="J1650" s="341" t="str">
        <f>IF(A1650="","",VLOOKUP(A1650,VII.A!$A$10:$D$199,3,FALSE))</f>
        <v/>
      </c>
      <c r="K1650" s="342" t="str">
        <f t="shared" si="426"/>
        <v/>
      </c>
      <c r="L1650" s="380" t="str">
        <f>IF(C1650="","",G1643*C1650)</f>
        <v/>
      </c>
      <c r="M1650" s="381" t="str">
        <f>IF(A1650="","",VLOOKUP(A1650,VII.A!$A$10:$B$199,2,FALSE))</f>
        <v/>
      </c>
      <c r="N1650" s="342" t="str">
        <f t="shared" si="427"/>
        <v/>
      </c>
      <c r="R1650" s="341"/>
      <c r="S1650" s="341"/>
      <c r="U1650" s="389"/>
    </row>
    <row r="1651" spans="1:21" ht="12.75" customHeight="1">
      <c r="A1651" s="385"/>
      <c r="B1651" s="386"/>
      <c r="C1651" s="20"/>
      <c r="D1651" s="342"/>
      <c r="E1651" s="387"/>
      <c r="F1651" s="388">
        <f t="shared" si="428"/>
        <v>0</v>
      </c>
      <c r="H1651" s="341" t="str">
        <f>IF(A1651="","",VLOOKUP(A1651,VII.A!$A$10:$D$199,4,FALSE))</f>
        <v/>
      </c>
      <c r="I1651" s="341" t="str">
        <f t="shared" si="425"/>
        <v/>
      </c>
      <c r="J1651" s="341" t="str">
        <f>IF(A1651="","",VLOOKUP(A1651,VII.A!$A$10:$D$199,3,FALSE))</f>
        <v/>
      </c>
      <c r="K1651" s="342" t="str">
        <f t="shared" si="426"/>
        <v/>
      </c>
      <c r="L1651" s="380" t="str">
        <f>IF(C1651="","",G1643*C1651)</f>
        <v/>
      </c>
      <c r="M1651" s="381" t="str">
        <f>IF(A1651="","",VLOOKUP(A1651,VII.A!$A$10:$B$199,2,FALSE))</f>
        <v/>
      </c>
      <c r="N1651" s="342" t="str">
        <f t="shared" si="427"/>
        <v/>
      </c>
      <c r="R1651" s="341"/>
      <c r="S1651" s="341"/>
    </row>
    <row r="1652" spans="1:21" ht="12.75" customHeight="1">
      <c r="A1652" s="385"/>
      <c r="B1652" s="386"/>
      <c r="C1652" s="20"/>
      <c r="D1652" s="342"/>
      <c r="E1652" s="387"/>
      <c r="F1652" s="388">
        <f t="shared" si="428"/>
        <v>0</v>
      </c>
      <c r="G1652" s="390"/>
      <c r="H1652" s="341" t="str">
        <f>IF(A1652="","",VLOOKUP(A1652,VII.A!$A$10:$D$199,4,FALSE))</f>
        <v/>
      </c>
      <c r="I1652" s="341" t="str">
        <f t="shared" si="425"/>
        <v/>
      </c>
      <c r="J1652" s="341" t="str">
        <f>IF(A1652="","",VLOOKUP(A1652,VII.A!$A$10:$D$199,3,FALSE))</f>
        <v/>
      </c>
      <c r="K1652" s="342" t="str">
        <f t="shared" si="426"/>
        <v/>
      </c>
      <c r="L1652" s="380" t="str">
        <f>IF(C1652="","",G1643*C1652)</f>
        <v/>
      </c>
      <c r="M1652" s="381" t="str">
        <f>IF(A1652="","",VLOOKUP(A1652,VII.A!$A$10:$B$199,2,FALSE))</f>
        <v/>
      </c>
      <c r="N1652" s="342" t="str">
        <f t="shared" si="427"/>
        <v/>
      </c>
      <c r="R1652" s="341"/>
      <c r="S1652" s="341"/>
    </row>
    <row r="1653" spans="1:21" ht="12.75" customHeight="1">
      <c r="A1653" s="385"/>
      <c r="B1653" s="386"/>
      <c r="C1653" s="20"/>
      <c r="D1653" s="342"/>
      <c r="E1653" s="387"/>
      <c r="F1653" s="388">
        <f t="shared" si="428"/>
        <v>0</v>
      </c>
      <c r="G1653" s="390"/>
      <c r="H1653" s="341" t="str">
        <f>IF(A1653="","",VLOOKUP(A1653,VII.A!$A$10:$D$199,4,FALSE))</f>
        <v/>
      </c>
      <c r="I1653" s="341" t="str">
        <f t="shared" si="425"/>
        <v/>
      </c>
      <c r="J1653" s="341" t="str">
        <f>IF(A1653="","",VLOOKUP(A1653,VII.A!$A$10:$D$199,3,FALSE))</f>
        <v/>
      </c>
      <c r="K1653" s="342" t="str">
        <f t="shared" si="426"/>
        <v/>
      </c>
      <c r="L1653" s="380" t="str">
        <f>IF(C1653="","",G1643*C1653)</f>
        <v/>
      </c>
      <c r="M1653" s="381" t="str">
        <f>IF(A1653="","",VLOOKUP(A1653,VII.A!$A$10:$B$199,2,FALSE))</f>
        <v/>
      </c>
      <c r="N1653" s="342" t="str">
        <f t="shared" si="427"/>
        <v/>
      </c>
      <c r="R1653" s="341"/>
      <c r="S1653" s="341"/>
    </row>
    <row r="1654" spans="1:21" ht="12.75" customHeight="1">
      <c r="A1654" s="385"/>
      <c r="B1654" s="386"/>
      <c r="C1654" s="20"/>
      <c r="D1654" s="342"/>
      <c r="E1654" s="387"/>
      <c r="F1654" s="388">
        <f t="shared" si="428"/>
        <v>0</v>
      </c>
      <c r="G1654" s="391"/>
      <c r="H1654" s="341" t="str">
        <f>IF(A1654="","",VLOOKUP(A1654,VII.A!$A$10:$D$199,4,FALSE))</f>
        <v/>
      </c>
      <c r="I1654" s="341" t="str">
        <f t="shared" si="425"/>
        <v/>
      </c>
      <c r="J1654" s="341" t="str">
        <f>IF(A1654="","",VLOOKUP(A1654,VII.A!$A$10:$D$199,3,FALSE))</f>
        <v/>
      </c>
      <c r="K1654" s="342" t="str">
        <f t="shared" si="426"/>
        <v/>
      </c>
      <c r="L1654" s="380" t="str">
        <f>IF(C1654="","",G1643*C1654)</f>
        <v/>
      </c>
      <c r="M1654" s="381" t="str">
        <f>IF(A1654="","",VLOOKUP(A1654,VII.A!$A$10:$B$199,2,FALSE))</f>
        <v/>
      </c>
      <c r="N1654" s="342" t="str">
        <f t="shared" si="427"/>
        <v/>
      </c>
      <c r="R1654" s="341"/>
      <c r="S1654" s="341"/>
    </row>
    <row r="1655" spans="1:21" ht="12.75" customHeight="1">
      <c r="A1655" s="385"/>
      <c r="B1655" s="386"/>
      <c r="C1655" s="20"/>
      <c r="D1655" s="342"/>
      <c r="E1655" s="387"/>
      <c r="F1655" s="388">
        <f t="shared" si="428"/>
        <v>0</v>
      </c>
      <c r="H1655" s="341" t="str">
        <f>IF(A1655="","",VLOOKUP(A1655,VII.A!$A$10:$D$199,4,FALSE))</f>
        <v/>
      </c>
      <c r="I1655" s="341" t="str">
        <f t="shared" si="425"/>
        <v/>
      </c>
      <c r="J1655" s="341" t="str">
        <f>IF(A1655="","",VLOOKUP(A1655,VII.A!$A$10:$D$199,3,FALSE))</f>
        <v/>
      </c>
      <c r="K1655" s="342" t="str">
        <f t="shared" si="426"/>
        <v/>
      </c>
      <c r="L1655" s="380" t="str">
        <f>IF(C1655="","",G1643*C1655)</f>
        <v/>
      </c>
      <c r="M1655" s="381" t="str">
        <f>IF(A1655="","",VLOOKUP(A1655,VII.A!$A$10:$B$199,2,FALSE))</f>
        <v/>
      </c>
      <c r="N1655" s="342" t="str">
        <f t="shared" si="427"/>
        <v/>
      </c>
      <c r="R1655" s="341"/>
      <c r="S1655" s="341"/>
    </row>
    <row r="1656" spans="1:21" ht="12.75" customHeight="1">
      <c r="A1656" s="385"/>
      <c r="B1656" s="386"/>
      <c r="C1656" s="20"/>
      <c r="D1656" s="392"/>
      <c r="E1656" s="387"/>
      <c r="F1656" s="388">
        <f t="shared" si="428"/>
        <v>0</v>
      </c>
      <c r="H1656" s="341" t="str">
        <f>IF(A1656="","",VLOOKUP(A1656,VII.A!$A$10:$D$199,4,FALSE))</f>
        <v/>
      </c>
      <c r="I1656" s="341" t="str">
        <f t="shared" si="425"/>
        <v/>
      </c>
      <c r="J1656" s="341" t="str">
        <f>IF(A1656="","",VLOOKUP(A1656,VII.A!$A$10:$D$199,3,FALSE))</f>
        <v/>
      </c>
      <c r="K1656" s="342" t="str">
        <f t="shared" si="426"/>
        <v/>
      </c>
      <c r="L1656" s="380" t="str">
        <f>IF(C1656="","",G1643*C1656)</f>
        <v/>
      </c>
      <c r="M1656" s="381" t="str">
        <f>IF(A1656="","",VLOOKUP(A1656,VII.A!$A$10:$B$199,2,FALSE))</f>
        <v/>
      </c>
      <c r="N1656" s="342" t="str">
        <f t="shared" si="427"/>
        <v/>
      </c>
      <c r="R1656" s="341"/>
      <c r="S1656" s="341"/>
    </row>
    <row r="1657" spans="1:21" ht="12.75" customHeight="1">
      <c r="A1657" s="385"/>
      <c r="B1657" s="386"/>
      <c r="C1657" s="20"/>
      <c r="D1657" s="392"/>
      <c r="E1657" s="387"/>
      <c r="F1657" s="388">
        <f t="shared" si="428"/>
        <v>0</v>
      </c>
      <c r="H1657" s="341" t="str">
        <f>IF(A1657="","",VLOOKUP(A1657,VII.A!$A$10:$D$199,4,FALSE))</f>
        <v/>
      </c>
      <c r="I1657" s="341" t="str">
        <f t="shared" si="425"/>
        <v/>
      </c>
      <c r="J1657" s="341" t="str">
        <f>IF(A1657="","",VLOOKUP(A1657,VII.A!$A$10:$D$199,3,FALSE))</f>
        <v/>
      </c>
      <c r="K1657" s="342" t="str">
        <f t="shared" si="426"/>
        <v/>
      </c>
      <c r="L1657" s="380" t="str">
        <f>IF(C1657="","",G1643*C1657)</f>
        <v/>
      </c>
      <c r="M1657" s="381" t="str">
        <f>IF(A1657="","",VLOOKUP(A1657,VII.A!$A$10:$B$199,2,FALSE))</f>
        <v/>
      </c>
      <c r="N1657" s="342" t="str">
        <f t="shared" si="427"/>
        <v/>
      </c>
      <c r="O1657" s="342"/>
      <c r="R1657" s="341"/>
      <c r="S1657" s="341"/>
    </row>
    <row r="1658" spans="1:21" ht="12.75" customHeight="1">
      <c r="A1658" s="385"/>
      <c r="B1658" s="386"/>
      <c r="C1658" s="20"/>
      <c r="D1658" s="392"/>
      <c r="E1658" s="387"/>
      <c r="F1658" s="388">
        <f t="shared" si="428"/>
        <v>0</v>
      </c>
      <c r="H1658" s="341" t="str">
        <f>IF(A1658="","",VLOOKUP(A1658,VII.A!$A$10:$D$199,4,FALSE))</f>
        <v/>
      </c>
      <c r="I1658" s="341" t="str">
        <f t="shared" si="425"/>
        <v/>
      </c>
      <c r="J1658" s="341" t="str">
        <f>IF(A1658="","",VLOOKUP(A1658,VII.A!$A$10:$D$199,3,FALSE))</f>
        <v/>
      </c>
      <c r="K1658" s="342" t="str">
        <f t="shared" si="426"/>
        <v/>
      </c>
      <c r="L1658" s="380" t="str">
        <f>IF(C1658="","",G1643*C1658)</f>
        <v/>
      </c>
      <c r="M1658" s="381" t="str">
        <f>IF(A1658="","",VLOOKUP(A1658,VII.A!$A$10:$B$199,2,FALSE))</f>
        <v/>
      </c>
      <c r="N1658" s="342" t="str">
        <f t="shared" si="427"/>
        <v/>
      </c>
      <c r="R1658" s="341"/>
      <c r="S1658" s="341"/>
    </row>
    <row r="1659" spans="1:21" ht="12.75" customHeight="1">
      <c r="A1659" s="393"/>
      <c r="C1659" s="20"/>
      <c r="E1659" s="387"/>
      <c r="F1659" s="388">
        <f t="shared" si="428"/>
        <v>0</v>
      </c>
      <c r="H1659" s="341" t="str">
        <f>IF(A1659="","",VLOOKUP(A1659,VII.A!$A$10:$D$199,4,FALSE))</f>
        <v/>
      </c>
      <c r="I1659" s="341" t="str">
        <f t="shared" si="425"/>
        <v/>
      </c>
      <c r="J1659" s="341" t="str">
        <f>IF(A1659="","",VLOOKUP(A1659,VII.A!$A$10:$D$199,3,FALSE))</f>
        <v/>
      </c>
      <c r="K1659" s="342" t="str">
        <f t="shared" si="426"/>
        <v/>
      </c>
      <c r="L1659" s="380" t="str">
        <f>IF(C1659="","",G1643*C1659)</f>
        <v/>
      </c>
      <c r="M1659" s="381" t="str">
        <f>IF(A1659="","",VLOOKUP(A1659,VII.A!$A$10:$B$199,2,FALSE))</f>
        <v/>
      </c>
      <c r="N1659" s="342" t="str">
        <f t="shared" si="427"/>
        <v/>
      </c>
      <c r="R1659" s="341"/>
      <c r="S1659" s="341"/>
    </row>
    <row r="1660" spans="1:21" ht="12.75" customHeight="1">
      <c r="A1660" s="393"/>
      <c r="C1660" s="20"/>
      <c r="E1660" s="387"/>
      <c r="F1660" s="388">
        <f t="shared" si="428"/>
        <v>0</v>
      </c>
      <c r="H1660" s="341" t="str">
        <f>IF(A1660="","",VLOOKUP(A1660,VII.A!$A$10:$D$199,4,FALSE))</f>
        <v/>
      </c>
      <c r="I1660" s="341" t="str">
        <f t="shared" si="425"/>
        <v/>
      </c>
      <c r="J1660" s="341" t="str">
        <f>IF(A1660="","",VLOOKUP(A1660,VII.A!$A$10:$D$199,3,FALSE))</f>
        <v/>
      </c>
      <c r="K1660" s="342" t="str">
        <f t="shared" si="426"/>
        <v/>
      </c>
      <c r="L1660" s="380" t="str">
        <f>IF(C1660="","",G1643*C1660)</f>
        <v/>
      </c>
      <c r="M1660" s="381" t="str">
        <f>IF(A1660="","",VLOOKUP(A1660,VII.A!$A$10:$B$199,2,FALSE))</f>
        <v/>
      </c>
      <c r="N1660" s="342" t="str">
        <f t="shared" si="427"/>
        <v/>
      </c>
      <c r="R1660" s="341"/>
      <c r="S1660" s="341"/>
    </row>
    <row r="1661" spans="1:21" ht="12.75" customHeight="1">
      <c r="A1661" s="393"/>
      <c r="B1661" s="395" t="s">
        <v>226</v>
      </c>
      <c r="C1661" s="396"/>
      <c r="D1661" s="397"/>
      <c r="E1661" s="398"/>
      <c r="F1661" s="399">
        <f>SUM(F1645:F1660)</f>
        <v>0</v>
      </c>
      <c r="H1661" s="426" t="s">
        <v>434</v>
      </c>
      <c r="J1661" s="341"/>
      <c r="L1661" s="380"/>
      <c r="M1661" s="381"/>
      <c r="N1661" s="342"/>
      <c r="R1661" s="341"/>
      <c r="S1661" s="341"/>
    </row>
    <row r="1662" spans="1:21" ht="12.75" customHeight="1">
      <c r="A1662" s="393"/>
      <c r="B1662" s="400" t="s">
        <v>53</v>
      </c>
      <c r="C1662" s="2">
        <f>$D$8</f>
        <v>0</v>
      </c>
      <c r="D1662" s="401"/>
      <c r="E1662" s="402"/>
      <c r="F1662" s="403">
        <f>ROUND(F1661*C1662,2)</f>
        <v>0</v>
      </c>
      <c r="J1662" s="341"/>
      <c r="L1662" s="380"/>
      <c r="M1662" s="381"/>
      <c r="N1662" s="342"/>
      <c r="R1662" s="341"/>
      <c r="S1662" s="341"/>
    </row>
    <row r="1663" spans="1:21" ht="12.75" customHeight="1">
      <c r="A1663" s="404"/>
      <c r="B1663" s="405" t="s">
        <v>227</v>
      </c>
      <c r="C1663" s="406"/>
      <c r="D1663" s="406"/>
      <c r="E1663" s="407"/>
      <c r="F1663" s="408">
        <f>F1661+F1662</f>
        <v>0</v>
      </c>
      <c r="J1663" s="341"/>
      <c r="L1663" s="380"/>
      <c r="M1663" s="381"/>
      <c r="N1663" s="342"/>
      <c r="R1663" s="341"/>
      <c r="S1663" s="341"/>
    </row>
    <row r="1664" spans="1:21" ht="12.75" customHeight="1">
      <c r="A1664" s="374" t="s">
        <v>2</v>
      </c>
      <c r="B1664" s="375" t="s">
        <v>235</v>
      </c>
      <c r="C1664" s="376" t="s">
        <v>231</v>
      </c>
      <c r="D1664" s="376" t="s">
        <v>232</v>
      </c>
      <c r="E1664" s="377" t="s">
        <v>233</v>
      </c>
      <c r="F1664" s="378" t="s">
        <v>234</v>
      </c>
      <c r="J1664" s="341"/>
      <c r="L1664" s="380"/>
      <c r="M1664" s="381"/>
      <c r="N1664" s="342"/>
      <c r="R1664" s="341"/>
      <c r="S1664" s="341"/>
    </row>
    <row r="1665" spans="1:19" ht="12.75" customHeight="1">
      <c r="A1665" s="393" t="str">
        <f>VII.A!$A$149</f>
        <v>2.7</v>
      </c>
      <c r="B1665" s="394" t="str">
        <f>VLOOKUP(A1665,VII.A!$A$10:$G$199,2,FALSE)</f>
        <v>BETONEIRA, CAPACIDADE NOMINAL DE 400L, MOTOR ELÉTRICO TRIFÁSICO DE  2CV - CHP</v>
      </c>
      <c r="C1665" s="20">
        <v>1.4500000000000001E-2</v>
      </c>
      <c r="D1665" s="384" t="str">
        <f>VLOOKUP(A1665,VII.A!$A$10:$G$199,3,FALSE)</f>
        <v>CHP</v>
      </c>
      <c r="E1665" s="387">
        <f>VII.A!$D$149</f>
        <v>0</v>
      </c>
      <c r="F1665" s="388">
        <f t="shared" ref="F1665:F1674" si="429">ROUND(C1665*E1665,2)</f>
        <v>0</v>
      </c>
      <c r="H1665" s="341">
        <f>IF(A1665="","",VLOOKUP(A1665,VII.A!$A$10:$D$199,4,FALSE))</f>
        <v>0</v>
      </c>
      <c r="I1665" s="341" t="str">
        <f t="shared" ref="I1665:I1674" si="430">IF(A1665="","",IF(E1665=H1665,"SIM","NÃO"))</f>
        <v>SIM</v>
      </c>
      <c r="J1665" s="341" t="str">
        <f>IF(A1665="","",VLOOKUP(A1665,VII.A!$A$10:$D$199,3,FALSE))</f>
        <v>CHP</v>
      </c>
      <c r="K1665" s="342" t="str">
        <f t="shared" ref="K1665:K1674" si="431">IF(A1665="","",IF(J1665=D1665,"SIM","NÃO"))</f>
        <v>SIM</v>
      </c>
      <c r="L1665" s="380">
        <f>IF(C1665="","",G1643*C1665)</f>
        <v>1.4500000000000002</v>
      </c>
      <c r="M1665" s="381" t="str">
        <f>IF(A1665="","",VLOOKUP(A1665,VII.A!$A$10:$B$199,2,FALSE))</f>
        <v>BETONEIRA, CAPACIDADE NOMINAL DE 400L, MOTOR ELÉTRICO TRIFÁSICO DE  2CV - CHP</v>
      </c>
      <c r="N1665" s="342" t="str">
        <f t="shared" ref="N1665:N1674" si="432">IF(B1665="","",IF(M1665=B1665,"si","no"))</f>
        <v>si</v>
      </c>
      <c r="R1665" s="341"/>
      <c r="S1665" s="341"/>
    </row>
    <row r="1666" spans="1:19" ht="12.75" customHeight="1">
      <c r="A1666" s="393"/>
      <c r="C1666" s="20"/>
      <c r="E1666" s="387"/>
      <c r="F1666" s="388">
        <f t="shared" si="429"/>
        <v>0</v>
      </c>
      <c r="H1666" s="341" t="str">
        <f>IF(A1666="","",VLOOKUP(A1666,VII.A!$A$10:$D$199,4,FALSE))</f>
        <v/>
      </c>
      <c r="I1666" s="341" t="str">
        <f t="shared" si="430"/>
        <v/>
      </c>
      <c r="J1666" s="341" t="str">
        <f>IF(A1666="","",VLOOKUP(A1666,VII.A!$A$10:$D$199,3,FALSE))</f>
        <v/>
      </c>
      <c r="K1666" s="342" t="str">
        <f t="shared" si="431"/>
        <v/>
      </c>
      <c r="L1666" s="380" t="str">
        <f>IF(C1666="","",G1643*C1666)</f>
        <v/>
      </c>
      <c r="M1666" s="381" t="str">
        <f>IF(A1666="","",VLOOKUP(A1666,VII.A!$A$10:$B$199,2,FALSE))</f>
        <v/>
      </c>
      <c r="N1666" s="342" t="str">
        <f t="shared" si="432"/>
        <v/>
      </c>
      <c r="R1666" s="341"/>
      <c r="S1666" s="341"/>
    </row>
    <row r="1667" spans="1:19" ht="12.75" customHeight="1">
      <c r="A1667" s="393"/>
      <c r="C1667" s="20"/>
      <c r="E1667" s="387"/>
      <c r="F1667" s="388">
        <f t="shared" si="429"/>
        <v>0</v>
      </c>
      <c r="H1667" s="341" t="str">
        <f>IF(A1667="","",VLOOKUP(A1667,VII.A!$A$10:$D$199,4,FALSE))</f>
        <v/>
      </c>
      <c r="I1667" s="341" t="str">
        <f t="shared" si="430"/>
        <v/>
      </c>
      <c r="J1667" s="341" t="str">
        <f>IF(A1667="","",VLOOKUP(A1667,VII.A!$A$10:$D$199,3,FALSE))</f>
        <v/>
      </c>
      <c r="K1667" s="342" t="str">
        <f t="shared" si="431"/>
        <v/>
      </c>
      <c r="L1667" s="380" t="str">
        <f>IF(C1667="","",G1643*C1667)</f>
        <v/>
      </c>
      <c r="M1667" s="381" t="str">
        <f>IF(A1667="","",VLOOKUP(A1667,VII.A!$A$10:$B$199,2,FALSE))</f>
        <v/>
      </c>
      <c r="N1667" s="342" t="str">
        <f t="shared" si="432"/>
        <v/>
      </c>
      <c r="R1667" s="341"/>
      <c r="S1667" s="341"/>
    </row>
    <row r="1668" spans="1:19" ht="12.75" customHeight="1">
      <c r="A1668" s="393"/>
      <c r="C1668" s="20"/>
      <c r="E1668" s="387"/>
      <c r="F1668" s="388">
        <f t="shared" si="429"/>
        <v>0</v>
      </c>
      <c r="H1668" s="341" t="str">
        <f>IF(A1668="","",VLOOKUP(A1668,VII.A!$A$10:$D$199,4,FALSE))</f>
        <v/>
      </c>
      <c r="I1668" s="341" t="str">
        <f t="shared" si="430"/>
        <v/>
      </c>
      <c r="J1668" s="341" t="str">
        <f>IF(A1668="","",VLOOKUP(A1668,VII.A!$A$10:$D$199,3,FALSE))</f>
        <v/>
      </c>
      <c r="K1668" s="342" t="str">
        <f t="shared" si="431"/>
        <v/>
      </c>
      <c r="L1668" s="380" t="str">
        <f>IF(C1668="","",G1643*C1668)</f>
        <v/>
      </c>
      <c r="M1668" s="381" t="str">
        <f>IF(A1668="","",VLOOKUP(A1668,VII.A!$A$10:$B$199,2,FALSE))</f>
        <v/>
      </c>
      <c r="N1668" s="342" t="str">
        <f t="shared" si="432"/>
        <v/>
      </c>
      <c r="R1668" s="341"/>
      <c r="S1668" s="341"/>
    </row>
    <row r="1669" spans="1:19" ht="12.75" customHeight="1">
      <c r="A1669" s="393"/>
      <c r="C1669" s="20"/>
      <c r="E1669" s="387"/>
      <c r="F1669" s="388">
        <f t="shared" si="429"/>
        <v>0</v>
      </c>
      <c r="G1669" s="390"/>
      <c r="H1669" s="341" t="str">
        <f>IF(A1669="","",VLOOKUP(A1669,VII.A!$A$10:$D$199,4,FALSE))</f>
        <v/>
      </c>
      <c r="I1669" s="341" t="str">
        <f t="shared" si="430"/>
        <v/>
      </c>
      <c r="J1669" s="341" t="str">
        <f>IF(A1669="","",VLOOKUP(A1669,VII.A!$A$10:$D$199,3,FALSE))</f>
        <v/>
      </c>
      <c r="K1669" s="342" t="str">
        <f t="shared" si="431"/>
        <v/>
      </c>
      <c r="L1669" s="380" t="str">
        <f>IF(C1669="","",G1643*C1669)</f>
        <v/>
      </c>
      <c r="M1669" s="381" t="str">
        <f>IF(A1669="","",VLOOKUP(A1669,VII.A!$A$10:$B$199,2,FALSE))</f>
        <v/>
      </c>
      <c r="N1669" s="342" t="str">
        <f t="shared" si="432"/>
        <v/>
      </c>
      <c r="R1669" s="341"/>
      <c r="S1669" s="341"/>
    </row>
    <row r="1670" spans="1:19" ht="12.75" customHeight="1">
      <c r="A1670" s="393"/>
      <c r="C1670" s="20"/>
      <c r="E1670" s="387"/>
      <c r="F1670" s="388">
        <f t="shared" si="429"/>
        <v>0</v>
      </c>
      <c r="G1670" s="391"/>
      <c r="H1670" s="341" t="str">
        <f>IF(A1670="","",VLOOKUP(A1670,VII.A!$A$10:$D$199,4,FALSE))</f>
        <v/>
      </c>
      <c r="I1670" s="341" t="str">
        <f t="shared" si="430"/>
        <v/>
      </c>
      <c r="J1670" s="341" t="str">
        <f>IF(A1670="","",VLOOKUP(A1670,VII.A!$A$10:$D$199,3,FALSE))</f>
        <v/>
      </c>
      <c r="K1670" s="342" t="str">
        <f t="shared" si="431"/>
        <v/>
      </c>
      <c r="L1670" s="380" t="str">
        <f>IF(C1670="","",G1643*C1670)</f>
        <v/>
      </c>
      <c r="M1670" s="381" t="str">
        <f>IF(A1670="","",VLOOKUP(A1670,VII.A!$A$10:$B$199,2,FALSE))</f>
        <v/>
      </c>
      <c r="N1670" s="342" t="str">
        <f t="shared" si="432"/>
        <v/>
      </c>
      <c r="R1670" s="341"/>
      <c r="S1670" s="341"/>
    </row>
    <row r="1671" spans="1:19" ht="12.75" customHeight="1">
      <c r="A1671" s="393"/>
      <c r="C1671" s="20"/>
      <c r="E1671" s="387"/>
      <c r="F1671" s="388">
        <f t="shared" si="429"/>
        <v>0</v>
      </c>
      <c r="H1671" s="341" t="str">
        <f>IF(A1671="","",VLOOKUP(A1671,VII.A!$A$10:$D$199,4,FALSE))</f>
        <v/>
      </c>
      <c r="I1671" s="341" t="str">
        <f t="shared" si="430"/>
        <v/>
      </c>
      <c r="J1671" s="341" t="str">
        <f>IF(A1671="","",VLOOKUP(A1671,VII.A!$A$10:$D$199,3,FALSE))</f>
        <v/>
      </c>
      <c r="K1671" s="342" t="str">
        <f t="shared" si="431"/>
        <v/>
      </c>
      <c r="L1671" s="380" t="str">
        <f>IF(C1671="","",G1643*C1671)</f>
        <v/>
      </c>
      <c r="M1671" s="381" t="str">
        <f>IF(A1671="","",VLOOKUP(A1671,VII.A!$A$10:$B$199,2,FALSE))</f>
        <v/>
      </c>
      <c r="N1671" s="342" t="str">
        <f t="shared" si="432"/>
        <v/>
      </c>
      <c r="R1671" s="341"/>
      <c r="S1671" s="341"/>
    </row>
    <row r="1672" spans="1:19" ht="12.75" customHeight="1">
      <c r="A1672" s="393"/>
      <c r="C1672" s="20"/>
      <c r="E1672" s="387"/>
      <c r="F1672" s="388">
        <f t="shared" si="429"/>
        <v>0</v>
      </c>
      <c r="H1672" s="341" t="str">
        <f>IF(A1672="","",VLOOKUP(A1672,VII.A!$A$10:$D$199,4,FALSE))</f>
        <v/>
      </c>
      <c r="I1672" s="341" t="str">
        <f t="shared" si="430"/>
        <v/>
      </c>
      <c r="J1672" s="341" t="str">
        <f>IF(A1672="","",VLOOKUP(A1672,VII.A!$A$10:$D$199,3,FALSE))</f>
        <v/>
      </c>
      <c r="K1672" s="342" t="str">
        <f t="shared" si="431"/>
        <v/>
      </c>
      <c r="L1672" s="380" t="str">
        <f>IF(C1672="","",G1643*C1672)</f>
        <v/>
      </c>
      <c r="M1672" s="381" t="str">
        <f>IF(A1672="","",VLOOKUP(A1672,VII.A!$A$10:$B$199,2,FALSE))</f>
        <v/>
      </c>
      <c r="N1672" s="342" t="str">
        <f t="shared" si="432"/>
        <v/>
      </c>
      <c r="R1672" s="341"/>
      <c r="S1672" s="341"/>
    </row>
    <row r="1673" spans="1:19" ht="12.75" customHeight="1">
      <c r="A1673" s="393"/>
      <c r="C1673" s="20"/>
      <c r="E1673" s="387"/>
      <c r="F1673" s="388">
        <f t="shared" si="429"/>
        <v>0</v>
      </c>
      <c r="H1673" s="341" t="str">
        <f>IF(A1673="","",VLOOKUP(A1673,VII.A!$A$10:$D$199,4,FALSE))</f>
        <v/>
      </c>
      <c r="I1673" s="341" t="str">
        <f t="shared" si="430"/>
        <v/>
      </c>
      <c r="J1673" s="341" t="str">
        <f>IF(A1673="","",VLOOKUP(A1673,VII.A!$A$10:$D$199,3,FALSE))</f>
        <v/>
      </c>
      <c r="K1673" s="342" t="str">
        <f t="shared" si="431"/>
        <v/>
      </c>
      <c r="L1673" s="380" t="str">
        <f>IF(C1673="","",G1643*C1673)</f>
        <v/>
      </c>
      <c r="M1673" s="381" t="str">
        <f>IF(A1673="","",VLOOKUP(A1673,VII.A!$A$10:$B$199,2,FALSE))</f>
        <v/>
      </c>
      <c r="N1673" s="342" t="str">
        <f t="shared" si="432"/>
        <v/>
      </c>
      <c r="R1673" s="341"/>
      <c r="S1673" s="341"/>
    </row>
    <row r="1674" spans="1:19" ht="12.75" customHeight="1">
      <c r="A1674" s="393"/>
      <c r="C1674" s="20"/>
      <c r="E1674" s="387"/>
      <c r="F1674" s="388">
        <f t="shared" si="429"/>
        <v>0</v>
      </c>
      <c r="H1674" s="341" t="str">
        <f>IF(A1674="","",VLOOKUP(A1674,VII.A!$A$10:$D$199,4,FALSE))</f>
        <v/>
      </c>
      <c r="I1674" s="341" t="str">
        <f t="shared" si="430"/>
        <v/>
      </c>
      <c r="J1674" s="341" t="str">
        <f>IF(A1674="","",VLOOKUP(A1674,VII.A!$A$10:$D$199,3,FALSE))</f>
        <v/>
      </c>
      <c r="K1674" s="342" t="str">
        <f t="shared" si="431"/>
        <v/>
      </c>
      <c r="L1674" s="380" t="str">
        <f>IF(C1674="","",G1643*C1674)</f>
        <v/>
      </c>
      <c r="M1674" s="381" t="str">
        <f>IF(A1674="","",VLOOKUP(A1674,VII.A!$A$10:$B$199,2,FALSE))</f>
        <v/>
      </c>
      <c r="N1674" s="342" t="str">
        <f t="shared" si="432"/>
        <v/>
      </c>
      <c r="R1674" s="341"/>
      <c r="S1674" s="341"/>
    </row>
    <row r="1675" spans="1:19" ht="12.75" customHeight="1">
      <c r="A1675" s="393"/>
      <c r="B1675" s="395" t="s">
        <v>226</v>
      </c>
      <c r="C1675" s="396"/>
      <c r="D1675" s="397"/>
      <c r="E1675" s="398"/>
      <c r="F1675" s="399">
        <f>SUM(F1665:F1674)</f>
        <v>0</v>
      </c>
      <c r="J1675" s="341"/>
      <c r="L1675" s="380"/>
      <c r="M1675" s="381"/>
      <c r="N1675" s="342"/>
      <c r="R1675" s="341"/>
      <c r="S1675" s="341"/>
    </row>
    <row r="1676" spans="1:19" ht="12.75" customHeight="1">
      <c r="A1676" s="393"/>
      <c r="B1676" s="400" t="s">
        <v>53</v>
      </c>
      <c r="C1676" s="2">
        <f>$D$8</f>
        <v>0</v>
      </c>
      <c r="D1676" s="401"/>
      <c r="E1676" s="402"/>
      <c r="F1676" s="403">
        <f>ROUND(C1676*F1675,2)</f>
        <v>0</v>
      </c>
      <c r="J1676" s="341"/>
      <c r="L1676" s="380"/>
      <c r="M1676" s="381"/>
      <c r="N1676" s="342"/>
      <c r="R1676" s="341"/>
      <c r="S1676" s="341"/>
    </row>
    <row r="1677" spans="1:19" ht="12.75" customHeight="1">
      <c r="A1677" s="404"/>
      <c r="B1677" s="405" t="s">
        <v>228</v>
      </c>
      <c r="C1677" s="406"/>
      <c r="D1677" s="406"/>
      <c r="E1677" s="407"/>
      <c r="F1677" s="408">
        <f>F1675+F1676</f>
        <v>0</v>
      </c>
      <c r="J1677" s="341"/>
      <c r="L1677" s="380"/>
      <c r="M1677" s="381"/>
      <c r="N1677" s="342"/>
      <c r="R1677" s="341"/>
      <c r="S1677" s="341"/>
    </row>
    <row r="1678" spans="1:19" ht="12.75" customHeight="1">
      <c r="A1678" s="409" t="s">
        <v>47</v>
      </c>
      <c r="B1678" s="410" t="s">
        <v>236</v>
      </c>
      <c r="C1678" s="411" t="s">
        <v>231</v>
      </c>
      <c r="D1678" s="412" t="s">
        <v>232</v>
      </c>
      <c r="E1678" s="413" t="s">
        <v>233</v>
      </c>
      <c r="F1678" s="378" t="s">
        <v>234</v>
      </c>
      <c r="J1678" s="341"/>
      <c r="L1678" s="380"/>
      <c r="M1678" s="381"/>
      <c r="N1678" s="342"/>
      <c r="R1678" s="341"/>
      <c r="S1678" s="341"/>
    </row>
    <row r="1679" spans="1:19" ht="12.75" customHeight="1">
      <c r="A1679" s="393" t="str">
        <f>VII.A!$A$196</f>
        <v>3.16</v>
      </c>
      <c r="B1679" s="394" t="s">
        <v>157</v>
      </c>
      <c r="C1679" s="20">
        <v>0.8</v>
      </c>
      <c r="D1679" s="384" t="str">
        <f>VLOOKUP(A1679,VII.A!$A$10:$G$199,3,FALSE)</f>
        <v>H</v>
      </c>
      <c r="E1679" s="387">
        <f>VII.A!D196</f>
        <v>0</v>
      </c>
      <c r="F1679" s="388">
        <f t="shared" ref="F1679:F1685" si="433">ROUND(C1679*E1679,2)</f>
        <v>0</v>
      </c>
      <c r="H1679" s="341">
        <f>IF(A1679="","",VLOOKUP(A1679,VII.A!$A$10:$D$199,4,FALSE))</f>
        <v>0</v>
      </c>
      <c r="I1679" s="341" t="str">
        <f t="shared" ref="I1679:I1685" si="434">IF(A1679="","",IF(E1679=H1679,"SIM","NÃO"))</f>
        <v>SIM</v>
      </c>
      <c r="J1679" s="341" t="str">
        <f>IF(A1679="","",VLOOKUP(A1679,VII.A!$A$10:$D$199,3,FALSE))</f>
        <v>H</v>
      </c>
      <c r="K1679" s="342" t="str">
        <f t="shared" ref="K1679:K1685" si="435">IF(A1679="","",IF(J1679=D1679,"SIM","NÃO"))</f>
        <v>SIM</v>
      </c>
      <c r="L1679" s="380">
        <f>IF(C1679="","",G1643*C1679)</f>
        <v>80</v>
      </c>
      <c r="M1679" s="381" t="str">
        <f>IF(A1679="","",VLOOKUP(A1679,VII.A!$A$10:$B$199,2,FALSE))</f>
        <v>SERVENTE COM ENCARGOS COMPLEMENTARES</v>
      </c>
      <c r="N1679" s="342" t="str">
        <f t="shared" ref="N1679:N1685" si="436">IF(B1679="","",IF(M1679=B1679,"si","no"))</f>
        <v>si</v>
      </c>
      <c r="R1679" s="341"/>
      <c r="S1679" s="341"/>
    </row>
    <row r="1680" spans="1:19" ht="12.75" customHeight="1">
      <c r="A1680" s="393" t="str">
        <f>VII.A!$A$192</f>
        <v>3.12</v>
      </c>
      <c r="B1680" s="394" t="s">
        <v>153</v>
      </c>
      <c r="C1680" s="20">
        <v>0.3</v>
      </c>
      <c r="D1680" s="384" t="str">
        <f>VLOOKUP(A1680,VII.A!$A$10:$G$199,3,FALSE)</f>
        <v>H</v>
      </c>
      <c r="E1680" s="387">
        <f>VII.A!$D$192</f>
        <v>0</v>
      </c>
      <c r="F1680" s="388">
        <f t="shared" si="433"/>
        <v>0</v>
      </c>
      <c r="H1680" s="341">
        <f>IF(A1680="","",VLOOKUP(A1680,VII.A!$A$10:$D$199,4,FALSE))</f>
        <v>0</v>
      </c>
      <c r="I1680" s="341" t="str">
        <f t="shared" si="434"/>
        <v>SIM</v>
      </c>
      <c r="J1680" s="341" t="str">
        <f>IF(A1680="","",VLOOKUP(A1680,VII.A!$A$10:$D$199,3,FALSE))</f>
        <v>H</v>
      </c>
      <c r="K1680" s="342" t="str">
        <f t="shared" si="435"/>
        <v>SIM</v>
      </c>
      <c r="L1680" s="380">
        <f>IF(C1680="","",G1643*C1680)</f>
        <v>30</v>
      </c>
      <c r="M1680" s="381" t="str">
        <f>IF(A1680="","",VLOOKUP(A1680,VII.A!$A$10:$B$199,2,FALSE))</f>
        <v>PEDREIRO COM ENCARGOS COMPLEMENTARES</v>
      </c>
      <c r="N1680" s="342" t="str">
        <f t="shared" si="436"/>
        <v>si</v>
      </c>
      <c r="R1680" s="341"/>
      <c r="S1680" s="341"/>
    </row>
    <row r="1681" spans="1:25" ht="12.75" customHeight="1">
      <c r="A1681" s="393"/>
      <c r="C1681" s="20"/>
      <c r="E1681" s="387"/>
      <c r="F1681" s="388">
        <f t="shared" si="433"/>
        <v>0</v>
      </c>
      <c r="H1681" s="341" t="str">
        <f>IF(A1681="","",VLOOKUP(A1681,VII.A!$A$10:$D$199,4,FALSE))</f>
        <v/>
      </c>
      <c r="I1681" s="341" t="str">
        <f t="shared" si="434"/>
        <v/>
      </c>
      <c r="J1681" s="341" t="str">
        <f>IF(A1681="","",VLOOKUP(A1681,VII.A!$A$10:$D$199,3,FALSE))</f>
        <v/>
      </c>
      <c r="K1681" s="342" t="str">
        <f t="shared" si="435"/>
        <v/>
      </c>
      <c r="L1681" s="380" t="str">
        <f>IF(C1681="","",G1643*C1681)</f>
        <v/>
      </c>
      <c r="M1681" s="381" t="str">
        <f>IF(A1681="","",VLOOKUP(A1681,VII.A!$A$10:$B$199,2,FALSE))</f>
        <v/>
      </c>
      <c r="N1681" s="342" t="str">
        <f t="shared" si="436"/>
        <v/>
      </c>
      <c r="R1681" s="341"/>
      <c r="S1681" s="341"/>
    </row>
    <row r="1682" spans="1:25" ht="12.75" customHeight="1">
      <c r="A1682" s="393"/>
      <c r="C1682" s="20"/>
      <c r="E1682" s="387"/>
      <c r="F1682" s="388">
        <f t="shared" si="433"/>
        <v>0</v>
      </c>
      <c r="H1682" s="341" t="str">
        <f>IF(A1682="","",VLOOKUP(A1682,VII.A!$A$10:$D$199,4,FALSE))</f>
        <v/>
      </c>
      <c r="I1682" s="341" t="str">
        <f t="shared" si="434"/>
        <v/>
      </c>
      <c r="J1682" s="341" t="str">
        <f>IF(A1682="","",VLOOKUP(A1682,VII.A!$A$10:$D$199,3,FALSE))</f>
        <v/>
      </c>
      <c r="K1682" s="342" t="str">
        <f t="shared" si="435"/>
        <v/>
      </c>
      <c r="L1682" s="380" t="str">
        <f>IF(C1682="","",G1643*C1682)</f>
        <v/>
      </c>
      <c r="M1682" s="381" t="str">
        <f>IF(A1682="","",VLOOKUP(A1682,VII.A!$A$10:$B$199,2,FALSE))</f>
        <v/>
      </c>
      <c r="N1682" s="342" t="str">
        <f t="shared" si="436"/>
        <v/>
      </c>
      <c r="R1682" s="341"/>
      <c r="S1682" s="341"/>
    </row>
    <row r="1683" spans="1:25" ht="12.75" customHeight="1">
      <c r="A1683" s="393"/>
      <c r="C1683" s="20"/>
      <c r="E1683" s="387"/>
      <c r="F1683" s="388">
        <f t="shared" si="433"/>
        <v>0</v>
      </c>
      <c r="H1683" s="341" t="str">
        <f>IF(A1683="","",VLOOKUP(A1683,VII.A!$A$10:$D$199,4,FALSE))</f>
        <v/>
      </c>
      <c r="I1683" s="341" t="str">
        <f t="shared" si="434"/>
        <v/>
      </c>
      <c r="J1683" s="341" t="str">
        <f>IF(A1683="","",VLOOKUP(A1683,VII.A!$A$10:$D$199,3,FALSE))</f>
        <v/>
      </c>
      <c r="K1683" s="342" t="str">
        <f t="shared" si="435"/>
        <v/>
      </c>
      <c r="L1683" s="380" t="str">
        <f>IF(C1683="","",G1643*C1683)</f>
        <v/>
      </c>
      <c r="M1683" s="381" t="str">
        <f>IF(A1683="","",VLOOKUP(A1683,VII.A!$A$10:$B$199,2,FALSE))</f>
        <v/>
      </c>
      <c r="N1683" s="342" t="str">
        <f t="shared" si="436"/>
        <v/>
      </c>
      <c r="R1683" s="341"/>
      <c r="S1683" s="341"/>
    </row>
    <row r="1684" spans="1:25" ht="12.75" customHeight="1">
      <c r="A1684" s="393"/>
      <c r="C1684" s="20"/>
      <c r="E1684" s="387"/>
      <c r="F1684" s="388">
        <f t="shared" si="433"/>
        <v>0</v>
      </c>
      <c r="H1684" s="341" t="str">
        <f>IF(A1684="","",VLOOKUP(A1684,VII.A!$A$10:$D$199,4,FALSE))</f>
        <v/>
      </c>
      <c r="I1684" s="341" t="str">
        <f t="shared" si="434"/>
        <v/>
      </c>
      <c r="J1684" s="341" t="str">
        <f>IF(A1684="","",VLOOKUP(A1684,VII.A!$A$10:$D$199,3,FALSE))</f>
        <v/>
      </c>
      <c r="K1684" s="342" t="str">
        <f t="shared" si="435"/>
        <v/>
      </c>
      <c r="L1684" s="380" t="str">
        <f>IF(C1684="","",G1643*C1684)</f>
        <v/>
      </c>
      <c r="M1684" s="381" t="str">
        <f>IF(A1684="","",VLOOKUP(A1684,VII.A!$A$10:$B$199,2,FALSE))</f>
        <v/>
      </c>
      <c r="N1684" s="342" t="str">
        <f t="shared" si="436"/>
        <v/>
      </c>
      <c r="R1684" s="341"/>
      <c r="S1684" s="341"/>
    </row>
    <row r="1685" spans="1:25" ht="12.75" customHeight="1">
      <c r="A1685" s="393"/>
      <c r="C1685" s="20"/>
      <c r="E1685" s="387"/>
      <c r="F1685" s="388">
        <f t="shared" si="433"/>
        <v>0</v>
      </c>
      <c r="H1685" s="341" t="str">
        <f>IF(A1685="","",VLOOKUP(A1685,VII.A!$A$10:$D$199,4,FALSE))</f>
        <v/>
      </c>
      <c r="I1685" s="341" t="str">
        <f t="shared" si="434"/>
        <v/>
      </c>
      <c r="J1685" s="341" t="str">
        <f>IF(A1685="","",VLOOKUP(A1685,VII.A!$A$10:$D$199,3,FALSE))</f>
        <v/>
      </c>
      <c r="K1685" s="342" t="str">
        <f t="shared" si="435"/>
        <v/>
      </c>
      <c r="L1685" s="380" t="str">
        <f>IF(C1685="","",G1643*C1685)</f>
        <v/>
      </c>
      <c r="M1685" s="381" t="str">
        <f>IF(A1685="","",VLOOKUP(A1685,VII.A!$A$10:$B$199,2,FALSE))</f>
        <v/>
      </c>
      <c r="N1685" s="342" t="str">
        <f t="shared" si="436"/>
        <v/>
      </c>
      <c r="R1685" s="341"/>
      <c r="S1685" s="341"/>
    </row>
    <row r="1686" spans="1:25" ht="12.75" customHeight="1">
      <c r="A1686" s="393"/>
      <c r="B1686" s="395" t="s">
        <v>226</v>
      </c>
      <c r="C1686" s="396"/>
      <c r="D1686" s="397"/>
      <c r="E1686" s="398"/>
      <c r="F1686" s="399">
        <f>SUM(F1679:F1685)</f>
        <v>0</v>
      </c>
      <c r="J1686" s="341"/>
      <c r="L1686" s="380"/>
      <c r="M1686" s="381"/>
      <c r="N1686" s="342"/>
      <c r="R1686" s="341"/>
      <c r="S1686" s="341"/>
    </row>
    <row r="1687" spans="1:25" ht="12.75" customHeight="1">
      <c r="A1687" s="393"/>
      <c r="B1687" s="400" t="s">
        <v>229</v>
      </c>
      <c r="C1687" s="2">
        <f>IX.A!$C$45</f>
        <v>0</v>
      </c>
      <c r="D1687" s="401"/>
      <c r="E1687" s="402"/>
      <c r="F1687" s="403">
        <f>ROUND(F1686*C1687,2)</f>
        <v>0</v>
      </c>
      <c r="J1687" s="341"/>
      <c r="L1687" s="380"/>
      <c r="M1687" s="381"/>
      <c r="N1687" s="342"/>
      <c r="R1687" s="341"/>
      <c r="S1687" s="341"/>
    </row>
    <row r="1688" spans="1:25" ht="12.75" customHeight="1">
      <c r="A1688" s="393"/>
      <c r="B1688" s="400" t="s">
        <v>53</v>
      </c>
      <c r="C1688" s="2">
        <f>$D$8</f>
        <v>0</v>
      </c>
      <c r="D1688" s="401"/>
      <c r="E1688" s="402"/>
      <c r="F1688" s="403">
        <f>ROUND(SUM(F1686:F1687)*C1688,2)</f>
        <v>0</v>
      </c>
      <c r="J1688" s="341"/>
      <c r="L1688" s="380"/>
      <c r="M1688" s="381"/>
      <c r="N1688" s="342"/>
      <c r="R1688" s="341"/>
      <c r="S1688" s="341"/>
    </row>
    <row r="1689" spans="1:25" ht="12.75" customHeight="1" thickBot="1">
      <c r="A1689" s="414"/>
      <c r="B1689" s="415" t="s">
        <v>230</v>
      </c>
      <c r="C1689" s="416"/>
      <c r="D1689" s="416"/>
      <c r="E1689" s="417"/>
      <c r="F1689" s="418">
        <f>SUM(F1686:F1688)</f>
        <v>0</v>
      </c>
      <c r="J1689" s="341"/>
      <c r="L1689" s="380"/>
      <c r="M1689" s="381"/>
      <c r="N1689" s="342"/>
      <c r="R1689" s="341"/>
      <c r="S1689" s="341"/>
    </row>
    <row r="1690" spans="1:25" ht="12.75" customHeight="1" thickBot="1">
      <c r="A1690" s="357"/>
      <c r="B1690" s="358"/>
      <c r="C1690" s="359"/>
      <c r="D1690" s="359"/>
      <c r="E1690" s="360"/>
      <c r="F1690" s="419"/>
      <c r="J1690" s="341"/>
      <c r="L1690" s="380"/>
      <c r="M1690" s="381"/>
      <c r="N1690" s="342"/>
      <c r="R1690" s="341"/>
      <c r="S1690" s="341"/>
    </row>
    <row r="1691" spans="1:25" ht="30" customHeight="1">
      <c r="A1691" s="370" t="str">
        <f>IV.A!$A$63</f>
        <v>3.3.2</v>
      </c>
      <c r="B1691" s="371" t="str">
        <f>IV.A!$B$63</f>
        <v>ALVENARIA DE TIJOLO MACIÇO CERÂMICO 1/2 VEZ</v>
      </c>
      <c r="C1691" s="871" t="s">
        <v>237</v>
      </c>
      <c r="D1691" s="872"/>
      <c r="E1691" s="372" t="str">
        <f>IV.A!$C$63</f>
        <v>M2</v>
      </c>
      <c r="F1691" s="11">
        <f>ROUND(F1711+F1725+F1737,2)</f>
        <v>0</v>
      </c>
      <c r="G1691" s="1">
        <f>VLOOKUP(A1691,IV.A!$A$16:$L$172,4,FALSE)</f>
        <v>25</v>
      </c>
      <c r="H1691" s="361">
        <f>SUM(F1693:F1708)+F1710</f>
        <v>0</v>
      </c>
      <c r="I1691" s="361">
        <f>SUM(F1713:F1722)+F1724</f>
        <v>0</v>
      </c>
      <c r="J1691" s="361">
        <f>SUM(F1727:F1733)+F1735+F1736</f>
        <v>0</v>
      </c>
      <c r="K1691" s="361">
        <f>SUM(H1691:J1691)</f>
        <v>0</v>
      </c>
      <c r="L1691" s="362" t="str">
        <f>IF(K1691=F1691,"SIM","NÃO")</f>
        <v>SIM</v>
      </c>
      <c r="M1691" s="373">
        <f>ROUND(SUM(F1693:F1708),2)+ROUND(SUM(F1693:F1708)*C1710,2)+ROUND(SUM(F1713:F1722)*C1724,2)+ROUND(SUM(F1713:F1722),2)+ROUND(SUM(F1727:F1733)*C1735,2)+ROUND((SUM(F1727:F1733)+ROUND(SUM(F1727:F1733)*C1735,2))*C1736,2)+ROUND(SUM(F1727:F1733),2)</f>
        <v>0</v>
      </c>
      <c r="N1691" s="343" t="str">
        <f>IF(M1691=F1691,"SIM","NÃO")</f>
        <v>SIM</v>
      </c>
      <c r="O1691" s="364" t="str">
        <f>VLOOKUP(A1691,IV.A!$A$16:$E$172,3,FALSE)</f>
        <v>M2</v>
      </c>
      <c r="P1691" s="344" t="str">
        <f>IF(O1691=E1691,"SIM","NÃO")</f>
        <v>SIM</v>
      </c>
      <c r="Q1691" s="365">
        <f>ROUND(G1691*F1711,2)+ROUND(G1691*F1725,2)+ROUND(G1691*F1737,2)</f>
        <v>0</v>
      </c>
      <c r="R1691" s="364">
        <f>VLOOKUP(A1691,IV.A!$A$16:$L$172,12,FALSE)</f>
        <v>0</v>
      </c>
      <c r="S1691" s="366" t="str">
        <f>IF(Q1691=R1691,"si","no")</f>
        <v>si</v>
      </c>
      <c r="T1691" s="367">
        <f>SUM(L1693:L1708)+SUM(L1713:L1722)+SUM(L1727:L1733)</f>
        <v>2164.4809599999999</v>
      </c>
      <c r="U1691" s="341">
        <f>(SUM(C1693:C1708)+SUM(C1713:C1722)+SUM(C1727:C1733))*G1691</f>
        <v>2164.4809599999999</v>
      </c>
      <c r="V1691" s="368" t="str">
        <f>IF(T1691=U1691,"si","no")</f>
        <v>si</v>
      </c>
      <c r="W1691" s="369">
        <f>SUM(F1693:F1708)</f>
        <v>0</v>
      </c>
      <c r="X1691" s="369">
        <f>SUM(F1713:F1722)</f>
        <v>0</v>
      </c>
      <c r="Y1691" s="369">
        <f>SUM(F1727:F1733)</f>
        <v>0</v>
      </c>
    </row>
    <row r="1692" spans="1:25" ht="12.75" customHeight="1">
      <c r="A1692" s="374" t="s">
        <v>14</v>
      </c>
      <c r="B1692" s="375" t="s">
        <v>132</v>
      </c>
      <c r="C1692" s="376" t="s">
        <v>231</v>
      </c>
      <c r="D1692" s="376" t="s">
        <v>232</v>
      </c>
      <c r="E1692" s="377" t="s">
        <v>233</v>
      </c>
      <c r="F1692" s="378" t="s">
        <v>234</v>
      </c>
      <c r="G1692" s="379"/>
      <c r="J1692" s="341"/>
      <c r="L1692" s="380"/>
      <c r="M1692" s="381"/>
      <c r="N1692" s="342"/>
      <c r="O1692" s="382"/>
      <c r="P1692" s="383"/>
      <c r="Q1692" s="383"/>
      <c r="R1692" s="383"/>
      <c r="S1692" s="383"/>
      <c r="T1692" s="382"/>
      <c r="U1692" s="341"/>
      <c r="V1692" s="384"/>
      <c r="W1692" s="384"/>
      <c r="X1692" s="384"/>
      <c r="Y1692" s="384"/>
    </row>
    <row r="1693" spans="1:25" ht="12.75" customHeight="1">
      <c r="A1693" s="385" t="str">
        <f>VII.A!$A$19</f>
        <v>1.10</v>
      </c>
      <c r="B1693" s="394" t="str">
        <f>VLOOKUP(A1693,VII.A!$A$10:$G$199,2,FALSE)</f>
        <v>AREIA MÉDIA LAVADA</v>
      </c>
      <c r="C1693" s="20">
        <v>5.7456E-3</v>
      </c>
      <c r="D1693" s="342" t="str">
        <f>VLOOKUP(A1693,VII.A!$A$10:$G$199,3,FALSE)</f>
        <v>M3</v>
      </c>
      <c r="E1693" s="387">
        <f>VII.A!$D$19</f>
        <v>0</v>
      </c>
      <c r="F1693" s="388">
        <f>ROUND(C1693*E1693,2)</f>
        <v>0</v>
      </c>
      <c r="H1693" s="341">
        <f>IF(A1693="","",VLOOKUP(A1693,VII.A!$A$10:$D$199,4,FALSE))</f>
        <v>0</v>
      </c>
      <c r="I1693" s="341" t="str">
        <f t="shared" ref="I1693:I1708" si="437">IF(A1693="","",IF(E1693=H1693,"SIM","NÃO"))</f>
        <v>SIM</v>
      </c>
      <c r="J1693" s="341" t="str">
        <f>IF(A1693="","",VLOOKUP(A1693,VII.A!$A$10:$D$199,3,FALSE))</f>
        <v>M3</v>
      </c>
      <c r="K1693" s="342" t="str">
        <f t="shared" ref="K1693:K1708" si="438">IF(A1693="","",IF(J1693=D1693,"SIM","NÃO"))</f>
        <v>SIM</v>
      </c>
      <c r="L1693" s="380">
        <f>IF(C1693="","",G1691*C1693)</f>
        <v>0.14363999999999999</v>
      </c>
      <c r="M1693" s="381" t="str">
        <f>IF(A1693="","",VLOOKUP(A1693,VII.A!$A$10:$B$199,2,FALSE))</f>
        <v>AREIA MÉDIA LAVADA</v>
      </c>
      <c r="N1693" s="342" t="str">
        <f t="shared" ref="N1693:N1708" si="439">IF(B1693="","",IF(M1693=B1693,"si","no"))</f>
        <v>si</v>
      </c>
      <c r="R1693" s="341"/>
      <c r="S1693" s="341"/>
    </row>
    <row r="1694" spans="1:25" ht="12.75" customHeight="1">
      <c r="A1694" s="385" t="str">
        <f>VII.A!$A$29</f>
        <v>1.20</v>
      </c>
      <c r="B1694" s="394" t="str">
        <f>VLOOKUP(A1694,VII.A!$A$10:$G$199,2,FALSE)</f>
        <v>CAL HIDRATADA CH III - NBR 7175</v>
      </c>
      <c r="C1694" s="20">
        <v>0.86156639999999995</v>
      </c>
      <c r="D1694" s="342" t="str">
        <f>VLOOKUP(A1694,VII.A!$A$10:$G$199,3,FALSE)</f>
        <v>KG</v>
      </c>
      <c r="E1694" s="387">
        <f>VII.A!$D$29</f>
        <v>0</v>
      </c>
      <c r="F1694" s="388">
        <f t="shared" ref="F1694:F1708" si="440">ROUND(C1694*E1694,2)</f>
        <v>0</v>
      </c>
      <c r="H1694" s="341">
        <f>IF(A1694="","",VLOOKUP(A1694,VII.A!$A$10:$D$199,4,FALSE))</f>
        <v>0</v>
      </c>
      <c r="I1694" s="341" t="str">
        <f t="shared" si="437"/>
        <v>SIM</v>
      </c>
      <c r="J1694" s="341" t="str">
        <f>IF(A1694="","",VLOOKUP(A1694,VII.A!$A$10:$D$199,3,FALSE))</f>
        <v>KG</v>
      </c>
      <c r="K1694" s="342" t="str">
        <f t="shared" si="438"/>
        <v>SIM</v>
      </c>
      <c r="L1694" s="380">
        <f>IF(C1694="","",G1691*C1694)</f>
        <v>21.539159999999999</v>
      </c>
      <c r="M1694" s="381" t="str">
        <f>IF(A1694="","",VLOOKUP(A1694,VII.A!$A$10:$B$199,2,FALSE))</f>
        <v>CAL HIDRATADA CH III - NBR 7175</v>
      </c>
      <c r="N1694" s="342" t="str">
        <f t="shared" si="439"/>
        <v>si</v>
      </c>
      <c r="R1694" s="341"/>
      <c r="S1694" s="341"/>
    </row>
    <row r="1695" spans="1:25" ht="12.75" customHeight="1">
      <c r="A1695" s="385" t="str">
        <f>VII.A!$A$38</f>
        <v>1.29</v>
      </c>
      <c r="B1695" s="394" t="str">
        <f>VLOOKUP(A1695,VII.A!$A$10:$G$199,2,FALSE)</f>
        <v>CIMENTO PORTLAND CP II-E-32</v>
      </c>
      <c r="C1695" s="20">
        <v>0.82567919999999995</v>
      </c>
      <c r="D1695" s="342" t="str">
        <f>VLOOKUP(A1695,VII.A!$A$10:$G$199,3,FALSE)</f>
        <v>KG</v>
      </c>
      <c r="E1695" s="387">
        <f>VII.A!$D$38</f>
        <v>0</v>
      </c>
      <c r="F1695" s="388">
        <f t="shared" si="440"/>
        <v>0</v>
      </c>
      <c r="H1695" s="341">
        <f>IF(A1695="","",VLOOKUP(A1695,VII.A!$A$10:$D$199,4,FALSE))</f>
        <v>0</v>
      </c>
      <c r="I1695" s="341" t="str">
        <f t="shared" si="437"/>
        <v>SIM</v>
      </c>
      <c r="J1695" s="341" t="str">
        <f>IF(A1695="","",VLOOKUP(A1695,VII.A!$A$10:$D$199,3,FALSE))</f>
        <v>KG</v>
      </c>
      <c r="K1695" s="342" t="str">
        <f t="shared" si="438"/>
        <v>SIM</v>
      </c>
      <c r="L1695" s="380">
        <f>IF(C1695="","",G1691*C1695)</f>
        <v>20.64198</v>
      </c>
      <c r="M1695" s="381" t="str">
        <f>IF(A1695="","",VLOOKUP(A1695,VII.A!$A$10:$B$199,2,FALSE))</f>
        <v>CIMENTO PORTLAND CP II-E-32</v>
      </c>
      <c r="N1695" s="342" t="str">
        <f t="shared" si="439"/>
        <v>si</v>
      </c>
      <c r="R1695" s="341"/>
      <c r="S1695" s="341"/>
    </row>
    <row r="1696" spans="1:25" ht="12.75" customHeight="1">
      <c r="A1696" s="385" t="str">
        <f>VII.A!$A$108</f>
        <v>1.98</v>
      </c>
      <c r="B1696" s="394" t="str">
        <f>VLOOKUP(A1696,VII.A!$A$10:$G$199,2,FALSE)</f>
        <v>TIJOLO CERÂMICO MACIÇO 5,7 X 9 X 19 (190MM / 90MM / 57MM)</v>
      </c>
      <c r="C1696" s="20">
        <v>83</v>
      </c>
      <c r="D1696" s="342" t="str">
        <f>VLOOKUP(A1696,VII.A!$A$10:$G$199,3,FALSE)</f>
        <v>UN</v>
      </c>
      <c r="E1696" s="387">
        <f>VII.A!$D$108</f>
        <v>0</v>
      </c>
      <c r="F1696" s="388">
        <f t="shared" si="440"/>
        <v>0</v>
      </c>
      <c r="H1696" s="341">
        <f>IF(A1696="","",VLOOKUP(A1696,VII.A!$A$10:$D$199,4,FALSE))</f>
        <v>0</v>
      </c>
      <c r="I1696" s="341" t="str">
        <f t="shared" si="437"/>
        <v>SIM</v>
      </c>
      <c r="J1696" s="341" t="str">
        <f>IF(A1696="","",VLOOKUP(A1696,VII.A!$A$10:$D$199,3,FALSE))</f>
        <v>UN</v>
      </c>
      <c r="K1696" s="342" t="str">
        <f t="shared" si="438"/>
        <v>SIM</v>
      </c>
      <c r="L1696" s="380">
        <f>IF(C1696="","",G1691*C1696)</f>
        <v>2075</v>
      </c>
      <c r="M1696" s="381" t="str">
        <f>IF(A1696="","",VLOOKUP(A1696,VII.A!$A$10:$B$199,2,FALSE))</f>
        <v>TIJOLO CERÂMICO MACIÇO 5,7 X 9 X 19 (190MM / 90MM / 57MM)</v>
      </c>
      <c r="N1696" s="342" t="str">
        <f t="shared" si="439"/>
        <v>si</v>
      </c>
      <c r="R1696" s="341"/>
      <c r="S1696" s="341"/>
    </row>
    <row r="1697" spans="1:21" ht="12.75" customHeight="1">
      <c r="A1697" s="385"/>
      <c r="B1697" s="386"/>
      <c r="C1697" s="20"/>
      <c r="D1697" s="342"/>
      <c r="E1697" s="387"/>
      <c r="F1697" s="388">
        <f t="shared" si="440"/>
        <v>0</v>
      </c>
      <c r="H1697" s="341" t="str">
        <f>IF(A1697="","",VLOOKUP(A1697,VII.A!$A$10:$D$199,4,FALSE))</f>
        <v/>
      </c>
      <c r="I1697" s="341" t="str">
        <f t="shared" si="437"/>
        <v/>
      </c>
      <c r="J1697" s="341" t="str">
        <f>IF(A1697="","",VLOOKUP(A1697,VII.A!$A$10:$D$199,3,FALSE))</f>
        <v/>
      </c>
      <c r="K1697" s="342" t="str">
        <f t="shared" si="438"/>
        <v/>
      </c>
      <c r="L1697" s="380" t="str">
        <f>IF(C1697="","",G1691*C1697)</f>
        <v/>
      </c>
      <c r="M1697" s="381" t="str">
        <f>IF(A1697="","",VLOOKUP(A1697,VII.A!$A$10:$B$199,2,FALSE))</f>
        <v/>
      </c>
      <c r="N1697" s="342" t="str">
        <f t="shared" si="439"/>
        <v/>
      </c>
      <c r="R1697" s="341"/>
      <c r="S1697" s="341"/>
    </row>
    <row r="1698" spans="1:21" ht="12.75" customHeight="1">
      <c r="A1698" s="385"/>
      <c r="B1698" s="386"/>
      <c r="C1698" s="20"/>
      <c r="D1698" s="342"/>
      <c r="E1698" s="387"/>
      <c r="F1698" s="388">
        <f t="shared" si="440"/>
        <v>0</v>
      </c>
      <c r="H1698" s="341" t="str">
        <f>IF(A1698="","",VLOOKUP(A1698,VII.A!$A$10:$D$199,4,FALSE))</f>
        <v/>
      </c>
      <c r="I1698" s="341" t="str">
        <f t="shared" si="437"/>
        <v/>
      </c>
      <c r="J1698" s="341" t="str">
        <f>IF(A1698="","",VLOOKUP(A1698,VII.A!$A$10:$D$199,3,FALSE))</f>
        <v/>
      </c>
      <c r="K1698" s="342" t="str">
        <f t="shared" si="438"/>
        <v/>
      </c>
      <c r="L1698" s="380" t="str">
        <f>IF(C1698="","",G1691*C1698)</f>
        <v/>
      </c>
      <c r="M1698" s="381" t="str">
        <f>IF(A1698="","",VLOOKUP(A1698,VII.A!$A$10:$B$199,2,FALSE))</f>
        <v/>
      </c>
      <c r="N1698" s="342" t="str">
        <f t="shared" si="439"/>
        <v/>
      </c>
      <c r="R1698" s="341"/>
      <c r="S1698" s="341"/>
      <c r="U1698" s="389"/>
    </row>
    <row r="1699" spans="1:21" ht="12.75" customHeight="1">
      <c r="A1699" s="385"/>
      <c r="B1699" s="386"/>
      <c r="C1699" s="20"/>
      <c r="D1699" s="342"/>
      <c r="E1699" s="387"/>
      <c r="F1699" s="388">
        <f t="shared" si="440"/>
        <v>0</v>
      </c>
      <c r="H1699" s="341" t="str">
        <f>IF(A1699="","",VLOOKUP(A1699,VII.A!$A$10:$D$199,4,FALSE))</f>
        <v/>
      </c>
      <c r="I1699" s="341" t="str">
        <f t="shared" si="437"/>
        <v/>
      </c>
      <c r="J1699" s="341" t="str">
        <f>IF(A1699="","",VLOOKUP(A1699,VII.A!$A$10:$D$199,3,FALSE))</f>
        <v/>
      </c>
      <c r="K1699" s="342" t="str">
        <f t="shared" si="438"/>
        <v/>
      </c>
      <c r="L1699" s="380" t="str">
        <f>IF(C1699="","",G1691*C1699)</f>
        <v/>
      </c>
      <c r="M1699" s="381" t="str">
        <f>IF(A1699="","",VLOOKUP(A1699,VII.A!$A$10:$B$199,2,FALSE))</f>
        <v/>
      </c>
      <c r="N1699" s="342" t="str">
        <f t="shared" si="439"/>
        <v/>
      </c>
      <c r="R1699" s="341"/>
      <c r="S1699" s="341"/>
    </row>
    <row r="1700" spans="1:21" ht="12.75" customHeight="1">
      <c r="A1700" s="385"/>
      <c r="B1700" s="386"/>
      <c r="C1700" s="20"/>
      <c r="D1700" s="342"/>
      <c r="E1700" s="387"/>
      <c r="F1700" s="388">
        <f t="shared" si="440"/>
        <v>0</v>
      </c>
      <c r="G1700" s="390"/>
      <c r="H1700" s="341" t="str">
        <f>IF(A1700="","",VLOOKUP(A1700,VII.A!$A$10:$D$199,4,FALSE))</f>
        <v/>
      </c>
      <c r="I1700" s="341" t="str">
        <f t="shared" si="437"/>
        <v/>
      </c>
      <c r="J1700" s="341" t="str">
        <f>IF(A1700="","",VLOOKUP(A1700,VII.A!$A$10:$D$199,3,FALSE))</f>
        <v/>
      </c>
      <c r="K1700" s="342" t="str">
        <f t="shared" si="438"/>
        <v/>
      </c>
      <c r="L1700" s="380" t="str">
        <f>IF(C1700="","",G1691*C1700)</f>
        <v/>
      </c>
      <c r="M1700" s="381" t="str">
        <f>IF(A1700="","",VLOOKUP(A1700,VII.A!$A$10:$B$199,2,FALSE))</f>
        <v/>
      </c>
      <c r="N1700" s="342" t="str">
        <f t="shared" si="439"/>
        <v/>
      </c>
      <c r="R1700" s="341"/>
      <c r="S1700" s="341"/>
    </row>
    <row r="1701" spans="1:21" ht="12.75" customHeight="1">
      <c r="A1701" s="385"/>
      <c r="B1701" s="386"/>
      <c r="C1701" s="20"/>
      <c r="D1701" s="342"/>
      <c r="E1701" s="387"/>
      <c r="F1701" s="388">
        <f t="shared" si="440"/>
        <v>0</v>
      </c>
      <c r="G1701" s="390"/>
      <c r="H1701" s="341" t="str">
        <f>IF(A1701="","",VLOOKUP(A1701,VII.A!$A$10:$D$199,4,FALSE))</f>
        <v/>
      </c>
      <c r="I1701" s="341" t="str">
        <f t="shared" si="437"/>
        <v/>
      </c>
      <c r="J1701" s="341" t="str">
        <f>IF(A1701="","",VLOOKUP(A1701,VII.A!$A$10:$D$199,3,FALSE))</f>
        <v/>
      </c>
      <c r="K1701" s="342" t="str">
        <f t="shared" si="438"/>
        <v/>
      </c>
      <c r="L1701" s="380" t="str">
        <f>IF(C1701="","",G1691*C1701)</f>
        <v/>
      </c>
      <c r="M1701" s="381" t="str">
        <f>IF(A1701="","",VLOOKUP(A1701,VII.A!$A$10:$B$199,2,FALSE))</f>
        <v/>
      </c>
      <c r="N1701" s="342" t="str">
        <f t="shared" si="439"/>
        <v/>
      </c>
      <c r="R1701" s="341"/>
      <c r="S1701" s="341"/>
    </row>
    <row r="1702" spans="1:21" ht="12.75" customHeight="1">
      <c r="A1702" s="385"/>
      <c r="B1702" s="386"/>
      <c r="C1702" s="20"/>
      <c r="D1702" s="342"/>
      <c r="E1702" s="387"/>
      <c r="F1702" s="388">
        <f t="shared" si="440"/>
        <v>0</v>
      </c>
      <c r="G1702" s="391"/>
      <c r="H1702" s="341" t="str">
        <f>IF(A1702="","",VLOOKUP(A1702,VII.A!$A$10:$D$199,4,FALSE))</f>
        <v/>
      </c>
      <c r="I1702" s="341" t="str">
        <f t="shared" si="437"/>
        <v/>
      </c>
      <c r="J1702" s="341" t="str">
        <f>IF(A1702="","",VLOOKUP(A1702,VII.A!$A$10:$D$199,3,FALSE))</f>
        <v/>
      </c>
      <c r="K1702" s="342" t="str">
        <f t="shared" si="438"/>
        <v/>
      </c>
      <c r="L1702" s="380" t="str">
        <f>IF(C1702="","",G1691*C1702)</f>
        <v/>
      </c>
      <c r="M1702" s="381" t="str">
        <f>IF(A1702="","",VLOOKUP(A1702,VII.A!$A$10:$B$199,2,FALSE))</f>
        <v/>
      </c>
      <c r="N1702" s="342" t="str">
        <f t="shared" si="439"/>
        <v/>
      </c>
      <c r="R1702" s="341"/>
      <c r="S1702" s="341"/>
    </row>
    <row r="1703" spans="1:21" ht="12.75" customHeight="1">
      <c r="A1703" s="385"/>
      <c r="B1703" s="386"/>
      <c r="C1703" s="20"/>
      <c r="D1703" s="342"/>
      <c r="E1703" s="387"/>
      <c r="F1703" s="388">
        <f t="shared" si="440"/>
        <v>0</v>
      </c>
      <c r="H1703" s="341" t="str">
        <f>IF(A1703="","",VLOOKUP(A1703,VII.A!$A$10:$D$199,4,FALSE))</f>
        <v/>
      </c>
      <c r="I1703" s="341" t="str">
        <f t="shared" si="437"/>
        <v/>
      </c>
      <c r="J1703" s="341" t="str">
        <f>IF(A1703="","",VLOOKUP(A1703,VII.A!$A$10:$D$199,3,FALSE))</f>
        <v/>
      </c>
      <c r="K1703" s="342" t="str">
        <f t="shared" si="438"/>
        <v/>
      </c>
      <c r="L1703" s="380" t="str">
        <f>IF(C1703="","",G1691*C1703)</f>
        <v/>
      </c>
      <c r="M1703" s="381" t="str">
        <f>IF(A1703="","",VLOOKUP(A1703,VII.A!$A$10:$B$199,2,FALSE))</f>
        <v/>
      </c>
      <c r="N1703" s="342" t="str">
        <f t="shared" si="439"/>
        <v/>
      </c>
      <c r="R1703" s="341"/>
      <c r="S1703" s="341"/>
    </row>
    <row r="1704" spans="1:21" ht="12.75" customHeight="1">
      <c r="A1704" s="385"/>
      <c r="B1704" s="386"/>
      <c r="C1704" s="20"/>
      <c r="D1704" s="392"/>
      <c r="E1704" s="387"/>
      <c r="F1704" s="388">
        <f t="shared" si="440"/>
        <v>0</v>
      </c>
      <c r="H1704" s="341" t="str">
        <f>IF(A1704="","",VLOOKUP(A1704,VII.A!$A$10:$D$199,4,FALSE))</f>
        <v/>
      </c>
      <c r="I1704" s="341" t="str">
        <f t="shared" si="437"/>
        <v/>
      </c>
      <c r="J1704" s="341" t="str">
        <f>IF(A1704="","",VLOOKUP(A1704,VII.A!$A$10:$D$199,3,FALSE))</f>
        <v/>
      </c>
      <c r="K1704" s="342" t="str">
        <f t="shared" si="438"/>
        <v/>
      </c>
      <c r="L1704" s="380" t="str">
        <f>IF(C1704="","",G1691*C1704)</f>
        <v/>
      </c>
      <c r="M1704" s="381" t="str">
        <f>IF(A1704="","",VLOOKUP(A1704,VII.A!$A$10:$B$199,2,FALSE))</f>
        <v/>
      </c>
      <c r="N1704" s="342" t="str">
        <f t="shared" si="439"/>
        <v/>
      </c>
      <c r="R1704" s="341"/>
      <c r="S1704" s="341"/>
    </row>
    <row r="1705" spans="1:21" ht="12.75" customHeight="1">
      <c r="A1705" s="385"/>
      <c r="B1705" s="386"/>
      <c r="C1705" s="20"/>
      <c r="D1705" s="392"/>
      <c r="E1705" s="387"/>
      <c r="F1705" s="388">
        <f t="shared" si="440"/>
        <v>0</v>
      </c>
      <c r="H1705" s="341" t="str">
        <f>IF(A1705="","",VLOOKUP(A1705,VII.A!$A$10:$D$199,4,FALSE))</f>
        <v/>
      </c>
      <c r="I1705" s="341" t="str">
        <f t="shared" si="437"/>
        <v/>
      </c>
      <c r="J1705" s="341" t="str">
        <f>IF(A1705="","",VLOOKUP(A1705,VII.A!$A$10:$D$199,3,FALSE))</f>
        <v/>
      </c>
      <c r="K1705" s="342" t="str">
        <f t="shared" si="438"/>
        <v/>
      </c>
      <c r="L1705" s="380" t="str">
        <f>IF(C1705="","",G1691*C1705)</f>
        <v/>
      </c>
      <c r="M1705" s="381" t="str">
        <f>IF(A1705="","",VLOOKUP(A1705,VII.A!$A$10:$B$199,2,FALSE))</f>
        <v/>
      </c>
      <c r="N1705" s="342" t="str">
        <f t="shared" si="439"/>
        <v/>
      </c>
      <c r="O1705" s="342"/>
      <c r="R1705" s="341"/>
      <c r="S1705" s="341"/>
    </row>
    <row r="1706" spans="1:21" ht="12.75" customHeight="1">
      <c r="A1706" s="385"/>
      <c r="B1706" s="386"/>
      <c r="C1706" s="20"/>
      <c r="D1706" s="392"/>
      <c r="E1706" s="387"/>
      <c r="F1706" s="388">
        <f t="shared" si="440"/>
        <v>0</v>
      </c>
      <c r="H1706" s="341" t="str">
        <f>IF(A1706="","",VLOOKUP(A1706,VII.A!$A$10:$D$199,4,FALSE))</f>
        <v/>
      </c>
      <c r="I1706" s="341" t="str">
        <f t="shared" si="437"/>
        <v/>
      </c>
      <c r="J1706" s="341" t="str">
        <f>IF(A1706="","",VLOOKUP(A1706,VII.A!$A$10:$D$199,3,FALSE))</f>
        <v/>
      </c>
      <c r="K1706" s="342" t="str">
        <f t="shared" si="438"/>
        <v/>
      </c>
      <c r="L1706" s="380" t="str">
        <f>IF(C1706="","",G1691*C1706)</f>
        <v/>
      </c>
      <c r="M1706" s="381" t="str">
        <f>IF(A1706="","",VLOOKUP(A1706,VII.A!$A$10:$B$199,2,FALSE))</f>
        <v/>
      </c>
      <c r="N1706" s="342" t="str">
        <f t="shared" si="439"/>
        <v/>
      </c>
      <c r="R1706" s="341"/>
      <c r="S1706" s="341"/>
    </row>
    <row r="1707" spans="1:21" ht="12.75" customHeight="1">
      <c r="A1707" s="393"/>
      <c r="C1707" s="20"/>
      <c r="E1707" s="387"/>
      <c r="F1707" s="388">
        <f t="shared" si="440"/>
        <v>0</v>
      </c>
      <c r="H1707" s="341" t="str">
        <f>IF(A1707="","",VLOOKUP(A1707,VII.A!$A$10:$D$199,4,FALSE))</f>
        <v/>
      </c>
      <c r="I1707" s="341" t="str">
        <f t="shared" si="437"/>
        <v/>
      </c>
      <c r="J1707" s="341" t="str">
        <f>IF(A1707="","",VLOOKUP(A1707,VII.A!$A$10:$D$199,3,FALSE))</f>
        <v/>
      </c>
      <c r="K1707" s="342" t="str">
        <f t="shared" si="438"/>
        <v/>
      </c>
      <c r="L1707" s="380" t="str">
        <f>IF(C1707="","",G1691*C1707)</f>
        <v/>
      </c>
      <c r="M1707" s="381" t="str">
        <f>IF(A1707="","",VLOOKUP(A1707,VII.A!$A$10:$B$199,2,FALSE))</f>
        <v/>
      </c>
      <c r="N1707" s="342" t="str">
        <f t="shared" si="439"/>
        <v/>
      </c>
      <c r="R1707" s="341"/>
      <c r="S1707" s="341"/>
    </row>
    <row r="1708" spans="1:21" ht="12.75" customHeight="1">
      <c r="A1708" s="393"/>
      <c r="C1708" s="20"/>
      <c r="E1708" s="387"/>
      <c r="F1708" s="388">
        <f t="shared" si="440"/>
        <v>0</v>
      </c>
      <c r="H1708" s="341" t="str">
        <f>IF(A1708="","",VLOOKUP(A1708,VII.A!$A$10:$D$199,4,FALSE))</f>
        <v/>
      </c>
      <c r="I1708" s="341" t="str">
        <f t="shared" si="437"/>
        <v/>
      </c>
      <c r="J1708" s="341" t="str">
        <f>IF(A1708="","",VLOOKUP(A1708,VII.A!$A$10:$D$199,3,FALSE))</f>
        <v/>
      </c>
      <c r="K1708" s="342" t="str">
        <f t="shared" si="438"/>
        <v/>
      </c>
      <c r="L1708" s="380" t="str">
        <f>IF(C1708="","",G1691*C1708)</f>
        <v/>
      </c>
      <c r="M1708" s="381" t="str">
        <f>IF(A1708="","",VLOOKUP(A1708,VII.A!$A$10:$B$199,2,FALSE))</f>
        <v/>
      </c>
      <c r="N1708" s="342" t="str">
        <f t="shared" si="439"/>
        <v/>
      </c>
      <c r="R1708" s="341"/>
      <c r="S1708" s="341"/>
    </row>
    <row r="1709" spans="1:21" ht="12.75" customHeight="1">
      <c r="A1709" s="393"/>
      <c r="B1709" s="395" t="s">
        <v>226</v>
      </c>
      <c r="C1709" s="396"/>
      <c r="D1709" s="397"/>
      <c r="E1709" s="398"/>
      <c r="F1709" s="399">
        <f>SUM(F1693:F1708)</f>
        <v>0</v>
      </c>
      <c r="H1709" s="426" t="s">
        <v>434</v>
      </c>
      <c r="J1709" s="341"/>
      <c r="L1709" s="380"/>
      <c r="M1709" s="381"/>
      <c r="N1709" s="342"/>
      <c r="R1709" s="341"/>
      <c r="S1709" s="341"/>
    </row>
    <row r="1710" spans="1:21" ht="12.75" customHeight="1">
      <c r="A1710" s="393"/>
      <c r="B1710" s="400" t="s">
        <v>53</v>
      </c>
      <c r="C1710" s="2">
        <f>$D$8</f>
        <v>0</v>
      </c>
      <c r="D1710" s="401"/>
      <c r="E1710" s="402"/>
      <c r="F1710" s="403">
        <f>ROUND(F1709*C1710,2)</f>
        <v>0</v>
      </c>
      <c r="H1710" s="426" t="s">
        <v>462</v>
      </c>
      <c r="J1710" s="341"/>
      <c r="L1710" s="380"/>
      <c r="M1710" s="381"/>
      <c r="N1710" s="342"/>
      <c r="R1710" s="341"/>
      <c r="S1710" s="341"/>
    </row>
    <row r="1711" spans="1:21" ht="12.75" customHeight="1">
      <c r="A1711" s="404"/>
      <c r="B1711" s="405" t="s">
        <v>227</v>
      </c>
      <c r="C1711" s="406"/>
      <c r="D1711" s="406"/>
      <c r="E1711" s="407"/>
      <c r="F1711" s="408">
        <f>F1709+F1710</f>
        <v>0</v>
      </c>
      <c r="J1711" s="341"/>
      <c r="L1711" s="380"/>
      <c r="M1711" s="381"/>
      <c r="N1711" s="342"/>
      <c r="R1711" s="341"/>
      <c r="S1711" s="341"/>
    </row>
    <row r="1712" spans="1:21" ht="12.75" customHeight="1">
      <c r="A1712" s="374" t="s">
        <v>2</v>
      </c>
      <c r="B1712" s="375" t="s">
        <v>235</v>
      </c>
      <c r="C1712" s="376" t="s">
        <v>231</v>
      </c>
      <c r="D1712" s="376" t="s">
        <v>232</v>
      </c>
      <c r="E1712" s="377" t="s">
        <v>233</v>
      </c>
      <c r="F1712" s="378" t="s">
        <v>234</v>
      </c>
      <c r="J1712" s="341"/>
      <c r="L1712" s="380"/>
      <c r="M1712" s="381"/>
      <c r="N1712" s="342"/>
      <c r="R1712" s="341"/>
      <c r="S1712" s="341"/>
    </row>
    <row r="1713" spans="1:19" ht="12.75" customHeight="1">
      <c r="A1713" s="393"/>
      <c r="B1713" s="423"/>
      <c r="C1713" s="20"/>
      <c r="E1713" s="387"/>
      <c r="F1713" s="388">
        <f t="shared" ref="F1713:F1722" si="441">ROUND(C1713*E1713,2)</f>
        <v>0</v>
      </c>
      <c r="H1713" s="341" t="str">
        <f>IF(A1713="","",VLOOKUP(A1713,VII.A!$A$10:$D$199,4,FALSE))</f>
        <v/>
      </c>
      <c r="I1713" s="341" t="str">
        <f t="shared" ref="I1713:I1722" si="442">IF(A1713="","",IF(E1713=H1713,"SIM","NÃO"))</f>
        <v/>
      </c>
      <c r="J1713" s="341" t="str">
        <f>IF(A1713="","",VLOOKUP(A1713,VII.A!$A$10:$D$199,3,FALSE))</f>
        <v/>
      </c>
      <c r="K1713" s="342" t="str">
        <f t="shared" ref="K1713:K1722" si="443">IF(A1713="","",IF(J1713=D1713,"SIM","NÃO"))</f>
        <v/>
      </c>
      <c r="L1713" s="380" t="str">
        <f>IF(C1713="","",G1691*C1713)</f>
        <v/>
      </c>
      <c r="M1713" s="381" t="str">
        <f>IF(A1713="","",VLOOKUP(A1713,VII.A!$A$10:$B$199,2,FALSE))</f>
        <v/>
      </c>
      <c r="N1713" s="342" t="str">
        <f t="shared" ref="N1713:N1722" si="444">IF(B1713="","",IF(M1713=B1713,"si","no"))</f>
        <v/>
      </c>
      <c r="R1713" s="341"/>
      <c r="S1713" s="341"/>
    </row>
    <row r="1714" spans="1:19" ht="12.75" customHeight="1">
      <c r="A1714" s="393"/>
      <c r="C1714" s="20"/>
      <c r="E1714" s="387"/>
      <c r="F1714" s="388">
        <f t="shared" si="441"/>
        <v>0</v>
      </c>
      <c r="H1714" s="341" t="str">
        <f>IF(A1714="","",VLOOKUP(A1714,VII.A!$A$10:$D$199,4,FALSE))</f>
        <v/>
      </c>
      <c r="I1714" s="341" t="str">
        <f t="shared" si="442"/>
        <v/>
      </c>
      <c r="J1714" s="341" t="str">
        <f>IF(A1714="","",VLOOKUP(A1714,VII.A!$A$10:$D$199,3,FALSE))</f>
        <v/>
      </c>
      <c r="K1714" s="342" t="str">
        <f t="shared" si="443"/>
        <v/>
      </c>
      <c r="L1714" s="380" t="str">
        <f>IF(C1714="","",G1691*C1714)</f>
        <v/>
      </c>
      <c r="M1714" s="381" t="str">
        <f>IF(A1714="","",VLOOKUP(A1714,VII.A!$A$10:$B$199,2,FALSE))</f>
        <v/>
      </c>
      <c r="N1714" s="342" t="str">
        <f t="shared" si="444"/>
        <v/>
      </c>
      <c r="R1714" s="341"/>
      <c r="S1714" s="341"/>
    </row>
    <row r="1715" spans="1:19" ht="12.75" customHeight="1">
      <c r="A1715" s="393"/>
      <c r="C1715" s="20"/>
      <c r="E1715" s="387"/>
      <c r="F1715" s="388">
        <f t="shared" si="441"/>
        <v>0</v>
      </c>
      <c r="H1715" s="341" t="str">
        <f>IF(A1715="","",VLOOKUP(A1715,VII.A!$A$10:$D$199,4,FALSE))</f>
        <v/>
      </c>
      <c r="I1715" s="341" t="str">
        <f t="shared" si="442"/>
        <v/>
      </c>
      <c r="J1715" s="341" t="str">
        <f>IF(A1715="","",VLOOKUP(A1715,VII.A!$A$10:$D$199,3,FALSE))</f>
        <v/>
      </c>
      <c r="K1715" s="342" t="str">
        <f t="shared" si="443"/>
        <v/>
      </c>
      <c r="L1715" s="380" t="str">
        <f>IF(C1715="","",G1691*C1715)</f>
        <v/>
      </c>
      <c r="M1715" s="381" t="str">
        <f>IF(A1715="","",VLOOKUP(A1715,VII.A!$A$10:$B$199,2,FALSE))</f>
        <v/>
      </c>
      <c r="N1715" s="342" t="str">
        <f t="shared" si="444"/>
        <v/>
      </c>
      <c r="R1715" s="341"/>
      <c r="S1715" s="341"/>
    </row>
    <row r="1716" spans="1:19" ht="12.75" customHeight="1">
      <c r="A1716" s="393"/>
      <c r="C1716" s="20"/>
      <c r="E1716" s="387"/>
      <c r="F1716" s="388">
        <f t="shared" si="441"/>
        <v>0</v>
      </c>
      <c r="H1716" s="341" t="str">
        <f>IF(A1716="","",VLOOKUP(A1716,VII.A!$A$10:$D$199,4,FALSE))</f>
        <v/>
      </c>
      <c r="I1716" s="341" t="str">
        <f t="shared" si="442"/>
        <v/>
      </c>
      <c r="J1716" s="341" t="str">
        <f>IF(A1716="","",VLOOKUP(A1716,VII.A!$A$10:$D$199,3,FALSE))</f>
        <v/>
      </c>
      <c r="K1716" s="342" t="str">
        <f t="shared" si="443"/>
        <v/>
      </c>
      <c r="L1716" s="380" t="str">
        <f>IF(C1716="","",G1691*C1716)</f>
        <v/>
      </c>
      <c r="M1716" s="381" t="str">
        <f>IF(A1716="","",VLOOKUP(A1716,VII.A!$A$10:$B$199,2,FALSE))</f>
        <v/>
      </c>
      <c r="N1716" s="342" t="str">
        <f t="shared" si="444"/>
        <v/>
      </c>
      <c r="R1716" s="341"/>
      <c r="S1716" s="341"/>
    </row>
    <row r="1717" spans="1:19" ht="12.75" customHeight="1">
      <c r="A1717" s="393"/>
      <c r="C1717" s="20"/>
      <c r="E1717" s="387"/>
      <c r="F1717" s="388">
        <f t="shared" si="441"/>
        <v>0</v>
      </c>
      <c r="G1717" s="390"/>
      <c r="H1717" s="341" t="str">
        <f>IF(A1717="","",VLOOKUP(A1717,VII.A!$A$10:$D$199,4,FALSE))</f>
        <v/>
      </c>
      <c r="I1717" s="341" t="str">
        <f t="shared" si="442"/>
        <v/>
      </c>
      <c r="J1717" s="341" t="str">
        <f>IF(A1717="","",VLOOKUP(A1717,VII.A!$A$10:$D$199,3,FALSE))</f>
        <v/>
      </c>
      <c r="K1717" s="342" t="str">
        <f t="shared" si="443"/>
        <v/>
      </c>
      <c r="L1717" s="380" t="str">
        <f>IF(C1717="","",G1691*C1717)</f>
        <v/>
      </c>
      <c r="M1717" s="381" t="str">
        <f>IF(A1717="","",VLOOKUP(A1717,VII.A!$A$10:$B$199,2,FALSE))</f>
        <v/>
      </c>
      <c r="N1717" s="342" t="str">
        <f t="shared" si="444"/>
        <v/>
      </c>
      <c r="R1717" s="341"/>
      <c r="S1717" s="341"/>
    </row>
    <row r="1718" spans="1:19" ht="12.75" customHeight="1">
      <c r="A1718" s="393"/>
      <c r="C1718" s="20"/>
      <c r="E1718" s="387"/>
      <c r="F1718" s="388">
        <f t="shared" si="441"/>
        <v>0</v>
      </c>
      <c r="G1718" s="391"/>
      <c r="H1718" s="341" t="str">
        <f>IF(A1718="","",VLOOKUP(A1718,VII.A!$A$10:$D$199,4,FALSE))</f>
        <v/>
      </c>
      <c r="I1718" s="341" t="str">
        <f t="shared" si="442"/>
        <v/>
      </c>
      <c r="J1718" s="341" t="str">
        <f>IF(A1718="","",VLOOKUP(A1718,VII.A!$A$10:$D$199,3,FALSE))</f>
        <v/>
      </c>
      <c r="K1718" s="342" t="str">
        <f t="shared" si="443"/>
        <v/>
      </c>
      <c r="L1718" s="380" t="str">
        <f>IF(C1718="","",G1691*C1718)</f>
        <v/>
      </c>
      <c r="M1718" s="381" t="str">
        <f>IF(A1718="","",VLOOKUP(A1718,VII.A!$A$10:$B$199,2,FALSE))</f>
        <v/>
      </c>
      <c r="N1718" s="342" t="str">
        <f t="shared" si="444"/>
        <v/>
      </c>
      <c r="R1718" s="341"/>
      <c r="S1718" s="341"/>
    </row>
    <row r="1719" spans="1:19" ht="12.75" customHeight="1">
      <c r="A1719" s="393"/>
      <c r="C1719" s="20"/>
      <c r="E1719" s="387"/>
      <c r="F1719" s="388">
        <f t="shared" si="441"/>
        <v>0</v>
      </c>
      <c r="H1719" s="341" t="str">
        <f>IF(A1719="","",VLOOKUP(A1719,VII.A!$A$10:$D$199,4,FALSE))</f>
        <v/>
      </c>
      <c r="I1719" s="341" t="str">
        <f t="shared" si="442"/>
        <v/>
      </c>
      <c r="J1719" s="341" t="str">
        <f>IF(A1719="","",VLOOKUP(A1719,VII.A!$A$10:$D$199,3,FALSE))</f>
        <v/>
      </c>
      <c r="K1719" s="342" t="str">
        <f t="shared" si="443"/>
        <v/>
      </c>
      <c r="L1719" s="380" t="str">
        <f>IF(C1719="","",G1691*C1719)</f>
        <v/>
      </c>
      <c r="M1719" s="381" t="str">
        <f>IF(A1719="","",VLOOKUP(A1719,VII.A!$A$10:$B$199,2,FALSE))</f>
        <v/>
      </c>
      <c r="N1719" s="342" t="str">
        <f t="shared" si="444"/>
        <v/>
      </c>
      <c r="R1719" s="341"/>
      <c r="S1719" s="341"/>
    </row>
    <row r="1720" spans="1:19" ht="12.75" customHeight="1">
      <c r="A1720" s="393"/>
      <c r="C1720" s="20"/>
      <c r="E1720" s="387"/>
      <c r="F1720" s="388">
        <f t="shared" si="441"/>
        <v>0</v>
      </c>
      <c r="H1720" s="341" t="str">
        <f>IF(A1720="","",VLOOKUP(A1720,VII.A!$A$10:$D$199,4,FALSE))</f>
        <v/>
      </c>
      <c r="I1720" s="341" t="str">
        <f t="shared" si="442"/>
        <v/>
      </c>
      <c r="J1720" s="341" t="str">
        <f>IF(A1720="","",VLOOKUP(A1720,VII.A!$A$10:$D$199,3,FALSE))</f>
        <v/>
      </c>
      <c r="K1720" s="342" t="str">
        <f t="shared" si="443"/>
        <v/>
      </c>
      <c r="L1720" s="380" t="str">
        <f>IF(C1720="","",G1691*C1720)</f>
        <v/>
      </c>
      <c r="M1720" s="381" t="str">
        <f>IF(A1720="","",VLOOKUP(A1720,VII.A!$A$10:$B$199,2,FALSE))</f>
        <v/>
      </c>
      <c r="N1720" s="342" t="str">
        <f t="shared" si="444"/>
        <v/>
      </c>
      <c r="R1720" s="341"/>
      <c r="S1720" s="341"/>
    </row>
    <row r="1721" spans="1:19" ht="12.75" customHeight="1">
      <c r="A1721" s="393"/>
      <c r="C1721" s="20"/>
      <c r="E1721" s="387"/>
      <c r="F1721" s="388">
        <f t="shared" si="441"/>
        <v>0</v>
      </c>
      <c r="H1721" s="341" t="str">
        <f>IF(A1721="","",VLOOKUP(A1721,VII.A!$A$10:$D$199,4,FALSE))</f>
        <v/>
      </c>
      <c r="I1721" s="341" t="str">
        <f t="shared" si="442"/>
        <v/>
      </c>
      <c r="J1721" s="341" t="str">
        <f>IF(A1721="","",VLOOKUP(A1721,VII.A!$A$10:$D$199,3,FALSE))</f>
        <v/>
      </c>
      <c r="K1721" s="342" t="str">
        <f t="shared" si="443"/>
        <v/>
      </c>
      <c r="L1721" s="380" t="str">
        <f>IF(C1721="","",G1691*C1721)</f>
        <v/>
      </c>
      <c r="M1721" s="381" t="str">
        <f>IF(A1721="","",VLOOKUP(A1721,VII.A!$A$10:$B$199,2,FALSE))</f>
        <v/>
      </c>
      <c r="N1721" s="342" t="str">
        <f t="shared" si="444"/>
        <v/>
      </c>
      <c r="R1721" s="341"/>
      <c r="S1721" s="341"/>
    </row>
    <row r="1722" spans="1:19" ht="12.75" customHeight="1">
      <c r="A1722" s="393"/>
      <c r="C1722" s="20"/>
      <c r="E1722" s="387"/>
      <c r="F1722" s="388">
        <f t="shared" si="441"/>
        <v>0</v>
      </c>
      <c r="H1722" s="341" t="str">
        <f>IF(A1722="","",VLOOKUP(A1722,VII.A!$A$10:$D$199,4,FALSE))</f>
        <v/>
      </c>
      <c r="I1722" s="341" t="str">
        <f t="shared" si="442"/>
        <v/>
      </c>
      <c r="J1722" s="341" t="str">
        <f>IF(A1722="","",VLOOKUP(A1722,VII.A!$A$10:$D$199,3,FALSE))</f>
        <v/>
      </c>
      <c r="K1722" s="342" t="str">
        <f t="shared" si="443"/>
        <v/>
      </c>
      <c r="L1722" s="380" t="str">
        <f>IF(C1722="","",G1691*C1722)</f>
        <v/>
      </c>
      <c r="M1722" s="381" t="str">
        <f>IF(A1722="","",VLOOKUP(A1722,VII.A!$A$10:$B$199,2,FALSE))</f>
        <v/>
      </c>
      <c r="N1722" s="342" t="str">
        <f t="shared" si="444"/>
        <v/>
      </c>
      <c r="R1722" s="341"/>
      <c r="S1722" s="341"/>
    </row>
    <row r="1723" spans="1:19" ht="12.75" customHeight="1">
      <c r="A1723" s="393"/>
      <c r="B1723" s="395" t="s">
        <v>226</v>
      </c>
      <c r="C1723" s="396"/>
      <c r="D1723" s="397"/>
      <c r="E1723" s="398"/>
      <c r="F1723" s="399">
        <f>SUM(F1713:F1722)</f>
        <v>0</v>
      </c>
      <c r="J1723" s="341"/>
      <c r="L1723" s="380"/>
      <c r="M1723" s="381"/>
      <c r="N1723" s="342"/>
      <c r="R1723" s="341"/>
      <c r="S1723" s="341"/>
    </row>
    <row r="1724" spans="1:19" ht="12.75" customHeight="1">
      <c r="A1724" s="393"/>
      <c r="B1724" s="400" t="s">
        <v>53</v>
      </c>
      <c r="C1724" s="2">
        <f>$D$8</f>
        <v>0</v>
      </c>
      <c r="D1724" s="401"/>
      <c r="E1724" s="402"/>
      <c r="F1724" s="403">
        <f>ROUND(C1724*F1723,2)</f>
        <v>0</v>
      </c>
      <c r="J1724" s="341"/>
      <c r="L1724" s="380"/>
      <c r="M1724" s="381"/>
      <c r="N1724" s="342"/>
      <c r="R1724" s="341"/>
      <c r="S1724" s="341"/>
    </row>
    <row r="1725" spans="1:19" ht="12.75" customHeight="1">
      <c r="A1725" s="404"/>
      <c r="B1725" s="405" t="s">
        <v>228</v>
      </c>
      <c r="C1725" s="406"/>
      <c r="D1725" s="406"/>
      <c r="E1725" s="407"/>
      <c r="F1725" s="408">
        <f>F1723+F1724</f>
        <v>0</v>
      </c>
      <c r="J1725" s="341"/>
      <c r="L1725" s="380"/>
      <c r="M1725" s="381"/>
      <c r="N1725" s="342"/>
      <c r="R1725" s="341"/>
      <c r="S1725" s="341"/>
    </row>
    <row r="1726" spans="1:19" ht="12.75" customHeight="1">
      <c r="A1726" s="409" t="s">
        <v>47</v>
      </c>
      <c r="B1726" s="410" t="s">
        <v>236</v>
      </c>
      <c r="C1726" s="411" t="s">
        <v>231</v>
      </c>
      <c r="D1726" s="412" t="s">
        <v>232</v>
      </c>
      <c r="E1726" s="413" t="s">
        <v>233</v>
      </c>
      <c r="F1726" s="378" t="s">
        <v>234</v>
      </c>
      <c r="J1726" s="341"/>
      <c r="L1726" s="380"/>
      <c r="M1726" s="381"/>
      <c r="N1726" s="342"/>
      <c r="R1726" s="341"/>
      <c r="S1726" s="341"/>
    </row>
    <row r="1727" spans="1:19" ht="12.75" customHeight="1">
      <c r="A1727" s="393" t="str">
        <f>VII.A!$A$196</f>
        <v>3.16</v>
      </c>
      <c r="B1727" s="394" t="s">
        <v>157</v>
      </c>
      <c r="C1727" s="20">
        <f>0.9344+0.0518472</f>
        <v>0.98624719999999999</v>
      </c>
      <c r="D1727" s="384" t="str">
        <f>VLOOKUP(A1727,VII.A!$A$10:$G$199,3,FALSE)</f>
        <v>H</v>
      </c>
      <c r="E1727" s="387">
        <f>VII.A!$D$196</f>
        <v>0</v>
      </c>
      <c r="F1727" s="388">
        <f t="shared" ref="F1727:F1733" si="445">ROUND(C1727*E1727,2)</f>
        <v>0</v>
      </c>
      <c r="H1727" s="341">
        <f>IF(A1727="","",VLOOKUP(A1727,VII.A!$A$10:$D$199,4,FALSE))</f>
        <v>0</v>
      </c>
      <c r="I1727" s="341" t="str">
        <f t="shared" ref="I1727:I1733" si="446">IF(A1727="","",IF(E1727=H1727,"SIM","NÃO"))</f>
        <v>SIM</v>
      </c>
      <c r="J1727" s="341" t="str">
        <f>IF(A1727="","",VLOOKUP(A1727,VII.A!$A$10:$D$199,3,FALSE))</f>
        <v>H</v>
      </c>
      <c r="K1727" s="342" t="str">
        <f t="shared" ref="K1727:K1733" si="447">IF(A1727="","",IF(J1727=D1727,"SIM","NÃO"))</f>
        <v>SIM</v>
      </c>
      <c r="L1727" s="380">
        <f>IF(C1727="","",G1691*C1727)</f>
        <v>24.656179999999999</v>
      </c>
      <c r="M1727" s="381" t="str">
        <f>IF(A1727="","",VLOOKUP(A1727,VII.A!$A$10:$B$199,2,FALSE))</f>
        <v>SERVENTE COM ENCARGOS COMPLEMENTARES</v>
      </c>
      <c r="N1727" s="342" t="str">
        <f t="shared" ref="N1727:N1733" si="448">IF(B1727="","",IF(M1727=B1727,"si","no"))</f>
        <v>si</v>
      </c>
      <c r="R1727" s="341"/>
      <c r="S1727" s="341"/>
    </row>
    <row r="1728" spans="1:19" ht="12.75" customHeight="1">
      <c r="A1728" s="393" t="str">
        <f>VII.A!$A$192</f>
        <v>3.12</v>
      </c>
      <c r="B1728" s="394" t="s">
        <v>153</v>
      </c>
      <c r="C1728" s="20">
        <v>0.9</v>
      </c>
      <c r="D1728" s="384" t="str">
        <f>VLOOKUP(A1728,VII.A!$A$10:$G$199,3,FALSE)</f>
        <v>H</v>
      </c>
      <c r="E1728" s="387">
        <f>VII.A!$D$192</f>
        <v>0</v>
      </c>
      <c r="F1728" s="388">
        <f t="shared" si="445"/>
        <v>0</v>
      </c>
      <c r="H1728" s="341">
        <f>IF(A1728="","",VLOOKUP(A1728,VII.A!$A$10:$D$199,4,FALSE))</f>
        <v>0</v>
      </c>
      <c r="I1728" s="341" t="str">
        <f t="shared" si="446"/>
        <v>SIM</v>
      </c>
      <c r="J1728" s="341" t="str">
        <f>IF(A1728="","",VLOOKUP(A1728,VII.A!$A$10:$D$199,3,FALSE))</f>
        <v>H</v>
      </c>
      <c r="K1728" s="342" t="str">
        <f t="shared" si="447"/>
        <v>SIM</v>
      </c>
      <c r="L1728" s="380">
        <f>IF(C1728="","",G1691*C1728)</f>
        <v>22.5</v>
      </c>
      <c r="M1728" s="381" t="str">
        <f>IF(A1728="","",VLOOKUP(A1728,VII.A!$A$10:$B$199,2,FALSE))</f>
        <v>PEDREIRO COM ENCARGOS COMPLEMENTARES</v>
      </c>
      <c r="N1728" s="342" t="str">
        <f t="shared" si="448"/>
        <v>si</v>
      </c>
      <c r="R1728" s="341"/>
      <c r="S1728" s="341"/>
    </row>
    <row r="1729" spans="1:25" ht="12.75" customHeight="1">
      <c r="A1729" s="393"/>
      <c r="C1729" s="20"/>
      <c r="E1729" s="387"/>
      <c r="F1729" s="388">
        <f t="shared" si="445"/>
        <v>0</v>
      </c>
      <c r="H1729" s="341" t="str">
        <f>IF(A1729="","",VLOOKUP(A1729,VII.A!$A$10:$D$199,4,FALSE))</f>
        <v/>
      </c>
      <c r="I1729" s="341" t="str">
        <f t="shared" si="446"/>
        <v/>
      </c>
      <c r="J1729" s="341" t="str">
        <f>IF(A1729="","",VLOOKUP(A1729,VII.A!$A$10:$D$199,3,FALSE))</f>
        <v/>
      </c>
      <c r="K1729" s="342" t="str">
        <f t="shared" si="447"/>
        <v/>
      </c>
      <c r="L1729" s="380" t="str">
        <f>IF(C1729="","",G1691*C1729)</f>
        <v/>
      </c>
      <c r="M1729" s="381" t="str">
        <f>IF(A1729="","",VLOOKUP(A1729,VII.A!$A$10:$B$199,2,FALSE))</f>
        <v/>
      </c>
      <c r="N1729" s="342" t="str">
        <f t="shared" si="448"/>
        <v/>
      </c>
      <c r="R1729" s="341"/>
      <c r="S1729" s="341"/>
    </row>
    <row r="1730" spans="1:25" ht="12.75" customHeight="1">
      <c r="A1730" s="393"/>
      <c r="C1730" s="20"/>
      <c r="E1730" s="387"/>
      <c r="F1730" s="388">
        <f t="shared" si="445"/>
        <v>0</v>
      </c>
      <c r="H1730" s="341" t="str">
        <f>IF(A1730="","",VLOOKUP(A1730,VII.A!$A$10:$D$199,4,FALSE))</f>
        <v/>
      </c>
      <c r="I1730" s="341" t="str">
        <f t="shared" si="446"/>
        <v/>
      </c>
      <c r="J1730" s="341" t="str">
        <f>IF(A1730="","",VLOOKUP(A1730,VII.A!$A$10:$D$199,3,FALSE))</f>
        <v/>
      </c>
      <c r="K1730" s="342" t="str">
        <f t="shared" si="447"/>
        <v/>
      </c>
      <c r="L1730" s="380" t="str">
        <f>IF(C1730="","",G1691*C1730)</f>
        <v/>
      </c>
      <c r="M1730" s="381" t="str">
        <f>IF(A1730="","",VLOOKUP(A1730,VII.A!$A$10:$B$199,2,FALSE))</f>
        <v/>
      </c>
      <c r="N1730" s="342" t="str">
        <f t="shared" si="448"/>
        <v/>
      </c>
      <c r="R1730" s="341"/>
      <c r="S1730" s="341"/>
    </row>
    <row r="1731" spans="1:25" ht="12.75" customHeight="1">
      <c r="A1731" s="393"/>
      <c r="C1731" s="20"/>
      <c r="E1731" s="387"/>
      <c r="F1731" s="388">
        <f t="shared" si="445"/>
        <v>0</v>
      </c>
      <c r="H1731" s="341" t="str">
        <f>IF(A1731="","",VLOOKUP(A1731,VII.A!$A$10:$D$199,4,FALSE))</f>
        <v/>
      </c>
      <c r="I1731" s="341" t="str">
        <f t="shared" si="446"/>
        <v/>
      </c>
      <c r="J1731" s="341" t="str">
        <f>IF(A1731="","",VLOOKUP(A1731,VII.A!$A$10:$D$199,3,FALSE))</f>
        <v/>
      </c>
      <c r="K1731" s="342" t="str">
        <f t="shared" si="447"/>
        <v/>
      </c>
      <c r="L1731" s="380" t="str">
        <f>IF(C1731="","",G1691*C1731)</f>
        <v/>
      </c>
      <c r="M1731" s="381" t="str">
        <f>IF(A1731="","",VLOOKUP(A1731,VII.A!$A$10:$B$199,2,FALSE))</f>
        <v/>
      </c>
      <c r="N1731" s="342" t="str">
        <f t="shared" si="448"/>
        <v/>
      </c>
      <c r="R1731" s="341"/>
      <c r="S1731" s="341"/>
    </row>
    <row r="1732" spans="1:25" ht="12.75" customHeight="1">
      <c r="A1732" s="393"/>
      <c r="C1732" s="20"/>
      <c r="E1732" s="387"/>
      <c r="F1732" s="388">
        <f t="shared" si="445"/>
        <v>0</v>
      </c>
      <c r="H1732" s="341" t="str">
        <f>IF(A1732="","",VLOOKUP(A1732,VII.A!$A$10:$D$199,4,FALSE))</f>
        <v/>
      </c>
      <c r="I1732" s="341" t="str">
        <f t="shared" si="446"/>
        <v/>
      </c>
      <c r="J1732" s="341" t="str">
        <f>IF(A1732="","",VLOOKUP(A1732,VII.A!$A$10:$D$199,3,FALSE))</f>
        <v/>
      </c>
      <c r="K1732" s="342" t="str">
        <f t="shared" si="447"/>
        <v/>
      </c>
      <c r="L1732" s="380" t="str">
        <f>IF(C1732="","",G1691*C1732)</f>
        <v/>
      </c>
      <c r="M1732" s="381" t="str">
        <f>IF(A1732="","",VLOOKUP(A1732,VII.A!$A$10:$B$199,2,FALSE))</f>
        <v/>
      </c>
      <c r="N1732" s="342" t="str">
        <f t="shared" si="448"/>
        <v/>
      </c>
      <c r="R1732" s="341"/>
      <c r="S1732" s="341"/>
    </row>
    <row r="1733" spans="1:25" ht="12.75" customHeight="1">
      <c r="A1733" s="393"/>
      <c r="C1733" s="20"/>
      <c r="E1733" s="387"/>
      <c r="F1733" s="388">
        <f t="shared" si="445"/>
        <v>0</v>
      </c>
      <c r="H1733" s="341" t="str">
        <f>IF(A1733="","",VLOOKUP(A1733,VII.A!$A$10:$D$199,4,FALSE))</f>
        <v/>
      </c>
      <c r="I1733" s="341" t="str">
        <f t="shared" si="446"/>
        <v/>
      </c>
      <c r="J1733" s="341" t="str">
        <f>IF(A1733="","",VLOOKUP(A1733,VII.A!$A$10:$D$199,3,FALSE))</f>
        <v/>
      </c>
      <c r="K1733" s="342" t="str">
        <f t="shared" si="447"/>
        <v/>
      </c>
      <c r="L1733" s="380" t="str">
        <f>IF(C1733="","",G1691*C1733)</f>
        <v/>
      </c>
      <c r="M1733" s="381" t="str">
        <f>IF(A1733="","",VLOOKUP(A1733,VII.A!$A$10:$B$199,2,FALSE))</f>
        <v/>
      </c>
      <c r="N1733" s="342" t="str">
        <f t="shared" si="448"/>
        <v/>
      </c>
      <c r="R1733" s="341"/>
      <c r="S1733" s="341"/>
    </row>
    <row r="1734" spans="1:25" ht="12.75" customHeight="1">
      <c r="A1734" s="393"/>
      <c r="B1734" s="395" t="s">
        <v>226</v>
      </c>
      <c r="C1734" s="396"/>
      <c r="D1734" s="397"/>
      <c r="E1734" s="398"/>
      <c r="F1734" s="399">
        <f>SUM(F1727:F1733)</f>
        <v>0</v>
      </c>
      <c r="J1734" s="341"/>
      <c r="L1734" s="380"/>
      <c r="M1734" s="381"/>
      <c r="N1734" s="342"/>
      <c r="R1734" s="341"/>
      <c r="S1734" s="341"/>
    </row>
    <row r="1735" spans="1:25" ht="12.75" customHeight="1">
      <c r="A1735" s="393"/>
      <c r="B1735" s="400" t="s">
        <v>229</v>
      </c>
      <c r="C1735" s="2">
        <f>IX.A!$C$45</f>
        <v>0</v>
      </c>
      <c r="D1735" s="401"/>
      <c r="E1735" s="402"/>
      <c r="F1735" s="403">
        <f>ROUND(F1734*C1735,2)</f>
        <v>0</v>
      </c>
      <c r="J1735" s="341"/>
      <c r="L1735" s="380"/>
      <c r="M1735" s="381"/>
      <c r="N1735" s="342"/>
      <c r="R1735" s="341"/>
      <c r="S1735" s="341"/>
    </row>
    <row r="1736" spans="1:25" ht="12.75" customHeight="1">
      <c r="A1736" s="393"/>
      <c r="B1736" s="400" t="s">
        <v>53</v>
      </c>
      <c r="C1736" s="2">
        <f>$D$8</f>
        <v>0</v>
      </c>
      <c r="D1736" s="401"/>
      <c r="E1736" s="402"/>
      <c r="F1736" s="403">
        <f>ROUND(SUM(F1734:F1735)*C1736,2)</f>
        <v>0</v>
      </c>
      <c r="J1736" s="341"/>
      <c r="L1736" s="380"/>
      <c r="M1736" s="381"/>
      <c r="N1736" s="342"/>
      <c r="R1736" s="341"/>
      <c r="S1736" s="341"/>
    </row>
    <row r="1737" spans="1:25" ht="12.75" customHeight="1" thickBot="1">
      <c r="A1737" s="414"/>
      <c r="B1737" s="415" t="s">
        <v>230</v>
      </c>
      <c r="C1737" s="416"/>
      <c r="D1737" s="416"/>
      <c r="E1737" s="417"/>
      <c r="F1737" s="418">
        <f>SUM(F1734:F1736)</f>
        <v>0</v>
      </c>
      <c r="J1737" s="341"/>
      <c r="L1737" s="380"/>
      <c r="M1737" s="381"/>
      <c r="N1737" s="342"/>
      <c r="R1737" s="341"/>
      <c r="S1737" s="341"/>
    </row>
    <row r="1738" spans="1:25" ht="12.75" customHeight="1" thickBot="1">
      <c r="A1738" s="357"/>
      <c r="B1738" s="358"/>
      <c r="C1738" s="359"/>
      <c r="D1738" s="359"/>
      <c r="E1738" s="360"/>
      <c r="F1738" s="419"/>
      <c r="J1738" s="341"/>
      <c r="L1738" s="380"/>
      <c r="M1738" s="381"/>
      <c r="N1738" s="342"/>
      <c r="R1738" s="341"/>
      <c r="S1738" s="341"/>
    </row>
    <row r="1739" spans="1:25" ht="30" customHeight="1">
      <c r="A1739" s="370" t="str">
        <f>IV.A!$A$64</f>
        <v>3.3.3</v>
      </c>
      <c r="B1739" s="371" t="str">
        <f>IV.A!$B$64</f>
        <v>ALVENARIA DE TIJOLO MACIÇO CERÂMICO 1 VEZ</v>
      </c>
      <c r="C1739" s="871" t="s">
        <v>237</v>
      </c>
      <c r="D1739" s="872"/>
      <c r="E1739" s="372" t="str">
        <f>IV.A!$C$64</f>
        <v>M2</v>
      </c>
      <c r="F1739" s="11">
        <f>ROUND(F1759+F1773+F1785,2)</f>
        <v>0</v>
      </c>
      <c r="G1739" s="1">
        <f>VLOOKUP(A1739,IV.A!$A$16:$L$172,4,FALSE)</f>
        <v>25</v>
      </c>
      <c r="H1739" s="361">
        <f>SUM(F1741:F1756)+F1758</f>
        <v>0</v>
      </c>
      <c r="I1739" s="361">
        <f>SUM(F1761:F1770)+F1772</f>
        <v>0</v>
      </c>
      <c r="J1739" s="361">
        <f>SUM(F1775:F1781)+F1783+F1784</f>
        <v>0</v>
      </c>
      <c r="K1739" s="361">
        <f>SUM(H1739:J1739)</f>
        <v>0</v>
      </c>
      <c r="L1739" s="362" t="str">
        <f>IF(K1739=F1739,"SIM","NÃO")</f>
        <v>SIM</v>
      </c>
      <c r="M1739" s="373">
        <f>ROUND(SUM(F1741:F1756),2)+ROUND(SUM(F1741:F1756)*C1758,2)+ROUND(SUM(F1761:F1770)*C1772,2)+ROUND(SUM(F1761:F1770),2)+ROUND(SUM(F1775:F1781)*C1783,2)+ROUND((SUM(F1775:F1781)+ROUND(SUM(F1775:F1781)*C1783,2))*C1784,2)+ROUND(SUM(F1775:F1781),2)</f>
        <v>0</v>
      </c>
      <c r="N1739" s="343" t="str">
        <f>IF(M1739=F1739,"SIM","NÃO")</f>
        <v>SIM</v>
      </c>
      <c r="O1739" s="364" t="str">
        <f>VLOOKUP(A1739,IV.A!$A$16:$E$172,3,FALSE)</f>
        <v>M2</v>
      </c>
      <c r="P1739" s="344" t="str">
        <f>IF(O1739=E1739,"SIM","NÃO")</f>
        <v>SIM</v>
      </c>
      <c r="Q1739" s="365">
        <f>ROUND(G1739*F1759,2)+ROUND(G1739*F1773,2)+ROUND(G1739*F1785,2)</f>
        <v>0</v>
      </c>
      <c r="R1739" s="364">
        <f>VLOOKUP(A1739,IV.A!$A$16:$L$172,12,FALSE)</f>
        <v>0</v>
      </c>
      <c r="S1739" s="366" t="str">
        <f>IF(Q1739=R1739,"si","no")</f>
        <v>si</v>
      </c>
      <c r="T1739" s="367">
        <f>SUM(L1741:L1756)+SUM(L1761:L1770)+SUM(L1775:L1781)</f>
        <v>4292.9520000000002</v>
      </c>
      <c r="U1739" s="341">
        <f>(SUM(C1741:C1756)+SUM(C1761:C1770)+SUM(C1775:C1781))*G1739</f>
        <v>4292.9519999999993</v>
      </c>
      <c r="V1739" s="368" t="str">
        <f>IF(T1739=U1739,"si","no")</f>
        <v>si</v>
      </c>
      <c r="W1739" s="369">
        <f>SUM(F1741:F1756)</f>
        <v>0</v>
      </c>
      <c r="X1739" s="369">
        <f>SUM(F1761:F1770)</f>
        <v>0</v>
      </c>
      <c r="Y1739" s="369">
        <f>SUM(F1775:F1781)</f>
        <v>0</v>
      </c>
    </row>
    <row r="1740" spans="1:25" ht="12.75" customHeight="1">
      <c r="A1740" s="374" t="s">
        <v>14</v>
      </c>
      <c r="B1740" s="375" t="s">
        <v>132</v>
      </c>
      <c r="C1740" s="376" t="s">
        <v>231</v>
      </c>
      <c r="D1740" s="376" t="s">
        <v>232</v>
      </c>
      <c r="E1740" s="377" t="s">
        <v>233</v>
      </c>
      <c r="F1740" s="378" t="s">
        <v>234</v>
      </c>
      <c r="G1740" s="379"/>
      <c r="J1740" s="341"/>
      <c r="L1740" s="380"/>
      <c r="M1740" s="381"/>
      <c r="N1740" s="342"/>
      <c r="O1740" s="382"/>
      <c r="P1740" s="383"/>
      <c r="Q1740" s="383"/>
      <c r="R1740" s="383"/>
      <c r="S1740" s="383"/>
      <c r="T1740" s="382"/>
      <c r="U1740" s="341"/>
      <c r="V1740" s="384"/>
      <c r="W1740" s="384"/>
      <c r="X1740" s="384"/>
      <c r="Y1740" s="384"/>
    </row>
    <row r="1741" spans="1:25" ht="12.75" customHeight="1">
      <c r="A1741" s="385" t="str">
        <f>VII.A!$A$19</f>
        <v>1.10</v>
      </c>
      <c r="B1741" s="394" t="str">
        <f>VLOOKUP(A1741,VII.A!$A$10:$G$199,2,FALSE)</f>
        <v>AREIA MÉDIA LAVADA</v>
      </c>
      <c r="C1741" s="20">
        <v>2.7720000000000002E-2</v>
      </c>
      <c r="D1741" s="342" t="str">
        <f>VLOOKUP(A1741,VII.A!$A$10:$G$199,3,FALSE)</f>
        <v>M3</v>
      </c>
      <c r="E1741" s="387">
        <f>VII.A!$D$19</f>
        <v>0</v>
      </c>
      <c r="F1741" s="388">
        <f>ROUND(C1741*E1741,2)</f>
        <v>0</v>
      </c>
      <c r="H1741" s="341">
        <f>IF(A1741="","",VLOOKUP(A1741,VII.A!$A$10:$D$199,4,FALSE))</f>
        <v>0</v>
      </c>
      <c r="I1741" s="341" t="str">
        <f t="shared" ref="I1741:I1756" si="449">IF(A1741="","",IF(E1741=H1741,"SIM","NÃO"))</f>
        <v>SIM</v>
      </c>
      <c r="J1741" s="341" t="str">
        <f>IF(A1741="","",VLOOKUP(A1741,VII.A!$A$10:$D$199,3,FALSE))</f>
        <v>M3</v>
      </c>
      <c r="K1741" s="342" t="str">
        <f t="shared" ref="K1741:K1756" si="450">IF(A1741="","",IF(J1741=D1741,"SIM","NÃO"))</f>
        <v>SIM</v>
      </c>
      <c r="L1741" s="380">
        <f>IF(C1741="","",G1739*C1741)</f>
        <v>0.69300000000000006</v>
      </c>
      <c r="M1741" s="381" t="str">
        <f>IF(A1741="","",VLOOKUP(A1741,VII.A!$A$10:$B$199,2,FALSE))</f>
        <v>AREIA MÉDIA LAVADA</v>
      </c>
      <c r="N1741" s="342" t="str">
        <f t="shared" ref="N1741:N1756" si="451">IF(B1741="","",IF(M1741=B1741,"si","no"))</f>
        <v>si</v>
      </c>
      <c r="R1741" s="341"/>
      <c r="S1741" s="341"/>
    </row>
    <row r="1742" spans="1:25" ht="12.75" customHeight="1">
      <c r="A1742" s="385" t="str">
        <f>VII.A!$A$29</f>
        <v>1.20</v>
      </c>
      <c r="B1742" s="394" t="str">
        <f>VLOOKUP(A1742,VII.A!$A$10:$G$199,2,FALSE)</f>
        <v>CAL HIDRATADA CH III - NBR 7175</v>
      </c>
      <c r="C1742" s="20">
        <v>4.1566799999999997</v>
      </c>
      <c r="D1742" s="342" t="str">
        <f>VLOOKUP(A1742,VII.A!$A$10:$G$199,3,FALSE)</f>
        <v>KG</v>
      </c>
      <c r="E1742" s="387">
        <f>VII.A!$D$29</f>
        <v>0</v>
      </c>
      <c r="F1742" s="388">
        <f t="shared" ref="F1742:F1756" si="452">ROUND(C1742*E1742,2)</f>
        <v>0</v>
      </c>
      <c r="H1742" s="341">
        <f>IF(A1742="","",VLOOKUP(A1742,VII.A!$A$10:$D$199,4,FALSE))</f>
        <v>0</v>
      </c>
      <c r="I1742" s="341" t="str">
        <f t="shared" si="449"/>
        <v>SIM</v>
      </c>
      <c r="J1742" s="341" t="str">
        <f>IF(A1742="","",VLOOKUP(A1742,VII.A!$A$10:$D$199,3,FALSE))</f>
        <v>KG</v>
      </c>
      <c r="K1742" s="342" t="str">
        <f t="shared" si="450"/>
        <v>SIM</v>
      </c>
      <c r="L1742" s="380">
        <f>IF(C1742="","",G1739*C1742)</f>
        <v>103.91699999999999</v>
      </c>
      <c r="M1742" s="381" t="str">
        <f>IF(A1742="","",VLOOKUP(A1742,VII.A!$A$10:$B$199,2,FALSE))</f>
        <v>CAL HIDRATADA CH III - NBR 7175</v>
      </c>
      <c r="N1742" s="342" t="str">
        <f t="shared" si="451"/>
        <v>si</v>
      </c>
      <c r="R1742" s="341"/>
      <c r="S1742" s="341"/>
    </row>
    <row r="1743" spans="1:25" ht="12.75" customHeight="1">
      <c r="A1743" s="385" t="str">
        <f>VII.A!$A$38</f>
        <v>1.29</v>
      </c>
      <c r="B1743" s="394" t="str">
        <f>VLOOKUP(A1743,VII.A!$A$10:$G$199,2,FALSE)</f>
        <v>CIMENTO PORTLAND CP II-E-32</v>
      </c>
      <c r="C1743" s="20">
        <v>3.9835400000000001</v>
      </c>
      <c r="D1743" s="342" t="str">
        <f>VLOOKUP(A1743,VII.A!$A$10:$G$199,3,FALSE)</f>
        <v>KG</v>
      </c>
      <c r="E1743" s="387">
        <f>VII.A!$D$38</f>
        <v>0</v>
      </c>
      <c r="F1743" s="388">
        <f t="shared" si="452"/>
        <v>0</v>
      </c>
      <c r="H1743" s="341">
        <f>IF(A1743="","",VLOOKUP(A1743,VII.A!$A$10:$D$199,4,FALSE))</f>
        <v>0</v>
      </c>
      <c r="I1743" s="341" t="str">
        <f t="shared" si="449"/>
        <v>SIM</v>
      </c>
      <c r="J1743" s="341" t="str">
        <f>IF(A1743="","",VLOOKUP(A1743,VII.A!$A$10:$D$199,3,FALSE))</f>
        <v>KG</v>
      </c>
      <c r="K1743" s="342" t="str">
        <f t="shared" si="450"/>
        <v>SIM</v>
      </c>
      <c r="L1743" s="380">
        <f>IF(C1743="","",G1739*C1743)</f>
        <v>99.588499999999996</v>
      </c>
      <c r="M1743" s="381" t="str">
        <f>IF(A1743="","",VLOOKUP(A1743,VII.A!$A$10:$B$199,2,FALSE))</f>
        <v>CIMENTO PORTLAND CP II-E-32</v>
      </c>
      <c r="N1743" s="342" t="str">
        <f t="shared" si="451"/>
        <v>si</v>
      </c>
      <c r="R1743" s="341"/>
      <c r="S1743" s="341"/>
    </row>
    <row r="1744" spans="1:25" ht="12.75" customHeight="1">
      <c r="A1744" s="385" t="str">
        <f>VII.A!$A$108</f>
        <v>1.98</v>
      </c>
      <c r="B1744" s="394" t="str">
        <f>VLOOKUP(A1744,VII.A!$A$10:$G$199,2,FALSE)</f>
        <v>TIJOLO CERÂMICO MACIÇO 5,7 X 9 X 19 (190MM / 90MM / 57MM)</v>
      </c>
      <c r="C1744" s="20">
        <v>160</v>
      </c>
      <c r="D1744" s="342" t="str">
        <f>VLOOKUP(A1744,VII.A!$A$10:$G$199,3,FALSE)</f>
        <v>UN</v>
      </c>
      <c r="E1744" s="387">
        <f>VII.A!$D$108</f>
        <v>0</v>
      </c>
      <c r="F1744" s="388">
        <f t="shared" si="452"/>
        <v>0</v>
      </c>
      <c r="H1744" s="341">
        <f>IF(A1744="","",VLOOKUP(A1744,VII.A!$A$10:$D$199,4,FALSE))</f>
        <v>0</v>
      </c>
      <c r="I1744" s="341" t="str">
        <f t="shared" si="449"/>
        <v>SIM</v>
      </c>
      <c r="J1744" s="341" t="str">
        <f>IF(A1744="","",VLOOKUP(A1744,VII.A!$A$10:$D$199,3,FALSE))</f>
        <v>UN</v>
      </c>
      <c r="K1744" s="342" t="str">
        <f t="shared" si="450"/>
        <v>SIM</v>
      </c>
      <c r="L1744" s="380">
        <f>IF(C1744="","",G1739*C1744)</f>
        <v>4000</v>
      </c>
      <c r="M1744" s="381" t="str">
        <f>IF(A1744="","",VLOOKUP(A1744,VII.A!$A$10:$B$199,2,FALSE))</f>
        <v>TIJOLO CERÂMICO MACIÇO 5,7 X 9 X 19 (190MM / 90MM / 57MM)</v>
      </c>
      <c r="N1744" s="342" t="str">
        <f t="shared" si="451"/>
        <v>si</v>
      </c>
      <c r="R1744" s="341"/>
      <c r="S1744" s="341"/>
    </row>
    <row r="1745" spans="1:21" ht="12.75" customHeight="1">
      <c r="A1745" s="385"/>
      <c r="B1745" s="386"/>
      <c r="C1745" s="20"/>
      <c r="D1745" s="342"/>
      <c r="E1745" s="387"/>
      <c r="F1745" s="388">
        <f t="shared" si="452"/>
        <v>0</v>
      </c>
      <c r="H1745" s="341" t="str">
        <f>IF(A1745="","",VLOOKUP(A1745,VII.A!$A$10:$D$199,4,FALSE))</f>
        <v/>
      </c>
      <c r="I1745" s="341" t="str">
        <f t="shared" si="449"/>
        <v/>
      </c>
      <c r="J1745" s="341" t="str">
        <f>IF(A1745="","",VLOOKUP(A1745,VII.A!$A$10:$D$199,3,FALSE))</f>
        <v/>
      </c>
      <c r="K1745" s="342" t="str">
        <f t="shared" si="450"/>
        <v/>
      </c>
      <c r="L1745" s="380" t="str">
        <f>IF(C1745="","",G1739*C1745)</f>
        <v/>
      </c>
      <c r="M1745" s="381" t="str">
        <f>IF(A1745="","",VLOOKUP(A1745,VII.A!$A$10:$B$199,2,FALSE))</f>
        <v/>
      </c>
      <c r="N1745" s="342" t="str">
        <f t="shared" si="451"/>
        <v/>
      </c>
      <c r="R1745" s="341"/>
      <c r="S1745" s="341"/>
    </row>
    <row r="1746" spans="1:21" ht="12.75" customHeight="1">
      <c r="A1746" s="385"/>
      <c r="B1746" s="386"/>
      <c r="C1746" s="20"/>
      <c r="D1746" s="342"/>
      <c r="E1746" s="387"/>
      <c r="F1746" s="388">
        <f t="shared" si="452"/>
        <v>0</v>
      </c>
      <c r="H1746" s="341" t="str">
        <f>IF(A1746="","",VLOOKUP(A1746,VII.A!$A$10:$D$199,4,FALSE))</f>
        <v/>
      </c>
      <c r="I1746" s="341" t="str">
        <f t="shared" si="449"/>
        <v/>
      </c>
      <c r="J1746" s="341" t="str">
        <f>IF(A1746="","",VLOOKUP(A1746,VII.A!$A$10:$D$199,3,FALSE))</f>
        <v/>
      </c>
      <c r="K1746" s="342" t="str">
        <f t="shared" si="450"/>
        <v/>
      </c>
      <c r="L1746" s="380" t="str">
        <f>IF(C1746="","",G1739*C1746)</f>
        <v/>
      </c>
      <c r="M1746" s="381" t="str">
        <f>IF(A1746="","",VLOOKUP(A1746,VII.A!$A$10:$B$199,2,FALSE))</f>
        <v/>
      </c>
      <c r="N1746" s="342" t="str">
        <f t="shared" si="451"/>
        <v/>
      </c>
      <c r="R1746" s="341"/>
      <c r="S1746" s="341"/>
      <c r="U1746" s="389"/>
    </row>
    <row r="1747" spans="1:21" ht="12.75" customHeight="1">
      <c r="A1747" s="385"/>
      <c r="B1747" s="386"/>
      <c r="C1747" s="20"/>
      <c r="D1747" s="342"/>
      <c r="E1747" s="387"/>
      <c r="F1747" s="388">
        <f t="shared" si="452"/>
        <v>0</v>
      </c>
      <c r="H1747" s="341" t="str">
        <f>IF(A1747="","",VLOOKUP(A1747,VII.A!$A$10:$D$199,4,FALSE))</f>
        <v/>
      </c>
      <c r="I1747" s="341" t="str">
        <f t="shared" si="449"/>
        <v/>
      </c>
      <c r="J1747" s="341" t="str">
        <f>IF(A1747="","",VLOOKUP(A1747,VII.A!$A$10:$D$199,3,FALSE))</f>
        <v/>
      </c>
      <c r="K1747" s="342" t="str">
        <f t="shared" si="450"/>
        <v/>
      </c>
      <c r="L1747" s="380" t="str">
        <f>IF(C1747="","",G1739*C1747)</f>
        <v/>
      </c>
      <c r="M1747" s="381" t="str">
        <f>IF(A1747="","",VLOOKUP(A1747,VII.A!$A$10:$B$199,2,FALSE))</f>
        <v/>
      </c>
      <c r="N1747" s="342" t="str">
        <f t="shared" si="451"/>
        <v/>
      </c>
      <c r="R1747" s="341"/>
      <c r="S1747" s="341"/>
    </row>
    <row r="1748" spans="1:21" ht="12.75" customHeight="1">
      <c r="A1748" s="385"/>
      <c r="B1748" s="386"/>
      <c r="C1748" s="20"/>
      <c r="D1748" s="342"/>
      <c r="E1748" s="387"/>
      <c r="F1748" s="388">
        <f t="shared" si="452"/>
        <v>0</v>
      </c>
      <c r="G1748" s="390"/>
      <c r="H1748" s="341" t="str">
        <f>IF(A1748="","",VLOOKUP(A1748,VII.A!$A$10:$D$199,4,FALSE))</f>
        <v/>
      </c>
      <c r="I1748" s="341" t="str">
        <f t="shared" si="449"/>
        <v/>
      </c>
      <c r="J1748" s="341" t="str">
        <f>IF(A1748="","",VLOOKUP(A1748,VII.A!$A$10:$D$199,3,FALSE))</f>
        <v/>
      </c>
      <c r="K1748" s="342" t="str">
        <f t="shared" si="450"/>
        <v/>
      </c>
      <c r="L1748" s="380" t="str">
        <f>IF(C1748="","",G1739*C1748)</f>
        <v/>
      </c>
      <c r="M1748" s="381" t="str">
        <f>IF(A1748="","",VLOOKUP(A1748,VII.A!$A$10:$B$199,2,FALSE))</f>
        <v/>
      </c>
      <c r="N1748" s="342" t="str">
        <f t="shared" si="451"/>
        <v/>
      </c>
      <c r="R1748" s="341"/>
      <c r="S1748" s="341"/>
    </row>
    <row r="1749" spans="1:21" ht="12.75" customHeight="1">
      <c r="A1749" s="385"/>
      <c r="B1749" s="386"/>
      <c r="C1749" s="20"/>
      <c r="D1749" s="342"/>
      <c r="E1749" s="387"/>
      <c r="F1749" s="388">
        <f t="shared" si="452"/>
        <v>0</v>
      </c>
      <c r="G1749" s="390"/>
      <c r="H1749" s="341" t="str">
        <f>IF(A1749="","",VLOOKUP(A1749,VII.A!$A$10:$D$199,4,FALSE))</f>
        <v/>
      </c>
      <c r="I1749" s="341" t="str">
        <f t="shared" si="449"/>
        <v/>
      </c>
      <c r="J1749" s="341" t="str">
        <f>IF(A1749="","",VLOOKUP(A1749,VII.A!$A$10:$D$199,3,FALSE))</f>
        <v/>
      </c>
      <c r="K1749" s="342" t="str">
        <f t="shared" si="450"/>
        <v/>
      </c>
      <c r="L1749" s="380" t="str">
        <f>IF(C1749="","",G1739*C1749)</f>
        <v/>
      </c>
      <c r="M1749" s="381" t="str">
        <f>IF(A1749="","",VLOOKUP(A1749,VII.A!$A$10:$B$199,2,FALSE))</f>
        <v/>
      </c>
      <c r="N1749" s="342" t="str">
        <f t="shared" si="451"/>
        <v/>
      </c>
      <c r="R1749" s="341"/>
      <c r="S1749" s="341"/>
    </row>
    <row r="1750" spans="1:21" ht="12.75" customHeight="1">
      <c r="A1750" s="385"/>
      <c r="B1750" s="386"/>
      <c r="C1750" s="20"/>
      <c r="D1750" s="342"/>
      <c r="E1750" s="387"/>
      <c r="F1750" s="388">
        <f t="shared" si="452"/>
        <v>0</v>
      </c>
      <c r="G1750" s="391"/>
      <c r="H1750" s="341" t="str">
        <f>IF(A1750="","",VLOOKUP(A1750,VII.A!$A$10:$D$199,4,FALSE))</f>
        <v/>
      </c>
      <c r="I1750" s="341" t="str">
        <f t="shared" si="449"/>
        <v/>
      </c>
      <c r="J1750" s="341" t="str">
        <f>IF(A1750="","",VLOOKUP(A1750,VII.A!$A$10:$D$199,3,FALSE))</f>
        <v/>
      </c>
      <c r="K1750" s="342" t="str">
        <f t="shared" si="450"/>
        <v/>
      </c>
      <c r="L1750" s="380" t="str">
        <f>IF(C1750="","",G1739*C1750)</f>
        <v/>
      </c>
      <c r="M1750" s="381" t="str">
        <f>IF(A1750="","",VLOOKUP(A1750,VII.A!$A$10:$B$199,2,FALSE))</f>
        <v/>
      </c>
      <c r="N1750" s="342" t="str">
        <f t="shared" si="451"/>
        <v/>
      </c>
      <c r="R1750" s="341"/>
      <c r="S1750" s="341"/>
    </row>
    <row r="1751" spans="1:21" ht="12.75" customHeight="1">
      <c r="A1751" s="385"/>
      <c r="B1751" s="386"/>
      <c r="C1751" s="20"/>
      <c r="D1751" s="342"/>
      <c r="E1751" s="387"/>
      <c r="F1751" s="388">
        <f t="shared" si="452"/>
        <v>0</v>
      </c>
      <c r="H1751" s="341" t="str">
        <f>IF(A1751="","",VLOOKUP(A1751,VII.A!$A$10:$D$199,4,FALSE))</f>
        <v/>
      </c>
      <c r="I1751" s="341" t="str">
        <f t="shared" si="449"/>
        <v/>
      </c>
      <c r="J1751" s="341" t="str">
        <f>IF(A1751="","",VLOOKUP(A1751,VII.A!$A$10:$D$199,3,FALSE))</f>
        <v/>
      </c>
      <c r="K1751" s="342" t="str">
        <f t="shared" si="450"/>
        <v/>
      </c>
      <c r="L1751" s="380" t="str">
        <f>IF(C1751="","",G1739*C1751)</f>
        <v/>
      </c>
      <c r="M1751" s="381" t="str">
        <f>IF(A1751="","",VLOOKUP(A1751,VII.A!$A$10:$B$199,2,FALSE))</f>
        <v/>
      </c>
      <c r="N1751" s="342" t="str">
        <f t="shared" si="451"/>
        <v/>
      </c>
      <c r="R1751" s="341"/>
      <c r="S1751" s="341"/>
    </row>
    <row r="1752" spans="1:21" ht="12.75" customHeight="1">
      <c r="A1752" s="385"/>
      <c r="B1752" s="386"/>
      <c r="C1752" s="20"/>
      <c r="D1752" s="392"/>
      <c r="E1752" s="387"/>
      <c r="F1752" s="388">
        <f t="shared" si="452"/>
        <v>0</v>
      </c>
      <c r="H1752" s="341" t="str">
        <f>IF(A1752="","",VLOOKUP(A1752,VII.A!$A$10:$D$199,4,FALSE))</f>
        <v/>
      </c>
      <c r="I1752" s="341" t="str">
        <f t="shared" si="449"/>
        <v/>
      </c>
      <c r="J1752" s="341" t="str">
        <f>IF(A1752="","",VLOOKUP(A1752,VII.A!$A$10:$D$199,3,FALSE))</f>
        <v/>
      </c>
      <c r="K1752" s="342" t="str">
        <f t="shared" si="450"/>
        <v/>
      </c>
      <c r="L1752" s="380" t="str">
        <f>IF(C1752="","",G1739*C1752)</f>
        <v/>
      </c>
      <c r="M1752" s="381" t="str">
        <f>IF(A1752="","",VLOOKUP(A1752,VII.A!$A$10:$B$199,2,FALSE))</f>
        <v/>
      </c>
      <c r="N1752" s="342" t="str">
        <f t="shared" si="451"/>
        <v/>
      </c>
      <c r="R1752" s="341"/>
      <c r="S1752" s="341"/>
    </row>
    <row r="1753" spans="1:21" ht="12.75" customHeight="1">
      <c r="A1753" s="385"/>
      <c r="B1753" s="386"/>
      <c r="C1753" s="20"/>
      <c r="D1753" s="392"/>
      <c r="E1753" s="387"/>
      <c r="F1753" s="388">
        <f t="shared" si="452"/>
        <v>0</v>
      </c>
      <c r="H1753" s="341" t="str">
        <f>IF(A1753="","",VLOOKUP(A1753,VII.A!$A$10:$D$199,4,FALSE))</f>
        <v/>
      </c>
      <c r="I1753" s="341" t="str">
        <f t="shared" si="449"/>
        <v/>
      </c>
      <c r="J1753" s="341" t="str">
        <f>IF(A1753="","",VLOOKUP(A1753,VII.A!$A$10:$D$199,3,FALSE))</f>
        <v/>
      </c>
      <c r="K1753" s="342" t="str">
        <f t="shared" si="450"/>
        <v/>
      </c>
      <c r="L1753" s="380" t="str">
        <f>IF(C1753="","",G1739*C1753)</f>
        <v/>
      </c>
      <c r="M1753" s="381" t="str">
        <f>IF(A1753="","",VLOOKUP(A1753,VII.A!$A$10:$B$199,2,FALSE))</f>
        <v/>
      </c>
      <c r="N1753" s="342" t="str">
        <f t="shared" si="451"/>
        <v/>
      </c>
      <c r="O1753" s="342"/>
      <c r="R1753" s="341"/>
      <c r="S1753" s="341"/>
    </row>
    <row r="1754" spans="1:21" ht="12.75" customHeight="1">
      <c r="A1754" s="385"/>
      <c r="B1754" s="386"/>
      <c r="C1754" s="20"/>
      <c r="D1754" s="392"/>
      <c r="E1754" s="387"/>
      <c r="F1754" s="388">
        <f t="shared" si="452"/>
        <v>0</v>
      </c>
      <c r="H1754" s="341" t="str">
        <f>IF(A1754="","",VLOOKUP(A1754,VII.A!$A$10:$D$199,4,FALSE))</f>
        <v/>
      </c>
      <c r="I1754" s="341" t="str">
        <f t="shared" si="449"/>
        <v/>
      </c>
      <c r="J1754" s="341" t="str">
        <f>IF(A1754="","",VLOOKUP(A1754,VII.A!$A$10:$D$199,3,FALSE))</f>
        <v/>
      </c>
      <c r="K1754" s="342" t="str">
        <f t="shared" si="450"/>
        <v/>
      </c>
      <c r="L1754" s="380" t="str">
        <f>IF(C1754="","",G1739*C1754)</f>
        <v/>
      </c>
      <c r="M1754" s="381" t="str">
        <f>IF(A1754="","",VLOOKUP(A1754,VII.A!$A$10:$B$199,2,FALSE))</f>
        <v/>
      </c>
      <c r="N1754" s="342" t="str">
        <f t="shared" si="451"/>
        <v/>
      </c>
      <c r="R1754" s="341"/>
      <c r="S1754" s="341"/>
    </row>
    <row r="1755" spans="1:21" ht="12.75" customHeight="1">
      <c r="A1755" s="393"/>
      <c r="C1755" s="20"/>
      <c r="E1755" s="387"/>
      <c r="F1755" s="388">
        <f t="shared" si="452"/>
        <v>0</v>
      </c>
      <c r="H1755" s="341" t="str">
        <f>IF(A1755="","",VLOOKUP(A1755,VII.A!$A$10:$D$199,4,FALSE))</f>
        <v/>
      </c>
      <c r="I1755" s="341" t="str">
        <f t="shared" si="449"/>
        <v/>
      </c>
      <c r="J1755" s="341" t="str">
        <f>IF(A1755="","",VLOOKUP(A1755,VII.A!$A$10:$D$199,3,FALSE))</f>
        <v/>
      </c>
      <c r="K1755" s="342" t="str">
        <f t="shared" si="450"/>
        <v/>
      </c>
      <c r="L1755" s="380" t="str">
        <f>IF(C1755="","",G1739*C1755)</f>
        <v/>
      </c>
      <c r="M1755" s="381" t="str">
        <f>IF(A1755="","",VLOOKUP(A1755,VII.A!$A$10:$B$199,2,FALSE))</f>
        <v/>
      </c>
      <c r="N1755" s="342" t="str">
        <f t="shared" si="451"/>
        <v/>
      </c>
      <c r="R1755" s="341"/>
      <c r="S1755" s="341"/>
    </row>
    <row r="1756" spans="1:21" ht="12.75" customHeight="1">
      <c r="A1756" s="393"/>
      <c r="C1756" s="20"/>
      <c r="E1756" s="387"/>
      <c r="F1756" s="388">
        <f t="shared" si="452"/>
        <v>0</v>
      </c>
      <c r="H1756" s="341" t="str">
        <f>IF(A1756="","",VLOOKUP(A1756,VII.A!$A$10:$D$199,4,FALSE))</f>
        <v/>
      </c>
      <c r="I1756" s="341" t="str">
        <f t="shared" si="449"/>
        <v/>
      </c>
      <c r="J1756" s="341" t="str">
        <f>IF(A1756="","",VLOOKUP(A1756,VII.A!$A$10:$D$199,3,FALSE))</f>
        <v/>
      </c>
      <c r="K1756" s="342" t="str">
        <f t="shared" si="450"/>
        <v/>
      </c>
      <c r="L1756" s="380" t="str">
        <f>IF(C1756="","",G1739*C1756)</f>
        <v/>
      </c>
      <c r="M1756" s="381" t="str">
        <f>IF(A1756="","",VLOOKUP(A1756,VII.A!$A$10:$B$199,2,FALSE))</f>
        <v/>
      </c>
      <c r="N1756" s="342" t="str">
        <f t="shared" si="451"/>
        <v/>
      </c>
      <c r="R1756" s="341"/>
      <c r="S1756" s="341"/>
    </row>
    <row r="1757" spans="1:21" ht="12.75" customHeight="1">
      <c r="A1757" s="393"/>
      <c r="B1757" s="395" t="s">
        <v>226</v>
      </c>
      <c r="C1757" s="396"/>
      <c r="D1757" s="397"/>
      <c r="E1757" s="398"/>
      <c r="F1757" s="399">
        <f>SUM(F1741:F1756)</f>
        <v>0</v>
      </c>
      <c r="H1757" s="426" t="s">
        <v>434</v>
      </c>
      <c r="J1757" s="341"/>
      <c r="L1757" s="380"/>
      <c r="M1757" s="381"/>
      <c r="N1757" s="342"/>
      <c r="R1757" s="341"/>
      <c r="S1757" s="341"/>
    </row>
    <row r="1758" spans="1:21" ht="12.75" customHeight="1">
      <c r="A1758" s="393"/>
      <c r="B1758" s="400" t="s">
        <v>53</v>
      </c>
      <c r="C1758" s="2">
        <f>$D$8</f>
        <v>0</v>
      </c>
      <c r="D1758" s="401"/>
      <c r="E1758" s="402"/>
      <c r="F1758" s="403">
        <f>ROUND(F1757*C1758,2)</f>
        <v>0</v>
      </c>
      <c r="H1758" s="426" t="s">
        <v>463</v>
      </c>
      <c r="J1758" s="341"/>
      <c r="L1758" s="380"/>
      <c r="M1758" s="381"/>
      <c r="N1758" s="342"/>
      <c r="R1758" s="341"/>
      <c r="S1758" s="341"/>
    </row>
    <row r="1759" spans="1:21" ht="12.75" customHeight="1">
      <c r="A1759" s="404"/>
      <c r="B1759" s="405" t="s">
        <v>227</v>
      </c>
      <c r="C1759" s="406"/>
      <c r="D1759" s="406"/>
      <c r="E1759" s="407"/>
      <c r="F1759" s="408">
        <f>F1757+F1758</f>
        <v>0</v>
      </c>
      <c r="J1759" s="341"/>
      <c r="L1759" s="380"/>
      <c r="M1759" s="381"/>
      <c r="N1759" s="342"/>
      <c r="R1759" s="341"/>
      <c r="S1759" s="341"/>
    </row>
    <row r="1760" spans="1:21" ht="12.75" customHeight="1">
      <c r="A1760" s="374" t="s">
        <v>2</v>
      </c>
      <c r="B1760" s="375" t="s">
        <v>235</v>
      </c>
      <c r="C1760" s="376" t="s">
        <v>231</v>
      </c>
      <c r="D1760" s="376" t="s">
        <v>232</v>
      </c>
      <c r="E1760" s="377" t="s">
        <v>233</v>
      </c>
      <c r="F1760" s="378" t="s">
        <v>234</v>
      </c>
      <c r="J1760" s="341"/>
      <c r="L1760" s="380"/>
      <c r="M1760" s="381"/>
      <c r="N1760" s="342"/>
      <c r="R1760" s="341"/>
      <c r="S1760" s="341"/>
    </row>
    <row r="1761" spans="1:19" ht="12.75" customHeight="1">
      <c r="A1761" s="393"/>
      <c r="B1761" s="423"/>
      <c r="C1761" s="20"/>
      <c r="E1761" s="387"/>
      <c r="F1761" s="388">
        <f t="shared" ref="F1761:F1770" si="453">ROUND(C1761*E1761,2)</f>
        <v>0</v>
      </c>
      <c r="H1761" s="341" t="str">
        <f>IF(A1761="","",VLOOKUP(A1761,VII.A!$A$10:$D$199,4,FALSE))</f>
        <v/>
      </c>
      <c r="I1761" s="341" t="str">
        <f t="shared" ref="I1761:I1770" si="454">IF(A1761="","",IF(E1761=H1761,"SIM","NÃO"))</f>
        <v/>
      </c>
      <c r="J1761" s="341" t="str">
        <f>IF(A1761="","",VLOOKUP(A1761,VII.A!$A$10:$D$199,3,FALSE))</f>
        <v/>
      </c>
      <c r="K1761" s="342" t="str">
        <f t="shared" ref="K1761:K1770" si="455">IF(A1761="","",IF(J1761=D1761,"SIM","NÃO"))</f>
        <v/>
      </c>
      <c r="L1761" s="380" t="str">
        <f>IF(C1761="","",G1739*C1761)</f>
        <v/>
      </c>
      <c r="M1761" s="381" t="str">
        <f>IF(A1761="","",VLOOKUP(A1761,VII.A!$A$10:$B$199,2,FALSE))</f>
        <v/>
      </c>
      <c r="N1761" s="342" t="str">
        <f t="shared" ref="N1761:N1770" si="456">IF(B1761="","",IF(M1761=B1761,"si","no"))</f>
        <v/>
      </c>
      <c r="R1761" s="341"/>
      <c r="S1761" s="341"/>
    </row>
    <row r="1762" spans="1:19" ht="12.75" customHeight="1">
      <c r="A1762" s="393"/>
      <c r="C1762" s="20"/>
      <c r="E1762" s="387"/>
      <c r="F1762" s="388">
        <f t="shared" si="453"/>
        <v>0</v>
      </c>
      <c r="H1762" s="341" t="str">
        <f>IF(A1762="","",VLOOKUP(A1762,VII.A!$A$10:$D$199,4,FALSE))</f>
        <v/>
      </c>
      <c r="I1762" s="341" t="str">
        <f t="shared" si="454"/>
        <v/>
      </c>
      <c r="J1762" s="341" t="str">
        <f>IF(A1762="","",VLOOKUP(A1762,VII.A!$A$10:$D$199,3,FALSE))</f>
        <v/>
      </c>
      <c r="K1762" s="342" t="str">
        <f t="shared" si="455"/>
        <v/>
      </c>
      <c r="L1762" s="380" t="str">
        <f>IF(C1762="","",G1739*C1762)</f>
        <v/>
      </c>
      <c r="M1762" s="381" t="str">
        <f>IF(A1762="","",VLOOKUP(A1762,VII.A!$A$10:$B$199,2,FALSE))</f>
        <v/>
      </c>
      <c r="N1762" s="342" t="str">
        <f t="shared" si="456"/>
        <v/>
      </c>
      <c r="R1762" s="341"/>
      <c r="S1762" s="341"/>
    </row>
    <row r="1763" spans="1:19" ht="12.75" customHeight="1">
      <c r="A1763" s="393"/>
      <c r="C1763" s="20"/>
      <c r="E1763" s="387"/>
      <c r="F1763" s="388">
        <f t="shared" si="453"/>
        <v>0</v>
      </c>
      <c r="H1763" s="341" t="str">
        <f>IF(A1763="","",VLOOKUP(A1763,VII.A!$A$10:$D$199,4,FALSE))</f>
        <v/>
      </c>
      <c r="I1763" s="341" t="str">
        <f t="shared" si="454"/>
        <v/>
      </c>
      <c r="J1763" s="341" t="str">
        <f>IF(A1763="","",VLOOKUP(A1763,VII.A!$A$10:$D$199,3,FALSE))</f>
        <v/>
      </c>
      <c r="K1763" s="342" t="str">
        <f t="shared" si="455"/>
        <v/>
      </c>
      <c r="L1763" s="380" t="str">
        <f>IF(C1763="","",G1739*C1763)</f>
        <v/>
      </c>
      <c r="M1763" s="381" t="str">
        <f>IF(A1763="","",VLOOKUP(A1763,VII.A!$A$10:$B$199,2,FALSE))</f>
        <v/>
      </c>
      <c r="N1763" s="342" t="str">
        <f t="shared" si="456"/>
        <v/>
      </c>
      <c r="R1763" s="341"/>
      <c r="S1763" s="341"/>
    </row>
    <row r="1764" spans="1:19" ht="12.75" customHeight="1">
      <c r="A1764" s="393"/>
      <c r="C1764" s="20"/>
      <c r="E1764" s="387"/>
      <c r="F1764" s="388">
        <f t="shared" si="453"/>
        <v>0</v>
      </c>
      <c r="H1764" s="341" t="str">
        <f>IF(A1764="","",VLOOKUP(A1764,VII.A!$A$10:$D$199,4,FALSE))</f>
        <v/>
      </c>
      <c r="I1764" s="341" t="str">
        <f t="shared" si="454"/>
        <v/>
      </c>
      <c r="J1764" s="341" t="str">
        <f>IF(A1764="","",VLOOKUP(A1764,VII.A!$A$10:$D$199,3,FALSE))</f>
        <v/>
      </c>
      <c r="K1764" s="342" t="str">
        <f t="shared" si="455"/>
        <v/>
      </c>
      <c r="L1764" s="380" t="str">
        <f>IF(C1764="","",G1739*C1764)</f>
        <v/>
      </c>
      <c r="M1764" s="381" t="str">
        <f>IF(A1764="","",VLOOKUP(A1764,VII.A!$A$10:$B$199,2,FALSE))</f>
        <v/>
      </c>
      <c r="N1764" s="342" t="str">
        <f t="shared" si="456"/>
        <v/>
      </c>
      <c r="R1764" s="341"/>
      <c r="S1764" s="341"/>
    </row>
    <row r="1765" spans="1:19" ht="12.75" customHeight="1">
      <c r="A1765" s="393"/>
      <c r="C1765" s="20"/>
      <c r="E1765" s="387"/>
      <c r="F1765" s="388">
        <f t="shared" si="453"/>
        <v>0</v>
      </c>
      <c r="G1765" s="390"/>
      <c r="H1765" s="341" t="str">
        <f>IF(A1765="","",VLOOKUP(A1765,VII.A!$A$10:$D$199,4,FALSE))</f>
        <v/>
      </c>
      <c r="I1765" s="341" t="str">
        <f t="shared" si="454"/>
        <v/>
      </c>
      <c r="J1765" s="341" t="str">
        <f>IF(A1765="","",VLOOKUP(A1765,VII.A!$A$10:$D$199,3,FALSE))</f>
        <v/>
      </c>
      <c r="K1765" s="342" t="str">
        <f t="shared" si="455"/>
        <v/>
      </c>
      <c r="L1765" s="380" t="str">
        <f>IF(C1765="","",G1739*C1765)</f>
        <v/>
      </c>
      <c r="M1765" s="381" t="str">
        <f>IF(A1765="","",VLOOKUP(A1765,VII.A!$A$10:$B$199,2,FALSE))</f>
        <v/>
      </c>
      <c r="N1765" s="342" t="str">
        <f t="shared" si="456"/>
        <v/>
      </c>
      <c r="R1765" s="341"/>
      <c r="S1765" s="341"/>
    </row>
    <row r="1766" spans="1:19" ht="12.75" customHeight="1">
      <c r="A1766" s="393"/>
      <c r="C1766" s="20"/>
      <c r="E1766" s="387"/>
      <c r="F1766" s="388">
        <f t="shared" si="453"/>
        <v>0</v>
      </c>
      <c r="G1766" s="391"/>
      <c r="H1766" s="341" t="str">
        <f>IF(A1766="","",VLOOKUP(A1766,VII.A!$A$10:$D$199,4,FALSE))</f>
        <v/>
      </c>
      <c r="I1766" s="341" t="str">
        <f t="shared" si="454"/>
        <v/>
      </c>
      <c r="J1766" s="341" t="str">
        <f>IF(A1766="","",VLOOKUP(A1766,VII.A!$A$10:$D$199,3,FALSE))</f>
        <v/>
      </c>
      <c r="K1766" s="342" t="str">
        <f t="shared" si="455"/>
        <v/>
      </c>
      <c r="L1766" s="380" t="str">
        <f>IF(C1766="","",G1739*C1766)</f>
        <v/>
      </c>
      <c r="M1766" s="381" t="str">
        <f>IF(A1766="","",VLOOKUP(A1766,VII.A!$A$10:$B$199,2,FALSE))</f>
        <v/>
      </c>
      <c r="N1766" s="342" t="str">
        <f t="shared" si="456"/>
        <v/>
      </c>
      <c r="R1766" s="341"/>
      <c r="S1766" s="341"/>
    </row>
    <row r="1767" spans="1:19" ht="12.75" customHeight="1">
      <c r="A1767" s="393"/>
      <c r="C1767" s="20"/>
      <c r="E1767" s="387"/>
      <c r="F1767" s="388">
        <f t="shared" si="453"/>
        <v>0</v>
      </c>
      <c r="H1767" s="341" t="str">
        <f>IF(A1767="","",VLOOKUP(A1767,VII.A!$A$10:$D$199,4,FALSE))</f>
        <v/>
      </c>
      <c r="I1767" s="341" t="str">
        <f t="shared" si="454"/>
        <v/>
      </c>
      <c r="J1767" s="341" t="str">
        <f>IF(A1767="","",VLOOKUP(A1767,VII.A!$A$10:$D$199,3,FALSE))</f>
        <v/>
      </c>
      <c r="K1767" s="342" t="str">
        <f t="shared" si="455"/>
        <v/>
      </c>
      <c r="L1767" s="380" t="str">
        <f>IF(C1767="","",G1739*C1767)</f>
        <v/>
      </c>
      <c r="M1767" s="381" t="str">
        <f>IF(A1767="","",VLOOKUP(A1767,VII.A!$A$10:$B$199,2,FALSE))</f>
        <v/>
      </c>
      <c r="N1767" s="342" t="str">
        <f t="shared" si="456"/>
        <v/>
      </c>
      <c r="R1767" s="341"/>
      <c r="S1767" s="341"/>
    </row>
    <row r="1768" spans="1:19" ht="12.75" customHeight="1">
      <c r="A1768" s="393"/>
      <c r="C1768" s="20"/>
      <c r="E1768" s="387"/>
      <c r="F1768" s="388">
        <f t="shared" si="453"/>
        <v>0</v>
      </c>
      <c r="H1768" s="341" t="str">
        <f>IF(A1768="","",VLOOKUP(A1768,VII.A!$A$10:$D$199,4,FALSE))</f>
        <v/>
      </c>
      <c r="I1768" s="341" t="str">
        <f t="shared" si="454"/>
        <v/>
      </c>
      <c r="J1768" s="341" t="str">
        <f>IF(A1768="","",VLOOKUP(A1768,VII.A!$A$10:$D$199,3,FALSE))</f>
        <v/>
      </c>
      <c r="K1768" s="342" t="str">
        <f t="shared" si="455"/>
        <v/>
      </c>
      <c r="L1768" s="380" t="str">
        <f>IF(C1768="","",G1739*C1768)</f>
        <v/>
      </c>
      <c r="M1768" s="381" t="str">
        <f>IF(A1768="","",VLOOKUP(A1768,VII.A!$A$10:$B$199,2,FALSE))</f>
        <v/>
      </c>
      <c r="N1768" s="342" t="str">
        <f t="shared" si="456"/>
        <v/>
      </c>
      <c r="R1768" s="341"/>
      <c r="S1768" s="341"/>
    </row>
    <row r="1769" spans="1:19" ht="12.75" customHeight="1">
      <c r="A1769" s="393"/>
      <c r="C1769" s="20"/>
      <c r="E1769" s="387"/>
      <c r="F1769" s="388">
        <f t="shared" si="453"/>
        <v>0</v>
      </c>
      <c r="H1769" s="341" t="str">
        <f>IF(A1769="","",VLOOKUP(A1769,VII.A!$A$10:$D$199,4,FALSE))</f>
        <v/>
      </c>
      <c r="I1769" s="341" t="str">
        <f t="shared" si="454"/>
        <v/>
      </c>
      <c r="J1769" s="341" t="str">
        <f>IF(A1769="","",VLOOKUP(A1769,VII.A!$A$10:$D$199,3,FALSE))</f>
        <v/>
      </c>
      <c r="K1769" s="342" t="str">
        <f t="shared" si="455"/>
        <v/>
      </c>
      <c r="L1769" s="380" t="str">
        <f>IF(C1769="","",G1739*C1769)</f>
        <v/>
      </c>
      <c r="M1769" s="381" t="str">
        <f>IF(A1769="","",VLOOKUP(A1769,VII.A!$A$10:$B$199,2,FALSE))</f>
        <v/>
      </c>
      <c r="N1769" s="342" t="str">
        <f t="shared" si="456"/>
        <v/>
      </c>
      <c r="R1769" s="341"/>
      <c r="S1769" s="341"/>
    </row>
    <row r="1770" spans="1:19" ht="12.75" customHeight="1">
      <c r="A1770" s="393"/>
      <c r="C1770" s="20"/>
      <c r="E1770" s="387"/>
      <c r="F1770" s="388">
        <f t="shared" si="453"/>
        <v>0</v>
      </c>
      <c r="H1770" s="341" t="str">
        <f>IF(A1770="","",VLOOKUP(A1770,VII.A!$A$10:$D$199,4,FALSE))</f>
        <v/>
      </c>
      <c r="I1770" s="341" t="str">
        <f t="shared" si="454"/>
        <v/>
      </c>
      <c r="J1770" s="341" t="str">
        <f>IF(A1770="","",VLOOKUP(A1770,VII.A!$A$10:$D$199,3,FALSE))</f>
        <v/>
      </c>
      <c r="K1770" s="342" t="str">
        <f t="shared" si="455"/>
        <v/>
      </c>
      <c r="L1770" s="380" t="str">
        <f>IF(C1770="","",G1739*C1770)</f>
        <v/>
      </c>
      <c r="M1770" s="381" t="str">
        <f>IF(A1770="","",VLOOKUP(A1770,VII.A!$A$10:$B$199,2,FALSE))</f>
        <v/>
      </c>
      <c r="N1770" s="342" t="str">
        <f t="shared" si="456"/>
        <v/>
      </c>
      <c r="R1770" s="341"/>
      <c r="S1770" s="341"/>
    </row>
    <row r="1771" spans="1:19" ht="12.75" customHeight="1">
      <c r="A1771" s="393"/>
      <c r="B1771" s="395" t="s">
        <v>226</v>
      </c>
      <c r="C1771" s="396"/>
      <c r="D1771" s="397"/>
      <c r="E1771" s="398"/>
      <c r="F1771" s="399">
        <f>SUM(F1761:F1770)</f>
        <v>0</v>
      </c>
      <c r="J1771" s="341"/>
      <c r="L1771" s="380"/>
      <c r="M1771" s="381"/>
      <c r="N1771" s="342"/>
      <c r="R1771" s="341"/>
      <c r="S1771" s="341"/>
    </row>
    <row r="1772" spans="1:19" ht="12.75" customHeight="1">
      <c r="A1772" s="393"/>
      <c r="B1772" s="400" t="s">
        <v>53</v>
      </c>
      <c r="C1772" s="2">
        <f>$D$8</f>
        <v>0</v>
      </c>
      <c r="D1772" s="401"/>
      <c r="E1772" s="402"/>
      <c r="F1772" s="403">
        <f>ROUND(C1772*F1771,2)</f>
        <v>0</v>
      </c>
      <c r="J1772" s="341"/>
      <c r="L1772" s="380"/>
      <c r="M1772" s="381"/>
      <c r="N1772" s="342"/>
      <c r="R1772" s="341"/>
      <c r="S1772" s="341"/>
    </row>
    <row r="1773" spans="1:19" ht="12.75" customHeight="1">
      <c r="A1773" s="404"/>
      <c r="B1773" s="405" t="s">
        <v>228</v>
      </c>
      <c r="C1773" s="406"/>
      <c r="D1773" s="406"/>
      <c r="E1773" s="407"/>
      <c r="F1773" s="408">
        <f>F1771+F1772</f>
        <v>0</v>
      </c>
      <c r="J1773" s="341"/>
      <c r="L1773" s="380"/>
      <c r="M1773" s="381"/>
      <c r="N1773" s="342"/>
      <c r="R1773" s="341"/>
      <c r="S1773" s="341"/>
    </row>
    <row r="1774" spans="1:19" ht="12.75" customHeight="1">
      <c r="A1774" s="409" t="s">
        <v>47</v>
      </c>
      <c r="B1774" s="410" t="s">
        <v>236</v>
      </c>
      <c r="C1774" s="411" t="s">
        <v>231</v>
      </c>
      <c r="D1774" s="412" t="s">
        <v>232</v>
      </c>
      <c r="E1774" s="413" t="s">
        <v>233</v>
      </c>
      <c r="F1774" s="378" t="s">
        <v>234</v>
      </c>
      <c r="J1774" s="341"/>
      <c r="L1774" s="380"/>
      <c r="M1774" s="381"/>
      <c r="N1774" s="342"/>
      <c r="R1774" s="341"/>
      <c r="S1774" s="341"/>
    </row>
    <row r="1775" spans="1:19" ht="12.75" customHeight="1">
      <c r="A1775" s="393" t="str">
        <f>VII.A!$A$196</f>
        <v>3.16</v>
      </c>
      <c r="B1775" s="394" t="s">
        <v>157</v>
      </c>
      <c r="C1775" s="20">
        <f>1.7+0.25014</f>
        <v>1.95014</v>
      </c>
      <c r="D1775" s="384" t="str">
        <f>VLOOKUP(A1775,VII.A!$A$10:$G$199,3,FALSE)</f>
        <v>H</v>
      </c>
      <c r="E1775" s="387">
        <f>VII.A!$D$196</f>
        <v>0</v>
      </c>
      <c r="F1775" s="388">
        <f t="shared" ref="F1775:F1781" si="457">ROUND(C1775*E1775,2)</f>
        <v>0</v>
      </c>
      <c r="H1775" s="341">
        <f>IF(A1775="","",VLOOKUP(A1775,VII.A!$A$10:$D$199,4,FALSE))</f>
        <v>0</v>
      </c>
      <c r="I1775" s="341" t="str">
        <f t="shared" ref="I1775:I1781" si="458">IF(A1775="","",IF(E1775=H1775,"SIM","NÃO"))</f>
        <v>SIM</v>
      </c>
      <c r="J1775" s="341" t="str">
        <f>IF(A1775="","",VLOOKUP(A1775,VII.A!$A$10:$D$199,3,FALSE))</f>
        <v>H</v>
      </c>
      <c r="K1775" s="342" t="str">
        <f t="shared" ref="K1775:K1781" si="459">IF(A1775="","",IF(J1775=D1775,"SIM","NÃO"))</f>
        <v>SIM</v>
      </c>
      <c r="L1775" s="380">
        <f>IF(C1775="","",G1739*C1775)</f>
        <v>48.753500000000003</v>
      </c>
      <c r="M1775" s="381" t="str">
        <f>IF(A1775="","",VLOOKUP(A1775,VII.A!$A$10:$B$199,2,FALSE))</f>
        <v>SERVENTE COM ENCARGOS COMPLEMENTARES</v>
      </c>
      <c r="N1775" s="342" t="str">
        <f t="shared" ref="N1775:N1781" si="460">IF(B1775="","",IF(M1775=B1775,"si","no"))</f>
        <v>si</v>
      </c>
      <c r="R1775" s="341"/>
      <c r="S1775" s="341"/>
    </row>
    <row r="1776" spans="1:19" ht="12.75" customHeight="1">
      <c r="A1776" s="393" t="str">
        <f>VII.A!$A$192</f>
        <v>3.12</v>
      </c>
      <c r="B1776" s="394" t="s">
        <v>153</v>
      </c>
      <c r="C1776" s="20">
        <v>1.6</v>
      </c>
      <c r="D1776" s="384" t="str">
        <f>VLOOKUP(A1776,VII.A!$A$10:$G$199,3,FALSE)</f>
        <v>H</v>
      </c>
      <c r="E1776" s="387">
        <f>VII.A!$D$192</f>
        <v>0</v>
      </c>
      <c r="F1776" s="388">
        <f t="shared" si="457"/>
        <v>0</v>
      </c>
      <c r="H1776" s="341">
        <f>IF(A1776="","",VLOOKUP(A1776,VII.A!$A$10:$D$199,4,FALSE))</f>
        <v>0</v>
      </c>
      <c r="I1776" s="341" t="str">
        <f t="shared" si="458"/>
        <v>SIM</v>
      </c>
      <c r="J1776" s="341" t="str">
        <f>IF(A1776="","",VLOOKUP(A1776,VII.A!$A$10:$D$199,3,FALSE))</f>
        <v>H</v>
      </c>
      <c r="K1776" s="342" t="str">
        <f t="shared" si="459"/>
        <v>SIM</v>
      </c>
      <c r="L1776" s="380">
        <f>IF(C1776="","",G1739*C1776)</f>
        <v>40</v>
      </c>
      <c r="M1776" s="381" t="str">
        <f>IF(A1776="","",VLOOKUP(A1776,VII.A!$A$10:$B$199,2,FALSE))</f>
        <v>PEDREIRO COM ENCARGOS COMPLEMENTARES</v>
      </c>
      <c r="N1776" s="342" t="str">
        <f t="shared" si="460"/>
        <v>si</v>
      </c>
      <c r="R1776" s="341"/>
      <c r="S1776" s="341"/>
    </row>
    <row r="1777" spans="1:25" ht="12.75" customHeight="1">
      <c r="A1777" s="393"/>
      <c r="C1777" s="20"/>
      <c r="E1777" s="387"/>
      <c r="F1777" s="388">
        <f t="shared" si="457"/>
        <v>0</v>
      </c>
      <c r="H1777" s="341" t="str">
        <f>IF(A1777="","",VLOOKUP(A1777,VII.A!$A$10:$D$199,4,FALSE))</f>
        <v/>
      </c>
      <c r="I1777" s="341" t="str">
        <f t="shared" si="458"/>
        <v/>
      </c>
      <c r="J1777" s="341" t="str">
        <f>IF(A1777="","",VLOOKUP(A1777,VII.A!$A$10:$D$199,3,FALSE))</f>
        <v/>
      </c>
      <c r="K1777" s="342" t="str">
        <f t="shared" si="459"/>
        <v/>
      </c>
      <c r="L1777" s="380" t="str">
        <f>IF(C1777="","",G1739*C1777)</f>
        <v/>
      </c>
      <c r="M1777" s="381" t="str">
        <f>IF(A1777="","",VLOOKUP(A1777,VII.A!$A$10:$B$199,2,FALSE))</f>
        <v/>
      </c>
      <c r="N1777" s="342" t="str">
        <f t="shared" si="460"/>
        <v/>
      </c>
      <c r="R1777" s="341"/>
      <c r="S1777" s="341"/>
    </row>
    <row r="1778" spans="1:25" ht="12.75" customHeight="1">
      <c r="A1778" s="393"/>
      <c r="C1778" s="20"/>
      <c r="E1778" s="387"/>
      <c r="F1778" s="388">
        <f t="shared" si="457"/>
        <v>0</v>
      </c>
      <c r="H1778" s="341" t="str">
        <f>IF(A1778="","",VLOOKUP(A1778,VII.A!$A$10:$D$199,4,FALSE))</f>
        <v/>
      </c>
      <c r="I1778" s="341" t="str">
        <f t="shared" si="458"/>
        <v/>
      </c>
      <c r="J1778" s="341" t="str">
        <f>IF(A1778="","",VLOOKUP(A1778,VII.A!$A$10:$D$199,3,FALSE))</f>
        <v/>
      </c>
      <c r="K1778" s="342" t="str">
        <f t="shared" si="459"/>
        <v/>
      </c>
      <c r="L1778" s="380" t="str">
        <f>IF(C1778="","",G1739*C1778)</f>
        <v/>
      </c>
      <c r="M1778" s="381" t="str">
        <f>IF(A1778="","",VLOOKUP(A1778,VII.A!$A$10:$B$199,2,FALSE))</f>
        <v/>
      </c>
      <c r="N1778" s="342" t="str">
        <f t="shared" si="460"/>
        <v/>
      </c>
      <c r="R1778" s="341"/>
      <c r="S1778" s="341"/>
    </row>
    <row r="1779" spans="1:25" ht="12.75" customHeight="1">
      <c r="A1779" s="393"/>
      <c r="C1779" s="20"/>
      <c r="E1779" s="387"/>
      <c r="F1779" s="388">
        <f t="shared" si="457"/>
        <v>0</v>
      </c>
      <c r="H1779" s="341" t="str">
        <f>IF(A1779="","",VLOOKUP(A1779,VII.A!$A$10:$D$199,4,FALSE))</f>
        <v/>
      </c>
      <c r="I1779" s="341" t="str">
        <f t="shared" si="458"/>
        <v/>
      </c>
      <c r="J1779" s="341" t="str">
        <f>IF(A1779="","",VLOOKUP(A1779,VII.A!$A$10:$D$199,3,FALSE))</f>
        <v/>
      </c>
      <c r="K1779" s="342" t="str">
        <f t="shared" si="459"/>
        <v/>
      </c>
      <c r="L1779" s="380" t="str">
        <f>IF(C1779="","",G1739*C1779)</f>
        <v/>
      </c>
      <c r="M1779" s="381" t="str">
        <f>IF(A1779="","",VLOOKUP(A1779,VII.A!$A$10:$B$199,2,FALSE))</f>
        <v/>
      </c>
      <c r="N1779" s="342" t="str">
        <f t="shared" si="460"/>
        <v/>
      </c>
      <c r="R1779" s="341"/>
      <c r="S1779" s="341"/>
    </row>
    <row r="1780" spans="1:25" ht="12.75" customHeight="1">
      <c r="A1780" s="393"/>
      <c r="C1780" s="20"/>
      <c r="E1780" s="387"/>
      <c r="F1780" s="388">
        <f t="shared" si="457"/>
        <v>0</v>
      </c>
      <c r="H1780" s="341" t="str">
        <f>IF(A1780="","",VLOOKUP(A1780,VII.A!$A$10:$D$199,4,FALSE))</f>
        <v/>
      </c>
      <c r="I1780" s="341" t="str">
        <f t="shared" si="458"/>
        <v/>
      </c>
      <c r="J1780" s="341" t="str">
        <f>IF(A1780="","",VLOOKUP(A1780,VII.A!$A$10:$D$199,3,FALSE))</f>
        <v/>
      </c>
      <c r="K1780" s="342" t="str">
        <f t="shared" si="459"/>
        <v/>
      </c>
      <c r="L1780" s="380" t="str">
        <f>IF(C1780="","",G1739*C1780)</f>
        <v/>
      </c>
      <c r="M1780" s="381" t="str">
        <f>IF(A1780="","",VLOOKUP(A1780,VII.A!$A$10:$B$199,2,FALSE))</f>
        <v/>
      </c>
      <c r="N1780" s="342" t="str">
        <f t="shared" si="460"/>
        <v/>
      </c>
      <c r="R1780" s="341"/>
      <c r="S1780" s="341"/>
    </row>
    <row r="1781" spans="1:25" ht="12.75" customHeight="1">
      <c r="A1781" s="393"/>
      <c r="C1781" s="20"/>
      <c r="E1781" s="387"/>
      <c r="F1781" s="388">
        <f t="shared" si="457"/>
        <v>0</v>
      </c>
      <c r="H1781" s="341" t="str">
        <f>IF(A1781="","",VLOOKUP(A1781,VII.A!$A$10:$D$199,4,FALSE))</f>
        <v/>
      </c>
      <c r="I1781" s="341" t="str">
        <f t="shared" si="458"/>
        <v/>
      </c>
      <c r="J1781" s="341" t="str">
        <f>IF(A1781="","",VLOOKUP(A1781,VII.A!$A$10:$D$199,3,FALSE))</f>
        <v/>
      </c>
      <c r="K1781" s="342" t="str">
        <f t="shared" si="459"/>
        <v/>
      </c>
      <c r="L1781" s="380" t="str">
        <f>IF(C1781="","",G1739*C1781)</f>
        <v/>
      </c>
      <c r="M1781" s="381" t="str">
        <f>IF(A1781="","",VLOOKUP(A1781,VII.A!$A$10:$B$199,2,FALSE))</f>
        <v/>
      </c>
      <c r="N1781" s="342" t="str">
        <f t="shared" si="460"/>
        <v/>
      </c>
      <c r="R1781" s="341"/>
      <c r="S1781" s="341"/>
    </row>
    <row r="1782" spans="1:25" ht="12.75" customHeight="1">
      <c r="A1782" s="393"/>
      <c r="B1782" s="395" t="s">
        <v>226</v>
      </c>
      <c r="C1782" s="396"/>
      <c r="D1782" s="397"/>
      <c r="E1782" s="398"/>
      <c r="F1782" s="399">
        <f>SUM(F1775:F1781)</f>
        <v>0</v>
      </c>
      <c r="J1782" s="341"/>
      <c r="L1782" s="380"/>
      <c r="M1782" s="381"/>
      <c r="N1782" s="342"/>
      <c r="R1782" s="341"/>
      <c r="S1782" s="341"/>
    </row>
    <row r="1783" spans="1:25" ht="12.75" customHeight="1">
      <c r="A1783" s="393"/>
      <c r="B1783" s="400" t="s">
        <v>229</v>
      </c>
      <c r="C1783" s="2">
        <f>IX.A!$C$45</f>
        <v>0</v>
      </c>
      <c r="D1783" s="401"/>
      <c r="E1783" s="402"/>
      <c r="F1783" s="403">
        <f>ROUND(F1782*C1783,2)</f>
        <v>0</v>
      </c>
      <c r="J1783" s="341"/>
      <c r="L1783" s="380"/>
      <c r="M1783" s="381"/>
      <c r="N1783" s="342"/>
      <c r="R1783" s="341"/>
      <c r="S1783" s="341"/>
    </row>
    <row r="1784" spans="1:25" ht="12.75" customHeight="1">
      <c r="A1784" s="393"/>
      <c r="B1784" s="400" t="s">
        <v>53</v>
      </c>
      <c r="C1784" s="2">
        <f>$D$8</f>
        <v>0</v>
      </c>
      <c r="D1784" s="401"/>
      <c r="E1784" s="402"/>
      <c r="F1784" s="403">
        <f>ROUND(SUM(F1782:F1783)*C1784,2)</f>
        <v>0</v>
      </c>
      <c r="J1784" s="341"/>
      <c r="L1784" s="380"/>
      <c r="M1784" s="381"/>
      <c r="N1784" s="342"/>
      <c r="R1784" s="341"/>
      <c r="S1784" s="341"/>
    </row>
    <row r="1785" spans="1:25" ht="12.75" customHeight="1" thickBot="1">
      <c r="A1785" s="414"/>
      <c r="B1785" s="415" t="s">
        <v>230</v>
      </c>
      <c r="C1785" s="416"/>
      <c r="D1785" s="416"/>
      <c r="E1785" s="417"/>
      <c r="F1785" s="418">
        <f>SUM(F1782:F1784)</f>
        <v>0</v>
      </c>
      <c r="J1785" s="341"/>
      <c r="L1785" s="380"/>
      <c r="M1785" s="381"/>
      <c r="N1785" s="342"/>
      <c r="R1785" s="341"/>
      <c r="S1785" s="341"/>
    </row>
    <row r="1786" spans="1:25" ht="12.75" customHeight="1" thickBot="1">
      <c r="A1786" s="357"/>
      <c r="B1786" s="358"/>
      <c r="C1786" s="359"/>
      <c r="D1786" s="359"/>
      <c r="E1786" s="360"/>
      <c r="F1786" s="419"/>
      <c r="J1786" s="341"/>
      <c r="L1786" s="380"/>
      <c r="M1786" s="381"/>
      <c r="N1786" s="342"/>
      <c r="R1786" s="341"/>
      <c r="S1786" s="341"/>
    </row>
    <row r="1787" spans="1:25" ht="30" customHeight="1">
      <c r="A1787" s="370" t="str">
        <f>IV.A!$A$65</f>
        <v>3.3.4</v>
      </c>
      <c r="B1787" s="371" t="str">
        <f>IV.A!$B$65</f>
        <v>ALVENARIA EM BLOCO DE CONCRETO 9 X 19 X 39 CM</v>
      </c>
      <c r="C1787" s="871" t="s">
        <v>237</v>
      </c>
      <c r="D1787" s="872"/>
      <c r="E1787" s="372" t="str">
        <f>IV.A!$C$65</f>
        <v>M2</v>
      </c>
      <c r="F1787" s="11">
        <f>ROUND(F1807+F1821+F1833,2)</f>
        <v>0</v>
      </c>
      <c r="G1787" s="1">
        <f>VLOOKUP(A1787,IV.A!$A$16:$L$172,4,FALSE)</f>
        <v>50</v>
      </c>
      <c r="H1787" s="361">
        <f>SUM(F1789:F1804)+F1806</f>
        <v>0</v>
      </c>
      <c r="I1787" s="361">
        <f>SUM(F1809:F1818)+F1820</f>
        <v>0</v>
      </c>
      <c r="J1787" s="361">
        <f>SUM(F1823:F1829)+F1831+F1832</f>
        <v>0</v>
      </c>
      <c r="K1787" s="361">
        <f>SUM(H1787:J1787)</f>
        <v>0</v>
      </c>
      <c r="L1787" s="362" t="str">
        <f>IF(K1787=F1787,"SIM","NÃO")</f>
        <v>SIM</v>
      </c>
      <c r="M1787" s="373">
        <f>ROUND(SUM(F1789:F1804),2)+ROUND(SUM(F1789:F1804)*C1806,2)+ROUND(SUM(F1809:F1818)*C1820,2)+ROUND(SUM(F1809:F1818),2)+ROUND(SUM(F1823:F1829)*C1831,2)+ROUND((SUM(F1823:F1829)+ROUND(SUM(F1823:F1829)*C1831,2))*C1832,2)+ROUND(SUM(F1823:F1829),2)</f>
        <v>0</v>
      </c>
      <c r="N1787" s="343" t="str">
        <f>IF(M1787=F1787,"SIM","NÃO")</f>
        <v>SIM</v>
      </c>
      <c r="O1787" s="364" t="str">
        <f>VLOOKUP(A1787,IV.A!$A$16:$E$172,3,FALSE)</f>
        <v>M2</v>
      </c>
      <c r="P1787" s="344" t="str">
        <f>IF(O1787=E1787,"SIM","NÃO")</f>
        <v>SIM</v>
      </c>
      <c r="Q1787" s="365">
        <f>ROUND(G1787*F1807,2)+ROUND(G1787*F1821,2)+ROUND(G1787*F1833,2)</f>
        <v>0</v>
      </c>
      <c r="R1787" s="364">
        <f>VLOOKUP(A1787,IV.A!$A$16:$L$172,12,FALSE)</f>
        <v>0</v>
      </c>
      <c r="S1787" s="366" t="str">
        <f>IF(Q1787=R1787,"si","no")</f>
        <v>si</v>
      </c>
      <c r="T1787" s="367">
        <f>SUM(L1789:L1804)+SUM(L1809:L1818)+SUM(L1823:L1829)</f>
        <v>942.36159999999995</v>
      </c>
      <c r="U1787" s="341">
        <f>(SUM(C1789:C1804)+SUM(C1809:C1818)+SUM(C1823:C1829))*G1787</f>
        <v>942.36160000000007</v>
      </c>
      <c r="V1787" s="368" t="str">
        <f>IF(T1787=U1787,"si","no")</f>
        <v>si</v>
      </c>
      <c r="W1787" s="369">
        <f>SUM(F1789:F1804)</f>
        <v>0</v>
      </c>
      <c r="X1787" s="369">
        <f>SUM(F1809:F1818)</f>
        <v>0</v>
      </c>
      <c r="Y1787" s="369">
        <f>SUM(F1823:F1829)</f>
        <v>0</v>
      </c>
    </row>
    <row r="1788" spans="1:25" ht="12.75" customHeight="1">
      <c r="A1788" s="374" t="s">
        <v>14</v>
      </c>
      <c r="B1788" s="375" t="s">
        <v>132</v>
      </c>
      <c r="C1788" s="376" t="s">
        <v>231</v>
      </c>
      <c r="D1788" s="376" t="s">
        <v>232</v>
      </c>
      <c r="E1788" s="377" t="s">
        <v>233</v>
      </c>
      <c r="F1788" s="378" t="s">
        <v>234</v>
      </c>
      <c r="G1788" s="379"/>
      <c r="J1788" s="341"/>
      <c r="L1788" s="380"/>
      <c r="M1788" s="381"/>
      <c r="N1788" s="342"/>
      <c r="O1788" s="382"/>
      <c r="P1788" s="383"/>
      <c r="Q1788" s="383"/>
      <c r="R1788" s="383"/>
      <c r="S1788" s="383"/>
      <c r="T1788" s="382"/>
      <c r="U1788" s="341"/>
      <c r="V1788" s="384"/>
      <c r="W1788" s="384"/>
      <c r="X1788" s="384"/>
      <c r="Y1788" s="384"/>
    </row>
    <row r="1789" spans="1:25" ht="12.75" customHeight="1">
      <c r="A1789" s="385" t="str">
        <f>VII.A!$A$19</f>
        <v>1.10</v>
      </c>
      <c r="B1789" s="394" t="str">
        <f>VLOOKUP(A1789,VII.A!$A$10:$G$199,2,FALSE)</f>
        <v>AREIA MÉDIA LAVADA</v>
      </c>
      <c r="C1789" s="20">
        <v>1.1088000000000001E-2</v>
      </c>
      <c r="D1789" s="342" t="str">
        <f>VLOOKUP(A1789,VII.A!$A$10:$G$199,3,FALSE)</f>
        <v>M3</v>
      </c>
      <c r="E1789" s="387">
        <f>VII.A!$D$19</f>
        <v>0</v>
      </c>
      <c r="F1789" s="388">
        <f>ROUND(C1789*E1789,2)</f>
        <v>0</v>
      </c>
      <c r="H1789" s="341">
        <f>IF(A1789="","",VLOOKUP(A1789,VII.A!$A$10:$D$199,4,FALSE))</f>
        <v>0</v>
      </c>
      <c r="I1789" s="341" t="str">
        <f t="shared" ref="I1789:I1804" si="461">IF(A1789="","",IF(E1789=H1789,"SIM","NÃO"))</f>
        <v>SIM</v>
      </c>
      <c r="J1789" s="341" t="str">
        <f>IF(A1789="","",VLOOKUP(A1789,VII.A!$A$10:$D$199,3,FALSE))</f>
        <v>M3</v>
      </c>
      <c r="K1789" s="342" t="str">
        <f t="shared" ref="K1789:K1804" si="462">IF(A1789="","",IF(J1789=D1789,"SIM","NÃO"))</f>
        <v>SIM</v>
      </c>
      <c r="L1789" s="380">
        <f>IF(C1789="","",G1787*C1789)</f>
        <v>0.5544</v>
      </c>
      <c r="M1789" s="381" t="str">
        <f>IF(A1789="","",VLOOKUP(A1789,VII.A!$A$10:$B$199,2,FALSE))</f>
        <v>AREIA MÉDIA LAVADA</v>
      </c>
      <c r="N1789" s="342" t="str">
        <f t="shared" ref="N1789:N1804" si="463">IF(B1789="","",IF(M1789=B1789,"si","no"))</f>
        <v>si</v>
      </c>
      <c r="R1789" s="341"/>
      <c r="S1789" s="341"/>
    </row>
    <row r="1790" spans="1:25" ht="12.75" customHeight="1">
      <c r="A1790" s="385" t="str">
        <f>VII.A!$A$24</f>
        <v>1.15</v>
      </c>
      <c r="B1790" s="394" t="str">
        <f>VLOOKUP(A1790,VII.A!$A$10:$G$199,2,FALSE)</f>
        <v>BLOCO DE CONCRETO PARA VEDAÇÃO - 9 X 19 X 39 CM - CLASSE D - M-10</v>
      </c>
      <c r="C1790" s="20">
        <v>13.6</v>
      </c>
      <c r="D1790" s="342" t="str">
        <f>VLOOKUP(A1790,VII.A!$A$10:$G$199,3,FALSE)</f>
        <v>UN</v>
      </c>
      <c r="E1790" s="387">
        <f>VII.A!$D$24</f>
        <v>0</v>
      </c>
      <c r="F1790" s="388">
        <f t="shared" ref="F1790:F1804" si="464">ROUND(C1790*E1790,2)</f>
        <v>0</v>
      </c>
      <c r="H1790" s="341">
        <f>IF(A1790="","",VLOOKUP(A1790,VII.A!$A$10:$D$199,4,FALSE))</f>
        <v>0</v>
      </c>
      <c r="I1790" s="341" t="str">
        <f t="shared" si="461"/>
        <v>SIM</v>
      </c>
      <c r="J1790" s="341" t="str">
        <f>IF(A1790="","",VLOOKUP(A1790,VII.A!$A$10:$D$199,3,FALSE))</f>
        <v>UN</v>
      </c>
      <c r="K1790" s="342" t="str">
        <f t="shared" si="462"/>
        <v>SIM</v>
      </c>
      <c r="L1790" s="380">
        <f>IF(C1790="","",G1787*C1790)</f>
        <v>680</v>
      </c>
      <c r="M1790" s="381" t="str">
        <f>IF(A1790="","",VLOOKUP(A1790,VII.A!$A$10:$B$199,2,FALSE))</f>
        <v>BLOCO DE CONCRETO PARA VEDAÇÃO - 9 X 19 X 39 CM - CLASSE D - M-10</v>
      </c>
      <c r="N1790" s="342" t="str">
        <f t="shared" si="463"/>
        <v>si</v>
      </c>
      <c r="R1790" s="341"/>
      <c r="S1790" s="341"/>
    </row>
    <row r="1791" spans="1:25" ht="12.75" customHeight="1">
      <c r="A1791" s="385" t="str">
        <f>VII.A!$A$29</f>
        <v>1.20</v>
      </c>
      <c r="B1791" s="394" t="str">
        <f>VLOOKUP(A1791,VII.A!$A$10:$G$199,2,FALSE)</f>
        <v>CAL HIDRATADA CH III - NBR 7175</v>
      </c>
      <c r="C1791" s="20">
        <v>1.6626719999999999</v>
      </c>
      <c r="D1791" s="342" t="str">
        <f>VLOOKUP(A1791,VII.A!$A$10:$G$199,3,FALSE)</f>
        <v>KG</v>
      </c>
      <c r="E1791" s="387">
        <f>VII.A!$D$29</f>
        <v>0</v>
      </c>
      <c r="F1791" s="388">
        <f t="shared" si="464"/>
        <v>0</v>
      </c>
      <c r="H1791" s="341">
        <f>IF(A1791="","",VLOOKUP(A1791,VII.A!$A$10:$D$199,4,FALSE))</f>
        <v>0</v>
      </c>
      <c r="I1791" s="341" t="str">
        <f t="shared" si="461"/>
        <v>SIM</v>
      </c>
      <c r="J1791" s="341" t="str">
        <f>IF(A1791="","",VLOOKUP(A1791,VII.A!$A$10:$D$199,3,FALSE))</f>
        <v>KG</v>
      </c>
      <c r="K1791" s="342" t="str">
        <f t="shared" si="462"/>
        <v>SIM</v>
      </c>
      <c r="L1791" s="380">
        <f>IF(C1791="","",G1787*C1791)</f>
        <v>83.133600000000001</v>
      </c>
      <c r="M1791" s="381" t="str">
        <f>IF(A1791="","",VLOOKUP(A1791,VII.A!$A$10:$B$199,2,FALSE))</f>
        <v>CAL HIDRATADA CH III - NBR 7175</v>
      </c>
      <c r="N1791" s="342" t="str">
        <f t="shared" si="463"/>
        <v>si</v>
      </c>
      <c r="R1791" s="341"/>
      <c r="S1791" s="341"/>
    </row>
    <row r="1792" spans="1:25" ht="12.75" customHeight="1">
      <c r="A1792" s="385" t="str">
        <f>VII.A!$A$38</f>
        <v>1.29</v>
      </c>
      <c r="B1792" s="394" t="str">
        <f>VLOOKUP(A1792,VII.A!$A$10:$G$199,2,FALSE)</f>
        <v>CIMENTO PORTLAND CP II-E-32</v>
      </c>
      <c r="C1792" s="20">
        <v>1.5934159999999999</v>
      </c>
      <c r="D1792" s="342" t="str">
        <f>VLOOKUP(A1792,VII.A!$A$10:$G$199,3,FALSE)</f>
        <v>KG</v>
      </c>
      <c r="E1792" s="387">
        <f>VII.A!$D$38</f>
        <v>0</v>
      </c>
      <c r="F1792" s="388">
        <f t="shared" si="464"/>
        <v>0</v>
      </c>
      <c r="H1792" s="341">
        <f>IF(A1792="","",VLOOKUP(A1792,VII.A!$A$10:$D$199,4,FALSE))</f>
        <v>0</v>
      </c>
      <c r="I1792" s="341" t="str">
        <f t="shared" si="461"/>
        <v>SIM</v>
      </c>
      <c r="J1792" s="341" t="str">
        <f>IF(A1792="","",VLOOKUP(A1792,VII.A!$A$10:$D$199,3,FALSE))</f>
        <v>KG</v>
      </c>
      <c r="K1792" s="342" t="str">
        <f t="shared" si="462"/>
        <v>SIM</v>
      </c>
      <c r="L1792" s="380">
        <f>IF(C1792="","",G1787*C1792)</f>
        <v>79.6708</v>
      </c>
      <c r="M1792" s="381" t="str">
        <f>IF(A1792="","",VLOOKUP(A1792,VII.A!$A$10:$B$199,2,FALSE))</f>
        <v>CIMENTO PORTLAND CP II-E-32</v>
      </c>
      <c r="N1792" s="342" t="str">
        <f t="shared" si="463"/>
        <v>si</v>
      </c>
      <c r="R1792" s="341"/>
      <c r="S1792" s="341"/>
    </row>
    <row r="1793" spans="1:21" ht="12.75" customHeight="1">
      <c r="A1793" s="385" t="str">
        <f>VII.A!$A$104</f>
        <v>1.94</v>
      </c>
      <c r="B1793" s="386" t="str">
        <f>VII.A!B104</f>
        <v>TELA DE AÇO SOLDADA GALVANIZADA/ZINCADA PARA ALVENARIA, FIO D = 1,20 A 1,70 MM, MALHA 15 X 15 MM, (C X L) 50 X 7,5CM</v>
      </c>
      <c r="C1793" s="20">
        <v>0.78500000000000003</v>
      </c>
      <c r="D1793" s="342" t="str">
        <f>VII.A!C104</f>
        <v>M</v>
      </c>
      <c r="E1793" s="387">
        <f>VII.A!D104</f>
        <v>0</v>
      </c>
      <c r="F1793" s="388">
        <f t="shared" si="464"/>
        <v>0</v>
      </c>
      <c r="H1793" s="341">
        <f>IF(A1793="","",VLOOKUP(A1793,VII.A!$A$10:$D$199,4,FALSE))</f>
        <v>0</v>
      </c>
      <c r="I1793" s="341" t="str">
        <f t="shared" si="461"/>
        <v>SIM</v>
      </c>
      <c r="J1793" s="341" t="str">
        <f>IF(A1793="","",VLOOKUP(A1793,VII.A!$A$10:$D$199,3,FALSE))</f>
        <v>M</v>
      </c>
      <c r="K1793" s="342" t="str">
        <f t="shared" si="462"/>
        <v>SIM</v>
      </c>
      <c r="L1793" s="380">
        <f>IF(C1793="","",G1787*C1793)</f>
        <v>39.25</v>
      </c>
      <c r="M1793" s="381" t="str">
        <f>IF(A1793="","",VLOOKUP(A1793,VII.A!$A$10:$B$199,2,FALSE))</f>
        <v>TELA DE AÇO SOLDADA GALVANIZADA/ZINCADA PARA ALVENARIA, FIO D = 1,20 A 1,70 MM, MALHA 15 X 15 MM, (C X L) 50 X 7,5CM</v>
      </c>
      <c r="N1793" s="342" t="str">
        <f t="shared" si="463"/>
        <v>si</v>
      </c>
      <c r="R1793" s="341"/>
      <c r="S1793" s="341"/>
    </row>
    <row r="1794" spans="1:21" ht="12.75" customHeight="1">
      <c r="A1794" s="385"/>
      <c r="B1794" s="386"/>
      <c r="C1794" s="20"/>
      <c r="D1794" s="342"/>
      <c r="E1794" s="387"/>
      <c r="F1794" s="388">
        <f t="shared" si="464"/>
        <v>0</v>
      </c>
      <c r="H1794" s="341" t="str">
        <f>IF(A1794="","",VLOOKUP(A1794,VII.A!$A$10:$D$199,4,FALSE))</f>
        <v/>
      </c>
      <c r="I1794" s="341" t="str">
        <f t="shared" si="461"/>
        <v/>
      </c>
      <c r="J1794" s="341" t="str">
        <f>IF(A1794="","",VLOOKUP(A1794,VII.A!$A$10:$D$199,3,FALSE))</f>
        <v/>
      </c>
      <c r="K1794" s="342" t="str">
        <f t="shared" si="462"/>
        <v/>
      </c>
      <c r="L1794" s="380" t="str">
        <f>IF(C1794="","",G1787*C1794)</f>
        <v/>
      </c>
      <c r="M1794" s="381" t="str">
        <f>IF(A1794="","",VLOOKUP(A1794,VII.A!$A$10:$B$199,2,FALSE))</f>
        <v/>
      </c>
      <c r="N1794" s="342" t="str">
        <f t="shared" si="463"/>
        <v/>
      </c>
      <c r="R1794" s="341"/>
      <c r="S1794" s="341"/>
      <c r="U1794" s="389"/>
    </row>
    <row r="1795" spans="1:21" ht="12.75" customHeight="1">
      <c r="A1795" s="385"/>
      <c r="B1795" s="386"/>
      <c r="C1795" s="20"/>
      <c r="D1795" s="342"/>
      <c r="E1795" s="387"/>
      <c r="F1795" s="388">
        <f t="shared" si="464"/>
        <v>0</v>
      </c>
      <c r="H1795" s="341" t="str">
        <f>IF(A1795="","",VLOOKUP(A1795,VII.A!$A$10:$D$199,4,FALSE))</f>
        <v/>
      </c>
      <c r="I1795" s="341" t="str">
        <f t="shared" si="461"/>
        <v/>
      </c>
      <c r="J1795" s="341" t="str">
        <f>IF(A1795="","",VLOOKUP(A1795,VII.A!$A$10:$D$199,3,FALSE))</f>
        <v/>
      </c>
      <c r="K1795" s="342" t="str">
        <f t="shared" si="462"/>
        <v/>
      </c>
      <c r="L1795" s="380" t="str">
        <f>IF(C1795="","",G1787*C1795)</f>
        <v/>
      </c>
      <c r="M1795" s="381" t="str">
        <f>IF(A1795="","",VLOOKUP(A1795,VII.A!$A$10:$B$199,2,FALSE))</f>
        <v/>
      </c>
      <c r="N1795" s="342" t="str">
        <f t="shared" si="463"/>
        <v/>
      </c>
      <c r="R1795" s="341"/>
      <c r="S1795" s="341"/>
    </row>
    <row r="1796" spans="1:21" ht="12.75" customHeight="1">
      <c r="A1796" s="385"/>
      <c r="B1796" s="386"/>
      <c r="C1796" s="20"/>
      <c r="D1796" s="342"/>
      <c r="E1796" s="387"/>
      <c r="F1796" s="388">
        <f t="shared" si="464"/>
        <v>0</v>
      </c>
      <c r="G1796" s="390"/>
      <c r="H1796" s="341" t="str">
        <f>IF(A1796="","",VLOOKUP(A1796,VII.A!$A$10:$D$199,4,FALSE))</f>
        <v/>
      </c>
      <c r="I1796" s="341" t="str">
        <f t="shared" si="461"/>
        <v/>
      </c>
      <c r="J1796" s="341" t="str">
        <f>IF(A1796="","",VLOOKUP(A1796,VII.A!$A$10:$D$199,3,FALSE))</f>
        <v/>
      </c>
      <c r="K1796" s="342" t="str">
        <f t="shared" si="462"/>
        <v/>
      </c>
      <c r="L1796" s="380" t="str">
        <f>IF(C1796="","",G1787*C1796)</f>
        <v/>
      </c>
      <c r="M1796" s="381" t="str">
        <f>IF(A1796="","",VLOOKUP(A1796,VII.A!$A$10:$B$199,2,FALSE))</f>
        <v/>
      </c>
      <c r="N1796" s="342" t="str">
        <f t="shared" si="463"/>
        <v/>
      </c>
      <c r="R1796" s="341"/>
      <c r="S1796" s="341"/>
    </row>
    <row r="1797" spans="1:21" ht="12.75" customHeight="1">
      <c r="A1797" s="385"/>
      <c r="B1797" s="386"/>
      <c r="C1797" s="20"/>
      <c r="D1797" s="342"/>
      <c r="E1797" s="387"/>
      <c r="F1797" s="388">
        <f t="shared" si="464"/>
        <v>0</v>
      </c>
      <c r="G1797" s="390"/>
      <c r="H1797" s="341" t="str">
        <f>IF(A1797="","",VLOOKUP(A1797,VII.A!$A$10:$D$199,4,FALSE))</f>
        <v/>
      </c>
      <c r="I1797" s="341" t="str">
        <f t="shared" si="461"/>
        <v/>
      </c>
      <c r="J1797" s="341" t="str">
        <f>IF(A1797="","",VLOOKUP(A1797,VII.A!$A$10:$D$199,3,FALSE))</f>
        <v/>
      </c>
      <c r="K1797" s="342" t="str">
        <f t="shared" si="462"/>
        <v/>
      </c>
      <c r="L1797" s="380" t="str">
        <f>IF(C1797="","",G1787*C1797)</f>
        <v/>
      </c>
      <c r="M1797" s="381" t="str">
        <f>IF(A1797="","",VLOOKUP(A1797,VII.A!$A$10:$B$199,2,FALSE))</f>
        <v/>
      </c>
      <c r="N1797" s="342" t="str">
        <f t="shared" si="463"/>
        <v/>
      </c>
      <c r="R1797" s="341"/>
      <c r="S1797" s="341"/>
    </row>
    <row r="1798" spans="1:21" ht="12.75" customHeight="1">
      <c r="A1798" s="385"/>
      <c r="B1798" s="386"/>
      <c r="C1798" s="20"/>
      <c r="D1798" s="342"/>
      <c r="E1798" s="387"/>
      <c r="F1798" s="388">
        <f t="shared" si="464"/>
        <v>0</v>
      </c>
      <c r="G1798" s="391"/>
      <c r="H1798" s="341" t="str">
        <f>IF(A1798="","",VLOOKUP(A1798,VII.A!$A$10:$D$199,4,FALSE))</f>
        <v/>
      </c>
      <c r="I1798" s="341" t="str">
        <f t="shared" si="461"/>
        <v/>
      </c>
      <c r="J1798" s="341" t="str">
        <f>IF(A1798="","",VLOOKUP(A1798,VII.A!$A$10:$D$199,3,FALSE))</f>
        <v/>
      </c>
      <c r="K1798" s="342" t="str">
        <f t="shared" si="462"/>
        <v/>
      </c>
      <c r="L1798" s="380" t="str">
        <f>IF(C1798="","",G1787*C1798)</f>
        <v/>
      </c>
      <c r="M1798" s="381" t="str">
        <f>IF(A1798="","",VLOOKUP(A1798,VII.A!$A$10:$B$199,2,FALSE))</f>
        <v/>
      </c>
      <c r="N1798" s="342" t="str">
        <f t="shared" si="463"/>
        <v/>
      </c>
      <c r="R1798" s="341"/>
      <c r="S1798" s="341"/>
    </row>
    <row r="1799" spans="1:21" ht="12.75" customHeight="1">
      <c r="A1799" s="385"/>
      <c r="B1799" s="386"/>
      <c r="C1799" s="20"/>
      <c r="D1799" s="342"/>
      <c r="E1799" s="387"/>
      <c r="F1799" s="388">
        <f t="shared" si="464"/>
        <v>0</v>
      </c>
      <c r="H1799" s="341" t="str">
        <f>IF(A1799="","",VLOOKUP(A1799,VII.A!$A$10:$D$199,4,FALSE))</f>
        <v/>
      </c>
      <c r="I1799" s="341" t="str">
        <f t="shared" si="461"/>
        <v/>
      </c>
      <c r="J1799" s="341" t="str">
        <f>IF(A1799="","",VLOOKUP(A1799,VII.A!$A$10:$D$199,3,FALSE))</f>
        <v/>
      </c>
      <c r="K1799" s="342" t="str">
        <f t="shared" si="462"/>
        <v/>
      </c>
      <c r="L1799" s="380" t="str">
        <f>IF(C1799="","",G1787*C1799)</f>
        <v/>
      </c>
      <c r="M1799" s="381" t="str">
        <f>IF(A1799="","",VLOOKUP(A1799,VII.A!$A$10:$B$199,2,FALSE))</f>
        <v/>
      </c>
      <c r="N1799" s="342" t="str">
        <f t="shared" si="463"/>
        <v/>
      </c>
      <c r="R1799" s="341"/>
      <c r="S1799" s="341"/>
    </row>
    <row r="1800" spans="1:21" ht="12.75" customHeight="1">
      <c r="A1800" s="385"/>
      <c r="B1800" s="386"/>
      <c r="C1800" s="20"/>
      <c r="D1800" s="392"/>
      <c r="E1800" s="387"/>
      <c r="F1800" s="388">
        <f t="shared" si="464"/>
        <v>0</v>
      </c>
      <c r="H1800" s="341" t="str">
        <f>IF(A1800="","",VLOOKUP(A1800,VII.A!$A$10:$D$199,4,FALSE))</f>
        <v/>
      </c>
      <c r="I1800" s="341" t="str">
        <f t="shared" si="461"/>
        <v/>
      </c>
      <c r="J1800" s="341" t="str">
        <f>IF(A1800="","",VLOOKUP(A1800,VII.A!$A$10:$D$199,3,FALSE))</f>
        <v/>
      </c>
      <c r="K1800" s="342" t="str">
        <f t="shared" si="462"/>
        <v/>
      </c>
      <c r="L1800" s="380" t="str">
        <f>IF(C1800="","",G1787*C1800)</f>
        <v/>
      </c>
      <c r="M1800" s="381" t="str">
        <f>IF(A1800="","",VLOOKUP(A1800,VII.A!$A$10:$B$199,2,FALSE))</f>
        <v/>
      </c>
      <c r="N1800" s="342" t="str">
        <f t="shared" si="463"/>
        <v/>
      </c>
      <c r="R1800" s="341"/>
      <c r="S1800" s="341"/>
    </row>
    <row r="1801" spans="1:21" ht="12.75" customHeight="1">
      <c r="A1801" s="385"/>
      <c r="B1801" s="386"/>
      <c r="C1801" s="20"/>
      <c r="D1801" s="392"/>
      <c r="E1801" s="387"/>
      <c r="F1801" s="388">
        <f t="shared" si="464"/>
        <v>0</v>
      </c>
      <c r="H1801" s="341" t="str">
        <f>IF(A1801="","",VLOOKUP(A1801,VII.A!$A$10:$D$199,4,FALSE))</f>
        <v/>
      </c>
      <c r="I1801" s="341" t="str">
        <f t="shared" si="461"/>
        <v/>
      </c>
      <c r="J1801" s="341" t="str">
        <f>IF(A1801="","",VLOOKUP(A1801,VII.A!$A$10:$D$199,3,FALSE))</f>
        <v/>
      </c>
      <c r="K1801" s="342" t="str">
        <f t="shared" si="462"/>
        <v/>
      </c>
      <c r="L1801" s="380" t="str">
        <f>IF(C1801="","",G1787*C1801)</f>
        <v/>
      </c>
      <c r="M1801" s="381" t="str">
        <f>IF(A1801="","",VLOOKUP(A1801,VII.A!$A$10:$B$199,2,FALSE))</f>
        <v/>
      </c>
      <c r="N1801" s="342" t="str">
        <f t="shared" si="463"/>
        <v/>
      </c>
      <c r="O1801" s="342"/>
      <c r="R1801" s="341"/>
      <c r="S1801" s="341"/>
    </row>
    <row r="1802" spans="1:21" ht="12.75" customHeight="1">
      <c r="A1802" s="385"/>
      <c r="B1802" s="386"/>
      <c r="C1802" s="20"/>
      <c r="D1802" s="392"/>
      <c r="E1802" s="387"/>
      <c r="F1802" s="388">
        <f t="shared" si="464"/>
        <v>0</v>
      </c>
      <c r="H1802" s="341" t="str">
        <f>IF(A1802="","",VLOOKUP(A1802,VII.A!$A$10:$D$199,4,FALSE))</f>
        <v/>
      </c>
      <c r="I1802" s="341" t="str">
        <f t="shared" si="461"/>
        <v/>
      </c>
      <c r="J1802" s="341" t="str">
        <f>IF(A1802="","",VLOOKUP(A1802,VII.A!$A$10:$D$199,3,FALSE))</f>
        <v/>
      </c>
      <c r="K1802" s="342" t="str">
        <f t="shared" si="462"/>
        <v/>
      </c>
      <c r="L1802" s="380" t="str">
        <f>IF(C1802="","",G1787*C1802)</f>
        <v/>
      </c>
      <c r="M1802" s="381" t="str">
        <f>IF(A1802="","",VLOOKUP(A1802,VII.A!$A$10:$B$199,2,FALSE))</f>
        <v/>
      </c>
      <c r="N1802" s="342" t="str">
        <f t="shared" si="463"/>
        <v/>
      </c>
      <c r="R1802" s="341"/>
      <c r="S1802" s="341"/>
    </row>
    <row r="1803" spans="1:21" ht="12.75" customHeight="1">
      <c r="A1803" s="393"/>
      <c r="C1803" s="20"/>
      <c r="E1803" s="387"/>
      <c r="F1803" s="388">
        <f t="shared" si="464"/>
        <v>0</v>
      </c>
      <c r="H1803" s="341" t="str">
        <f>IF(A1803="","",VLOOKUP(A1803,VII.A!$A$10:$D$199,4,FALSE))</f>
        <v/>
      </c>
      <c r="I1803" s="341" t="str">
        <f t="shared" si="461"/>
        <v/>
      </c>
      <c r="J1803" s="341" t="str">
        <f>IF(A1803="","",VLOOKUP(A1803,VII.A!$A$10:$D$199,3,FALSE))</f>
        <v/>
      </c>
      <c r="K1803" s="342" t="str">
        <f t="shared" si="462"/>
        <v/>
      </c>
      <c r="L1803" s="380" t="str">
        <f>IF(C1803="","",G1787*C1803)</f>
        <v/>
      </c>
      <c r="M1803" s="381" t="str">
        <f>IF(A1803="","",VLOOKUP(A1803,VII.A!$A$10:$B$199,2,FALSE))</f>
        <v/>
      </c>
      <c r="N1803" s="342" t="str">
        <f t="shared" si="463"/>
        <v/>
      </c>
      <c r="R1803" s="341"/>
      <c r="S1803" s="341"/>
    </row>
    <row r="1804" spans="1:21" ht="12.75" customHeight="1">
      <c r="A1804" s="393"/>
      <c r="C1804" s="20"/>
      <c r="E1804" s="387"/>
      <c r="F1804" s="388">
        <f t="shared" si="464"/>
        <v>0</v>
      </c>
      <c r="H1804" s="341" t="str">
        <f>IF(A1804="","",VLOOKUP(A1804,VII.A!$A$10:$D$199,4,FALSE))</f>
        <v/>
      </c>
      <c r="I1804" s="341" t="str">
        <f t="shared" si="461"/>
        <v/>
      </c>
      <c r="J1804" s="341" t="str">
        <f>IF(A1804="","",VLOOKUP(A1804,VII.A!$A$10:$D$199,3,FALSE))</f>
        <v/>
      </c>
      <c r="K1804" s="342" t="str">
        <f t="shared" si="462"/>
        <v/>
      </c>
      <c r="L1804" s="380" t="str">
        <f>IF(C1804="","",G1787*C1804)</f>
        <v/>
      </c>
      <c r="M1804" s="381" t="str">
        <f>IF(A1804="","",VLOOKUP(A1804,VII.A!$A$10:$B$199,2,FALSE))</f>
        <v/>
      </c>
      <c r="N1804" s="342" t="str">
        <f t="shared" si="463"/>
        <v/>
      </c>
      <c r="R1804" s="341"/>
      <c r="S1804" s="341"/>
    </row>
    <row r="1805" spans="1:21" ht="12.75" customHeight="1">
      <c r="A1805" s="393"/>
      <c r="B1805" s="395" t="s">
        <v>226</v>
      </c>
      <c r="C1805" s="396"/>
      <c r="D1805" s="397"/>
      <c r="E1805" s="398"/>
      <c r="F1805" s="399">
        <f>SUM(F1789:F1804)</f>
        <v>0</v>
      </c>
      <c r="H1805" s="426" t="s">
        <v>434</v>
      </c>
      <c r="J1805" s="341"/>
      <c r="L1805" s="380"/>
      <c r="M1805" s="381"/>
      <c r="N1805" s="342"/>
      <c r="R1805" s="341"/>
      <c r="S1805" s="341"/>
    </row>
    <row r="1806" spans="1:21" ht="12.75" customHeight="1">
      <c r="A1806" s="393"/>
      <c r="B1806" s="400" t="s">
        <v>53</v>
      </c>
      <c r="C1806" s="2">
        <f>$D$8</f>
        <v>0</v>
      </c>
      <c r="D1806" s="401"/>
      <c r="E1806" s="402"/>
      <c r="F1806" s="403">
        <f>ROUND(F1805*C1806,2)</f>
        <v>0</v>
      </c>
      <c r="H1806" s="426" t="s">
        <v>464</v>
      </c>
      <c r="J1806" s="341"/>
      <c r="L1806" s="380"/>
      <c r="M1806" s="381"/>
      <c r="N1806" s="342"/>
      <c r="R1806" s="341"/>
      <c r="S1806" s="341"/>
    </row>
    <row r="1807" spans="1:21" ht="12.75" customHeight="1">
      <c r="A1807" s="404"/>
      <c r="B1807" s="405" t="s">
        <v>227</v>
      </c>
      <c r="C1807" s="406"/>
      <c r="D1807" s="406"/>
      <c r="E1807" s="407"/>
      <c r="F1807" s="408">
        <f>F1805+F1806</f>
        <v>0</v>
      </c>
      <c r="J1807" s="341"/>
      <c r="L1807" s="380"/>
      <c r="M1807" s="381"/>
      <c r="N1807" s="342"/>
      <c r="R1807" s="341"/>
      <c r="S1807" s="341"/>
    </row>
    <row r="1808" spans="1:21" ht="12.75" customHeight="1">
      <c r="A1808" s="374" t="s">
        <v>2</v>
      </c>
      <c r="B1808" s="375" t="s">
        <v>235</v>
      </c>
      <c r="C1808" s="376" t="s">
        <v>231</v>
      </c>
      <c r="D1808" s="376" t="s">
        <v>232</v>
      </c>
      <c r="E1808" s="377" t="s">
        <v>233</v>
      </c>
      <c r="F1808" s="378" t="s">
        <v>234</v>
      </c>
      <c r="J1808" s="341"/>
      <c r="L1808" s="380"/>
      <c r="M1808" s="381"/>
      <c r="N1808" s="342"/>
      <c r="R1808" s="341"/>
      <c r="S1808" s="341"/>
    </row>
    <row r="1809" spans="1:19" ht="12.75" customHeight="1">
      <c r="A1809" s="393"/>
      <c r="C1809" s="20"/>
      <c r="E1809" s="387"/>
      <c r="F1809" s="388">
        <f t="shared" ref="F1809:F1818" si="465">ROUND(C1809*E1809,2)</f>
        <v>0</v>
      </c>
      <c r="H1809" s="341" t="str">
        <f>IF(A1809="","",VLOOKUP(A1809,VII.A!$A$10:$D$199,4,FALSE))</f>
        <v/>
      </c>
      <c r="I1809" s="341" t="str">
        <f>IF(A1809="","",IF(E1809=H1809,"SIM","NÃO"))</f>
        <v/>
      </c>
      <c r="J1809" s="341" t="str">
        <f>IF(A1809="","",VLOOKUP(A1809,VII.A!$A$10:$D$199,3,FALSE))</f>
        <v/>
      </c>
      <c r="K1809" s="342" t="str">
        <f t="shared" ref="K1809:K1818" si="466">IF(A1809="","",IF(J1809=D1809,"SIM","NÃO"))</f>
        <v/>
      </c>
      <c r="L1809" s="380" t="str">
        <f>IF(C1809="","",G1787*C1809)</f>
        <v/>
      </c>
      <c r="M1809" s="381" t="str">
        <f>IF(A1809="","",VLOOKUP(A1809,VII.A!$A$10:$B$199,2,FALSE))</f>
        <v/>
      </c>
      <c r="N1809" s="342" t="str">
        <f t="shared" ref="N1809:N1818" si="467">IF(B1809="","",IF(M1809=B1809,"si","no"))</f>
        <v/>
      </c>
      <c r="R1809" s="341"/>
      <c r="S1809" s="341"/>
    </row>
    <row r="1810" spans="1:19" ht="12.75" customHeight="1">
      <c r="A1810" s="393"/>
      <c r="C1810" s="20"/>
      <c r="E1810" s="387"/>
      <c r="F1810" s="388">
        <f t="shared" si="465"/>
        <v>0</v>
      </c>
      <c r="H1810" s="341" t="str">
        <f>IF(A1810="","",VLOOKUP(A1810,VII.A!$A$10:$D$199,4,FALSE))</f>
        <v/>
      </c>
      <c r="I1810" s="341" t="str">
        <f t="shared" ref="I1810:I1818" si="468">IF(A1810="","",IF(E1810=H1810,"SIM","NÃO"))</f>
        <v/>
      </c>
      <c r="J1810" s="341" t="str">
        <f>IF(A1810="","",VLOOKUP(A1810,VII.A!$A$10:$D$199,3,FALSE))</f>
        <v/>
      </c>
      <c r="K1810" s="342" t="str">
        <f t="shared" si="466"/>
        <v/>
      </c>
      <c r="L1810" s="380" t="str">
        <f>IF(C1810="","",G1787*C1810)</f>
        <v/>
      </c>
      <c r="M1810" s="381" t="str">
        <f>IF(A1810="","",VLOOKUP(A1810,VII.A!$A$10:$B$199,2,FALSE))</f>
        <v/>
      </c>
      <c r="N1810" s="342" t="str">
        <f t="shared" si="467"/>
        <v/>
      </c>
      <c r="R1810" s="341"/>
      <c r="S1810" s="341"/>
    </row>
    <row r="1811" spans="1:19" ht="12.75" customHeight="1">
      <c r="A1811" s="393"/>
      <c r="C1811" s="20"/>
      <c r="E1811" s="387"/>
      <c r="F1811" s="388">
        <f t="shared" si="465"/>
        <v>0</v>
      </c>
      <c r="H1811" s="341" t="str">
        <f>IF(A1811="","",VLOOKUP(A1811,VII.A!$A$10:$D$199,4,FALSE))</f>
        <v/>
      </c>
      <c r="I1811" s="341" t="str">
        <f t="shared" si="468"/>
        <v/>
      </c>
      <c r="J1811" s="341" t="str">
        <f>IF(A1811="","",VLOOKUP(A1811,VII.A!$A$10:$D$199,3,FALSE))</f>
        <v/>
      </c>
      <c r="K1811" s="342" t="str">
        <f t="shared" si="466"/>
        <v/>
      </c>
      <c r="L1811" s="380" t="str">
        <f>IF(C1811="","",G1787*C1811)</f>
        <v/>
      </c>
      <c r="M1811" s="381" t="str">
        <f>IF(A1811="","",VLOOKUP(A1811,VII.A!$A$10:$B$199,2,FALSE))</f>
        <v/>
      </c>
      <c r="N1811" s="342" t="str">
        <f t="shared" si="467"/>
        <v/>
      </c>
      <c r="R1811" s="341"/>
      <c r="S1811" s="341"/>
    </row>
    <row r="1812" spans="1:19" ht="12.75" customHeight="1">
      <c r="A1812" s="393"/>
      <c r="C1812" s="20"/>
      <c r="E1812" s="387"/>
      <c r="F1812" s="388">
        <f t="shared" si="465"/>
        <v>0</v>
      </c>
      <c r="H1812" s="341" t="str">
        <f>IF(A1812="","",VLOOKUP(A1812,VII.A!$A$10:$D$199,4,FALSE))</f>
        <v/>
      </c>
      <c r="I1812" s="341" t="str">
        <f t="shared" si="468"/>
        <v/>
      </c>
      <c r="J1812" s="341" t="str">
        <f>IF(A1812="","",VLOOKUP(A1812,VII.A!$A$10:$D$199,3,FALSE))</f>
        <v/>
      </c>
      <c r="K1812" s="342" t="str">
        <f t="shared" si="466"/>
        <v/>
      </c>
      <c r="L1812" s="380" t="str">
        <f>IF(C1812="","",G1787*C1812)</f>
        <v/>
      </c>
      <c r="M1812" s="381" t="str">
        <f>IF(A1812="","",VLOOKUP(A1812,VII.A!$A$10:$B$199,2,FALSE))</f>
        <v/>
      </c>
      <c r="N1812" s="342" t="str">
        <f t="shared" si="467"/>
        <v/>
      </c>
      <c r="R1812" s="341"/>
      <c r="S1812" s="341"/>
    </row>
    <row r="1813" spans="1:19" ht="12.75" customHeight="1">
      <c r="A1813" s="393"/>
      <c r="C1813" s="20"/>
      <c r="E1813" s="387"/>
      <c r="F1813" s="388">
        <f t="shared" si="465"/>
        <v>0</v>
      </c>
      <c r="G1813" s="390"/>
      <c r="H1813" s="341" t="str">
        <f>IF(A1813="","",VLOOKUP(A1813,VII.A!$A$10:$D$199,4,FALSE))</f>
        <v/>
      </c>
      <c r="I1813" s="341" t="str">
        <f t="shared" si="468"/>
        <v/>
      </c>
      <c r="J1813" s="341" t="str">
        <f>IF(A1813="","",VLOOKUP(A1813,VII.A!$A$10:$D$199,3,FALSE))</f>
        <v/>
      </c>
      <c r="K1813" s="342" t="str">
        <f t="shared" si="466"/>
        <v/>
      </c>
      <c r="L1813" s="380" t="str">
        <f>IF(C1813="","",G1787*C1813)</f>
        <v/>
      </c>
      <c r="M1813" s="381" t="str">
        <f>IF(A1813="","",VLOOKUP(A1813,VII.A!$A$10:$B$199,2,FALSE))</f>
        <v/>
      </c>
      <c r="N1813" s="342" t="str">
        <f t="shared" si="467"/>
        <v/>
      </c>
      <c r="R1813" s="341"/>
      <c r="S1813" s="341"/>
    </row>
    <row r="1814" spans="1:19" ht="12.75" customHeight="1">
      <c r="A1814" s="393"/>
      <c r="C1814" s="20"/>
      <c r="E1814" s="387"/>
      <c r="F1814" s="388">
        <f t="shared" si="465"/>
        <v>0</v>
      </c>
      <c r="G1814" s="391"/>
      <c r="H1814" s="341" t="str">
        <f>IF(A1814="","",VLOOKUP(A1814,VII.A!$A$10:$D$199,4,FALSE))</f>
        <v/>
      </c>
      <c r="I1814" s="341" t="str">
        <f t="shared" si="468"/>
        <v/>
      </c>
      <c r="J1814" s="341" t="str">
        <f>IF(A1814="","",VLOOKUP(A1814,VII.A!$A$10:$D$199,3,FALSE))</f>
        <v/>
      </c>
      <c r="K1814" s="342" t="str">
        <f t="shared" si="466"/>
        <v/>
      </c>
      <c r="L1814" s="380" t="str">
        <f>IF(C1814="","",G1787*C1814)</f>
        <v/>
      </c>
      <c r="M1814" s="381" t="str">
        <f>IF(A1814="","",VLOOKUP(A1814,VII.A!$A$10:$B$199,2,FALSE))</f>
        <v/>
      </c>
      <c r="N1814" s="342" t="str">
        <f t="shared" si="467"/>
        <v/>
      </c>
      <c r="R1814" s="341"/>
      <c r="S1814" s="341"/>
    </row>
    <row r="1815" spans="1:19" ht="12.75" customHeight="1">
      <c r="A1815" s="393"/>
      <c r="C1815" s="20"/>
      <c r="E1815" s="387"/>
      <c r="F1815" s="388">
        <f t="shared" si="465"/>
        <v>0</v>
      </c>
      <c r="H1815" s="341" t="str">
        <f>IF(A1815="","",VLOOKUP(A1815,VII.A!$A$10:$D$199,4,FALSE))</f>
        <v/>
      </c>
      <c r="I1815" s="341" t="str">
        <f t="shared" si="468"/>
        <v/>
      </c>
      <c r="J1815" s="341" t="str">
        <f>IF(A1815="","",VLOOKUP(A1815,VII.A!$A$10:$D$199,3,FALSE))</f>
        <v/>
      </c>
      <c r="K1815" s="342" t="str">
        <f t="shared" si="466"/>
        <v/>
      </c>
      <c r="L1815" s="380" t="str">
        <f>IF(C1815="","",G1787*C1815)</f>
        <v/>
      </c>
      <c r="M1815" s="381" t="str">
        <f>IF(A1815="","",VLOOKUP(A1815,VII.A!$A$10:$B$199,2,FALSE))</f>
        <v/>
      </c>
      <c r="N1815" s="342" t="str">
        <f t="shared" si="467"/>
        <v/>
      </c>
      <c r="R1815" s="341"/>
      <c r="S1815" s="341"/>
    </row>
    <row r="1816" spans="1:19" ht="12.75" customHeight="1">
      <c r="A1816" s="393"/>
      <c r="C1816" s="20"/>
      <c r="E1816" s="387"/>
      <c r="F1816" s="388">
        <f t="shared" si="465"/>
        <v>0</v>
      </c>
      <c r="H1816" s="341" t="str">
        <f>IF(A1816="","",VLOOKUP(A1816,VII.A!$A$10:$D$199,4,FALSE))</f>
        <v/>
      </c>
      <c r="I1816" s="341" t="str">
        <f t="shared" si="468"/>
        <v/>
      </c>
      <c r="J1816" s="341" t="str">
        <f>IF(A1816="","",VLOOKUP(A1816,VII.A!$A$10:$D$199,3,FALSE))</f>
        <v/>
      </c>
      <c r="K1816" s="342" t="str">
        <f t="shared" si="466"/>
        <v/>
      </c>
      <c r="L1816" s="380" t="str">
        <f>IF(C1816="","",G1787*C1816)</f>
        <v/>
      </c>
      <c r="M1816" s="381" t="str">
        <f>IF(A1816="","",VLOOKUP(A1816,VII.A!$A$10:$B$199,2,FALSE))</f>
        <v/>
      </c>
      <c r="N1816" s="342" t="str">
        <f t="shared" si="467"/>
        <v/>
      </c>
      <c r="R1816" s="341"/>
      <c r="S1816" s="341"/>
    </row>
    <row r="1817" spans="1:19" ht="12.75" customHeight="1">
      <c r="A1817" s="393"/>
      <c r="C1817" s="20"/>
      <c r="E1817" s="387"/>
      <c r="F1817" s="388">
        <f t="shared" si="465"/>
        <v>0</v>
      </c>
      <c r="H1817" s="341" t="str">
        <f>IF(A1817="","",VLOOKUP(A1817,VII.A!$A$10:$D$199,4,FALSE))</f>
        <v/>
      </c>
      <c r="I1817" s="341" t="str">
        <f t="shared" si="468"/>
        <v/>
      </c>
      <c r="J1817" s="341" t="str">
        <f>IF(A1817="","",VLOOKUP(A1817,VII.A!$A$10:$D$199,3,FALSE))</f>
        <v/>
      </c>
      <c r="K1817" s="342" t="str">
        <f t="shared" si="466"/>
        <v/>
      </c>
      <c r="L1817" s="380" t="str">
        <f>IF(C1817="","",G1787*C1817)</f>
        <v/>
      </c>
      <c r="M1817" s="381" t="str">
        <f>IF(A1817="","",VLOOKUP(A1817,VII.A!$A$10:$B$199,2,FALSE))</f>
        <v/>
      </c>
      <c r="N1817" s="342" t="str">
        <f t="shared" si="467"/>
        <v/>
      </c>
      <c r="R1817" s="341"/>
      <c r="S1817" s="341"/>
    </row>
    <row r="1818" spans="1:19" ht="12.75" customHeight="1">
      <c r="A1818" s="393"/>
      <c r="C1818" s="20"/>
      <c r="E1818" s="387"/>
      <c r="F1818" s="388">
        <f t="shared" si="465"/>
        <v>0</v>
      </c>
      <c r="H1818" s="341" t="str">
        <f>IF(A1818="","",VLOOKUP(A1818,VII.A!$A$10:$D$199,4,FALSE))</f>
        <v/>
      </c>
      <c r="I1818" s="341" t="str">
        <f t="shared" si="468"/>
        <v/>
      </c>
      <c r="J1818" s="341" t="str">
        <f>IF(A1818="","",VLOOKUP(A1818,VII.A!$A$10:$D$199,3,FALSE))</f>
        <v/>
      </c>
      <c r="K1818" s="342" t="str">
        <f t="shared" si="466"/>
        <v/>
      </c>
      <c r="L1818" s="380" t="str">
        <f>IF(C1818="","",G1787*C1818)</f>
        <v/>
      </c>
      <c r="M1818" s="381" t="str">
        <f>IF(A1818="","",VLOOKUP(A1818,VII.A!$A$10:$B$199,2,FALSE))</f>
        <v/>
      </c>
      <c r="N1818" s="342" t="str">
        <f t="shared" si="467"/>
        <v/>
      </c>
      <c r="R1818" s="341"/>
      <c r="S1818" s="341"/>
    </row>
    <row r="1819" spans="1:19" ht="12.75" customHeight="1">
      <c r="A1819" s="393"/>
      <c r="B1819" s="395" t="s">
        <v>226</v>
      </c>
      <c r="C1819" s="396"/>
      <c r="D1819" s="397"/>
      <c r="E1819" s="398"/>
      <c r="F1819" s="399">
        <f>SUM(F1809:F1818)</f>
        <v>0</v>
      </c>
      <c r="J1819" s="341"/>
      <c r="L1819" s="380"/>
      <c r="M1819" s="381"/>
      <c r="N1819" s="342"/>
      <c r="R1819" s="341"/>
      <c r="S1819" s="341"/>
    </row>
    <row r="1820" spans="1:19" ht="12.75" customHeight="1">
      <c r="A1820" s="393"/>
      <c r="B1820" s="400" t="s">
        <v>53</v>
      </c>
      <c r="C1820" s="2">
        <f>$D$8</f>
        <v>0</v>
      </c>
      <c r="D1820" s="401"/>
      <c r="E1820" s="402"/>
      <c r="F1820" s="403">
        <f>ROUND(C1820*F1819,2)</f>
        <v>0</v>
      </c>
      <c r="J1820" s="341"/>
      <c r="L1820" s="380"/>
      <c r="M1820" s="381"/>
      <c r="N1820" s="342"/>
      <c r="R1820" s="341"/>
      <c r="S1820" s="341"/>
    </row>
    <row r="1821" spans="1:19" ht="12.75" customHeight="1">
      <c r="A1821" s="404"/>
      <c r="B1821" s="405" t="s">
        <v>228</v>
      </c>
      <c r="C1821" s="406"/>
      <c r="D1821" s="406"/>
      <c r="E1821" s="407"/>
      <c r="F1821" s="408">
        <f>F1819+F1820</f>
        <v>0</v>
      </c>
      <c r="J1821" s="341"/>
      <c r="L1821" s="380"/>
      <c r="M1821" s="381"/>
      <c r="N1821" s="342"/>
      <c r="R1821" s="341"/>
      <c r="S1821" s="341"/>
    </row>
    <row r="1822" spans="1:19" ht="12.75" customHeight="1">
      <c r="A1822" s="409" t="s">
        <v>47</v>
      </c>
      <c r="B1822" s="410" t="s">
        <v>236</v>
      </c>
      <c r="C1822" s="411" t="s">
        <v>231</v>
      </c>
      <c r="D1822" s="412" t="s">
        <v>232</v>
      </c>
      <c r="E1822" s="413" t="s">
        <v>233</v>
      </c>
      <c r="F1822" s="378" t="s">
        <v>234</v>
      </c>
      <c r="J1822" s="341"/>
      <c r="L1822" s="380"/>
      <c r="M1822" s="381"/>
      <c r="N1822" s="342"/>
      <c r="R1822" s="341"/>
      <c r="S1822" s="341"/>
    </row>
    <row r="1823" spans="1:19" ht="12.75" customHeight="1">
      <c r="A1823" s="393" t="str">
        <f>VII.A!$A$196</f>
        <v>3.16</v>
      </c>
      <c r="B1823" s="394" t="s">
        <v>157</v>
      </c>
      <c r="C1823" s="20">
        <f>0.365+0.100056</f>
        <v>0.46505600000000002</v>
      </c>
      <c r="D1823" s="384" t="str">
        <f>VLOOKUP(A1823,VII.A!$A$10:$G$199,3,FALSE)</f>
        <v>H</v>
      </c>
      <c r="E1823" s="387">
        <f>VII.A!$D$196</f>
        <v>0</v>
      </c>
      <c r="F1823" s="388">
        <f t="shared" ref="F1823:F1829" si="469">ROUND(C1823*E1823,2)</f>
        <v>0</v>
      </c>
      <c r="H1823" s="341">
        <f>IF(A1823="","",VLOOKUP(A1823,VII.A!$A$10:$D$199,4,FALSE))</f>
        <v>0</v>
      </c>
      <c r="I1823" s="341" t="str">
        <f t="shared" ref="I1823:I1829" si="470">IF(A1823="","",IF(E1823=H1823,"SIM","NÃO"))</f>
        <v>SIM</v>
      </c>
      <c r="J1823" s="341" t="str">
        <f>IF(A1823="","",VLOOKUP(A1823,VII.A!$A$10:$D$199,3,FALSE))</f>
        <v>H</v>
      </c>
      <c r="K1823" s="342" t="str">
        <f t="shared" ref="K1823:K1829" si="471">IF(A1823="","",IF(J1823=D1823,"SIM","NÃO"))</f>
        <v>SIM</v>
      </c>
      <c r="L1823" s="380">
        <f>IF(C1823="","",G1787*C1823)</f>
        <v>23.252800000000001</v>
      </c>
      <c r="M1823" s="381" t="str">
        <f>IF(A1823="","",VLOOKUP(A1823,VII.A!$A$10:$B$199,2,FALSE))</f>
        <v>SERVENTE COM ENCARGOS COMPLEMENTARES</v>
      </c>
      <c r="N1823" s="342" t="str">
        <f t="shared" ref="N1823:N1829" si="472">IF(B1823="","",IF(M1823=B1823,"si","no"))</f>
        <v>si</v>
      </c>
      <c r="R1823" s="341"/>
      <c r="S1823" s="341"/>
    </row>
    <row r="1824" spans="1:19" ht="12.75" customHeight="1">
      <c r="A1824" s="393" t="str">
        <f>VII.A!$A$192</f>
        <v>3.12</v>
      </c>
      <c r="B1824" s="394" t="s">
        <v>153</v>
      </c>
      <c r="C1824" s="20">
        <v>0.73</v>
      </c>
      <c r="D1824" s="384" t="str">
        <f>VLOOKUP(A1824,VII.A!$A$10:$G$199,3,FALSE)</f>
        <v>H</v>
      </c>
      <c r="E1824" s="387">
        <f>VII.A!$D$192</f>
        <v>0</v>
      </c>
      <c r="F1824" s="388">
        <f t="shared" si="469"/>
        <v>0</v>
      </c>
      <c r="H1824" s="341">
        <f>IF(A1824="","",VLOOKUP(A1824,VII.A!$A$10:$D$199,4,FALSE))</f>
        <v>0</v>
      </c>
      <c r="I1824" s="341" t="str">
        <f t="shared" si="470"/>
        <v>SIM</v>
      </c>
      <c r="J1824" s="341" t="str">
        <f>IF(A1824="","",VLOOKUP(A1824,VII.A!$A$10:$D$199,3,FALSE))</f>
        <v>H</v>
      </c>
      <c r="K1824" s="342" t="str">
        <f t="shared" si="471"/>
        <v>SIM</v>
      </c>
      <c r="L1824" s="380">
        <f>IF(C1824="","",G1787*C1824)</f>
        <v>36.5</v>
      </c>
      <c r="M1824" s="381" t="str">
        <f>IF(A1824="","",VLOOKUP(A1824,VII.A!$A$10:$B$199,2,FALSE))</f>
        <v>PEDREIRO COM ENCARGOS COMPLEMENTARES</v>
      </c>
      <c r="N1824" s="342" t="str">
        <f t="shared" si="472"/>
        <v>si</v>
      </c>
      <c r="R1824" s="341"/>
      <c r="S1824" s="341"/>
    </row>
    <row r="1825" spans="1:25" ht="12.75" customHeight="1">
      <c r="A1825" s="393"/>
      <c r="C1825" s="20"/>
      <c r="E1825" s="387"/>
      <c r="F1825" s="388">
        <f t="shared" si="469"/>
        <v>0</v>
      </c>
      <c r="H1825" s="341" t="str">
        <f>IF(A1825="","",VLOOKUP(A1825,VII.A!$A$10:$D$199,4,FALSE))</f>
        <v/>
      </c>
      <c r="I1825" s="341" t="str">
        <f t="shared" si="470"/>
        <v/>
      </c>
      <c r="J1825" s="341" t="str">
        <f>IF(A1825="","",VLOOKUP(A1825,VII.A!$A$10:$D$199,3,FALSE))</f>
        <v/>
      </c>
      <c r="K1825" s="342" t="str">
        <f t="shared" si="471"/>
        <v/>
      </c>
      <c r="L1825" s="380" t="str">
        <f>IF(C1825="","",G1787*C1825)</f>
        <v/>
      </c>
      <c r="M1825" s="381" t="str">
        <f>IF(A1825="","",VLOOKUP(A1825,VII.A!$A$10:$B$199,2,FALSE))</f>
        <v/>
      </c>
      <c r="N1825" s="342" t="str">
        <f t="shared" si="472"/>
        <v/>
      </c>
      <c r="R1825" s="341"/>
      <c r="S1825" s="341"/>
    </row>
    <row r="1826" spans="1:25" ht="12.75" customHeight="1">
      <c r="A1826" s="393"/>
      <c r="C1826" s="20"/>
      <c r="E1826" s="387"/>
      <c r="F1826" s="388">
        <f t="shared" si="469"/>
        <v>0</v>
      </c>
      <c r="H1826" s="341" t="str">
        <f>IF(A1826="","",VLOOKUP(A1826,VII.A!$A$10:$D$199,4,FALSE))</f>
        <v/>
      </c>
      <c r="I1826" s="341" t="str">
        <f t="shared" si="470"/>
        <v/>
      </c>
      <c r="J1826" s="341" t="str">
        <f>IF(A1826="","",VLOOKUP(A1826,VII.A!$A$10:$D$199,3,FALSE))</f>
        <v/>
      </c>
      <c r="K1826" s="342" t="str">
        <f t="shared" si="471"/>
        <v/>
      </c>
      <c r="L1826" s="380" t="str">
        <f>IF(C1826="","",G1787*C1826)</f>
        <v/>
      </c>
      <c r="M1826" s="381" t="str">
        <f>IF(A1826="","",VLOOKUP(A1826,VII.A!$A$10:$B$199,2,FALSE))</f>
        <v/>
      </c>
      <c r="N1826" s="342" t="str">
        <f t="shared" si="472"/>
        <v/>
      </c>
      <c r="R1826" s="341"/>
      <c r="S1826" s="341"/>
    </row>
    <row r="1827" spans="1:25" ht="12.75" customHeight="1">
      <c r="A1827" s="393"/>
      <c r="C1827" s="20"/>
      <c r="E1827" s="387"/>
      <c r="F1827" s="388">
        <f t="shared" si="469"/>
        <v>0</v>
      </c>
      <c r="H1827" s="341" t="str">
        <f>IF(A1827="","",VLOOKUP(A1827,VII.A!$A$10:$D$199,4,FALSE))</f>
        <v/>
      </c>
      <c r="I1827" s="341" t="str">
        <f t="shared" si="470"/>
        <v/>
      </c>
      <c r="J1827" s="341" t="str">
        <f>IF(A1827="","",VLOOKUP(A1827,VII.A!$A$10:$D$199,3,FALSE))</f>
        <v/>
      </c>
      <c r="K1827" s="342" t="str">
        <f t="shared" si="471"/>
        <v/>
      </c>
      <c r="L1827" s="380" t="str">
        <f>IF(C1827="","",G1787*C1827)</f>
        <v/>
      </c>
      <c r="M1827" s="381" t="str">
        <f>IF(A1827="","",VLOOKUP(A1827,VII.A!$A$10:$B$199,2,FALSE))</f>
        <v/>
      </c>
      <c r="N1827" s="342" t="str">
        <f t="shared" si="472"/>
        <v/>
      </c>
      <c r="R1827" s="341"/>
      <c r="S1827" s="341"/>
    </row>
    <row r="1828" spans="1:25" ht="12.75" customHeight="1">
      <c r="A1828" s="393"/>
      <c r="C1828" s="20"/>
      <c r="E1828" s="387"/>
      <c r="F1828" s="388">
        <f t="shared" si="469"/>
        <v>0</v>
      </c>
      <c r="H1828" s="341" t="str">
        <f>IF(A1828="","",VLOOKUP(A1828,VII.A!$A$10:$D$199,4,FALSE))</f>
        <v/>
      </c>
      <c r="I1828" s="341" t="str">
        <f t="shared" si="470"/>
        <v/>
      </c>
      <c r="J1828" s="341" t="str">
        <f>IF(A1828="","",VLOOKUP(A1828,VII.A!$A$10:$D$199,3,FALSE))</f>
        <v/>
      </c>
      <c r="K1828" s="342" t="str">
        <f t="shared" si="471"/>
        <v/>
      </c>
      <c r="L1828" s="380" t="str">
        <f>IF(C1828="","",G1787*C1828)</f>
        <v/>
      </c>
      <c r="M1828" s="381" t="str">
        <f>IF(A1828="","",VLOOKUP(A1828,VII.A!$A$10:$B$199,2,FALSE))</f>
        <v/>
      </c>
      <c r="N1828" s="342" t="str">
        <f t="shared" si="472"/>
        <v/>
      </c>
      <c r="R1828" s="341"/>
      <c r="S1828" s="341"/>
    </row>
    <row r="1829" spans="1:25" ht="12.75" customHeight="1">
      <c r="A1829" s="393"/>
      <c r="C1829" s="20"/>
      <c r="E1829" s="387"/>
      <c r="F1829" s="388">
        <f t="shared" si="469"/>
        <v>0</v>
      </c>
      <c r="H1829" s="341" t="str">
        <f>IF(A1829="","",VLOOKUP(A1829,VII.A!$A$10:$D$199,4,FALSE))</f>
        <v/>
      </c>
      <c r="I1829" s="341" t="str">
        <f t="shared" si="470"/>
        <v/>
      </c>
      <c r="J1829" s="341" t="str">
        <f>IF(A1829="","",VLOOKUP(A1829,VII.A!$A$10:$D$199,3,FALSE))</f>
        <v/>
      </c>
      <c r="K1829" s="342" t="str">
        <f t="shared" si="471"/>
        <v/>
      </c>
      <c r="L1829" s="380" t="str">
        <f>IF(C1829="","",G1787*C1829)</f>
        <v/>
      </c>
      <c r="M1829" s="381" t="str">
        <f>IF(A1829="","",VLOOKUP(A1829,VII.A!$A$10:$B$199,2,FALSE))</f>
        <v/>
      </c>
      <c r="N1829" s="342" t="str">
        <f t="shared" si="472"/>
        <v/>
      </c>
      <c r="R1829" s="341"/>
      <c r="S1829" s="341"/>
    </row>
    <row r="1830" spans="1:25" ht="12.75" customHeight="1">
      <c r="A1830" s="393"/>
      <c r="B1830" s="395" t="s">
        <v>226</v>
      </c>
      <c r="C1830" s="396"/>
      <c r="D1830" s="397"/>
      <c r="E1830" s="398"/>
      <c r="F1830" s="399">
        <f>SUM(F1823:F1829)</f>
        <v>0</v>
      </c>
      <c r="J1830" s="341"/>
      <c r="L1830" s="380"/>
      <c r="M1830" s="381"/>
      <c r="N1830" s="342"/>
      <c r="R1830" s="341"/>
      <c r="S1830" s="341"/>
    </row>
    <row r="1831" spans="1:25" ht="12.75" customHeight="1">
      <c r="A1831" s="393"/>
      <c r="B1831" s="400" t="s">
        <v>229</v>
      </c>
      <c r="C1831" s="2">
        <f>IX.A!$C$45</f>
        <v>0</v>
      </c>
      <c r="D1831" s="401"/>
      <c r="E1831" s="402"/>
      <c r="F1831" s="403">
        <f>ROUND(F1830*C1831,2)</f>
        <v>0</v>
      </c>
      <c r="J1831" s="341"/>
      <c r="L1831" s="380"/>
      <c r="M1831" s="381"/>
      <c r="N1831" s="342"/>
      <c r="R1831" s="341"/>
      <c r="S1831" s="341"/>
    </row>
    <row r="1832" spans="1:25" ht="12.75" customHeight="1">
      <c r="A1832" s="393"/>
      <c r="B1832" s="400" t="s">
        <v>53</v>
      </c>
      <c r="C1832" s="2">
        <f>$D$8</f>
        <v>0</v>
      </c>
      <c r="D1832" s="401"/>
      <c r="E1832" s="402"/>
      <c r="F1832" s="403">
        <f>ROUND(SUM(F1830:F1831)*C1832,2)</f>
        <v>0</v>
      </c>
      <c r="J1832" s="341"/>
      <c r="L1832" s="380"/>
      <c r="M1832" s="381"/>
      <c r="N1832" s="342"/>
      <c r="R1832" s="341"/>
      <c r="S1832" s="341"/>
    </row>
    <row r="1833" spans="1:25" ht="12.75" customHeight="1" thickBot="1">
      <c r="A1833" s="414"/>
      <c r="B1833" s="415" t="s">
        <v>230</v>
      </c>
      <c r="C1833" s="416"/>
      <c r="D1833" s="416"/>
      <c r="E1833" s="417"/>
      <c r="F1833" s="418">
        <f>SUM(F1830:F1832)</f>
        <v>0</v>
      </c>
      <c r="J1833" s="341"/>
      <c r="L1833" s="380"/>
      <c r="M1833" s="381"/>
      <c r="N1833" s="342"/>
      <c r="R1833" s="341"/>
      <c r="S1833" s="341"/>
    </row>
    <row r="1834" spans="1:25" ht="12.75" customHeight="1" thickBot="1">
      <c r="A1834" s="435"/>
      <c r="B1834" s="436"/>
      <c r="C1834" s="437"/>
      <c r="D1834" s="437"/>
      <c r="E1834" s="438"/>
      <c r="F1834" s="439"/>
      <c r="J1834" s="341"/>
      <c r="L1834" s="380"/>
      <c r="M1834" s="381"/>
      <c r="N1834" s="342"/>
      <c r="R1834" s="341"/>
      <c r="S1834" s="341"/>
    </row>
    <row r="1835" spans="1:25" ht="30" customHeight="1">
      <c r="A1835" s="370" t="str">
        <f>IV.A!$A$66</f>
        <v>3.3.5</v>
      </c>
      <c r="B1835" s="371" t="str">
        <f>IV.A!$B$66</f>
        <v>ALVENARIA EM BLOCO DE CONCRETO 14 X 19 X 39 CM</v>
      </c>
      <c r="C1835" s="871" t="s">
        <v>237</v>
      </c>
      <c r="D1835" s="872"/>
      <c r="E1835" s="372" t="str">
        <f>IV.A!$C$66</f>
        <v>M2</v>
      </c>
      <c r="F1835" s="11">
        <f>ROUND(F1855+F1869+F1881,2)</f>
        <v>0</v>
      </c>
      <c r="G1835" s="1">
        <f>VLOOKUP(A1835,IV.A!$A$16:$L$172,4,FALSE)</f>
        <v>50</v>
      </c>
      <c r="H1835" s="361">
        <f>SUM(F1837:F1852)+F1854</f>
        <v>0</v>
      </c>
      <c r="I1835" s="361">
        <f>SUM(F1857:F1866)+F1868</f>
        <v>0</v>
      </c>
      <c r="J1835" s="361">
        <f>SUM(F1871:F1877)+F1879+F1880</f>
        <v>0</v>
      </c>
      <c r="K1835" s="361">
        <f>SUM(H1835:J1835)</f>
        <v>0</v>
      </c>
      <c r="L1835" s="362" t="str">
        <f>IF(K1835=F1835,"SIM","NÃO")</f>
        <v>SIM</v>
      </c>
      <c r="M1835" s="373">
        <f>ROUND(SUM(F1837:F1852),2)+ROUND(SUM(F1837:F1852)*C1854,2)+ROUND(SUM(F1857:F1866)*C1868,2)+ROUND(SUM(F1857:F1866),2)+ROUND(SUM(F1871:F1877)*C1879,2)+ROUND((SUM(F1871:F1877)+ROUND(SUM(F1871:F1877)*C1879,2))*C1880,2)+ROUND(SUM(F1871:F1877),2)</f>
        <v>0</v>
      </c>
      <c r="N1835" s="343" t="str">
        <f>IF(M1835=F1835,"SIM","NÃO")</f>
        <v>SIM</v>
      </c>
      <c r="O1835" s="364" t="str">
        <f>VLOOKUP(A1835,IV.A!$A$16:$E$172,3,FALSE)</f>
        <v>M2</v>
      </c>
      <c r="P1835" s="344" t="str">
        <f>IF(O1835=E1835,"SIM","NÃO")</f>
        <v>SIM</v>
      </c>
      <c r="Q1835" s="365">
        <f>ROUND(G1835*F1855,2)+ROUND(G1835*F1869,2)+ROUND(G1835*F1881,2)</f>
        <v>0</v>
      </c>
      <c r="R1835" s="364">
        <f>VLOOKUP(A1835,IV.A!$A$16:$L$172,12,FALSE)</f>
        <v>0</v>
      </c>
      <c r="S1835" s="366" t="str">
        <f>IF(Q1835=R1835,"si","no")</f>
        <v>si</v>
      </c>
      <c r="T1835" s="367">
        <f>SUM(L1837:L1852)+SUM(L1857:L1866)+SUM(L1871:L1877)</f>
        <v>981.29</v>
      </c>
      <c r="U1835" s="341">
        <f>(SUM(C1837:C1852)+SUM(C1857:C1866)+SUM(C1871:C1877))*G1835</f>
        <v>981.29</v>
      </c>
      <c r="V1835" s="368" t="str">
        <f>IF(T1835=U1835,"si","no")</f>
        <v>si</v>
      </c>
      <c r="W1835" s="369">
        <f>SUM(F1837:F1852)</f>
        <v>0</v>
      </c>
      <c r="X1835" s="369">
        <f>SUM(F1857:F1866)</f>
        <v>0</v>
      </c>
      <c r="Y1835" s="369">
        <f>SUM(F1871:F1877)</f>
        <v>0</v>
      </c>
    </row>
    <row r="1836" spans="1:25" ht="12.75" customHeight="1">
      <c r="A1836" s="374" t="s">
        <v>14</v>
      </c>
      <c r="B1836" s="375" t="s">
        <v>132</v>
      </c>
      <c r="C1836" s="376" t="s">
        <v>231</v>
      </c>
      <c r="D1836" s="376" t="s">
        <v>232</v>
      </c>
      <c r="E1836" s="377" t="s">
        <v>233</v>
      </c>
      <c r="F1836" s="378" t="s">
        <v>234</v>
      </c>
      <c r="G1836" s="379"/>
      <c r="J1836" s="341"/>
      <c r="L1836" s="380"/>
      <c r="M1836" s="381"/>
      <c r="N1836" s="342"/>
      <c r="O1836" s="382"/>
      <c r="P1836" s="383"/>
      <c r="Q1836" s="383"/>
      <c r="R1836" s="383"/>
      <c r="S1836" s="383"/>
      <c r="T1836" s="382"/>
      <c r="U1836" s="341"/>
      <c r="V1836" s="384"/>
      <c r="W1836" s="384"/>
      <c r="X1836" s="384"/>
      <c r="Y1836" s="384"/>
    </row>
    <row r="1837" spans="1:25" ht="12.75" customHeight="1">
      <c r="A1837" s="385" t="str">
        <f>VII.A!$A$19</f>
        <v>1.10</v>
      </c>
      <c r="B1837" s="394" t="str">
        <f>VLOOKUP(A1837,VII.A!$A$10:$G$199,2,FALSE)</f>
        <v>AREIA MÉDIA LAVADA</v>
      </c>
      <c r="C1837" s="20">
        <v>1.47E-2</v>
      </c>
      <c r="D1837" s="342" t="str">
        <f>VLOOKUP(A1837,VII.A!$A$10:$G$199,3,FALSE)</f>
        <v>M3</v>
      </c>
      <c r="E1837" s="387">
        <f>VII.A!$D$19</f>
        <v>0</v>
      </c>
      <c r="F1837" s="388">
        <f>ROUND(C1837*E1837,2)</f>
        <v>0</v>
      </c>
      <c r="H1837" s="341">
        <f>IF(A1837="","",VLOOKUP(A1837,VII.A!$A$10:$D$199,4,FALSE))</f>
        <v>0</v>
      </c>
      <c r="I1837" s="341" t="str">
        <f t="shared" ref="I1837" si="473">IF(A1837="","",IF(E1837=H1837,"SIM","NÃO"))</f>
        <v>SIM</v>
      </c>
      <c r="J1837" s="341" t="str">
        <f>IF(A1837="","",VLOOKUP(A1837,VII.A!$A$10:$D$199,3,FALSE))</f>
        <v>M3</v>
      </c>
      <c r="K1837" s="342" t="str">
        <f t="shared" ref="K1837" si="474">IF(A1837="","",IF(J1837=D1837,"SIM","NÃO"))</f>
        <v>SIM</v>
      </c>
      <c r="L1837" s="380">
        <f>IF(C1837="","",$G$1835*C1837)</f>
        <v>0.73499999999999999</v>
      </c>
      <c r="M1837" s="381" t="str">
        <f>IF(A1837="","",VLOOKUP(A1837,VII.A!$A$10:$B$199,2,FALSE))</f>
        <v>AREIA MÉDIA LAVADA</v>
      </c>
      <c r="N1837" s="342" t="str">
        <f t="shared" ref="N1837" si="475">IF(B1837="","",IF(M1837=B1837,"si","no"))</f>
        <v>si</v>
      </c>
      <c r="R1837" s="341"/>
      <c r="S1837" s="341"/>
    </row>
    <row r="1838" spans="1:25" ht="12.75" customHeight="1">
      <c r="A1838" s="440" t="str">
        <f>VII.A!$A$127</f>
        <v>1.117</v>
      </c>
      <c r="B1838" s="394" t="str">
        <f>VLOOKUP(A1838,VII.A!$A$10:$G$199,2,FALSE)</f>
        <v>BLOCO DE CONCRETO ESTRUTURAL 14 x 19 x 39 CM - CLASSE A NBR 6136</v>
      </c>
      <c r="C1838" s="20">
        <v>13.6</v>
      </c>
      <c r="D1838" s="342" t="str">
        <f>VLOOKUP($A$1838,VII.A!$A$10:$G$199,3,FALSE)</f>
        <v>UN</v>
      </c>
      <c r="E1838" s="387">
        <f>VLOOKUP(A1838,VII.A!$A$10:$G$199,4,FALSE)</f>
        <v>0</v>
      </c>
      <c r="F1838" s="388">
        <f t="shared" ref="F1838:F1852" si="476">ROUND(C1838*E1838,2)</f>
        <v>0</v>
      </c>
      <c r="H1838" s="341">
        <f>IF(A1838="","",VLOOKUP(A1838,VII.A!$A$10:$D$199,4,FALSE))</f>
        <v>0</v>
      </c>
      <c r="I1838" s="341" t="str">
        <f>IF(A1838="","",IF(E1838=H1838,"SIM","NÃO"))</f>
        <v>SIM</v>
      </c>
      <c r="J1838" s="341" t="str">
        <f>IF(A1838="","",VLOOKUP(A1838,VII.A!$A$10:$D$199,3,FALSE))</f>
        <v>UN</v>
      </c>
      <c r="K1838" s="342" t="str">
        <f t="shared" ref="K1838:K1841" si="477">IF(A1838="","",IF(J1838=D1838,"SIM","NÃO"))</f>
        <v>SIM</v>
      </c>
      <c r="L1838" s="380">
        <f t="shared" ref="L1838:L1841" si="478">IF(C1838="","",$G$1835*C1838)</f>
        <v>680</v>
      </c>
      <c r="M1838" s="381" t="str">
        <f>IF(A1838="","",VLOOKUP(A1838,VII.A!$A$10:$B$199,2,FALSE))</f>
        <v>BLOCO DE CONCRETO ESTRUTURAL 14 x 19 x 39 CM - CLASSE A NBR 6136</v>
      </c>
      <c r="N1838" s="342" t="str">
        <f t="shared" ref="N1838:N1841" si="479">IF(B1838="","",IF(M1838=B1838,"si","no"))</f>
        <v>si</v>
      </c>
      <c r="R1838" s="341"/>
      <c r="S1838" s="341"/>
    </row>
    <row r="1839" spans="1:25" ht="12.75" customHeight="1">
      <c r="A1839" s="385" t="str">
        <f>VII.A!$A$29</f>
        <v>1.20</v>
      </c>
      <c r="B1839" s="394" t="str">
        <f>VLOOKUP(A1839,VII.A!$A$10:$G$199,2,FALSE)</f>
        <v>CAL HIDRATADA CH III - NBR 7175</v>
      </c>
      <c r="C1839" s="20">
        <v>2.2075999999999998</v>
      </c>
      <c r="D1839" s="342" t="str">
        <f>VLOOKUP(A1839,VII.A!$A$10:$G$199,3,FALSE)</f>
        <v>KG</v>
      </c>
      <c r="E1839" s="387">
        <f>VII.A!$D$29</f>
        <v>0</v>
      </c>
      <c r="F1839" s="388">
        <f t="shared" si="476"/>
        <v>0</v>
      </c>
      <c r="H1839" s="341">
        <f>IF(A1839="","",VLOOKUP(A1839,VII.A!$A$10:$D$199,4,FALSE))</f>
        <v>0</v>
      </c>
      <c r="I1839" s="341" t="str">
        <f t="shared" ref="I1839:I1841" si="480">IF(A1839="","",IF(E1839=H1839,"SIM","NÃO"))</f>
        <v>SIM</v>
      </c>
      <c r="J1839" s="341" t="str">
        <f>IF(A1839="","",VLOOKUP(A1839,VII.A!$A$10:$D$199,3,FALSE))</f>
        <v>KG</v>
      </c>
      <c r="K1839" s="342" t="str">
        <f t="shared" si="477"/>
        <v>SIM</v>
      </c>
      <c r="L1839" s="380">
        <f t="shared" si="478"/>
        <v>110.38</v>
      </c>
      <c r="M1839" s="381" t="str">
        <f>IF(A1839="","",VLOOKUP(A1839,VII.A!$A$10:$B$199,2,FALSE))</f>
        <v>CAL HIDRATADA CH III - NBR 7175</v>
      </c>
      <c r="N1839" s="342" t="str">
        <f t="shared" si="479"/>
        <v>si</v>
      </c>
      <c r="R1839" s="341"/>
      <c r="S1839" s="341"/>
    </row>
    <row r="1840" spans="1:25" ht="12.75" customHeight="1">
      <c r="A1840" s="385" t="str">
        <f>VII.A!$A$38</f>
        <v>1.29</v>
      </c>
      <c r="B1840" s="394" t="str">
        <f>VLOOKUP(A1840,VII.A!$A$10:$G$199,2,FALSE)</f>
        <v>CIMENTO PORTLAND CP II-E-32</v>
      </c>
      <c r="C1840" s="20">
        <v>2.4834999999999998</v>
      </c>
      <c r="D1840" s="342" t="str">
        <f>VLOOKUP(A1840,VII.A!$A$10:$G$199,3,FALSE)</f>
        <v>KG</v>
      </c>
      <c r="E1840" s="387">
        <f>VII.A!$D$38</f>
        <v>0</v>
      </c>
      <c r="F1840" s="388">
        <f t="shared" si="476"/>
        <v>0</v>
      </c>
      <c r="H1840" s="341">
        <f>IF(A1840="","",VLOOKUP(A1840,VII.A!$A$10:$D$199,4,FALSE))</f>
        <v>0</v>
      </c>
      <c r="I1840" s="341" t="str">
        <f t="shared" si="480"/>
        <v>SIM</v>
      </c>
      <c r="J1840" s="341" t="str">
        <f>IF(A1840="","",VLOOKUP(A1840,VII.A!$A$10:$D$199,3,FALSE))</f>
        <v>KG</v>
      </c>
      <c r="K1840" s="342" t="str">
        <f t="shared" si="477"/>
        <v>SIM</v>
      </c>
      <c r="L1840" s="380">
        <f t="shared" si="478"/>
        <v>124.175</v>
      </c>
      <c r="M1840" s="381" t="str">
        <f>IF(A1840="","",VLOOKUP(A1840,VII.A!$A$10:$B$199,2,FALSE))</f>
        <v>CIMENTO PORTLAND CP II-E-32</v>
      </c>
      <c r="N1840" s="342" t="str">
        <f t="shared" si="479"/>
        <v>si</v>
      </c>
      <c r="R1840" s="341"/>
      <c r="S1840" s="341"/>
    </row>
    <row r="1841" spans="1:19" ht="12.75" customHeight="1">
      <c r="A1841" s="385" t="str">
        <f>VII.A!$A$104</f>
        <v>1.94</v>
      </c>
      <c r="B1841" s="386" t="str">
        <f>VII.A!B104</f>
        <v>TELA DE AÇO SOLDADA GALVANIZADA/ZINCADA PARA ALVENARIA, FIO D = 1,20 A 1,70 MM, MALHA 15 X 15 MM, (C X L) 50 X 7,5CM</v>
      </c>
      <c r="C1841" s="20">
        <v>0.42</v>
      </c>
      <c r="D1841" s="342" t="str">
        <f>VII.A!C104</f>
        <v>M</v>
      </c>
      <c r="E1841" s="387">
        <f>VII.A!D104</f>
        <v>0</v>
      </c>
      <c r="F1841" s="388">
        <f t="shared" si="476"/>
        <v>0</v>
      </c>
      <c r="H1841" s="341">
        <f>IF(A1841="","",VLOOKUP(A1841,VII.A!$A$10:$D$199,4,FALSE))</f>
        <v>0</v>
      </c>
      <c r="I1841" s="341" t="str">
        <f t="shared" si="480"/>
        <v>SIM</v>
      </c>
      <c r="J1841" s="341" t="str">
        <f>IF(A1841="","",VLOOKUP(A1841,VII.A!$A$10:$D$199,3,FALSE))</f>
        <v>M</v>
      </c>
      <c r="K1841" s="342" t="str">
        <f t="shared" si="477"/>
        <v>SIM</v>
      </c>
      <c r="L1841" s="380">
        <f t="shared" si="478"/>
        <v>21</v>
      </c>
      <c r="M1841" s="381" t="str">
        <f>IF(A1841="","",VLOOKUP(A1841,VII.A!$A$10:$B$199,2,FALSE))</f>
        <v>TELA DE AÇO SOLDADA GALVANIZADA/ZINCADA PARA ALVENARIA, FIO D = 1,20 A 1,70 MM, MALHA 15 X 15 MM, (C X L) 50 X 7,5CM</v>
      </c>
      <c r="N1841" s="342" t="str">
        <f t="shared" si="479"/>
        <v>si</v>
      </c>
      <c r="R1841" s="341"/>
      <c r="S1841" s="341"/>
    </row>
    <row r="1842" spans="1:19" ht="12.75" customHeight="1">
      <c r="A1842" s="385"/>
      <c r="B1842" s="386"/>
      <c r="C1842" s="20"/>
      <c r="D1842" s="342"/>
      <c r="E1842" s="387"/>
      <c r="F1842" s="388">
        <f t="shared" si="476"/>
        <v>0</v>
      </c>
      <c r="J1842" s="341"/>
      <c r="L1842" s="380"/>
      <c r="M1842" s="381"/>
      <c r="N1842" s="342"/>
      <c r="R1842" s="341"/>
      <c r="S1842" s="341"/>
    </row>
    <row r="1843" spans="1:19" ht="12.75" customHeight="1">
      <c r="A1843" s="385"/>
      <c r="B1843" s="386"/>
      <c r="C1843" s="20"/>
      <c r="D1843" s="342"/>
      <c r="E1843" s="387"/>
      <c r="F1843" s="388">
        <f t="shared" si="476"/>
        <v>0</v>
      </c>
      <c r="J1843" s="341"/>
      <c r="L1843" s="380"/>
      <c r="M1843" s="381"/>
      <c r="N1843" s="342"/>
      <c r="R1843" s="341"/>
      <c r="S1843" s="341"/>
    </row>
    <row r="1844" spans="1:19" ht="12.75" customHeight="1">
      <c r="A1844" s="385"/>
      <c r="B1844" s="386"/>
      <c r="C1844" s="20"/>
      <c r="D1844" s="342"/>
      <c r="E1844" s="387"/>
      <c r="F1844" s="388">
        <f t="shared" si="476"/>
        <v>0</v>
      </c>
      <c r="J1844" s="341"/>
      <c r="L1844" s="380"/>
      <c r="M1844" s="381"/>
      <c r="N1844" s="342"/>
      <c r="R1844" s="341"/>
      <c r="S1844" s="341"/>
    </row>
    <row r="1845" spans="1:19" ht="12.75" customHeight="1">
      <c r="A1845" s="385"/>
      <c r="B1845" s="386"/>
      <c r="C1845" s="20"/>
      <c r="D1845" s="342"/>
      <c r="E1845" s="387"/>
      <c r="F1845" s="388">
        <f t="shared" si="476"/>
        <v>0</v>
      </c>
      <c r="J1845" s="341"/>
      <c r="L1845" s="380"/>
      <c r="M1845" s="381"/>
      <c r="N1845" s="342"/>
      <c r="R1845" s="341"/>
      <c r="S1845" s="341"/>
    </row>
    <row r="1846" spans="1:19" ht="12.75" customHeight="1">
      <c r="A1846" s="385"/>
      <c r="B1846" s="386"/>
      <c r="C1846" s="20"/>
      <c r="D1846" s="342"/>
      <c r="E1846" s="387"/>
      <c r="F1846" s="388">
        <f t="shared" si="476"/>
        <v>0</v>
      </c>
      <c r="J1846" s="341"/>
      <c r="L1846" s="380"/>
      <c r="M1846" s="381"/>
      <c r="N1846" s="342"/>
      <c r="R1846" s="341"/>
      <c r="S1846" s="341"/>
    </row>
    <row r="1847" spans="1:19" ht="12.75" customHeight="1">
      <c r="A1847" s="385"/>
      <c r="B1847" s="386"/>
      <c r="C1847" s="20"/>
      <c r="D1847" s="342"/>
      <c r="E1847" s="387"/>
      <c r="F1847" s="388">
        <f t="shared" si="476"/>
        <v>0</v>
      </c>
      <c r="J1847" s="341"/>
      <c r="L1847" s="380"/>
      <c r="M1847" s="381"/>
      <c r="N1847" s="342"/>
      <c r="R1847" s="341"/>
      <c r="S1847" s="341"/>
    </row>
    <row r="1848" spans="1:19" ht="12.75" customHeight="1">
      <c r="A1848" s="385"/>
      <c r="B1848" s="386"/>
      <c r="C1848" s="20"/>
      <c r="D1848" s="392"/>
      <c r="E1848" s="387"/>
      <c r="F1848" s="388">
        <f t="shared" si="476"/>
        <v>0</v>
      </c>
      <c r="J1848" s="341"/>
      <c r="L1848" s="380"/>
      <c r="M1848" s="381"/>
      <c r="N1848" s="342"/>
      <c r="R1848" s="341"/>
      <c r="S1848" s="341"/>
    </row>
    <row r="1849" spans="1:19" ht="12.75" customHeight="1">
      <c r="A1849" s="385"/>
      <c r="B1849" s="386"/>
      <c r="C1849" s="20"/>
      <c r="D1849" s="392"/>
      <c r="E1849" s="387"/>
      <c r="F1849" s="388">
        <f t="shared" si="476"/>
        <v>0</v>
      </c>
      <c r="J1849" s="341"/>
      <c r="L1849" s="380"/>
      <c r="M1849" s="381"/>
      <c r="N1849" s="342"/>
      <c r="R1849" s="341"/>
      <c r="S1849" s="341"/>
    </row>
    <row r="1850" spans="1:19" ht="12.75" customHeight="1">
      <c r="A1850" s="385"/>
      <c r="B1850" s="386"/>
      <c r="C1850" s="20"/>
      <c r="D1850" s="392"/>
      <c r="E1850" s="387"/>
      <c r="F1850" s="388">
        <f t="shared" si="476"/>
        <v>0</v>
      </c>
      <c r="J1850" s="341"/>
      <c r="L1850" s="380"/>
      <c r="M1850" s="381"/>
      <c r="N1850" s="342"/>
      <c r="R1850" s="341"/>
      <c r="S1850" s="341"/>
    </row>
    <row r="1851" spans="1:19" ht="12.75" customHeight="1">
      <c r="A1851" s="393"/>
      <c r="C1851" s="20"/>
      <c r="E1851" s="387"/>
      <c r="F1851" s="388">
        <f t="shared" si="476"/>
        <v>0</v>
      </c>
      <c r="H1851" s="441" t="s">
        <v>859</v>
      </c>
      <c r="J1851" s="341"/>
      <c r="L1851" s="380"/>
      <c r="M1851" s="381"/>
      <c r="N1851" s="342"/>
      <c r="R1851" s="341"/>
      <c r="S1851" s="341"/>
    </row>
    <row r="1852" spans="1:19" ht="12.75" customHeight="1">
      <c r="A1852" s="393"/>
      <c r="C1852" s="20"/>
      <c r="E1852" s="387"/>
      <c r="F1852" s="388">
        <f t="shared" si="476"/>
        <v>0</v>
      </c>
      <c r="J1852" s="341"/>
      <c r="L1852" s="380"/>
      <c r="M1852" s="381"/>
      <c r="N1852" s="342"/>
      <c r="R1852" s="341"/>
      <c r="S1852" s="341"/>
    </row>
    <row r="1853" spans="1:19" ht="12.75" customHeight="1">
      <c r="A1853" s="393"/>
      <c r="B1853" s="395" t="s">
        <v>226</v>
      </c>
      <c r="C1853" s="396"/>
      <c r="D1853" s="397"/>
      <c r="E1853" s="398"/>
      <c r="F1853" s="399">
        <f>SUM(F1837:F1852)</f>
        <v>0</v>
      </c>
      <c r="J1853" s="341"/>
      <c r="L1853" s="380"/>
      <c r="M1853" s="381"/>
      <c r="N1853" s="342"/>
      <c r="R1853" s="341"/>
      <c r="S1853" s="341"/>
    </row>
    <row r="1854" spans="1:19" ht="12.75" customHeight="1">
      <c r="A1854" s="393"/>
      <c r="B1854" s="400" t="s">
        <v>53</v>
      </c>
      <c r="C1854" s="2">
        <f>$D$8</f>
        <v>0</v>
      </c>
      <c r="D1854" s="401"/>
      <c r="E1854" s="402"/>
      <c r="F1854" s="403">
        <f>ROUND(F1853*C1854,2)</f>
        <v>0</v>
      </c>
      <c r="J1854" s="341"/>
      <c r="L1854" s="380"/>
      <c r="M1854" s="381"/>
      <c r="N1854" s="342"/>
      <c r="R1854" s="341"/>
      <c r="S1854" s="341"/>
    </row>
    <row r="1855" spans="1:19" ht="12.75" customHeight="1">
      <c r="A1855" s="404"/>
      <c r="B1855" s="405" t="s">
        <v>227</v>
      </c>
      <c r="C1855" s="406"/>
      <c r="D1855" s="406"/>
      <c r="E1855" s="407"/>
      <c r="F1855" s="408">
        <f>F1853+F1854</f>
        <v>0</v>
      </c>
      <c r="H1855" s="341">
        <f>76*2.6</f>
        <v>197.6</v>
      </c>
      <c r="I1855" s="341">
        <f>H1855*F1869</f>
        <v>0</v>
      </c>
      <c r="J1855" s="341"/>
      <c r="L1855" s="380"/>
      <c r="M1855" s="381"/>
      <c r="N1855" s="342"/>
      <c r="R1855" s="341"/>
      <c r="S1855" s="341"/>
    </row>
    <row r="1856" spans="1:19" ht="12.75" customHeight="1">
      <c r="A1856" s="374" t="s">
        <v>2</v>
      </c>
      <c r="B1856" s="375" t="s">
        <v>235</v>
      </c>
      <c r="C1856" s="376" t="s">
        <v>231</v>
      </c>
      <c r="D1856" s="376" t="s">
        <v>232</v>
      </c>
      <c r="E1856" s="377" t="s">
        <v>233</v>
      </c>
      <c r="F1856" s="378" t="s">
        <v>234</v>
      </c>
      <c r="J1856" s="341"/>
      <c r="L1856" s="380"/>
      <c r="M1856" s="381"/>
      <c r="N1856" s="342"/>
      <c r="R1856" s="341"/>
      <c r="S1856" s="341"/>
    </row>
    <row r="1857" spans="1:19" ht="12.75" customHeight="1">
      <c r="A1857" s="393"/>
      <c r="C1857" s="20"/>
      <c r="E1857" s="387"/>
      <c r="F1857" s="388">
        <f t="shared" ref="F1857:F1866" si="481">ROUND(C1857*E1857,2)</f>
        <v>0</v>
      </c>
      <c r="H1857" s="341" t="str">
        <f>IF(A1857="","",VLOOKUP(A1857,VII.A!$A$10:$D$199,4,FALSE))</f>
        <v/>
      </c>
      <c r="I1857" s="341" t="str">
        <f t="shared" ref="I1857:I1866" si="482">IF(A1857="","",IF(E1857=H1857,"SIM","NÃO"))</f>
        <v/>
      </c>
      <c r="J1857" s="341" t="str">
        <f>IF(A1857="","",VLOOKUP(A1857,VII.A!$A$10:$D$199,3,FALSE))</f>
        <v/>
      </c>
      <c r="K1857" s="342" t="str">
        <f t="shared" ref="K1857:K1866" si="483">IF(A1857="","",IF(J1857=D1857,"SIM","NÃO"))</f>
        <v/>
      </c>
      <c r="L1857" s="380" t="str">
        <f>IF(C1857="","",$G$1883*C1857)</f>
        <v/>
      </c>
      <c r="M1857" s="381" t="str">
        <f>IF(A1857="","",VLOOKUP(A1857,VII.A!$A$10:$B$199,2,FALSE))</f>
        <v/>
      </c>
      <c r="N1857" s="342" t="str">
        <f t="shared" ref="N1857:N1866" si="484">IF(B1857="","",IF(M1857=B1857,"si","no"))</f>
        <v/>
      </c>
      <c r="R1857" s="341"/>
      <c r="S1857" s="341"/>
    </row>
    <row r="1858" spans="1:19" ht="12.75" customHeight="1">
      <c r="A1858" s="393"/>
      <c r="C1858" s="20"/>
      <c r="E1858" s="387"/>
      <c r="F1858" s="388">
        <f t="shared" si="481"/>
        <v>0</v>
      </c>
      <c r="H1858" s="341" t="str">
        <f>IF(A1858="","",VLOOKUP(A1858,VII.A!$A$10:$D$199,4,FALSE))</f>
        <v/>
      </c>
      <c r="I1858" s="341" t="str">
        <f t="shared" si="482"/>
        <v/>
      </c>
      <c r="J1858" s="341" t="str">
        <f>IF(A1858="","",VLOOKUP(A1858,VII.A!$A$10:$D$199,3,FALSE))</f>
        <v/>
      </c>
      <c r="K1858" s="342" t="str">
        <f t="shared" si="483"/>
        <v/>
      </c>
      <c r="L1858" s="380" t="str">
        <f t="shared" ref="L1858:L1866" si="485">IF(C1858="","",$G$1883*C1858)</f>
        <v/>
      </c>
      <c r="M1858" s="381" t="str">
        <f>IF(A1858="","",VLOOKUP(A1858,VII.A!$A$10:$B$199,2,FALSE))</f>
        <v/>
      </c>
      <c r="N1858" s="342" t="str">
        <f t="shared" si="484"/>
        <v/>
      </c>
      <c r="R1858" s="341"/>
      <c r="S1858" s="341"/>
    </row>
    <row r="1859" spans="1:19" ht="12.75" customHeight="1">
      <c r="A1859" s="393"/>
      <c r="C1859" s="20"/>
      <c r="E1859" s="387"/>
      <c r="F1859" s="388">
        <f t="shared" si="481"/>
        <v>0</v>
      </c>
      <c r="H1859" s="341" t="str">
        <f>IF(A1859="","",VLOOKUP(A1859,VII.A!$A$10:$D$199,4,FALSE))</f>
        <v/>
      </c>
      <c r="I1859" s="341" t="str">
        <f t="shared" si="482"/>
        <v/>
      </c>
      <c r="J1859" s="341" t="str">
        <f>IF(A1859="","",VLOOKUP(A1859,VII.A!$A$10:$D$199,3,FALSE))</f>
        <v/>
      </c>
      <c r="K1859" s="342" t="str">
        <f t="shared" si="483"/>
        <v/>
      </c>
      <c r="L1859" s="380" t="str">
        <f t="shared" si="485"/>
        <v/>
      </c>
      <c r="M1859" s="381" t="str">
        <f>IF(A1859="","",VLOOKUP(A1859,VII.A!$A$10:$B$199,2,FALSE))</f>
        <v/>
      </c>
      <c r="N1859" s="342" t="str">
        <f t="shared" si="484"/>
        <v/>
      </c>
      <c r="R1859" s="341"/>
      <c r="S1859" s="341"/>
    </row>
    <row r="1860" spans="1:19" ht="12.75" customHeight="1">
      <c r="A1860" s="393"/>
      <c r="C1860" s="20"/>
      <c r="E1860" s="387"/>
      <c r="F1860" s="388">
        <f t="shared" si="481"/>
        <v>0</v>
      </c>
      <c r="H1860" s="341" t="str">
        <f>IF(A1860="","",VLOOKUP(A1860,VII.A!$A$10:$D$199,4,FALSE))</f>
        <v/>
      </c>
      <c r="I1860" s="341" t="str">
        <f t="shared" si="482"/>
        <v/>
      </c>
      <c r="J1860" s="341" t="str">
        <f>IF(A1860="","",VLOOKUP(A1860,VII.A!$A$10:$D$199,3,FALSE))</f>
        <v/>
      </c>
      <c r="K1860" s="342" t="str">
        <f t="shared" si="483"/>
        <v/>
      </c>
      <c r="L1860" s="380" t="str">
        <f t="shared" si="485"/>
        <v/>
      </c>
      <c r="M1860" s="381" t="str">
        <f>IF(A1860="","",VLOOKUP(A1860,VII.A!$A$10:$B$199,2,FALSE))</f>
        <v/>
      </c>
      <c r="N1860" s="342" t="str">
        <f t="shared" si="484"/>
        <v/>
      </c>
      <c r="R1860" s="341"/>
      <c r="S1860" s="341"/>
    </row>
    <row r="1861" spans="1:19" ht="12.75" customHeight="1">
      <c r="A1861" s="393"/>
      <c r="C1861" s="20"/>
      <c r="E1861" s="387"/>
      <c r="F1861" s="388">
        <f t="shared" si="481"/>
        <v>0</v>
      </c>
      <c r="H1861" s="341" t="str">
        <f>IF(A1861="","",VLOOKUP(A1861,VII.A!$A$10:$D$199,4,FALSE))</f>
        <v/>
      </c>
      <c r="I1861" s="341" t="str">
        <f t="shared" si="482"/>
        <v/>
      </c>
      <c r="J1861" s="341" t="str">
        <f>IF(A1861="","",VLOOKUP(A1861,VII.A!$A$10:$D$199,3,FALSE))</f>
        <v/>
      </c>
      <c r="K1861" s="342" t="str">
        <f t="shared" si="483"/>
        <v/>
      </c>
      <c r="L1861" s="380" t="str">
        <f t="shared" si="485"/>
        <v/>
      </c>
      <c r="M1861" s="381" t="str">
        <f>IF(A1861="","",VLOOKUP(A1861,VII.A!$A$10:$B$199,2,FALSE))</f>
        <v/>
      </c>
      <c r="N1861" s="342" t="str">
        <f t="shared" si="484"/>
        <v/>
      </c>
      <c r="R1861" s="341"/>
      <c r="S1861" s="341"/>
    </row>
    <row r="1862" spans="1:19" ht="12.75" customHeight="1">
      <c r="A1862" s="393"/>
      <c r="C1862" s="20"/>
      <c r="E1862" s="387"/>
      <c r="F1862" s="388">
        <f t="shared" si="481"/>
        <v>0</v>
      </c>
      <c r="H1862" s="341" t="str">
        <f>IF(A1862="","",VLOOKUP(A1862,VII.A!$A$10:$D$199,4,FALSE))</f>
        <v/>
      </c>
      <c r="I1862" s="341" t="str">
        <f t="shared" si="482"/>
        <v/>
      </c>
      <c r="J1862" s="341" t="str">
        <f>IF(A1862="","",VLOOKUP(A1862,VII.A!$A$10:$D$199,3,FALSE))</f>
        <v/>
      </c>
      <c r="K1862" s="342" t="str">
        <f t="shared" si="483"/>
        <v/>
      </c>
      <c r="L1862" s="380" t="str">
        <f t="shared" si="485"/>
        <v/>
      </c>
      <c r="M1862" s="381" t="str">
        <f>IF(A1862="","",VLOOKUP(A1862,VII.A!$A$10:$B$199,2,FALSE))</f>
        <v/>
      </c>
      <c r="N1862" s="342" t="str">
        <f t="shared" si="484"/>
        <v/>
      </c>
      <c r="R1862" s="341"/>
      <c r="S1862" s="341"/>
    </row>
    <row r="1863" spans="1:19" ht="12.75" customHeight="1">
      <c r="A1863" s="393"/>
      <c r="C1863" s="20"/>
      <c r="E1863" s="387"/>
      <c r="F1863" s="388">
        <f t="shared" si="481"/>
        <v>0</v>
      </c>
      <c r="H1863" s="341" t="str">
        <f>IF(A1863="","",VLOOKUP(A1863,VII.A!$A$10:$D$199,4,FALSE))</f>
        <v/>
      </c>
      <c r="I1863" s="341" t="str">
        <f t="shared" si="482"/>
        <v/>
      </c>
      <c r="J1863" s="341" t="str">
        <f>IF(A1863="","",VLOOKUP(A1863,VII.A!$A$10:$D$199,3,FALSE))</f>
        <v/>
      </c>
      <c r="K1863" s="342" t="str">
        <f t="shared" si="483"/>
        <v/>
      </c>
      <c r="L1863" s="380" t="str">
        <f t="shared" si="485"/>
        <v/>
      </c>
      <c r="M1863" s="381" t="str">
        <f>IF(A1863="","",VLOOKUP(A1863,VII.A!$A$10:$B$199,2,FALSE))</f>
        <v/>
      </c>
      <c r="N1863" s="342" t="str">
        <f t="shared" si="484"/>
        <v/>
      </c>
      <c r="R1863" s="341"/>
      <c r="S1863" s="341"/>
    </row>
    <row r="1864" spans="1:19" ht="12.75" customHeight="1">
      <c r="A1864" s="393"/>
      <c r="C1864" s="20"/>
      <c r="E1864" s="387"/>
      <c r="F1864" s="388">
        <f t="shared" si="481"/>
        <v>0</v>
      </c>
      <c r="H1864" s="341" t="str">
        <f>IF(A1864="","",VLOOKUP(A1864,VII.A!$A$10:$D$199,4,FALSE))</f>
        <v/>
      </c>
      <c r="I1864" s="341" t="str">
        <f t="shared" si="482"/>
        <v/>
      </c>
      <c r="J1864" s="341" t="str">
        <f>IF(A1864="","",VLOOKUP(A1864,VII.A!$A$10:$D$199,3,FALSE))</f>
        <v/>
      </c>
      <c r="K1864" s="342" t="str">
        <f t="shared" si="483"/>
        <v/>
      </c>
      <c r="L1864" s="380" t="str">
        <f t="shared" si="485"/>
        <v/>
      </c>
      <c r="M1864" s="381" t="str">
        <f>IF(A1864="","",VLOOKUP(A1864,VII.A!$A$10:$B$199,2,FALSE))</f>
        <v/>
      </c>
      <c r="N1864" s="342" t="str">
        <f t="shared" si="484"/>
        <v/>
      </c>
      <c r="R1864" s="341"/>
      <c r="S1864" s="341"/>
    </row>
    <row r="1865" spans="1:19" ht="12.75" customHeight="1">
      <c r="A1865" s="393"/>
      <c r="C1865" s="20"/>
      <c r="E1865" s="387"/>
      <c r="F1865" s="388">
        <f t="shared" si="481"/>
        <v>0</v>
      </c>
      <c r="H1865" s="341" t="str">
        <f>IF(A1865="","",VLOOKUP(A1865,VII.A!$A$10:$D$199,4,FALSE))</f>
        <v/>
      </c>
      <c r="I1865" s="341" t="str">
        <f t="shared" si="482"/>
        <v/>
      </c>
      <c r="J1865" s="341" t="str">
        <f>IF(A1865="","",VLOOKUP(A1865,VII.A!$A$10:$D$199,3,FALSE))</f>
        <v/>
      </c>
      <c r="K1865" s="342" t="str">
        <f t="shared" si="483"/>
        <v/>
      </c>
      <c r="L1865" s="380" t="str">
        <f t="shared" si="485"/>
        <v/>
      </c>
      <c r="M1865" s="381" t="str">
        <f>IF(A1865="","",VLOOKUP(A1865,VII.A!$A$10:$B$199,2,FALSE))</f>
        <v/>
      </c>
      <c r="N1865" s="342" t="str">
        <f t="shared" si="484"/>
        <v/>
      </c>
      <c r="R1865" s="341"/>
      <c r="S1865" s="341"/>
    </row>
    <row r="1866" spans="1:19" ht="12.75" customHeight="1">
      <c r="A1866" s="393"/>
      <c r="C1866" s="20"/>
      <c r="E1866" s="387"/>
      <c r="F1866" s="388">
        <f t="shared" si="481"/>
        <v>0</v>
      </c>
      <c r="H1866" s="341" t="str">
        <f>IF(A1866="","",VLOOKUP(A1866,VII.A!$A$10:$D$199,4,FALSE))</f>
        <v/>
      </c>
      <c r="I1866" s="341" t="str">
        <f t="shared" si="482"/>
        <v/>
      </c>
      <c r="J1866" s="341" t="str">
        <f>IF(A1866="","",VLOOKUP(A1866,VII.A!$A$10:$D$199,3,FALSE))</f>
        <v/>
      </c>
      <c r="K1866" s="342" t="str">
        <f t="shared" si="483"/>
        <v/>
      </c>
      <c r="L1866" s="380" t="str">
        <f t="shared" si="485"/>
        <v/>
      </c>
      <c r="M1866" s="381" t="str">
        <f>IF(A1866="","",VLOOKUP(A1866,VII.A!$A$10:$B$199,2,FALSE))</f>
        <v/>
      </c>
      <c r="N1866" s="342" t="str">
        <f t="shared" si="484"/>
        <v/>
      </c>
      <c r="R1866" s="341"/>
      <c r="S1866" s="341"/>
    </row>
    <row r="1867" spans="1:19" ht="12.75" customHeight="1">
      <c r="A1867" s="393"/>
      <c r="B1867" s="395" t="s">
        <v>226</v>
      </c>
      <c r="C1867" s="396"/>
      <c r="D1867" s="397"/>
      <c r="E1867" s="398"/>
      <c r="F1867" s="399">
        <f>SUM(F1857:F1866)</f>
        <v>0</v>
      </c>
      <c r="J1867" s="341"/>
      <c r="L1867" s="380"/>
      <c r="M1867" s="381"/>
      <c r="N1867" s="342"/>
      <c r="R1867" s="341"/>
      <c r="S1867" s="341"/>
    </row>
    <row r="1868" spans="1:19" ht="12.75" customHeight="1">
      <c r="A1868" s="393"/>
      <c r="B1868" s="400" t="s">
        <v>53</v>
      </c>
      <c r="C1868" s="2">
        <f>$D$8</f>
        <v>0</v>
      </c>
      <c r="D1868" s="401"/>
      <c r="E1868" s="402"/>
      <c r="F1868" s="403">
        <f>ROUND(C1868*F1867,2)</f>
        <v>0</v>
      </c>
      <c r="J1868" s="341"/>
      <c r="L1868" s="380"/>
      <c r="M1868" s="381"/>
      <c r="N1868" s="342"/>
      <c r="R1868" s="341"/>
      <c r="S1868" s="341"/>
    </row>
    <row r="1869" spans="1:19" ht="12.75" customHeight="1">
      <c r="A1869" s="404"/>
      <c r="B1869" s="405" t="s">
        <v>228</v>
      </c>
      <c r="C1869" s="406"/>
      <c r="D1869" s="406"/>
      <c r="E1869" s="407"/>
      <c r="F1869" s="408">
        <f>F1867+F1868</f>
        <v>0</v>
      </c>
      <c r="J1869" s="341"/>
      <c r="L1869" s="380"/>
      <c r="M1869" s="381"/>
      <c r="N1869" s="342"/>
      <c r="R1869" s="341"/>
      <c r="S1869" s="341"/>
    </row>
    <row r="1870" spans="1:19" ht="12.75" customHeight="1">
      <c r="A1870" s="409" t="s">
        <v>47</v>
      </c>
      <c r="B1870" s="410" t="s">
        <v>236</v>
      </c>
      <c r="C1870" s="411" t="s">
        <v>231</v>
      </c>
      <c r="D1870" s="412" t="s">
        <v>232</v>
      </c>
      <c r="E1870" s="413" t="s">
        <v>233</v>
      </c>
      <c r="F1870" s="378" t="s">
        <v>234</v>
      </c>
      <c r="J1870" s="341"/>
      <c r="L1870" s="380"/>
      <c r="M1870" s="381"/>
      <c r="N1870" s="342"/>
      <c r="R1870" s="341"/>
      <c r="S1870" s="341"/>
    </row>
    <row r="1871" spans="1:19" ht="12.75" customHeight="1">
      <c r="A1871" s="393" t="str">
        <f>VII.A!$A$196</f>
        <v>3.16</v>
      </c>
      <c r="B1871" s="394" t="s">
        <v>157</v>
      </c>
      <c r="C1871" s="20">
        <v>0.45</v>
      </c>
      <c r="D1871" s="384" t="str">
        <f>VLOOKUP(A1871,VII.A!$A$10:$G$199,3,FALSE)</f>
        <v>H</v>
      </c>
      <c r="E1871" s="387">
        <f>VII.A!$D$196</f>
        <v>0</v>
      </c>
      <c r="F1871" s="388">
        <f t="shared" ref="F1871:F1877" si="486">ROUND(C1871*E1871,2)</f>
        <v>0</v>
      </c>
      <c r="H1871" s="341">
        <f>IF(A1871="","",VLOOKUP(A1871,VII.A!$A$10:$D$199,4,FALSE))</f>
        <v>0</v>
      </c>
      <c r="I1871" s="341" t="str">
        <f t="shared" ref="I1871:I1872" si="487">IF(A1871="","",IF(E1871=H1871,"SIM","NÃO"))</f>
        <v>SIM</v>
      </c>
      <c r="J1871" s="341" t="str">
        <f>IF(A1871="","",VLOOKUP(A1871,VII.A!$A$10:$D$199,3,FALSE))</f>
        <v>H</v>
      </c>
      <c r="K1871" s="342" t="str">
        <f t="shared" ref="K1871:K1872" si="488">IF(A1871="","",IF(J1871=D1871,"SIM","NÃO"))</f>
        <v>SIM</v>
      </c>
      <c r="L1871" s="380">
        <f t="shared" ref="L1871:L1872" si="489">IF(C1871="","",$G$1835*C1871)</f>
        <v>22.5</v>
      </c>
      <c r="M1871" s="381" t="str">
        <f>IF(A1871="","",VLOOKUP(A1871,VII.A!$A$10:$B$199,2,FALSE))</f>
        <v>SERVENTE COM ENCARGOS COMPLEMENTARES</v>
      </c>
      <c r="N1871" s="342" t="str">
        <f t="shared" ref="N1871:N1872" si="490">IF(B1871="","",IF(M1871=B1871,"si","no"))</f>
        <v>si</v>
      </c>
      <c r="R1871" s="341"/>
      <c r="S1871" s="341"/>
    </row>
    <row r="1872" spans="1:19" ht="12.75" customHeight="1">
      <c r="A1872" s="393" t="str">
        <f>VII.A!$A$192</f>
        <v>3.12</v>
      </c>
      <c r="B1872" s="394" t="s">
        <v>153</v>
      </c>
      <c r="C1872" s="20">
        <v>0.45</v>
      </c>
      <c r="D1872" s="384" t="str">
        <f>VLOOKUP(A1872,VII.A!$A$10:$G$199,3,FALSE)</f>
        <v>H</v>
      </c>
      <c r="E1872" s="387">
        <f>VII.A!$D$192</f>
        <v>0</v>
      </c>
      <c r="F1872" s="388">
        <f t="shared" si="486"/>
        <v>0</v>
      </c>
      <c r="H1872" s="341">
        <f>IF(A1872="","",VLOOKUP(A1872,VII.A!$A$10:$D$199,4,FALSE))</f>
        <v>0</v>
      </c>
      <c r="I1872" s="341" t="str">
        <f t="shared" si="487"/>
        <v>SIM</v>
      </c>
      <c r="J1872" s="341" t="str">
        <f>IF(A1872="","",VLOOKUP(A1872,VII.A!$A$10:$D$199,3,FALSE))</f>
        <v>H</v>
      </c>
      <c r="K1872" s="342" t="str">
        <f t="shared" si="488"/>
        <v>SIM</v>
      </c>
      <c r="L1872" s="380">
        <f t="shared" si="489"/>
        <v>22.5</v>
      </c>
      <c r="M1872" s="381" t="str">
        <f>IF(A1872="","",VLOOKUP(A1872,VII.A!$A$10:$B$199,2,FALSE))</f>
        <v>PEDREIRO COM ENCARGOS COMPLEMENTARES</v>
      </c>
      <c r="N1872" s="342" t="str">
        <f t="shared" si="490"/>
        <v>si</v>
      </c>
      <c r="R1872" s="341"/>
      <c r="S1872" s="341"/>
    </row>
    <row r="1873" spans="1:25" ht="12.75" customHeight="1">
      <c r="A1873" s="393"/>
      <c r="C1873" s="20"/>
      <c r="E1873" s="387"/>
      <c r="F1873" s="388">
        <f t="shared" si="486"/>
        <v>0</v>
      </c>
      <c r="J1873" s="341"/>
      <c r="L1873" s="380"/>
      <c r="M1873" s="381"/>
      <c r="N1873" s="342"/>
      <c r="R1873" s="341"/>
      <c r="S1873" s="341"/>
    </row>
    <row r="1874" spans="1:25" ht="12.75" customHeight="1">
      <c r="A1874" s="393"/>
      <c r="C1874" s="20"/>
      <c r="E1874" s="387"/>
      <c r="F1874" s="388">
        <f t="shared" si="486"/>
        <v>0</v>
      </c>
      <c r="J1874" s="341"/>
      <c r="L1874" s="380"/>
      <c r="M1874" s="381"/>
      <c r="N1874" s="342"/>
      <c r="R1874" s="341"/>
      <c r="S1874" s="341"/>
    </row>
    <row r="1875" spans="1:25" ht="12.75" customHeight="1">
      <c r="A1875" s="393"/>
      <c r="C1875" s="20"/>
      <c r="E1875" s="387"/>
      <c r="F1875" s="388">
        <f t="shared" si="486"/>
        <v>0</v>
      </c>
      <c r="J1875" s="341"/>
      <c r="L1875" s="380"/>
      <c r="M1875" s="381"/>
      <c r="N1875" s="342"/>
      <c r="R1875" s="341"/>
      <c r="S1875" s="341"/>
    </row>
    <row r="1876" spans="1:25" ht="12.75" customHeight="1">
      <c r="A1876" s="393"/>
      <c r="C1876" s="20"/>
      <c r="E1876" s="387"/>
      <c r="F1876" s="388">
        <f t="shared" si="486"/>
        <v>0</v>
      </c>
      <c r="J1876" s="341"/>
      <c r="L1876" s="380"/>
      <c r="M1876" s="381"/>
      <c r="N1876" s="342"/>
      <c r="R1876" s="341"/>
      <c r="S1876" s="341"/>
    </row>
    <row r="1877" spans="1:25" ht="12.75" customHeight="1">
      <c r="A1877" s="393"/>
      <c r="C1877" s="20"/>
      <c r="E1877" s="387"/>
      <c r="F1877" s="388">
        <f t="shared" si="486"/>
        <v>0</v>
      </c>
      <c r="J1877" s="341"/>
      <c r="L1877" s="380"/>
      <c r="M1877" s="381"/>
      <c r="N1877" s="342"/>
      <c r="R1877" s="341"/>
      <c r="S1877" s="341"/>
    </row>
    <row r="1878" spans="1:25" ht="12.75" customHeight="1">
      <c r="A1878" s="393"/>
      <c r="B1878" s="395" t="s">
        <v>226</v>
      </c>
      <c r="C1878" s="396"/>
      <c r="D1878" s="397"/>
      <c r="E1878" s="398"/>
      <c r="F1878" s="399">
        <f>SUM(F1871:F1877)</f>
        <v>0</v>
      </c>
      <c r="J1878" s="341"/>
      <c r="L1878" s="380"/>
      <c r="M1878" s="381"/>
      <c r="N1878" s="342"/>
      <c r="R1878" s="341"/>
      <c r="S1878" s="341"/>
    </row>
    <row r="1879" spans="1:25" ht="12.75" customHeight="1">
      <c r="A1879" s="393"/>
      <c r="B1879" s="400" t="s">
        <v>229</v>
      </c>
      <c r="C1879" s="2">
        <f>IX.A!$C$45</f>
        <v>0</v>
      </c>
      <c r="D1879" s="401"/>
      <c r="E1879" s="402"/>
      <c r="F1879" s="403">
        <f>ROUND(F1878*C1879,2)</f>
        <v>0</v>
      </c>
      <c r="J1879" s="341"/>
      <c r="L1879" s="380"/>
      <c r="M1879" s="381"/>
      <c r="N1879" s="342"/>
      <c r="R1879" s="341"/>
      <c r="S1879" s="341"/>
    </row>
    <row r="1880" spans="1:25" ht="12.75" customHeight="1">
      <c r="A1880" s="393"/>
      <c r="B1880" s="400" t="s">
        <v>53</v>
      </c>
      <c r="C1880" s="2">
        <f>$D$8</f>
        <v>0</v>
      </c>
      <c r="D1880" s="401"/>
      <c r="E1880" s="402"/>
      <c r="F1880" s="403">
        <f>ROUND(SUM(F1878:F1879)*C1880,2)</f>
        <v>0</v>
      </c>
      <c r="J1880" s="341"/>
      <c r="L1880" s="380"/>
      <c r="M1880" s="381"/>
      <c r="N1880" s="342"/>
      <c r="R1880" s="341"/>
      <c r="S1880" s="341"/>
    </row>
    <row r="1881" spans="1:25" ht="12.75" customHeight="1" thickBot="1">
      <c r="A1881" s="414"/>
      <c r="B1881" s="415" t="s">
        <v>230</v>
      </c>
      <c r="C1881" s="416"/>
      <c r="D1881" s="416"/>
      <c r="E1881" s="417"/>
      <c r="F1881" s="418">
        <f>SUM(F1878:F1880)</f>
        <v>0</v>
      </c>
      <c r="J1881" s="341"/>
      <c r="L1881" s="380"/>
      <c r="M1881" s="381"/>
      <c r="N1881" s="342"/>
      <c r="R1881" s="341"/>
      <c r="S1881" s="341"/>
    </row>
    <row r="1882" spans="1:25" ht="12.75" customHeight="1" thickBot="1">
      <c r="A1882" s="442"/>
      <c r="B1882" s="443"/>
      <c r="C1882" s="444"/>
      <c r="D1882" s="444"/>
      <c r="E1882" s="445"/>
      <c r="F1882" s="446"/>
      <c r="J1882" s="341"/>
      <c r="L1882" s="380"/>
      <c r="M1882" s="381"/>
      <c r="N1882" s="342"/>
      <c r="R1882" s="341"/>
      <c r="S1882" s="341"/>
    </row>
    <row r="1883" spans="1:25" ht="30" customHeight="1">
      <c r="A1883" s="370" t="str">
        <f>IV.A!$A$67</f>
        <v>3.3.6</v>
      </c>
      <c r="B1883" s="371" t="str">
        <f>IV.A!$B$67</f>
        <v>ALVENARIA EM BLOCO DE CONCRETO 19 X 19 X 39 CM</v>
      </c>
      <c r="C1883" s="871" t="s">
        <v>237</v>
      </c>
      <c r="D1883" s="872"/>
      <c r="E1883" s="372" t="str">
        <f>IV.A!$C$67</f>
        <v>M2</v>
      </c>
      <c r="F1883" s="11">
        <f>ROUND(F1903+F1917+F1929,2)</f>
        <v>0</v>
      </c>
      <c r="G1883" s="1">
        <f>VLOOKUP(A1883,IV.A!$A$16:$L$172,4,FALSE)</f>
        <v>50</v>
      </c>
      <c r="H1883" s="361">
        <f>SUM(F1885:F1900)+F1902</f>
        <v>0</v>
      </c>
      <c r="I1883" s="361">
        <f>SUM(F1905:F1914)+F1916</f>
        <v>0</v>
      </c>
      <c r="J1883" s="361">
        <f>SUM(F1919:F1925)+F1927+F1928</f>
        <v>0</v>
      </c>
      <c r="K1883" s="361">
        <f>SUM(H1883:J1883)</f>
        <v>0</v>
      </c>
      <c r="L1883" s="362" t="str">
        <f>IF(K1883=F1883,"SIM","NÃO")</f>
        <v>SIM</v>
      </c>
      <c r="M1883" s="373">
        <f>ROUND(SUM(F1885:F1900),2)+ROUND(SUM(F1885:F1900)*C1902,2)+ROUND(SUM(F1905:F1914)*C1916,2)+ROUND(SUM(F1905:F1914),2)+ROUND(SUM(F1919:F1925)*C1927,2)+ROUND((SUM(F1919:F1925)+ROUND(SUM(F1919:F1925)*C1927,2))*C1928,2)+ROUND(SUM(F1919:F1925),2)</f>
        <v>0</v>
      </c>
      <c r="N1883" s="343" t="str">
        <f>IF(M1883=F1883,"SIM","NÃO")</f>
        <v>SIM</v>
      </c>
      <c r="O1883" s="364" t="str">
        <f>VLOOKUP(A1883,IV.A!$A$16:$E$172,3,FALSE)</f>
        <v>M2</v>
      </c>
      <c r="P1883" s="344" t="str">
        <f>IF(O1883=E1883,"SIM","NÃO")</f>
        <v>SIM</v>
      </c>
      <c r="Q1883" s="365">
        <f>ROUND(G1883*F1903,2)+ROUND(G1883*F1917,2)+ROUND(G1883*F1929,2)</f>
        <v>0</v>
      </c>
      <c r="R1883" s="364">
        <f>VLOOKUP(A1883,IV.A!$A$16:$L$172,12,FALSE)</f>
        <v>0</v>
      </c>
      <c r="S1883" s="366" t="str">
        <f>IF(Q1883=R1883,"si","no")</f>
        <v>si</v>
      </c>
      <c r="T1883" s="367">
        <f>SUM(L1885:L1900)+SUM(L1905:L1914)+SUM(L1919:L1925)</f>
        <v>965.11779999999999</v>
      </c>
      <c r="U1883" s="341">
        <f>(SUM(C1885:C1900)+SUM(C1905:C1914)+SUM(C1919:C1925))*G1883</f>
        <v>965.11779999999999</v>
      </c>
      <c r="V1883" s="368" t="str">
        <f>IF(T1883=U1883,"si","no")</f>
        <v>si</v>
      </c>
      <c r="W1883" s="369">
        <f>SUM(F1885:F1900)</f>
        <v>0</v>
      </c>
      <c r="X1883" s="369">
        <f>SUM(F1905:F1914)</f>
        <v>0</v>
      </c>
      <c r="Y1883" s="369">
        <f>SUM(F1919:F1925)</f>
        <v>0</v>
      </c>
    </row>
    <row r="1884" spans="1:25" ht="12.75" customHeight="1">
      <c r="A1884" s="374" t="s">
        <v>14</v>
      </c>
      <c r="B1884" s="375" t="s">
        <v>132</v>
      </c>
      <c r="C1884" s="376" t="s">
        <v>231</v>
      </c>
      <c r="D1884" s="376" t="s">
        <v>232</v>
      </c>
      <c r="E1884" s="377" t="s">
        <v>233</v>
      </c>
      <c r="F1884" s="378" t="s">
        <v>234</v>
      </c>
      <c r="G1884" s="379"/>
      <c r="J1884" s="341"/>
      <c r="L1884" s="380"/>
      <c r="M1884" s="381"/>
      <c r="N1884" s="342"/>
      <c r="O1884" s="382"/>
      <c r="P1884" s="383"/>
      <c r="Q1884" s="383"/>
      <c r="R1884" s="383"/>
      <c r="S1884" s="383"/>
      <c r="T1884" s="382"/>
      <c r="U1884" s="341"/>
      <c r="V1884" s="384"/>
      <c r="W1884" s="384"/>
      <c r="X1884" s="384"/>
      <c r="Y1884" s="384"/>
    </row>
    <row r="1885" spans="1:25" ht="12.75" customHeight="1">
      <c r="A1885" s="385" t="str">
        <f>VII.A!$A$19</f>
        <v>1.10</v>
      </c>
      <c r="B1885" s="394" t="str">
        <f>VLOOKUP(A1885,VII.A!$A$10:$G$199,2,FALSE)</f>
        <v>AREIA MÉDIA LAVADA</v>
      </c>
      <c r="C1885" s="20">
        <v>1.17E-2</v>
      </c>
      <c r="D1885" s="342" t="str">
        <f>VLOOKUP(A1885,VII.A!$A$10:$G$199,3,FALSE)</f>
        <v>M3</v>
      </c>
      <c r="E1885" s="387">
        <f>VII.A!$D$19</f>
        <v>0</v>
      </c>
      <c r="F1885" s="388">
        <f>ROUND(C1885*E1885,2)</f>
        <v>0</v>
      </c>
      <c r="H1885" s="341">
        <f>IF(A1885="","",VLOOKUP(A1885,VII.A!$A$10:$D$199,4,FALSE))</f>
        <v>0</v>
      </c>
      <c r="I1885" s="341" t="str">
        <f t="shared" ref="I1885" si="491">IF(A1885="","",IF(E1885=H1885,"SIM","NÃO"))</f>
        <v>SIM</v>
      </c>
      <c r="J1885" s="341" t="str">
        <f>IF(A1885="","",VLOOKUP(A1885,VII.A!$A$10:$D$199,3,FALSE))</f>
        <v>M3</v>
      </c>
      <c r="K1885" s="342" t="str">
        <f t="shared" ref="K1885" si="492">IF(A1885="","",IF(J1885=D1885,"SIM","NÃO"))</f>
        <v>SIM</v>
      </c>
      <c r="L1885" s="380">
        <f>IF(C1885="","",$G$1883*C1885)</f>
        <v>0.58499999999999996</v>
      </c>
      <c r="M1885" s="381" t="str">
        <f>IF(A1885="","",VLOOKUP(A1885,VII.A!$A$10:$B$199,2,FALSE))</f>
        <v>AREIA MÉDIA LAVADA</v>
      </c>
      <c r="N1885" s="342" t="str">
        <f t="shared" ref="N1885" si="493">IF(B1885="","",IF(M1885=B1885,"si","no"))</f>
        <v>si</v>
      </c>
      <c r="R1885" s="341"/>
      <c r="S1885" s="341"/>
    </row>
    <row r="1886" spans="1:25" ht="12.75" customHeight="1">
      <c r="A1886" s="447" t="str">
        <f>VII.A!$A$128</f>
        <v>1.118</v>
      </c>
      <c r="B1886" s="394" t="str">
        <f>VLOOKUP(A1886,VII.A!$A$10:$G$199,2,FALSE)</f>
        <v>BLOCO DE CONCRETO ESTRUTURAL 19 x 19 x 39 CM - CLASSE A NBR 6136</v>
      </c>
      <c r="C1886" s="20">
        <v>13.6</v>
      </c>
      <c r="D1886" s="342" t="str">
        <f>VLOOKUP(A1886,VII.A!$A$10:$G$199,3,FALSE)</f>
        <v>UN</v>
      </c>
      <c r="E1886" s="387">
        <f>VLOOKUP(A1886,VII.A!$A$10:$G$199,4,FALSE)</f>
        <v>0</v>
      </c>
      <c r="F1886" s="388">
        <f t="shared" ref="F1886:F1900" si="494">ROUND(C1886*E1886,2)</f>
        <v>0</v>
      </c>
      <c r="H1886" s="341">
        <f>IF(A1886="","",VLOOKUP(A1886,VII.A!$A$10:$D$199,4,FALSE))</f>
        <v>0</v>
      </c>
      <c r="I1886" s="341" t="str">
        <f t="shared" ref="I1886:I1889" si="495">IF(A1886="","",IF(E1886=H1886,"SIM","NÃO"))</f>
        <v>SIM</v>
      </c>
      <c r="J1886" s="341" t="str">
        <f>IF(A1886="","",VLOOKUP(A1886,VII.A!$A$10:$D$199,3,FALSE))</f>
        <v>UN</v>
      </c>
      <c r="K1886" s="342" t="str">
        <f t="shared" ref="K1886:K1889" si="496">IF(A1886="","",IF(J1886=D1886,"SIM","NÃO"))</f>
        <v>SIM</v>
      </c>
      <c r="L1886" s="380">
        <f t="shared" ref="L1886:L1888" si="497">IF(C1886="","",$G$1883*C1886)</f>
        <v>680</v>
      </c>
      <c r="M1886" s="381" t="str">
        <f>IF(A1886="","",VLOOKUP(A1886,VII.A!$A$10:$B$199,2,FALSE))</f>
        <v>BLOCO DE CONCRETO ESTRUTURAL 19 x 19 x 39 CM - CLASSE A NBR 6136</v>
      </c>
      <c r="N1886" s="342" t="str">
        <f t="shared" ref="N1886:N1889" si="498">IF(B1886="","",IF(M1886=B1886,"si","no"))</f>
        <v>si</v>
      </c>
      <c r="R1886" s="341"/>
      <c r="S1886" s="341"/>
    </row>
    <row r="1887" spans="1:25" ht="12.75" customHeight="1">
      <c r="A1887" s="385" t="str">
        <f>VII.A!$A$29</f>
        <v>1.20</v>
      </c>
      <c r="B1887" s="394" t="str">
        <f>VLOOKUP(A1887,VII.A!$A$10:$G$199,2,FALSE)</f>
        <v>CAL HIDRATADA CH III - NBR 7175</v>
      </c>
      <c r="C1887" s="20">
        <v>1.7625999999999999</v>
      </c>
      <c r="D1887" s="342" t="str">
        <f>VLOOKUP(A1887,VII.A!$A$10:$G$199,3,FALSE)</f>
        <v>KG</v>
      </c>
      <c r="E1887" s="387">
        <f>VII.A!$D$29</f>
        <v>0</v>
      </c>
      <c r="F1887" s="388">
        <f t="shared" si="494"/>
        <v>0</v>
      </c>
      <c r="H1887" s="341">
        <f>IF(A1887="","",VLOOKUP(A1887,VII.A!$A$10:$D$199,4,FALSE))</f>
        <v>0</v>
      </c>
      <c r="I1887" s="341" t="str">
        <f t="shared" si="495"/>
        <v>SIM</v>
      </c>
      <c r="J1887" s="341" t="str">
        <f>IF(A1887="","",VLOOKUP(A1887,VII.A!$A$10:$D$199,3,FALSE))</f>
        <v>KG</v>
      </c>
      <c r="K1887" s="342" t="str">
        <f t="shared" si="496"/>
        <v>SIM</v>
      </c>
      <c r="L1887" s="380">
        <f t="shared" si="497"/>
        <v>88.13</v>
      </c>
      <c r="M1887" s="381" t="str">
        <f>IF(A1887="","",VLOOKUP(A1887,VII.A!$A$10:$B$199,2,FALSE))</f>
        <v>CAL HIDRATADA CH III - NBR 7175</v>
      </c>
      <c r="N1887" s="342" t="str">
        <f t="shared" si="498"/>
        <v>si</v>
      </c>
      <c r="R1887" s="341"/>
      <c r="S1887" s="341"/>
    </row>
    <row r="1888" spans="1:25" ht="12.75" customHeight="1">
      <c r="A1888" s="385" t="str">
        <f>VII.A!$A$38</f>
        <v>1.29</v>
      </c>
      <c r="B1888" s="394" t="str">
        <f>VLOOKUP(A1888,VII.A!$A$10:$G$199,2,FALSE)</f>
        <v>CIMENTO PORTLAND CP II-E-32</v>
      </c>
      <c r="C1888" s="20">
        <v>1.9830000000000001</v>
      </c>
      <c r="D1888" s="342" t="str">
        <f>VLOOKUP(A1888,VII.A!$A$10:$G$199,3,FALSE)</f>
        <v>KG</v>
      </c>
      <c r="E1888" s="387">
        <f>VII.A!$D$38</f>
        <v>0</v>
      </c>
      <c r="F1888" s="388">
        <f t="shared" si="494"/>
        <v>0</v>
      </c>
      <c r="H1888" s="341">
        <f>IF(A1888="","",VLOOKUP(A1888,VII.A!$A$10:$D$199,4,FALSE))</f>
        <v>0</v>
      </c>
      <c r="I1888" s="341" t="str">
        <f t="shared" si="495"/>
        <v>SIM</v>
      </c>
      <c r="J1888" s="341" t="str">
        <f>IF(A1888="","",VLOOKUP(A1888,VII.A!$A$10:$D$199,3,FALSE))</f>
        <v>KG</v>
      </c>
      <c r="K1888" s="342" t="str">
        <f t="shared" si="496"/>
        <v>SIM</v>
      </c>
      <c r="L1888" s="380">
        <f t="shared" si="497"/>
        <v>99.15</v>
      </c>
      <c r="M1888" s="381" t="str">
        <f>IF(A1888="","",VLOOKUP(A1888,VII.A!$A$10:$B$199,2,FALSE))</f>
        <v>CIMENTO PORTLAND CP II-E-32</v>
      </c>
      <c r="N1888" s="342" t="str">
        <f t="shared" si="498"/>
        <v>si</v>
      </c>
      <c r="R1888" s="341"/>
      <c r="S1888" s="341"/>
    </row>
    <row r="1889" spans="1:19" ht="12.75" customHeight="1">
      <c r="A1889" s="385" t="str">
        <f>VII.A!$A$104</f>
        <v>1.94</v>
      </c>
      <c r="B1889" s="394" t="str">
        <f>VLOOKUP(A1889,VII.A!$A$10:$G$199,2,FALSE)</f>
        <v>TELA DE AÇO SOLDADA GALVANIZADA/ZINCADA PARA ALVENARIA, FIO D = 1,20 A 1,70 MM, MALHA 15 X 15 MM, (C X L) 50 X 7,5CM</v>
      </c>
      <c r="C1889" s="20">
        <v>0.42</v>
      </c>
      <c r="D1889" s="342" t="str">
        <f>VLOOKUP(A1889,VII.A!$A$10:$G$199,3,FALSE)</f>
        <v>M</v>
      </c>
      <c r="E1889" s="387">
        <f>VII.A!D104</f>
        <v>0</v>
      </c>
      <c r="F1889" s="388">
        <f t="shared" si="494"/>
        <v>0</v>
      </c>
      <c r="H1889" s="341">
        <f>IF(A1889="","",VLOOKUP(A1889,VII.A!$A$10:$D$199,4,FALSE))</f>
        <v>0</v>
      </c>
      <c r="I1889" s="341" t="str">
        <f t="shared" si="495"/>
        <v>SIM</v>
      </c>
      <c r="J1889" s="341" t="str">
        <f>IF(A1889="","",VLOOKUP(A1889,VII.A!$A$10:$D$199,3,FALSE))</f>
        <v>M</v>
      </c>
      <c r="K1889" s="342" t="str">
        <f t="shared" si="496"/>
        <v>SIM</v>
      </c>
      <c r="L1889" s="380">
        <f>IF(C1889="","",$G$1883*C1889)</f>
        <v>21</v>
      </c>
      <c r="M1889" s="381" t="str">
        <f>IF(A1889="","",VLOOKUP(A1889,VII.A!$A$10:$B$199,2,FALSE))</f>
        <v>TELA DE AÇO SOLDADA GALVANIZADA/ZINCADA PARA ALVENARIA, FIO D = 1,20 A 1,70 MM, MALHA 15 X 15 MM, (C X L) 50 X 7,5CM</v>
      </c>
      <c r="N1889" s="342" t="str">
        <f t="shared" si="498"/>
        <v>si</v>
      </c>
      <c r="R1889" s="341"/>
      <c r="S1889" s="341"/>
    </row>
    <row r="1890" spans="1:19" ht="12.75" customHeight="1">
      <c r="A1890" s="385"/>
      <c r="B1890" s="386"/>
      <c r="C1890" s="20"/>
      <c r="D1890" s="342"/>
      <c r="E1890" s="387"/>
      <c r="F1890" s="388">
        <f t="shared" si="494"/>
        <v>0</v>
      </c>
      <c r="J1890" s="341"/>
      <c r="L1890" s="380"/>
      <c r="M1890" s="381"/>
      <c r="N1890" s="342"/>
      <c r="R1890" s="341"/>
      <c r="S1890" s="341"/>
    </row>
    <row r="1891" spans="1:19" ht="12.75" customHeight="1">
      <c r="A1891" s="385"/>
      <c r="B1891" s="386"/>
      <c r="C1891" s="20"/>
      <c r="D1891" s="342"/>
      <c r="E1891" s="387"/>
      <c r="F1891" s="388">
        <f t="shared" si="494"/>
        <v>0</v>
      </c>
      <c r="J1891" s="341"/>
      <c r="L1891" s="380"/>
      <c r="M1891" s="381"/>
      <c r="N1891" s="342"/>
      <c r="R1891" s="341"/>
      <c r="S1891" s="341"/>
    </row>
    <row r="1892" spans="1:19" ht="12.75" customHeight="1">
      <c r="A1892" s="385"/>
      <c r="B1892" s="386"/>
      <c r="C1892" s="20"/>
      <c r="D1892" s="342"/>
      <c r="E1892" s="387"/>
      <c r="F1892" s="388">
        <f t="shared" si="494"/>
        <v>0</v>
      </c>
      <c r="J1892" s="341"/>
      <c r="L1892" s="380"/>
      <c r="M1892" s="381"/>
      <c r="N1892" s="342"/>
      <c r="R1892" s="341"/>
      <c r="S1892" s="341"/>
    </row>
    <row r="1893" spans="1:19" ht="12.75" customHeight="1">
      <c r="A1893" s="385"/>
      <c r="B1893" s="386"/>
      <c r="C1893" s="20"/>
      <c r="D1893" s="342"/>
      <c r="E1893" s="387"/>
      <c r="F1893" s="388">
        <f t="shared" si="494"/>
        <v>0</v>
      </c>
      <c r="J1893" s="341"/>
      <c r="L1893" s="380"/>
      <c r="M1893" s="381"/>
      <c r="N1893" s="342"/>
      <c r="R1893" s="341"/>
      <c r="S1893" s="341"/>
    </row>
    <row r="1894" spans="1:19" ht="12.75" customHeight="1">
      <c r="A1894" s="385"/>
      <c r="B1894" s="386"/>
      <c r="C1894" s="20"/>
      <c r="D1894" s="342"/>
      <c r="E1894" s="387"/>
      <c r="F1894" s="388">
        <f t="shared" si="494"/>
        <v>0</v>
      </c>
      <c r="J1894" s="341"/>
      <c r="L1894" s="380"/>
      <c r="M1894" s="381"/>
      <c r="N1894" s="342"/>
      <c r="R1894" s="341"/>
      <c r="S1894" s="341"/>
    </row>
    <row r="1895" spans="1:19" ht="12.75" customHeight="1">
      <c r="A1895" s="385"/>
      <c r="B1895" s="386"/>
      <c r="C1895" s="20"/>
      <c r="D1895" s="342"/>
      <c r="E1895" s="387"/>
      <c r="F1895" s="388">
        <f t="shared" si="494"/>
        <v>0</v>
      </c>
      <c r="J1895" s="341"/>
      <c r="L1895" s="380"/>
      <c r="M1895" s="381"/>
      <c r="N1895" s="342"/>
      <c r="R1895" s="341"/>
      <c r="S1895" s="341"/>
    </row>
    <row r="1896" spans="1:19" ht="12.75" customHeight="1">
      <c r="A1896" s="385"/>
      <c r="B1896" s="386"/>
      <c r="C1896" s="20"/>
      <c r="D1896" s="392"/>
      <c r="E1896" s="387"/>
      <c r="F1896" s="388">
        <f t="shared" si="494"/>
        <v>0</v>
      </c>
      <c r="J1896" s="341"/>
      <c r="L1896" s="380"/>
      <c r="M1896" s="381"/>
      <c r="N1896" s="342"/>
      <c r="R1896" s="341"/>
      <c r="S1896" s="341"/>
    </row>
    <row r="1897" spans="1:19" ht="12.75" customHeight="1">
      <c r="A1897" s="385"/>
      <c r="B1897" s="386"/>
      <c r="C1897" s="20"/>
      <c r="D1897" s="392"/>
      <c r="E1897" s="387"/>
      <c r="F1897" s="388">
        <f t="shared" si="494"/>
        <v>0</v>
      </c>
      <c r="J1897" s="341"/>
      <c r="L1897" s="380"/>
      <c r="M1897" s="381"/>
      <c r="N1897" s="342"/>
      <c r="R1897" s="341"/>
      <c r="S1897" s="341"/>
    </row>
    <row r="1898" spans="1:19" ht="12.75" customHeight="1">
      <c r="A1898" s="385"/>
      <c r="B1898" s="386"/>
      <c r="C1898" s="20"/>
      <c r="D1898" s="392"/>
      <c r="E1898" s="387"/>
      <c r="F1898" s="388">
        <f t="shared" si="494"/>
        <v>0</v>
      </c>
      <c r="J1898" s="341"/>
      <c r="L1898" s="380"/>
      <c r="M1898" s="381"/>
      <c r="N1898" s="342"/>
      <c r="R1898" s="341"/>
      <c r="S1898" s="341"/>
    </row>
    <row r="1899" spans="1:19" ht="12.75" customHeight="1">
      <c r="A1899" s="393"/>
      <c r="C1899" s="20"/>
      <c r="E1899" s="387"/>
      <c r="F1899" s="388">
        <f t="shared" si="494"/>
        <v>0</v>
      </c>
      <c r="J1899" s="341"/>
      <c r="L1899" s="380"/>
      <c r="M1899" s="381"/>
      <c r="N1899" s="342"/>
      <c r="R1899" s="341"/>
      <c r="S1899" s="341"/>
    </row>
    <row r="1900" spans="1:19" ht="12.75" customHeight="1">
      <c r="A1900" s="393"/>
      <c r="C1900" s="20"/>
      <c r="E1900" s="387"/>
      <c r="F1900" s="388">
        <f t="shared" si="494"/>
        <v>0</v>
      </c>
      <c r="J1900" s="341"/>
      <c r="L1900" s="380"/>
      <c r="M1900" s="381"/>
      <c r="N1900" s="342"/>
      <c r="R1900" s="341"/>
      <c r="S1900" s="341"/>
    </row>
    <row r="1901" spans="1:19" ht="12.75" customHeight="1">
      <c r="A1901" s="393"/>
      <c r="B1901" s="395" t="s">
        <v>226</v>
      </c>
      <c r="C1901" s="396"/>
      <c r="D1901" s="397"/>
      <c r="E1901" s="398"/>
      <c r="F1901" s="399">
        <f>SUM(F1885:F1900)</f>
        <v>0</v>
      </c>
      <c r="J1901" s="341"/>
      <c r="L1901" s="380"/>
      <c r="M1901" s="381"/>
      <c r="N1901" s="342"/>
      <c r="R1901" s="341"/>
      <c r="S1901" s="341"/>
    </row>
    <row r="1902" spans="1:19" ht="12.75" customHeight="1">
      <c r="A1902" s="393"/>
      <c r="B1902" s="400" t="s">
        <v>53</v>
      </c>
      <c r="C1902" s="2">
        <f>$D$8</f>
        <v>0</v>
      </c>
      <c r="D1902" s="401"/>
      <c r="E1902" s="402"/>
      <c r="F1902" s="403">
        <f>ROUND(F1901*C1902,2)</f>
        <v>0</v>
      </c>
      <c r="J1902" s="341"/>
      <c r="L1902" s="380"/>
      <c r="M1902" s="381"/>
      <c r="N1902" s="342"/>
      <c r="R1902" s="341"/>
      <c r="S1902" s="341"/>
    </row>
    <row r="1903" spans="1:19" ht="12.75" customHeight="1">
      <c r="A1903" s="404"/>
      <c r="B1903" s="405" t="s">
        <v>227</v>
      </c>
      <c r="C1903" s="406"/>
      <c r="D1903" s="406"/>
      <c r="E1903" s="407"/>
      <c r="F1903" s="408">
        <f>F1901+F1902</f>
        <v>0</v>
      </c>
      <c r="J1903" s="341"/>
      <c r="L1903" s="380"/>
      <c r="M1903" s="381"/>
      <c r="N1903" s="342"/>
      <c r="R1903" s="341"/>
      <c r="S1903" s="341"/>
    </row>
    <row r="1904" spans="1:19" ht="12.75" customHeight="1">
      <c r="A1904" s="374" t="s">
        <v>2</v>
      </c>
      <c r="B1904" s="375" t="s">
        <v>235</v>
      </c>
      <c r="C1904" s="376" t="s">
        <v>231</v>
      </c>
      <c r="D1904" s="376" t="s">
        <v>232</v>
      </c>
      <c r="E1904" s="377" t="s">
        <v>233</v>
      </c>
      <c r="F1904" s="378" t="s">
        <v>234</v>
      </c>
      <c r="J1904" s="341"/>
      <c r="L1904" s="380"/>
      <c r="M1904" s="381"/>
      <c r="N1904" s="342"/>
      <c r="R1904" s="341"/>
      <c r="S1904" s="341"/>
    </row>
    <row r="1905" spans="1:19" ht="12.75" customHeight="1">
      <c r="A1905" s="393"/>
      <c r="C1905" s="20"/>
      <c r="E1905" s="387"/>
      <c r="F1905" s="388">
        <f t="shared" ref="F1905:F1914" si="499">ROUND(C1905*E1905,2)</f>
        <v>0</v>
      </c>
      <c r="H1905" s="341" t="str">
        <f>IF(A1905="","",VLOOKUP(A1905,VII.A!$A$10:$D$199,4,FALSE))</f>
        <v/>
      </c>
      <c r="I1905" s="341" t="str">
        <f t="shared" ref="I1905" si="500">IF(A1905="","",IF(E1905=H1905,"SIM","NÃO"))</f>
        <v/>
      </c>
      <c r="J1905" s="341" t="str">
        <f>IF(A1905="","",VLOOKUP(A1905,VII.A!$A$10:$D$199,3,FALSE))</f>
        <v/>
      </c>
      <c r="K1905" s="342" t="str">
        <f t="shared" ref="K1905" si="501">IF(A1905="","",IF(J1905=D1905,"SIM","NÃO"))</f>
        <v/>
      </c>
      <c r="L1905" s="380" t="str">
        <f>IF(C1905="","",$G$1883*C1905)</f>
        <v/>
      </c>
      <c r="M1905" s="381" t="str">
        <f>IF(A1905="","",VLOOKUP(A1905,VII.A!$A$10:$B$199,2,FALSE))</f>
        <v/>
      </c>
      <c r="N1905" s="342" t="str">
        <f t="shared" ref="N1905" si="502">IF(B1905="","",IF(M1905=B1905,"si","no"))</f>
        <v/>
      </c>
      <c r="R1905" s="341"/>
      <c r="S1905" s="341"/>
    </row>
    <row r="1906" spans="1:19" ht="12.75" customHeight="1">
      <c r="A1906" s="393"/>
      <c r="C1906" s="20"/>
      <c r="E1906" s="387"/>
      <c r="F1906" s="388">
        <f t="shared" si="499"/>
        <v>0</v>
      </c>
      <c r="H1906" s="341" t="str">
        <f>IF(A1906="","",VLOOKUP(A1906,VII.A!$A$10:$D$199,4,FALSE))</f>
        <v/>
      </c>
      <c r="I1906" s="341" t="str">
        <f t="shared" ref="I1906:I1914" si="503">IF(A1906="","",IF(E1906=H1906,"SIM","NÃO"))</f>
        <v/>
      </c>
      <c r="J1906" s="341" t="str">
        <f>IF(A1906="","",VLOOKUP(A1906,VII.A!$A$10:$D$199,3,FALSE))</f>
        <v/>
      </c>
      <c r="K1906" s="342" t="str">
        <f t="shared" ref="K1906:K1914" si="504">IF(A1906="","",IF(J1906=D1906,"SIM","NÃO"))</f>
        <v/>
      </c>
      <c r="L1906" s="380" t="str">
        <f t="shared" ref="L1906:L1914" si="505">IF(C1906="","",$G$1883*C1906)</f>
        <v/>
      </c>
      <c r="M1906" s="381" t="str">
        <f>IF(A1906="","",VLOOKUP(A1906,VII.A!$A$10:$B$199,2,FALSE))</f>
        <v/>
      </c>
      <c r="N1906" s="342" t="str">
        <f t="shared" ref="N1906:N1914" si="506">IF(B1906="","",IF(M1906=B1906,"si","no"))</f>
        <v/>
      </c>
      <c r="R1906" s="341"/>
      <c r="S1906" s="341"/>
    </row>
    <row r="1907" spans="1:19" ht="12.75" customHeight="1">
      <c r="A1907" s="393"/>
      <c r="C1907" s="20"/>
      <c r="E1907" s="387"/>
      <c r="F1907" s="388">
        <f t="shared" si="499"/>
        <v>0</v>
      </c>
      <c r="H1907" s="341" t="str">
        <f>IF(A1907="","",VLOOKUP(A1907,VII.A!$A$10:$D$199,4,FALSE))</f>
        <v/>
      </c>
      <c r="I1907" s="341" t="str">
        <f t="shared" si="503"/>
        <v/>
      </c>
      <c r="J1907" s="341" t="str">
        <f>IF(A1907="","",VLOOKUP(A1907,VII.A!$A$10:$D$199,3,FALSE))</f>
        <v/>
      </c>
      <c r="K1907" s="342" t="str">
        <f t="shared" si="504"/>
        <v/>
      </c>
      <c r="L1907" s="380" t="str">
        <f t="shared" si="505"/>
        <v/>
      </c>
      <c r="M1907" s="381" t="str">
        <f>IF(A1907="","",VLOOKUP(A1907,VII.A!$A$10:$B$199,2,FALSE))</f>
        <v/>
      </c>
      <c r="N1907" s="342" t="str">
        <f t="shared" si="506"/>
        <v/>
      </c>
      <c r="R1907" s="341"/>
      <c r="S1907" s="341"/>
    </row>
    <row r="1908" spans="1:19" ht="12.75" customHeight="1">
      <c r="A1908" s="393"/>
      <c r="C1908" s="20"/>
      <c r="E1908" s="387"/>
      <c r="F1908" s="388">
        <f t="shared" si="499"/>
        <v>0</v>
      </c>
      <c r="H1908" s="341" t="str">
        <f>IF(A1908="","",VLOOKUP(A1908,VII.A!$A$10:$D$199,4,FALSE))</f>
        <v/>
      </c>
      <c r="I1908" s="341" t="str">
        <f t="shared" si="503"/>
        <v/>
      </c>
      <c r="J1908" s="341" t="str">
        <f>IF(A1908="","",VLOOKUP(A1908,VII.A!$A$10:$D$199,3,FALSE))</f>
        <v/>
      </c>
      <c r="K1908" s="342" t="str">
        <f t="shared" si="504"/>
        <v/>
      </c>
      <c r="L1908" s="380" t="str">
        <f t="shared" si="505"/>
        <v/>
      </c>
      <c r="M1908" s="381" t="str">
        <f>IF(A1908="","",VLOOKUP(A1908,VII.A!$A$10:$B$199,2,FALSE))</f>
        <v/>
      </c>
      <c r="N1908" s="342" t="str">
        <f t="shared" si="506"/>
        <v/>
      </c>
      <c r="R1908" s="341"/>
      <c r="S1908" s="341"/>
    </row>
    <row r="1909" spans="1:19" ht="12.75" customHeight="1">
      <c r="A1909" s="393"/>
      <c r="C1909" s="20"/>
      <c r="E1909" s="387"/>
      <c r="F1909" s="388">
        <f t="shared" si="499"/>
        <v>0</v>
      </c>
      <c r="H1909" s="341" t="str">
        <f>IF(A1909="","",VLOOKUP(A1909,VII.A!$A$10:$D$199,4,FALSE))</f>
        <v/>
      </c>
      <c r="I1909" s="341" t="str">
        <f t="shared" si="503"/>
        <v/>
      </c>
      <c r="J1909" s="341" t="str">
        <f>IF(A1909="","",VLOOKUP(A1909,VII.A!$A$10:$D$199,3,FALSE))</f>
        <v/>
      </c>
      <c r="K1909" s="342" t="str">
        <f t="shared" si="504"/>
        <v/>
      </c>
      <c r="L1909" s="380" t="str">
        <f t="shared" si="505"/>
        <v/>
      </c>
      <c r="M1909" s="381" t="str">
        <f>IF(A1909="","",VLOOKUP(A1909,VII.A!$A$10:$B$199,2,FALSE))</f>
        <v/>
      </c>
      <c r="N1909" s="342" t="str">
        <f t="shared" si="506"/>
        <v/>
      </c>
      <c r="R1909" s="341"/>
      <c r="S1909" s="341"/>
    </row>
    <row r="1910" spans="1:19" ht="12.75" customHeight="1">
      <c r="A1910" s="393"/>
      <c r="C1910" s="20"/>
      <c r="E1910" s="387"/>
      <c r="F1910" s="388">
        <f t="shared" si="499"/>
        <v>0</v>
      </c>
      <c r="H1910" s="341" t="str">
        <f>IF(A1910="","",VLOOKUP(A1910,VII.A!$A$10:$D$199,4,FALSE))</f>
        <v/>
      </c>
      <c r="I1910" s="341" t="str">
        <f t="shared" si="503"/>
        <v/>
      </c>
      <c r="J1910" s="341" t="str">
        <f>IF(A1910="","",VLOOKUP(A1910,VII.A!$A$10:$D$199,3,FALSE))</f>
        <v/>
      </c>
      <c r="K1910" s="342" t="str">
        <f t="shared" si="504"/>
        <v/>
      </c>
      <c r="L1910" s="380" t="str">
        <f t="shared" si="505"/>
        <v/>
      </c>
      <c r="M1910" s="381" t="str">
        <f>IF(A1910="","",VLOOKUP(A1910,VII.A!$A$10:$B$199,2,FALSE))</f>
        <v/>
      </c>
      <c r="N1910" s="342" t="str">
        <f t="shared" si="506"/>
        <v/>
      </c>
      <c r="R1910" s="341"/>
      <c r="S1910" s="341"/>
    </row>
    <row r="1911" spans="1:19" ht="12.75" customHeight="1">
      <c r="A1911" s="393"/>
      <c r="C1911" s="20"/>
      <c r="E1911" s="387"/>
      <c r="F1911" s="388">
        <f t="shared" si="499"/>
        <v>0</v>
      </c>
      <c r="H1911" s="341" t="str">
        <f>IF(A1911="","",VLOOKUP(A1911,VII.A!$A$10:$D$199,4,FALSE))</f>
        <v/>
      </c>
      <c r="I1911" s="341" t="str">
        <f t="shared" si="503"/>
        <v/>
      </c>
      <c r="J1911" s="341" t="str">
        <f>IF(A1911="","",VLOOKUP(A1911,VII.A!$A$10:$D$199,3,FALSE))</f>
        <v/>
      </c>
      <c r="K1911" s="342" t="str">
        <f t="shared" si="504"/>
        <v/>
      </c>
      <c r="L1911" s="380" t="str">
        <f t="shared" si="505"/>
        <v/>
      </c>
      <c r="M1911" s="381" t="str">
        <f>IF(A1911="","",VLOOKUP(A1911,VII.A!$A$10:$B$199,2,FALSE))</f>
        <v/>
      </c>
      <c r="N1911" s="342" t="str">
        <f t="shared" si="506"/>
        <v/>
      </c>
      <c r="R1911" s="341"/>
      <c r="S1911" s="341"/>
    </row>
    <row r="1912" spans="1:19" ht="12.75" customHeight="1">
      <c r="A1912" s="393"/>
      <c r="C1912" s="20"/>
      <c r="E1912" s="387"/>
      <c r="F1912" s="388">
        <f t="shared" si="499"/>
        <v>0</v>
      </c>
      <c r="H1912" s="341" t="str">
        <f>IF(A1912="","",VLOOKUP(A1912,VII.A!$A$10:$D$199,4,FALSE))</f>
        <v/>
      </c>
      <c r="I1912" s="341" t="str">
        <f t="shared" si="503"/>
        <v/>
      </c>
      <c r="J1912" s="341" t="str">
        <f>IF(A1912="","",VLOOKUP(A1912,VII.A!$A$10:$D$199,3,FALSE))</f>
        <v/>
      </c>
      <c r="K1912" s="342" t="str">
        <f t="shared" si="504"/>
        <v/>
      </c>
      <c r="L1912" s="380" t="str">
        <f t="shared" si="505"/>
        <v/>
      </c>
      <c r="M1912" s="381" t="str">
        <f>IF(A1912="","",VLOOKUP(A1912,VII.A!$A$10:$B$199,2,FALSE))</f>
        <v/>
      </c>
      <c r="N1912" s="342" t="str">
        <f t="shared" si="506"/>
        <v/>
      </c>
      <c r="R1912" s="341"/>
      <c r="S1912" s="341"/>
    </row>
    <row r="1913" spans="1:19" ht="12.75" customHeight="1">
      <c r="A1913" s="393"/>
      <c r="C1913" s="20"/>
      <c r="E1913" s="387"/>
      <c r="F1913" s="388">
        <f t="shared" si="499"/>
        <v>0</v>
      </c>
      <c r="H1913" s="341" t="str">
        <f>IF(A1913="","",VLOOKUP(A1913,VII.A!$A$10:$D$199,4,FALSE))</f>
        <v/>
      </c>
      <c r="I1913" s="341" t="str">
        <f t="shared" si="503"/>
        <v/>
      </c>
      <c r="J1913" s="341" t="str">
        <f>IF(A1913="","",VLOOKUP(A1913,VII.A!$A$10:$D$199,3,FALSE))</f>
        <v/>
      </c>
      <c r="K1913" s="342" t="str">
        <f t="shared" si="504"/>
        <v/>
      </c>
      <c r="L1913" s="380" t="str">
        <f t="shared" si="505"/>
        <v/>
      </c>
      <c r="M1913" s="381" t="str">
        <f>IF(A1913="","",VLOOKUP(A1913,VII.A!$A$10:$B$199,2,FALSE))</f>
        <v/>
      </c>
      <c r="N1913" s="342" t="str">
        <f t="shared" si="506"/>
        <v/>
      </c>
      <c r="R1913" s="341"/>
      <c r="S1913" s="341"/>
    </row>
    <row r="1914" spans="1:19" ht="12.75" customHeight="1">
      <c r="A1914" s="393"/>
      <c r="C1914" s="20"/>
      <c r="E1914" s="387"/>
      <c r="F1914" s="388">
        <f t="shared" si="499"/>
        <v>0</v>
      </c>
      <c r="H1914" s="341" t="str">
        <f>IF(A1914="","",VLOOKUP(A1914,VII.A!$A$10:$D$199,4,FALSE))</f>
        <v/>
      </c>
      <c r="I1914" s="341" t="str">
        <f t="shared" si="503"/>
        <v/>
      </c>
      <c r="J1914" s="341" t="str">
        <f>IF(A1914="","",VLOOKUP(A1914,VII.A!$A$10:$D$199,3,FALSE))</f>
        <v/>
      </c>
      <c r="K1914" s="342" t="str">
        <f t="shared" si="504"/>
        <v/>
      </c>
      <c r="L1914" s="380" t="str">
        <f t="shared" si="505"/>
        <v/>
      </c>
      <c r="M1914" s="381" t="str">
        <f>IF(A1914="","",VLOOKUP(A1914,VII.A!$A$10:$B$199,2,FALSE))</f>
        <v/>
      </c>
      <c r="N1914" s="342" t="str">
        <f t="shared" si="506"/>
        <v/>
      </c>
      <c r="R1914" s="341"/>
      <c r="S1914" s="341"/>
    </row>
    <row r="1915" spans="1:19" ht="12.75" customHeight="1">
      <c r="A1915" s="393"/>
      <c r="B1915" s="395" t="s">
        <v>226</v>
      </c>
      <c r="C1915" s="396"/>
      <c r="D1915" s="397"/>
      <c r="E1915" s="398"/>
      <c r="F1915" s="399">
        <f>SUM(F1905:F1914)</f>
        <v>0</v>
      </c>
      <c r="J1915" s="341"/>
      <c r="L1915" s="380"/>
      <c r="M1915" s="381"/>
      <c r="N1915" s="342"/>
      <c r="R1915" s="341"/>
      <c r="S1915" s="341"/>
    </row>
    <row r="1916" spans="1:19" ht="12.75" customHeight="1">
      <c r="A1916" s="393"/>
      <c r="B1916" s="400" t="s">
        <v>53</v>
      </c>
      <c r="C1916" s="2">
        <f>$D$8</f>
        <v>0</v>
      </c>
      <c r="D1916" s="401"/>
      <c r="E1916" s="402"/>
      <c r="F1916" s="403">
        <f>ROUND(C1916*F1915,2)</f>
        <v>0</v>
      </c>
      <c r="J1916" s="341"/>
      <c r="L1916" s="380"/>
      <c r="M1916" s="381"/>
      <c r="N1916" s="342"/>
      <c r="R1916" s="341"/>
      <c r="S1916" s="341"/>
    </row>
    <row r="1917" spans="1:19" ht="12.75" customHeight="1">
      <c r="A1917" s="404"/>
      <c r="B1917" s="405" t="s">
        <v>228</v>
      </c>
      <c r="C1917" s="406"/>
      <c r="D1917" s="406"/>
      <c r="E1917" s="407"/>
      <c r="F1917" s="408">
        <f>F1915+F1916</f>
        <v>0</v>
      </c>
      <c r="J1917" s="341"/>
      <c r="L1917" s="380"/>
      <c r="M1917" s="381"/>
      <c r="N1917" s="342"/>
      <c r="R1917" s="341"/>
      <c r="S1917" s="341"/>
    </row>
    <row r="1918" spans="1:19" ht="12.75" customHeight="1">
      <c r="A1918" s="409" t="s">
        <v>47</v>
      </c>
      <c r="B1918" s="410" t="s">
        <v>236</v>
      </c>
      <c r="C1918" s="411" t="s">
        <v>231</v>
      </c>
      <c r="D1918" s="412" t="s">
        <v>232</v>
      </c>
      <c r="E1918" s="413" t="s">
        <v>233</v>
      </c>
      <c r="F1918" s="378" t="s">
        <v>234</v>
      </c>
      <c r="J1918" s="341"/>
      <c r="L1918" s="380"/>
      <c r="M1918" s="381"/>
      <c r="N1918" s="342"/>
      <c r="R1918" s="341"/>
      <c r="S1918" s="341"/>
    </row>
    <row r="1919" spans="1:19" ht="12.75" customHeight="1">
      <c r="A1919" s="393" t="str">
        <f>VII.A!$A$196</f>
        <v>3.16</v>
      </c>
      <c r="B1919" s="394" t="s">
        <v>157</v>
      </c>
      <c r="C1919" s="20">
        <f>0.475+0.100056</f>
        <v>0.57505600000000001</v>
      </c>
      <c r="D1919" s="384" t="str">
        <f>VLOOKUP(A1919,VII.A!$A$10:$G$199,3,FALSE)</f>
        <v>H</v>
      </c>
      <c r="E1919" s="387">
        <f>VII.A!$D$196</f>
        <v>0</v>
      </c>
      <c r="F1919" s="388">
        <f t="shared" ref="F1919:F1925" si="507">ROUND(C1919*E1919,2)</f>
        <v>0</v>
      </c>
      <c r="H1919" s="341">
        <f>IF(A1919="","",VLOOKUP(A1919,VII.A!$A$10:$D$199,4,FALSE))</f>
        <v>0</v>
      </c>
      <c r="I1919" s="341" t="str">
        <f t="shared" ref="I1919:I1920" si="508">IF(A1919="","",IF(E1919=H1919,"SIM","NÃO"))</f>
        <v>SIM</v>
      </c>
      <c r="J1919" s="341" t="str">
        <f>IF(A1919="","",VLOOKUP(A1919,VII.A!$A$10:$D$199,3,FALSE))</f>
        <v>H</v>
      </c>
      <c r="K1919" s="342" t="str">
        <f t="shared" ref="K1919:K1920" si="509">IF(A1919="","",IF(J1919=D1919,"SIM","NÃO"))</f>
        <v>SIM</v>
      </c>
      <c r="L1919" s="380">
        <f t="shared" ref="L1919" si="510">IF(C1919="","",$G$1883*C1919)</f>
        <v>28.752800000000001</v>
      </c>
      <c r="M1919" s="381" t="str">
        <f>IF(A1919="","",VLOOKUP(A1919,VII.A!$A$10:$B$199,2,FALSE))</f>
        <v>SERVENTE COM ENCARGOS COMPLEMENTARES</v>
      </c>
      <c r="N1919" s="342" t="str">
        <f t="shared" ref="N1919:N1920" si="511">IF(B1919="","",IF(M1919=B1919,"si","no"))</f>
        <v>si</v>
      </c>
      <c r="R1919" s="341"/>
      <c r="S1919" s="341"/>
    </row>
    <row r="1920" spans="1:19" ht="12.75" customHeight="1">
      <c r="A1920" s="393" t="str">
        <f>VII.A!$A$192</f>
        <v>3.12</v>
      </c>
      <c r="B1920" s="394" t="s">
        <v>153</v>
      </c>
      <c r="C1920" s="20">
        <v>0.95</v>
      </c>
      <c r="D1920" s="384" t="str">
        <f>VLOOKUP(A1920,VII.A!$A$10:$G$199,3,FALSE)</f>
        <v>H</v>
      </c>
      <c r="E1920" s="387">
        <f>VII.A!$D$192</f>
        <v>0</v>
      </c>
      <c r="F1920" s="388">
        <f t="shared" si="507"/>
        <v>0</v>
      </c>
      <c r="H1920" s="341">
        <f>IF(A1920="","",VLOOKUP(A1920,VII.A!$A$10:$D$199,4,FALSE))</f>
        <v>0</v>
      </c>
      <c r="I1920" s="341" t="str">
        <f t="shared" si="508"/>
        <v>SIM</v>
      </c>
      <c r="J1920" s="341" t="str">
        <f>IF(A1920="","",VLOOKUP(A1920,VII.A!$A$10:$D$199,3,FALSE))</f>
        <v>H</v>
      </c>
      <c r="K1920" s="342" t="str">
        <f t="shared" si="509"/>
        <v>SIM</v>
      </c>
      <c r="L1920" s="380">
        <f>IF(C1920="","",$G$1883*C1920)</f>
        <v>47.5</v>
      </c>
      <c r="M1920" s="381" t="str">
        <f>IF(A1920="","",VLOOKUP(A1920,VII.A!$A$10:$B$199,2,FALSE))</f>
        <v>PEDREIRO COM ENCARGOS COMPLEMENTARES</v>
      </c>
      <c r="N1920" s="342" t="str">
        <f t="shared" si="511"/>
        <v>si</v>
      </c>
      <c r="R1920" s="341"/>
      <c r="S1920" s="341"/>
    </row>
    <row r="1921" spans="1:25" ht="12.75" customHeight="1">
      <c r="A1921" s="393"/>
      <c r="C1921" s="20"/>
      <c r="E1921" s="387"/>
      <c r="F1921" s="388">
        <f t="shared" si="507"/>
        <v>0</v>
      </c>
      <c r="J1921" s="341"/>
      <c r="L1921" s="380"/>
      <c r="M1921" s="381"/>
      <c r="N1921" s="342"/>
      <c r="R1921" s="341"/>
      <c r="S1921" s="341"/>
    </row>
    <row r="1922" spans="1:25" ht="12.75" customHeight="1">
      <c r="A1922" s="393"/>
      <c r="C1922" s="20"/>
      <c r="E1922" s="387"/>
      <c r="F1922" s="388">
        <f t="shared" si="507"/>
        <v>0</v>
      </c>
      <c r="J1922" s="341"/>
      <c r="L1922" s="380"/>
      <c r="M1922" s="381"/>
      <c r="N1922" s="342"/>
      <c r="R1922" s="341"/>
      <c r="S1922" s="341"/>
    </row>
    <row r="1923" spans="1:25" ht="12.75" customHeight="1">
      <c r="A1923" s="393"/>
      <c r="C1923" s="20"/>
      <c r="E1923" s="387"/>
      <c r="F1923" s="388">
        <f t="shared" si="507"/>
        <v>0</v>
      </c>
      <c r="J1923" s="341"/>
      <c r="L1923" s="380"/>
      <c r="M1923" s="381"/>
      <c r="N1923" s="342"/>
      <c r="R1923" s="341"/>
      <c r="S1923" s="341"/>
    </row>
    <row r="1924" spans="1:25" ht="12.75" customHeight="1">
      <c r="A1924" s="393"/>
      <c r="C1924" s="20"/>
      <c r="E1924" s="387"/>
      <c r="F1924" s="388">
        <f t="shared" si="507"/>
        <v>0</v>
      </c>
      <c r="J1924" s="341"/>
      <c r="L1924" s="380"/>
      <c r="M1924" s="381"/>
      <c r="N1924" s="342"/>
      <c r="R1924" s="341"/>
      <c r="S1924" s="341"/>
    </row>
    <row r="1925" spans="1:25" ht="12.75" customHeight="1">
      <c r="A1925" s="393"/>
      <c r="C1925" s="20"/>
      <c r="E1925" s="387"/>
      <c r="F1925" s="388">
        <f t="shared" si="507"/>
        <v>0</v>
      </c>
      <c r="J1925" s="341"/>
      <c r="L1925" s="380"/>
      <c r="M1925" s="381"/>
      <c r="N1925" s="342"/>
      <c r="R1925" s="341"/>
      <c r="S1925" s="341"/>
    </row>
    <row r="1926" spans="1:25" ht="12.75" customHeight="1">
      <c r="A1926" s="393"/>
      <c r="B1926" s="395" t="s">
        <v>226</v>
      </c>
      <c r="C1926" s="396"/>
      <c r="D1926" s="397"/>
      <c r="E1926" s="398"/>
      <c r="F1926" s="399">
        <f>SUM(F1919:F1925)</f>
        <v>0</v>
      </c>
      <c r="J1926" s="341"/>
      <c r="L1926" s="380"/>
      <c r="M1926" s="381"/>
      <c r="N1926" s="342"/>
      <c r="R1926" s="341"/>
      <c r="S1926" s="341"/>
    </row>
    <row r="1927" spans="1:25" ht="12.75" customHeight="1">
      <c r="A1927" s="393"/>
      <c r="B1927" s="400" t="s">
        <v>229</v>
      </c>
      <c r="C1927" s="2">
        <f>IX.A!$C$45</f>
        <v>0</v>
      </c>
      <c r="D1927" s="401"/>
      <c r="E1927" s="402"/>
      <c r="F1927" s="403">
        <f>ROUND(F1926*C1927,2)</f>
        <v>0</v>
      </c>
      <c r="J1927" s="341"/>
      <c r="L1927" s="380"/>
      <c r="M1927" s="381"/>
      <c r="N1927" s="342"/>
      <c r="R1927" s="341"/>
      <c r="S1927" s="341"/>
    </row>
    <row r="1928" spans="1:25" ht="12.75" customHeight="1">
      <c r="A1928" s="393"/>
      <c r="B1928" s="400" t="s">
        <v>53</v>
      </c>
      <c r="C1928" s="2">
        <f>$D$8</f>
        <v>0</v>
      </c>
      <c r="D1928" s="401"/>
      <c r="E1928" s="402"/>
      <c r="F1928" s="403">
        <f>ROUND(SUM(F1926:F1927)*C1928,2)</f>
        <v>0</v>
      </c>
      <c r="J1928" s="341"/>
      <c r="L1928" s="380"/>
      <c r="M1928" s="381"/>
      <c r="N1928" s="342"/>
      <c r="R1928" s="341"/>
      <c r="S1928" s="341"/>
    </row>
    <row r="1929" spans="1:25" ht="12.75" customHeight="1" thickBot="1">
      <c r="A1929" s="414"/>
      <c r="B1929" s="415" t="s">
        <v>230</v>
      </c>
      <c r="C1929" s="416"/>
      <c r="D1929" s="416"/>
      <c r="E1929" s="417"/>
      <c r="F1929" s="418">
        <f>SUM(F1926:F1928)</f>
        <v>0</v>
      </c>
      <c r="J1929" s="341"/>
      <c r="L1929" s="380"/>
      <c r="M1929" s="381"/>
      <c r="N1929" s="342"/>
      <c r="R1929" s="341"/>
      <c r="S1929" s="341"/>
    </row>
    <row r="1930" spans="1:25" ht="12.75" customHeight="1" thickBot="1">
      <c r="A1930" s="357"/>
      <c r="B1930" s="358"/>
      <c r="C1930" s="359"/>
      <c r="D1930" s="359"/>
      <c r="E1930" s="360"/>
      <c r="F1930" s="419"/>
      <c r="J1930" s="341"/>
      <c r="L1930" s="380"/>
      <c r="M1930" s="381"/>
      <c r="N1930" s="342"/>
      <c r="R1930" s="341"/>
      <c r="S1930" s="341"/>
    </row>
    <row r="1931" spans="1:25" ht="30" customHeight="1">
      <c r="A1931" s="370" t="str">
        <f>IV.A!A68</f>
        <v>3.3.7</v>
      </c>
      <c r="B1931" s="371" t="str">
        <f>IV.A!B68</f>
        <v>ALVENARIA COM ELEMENTO VAZADO DE CONCRETO (COBOGÓ), ESPESSURA PAREDE 9CM</v>
      </c>
      <c r="C1931" s="871" t="s">
        <v>237</v>
      </c>
      <c r="D1931" s="872"/>
      <c r="E1931" s="372" t="str">
        <f>IV.A!$C$68</f>
        <v>M2</v>
      </c>
      <c r="F1931" s="11">
        <f>ROUND(F1951+F1965+F1977,2)</f>
        <v>0</v>
      </c>
      <c r="G1931" s="1">
        <f>VLOOKUP(A1931,IV.A!$A$16:$L$172,4,FALSE)</f>
        <v>7</v>
      </c>
      <c r="H1931" s="361">
        <f>SUM(F1933:F1948)+F1950</f>
        <v>0</v>
      </c>
      <c r="I1931" s="361">
        <f>SUM(F1953:F1962)+F1964</f>
        <v>0</v>
      </c>
      <c r="J1931" s="361">
        <f>SUM(F1967:F1973)+F1975+F1976</f>
        <v>0</v>
      </c>
      <c r="K1931" s="361">
        <f>SUM(H1931:J1931)</f>
        <v>0</v>
      </c>
      <c r="L1931" s="362" t="str">
        <f>IF(K1931=F1931,"SIM","NÃO")</f>
        <v>SIM</v>
      </c>
      <c r="M1931" s="373">
        <f>ROUND(SUM(F1933:F1948),2)+ROUND(SUM(F1933:F1948)*C1950,2)+ROUND(SUM(F1953:F1962)*C1964,2)+ROUND(SUM(F1953:F1962),2)+ROUND(SUM(F1967:F1973)*C1975,2)+ROUND((SUM(F1967:F1973)+ROUND(SUM(F1967:F1973)*C1975,2))*C1976,2)+ROUND(SUM(F1967:F1973),2)</f>
        <v>0</v>
      </c>
      <c r="N1931" s="343" t="str">
        <f>IF(M1931=F1931,"SIM","NÃO")</f>
        <v>SIM</v>
      </c>
      <c r="O1931" s="364" t="str">
        <f>VLOOKUP(A1931,IV.A!$A$16:$E$172,3,FALSE)</f>
        <v>M2</v>
      </c>
      <c r="P1931" s="344" t="str">
        <f>IF(O1931=E1931,"SIM","NÃO")</f>
        <v>SIM</v>
      </c>
      <c r="Q1931" s="365">
        <f>ROUND(G1931*F1951,2)+ROUND(G1931*F1965,2)+ROUND(G1931*F1977,2)</f>
        <v>0</v>
      </c>
      <c r="R1931" s="364">
        <f>VLOOKUP(A1931,IV.A!$A$16:$L$172,12,FALSE)</f>
        <v>0</v>
      </c>
      <c r="S1931" s="366" t="str">
        <f>IF(Q1931=R1931,"si","no")</f>
        <v>si</v>
      </c>
      <c r="T1931" s="367">
        <f>SUM(L1933:L1948)+SUM(L1953:L1962)+SUM(L1967:L1973)</f>
        <v>87.159296000000012</v>
      </c>
      <c r="U1931" s="341">
        <f>(SUM(C1933:C1948)+SUM(C1953:C1962)+SUM(C1967:C1973))*G1931</f>
        <v>87.159295999999998</v>
      </c>
      <c r="V1931" s="368" t="str">
        <f>IF(T1931=U1931,"si","no")</f>
        <v>si</v>
      </c>
      <c r="W1931" s="369">
        <f>SUM(F1933:F1948)</f>
        <v>0</v>
      </c>
      <c r="X1931" s="369">
        <f>SUM(F1953:F1962)</f>
        <v>0</v>
      </c>
      <c r="Y1931" s="369">
        <f>SUM(F1967:F1973)</f>
        <v>0</v>
      </c>
    </row>
    <row r="1932" spans="1:25" ht="12.75" customHeight="1">
      <c r="A1932" s="374" t="s">
        <v>14</v>
      </c>
      <c r="B1932" s="375" t="s">
        <v>132</v>
      </c>
      <c r="C1932" s="376" t="s">
        <v>231</v>
      </c>
      <c r="D1932" s="376" t="s">
        <v>232</v>
      </c>
      <c r="E1932" s="377" t="s">
        <v>233</v>
      </c>
      <c r="F1932" s="378" t="s">
        <v>234</v>
      </c>
      <c r="G1932" s="379"/>
      <c r="J1932" s="341"/>
      <c r="L1932" s="380"/>
      <c r="M1932" s="381"/>
      <c r="N1932" s="342"/>
      <c r="O1932" s="382"/>
      <c r="P1932" s="383"/>
      <c r="Q1932" s="383"/>
      <c r="R1932" s="383"/>
      <c r="S1932" s="383"/>
      <c r="T1932" s="382"/>
      <c r="U1932" s="341"/>
      <c r="V1932" s="384"/>
      <c r="W1932" s="384"/>
      <c r="X1932" s="384"/>
      <c r="Y1932" s="384"/>
    </row>
    <row r="1933" spans="1:25" ht="12.75" customHeight="1">
      <c r="A1933" s="385" t="str">
        <f>VII.A!$A$19</f>
        <v>1.10</v>
      </c>
      <c r="B1933" s="394" t="str">
        <f>VLOOKUP(A1933,VII.A!$A$10:$G$199,2,FALSE)</f>
        <v>AREIA MÉDIA LAVADA</v>
      </c>
      <c r="C1933" s="20">
        <v>5.9040000000000004E-3</v>
      </c>
      <c r="D1933" s="342" t="str">
        <f>VLOOKUP(A1933,VII.A!$A$10:$G$199,3,FALSE)</f>
        <v>M3</v>
      </c>
      <c r="E1933" s="387">
        <f>VII.A!$D$19</f>
        <v>0</v>
      </c>
      <c r="F1933" s="388">
        <f>ROUND(C1933*E1933,2)</f>
        <v>0</v>
      </c>
      <c r="H1933" s="341">
        <f>IF(A1933="","",VLOOKUP(A1933,VII.A!$A$10:$D$199,4,FALSE))</f>
        <v>0</v>
      </c>
      <c r="I1933" s="341" t="str">
        <f t="shared" ref="I1933:I1948" si="512">IF(A1933="","",IF(E1933=H1933,"SIM","NÃO"))</f>
        <v>SIM</v>
      </c>
      <c r="J1933" s="341" t="str">
        <f>IF(A1933="","",VLOOKUP(A1933,VII.A!$A$10:$D$199,3,FALSE))</f>
        <v>M3</v>
      </c>
      <c r="K1933" s="342" t="str">
        <f t="shared" ref="K1933:K1948" si="513">IF(A1933="","",IF(J1933=D1933,"SIM","NÃO"))</f>
        <v>SIM</v>
      </c>
      <c r="L1933" s="380">
        <f>IF(C1933="","",G1931*C1933)</f>
        <v>4.1328000000000004E-2</v>
      </c>
      <c r="M1933" s="381" t="str">
        <f>IF(A1933="","",VLOOKUP(A1933,VII.A!$A$10:$B$199,2,FALSE))</f>
        <v>AREIA MÉDIA LAVADA</v>
      </c>
      <c r="N1933" s="342" t="str">
        <f t="shared" ref="N1933:N1948" si="514">IF(B1933="","",IF(M1933=B1933,"si","no"))</f>
        <v>si</v>
      </c>
      <c r="R1933" s="341"/>
      <c r="S1933" s="341"/>
    </row>
    <row r="1934" spans="1:25" ht="12.75" customHeight="1">
      <c r="A1934" s="385" t="str">
        <f>VII.A!$A$38</f>
        <v>1.29</v>
      </c>
      <c r="B1934" s="394" t="str">
        <f>VLOOKUP(A1934,VII.A!$A$10:$G$199,2,FALSE)</f>
        <v>CIMENTO PORTLAND CP II-E-32</v>
      </c>
      <c r="C1934" s="20">
        <v>1.7041919999999999</v>
      </c>
      <c r="D1934" s="342" t="str">
        <f>VLOOKUP(A1934,VII.A!$A$10:$G$199,3,FALSE)</f>
        <v>KG</v>
      </c>
      <c r="E1934" s="387">
        <f>VII.A!$D$38</f>
        <v>0</v>
      </c>
      <c r="F1934" s="388">
        <f t="shared" ref="F1934:F1948" si="515">ROUND(C1934*E1934,2)</f>
        <v>0</v>
      </c>
      <c r="H1934" s="341">
        <f>IF(A1934="","",VLOOKUP(A1934,VII.A!$A$10:$D$199,4,FALSE))</f>
        <v>0</v>
      </c>
      <c r="I1934" s="341" t="str">
        <f t="shared" si="512"/>
        <v>SIM</v>
      </c>
      <c r="J1934" s="341" t="str">
        <f>IF(A1934="","",VLOOKUP(A1934,VII.A!$A$10:$D$199,3,FALSE))</f>
        <v>KG</v>
      </c>
      <c r="K1934" s="342" t="str">
        <f t="shared" si="513"/>
        <v>SIM</v>
      </c>
      <c r="L1934" s="380">
        <f>IF(C1934="","",G1931*C1934)</f>
        <v>11.929344</v>
      </c>
      <c r="M1934" s="381" t="str">
        <f>IF(A1934="","",VLOOKUP(A1934,VII.A!$A$10:$B$199,2,FALSE))</f>
        <v>CIMENTO PORTLAND CP II-E-32</v>
      </c>
      <c r="N1934" s="342" t="str">
        <f t="shared" si="514"/>
        <v>si</v>
      </c>
      <c r="R1934" s="341"/>
      <c r="S1934" s="341"/>
    </row>
    <row r="1935" spans="1:25" ht="12.75" customHeight="1">
      <c r="A1935" s="385" t="str">
        <f>VII.A!$A$45</f>
        <v>1.36</v>
      </c>
      <c r="B1935" s="394" t="str">
        <f>VLOOKUP(A1935,VII.A!$A$10:$G$199,2,FALSE)</f>
        <v>ELEMENTO VAZADO DE CONCRETO (COBOGÓ) - 33 X 33 X 9 CM - 16 FUROS</v>
      </c>
      <c r="C1935" s="20">
        <v>9</v>
      </c>
      <c r="D1935" s="342" t="str">
        <f>VLOOKUP(A1935,VII.A!$A$10:$G$199,3,FALSE)</f>
        <v>UN</v>
      </c>
      <c r="E1935" s="387">
        <f>VII.A!$D$45</f>
        <v>0</v>
      </c>
      <c r="F1935" s="388">
        <f t="shared" si="515"/>
        <v>0</v>
      </c>
      <c r="H1935" s="341">
        <f>IF(A1935="","",VLOOKUP(A1935,VII.A!$A$10:$D$199,4,FALSE))</f>
        <v>0</v>
      </c>
      <c r="I1935" s="341" t="str">
        <f t="shared" si="512"/>
        <v>SIM</v>
      </c>
      <c r="J1935" s="341" t="str">
        <f>IF(A1935="","",VLOOKUP(A1935,VII.A!$A$10:$D$199,3,FALSE))</f>
        <v>UN</v>
      </c>
      <c r="K1935" s="342" t="str">
        <f t="shared" si="513"/>
        <v>SIM</v>
      </c>
      <c r="L1935" s="380">
        <f>IF(C1935="","",G1931*C1935)</f>
        <v>63</v>
      </c>
      <c r="M1935" s="381" t="str">
        <f>IF(A1935="","",VLOOKUP(A1935,VII.A!$A$10:$B$199,2,FALSE))</f>
        <v>ELEMENTO VAZADO DE CONCRETO (COBOGÓ) - 33 X 33 X 9 CM - 16 FUROS</v>
      </c>
      <c r="N1935" s="342" t="str">
        <f t="shared" si="514"/>
        <v>si</v>
      </c>
      <c r="R1935" s="341"/>
      <c r="S1935" s="341"/>
    </row>
    <row r="1936" spans="1:25" ht="12.75" customHeight="1">
      <c r="A1936" s="385"/>
      <c r="B1936" s="386"/>
      <c r="C1936" s="20"/>
      <c r="D1936" s="342"/>
      <c r="E1936" s="387"/>
      <c r="F1936" s="388">
        <f t="shared" si="515"/>
        <v>0</v>
      </c>
      <c r="H1936" s="341" t="str">
        <f>IF(A1936="","",VLOOKUP(A1936,VII.A!$A$10:$D$199,4,FALSE))</f>
        <v/>
      </c>
      <c r="I1936" s="341" t="str">
        <f t="shared" si="512"/>
        <v/>
      </c>
      <c r="J1936" s="341" t="str">
        <f>IF(A1936="","",VLOOKUP(A1936,VII.A!$A$10:$D$199,3,FALSE))</f>
        <v/>
      </c>
      <c r="K1936" s="342" t="str">
        <f t="shared" si="513"/>
        <v/>
      </c>
      <c r="L1936" s="380" t="str">
        <f>IF(C1936="","",G1931*C1936)</f>
        <v/>
      </c>
      <c r="M1936" s="381" t="str">
        <f>IF(A1936="","",VLOOKUP(A1936,VII.A!$A$10:$B$199,2,FALSE))</f>
        <v/>
      </c>
      <c r="N1936" s="342" t="str">
        <f t="shared" si="514"/>
        <v/>
      </c>
      <c r="R1936" s="341"/>
      <c r="S1936" s="341"/>
    </row>
    <row r="1937" spans="1:21" ht="12.75" customHeight="1">
      <c r="A1937" s="385"/>
      <c r="B1937" s="386"/>
      <c r="C1937" s="20"/>
      <c r="D1937" s="342"/>
      <c r="E1937" s="387"/>
      <c r="F1937" s="388">
        <f t="shared" si="515"/>
        <v>0</v>
      </c>
      <c r="H1937" s="341" t="str">
        <f>IF(A1937="","",VLOOKUP(A1937,VII.A!$A$10:$D$199,4,FALSE))</f>
        <v/>
      </c>
      <c r="I1937" s="341" t="str">
        <f t="shared" si="512"/>
        <v/>
      </c>
      <c r="J1937" s="341" t="str">
        <f>IF(A1937="","",VLOOKUP(A1937,VII.A!$A$10:$D$199,3,FALSE))</f>
        <v/>
      </c>
      <c r="K1937" s="342" t="str">
        <f t="shared" si="513"/>
        <v/>
      </c>
      <c r="L1937" s="380" t="str">
        <f>IF(C1937="","",G1931*C1937)</f>
        <v/>
      </c>
      <c r="M1937" s="381" t="str">
        <f>IF(A1937="","",VLOOKUP(A1937,VII.A!$A$10:$B$199,2,FALSE))</f>
        <v/>
      </c>
      <c r="N1937" s="342" t="str">
        <f t="shared" si="514"/>
        <v/>
      </c>
      <c r="R1937" s="341"/>
      <c r="S1937" s="341"/>
    </row>
    <row r="1938" spans="1:21" ht="12.75" customHeight="1">
      <c r="A1938" s="385"/>
      <c r="B1938" s="386"/>
      <c r="C1938" s="20"/>
      <c r="D1938" s="342"/>
      <c r="E1938" s="387"/>
      <c r="F1938" s="388">
        <f t="shared" si="515"/>
        <v>0</v>
      </c>
      <c r="H1938" s="341" t="str">
        <f>IF(A1938="","",VLOOKUP(A1938,VII.A!$A$10:$D$199,4,FALSE))</f>
        <v/>
      </c>
      <c r="I1938" s="341" t="str">
        <f t="shared" si="512"/>
        <v/>
      </c>
      <c r="J1938" s="341" t="str">
        <f>IF(A1938="","",VLOOKUP(A1938,VII.A!$A$10:$D$199,3,FALSE))</f>
        <v/>
      </c>
      <c r="K1938" s="342" t="str">
        <f t="shared" si="513"/>
        <v/>
      </c>
      <c r="L1938" s="380" t="str">
        <f>IF(C1938="","",G1931*C1938)</f>
        <v/>
      </c>
      <c r="M1938" s="381" t="str">
        <f>IF(A1938="","",VLOOKUP(A1938,VII.A!$A$10:$B$199,2,FALSE))</f>
        <v/>
      </c>
      <c r="N1938" s="342" t="str">
        <f t="shared" si="514"/>
        <v/>
      </c>
      <c r="R1938" s="341"/>
      <c r="S1938" s="341"/>
      <c r="U1938" s="389"/>
    </row>
    <row r="1939" spans="1:21" ht="12.75" customHeight="1">
      <c r="A1939" s="385"/>
      <c r="B1939" s="386"/>
      <c r="C1939" s="20"/>
      <c r="D1939" s="342"/>
      <c r="E1939" s="387"/>
      <c r="F1939" s="388">
        <f t="shared" si="515"/>
        <v>0</v>
      </c>
      <c r="H1939" s="341" t="str">
        <f>IF(A1939="","",VLOOKUP(A1939,VII.A!$A$10:$D$199,4,FALSE))</f>
        <v/>
      </c>
      <c r="I1939" s="341" t="str">
        <f t="shared" si="512"/>
        <v/>
      </c>
      <c r="J1939" s="341" t="str">
        <f>IF(A1939="","",VLOOKUP(A1939,VII.A!$A$10:$D$199,3,FALSE))</f>
        <v/>
      </c>
      <c r="K1939" s="342" t="str">
        <f t="shared" si="513"/>
        <v/>
      </c>
      <c r="L1939" s="380" t="str">
        <f>IF(C1939="","",G1931*C1939)</f>
        <v/>
      </c>
      <c r="M1939" s="381" t="str">
        <f>IF(A1939="","",VLOOKUP(A1939,VII.A!$A$10:$B$199,2,FALSE))</f>
        <v/>
      </c>
      <c r="N1939" s="342" t="str">
        <f t="shared" si="514"/>
        <v/>
      </c>
      <c r="R1939" s="341"/>
      <c r="S1939" s="341"/>
    </row>
    <row r="1940" spans="1:21" ht="12.75" customHeight="1">
      <c r="A1940" s="385"/>
      <c r="B1940" s="386"/>
      <c r="C1940" s="20"/>
      <c r="D1940" s="342"/>
      <c r="E1940" s="387"/>
      <c r="F1940" s="388">
        <f t="shared" si="515"/>
        <v>0</v>
      </c>
      <c r="G1940" s="390"/>
      <c r="H1940" s="341" t="str">
        <f>IF(A1940="","",VLOOKUP(A1940,VII.A!$A$10:$D$199,4,FALSE))</f>
        <v/>
      </c>
      <c r="I1940" s="341" t="str">
        <f t="shared" si="512"/>
        <v/>
      </c>
      <c r="J1940" s="341" t="str">
        <f>IF(A1940="","",VLOOKUP(A1940,VII.A!$A$10:$D$199,3,FALSE))</f>
        <v/>
      </c>
      <c r="K1940" s="342" t="str">
        <f t="shared" si="513"/>
        <v/>
      </c>
      <c r="L1940" s="380" t="str">
        <f>IF(C1940="","",G1931*C1940)</f>
        <v/>
      </c>
      <c r="M1940" s="381" t="str">
        <f>IF(A1940="","",VLOOKUP(A1940,VII.A!$A$10:$B$199,2,FALSE))</f>
        <v/>
      </c>
      <c r="N1940" s="342" t="str">
        <f t="shared" si="514"/>
        <v/>
      </c>
      <c r="R1940" s="341"/>
      <c r="S1940" s="341"/>
    </row>
    <row r="1941" spans="1:21" ht="12.75" customHeight="1">
      <c r="A1941" s="385"/>
      <c r="B1941" s="386"/>
      <c r="C1941" s="20"/>
      <c r="D1941" s="342"/>
      <c r="E1941" s="387"/>
      <c r="F1941" s="388">
        <f t="shared" si="515"/>
        <v>0</v>
      </c>
      <c r="G1941" s="390"/>
      <c r="H1941" s="341" t="str">
        <f>IF(A1941="","",VLOOKUP(A1941,VII.A!$A$10:$D$199,4,FALSE))</f>
        <v/>
      </c>
      <c r="I1941" s="341" t="str">
        <f t="shared" si="512"/>
        <v/>
      </c>
      <c r="J1941" s="341" t="str">
        <f>IF(A1941="","",VLOOKUP(A1941,VII.A!$A$10:$D$199,3,FALSE))</f>
        <v/>
      </c>
      <c r="K1941" s="342" t="str">
        <f t="shared" si="513"/>
        <v/>
      </c>
      <c r="L1941" s="380" t="str">
        <f>IF(C1941="","",G1931*C1941)</f>
        <v/>
      </c>
      <c r="M1941" s="381" t="str">
        <f>IF(A1941="","",VLOOKUP(A1941,VII.A!$A$10:$B$199,2,FALSE))</f>
        <v/>
      </c>
      <c r="N1941" s="342" t="str">
        <f t="shared" si="514"/>
        <v/>
      </c>
      <c r="R1941" s="341"/>
      <c r="S1941" s="341"/>
    </row>
    <row r="1942" spans="1:21" ht="12.75" customHeight="1">
      <c r="A1942" s="385"/>
      <c r="B1942" s="386"/>
      <c r="C1942" s="20"/>
      <c r="D1942" s="342"/>
      <c r="E1942" s="387"/>
      <c r="F1942" s="388">
        <f t="shared" si="515"/>
        <v>0</v>
      </c>
      <c r="G1942" s="391"/>
      <c r="H1942" s="341" t="str">
        <f>IF(A1942="","",VLOOKUP(A1942,VII.A!$A$10:$D$199,4,FALSE))</f>
        <v/>
      </c>
      <c r="I1942" s="341" t="str">
        <f t="shared" si="512"/>
        <v/>
      </c>
      <c r="J1942" s="341" t="str">
        <f>IF(A1942="","",VLOOKUP(A1942,VII.A!$A$10:$D$199,3,FALSE))</f>
        <v/>
      </c>
      <c r="K1942" s="342" t="str">
        <f t="shared" si="513"/>
        <v/>
      </c>
      <c r="L1942" s="380" t="str">
        <f>IF(C1942="","",G1931*C1942)</f>
        <v/>
      </c>
      <c r="M1942" s="381" t="str">
        <f>IF(A1942="","",VLOOKUP(A1942,VII.A!$A$10:$B$199,2,FALSE))</f>
        <v/>
      </c>
      <c r="N1942" s="342" t="str">
        <f t="shared" si="514"/>
        <v/>
      </c>
      <c r="R1942" s="341"/>
      <c r="S1942" s="341"/>
    </row>
    <row r="1943" spans="1:21" ht="12.75" customHeight="1">
      <c r="A1943" s="385"/>
      <c r="B1943" s="386"/>
      <c r="C1943" s="20"/>
      <c r="D1943" s="342"/>
      <c r="E1943" s="387"/>
      <c r="F1943" s="388">
        <f t="shared" si="515"/>
        <v>0</v>
      </c>
      <c r="H1943" s="341" t="str">
        <f>IF(A1943="","",VLOOKUP(A1943,VII.A!$A$10:$D$199,4,FALSE))</f>
        <v/>
      </c>
      <c r="I1943" s="341" t="str">
        <f t="shared" si="512"/>
        <v/>
      </c>
      <c r="J1943" s="341" t="str">
        <f>IF(A1943="","",VLOOKUP(A1943,VII.A!$A$10:$D$199,3,FALSE))</f>
        <v/>
      </c>
      <c r="K1943" s="342" t="str">
        <f t="shared" si="513"/>
        <v/>
      </c>
      <c r="L1943" s="380" t="str">
        <f>IF(C1943="","",G1931*C1943)</f>
        <v/>
      </c>
      <c r="M1943" s="381" t="str">
        <f>IF(A1943="","",VLOOKUP(A1943,VII.A!$A$10:$B$199,2,FALSE))</f>
        <v/>
      </c>
      <c r="N1943" s="342" t="str">
        <f t="shared" si="514"/>
        <v/>
      </c>
      <c r="R1943" s="341"/>
      <c r="S1943" s="341"/>
    </row>
    <row r="1944" spans="1:21" ht="12.75" customHeight="1">
      <c r="A1944" s="385"/>
      <c r="B1944" s="386"/>
      <c r="C1944" s="20"/>
      <c r="D1944" s="392"/>
      <c r="E1944" s="387"/>
      <c r="F1944" s="388">
        <f t="shared" si="515"/>
        <v>0</v>
      </c>
      <c r="H1944" s="341" t="str">
        <f>IF(A1944="","",VLOOKUP(A1944,VII.A!$A$10:$D$199,4,FALSE))</f>
        <v/>
      </c>
      <c r="I1944" s="341" t="str">
        <f t="shared" si="512"/>
        <v/>
      </c>
      <c r="J1944" s="341" t="str">
        <f>IF(A1944="","",VLOOKUP(A1944,VII.A!$A$10:$D$199,3,FALSE))</f>
        <v/>
      </c>
      <c r="K1944" s="342" t="str">
        <f t="shared" si="513"/>
        <v/>
      </c>
      <c r="L1944" s="380" t="str">
        <f>IF(C1944="","",G1931*C1944)</f>
        <v/>
      </c>
      <c r="M1944" s="381" t="str">
        <f>IF(A1944="","",VLOOKUP(A1944,VII.A!$A$10:$B$199,2,FALSE))</f>
        <v/>
      </c>
      <c r="N1944" s="342" t="str">
        <f t="shared" si="514"/>
        <v/>
      </c>
      <c r="R1944" s="341"/>
      <c r="S1944" s="341"/>
    </row>
    <row r="1945" spans="1:21" ht="12.75" customHeight="1">
      <c r="A1945" s="385"/>
      <c r="B1945" s="386"/>
      <c r="C1945" s="20"/>
      <c r="D1945" s="392"/>
      <c r="E1945" s="387"/>
      <c r="F1945" s="388">
        <f t="shared" si="515"/>
        <v>0</v>
      </c>
      <c r="H1945" s="341" t="str">
        <f>IF(A1945="","",VLOOKUP(A1945,VII.A!$A$10:$D$199,4,FALSE))</f>
        <v/>
      </c>
      <c r="I1945" s="341" t="str">
        <f t="shared" si="512"/>
        <v/>
      </c>
      <c r="J1945" s="341" t="str">
        <f>IF(A1945="","",VLOOKUP(A1945,VII.A!$A$10:$D$199,3,FALSE))</f>
        <v/>
      </c>
      <c r="K1945" s="342" t="str">
        <f t="shared" si="513"/>
        <v/>
      </c>
      <c r="L1945" s="380" t="str">
        <f>IF(C1945="","",G1931*C1945)</f>
        <v/>
      </c>
      <c r="M1945" s="381" t="str">
        <f>IF(A1945="","",VLOOKUP(A1945,VII.A!$A$10:$B$199,2,FALSE))</f>
        <v/>
      </c>
      <c r="N1945" s="342" t="str">
        <f t="shared" si="514"/>
        <v/>
      </c>
      <c r="O1945" s="342"/>
      <c r="R1945" s="341"/>
      <c r="S1945" s="341"/>
    </row>
    <row r="1946" spans="1:21" ht="12.75" customHeight="1">
      <c r="A1946" s="385"/>
      <c r="B1946" s="386"/>
      <c r="C1946" s="20"/>
      <c r="D1946" s="392"/>
      <c r="E1946" s="387"/>
      <c r="F1946" s="388">
        <f t="shared" si="515"/>
        <v>0</v>
      </c>
      <c r="H1946" s="341" t="str">
        <f>IF(A1946="","",VLOOKUP(A1946,VII.A!$A$10:$D$199,4,FALSE))</f>
        <v/>
      </c>
      <c r="I1946" s="341" t="str">
        <f t="shared" si="512"/>
        <v/>
      </c>
      <c r="J1946" s="341" t="str">
        <f>IF(A1946="","",VLOOKUP(A1946,VII.A!$A$10:$D$199,3,FALSE))</f>
        <v/>
      </c>
      <c r="K1946" s="342" t="str">
        <f t="shared" si="513"/>
        <v/>
      </c>
      <c r="L1946" s="380" t="str">
        <f>IF(C1946="","",G1931*C1946)</f>
        <v/>
      </c>
      <c r="M1946" s="381" t="str">
        <f>IF(A1946="","",VLOOKUP(A1946,VII.A!$A$10:$B$199,2,FALSE))</f>
        <v/>
      </c>
      <c r="N1946" s="342" t="str">
        <f t="shared" si="514"/>
        <v/>
      </c>
      <c r="R1946" s="341"/>
      <c r="S1946" s="341"/>
    </row>
    <row r="1947" spans="1:21" ht="12.75" customHeight="1">
      <c r="A1947" s="393"/>
      <c r="C1947" s="20"/>
      <c r="E1947" s="387"/>
      <c r="F1947" s="388">
        <f t="shared" si="515"/>
        <v>0</v>
      </c>
      <c r="H1947" s="341" t="str">
        <f>IF(A1947="","",VLOOKUP(A1947,VII.A!$A$10:$D$199,4,FALSE))</f>
        <v/>
      </c>
      <c r="I1947" s="341" t="str">
        <f t="shared" si="512"/>
        <v/>
      </c>
      <c r="J1947" s="341" t="str">
        <f>IF(A1947="","",VLOOKUP(A1947,VII.A!$A$10:$D$199,3,FALSE))</f>
        <v/>
      </c>
      <c r="K1947" s="342" t="str">
        <f t="shared" si="513"/>
        <v/>
      </c>
      <c r="L1947" s="380" t="str">
        <f>IF(C1947="","",G1931*C1947)</f>
        <v/>
      </c>
      <c r="M1947" s="381" t="str">
        <f>IF(A1947="","",VLOOKUP(A1947,VII.A!$A$10:$B$199,2,FALSE))</f>
        <v/>
      </c>
      <c r="N1947" s="342" t="str">
        <f t="shared" si="514"/>
        <v/>
      </c>
      <c r="R1947" s="341"/>
      <c r="S1947" s="341"/>
    </row>
    <row r="1948" spans="1:21" ht="12.75" customHeight="1">
      <c r="A1948" s="393"/>
      <c r="C1948" s="20"/>
      <c r="E1948" s="387"/>
      <c r="F1948" s="388">
        <f t="shared" si="515"/>
        <v>0</v>
      </c>
      <c r="H1948" s="341" t="str">
        <f>IF(A1948="","",VLOOKUP(A1948,VII.A!$A$10:$D$199,4,FALSE))</f>
        <v/>
      </c>
      <c r="I1948" s="341" t="str">
        <f t="shared" si="512"/>
        <v/>
      </c>
      <c r="J1948" s="341" t="str">
        <f>IF(A1948="","",VLOOKUP(A1948,VII.A!$A$10:$D$199,3,FALSE))</f>
        <v/>
      </c>
      <c r="K1948" s="342" t="str">
        <f t="shared" si="513"/>
        <v/>
      </c>
      <c r="L1948" s="380" t="str">
        <f>IF(C1948="","",G1931*C1948)</f>
        <v/>
      </c>
      <c r="M1948" s="381" t="str">
        <f>IF(A1948="","",VLOOKUP(A1948,VII.A!$A$10:$B$199,2,FALSE))</f>
        <v/>
      </c>
      <c r="N1948" s="342" t="str">
        <f t="shared" si="514"/>
        <v/>
      </c>
      <c r="R1948" s="341"/>
      <c r="S1948" s="341"/>
    </row>
    <row r="1949" spans="1:21" ht="12.75" customHeight="1">
      <c r="A1949" s="393"/>
      <c r="B1949" s="395" t="s">
        <v>226</v>
      </c>
      <c r="C1949" s="396"/>
      <c r="D1949" s="397"/>
      <c r="E1949" s="398"/>
      <c r="F1949" s="399">
        <f>SUM(F1933:F1948)</f>
        <v>0</v>
      </c>
      <c r="H1949" s="426" t="s">
        <v>397</v>
      </c>
      <c r="J1949" s="341"/>
      <c r="L1949" s="380"/>
      <c r="M1949" s="381"/>
      <c r="N1949" s="342"/>
      <c r="R1949" s="341"/>
      <c r="S1949" s="341"/>
    </row>
    <row r="1950" spans="1:21" ht="12.75" customHeight="1">
      <c r="A1950" s="393"/>
      <c r="B1950" s="400" t="s">
        <v>53</v>
      </c>
      <c r="C1950" s="2">
        <f>$D$8</f>
        <v>0</v>
      </c>
      <c r="D1950" s="401"/>
      <c r="E1950" s="402"/>
      <c r="F1950" s="403">
        <f>ROUND(F1949*C1950,2)</f>
        <v>0</v>
      </c>
      <c r="H1950" s="426" t="s">
        <v>466</v>
      </c>
      <c r="J1950" s="341"/>
      <c r="L1950" s="380"/>
      <c r="M1950" s="381"/>
      <c r="N1950" s="342"/>
      <c r="R1950" s="341"/>
      <c r="S1950" s="341"/>
    </row>
    <row r="1951" spans="1:21" ht="12.75" customHeight="1">
      <c r="A1951" s="404"/>
      <c r="B1951" s="405" t="s">
        <v>227</v>
      </c>
      <c r="C1951" s="406"/>
      <c r="D1951" s="406"/>
      <c r="E1951" s="407"/>
      <c r="F1951" s="408">
        <f>F1949+F1950</f>
        <v>0</v>
      </c>
      <c r="J1951" s="341"/>
      <c r="L1951" s="380"/>
      <c r="M1951" s="381"/>
      <c r="N1951" s="342"/>
      <c r="R1951" s="341"/>
      <c r="S1951" s="341"/>
    </row>
    <row r="1952" spans="1:21" ht="12.75" customHeight="1">
      <c r="A1952" s="374" t="s">
        <v>2</v>
      </c>
      <c r="B1952" s="375" t="s">
        <v>235</v>
      </c>
      <c r="C1952" s="376" t="s">
        <v>231</v>
      </c>
      <c r="D1952" s="376" t="s">
        <v>232</v>
      </c>
      <c r="E1952" s="377" t="s">
        <v>233</v>
      </c>
      <c r="F1952" s="378" t="s">
        <v>234</v>
      </c>
      <c r="J1952" s="341"/>
      <c r="L1952" s="380"/>
      <c r="M1952" s="381"/>
      <c r="N1952" s="342"/>
      <c r="R1952" s="341"/>
      <c r="S1952" s="341"/>
    </row>
    <row r="1953" spans="1:19" ht="12.75" customHeight="1">
      <c r="A1953" s="393"/>
      <c r="B1953" s="423"/>
      <c r="C1953" s="20"/>
      <c r="E1953" s="387"/>
      <c r="F1953" s="388">
        <f t="shared" ref="F1953:F1962" si="516">ROUND(C1953*E1953,2)</f>
        <v>0</v>
      </c>
      <c r="H1953" s="341" t="str">
        <f>IF(A1953="","",VLOOKUP(A1953,VII.A!$A$10:$D$199,4,FALSE))</f>
        <v/>
      </c>
      <c r="I1953" s="341" t="str">
        <f t="shared" ref="I1953:I1962" si="517">IF(A1953="","",IF(E1953=H1953,"SIM","NÃO"))</f>
        <v/>
      </c>
      <c r="J1953" s="341" t="str">
        <f>IF(A1953="","",VLOOKUP(A1953,VII.A!$A$10:$D$199,3,FALSE))</f>
        <v/>
      </c>
      <c r="K1953" s="342" t="str">
        <f t="shared" ref="K1953:K1962" si="518">IF(A1953="","",IF(J1953=D1953,"SIM","NÃO"))</f>
        <v/>
      </c>
      <c r="L1953" s="380" t="str">
        <f>IF(C1953="","",$G$1883*C1953)</f>
        <v/>
      </c>
      <c r="M1953" s="381" t="str">
        <f>IF(A1953="","",VLOOKUP(A1953,VII.A!$A$10:$B$199,2,FALSE))</f>
        <v/>
      </c>
      <c r="N1953" s="342" t="str">
        <f t="shared" ref="N1953:N1962" si="519">IF(B1953="","",IF(M1953=B1953,"si","no"))</f>
        <v/>
      </c>
      <c r="R1953" s="341"/>
      <c r="S1953" s="341"/>
    </row>
    <row r="1954" spans="1:19" ht="12.75" customHeight="1">
      <c r="A1954" s="393"/>
      <c r="C1954" s="20"/>
      <c r="E1954" s="387"/>
      <c r="F1954" s="388">
        <f t="shared" si="516"/>
        <v>0</v>
      </c>
      <c r="H1954" s="341" t="str">
        <f>IF(A1954="","",VLOOKUP(A1954,VII.A!$A$10:$D$199,4,FALSE))</f>
        <v/>
      </c>
      <c r="I1954" s="341" t="str">
        <f t="shared" si="517"/>
        <v/>
      </c>
      <c r="J1954" s="341" t="str">
        <f>IF(A1954="","",VLOOKUP(A1954,VII.A!$A$10:$D$199,3,FALSE))</f>
        <v/>
      </c>
      <c r="K1954" s="342" t="str">
        <f t="shared" si="518"/>
        <v/>
      </c>
      <c r="L1954" s="380" t="str">
        <f t="shared" ref="L1954:L1962" si="520">IF(C1954="","",$G$1883*C1954)</f>
        <v/>
      </c>
      <c r="M1954" s="381" t="str">
        <f>IF(A1954="","",VLOOKUP(A1954,VII.A!$A$10:$B$199,2,FALSE))</f>
        <v/>
      </c>
      <c r="N1954" s="342" t="str">
        <f t="shared" si="519"/>
        <v/>
      </c>
      <c r="R1954" s="341"/>
      <c r="S1954" s="341"/>
    </row>
    <row r="1955" spans="1:19" ht="12.75" customHeight="1">
      <c r="A1955" s="393"/>
      <c r="C1955" s="20"/>
      <c r="E1955" s="387"/>
      <c r="F1955" s="388">
        <f t="shared" si="516"/>
        <v>0</v>
      </c>
      <c r="H1955" s="341" t="str">
        <f>IF(A1955="","",VLOOKUP(A1955,VII.A!$A$10:$D$199,4,FALSE))</f>
        <v/>
      </c>
      <c r="I1955" s="341" t="str">
        <f t="shared" si="517"/>
        <v/>
      </c>
      <c r="J1955" s="341" t="str">
        <f>IF(A1955="","",VLOOKUP(A1955,VII.A!$A$10:$D$199,3,FALSE))</f>
        <v/>
      </c>
      <c r="K1955" s="342" t="str">
        <f t="shared" si="518"/>
        <v/>
      </c>
      <c r="L1955" s="380" t="str">
        <f t="shared" si="520"/>
        <v/>
      </c>
      <c r="M1955" s="381" t="str">
        <f>IF(A1955="","",VLOOKUP(A1955,VII.A!$A$10:$B$199,2,FALSE))</f>
        <v/>
      </c>
      <c r="N1955" s="342" t="str">
        <f t="shared" si="519"/>
        <v/>
      </c>
      <c r="R1955" s="341"/>
      <c r="S1955" s="341"/>
    </row>
    <row r="1956" spans="1:19" ht="12.75" customHeight="1">
      <c r="A1956" s="393"/>
      <c r="C1956" s="20"/>
      <c r="E1956" s="387"/>
      <c r="F1956" s="388">
        <f t="shared" si="516"/>
        <v>0</v>
      </c>
      <c r="H1956" s="341" t="str">
        <f>IF(A1956="","",VLOOKUP(A1956,VII.A!$A$10:$D$199,4,FALSE))</f>
        <v/>
      </c>
      <c r="I1956" s="341" t="str">
        <f t="shared" si="517"/>
        <v/>
      </c>
      <c r="J1956" s="341" t="str">
        <f>IF(A1956="","",VLOOKUP(A1956,VII.A!$A$10:$D$199,3,FALSE))</f>
        <v/>
      </c>
      <c r="K1956" s="342" t="str">
        <f t="shared" si="518"/>
        <v/>
      </c>
      <c r="L1956" s="380" t="str">
        <f t="shared" si="520"/>
        <v/>
      </c>
      <c r="M1956" s="381" t="str">
        <f>IF(A1956="","",VLOOKUP(A1956,VII.A!$A$10:$B$199,2,FALSE))</f>
        <v/>
      </c>
      <c r="N1956" s="342" t="str">
        <f t="shared" si="519"/>
        <v/>
      </c>
      <c r="R1956" s="341"/>
      <c r="S1956" s="341"/>
    </row>
    <row r="1957" spans="1:19" ht="12.75" customHeight="1">
      <c r="A1957" s="393"/>
      <c r="C1957" s="20"/>
      <c r="E1957" s="387"/>
      <c r="F1957" s="388">
        <f t="shared" si="516"/>
        <v>0</v>
      </c>
      <c r="G1957" s="390"/>
      <c r="H1957" s="341" t="str">
        <f>IF(A1957="","",VLOOKUP(A1957,VII.A!$A$10:$D$199,4,FALSE))</f>
        <v/>
      </c>
      <c r="I1957" s="341" t="str">
        <f t="shared" si="517"/>
        <v/>
      </c>
      <c r="J1957" s="341" t="str">
        <f>IF(A1957="","",VLOOKUP(A1957,VII.A!$A$10:$D$199,3,FALSE))</f>
        <v/>
      </c>
      <c r="K1957" s="342" t="str">
        <f t="shared" si="518"/>
        <v/>
      </c>
      <c r="L1957" s="380" t="str">
        <f t="shared" si="520"/>
        <v/>
      </c>
      <c r="M1957" s="381" t="str">
        <f>IF(A1957="","",VLOOKUP(A1957,VII.A!$A$10:$B$199,2,FALSE))</f>
        <v/>
      </c>
      <c r="N1957" s="342" t="str">
        <f t="shared" si="519"/>
        <v/>
      </c>
      <c r="R1957" s="341"/>
      <c r="S1957" s="341"/>
    </row>
    <row r="1958" spans="1:19" ht="12.75" customHeight="1">
      <c r="A1958" s="393"/>
      <c r="C1958" s="20"/>
      <c r="E1958" s="387"/>
      <c r="F1958" s="388">
        <f t="shared" si="516"/>
        <v>0</v>
      </c>
      <c r="G1958" s="391"/>
      <c r="H1958" s="341" t="str">
        <f>IF(A1958="","",VLOOKUP(A1958,VII.A!$A$10:$D$199,4,FALSE))</f>
        <v/>
      </c>
      <c r="I1958" s="341" t="str">
        <f t="shared" si="517"/>
        <v/>
      </c>
      <c r="J1958" s="341" t="str">
        <f>IF(A1958="","",VLOOKUP(A1958,VII.A!$A$10:$D$199,3,FALSE))</f>
        <v/>
      </c>
      <c r="K1958" s="342" t="str">
        <f t="shared" si="518"/>
        <v/>
      </c>
      <c r="L1958" s="380" t="str">
        <f t="shared" si="520"/>
        <v/>
      </c>
      <c r="M1958" s="381" t="str">
        <f>IF(A1958="","",VLOOKUP(A1958,VII.A!$A$10:$B$199,2,FALSE))</f>
        <v/>
      </c>
      <c r="N1958" s="342" t="str">
        <f t="shared" si="519"/>
        <v/>
      </c>
      <c r="R1958" s="341"/>
      <c r="S1958" s="341"/>
    </row>
    <row r="1959" spans="1:19" ht="12.75" customHeight="1">
      <c r="A1959" s="393"/>
      <c r="C1959" s="20"/>
      <c r="E1959" s="387"/>
      <c r="F1959" s="388">
        <f t="shared" si="516"/>
        <v>0</v>
      </c>
      <c r="H1959" s="341" t="str">
        <f>IF(A1959="","",VLOOKUP(A1959,VII.A!$A$10:$D$199,4,FALSE))</f>
        <v/>
      </c>
      <c r="I1959" s="341" t="str">
        <f t="shared" si="517"/>
        <v/>
      </c>
      <c r="J1959" s="341" t="str">
        <f>IF(A1959="","",VLOOKUP(A1959,VII.A!$A$10:$D$199,3,FALSE))</f>
        <v/>
      </c>
      <c r="K1959" s="342" t="str">
        <f t="shared" si="518"/>
        <v/>
      </c>
      <c r="L1959" s="380" t="str">
        <f t="shared" si="520"/>
        <v/>
      </c>
      <c r="M1959" s="381" t="str">
        <f>IF(A1959="","",VLOOKUP(A1959,VII.A!$A$10:$B$199,2,FALSE))</f>
        <v/>
      </c>
      <c r="N1959" s="342" t="str">
        <f t="shared" si="519"/>
        <v/>
      </c>
      <c r="R1959" s="341"/>
      <c r="S1959" s="341"/>
    </row>
    <row r="1960" spans="1:19" ht="12.75" customHeight="1">
      <c r="A1960" s="393"/>
      <c r="C1960" s="20"/>
      <c r="E1960" s="387"/>
      <c r="F1960" s="388">
        <f t="shared" si="516"/>
        <v>0</v>
      </c>
      <c r="H1960" s="341" t="str">
        <f>IF(A1960="","",VLOOKUP(A1960,VII.A!$A$10:$D$199,4,FALSE))</f>
        <v/>
      </c>
      <c r="I1960" s="341" t="str">
        <f t="shared" si="517"/>
        <v/>
      </c>
      <c r="J1960" s="341" t="str">
        <f>IF(A1960="","",VLOOKUP(A1960,VII.A!$A$10:$D$199,3,FALSE))</f>
        <v/>
      </c>
      <c r="K1960" s="342" t="str">
        <f t="shared" si="518"/>
        <v/>
      </c>
      <c r="L1960" s="380" t="str">
        <f t="shared" si="520"/>
        <v/>
      </c>
      <c r="M1960" s="381" t="str">
        <f>IF(A1960="","",VLOOKUP(A1960,VII.A!$A$10:$B$199,2,FALSE))</f>
        <v/>
      </c>
      <c r="N1960" s="342" t="str">
        <f t="shared" si="519"/>
        <v/>
      </c>
      <c r="R1960" s="341"/>
      <c r="S1960" s="341"/>
    </row>
    <row r="1961" spans="1:19" ht="12.75" customHeight="1">
      <c r="A1961" s="393"/>
      <c r="C1961" s="20"/>
      <c r="E1961" s="387"/>
      <c r="F1961" s="388">
        <f t="shared" si="516"/>
        <v>0</v>
      </c>
      <c r="H1961" s="341" t="str">
        <f>IF(A1961="","",VLOOKUP(A1961,VII.A!$A$10:$D$199,4,FALSE))</f>
        <v/>
      </c>
      <c r="I1961" s="341" t="str">
        <f t="shared" si="517"/>
        <v/>
      </c>
      <c r="J1961" s="341" t="str">
        <f>IF(A1961="","",VLOOKUP(A1961,VII.A!$A$10:$D$199,3,FALSE))</f>
        <v/>
      </c>
      <c r="K1961" s="342" t="str">
        <f t="shared" si="518"/>
        <v/>
      </c>
      <c r="L1961" s="380" t="str">
        <f t="shared" si="520"/>
        <v/>
      </c>
      <c r="M1961" s="381" t="str">
        <f>IF(A1961="","",VLOOKUP(A1961,VII.A!$A$10:$B$199,2,FALSE))</f>
        <v/>
      </c>
      <c r="N1961" s="342" t="str">
        <f t="shared" si="519"/>
        <v/>
      </c>
      <c r="R1961" s="341"/>
      <c r="S1961" s="341"/>
    </row>
    <row r="1962" spans="1:19" ht="12.75" customHeight="1">
      <c r="A1962" s="393"/>
      <c r="C1962" s="20"/>
      <c r="E1962" s="387"/>
      <c r="F1962" s="388">
        <f t="shared" si="516"/>
        <v>0</v>
      </c>
      <c r="H1962" s="341" t="str">
        <f>IF(A1962="","",VLOOKUP(A1962,VII.A!$A$10:$D$199,4,FALSE))</f>
        <v/>
      </c>
      <c r="I1962" s="341" t="str">
        <f t="shared" si="517"/>
        <v/>
      </c>
      <c r="J1962" s="341" t="str">
        <f>IF(A1962="","",VLOOKUP(A1962,VII.A!$A$10:$D$199,3,FALSE))</f>
        <v/>
      </c>
      <c r="K1962" s="342" t="str">
        <f t="shared" si="518"/>
        <v/>
      </c>
      <c r="L1962" s="380" t="str">
        <f t="shared" si="520"/>
        <v/>
      </c>
      <c r="M1962" s="381" t="str">
        <f>IF(A1962="","",VLOOKUP(A1962,VII.A!$A$10:$B$199,2,FALSE))</f>
        <v/>
      </c>
      <c r="N1962" s="342" t="str">
        <f t="shared" si="519"/>
        <v/>
      </c>
      <c r="R1962" s="341"/>
      <c r="S1962" s="341"/>
    </row>
    <row r="1963" spans="1:19" ht="12.75" customHeight="1">
      <c r="A1963" s="393"/>
      <c r="B1963" s="395" t="s">
        <v>226</v>
      </c>
      <c r="C1963" s="396"/>
      <c r="D1963" s="397"/>
      <c r="E1963" s="398"/>
      <c r="F1963" s="399">
        <f>SUM(F1953:F1962)</f>
        <v>0</v>
      </c>
      <c r="J1963" s="341"/>
      <c r="L1963" s="380"/>
      <c r="M1963" s="381"/>
      <c r="N1963" s="342"/>
      <c r="R1963" s="341"/>
      <c r="S1963" s="341"/>
    </row>
    <row r="1964" spans="1:19" ht="12.75" customHeight="1">
      <c r="A1964" s="393"/>
      <c r="B1964" s="400" t="s">
        <v>53</v>
      </c>
      <c r="C1964" s="2">
        <f>$D$8</f>
        <v>0</v>
      </c>
      <c r="D1964" s="401"/>
      <c r="E1964" s="402"/>
      <c r="F1964" s="403">
        <f>ROUND(C1964*F1963,2)</f>
        <v>0</v>
      </c>
      <c r="J1964" s="341"/>
      <c r="L1964" s="380"/>
      <c r="M1964" s="381"/>
      <c r="N1964" s="342"/>
      <c r="R1964" s="341"/>
      <c r="S1964" s="341"/>
    </row>
    <row r="1965" spans="1:19" ht="12.75" customHeight="1">
      <c r="A1965" s="404"/>
      <c r="B1965" s="405" t="s">
        <v>228</v>
      </c>
      <c r="C1965" s="406"/>
      <c r="D1965" s="406"/>
      <c r="E1965" s="407"/>
      <c r="F1965" s="408">
        <f>F1963+F1964</f>
        <v>0</v>
      </c>
      <c r="J1965" s="341"/>
      <c r="L1965" s="380"/>
      <c r="M1965" s="381"/>
      <c r="N1965" s="342"/>
      <c r="R1965" s="341"/>
      <c r="S1965" s="341"/>
    </row>
    <row r="1966" spans="1:19" ht="12.75" customHeight="1">
      <c r="A1966" s="409" t="s">
        <v>47</v>
      </c>
      <c r="B1966" s="410" t="s">
        <v>236</v>
      </c>
      <c r="C1966" s="411" t="s">
        <v>231</v>
      </c>
      <c r="D1966" s="412" t="s">
        <v>232</v>
      </c>
      <c r="E1966" s="413" t="s">
        <v>233</v>
      </c>
      <c r="F1966" s="378" t="s">
        <v>234</v>
      </c>
      <c r="J1966" s="341"/>
      <c r="L1966" s="380"/>
      <c r="M1966" s="381"/>
      <c r="N1966" s="342"/>
      <c r="R1966" s="341"/>
      <c r="S1966" s="341"/>
    </row>
    <row r="1967" spans="1:19" ht="12.75" customHeight="1">
      <c r="A1967" s="393" t="str">
        <f>VII.A!$A$196</f>
        <v>3.16</v>
      </c>
      <c r="B1967" s="394" t="s">
        <v>157</v>
      </c>
      <c r="C1967" s="20">
        <f>0.85+0.041232</f>
        <v>0.89123200000000002</v>
      </c>
      <c r="D1967" s="384" t="str">
        <f>VLOOKUP(A1967,VII.A!$A$10:$G$199,3,FALSE)</f>
        <v>H</v>
      </c>
      <c r="E1967" s="387">
        <f>VII.A!$D$196</f>
        <v>0</v>
      </c>
      <c r="F1967" s="388">
        <f t="shared" ref="F1967:F1973" si="521">ROUND(C1967*E1967,2)</f>
        <v>0</v>
      </c>
      <c r="H1967" s="341">
        <f>IF(A1967="","",VLOOKUP(A1967,VII.A!$A$10:$D$199,4,FALSE))</f>
        <v>0</v>
      </c>
      <c r="I1967" s="341" t="str">
        <f t="shared" ref="I1967:I1973" si="522">IF(A1967="","",IF(E1967=H1967,"SIM","NÃO"))</f>
        <v>SIM</v>
      </c>
      <c r="J1967" s="341" t="str">
        <f>IF(A1967="","",VLOOKUP(A1967,VII.A!$A$10:$D$199,3,FALSE))</f>
        <v>H</v>
      </c>
      <c r="K1967" s="342" t="str">
        <f t="shared" ref="K1967:K1973" si="523">IF(A1967="","",IF(J1967=D1967,"SIM","NÃO"))</f>
        <v>SIM</v>
      </c>
      <c r="L1967" s="380">
        <f>IF(C1967="","",G1931*C1967)</f>
        <v>6.2386239999999997</v>
      </c>
      <c r="M1967" s="381" t="str">
        <f>IF(A1967="","",VLOOKUP(A1967,VII.A!$A$10:$B$199,2,FALSE))</f>
        <v>SERVENTE COM ENCARGOS COMPLEMENTARES</v>
      </c>
      <c r="N1967" s="342" t="str">
        <f t="shared" ref="N1967:N1973" si="524">IF(B1967="","",IF(M1967=B1967,"si","no"))</f>
        <v>si</v>
      </c>
      <c r="R1967" s="341"/>
      <c r="S1967" s="341"/>
    </row>
    <row r="1968" spans="1:19" ht="12.75" customHeight="1">
      <c r="A1968" s="393" t="str">
        <f>VII.A!$A$192</f>
        <v>3.12</v>
      </c>
      <c r="B1968" s="394" t="s">
        <v>153</v>
      </c>
      <c r="C1968" s="20">
        <v>0.85</v>
      </c>
      <c r="D1968" s="384" t="str">
        <f>VLOOKUP(A1968,VII.A!$A$10:$G$199,3,FALSE)</f>
        <v>H</v>
      </c>
      <c r="E1968" s="387">
        <f>VII.A!$D$192</f>
        <v>0</v>
      </c>
      <c r="F1968" s="388">
        <f t="shared" si="521"/>
        <v>0</v>
      </c>
      <c r="H1968" s="341">
        <f>IF(A1968="","",VLOOKUP(A1968,VII.A!$A$10:$D$199,4,FALSE))</f>
        <v>0</v>
      </c>
      <c r="I1968" s="341" t="str">
        <f t="shared" si="522"/>
        <v>SIM</v>
      </c>
      <c r="J1968" s="341" t="str">
        <f>IF(A1968="","",VLOOKUP(A1968,VII.A!$A$10:$D$199,3,FALSE))</f>
        <v>H</v>
      </c>
      <c r="K1968" s="342" t="str">
        <f t="shared" si="523"/>
        <v>SIM</v>
      </c>
      <c r="L1968" s="380">
        <f>IF(C1968="","",G1931*C1968)</f>
        <v>5.95</v>
      </c>
      <c r="M1968" s="381" t="str">
        <f>IF(A1968="","",VLOOKUP(A1968,VII.A!$A$10:$B$199,2,FALSE))</f>
        <v>PEDREIRO COM ENCARGOS COMPLEMENTARES</v>
      </c>
      <c r="N1968" s="342" t="str">
        <f t="shared" si="524"/>
        <v>si</v>
      </c>
      <c r="R1968" s="341"/>
      <c r="S1968" s="341"/>
    </row>
    <row r="1969" spans="1:25" ht="12.75" customHeight="1">
      <c r="A1969" s="393"/>
      <c r="C1969" s="20"/>
      <c r="E1969" s="387"/>
      <c r="F1969" s="388">
        <f t="shared" si="521"/>
        <v>0</v>
      </c>
      <c r="H1969" s="341" t="str">
        <f>IF(A1969="","",VLOOKUP(A1969,VII.A!$A$10:$D$199,4,FALSE))</f>
        <v/>
      </c>
      <c r="I1969" s="341" t="str">
        <f t="shared" si="522"/>
        <v/>
      </c>
      <c r="J1969" s="341" t="str">
        <f>IF(A1969="","",VLOOKUP(A1969,VII.A!$A$10:$D$199,3,FALSE))</f>
        <v/>
      </c>
      <c r="K1969" s="342" t="str">
        <f t="shared" si="523"/>
        <v/>
      </c>
      <c r="L1969" s="380" t="str">
        <f>IF(C1969="","",G1931*C1969)</f>
        <v/>
      </c>
      <c r="M1969" s="381" t="str">
        <f>IF(A1969="","",VLOOKUP(A1969,VII.A!$A$10:$B$199,2,FALSE))</f>
        <v/>
      </c>
      <c r="N1969" s="342" t="str">
        <f t="shared" si="524"/>
        <v/>
      </c>
      <c r="R1969" s="341"/>
      <c r="S1969" s="341"/>
    </row>
    <row r="1970" spans="1:25" ht="12.75" customHeight="1">
      <c r="A1970" s="393"/>
      <c r="C1970" s="20"/>
      <c r="E1970" s="387"/>
      <c r="F1970" s="388">
        <f t="shared" si="521"/>
        <v>0</v>
      </c>
      <c r="H1970" s="341" t="str">
        <f>IF(A1970="","",VLOOKUP(A1970,VII.A!$A$10:$D$199,4,FALSE))</f>
        <v/>
      </c>
      <c r="I1970" s="341" t="str">
        <f t="shared" si="522"/>
        <v/>
      </c>
      <c r="J1970" s="341" t="str">
        <f>IF(A1970="","",VLOOKUP(A1970,VII.A!$A$10:$D$199,3,FALSE))</f>
        <v/>
      </c>
      <c r="K1970" s="342" t="str">
        <f t="shared" si="523"/>
        <v/>
      </c>
      <c r="L1970" s="380" t="str">
        <f>IF(C1970="","",G1931*C1970)</f>
        <v/>
      </c>
      <c r="M1970" s="381" t="str">
        <f>IF(A1970="","",VLOOKUP(A1970,VII.A!$A$10:$B$199,2,FALSE))</f>
        <v/>
      </c>
      <c r="N1970" s="342" t="str">
        <f t="shared" si="524"/>
        <v/>
      </c>
      <c r="R1970" s="341"/>
      <c r="S1970" s="341"/>
    </row>
    <row r="1971" spans="1:25" ht="12.75" customHeight="1">
      <c r="A1971" s="393"/>
      <c r="C1971" s="20"/>
      <c r="E1971" s="387"/>
      <c r="F1971" s="388">
        <f t="shared" si="521"/>
        <v>0</v>
      </c>
      <c r="H1971" s="341" t="str">
        <f>IF(A1971="","",VLOOKUP(A1971,VII.A!$A$10:$D$199,4,FALSE))</f>
        <v/>
      </c>
      <c r="I1971" s="341" t="str">
        <f t="shared" si="522"/>
        <v/>
      </c>
      <c r="J1971" s="341" t="str">
        <f>IF(A1971="","",VLOOKUP(A1971,VII.A!$A$10:$D$199,3,FALSE))</f>
        <v/>
      </c>
      <c r="K1971" s="342" t="str">
        <f t="shared" si="523"/>
        <v/>
      </c>
      <c r="L1971" s="380" t="str">
        <f>IF(C1971="","",G1931*C1971)</f>
        <v/>
      </c>
      <c r="M1971" s="381" t="str">
        <f>IF(A1971="","",VLOOKUP(A1971,VII.A!$A$10:$B$199,2,FALSE))</f>
        <v/>
      </c>
      <c r="N1971" s="342" t="str">
        <f t="shared" si="524"/>
        <v/>
      </c>
      <c r="R1971" s="341"/>
      <c r="S1971" s="341"/>
    </row>
    <row r="1972" spans="1:25" ht="12.75" customHeight="1">
      <c r="A1972" s="393"/>
      <c r="C1972" s="20"/>
      <c r="E1972" s="387"/>
      <c r="F1972" s="388">
        <f t="shared" si="521"/>
        <v>0</v>
      </c>
      <c r="H1972" s="341" t="str">
        <f>IF(A1972="","",VLOOKUP(A1972,VII.A!$A$10:$D$199,4,FALSE))</f>
        <v/>
      </c>
      <c r="I1972" s="341" t="str">
        <f t="shared" si="522"/>
        <v/>
      </c>
      <c r="J1972" s="341" t="str">
        <f>IF(A1972="","",VLOOKUP(A1972,VII.A!$A$10:$D$199,3,FALSE))</f>
        <v/>
      </c>
      <c r="K1972" s="342" t="str">
        <f t="shared" si="523"/>
        <v/>
      </c>
      <c r="L1972" s="380" t="str">
        <f>IF(C1972="","",G1931*C1972)</f>
        <v/>
      </c>
      <c r="M1972" s="381" t="str">
        <f>IF(A1972="","",VLOOKUP(A1972,VII.A!$A$10:$B$199,2,FALSE))</f>
        <v/>
      </c>
      <c r="N1972" s="342" t="str">
        <f t="shared" si="524"/>
        <v/>
      </c>
      <c r="R1972" s="341"/>
      <c r="S1972" s="341"/>
    </row>
    <row r="1973" spans="1:25" ht="12.75" customHeight="1">
      <c r="A1973" s="393"/>
      <c r="C1973" s="20"/>
      <c r="E1973" s="387"/>
      <c r="F1973" s="388">
        <f t="shared" si="521"/>
        <v>0</v>
      </c>
      <c r="H1973" s="341" t="str">
        <f>IF(A1973="","",VLOOKUP(A1973,VII.A!$A$10:$D$199,4,FALSE))</f>
        <v/>
      </c>
      <c r="I1973" s="341" t="str">
        <f t="shared" si="522"/>
        <v/>
      </c>
      <c r="J1973" s="341" t="str">
        <f>IF(A1973="","",VLOOKUP(A1973,VII.A!$A$10:$D$199,3,FALSE))</f>
        <v/>
      </c>
      <c r="K1973" s="342" t="str">
        <f t="shared" si="523"/>
        <v/>
      </c>
      <c r="L1973" s="380" t="str">
        <f>IF(C1973="","",G1931*C1973)</f>
        <v/>
      </c>
      <c r="M1973" s="381" t="str">
        <f>IF(A1973="","",VLOOKUP(A1973,VII.A!$A$10:$B$199,2,FALSE))</f>
        <v/>
      </c>
      <c r="N1973" s="342" t="str">
        <f t="shared" si="524"/>
        <v/>
      </c>
      <c r="R1973" s="341"/>
      <c r="S1973" s="341"/>
    </row>
    <row r="1974" spans="1:25" ht="12.75" customHeight="1">
      <c r="A1974" s="393"/>
      <c r="B1974" s="395" t="s">
        <v>226</v>
      </c>
      <c r="C1974" s="396"/>
      <c r="D1974" s="397"/>
      <c r="E1974" s="398"/>
      <c r="F1974" s="399">
        <f>SUM(F1967:F1973)</f>
        <v>0</v>
      </c>
      <c r="J1974" s="341"/>
      <c r="L1974" s="380"/>
      <c r="M1974" s="381"/>
      <c r="N1974" s="342"/>
      <c r="R1974" s="341"/>
      <c r="S1974" s="341"/>
    </row>
    <row r="1975" spans="1:25" ht="12.75" customHeight="1">
      <c r="A1975" s="393"/>
      <c r="B1975" s="400" t="s">
        <v>229</v>
      </c>
      <c r="C1975" s="2">
        <f>IX.A!$C$45</f>
        <v>0</v>
      </c>
      <c r="D1975" s="401"/>
      <c r="E1975" s="402"/>
      <c r="F1975" s="403">
        <f>ROUND(F1974*C1975,2)</f>
        <v>0</v>
      </c>
      <c r="J1975" s="341"/>
      <c r="L1975" s="380"/>
      <c r="M1975" s="381"/>
      <c r="N1975" s="342"/>
      <c r="R1975" s="341"/>
      <c r="S1975" s="341"/>
    </row>
    <row r="1976" spans="1:25" ht="12.75" customHeight="1">
      <c r="A1976" s="393"/>
      <c r="B1976" s="400" t="s">
        <v>53</v>
      </c>
      <c r="C1976" s="2">
        <f>$D$8</f>
        <v>0</v>
      </c>
      <c r="D1976" s="401"/>
      <c r="E1976" s="402"/>
      <c r="F1976" s="403">
        <f>ROUND(SUM(F1974:F1975)*C1976,2)</f>
        <v>0</v>
      </c>
      <c r="J1976" s="341"/>
      <c r="L1976" s="380"/>
      <c r="M1976" s="381"/>
      <c r="N1976" s="342"/>
      <c r="R1976" s="341"/>
      <c r="S1976" s="341"/>
    </row>
    <row r="1977" spans="1:25" ht="12.75" customHeight="1" thickBot="1">
      <c r="A1977" s="414"/>
      <c r="B1977" s="415" t="s">
        <v>230</v>
      </c>
      <c r="C1977" s="416"/>
      <c r="D1977" s="416"/>
      <c r="E1977" s="417"/>
      <c r="F1977" s="418">
        <f>SUM(F1974:F1976)</f>
        <v>0</v>
      </c>
      <c r="J1977" s="341"/>
      <c r="L1977" s="380"/>
      <c r="M1977" s="381"/>
      <c r="N1977" s="342"/>
      <c r="R1977" s="341"/>
      <c r="S1977" s="341"/>
    </row>
    <row r="1978" spans="1:25" ht="12.75" customHeight="1" thickBot="1">
      <c r="A1978" s="357"/>
      <c r="B1978" s="358"/>
      <c r="C1978" s="359"/>
      <c r="D1978" s="359"/>
      <c r="E1978" s="360"/>
      <c r="F1978" s="419"/>
      <c r="J1978" s="341"/>
      <c r="L1978" s="380"/>
      <c r="M1978" s="381"/>
      <c r="N1978" s="342"/>
      <c r="R1978" s="341"/>
      <c r="S1978" s="341"/>
    </row>
    <row r="1979" spans="1:25" ht="30" customHeight="1">
      <c r="A1979" s="370" t="str">
        <f>IV.A!$A$69</f>
        <v>3.3.8</v>
      </c>
      <c r="B1979" s="371" t="str">
        <f>IV.A!$B$69</f>
        <v>CONSTRUÇÃO DE MURO EM ALVENARIA EM BLOCO DE CONCRETO 14 X 19 X 39 CM COM 2,60M DE ALTURA, INCLUSIVE FUNDAÇÕES E GROUT - CONFORME MANUAL DO EMPREENDEDOR 2026</v>
      </c>
      <c r="C1979" s="871" t="s">
        <v>237</v>
      </c>
      <c r="D1979" s="872"/>
      <c r="E1979" s="372" t="str">
        <f>IV.A!$C$69</f>
        <v>M</v>
      </c>
      <c r="F1979" s="11">
        <f>ROUND(F1999+F2013+F2025,2)</f>
        <v>0</v>
      </c>
      <c r="G1979" s="1">
        <f>VLOOKUP(A1979,IV.A!$A$16:$L$172,4,FALSE)</f>
        <v>3000</v>
      </c>
      <c r="H1979" s="361">
        <f>SUM(F1981:F1996)+F1998</f>
        <v>0</v>
      </c>
      <c r="I1979" s="361">
        <f>SUM(F2001:F2010)+F2012</f>
        <v>0</v>
      </c>
      <c r="J1979" s="361">
        <f>SUM(F2015:F2021)+F2023+F2024</f>
        <v>0</v>
      </c>
      <c r="K1979" s="361">
        <f>SUM(H1979:J1979)</f>
        <v>0</v>
      </c>
      <c r="L1979" s="362" t="str">
        <f>IF(K1979=F1979,"SIM","NÃO")</f>
        <v>SIM</v>
      </c>
      <c r="M1979" s="373">
        <f>ROUND(SUM(F1981:F1996),2)+ROUND(SUM(F1981:F1996)*C1998,2)+ROUND(SUM(F2001:F2010)*C2012,2)+ROUND(SUM(F2001:F2010),2)+ROUND(SUM(F2015:F2021)*C2023,2)+ROUND((SUM(F2015:F2021)+ROUND(SUM(F2015:F2021)*C2023,2))*C2024,2)+ROUND(SUM(F2015:F2021),2)</f>
        <v>0</v>
      </c>
      <c r="N1979" s="343" t="str">
        <f>IF(M1979=F1979,"SIM","NÃO")</f>
        <v>SIM</v>
      </c>
      <c r="O1979" s="364" t="str">
        <f>VLOOKUP(A1979,IV.A!$A$16:$E$172,3,FALSE)</f>
        <v>M</v>
      </c>
      <c r="P1979" s="344" t="str">
        <f>IF(O1979=E1979,"SIM","NÃO")</f>
        <v>SIM</v>
      </c>
      <c r="Q1979" s="365">
        <f>ROUND(G1979*F1999,2)+ROUND(G1979*F2013,2)+ROUND(G1979*F2025,2)</f>
        <v>0</v>
      </c>
      <c r="R1979" s="364">
        <f>VLOOKUP(A1979,IV.A!$A$16:$L$172,12,FALSE)</f>
        <v>0</v>
      </c>
      <c r="S1979" s="366" t="str">
        <f>IF(Q1979=R1979,"si","no")</f>
        <v>si</v>
      </c>
      <c r="T1979" s="367">
        <f>SUM(L1981:L1996)+SUM(L2001:L2010)+SUM(L2015:L2021)</f>
        <v>697176.9</v>
      </c>
      <c r="U1979" s="341">
        <f>(SUM(C1981:C1996)+SUM(C2001:C2010)+SUM(C2015:C2021))*G1979</f>
        <v>697176.90000000014</v>
      </c>
      <c r="V1979" s="368" t="str">
        <f>IF(T1979=U1979,"si","no")</f>
        <v>si</v>
      </c>
      <c r="W1979" s="369">
        <f>SUM(F1981:F1996)</f>
        <v>0</v>
      </c>
      <c r="X1979" s="369">
        <f>SUM(F2001:F2010)</f>
        <v>0</v>
      </c>
      <c r="Y1979" s="369">
        <f>SUM(F2015:F2021)</f>
        <v>0</v>
      </c>
    </row>
    <row r="1980" spans="1:25" ht="12.75" customHeight="1">
      <c r="A1980" s="374" t="s">
        <v>14</v>
      </c>
      <c r="B1980" s="375" t="s">
        <v>132</v>
      </c>
      <c r="C1980" s="376" t="s">
        <v>231</v>
      </c>
      <c r="D1980" s="376" t="s">
        <v>232</v>
      </c>
      <c r="E1980" s="377" t="s">
        <v>233</v>
      </c>
      <c r="F1980" s="378" t="s">
        <v>234</v>
      </c>
      <c r="G1980" s="379"/>
      <c r="J1980" s="341"/>
      <c r="L1980" s="380"/>
      <c r="M1980" s="381"/>
      <c r="N1980" s="342"/>
      <c r="O1980" s="382"/>
      <c r="P1980" s="383"/>
      <c r="Q1980" s="383"/>
      <c r="R1980" s="383"/>
      <c r="S1980" s="383"/>
      <c r="T1980" s="382"/>
      <c r="U1980" s="341"/>
      <c r="V1980" s="384"/>
      <c r="W1980" s="384"/>
      <c r="X1980" s="384"/>
      <c r="Y1980" s="384"/>
    </row>
    <row r="1981" spans="1:25" ht="12.75" customHeight="1">
      <c r="A1981" s="385" t="str">
        <f>VII.A!$A$19</f>
        <v>1.10</v>
      </c>
      <c r="B1981" s="386" t="str">
        <f>IF($A1981&gt;0, VLOOKUP($A1981,VII.A!$A$10:$G$203,2,),"")</f>
        <v>AREIA MÉDIA LAVADA</v>
      </c>
      <c r="C1981" s="20">
        <f>ROUND((0.0147*2.6)+(0.72*0.45)+(0.0327*2),4)</f>
        <v>0.42759999999999998</v>
      </c>
      <c r="D1981" s="342" t="str">
        <f>IF($A1981&gt;0, VLOOKUP($A1981,VII.A!$A$10:$G$203,3,),"")</f>
        <v>M3</v>
      </c>
      <c r="E1981" s="387">
        <f>IF($A1981&gt;0, VLOOKUP($A1981,VII.A!$A$10:$G$203,4,),"")</f>
        <v>0</v>
      </c>
      <c r="F1981" s="388">
        <f>ROUND(C1981*E1981,2)</f>
        <v>0</v>
      </c>
      <c r="H1981" s="341">
        <f>IF(A1981="","",VLOOKUP(A1981,VII.A!$A$10:$D$199,4,FALSE))</f>
        <v>0</v>
      </c>
      <c r="I1981" s="341" t="str">
        <f t="shared" ref="I1981:I1996" si="525">IF(A1981="","",IF(E1981=H1981,"SIM","NÃO"))</f>
        <v>SIM</v>
      </c>
      <c r="J1981" s="341" t="str">
        <f>IF(A1981="","",VLOOKUP(A1981,VII.A!$A$10:$D$199,3,FALSE))</f>
        <v>M3</v>
      </c>
      <c r="K1981" s="342" t="str">
        <f t="shared" ref="K1981:K1996" si="526">IF(A1981="","",IF(J1981=D1981,"SIM","NÃO"))</f>
        <v>SIM</v>
      </c>
      <c r="L1981" s="380">
        <f>IF(C1981="","",G1979*C1981)</f>
        <v>1282.8</v>
      </c>
      <c r="M1981" s="381" t="str">
        <f>IF(A1981="","",VLOOKUP(A1981,VII.A!$A$10:$B$199,2,FALSE))</f>
        <v>AREIA MÉDIA LAVADA</v>
      </c>
      <c r="N1981" s="342" t="str">
        <f t="shared" ref="N1981:N1996" si="527">IF(B1981="","",IF(M1981=B1981,"si","no"))</f>
        <v>si</v>
      </c>
      <c r="R1981" s="341"/>
      <c r="S1981" s="341"/>
    </row>
    <row r="1982" spans="1:25" ht="12.75" customHeight="1">
      <c r="A1982" s="385" t="str">
        <f>VII.A!$A$127</f>
        <v>1.117</v>
      </c>
      <c r="B1982" s="386" t="str">
        <f>IF($A1982&gt;0, VLOOKUP($A1982,VII.A!$A$10:$G$203,2,),"")</f>
        <v>BLOCO DE CONCRETO ESTRUTURAL 14 x 19 x 39 CM - CLASSE A NBR 6136</v>
      </c>
      <c r="C1982" s="20">
        <f>ROUND((13.6*2.6),4)</f>
        <v>35.36</v>
      </c>
      <c r="D1982" s="342" t="str">
        <f>IF($A1982&gt;0, VLOOKUP($A1982,VII.A!$A$10:$G$203,3,),"")</f>
        <v>UN</v>
      </c>
      <c r="E1982" s="387">
        <f>IF($A1982&gt;0, VLOOKUP($A1982,VII.A!$A$10:$G$203,4,),"")</f>
        <v>0</v>
      </c>
      <c r="F1982" s="388">
        <f t="shared" ref="F1982:F1996" si="528">ROUND(C1982*E1982,2)</f>
        <v>0</v>
      </c>
      <c r="H1982" s="341">
        <f>IF(A1982="","",VLOOKUP(A1982,VII.A!$A$10:$D$199,4,FALSE))</f>
        <v>0</v>
      </c>
      <c r="I1982" s="341" t="str">
        <f t="shared" si="525"/>
        <v>SIM</v>
      </c>
      <c r="J1982" s="341" t="str">
        <f>IF(A1982="","",VLOOKUP(A1982,VII.A!$A$10:$D$199,3,FALSE))</f>
        <v>UN</v>
      </c>
      <c r="K1982" s="342" t="str">
        <f t="shared" si="526"/>
        <v>SIM</v>
      </c>
      <c r="L1982" s="380">
        <f>IF(C1982="","",G1979*C1982)</f>
        <v>106080</v>
      </c>
      <c r="M1982" s="381" t="str">
        <f>IF(A1982="","",VLOOKUP(A1982,VII.A!$A$10:$B$199,2,FALSE))</f>
        <v>BLOCO DE CONCRETO ESTRUTURAL 14 x 19 x 39 CM - CLASSE A NBR 6136</v>
      </c>
      <c r="N1982" s="342" t="str">
        <f t="shared" si="527"/>
        <v>si</v>
      </c>
      <c r="R1982" s="341"/>
      <c r="S1982" s="341"/>
    </row>
    <row r="1983" spans="1:25" ht="12.75" customHeight="1">
      <c r="A1983" s="385" t="str">
        <f>VII.A!$A$29</f>
        <v>1.20</v>
      </c>
      <c r="B1983" s="386" t="str">
        <f>IF($A1983&gt;0, VLOOKUP($A1983,VII.A!$A$10:$G$203,2,),"")</f>
        <v>CAL HIDRATADA CH III - NBR 7175</v>
      </c>
      <c r="C1983" s="20">
        <f>ROUND((2.2076*2.6),4)</f>
        <v>5.7397999999999998</v>
      </c>
      <c r="D1983" s="342" t="str">
        <f>IF($A1983&gt;0, VLOOKUP($A1983,VII.A!$A$10:$G$203,3,),"")</f>
        <v>KG</v>
      </c>
      <c r="E1983" s="387">
        <f>IF($A1983&gt;0, VLOOKUP($A1983,VII.A!$A$10:$G$203,4,),"")</f>
        <v>0</v>
      </c>
      <c r="F1983" s="388">
        <f t="shared" si="528"/>
        <v>0</v>
      </c>
      <c r="H1983" s="341">
        <f>IF(A1983="","",VLOOKUP(A1983,VII.A!$A$10:$D$199,4,FALSE))</f>
        <v>0</v>
      </c>
      <c r="I1983" s="341" t="str">
        <f t="shared" si="525"/>
        <v>SIM</v>
      </c>
      <c r="J1983" s="341" t="str">
        <f>IF(A1983="","",VLOOKUP(A1983,VII.A!$A$10:$D$199,3,FALSE))</f>
        <v>KG</v>
      </c>
      <c r="K1983" s="342" t="str">
        <f t="shared" si="526"/>
        <v>SIM</v>
      </c>
      <c r="L1983" s="380">
        <f>IF(C1983="","",G1979*C1983)</f>
        <v>17219.399999999998</v>
      </c>
      <c r="M1983" s="381" t="str">
        <f>IF(A1983="","",VLOOKUP(A1983,VII.A!$A$10:$B$199,2,FALSE))</f>
        <v>CAL HIDRATADA CH III - NBR 7175</v>
      </c>
      <c r="N1983" s="342" t="str">
        <f t="shared" si="527"/>
        <v>si</v>
      </c>
      <c r="R1983" s="341"/>
      <c r="S1983" s="341"/>
    </row>
    <row r="1984" spans="1:25" ht="12.75" customHeight="1">
      <c r="A1984" s="385" t="str">
        <f>VII.A!$A$38</f>
        <v>1.29</v>
      </c>
      <c r="B1984" s="386" t="str">
        <f>IF($A1984&gt;0, VLOOKUP($A1984,VII.A!$A$10:$G$203,2,),"")</f>
        <v>CIMENTO PORTLAND CP II-E-32</v>
      </c>
      <c r="C1984" s="20">
        <f>ROUND((2.4835*2.6)+(283*0.45)+(13.9818*2),4)</f>
        <v>161.77070000000001</v>
      </c>
      <c r="D1984" s="342" t="str">
        <f>IF($A1984&gt;0, VLOOKUP($A1984,VII.A!$A$10:$G$203,3,),"")</f>
        <v>KG</v>
      </c>
      <c r="E1984" s="387">
        <f>IF($A1984&gt;0, VLOOKUP($A1984,VII.A!$A$10:$G$203,4,),"")</f>
        <v>0</v>
      </c>
      <c r="F1984" s="388">
        <f t="shared" si="528"/>
        <v>0</v>
      </c>
      <c r="H1984" s="341">
        <f>IF(A1984="","",VLOOKUP(A1984,VII.A!$A$10:$D$199,4,FALSE))</f>
        <v>0</v>
      </c>
      <c r="I1984" s="341" t="str">
        <f t="shared" si="525"/>
        <v>SIM</v>
      </c>
      <c r="J1984" s="341" t="str">
        <f>IF(A1984="","",VLOOKUP(A1984,VII.A!$A$10:$D$199,3,FALSE))</f>
        <v>KG</v>
      </c>
      <c r="K1984" s="342" t="str">
        <f t="shared" si="526"/>
        <v>SIM</v>
      </c>
      <c r="L1984" s="380">
        <f>IF(C1984="","",G1979*C1984)</f>
        <v>485312.10000000003</v>
      </c>
      <c r="M1984" s="381" t="str">
        <f>IF(A1984="","",VLOOKUP(A1984,VII.A!$A$10:$B$199,2,FALSE))</f>
        <v>CIMENTO PORTLAND CP II-E-32</v>
      </c>
      <c r="N1984" s="342" t="str">
        <f t="shared" si="527"/>
        <v>si</v>
      </c>
      <c r="R1984" s="341"/>
      <c r="S1984" s="341"/>
    </row>
    <row r="1985" spans="1:21" ht="12.75" customHeight="1">
      <c r="A1985" s="385" t="str">
        <f>VII.A!$A$104</f>
        <v>1.94</v>
      </c>
      <c r="B1985" s="386" t="str">
        <f>IF($A1985&gt;0, VLOOKUP($A1985,VII.A!$A$10:$G$203,2,),"")</f>
        <v>TELA DE AÇO SOLDADA GALVANIZADA/ZINCADA PARA ALVENARIA, FIO D = 1,20 A 1,70 MM, MALHA 15 X 15 MM, (C X L) 50 X 7,5CM</v>
      </c>
      <c r="C1985" s="20">
        <f>ROUND((0.42*2.6),4)</f>
        <v>1.0920000000000001</v>
      </c>
      <c r="D1985" s="342" t="str">
        <f>IF($A1985&gt;0, VLOOKUP($A1985,VII.A!$A$10:$G$203,3,),"")</f>
        <v>M</v>
      </c>
      <c r="E1985" s="387">
        <f>IF($A1985&gt;0, VLOOKUP($A1985,VII.A!$A$10:$G$203,4,),"")</f>
        <v>0</v>
      </c>
      <c r="F1985" s="388">
        <f t="shared" si="528"/>
        <v>0</v>
      </c>
      <c r="H1985" s="341">
        <f>IF(A1985="","",VLOOKUP(A1985,VII.A!$A$10:$D$199,4,FALSE))</f>
        <v>0</v>
      </c>
      <c r="I1985" s="341" t="str">
        <f t="shared" si="525"/>
        <v>SIM</v>
      </c>
      <c r="J1985" s="341" t="str">
        <f>IF(A1985="","",VLOOKUP(A1985,VII.A!$A$10:$D$199,3,FALSE))</f>
        <v>M</v>
      </c>
      <c r="K1985" s="342" t="str">
        <f t="shared" si="526"/>
        <v>SIM</v>
      </c>
      <c r="L1985" s="380">
        <f>IF(C1985="","",G1979*C1985)</f>
        <v>3276.0000000000005</v>
      </c>
      <c r="M1985" s="381" t="str">
        <f>IF(A1985="","",VLOOKUP(A1985,VII.A!$A$10:$B$199,2,FALSE))</f>
        <v>TELA DE AÇO SOLDADA GALVANIZADA/ZINCADA PARA ALVENARIA, FIO D = 1,20 A 1,70 MM, MALHA 15 X 15 MM, (C X L) 50 X 7,5CM</v>
      </c>
      <c r="N1985" s="342" t="str">
        <f t="shared" si="527"/>
        <v>si</v>
      </c>
      <c r="R1985" s="341"/>
      <c r="S1985" s="341"/>
    </row>
    <row r="1986" spans="1:21" ht="12.75" customHeight="1">
      <c r="A1986" s="385" t="str">
        <f>VII.A!$A$82</f>
        <v>1.73</v>
      </c>
      <c r="B1986" s="386" t="str">
        <f>IF($A1986&gt;0, VLOOKUP($A1986,VII.A!$A$10:$G$203,2,),"")</f>
        <v>PEDRA BRITADA Nº 1 GRANULOMETRIA ENTRE (9,5 E 25,00 MM)</v>
      </c>
      <c r="C1986" s="20">
        <f>ROUND((1.2*0.02),4)</f>
        <v>2.4E-2</v>
      </c>
      <c r="D1986" s="342" t="str">
        <f>IF($A1986&gt;0, VLOOKUP($A1986,VII.A!$A$10:$G$203,3,),"")</f>
        <v>M3</v>
      </c>
      <c r="E1986" s="387">
        <f>IF($A1986&gt;0, VLOOKUP($A1986,VII.A!$A$10:$G$203,4,),"")</f>
        <v>0</v>
      </c>
      <c r="F1986" s="388">
        <f t="shared" si="528"/>
        <v>0</v>
      </c>
      <c r="H1986" s="341">
        <f>IF(A1986="","",VLOOKUP(A1986,VII.A!$A$10:$D$199,4,FALSE))</f>
        <v>0</v>
      </c>
      <c r="I1986" s="341" t="str">
        <f t="shared" si="525"/>
        <v>SIM</v>
      </c>
      <c r="J1986" s="341" t="str">
        <f>IF(A1986="","",VLOOKUP(A1986,VII.A!$A$10:$D$199,3,FALSE))</f>
        <v>M3</v>
      </c>
      <c r="K1986" s="342" t="str">
        <f t="shared" si="526"/>
        <v>SIM</v>
      </c>
      <c r="L1986" s="380">
        <f>IF(C1986="","",G1979*C1986)</f>
        <v>72</v>
      </c>
      <c r="M1986" s="381" t="str">
        <f>IF(A1986="","",VLOOKUP(A1986,VII.A!$A$10:$B$199,2,FALSE))</f>
        <v>PEDRA BRITADA Nº 1 GRANULOMETRIA ENTRE (9,5 E 25,00 MM)</v>
      </c>
      <c r="N1986" s="342" t="str">
        <f t="shared" si="527"/>
        <v>si</v>
      </c>
      <c r="R1986" s="341"/>
      <c r="S1986" s="341"/>
      <c r="U1986" s="389"/>
    </row>
    <row r="1987" spans="1:21" ht="12.75" customHeight="1">
      <c r="A1987" s="385" t="str">
        <f>VII.A!$A$81</f>
        <v>1.72</v>
      </c>
      <c r="B1987" s="386" t="str">
        <f>IF($A1987&gt;0, VLOOKUP($A1987,VII.A!$A$10:$G$203,2,),"")</f>
        <v>PEDRISCO GRANULOMETRIA ENTRE (0,075 E 4,8 MM) NBR 7225</v>
      </c>
      <c r="C1987" s="20">
        <f>ROUND((0.28*0.45),4)</f>
        <v>0.126</v>
      </c>
      <c r="D1987" s="342" t="str">
        <f>IF($A1987&gt;0, VLOOKUP($A1987,VII.A!$A$10:$G$203,3,),"")</f>
        <v>M3</v>
      </c>
      <c r="E1987" s="387">
        <f>IF($A1987&gt;0, VLOOKUP($A1987,VII.A!$A$10:$G$203,4,),"")</f>
        <v>0</v>
      </c>
      <c r="F1987" s="388">
        <f t="shared" si="528"/>
        <v>0</v>
      </c>
      <c r="H1987" s="341">
        <f>IF(A1987="","",VLOOKUP(A1987,VII.A!$A$10:$D$199,4,FALSE))</f>
        <v>0</v>
      </c>
      <c r="I1987" s="341" t="str">
        <f t="shared" si="525"/>
        <v>SIM</v>
      </c>
      <c r="J1987" s="341" t="str">
        <f>IF(A1987="","",VLOOKUP(A1987,VII.A!$A$10:$D$199,3,FALSE))</f>
        <v>M3</v>
      </c>
      <c r="K1987" s="342" t="str">
        <f t="shared" si="526"/>
        <v>SIM</v>
      </c>
      <c r="L1987" s="380">
        <f>IF(C1987="","",G1979*C1987)</f>
        <v>378</v>
      </c>
      <c r="M1987" s="381" t="str">
        <f>IF(A1987="","",VLOOKUP(A1987,VII.A!$A$10:$B$199,2,FALSE))</f>
        <v>PEDRISCO GRANULOMETRIA ENTRE (0,075 E 4,8 MM) NBR 7225</v>
      </c>
      <c r="N1987" s="342" t="str">
        <f t="shared" si="527"/>
        <v>si</v>
      </c>
      <c r="R1987" s="341"/>
      <c r="S1987" s="341"/>
    </row>
    <row r="1988" spans="1:21" ht="12.75" customHeight="1">
      <c r="A1988" s="385" t="str">
        <f>VII.A!$A$41</f>
        <v>1.32</v>
      </c>
      <c r="B1988" s="386" t="str">
        <f>IF($A1988&gt;0, VLOOKUP($A1988,VII.A!$A$10:$G$203,2,),"")</f>
        <v>CONCRETO USINADO FCK = 20,0 MPA</v>
      </c>
      <c r="C1988" s="20">
        <f>ROUND((1.05*0.18),4)</f>
        <v>0.189</v>
      </c>
      <c r="D1988" s="342" t="str">
        <f>IF($A1988&gt;0, VLOOKUP($A1988,VII.A!$A$10:$G$203,3,),"")</f>
        <v>M3</v>
      </c>
      <c r="E1988" s="387">
        <f>IF($A1988&gt;0, VLOOKUP($A1988,VII.A!$A$10:$G$203,4,),"")</f>
        <v>0</v>
      </c>
      <c r="F1988" s="388">
        <f t="shared" si="528"/>
        <v>0</v>
      </c>
      <c r="G1988" s="390"/>
      <c r="H1988" s="341">
        <f>IF(A1988="","",VLOOKUP(A1988,VII.A!$A$10:$D$199,4,FALSE))</f>
        <v>0</v>
      </c>
      <c r="I1988" s="341" t="str">
        <f t="shared" si="525"/>
        <v>SIM</v>
      </c>
      <c r="J1988" s="341" t="str">
        <f>IF(A1988="","",VLOOKUP(A1988,VII.A!$A$10:$D$199,3,FALSE))</f>
        <v>M3</v>
      </c>
      <c r="K1988" s="342" t="str">
        <f t="shared" si="526"/>
        <v>SIM</v>
      </c>
      <c r="L1988" s="380">
        <f>IF(C1988="","",G1979*C1988)</f>
        <v>567</v>
      </c>
      <c r="M1988" s="381" t="str">
        <f>IF(A1988="","",VLOOKUP(A1988,VII.A!$A$10:$B$199,2,FALSE))</f>
        <v>CONCRETO USINADO FCK = 20,0 MPA</v>
      </c>
      <c r="N1988" s="342" t="str">
        <f t="shared" si="527"/>
        <v>si</v>
      </c>
      <c r="R1988" s="341"/>
      <c r="S1988" s="341"/>
    </row>
    <row r="1989" spans="1:21" ht="12.75" customHeight="1">
      <c r="A1989" s="385" t="str">
        <f>VII.A!$A$10</f>
        <v>1.1</v>
      </c>
      <c r="B1989" s="386" t="str">
        <f>IF($A1989&gt;0, VLOOKUP($A1989,VII.A!$A$10:$G$203,2,),"")</f>
        <v>AÇO CA-50 (MÉDIA DAS BITOLAS)</v>
      </c>
      <c r="C1989" s="20">
        <f>ROUND((1.5096*2)+(1.1*9.2),4)</f>
        <v>13.139200000000001</v>
      </c>
      <c r="D1989" s="342" t="str">
        <f>IF($A1989&gt;0, VLOOKUP($A1989,VII.A!$A$10:$G$203,3,),"")</f>
        <v>KG</v>
      </c>
      <c r="E1989" s="387">
        <f>IF($A1989&gt;0, VLOOKUP($A1989,VII.A!$A$10:$G$203,4,),"")</f>
        <v>0</v>
      </c>
      <c r="F1989" s="388">
        <f t="shared" si="528"/>
        <v>0</v>
      </c>
      <c r="G1989" s="390"/>
      <c r="H1989" s="341">
        <f>IF(A1989="","",VLOOKUP(A1989,VII.A!$A$10:$D$199,4,FALSE))</f>
        <v>0</v>
      </c>
      <c r="I1989" s="341" t="str">
        <f t="shared" si="525"/>
        <v>SIM</v>
      </c>
      <c r="J1989" s="341" t="str">
        <f>IF(A1989="","",VLOOKUP(A1989,VII.A!$A$10:$D$199,3,FALSE))</f>
        <v>KG</v>
      </c>
      <c r="K1989" s="342" t="str">
        <f t="shared" si="526"/>
        <v>SIM</v>
      </c>
      <c r="L1989" s="380">
        <f>IF(C1989="","",G1979*C1989)</f>
        <v>39417.599999999999</v>
      </c>
      <c r="M1989" s="381" t="str">
        <f>IF(A1989="","",VLOOKUP(A1989,VII.A!$A$10:$B$199,2,FALSE))</f>
        <v>AÇO CA-50 (MÉDIA DAS BITOLAS)</v>
      </c>
      <c r="N1989" s="342" t="str">
        <f t="shared" si="527"/>
        <v>si</v>
      </c>
      <c r="R1989" s="341"/>
      <c r="S1989" s="341"/>
    </row>
    <row r="1990" spans="1:21" ht="12.75" customHeight="1">
      <c r="A1990" s="385" t="str">
        <f>VII.A!$A$18</f>
        <v>1.9</v>
      </c>
      <c r="B1990" s="386" t="str">
        <f>IF($A1990&gt;0, VLOOKUP($A1990,VII.A!$A$10:$G$203,2,),"")</f>
        <v>ARAME RECOZIDO 18 BWG - 1,25MM - 9,60 G/M</v>
      </c>
      <c r="C1990" s="20">
        <f>ROUND((0.03*9.2),4)</f>
        <v>0.27600000000000002</v>
      </c>
      <c r="D1990" s="342" t="str">
        <f>IF($A1990&gt;0, VLOOKUP($A1990,VII.A!$A$10:$G$203,3,),"")</f>
        <v>KG</v>
      </c>
      <c r="E1990" s="387">
        <f>IF($A1990&gt;0, VLOOKUP($A1990,VII.A!$A$10:$G$203,4,),"")</f>
        <v>0</v>
      </c>
      <c r="F1990" s="388">
        <f t="shared" si="528"/>
        <v>0</v>
      </c>
      <c r="G1990" s="391"/>
      <c r="H1990" s="341">
        <f>IF(A1990="","",VLOOKUP(A1990,VII.A!$A$10:$D$199,4,FALSE))</f>
        <v>0</v>
      </c>
      <c r="I1990" s="341" t="str">
        <f t="shared" si="525"/>
        <v>SIM</v>
      </c>
      <c r="J1990" s="341" t="str">
        <f>IF(A1990="","",VLOOKUP(A1990,VII.A!$A$10:$D$199,3,FALSE))</f>
        <v>KG</v>
      </c>
      <c r="K1990" s="342" t="str">
        <f t="shared" si="526"/>
        <v>SIM</v>
      </c>
      <c r="L1990" s="380">
        <f>IF(C1990="","",G1979*C1990)</f>
        <v>828.00000000000011</v>
      </c>
      <c r="M1990" s="381" t="str">
        <f>IF(A1990="","",VLOOKUP(A1990,VII.A!$A$10:$B$199,2,FALSE))</f>
        <v>ARAME RECOZIDO 18 BWG - 1,25MM - 9,60 G/M</v>
      </c>
      <c r="N1990" s="342" t="str">
        <f t="shared" si="527"/>
        <v>si</v>
      </c>
      <c r="R1990" s="341"/>
      <c r="S1990" s="341"/>
    </row>
    <row r="1991" spans="1:21" ht="12.75" customHeight="1">
      <c r="A1991" s="385" t="str">
        <f>VII.A!$A$84</f>
        <v>1.74</v>
      </c>
      <c r="B1991" s="386" t="str">
        <f>IF($A1991&gt;0, VLOOKUP($A1991,VII.A!$A$10:$G$203,2,),"")</f>
        <v>PEDRA BRITADA Nº 2 GRANULOMETRIA ENTRE (21,0 E 32,0 MM)</v>
      </c>
      <c r="C1991" s="20">
        <f>ROUND((0.0254*2),4)</f>
        <v>5.0799999999999998E-2</v>
      </c>
      <c r="D1991" s="342" t="str">
        <f>IF($A1991&gt;0, VLOOKUP($A1991,VII.A!$A$10:$G$203,3,),"")</f>
        <v>M3</v>
      </c>
      <c r="E1991" s="387">
        <f>IF($A1991&gt;0, VLOOKUP($A1991,VII.A!$A$10:$G$203,4,),"")</f>
        <v>0</v>
      </c>
      <c r="F1991" s="388">
        <f t="shared" si="528"/>
        <v>0</v>
      </c>
      <c r="H1991" s="341">
        <f>IF(A1991="","",VLOOKUP(A1991,VII.A!$A$10:$D$199,4,FALSE))</f>
        <v>0</v>
      </c>
      <c r="I1991" s="341" t="str">
        <f t="shared" si="525"/>
        <v>SIM</v>
      </c>
      <c r="J1991" s="341" t="str">
        <f>IF(A1991="","",VLOOKUP(A1991,VII.A!$A$10:$D$199,3,FALSE))</f>
        <v>M3</v>
      </c>
      <c r="K1991" s="342" t="str">
        <f t="shared" si="526"/>
        <v>SIM</v>
      </c>
      <c r="L1991" s="380">
        <f>IF(C1991="","",G1979*C1991)</f>
        <v>152.4</v>
      </c>
      <c r="M1991" s="381" t="str">
        <f>IF(A1991="","",VLOOKUP(A1991,VII.A!$A$10:$B$199,2,FALSE))</f>
        <v>PEDRA BRITADA Nº 2 GRANULOMETRIA ENTRE (21,0 E 32,0 MM)</v>
      </c>
      <c r="N1991" s="342" t="str">
        <f t="shared" si="527"/>
        <v>si</v>
      </c>
      <c r="R1991" s="341"/>
      <c r="S1991" s="341"/>
    </row>
    <row r="1992" spans="1:21" ht="12.75" customHeight="1">
      <c r="A1992" s="385"/>
      <c r="B1992" s="386"/>
      <c r="C1992" s="20"/>
      <c r="D1992" s="392"/>
      <c r="E1992" s="387"/>
      <c r="F1992" s="388">
        <f t="shared" si="528"/>
        <v>0</v>
      </c>
      <c r="H1992" s="341" t="str">
        <f>IF(A1992="","",VLOOKUP(A1992,VII.A!$A$10:$D$199,4,FALSE))</f>
        <v/>
      </c>
      <c r="I1992" s="341" t="str">
        <f t="shared" si="525"/>
        <v/>
      </c>
      <c r="J1992" s="341" t="str">
        <f>IF(A1992="","",VLOOKUP(A1992,VII.A!$A$10:$D$199,3,FALSE))</f>
        <v/>
      </c>
      <c r="K1992" s="342" t="str">
        <f t="shared" si="526"/>
        <v/>
      </c>
      <c r="L1992" s="380" t="str">
        <f>IF(C1992="","",G1979*C1992)</f>
        <v/>
      </c>
      <c r="M1992" s="381" t="str">
        <f>IF(A1992="","",VLOOKUP(A1992,VII.A!$A$10:$B$199,2,FALSE))</f>
        <v/>
      </c>
      <c r="N1992" s="342" t="str">
        <f t="shared" si="527"/>
        <v/>
      </c>
      <c r="R1992" s="341"/>
      <c r="S1992" s="341"/>
    </row>
    <row r="1993" spans="1:21" ht="12.75" customHeight="1">
      <c r="A1993" s="385"/>
      <c r="B1993" s="386"/>
      <c r="C1993" s="20"/>
      <c r="D1993" s="392"/>
      <c r="E1993" s="387"/>
      <c r="F1993" s="388">
        <f t="shared" si="528"/>
        <v>0</v>
      </c>
      <c r="H1993" s="341" t="str">
        <f>IF(A1993="","",VLOOKUP(A1993,VII.A!$A$10:$D$199,4,FALSE))</f>
        <v/>
      </c>
      <c r="I1993" s="341" t="str">
        <f t="shared" si="525"/>
        <v/>
      </c>
      <c r="J1993" s="341" t="str">
        <f>IF(A1993="","",VLOOKUP(A1993,VII.A!$A$10:$D$199,3,FALSE))</f>
        <v/>
      </c>
      <c r="K1993" s="342" t="str">
        <f t="shared" si="526"/>
        <v/>
      </c>
      <c r="L1993" s="380" t="str">
        <f>IF(C1993="","",G1979*C1993)</f>
        <v/>
      </c>
      <c r="M1993" s="381" t="str">
        <f>IF(A1993="","",VLOOKUP(A1993,VII.A!$A$10:$B$199,2,FALSE))</f>
        <v/>
      </c>
      <c r="N1993" s="342" t="str">
        <f t="shared" si="527"/>
        <v/>
      </c>
      <c r="O1993" s="342"/>
      <c r="R1993" s="341"/>
      <c r="S1993" s="341"/>
    </row>
    <row r="1994" spans="1:21" ht="12.75" customHeight="1">
      <c r="A1994" s="385"/>
      <c r="B1994" s="386"/>
      <c r="C1994" s="20"/>
      <c r="D1994" s="392"/>
      <c r="E1994" s="387"/>
      <c r="F1994" s="388">
        <f t="shared" si="528"/>
        <v>0</v>
      </c>
      <c r="H1994" s="341" t="str">
        <f>IF(A1994="","",VLOOKUP(A1994,VII.A!$A$10:$D$199,4,FALSE))</f>
        <v/>
      </c>
      <c r="I1994" s="341" t="str">
        <f t="shared" si="525"/>
        <v/>
      </c>
      <c r="J1994" s="341" t="str">
        <f>IF(A1994="","",VLOOKUP(A1994,VII.A!$A$10:$D$199,3,FALSE))</f>
        <v/>
      </c>
      <c r="K1994" s="342" t="str">
        <f t="shared" si="526"/>
        <v/>
      </c>
      <c r="L1994" s="380" t="str">
        <f>IF(C1994="","",G1979*C1994)</f>
        <v/>
      </c>
      <c r="M1994" s="381" t="str">
        <f>IF(A1994="","",VLOOKUP(A1994,VII.A!$A$10:$B$199,2,FALSE))</f>
        <v/>
      </c>
      <c r="N1994" s="342" t="str">
        <f t="shared" si="527"/>
        <v/>
      </c>
      <c r="R1994" s="341"/>
      <c r="S1994" s="341"/>
    </row>
    <row r="1995" spans="1:21" ht="12.75" customHeight="1">
      <c r="A1995" s="393"/>
      <c r="C1995" s="20"/>
      <c r="E1995" s="387"/>
      <c r="F1995" s="388">
        <f t="shared" si="528"/>
        <v>0</v>
      </c>
      <c r="H1995" s="341" t="str">
        <f>IF(A1995="","",VLOOKUP(A1995,VII.A!$A$10:$D$199,4,FALSE))</f>
        <v/>
      </c>
      <c r="I1995" s="341" t="str">
        <f t="shared" si="525"/>
        <v/>
      </c>
      <c r="J1995" s="341" t="str">
        <f>IF(A1995="","",VLOOKUP(A1995,VII.A!$A$10:$D$199,3,FALSE))</f>
        <v/>
      </c>
      <c r="K1995" s="342" t="str">
        <f t="shared" si="526"/>
        <v/>
      </c>
      <c r="L1995" s="380" t="str">
        <f>IF(C1995="","",G1979*C1995)</f>
        <v/>
      </c>
      <c r="M1995" s="381" t="str">
        <f>IF(A1995="","",VLOOKUP(A1995,VII.A!$A$10:$B$199,2,FALSE))</f>
        <v/>
      </c>
      <c r="N1995" s="342" t="str">
        <f t="shared" si="527"/>
        <v/>
      </c>
      <c r="R1995" s="341"/>
      <c r="S1995" s="341"/>
    </row>
    <row r="1996" spans="1:21" ht="12.75" customHeight="1">
      <c r="A1996" s="393"/>
      <c r="C1996" s="20"/>
      <c r="E1996" s="387"/>
      <c r="F1996" s="388">
        <f t="shared" si="528"/>
        <v>0</v>
      </c>
      <c r="H1996" s="341" t="str">
        <f>IF(A1996="","",VLOOKUP(A1996,VII.A!$A$10:$D$199,4,FALSE))</f>
        <v/>
      </c>
      <c r="I1996" s="341" t="str">
        <f t="shared" si="525"/>
        <v/>
      </c>
      <c r="J1996" s="341" t="str">
        <f>IF(A1996="","",VLOOKUP(A1996,VII.A!$A$10:$D$199,3,FALSE))</f>
        <v/>
      </c>
      <c r="K1996" s="342" t="str">
        <f t="shared" si="526"/>
        <v/>
      </c>
      <c r="L1996" s="380" t="str">
        <f>IF(C1996="","",G1979*C1996)</f>
        <v/>
      </c>
      <c r="M1996" s="381" t="str">
        <f>IF(A1996="","",VLOOKUP(A1996,VII.A!$A$10:$B$199,2,FALSE))</f>
        <v/>
      </c>
      <c r="N1996" s="342" t="str">
        <f t="shared" si="527"/>
        <v/>
      </c>
      <c r="R1996" s="341"/>
      <c r="S1996" s="341"/>
    </row>
    <row r="1997" spans="1:21" ht="12.75" customHeight="1">
      <c r="A1997" s="393"/>
      <c r="B1997" s="395" t="s">
        <v>226</v>
      </c>
      <c r="C1997" s="396"/>
      <c r="D1997" s="397"/>
      <c r="E1997" s="398"/>
      <c r="F1997" s="399">
        <f>SUM(F1981:F1996)</f>
        <v>0</v>
      </c>
      <c r="H1997" s="426" t="s">
        <v>434</v>
      </c>
      <c r="J1997" s="341"/>
      <c r="L1997" s="380"/>
      <c r="M1997" s="381"/>
      <c r="N1997" s="342"/>
      <c r="R1997" s="341"/>
      <c r="S1997" s="341"/>
    </row>
    <row r="1998" spans="1:21" ht="12.75" customHeight="1">
      <c r="A1998" s="393"/>
      <c r="B1998" s="400" t="s">
        <v>53</v>
      </c>
      <c r="C1998" s="2">
        <f>$D$8</f>
        <v>0</v>
      </c>
      <c r="D1998" s="401"/>
      <c r="E1998" s="402"/>
      <c r="F1998" s="403">
        <f>ROUND(F1997*C1998,2)</f>
        <v>0</v>
      </c>
      <c r="J1998" s="341"/>
      <c r="L1998" s="380"/>
      <c r="M1998" s="381"/>
      <c r="N1998" s="342"/>
      <c r="R1998" s="341"/>
      <c r="S1998" s="341"/>
    </row>
    <row r="1999" spans="1:21" ht="12.75" customHeight="1">
      <c r="A1999" s="404"/>
      <c r="B1999" s="405" t="s">
        <v>227</v>
      </c>
      <c r="C1999" s="406"/>
      <c r="D1999" s="406"/>
      <c r="E1999" s="407"/>
      <c r="F1999" s="408">
        <f>F1997+F1998</f>
        <v>0</v>
      </c>
      <c r="J1999" s="341"/>
      <c r="L1999" s="380"/>
      <c r="M1999" s="381"/>
      <c r="N1999" s="342"/>
      <c r="R1999" s="341"/>
      <c r="S1999" s="341"/>
    </row>
    <row r="2000" spans="1:21" ht="12.75" customHeight="1">
      <c r="A2000" s="374" t="s">
        <v>2</v>
      </c>
      <c r="B2000" s="375" t="s">
        <v>235</v>
      </c>
      <c r="C2000" s="376" t="s">
        <v>231</v>
      </c>
      <c r="D2000" s="376" t="s">
        <v>232</v>
      </c>
      <c r="E2000" s="377" t="s">
        <v>233</v>
      </c>
      <c r="F2000" s="378" t="s">
        <v>234</v>
      </c>
      <c r="J2000" s="341"/>
      <c r="L2000" s="380"/>
      <c r="M2000" s="381"/>
      <c r="N2000" s="342"/>
      <c r="R2000" s="341"/>
      <c r="S2000" s="341"/>
    </row>
    <row r="2001" spans="1:19" ht="12.75" customHeight="1">
      <c r="A2001" s="393" t="str">
        <f>VII.A!$A$148</f>
        <v>2.6</v>
      </c>
      <c r="B2001" s="386" t="str">
        <f>IF($A2001&gt;0, VLOOKUP($A2001,VII.A!$A$10:$G$203,2,),"")</f>
        <v>BETONEIRA, CAPACIDADE NOMINAL DE 400L, MOTOR ELÉTRICO TRIFÁSICO DE  2CV - CHI</v>
      </c>
      <c r="C2001" s="20">
        <f>ROUND((0.125*2.6)*4*2.9,4)</f>
        <v>3.77</v>
      </c>
      <c r="D2001" s="342" t="str">
        <f>IF($A2001&gt;0, VLOOKUP($A2001,VII.A!$A$10:$G$203,3,),"")</f>
        <v>CHI</v>
      </c>
      <c r="E2001" s="387">
        <f>IF($A2001&gt;0, VLOOKUP($A2001,VII.A!$A$10:$G$203,4,),"")</f>
        <v>0</v>
      </c>
      <c r="F2001" s="388">
        <f t="shared" ref="F2001:F2010" si="529">ROUND(C2001*E2001,2)</f>
        <v>0</v>
      </c>
      <c r="H2001" s="341">
        <f>IF(A2001="","",VLOOKUP(A2001,VII.A!$A$10:$D$199,4,FALSE))</f>
        <v>0</v>
      </c>
      <c r="I2001" s="341" t="str">
        <f t="shared" ref="I2001:I2010" si="530">IF(A2001="","",IF(E2001=H2001,"SIM","NÃO"))</f>
        <v>SIM</v>
      </c>
      <c r="J2001" s="341" t="str">
        <f>IF(A2001="","",VLOOKUP(A2001,VII.A!$A$10:$D$199,3,FALSE))</f>
        <v>CHI</v>
      </c>
      <c r="K2001" s="342" t="str">
        <f t="shared" ref="K2001:K2010" si="531">IF(A2001="","",IF(J2001=D2001,"SIM","NÃO"))</f>
        <v>SIM</v>
      </c>
      <c r="L2001" s="380">
        <f>IF(C2001="","",G1979*C2001)</f>
        <v>11310</v>
      </c>
      <c r="M2001" s="381" t="str">
        <f>IF(A2001="","",VLOOKUP(A2001,VII.A!$A$10:$B$199,2,FALSE))</f>
        <v>BETONEIRA, CAPACIDADE NOMINAL DE 400L, MOTOR ELÉTRICO TRIFÁSICO DE  2CV - CHI</v>
      </c>
      <c r="N2001" s="342" t="str">
        <f t="shared" ref="N2001:N2010" si="532">IF(B2001="","",IF(M2001=B2001,"si","no"))</f>
        <v>si</v>
      </c>
      <c r="R2001" s="341"/>
      <c r="S2001" s="341"/>
    </row>
    <row r="2002" spans="1:19" ht="12.75" customHeight="1">
      <c r="A2002" s="393" t="str">
        <f>VII.A!$A$149</f>
        <v>2.7</v>
      </c>
      <c r="B2002" s="386" t="str">
        <f>IF($A2002&gt;0, VLOOKUP($A2002,VII.A!$A$10:$G$203,2,),"")</f>
        <v>BETONEIRA, CAPACIDADE NOMINAL DE 400L, MOTOR ELÉTRICO TRIFÁSICO DE  2CV - CHP</v>
      </c>
      <c r="C2002" s="20">
        <f>ROUND((0.125*2.6)*4*0.9,4)</f>
        <v>1.17</v>
      </c>
      <c r="D2002" s="342" t="str">
        <f>IF($A2002&gt;0, VLOOKUP($A2002,VII.A!$A$10:$G$203,3,),"")</f>
        <v>CHP</v>
      </c>
      <c r="E2002" s="387">
        <f>IF($A2002&gt;0, VLOOKUP($A2002,VII.A!$A$10:$G$203,4,),"")</f>
        <v>0</v>
      </c>
      <c r="F2002" s="388">
        <f t="shared" si="529"/>
        <v>0</v>
      </c>
      <c r="H2002" s="341">
        <f>IF(A2002="","",VLOOKUP(A2002,VII.A!$A$10:$D$199,4,FALSE))</f>
        <v>0</v>
      </c>
      <c r="I2002" s="341" t="str">
        <f t="shared" si="530"/>
        <v>SIM</v>
      </c>
      <c r="J2002" s="341" t="str">
        <f>IF(A2002="","",VLOOKUP(A2002,VII.A!$A$10:$D$199,3,FALSE))</f>
        <v>CHP</v>
      </c>
      <c r="K2002" s="342" t="str">
        <f t="shared" si="531"/>
        <v>SIM</v>
      </c>
      <c r="L2002" s="380">
        <f>IF(C2002="","",G1979*C2002)</f>
        <v>3510</v>
      </c>
      <c r="M2002" s="381" t="str">
        <f>IF(A2002="","",VLOOKUP(A2002,VII.A!$A$10:$B$199,2,FALSE))</f>
        <v>BETONEIRA, CAPACIDADE NOMINAL DE 400L, MOTOR ELÉTRICO TRIFÁSICO DE  2CV - CHP</v>
      </c>
      <c r="N2002" s="342" t="str">
        <f t="shared" si="532"/>
        <v>si</v>
      </c>
      <c r="R2002" s="341"/>
      <c r="S2002" s="341"/>
    </row>
    <row r="2003" spans="1:19" ht="12.75" customHeight="1">
      <c r="A2003" s="393" t="str">
        <f>VII.A!$A$169</f>
        <v>2.27</v>
      </c>
      <c r="B2003" s="386" t="str">
        <f>IF($A2003&gt;0, VLOOKUP($A2003,VII.A!$A$10:$G$203,2,),"")</f>
        <v>VIBRADOR DE IMERSÃO COM MANGOTE 5,00 M - CHP</v>
      </c>
      <c r="C2003" s="20">
        <f>ROUND((0.615*0.18),4)</f>
        <v>0.11070000000000001</v>
      </c>
      <c r="D2003" s="342" t="str">
        <f>IF($A2003&gt;0, VLOOKUP($A2003,VII.A!$A$10:$G$203,3,),"")</f>
        <v>CHP</v>
      </c>
      <c r="E2003" s="387">
        <f>IF($A2003&gt;0, VLOOKUP($A2003,VII.A!$A$10:$G$203,4,),"")</f>
        <v>0</v>
      </c>
      <c r="F2003" s="388">
        <f t="shared" si="529"/>
        <v>0</v>
      </c>
      <c r="H2003" s="341">
        <f>IF(A2003="","",VLOOKUP(A2003,VII.A!$A$10:$D$199,4,FALSE))</f>
        <v>0</v>
      </c>
      <c r="I2003" s="341" t="str">
        <f t="shared" si="530"/>
        <v>SIM</v>
      </c>
      <c r="J2003" s="341" t="str">
        <f>IF(A2003="","",VLOOKUP(A2003,VII.A!$A$10:$D$199,3,FALSE))</f>
        <v>CHP</v>
      </c>
      <c r="K2003" s="342" t="str">
        <f t="shared" si="531"/>
        <v>SIM</v>
      </c>
      <c r="L2003" s="380">
        <f>IF(C2003="","",G1979*C2003)</f>
        <v>332.1</v>
      </c>
      <c r="M2003" s="381" t="str">
        <f>IF(A2003="","",VLOOKUP(A2003,VII.A!$A$10:$B$199,2,FALSE))</f>
        <v>VIBRADOR DE IMERSÃO COM MANGOTE 5,00 M - CHP</v>
      </c>
      <c r="N2003" s="342" t="str">
        <f t="shared" si="532"/>
        <v>si</v>
      </c>
      <c r="R2003" s="341"/>
      <c r="S2003" s="341"/>
    </row>
    <row r="2004" spans="1:19" ht="12.75" customHeight="1">
      <c r="A2004" s="393"/>
      <c r="C2004" s="20"/>
      <c r="E2004" s="387"/>
      <c r="F2004" s="388">
        <f t="shared" si="529"/>
        <v>0</v>
      </c>
      <c r="H2004" s="341" t="str">
        <f>IF(A2004="","",VLOOKUP(A2004,VII.A!$A$10:$D$199,4,FALSE))</f>
        <v/>
      </c>
      <c r="I2004" s="341" t="str">
        <f t="shared" si="530"/>
        <v/>
      </c>
      <c r="J2004" s="341" t="str">
        <f>IF(A2004="","",VLOOKUP(A2004,VII.A!$A$10:$D$199,3,FALSE))</f>
        <v/>
      </c>
      <c r="K2004" s="342" t="str">
        <f t="shared" si="531"/>
        <v/>
      </c>
      <c r="L2004" s="380" t="str">
        <f>IF(C2004="","",G1979*C2004)</f>
        <v/>
      </c>
      <c r="M2004" s="381" t="str">
        <f>IF(A2004="","",VLOOKUP(A2004,VII.A!$A$10:$B$199,2,FALSE))</f>
        <v/>
      </c>
      <c r="N2004" s="342" t="str">
        <f t="shared" si="532"/>
        <v/>
      </c>
      <c r="R2004" s="341"/>
      <c r="S2004" s="341"/>
    </row>
    <row r="2005" spans="1:19" ht="12.75" customHeight="1">
      <c r="A2005" s="393"/>
      <c r="C2005" s="20"/>
      <c r="E2005" s="387"/>
      <c r="F2005" s="388">
        <f t="shared" si="529"/>
        <v>0</v>
      </c>
      <c r="G2005" s="390"/>
      <c r="H2005" s="341" t="str">
        <f>IF(A2005="","",VLOOKUP(A2005,VII.A!$A$10:$D$199,4,FALSE))</f>
        <v/>
      </c>
      <c r="I2005" s="341" t="str">
        <f t="shared" si="530"/>
        <v/>
      </c>
      <c r="J2005" s="341" t="str">
        <f>IF(A2005="","",VLOOKUP(A2005,VII.A!$A$10:$D$199,3,FALSE))</f>
        <v/>
      </c>
      <c r="K2005" s="342" t="str">
        <f t="shared" si="531"/>
        <v/>
      </c>
      <c r="L2005" s="380" t="str">
        <f>IF(C2005="","",G1979*C2005)</f>
        <v/>
      </c>
      <c r="M2005" s="381" t="str">
        <f>IF(A2005="","",VLOOKUP(A2005,VII.A!$A$10:$B$199,2,FALSE))</f>
        <v/>
      </c>
      <c r="N2005" s="342" t="str">
        <f t="shared" si="532"/>
        <v/>
      </c>
      <c r="R2005" s="341"/>
      <c r="S2005" s="341"/>
    </row>
    <row r="2006" spans="1:19" ht="12.75" customHeight="1">
      <c r="A2006" s="393"/>
      <c r="C2006" s="20"/>
      <c r="E2006" s="387"/>
      <c r="F2006" s="388">
        <f t="shared" si="529"/>
        <v>0</v>
      </c>
      <c r="G2006" s="391"/>
      <c r="H2006" s="341" t="str">
        <f>IF(A2006="","",VLOOKUP(A2006,VII.A!$A$10:$D$199,4,FALSE))</f>
        <v/>
      </c>
      <c r="I2006" s="341" t="str">
        <f t="shared" si="530"/>
        <v/>
      </c>
      <c r="J2006" s="341" t="str">
        <f>IF(A2006="","",VLOOKUP(A2006,VII.A!$A$10:$D$199,3,FALSE))</f>
        <v/>
      </c>
      <c r="K2006" s="342" t="str">
        <f t="shared" si="531"/>
        <v/>
      </c>
      <c r="L2006" s="380" t="str">
        <f>IF(C2006="","",G1979*C2006)</f>
        <v/>
      </c>
      <c r="M2006" s="381" t="str">
        <f>IF(A2006="","",VLOOKUP(A2006,VII.A!$A$10:$B$199,2,FALSE))</f>
        <v/>
      </c>
      <c r="N2006" s="342" t="str">
        <f t="shared" si="532"/>
        <v/>
      </c>
      <c r="R2006" s="341"/>
      <c r="S2006" s="341"/>
    </row>
    <row r="2007" spans="1:19" ht="12.75" customHeight="1">
      <c r="A2007" s="393"/>
      <c r="C2007" s="20"/>
      <c r="E2007" s="387"/>
      <c r="F2007" s="388">
        <f t="shared" si="529"/>
        <v>0</v>
      </c>
      <c r="H2007" s="341" t="str">
        <f>IF(A2007="","",VLOOKUP(A2007,VII.A!$A$10:$D$199,4,FALSE))</f>
        <v/>
      </c>
      <c r="I2007" s="341" t="str">
        <f t="shared" si="530"/>
        <v/>
      </c>
      <c r="J2007" s="341" t="str">
        <f>IF(A2007="","",VLOOKUP(A2007,VII.A!$A$10:$D$199,3,FALSE))</f>
        <v/>
      </c>
      <c r="K2007" s="342" t="str">
        <f t="shared" si="531"/>
        <v/>
      </c>
      <c r="L2007" s="380" t="str">
        <f>IF(C2007="","",G1979*C2007)</f>
        <v/>
      </c>
      <c r="M2007" s="381" t="str">
        <f>IF(A2007="","",VLOOKUP(A2007,VII.A!$A$10:$B$199,2,FALSE))</f>
        <v/>
      </c>
      <c r="N2007" s="342" t="str">
        <f t="shared" si="532"/>
        <v/>
      </c>
      <c r="R2007" s="341"/>
      <c r="S2007" s="341"/>
    </row>
    <row r="2008" spans="1:19" ht="12.75" customHeight="1">
      <c r="A2008" s="393"/>
      <c r="C2008" s="20"/>
      <c r="E2008" s="387"/>
      <c r="F2008" s="388">
        <f t="shared" si="529"/>
        <v>0</v>
      </c>
      <c r="H2008" s="341" t="str">
        <f>IF(A2008="","",VLOOKUP(A2008,VII.A!$A$10:$D$199,4,FALSE))</f>
        <v/>
      </c>
      <c r="I2008" s="341" t="str">
        <f t="shared" si="530"/>
        <v/>
      </c>
      <c r="J2008" s="341" t="str">
        <f>IF(A2008="","",VLOOKUP(A2008,VII.A!$A$10:$D$199,3,FALSE))</f>
        <v/>
      </c>
      <c r="K2008" s="342" t="str">
        <f t="shared" si="531"/>
        <v/>
      </c>
      <c r="L2008" s="380" t="str">
        <f>IF(C2008="","",G1979*C2008)</f>
        <v/>
      </c>
      <c r="M2008" s="381" t="str">
        <f>IF(A2008="","",VLOOKUP(A2008,VII.A!$A$10:$B$199,2,FALSE))</f>
        <v/>
      </c>
      <c r="N2008" s="342" t="str">
        <f t="shared" si="532"/>
        <v/>
      </c>
      <c r="R2008" s="341"/>
      <c r="S2008" s="341"/>
    </row>
    <row r="2009" spans="1:19" ht="12.75" customHeight="1">
      <c r="A2009" s="393"/>
      <c r="C2009" s="20"/>
      <c r="E2009" s="387"/>
      <c r="F2009" s="388">
        <f t="shared" si="529"/>
        <v>0</v>
      </c>
      <c r="H2009" s="341" t="str">
        <f>IF(A2009="","",VLOOKUP(A2009,VII.A!$A$10:$D$199,4,FALSE))</f>
        <v/>
      </c>
      <c r="I2009" s="341" t="str">
        <f t="shared" si="530"/>
        <v/>
      </c>
      <c r="J2009" s="341" t="str">
        <f>IF(A2009="","",VLOOKUP(A2009,VII.A!$A$10:$D$199,3,FALSE))</f>
        <v/>
      </c>
      <c r="K2009" s="342" t="str">
        <f t="shared" si="531"/>
        <v/>
      </c>
      <c r="L2009" s="380" t="str">
        <f>IF(C2009="","",G1979*C2009)</f>
        <v/>
      </c>
      <c r="M2009" s="381" t="str">
        <f>IF(A2009="","",VLOOKUP(A2009,VII.A!$A$10:$B$199,2,FALSE))</f>
        <v/>
      </c>
      <c r="N2009" s="342" t="str">
        <f t="shared" si="532"/>
        <v/>
      </c>
      <c r="R2009" s="341"/>
      <c r="S2009" s="341"/>
    </row>
    <row r="2010" spans="1:19" ht="12.75" customHeight="1">
      <c r="A2010" s="393"/>
      <c r="C2010" s="20"/>
      <c r="E2010" s="387"/>
      <c r="F2010" s="388">
        <f t="shared" si="529"/>
        <v>0</v>
      </c>
      <c r="H2010" s="341" t="str">
        <f>IF(A2010="","",VLOOKUP(A2010,VII.A!$A$10:$D$199,4,FALSE))</f>
        <v/>
      </c>
      <c r="I2010" s="341" t="str">
        <f t="shared" si="530"/>
        <v/>
      </c>
      <c r="J2010" s="341" t="str">
        <f>IF(A2010="","",VLOOKUP(A2010,VII.A!$A$10:$D$199,3,FALSE))</f>
        <v/>
      </c>
      <c r="K2010" s="342" t="str">
        <f t="shared" si="531"/>
        <v/>
      </c>
      <c r="L2010" s="380" t="str">
        <f>IF(C2010="","",G1979*C2010)</f>
        <v/>
      </c>
      <c r="M2010" s="381" t="str">
        <f>IF(A2010="","",VLOOKUP(A2010,VII.A!$A$10:$B$199,2,FALSE))</f>
        <v/>
      </c>
      <c r="N2010" s="342" t="str">
        <f t="shared" si="532"/>
        <v/>
      </c>
      <c r="R2010" s="341"/>
      <c r="S2010" s="341"/>
    </row>
    <row r="2011" spans="1:19" ht="12.75" customHeight="1">
      <c r="A2011" s="393"/>
      <c r="B2011" s="395" t="s">
        <v>226</v>
      </c>
      <c r="C2011" s="396"/>
      <c r="D2011" s="397"/>
      <c r="E2011" s="398"/>
      <c r="F2011" s="399">
        <f>SUM(F2001:F2010)</f>
        <v>0</v>
      </c>
      <c r="J2011" s="341"/>
      <c r="L2011" s="380"/>
      <c r="M2011" s="381"/>
      <c r="N2011" s="342"/>
      <c r="R2011" s="341"/>
      <c r="S2011" s="341"/>
    </row>
    <row r="2012" spans="1:19" ht="12.75" customHeight="1">
      <c r="A2012" s="393"/>
      <c r="B2012" s="400" t="s">
        <v>53</v>
      </c>
      <c r="C2012" s="2">
        <f>$D$8</f>
        <v>0</v>
      </c>
      <c r="D2012" s="401"/>
      <c r="E2012" s="402"/>
      <c r="F2012" s="403">
        <f>ROUND(C2012*F2011,2)</f>
        <v>0</v>
      </c>
      <c r="J2012" s="341"/>
      <c r="L2012" s="380"/>
      <c r="M2012" s="381"/>
      <c r="N2012" s="342"/>
      <c r="R2012" s="341"/>
      <c r="S2012" s="341"/>
    </row>
    <row r="2013" spans="1:19" ht="12.75" customHeight="1">
      <c r="A2013" s="404"/>
      <c r="B2013" s="405" t="s">
        <v>228</v>
      </c>
      <c r="C2013" s="406"/>
      <c r="D2013" s="406"/>
      <c r="E2013" s="407"/>
      <c r="F2013" s="408">
        <f>F2011+F2012</f>
        <v>0</v>
      </c>
      <c r="J2013" s="341"/>
      <c r="L2013" s="380"/>
      <c r="M2013" s="381"/>
      <c r="N2013" s="342"/>
      <c r="R2013" s="341"/>
      <c r="S2013" s="341"/>
    </row>
    <row r="2014" spans="1:19" ht="12.75" customHeight="1">
      <c r="A2014" s="409" t="s">
        <v>47</v>
      </c>
      <c r="B2014" s="410" t="s">
        <v>236</v>
      </c>
      <c r="C2014" s="411" t="s">
        <v>231</v>
      </c>
      <c r="D2014" s="412" t="s">
        <v>232</v>
      </c>
      <c r="E2014" s="413" t="s">
        <v>233</v>
      </c>
      <c r="F2014" s="378" t="s">
        <v>234</v>
      </c>
      <c r="J2014" s="341"/>
      <c r="L2014" s="380"/>
      <c r="M2014" s="381"/>
      <c r="N2014" s="342"/>
      <c r="R2014" s="341"/>
      <c r="S2014" s="341"/>
    </row>
    <row r="2015" spans="1:19" ht="12.75" customHeight="1">
      <c r="A2015" s="393" t="str">
        <f>VII.A!$A$192</f>
        <v>3.12</v>
      </c>
      <c r="B2015" s="386" t="str">
        <f>IF($A2015&gt;0, VLOOKUP($A2015,VII.A!$A$10:$G$203,2,),"")</f>
        <v>PEDREIRO COM ENCARGOS COMPLEMENTARES</v>
      </c>
      <c r="C2015" s="20">
        <f>ROUND((0.45*2.6)+(1.65*0.18)+(0.25*0.45)+(0.498*2),4)</f>
        <v>2.5754999999999999</v>
      </c>
      <c r="D2015" s="342" t="str">
        <f>IF($A2015&gt;0, VLOOKUP($A2015,VII.A!$A$10:$G$203,3,),"")</f>
        <v>H</v>
      </c>
      <c r="E2015" s="387">
        <f>IF($A2015&gt;0, VLOOKUP($A2015,VII.A!$A$10:$G$203,4,),"")</f>
        <v>0</v>
      </c>
      <c r="F2015" s="388">
        <f t="shared" ref="F2015:F2021" si="533">ROUND(C2015*E2015,2)</f>
        <v>0</v>
      </c>
      <c r="H2015" s="341">
        <f>IF(A2015="","",VLOOKUP(A2015,VII.A!$A$10:$D$199,4,FALSE))</f>
        <v>0</v>
      </c>
      <c r="I2015" s="341" t="str">
        <f t="shared" ref="I2015:I2021" si="534">IF(A2015="","",IF(E2015=H2015,"SIM","NÃO"))</f>
        <v>SIM</v>
      </c>
      <c r="J2015" s="341" t="str">
        <f>IF(A2015="","",VLOOKUP(A2015,VII.A!$A$10:$D$199,3,FALSE))</f>
        <v>H</v>
      </c>
      <c r="K2015" s="342" t="str">
        <f t="shared" ref="K2015:K2021" si="535">IF(A2015="","",IF(J2015=D2015,"SIM","NÃO"))</f>
        <v>SIM</v>
      </c>
      <c r="L2015" s="380">
        <f>IF(C2015="","",G1979*C2015)</f>
        <v>7726.5</v>
      </c>
      <c r="M2015" s="381" t="str">
        <f>IF(A2015="","",VLOOKUP(A2015,VII.A!$A$10:$B$199,2,FALSE))</f>
        <v>PEDREIRO COM ENCARGOS COMPLEMENTARES</v>
      </c>
      <c r="N2015" s="342" t="str">
        <f t="shared" ref="N2015:N2021" si="536">IF(B2015="","",IF(M2015=B2015,"si","no"))</f>
        <v>si</v>
      </c>
      <c r="R2015" s="341"/>
      <c r="S2015" s="341"/>
    </row>
    <row r="2016" spans="1:19" ht="12.75" customHeight="1">
      <c r="A2016" s="393" t="str">
        <f>VII.A!$A$196</f>
        <v>3.16</v>
      </c>
      <c r="B2016" s="386" t="str">
        <f>IF($A2016&gt;0, VLOOKUP($A2016,VII.A!$A$10:$G$203,2,),"")</f>
        <v>SERVENTE COM ENCARGOS COMPLEMENTARES</v>
      </c>
      <c r="C2016" s="20">
        <f>ROUND((0.45*2.6)+(3*0.18)+(1.5*0.02)+(4.5*0.18)+(2.5*0.45)+(0.896*2),4)</f>
        <v>5.4669999999999996</v>
      </c>
      <c r="D2016" s="342" t="str">
        <f>IF($A2016&gt;0, VLOOKUP($A2016,VII.A!$A$10:$G$203,3,),"")</f>
        <v>H</v>
      </c>
      <c r="E2016" s="387">
        <f>IF($A2016&gt;0, VLOOKUP($A2016,VII.A!$A$10:$G$203,4,),"")</f>
        <v>0</v>
      </c>
      <c r="F2016" s="388">
        <f t="shared" si="533"/>
        <v>0</v>
      </c>
      <c r="H2016" s="341">
        <f>IF(A2016="","",VLOOKUP(A2016,VII.A!$A$10:$D$199,4,FALSE))</f>
        <v>0</v>
      </c>
      <c r="I2016" s="341" t="str">
        <f t="shared" si="534"/>
        <v>SIM</v>
      </c>
      <c r="J2016" s="341" t="str">
        <f>IF(A2016="","",VLOOKUP(A2016,VII.A!$A$10:$D$199,3,FALSE))</f>
        <v>H</v>
      </c>
      <c r="K2016" s="342" t="str">
        <f t="shared" si="535"/>
        <v>SIM</v>
      </c>
      <c r="L2016" s="380">
        <f>IF(C2016="","",G1979*C2016)</f>
        <v>16401</v>
      </c>
      <c r="M2016" s="381" t="str">
        <f>IF(A2016="","",VLOOKUP(A2016,VII.A!$A$10:$B$199,2,FALSE))</f>
        <v>SERVENTE COM ENCARGOS COMPLEMENTARES</v>
      </c>
      <c r="N2016" s="342" t="str">
        <f t="shared" si="536"/>
        <v>si</v>
      </c>
      <c r="R2016" s="341"/>
      <c r="S2016" s="341"/>
    </row>
    <row r="2017" spans="1:25" ht="12.75" customHeight="1">
      <c r="A2017" s="393" t="str">
        <f>VII.A!$A$182</f>
        <v>3.2</v>
      </c>
      <c r="B2017" s="386" t="str">
        <f>IF($A2017&gt;0, VLOOKUP($A2017,VII.A!$A$10:$G$203,2,),"")</f>
        <v>AJUDANTE ESPECIALIZADO COM ENCARGOS COMPLEMENTARES</v>
      </c>
      <c r="C2017" s="20">
        <f>ROUND(0.08*9.2,4)</f>
        <v>0.73599999999999999</v>
      </c>
      <c r="D2017" s="342" t="str">
        <f>IF($A2017&gt;0, VLOOKUP($A2017,VII.A!$A$10:$G$203,3,),"")</f>
        <v>H</v>
      </c>
      <c r="E2017" s="387">
        <f>IF($A2017&gt;0, VLOOKUP($A2017,VII.A!$A$10:$G$203,4,),"")</f>
        <v>0</v>
      </c>
      <c r="F2017" s="388">
        <f t="shared" si="533"/>
        <v>0</v>
      </c>
      <c r="H2017" s="341">
        <f>IF(A2017="","",VLOOKUP(A2017,VII.A!$A$10:$D$199,4,FALSE))</f>
        <v>0</v>
      </c>
      <c r="I2017" s="341" t="str">
        <f t="shared" si="534"/>
        <v>SIM</v>
      </c>
      <c r="J2017" s="341" t="str">
        <f>IF(A2017="","",VLOOKUP(A2017,VII.A!$A$10:$D$199,3,FALSE))</f>
        <v>H</v>
      </c>
      <c r="K2017" s="342" t="str">
        <f t="shared" si="535"/>
        <v>SIM</v>
      </c>
      <c r="L2017" s="380">
        <f>IF(C2017="","",G1979*C2017)</f>
        <v>2208</v>
      </c>
      <c r="M2017" s="381" t="str">
        <f>IF(A2017="","",VLOOKUP(A2017,VII.A!$A$10:$B$199,2,FALSE))</f>
        <v>AJUDANTE ESPECIALIZADO COM ENCARGOS COMPLEMENTARES</v>
      </c>
      <c r="N2017" s="342" t="str">
        <f t="shared" si="536"/>
        <v>si</v>
      </c>
      <c r="R2017" s="341"/>
      <c r="S2017" s="341"/>
    </row>
    <row r="2018" spans="1:25" ht="12.75" customHeight="1">
      <c r="A2018" s="393" t="str">
        <f>VII.A!$A$184</f>
        <v>3.4</v>
      </c>
      <c r="B2018" s="386" t="str">
        <f>IF($A2018&gt;0, VLOOKUP($A2018,VII.A!$A$10:$G$203,2,),"")</f>
        <v>ARMADOR COM ENCARGOS COMPLEMENTARES</v>
      </c>
      <c r="C2018" s="20">
        <f>ROUND((0.04*9.2),4)</f>
        <v>0.36799999999999999</v>
      </c>
      <c r="D2018" s="342" t="str">
        <f>IF($A2018&gt;0, VLOOKUP($A2018,VII.A!$A$10:$G$203,3,),"")</f>
        <v>H</v>
      </c>
      <c r="E2018" s="387">
        <f>IF($A2018&gt;0, VLOOKUP($A2018,VII.A!$A$10:$G$203,4,),"")</f>
        <v>0</v>
      </c>
      <c r="F2018" s="388">
        <f t="shared" si="533"/>
        <v>0</v>
      </c>
      <c r="H2018" s="341">
        <f>IF(A2018="","",VLOOKUP(A2018,VII.A!$A$10:$D$199,4,FALSE))</f>
        <v>0</v>
      </c>
      <c r="I2018" s="341" t="str">
        <f t="shared" si="534"/>
        <v>SIM</v>
      </c>
      <c r="J2018" s="341" t="str">
        <f>IF(A2018="","",VLOOKUP(A2018,VII.A!$A$10:$D$199,3,FALSE))</f>
        <v>H</v>
      </c>
      <c r="K2018" s="342" t="str">
        <f t="shared" si="535"/>
        <v>SIM</v>
      </c>
      <c r="L2018" s="380">
        <f>IF(C2018="","",G1979*C2018)</f>
        <v>1104</v>
      </c>
      <c r="M2018" s="381" t="str">
        <f>IF(A2018="","",VLOOKUP(A2018,VII.A!$A$10:$B$199,2,FALSE))</f>
        <v>ARMADOR COM ENCARGOS COMPLEMENTARES</v>
      </c>
      <c r="N2018" s="342" t="str">
        <f t="shared" si="536"/>
        <v>si</v>
      </c>
      <c r="R2018" s="341"/>
      <c r="S2018" s="341"/>
    </row>
    <row r="2019" spans="1:25" ht="12.75" customHeight="1">
      <c r="A2019" s="393"/>
      <c r="C2019" s="20"/>
      <c r="E2019" s="387"/>
      <c r="F2019" s="388">
        <f t="shared" si="533"/>
        <v>0</v>
      </c>
      <c r="H2019" s="341" t="str">
        <f>IF(A2019="","",VLOOKUP(A2019,VII.A!$A$10:$D$199,4,FALSE))</f>
        <v/>
      </c>
      <c r="I2019" s="341" t="str">
        <f t="shared" si="534"/>
        <v/>
      </c>
      <c r="J2019" s="341" t="str">
        <f>IF(A2019="","",VLOOKUP(A2019,VII.A!$A$10:$D$199,3,FALSE))</f>
        <v/>
      </c>
      <c r="K2019" s="342" t="str">
        <f t="shared" si="535"/>
        <v/>
      </c>
      <c r="L2019" s="380" t="str">
        <f>IF(C2019="","",G1979*C2019)</f>
        <v/>
      </c>
      <c r="M2019" s="381" t="str">
        <f>IF(A2019="","",VLOOKUP(A2019,VII.A!$A$10:$B$199,2,FALSE))</f>
        <v/>
      </c>
      <c r="N2019" s="342" t="str">
        <f t="shared" si="536"/>
        <v/>
      </c>
      <c r="R2019" s="341"/>
      <c r="S2019" s="341"/>
    </row>
    <row r="2020" spans="1:25" ht="12.75" customHeight="1">
      <c r="A2020" s="393"/>
      <c r="C2020" s="20"/>
      <c r="E2020" s="387"/>
      <c r="F2020" s="388">
        <f t="shared" si="533"/>
        <v>0</v>
      </c>
      <c r="H2020" s="341" t="str">
        <f>IF(A2020="","",VLOOKUP(A2020,VII.A!$A$10:$D$199,4,FALSE))</f>
        <v/>
      </c>
      <c r="I2020" s="341" t="str">
        <f t="shared" si="534"/>
        <v/>
      </c>
      <c r="J2020" s="341" t="str">
        <f>IF(A2020="","",VLOOKUP(A2020,VII.A!$A$10:$D$199,3,FALSE))</f>
        <v/>
      </c>
      <c r="K2020" s="342" t="str">
        <f t="shared" si="535"/>
        <v/>
      </c>
      <c r="L2020" s="380" t="str">
        <f>IF(C2020="","",G1979*C2020)</f>
        <v/>
      </c>
      <c r="M2020" s="381" t="str">
        <f>IF(A2020="","",VLOOKUP(A2020,VII.A!$A$10:$B$199,2,FALSE))</f>
        <v/>
      </c>
      <c r="N2020" s="342" t="str">
        <f t="shared" si="536"/>
        <v/>
      </c>
      <c r="R2020" s="341"/>
      <c r="S2020" s="341"/>
    </row>
    <row r="2021" spans="1:25" ht="12.75" customHeight="1">
      <c r="A2021" s="393"/>
      <c r="C2021" s="20"/>
      <c r="E2021" s="387"/>
      <c r="F2021" s="388">
        <f t="shared" si="533"/>
        <v>0</v>
      </c>
      <c r="H2021" s="341" t="str">
        <f>IF(A2021="","",VLOOKUP(A2021,VII.A!$A$10:$D$199,4,FALSE))</f>
        <v/>
      </c>
      <c r="I2021" s="341" t="str">
        <f t="shared" si="534"/>
        <v/>
      </c>
      <c r="J2021" s="341" t="str">
        <f>IF(A2021="","",VLOOKUP(A2021,VII.A!$A$10:$D$199,3,FALSE))</f>
        <v/>
      </c>
      <c r="K2021" s="342" t="str">
        <f t="shared" si="535"/>
        <v/>
      </c>
      <c r="L2021" s="380" t="str">
        <f>IF(C2021="","",G1979*C2021)</f>
        <v/>
      </c>
      <c r="M2021" s="381" t="str">
        <f>IF(A2021="","",VLOOKUP(A2021,VII.A!$A$10:$B$199,2,FALSE))</f>
        <v/>
      </c>
      <c r="N2021" s="342" t="str">
        <f t="shared" si="536"/>
        <v/>
      </c>
      <c r="R2021" s="341"/>
      <c r="S2021" s="341"/>
    </row>
    <row r="2022" spans="1:25" ht="12.75" customHeight="1">
      <c r="A2022" s="393"/>
      <c r="B2022" s="395" t="s">
        <v>226</v>
      </c>
      <c r="C2022" s="396"/>
      <c r="D2022" s="397"/>
      <c r="E2022" s="398"/>
      <c r="F2022" s="399">
        <f>SUM(F2015:F2021)</f>
        <v>0</v>
      </c>
      <c r="J2022" s="341"/>
      <c r="L2022" s="380"/>
      <c r="M2022" s="381"/>
      <c r="N2022" s="342"/>
      <c r="R2022" s="341"/>
      <c r="S2022" s="341"/>
    </row>
    <row r="2023" spans="1:25" ht="12.75" customHeight="1">
      <c r="A2023" s="393"/>
      <c r="B2023" s="400" t="s">
        <v>229</v>
      </c>
      <c r="C2023" s="2">
        <f>IX.A!$C$45</f>
        <v>0</v>
      </c>
      <c r="D2023" s="401"/>
      <c r="E2023" s="402"/>
      <c r="F2023" s="403">
        <f>ROUND(F2022*C2023,2)</f>
        <v>0</v>
      </c>
      <c r="J2023" s="341"/>
      <c r="L2023" s="380"/>
      <c r="M2023" s="381"/>
      <c r="N2023" s="342"/>
      <c r="R2023" s="341"/>
      <c r="S2023" s="341"/>
    </row>
    <row r="2024" spans="1:25" ht="12.75" customHeight="1">
      <c r="A2024" s="393"/>
      <c r="B2024" s="400" t="s">
        <v>53</v>
      </c>
      <c r="C2024" s="2">
        <f>$D$8</f>
        <v>0</v>
      </c>
      <c r="D2024" s="401"/>
      <c r="E2024" s="402"/>
      <c r="F2024" s="403">
        <f>ROUND(SUM(F2022:F2023)*C2024,2)</f>
        <v>0</v>
      </c>
      <c r="J2024" s="341"/>
      <c r="L2024" s="380"/>
      <c r="M2024" s="381"/>
      <c r="N2024" s="342"/>
      <c r="R2024" s="341"/>
      <c r="S2024" s="341"/>
    </row>
    <row r="2025" spans="1:25" ht="12.75" customHeight="1" thickBot="1">
      <c r="A2025" s="414"/>
      <c r="B2025" s="415" t="s">
        <v>230</v>
      </c>
      <c r="C2025" s="416"/>
      <c r="D2025" s="416"/>
      <c r="E2025" s="417"/>
      <c r="F2025" s="418">
        <f>SUM(F2022:F2024)</f>
        <v>0</v>
      </c>
      <c r="J2025" s="341"/>
      <c r="L2025" s="380"/>
      <c r="M2025" s="381"/>
      <c r="N2025" s="342"/>
      <c r="R2025" s="341"/>
      <c r="S2025" s="341"/>
    </row>
    <row r="2026" spans="1:25" ht="12.75" customHeight="1" thickBot="1">
      <c r="A2026" s="357"/>
      <c r="B2026" s="358"/>
      <c r="C2026" s="359"/>
      <c r="D2026" s="359"/>
      <c r="E2026" s="360"/>
      <c r="F2026" s="419"/>
      <c r="J2026" s="341"/>
      <c r="L2026" s="380"/>
      <c r="M2026" s="381"/>
      <c r="N2026" s="342"/>
      <c r="R2026" s="341"/>
      <c r="S2026" s="341"/>
    </row>
    <row r="2027" spans="1:25" ht="30" customHeight="1">
      <c r="A2027" s="370" t="str">
        <f>IV.A!$A$70</f>
        <v>3.3.9</v>
      </c>
      <c r="B2027" s="371" t="str">
        <f>IV.A!$B$70</f>
        <v>CONSTRUÇÃO DE ABRIGO ELÉTRICO EM ALVENARIA EM BLOCO DE CONCRETO 14 X 19 X 37 CM INCLUSIVE INSTALAÇÃO DE PORTA VENEZIANA E ELETRODUTOS - CONFORME MANUAL DO EMPREENDENDOR 2026</v>
      </c>
      <c r="C2027" s="871" t="s">
        <v>237</v>
      </c>
      <c r="D2027" s="872"/>
      <c r="E2027" s="372" t="str">
        <f>IV.A!$C$70</f>
        <v>UN</v>
      </c>
      <c r="F2027" s="11">
        <f>ROUND(F2052+F2062+F2073,2)</f>
        <v>0</v>
      </c>
      <c r="G2027" s="1">
        <f>VLOOKUP(A2027,IV.A!$A$16:$L$172,4,FALSE)</f>
        <v>20</v>
      </c>
      <c r="H2027" s="361">
        <f>SUM(F2029:F2044)+F2046</f>
        <v>0</v>
      </c>
      <c r="I2027" s="361">
        <f>SUM(F2049:F2058)+F2060</f>
        <v>0</v>
      </c>
      <c r="J2027" s="361">
        <f>SUM(F2063:F2069)+F2071+F2072</f>
        <v>0</v>
      </c>
      <c r="K2027" s="361">
        <f>SUM(H2027:J2027)</f>
        <v>0</v>
      </c>
      <c r="L2027" s="362" t="str">
        <f>IF(K2027=F2027,"SIM","NÃO")</f>
        <v>SIM</v>
      </c>
      <c r="M2027" s="373">
        <f>ROUND(SUM(F2029:F2044),2)+ROUND(SUM(F2029:F2044)*C2046,2)+ROUND(SUM(F2049:F2058)*C2060,2)+ROUND(SUM(F2049:F2058),2)+ROUND(SUM(F2063:F2069)*C2071,2)+ROUND((SUM(F2063:F2069)+ROUND(SUM(F2063:F2069)*C2071,2))*C2072,2)+ROUND(SUM(F2063:F2069),2)</f>
        <v>0</v>
      </c>
      <c r="N2027" s="343" t="str">
        <f>IF(M2027=F2027,"SIM","NÃO")</f>
        <v>SIM</v>
      </c>
      <c r="O2027" s="364" t="str">
        <f>VLOOKUP(A2027,IV.A!$A$16:$E$172,3,FALSE)</f>
        <v>UN</v>
      </c>
      <c r="P2027" s="344" t="str">
        <f>IF(O2027=E2027,"SIM","NÃO")</f>
        <v>SIM</v>
      </c>
      <c r="Q2027" s="365">
        <f>ROUND(G2027*F2047,2)+ROUND(G2027*F2061,2)+ROUND(G2027*F2073,2)</f>
        <v>0</v>
      </c>
      <c r="R2027" s="364">
        <f>VLOOKUP(A2027,IV.A!$A$16:$L$172,12,FALSE)</f>
        <v>0</v>
      </c>
      <c r="S2027" s="366" t="str">
        <f>IF(Q2027=R2027,"si","no")</f>
        <v>si</v>
      </c>
      <c r="T2027" s="367">
        <f>SUM(L2029:L2044)+SUM(L2049:L2058)+SUM(L2063:L2069)</f>
        <v>24895.103999999999</v>
      </c>
      <c r="U2027" s="341">
        <f>(SUM(C2029:C2044)+SUM(C2049:C2058)+SUM(C2063:C2069))*G2027</f>
        <v>24895.104000000007</v>
      </c>
      <c r="V2027" s="368" t="str">
        <f>IF(T2027=U2027,"si","no")</f>
        <v>si</v>
      </c>
      <c r="W2027" s="369">
        <f>SUM(F2029:F2044)</f>
        <v>0</v>
      </c>
      <c r="X2027" s="369">
        <f>SUM(F2049:F2058)</f>
        <v>0</v>
      </c>
      <c r="Y2027" s="369">
        <f>SUM(F2063:F2069)</f>
        <v>0</v>
      </c>
    </row>
    <row r="2028" spans="1:25" ht="12.75" customHeight="1">
      <c r="A2028" s="374" t="s">
        <v>14</v>
      </c>
      <c r="B2028" s="375" t="s">
        <v>132</v>
      </c>
      <c r="C2028" s="376" t="s">
        <v>231</v>
      </c>
      <c r="D2028" s="376" t="s">
        <v>232</v>
      </c>
      <c r="E2028" s="377" t="s">
        <v>233</v>
      </c>
      <c r="F2028" s="378" t="s">
        <v>234</v>
      </c>
      <c r="G2028" s="379"/>
      <c r="J2028" s="341"/>
      <c r="L2028" s="380"/>
      <c r="M2028" s="381"/>
      <c r="N2028" s="342"/>
      <c r="O2028" s="382"/>
      <c r="P2028" s="383"/>
      <c r="Q2028" s="383"/>
      <c r="R2028" s="383"/>
      <c r="S2028" s="383"/>
      <c r="T2028" s="382"/>
      <c r="U2028" s="341"/>
      <c r="V2028" s="384"/>
      <c r="W2028" s="384"/>
      <c r="X2028" s="384"/>
      <c r="Y2028" s="384"/>
    </row>
    <row r="2029" spans="1:25" ht="12.75" customHeight="1">
      <c r="A2029" s="385" t="str">
        <f>VII.A!$A$85</f>
        <v>1.75</v>
      </c>
      <c r="B2029" s="386" t="str">
        <f>IF($A2029&gt;0, VLOOKUP($A2029,VII.A!$A$10:$G$203,2,),"")</f>
        <v>PORTA DE ABRIR EM ACO VENEZIANA, COM FUNDO ANTICORROSIVO,  SEM GUARNICAO - 87 X 210 CM</v>
      </c>
      <c r="C2029" s="20">
        <f>ROUND((0.5752)*2.65,4)</f>
        <v>1.5243</v>
      </c>
      <c r="D2029" s="342" t="str">
        <f>IF($A2029&gt;0, VLOOKUP($A2029,VII.A!$A$10:$G$203,3,),"")</f>
        <v>UN</v>
      </c>
      <c r="E2029" s="387">
        <f>IF($A2029&gt;0, VLOOKUP($A2029,VII.A!$A$10:$G$203,4,),"")</f>
        <v>0</v>
      </c>
      <c r="F2029" s="388">
        <f>ROUND(C2029*E2029,2)</f>
        <v>0</v>
      </c>
      <c r="H2029" s="341">
        <f>IF(A2029="","",VLOOKUP(A2029,VII.A!$A$10:$D$199,4,FALSE))</f>
        <v>0</v>
      </c>
      <c r="I2029" s="341" t="str">
        <f t="shared" ref="I2029:I2044" si="537">IF(A2029="","",IF(E2029=H2029,"SIM","NÃO"))</f>
        <v>SIM</v>
      </c>
      <c r="J2029" s="341" t="str">
        <f>IF(A2029="","",VLOOKUP(A2029,VII.A!$A$10:$D$199,3,FALSE))</f>
        <v>UN</v>
      </c>
      <c r="K2029" s="342" t="str">
        <f t="shared" ref="K2029:K2044" si="538">IF(A2029="","",IF(J2029=D2029,"SIM","NÃO"))</f>
        <v>SIM</v>
      </c>
      <c r="L2029" s="380">
        <f>IF(C2029="","",G2027*C2029)</f>
        <v>30.486000000000001</v>
      </c>
      <c r="M2029" s="381" t="str">
        <f>IF(A2029="","",VLOOKUP(A2029,VII.A!$A$10:$B$199,2,FALSE))</f>
        <v>PORTA DE ABRIR EM ACO VENEZIANA, COM FUNDO ANTICORROSIVO,  SEM GUARNICAO - 87 X 210 CM</v>
      </c>
      <c r="N2029" s="342" t="str">
        <f t="shared" ref="N2029:N2044" si="539">IF(B2029="","",IF(M2029=B2029,"si","no"))</f>
        <v>si</v>
      </c>
      <c r="R2029" s="341"/>
      <c r="S2029" s="341"/>
    </row>
    <row r="2030" spans="1:25" ht="12.75" customHeight="1">
      <c r="A2030" s="385" t="str">
        <f>VII.A!$A$114</f>
        <v>1.104</v>
      </c>
      <c r="B2030" s="386" t="str">
        <f>IF($A2030&gt;0, VLOOKUP($A2030,VII.A!$A$10:$G$203,2,),"")</f>
        <v>TRAVA DE SEGURANÇA TIPO FERROLHO</v>
      </c>
      <c r="C2030" s="20">
        <f>ROUND((0.5473)*2.65,4)</f>
        <v>1.4502999999999999</v>
      </c>
      <c r="D2030" s="342" t="str">
        <f>IF($A2030&gt;0, VLOOKUP($A2030,VII.A!$A$10:$G$203,3,),"")</f>
        <v>UN</v>
      </c>
      <c r="E2030" s="387">
        <f>IF($A2030&gt;0, VLOOKUP($A2030,VII.A!$A$10:$G$203,4,),"")</f>
        <v>0</v>
      </c>
      <c r="F2030" s="388">
        <f>ROUND(C2030*E2030,2)</f>
        <v>0</v>
      </c>
      <c r="H2030" s="341">
        <f>IF(A2030="","",VLOOKUP(A2030,VII.A!$A$10:$D$199,4,FALSE))</f>
        <v>0</v>
      </c>
      <c r="I2030" s="341" t="str">
        <f t="shared" si="537"/>
        <v>SIM</v>
      </c>
      <c r="J2030" s="341" t="str">
        <f>IF(A2030="","",VLOOKUP(A2030,VII.A!$A$10:$D$199,3,FALSE))</f>
        <v>UN</v>
      </c>
      <c r="K2030" s="342" t="str">
        <f t="shared" si="538"/>
        <v>SIM</v>
      </c>
      <c r="L2030" s="380">
        <f>IF(C2030="","",G2027*C2030)</f>
        <v>29.006</v>
      </c>
      <c r="M2030" s="381" t="str">
        <f>IF(A2030="","",VLOOKUP(A2030,VII.A!$A$10:$B$199,2,FALSE))</f>
        <v>TRAVA DE SEGURANÇA TIPO FERROLHO</v>
      </c>
      <c r="N2030" s="342" t="str">
        <f t="shared" si="539"/>
        <v>si</v>
      </c>
      <c r="R2030" s="341"/>
      <c r="S2030" s="341"/>
    </row>
    <row r="2031" spans="1:25" ht="12.75" customHeight="1">
      <c r="A2031" s="385" t="str">
        <f>VII.A!$A$127</f>
        <v>1.117</v>
      </c>
      <c r="B2031" s="386" t="str">
        <f>IF($A2031&gt;0, VLOOKUP($A2031,VII.A!$A$10:$G$203,2,),"")</f>
        <v>BLOCO DE CONCRETO ESTRUTURAL 14 x 19 x 39 CM - CLASSE A NBR 6136</v>
      </c>
      <c r="C2031" s="20">
        <f>ROUND((13.6*22.98),4)</f>
        <v>312.52800000000002</v>
      </c>
      <c r="D2031" s="342" t="str">
        <f>IF($A2031&gt;0, VLOOKUP($A2031,VII.A!$A$10:$G$203,3,),"")</f>
        <v>UN</v>
      </c>
      <c r="E2031" s="387">
        <f>IF($A2031&gt;0, VLOOKUP($A2031,VII.A!$A$10:$G$203,4,),"")</f>
        <v>0</v>
      </c>
      <c r="F2031" s="388">
        <f t="shared" ref="F2031:F2047" si="540">ROUND(C2031*E2031,2)</f>
        <v>0</v>
      </c>
      <c r="H2031" s="341">
        <f>IF(A2031="","",VLOOKUP(A2031,VII.A!$A$10:$D$199,4,FALSE))</f>
        <v>0</v>
      </c>
      <c r="I2031" s="341" t="str">
        <f t="shared" si="537"/>
        <v>SIM</v>
      </c>
      <c r="J2031" s="341" t="str">
        <f>IF(A2031="","",VLOOKUP(A2031,VII.A!$A$10:$D$199,3,FALSE))</f>
        <v>UN</v>
      </c>
      <c r="K2031" s="342" t="str">
        <f t="shared" si="538"/>
        <v>SIM</v>
      </c>
      <c r="L2031" s="380">
        <f>IF(C2031="","",G2027*C2031)</f>
        <v>6250.56</v>
      </c>
      <c r="M2031" s="381" t="str">
        <f>IF(A2031="","",VLOOKUP(A2031,VII.A!$A$10:$B$199,2,FALSE))</f>
        <v>BLOCO DE CONCRETO ESTRUTURAL 14 x 19 x 39 CM - CLASSE A NBR 6136</v>
      </c>
      <c r="N2031" s="342" t="str">
        <f t="shared" si="539"/>
        <v>si</v>
      </c>
      <c r="R2031" s="341"/>
      <c r="S2031" s="341"/>
    </row>
    <row r="2032" spans="1:25" ht="12.75" customHeight="1">
      <c r="A2032" s="385" t="str">
        <f>VII.A!$A$19</f>
        <v>1.10</v>
      </c>
      <c r="B2032" s="386" t="str">
        <f>IF($A2032&gt;0, VLOOKUP($A2032,VII.A!$A$10:$G$203,2,),"")</f>
        <v>AREIA MÉDIA LAVADA</v>
      </c>
      <c r="C2032" s="20">
        <f>ROUND((0.0072*2.65)+(0.0147*25.17)+(0.9522*0.57)+(0.72*0.5)+(0.037*4)+(0.785*0.47),4)</f>
        <v>1.8088</v>
      </c>
      <c r="D2032" s="342" t="str">
        <f>IF($A2032&gt;0, VLOOKUP($A2032,VII.A!$A$10:$G$203,3,),"")</f>
        <v>M3</v>
      </c>
      <c r="E2032" s="387">
        <f>IF($A2032&gt;0, VLOOKUP($A2032,VII.A!$A$10:$G$203,4,),"")</f>
        <v>0</v>
      </c>
      <c r="F2032" s="388">
        <f t="shared" si="540"/>
        <v>0</v>
      </c>
      <c r="H2032" s="341">
        <f>IF(A2032="","",VLOOKUP(A2032,VII.A!$A$10:$D$199,4,FALSE))</f>
        <v>0</v>
      </c>
      <c r="I2032" s="341" t="str">
        <f t="shared" si="537"/>
        <v>SIM</v>
      </c>
      <c r="J2032" s="341" t="str">
        <f>IF(A2032="","",VLOOKUP(A2032,VII.A!$A$10:$D$199,3,FALSE))</f>
        <v>M3</v>
      </c>
      <c r="K2032" s="342" t="str">
        <f t="shared" si="538"/>
        <v>SIM</v>
      </c>
      <c r="L2032" s="380">
        <f>IF(C2032="","",G2027*C2032)</f>
        <v>36.176000000000002</v>
      </c>
      <c r="M2032" s="381" t="str">
        <f>IF(A2032="","",VLOOKUP(A2032,VII.A!$A$10:$B$199,2,FALSE))</f>
        <v>AREIA MÉDIA LAVADA</v>
      </c>
      <c r="N2032" s="342" t="str">
        <f t="shared" si="539"/>
        <v>si</v>
      </c>
      <c r="R2032" s="341"/>
      <c r="S2032" s="341"/>
    </row>
    <row r="2033" spans="1:21" ht="12.75" customHeight="1">
      <c r="A2033" s="385" t="str">
        <f>VII.A!$A$38</f>
        <v>1.29</v>
      </c>
      <c r="B2033" s="386" t="str">
        <f>IF($A2033&gt;0, VLOOKUP($A2033,VII.A!$A$10:$G$203,2,),"")</f>
        <v>CIMENTO PORTLAND CP II-E-32</v>
      </c>
      <c r="C2033" s="20">
        <f>ROUND((1.8452*2.65)+(2.4835*25.17)+(391.7747*0.57)+(283*0.5)+(13.9818*4)+(322.98*0.47),4)</f>
        <v>639.93889999999999</v>
      </c>
      <c r="D2033" s="342" t="str">
        <f>IF($A2033&gt;0, VLOOKUP($A2033,VII.A!$A$10:$G$203,3,),"")</f>
        <v>KG</v>
      </c>
      <c r="E2033" s="387">
        <f>IF($A2033&gt;0, VLOOKUP($A2033,VII.A!$A$10:$G$203,4,),"")</f>
        <v>0</v>
      </c>
      <c r="F2033" s="388">
        <f t="shared" si="540"/>
        <v>0</v>
      </c>
      <c r="H2033" s="341">
        <f>IF(A2033="","",VLOOKUP(A2033,VII.A!$A$10:$D$199,4,FALSE))</f>
        <v>0</v>
      </c>
      <c r="I2033" s="341" t="str">
        <f t="shared" si="537"/>
        <v>SIM</v>
      </c>
      <c r="J2033" s="341" t="str">
        <f>IF(A2033="","",VLOOKUP(A2033,VII.A!$A$10:$D$199,3,FALSE))</f>
        <v>KG</v>
      </c>
      <c r="K2033" s="342" t="str">
        <f t="shared" si="538"/>
        <v>SIM</v>
      </c>
      <c r="L2033" s="380">
        <f>IF(C2033="","",G2027*C2033)</f>
        <v>12798.778</v>
      </c>
      <c r="M2033" s="381" t="str">
        <f>IF(A2033="","",VLOOKUP(A2033,VII.A!$A$10:$B$199,2,FALSE))</f>
        <v>CIMENTO PORTLAND CP II-E-32</v>
      </c>
      <c r="N2033" s="342" t="str">
        <f t="shared" si="539"/>
        <v>si</v>
      </c>
      <c r="R2033" s="341"/>
      <c r="S2033" s="341"/>
    </row>
    <row r="2034" spans="1:21" ht="12.75" customHeight="1">
      <c r="A2034" s="385" t="str">
        <f>VII.A!$A$29</f>
        <v>1.20</v>
      </c>
      <c r="B2034" s="386" t="str">
        <f>IF($A2034&gt;0, VLOOKUP($A2034,VII.A!$A$10:$G$203,2,),"")</f>
        <v>CAL HIDRATADA CH III - NBR 7175</v>
      </c>
      <c r="C2034" s="20">
        <f>ROUND((0.4814*2.65)+(2.2076*25.17),4)</f>
        <v>56.841000000000001</v>
      </c>
      <c r="D2034" s="342" t="str">
        <f>IF($A2034&gt;0, VLOOKUP($A2034,VII.A!$A$10:$G$203,3,),"")</f>
        <v>KG</v>
      </c>
      <c r="E2034" s="387">
        <f>IF($A2034&gt;0, VLOOKUP($A2034,VII.A!$A$10:$G$203,4,),"")</f>
        <v>0</v>
      </c>
      <c r="F2034" s="388">
        <f t="shared" si="540"/>
        <v>0</v>
      </c>
      <c r="H2034" s="341">
        <f>IF(A2034="","",VLOOKUP(A2034,VII.A!$A$10:$D$199,4,FALSE))</f>
        <v>0</v>
      </c>
      <c r="I2034" s="341" t="str">
        <f t="shared" si="537"/>
        <v>SIM</v>
      </c>
      <c r="J2034" s="341" t="str">
        <f>IF(A2034="","",VLOOKUP(A2034,VII.A!$A$10:$D$199,3,FALSE))</f>
        <v>KG</v>
      </c>
      <c r="K2034" s="342" t="str">
        <f t="shared" si="538"/>
        <v>SIM</v>
      </c>
      <c r="L2034" s="380">
        <f>IF(C2034="","",G2027*C2034)</f>
        <v>1136.82</v>
      </c>
      <c r="M2034" s="381" t="str">
        <f>IF(A2034="","",VLOOKUP(A2034,VII.A!$A$10:$B$199,2,FALSE))</f>
        <v>CAL HIDRATADA CH III - NBR 7175</v>
      </c>
      <c r="N2034" s="342" t="str">
        <f t="shared" si="539"/>
        <v>si</v>
      </c>
      <c r="R2034" s="341"/>
      <c r="S2034" s="341"/>
      <c r="U2034" s="389"/>
    </row>
    <row r="2035" spans="1:21" ht="12.75" customHeight="1">
      <c r="A2035" s="385" t="str">
        <f>VII.A!$A$104</f>
        <v>1.94</v>
      </c>
      <c r="B2035" s="386" t="str">
        <f>IF($A2035&gt;0, VLOOKUP($A2035,VII.A!$A$10:$G$203,2,),"")</f>
        <v>TELA DE AÇO SOLDADA GALVANIZADA/ZINCADA PARA ALVENARIA, FIO D = 1,20 A 1,70 MM, MALHA 15 X 15 MM, (C X L) 50 X 7,5CM</v>
      </c>
      <c r="C2035" s="20">
        <f>ROUND((0.42*25.17),4)</f>
        <v>10.571400000000001</v>
      </c>
      <c r="D2035" s="342" t="str">
        <f>IF($A2035&gt;0, VLOOKUP($A2035,VII.A!$A$10:$G$203,3,),"")</f>
        <v>M</v>
      </c>
      <c r="E2035" s="387">
        <f>IF($A2035&gt;0, VLOOKUP($A2035,VII.A!$A$10:$G$203,4,),"")</f>
        <v>0</v>
      </c>
      <c r="F2035" s="388">
        <f t="shared" si="540"/>
        <v>0</v>
      </c>
      <c r="H2035" s="341">
        <f>IF(A2035="","",VLOOKUP(A2035,VII.A!$A$10:$D$199,4,FALSE))</f>
        <v>0</v>
      </c>
      <c r="I2035" s="341" t="str">
        <f t="shared" si="537"/>
        <v>SIM</v>
      </c>
      <c r="J2035" s="341" t="str">
        <f>IF(A2035="","",VLOOKUP(A2035,VII.A!$A$10:$D$199,3,FALSE))</f>
        <v>M</v>
      </c>
      <c r="K2035" s="342" t="str">
        <f t="shared" si="538"/>
        <v>SIM</v>
      </c>
      <c r="L2035" s="380">
        <f>IF(C2035="","",G2027*C2035)</f>
        <v>211.428</v>
      </c>
      <c r="M2035" s="381" t="str">
        <f>IF(A2035="","",VLOOKUP(A2035,VII.A!$A$10:$B$199,2,FALSE))</f>
        <v>TELA DE AÇO SOLDADA GALVANIZADA/ZINCADA PARA ALVENARIA, FIO D = 1,20 A 1,70 MM, MALHA 15 X 15 MM, (C X L) 50 X 7,5CM</v>
      </c>
      <c r="N2035" s="342" t="str">
        <f t="shared" si="539"/>
        <v>si</v>
      </c>
      <c r="R2035" s="341"/>
      <c r="S2035" s="341"/>
    </row>
    <row r="2036" spans="1:21" ht="12.75" customHeight="1">
      <c r="A2036" s="385" t="str">
        <f>VII.A!$A$82</f>
        <v>1.73</v>
      </c>
      <c r="B2036" s="386" t="str">
        <f>IF($A2036&gt;0, VLOOKUP($A2036,VII.A!$A$10:$G$203,2,),"")</f>
        <v>PEDRA BRITADA Nº 1 GRANULOMETRIA ENTRE (9,5 E 25,00 MM)</v>
      </c>
      <c r="C2036" s="20">
        <f>ROUND((1.2*0.61)+(0.712*0.57)+(0.587*0.47),4)</f>
        <v>1.4137</v>
      </c>
      <c r="D2036" s="342" t="str">
        <f>IF($A2036&gt;0, VLOOKUP($A2036,VII.A!$A$10:$G$203,3,),"")</f>
        <v>M3</v>
      </c>
      <c r="E2036" s="387">
        <f>IF($A2036&gt;0, VLOOKUP($A2036,VII.A!$A$10:$G$203,4,),"")</f>
        <v>0</v>
      </c>
      <c r="F2036" s="388">
        <f t="shared" si="540"/>
        <v>0</v>
      </c>
      <c r="G2036" s="390"/>
      <c r="H2036" s="341">
        <f>IF(A2036="","",VLOOKUP(A2036,VII.A!$A$10:$D$199,4,FALSE))</f>
        <v>0</v>
      </c>
      <c r="I2036" s="341" t="str">
        <f t="shared" si="537"/>
        <v>SIM</v>
      </c>
      <c r="J2036" s="341" t="str">
        <f>IF(A2036="","",VLOOKUP(A2036,VII.A!$A$10:$D$199,3,FALSE))</f>
        <v>M3</v>
      </c>
      <c r="K2036" s="342" t="str">
        <f t="shared" si="538"/>
        <v>SIM</v>
      </c>
      <c r="L2036" s="380">
        <f>IF(C2036="","",G2027*C2036)</f>
        <v>28.274000000000001</v>
      </c>
      <c r="M2036" s="381" t="str">
        <f>IF(A2036="","",VLOOKUP(A2036,VII.A!$A$10:$B$199,2,FALSE))</f>
        <v>PEDRA BRITADA Nº 1 GRANULOMETRIA ENTRE (9,5 E 25,00 MM)</v>
      </c>
      <c r="N2036" s="342" t="str">
        <f t="shared" si="539"/>
        <v>si</v>
      </c>
      <c r="R2036" s="341"/>
      <c r="S2036" s="341"/>
    </row>
    <row r="2037" spans="1:21" ht="12.75" customHeight="1">
      <c r="A2037" s="385" t="str">
        <f>VII.A!$A$80</f>
        <v>1.71</v>
      </c>
      <c r="B2037" s="386" t="str">
        <f>IF($A2037&gt;0, VLOOKUP($A2037,VII.A!$A$10:$G$203,2,),"")</f>
        <v>RIPA DE MADEIRA NAO APARELHADA - 1,5 X 5 CM (P/FORMA)</v>
      </c>
      <c r="C2037" s="20">
        <f>ROUND((2*0.57),4)</f>
        <v>1.1399999999999999</v>
      </c>
      <c r="D2037" s="342" t="str">
        <f>IF($A2037&gt;0, VLOOKUP($A2037,VII.A!$A$10:$G$203,3,),"")</f>
        <v>M</v>
      </c>
      <c r="E2037" s="387">
        <f>IF($A2037&gt;0, VLOOKUP($A2037,VII.A!$A$10:$G$203,4,),"")</f>
        <v>0</v>
      </c>
      <c r="F2037" s="388">
        <f t="shared" si="540"/>
        <v>0</v>
      </c>
      <c r="G2037" s="390"/>
      <c r="H2037" s="341">
        <f>IF(A2037="","",VLOOKUP(A2037,VII.A!$A$10:$D$199,4,FALSE))</f>
        <v>0</v>
      </c>
      <c r="I2037" s="341" t="str">
        <f t="shared" si="537"/>
        <v>SIM</v>
      </c>
      <c r="J2037" s="341" t="str">
        <f>IF(A2037="","",VLOOKUP(A2037,VII.A!$A$10:$D$199,3,FALSE))</f>
        <v>M</v>
      </c>
      <c r="K2037" s="342" t="str">
        <f t="shared" si="538"/>
        <v>SIM</v>
      </c>
      <c r="L2037" s="380">
        <f>IF(C2037="","",G2027*C2037)</f>
        <v>22.799999999999997</v>
      </c>
      <c r="M2037" s="381" t="str">
        <f>IF(A2037="","",VLOOKUP(A2037,VII.A!$A$10:$B$199,2,FALSE))</f>
        <v>RIPA DE MADEIRA NAO APARELHADA - 1,5 X 5 CM (P/FORMA)</v>
      </c>
      <c r="N2037" s="342" t="str">
        <f t="shared" si="539"/>
        <v>si</v>
      </c>
      <c r="R2037" s="341"/>
      <c r="S2037" s="341"/>
    </row>
    <row r="2038" spans="1:21" ht="12.75" customHeight="1">
      <c r="A2038" s="385" t="str">
        <f>VII.A!$A$84</f>
        <v>1.74</v>
      </c>
      <c r="B2038" s="386" t="str">
        <f>IF($A2038&gt;0, VLOOKUP($A2038,VII.A!$A$10:$G$203,2,),"")</f>
        <v>PEDRA BRITADA Nº 2 GRANULOMETRIA ENTRE (21,0 E 32,0 MM)</v>
      </c>
      <c r="C2038" s="20">
        <f>ROUND((0.678*0.57)+(0.0254*4),4)</f>
        <v>0.48809999999999998</v>
      </c>
      <c r="D2038" s="342" t="str">
        <f>IF($A2038&gt;0, VLOOKUP($A2038,VII.A!$A$10:$G$203,3,),"")</f>
        <v>M3</v>
      </c>
      <c r="E2038" s="387">
        <f>IF($A2038&gt;0, VLOOKUP($A2038,VII.A!$A$10:$G$203,4,),"")</f>
        <v>0</v>
      </c>
      <c r="F2038" s="388">
        <f t="shared" si="540"/>
        <v>0</v>
      </c>
      <c r="G2038" s="391"/>
      <c r="H2038" s="341">
        <f>IF(A2038="","",VLOOKUP(A2038,VII.A!$A$10:$D$199,4,FALSE))</f>
        <v>0</v>
      </c>
      <c r="I2038" s="341" t="str">
        <f t="shared" si="537"/>
        <v>SIM</v>
      </c>
      <c r="J2038" s="341" t="str">
        <f>IF(A2038="","",VLOOKUP(A2038,VII.A!$A$10:$D$199,3,FALSE))</f>
        <v>M3</v>
      </c>
      <c r="K2038" s="342" t="str">
        <f t="shared" si="538"/>
        <v>SIM</v>
      </c>
      <c r="L2038" s="380">
        <f>IF(C2038="","",G2027*C2038)</f>
        <v>9.7620000000000005</v>
      </c>
      <c r="M2038" s="381" t="str">
        <f>IF(A2038="","",VLOOKUP(A2038,VII.A!$A$10:$B$199,2,FALSE))</f>
        <v>PEDRA BRITADA Nº 2 GRANULOMETRIA ENTRE (21,0 E 32,0 MM)</v>
      </c>
      <c r="N2038" s="342" t="str">
        <f t="shared" si="539"/>
        <v>si</v>
      </c>
      <c r="R2038" s="341"/>
      <c r="S2038" s="341"/>
    </row>
    <row r="2039" spans="1:21" ht="12.75" customHeight="1">
      <c r="A2039" s="385" t="str">
        <f>VII.A!$A$97</f>
        <v>1.87</v>
      </c>
      <c r="B2039" s="386" t="str">
        <f>IF($A2039&gt;0, VLOOKUP($A2039,VII.A!$A$10:$G$203,2,),"")</f>
        <v xml:space="preserve">SARRAFO 3A. CONSTRUÇÃO (SEÇÃO TRANSVERSAL: 1X4" - 2,5CM X 10,0CM) </v>
      </c>
      <c r="C2039" s="20">
        <f>ROUND((2.5*0.57)+(0.75*6.72),4)</f>
        <v>6.4649999999999999</v>
      </c>
      <c r="D2039" s="342" t="str">
        <f>IF($A2039&gt;0, VLOOKUP($A2039,VII.A!$A$10:$G$203,3,),"")</f>
        <v>M</v>
      </c>
      <c r="E2039" s="387">
        <f>IF($A2039&gt;0, VLOOKUP($A2039,VII.A!$A$10:$G$203,4,),"")</f>
        <v>0</v>
      </c>
      <c r="F2039" s="388">
        <f t="shared" si="540"/>
        <v>0</v>
      </c>
      <c r="H2039" s="341">
        <f>IF(A2039="","",VLOOKUP(A2039,VII.A!$A$10:$D$199,4,FALSE))</f>
        <v>0</v>
      </c>
      <c r="I2039" s="341" t="str">
        <f t="shared" si="537"/>
        <v>SIM</v>
      </c>
      <c r="J2039" s="341" t="str">
        <f>IF(A2039="","",VLOOKUP(A2039,VII.A!$A$10:$D$199,3,FALSE))</f>
        <v>M</v>
      </c>
      <c r="K2039" s="342" t="str">
        <f t="shared" si="538"/>
        <v>SIM</v>
      </c>
      <c r="L2039" s="380">
        <f>IF(C2039="","",G2027*C2039)</f>
        <v>129.30000000000001</v>
      </c>
      <c r="M2039" s="381" t="str">
        <f>IF(A2039="","",VLOOKUP(A2039,VII.A!$A$10:$B$199,2,FALSE))</f>
        <v xml:space="preserve">SARRAFO 3A. CONSTRUÇÃO (SEÇÃO TRANSVERSAL: 1X4" - 2,5CM X 10,0CM) </v>
      </c>
      <c r="N2039" s="342" t="str">
        <f t="shared" si="539"/>
        <v>si</v>
      </c>
      <c r="R2039" s="341"/>
      <c r="S2039" s="341"/>
    </row>
    <row r="2040" spans="1:21" ht="12.75" customHeight="1">
      <c r="A2040" s="385" t="str">
        <f>VII.A!$A$81</f>
        <v>1.72</v>
      </c>
      <c r="B2040" s="386" t="str">
        <f>IF($A2040&gt;0, VLOOKUP($A2040,VII.A!$A$10:$G$203,2,),"")</f>
        <v>PEDRISCO GRANULOMETRIA ENTRE (0,075 E 4,8 MM) NBR 7225</v>
      </c>
      <c r="C2040" s="20">
        <f>ROUND((0.28*0.5),4)</f>
        <v>0.14000000000000001</v>
      </c>
      <c r="D2040" s="342" t="str">
        <f>IF($A2040&gt;0, VLOOKUP($A2040,VII.A!$A$10:$G$203,3,),"")</f>
        <v>M3</v>
      </c>
      <c r="E2040" s="387">
        <f>IF($A2040&gt;0, VLOOKUP($A2040,VII.A!$A$10:$G$203,4,),"")</f>
        <v>0</v>
      </c>
      <c r="F2040" s="388">
        <f t="shared" si="540"/>
        <v>0</v>
      </c>
      <c r="H2040" s="341">
        <f>IF(A2040="","",VLOOKUP(A2040,VII.A!$A$10:$D$199,4,FALSE))</f>
        <v>0</v>
      </c>
      <c r="I2040" s="341" t="str">
        <f t="shared" si="537"/>
        <v>SIM</v>
      </c>
      <c r="J2040" s="341" t="str">
        <f>IF(A2040="","",VLOOKUP(A2040,VII.A!$A$10:$D$199,3,FALSE))</f>
        <v>M3</v>
      </c>
      <c r="K2040" s="342" t="str">
        <f t="shared" si="538"/>
        <v>SIM</v>
      </c>
      <c r="L2040" s="380">
        <f>IF(C2040="","",G2027*C2040)</f>
        <v>2.8000000000000003</v>
      </c>
      <c r="M2040" s="381" t="str">
        <f>IF(A2040="","",VLOOKUP(A2040,VII.A!$A$10:$B$199,2,FALSE))</f>
        <v>PEDRISCO GRANULOMETRIA ENTRE (0,075 E 4,8 MM) NBR 7225</v>
      </c>
      <c r="N2040" s="342" t="str">
        <f t="shared" si="539"/>
        <v>si</v>
      </c>
      <c r="R2040" s="341"/>
      <c r="S2040" s="341"/>
    </row>
    <row r="2041" spans="1:21" ht="12.75" customHeight="1">
      <c r="A2041" s="385" t="str">
        <f>VII.A!$A$43</f>
        <v>1.34</v>
      </c>
      <c r="B2041" s="386" t="str">
        <f>IF($A2041&gt;0, VLOOKUP($A2041,VII.A!$A$10:$G$203,2,),"")</f>
        <v>DESMOLDANTE PARA FÔRMAS - BASE DE ÓLEO MINERAL EMULSIONADO</v>
      </c>
      <c r="C2041" s="20">
        <f>ROUND((1*6.72),4)</f>
        <v>6.72</v>
      </c>
      <c r="D2041" s="342" t="str">
        <f>IF($A2041&gt;0, VLOOKUP($A2041,VII.A!$A$10:$G$203,3,),"")</f>
        <v>L</v>
      </c>
      <c r="E2041" s="387">
        <f>IF($A2041&gt;0, VLOOKUP($A2041,VII.A!$A$10:$G$203,4,),"")</f>
        <v>0</v>
      </c>
      <c r="F2041" s="388">
        <f t="shared" si="540"/>
        <v>0</v>
      </c>
      <c r="H2041" s="341">
        <f>IF(A2041="","",VLOOKUP(A2041,VII.A!$A$10:$D$199,4,FALSE))</f>
        <v>0</v>
      </c>
      <c r="I2041" s="341" t="str">
        <f t="shared" si="537"/>
        <v>SIM</v>
      </c>
      <c r="J2041" s="341" t="str">
        <f>IF(A2041="","",VLOOKUP(A2041,VII.A!$A$10:$D$199,3,FALSE))</f>
        <v>L</v>
      </c>
      <c r="K2041" s="342" t="str">
        <f t="shared" si="538"/>
        <v>SIM</v>
      </c>
      <c r="L2041" s="380">
        <f>IF(C2041="","",G2027*C2041)</f>
        <v>134.4</v>
      </c>
      <c r="M2041" s="381" t="str">
        <f>IF(A2041="","",VLOOKUP(A2041,VII.A!$A$10:$B$199,2,FALSE))</f>
        <v>DESMOLDANTE PARA FÔRMAS - BASE DE ÓLEO MINERAL EMULSIONADO</v>
      </c>
      <c r="N2041" s="342" t="str">
        <f t="shared" si="539"/>
        <v>si</v>
      </c>
      <c r="O2041" s="342"/>
      <c r="R2041" s="341"/>
      <c r="S2041" s="341"/>
    </row>
    <row r="2042" spans="1:21" ht="12.75" customHeight="1">
      <c r="A2042" s="385" t="str">
        <f>VII.A!$A$90</f>
        <v>1.80</v>
      </c>
      <c r="B2042" s="386" t="str">
        <f>IF($A2042&gt;0, VLOOKUP($A2042,VII.A!$A$10:$G$203,2,),"")</f>
        <v>PREGO EM AÇO POLIDO COM CABEÇA (MEDIA DAS BITOLAS)</v>
      </c>
      <c r="C2042" s="20">
        <f>ROUND((0.136*6.72),4)</f>
        <v>0.91390000000000005</v>
      </c>
      <c r="D2042" s="342" t="str">
        <f>IF($A2042&gt;0, VLOOKUP($A2042,VII.A!$A$10:$G$203,3,),"")</f>
        <v>KG</v>
      </c>
      <c r="E2042" s="387">
        <f>IF($A2042&gt;0, VLOOKUP($A2042,VII.A!$A$10:$G$203,4,),"")</f>
        <v>0</v>
      </c>
      <c r="F2042" s="388">
        <f t="shared" si="540"/>
        <v>0</v>
      </c>
      <c r="H2042" s="341">
        <f>IF(A2042="","",VLOOKUP(A2042,VII.A!$A$10:$D$199,4,FALSE))</f>
        <v>0</v>
      </c>
      <c r="I2042" s="341" t="str">
        <f t="shared" si="537"/>
        <v>SIM</v>
      </c>
      <c r="J2042" s="341" t="str">
        <f>IF(A2042="","",VLOOKUP(A2042,VII.A!$A$10:$D$199,3,FALSE))</f>
        <v>KG</v>
      </c>
      <c r="K2042" s="342" t="str">
        <f t="shared" si="538"/>
        <v>SIM</v>
      </c>
      <c r="L2042" s="380">
        <f>IF(C2042="","",G2027*C2042)</f>
        <v>18.278000000000002</v>
      </c>
      <c r="M2042" s="381" t="str">
        <f>IF(A2042="","",VLOOKUP(A2042,VII.A!$A$10:$B$199,2,FALSE))</f>
        <v>PREGO EM AÇO POLIDO COM CABEÇA (MEDIA DAS BITOLAS)</v>
      </c>
      <c r="N2042" s="342" t="str">
        <f t="shared" si="539"/>
        <v>si</v>
      </c>
      <c r="R2042" s="341"/>
      <c r="S2042" s="341"/>
    </row>
    <row r="2043" spans="1:21" ht="12.75" customHeight="1">
      <c r="A2043" s="393" t="str">
        <f>VII.A!$A$101</f>
        <v>1.91</v>
      </c>
      <c r="B2043" s="386" t="str">
        <f>IF($A2043&gt;0, VLOOKUP($A2043,VII.A!$A$10:$G$203,2,),"")</f>
        <v>TÁBUA MADEIRA 3A QUALIDADE 2,5 X 30CM (1X12") NÃO APARELHADA</v>
      </c>
      <c r="C2043" s="20">
        <f>ROUND((0.8667*6.72),4)</f>
        <v>5.8242000000000003</v>
      </c>
      <c r="D2043" s="342" t="str">
        <f>IF($A2043&gt;0, VLOOKUP($A2043,VII.A!$A$10:$G$203,3,),"")</f>
        <v>M</v>
      </c>
      <c r="E2043" s="387">
        <f>IF($A2043&gt;0, VLOOKUP($A2043,VII.A!$A$10:$G$203,4,),"")</f>
        <v>0</v>
      </c>
      <c r="F2043" s="388">
        <f t="shared" si="540"/>
        <v>0</v>
      </c>
      <c r="H2043" s="341">
        <f>IF(A2043="","",VLOOKUP(A2043,VII.A!$A$10:$D$199,4,FALSE))</f>
        <v>0</v>
      </c>
      <c r="I2043" s="341" t="str">
        <f t="shared" si="537"/>
        <v>SIM</v>
      </c>
      <c r="J2043" s="341" t="str">
        <f>IF(A2043="","",VLOOKUP(A2043,VII.A!$A$10:$D$199,3,FALSE))</f>
        <v>M</v>
      </c>
      <c r="K2043" s="342" t="str">
        <f t="shared" si="538"/>
        <v>SIM</v>
      </c>
      <c r="L2043" s="380">
        <f>IF(C2043="","",G2027*C2043)</f>
        <v>116.48400000000001</v>
      </c>
      <c r="M2043" s="381" t="str">
        <f>IF(A2043="","",VLOOKUP(A2043,VII.A!$A$10:$B$199,2,FALSE))</f>
        <v>TÁBUA MADEIRA 3A QUALIDADE 2,5 X 30CM (1X12") NÃO APARELHADA</v>
      </c>
      <c r="N2043" s="342" t="str">
        <f t="shared" si="539"/>
        <v>si</v>
      </c>
      <c r="R2043" s="341"/>
      <c r="S2043" s="341"/>
    </row>
    <row r="2044" spans="1:21" ht="12.75" customHeight="1">
      <c r="A2044" s="393" t="str">
        <f>VII.A!$A$10</f>
        <v>1.1</v>
      </c>
      <c r="B2044" s="386" t="str">
        <f>IF($A2044&gt;0, VLOOKUP($A2044,VII.A!$A$10:$G$203,2,),"")</f>
        <v>AÇO CA-50 (MÉDIA DAS BITOLAS)</v>
      </c>
      <c r="C2044" s="20">
        <f>ROUND((1.1*18.74)+(1.5096*4),4)</f>
        <v>26.6524</v>
      </c>
      <c r="D2044" s="342" t="str">
        <f>IF($A2044&gt;0, VLOOKUP($A2044,VII.A!$A$10:$G$203,3,),"")</f>
        <v>KG</v>
      </c>
      <c r="E2044" s="387">
        <f>IF($A2044&gt;0, VLOOKUP($A2044,VII.A!$A$10:$G$203,4,),"")</f>
        <v>0</v>
      </c>
      <c r="F2044" s="388">
        <f t="shared" si="540"/>
        <v>0</v>
      </c>
      <c r="H2044" s="341">
        <f>IF(A2044="","",VLOOKUP(A2044,VII.A!$A$10:$D$199,4,FALSE))</f>
        <v>0</v>
      </c>
      <c r="I2044" s="341" t="str">
        <f t="shared" si="537"/>
        <v>SIM</v>
      </c>
      <c r="J2044" s="341" t="str">
        <f>IF(A2044="","",VLOOKUP(A2044,VII.A!$A$10:$D$199,3,FALSE))</f>
        <v>KG</v>
      </c>
      <c r="K2044" s="342" t="str">
        <f t="shared" si="538"/>
        <v>SIM</v>
      </c>
      <c r="L2044" s="380">
        <f>IF(C2044="","",G2027*C2044)</f>
        <v>533.048</v>
      </c>
      <c r="M2044" s="381" t="str">
        <f>IF(A2044="","",VLOOKUP(A2044,VII.A!$A$10:$B$199,2,FALSE))</f>
        <v>AÇO CA-50 (MÉDIA DAS BITOLAS)</v>
      </c>
      <c r="N2044" s="342" t="str">
        <f t="shared" si="539"/>
        <v>si</v>
      </c>
      <c r="R2044" s="341"/>
      <c r="S2044" s="341"/>
    </row>
    <row r="2045" spans="1:21" ht="12.75" customHeight="1">
      <c r="A2045" s="393" t="str">
        <f>VII.A!$A$18</f>
        <v>1.9</v>
      </c>
      <c r="B2045" s="386" t="str">
        <f>IF($A2045&gt;0, VLOOKUP($A2045,VII.A!$A$10:$G$203,2,),"")</f>
        <v>ARAME RECOZIDO 18 BWG - 1,25MM - 9,60 G/M</v>
      </c>
      <c r="C2045" s="20">
        <f>ROUND((0.03*18.74)+(0.0065*113.79),4)</f>
        <v>1.3018000000000001</v>
      </c>
      <c r="D2045" s="342" t="str">
        <f>IF($A2045&gt;0, VLOOKUP($A2045,VII.A!$A$10:$G$203,3,),"")</f>
        <v>KG</v>
      </c>
      <c r="E2045" s="387">
        <f>IF($A2045&gt;0, VLOOKUP($A2045,VII.A!$A$10:$G$203,4,),"")</f>
        <v>0</v>
      </c>
      <c r="F2045" s="388">
        <f t="shared" si="540"/>
        <v>0</v>
      </c>
      <c r="H2045" s="341">
        <f>IF(A2045="","",VLOOKUP(A2045,VII.A!$A$10:$D$199,4,FALSE))</f>
        <v>0</v>
      </c>
      <c r="I2045" s="341" t="str">
        <f t="shared" ref="I2045:I2047" si="541">IF(A2045="","",IF(E2045=H2045,"SIM","NÃO"))</f>
        <v>SIM</v>
      </c>
      <c r="J2045" s="341" t="str">
        <f>IF(A2045="","",VLOOKUP(A2045,VII.A!$A$10:$D$199,3,FALSE))</f>
        <v>KG</v>
      </c>
      <c r="K2045" s="342" t="str">
        <f t="shared" ref="K2045:K2047" si="542">IF(A2045="","",IF(J2045=D2045,"SIM","NÃO"))</f>
        <v>SIM</v>
      </c>
      <c r="L2045" s="380">
        <f t="shared" ref="L2045:L2047" si="543">IF(C2045="","",G2028*C2045)</f>
        <v>0</v>
      </c>
      <c r="M2045" s="381" t="str">
        <f>IF(A2045="","",VLOOKUP(A2045,VII.A!$A$10:$B$199,2,FALSE))</f>
        <v>ARAME RECOZIDO 18 BWG - 1,25MM - 9,60 G/M</v>
      </c>
      <c r="N2045" s="342" t="str">
        <f t="shared" ref="N2045:N2047" si="544">IF(B2045="","",IF(M2045=B2045,"si","no"))</f>
        <v>si</v>
      </c>
      <c r="R2045" s="341"/>
      <c r="S2045" s="341"/>
    </row>
    <row r="2046" spans="1:21" ht="12.75" customHeight="1">
      <c r="A2046" s="393" t="str">
        <f>VII.A!$A$103</f>
        <v>1.93</v>
      </c>
      <c r="B2046" s="386" t="str">
        <f>IF($A2046&gt;0, VLOOKUP($A2046,VII.A!$A$10:$G$203,2,),"")</f>
        <v>TELA DE AÇO SOLDADA, CA-60 (MÉDIA DAS BITOLAS)</v>
      </c>
      <c r="C2046" s="20">
        <f>ROUND((1.1*113.79),4)</f>
        <v>125.169</v>
      </c>
      <c r="D2046" s="342" t="str">
        <f>IF($A2046&gt;0, VLOOKUP($A2046,VII.A!$A$10:$G$203,3,),"")</f>
        <v>KG</v>
      </c>
      <c r="E2046" s="387">
        <f>IF($A2046&gt;0, VLOOKUP($A2046,VII.A!$A$10:$G$203,4,),"")</f>
        <v>0</v>
      </c>
      <c r="F2046" s="388">
        <f t="shared" si="540"/>
        <v>0</v>
      </c>
      <c r="H2046" s="341">
        <f>IF(A2046="","",VLOOKUP(A2046,VII.A!$A$10:$D$199,4,FALSE))</f>
        <v>0</v>
      </c>
      <c r="I2046" s="341" t="str">
        <f t="shared" si="541"/>
        <v>SIM</v>
      </c>
      <c r="J2046" s="341" t="str">
        <f>IF(A2046="","",VLOOKUP(A2046,VII.A!$A$10:$D$199,3,FALSE))</f>
        <v>KG</v>
      </c>
      <c r="K2046" s="342" t="str">
        <f t="shared" si="542"/>
        <v>SIM</v>
      </c>
      <c r="L2046" s="380">
        <f t="shared" si="543"/>
        <v>0</v>
      </c>
      <c r="M2046" s="381" t="str">
        <f>IF(A2046="","",VLOOKUP(A2046,VII.A!$A$10:$B$199,2,FALSE))</f>
        <v>TELA DE AÇO SOLDADA, CA-60 (MÉDIA DAS BITOLAS)</v>
      </c>
      <c r="N2046" s="342" t="str">
        <f t="shared" si="544"/>
        <v>si</v>
      </c>
      <c r="R2046" s="341"/>
      <c r="S2046" s="341"/>
    </row>
    <row r="2047" spans="1:21" ht="12.75" customHeight="1">
      <c r="A2047" s="393" t="str">
        <f>VII.A!$A$49</f>
        <v>1.40</v>
      </c>
      <c r="B2047" s="386" t="str">
        <f>IF($A2047&gt;0, VLOOKUP($A2047,VII.A!$A$10:$G$203,2,),"")</f>
        <v>ELETRODUTO/DUTO PEAD FLEXIVEL PAREDE SIMPLES, CORRUGACAO HELICOIDAL, COR PRETA, DE 1 1/2"</v>
      </c>
      <c r="C2047" s="20">
        <f>ROUND((1.1*6),4)</f>
        <v>6.6</v>
      </c>
      <c r="D2047" s="342" t="str">
        <f>IF($A2047&gt;0, VLOOKUP($A2047,VII.A!$A$10:$G$203,3,),"")</f>
        <v>M</v>
      </c>
      <c r="E2047" s="387">
        <f>IF($A2047&gt;0, VLOOKUP($A2047,VII.A!$A$10:$G$203,4,),"")</f>
        <v>0</v>
      </c>
      <c r="F2047" s="388">
        <f t="shared" si="540"/>
        <v>0</v>
      </c>
      <c r="H2047" s="341">
        <f>IF(A2047="","",VLOOKUP(A2047,VII.A!$A$10:$D$199,4,FALSE))</f>
        <v>0</v>
      </c>
      <c r="I2047" s="341" t="str">
        <f t="shared" si="541"/>
        <v>SIM</v>
      </c>
      <c r="J2047" s="341" t="str">
        <f>IF(A2047="","",VLOOKUP(A2047,VII.A!$A$10:$D$199,3,FALSE))</f>
        <v>M</v>
      </c>
      <c r="K2047" s="342" t="str">
        <f t="shared" si="542"/>
        <v>SIM</v>
      </c>
      <c r="L2047" s="380">
        <f t="shared" si="543"/>
        <v>0</v>
      </c>
      <c r="M2047" s="381" t="str">
        <f>IF(A2047="","",VLOOKUP(A2047,VII.A!$A$10:$B$199,2,FALSE))</f>
        <v>ELETRODUTO/DUTO PEAD FLEXIVEL PAREDE SIMPLES, CORRUGACAO HELICOIDAL, COR PRETA, DE 1 1/2"</v>
      </c>
      <c r="N2047" s="342" t="str">
        <f t="shared" si="544"/>
        <v>si</v>
      </c>
      <c r="R2047" s="341"/>
      <c r="S2047" s="341"/>
    </row>
    <row r="2048" spans="1:21" ht="12.75" customHeight="1">
      <c r="A2048" s="393"/>
      <c r="B2048" s="386"/>
      <c r="C2048" s="20"/>
      <c r="D2048" s="342"/>
      <c r="E2048" s="387"/>
      <c r="F2048" s="388"/>
      <c r="J2048" s="341"/>
      <c r="L2048" s="380"/>
      <c r="M2048" s="381"/>
      <c r="N2048" s="342"/>
      <c r="R2048" s="341"/>
      <c r="S2048" s="341"/>
    </row>
    <row r="2049" spans="1:19" ht="12.75" customHeight="1">
      <c r="A2049" s="393"/>
      <c r="B2049" s="386"/>
      <c r="C2049" s="20"/>
      <c r="D2049" s="342"/>
      <c r="E2049" s="387"/>
      <c r="F2049" s="388"/>
      <c r="H2049" s="341" t="str">
        <f>IF(A2049="","",VLOOKUP(A2049,VII.A!$A$10:$D$199,4,FALSE))</f>
        <v/>
      </c>
      <c r="I2049" s="341" t="str">
        <f t="shared" ref="I2049:I2058" si="545">IF(A2049="","",IF(E2049=H2049,"SIM","NÃO"))</f>
        <v/>
      </c>
      <c r="J2049" s="341" t="str">
        <f>IF(A2049="","",VLOOKUP(A2049,VII.A!$A$10:$D$199,3,FALSE))</f>
        <v/>
      </c>
      <c r="K2049" s="342" t="str">
        <f t="shared" ref="K2049:K2058" si="546">IF(A2049="","",IF(J2049=D2049,"SIM","NÃO"))</f>
        <v/>
      </c>
      <c r="L2049" s="380" t="str">
        <f>IF(C2049="","",G2027*C2049)</f>
        <v/>
      </c>
      <c r="M2049" s="381" t="str">
        <f>IF(A2049="","",VLOOKUP(A2049,VII.A!$A$10:$B$199,2,FALSE))</f>
        <v/>
      </c>
      <c r="N2049" s="342" t="str">
        <f t="shared" ref="N2049:N2058" si="547">IF(B2049="","",IF(M2049=B2049,"si","no"))</f>
        <v/>
      </c>
      <c r="R2049" s="341"/>
      <c r="S2049" s="341"/>
    </row>
    <row r="2050" spans="1:19" ht="12.75" customHeight="1">
      <c r="A2050" s="393"/>
      <c r="B2050" s="395" t="s">
        <v>226</v>
      </c>
      <c r="C2050" s="396"/>
      <c r="D2050" s="397"/>
      <c r="E2050" s="398"/>
      <c r="F2050" s="399">
        <f>SUM(F2029:F2047)</f>
        <v>0</v>
      </c>
      <c r="H2050" s="341" t="str">
        <f>IF(A2050="","",VLOOKUP(A2050,VII.A!$A$10:$D$199,4,FALSE))</f>
        <v/>
      </c>
      <c r="I2050" s="341" t="str">
        <f t="shared" si="545"/>
        <v/>
      </c>
      <c r="J2050" s="341" t="str">
        <f>IF(A2050="","",VLOOKUP(A2050,VII.A!$A$10:$D$199,3,FALSE))</f>
        <v/>
      </c>
      <c r="K2050" s="342" t="str">
        <f t="shared" si="546"/>
        <v/>
      </c>
      <c r="L2050" s="380" t="str">
        <f>IF(C2050="","",G2027*C2050)</f>
        <v/>
      </c>
      <c r="M2050" s="381" t="str">
        <f>IF(A2050="","",VLOOKUP(A2050,VII.A!$A$10:$B$199,2,FALSE))</f>
        <v/>
      </c>
      <c r="N2050" s="342"/>
      <c r="R2050" s="341"/>
      <c r="S2050" s="341"/>
    </row>
    <row r="2051" spans="1:19" ht="12.75" customHeight="1">
      <c r="A2051" s="393"/>
      <c r="B2051" s="400" t="s">
        <v>53</v>
      </c>
      <c r="C2051" s="2">
        <f>$D$8</f>
        <v>0</v>
      </c>
      <c r="D2051" s="401"/>
      <c r="E2051" s="402"/>
      <c r="F2051" s="403">
        <f>ROUND(F2050*C2051,2)</f>
        <v>0</v>
      </c>
      <c r="H2051" s="341" t="str">
        <f>IF(A2051="","",VLOOKUP(A2051,VII.A!$A$10:$D$199,4,FALSE))</f>
        <v/>
      </c>
      <c r="I2051" s="341" t="str">
        <f t="shared" si="545"/>
        <v/>
      </c>
      <c r="J2051" s="341" t="str">
        <f>IF(A2051="","",VLOOKUP(A2051,VII.A!$A$10:$D$199,3,FALSE))</f>
        <v/>
      </c>
      <c r="K2051" s="342" t="str">
        <f t="shared" si="546"/>
        <v/>
      </c>
      <c r="L2051" s="380">
        <f>IF(C2051="","",G2027*C2051)</f>
        <v>0</v>
      </c>
      <c r="M2051" s="381" t="str">
        <f>IF(A2051="","",VLOOKUP(A2051,VII.A!$A$10:$B$199,2,FALSE))</f>
        <v/>
      </c>
      <c r="N2051" s="342"/>
      <c r="R2051" s="341"/>
      <c r="S2051" s="341"/>
    </row>
    <row r="2052" spans="1:19" ht="12.75" customHeight="1">
      <c r="A2052" s="404"/>
      <c r="B2052" s="405" t="s">
        <v>227</v>
      </c>
      <c r="C2052" s="406"/>
      <c r="D2052" s="406"/>
      <c r="E2052" s="407"/>
      <c r="F2052" s="408">
        <f>F2050+F2051</f>
        <v>0</v>
      </c>
      <c r="H2052" s="341" t="str">
        <f>IF(A2052="","",VLOOKUP(A2052,VII.A!$A$10:$D$199,4,FALSE))</f>
        <v/>
      </c>
      <c r="I2052" s="341" t="str">
        <f t="shared" si="545"/>
        <v/>
      </c>
      <c r="J2052" s="341" t="str">
        <f>IF(A2052="","",VLOOKUP(A2052,VII.A!$A$10:$D$199,3,FALSE))</f>
        <v/>
      </c>
      <c r="K2052" s="342" t="str">
        <f t="shared" si="546"/>
        <v/>
      </c>
      <c r="L2052" s="380" t="str">
        <f>IF(C2052="","",G2027*C2052)</f>
        <v/>
      </c>
      <c r="M2052" s="381" t="str">
        <f>IF(A2052="","",VLOOKUP(A2052,VII.A!$A$10:$B$199,2,FALSE))</f>
        <v/>
      </c>
      <c r="N2052" s="342"/>
      <c r="R2052" s="341"/>
      <c r="S2052" s="341"/>
    </row>
    <row r="2053" spans="1:19" ht="12.75" customHeight="1">
      <c r="A2053" s="374" t="s">
        <v>2</v>
      </c>
      <c r="B2053" s="375" t="s">
        <v>235</v>
      </c>
      <c r="C2053" s="376" t="s">
        <v>231</v>
      </c>
      <c r="D2053" s="376" t="s">
        <v>232</v>
      </c>
      <c r="E2053" s="377" t="s">
        <v>233</v>
      </c>
      <c r="F2053" s="378" t="s">
        <v>234</v>
      </c>
      <c r="G2053" s="390"/>
      <c r="J2053" s="341"/>
      <c r="L2053" s="380"/>
      <c r="M2053" s="381"/>
      <c r="N2053" s="342"/>
      <c r="R2053" s="341"/>
      <c r="S2053" s="341"/>
    </row>
    <row r="2054" spans="1:19" ht="12.75" customHeight="1">
      <c r="A2054" s="393" t="str">
        <f>VII.A!$A$148</f>
        <v>2.6</v>
      </c>
      <c r="B2054" s="386" t="str">
        <f>IF($A2054&gt;0, VLOOKUP($A2054,VII.A!$A$10:$G$203,2,),"")</f>
        <v>BETONEIRA, CAPACIDADE NOMINAL DE 400L, MOTOR ELÉTRICO TRIFÁSICO DE  2CV - CHI</v>
      </c>
      <c r="C2054" s="20">
        <f>ROUND((0.9461*(0.57+0.5)+(0.78*0.47)),4)</f>
        <v>1.3789</v>
      </c>
      <c r="D2054" s="342" t="str">
        <f>IF($A2054&gt;0, VLOOKUP($A2054,VII.A!$A$10:$G$203,3,),"")</f>
        <v>CHI</v>
      </c>
      <c r="E2054" s="387">
        <f>IF($A2054&gt;0, VLOOKUP($A2054,VII.A!$A$10:$G$203,4,),"")</f>
        <v>0</v>
      </c>
      <c r="F2054" s="388">
        <f t="shared" ref="F2054:F2056" si="548">ROUND(C2054*E2054,2)</f>
        <v>0</v>
      </c>
      <c r="G2054" s="391"/>
      <c r="H2054" s="341">
        <f>IF(A2054="","",VLOOKUP(A2054,VII.A!$A$10:$D$199,4,FALSE))</f>
        <v>0</v>
      </c>
      <c r="I2054" s="341" t="str">
        <f t="shared" si="545"/>
        <v>SIM</v>
      </c>
      <c r="J2054" s="341" t="str">
        <f>IF(A2054="","",VLOOKUP(A2054,VII.A!$A$10:$D$199,3,FALSE))</f>
        <v>CHI</v>
      </c>
      <c r="K2054" s="342" t="str">
        <f t="shared" si="546"/>
        <v>SIM</v>
      </c>
      <c r="L2054" s="380">
        <f>IF(C2054="","",G2027*C2054)</f>
        <v>27.577999999999999</v>
      </c>
      <c r="M2054" s="381" t="str">
        <f>IF(A2054="","",VLOOKUP(A2054,VII.A!$A$10:$B$199,2,FALSE))</f>
        <v>BETONEIRA, CAPACIDADE NOMINAL DE 400L, MOTOR ELÉTRICO TRIFÁSICO DE  2CV - CHI</v>
      </c>
      <c r="N2054" s="342" t="str">
        <f t="shared" si="547"/>
        <v>si</v>
      </c>
      <c r="R2054" s="341"/>
      <c r="S2054" s="341"/>
    </row>
    <row r="2055" spans="1:19" ht="12.75" customHeight="1">
      <c r="A2055" s="393" t="str">
        <f>VII.A!$A$149</f>
        <v>2.7</v>
      </c>
      <c r="B2055" s="386" t="str">
        <f>IF($A2055&gt;0, VLOOKUP($A2055,VII.A!$A$10:$G$203,2,),"")</f>
        <v>BETONEIRA, CAPACIDADE NOMINAL DE 400L, MOTOR ELÉTRICO TRIFÁSICO DE  2CV - CHP</v>
      </c>
      <c r="C2055" s="20">
        <f>ROUND((1.0068*(0.57+0.5)+(0.0277*4))+(0.83*0.47),4)</f>
        <v>1.5782</v>
      </c>
      <c r="D2055" s="342" t="str">
        <f>IF($A2055&gt;0, VLOOKUP($A2055,VII.A!$A$10:$G$203,3,),"")</f>
        <v>CHP</v>
      </c>
      <c r="E2055" s="387">
        <f>IF($A2055&gt;0, VLOOKUP($A2055,VII.A!$A$10:$G$203,4,),"")</f>
        <v>0</v>
      </c>
      <c r="F2055" s="388">
        <f t="shared" si="548"/>
        <v>0</v>
      </c>
      <c r="H2055" s="341">
        <f>IF(A2055="","",VLOOKUP(A2055,VII.A!$A$10:$D$199,4,FALSE))</f>
        <v>0</v>
      </c>
      <c r="I2055" s="341" t="str">
        <f t="shared" si="545"/>
        <v>SIM</v>
      </c>
      <c r="J2055" s="341" t="str">
        <f>IF(A2055="","",VLOOKUP(A2055,VII.A!$A$10:$D$199,3,FALSE))</f>
        <v>CHP</v>
      </c>
      <c r="K2055" s="342" t="str">
        <f t="shared" si="546"/>
        <v>SIM</v>
      </c>
      <c r="L2055" s="380">
        <f>IF(C2055="","",G2027*C2055)</f>
        <v>31.564</v>
      </c>
      <c r="M2055" s="381" t="str">
        <f>IF(A2055="","",VLOOKUP(A2055,VII.A!$A$10:$B$199,2,FALSE))</f>
        <v>BETONEIRA, CAPACIDADE NOMINAL DE 400L, MOTOR ELÉTRICO TRIFÁSICO DE  2CV - CHP</v>
      </c>
      <c r="N2055" s="342" t="str">
        <f t="shared" si="547"/>
        <v>si</v>
      </c>
      <c r="R2055" s="341"/>
      <c r="S2055" s="341"/>
    </row>
    <row r="2056" spans="1:19" ht="12.75" customHeight="1">
      <c r="A2056" s="393"/>
      <c r="C2056" s="20"/>
      <c r="E2056" s="387"/>
      <c r="F2056" s="388">
        <f t="shared" si="548"/>
        <v>0</v>
      </c>
      <c r="H2056" s="341" t="str">
        <f>IF(A2056="","",VLOOKUP(A2056,VII.A!$A$10:$D$199,4,FALSE))</f>
        <v/>
      </c>
      <c r="I2056" s="341" t="str">
        <f t="shared" si="545"/>
        <v/>
      </c>
      <c r="J2056" s="341" t="str">
        <f>IF(A2056="","",VLOOKUP(A2056,VII.A!$A$10:$D$199,3,FALSE))</f>
        <v/>
      </c>
      <c r="K2056" s="342" t="str">
        <f t="shared" si="546"/>
        <v/>
      </c>
      <c r="L2056" s="380" t="str">
        <f>IF(C2056="","",G2027*C2056)</f>
        <v/>
      </c>
      <c r="M2056" s="381" t="str">
        <f>IF(A2056="","",VLOOKUP(A2056,VII.A!$A$10:$B$199,2,FALSE))</f>
        <v/>
      </c>
      <c r="N2056" s="342" t="str">
        <f t="shared" si="547"/>
        <v/>
      </c>
      <c r="R2056" s="341"/>
      <c r="S2056" s="341"/>
    </row>
    <row r="2057" spans="1:19" ht="12.75" customHeight="1">
      <c r="A2057" s="393"/>
      <c r="C2057" s="20"/>
      <c r="E2057" s="387"/>
      <c r="F2057" s="388"/>
      <c r="H2057" s="341" t="str">
        <f>IF(A2057="","",VLOOKUP(A2057,VII.A!$A$10:$D$199,4,FALSE))</f>
        <v/>
      </c>
      <c r="I2057" s="341" t="str">
        <f t="shared" si="545"/>
        <v/>
      </c>
      <c r="J2057" s="341" t="str">
        <f>IF(A2057="","",VLOOKUP(A2057,VII.A!$A$10:$D$199,3,FALSE))</f>
        <v/>
      </c>
      <c r="K2057" s="342" t="str">
        <f t="shared" si="546"/>
        <v/>
      </c>
      <c r="L2057" s="380" t="str">
        <f>IF(C2057="","",G2027*C2057)</f>
        <v/>
      </c>
      <c r="M2057" s="381" t="str">
        <f>IF(A2057="","",VLOOKUP(A2057,VII.A!$A$10:$B$199,2,FALSE))</f>
        <v/>
      </c>
      <c r="N2057" s="342" t="str">
        <f t="shared" si="547"/>
        <v/>
      </c>
      <c r="R2057" s="341"/>
      <c r="S2057" s="341"/>
    </row>
    <row r="2058" spans="1:19" ht="12.75" customHeight="1">
      <c r="A2058" s="393"/>
      <c r="C2058" s="20"/>
      <c r="E2058" s="387"/>
      <c r="F2058" s="388"/>
      <c r="H2058" s="341" t="str">
        <f>IF(A2058="","",VLOOKUP(A2058,VII.A!$A$10:$D$199,4,FALSE))</f>
        <v/>
      </c>
      <c r="I2058" s="341" t="str">
        <f t="shared" si="545"/>
        <v/>
      </c>
      <c r="J2058" s="341" t="str">
        <f>IF(A2058="","",VLOOKUP(A2058,VII.A!$A$10:$D$199,3,FALSE))</f>
        <v/>
      </c>
      <c r="K2058" s="342" t="str">
        <f t="shared" si="546"/>
        <v/>
      </c>
      <c r="L2058" s="380" t="str">
        <f>IF(C2058="","",G2027*C2058)</f>
        <v/>
      </c>
      <c r="M2058" s="381" t="str">
        <f>IF(A2058="","",VLOOKUP(A2058,VII.A!$A$10:$B$199,2,FALSE))</f>
        <v/>
      </c>
      <c r="N2058" s="342" t="str">
        <f t="shared" si="547"/>
        <v/>
      </c>
      <c r="R2058" s="341"/>
      <c r="S2058" s="341"/>
    </row>
    <row r="2059" spans="1:19" ht="12.75" customHeight="1">
      <c r="A2059" s="393"/>
      <c r="C2059" s="20"/>
      <c r="E2059" s="387"/>
      <c r="F2059" s="388">
        <f t="shared" ref="F2059" si="549">ROUND(C2059*E2059,2)</f>
        <v>0</v>
      </c>
      <c r="J2059" s="341"/>
      <c r="L2059" s="380"/>
      <c r="M2059" s="381"/>
      <c r="N2059" s="342"/>
      <c r="R2059" s="341"/>
      <c r="S2059" s="341"/>
    </row>
    <row r="2060" spans="1:19" ht="12.75" customHeight="1">
      <c r="A2060" s="393"/>
      <c r="B2060" s="395" t="s">
        <v>226</v>
      </c>
      <c r="C2060" s="396"/>
      <c r="D2060" s="397"/>
      <c r="E2060" s="398"/>
      <c r="F2060" s="399">
        <f>SUM(F2054:F2059)</f>
        <v>0</v>
      </c>
      <c r="J2060" s="341"/>
      <c r="L2060" s="380"/>
      <c r="M2060" s="381"/>
      <c r="N2060" s="342"/>
      <c r="R2060" s="341"/>
      <c r="S2060" s="341"/>
    </row>
    <row r="2061" spans="1:19" ht="12.75" customHeight="1">
      <c r="A2061" s="393"/>
      <c r="B2061" s="400" t="s">
        <v>53</v>
      </c>
      <c r="C2061" s="2">
        <f>$D$8</f>
        <v>0</v>
      </c>
      <c r="D2061" s="401"/>
      <c r="E2061" s="402"/>
      <c r="F2061" s="403">
        <f>ROUND(C2061*F2060,2)</f>
        <v>0</v>
      </c>
      <c r="J2061" s="341"/>
      <c r="L2061" s="380"/>
      <c r="M2061" s="381"/>
      <c r="N2061" s="342"/>
      <c r="R2061" s="341"/>
      <c r="S2061" s="341"/>
    </row>
    <row r="2062" spans="1:19" ht="12.75" customHeight="1">
      <c r="A2062" s="404"/>
      <c r="B2062" s="405" t="s">
        <v>228</v>
      </c>
      <c r="C2062" s="406"/>
      <c r="D2062" s="406"/>
      <c r="E2062" s="407"/>
      <c r="F2062" s="408">
        <f>F2060+F2061</f>
        <v>0</v>
      </c>
      <c r="J2062" s="341"/>
      <c r="L2062" s="380"/>
      <c r="M2062" s="381"/>
      <c r="N2062" s="342"/>
      <c r="R2062" s="341"/>
      <c r="S2062" s="341"/>
    </row>
    <row r="2063" spans="1:19" ht="12.75" customHeight="1">
      <c r="A2063" s="409" t="s">
        <v>47</v>
      </c>
      <c r="B2063" s="410" t="s">
        <v>236</v>
      </c>
      <c r="C2063" s="411" t="s">
        <v>231</v>
      </c>
      <c r="D2063" s="412" t="s">
        <v>232</v>
      </c>
      <c r="E2063" s="413" t="s">
        <v>233</v>
      </c>
      <c r="F2063" s="378" t="s">
        <v>234</v>
      </c>
      <c r="J2063" s="341"/>
      <c r="L2063" s="380"/>
      <c r="M2063" s="381"/>
      <c r="N2063" s="342"/>
      <c r="R2063" s="341"/>
      <c r="S2063" s="341"/>
    </row>
    <row r="2064" spans="1:19" ht="12.75" customHeight="1">
      <c r="A2064" s="393" t="str">
        <f>VII.A!$A$192</f>
        <v>3.12</v>
      </c>
      <c r="B2064" s="386" t="str">
        <f>IF($A2064&gt;0, VLOOKUP($A2064,VII.A!$A$10:$G$203,2,),"")</f>
        <v>PEDREIRO COM ENCARGOS COMPLEMENTARES</v>
      </c>
      <c r="C2064" s="20">
        <f>ROUND((0.45*25.17)+(2.7132*0.57)+(0.25*0.5)+(0.498*4)+(1.6*0.47),4)</f>
        <v>15.742000000000001</v>
      </c>
      <c r="D2064" s="342" t="str">
        <f>IF($A2064&gt;0, VLOOKUP($A2064,VII.A!$A$10:$G$203,3,),"")</f>
        <v>H</v>
      </c>
      <c r="E2064" s="387">
        <f>IF($A2064&gt;0, VLOOKUP($A2064,VII.A!$A$10:$G$203,4,),"")</f>
        <v>0</v>
      </c>
      <c r="F2064" s="388">
        <f t="shared" ref="F2064" si="550">ROUND(C2064*E2064,2)</f>
        <v>0</v>
      </c>
      <c r="H2064" s="341">
        <f>IF(A2064="","",VLOOKUP(A2064,VII.A!$A$10:$D$199,4,FALSE))</f>
        <v>0</v>
      </c>
      <c r="I2064" s="341" t="str">
        <f t="shared" ref="I2064:I2069" si="551">IF(A2064="","",IF(E2064=H2064,"SIM","NÃO"))</f>
        <v>SIM</v>
      </c>
      <c r="J2064" s="341" t="str">
        <f>IF(A2064="","",VLOOKUP(A2064,VII.A!$A$10:$D$199,3,FALSE))</f>
        <v>H</v>
      </c>
      <c r="K2064" s="342" t="str">
        <f t="shared" ref="K2064:K2069" si="552">IF(A2064="","",IF(J2064=D2064,"SIM","NÃO"))</f>
        <v>SIM</v>
      </c>
      <c r="L2064" s="380">
        <f>IF(C2064="","",G2027*C2064)</f>
        <v>314.84000000000003</v>
      </c>
      <c r="M2064" s="381" t="str">
        <f>IF(A2064="","",VLOOKUP(A2064,VII.A!$A$10:$B$199,2,FALSE))</f>
        <v>PEDREIRO COM ENCARGOS COMPLEMENTARES</v>
      </c>
      <c r="N2064" s="342" t="str">
        <f t="shared" ref="N2064:N2069" si="553">IF(B2064="","",IF(M2064=B2064,"si","no"))</f>
        <v>si</v>
      </c>
      <c r="R2064" s="341"/>
      <c r="S2064" s="341"/>
    </row>
    <row r="2065" spans="1:25" ht="12.75" customHeight="1">
      <c r="A2065" s="393" t="str">
        <f>VII.A!$A$196</f>
        <v>3.16</v>
      </c>
      <c r="B2065" s="386" t="str">
        <f>IF($A2065&gt;0, VLOOKUP($A2065,VII.A!$A$10:$G$203,2,),"")</f>
        <v>SERVENTE COM ENCARGOS COMPLEMENTARES</v>
      </c>
      <c r="C2065" s="20">
        <f>ROUND((4.252*2.65)+(0.45*225.17)+(3*1.75)+(1.5*0.61)+(7.5443*0.57)+(2.5*0.5)+(0.896*4)+(2.3986*0.3)+(0.5*8)+(2.53*0.47),4)</f>
        <v>133.8022</v>
      </c>
      <c r="D2065" s="342" t="str">
        <f>IF($A2065&gt;0, VLOOKUP($A2065,VII.A!$A$10:$G$203,3,),"")</f>
        <v>H</v>
      </c>
      <c r="E2065" s="387">
        <f>IF($A2065&gt;0, VLOOKUP($A2065,VII.A!$A$10:$G$203,4,),"")</f>
        <v>0</v>
      </c>
      <c r="F2065" s="388">
        <f>ROUND(C2065*E2065,2)</f>
        <v>0</v>
      </c>
      <c r="H2065" s="341">
        <f>IF(A2065="","",VLOOKUP(A2065,VII.A!$A$10:$D$199,4,FALSE))</f>
        <v>0</v>
      </c>
      <c r="I2065" s="341" t="str">
        <f t="shared" si="551"/>
        <v>SIM</v>
      </c>
      <c r="J2065" s="341" t="str">
        <f>IF(A2065="","",VLOOKUP(A2065,VII.A!$A$10:$D$199,3,FALSE))</f>
        <v>H</v>
      </c>
      <c r="K2065" s="342" t="str">
        <f t="shared" si="552"/>
        <v>SIM</v>
      </c>
      <c r="L2065" s="380">
        <f>IF(C2065="","",G2027*C2065)</f>
        <v>2676.0439999999999</v>
      </c>
      <c r="M2065" s="381" t="str">
        <f>IF(A2065="","",VLOOKUP(A2065,VII.A!$A$10:$B$199,2,FALSE))</f>
        <v>SERVENTE COM ENCARGOS COMPLEMENTARES</v>
      </c>
      <c r="N2065" s="342" t="str">
        <f t="shared" si="553"/>
        <v>si</v>
      </c>
      <c r="R2065" s="341"/>
      <c r="S2065" s="341"/>
    </row>
    <row r="2066" spans="1:25" ht="12.75" customHeight="1">
      <c r="A2066" s="393" t="str">
        <f>VII.A!$A$186</f>
        <v>3.6</v>
      </c>
      <c r="B2066" s="386" t="str">
        <f>IF($A2066&gt;0, VLOOKUP($A2066,VII.A!$A$10:$G$203,2,),"")</f>
        <v>CARPINTEIRO COM ENCARGOS COMPLEMENTARES</v>
      </c>
      <c r="C2066" s="20">
        <f>ROUND((2.256*0.57),4)</f>
        <v>1.2859</v>
      </c>
      <c r="D2066" s="342" t="str">
        <f>IF($A2066&gt;0, VLOOKUP($A2066,VII.A!$A$10:$G$203,3,),"")</f>
        <v>H</v>
      </c>
      <c r="E2066" s="387">
        <f>IF($A2066&gt;0, VLOOKUP($A2066,VII.A!$A$10:$G$203,4,),"")</f>
        <v>0</v>
      </c>
      <c r="F2066" s="388">
        <f t="shared" ref="F2066:F2069" si="554">ROUND(C2066*E2066,2)</f>
        <v>0</v>
      </c>
      <c r="H2066" s="341">
        <f>IF(A2066="","",VLOOKUP(A2066,VII.A!$A$10:$D$199,4,FALSE))</f>
        <v>0</v>
      </c>
      <c r="I2066" s="341" t="str">
        <f t="shared" si="551"/>
        <v>SIM</v>
      </c>
      <c r="J2066" s="341" t="str">
        <f>IF(A2066="","",VLOOKUP(A2066,VII.A!$A$10:$D$199,3,FALSE))</f>
        <v>H</v>
      </c>
      <c r="K2066" s="342" t="str">
        <f t="shared" si="552"/>
        <v>SIM</v>
      </c>
      <c r="L2066" s="380">
        <f>IF(C2066="","",G2027*C2066)</f>
        <v>25.718</v>
      </c>
      <c r="M2066" s="381" t="str">
        <f>IF(A2066="","",VLOOKUP(A2066,VII.A!$A$10:$B$199,2,FALSE))</f>
        <v>CARPINTEIRO COM ENCARGOS COMPLEMENTARES</v>
      </c>
      <c r="N2066" s="342" t="str">
        <f t="shared" si="553"/>
        <v>si</v>
      </c>
      <c r="R2066" s="341"/>
      <c r="S2066" s="341"/>
    </row>
    <row r="2067" spans="1:25" ht="12.75" customHeight="1">
      <c r="A2067" s="393" t="str">
        <f>VII.A!$A$181</f>
        <v>3.1</v>
      </c>
      <c r="B2067" s="386" t="str">
        <f>IF($A2067&gt;0, VLOOKUP($A2067,VII.A!$A$10:$G$203,2,),"")</f>
        <v>AJUDANTE COM ENCARGOS COMPLEMENTARES</v>
      </c>
      <c r="C2067" s="20">
        <f>ROUND((0.8*18.74)+(0.0672*6),4)</f>
        <v>15.395200000000001</v>
      </c>
      <c r="D2067" s="342" t="str">
        <f>IF($A2067&gt;0, VLOOKUP($A2067,VII.A!$A$10:$G$203,3,),"")</f>
        <v>H</v>
      </c>
      <c r="E2067" s="387">
        <f>IF($A2067&gt;0, VLOOKUP($A2067,VII.A!$A$10:$G$203,4,),"")</f>
        <v>0</v>
      </c>
      <c r="F2067" s="388">
        <f t="shared" si="554"/>
        <v>0</v>
      </c>
      <c r="H2067" s="341">
        <f>IF(A2067="","",VLOOKUP(A2067,VII.A!$A$10:$D$199,4,FALSE))</f>
        <v>0</v>
      </c>
      <c r="I2067" s="341" t="str">
        <f t="shared" si="551"/>
        <v>SIM</v>
      </c>
      <c r="J2067" s="341" t="str">
        <f>IF(A2067="","",VLOOKUP(A2067,VII.A!$A$10:$D$199,3,FALSE))</f>
        <v>H</v>
      </c>
      <c r="K2067" s="342" t="str">
        <f t="shared" si="552"/>
        <v>SIM</v>
      </c>
      <c r="L2067" s="380">
        <f>IF(C2067="","",G2027*C2067)</f>
        <v>307.904</v>
      </c>
      <c r="M2067" s="381" t="str">
        <f>IF(A2067="","",VLOOKUP(A2067,VII.A!$A$10:$B$199,2,FALSE))</f>
        <v>AJUDANTE COM ENCARGOS COMPLEMENTARES</v>
      </c>
      <c r="N2067" s="342" t="str">
        <f t="shared" si="553"/>
        <v>si</v>
      </c>
      <c r="R2067" s="341"/>
      <c r="S2067" s="341"/>
    </row>
    <row r="2068" spans="1:25" ht="12.75" customHeight="1">
      <c r="A2068" s="393" t="str">
        <f>VII.A!$A$184</f>
        <v>3.4</v>
      </c>
      <c r="B2068" s="386" t="str">
        <f>IF($A2068&gt;0, VLOOKUP($A2068,VII.A!$A$10:$G$203,2,),"")</f>
        <v>ARMADOR COM ENCARGOS COMPLEMENTARES</v>
      </c>
      <c r="C2068" s="20">
        <f>ROUND((0.04*18.74),4)</f>
        <v>0.74960000000000004</v>
      </c>
      <c r="D2068" s="342" t="str">
        <f>IF($A2068&gt;0, VLOOKUP($A2068,VII.A!$A$10:$G$203,3,),"")</f>
        <v>H</v>
      </c>
      <c r="E2068" s="387">
        <f>IF($A2068&gt;0, VLOOKUP($A2068,VII.A!$A$10:$G$203,4,),"")</f>
        <v>0</v>
      </c>
      <c r="F2068" s="388">
        <f t="shared" si="554"/>
        <v>0</v>
      </c>
      <c r="H2068" s="341">
        <f>IF(A2068="","",VLOOKUP(A2068,VII.A!$A$10:$D$199,4,FALSE))</f>
        <v>0</v>
      </c>
      <c r="I2068" s="341" t="str">
        <f t="shared" si="551"/>
        <v>SIM</v>
      </c>
      <c r="J2068" s="341" t="str">
        <f>IF(A2068="","",VLOOKUP(A2068,VII.A!$A$10:$D$199,3,FALSE))</f>
        <v>H</v>
      </c>
      <c r="K2068" s="342" t="str">
        <f t="shared" si="552"/>
        <v>SIM</v>
      </c>
      <c r="L2068" s="380">
        <f>IF(C2068="","",G2027*C2068)</f>
        <v>14.992000000000001</v>
      </c>
      <c r="M2068" s="381" t="str">
        <f>IF(A2068="","",VLOOKUP(A2068,VII.A!$A$10:$B$199,2,FALSE))</f>
        <v>ARMADOR COM ENCARGOS COMPLEMENTARES</v>
      </c>
      <c r="N2068" s="342" t="str">
        <f t="shared" si="553"/>
        <v>si</v>
      </c>
      <c r="R2068" s="341"/>
      <c r="S2068" s="341"/>
    </row>
    <row r="2069" spans="1:25" ht="12.75" customHeight="1">
      <c r="A2069" s="393" t="str">
        <f>VII.A!$A$189</f>
        <v>3.9</v>
      </c>
      <c r="B2069" s="386" t="str">
        <f>IF($A2069&gt;0, VLOOKUP($A2069,VII.A!$A$10:$G$203,2,),"")</f>
        <v>ELETRICISTA COM ENCARGOS COMPLEMENTARES</v>
      </c>
      <c r="C2069" s="20">
        <f>ROUND((0.0672*6),4)</f>
        <v>0.4032</v>
      </c>
      <c r="D2069" s="342" t="str">
        <f>IF($A2069&gt;0, VLOOKUP($A2069,VII.A!$A$10:$G$203,3,),"")</f>
        <v>H</v>
      </c>
      <c r="E2069" s="387">
        <f>IF($A2069&gt;0, VLOOKUP($A2069,VII.A!$A$10:$G$203,4,),"")</f>
        <v>0</v>
      </c>
      <c r="F2069" s="388">
        <f t="shared" si="554"/>
        <v>0</v>
      </c>
      <c r="H2069" s="341">
        <f>IF(A2069="","",VLOOKUP(A2069,VII.A!$A$10:$D$199,4,FALSE))</f>
        <v>0</v>
      </c>
      <c r="I2069" s="341" t="str">
        <f t="shared" si="551"/>
        <v>SIM</v>
      </c>
      <c r="J2069" s="341" t="str">
        <f>IF(A2069="","",VLOOKUP(A2069,VII.A!$A$10:$D$199,3,FALSE))</f>
        <v>H</v>
      </c>
      <c r="K2069" s="342" t="str">
        <f t="shared" si="552"/>
        <v>SIM</v>
      </c>
      <c r="L2069" s="380">
        <f>IF(C2069="","",G2027*C2069)</f>
        <v>8.0640000000000001</v>
      </c>
      <c r="M2069" s="381" t="str">
        <f>IF(A2069="","",VLOOKUP(A2069,VII.A!$A$10:$B$199,2,FALSE))</f>
        <v>ELETRICISTA COM ENCARGOS COMPLEMENTARES</v>
      </c>
      <c r="N2069" s="342" t="str">
        <f t="shared" si="553"/>
        <v>si</v>
      </c>
      <c r="R2069" s="341"/>
      <c r="S2069" s="341"/>
    </row>
    <row r="2070" spans="1:25" ht="12.75" customHeight="1">
      <c r="A2070" s="393"/>
      <c r="B2070" s="395" t="s">
        <v>226</v>
      </c>
      <c r="C2070" s="396"/>
      <c r="D2070" s="397"/>
      <c r="E2070" s="398"/>
      <c r="F2070" s="399">
        <f>SUM(F2064:F2069)</f>
        <v>0</v>
      </c>
      <c r="J2070" s="341"/>
      <c r="L2070" s="380"/>
      <c r="M2070" s="381"/>
      <c r="N2070" s="342"/>
      <c r="R2070" s="341"/>
      <c r="S2070" s="341"/>
    </row>
    <row r="2071" spans="1:25" ht="12.75" customHeight="1">
      <c r="A2071" s="393"/>
      <c r="B2071" s="400" t="s">
        <v>229</v>
      </c>
      <c r="C2071" s="2">
        <f>IX.A!$C$45</f>
        <v>0</v>
      </c>
      <c r="D2071" s="401"/>
      <c r="E2071" s="402"/>
      <c r="F2071" s="403">
        <f>ROUND(F2070*C2071,2)</f>
        <v>0</v>
      </c>
      <c r="J2071" s="341"/>
      <c r="L2071" s="380"/>
      <c r="M2071" s="381"/>
      <c r="N2071" s="342"/>
      <c r="R2071" s="341"/>
      <c r="S2071" s="341"/>
    </row>
    <row r="2072" spans="1:25" ht="12.75" customHeight="1">
      <c r="A2072" s="393"/>
      <c r="B2072" s="400" t="s">
        <v>53</v>
      </c>
      <c r="C2072" s="2">
        <f>$D$8</f>
        <v>0</v>
      </c>
      <c r="D2072" s="401"/>
      <c r="E2072" s="402"/>
      <c r="F2072" s="403">
        <f>ROUND(SUM(F2070:F2071)*C2072,2)</f>
        <v>0</v>
      </c>
      <c r="J2072" s="341"/>
      <c r="L2072" s="380"/>
      <c r="M2072" s="381"/>
      <c r="N2072" s="342"/>
      <c r="R2072" s="341"/>
      <c r="S2072" s="341"/>
    </row>
    <row r="2073" spans="1:25" ht="12.75" customHeight="1" thickBot="1">
      <c r="A2073" s="414"/>
      <c r="B2073" s="415" t="s">
        <v>230</v>
      </c>
      <c r="C2073" s="416"/>
      <c r="D2073" s="416"/>
      <c r="E2073" s="417"/>
      <c r="F2073" s="418">
        <f>SUM(F2070:F2072)</f>
        <v>0</v>
      </c>
      <c r="J2073" s="341"/>
      <c r="L2073" s="380"/>
      <c r="M2073" s="381"/>
      <c r="N2073" s="342"/>
      <c r="R2073" s="341"/>
      <c r="S2073" s="341"/>
    </row>
    <row r="2074" spans="1:25" ht="12.75" customHeight="1" thickBot="1">
      <c r="A2074" s="357"/>
      <c r="B2074" s="358"/>
      <c r="C2074" s="359"/>
      <c r="D2074" s="359"/>
      <c r="E2074" s="360"/>
      <c r="F2074" s="419"/>
      <c r="J2074" s="341"/>
      <c r="L2074" s="380"/>
      <c r="M2074" s="381"/>
      <c r="N2074" s="342"/>
      <c r="R2074" s="341"/>
      <c r="S2074" s="341"/>
    </row>
    <row r="2075" spans="1:25" ht="30" customHeight="1">
      <c r="A2075" s="370" t="str">
        <f>IV.A!A72</f>
        <v>3.4.1</v>
      </c>
      <c r="B2075" s="371" t="str">
        <f>IV.A!B72</f>
        <v xml:space="preserve">REATERRO E APILOAMENTO MANUAL DE SOLO </v>
      </c>
      <c r="C2075" s="871" t="s">
        <v>237</v>
      </c>
      <c r="D2075" s="872"/>
      <c r="E2075" s="372" t="str">
        <f>IV.A!$C$72</f>
        <v>M3</v>
      </c>
      <c r="F2075" s="11">
        <f>ROUND(F2095+F2109+F2121,2)</f>
        <v>0</v>
      </c>
      <c r="G2075" s="1">
        <f>VLOOKUP(A2075,IV.A!$A$16:$L$172,4,FALSE)</f>
        <v>50</v>
      </c>
      <c r="H2075" s="361">
        <f>SUM(F2077:F2092)+F2094</f>
        <v>0</v>
      </c>
      <c r="I2075" s="361">
        <f>SUM(F2097:F2106)+F2108</f>
        <v>0</v>
      </c>
      <c r="J2075" s="361">
        <f>SUM(F2111:F2117)+F2119+F2120</f>
        <v>0</v>
      </c>
      <c r="K2075" s="361">
        <f>SUM(H2075:J2075)</f>
        <v>0</v>
      </c>
      <c r="L2075" s="362" t="str">
        <f>IF(K2075=F2075,"SIM","NÃO")</f>
        <v>SIM</v>
      </c>
      <c r="M2075" s="373">
        <f>ROUND(SUM(F2077:F2092),2)+ROUND(SUM(F2077:F2092)*C2094,2)+ROUND(SUM(F2097:F2106)*C2108,2)+ROUND(SUM(F2097:F2106),2)+ROUND(SUM(F2111:F2117)*C2119,2)+ROUND((SUM(F2111:F2117)+ROUND(SUM(F2111:F2117)*C2119,2))*C2120,2)+ROUND(SUM(F2111:F2117),2)</f>
        <v>0</v>
      </c>
      <c r="N2075" s="343" t="str">
        <f>IF(M2075=F2075,"SIM","NÃO")</f>
        <v>SIM</v>
      </c>
      <c r="O2075" s="364" t="str">
        <f>VLOOKUP(A2075,IV.A!$A$16:$E$172,3,FALSE)</f>
        <v>M3</v>
      </c>
      <c r="P2075" s="344" t="str">
        <f>IF(O2075=E2075,"SIM","NÃO")</f>
        <v>SIM</v>
      </c>
      <c r="Q2075" s="365">
        <f>ROUND(G2075*F2095,2)+ROUND(G2075*F2109,2)+ROUND(G2075*F2121,2)</f>
        <v>0</v>
      </c>
      <c r="R2075" s="364">
        <f>VLOOKUP(A2075,IV.A!$A$16:$L$172,12,FALSE)</f>
        <v>0</v>
      </c>
      <c r="S2075" s="366" t="str">
        <f>IF(Q2075=R2075,"si","no")</f>
        <v>si</v>
      </c>
      <c r="T2075" s="367">
        <f>SUM(L2077:L2092)+SUM(L2097:L2106)+SUM(L2111:L2117)</f>
        <v>119.93</v>
      </c>
      <c r="U2075" s="341">
        <f>(SUM(C2077:C2092)+SUM(C2097:C2106)+SUM(C2111:C2117))*G2075</f>
        <v>119.93</v>
      </c>
      <c r="V2075" s="368" t="str">
        <f>IF(T2075=U2075,"si","no")</f>
        <v>si</v>
      </c>
      <c r="W2075" s="369">
        <f>SUM(F2077:F2092)</f>
        <v>0</v>
      </c>
      <c r="X2075" s="369">
        <f>SUM(F2097:F2106)</f>
        <v>0</v>
      </c>
      <c r="Y2075" s="369">
        <f>SUM(F2111:F2117)</f>
        <v>0</v>
      </c>
    </row>
    <row r="2076" spans="1:25" ht="12.75" customHeight="1">
      <c r="A2076" s="374" t="s">
        <v>14</v>
      </c>
      <c r="B2076" s="375" t="s">
        <v>132</v>
      </c>
      <c r="C2076" s="376" t="s">
        <v>231</v>
      </c>
      <c r="D2076" s="376" t="s">
        <v>232</v>
      </c>
      <c r="E2076" s="377" t="s">
        <v>233</v>
      </c>
      <c r="F2076" s="378" t="s">
        <v>234</v>
      </c>
      <c r="G2076" s="379"/>
      <c r="J2076" s="341"/>
      <c r="L2076" s="380"/>
      <c r="M2076" s="381"/>
      <c r="N2076" s="342"/>
      <c r="O2076" s="382"/>
      <c r="P2076" s="383"/>
      <c r="Q2076" s="383"/>
      <c r="R2076" s="383"/>
      <c r="S2076" s="383"/>
      <c r="T2076" s="382"/>
      <c r="U2076" s="341"/>
      <c r="V2076" s="384"/>
      <c r="W2076" s="384"/>
      <c r="X2076" s="384"/>
      <c r="Y2076" s="384"/>
    </row>
    <row r="2077" spans="1:25" ht="12.75" customHeight="1">
      <c r="A2077" s="385"/>
      <c r="B2077" s="386"/>
      <c r="C2077" s="20"/>
      <c r="D2077" s="342"/>
      <c r="E2077" s="387"/>
      <c r="F2077" s="388">
        <f>ROUND(C2077*E2077,2)</f>
        <v>0</v>
      </c>
      <c r="H2077" s="341" t="str">
        <f>IF(A2077="","",VLOOKUP(A2077,VII.A!$A$10:$D$199,4,FALSE))</f>
        <v/>
      </c>
      <c r="I2077" s="341" t="str">
        <f t="shared" ref="I2077:I2092" si="555">IF(A2077="","",IF(E2077=H2077,"SIM","NÃO"))</f>
        <v/>
      </c>
      <c r="J2077" s="341" t="str">
        <f>IF(A2077="","",VLOOKUP(A2077,VII.A!$A$10:$D$199,3,FALSE))</f>
        <v/>
      </c>
      <c r="K2077" s="342" t="str">
        <f t="shared" ref="K2077:K2092" si="556">IF(A2077="","",IF(J2077=D2077,"SIM","NÃO"))</f>
        <v/>
      </c>
      <c r="L2077" s="380" t="str">
        <f>IF(C2077="","",G2075*C2077)</f>
        <v/>
      </c>
      <c r="M2077" s="381" t="str">
        <f>IF(A2077="","",VLOOKUP(A2077,VII.A!$A$10:$B$199,2,FALSE))</f>
        <v/>
      </c>
      <c r="N2077" s="342" t="str">
        <f t="shared" ref="N2077:N2092" si="557">IF(B2077="","",IF(M2077=B2077,"si","no"))</f>
        <v/>
      </c>
      <c r="R2077" s="341"/>
      <c r="S2077" s="341"/>
    </row>
    <row r="2078" spans="1:25" ht="12.75" customHeight="1">
      <c r="A2078" s="385"/>
      <c r="B2078" s="386"/>
      <c r="C2078" s="20"/>
      <c r="D2078" s="342"/>
      <c r="E2078" s="387"/>
      <c r="F2078" s="388">
        <f t="shared" ref="F2078:F2092" si="558">ROUND(C2078*E2078,2)</f>
        <v>0</v>
      </c>
      <c r="H2078" s="341" t="str">
        <f>IF(A2078="","",VLOOKUP(A2078,VII.A!$A$10:$D$199,4,FALSE))</f>
        <v/>
      </c>
      <c r="I2078" s="341" t="str">
        <f t="shared" si="555"/>
        <v/>
      </c>
      <c r="J2078" s="341" t="str">
        <f>IF(A2078="","",VLOOKUP(A2078,VII.A!$A$10:$D$199,3,FALSE))</f>
        <v/>
      </c>
      <c r="K2078" s="342" t="str">
        <f t="shared" si="556"/>
        <v/>
      </c>
      <c r="L2078" s="380" t="str">
        <f>IF(C2078="","",G2075*C2078)</f>
        <v/>
      </c>
      <c r="M2078" s="381" t="str">
        <f>IF(A2078="","",VLOOKUP(A2078,VII.A!$A$10:$B$199,2,FALSE))</f>
        <v/>
      </c>
      <c r="N2078" s="342" t="str">
        <f t="shared" si="557"/>
        <v/>
      </c>
      <c r="R2078" s="341"/>
      <c r="S2078" s="341"/>
    </row>
    <row r="2079" spans="1:25" ht="12.75" customHeight="1">
      <c r="A2079" s="385"/>
      <c r="B2079" s="386"/>
      <c r="C2079" s="20"/>
      <c r="D2079" s="342"/>
      <c r="E2079" s="387"/>
      <c r="F2079" s="388">
        <f t="shared" si="558"/>
        <v>0</v>
      </c>
      <c r="H2079" s="341" t="str">
        <f>IF(A2079="","",VLOOKUP(A2079,VII.A!$A$10:$D$199,4,FALSE))</f>
        <v/>
      </c>
      <c r="I2079" s="341" t="str">
        <f t="shared" si="555"/>
        <v/>
      </c>
      <c r="J2079" s="341" t="str">
        <f>IF(A2079="","",VLOOKUP(A2079,VII.A!$A$10:$D$199,3,FALSE))</f>
        <v/>
      </c>
      <c r="K2079" s="342" t="str">
        <f t="shared" si="556"/>
        <v/>
      </c>
      <c r="L2079" s="380" t="str">
        <f>IF(C2079="","",G2075*C2079)</f>
        <v/>
      </c>
      <c r="M2079" s="381" t="str">
        <f>IF(A2079="","",VLOOKUP(A2079,VII.A!$A$10:$B$199,2,FALSE))</f>
        <v/>
      </c>
      <c r="N2079" s="342" t="str">
        <f t="shared" si="557"/>
        <v/>
      </c>
      <c r="R2079" s="341"/>
      <c r="S2079" s="341"/>
    </row>
    <row r="2080" spans="1:25" ht="12.75" customHeight="1">
      <c r="A2080" s="385"/>
      <c r="B2080" s="386"/>
      <c r="C2080" s="20"/>
      <c r="D2080" s="342"/>
      <c r="E2080" s="387"/>
      <c r="F2080" s="388">
        <f t="shared" si="558"/>
        <v>0</v>
      </c>
      <c r="H2080" s="341" t="str">
        <f>IF(A2080="","",VLOOKUP(A2080,VII.A!$A$10:$D$199,4,FALSE))</f>
        <v/>
      </c>
      <c r="I2080" s="341" t="str">
        <f t="shared" si="555"/>
        <v/>
      </c>
      <c r="J2080" s="341" t="str">
        <f>IF(A2080="","",VLOOKUP(A2080,VII.A!$A$10:$D$199,3,FALSE))</f>
        <v/>
      </c>
      <c r="K2080" s="342" t="str">
        <f t="shared" si="556"/>
        <v/>
      </c>
      <c r="L2080" s="380" t="str">
        <f>IF(C2080="","",G2075*C2080)</f>
        <v/>
      </c>
      <c r="M2080" s="381" t="str">
        <f>IF(A2080="","",VLOOKUP(A2080,VII.A!$A$10:$B$199,2,FALSE))</f>
        <v/>
      </c>
      <c r="N2080" s="342" t="str">
        <f t="shared" si="557"/>
        <v/>
      </c>
      <c r="R2080" s="341"/>
      <c r="S2080" s="341"/>
    </row>
    <row r="2081" spans="1:21" ht="12.75" customHeight="1">
      <c r="A2081" s="385"/>
      <c r="B2081" s="386"/>
      <c r="C2081" s="20"/>
      <c r="D2081" s="342"/>
      <c r="E2081" s="387"/>
      <c r="F2081" s="388">
        <f t="shared" si="558"/>
        <v>0</v>
      </c>
      <c r="H2081" s="341" t="str">
        <f>IF(A2081="","",VLOOKUP(A2081,VII.A!$A$10:$D$199,4,FALSE))</f>
        <v/>
      </c>
      <c r="I2081" s="341" t="str">
        <f t="shared" si="555"/>
        <v/>
      </c>
      <c r="J2081" s="341" t="str">
        <f>IF(A2081="","",VLOOKUP(A2081,VII.A!$A$10:$D$199,3,FALSE))</f>
        <v/>
      </c>
      <c r="K2081" s="342" t="str">
        <f t="shared" si="556"/>
        <v/>
      </c>
      <c r="L2081" s="380" t="str">
        <f>IF(C2081="","",G2075*C2081)</f>
        <v/>
      </c>
      <c r="M2081" s="381" t="str">
        <f>IF(A2081="","",VLOOKUP(A2081,VII.A!$A$10:$B$199,2,FALSE))</f>
        <v/>
      </c>
      <c r="N2081" s="342" t="str">
        <f t="shared" si="557"/>
        <v/>
      </c>
      <c r="R2081" s="341"/>
      <c r="S2081" s="341"/>
    </row>
    <row r="2082" spans="1:21" ht="12.75" customHeight="1">
      <c r="A2082" s="385"/>
      <c r="B2082" s="386"/>
      <c r="C2082" s="20"/>
      <c r="D2082" s="342"/>
      <c r="E2082" s="387"/>
      <c r="F2082" s="388">
        <f t="shared" si="558"/>
        <v>0</v>
      </c>
      <c r="H2082" s="341" t="str">
        <f>IF(A2082="","",VLOOKUP(A2082,VII.A!$A$10:$D$199,4,FALSE))</f>
        <v/>
      </c>
      <c r="I2082" s="341" t="str">
        <f t="shared" si="555"/>
        <v/>
      </c>
      <c r="J2082" s="341" t="str">
        <f>IF(A2082="","",VLOOKUP(A2082,VII.A!$A$10:$D$199,3,FALSE))</f>
        <v/>
      </c>
      <c r="K2082" s="342" t="str">
        <f t="shared" si="556"/>
        <v/>
      </c>
      <c r="L2082" s="380" t="str">
        <f>IF(C2082="","",G2075*C2082)</f>
        <v/>
      </c>
      <c r="M2082" s="381" t="str">
        <f>IF(A2082="","",VLOOKUP(A2082,VII.A!$A$10:$B$199,2,FALSE))</f>
        <v/>
      </c>
      <c r="N2082" s="342" t="str">
        <f t="shared" si="557"/>
        <v/>
      </c>
      <c r="R2082" s="341"/>
      <c r="S2082" s="341"/>
      <c r="U2082" s="389"/>
    </row>
    <row r="2083" spans="1:21" ht="12.75" customHeight="1">
      <c r="A2083" s="385"/>
      <c r="B2083" s="386"/>
      <c r="C2083" s="20"/>
      <c r="D2083" s="342"/>
      <c r="E2083" s="387"/>
      <c r="F2083" s="388">
        <f t="shared" si="558"/>
        <v>0</v>
      </c>
      <c r="H2083" s="341" t="str">
        <f>IF(A2083="","",VLOOKUP(A2083,VII.A!$A$10:$D$199,4,FALSE))</f>
        <v/>
      </c>
      <c r="I2083" s="341" t="str">
        <f t="shared" si="555"/>
        <v/>
      </c>
      <c r="J2083" s="341" t="str">
        <f>IF(A2083="","",VLOOKUP(A2083,VII.A!$A$10:$D$199,3,FALSE))</f>
        <v/>
      </c>
      <c r="K2083" s="342" t="str">
        <f t="shared" si="556"/>
        <v/>
      </c>
      <c r="L2083" s="380" t="str">
        <f>IF(C2083="","",G2075*C2083)</f>
        <v/>
      </c>
      <c r="M2083" s="381" t="str">
        <f>IF(A2083="","",VLOOKUP(A2083,VII.A!$A$10:$B$199,2,FALSE))</f>
        <v/>
      </c>
      <c r="N2083" s="342" t="str">
        <f t="shared" si="557"/>
        <v/>
      </c>
      <c r="R2083" s="341"/>
      <c r="S2083" s="341"/>
    </row>
    <row r="2084" spans="1:21" ht="12.75" customHeight="1">
      <c r="A2084" s="385"/>
      <c r="B2084" s="386"/>
      <c r="C2084" s="20"/>
      <c r="D2084" s="342"/>
      <c r="E2084" s="387"/>
      <c r="F2084" s="388">
        <f t="shared" si="558"/>
        <v>0</v>
      </c>
      <c r="G2084" s="390"/>
      <c r="H2084" s="341" t="str">
        <f>IF(A2084="","",VLOOKUP(A2084,VII.A!$A$10:$D$199,4,FALSE))</f>
        <v/>
      </c>
      <c r="I2084" s="341" t="str">
        <f t="shared" si="555"/>
        <v/>
      </c>
      <c r="J2084" s="341" t="str">
        <f>IF(A2084="","",VLOOKUP(A2084,VII.A!$A$10:$D$199,3,FALSE))</f>
        <v/>
      </c>
      <c r="K2084" s="342" t="str">
        <f t="shared" si="556"/>
        <v/>
      </c>
      <c r="L2084" s="380" t="str">
        <f>IF(C2084="","",G2075*C2084)</f>
        <v/>
      </c>
      <c r="M2084" s="381" t="str">
        <f>IF(A2084="","",VLOOKUP(A2084,VII.A!$A$10:$B$199,2,FALSE))</f>
        <v/>
      </c>
      <c r="N2084" s="342" t="str">
        <f t="shared" si="557"/>
        <v/>
      </c>
      <c r="R2084" s="341"/>
      <c r="S2084" s="341"/>
    </row>
    <row r="2085" spans="1:21" ht="12.75" customHeight="1">
      <c r="A2085" s="385"/>
      <c r="B2085" s="386"/>
      <c r="C2085" s="20"/>
      <c r="D2085" s="342"/>
      <c r="E2085" s="387"/>
      <c r="F2085" s="388">
        <f t="shared" si="558"/>
        <v>0</v>
      </c>
      <c r="G2085" s="390"/>
      <c r="H2085" s="341" t="str">
        <f>IF(A2085="","",VLOOKUP(A2085,VII.A!$A$10:$D$199,4,FALSE))</f>
        <v/>
      </c>
      <c r="I2085" s="341" t="str">
        <f t="shared" si="555"/>
        <v/>
      </c>
      <c r="J2085" s="341" t="str">
        <f>IF(A2085="","",VLOOKUP(A2085,VII.A!$A$10:$D$199,3,FALSE))</f>
        <v/>
      </c>
      <c r="K2085" s="342" t="str">
        <f t="shared" si="556"/>
        <v/>
      </c>
      <c r="L2085" s="380" t="str">
        <f>IF(C2085="","",G2075*C2085)</f>
        <v/>
      </c>
      <c r="M2085" s="381" t="str">
        <f>IF(A2085="","",VLOOKUP(A2085,VII.A!$A$10:$B$199,2,FALSE))</f>
        <v/>
      </c>
      <c r="N2085" s="342" t="str">
        <f t="shared" si="557"/>
        <v/>
      </c>
      <c r="R2085" s="341"/>
      <c r="S2085" s="341"/>
    </row>
    <row r="2086" spans="1:21" ht="12.75" customHeight="1">
      <c r="A2086" s="385"/>
      <c r="B2086" s="386"/>
      <c r="C2086" s="20"/>
      <c r="D2086" s="342"/>
      <c r="E2086" s="387"/>
      <c r="F2086" s="388">
        <f t="shared" si="558"/>
        <v>0</v>
      </c>
      <c r="G2086" s="391"/>
      <c r="H2086" s="341" t="str">
        <f>IF(A2086="","",VLOOKUP(A2086,VII.A!$A$10:$D$199,4,FALSE))</f>
        <v/>
      </c>
      <c r="I2086" s="341" t="str">
        <f t="shared" si="555"/>
        <v/>
      </c>
      <c r="J2086" s="341" t="str">
        <f>IF(A2086="","",VLOOKUP(A2086,VII.A!$A$10:$D$199,3,FALSE))</f>
        <v/>
      </c>
      <c r="K2086" s="342" t="str">
        <f t="shared" si="556"/>
        <v/>
      </c>
      <c r="L2086" s="380" t="str">
        <f>IF(C2086="","",G2075*C2086)</f>
        <v/>
      </c>
      <c r="M2086" s="381" t="str">
        <f>IF(A2086="","",VLOOKUP(A2086,VII.A!$A$10:$B$199,2,FALSE))</f>
        <v/>
      </c>
      <c r="N2086" s="342" t="str">
        <f t="shared" si="557"/>
        <v/>
      </c>
      <c r="R2086" s="341"/>
      <c r="S2086" s="341"/>
    </row>
    <row r="2087" spans="1:21" ht="12.75" customHeight="1">
      <c r="A2087" s="385"/>
      <c r="B2087" s="386"/>
      <c r="C2087" s="20"/>
      <c r="D2087" s="342"/>
      <c r="E2087" s="387"/>
      <c r="F2087" s="388">
        <f t="shared" si="558"/>
        <v>0</v>
      </c>
      <c r="H2087" s="341" t="str">
        <f>IF(A2087="","",VLOOKUP(A2087,VII.A!$A$10:$D$199,4,FALSE))</f>
        <v/>
      </c>
      <c r="I2087" s="341" t="str">
        <f t="shared" si="555"/>
        <v/>
      </c>
      <c r="J2087" s="341" t="str">
        <f>IF(A2087="","",VLOOKUP(A2087,VII.A!$A$10:$D$199,3,FALSE))</f>
        <v/>
      </c>
      <c r="K2087" s="342" t="str">
        <f t="shared" si="556"/>
        <v/>
      </c>
      <c r="L2087" s="380" t="str">
        <f>IF(C2087="","",G2075*C2087)</f>
        <v/>
      </c>
      <c r="M2087" s="381" t="str">
        <f>IF(A2087="","",VLOOKUP(A2087,VII.A!$A$10:$B$199,2,FALSE))</f>
        <v/>
      </c>
      <c r="N2087" s="342" t="str">
        <f t="shared" si="557"/>
        <v/>
      </c>
      <c r="R2087" s="341"/>
      <c r="S2087" s="341"/>
    </row>
    <row r="2088" spans="1:21" ht="12.75" customHeight="1">
      <c r="A2088" s="385"/>
      <c r="B2088" s="386"/>
      <c r="C2088" s="20"/>
      <c r="D2088" s="392"/>
      <c r="E2088" s="387"/>
      <c r="F2088" s="388">
        <f t="shared" si="558"/>
        <v>0</v>
      </c>
      <c r="H2088" s="341" t="str">
        <f>IF(A2088="","",VLOOKUP(A2088,VII.A!$A$10:$D$199,4,FALSE))</f>
        <v/>
      </c>
      <c r="I2088" s="341" t="str">
        <f t="shared" si="555"/>
        <v/>
      </c>
      <c r="J2088" s="341" t="str">
        <f>IF(A2088="","",VLOOKUP(A2088,VII.A!$A$10:$D$199,3,FALSE))</f>
        <v/>
      </c>
      <c r="K2088" s="342" t="str">
        <f t="shared" si="556"/>
        <v/>
      </c>
      <c r="L2088" s="380" t="str">
        <f>IF(C2088="","",G2075*C2088)</f>
        <v/>
      </c>
      <c r="M2088" s="381" t="str">
        <f>IF(A2088="","",VLOOKUP(A2088,VII.A!$A$10:$B$199,2,FALSE))</f>
        <v/>
      </c>
      <c r="N2088" s="342" t="str">
        <f t="shared" si="557"/>
        <v/>
      </c>
      <c r="R2088" s="341"/>
      <c r="S2088" s="341"/>
    </row>
    <row r="2089" spans="1:21" ht="12.75" customHeight="1">
      <c r="A2089" s="385"/>
      <c r="B2089" s="386"/>
      <c r="C2089" s="20"/>
      <c r="D2089" s="392"/>
      <c r="E2089" s="387"/>
      <c r="F2089" s="388">
        <f t="shared" si="558"/>
        <v>0</v>
      </c>
      <c r="H2089" s="341" t="str">
        <f>IF(A2089="","",VLOOKUP(A2089,VII.A!$A$10:$D$199,4,FALSE))</f>
        <v/>
      </c>
      <c r="I2089" s="341" t="str">
        <f t="shared" si="555"/>
        <v/>
      </c>
      <c r="J2089" s="341" t="str">
        <f>IF(A2089="","",VLOOKUP(A2089,VII.A!$A$10:$D$199,3,FALSE))</f>
        <v/>
      </c>
      <c r="K2089" s="342" t="str">
        <f t="shared" si="556"/>
        <v/>
      </c>
      <c r="L2089" s="380" t="str">
        <f>IF(C2089="","",G2075*C2089)</f>
        <v/>
      </c>
      <c r="M2089" s="381" t="str">
        <f>IF(A2089="","",VLOOKUP(A2089,VII.A!$A$10:$B$199,2,FALSE))</f>
        <v/>
      </c>
      <c r="N2089" s="342" t="str">
        <f t="shared" si="557"/>
        <v/>
      </c>
      <c r="O2089" s="342"/>
      <c r="R2089" s="341"/>
      <c r="S2089" s="341"/>
    </row>
    <row r="2090" spans="1:21" ht="12.75" customHeight="1">
      <c r="A2090" s="385"/>
      <c r="B2090" s="386"/>
      <c r="C2090" s="20"/>
      <c r="D2090" s="392"/>
      <c r="E2090" s="387"/>
      <c r="F2090" s="388">
        <f t="shared" si="558"/>
        <v>0</v>
      </c>
      <c r="H2090" s="341" t="str">
        <f>IF(A2090="","",VLOOKUP(A2090,VII.A!$A$10:$D$199,4,FALSE))</f>
        <v/>
      </c>
      <c r="I2090" s="341" t="str">
        <f t="shared" si="555"/>
        <v/>
      </c>
      <c r="J2090" s="341" t="str">
        <f>IF(A2090="","",VLOOKUP(A2090,VII.A!$A$10:$D$199,3,FALSE))</f>
        <v/>
      </c>
      <c r="K2090" s="342" t="str">
        <f t="shared" si="556"/>
        <v/>
      </c>
      <c r="L2090" s="380" t="str">
        <f>IF(C2090="","",G2075*C2090)</f>
        <v/>
      </c>
      <c r="M2090" s="381" t="str">
        <f>IF(A2090="","",VLOOKUP(A2090,VII.A!$A$10:$B$199,2,FALSE))</f>
        <v/>
      </c>
      <c r="N2090" s="342" t="str">
        <f t="shared" si="557"/>
        <v/>
      </c>
      <c r="R2090" s="341"/>
      <c r="S2090" s="341"/>
    </row>
    <row r="2091" spans="1:21" ht="12.75" customHeight="1">
      <c r="A2091" s="393"/>
      <c r="C2091" s="20"/>
      <c r="E2091" s="387"/>
      <c r="F2091" s="388">
        <f t="shared" si="558"/>
        <v>0</v>
      </c>
      <c r="H2091" s="341" t="str">
        <f>IF(A2091="","",VLOOKUP(A2091,VII.A!$A$10:$D$199,4,FALSE))</f>
        <v/>
      </c>
      <c r="I2091" s="341" t="str">
        <f t="shared" si="555"/>
        <v/>
      </c>
      <c r="J2091" s="341" t="str">
        <f>IF(A2091="","",VLOOKUP(A2091,VII.A!$A$10:$D$199,3,FALSE))</f>
        <v/>
      </c>
      <c r="K2091" s="342" t="str">
        <f t="shared" si="556"/>
        <v/>
      </c>
      <c r="L2091" s="380" t="str">
        <f>IF(C2091="","",G2075*C2091)</f>
        <v/>
      </c>
      <c r="M2091" s="381" t="str">
        <f>IF(A2091="","",VLOOKUP(A2091,VII.A!$A$10:$B$199,2,FALSE))</f>
        <v/>
      </c>
      <c r="N2091" s="342" t="str">
        <f t="shared" si="557"/>
        <v/>
      </c>
      <c r="R2091" s="341"/>
      <c r="S2091" s="341"/>
    </row>
    <row r="2092" spans="1:21" ht="12.75" customHeight="1">
      <c r="A2092" s="393"/>
      <c r="C2092" s="20"/>
      <c r="E2092" s="387"/>
      <c r="F2092" s="388">
        <f t="shared" si="558"/>
        <v>0</v>
      </c>
      <c r="H2092" s="341" t="str">
        <f>IF(A2092="","",VLOOKUP(A2092,VII.A!$A$10:$D$199,4,FALSE))</f>
        <v/>
      </c>
      <c r="I2092" s="341" t="str">
        <f t="shared" si="555"/>
        <v/>
      </c>
      <c r="J2092" s="341" t="str">
        <f>IF(A2092="","",VLOOKUP(A2092,VII.A!$A$10:$D$199,3,FALSE))</f>
        <v/>
      </c>
      <c r="K2092" s="342" t="str">
        <f t="shared" si="556"/>
        <v/>
      </c>
      <c r="L2092" s="380" t="str">
        <f>IF(C2092="","",G2075*C2092)</f>
        <v/>
      </c>
      <c r="M2092" s="381" t="str">
        <f>IF(A2092="","",VLOOKUP(A2092,VII.A!$A$10:$B$199,2,FALSE))</f>
        <v/>
      </c>
      <c r="N2092" s="342" t="str">
        <f t="shared" si="557"/>
        <v/>
      </c>
      <c r="R2092" s="341"/>
      <c r="S2092" s="341"/>
    </row>
    <row r="2093" spans="1:21" ht="12.75" customHeight="1">
      <c r="A2093" s="393"/>
      <c r="B2093" s="395" t="s">
        <v>226</v>
      </c>
      <c r="C2093" s="396"/>
      <c r="D2093" s="397"/>
      <c r="E2093" s="398"/>
      <c r="F2093" s="399">
        <f>SUM(F2077:F2092)</f>
        <v>0</v>
      </c>
      <c r="H2093" s="426" t="s">
        <v>467</v>
      </c>
      <c r="J2093" s="341"/>
      <c r="L2093" s="380"/>
      <c r="M2093" s="381"/>
      <c r="N2093" s="342"/>
      <c r="R2093" s="341"/>
      <c r="S2093" s="341"/>
    </row>
    <row r="2094" spans="1:21" ht="12.75" customHeight="1">
      <c r="A2094" s="393"/>
      <c r="B2094" s="400" t="s">
        <v>53</v>
      </c>
      <c r="C2094" s="2">
        <f>$D$8</f>
        <v>0</v>
      </c>
      <c r="D2094" s="401"/>
      <c r="E2094" s="402"/>
      <c r="F2094" s="403">
        <f>ROUND(F2093*C2094,2)</f>
        <v>0</v>
      </c>
      <c r="J2094" s="341"/>
      <c r="L2094" s="380"/>
      <c r="M2094" s="381"/>
      <c r="N2094" s="342"/>
      <c r="R2094" s="341"/>
      <c r="S2094" s="341"/>
    </row>
    <row r="2095" spans="1:21" ht="12.75" customHeight="1">
      <c r="A2095" s="404"/>
      <c r="B2095" s="405" t="s">
        <v>227</v>
      </c>
      <c r="C2095" s="406"/>
      <c r="D2095" s="406"/>
      <c r="E2095" s="407"/>
      <c r="F2095" s="408">
        <f>F2093+F2094</f>
        <v>0</v>
      </c>
      <c r="J2095" s="341"/>
      <c r="L2095" s="380"/>
      <c r="M2095" s="381"/>
      <c r="N2095" s="342"/>
      <c r="R2095" s="341"/>
      <c r="S2095" s="341"/>
    </row>
    <row r="2096" spans="1:21" ht="12.75" customHeight="1">
      <c r="A2096" s="374" t="s">
        <v>2</v>
      </c>
      <c r="B2096" s="375" t="s">
        <v>235</v>
      </c>
      <c r="C2096" s="376" t="s">
        <v>231</v>
      </c>
      <c r="D2096" s="376" t="s">
        <v>232</v>
      </c>
      <c r="E2096" s="377" t="s">
        <v>233</v>
      </c>
      <c r="F2096" s="378" t="s">
        <v>234</v>
      </c>
      <c r="J2096" s="341"/>
      <c r="L2096" s="380"/>
      <c r="M2096" s="381"/>
      <c r="N2096" s="342"/>
      <c r="R2096" s="341"/>
      <c r="S2096" s="341"/>
    </row>
    <row r="2097" spans="1:19" ht="12.75" customHeight="1">
      <c r="A2097" s="393"/>
      <c r="B2097" s="423"/>
      <c r="C2097" s="20"/>
      <c r="E2097" s="387"/>
      <c r="F2097" s="388">
        <f t="shared" ref="F2097:F2106" si="559">ROUND(C2097*E2097,2)</f>
        <v>0</v>
      </c>
      <c r="H2097" s="341" t="str">
        <f>IF(A2097="","",VLOOKUP(A2097,VII.A!$A$10:$D$199,4,FALSE))</f>
        <v/>
      </c>
      <c r="I2097" s="341" t="str">
        <f t="shared" ref="I2097:I2106" si="560">IF(A2097="","",IF(E2097=H2097,"SIM","NÃO"))</f>
        <v/>
      </c>
      <c r="J2097" s="341" t="str">
        <f>IF(A2097="","",VLOOKUP(A2097,VII.A!$A$10:$D$199,3,FALSE))</f>
        <v/>
      </c>
      <c r="K2097" s="342" t="str">
        <f t="shared" ref="K2097:K2106" si="561">IF(A2097="","",IF(J2097=D2097,"SIM","NÃO"))</f>
        <v/>
      </c>
      <c r="L2097" s="380" t="str">
        <f>IF(C2097="","",G2075*C2097)</f>
        <v/>
      </c>
      <c r="M2097" s="381" t="str">
        <f>IF(A2097="","",VLOOKUP(A2097,VII.A!$A$10:$B$199,2,FALSE))</f>
        <v/>
      </c>
      <c r="N2097" s="342" t="str">
        <f t="shared" ref="N2097:N2106" si="562">IF(B2097="","",IF(M2097=B2097,"si","no"))</f>
        <v/>
      </c>
      <c r="R2097" s="341"/>
      <c r="S2097" s="341"/>
    </row>
    <row r="2098" spans="1:19" ht="12.75" customHeight="1">
      <c r="A2098" s="393"/>
      <c r="C2098" s="20"/>
      <c r="E2098" s="387"/>
      <c r="F2098" s="388">
        <f t="shared" si="559"/>
        <v>0</v>
      </c>
      <c r="H2098" s="341" t="str">
        <f>IF(A2098="","",VLOOKUP(A2098,VII.A!$A$10:$D$199,4,FALSE))</f>
        <v/>
      </c>
      <c r="I2098" s="341" t="str">
        <f t="shared" si="560"/>
        <v/>
      </c>
      <c r="J2098" s="341" t="str">
        <f>IF(A2098="","",VLOOKUP(A2098,VII.A!$A$10:$D$199,3,FALSE))</f>
        <v/>
      </c>
      <c r="K2098" s="342" t="str">
        <f t="shared" si="561"/>
        <v/>
      </c>
      <c r="L2098" s="380" t="str">
        <f>IF(C2098="","",G2075*C2098)</f>
        <v/>
      </c>
      <c r="M2098" s="381" t="str">
        <f>IF(A2098="","",VLOOKUP(A2098,VII.A!$A$10:$B$199,2,FALSE))</f>
        <v/>
      </c>
      <c r="N2098" s="342" t="str">
        <f t="shared" si="562"/>
        <v/>
      </c>
      <c r="R2098" s="341"/>
      <c r="S2098" s="341"/>
    </row>
    <row r="2099" spans="1:19" ht="12.75" customHeight="1">
      <c r="A2099" s="393"/>
      <c r="C2099" s="20"/>
      <c r="E2099" s="387"/>
      <c r="F2099" s="388">
        <f t="shared" si="559"/>
        <v>0</v>
      </c>
      <c r="H2099" s="341" t="str">
        <f>IF(A2099="","",VLOOKUP(A2099,VII.A!$A$10:$D$199,4,FALSE))</f>
        <v/>
      </c>
      <c r="I2099" s="341" t="str">
        <f t="shared" si="560"/>
        <v/>
      </c>
      <c r="J2099" s="341" t="str">
        <f>IF(A2099="","",VLOOKUP(A2099,VII.A!$A$10:$D$199,3,FALSE))</f>
        <v/>
      </c>
      <c r="K2099" s="342" t="str">
        <f t="shared" si="561"/>
        <v/>
      </c>
      <c r="L2099" s="380" t="str">
        <f>IF(C2099="","",G2075*C2099)</f>
        <v/>
      </c>
      <c r="M2099" s="381" t="str">
        <f>IF(A2099="","",VLOOKUP(A2099,VII.A!$A$10:$B$199,2,FALSE))</f>
        <v/>
      </c>
      <c r="N2099" s="342" t="str">
        <f t="shared" si="562"/>
        <v/>
      </c>
      <c r="R2099" s="341"/>
      <c r="S2099" s="341"/>
    </row>
    <row r="2100" spans="1:19" ht="12.75" customHeight="1">
      <c r="A2100" s="393"/>
      <c r="C2100" s="20"/>
      <c r="E2100" s="387"/>
      <c r="F2100" s="388">
        <f t="shared" si="559"/>
        <v>0</v>
      </c>
      <c r="H2100" s="341" t="str">
        <f>IF(A2100="","",VLOOKUP(A2100,VII.A!$A$10:$D$199,4,FALSE))</f>
        <v/>
      </c>
      <c r="I2100" s="341" t="str">
        <f t="shared" si="560"/>
        <v/>
      </c>
      <c r="J2100" s="341" t="str">
        <f>IF(A2100="","",VLOOKUP(A2100,VII.A!$A$10:$D$199,3,FALSE))</f>
        <v/>
      </c>
      <c r="K2100" s="342" t="str">
        <f t="shared" si="561"/>
        <v/>
      </c>
      <c r="L2100" s="380" t="str">
        <f>IF(C2100="","",G2075*C2100)</f>
        <v/>
      </c>
      <c r="M2100" s="381" t="str">
        <f>IF(A2100="","",VLOOKUP(A2100,VII.A!$A$10:$B$199,2,FALSE))</f>
        <v/>
      </c>
      <c r="N2100" s="342" t="str">
        <f t="shared" si="562"/>
        <v/>
      </c>
      <c r="R2100" s="341"/>
      <c r="S2100" s="341"/>
    </row>
    <row r="2101" spans="1:19" ht="12.75" customHeight="1">
      <c r="A2101" s="393"/>
      <c r="C2101" s="20"/>
      <c r="E2101" s="387"/>
      <c r="F2101" s="388">
        <f t="shared" si="559"/>
        <v>0</v>
      </c>
      <c r="G2101" s="390"/>
      <c r="H2101" s="341" t="str">
        <f>IF(A2101="","",VLOOKUP(A2101,VII.A!$A$10:$D$199,4,FALSE))</f>
        <v/>
      </c>
      <c r="I2101" s="341" t="str">
        <f t="shared" si="560"/>
        <v/>
      </c>
      <c r="J2101" s="341" t="str">
        <f>IF(A2101="","",VLOOKUP(A2101,VII.A!$A$10:$D$199,3,FALSE))</f>
        <v/>
      </c>
      <c r="K2101" s="342" t="str">
        <f t="shared" si="561"/>
        <v/>
      </c>
      <c r="L2101" s="380" t="str">
        <f>IF(C2101="","",G2075*C2101)</f>
        <v/>
      </c>
      <c r="M2101" s="381" t="str">
        <f>IF(A2101="","",VLOOKUP(A2101,VII.A!$A$10:$B$199,2,FALSE))</f>
        <v/>
      </c>
      <c r="N2101" s="342" t="str">
        <f t="shared" si="562"/>
        <v/>
      </c>
      <c r="R2101" s="341"/>
      <c r="S2101" s="341"/>
    </row>
    <row r="2102" spans="1:19" ht="12.75" customHeight="1">
      <c r="A2102" s="393"/>
      <c r="C2102" s="20"/>
      <c r="E2102" s="387"/>
      <c r="F2102" s="388">
        <f t="shared" si="559"/>
        <v>0</v>
      </c>
      <c r="G2102" s="391"/>
      <c r="H2102" s="341" t="str">
        <f>IF(A2102="","",VLOOKUP(A2102,VII.A!$A$10:$D$199,4,FALSE))</f>
        <v/>
      </c>
      <c r="I2102" s="341" t="str">
        <f t="shared" si="560"/>
        <v/>
      </c>
      <c r="J2102" s="341" t="str">
        <f>IF(A2102="","",VLOOKUP(A2102,VII.A!$A$10:$D$199,3,FALSE))</f>
        <v/>
      </c>
      <c r="K2102" s="342" t="str">
        <f t="shared" si="561"/>
        <v/>
      </c>
      <c r="L2102" s="380" t="str">
        <f>IF(C2102="","",G2075*C2102)</f>
        <v/>
      </c>
      <c r="M2102" s="381" t="str">
        <f>IF(A2102="","",VLOOKUP(A2102,VII.A!$A$10:$B$199,2,FALSE))</f>
        <v/>
      </c>
      <c r="N2102" s="342" t="str">
        <f t="shared" si="562"/>
        <v/>
      </c>
      <c r="R2102" s="341"/>
      <c r="S2102" s="341"/>
    </row>
    <row r="2103" spans="1:19" ht="12.75" customHeight="1">
      <c r="A2103" s="393"/>
      <c r="C2103" s="20"/>
      <c r="E2103" s="387"/>
      <c r="F2103" s="388">
        <f t="shared" si="559"/>
        <v>0</v>
      </c>
      <c r="H2103" s="341" t="str">
        <f>IF(A2103="","",VLOOKUP(A2103,VII.A!$A$10:$D$199,4,FALSE))</f>
        <v/>
      </c>
      <c r="I2103" s="341" t="str">
        <f t="shared" si="560"/>
        <v/>
      </c>
      <c r="J2103" s="341" t="str">
        <f>IF(A2103="","",VLOOKUP(A2103,VII.A!$A$10:$D$199,3,FALSE))</f>
        <v/>
      </c>
      <c r="K2103" s="342" t="str">
        <f t="shared" si="561"/>
        <v/>
      </c>
      <c r="L2103" s="380" t="str">
        <f>IF(C2103="","",G2075*C2103)</f>
        <v/>
      </c>
      <c r="M2103" s="381" t="str">
        <f>IF(A2103="","",VLOOKUP(A2103,VII.A!$A$10:$B$199,2,FALSE))</f>
        <v/>
      </c>
      <c r="N2103" s="342" t="str">
        <f t="shared" si="562"/>
        <v/>
      </c>
      <c r="R2103" s="341"/>
      <c r="S2103" s="341"/>
    </row>
    <row r="2104" spans="1:19" ht="12.75" customHeight="1">
      <c r="A2104" s="393"/>
      <c r="C2104" s="20"/>
      <c r="E2104" s="387"/>
      <c r="F2104" s="388">
        <f t="shared" si="559"/>
        <v>0</v>
      </c>
      <c r="H2104" s="341" t="str">
        <f>IF(A2104="","",VLOOKUP(A2104,VII.A!$A$10:$D$199,4,FALSE))</f>
        <v/>
      </c>
      <c r="I2104" s="341" t="str">
        <f t="shared" si="560"/>
        <v/>
      </c>
      <c r="J2104" s="341" t="str">
        <f>IF(A2104="","",VLOOKUP(A2104,VII.A!$A$10:$D$199,3,FALSE))</f>
        <v/>
      </c>
      <c r="K2104" s="342" t="str">
        <f t="shared" si="561"/>
        <v/>
      </c>
      <c r="L2104" s="380" t="str">
        <f>IF(C2104="","",G2075*C2104)</f>
        <v/>
      </c>
      <c r="M2104" s="381" t="str">
        <f>IF(A2104="","",VLOOKUP(A2104,VII.A!$A$10:$B$199,2,FALSE))</f>
        <v/>
      </c>
      <c r="N2104" s="342" t="str">
        <f t="shared" si="562"/>
        <v/>
      </c>
      <c r="R2104" s="341"/>
      <c r="S2104" s="341"/>
    </row>
    <row r="2105" spans="1:19" ht="12.75" customHeight="1">
      <c r="A2105" s="393"/>
      <c r="C2105" s="20"/>
      <c r="E2105" s="387"/>
      <c r="F2105" s="388">
        <f t="shared" si="559"/>
        <v>0</v>
      </c>
      <c r="H2105" s="341" t="str">
        <f>IF(A2105="","",VLOOKUP(A2105,VII.A!$A$10:$D$199,4,FALSE))</f>
        <v/>
      </c>
      <c r="I2105" s="341" t="str">
        <f t="shared" si="560"/>
        <v/>
      </c>
      <c r="J2105" s="341" t="str">
        <f>IF(A2105="","",VLOOKUP(A2105,VII.A!$A$10:$D$199,3,FALSE))</f>
        <v/>
      </c>
      <c r="K2105" s="342" t="str">
        <f t="shared" si="561"/>
        <v/>
      </c>
      <c r="L2105" s="380" t="str">
        <f>IF(C2105="","",G2075*C2105)</f>
        <v/>
      </c>
      <c r="M2105" s="381" t="str">
        <f>IF(A2105="","",VLOOKUP(A2105,VII.A!$A$10:$B$199,2,FALSE))</f>
        <v/>
      </c>
      <c r="N2105" s="342" t="str">
        <f t="shared" si="562"/>
        <v/>
      </c>
      <c r="R2105" s="341"/>
      <c r="S2105" s="341"/>
    </row>
    <row r="2106" spans="1:19" ht="12.75" customHeight="1">
      <c r="A2106" s="393"/>
      <c r="C2106" s="20"/>
      <c r="E2106" s="387"/>
      <c r="F2106" s="388">
        <f t="shared" si="559"/>
        <v>0</v>
      </c>
      <c r="H2106" s="341" t="str">
        <f>IF(A2106="","",VLOOKUP(A2106,VII.A!$A$10:$D$199,4,FALSE))</f>
        <v/>
      </c>
      <c r="I2106" s="341" t="str">
        <f t="shared" si="560"/>
        <v/>
      </c>
      <c r="J2106" s="341" t="str">
        <f>IF(A2106="","",VLOOKUP(A2106,VII.A!$A$10:$D$199,3,FALSE))</f>
        <v/>
      </c>
      <c r="K2106" s="342" t="str">
        <f t="shared" si="561"/>
        <v/>
      </c>
      <c r="L2106" s="380" t="str">
        <f>IF(C2106="","",G2075*C2106)</f>
        <v/>
      </c>
      <c r="M2106" s="381" t="str">
        <f>IF(A2106="","",VLOOKUP(A2106,VII.A!$A$10:$B$199,2,FALSE))</f>
        <v/>
      </c>
      <c r="N2106" s="342" t="str">
        <f t="shared" si="562"/>
        <v/>
      </c>
      <c r="R2106" s="341"/>
      <c r="S2106" s="341"/>
    </row>
    <row r="2107" spans="1:19" ht="12.75" customHeight="1">
      <c r="A2107" s="393"/>
      <c r="B2107" s="395" t="s">
        <v>226</v>
      </c>
      <c r="C2107" s="396"/>
      <c r="D2107" s="397"/>
      <c r="E2107" s="398"/>
      <c r="F2107" s="399">
        <f>SUM(F2097:F2106)</f>
        <v>0</v>
      </c>
      <c r="J2107" s="341"/>
      <c r="L2107" s="380"/>
      <c r="M2107" s="381"/>
      <c r="N2107" s="342"/>
      <c r="R2107" s="341"/>
      <c r="S2107" s="341"/>
    </row>
    <row r="2108" spans="1:19" ht="12.75" customHeight="1">
      <c r="A2108" s="393"/>
      <c r="B2108" s="400" t="s">
        <v>53</v>
      </c>
      <c r="C2108" s="2">
        <f>$D$8</f>
        <v>0</v>
      </c>
      <c r="D2108" s="401"/>
      <c r="E2108" s="402"/>
      <c r="F2108" s="403">
        <f>ROUND(C2108*F2107,2)</f>
        <v>0</v>
      </c>
      <c r="J2108" s="341"/>
      <c r="L2108" s="380"/>
      <c r="M2108" s="381"/>
      <c r="N2108" s="342"/>
      <c r="R2108" s="341"/>
      <c r="S2108" s="341"/>
    </row>
    <row r="2109" spans="1:19" ht="12.75" customHeight="1">
      <c r="A2109" s="404"/>
      <c r="B2109" s="405" t="s">
        <v>228</v>
      </c>
      <c r="C2109" s="406"/>
      <c r="D2109" s="406"/>
      <c r="E2109" s="407"/>
      <c r="F2109" s="408">
        <f>F2107+F2108</f>
        <v>0</v>
      </c>
      <c r="J2109" s="341"/>
      <c r="L2109" s="380"/>
      <c r="M2109" s="381"/>
      <c r="N2109" s="342"/>
      <c r="R2109" s="341"/>
      <c r="S2109" s="341"/>
    </row>
    <row r="2110" spans="1:19" ht="12.75" customHeight="1">
      <c r="A2110" s="409" t="s">
        <v>47</v>
      </c>
      <c r="B2110" s="410" t="s">
        <v>236</v>
      </c>
      <c r="C2110" s="411" t="s">
        <v>231</v>
      </c>
      <c r="D2110" s="412" t="s">
        <v>232</v>
      </c>
      <c r="E2110" s="413" t="s">
        <v>233</v>
      </c>
      <c r="F2110" s="378" t="s">
        <v>234</v>
      </c>
      <c r="J2110" s="341"/>
      <c r="L2110" s="380"/>
      <c r="M2110" s="381"/>
      <c r="N2110" s="342"/>
      <c r="R2110" s="341"/>
      <c r="S2110" s="341"/>
    </row>
    <row r="2111" spans="1:19" ht="12.75" customHeight="1">
      <c r="A2111" s="393" t="str">
        <f>VII.A!$A$196</f>
        <v>3.16</v>
      </c>
      <c r="B2111" s="394" t="s">
        <v>157</v>
      </c>
      <c r="C2111" s="20">
        <v>2.3986000000000001</v>
      </c>
      <c r="D2111" s="384" t="str">
        <f>VLOOKUP(A2111,VII.A!$A$10:$G$199,3,FALSE)</f>
        <v>H</v>
      </c>
      <c r="E2111" s="387">
        <f>VII.A!$D$196</f>
        <v>0</v>
      </c>
      <c r="F2111" s="388">
        <f t="shared" ref="F2111:F2117" si="563">ROUND(C2111*E2111,2)</f>
        <v>0</v>
      </c>
      <c r="H2111" s="341">
        <f>IF(A2111="","",VLOOKUP(A2111,VII.A!$A$10:$D$199,4,FALSE))</f>
        <v>0</v>
      </c>
      <c r="I2111" s="341" t="str">
        <f t="shared" ref="I2111:I2117" si="564">IF(A2111="","",IF(E2111=H2111,"SIM","NÃO"))</f>
        <v>SIM</v>
      </c>
      <c r="J2111" s="341" t="str">
        <f>IF(A2111="","",VLOOKUP(A2111,VII.A!$A$10:$D$199,3,FALSE))</f>
        <v>H</v>
      </c>
      <c r="K2111" s="342" t="str">
        <f t="shared" ref="K2111:K2117" si="565">IF(A2111="","",IF(J2111=D2111,"SIM","NÃO"))</f>
        <v>SIM</v>
      </c>
      <c r="L2111" s="380">
        <f>IF(C2111="","",G2075*C2111)</f>
        <v>119.93</v>
      </c>
      <c r="M2111" s="381" t="str">
        <f>IF(A2111="","",VLOOKUP(A2111,VII.A!$A$10:$B$199,2,FALSE))</f>
        <v>SERVENTE COM ENCARGOS COMPLEMENTARES</v>
      </c>
      <c r="N2111" s="342" t="str">
        <f t="shared" ref="N2111:N2117" si="566">IF(B2111="","",IF(M2111=B2111,"si","no"))</f>
        <v>si</v>
      </c>
      <c r="R2111" s="341"/>
      <c r="S2111" s="341"/>
    </row>
    <row r="2112" spans="1:19" ht="12.75" customHeight="1">
      <c r="A2112" s="393"/>
      <c r="C2112" s="20"/>
      <c r="E2112" s="387"/>
      <c r="F2112" s="388">
        <f t="shared" si="563"/>
        <v>0</v>
      </c>
      <c r="H2112" s="341" t="str">
        <f>IF(A2112="","",VLOOKUP(A2112,VII.A!$A$10:$D$199,4,FALSE))</f>
        <v/>
      </c>
      <c r="I2112" s="341" t="str">
        <f t="shared" si="564"/>
        <v/>
      </c>
      <c r="J2112" s="341" t="str">
        <f>IF(A2112="","",VLOOKUP(A2112,VII.A!$A$10:$D$199,3,FALSE))</f>
        <v/>
      </c>
      <c r="K2112" s="342" t="str">
        <f t="shared" si="565"/>
        <v/>
      </c>
      <c r="L2112" s="380" t="str">
        <f>IF(C2112="","",G2075*C2112)</f>
        <v/>
      </c>
      <c r="M2112" s="381" t="str">
        <f>IF(A2112="","",VLOOKUP(A2112,VII.A!$A$10:$B$199,2,FALSE))</f>
        <v/>
      </c>
      <c r="N2112" s="342" t="str">
        <f t="shared" si="566"/>
        <v/>
      </c>
      <c r="R2112" s="341"/>
      <c r="S2112" s="341"/>
    </row>
    <row r="2113" spans="1:25" ht="12.75" customHeight="1">
      <c r="A2113" s="393"/>
      <c r="C2113" s="20"/>
      <c r="E2113" s="387"/>
      <c r="F2113" s="388">
        <f t="shared" si="563"/>
        <v>0</v>
      </c>
      <c r="H2113" s="341" t="str">
        <f>IF(A2113="","",VLOOKUP(A2113,VII.A!$A$10:$D$199,4,FALSE))</f>
        <v/>
      </c>
      <c r="I2113" s="341" t="str">
        <f t="shared" si="564"/>
        <v/>
      </c>
      <c r="J2113" s="341" t="str">
        <f>IF(A2113="","",VLOOKUP(A2113,VII.A!$A$10:$D$199,3,FALSE))</f>
        <v/>
      </c>
      <c r="K2113" s="342" t="str">
        <f t="shared" si="565"/>
        <v/>
      </c>
      <c r="L2113" s="380" t="str">
        <f>IF(C2113="","",G2075*C2113)</f>
        <v/>
      </c>
      <c r="M2113" s="381" t="str">
        <f>IF(A2113="","",VLOOKUP(A2113,VII.A!$A$10:$B$199,2,FALSE))</f>
        <v/>
      </c>
      <c r="N2113" s="342" t="str">
        <f t="shared" si="566"/>
        <v/>
      </c>
      <c r="R2113" s="341"/>
      <c r="S2113" s="341"/>
    </row>
    <row r="2114" spans="1:25" ht="12.75" customHeight="1">
      <c r="A2114" s="393"/>
      <c r="C2114" s="20"/>
      <c r="E2114" s="387"/>
      <c r="F2114" s="388">
        <f t="shared" si="563"/>
        <v>0</v>
      </c>
      <c r="H2114" s="341" t="str">
        <f>IF(A2114="","",VLOOKUP(A2114,VII.A!$A$10:$D$199,4,FALSE))</f>
        <v/>
      </c>
      <c r="I2114" s="341" t="str">
        <f t="shared" si="564"/>
        <v/>
      </c>
      <c r="J2114" s="341" t="str">
        <f>IF(A2114="","",VLOOKUP(A2114,VII.A!$A$10:$D$199,3,FALSE))</f>
        <v/>
      </c>
      <c r="K2114" s="342" t="str">
        <f t="shared" si="565"/>
        <v/>
      </c>
      <c r="L2114" s="380" t="str">
        <f>IF(C2114="","",G2075*C2114)</f>
        <v/>
      </c>
      <c r="M2114" s="381" t="str">
        <f>IF(A2114="","",VLOOKUP(A2114,VII.A!$A$10:$B$199,2,FALSE))</f>
        <v/>
      </c>
      <c r="N2114" s="342" t="str">
        <f t="shared" si="566"/>
        <v/>
      </c>
      <c r="R2114" s="341"/>
      <c r="S2114" s="341"/>
    </row>
    <row r="2115" spans="1:25" ht="12.75" customHeight="1">
      <c r="A2115" s="393"/>
      <c r="C2115" s="20"/>
      <c r="E2115" s="387"/>
      <c r="F2115" s="388">
        <f t="shared" si="563"/>
        <v>0</v>
      </c>
      <c r="H2115" s="341" t="str">
        <f>IF(A2115="","",VLOOKUP(A2115,VII.A!$A$10:$D$199,4,FALSE))</f>
        <v/>
      </c>
      <c r="I2115" s="341" t="str">
        <f t="shared" si="564"/>
        <v/>
      </c>
      <c r="J2115" s="341" t="str">
        <f>IF(A2115="","",VLOOKUP(A2115,VII.A!$A$10:$D$199,3,FALSE))</f>
        <v/>
      </c>
      <c r="K2115" s="342" t="str">
        <f t="shared" si="565"/>
        <v/>
      </c>
      <c r="L2115" s="380" t="str">
        <f>IF(C2115="","",G2075*C2115)</f>
        <v/>
      </c>
      <c r="M2115" s="381" t="str">
        <f>IF(A2115="","",VLOOKUP(A2115,VII.A!$A$10:$B$199,2,FALSE))</f>
        <v/>
      </c>
      <c r="N2115" s="342" t="str">
        <f t="shared" si="566"/>
        <v/>
      </c>
      <c r="R2115" s="341"/>
      <c r="S2115" s="341"/>
    </row>
    <row r="2116" spans="1:25" ht="12.75" customHeight="1">
      <c r="A2116" s="393"/>
      <c r="C2116" s="20"/>
      <c r="E2116" s="387"/>
      <c r="F2116" s="388">
        <f t="shared" si="563"/>
        <v>0</v>
      </c>
      <c r="H2116" s="341" t="str">
        <f>IF(A2116="","",VLOOKUP(A2116,VII.A!$A$10:$D$199,4,FALSE))</f>
        <v/>
      </c>
      <c r="I2116" s="341" t="str">
        <f t="shared" si="564"/>
        <v/>
      </c>
      <c r="J2116" s="341" t="str">
        <f>IF(A2116="","",VLOOKUP(A2116,VII.A!$A$10:$D$199,3,FALSE))</f>
        <v/>
      </c>
      <c r="K2116" s="342" t="str">
        <f t="shared" si="565"/>
        <v/>
      </c>
      <c r="L2116" s="380" t="str">
        <f>IF(C2116="","",G2075*C2116)</f>
        <v/>
      </c>
      <c r="M2116" s="381" t="str">
        <f>IF(A2116="","",VLOOKUP(A2116,VII.A!$A$10:$B$199,2,FALSE))</f>
        <v/>
      </c>
      <c r="N2116" s="342" t="str">
        <f t="shared" si="566"/>
        <v/>
      </c>
      <c r="R2116" s="341"/>
      <c r="S2116" s="341"/>
    </row>
    <row r="2117" spans="1:25" ht="12.75" customHeight="1">
      <c r="A2117" s="393"/>
      <c r="C2117" s="20"/>
      <c r="E2117" s="387"/>
      <c r="F2117" s="388">
        <f t="shared" si="563"/>
        <v>0</v>
      </c>
      <c r="H2117" s="341" t="str">
        <f>IF(A2117="","",VLOOKUP(A2117,VII.A!$A$10:$D$199,4,FALSE))</f>
        <v/>
      </c>
      <c r="I2117" s="341" t="str">
        <f t="shared" si="564"/>
        <v/>
      </c>
      <c r="J2117" s="341" t="str">
        <f>IF(A2117="","",VLOOKUP(A2117,VII.A!$A$10:$D$199,3,FALSE))</f>
        <v/>
      </c>
      <c r="K2117" s="342" t="str">
        <f t="shared" si="565"/>
        <v/>
      </c>
      <c r="L2117" s="380" t="str">
        <f>IF(C2117="","",G2075*C2117)</f>
        <v/>
      </c>
      <c r="M2117" s="381" t="str">
        <f>IF(A2117="","",VLOOKUP(A2117,VII.A!$A$10:$B$199,2,FALSE))</f>
        <v/>
      </c>
      <c r="N2117" s="342" t="str">
        <f t="shared" si="566"/>
        <v/>
      </c>
      <c r="R2117" s="341"/>
      <c r="S2117" s="341"/>
    </row>
    <row r="2118" spans="1:25" ht="12.75" customHeight="1">
      <c r="A2118" s="393"/>
      <c r="B2118" s="395" t="s">
        <v>226</v>
      </c>
      <c r="C2118" s="396"/>
      <c r="D2118" s="397"/>
      <c r="E2118" s="398"/>
      <c r="F2118" s="399">
        <f>SUM(F2111:F2117)</f>
        <v>0</v>
      </c>
      <c r="J2118" s="341"/>
      <c r="L2118" s="380"/>
      <c r="M2118" s="381"/>
      <c r="N2118" s="342"/>
      <c r="R2118" s="341"/>
      <c r="S2118" s="341"/>
    </row>
    <row r="2119" spans="1:25" ht="12.75" customHeight="1">
      <c r="A2119" s="393"/>
      <c r="B2119" s="400" t="s">
        <v>229</v>
      </c>
      <c r="C2119" s="2">
        <f>IX.A!$C$45</f>
        <v>0</v>
      </c>
      <c r="D2119" s="401"/>
      <c r="E2119" s="402"/>
      <c r="F2119" s="403">
        <f>ROUND(F2118*C2119,2)</f>
        <v>0</v>
      </c>
      <c r="J2119" s="341"/>
      <c r="L2119" s="380"/>
      <c r="M2119" s="381"/>
      <c r="N2119" s="342"/>
      <c r="R2119" s="341"/>
      <c r="S2119" s="341"/>
    </row>
    <row r="2120" spans="1:25" ht="12.75" customHeight="1">
      <c r="A2120" s="393"/>
      <c r="B2120" s="400" t="s">
        <v>53</v>
      </c>
      <c r="C2120" s="2">
        <f>$D$8</f>
        <v>0</v>
      </c>
      <c r="D2120" s="401"/>
      <c r="E2120" s="402"/>
      <c r="F2120" s="403">
        <f>ROUND(SUM(F2118:F2119)*C2120,2)</f>
        <v>0</v>
      </c>
      <c r="J2120" s="341"/>
      <c r="L2120" s="380"/>
      <c r="M2120" s="381"/>
      <c r="N2120" s="342"/>
      <c r="R2120" s="341"/>
      <c r="S2120" s="341"/>
    </row>
    <row r="2121" spans="1:25" ht="12.75" customHeight="1" thickBot="1">
      <c r="A2121" s="414"/>
      <c r="B2121" s="415" t="s">
        <v>230</v>
      </c>
      <c r="C2121" s="416"/>
      <c r="D2121" s="416"/>
      <c r="E2121" s="417"/>
      <c r="F2121" s="418">
        <f>SUM(F2118:F2120)</f>
        <v>0</v>
      </c>
      <c r="J2121" s="341"/>
      <c r="L2121" s="380"/>
      <c r="M2121" s="381"/>
      <c r="N2121" s="342"/>
      <c r="R2121" s="341"/>
      <c r="S2121" s="341"/>
    </row>
    <row r="2122" spans="1:25" ht="12.75" customHeight="1" thickBot="1">
      <c r="A2122" s="357"/>
      <c r="B2122" s="358"/>
      <c r="C2122" s="359"/>
      <c r="D2122" s="359"/>
      <c r="E2122" s="360"/>
      <c r="F2122" s="419"/>
      <c r="J2122" s="341"/>
      <c r="L2122" s="380"/>
      <c r="M2122" s="381"/>
      <c r="N2122" s="342"/>
      <c r="R2122" s="341"/>
      <c r="S2122" s="341"/>
    </row>
    <row r="2123" spans="1:25" ht="30" customHeight="1">
      <c r="A2123" s="370" t="str">
        <f>IV.A!A73</f>
        <v>3.4.2</v>
      </c>
      <c r="B2123" s="371" t="str">
        <f>IV.A!B73</f>
        <v xml:space="preserve">REATERRO MANUAL COM COMPACTAÇÃO MECANIZADA DE SOLO, SEM CONTROLE TECNOLÓGICO </v>
      </c>
      <c r="C2123" s="871" t="s">
        <v>237</v>
      </c>
      <c r="D2123" s="872"/>
      <c r="E2123" s="372" t="str">
        <f>IV.A!$C$73</f>
        <v>M3</v>
      </c>
      <c r="F2123" s="11">
        <f>ROUND(F2143+F2157+F2169,2)</f>
        <v>0</v>
      </c>
      <c r="G2123" s="1">
        <f>VLOOKUP(A2123,IV.A!$A$16:$L$172,4,FALSE)</f>
        <v>150</v>
      </c>
      <c r="H2123" s="361">
        <f>SUM(F2125:F2140)+F2142</f>
        <v>0</v>
      </c>
      <c r="I2123" s="361">
        <f>SUM(F2145:F2154)+F2156</f>
        <v>0</v>
      </c>
      <c r="J2123" s="361">
        <f>SUM(F2159:F2165)+F2167+F2168</f>
        <v>0</v>
      </c>
      <c r="K2123" s="361">
        <f>SUM(H2123:J2123)</f>
        <v>0</v>
      </c>
      <c r="L2123" s="362" t="str">
        <f>IF(K2123=F2123,"SIM","NÃO")</f>
        <v>SIM</v>
      </c>
      <c r="M2123" s="373">
        <f>ROUND(SUM(F2125:F2140),2)+ROUND(SUM(F2125:F2140)*C2142,2)+ROUND(SUM(F2145:F2154)*C2156,2)+ROUND(SUM(F2145:F2154),2)+ROUND(SUM(F2159:F2165)*C2167,2)+ROUND((SUM(F2159:F2165)+ROUND(SUM(F2159:F2165)*C2167,2))*C2168,2)+ROUND(SUM(F2159:F2165),2)</f>
        <v>0</v>
      </c>
      <c r="N2123" s="343" t="str">
        <f>IF(M2123=F2123,"SIM","NÃO")</f>
        <v>SIM</v>
      </c>
      <c r="O2123" s="364" t="str">
        <f>VLOOKUP(A2123,IV.A!$A$16:$E$172,3,FALSE)</f>
        <v>M3</v>
      </c>
      <c r="P2123" s="344" t="str">
        <f>IF(O2123=E2123,"SIM","NÃO")</f>
        <v>SIM</v>
      </c>
      <c r="Q2123" s="365">
        <f>ROUND(G2123*F2143,2)+ROUND(G2123*F2157,2)+ROUND(G2123*F2169,2)</f>
        <v>0</v>
      </c>
      <c r="R2123" s="364">
        <f>VLOOKUP(A2123,IV.A!$A$16:$L$172,12,FALSE)</f>
        <v>0</v>
      </c>
      <c r="S2123" s="366" t="str">
        <f>IF(Q2123=R2123,"si","no")</f>
        <v>si</v>
      </c>
      <c r="T2123" s="367">
        <f>SUM(L2125:L2140)+SUM(L2145:L2154)+SUM(L2159:L2165)</f>
        <v>180</v>
      </c>
      <c r="U2123" s="341">
        <f>(SUM(C2125:C2140)+SUM(C2145:C2154)+SUM(C2159:C2165))*G2123</f>
        <v>180.00000000000003</v>
      </c>
      <c r="V2123" s="368" t="str">
        <f>IF(T2123=U2123,"si","no")</f>
        <v>si</v>
      </c>
      <c r="W2123" s="369">
        <f>SUM(F2125:F2140)</f>
        <v>0</v>
      </c>
      <c r="X2123" s="369">
        <f>SUM(F2145:F2154)</f>
        <v>0</v>
      </c>
      <c r="Y2123" s="369">
        <f>SUM(F2159:F2165)</f>
        <v>0</v>
      </c>
    </row>
    <row r="2124" spans="1:25" ht="12.75" customHeight="1">
      <c r="A2124" s="374" t="s">
        <v>14</v>
      </c>
      <c r="B2124" s="375" t="s">
        <v>132</v>
      </c>
      <c r="C2124" s="376" t="s">
        <v>231</v>
      </c>
      <c r="D2124" s="376" t="s">
        <v>232</v>
      </c>
      <c r="E2124" s="377" t="s">
        <v>233</v>
      </c>
      <c r="F2124" s="378" t="s">
        <v>234</v>
      </c>
      <c r="G2124" s="379"/>
      <c r="J2124" s="341"/>
      <c r="L2124" s="380"/>
      <c r="M2124" s="381"/>
      <c r="N2124" s="342"/>
      <c r="O2124" s="382"/>
      <c r="P2124" s="383"/>
      <c r="Q2124" s="383"/>
      <c r="R2124" s="383"/>
      <c r="S2124" s="383"/>
      <c r="T2124" s="382"/>
      <c r="U2124" s="341"/>
      <c r="V2124" s="384"/>
      <c r="W2124" s="384"/>
      <c r="X2124" s="384"/>
      <c r="Y2124" s="384"/>
    </row>
    <row r="2125" spans="1:25" ht="12.75" customHeight="1">
      <c r="A2125" s="385"/>
      <c r="B2125" s="386"/>
      <c r="C2125" s="20"/>
      <c r="D2125" s="342"/>
      <c r="E2125" s="387"/>
      <c r="F2125" s="388">
        <f>ROUND(C2125*E2125,2)</f>
        <v>0</v>
      </c>
      <c r="H2125" s="341" t="str">
        <f>IF(A2125="","",VLOOKUP(A2125,VII.A!$A$10:$D$199,4,FALSE))</f>
        <v/>
      </c>
      <c r="I2125" s="341" t="str">
        <f t="shared" ref="I2125:I2140" si="567">IF(A2125="","",IF(E2125=H2125,"SIM","NÃO"))</f>
        <v/>
      </c>
      <c r="J2125" s="341" t="str">
        <f>IF(A2125="","",VLOOKUP(A2125,VII.A!$A$10:$D$199,3,FALSE))</f>
        <v/>
      </c>
      <c r="K2125" s="342" t="str">
        <f t="shared" ref="K2125:K2140" si="568">IF(A2125="","",IF(J2125=D2125,"SIM","NÃO"))</f>
        <v/>
      </c>
      <c r="L2125" s="380" t="str">
        <f>IF(C2125="","",G2123*C2125)</f>
        <v/>
      </c>
      <c r="M2125" s="381" t="str">
        <f>IF(A2125="","",VLOOKUP(A2125,VII.A!$A$10:$B$199,2,FALSE))</f>
        <v/>
      </c>
      <c r="N2125" s="342" t="str">
        <f t="shared" ref="N2125:N2140" si="569">IF(B2125="","",IF(M2125=B2125,"si","no"))</f>
        <v/>
      </c>
      <c r="R2125" s="341"/>
      <c r="S2125" s="341"/>
    </row>
    <row r="2126" spans="1:25" ht="12.75" customHeight="1">
      <c r="A2126" s="385"/>
      <c r="B2126" s="386"/>
      <c r="C2126" s="20"/>
      <c r="D2126" s="342"/>
      <c r="E2126" s="387"/>
      <c r="F2126" s="388">
        <f t="shared" ref="F2126:F2140" si="570">ROUND(C2126*E2126,2)</f>
        <v>0</v>
      </c>
      <c r="H2126" s="341" t="str">
        <f>IF(A2126="","",VLOOKUP(A2126,VII.A!$A$10:$D$199,4,FALSE))</f>
        <v/>
      </c>
      <c r="I2126" s="341" t="str">
        <f t="shared" si="567"/>
        <v/>
      </c>
      <c r="J2126" s="341" t="str">
        <f>IF(A2126="","",VLOOKUP(A2126,VII.A!$A$10:$D$199,3,FALSE))</f>
        <v/>
      </c>
      <c r="K2126" s="342" t="str">
        <f t="shared" si="568"/>
        <v/>
      </c>
      <c r="L2126" s="380" t="str">
        <f>IF(C2126="","",G2123*C2126)</f>
        <v/>
      </c>
      <c r="M2126" s="381" t="str">
        <f>IF(A2126="","",VLOOKUP(A2126,VII.A!$A$10:$B$199,2,FALSE))</f>
        <v/>
      </c>
      <c r="N2126" s="342" t="str">
        <f t="shared" si="569"/>
        <v/>
      </c>
      <c r="R2126" s="341"/>
      <c r="S2126" s="341"/>
    </row>
    <row r="2127" spans="1:25" ht="12.75" customHeight="1">
      <c r="A2127" s="385"/>
      <c r="B2127" s="386"/>
      <c r="C2127" s="20"/>
      <c r="D2127" s="342"/>
      <c r="E2127" s="387"/>
      <c r="F2127" s="388">
        <f t="shared" si="570"/>
        <v>0</v>
      </c>
      <c r="H2127" s="341" t="str">
        <f>IF(A2127="","",VLOOKUP(A2127,VII.A!$A$10:$D$199,4,FALSE))</f>
        <v/>
      </c>
      <c r="I2127" s="341" t="str">
        <f t="shared" si="567"/>
        <v/>
      </c>
      <c r="J2127" s="341" t="str">
        <f>IF(A2127="","",VLOOKUP(A2127,VII.A!$A$10:$D$199,3,FALSE))</f>
        <v/>
      </c>
      <c r="K2127" s="342" t="str">
        <f t="shared" si="568"/>
        <v/>
      </c>
      <c r="L2127" s="380" t="str">
        <f>IF(C2127="","",G2123*C2127)</f>
        <v/>
      </c>
      <c r="M2127" s="381" t="str">
        <f>IF(A2127="","",VLOOKUP(A2127,VII.A!$A$10:$B$199,2,FALSE))</f>
        <v/>
      </c>
      <c r="N2127" s="342" t="str">
        <f t="shared" si="569"/>
        <v/>
      </c>
      <c r="R2127" s="341"/>
      <c r="S2127" s="341"/>
    </row>
    <row r="2128" spans="1:25" ht="12.75" customHeight="1">
      <c r="A2128" s="385"/>
      <c r="B2128" s="386"/>
      <c r="C2128" s="20"/>
      <c r="D2128" s="342"/>
      <c r="E2128" s="387"/>
      <c r="F2128" s="388">
        <f t="shared" si="570"/>
        <v>0</v>
      </c>
      <c r="H2128" s="341" t="str">
        <f>IF(A2128="","",VLOOKUP(A2128,VII.A!$A$10:$D$199,4,FALSE))</f>
        <v/>
      </c>
      <c r="I2128" s="341" t="str">
        <f t="shared" si="567"/>
        <v/>
      </c>
      <c r="J2128" s="341" t="str">
        <f>IF(A2128="","",VLOOKUP(A2128,VII.A!$A$10:$D$199,3,FALSE))</f>
        <v/>
      </c>
      <c r="K2128" s="342" t="str">
        <f t="shared" si="568"/>
        <v/>
      </c>
      <c r="L2128" s="380" t="str">
        <f>IF(C2128="","",G2123*C2128)</f>
        <v/>
      </c>
      <c r="M2128" s="381" t="str">
        <f>IF(A2128="","",VLOOKUP(A2128,VII.A!$A$10:$B$199,2,FALSE))</f>
        <v/>
      </c>
      <c r="N2128" s="342" t="str">
        <f t="shared" si="569"/>
        <v/>
      </c>
      <c r="R2128" s="341"/>
      <c r="S2128" s="341"/>
    </row>
    <row r="2129" spans="1:21" ht="12.75" customHeight="1">
      <c r="A2129" s="385"/>
      <c r="B2129" s="386"/>
      <c r="C2129" s="20"/>
      <c r="D2129" s="342"/>
      <c r="E2129" s="387"/>
      <c r="F2129" s="388">
        <f t="shared" si="570"/>
        <v>0</v>
      </c>
      <c r="H2129" s="341" t="str">
        <f>IF(A2129="","",VLOOKUP(A2129,VII.A!$A$10:$D$199,4,FALSE))</f>
        <v/>
      </c>
      <c r="I2129" s="341" t="str">
        <f t="shared" si="567"/>
        <v/>
      </c>
      <c r="J2129" s="341" t="str">
        <f>IF(A2129="","",VLOOKUP(A2129,VII.A!$A$10:$D$199,3,FALSE))</f>
        <v/>
      </c>
      <c r="K2129" s="342" t="str">
        <f t="shared" si="568"/>
        <v/>
      </c>
      <c r="L2129" s="380" t="str">
        <f>IF(C2129="","",G2123*C2129)</f>
        <v/>
      </c>
      <c r="M2129" s="381" t="str">
        <f>IF(A2129="","",VLOOKUP(A2129,VII.A!$A$10:$B$199,2,FALSE))</f>
        <v/>
      </c>
      <c r="N2129" s="342" t="str">
        <f t="shared" si="569"/>
        <v/>
      </c>
      <c r="R2129" s="341"/>
      <c r="S2129" s="341"/>
    </row>
    <row r="2130" spans="1:21" ht="12.75" customHeight="1">
      <c r="A2130" s="385"/>
      <c r="B2130" s="386"/>
      <c r="C2130" s="20"/>
      <c r="D2130" s="342"/>
      <c r="E2130" s="387"/>
      <c r="F2130" s="388">
        <f t="shared" si="570"/>
        <v>0</v>
      </c>
      <c r="H2130" s="341" t="str">
        <f>IF(A2130="","",VLOOKUP(A2130,VII.A!$A$10:$D$199,4,FALSE))</f>
        <v/>
      </c>
      <c r="I2130" s="341" t="str">
        <f t="shared" si="567"/>
        <v/>
      </c>
      <c r="J2130" s="341" t="str">
        <f>IF(A2130="","",VLOOKUP(A2130,VII.A!$A$10:$D$199,3,FALSE))</f>
        <v/>
      </c>
      <c r="K2130" s="342" t="str">
        <f t="shared" si="568"/>
        <v/>
      </c>
      <c r="L2130" s="380" t="str">
        <f>IF(C2130="","",G2123*C2130)</f>
        <v/>
      </c>
      <c r="M2130" s="381" t="str">
        <f>IF(A2130="","",VLOOKUP(A2130,VII.A!$A$10:$B$199,2,FALSE))</f>
        <v/>
      </c>
      <c r="N2130" s="342" t="str">
        <f t="shared" si="569"/>
        <v/>
      </c>
      <c r="R2130" s="341"/>
      <c r="S2130" s="341"/>
      <c r="U2130" s="389"/>
    </row>
    <row r="2131" spans="1:21" ht="12.75" customHeight="1">
      <c r="A2131" s="385"/>
      <c r="B2131" s="386"/>
      <c r="C2131" s="20"/>
      <c r="D2131" s="342"/>
      <c r="E2131" s="387"/>
      <c r="F2131" s="388">
        <f t="shared" si="570"/>
        <v>0</v>
      </c>
      <c r="H2131" s="341" t="str">
        <f>IF(A2131="","",VLOOKUP(A2131,VII.A!$A$10:$D$199,4,FALSE))</f>
        <v/>
      </c>
      <c r="I2131" s="341" t="str">
        <f t="shared" si="567"/>
        <v/>
      </c>
      <c r="J2131" s="341" t="str">
        <f>IF(A2131="","",VLOOKUP(A2131,VII.A!$A$10:$D$199,3,FALSE))</f>
        <v/>
      </c>
      <c r="K2131" s="342" t="str">
        <f t="shared" si="568"/>
        <v/>
      </c>
      <c r="L2131" s="380" t="str">
        <f>IF(C2131="","",G2123*C2131)</f>
        <v/>
      </c>
      <c r="M2131" s="381" t="str">
        <f>IF(A2131="","",VLOOKUP(A2131,VII.A!$A$10:$B$199,2,FALSE))</f>
        <v/>
      </c>
      <c r="N2131" s="342" t="str">
        <f t="shared" si="569"/>
        <v/>
      </c>
      <c r="R2131" s="341"/>
      <c r="S2131" s="341"/>
    </row>
    <row r="2132" spans="1:21" ht="12.75" customHeight="1">
      <c r="A2132" s="385"/>
      <c r="B2132" s="386"/>
      <c r="C2132" s="20"/>
      <c r="D2132" s="342"/>
      <c r="E2132" s="387"/>
      <c r="F2132" s="388">
        <f t="shared" si="570"/>
        <v>0</v>
      </c>
      <c r="G2132" s="390"/>
      <c r="H2132" s="341" t="str">
        <f>IF(A2132="","",VLOOKUP(A2132,VII.A!$A$10:$D$199,4,FALSE))</f>
        <v/>
      </c>
      <c r="I2132" s="341" t="str">
        <f t="shared" si="567"/>
        <v/>
      </c>
      <c r="J2132" s="341" t="str">
        <f>IF(A2132="","",VLOOKUP(A2132,VII.A!$A$10:$D$199,3,FALSE))</f>
        <v/>
      </c>
      <c r="K2132" s="342" t="str">
        <f t="shared" si="568"/>
        <v/>
      </c>
      <c r="L2132" s="380" t="str">
        <f>IF(C2132="","",G2123*C2132)</f>
        <v/>
      </c>
      <c r="M2132" s="381" t="str">
        <f>IF(A2132="","",VLOOKUP(A2132,VII.A!$A$10:$B$199,2,FALSE))</f>
        <v/>
      </c>
      <c r="N2132" s="342" t="str">
        <f t="shared" si="569"/>
        <v/>
      </c>
      <c r="R2132" s="341"/>
      <c r="S2132" s="341"/>
    </row>
    <row r="2133" spans="1:21" ht="12.75" customHeight="1">
      <c r="A2133" s="385"/>
      <c r="B2133" s="386"/>
      <c r="C2133" s="20"/>
      <c r="D2133" s="342"/>
      <c r="E2133" s="387"/>
      <c r="F2133" s="388">
        <f t="shared" si="570"/>
        <v>0</v>
      </c>
      <c r="G2133" s="390"/>
      <c r="H2133" s="341" t="str">
        <f>IF(A2133="","",VLOOKUP(A2133,VII.A!$A$10:$D$199,4,FALSE))</f>
        <v/>
      </c>
      <c r="I2133" s="341" t="str">
        <f t="shared" si="567"/>
        <v/>
      </c>
      <c r="J2133" s="341" t="str">
        <f>IF(A2133="","",VLOOKUP(A2133,VII.A!$A$10:$D$199,3,FALSE))</f>
        <v/>
      </c>
      <c r="K2133" s="342" t="str">
        <f t="shared" si="568"/>
        <v/>
      </c>
      <c r="L2133" s="380" t="str">
        <f>IF(C2133="","",G2123*C2133)</f>
        <v/>
      </c>
      <c r="M2133" s="381" t="str">
        <f>IF(A2133="","",VLOOKUP(A2133,VII.A!$A$10:$B$199,2,FALSE))</f>
        <v/>
      </c>
      <c r="N2133" s="342" t="str">
        <f t="shared" si="569"/>
        <v/>
      </c>
      <c r="R2133" s="341"/>
      <c r="S2133" s="341"/>
    </row>
    <row r="2134" spans="1:21" ht="12.75" customHeight="1">
      <c r="A2134" s="385"/>
      <c r="B2134" s="386"/>
      <c r="C2134" s="20"/>
      <c r="D2134" s="342"/>
      <c r="E2134" s="387"/>
      <c r="F2134" s="388">
        <f t="shared" si="570"/>
        <v>0</v>
      </c>
      <c r="G2134" s="391"/>
      <c r="H2134" s="341" t="str">
        <f>IF(A2134="","",VLOOKUP(A2134,VII.A!$A$10:$D$199,4,FALSE))</f>
        <v/>
      </c>
      <c r="I2134" s="341" t="str">
        <f t="shared" si="567"/>
        <v/>
      </c>
      <c r="J2134" s="341" t="str">
        <f>IF(A2134="","",VLOOKUP(A2134,VII.A!$A$10:$D$199,3,FALSE))</f>
        <v/>
      </c>
      <c r="K2134" s="342" t="str">
        <f t="shared" si="568"/>
        <v/>
      </c>
      <c r="L2134" s="380" t="str">
        <f>IF(C2134="","",G2123*C2134)</f>
        <v/>
      </c>
      <c r="M2134" s="381" t="str">
        <f>IF(A2134="","",VLOOKUP(A2134,VII.A!$A$10:$B$199,2,FALSE))</f>
        <v/>
      </c>
      <c r="N2134" s="342" t="str">
        <f t="shared" si="569"/>
        <v/>
      </c>
      <c r="R2134" s="341"/>
      <c r="S2134" s="341"/>
    </row>
    <row r="2135" spans="1:21" ht="12.75" customHeight="1">
      <c r="A2135" s="385"/>
      <c r="B2135" s="386"/>
      <c r="C2135" s="20"/>
      <c r="D2135" s="342"/>
      <c r="E2135" s="387"/>
      <c r="F2135" s="388">
        <f t="shared" si="570"/>
        <v>0</v>
      </c>
      <c r="H2135" s="341" t="str">
        <f>IF(A2135="","",VLOOKUP(A2135,VII.A!$A$10:$D$199,4,FALSE))</f>
        <v/>
      </c>
      <c r="I2135" s="341" t="str">
        <f t="shared" si="567"/>
        <v/>
      </c>
      <c r="J2135" s="341" t="str">
        <f>IF(A2135="","",VLOOKUP(A2135,VII.A!$A$10:$D$199,3,FALSE))</f>
        <v/>
      </c>
      <c r="K2135" s="342" t="str">
        <f t="shared" si="568"/>
        <v/>
      </c>
      <c r="L2135" s="380" t="str">
        <f>IF(C2135="","",G2123*C2135)</f>
        <v/>
      </c>
      <c r="M2135" s="381" t="str">
        <f>IF(A2135="","",VLOOKUP(A2135,VII.A!$A$10:$B$199,2,FALSE))</f>
        <v/>
      </c>
      <c r="N2135" s="342" t="str">
        <f t="shared" si="569"/>
        <v/>
      </c>
      <c r="R2135" s="341"/>
      <c r="S2135" s="341"/>
    </row>
    <row r="2136" spans="1:21" ht="12.75" customHeight="1">
      <c r="A2136" s="385"/>
      <c r="B2136" s="386"/>
      <c r="C2136" s="20"/>
      <c r="D2136" s="392"/>
      <c r="E2136" s="387"/>
      <c r="F2136" s="388">
        <f t="shared" si="570"/>
        <v>0</v>
      </c>
      <c r="H2136" s="341" t="str">
        <f>IF(A2136="","",VLOOKUP(A2136,VII.A!$A$10:$D$199,4,FALSE))</f>
        <v/>
      </c>
      <c r="I2136" s="341" t="str">
        <f t="shared" si="567"/>
        <v/>
      </c>
      <c r="J2136" s="341" t="str">
        <f>IF(A2136="","",VLOOKUP(A2136,VII.A!$A$10:$D$199,3,FALSE))</f>
        <v/>
      </c>
      <c r="K2136" s="342" t="str">
        <f t="shared" si="568"/>
        <v/>
      </c>
      <c r="L2136" s="380" t="str">
        <f>IF(C2136="","",G2123*C2136)</f>
        <v/>
      </c>
      <c r="M2136" s="381" t="str">
        <f>IF(A2136="","",VLOOKUP(A2136,VII.A!$A$10:$B$199,2,FALSE))</f>
        <v/>
      </c>
      <c r="N2136" s="342" t="str">
        <f t="shared" si="569"/>
        <v/>
      </c>
      <c r="R2136" s="341"/>
      <c r="S2136" s="341"/>
    </row>
    <row r="2137" spans="1:21" ht="12.75" customHeight="1">
      <c r="A2137" s="385"/>
      <c r="B2137" s="386"/>
      <c r="C2137" s="20"/>
      <c r="D2137" s="392"/>
      <c r="E2137" s="387"/>
      <c r="F2137" s="388">
        <f t="shared" si="570"/>
        <v>0</v>
      </c>
      <c r="H2137" s="341" t="str">
        <f>IF(A2137="","",VLOOKUP(A2137,VII.A!$A$10:$D$199,4,FALSE))</f>
        <v/>
      </c>
      <c r="I2137" s="341" t="str">
        <f t="shared" si="567"/>
        <v/>
      </c>
      <c r="J2137" s="341" t="str">
        <f>IF(A2137="","",VLOOKUP(A2137,VII.A!$A$10:$D$199,3,FALSE))</f>
        <v/>
      </c>
      <c r="K2137" s="342" t="str">
        <f t="shared" si="568"/>
        <v/>
      </c>
      <c r="L2137" s="380" t="str">
        <f>IF(C2137="","",G2123*C2137)</f>
        <v/>
      </c>
      <c r="M2137" s="381" t="str">
        <f>IF(A2137="","",VLOOKUP(A2137,VII.A!$A$10:$B$199,2,FALSE))</f>
        <v/>
      </c>
      <c r="N2137" s="342" t="str">
        <f t="shared" si="569"/>
        <v/>
      </c>
      <c r="O2137" s="342"/>
      <c r="R2137" s="341"/>
      <c r="S2137" s="341"/>
    </row>
    <row r="2138" spans="1:21" ht="12.75" customHeight="1">
      <c r="A2138" s="385"/>
      <c r="B2138" s="386"/>
      <c r="C2138" s="20"/>
      <c r="D2138" s="392"/>
      <c r="E2138" s="387"/>
      <c r="F2138" s="388">
        <f t="shared" si="570"/>
        <v>0</v>
      </c>
      <c r="H2138" s="341" t="str">
        <f>IF(A2138="","",VLOOKUP(A2138,VII.A!$A$10:$D$199,4,FALSE))</f>
        <v/>
      </c>
      <c r="I2138" s="341" t="str">
        <f t="shared" si="567"/>
        <v/>
      </c>
      <c r="J2138" s="341" t="str">
        <f>IF(A2138="","",VLOOKUP(A2138,VII.A!$A$10:$D$199,3,FALSE))</f>
        <v/>
      </c>
      <c r="K2138" s="342" t="str">
        <f t="shared" si="568"/>
        <v/>
      </c>
      <c r="L2138" s="380" t="str">
        <f>IF(C2138="","",G2123*C2138)</f>
        <v/>
      </c>
      <c r="M2138" s="381" t="str">
        <f>IF(A2138="","",VLOOKUP(A2138,VII.A!$A$10:$B$199,2,FALSE))</f>
        <v/>
      </c>
      <c r="N2138" s="342" t="str">
        <f t="shared" si="569"/>
        <v/>
      </c>
      <c r="R2138" s="341"/>
      <c r="S2138" s="341"/>
    </row>
    <row r="2139" spans="1:21" ht="12.75" customHeight="1">
      <c r="A2139" s="393"/>
      <c r="C2139" s="20"/>
      <c r="E2139" s="387"/>
      <c r="F2139" s="388">
        <f t="shared" si="570"/>
        <v>0</v>
      </c>
      <c r="H2139" s="341" t="str">
        <f>IF(A2139="","",VLOOKUP(A2139,VII.A!$A$10:$D$199,4,FALSE))</f>
        <v/>
      </c>
      <c r="I2139" s="341" t="str">
        <f t="shared" si="567"/>
        <v/>
      </c>
      <c r="J2139" s="341" t="str">
        <f>IF(A2139="","",VLOOKUP(A2139,VII.A!$A$10:$D$199,3,FALSE))</f>
        <v/>
      </c>
      <c r="K2139" s="342" t="str">
        <f t="shared" si="568"/>
        <v/>
      </c>
      <c r="L2139" s="380" t="str">
        <f>IF(C2139="","",G2123*C2139)</f>
        <v/>
      </c>
      <c r="M2139" s="381" t="str">
        <f>IF(A2139="","",VLOOKUP(A2139,VII.A!$A$10:$B$199,2,FALSE))</f>
        <v/>
      </c>
      <c r="N2139" s="342" t="str">
        <f t="shared" si="569"/>
        <v/>
      </c>
      <c r="R2139" s="341"/>
      <c r="S2139" s="341"/>
    </row>
    <row r="2140" spans="1:21" ht="12.75" customHeight="1">
      <c r="A2140" s="393"/>
      <c r="C2140" s="20"/>
      <c r="E2140" s="387"/>
      <c r="F2140" s="388">
        <f t="shared" si="570"/>
        <v>0</v>
      </c>
      <c r="H2140" s="341" t="str">
        <f>IF(A2140="","",VLOOKUP(A2140,VII.A!$A$10:$D$199,4,FALSE))</f>
        <v/>
      </c>
      <c r="I2140" s="341" t="str">
        <f t="shared" si="567"/>
        <v/>
      </c>
      <c r="J2140" s="341" t="str">
        <f>IF(A2140="","",VLOOKUP(A2140,VII.A!$A$10:$D$199,3,FALSE))</f>
        <v/>
      </c>
      <c r="K2140" s="342" t="str">
        <f t="shared" si="568"/>
        <v/>
      </c>
      <c r="L2140" s="380" t="str">
        <f>IF(C2140="","",G2123*C2140)</f>
        <v/>
      </c>
      <c r="M2140" s="381" t="str">
        <f>IF(A2140="","",VLOOKUP(A2140,VII.A!$A$10:$B$199,2,FALSE))</f>
        <v/>
      </c>
      <c r="N2140" s="342" t="str">
        <f t="shared" si="569"/>
        <v/>
      </c>
      <c r="R2140" s="341"/>
      <c r="S2140" s="341"/>
    </row>
    <row r="2141" spans="1:21" ht="12.75" customHeight="1">
      <c r="A2141" s="393"/>
      <c r="B2141" s="395" t="s">
        <v>226</v>
      </c>
      <c r="C2141" s="396"/>
      <c r="D2141" s="397"/>
      <c r="E2141" s="398"/>
      <c r="F2141" s="399">
        <f>SUM(F2125:F2140)</f>
        <v>0</v>
      </c>
      <c r="H2141" s="426" t="s">
        <v>434</v>
      </c>
      <c r="J2141" s="341"/>
      <c r="L2141" s="380"/>
      <c r="M2141" s="381"/>
      <c r="N2141" s="342"/>
      <c r="R2141" s="341"/>
      <c r="S2141" s="341"/>
    </row>
    <row r="2142" spans="1:21" ht="12.75" customHeight="1">
      <c r="A2142" s="393"/>
      <c r="B2142" s="400" t="s">
        <v>53</v>
      </c>
      <c r="C2142" s="2">
        <f>$D$8</f>
        <v>0</v>
      </c>
      <c r="D2142" s="401"/>
      <c r="E2142" s="402"/>
      <c r="F2142" s="403">
        <f>ROUND(F2141*C2142,2)</f>
        <v>0</v>
      </c>
      <c r="J2142" s="341"/>
      <c r="L2142" s="380"/>
      <c r="M2142" s="381"/>
      <c r="N2142" s="342"/>
      <c r="R2142" s="341"/>
      <c r="S2142" s="341"/>
    </row>
    <row r="2143" spans="1:21" ht="12.75" customHeight="1">
      <c r="A2143" s="404"/>
      <c r="B2143" s="405" t="s">
        <v>227</v>
      </c>
      <c r="C2143" s="406"/>
      <c r="D2143" s="406"/>
      <c r="E2143" s="407"/>
      <c r="F2143" s="408">
        <f>F2141+F2142</f>
        <v>0</v>
      </c>
      <c r="J2143" s="341"/>
      <c r="L2143" s="380"/>
      <c r="M2143" s="381"/>
      <c r="N2143" s="342"/>
      <c r="R2143" s="341"/>
      <c r="S2143" s="341"/>
    </row>
    <row r="2144" spans="1:21" ht="12.75" customHeight="1">
      <c r="A2144" s="374" t="s">
        <v>2</v>
      </c>
      <c r="B2144" s="375" t="s">
        <v>235</v>
      </c>
      <c r="C2144" s="376" t="s">
        <v>231</v>
      </c>
      <c r="D2144" s="376" t="s">
        <v>232</v>
      </c>
      <c r="E2144" s="377" t="s">
        <v>233</v>
      </c>
      <c r="F2144" s="378" t="s">
        <v>234</v>
      </c>
      <c r="J2144" s="341"/>
      <c r="L2144" s="380"/>
      <c r="M2144" s="381"/>
      <c r="N2144" s="342"/>
      <c r="R2144" s="341"/>
      <c r="S2144" s="341"/>
    </row>
    <row r="2145" spans="1:19" ht="12.75" customHeight="1">
      <c r="A2145" s="393" t="str">
        <f>VII.A!$A$154</f>
        <v>2.12</v>
      </c>
      <c r="B2145" s="423" t="str">
        <f>VLOOKUP(A2145,VII.A!$A$10:$G$199,2,FALSE)</f>
        <v>COMPACTADOR A PERCUSSÃO TIPO SAPO MECÂNICO 3CV - CHP</v>
      </c>
      <c r="C2145" s="20">
        <v>0.4</v>
      </c>
      <c r="D2145" s="384" t="str">
        <f>VLOOKUP(A2145,VII.A!$A$10:$G$199,3,FALSE)</f>
        <v>CHP</v>
      </c>
      <c r="E2145" s="387">
        <f>VII.A!$D$154</f>
        <v>0</v>
      </c>
      <c r="F2145" s="388">
        <f t="shared" ref="F2145:F2154" si="571">ROUND(C2145*E2145,2)</f>
        <v>0</v>
      </c>
      <c r="H2145" s="341">
        <f>IF(A2145="","",VLOOKUP(A2145,VII.A!$A$10:$D$199,4,FALSE))</f>
        <v>0</v>
      </c>
      <c r="I2145" s="341" t="str">
        <f t="shared" ref="I2145:I2154" si="572">IF(A2145="","",IF(E2145=H2145,"SIM","NÃO"))</f>
        <v>SIM</v>
      </c>
      <c r="J2145" s="341" t="str">
        <f>IF(A2145="","",VLOOKUP(A2145,VII.A!$A$10:$D$199,3,FALSE))</f>
        <v>CHP</v>
      </c>
      <c r="K2145" s="342" t="str">
        <f t="shared" ref="K2145:K2154" si="573">IF(A2145="","",IF(J2145=D2145,"SIM","NÃO"))</f>
        <v>SIM</v>
      </c>
      <c r="L2145" s="380">
        <f>IF(C2145="","",G2123*C2145)</f>
        <v>60</v>
      </c>
      <c r="M2145" s="381" t="str">
        <f>IF(A2145="","",VLOOKUP(A2145,VII.A!$A$10:$B$199,2,FALSE))</f>
        <v>COMPACTADOR A PERCUSSÃO TIPO SAPO MECÂNICO 3CV - CHP</v>
      </c>
      <c r="N2145" s="342" t="str">
        <f t="shared" ref="N2145:N2154" si="574">IF(B2145="","",IF(M2145=B2145,"si","no"))</f>
        <v>si</v>
      </c>
      <c r="R2145" s="341"/>
      <c r="S2145" s="341"/>
    </row>
    <row r="2146" spans="1:19" ht="12.75" customHeight="1">
      <c r="A2146" s="393"/>
      <c r="C2146" s="20"/>
      <c r="E2146" s="387"/>
      <c r="F2146" s="388">
        <f t="shared" si="571"/>
        <v>0</v>
      </c>
      <c r="H2146" s="341" t="str">
        <f>IF(A2146="","",VLOOKUP(A2146,VII.A!$A$10:$D$199,4,FALSE))</f>
        <v/>
      </c>
      <c r="I2146" s="341" t="str">
        <f t="shared" si="572"/>
        <v/>
      </c>
      <c r="J2146" s="341" t="str">
        <f>IF(A2146="","",VLOOKUP(A2146,VII.A!$A$10:$D$199,3,FALSE))</f>
        <v/>
      </c>
      <c r="K2146" s="342" t="str">
        <f t="shared" si="573"/>
        <v/>
      </c>
      <c r="L2146" s="380" t="str">
        <f>IF(C2146="","",G2123*C2146)</f>
        <v/>
      </c>
      <c r="M2146" s="381" t="str">
        <f>IF(A2146="","",VLOOKUP(A2146,VII.A!$A$10:$B$199,2,FALSE))</f>
        <v/>
      </c>
      <c r="N2146" s="342" t="str">
        <f t="shared" si="574"/>
        <v/>
      </c>
      <c r="R2146" s="341"/>
      <c r="S2146" s="341"/>
    </row>
    <row r="2147" spans="1:19" ht="12.75" customHeight="1">
      <c r="A2147" s="393"/>
      <c r="C2147" s="20"/>
      <c r="E2147" s="387"/>
      <c r="F2147" s="388">
        <f t="shared" si="571"/>
        <v>0</v>
      </c>
      <c r="H2147" s="341" t="str">
        <f>IF(A2147="","",VLOOKUP(A2147,VII.A!$A$10:$D$199,4,FALSE))</f>
        <v/>
      </c>
      <c r="I2147" s="341" t="str">
        <f t="shared" si="572"/>
        <v/>
      </c>
      <c r="J2147" s="341" t="str">
        <f>IF(A2147="","",VLOOKUP(A2147,VII.A!$A$10:$D$199,3,FALSE))</f>
        <v/>
      </c>
      <c r="K2147" s="342" t="str">
        <f t="shared" si="573"/>
        <v/>
      </c>
      <c r="L2147" s="380" t="str">
        <f>IF(C2147="","",G2123*C2147)</f>
        <v/>
      </c>
      <c r="M2147" s="381" t="str">
        <f>IF(A2147="","",VLOOKUP(A2147,VII.A!$A$10:$B$199,2,FALSE))</f>
        <v/>
      </c>
      <c r="N2147" s="342" t="str">
        <f t="shared" si="574"/>
        <v/>
      </c>
      <c r="R2147" s="341"/>
      <c r="S2147" s="341"/>
    </row>
    <row r="2148" spans="1:19" ht="12.75" customHeight="1">
      <c r="A2148" s="393"/>
      <c r="C2148" s="20"/>
      <c r="E2148" s="387"/>
      <c r="F2148" s="388">
        <f t="shared" si="571"/>
        <v>0</v>
      </c>
      <c r="H2148" s="341" t="str">
        <f>IF(A2148="","",VLOOKUP(A2148,VII.A!$A$10:$D$199,4,FALSE))</f>
        <v/>
      </c>
      <c r="I2148" s="341" t="str">
        <f t="shared" si="572"/>
        <v/>
      </c>
      <c r="J2148" s="341" t="str">
        <f>IF(A2148="","",VLOOKUP(A2148,VII.A!$A$10:$D$199,3,FALSE))</f>
        <v/>
      </c>
      <c r="K2148" s="342" t="str">
        <f t="shared" si="573"/>
        <v/>
      </c>
      <c r="L2148" s="380" t="str">
        <f>IF(C2148="","",G2123*C2148)</f>
        <v/>
      </c>
      <c r="M2148" s="381" t="str">
        <f>IF(A2148="","",VLOOKUP(A2148,VII.A!$A$10:$B$199,2,FALSE))</f>
        <v/>
      </c>
      <c r="N2148" s="342" t="str">
        <f t="shared" si="574"/>
        <v/>
      </c>
      <c r="R2148" s="341"/>
      <c r="S2148" s="341"/>
    </row>
    <row r="2149" spans="1:19" ht="12.75" customHeight="1">
      <c r="A2149" s="393"/>
      <c r="C2149" s="20"/>
      <c r="E2149" s="387"/>
      <c r="F2149" s="388">
        <f t="shared" si="571"/>
        <v>0</v>
      </c>
      <c r="G2149" s="390"/>
      <c r="H2149" s="341" t="str">
        <f>IF(A2149="","",VLOOKUP(A2149,VII.A!$A$10:$D$199,4,FALSE))</f>
        <v/>
      </c>
      <c r="I2149" s="341" t="str">
        <f t="shared" si="572"/>
        <v/>
      </c>
      <c r="J2149" s="341" t="str">
        <f>IF(A2149="","",VLOOKUP(A2149,VII.A!$A$10:$D$199,3,FALSE))</f>
        <v/>
      </c>
      <c r="K2149" s="342" t="str">
        <f t="shared" si="573"/>
        <v/>
      </c>
      <c r="L2149" s="380" t="str">
        <f>IF(C2149="","",G2123*C2149)</f>
        <v/>
      </c>
      <c r="M2149" s="381" t="str">
        <f>IF(A2149="","",VLOOKUP(A2149,VII.A!$A$10:$B$199,2,FALSE))</f>
        <v/>
      </c>
      <c r="N2149" s="342" t="str">
        <f t="shared" si="574"/>
        <v/>
      </c>
      <c r="R2149" s="341"/>
      <c r="S2149" s="341"/>
    </row>
    <row r="2150" spans="1:19" ht="12.75" customHeight="1">
      <c r="A2150" s="393"/>
      <c r="C2150" s="20"/>
      <c r="E2150" s="387"/>
      <c r="F2150" s="388">
        <f t="shared" si="571"/>
        <v>0</v>
      </c>
      <c r="G2150" s="391"/>
      <c r="H2150" s="341" t="str">
        <f>IF(A2150="","",VLOOKUP(A2150,VII.A!$A$10:$D$199,4,FALSE))</f>
        <v/>
      </c>
      <c r="I2150" s="341" t="str">
        <f t="shared" si="572"/>
        <v/>
      </c>
      <c r="J2150" s="341" t="str">
        <f>IF(A2150="","",VLOOKUP(A2150,VII.A!$A$10:$D$199,3,FALSE))</f>
        <v/>
      </c>
      <c r="K2150" s="342" t="str">
        <f t="shared" si="573"/>
        <v/>
      </c>
      <c r="L2150" s="380" t="str">
        <f>IF(C2150="","",G2123*C2150)</f>
        <v/>
      </c>
      <c r="M2150" s="381" t="str">
        <f>IF(A2150="","",VLOOKUP(A2150,VII.A!$A$10:$B$199,2,FALSE))</f>
        <v/>
      </c>
      <c r="N2150" s="342" t="str">
        <f t="shared" si="574"/>
        <v/>
      </c>
      <c r="R2150" s="341"/>
      <c r="S2150" s="341"/>
    </row>
    <row r="2151" spans="1:19" ht="12.75" customHeight="1">
      <c r="A2151" s="393"/>
      <c r="C2151" s="20"/>
      <c r="E2151" s="387"/>
      <c r="F2151" s="388">
        <f t="shared" si="571"/>
        <v>0</v>
      </c>
      <c r="H2151" s="341" t="str">
        <f>IF(A2151="","",VLOOKUP(A2151,VII.A!$A$10:$D$199,4,FALSE))</f>
        <v/>
      </c>
      <c r="I2151" s="341" t="str">
        <f t="shared" si="572"/>
        <v/>
      </c>
      <c r="J2151" s="341" t="str">
        <f>IF(A2151="","",VLOOKUP(A2151,VII.A!$A$10:$D$199,3,FALSE))</f>
        <v/>
      </c>
      <c r="K2151" s="342" t="str">
        <f t="shared" si="573"/>
        <v/>
      </c>
      <c r="L2151" s="380" t="str">
        <f>IF(C2151="","",G2123*C2151)</f>
        <v/>
      </c>
      <c r="M2151" s="381" t="str">
        <f>IF(A2151="","",VLOOKUP(A2151,VII.A!$A$10:$B$199,2,FALSE))</f>
        <v/>
      </c>
      <c r="N2151" s="342" t="str">
        <f t="shared" si="574"/>
        <v/>
      </c>
      <c r="R2151" s="341"/>
      <c r="S2151" s="341"/>
    </row>
    <row r="2152" spans="1:19" ht="12.75" customHeight="1">
      <c r="A2152" s="393"/>
      <c r="C2152" s="20"/>
      <c r="E2152" s="387"/>
      <c r="F2152" s="388">
        <f t="shared" si="571"/>
        <v>0</v>
      </c>
      <c r="H2152" s="341" t="str">
        <f>IF(A2152="","",VLOOKUP(A2152,VII.A!$A$10:$D$199,4,FALSE))</f>
        <v/>
      </c>
      <c r="I2152" s="341" t="str">
        <f t="shared" si="572"/>
        <v/>
      </c>
      <c r="J2152" s="341" t="str">
        <f>IF(A2152="","",VLOOKUP(A2152,VII.A!$A$10:$D$199,3,FALSE))</f>
        <v/>
      </c>
      <c r="K2152" s="342" t="str">
        <f t="shared" si="573"/>
        <v/>
      </c>
      <c r="L2152" s="380" t="str">
        <f>IF(C2152="","",G2123*C2152)</f>
        <v/>
      </c>
      <c r="M2152" s="381" t="str">
        <f>IF(A2152="","",VLOOKUP(A2152,VII.A!$A$10:$B$199,2,FALSE))</f>
        <v/>
      </c>
      <c r="N2152" s="342" t="str">
        <f t="shared" si="574"/>
        <v/>
      </c>
      <c r="R2152" s="341"/>
      <c r="S2152" s="341"/>
    </row>
    <row r="2153" spans="1:19" ht="12.75" customHeight="1">
      <c r="A2153" s="393"/>
      <c r="C2153" s="20"/>
      <c r="E2153" s="387"/>
      <c r="F2153" s="388">
        <f t="shared" si="571"/>
        <v>0</v>
      </c>
      <c r="H2153" s="341" t="str">
        <f>IF(A2153="","",VLOOKUP(A2153,VII.A!$A$10:$D$199,4,FALSE))</f>
        <v/>
      </c>
      <c r="I2153" s="341" t="str">
        <f t="shared" si="572"/>
        <v/>
      </c>
      <c r="J2153" s="341" t="str">
        <f>IF(A2153="","",VLOOKUP(A2153,VII.A!$A$10:$D$199,3,FALSE))</f>
        <v/>
      </c>
      <c r="K2153" s="342" t="str">
        <f t="shared" si="573"/>
        <v/>
      </c>
      <c r="L2153" s="380" t="str">
        <f>IF(C2153="","",G2123*C2153)</f>
        <v/>
      </c>
      <c r="M2153" s="381" t="str">
        <f>IF(A2153="","",VLOOKUP(A2153,VII.A!$A$10:$B$199,2,FALSE))</f>
        <v/>
      </c>
      <c r="N2153" s="342" t="str">
        <f t="shared" si="574"/>
        <v/>
      </c>
      <c r="R2153" s="341"/>
      <c r="S2153" s="341"/>
    </row>
    <row r="2154" spans="1:19" ht="12.75" customHeight="1">
      <c r="A2154" s="393"/>
      <c r="C2154" s="20"/>
      <c r="E2154" s="387"/>
      <c r="F2154" s="388">
        <f t="shared" si="571"/>
        <v>0</v>
      </c>
      <c r="H2154" s="341" t="str">
        <f>IF(A2154="","",VLOOKUP(A2154,VII.A!$A$10:$D$199,4,FALSE))</f>
        <v/>
      </c>
      <c r="I2154" s="341" t="str">
        <f t="shared" si="572"/>
        <v/>
      </c>
      <c r="J2154" s="341" t="str">
        <f>IF(A2154="","",VLOOKUP(A2154,VII.A!$A$10:$D$199,3,FALSE))</f>
        <v/>
      </c>
      <c r="K2154" s="342" t="str">
        <f t="shared" si="573"/>
        <v/>
      </c>
      <c r="L2154" s="380" t="str">
        <f>IF(C2154="","",G2123*C2154)</f>
        <v/>
      </c>
      <c r="M2154" s="381" t="str">
        <f>IF(A2154="","",VLOOKUP(A2154,VII.A!$A$10:$B$199,2,FALSE))</f>
        <v/>
      </c>
      <c r="N2154" s="342" t="str">
        <f t="shared" si="574"/>
        <v/>
      </c>
      <c r="R2154" s="341"/>
      <c r="S2154" s="341"/>
    </row>
    <row r="2155" spans="1:19" ht="12.75" customHeight="1">
      <c r="A2155" s="393"/>
      <c r="B2155" s="395" t="s">
        <v>226</v>
      </c>
      <c r="C2155" s="396"/>
      <c r="D2155" s="397"/>
      <c r="E2155" s="398"/>
      <c r="F2155" s="399">
        <f>SUM(F2145:F2154)</f>
        <v>0</v>
      </c>
      <c r="J2155" s="341"/>
      <c r="L2155" s="380"/>
      <c r="M2155" s="381"/>
      <c r="N2155" s="342"/>
      <c r="R2155" s="341"/>
      <c r="S2155" s="341"/>
    </row>
    <row r="2156" spans="1:19" ht="12.75" customHeight="1">
      <c r="A2156" s="393"/>
      <c r="B2156" s="400" t="s">
        <v>53</v>
      </c>
      <c r="C2156" s="2">
        <f>$D$8</f>
        <v>0</v>
      </c>
      <c r="D2156" s="401"/>
      <c r="E2156" s="402"/>
      <c r="F2156" s="403">
        <f>ROUND(C2156*F2155,2)</f>
        <v>0</v>
      </c>
      <c r="J2156" s="341"/>
      <c r="L2156" s="380"/>
      <c r="M2156" s="381"/>
      <c r="N2156" s="342"/>
      <c r="R2156" s="341"/>
      <c r="S2156" s="341"/>
    </row>
    <row r="2157" spans="1:19" ht="12.75" customHeight="1">
      <c r="A2157" s="404"/>
      <c r="B2157" s="405" t="s">
        <v>228</v>
      </c>
      <c r="C2157" s="406"/>
      <c r="D2157" s="406"/>
      <c r="E2157" s="407"/>
      <c r="F2157" s="408">
        <f>F2155+F2156</f>
        <v>0</v>
      </c>
      <c r="J2157" s="341"/>
      <c r="L2157" s="380"/>
      <c r="M2157" s="381"/>
      <c r="N2157" s="342"/>
      <c r="R2157" s="341"/>
      <c r="S2157" s="341"/>
    </row>
    <row r="2158" spans="1:19" ht="12.75" customHeight="1">
      <c r="A2158" s="409" t="s">
        <v>47</v>
      </c>
      <c r="B2158" s="410" t="s">
        <v>236</v>
      </c>
      <c r="C2158" s="411" t="s">
        <v>231</v>
      </c>
      <c r="D2158" s="412" t="s">
        <v>232</v>
      </c>
      <c r="E2158" s="413" t="s">
        <v>233</v>
      </c>
      <c r="F2158" s="378" t="s">
        <v>234</v>
      </c>
      <c r="J2158" s="341"/>
      <c r="L2158" s="380"/>
      <c r="M2158" s="381"/>
      <c r="N2158" s="342"/>
      <c r="R2158" s="341"/>
      <c r="S2158" s="341"/>
    </row>
    <row r="2159" spans="1:19" ht="12.75" customHeight="1">
      <c r="A2159" s="393" t="str">
        <f>VII.A!$A$196</f>
        <v>3.16</v>
      </c>
      <c r="B2159" s="394" t="s">
        <v>157</v>
      </c>
      <c r="C2159" s="20">
        <v>0.8</v>
      </c>
      <c r="D2159" s="384" t="str">
        <f>VLOOKUP(A2159,VII.A!$A$10:$G$199,3,FALSE)</f>
        <v>H</v>
      </c>
      <c r="E2159" s="387">
        <f>VII.A!$D$196</f>
        <v>0</v>
      </c>
      <c r="F2159" s="388">
        <f t="shared" ref="F2159:F2165" si="575">ROUND(C2159*E2159,2)</f>
        <v>0</v>
      </c>
      <c r="H2159" s="341">
        <f>IF(A2159="","",VLOOKUP(A2159,VII.A!$A$10:$D$199,4,FALSE))</f>
        <v>0</v>
      </c>
      <c r="I2159" s="341" t="str">
        <f t="shared" ref="I2159:I2165" si="576">IF(A2159="","",IF(E2159=H2159,"SIM","NÃO"))</f>
        <v>SIM</v>
      </c>
      <c r="J2159" s="341" t="str">
        <f>IF(A2159="","",VLOOKUP(A2159,VII.A!$A$10:$D$199,3,FALSE))</f>
        <v>H</v>
      </c>
      <c r="K2159" s="342" t="str">
        <f t="shared" ref="K2159:K2165" si="577">IF(A2159="","",IF(J2159=D2159,"SIM","NÃO"))</f>
        <v>SIM</v>
      </c>
      <c r="L2159" s="380">
        <f>IF(C2159="","",G2123*C2159)</f>
        <v>120</v>
      </c>
      <c r="M2159" s="381" t="str">
        <f>IF(A2159="","",VLOOKUP(A2159,VII.A!$A$10:$B$199,2,FALSE))</f>
        <v>SERVENTE COM ENCARGOS COMPLEMENTARES</v>
      </c>
      <c r="N2159" s="342" t="str">
        <f t="shared" ref="N2159:N2165" si="578">IF(B2159="","",IF(M2159=B2159,"si","no"))</f>
        <v>si</v>
      </c>
      <c r="R2159" s="341"/>
      <c r="S2159" s="341"/>
    </row>
    <row r="2160" spans="1:19" ht="12.75" customHeight="1">
      <c r="A2160" s="393"/>
      <c r="C2160" s="20"/>
      <c r="E2160" s="387"/>
      <c r="F2160" s="388">
        <f t="shared" si="575"/>
        <v>0</v>
      </c>
      <c r="H2160" s="341" t="str">
        <f>IF(A2160="","",VLOOKUP(A2160,VII.A!$A$10:$D$199,4,FALSE))</f>
        <v/>
      </c>
      <c r="I2160" s="341" t="str">
        <f t="shared" si="576"/>
        <v/>
      </c>
      <c r="J2160" s="341" t="str">
        <f>IF(A2160="","",VLOOKUP(A2160,VII.A!$A$10:$D$199,3,FALSE))</f>
        <v/>
      </c>
      <c r="K2160" s="342" t="str">
        <f t="shared" si="577"/>
        <v/>
      </c>
      <c r="L2160" s="380" t="str">
        <f>IF(C2160="","",G2123*C2160)</f>
        <v/>
      </c>
      <c r="M2160" s="381" t="str">
        <f>IF(A2160="","",VLOOKUP(A2160,VII.A!$A$10:$B$199,2,FALSE))</f>
        <v/>
      </c>
      <c r="N2160" s="342" t="str">
        <f t="shared" si="578"/>
        <v/>
      </c>
      <c r="R2160" s="341"/>
      <c r="S2160" s="341"/>
    </row>
    <row r="2161" spans="1:25" ht="12.75" customHeight="1">
      <c r="A2161" s="393"/>
      <c r="C2161" s="20"/>
      <c r="E2161" s="387"/>
      <c r="F2161" s="388">
        <f t="shared" si="575"/>
        <v>0</v>
      </c>
      <c r="H2161" s="341" t="str">
        <f>IF(A2161="","",VLOOKUP(A2161,VII.A!$A$10:$D$199,4,FALSE))</f>
        <v/>
      </c>
      <c r="I2161" s="341" t="str">
        <f t="shared" si="576"/>
        <v/>
      </c>
      <c r="J2161" s="341" t="str">
        <f>IF(A2161="","",VLOOKUP(A2161,VII.A!$A$10:$D$199,3,FALSE))</f>
        <v/>
      </c>
      <c r="K2161" s="342" t="str">
        <f t="shared" si="577"/>
        <v/>
      </c>
      <c r="L2161" s="380" t="str">
        <f>IF(C2161="","",G2123*C2161)</f>
        <v/>
      </c>
      <c r="M2161" s="381" t="str">
        <f>IF(A2161="","",VLOOKUP(A2161,VII.A!$A$10:$B$199,2,FALSE))</f>
        <v/>
      </c>
      <c r="N2161" s="342" t="str">
        <f t="shared" si="578"/>
        <v/>
      </c>
      <c r="R2161" s="341"/>
      <c r="S2161" s="341"/>
    </row>
    <row r="2162" spans="1:25" ht="12.75" customHeight="1">
      <c r="A2162" s="393"/>
      <c r="C2162" s="20"/>
      <c r="E2162" s="387"/>
      <c r="F2162" s="388">
        <f t="shared" si="575"/>
        <v>0</v>
      </c>
      <c r="H2162" s="341" t="str">
        <f>IF(A2162="","",VLOOKUP(A2162,VII.A!$A$10:$D$199,4,FALSE))</f>
        <v/>
      </c>
      <c r="I2162" s="341" t="str">
        <f t="shared" si="576"/>
        <v/>
      </c>
      <c r="J2162" s="341" t="str">
        <f>IF(A2162="","",VLOOKUP(A2162,VII.A!$A$10:$D$199,3,FALSE))</f>
        <v/>
      </c>
      <c r="K2162" s="342" t="str">
        <f t="shared" si="577"/>
        <v/>
      </c>
      <c r="L2162" s="380" t="str">
        <f>IF(C2162="","",G2123*C2162)</f>
        <v/>
      </c>
      <c r="M2162" s="381" t="str">
        <f>IF(A2162="","",VLOOKUP(A2162,VII.A!$A$10:$B$199,2,FALSE))</f>
        <v/>
      </c>
      <c r="N2162" s="342" t="str">
        <f t="shared" si="578"/>
        <v/>
      </c>
      <c r="R2162" s="341"/>
      <c r="S2162" s="341"/>
    </row>
    <row r="2163" spans="1:25" ht="12.75" customHeight="1">
      <c r="A2163" s="393"/>
      <c r="C2163" s="20"/>
      <c r="E2163" s="387"/>
      <c r="F2163" s="388">
        <f t="shared" si="575"/>
        <v>0</v>
      </c>
      <c r="H2163" s="341" t="str">
        <f>IF(A2163="","",VLOOKUP(A2163,VII.A!$A$10:$D$199,4,FALSE))</f>
        <v/>
      </c>
      <c r="I2163" s="341" t="str">
        <f t="shared" si="576"/>
        <v/>
      </c>
      <c r="J2163" s="341" t="str">
        <f>IF(A2163="","",VLOOKUP(A2163,VII.A!$A$10:$D$199,3,FALSE))</f>
        <v/>
      </c>
      <c r="K2163" s="342" t="str">
        <f t="shared" si="577"/>
        <v/>
      </c>
      <c r="L2163" s="380" t="str">
        <f>IF(C2163="","",G2123*C2163)</f>
        <v/>
      </c>
      <c r="M2163" s="381" t="str">
        <f>IF(A2163="","",VLOOKUP(A2163,VII.A!$A$10:$B$199,2,FALSE))</f>
        <v/>
      </c>
      <c r="N2163" s="342" t="str">
        <f t="shared" si="578"/>
        <v/>
      </c>
      <c r="R2163" s="341"/>
      <c r="S2163" s="341"/>
    </row>
    <row r="2164" spans="1:25" ht="12.75" customHeight="1">
      <c r="A2164" s="393"/>
      <c r="C2164" s="20"/>
      <c r="E2164" s="387"/>
      <c r="F2164" s="388">
        <f t="shared" si="575"/>
        <v>0</v>
      </c>
      <c r="H2164" s="341" t="str">
        <f>IF(A2164="","",VLOOKUP(A2164,VII.A!$A$10:$D$199,4,FALSE))</f>
        <v/>
      </c>
      <c r="I2164" s="341" t="str">
        <f t="shared" si="576"/>
        <v/>
      </c>
      <c r="J2164" s="341" t="str">
        <f>IF(A2164="","",VLOOKUP(A2164,VII.A!$A$10:$D$199,3,FALSE))</f>
        <v/>
      </c>
      <c r="K2164" s="342" t="str">
        <f t="shared" si="577"/>
        <v/>
      </c>
      <c r="L2164" s="380" t="str">
        <f>IF(C2164="","",G2123*C2164)</f>
        <v/>
      </c>
      <c r="M2164" s="381" t="str">
        <f>IF(A2164="","",VLOOKUP(A2164,VII.A!$A$10:$B$199,2,FALSE))</f>
        <v/>
      </c>
      <c r="N2164" s="342" t="str">
        <f t="shared" si="578"/>
        <v/>
      </c>
      <c r="R2164" s="341"/>
      <c r="S2164" s="341"/>
    </row>
    <row r="2165" spans="1:25" ht="12.75" customHeight="1">
      <c r="A2165" s="393"/>
      <c r="C2165" s="20"/>
      <c r="E2165" s="387"/>
      <c r="F2165" s="388">
        <f t="shared" si="575"/>
        <v>0</v>
      </c>
      <c r="H2165" s="341" t="str">
        <f>IF(A2165="","",VLOOKUP(A2165,VII.A!$A$10:$D$199,4,FALSE))</f>
        <v/>
      </c>
      <c r="I2165" s="341" t="str">
        <f t="shared" si="576"/>
        <v/>
      </c>
      <c r="J2165" s="341" t="str">
        <f>IF(A2165="","",VLOOKUP(A2165,VII.A!$A$10:$D$199,3,FALSE))</f>
        <v/>
      </c>
      <c r="K2165" s="342" t="str">
        <f t="shared" si="577"/>
        <v/>
      </c>
      <c r="L2165" s="380" t="str">
        <f>IF(C2165="","",G2123*C2165)</f>
        <v/>
      </c>
      <c r="M2165" s="381" t="str">
        <f>IF(A2165="","",VLOOKUP(A2165,VII.A!$A$10:$B$199,2,FALSE))</f>
        <v/>
      </c>
      <c r="N2165" s="342" t="str">
        <f t="shared" si="578"/>
        <v/>
      </c>
      <c r="R2165" s="341"/>
      <c r="S2165" s="341"/>
    </row>
    <row r="2166" spans="1:25" ht="12.75" customHeight="1">
      <c r="A2166" s="393"/>
      <c r="B2166" s="395" t="s">
        <v>226</v>
      </c>
      <c r="C2166" s="396"/>
      <c r="D2166" s="397"/>
      <c r="E2166" s="398"/>
      <c r="F2166" s="399">
        <f>SUM(F2159:F2165)</f>
        <v>0</v>
      </c>
      <c r="J2166" s="341"/>
      <c r="L2166" s="380"/>
      <c r="M2166" s="381"/>
      <c r="N2166" s="342"/>
      <c r="R2166" s="341"/>
      <c r="S2166" s="341"/>
    </row>
    <row r="2167" spans="1:25" ht="12.75" customHeight="1">
      <c r="A2167" s="393"/>
      <c r="B2167" s="400" t="s">
        <v>229</v>
      </c>
      <c r="C2167" s="2">
        <f>IX.A!$C$45</f>
        <v>0</v>
      </c>
      <c r="D2167" s="401"/>
      <c r="E2167" s="402"/>
      <c r="F2167" s="403">
        <f>ROUND(F2166*C2167,2)</f>
        <v>0</v>
      </c>
      <c r="J2167" s="341"/>
      <c r="L2167" s="380"/>
      <c r="M2167" s="381"/>
      <c r="N2167" s="342"/>
      <c r="R2167" s="341"/>
      <c r="S2167" s="341"/>
    </row>
    <row r="2168" spans="1:25" ht="12.75" customHeight="1">
      <c r="A2168" s="393"/>
      <c r="B2168" s="400" t="s">
        <v>53</v>
      </c>
      <c r="C2168" s="2">
        <f>$D$8</f>
        <v>0</v>
      </c>
      <c r="D2168" s="401"/>
      <c r="E2168" s="402"/>
      <c r="F2168" s="403">
        <f>ROUND(SUM(F2166:F2167)*C2168,2)</f>
        <v>0</v>
      </c>
      <c r="J2168" s="341"/>
      <c r="L2168" s="380"/>
      <c r="M2168" s="381"/>
      <c r="N2168" s="342"/>
      <c r="R2168" s="341"/>
      <c r="S2168" s="341"/>
    </row>
    <row r="2169" spans="1:25" ht="12.75" customHeight="1" thickBot="1">
      <c r="A2169" s="414"/>
      <c r="B2169" s="415" t="s">
        <v>230</v>
      </c>
      <c r="C2169" s="416"/>
      <c r="D2169" s="416"/>
      <c r="E2169" s="417"/>
      <c r="F2169" s="418">
        <f>SUM(F2166:F2168)</f>
        <v>0</v>
      </c>
      <c r="J2169" s="341"/>
      <c r="L2169" s="380"/>
      <c r="M2169" s="381"/>
      <c r="N2169" s="342"/>
      <c r="R2169" s="341"/>
      <c r="S2169" s="341"/>
    </row>
    <row r="2170" spans="1:25" ht="12.75" customHeight="1" thickBot="1">
      <c r="A2170" s="357"/>
      <c r="B2170" s="358"/>
      <c r="C2170" s="359"/>
      <c r="D2170" s="359"/>
      <c r="E2170" s="360"/>
      <c r="F2170" s="419"/>
      <c r="J2170" s="341"/>
      <c r="L2170" s="380"/>
      <c r="M2170" s="381"/>
      <c r="N2170" s="342"/>
      <c r="R2170" s="341"/>
      <c r="S2170" s="341"/>
    </row>
    <row r="2171" spans="1:25" ht="30" customHeight="1">
      <c r="A2171" s="370" t="str">
        <f>IV.A!$A$74</f>
        <v>3.4.3</v>
      </c>
      <c r="B2171" s="371" t="str">
        <f>IV.A!$B$74</f>
        <v xml:space="preserve">ESCAVAÇÃO MANUAL EM SOLO DE 1ª CATEGORIA COM PROFUNDIDADE ATÉ 1,50 M </v>
      </c>
      <c r="C2171" s="871" t="s">
        <v>237</v>
      </c>
      <c r="D2171" s="872"/>
      <c r="E2171" s="372" t="str">
        <f>IV.A!$C$74</f>
        <v>M3</v>
      </c>
      <c r="F2171" s="11">
        <f>ROUND(F2191+F2205+F2217,2)</f>
        <v>0</v>
      </c>
      <c r="G2171" s="1">
        <f>VLOOKUP(A2171,IV.A!$A$16:$L$172,4,FALSE)</f>
        <v>150</v>
      </c>
      <c r="H2171" s="361">
        <f>SUM(F2173:F2188)+F2190</f>
        <v>0</v>
      </c>
      <c r="I2171" s="361">
        <f>SUM(F2193:F2202)+F2204</f>
        <v>0</v>
      </c>
      <c r="J2171" s="361">
        <f>SUM(F2207:F2213)+F2215+F2216</f>
        <v>0</v>
      </c>
      <c r="K2171" s="361">
        <f>SUM(H2171:J2171)</f>
        <v>0</v>
      </c>
      <c r="L2171" s="362" t="str">
        <f>IF(K2171=F2171,"SIM","NÃO")</f>
        <v>SIM</v>
      </c>
      <c r="M2171" s="373">
        <f>ROUND(SUM(F2173:F2188),2)+ROUND(SUM(F2173:F2188)*C2190,2)+ROUND(SUM(F2193:F2202)*C2204,2)+ROUND(SUM(F2193:F2202),2)+ROUND(SUM(F2207:F2213)*C2215,2)+ROUND((SUM(F2207:F2213)+ROUND(SUM(F2207:F2213)*C2215,2))*C2216,2)+ROUND(SUM(F2207:F2213),2)</f>
        <v>0</v>
      </c>
      <c r="N2171" s="343" t="str">
        <f>IF(M2171=F2171,"SIM","NÃO")</f>
        <v>SIM</v>
      </c>
      <c r="O2171" s="364" t="str">
        <f>VLOOKUP(A2171,IV.A!$A$16:$E$172,3,FALSE)</f>
        <v>M3</v>
      </c>
      <c r="P2171" s="344" t="str">
        <f>IF(O2171=E2171,"SIM","NÃO")</f>
        <v>SIM</v>
      </c>
      <c r="Q2171" s="365">
        <f>ROUND(G2171*F2191,2)+ROUND(G2171*F2205,2)+ROUND(G2171*F2217,2)</f>
        <v>0</v>
      </c>
      <c r="R2171" s="364">
        <f>VLOOKUP(A2171,IV.A!$A$16:$L$172,12,FALSE)</f>
        <v>0</v>
      </c>
      <c r="S2171" s="366" t="str">
        <f>IF(Q2171=R2171,"si","no")</f>
        <v>si</v>
      </c>
      <c r="T2171" s="367">
        <f>SUM(L2173:L2188)+SUM(L2193:L2202)+SUM(L2207:L2213)</f>
        <v>450</v>
      </c>
      <c r="U2171" s="341">
        <f>(SUM(C2173:C2188)+SUM(C2193:C2202)+SUM(C2207:C2213))*G2171</f>
        <v>450</v>
      </c>
      <c r="V2171" s="368" t="str">
        <f>IF(T2171=U2171,"si","no")</f>
        <v>si</v>
      </c>
      <c r="W2171" s="369">
        <f>SUM(F2173:F2188)</f>
        <v>0</v>
      </c>
      <c r="X2171" s="369">
        <f>SUM(F2193:F2202)</f>
        <v>0</v>
      </c>
      <c r="Y2171" s="369">
        <f>SUM(F2207:F2213)</f>
        <v>0</v>
      </c>
    </row>
    <row r="2172" spans="1:25" ht="12.75" customHeight="1">
      <c r="A2172" s="374" t="s">
        <v>14</v>
      </c>
      <c r="B2172" s="375" t="s">
        <v>132</v>
      </c>
      <c r="C2172" s="376" t="s">
        <v>231</v>
      </c>
      <c r="D2172" s="376" t="s">
        <v>232</v>
      </c>
      <c r="E2172" s="377" t="s">
        <v>233</v>
      </c>
      <c r="F2172" s="378" t="s">
        <v>234</v>
      </c>
      <c r="G2172" s="379"/>
      <c r="J2172" s="341"/>
      <c r="L2172" s="380"/>
      <c r="M2172" s="381"/>
      <c r="N2172" s="342"/>
      <c r="O2172" s="382"/>
      <c r="P2172" s="383"/>
      <c r="Q2172" s="383"/>
      <c r="R2172" s="383"/>
      <c r="S2172" s="383"/>
      <c r="T2172" s="382"/>
      <c r="U2172" s="341"/>
      <c r="V2172" s="384"/>
      <c r="W2172" s="384"/>
      <c r="X2172" s="384"/>
      <c r="Y2172" s="384"/>
    </row>
    <row r="2173" spans="1:25" ht="12.75" customHeight="1">
      <c r="A2173" s="385"/>
      <c r="B2173" s="386"/>
      <c r="C2173" s="20"/>
      <c r="D2173" s="342"/>
      <c r="E2173" s="387"/>
      <c r="F2173" s="388">
        <f>ROUND(C2173*E2173,2)</f>
        <v>0</v>
      </c>
      <c r="H2173" s="341" t="str">
        <f>IF(A2173="","",VLOOKUP(A2173,VII.A!$A$10:$D$199,4,FALSE))</f>
        <v/>
      </c>
      <c r="I2173" s="341" t="str">
        <f t="shared" ref="I2173:I2188" si="579">IF(A2173="","",IF(E2173=H2173,"SIM","NÃO"))</f>
        <v/>
      </c>
      <c r="J2173" s="341" t="str">
        <f>IF(A2173="","",VLOOKUP(A2173,VII.A!$A$10:$D$199,3,FALSE))</f>
        <v/>
      </c>
      <c r="K2173" s="342" t="str">
        <f t="shared" ref="K2173:K2188" si="580">IF(A2173="","",IF(J2173=D2173,"SIM","NÃO"))</f>
        <v/>
      </c>
      <c r="L2173" s="380" t="str">
        <f>IF(C2173="","",G2171*C2173)</f>
        <v/>
      </c>
      <c r="M2173" s="381" t="str">
        <f>IF(A2173="","",VLOOKUP(A2173,VII.A!$A$10:$B$199,2,FALSE))</f>
        <v/>
      </c>
      <c r="N2173" s="342" t="str">
        <f t="shared" ref="N2173:N2188" si="581">IF(B2173="","",IF(M2173=B2173,"si","no"))</f>
        <v/>
      </c>
      <c r="R2173" s="341"/>
      <c r="S2173" s="341"/>
    </row>
    <row r="2174" spans="1:25" ht="12.75" customHeight="1">
      <c r="A2174" s="385"/>
      <c r="B2174" s="386"/>
      <c r="C2174" s="20"/>
      <c r="D2174" s="342"/>
      <c r="E2174" s="387"/>
      <c r="F2174" s="388">
        <f t="shared" ref="F2174:F2188" si="582">ROUND(C2174*E2174,2)</f>
        <v>0</v>
      </c>
      <c r="H2174" s="341" t="str">
        <f>IF(A2174="","",VLOOKUP(A2174,VII.A!$A$10:$D$199,4,FALSE))</f>
        <v/>
      </c>
      <c r="I2174" s="341" t="str">
        <f t="shared" si="579"/>
        <v/>
      </c>
      <c r="J2174" s="341" t="str">
        <f>IF(A2174="","",VLOOKUP(A2174,VII.A!$A$10:$D$199,3,FALSE))</f>
        <v/>
      </c>
      <c r="K2174" s="342" t="str">
        <f t="shared" si="580"/>
        <v/>
      </c>
      <c r="L2174" s="380" t="str">
        <f>IF(C2174="","",G2171*C2174)</f>
        <v/>
      </c>
      <c r="M2174" s="381" t="str">
        <f>IF(A2174="","",VLOOKUP(A2174,VII.A!$A$10:$B$199,2,FALSE))</f>
        <v/>
      </c>
      <c r="N2174" s="342" t="str">
        <f t="shared" si="581"/>
        <v/>
      </c>
      <c r="R2174" s="341"/>
      <c r="S2174" s="341"/>
    </row>
    <row r="2175" spans="1:25" ht="12.75" customHeight="1">
      <c r="A2175" s="385"/>
      <c r="B2175" s="386"/>
      <c r="C2175" s="20"/>
      <c r="D2175" s="342"/>
      <c r="E2175" s="387"/>
      <c r="F2175" s="388">
        <f t="shared" si="582"/>
        <v>0</v>
      </c>
      <c r="H2175" s="341" t="str">
        <f>IF(A2175="","",VLOOKUP(A2175,VII.A!$A$10:$D$199,4,FALSE))</f>
        <v/>
      </c>
      <c r="I2175" s="341" t="str">
        <f t="shared" si="579"/>
        <v/>
      </c>
      <c r="J2175" s="341" t="str">
        <f>IF(A2175="","",VLOOKUP(A2175,VII.A!$A$10:$D$199,3,FALSE))</f>
        <v/>
      </c>
      <c r="K2175" s="342" t="str">
        <f t="shared" si="580"/>
        <v/>
      </c>
      <c r="L2175" s="380" t="str">
        <f>IF(C2175="","",G2171*C2175)</f>
        <v/>
      </c>
      <c r="M2175" s="381" t="str">
        <f>IF(A2175="","",VLOOKUP(A2175,VII.A!$A$10:$B$199,2,FALSE))</f>
        <v/>
      </c>
      <c r="N2175" s="342" t="str">
        <f t="shared" si="581"/>
        <v/>
      </c>
      <c r="R2175" s="341"/>
      <c r="S2175" s="341"/>
    </row>
    <row r="2176" spans="1:25" ht="12.75" customHeight="1">
      <c r="A2176" s="385"/>
      <c r="B2176" s="386"/>
      <c r="C2176" s="20"/>
      <c r="D2176" s="342"/>
      <c r="E2176" s="387"/>
      <c r="F2176" s="388">
        <f t="shared" si="582"/>
        <v>0</v>
      </c>
      <c r="H2176" s="341" t="str">
        <f>IF(A2176="","",VLOOKUP(A2176,VII.A!$A$10:$D$199,4,FALSE))</f>
        <v/>
      </c>
      <c r="I2176" s="341" t="str">
        <f t="shared" si="579"/>
        <v/>
      </c>
      <c r="J2176" s="341" t="str">
        <f>IF(A2176="","",VLOOKUP(A2176,VII.A!$A$10:$D$199,3,FALSE))</f>
        <v/>
      </c>
      <c r="K2176" s="342" t="str">
        <f t="shared" si="580"/>
        <v/>
      </c>
      <c r="L2176" s="380" t="str">
        <f>IF(C2176="","",G2171*C2176)</f>
        <v/>
      </c>
      <c r="M2176" s="381" t="str">
        <f>IF(A2176="","",VLOOKUP(A2176,VII.A!$A$10:$B$199,2,FALSE))</f>
        <v/>
      </c>
      <c r="N2176" s="342" t="str">
        <f t="shared" si="581"/>
        <v/>
      </c>
      <c r="R2176" s="341"/>
      <c r="S2176" s="341"/>
    </row>
    <row r="2177" spans="1:21" ht="12.75" customHeight="1">
      <c r="A2177" s="385"/>
      <c r="B2177" s="386"/>
      <c r="C2177" s="20"/>
      <c r="D2177" s="342"/>
      <c r="E2177" s="387"/>
      <c r="F2177" s="388">
        <f t="shared" si="582"/>
        <v>0</v>
      </c>
      <c r="H2177" s="341" t="str">
        <f>IF(A2177="","",VLOOKUP(A2177,VII.A!$A$10:$D$199,4,FALSE))</f>
        <v/>
      </c>
      <c r="I2177" s="341" t="str">
        <f t="shared" si="579"/>
        <v/>
      </c>
      <c r="J2177" s="341" t="str">
        <f>IF(A2177="","",VLOOKUP(A2177,VII.A!$A$10:$D$199,3,FALSE))</f>
        <v/>
      </c>
      <c r="K2177" s="342" t="str">
        <f t="shared" si="580"/>
        <v/>
      </c>
      <c r="L2177" s="380" t="str">
        <f>IF(C2177="","",G2171*C2177)</f>
        <v/>
      </c>
      <c r="M2177" s="381" t="str">
        <f>IF(A2177="","",VLOOKUP(A2177,VII.A!$A$10:$B$199,2,FALSE))</f>
        <v/>
      </c>
      <c r="N2177" s="342" t="str">
        <f t="shared" si="581"/>
        <v/>
      </c>
      <c r="R2177" s="341"/>
      <c r="S2177" s="341"/>
    </row>
    <row r="2178" spans="1:21" ht="12.75" customHeight="1">
      <c r="A2178" s="385"/>
      <c r="B2178" s="386"/>
      <c r="C2178" s="20"/>
      <c r="D2178" s="342"/>
      <c r="E2178" s="387"/>
      <c r="F2178" s="388">
        <f t="shared" si="582"/>
        <v>0</v>
      </c>
      <c r="H2178" s="341" t="str">
        <f>IF(A2178="","",VLOOKUP(A2178,VII.A!$A$10:$D$199,4,FALSE))</f>
        <v/>
      </c>
      <c r="I2178" s="341" t="str">
        <f t="shared" si="579"/>
        <v/>
      </c>
      <c r="J2178" s="341" t="str">
        <f>IF(A2178="","",VLOOKUP(A2178,VII.A!$A$10:$D$199,3,FALSE))</f>
        <v/>
      </c>
      <c r="K2178" s="342" t="str">
        <f t="shared" si="580"/>
        <v/>
      </c>
      <c r="L2178" s="380" t="str">
        <f>IF(C2178="","",G2171*C2178)</f>
        <v/>
      </c>
      <c r="M2178" s="381" t="str">
        <f>IF(A2178="","",VLOOKUP(A2178,VII.A!$A$10:$B$199,2,FALSE))</f>
        <v/>
      </c>
      <c r="N2178" s="342" t="str">
        <f t="shared" si="581"/>
        <v/>
      </c>
      <c r="R2178" s="341"/>
      <c r="S2178" s="341"/>
      <c r="U2178" s="389"/>
    </row>
    <row r="2179" spans="1:21" ht="12.75" customHeight="1">
      <c r="A2179" s="385"/>
      <c r="B2179" s="386"/>
      <c r="C2179" s="20"/>
      <c r="D2179" s="342"/>
      <c r="E2179" s="387"/>
      <c r="F2179" s="388">
        <f t="shared" si="582"/>
        <v>0</v>
      </c>
      <c r="H2179" s="341" t="str">
        <f>IF(A2179="","",VLOOKUP(A2179,VII.A!$A$10:$D$199,4,FALSE))</f>
        <v/>
      </c>
      <c r="I2179" s="341" t="str">
        <f t="shared" si="579"/>
        <v/>
      </c>
      <c r="J2179" s="341" t="str">
        <f>IF(A2179="","",VLOOKUP(A2179,VII.A!$A$10:$D$199,3,FALSE))</f>
        <v/>
      </c>
      <c r="K2179" s="342" t="str">
        <f t="shared" si="580"/>
        <v/>
      </c>
      <c r="L2179" s="380" t="str">
        <f>IF(C2179="","",G2171*C2179)</f>
        <v/>
      </c>
      <c r="M2179" s="381" t="str">
        <f>IF(A2179="","",VLOOKUP(A2179,VII.A!$A$10:$B$199,2,FALSE))</f>
        <v/>
      </c>
      <c r="N2179" s="342" t="str">
        <f t="shared" si="581"/>
        <v/>
      </c>
      <c r="R2179" s="341"/>
      <c r="S2179" s="341"/>
    </row>
    <row r="2180" spans="1:21" ht="12.75" customHeight="1">
      <c r="A2180" s="385"/>
      <c r="B2180" s="386"/>
      <c r="C2180" s="20"/>
      <c r="D2180" s="342"/>
      <c r="E2180" s="387"/>
      <c r="F2180" s="388">
        <f t="shared" si="582"/>
        <v>0</v>
      </c>
      <c r="G2180" s="390"/>
      <c r="H2180" s="341" t="str">
        <f>IF(A2180="","",VLOOKUP(A2180,VII.A!$A$10:$D$199,4,FALSE))</f>
        <v/>
      </c>
      <c r="I2180" s="341" t="str">
        <f t="shared" si="579"/>
        <v/>
      </c>
      <c r="J2180" s="341" t="str">
        <f>IF(A2180="","",VLOOKUP(A2180,VII.A!$A$10:$D$199,3,FALSE))</f>
        <v/>
      </c>
      <c r="K2180" s="342" t="str">
        <f t="shared" si="580"/>
        <v/>
      </c>
      <c r="L2180" s="380" t="str">
        <f>IF(C2180="","",G2171*C2180)</f>
        <v/>
      </c>
      <c r="M2180" s="381" t="str">
        <f>IF(A2180="","",VLOOKUP(A2180,VII.A!$A$10:$B$199,2,FALSE))</f>
        <v/>
      </c>
      <c r="N2180" s="342" t="str">
        <f t="shared" si="581"/>
        <v/>
      </c>
      <c r="R2180" s="341"/>
      <c r="S2180" s="341"/>
    </row>
    <row r="2181" spans="1:21" ht="12.75" customHeight="1">
      <c r="A2181" s="385"/>
      <c r="B2181" s="386"/>
      <c r="C2181" s="20"/>
      <c r="D2181" s="342"/>
      <c r="E2181" s="387"/>
      <c r="F2181" s="388">
        <f t="shared" si="582"/>
        <v>0</v>
      </c>
      <c r="G2181" s="390"/>
      <c r="H2181" s="341" t="str">
        <f>IF(A2181="","",VLOOKUP(A2181,VII.A!$A$10:$D$199,4,FALSE))</f>
        <v/>
      </c>
      <c r="I2181" s="341" t="str">
        <f t="shared" si="579"/>
        <v/>
      </c>
      <c r="J2181" s="341" t="str">
        <f>IF(A2181="","",VLOOKUP(A2181,VII.A!$A$10:$D$199,3,FALSE))</f>
        <v/>
      </c>
      <c r="K2181" s="342" t="str">
        <f t="shared" si="580"/>
        <v/>
      </c>
      <c r="L2181" s="380" t="str">
        <f>IF(C2181="","",G2171*C2181)</f>
        <v/>
      </c>
      <c r="M2181" s="381" t="str">
        <f>IF(A2181="","",VLOOKUP(A2181,VII.A!$A$10:$B$199,2,FALSE))</f>
        <v/>
      </c>
      <c r="N2181" s="342" t="str">
        <f t="shared" si="581"/>
        <v/>
      </c>
      <c r="R2181" s="341"/>
      <c r="S2181" s="341"/>
    </row>
    <row r="2182" spans="1:21" ht="12.75" customHeight="1">
      <c r="A2182" s="385"/>
      <c r="B2182" s="386"/>
      <c r="C2182" s="20"/>
      <c r="D2182" s="342"/>
      <c r="E2182" s="387"/>
      <c r="F2182" s="388">
        <f t="shared" si="582"/>
        <v>0</v>
      </c>
      <c r="G2182" s="391"/>
      <c r="H2182" s="341" t="str">
        <f>IF(A2182="","",VLOOKUP(A2182,VII.A!$A$10:$D$199,4,FALSE))</f>
        <v/>
      </c>
      <c r="I2182" s="341" t="str">
        <f t="shared" si="579"/>
        <v/>
      </c>
      <c r="J2182" s="341" t="str">
        <f>IF(A2182="","",VLOOKUP(A2182,VII.A!$A$10:$D$199,3,FALSE))</f>
        <v/>
      </c>
      <c r="K2182" s="342" t="str">
        <f t="shared" si="580"/>
        <v/>
      </c>
      <c r="L2182" s="380" t="str">
        <f>IF(C2182="","",G2171*C2182)</f>
        <v/>
      </c>
      <c r="M2182" s="381" t="str">
        <f>IF(A2182="","",VLOOKUP(A2182,VII.A!$A$10:$B$199,2,FALSE))</f>
        <v/>
      </c>
      <c r="N2182" s="342" t="str">
        <f t="shared" si="581"/>
        <v/>
      </c>
      <c r="R2182" s="341"/>
      <c r="S2182" s="341"/>
    </row>
    <row r="2183" spans="1:21" ht="12.75" customHeight="1">
      <c r="A2183" s="385"/>
      <c r="B2183" s="386"/>
      <c r="C2183" s="20"/>
      <c r="D2183" s="342"/>
      <c r="E2183" s="387"/>
      <c r="F2183" s="388">
        <f t="shared" si="582"/>
        <v>0</v>
      </c>
      <c r="H2183" s="341" t="str">
        <f>IF(A2183="","",VLOOKUP(A2183,VII.A!$A$10:$D$199,4,FALSE))</f>
        <v/>
      </c>
      <c r="I2183" s="341" t="str">
        <f t="shared" si="579"/>
        <v/>
      </c>
      <c r="J2183" s="341" t="str">
        <f>IF(A2183="","",VLOOKUP(A2183,VII.A!$A$10:$D$199,3,FALSE))</f>
        <v/>
      </c>
      <c r="K2183" s="342" t="str">
        <f t="shared" si="580"/>
        <v/>
      </c>
      <c r="L2183" s="380" t="str">
        <f>IF(C2183="","",G2171*C2183)</f>
        <v/>
      </c>
      <c r="M2183" s="381" t="str">
        <f>IF(A2183="","",VLOOKUP(A2183,VII.A!$A$10:$B$199,2,FALSE))</f>
        <v/>
      </c>
      <c r="N2183" s="342" t="str">
        <f t="shared" si="581"/>
        <v/>
      </c>
      <c r="R2183" s="341"/>
      <c r="S2183" s="341"/>
    </row>
    <row r="2184" spans="1:21" ht="12.75" customHeight="1">
      <c r="A2184" s="385"/>
      <c r="B2184" s="386"/>
      <c r="C2184" s="20"/>
      <c r="D2184" s="392"/>
      <c r="E2184" s="387"/>
      <c r="F2184" s="388">
        <f t="shared" si="582"/>
        <v>0</v>
      </c>
      <c r="H2184" s="341" t="str">
        <f>IF(A2184="","",VLOOKUP(A2184,VII.A!$A$10:$D$199,4,FALSE))</f>
        <v/>
      </c>
      <c r="I2184" s="341" t="str">
        <f t="shared" si="579"/>
        <v/>
      </c>
      <c r="J2184" s="341" t="str">
        <f>IF(A2184="","",VLOOKUP(A2184,VII.A!$A$10:$D$199,3,FALSE))</f>
        <v/>
      </c>
      <c r="K2184" s="342" t="str">
        <f t="shared" si="580"/>
        <v/>
      </c>
      <c r="L2184" s="380" t="str">
        <f>IF(C2184="","",G2171*C2184)</f>
        <v/>
      </c>
      <c r="M2184" s="381" t="str">
        <f>IF(A2184="","",VLOOKUP(A2184,VII.A!$A$10:$B$199,2,FALSE))</f>
        <v/>
      </c>
      <c r="N2184" s="342" t="str">
        <f t="shared" si="581"/>
        <v/>
      </c>
      <c r="R2184" s="341"/>
      <c r="S2184" s="341"/>
    </row>
    <row r="2185" spans="1:21" ht="12.75" customHeight="1">
      <c r="A2185" s="385"/>
      <c r="B2185" s="386"/>
      <c r="C2185" s="20"/>
      <c r="D2185" s="392"/>
      <c r="E2185" s="387"/>
      <c r="F2185" s="388">
        <f t="shared" si="582"/>
        <v>0</v>
      </c>
      <c r="H2185" s="341" t="str">
        <f>IF(A2185="","",VLOOKUP(A2185,VII.A!$A$10:$D$199,4,FALSE))</f>
        <v/>
      </c>
      <c r="I2185" s="341" t="str">
        <f t="shared" si="579"/>
        <v/>
      </c>
      <c r="J2185" s="341" t="str">
        <f>IF(A2185="","",VLOOKUP(A2185,VII.A!$A$10:$D$199,3,FALSE))</f>
        <v/>
      </c>
      <c r="K2185" s="342" t="str">
        <f t="shared" si="580"/>
        <v/>
      </c>
      <c r="L2185" s="380" t="str">
        <f>IF(C2185="","",G2171*C2185)</f>
        <v/>
      </c>
      <c r="M2185" s="381" t="str">
        <f>IF(A2185="","",VLOOKUP(A2185,VII.A!$A$10:$B$199,2,FALSE))</f>
        <v/>
      </c>
      <c r="N2185" s="342" t="str">
        <f t="shared" si="581"/>
        <v/>
      </c>
      <c r="O2185" s="342"/>
      <c r="R2185" s="341"/>
      <c r="S2185" s="341"/>
    </row>
    <row r="2186" spans="1:21" ht="12.75" customHeight="1">
      <c r="A2186" s="385"/>
      <c r="B2186" s="386"/>
      <c r="C2186" s="20"/>
      <c r="D2186" s="392"/>
      <c r="E2186" s="387"/>
      <c r="F2186" s="388">
        <f t="shared" si="582"/>
        <v>0</v>
      </c>
      <c r="H2186" s="341" t="str">
        <f>IF(A2186="","",VLOOKUP(A2186,VII.A!$A$10:$D$199,4,FALSE))</f>
        <v/>
      </c>
      <c r="I2186" s="341" t="str">
        <f t="shared" si="579"/>
        <v/>
      </c>
      <c r="J2186" s="341" t="str">
        <f>IF(A2186="","",VLOOKUP(A2186,VII.A!$A$10:$D$199,3,FALSE))</f>
        <v/>
      </c>
      <c r="K2186" s="342" t="str">
        <f t="shared" si="580"/>
        <v/>
      </c>
      <c r="L2186" s="380" t="str">
        <f>IF(C2186="","",G2171*C2186)</f>
        <v/>
      </c>
      <c r="M2186" s="381" t="str">
        <f>IF(A2186="","",VLOOKUP(A2186,VII.A!$A$10:$B$199,2,FALSE))</f>
        <v/>
      </c>
      <c r="N2186" s="342" t="str">
        <f t="shared" si="581"/>
        <v/>
      </c>
      <c r="R2186" s="341"/>
      <c r="S2186" s="341"/>
    </row>
    <row r="2187" spans="1:21" ht="12.75" customHeight="1">
      <c r="A2187" s="393"/>
      <c r="C2187" s="20"/>
      <c r="E2187" s="387"/>
      <c r="F2187" s="388">
        <f t="shared" si="582"/>
        <v>0</v>
      </c>
      <c r="H2187" s="341" t="str">
        <f>IF(A2187="","",VLOOKUP(A2187,VII.A!$A$10:$D$199,4,FALSE))</f>
        <v/>
      </c>
      <c r="I2187" s="341" t="str">
        <f t="shared" si="579"/>
        <v/>
      </c>
      <c r="J2187" s="341" t="str">
        <f>IF(A2187="","",VLOOKUP(A2187,VII.A!$A$10:$D$199,3,FALSE))</f>
        <v/>
      </c>
      <c r="K2187" s="342" t="str">
        <f t="shared" si="580"/>
        <v/>
      </c>
      <c r="L2187" s="380" t="str">
        <f>IF(C2187="","",G2171*C2187)</f>
        <v/>
      </c>
      <c r="M2187" s="381" t="str">
        <f>IF(A2187="","",VLOOKUP(A2187,VII.A!$A$10:$B$199,2,FALSE))</f>
        <v/>
      </c>
      <c r="N2187" s="342" t="str">
        <f t="shared" si="581"/>
        <v/>
      </c>
      <c r="R2187" s="341"/>
      <c r="S2187" s="341"/>
    </row>
    <row r="2188" spans="1:21" ht="12.75" customHeight="1">
      <c r="A2188" s="393"/>
      <c r="C2188" s="20"/>
      <c r="E2188" s="387"/>
      <c r="F2188" s="388">
        <f t="shared" si="582"/>
        <v>0</v>
      </c>
      <c r="H2188" s="341" t="str">
        <f>IF(A2188="","",VLOOKUP(A2188,VII.A!$A$10:$D$199,4,FALSE))</f>
        <v/>
      </c>
      <c r="I2188" s="341" t="str">
        <f t="shared" si="579"/>
        <v/>
      </c>
      <c r="J2188" s="341" t="str">
        <f>IF(A2188="","",VLOOKUP(A2188,VII.A!$A$10:$D$199,3,FALSE))</f>
        <v/>
      </c>
      <c r="K2188" s="342" t="str">
        <f t="shared" si="580"/>
        <v/>
      </c>
      <c r="L2188" s="380" t="str">
        <f>IF(C2188="","",G2171*C2188)</f>
        <v/>
      </c>
      <c r="M2188" s="381" t="str">
        <f>IF(A2188="","",VLOOKUP(A2188,VII.A!$A$10:$B$199,2,FALSE))</f>
        <v/>
      </c>
      <c r="N2188" s="342" t="str">
        <f t="shared" si="581"/>
        <v/>
      </c>
      <c r="R2188" s="341"/>
      <c r="S2188" s="341"/>
    </row>
    <row r="2189" spans="1:21" ht="12.75" customHeight="1">
      <c r="A2189" s="393"/>
      <c r="B2189" s="395" t="s">
        <v>226</v>
      </c>
      <c r="C2189" s="396"/>
      <c r="D2189" s="397"/>
      <c r="E2189" s="398"/>
      <c r="F2189" s="399">
        <f>SUM(F2173:F2188)</f>
        <v>0</v>
      </c>
      <c r="J2189" s="341"/>
      <c r="L2189" s="380"/>
      <c r="M2189" s="381"/>
      <c r="N2189" s="342"/>
      <c r="R2189" s="341"/>
      <c r="S2189" s="341"/>
    </row>
    <row r="2190" spans="1:21" ht="12.75" customHeight="1">
      <c r="A2190" s="393"/>
      <c r="B2190" s="400" t="s">
        <v>53</v>
      </c>
      <c r="C2190" s="2">
        <f>$D$8</f>
        <v>0</v>
      </c>
      <c r="D2190" s="401"/>
      <c r="E2190" s="402"/>
      <c r="F2190" s="403">
        <f>ROUND(F2189*C2190,2)</f>
        <v>0</v>
      </c>
      <c r="H2190" s="426" t="s">
        <v>469</v>
      </c>
      <c r="J2190" s="341"/>
      <c r="L2190" s="380"/>
      <c r="M2190" s="381"/>
      <c r="N2190" s="342"/>
      <c r="R2190" s="341"/>
      <c r="S2190" s="341"/>
    </row>
    <row r="2191" spans="1:21" ht="12.75" customHeight="1">
      <c r="A2191" s="404"/>
      <c r="B2191" s="405" t="s">
        <v>227</v>
      </c>
      <c r="C2191" s="406"/>
      <c r="D2191" s="406"/>
      <c r="E2191" s="407"/>
      <c r="F2191" s="408">
        <f>F2189+F2190</f>
        <v>0</v>
      </c>
      <c r="J2191" s="341"/>
      <c r="L2191" s="380"/>
      <c r="M2191" s="381"/>
      <c r="N2191" s="342"/>
      <c r="R2191" s="341"/>
      <c r="S2191" s="341"/>
    </row>
    <row r="2192" spans="1:21" ht="12.75" customHeight="1">
      <c r="A2192" s="374" t="s">
        <v>2</v>
      </c>
      <c r="B2192" s="375" t="s">
        <v>235</v>
      </c>
      <c r="C2192" s="376" t="s">
        <v>231</v>
      </c>
      <c r="D2192" s="376" t="s">
        <v>232</v>
      </c>
      <c r="E2192" s="377" t="s">
        <v>233</v>
      </c>
      <c r="F2192" s="378" t="s">
        <v>234</v>
      </c>
      <c r="J2192" s="341"/>
      <c r="L2192" s="380"/>
      <c r="M2192" s="381"/>
      <c r="N2192" s="342"/>
      <c r="R2192" s="341"/>
      <c r="S2192" s="341"/>
    </row>
    <row r="2193" spans="1:19" ht="12.75" customHeight="1">
      <c r="A2193" s="393"/>
      <c r="B2193" s="423"/>
      <c r="C2193" s="20"/>
      <c r="E2193" s="387"/>
      <c r="F2193" s="388">
        <f t="shared" ref="F2193:F2202" si="583">ROUND(C2193*E2193,2)</f>
        <v>0</v>
      </c>
      <c r="H2193" s="341" t="str">
        <f>IF(A2193="","",VLOOKUP(A2193,VII.A!$A$10:$D$199,4,FALSE))</f>
        <v/>
      </c>
      <c r="I2193" s="341" t="str">
        <f t="shared" ref="I2193:I2202" si="584">IF(A2193="","",IF(E2193=H2193,"SIM","NÃO"))</f>
        <v/>
      </c>
      <c r="J2193" s="341" t="str">
        <f>IF(A2193="","",VLOOKUP(A2193,VII.A!$A$10:$D$199,3,FALSE))</f>
        <v/>
      </c>
      <c r="K2193" s="342" t="str">
        <f t="shared" ref="K2193:K2202" si="585">IF(A2193="","",IF(J2193=D2193,"SIM","NÃO"))</f>
        <v/>
      </c>
      <c r="L2193" s="380" t="str">
        <f>IF(C2193="","",G2171*C2193)</f>
        <v/>
      </c>
      <c r="M2193" s="381" t="str">
        <f>IF(A2193="","",VLOOKUP(A2193,VII.A!$A$10:$B$199,2,FALSE))</f>
        <v/>
      </c>
      <c r="N2193" s="342" t="str">
        <f t="shared" ref="N2193:N2202" si="586">IF(B2193="","",IF(M2193=B2193,"si","no"))</f>
        <v/>
      </c>
      <c r="R2193" s="341"/>
      <c r="S2193" s="341"/>
    </row>
    <row r="2194" spans="1:19" ht="12.75" customHeight="1">
      <c r="A2194" s="393"/>
      <c r="C2194" s="20"/>
      <c r="E2194" s="387"/>
      <c r="F2194" s="388">
        <f t="shared" si="583"/>
        <v>0</v>
      </c>
      <c r="H2194" s="341" t="str">
        <f>IF(A2194="","",VLOOKUP(A2194,VII.A!$A$10:$D$199,4,FALSE))</f>
        <v/>
      </c>
      <c r="I2194" s="341" t="str">
        <f t="shared" si="584"/>
        <v/>
      </c>
      <c r="J2194" s="341" t="str">
        <f>IF(A2194="","",VLOOKUP(A2194,VII.A!$A$10:$D$199,3,FALSE))</f>
        <v/>
      </c>
      <c r="K2194" s="342" t="str">
        <f t="shared" si="585"/>
        <v/>
      </c>
      <c r="L2194" s="380" t="str">
        <f>IF(C2194="","",G2171*C2194)</f>
        <v/>
      </c>
      <c r="M2194" s="381" t="str">
        <f>IF(A2194="","",VLOOKUP(A2194,VII.A!$A$10:$B$199,2,FALSE))</f>
        <v/>
      </c>
      <c r="N2194" s="342" t="str">
        <f t="shared" si="586"/>
        <v/>
      </c>
      <c r="R2194" s="341"/>
      <c r="S2194" s="341"/>
    </row>
    <row r="2195" spans="1:19" ht="12.75" customHeight="1">
      <c r="A2195" s="393"/>
      <c r="C2195" s="20"/>
      <c r="E2195" s="387"/>
      <c r="F2195" s="388">
        <f t="shared" si="583"/>
        <v>0</v>
      </c>
      <c r="H2195" s="341" t="str">
        <f>IF(A2195="","",VLOOKUP(A2195,VII.A!$A$10:$D$199,4,FALSE))</f>
        <v/>
      </c>
      <c r="I2195" s="341" t="str">
        <f t="shared" si="584"/>
        <v/>
      </c>
      <c r="J2195" s="341" t="str">
        <f>IF(A2195="","",VLOOKUP(A2195,VII.A!$A$10:$D$199,3,FALSE))</f>
        <v/>
      </c>
      <c r="K2195" s="342" t="str">
        <f t="shared" si="585"/>
        <v/>
      </c>
      <c r="L2195" s="380" t="str">
        <f>IF(C2195="","",G2171*C2195)</f>
        <v/>
      </c>
      <c r="M2195" s="381" t="str">
        <f>IF(A2195="","",VLOOKUP(A2195,VII.A!$A$10:$B$199,2,FALSE))</f>
        <v/>
      </c>
      <c r="N2195" s="342" t="str">
        <f t="shared" si="586"/>
        <v/>
      </c>
      <c r="R2195" s="341"/>
      <c r="S2195" s="341"/>
    </row>
    <row r="2196" spans="1:19" ht="12.75" customHeight="1">
      <c r="A2196" s="393"/>
      <c r="C2196" s="20"/>
      <c r="E2196" s="387"/>
      <c r="F2196" s="388">
        <f t="shared" si="583"/>
        <v>0</v>
      </c>
      <c r="H2196" s="341" t="str">
        <f>IF(A2196="","",VLOOKUP(A2196,VII.A!$A$10:$D$199,4,FALSE))</f>
        <v/>
      </c>
      <c r="I2196" s="341" t="str">
        <f t="shared" si="584"/>
        <v/>
      </c>
      <c r="J2196" s="341" t="str">
        <f>IF(A2196="","",VLOOKUP(A2196,VII.A!$A$10:$D$199,3,FALSE))</f>
        <v/>
      </c>
      <c r="K2196" s="342" t="str">
        <f t="shared" si="585"/>
        <v/>
      </c>
      <c r="L2196" s="380" t="str">
        <f>IF(C2196="","",G2171*C2196)</f>
        <v/>
      </c>
      <c r="M2196" s="381" t="str">
        <f>IF(A2196="","",VLOOKUP(A2196,VII.A!$A$10:$B$199,2,FALSE))</f>
        <v/>
      </c>
      <c r="N2196" s="342" t="str">
        <f t="shared" si="586"/>
        <v/>
      </c>
      <c r="R2196" s="341"/>
      <c r="S2196" s="341"/>
    </row>
    <row r="2197" spans="1:19" ht="12.75" customHeight="1">
      <c r="A2197" s="393"/>
      <c r="C2197" s="20"/>
      <c r="E2197" s="387"/>
      <c r="F2197" s="388">
        <f t="shared" si="583"/>
        <v>0</v>
      </c>
      <c r="G2197" s="390"/>
      <c r="H2197" s="341" t="str">
        <f>IF(A2197="","",VLOOKUP(A2197,VII.A!$A$10:$D$199,4,FALSE))</f>
        <v/>
      </c>
      <c r="I2197" s="341" t="str">
        <f t="shared" si="584"/>
        <v/>
      </c>
      <c r="J2197" s="341" t="str">
        <f>IF(A2197="","",VLOOKUP(A2197,VII.A!$A$10:$D$199,3,FALSE))</f>
        <v/>
      </c>
      <c r="K2197" s="342" t="str">
        <f t="shared" si="585"/>
        <v/>
      </c>
      <c r="L2197" s="380" t="str">
        <f>IF(C2197="","",G2171*C2197)</f>
        <v/>
      </c>
      <c r="M2197" s="381" t="str">
        <f>IF(A2197="","",VLOOKUP(A2197,VII.A!$A$10:$B$199,2,FALSE))</f>
        <v/>
      </c>
      <c r="N2197" s="342" t="str">
        <f t="shared" si="586"/>
        <v/>
      </c>
      <c r="R2197" s="341"/>
      <c r="S2197" s="341"/>
    </row>
    <row r="2198" spans="1:19" ht="12.75" customHeight="1">
      <c r="A2198" s="393"/>
      <c r="C2198" s="20"/>
      <c r="E2198" s="387"/>
      <c r="F2198" s="388">
        <f t="shared" si="583"/>
        <v>0</v>
      </c>
      <c r="G2198" s="391"/>
      <c r="H2198" s="341" t="str">
        <f>IF(A2198="","",VLOOKUP(A2198,VII.A!$A$10:$D$199,4,FALSE))</f>
        <v/>
      </c>
      <c r="I2198" s="341" t="str">
        <f t="shared" si="584"/>
        <v/>
      </c>
      <c r="J2198" s="341" t="str">
        <f>IF(A2198="","",VLOOKUP(A2198,VII.A!$A$10:$D$199,3,FALSE))</f>
        <v/>
      </c>
      <c r="K2198" s="342" t="str">
        <f t="shared" si="585"/>
        <v/>
      </c>
      <c r="L2198" s="380" t="str">
        <f>IF(C2198="","",G2171*C2198)</f>
        <v/>
      </c>
      <c r="M2198" s="381" t="str">
        <f>IF(A2198="","",VLOOKUP(A2198,VII.A!$A$10:$B$199,2,FALSE))</f>
        <v/>
      </c>
      <c r="N2198" s="342" t="str">
        <f t="shared" si="586"/>
        <v/>
      </c>
      <c r="R2198" s="341"/>
      <c r="S2198" s="341"/>
    </row>
    <row r="2199" spans="1:19" ht="12.75" customHeight="1">
      <c r="A2199" s="393"/>
      <c r="C2199" s="20"/>
      <c r="E2199" s="387"/>
      <c r="F2199" s="388">
        <f t="shared" si="583"/>
        <v>0</v>
      </c>
      <c r="H2199" s="341" t="str">
        <f>IF(A2199="","",VLOOKUP(A2199,VII.A!$A$10:$D$199,4,FALSE))</f>
        <v/>
      </c>
      <c r="I2199" s="341" t="str">
        <f t="shared" si="584"/>
        <v/>
      </c>
      <c r="J2199" s="341" t="str">
        <f>IF(A2199="","",VLOOKUP(A2199,VII.A!$A$10:$D$199,3,FALSE))</f>
        <v/>
      </c>
      <c r="K2199" s="342" t="str">
        <f t="shared" si="585"/>
        <v/>
      </c>
      <c r="L2199" s="380" t="str">
        <f>IF(C2199="","",G2171*C2199)</f>
        <v/>
      </c>
      <c r="M2199" s="381" t="str">
        <f>IF(A2199="","",VLOOKUP(A2199,VII.A!$A$10:$B$199,2,FALSE))</f>
        <v/>
      </c>
      <c r="N2199" s="342" t="str">
        <f t="shared" si="586"/>
        <v/>
      </c>
      <c r="R2199" s="341"/>
      <c r="S2199" s="341"/>
    </row>
    <row r="2200" spans="1:19" ht="12.75" customHeight="1">
      <c r="A2200" s="393"/>
      <c r="C2200" s="20"/>
      <c r="E2200" s="387"/>
      <c r="F2200" s="388">
        <f t="shared" si="583"/>
        <v>0</v>
      </c>
      <c r="H2200" s="341" t="str">
        <f>IF(A2200="","",VLOOKUP(A2200,VII.A!$A$10:$D$199,4,FALSE))</f>
        <v/>
      </c>
      <c r="I2200" s="341" t="str">
        <f t="shared" si="584"/>
        <v/>
      </c>
      <c r="J2200" s="341" t="str">
        <f>IF(A2200="","",VLOOKUP(A2200,VII.A!$A$10:$D$199,3,FALSE))</f>
        <v/>
      </c>
      <c r="K2200" s="342" t="str">
        <f t="shared" si="585"/>
        <v/>
      </c>
      <c r="L2200" s="380" t="str">
        <f>IF(C2200="","",G2171*C2200)</f>
        <v/>
      </c>
      <c r="M2200" s="381" t="str">
        <f>IF(A2200="","",VLOOKUP(A2200,VII.A!$A$10:$B$199,2,FALSE))</f>
        <v/>
      </c>
      <c r="N2200" s="342" t="str">
        <f t="shared" si="586"/>
        <v/>
      </c>
      <c r="R2200" s="341"/>
      <c r="S2200" s="341"/>
    </row>
    <row r="2201" spans="1:19" ht="12.75" customHeight="1">
      <c r="A2201" s="393"/>
      <c r="C2201" s="20"/>
      <c r="E2201" s="387"/>
      <c r="F2201" s="388">
        <f t="shared" si="583"/>
        <v>0</v>
      </c>
      <c r="H2201" s="341" t="str">
        <f>IF(A2201="","",VLOOKUP(A2201,VII.A!$A$10:$D$199,4,FALSE))</f>
        <v/>
      </c>
      <c r="I2201" s="341" t="str">
        <f t="shared" si="584"/>
        <v/>
      </c>
      <c r="J2201" s="341" t="str">
        <f>IF(A2201="","",VLOOKUP(A2201,VII.A!$A$10:$D$199,3,FALSE))</f>
        <v/>
      </c>
      <c r="K2201" s="342" t="str">
        <f t="shared" si="585"/>
        <v/>
      </c>
      <c r="L2201" s="380" t="str">
        <f>IF(C2201="","",G2171*C2201)</f>
        <v/>
      </c>
      <c r="M2201" s="381" t="str">
        <f>IF(A2201="","",VLOOKUP(A2201,VII.A!$A$10:$B$199,2,FALSE))</f>
        <v/>
      </c>
      <c r="N2201" s="342" t="str">
        <f t="shared" si="586"/>
        <v/>
      </c>
      <c r="R2201" s="341"/>
      <c r="S2201" s="341"/>
    </row>
    <row r="2202" spans="1:19" ht="12.75" customHeight="1">
      <c r="A2202" s="393"/>
      <c r="C2202" s="20"/>
      <c r="E2202" s="387"/>
      <c r="F2202" s="388">
        <f t="shared" si="583"/>
        <v>0</v>
      </c>
      <c r="H2202" s="341" t="str">
        <f>IF(A2202="","",VLOOKUP(A2202,VII.A!$A$10:$D$199,4,FALSE))</f>
        <v/>
      </c>
      <c r="I2202" s="341" t="str">
        <f t="shared" si="584"/>
        <v/>
      </c>
      <c r="J2202" s="341" t="str">
        <f>IF(A2202="","",VLOOKUP(A2202,VII.A!$A$10:$D$199,3,FALSE))</f>
        <v/>
      </c>
      <c r="K2202" s="342" t="str">
        <f t="shared" si="585"/>
        <v/>
      </c>
      <c r="L2202" s="380" t="str">
        <f>IF(C2202="","",G2171*C2202)</f>
        <v/>
      </c>
      <c r="M2202" s="381" t="str">
        <f>IF(A2202="","",VLOOKUP(A2202,VII.A!$A$10:$B$199,2,FALSE))</f>
        <v/>
      </c>
      <c r="N2202" s="342" t="str">
        <f t="shared" si="586"/>
        <v/>
      </c>
      <c r="R2202" s="341"/>
      <c r="S2202" s="341"/>
    </row>
    <row r="2203" spans="1:19" ht="12.75" customHeight="1">
      <c r="A2203" s="393"/>
      <c r="B2203" s="395" t="s">
        <v>226</v>
      </c>
      <c r="C2203" s="396"/>
      <c r="D2203" s="397"/>
      <c r="E2203" s="398"/>
      <c r="F2203" s="399">
        <f>SUM(F2193:F2202)</f>
        <v>0</v>
      </c>
      <c r="J2203" s="341"/>
      <c r="L2203" s="380"/>
      <c r="M2203" s="381"/>
      <c r="N2203" s="342"/>
      <c r="R2203" s="341"/>
      <c r="S2203" s="341"/>
    </row>
    <row r="2204" spans="1:19" ht="12.75" customHeight="1">
      <c r="A2204" s="393"/>
      <c r="B2204" s="400" t="s">
        <v>53</v>
      </c>
      <c r="C2204" s="2">
        <f>$D$8</f>
        <v>0</v>
      </c>
      <c r="D2204" s="401"/>
      <c r="E2204" s="402"/>
      <c r="F2204" s="403">
        <f>ROUND(C2204*F2203,2)</f>
        <v>0</v>
      </c>
      <c r="J2204" s="341"/>
      <c r="L2204" s="380"/>
      <c r="M2204" s="381"/>
      <c r="N2204" s="342"/>
      <c r="R2204" s="341"/>
      <c r="S2204" s="341"/>
    </row>
    <row r="2205" spans="1:19" ht="12.75" customHeight="1">
      <c r="A2205" s="404"/>
      <c r="B2205" s="405" t="s">
        <v>228</v>
      </c>
      <c r="C2205" s="406"/>
      <c r="D2205" s="406"/>
      <c r="E2205" s="407"/>
      <c r="F2205" s="408">
        <f>F2203+F2204</f>
        <v>0</v>
      </c>
      <c r="J2205" s="341"/>
      <c r="L2205" s="380"/>
      <c r="M2205" s="381"/>
      <c r="N2205" s="342"/>
      <c r="R2205" s="341"/>
      <c r="S2205" s="341"/>
    </row>
    <row r="2206" spans="1:19" ht="12.75" customHeight="1">
      <c r="A2206" s="409" t="s">
        <v>47</v>
      </c>
      <c r="B2206" s="410" t="s">
        <v>236</v>
      </c>
      <c r="C2206" s="411" t="s">
        <v>231</v>
      </c>
      <c r="D2206" s="412" t="s">
        <v>232</v>
      </c>
      <c r="E2206" s="413" t="s">
        <v>233</v>
      </c>
      <c r="F2206" s="378" t="s">
        <v>234</v>
      </c>
      <c r="J2206" s="341"/>
      <c r="L2206" s="380"/>
      <c r="M2206" s="381"/>
      <c r="N2206" s="342"/>
      <c r="R2206" s="341"/>
      <c r="S2206" s="341"/>
    </row>
    <row r="2207" spans="1:19" ht="12.75" customHeight="1">
      <c r="A2207" s="393" t="str">
        <f>VII.A!$A$196</f>
        <v>3.16</v>
      </c>
      <c r="B2207" s="394" t="s">
        <v>157</v>
      </c>
      <c r="C2207" s="20">
        <v>3</v>
      </c>
      <c r="D2207" s="384" t="str">
        <f>VLOOKUP(A2207,VII.A!$A$10:$G$199,3,FALSE)</f>
        <v>H</v>
      </c>
      <c r="E2207" s="387">
        <f>VII.A!$D$196</f>
        <v>0</v>
      </c>
      <c r="F2207" s="388">
        <f t="shared" ref="F2207:F2213" si="587">ROUND(C2207*E2207,2)</f>
        <v>0</v>
      </c>
      <c r="H2207" s="341">
        <f>IF(A2207="","",VLOOKUP(A2207,VII.A!$A$10:$D$199,4,FALSE))</f>
        <v>0</v>
      </c>
      <c r="I2207" s="341" t="str">
        <f t="shared" ref="I2207:I2213" si="588">IF(A2207="","",IF(E2207=H2207,"SIM","NÃO"))</f>
        <v>SIM</v>
      </c>
      <c r="J2207" s="341" t="str">
        <f>IF(A2207="","",VLOOKUP(A2207,VII.A!$A$10:$D$199,3,FALSE))</f>
        <v>H</v>
      </c>
      <c r="K2207" s="342" t="str">
        <f t="shared" ref="K2207:K2213" si="589">IF(A2207="","",IF(J2207=D2207,"SIM","NÃO"))</f>
        <v>SIM</v>
      </c>
      <c r="L2207" s="380">
        <f>IF(C2207="","",G2171*C2207)</f>
        <v>450</v>
      </c>
      <c r="M2207" s="381" t="str">
        <f>IF(A2207="","",VLOOKUP(A2207,VII.A!$A$10:$B$199,2,FALSE))</f>
        <v>SERVENTE COM ENCARGOS COMPLEMENTARES</v>
      </c>
      <c r="N2207" s="342" t="str">
        <f t="shared" ref="N2207:N2213" si="590">IF(B2207="","",IF(M2207=B2207,"si","no"))</f>
        <v>si</v>
      </c>
      <c r="R2207" s="341"/>
      <c r="S2207" s="341"/>
    </row>
    <row r="2208" spans="1:19" ht="12.75" customHeight="1">
      <c r="A2208" s="393"/>
      <c r="C2208" s="20"/>
      <c r="E2208" s="387"/>
      <c r="F2208" s="388">
        <f t="shared" si="587"/>
        <v>0</v>
      </c>
      <c r="H2208" s="341" t="str">
        <f>IF(A2208="","",VLOOKUP(A2208,VII.A!$A$10:$D$199,4,FALSE))</f>
        <v/>
      </c>
      <c r="I2208" s="341" t="str">
        <f t="shared" si="588"/>
        <v/>
      </c>
      <c r="J2208" s="341" t="str">
        <f>IF(A2208="","",VLOOKUP(A2208,VII.A!$A$10:$D$199,3,FALSE))</f>
        <v/>
      </c>
      <c r="K2208" s="342" t="str">
        <f t="shared" si="589"/>
        <v/>
      </c>
      <c r="L2208" s="380" t="str">
        <f>IF(C2208="","",G2171*C2208)</f>
        <v/>
      </c>
      <c r="M2208" s="381" t="str">
        <f>IF(A2208="","",VLOOKUP(A2208,VII.A!$A$10:$B$199,2,FALSE))</f>
        <v/>
      </c>
      <c r="N2208" s="342" t="str">
        <f t="shared" si="590"/>
        <v/>
      </c>
      <c r="R2208" s="341"/>
      <c r="S2208" s="341"/>
    </row>
    <row r="2209" spans="1:25" ht="12.75" customHeight="1">
      <c r="A2209" s="393"/>
      <c r="C2209" s="20"/>
      <c r="E2209" s="387"/>
      <c r="F2209" s="388">
        <f t="shared" si="587"/>
        <v>0</v>
      </c>
      <c r="H2209" s="341" t="str">
        <f>IF(A2209="","",VLOOKUP(A2209,VII.A!$A$10:$D$199,4,FALSE))</f>
        <v/>
      </c>
      <c r="I2209" s="341" t="str">
        <f t="shared" si="588"/>
        <v/>
      </c>
      <c r="J2209" s="341" t="str">
        <f>IF(A2209="","",VLOOKUP(A2209,VII.A!$A$10:$D$199,3,FALSE))</f>
        <v/>
      </c>
      <c r="K2209" s="342" t="str">
        <f t="shared" si="589"/>
        <v/>
      </c>
      <c r="L2209" s="380" t="str">
        <f>IF(C2209="","",G2171*C2209)</f>
        <v/>
      </c>
      <c r="M2209" s="381" t="str">
        <f>IF(A2209="","",VLOOKUP(A2209,VII.A!$A$10:$B$199,2,FALSE))</f>
        <v/>
      </c>
      <c r="N2209" s="342" t="str">
        <f t="shared" si="590"/>
        <v/>
      </c>
      <c r="R2209" s="341"/>
      <c r="S2209" s="341"/>
    </row>
    <row r="2210" spans="1:25" ht="12.75" customHeight="1">
      <c r="A2210" s="393"/>
      <c r="C2210" s="20"/>
      <c r="E2210" s="387"/>
      <c r="F2210" s="388">
        <f t="shared" si="587"/>
        <v>0</v>
      </c>
      <c r="H2210" s="341" t="str">
        <f>IF(A2210="","",VLOOKUP(A2210,VII.A!$A$10:$D$199,4,FALSE))</f>
        <v/>
      </c>
      <c r="I2210" s="341" t="str">
        <f t="shared" si="588"/>
        <v/>
      </c>
      <c r="J2210" s="341" t="str">
        <f>IF(A2210="","",VLOOKUP(A2210,VII.A!$A$10:$D$199,3,FALSE))</f>
        <v/>
      </c>
      <c r="K2210" s="342" t="str">
        <f t="shared" si="589"/>
        <v/>
      </c>
      <c r="L2210" s="380" t="str">
        <f>IF(C2210="","",G2171*C2210)</f>
        <v/>
      </c>
      <c r="M2210" s="381" t="str">
        <f>IF(A2210="","",VLOOKUP(A2210,VII.A!$A$10:$B$199,2,FALSE))</f>
        <v/>
      </c>
      <c r="N2210" s="342" t="str">
        <f t="shared" si="590"/>
        <v/>
      </c>
      <c r="R2210" s="341"/>
      <c r="S2210" s="341"/>
    </row>
    <row r="2211" spans="1:25" ht="12.75" customHeight="1">
      <c r="A2211" s="393"/>
      <c r="C2211" s="20"/>
      <c r="E2211" s="387"/>
      <c r="F2211" s="388">
        <f t="shared" si="587"/>
        <v>0</v>
      </c>
      <c r="H2211" s="341" t="str">
        <f>IF(A2211="","",VLOOKUP(A2211,VII.A!$A$10:$D$199,4,FALSE))</f>
        <v/>
      </c>
      <c r="I2211" s="341" t="str">
        <f t="shared" si="588"/>
        <v/>
      </c>
      <c r="J2211" s="341" t="str">
        <f>IF(A2211="","",VLOOKUP(A2211,VII.A!$A$10:$D$199,3,FALSE))</f>
        <v/>
      </c>
      <c r="K2211" s="342" t="str">
        <f t="shared" si="589"/>
        <v/>
      </c>
      <c r="L2211" s="380" t="str">
        <f>IF(C2211="","",G2171*C2211)</f>
        <v/>
      </c>
      <c r="M2211" s="381" t="str">
        <f>IF(A2211="","",VLOOKUP(A2211,VII.A!$A$10:$B$199,2,FALSE))</f>
        <v/>
      </c>
      <c r="N2211" s="342" t="str">
        <f t="shared" si="590"/>
        <v/>
      </c>
      <c r="R2211" s="341"/>
      <c r="S2211" s="341"/>
    </row>
    <row r="2212" spans="1:25" ht="12.75" customHeight="1">
      <c r="A2212" s="393"/>
      <c r="C2212" s="20"/>
      <c r="E2212" s="387"/>
      <c r="F2212" s="388">
        <f t="shared" si="587"/>
        <v>0</v>
      </c>
      <c r="H2212" s="341" t="str">
        <f>IF(A2212="","",VLOOKUP(A2212,VII.A!$A$10:$D$199,4,FALSE))</f>
        <v/>
      </c>
      <c r="I2212" s="341" t="str">
        <f t="shared" si="588"/>
        <v/>
      </c>
      <c r="J2212" s="341" t="str">
        <f>IF(A2212="","",VLOOKUP(A2212,VII.A!$A$10:$D$199,3,FALSE))</f>
        <v/>
      </c>
      <c r="K2212" s="342" t="str">
        <f t="shared" si="589"/>
        <v/>
      </c>
      <c r="L2212" s="380" t="str">
        <f>IF(C2212="","",G2171*C2212)</f>
        <v/>
      </c>
      <c r="M2212" s="381" t="str">
        <f>IF(A2212="","",VLOOKUP(A2212,VII.A!$A$10:$B$199,2,FALSE))</f>
        <v/>
      </c>
      <c r="N2212" s="342" t="str">
        <f t="shared" si="590"/>
        <v/>
      </c>
      <c r="R2212" s="341"/>
      <c r="S2212" s="341"/>
    </row>
    <row r="2213" spans="1:25" ht="12.75" customHeight="1">
      <c r="A2213" s="393"/>
      <c r="C2213" s="20"/>
      <c r="E2213" s="387"/>
      <c r="F2213" s="388">
        <f t="shared" si="587"/>
        <v>0</v>
      </c>
      <c r="H2213" s="341" t="str">
        <f>IF(A2213="","",VLOOKUP(A2213,VII.A!$A$10:$D$199,4,FALSE))</f>
        <v/>
      </c>
      <c r="I2213" s="341" t="str">
        <f t="shared" si="588"/>
        <v/>
      </c>
      <c r="J2213" s="341" t="str">
        <f>IF(A2213="","",VLOOKUP(A2213,VII.A!$A$10:$D$199,3,FALSE))</f>
        <v/>
      </c>
      <c r="K2213" s="342" t="str">
        <f t="shared" si="589"/>
        <v/>
      </c>
      <c r="L2213" s="380" t="str">
        <f>IF(C2213="","",G2171*C2213)</f>
        <v/>
      </c>
      <c r="M2213" s="381" t="str">
        <f>IF(A2213="","",VLOOKUP(A2213,VII.A!$A$10:$B$199,2,FALSE))</f>
        <v/>
      </c>
      <c r="N2213" s="342" t="str">
        <f t="shared" si="590"/>
        <v/>
      </c>
      <c r="R2213" s="341"/>
      <c r="S2213" s="341"/>
    </row>
    <row r="2214" spans="1:25" ht="12.75" customHeight="1">
      <c r="A2214" s="393"/>
      <c r="B2214" s="395" t="s">
        <v>226</v>
      </c>
      <c r="C2214" s="396"/>
      <c r="D2214" s="397"/>
      <c r="E2214" s="398"/>
      <c r="F2214" s="399">
        <f>SUM(F2207:F2213)</f>
        <v>0</v>
      </c>
      <c r="J2214" s="341"/>
      <c r="L2214" s="380"/>
      <c r="M2214" s="381"/>
      <c r="N2214" s="342"/>
      <c r="R2214" s="341"/>
      <c r="S2214" s="341"/>
    </row>
    <row r="2215" spans="1:25" ht="12.75" customHeight="1">
      <c r="A2215" s="393"/>
      <c r="B2215" s="400" t="s">
        <v>229</v>
      </c>
      <c r="C2215" s="2">
        <f>IX.A!$C$45</f>
        <v>0</v>
      </c>
      <c r="D2215" s="401"/>
      <c r="E2215" s="402"/>
      <c r="F2215" s="403">
        <f>ROUND(F2214*C2215,2)</f>
        <v>0</v>
      </c>
      <c r="J2215" s="341"/>
      <c r="L2215" s="380"/>
      <c r="M2215" s="381"/>
      <c r="N2215" s="342"/>
      <c r="R2215" s="341"/>
      <c r="S2215" s="341"/>
    </row>
    <row r="2216" spans="1:25" ht="12.75" customHeight="1">
      <c r="A2216" s="393"/>
      <c r="B2216" s="400" t="s">
        <v>53</v>
      </c>
      <c r="C2216" s="2">
        <f>$D$8</f>
        <v>0</v>
      </c>
      <c r="D2216" s="401"/>
      <c r="E2216" s="402"/>
      <c r="F2216" s="403">
        <f>ROUND(SUM(F2214:F2215)*C2216,2)</f>
        <v>0</v>
      </c>
      <c r="J2216" s="341"/>
      <c r="L2216" s="380"/>
      <c r="M2216" s="381"/>
      <c r="N2216" s="342"/>
      <c r="R2216" s="341"/>
      <c r="S2216" s="341"/>
    </row>
    <row r="2217" spans="1:25" ht="12.75" customHeight="1" thickBot="1">
      <c r="A2217" s="414"/>
      <c r="B2217" s="415" t="s">
        <v>230</v>
      </c>
      <c r="C2217" s="416"/>
      <c r="D2217" s="416"/>
      <c r="E2217" s="417"/>
      <c r="F2217" s="418">
        <f>SUM(F2214:F2216)</f>
        <v>0</v>
      </c>
      <c r="J2217" s="341"/>
      <c r="L2217" s="380"/>
      <c r="M2217" s="381"/>
      <c r="N2217" s="342"/>
      <c r="R2217" s="341"/>
      <c r="S2217" s="341"/>
    </row>
    <row r="2218" spans="1:25" ht="12.75" customHeight="1" thickBot="1">
      <c r="A2218" s="357"/>
      <c r="B2218" s="358"/>
      <c r="C2218" s="359"/>
      <c r="D2218" s="359"/>
      <c r="E2218" s="360"/>
      <c r="F2218" s="419"/>
      <c r="J2218" s="341"/>
      <c r="L2218" s="380"/>
      <c r="M2218" s="381"/>
      <c r="N2218" s="342"/>
      <c r="R2218" s="341"/>
      <c r="S2218" s="341"/>
    </row>
    <row r="2219" spans="1:25" ht="30" customHeight="1">
      <c r="A2219" s="370" t="str">
        <f>IV.A!A75</f>
        <v>3.4.4</v>
      </c>
      <c r="B2219" s="371" t="str">
        <f>IV.A!B75</f>
        <v xml:space="preserve">ESCAVAÇÃO MANUAL EM SOLO DE 1ª CATEGORIA COM PROFUNDIDADE ACIMA DE 1,50 M </v>
      </c>
      <c r="C2219" s="871" t="s">
        <v>237</v>
      </c>
      <c r="D2219" s="872"/>
      <c r="E2219" s="372" t="str">
        <f>IV.A!C75</f>
        <v>M3</v>
      </c>
      <c r="F2219" s="11">
        <f>ROUND(F2239+F2253+F2265,2)</f>
        <v>0</v>
      </c>
      <c r="G2219" s="1">
        <f>VLOOKUP(A2219,IV.A!$A$16:$L$172,4,FALSE)</f>
        <v>20</v>
      </c>
      <c r="H2219" s="361">
        <f>SUM(F2221:F2236)+F2238</f>
        <v>0</v>
      </c>
      <c r="I2219" s="361">
        <f>SUM(F2241:F2250)+F2252</f>
        <v>0</v>
      </c>
      <c r="J2219" s="361">
        <f>SUM(F2255:F2261)+F2263+F2264</f>
        <v>0</v>
      </c>
      <c r="K2219" s="361">
        <f>SUM(H2219:J2219)</f>
        <v>0</v>
      </c>
      <c r="L2219" s="362" t="str">
        <f>IF(K2219=F2219,"SIM","NÃO")</f>
        <v>SIM</v>
      </c>
      <c r="M2219" s="373">
        <f>ROUND(SUM(F2221:F2236),2)+ROUND(SUM(F2221:F2236)*C2238,2)+ROUND(SUM(F2241:F2250)*C2252,2)+ROUND(SUM(F2241:F2250),2)+ROUND(SUM(F2255:F2261)*C2263,2)+ROUND((SUM(F2255:F2261)+ROUND(SUM(F2255:F2261)*C2263,2))*C2264,2)+ROUND(SUM(F2255:F2261),2)</f>
        <v>0</v>
      </c>
      <c r="N2219" s="343" t="str">
        <f>IF(M2219=F2219,"SIM","NÃO")</f>
        <v>SIM</v>
      </c>
      <c r="O2219" s="364" t="str">
        <f>VLOOKUP(A2219,IV.A!$A$16:$E$172,3,FALSE)</f>
        <v>M3</v>
      </c>
      <c r="P2219" s="344" t="str">
        <f>IF(O2219=E2219,"SIM","NÃO")</f>
        <v>SIM</v>
      </c>
      <c r="Q2219" s="365">
        <f>ROUND(G2219*F2239,2)+ROUND(G2219*F2253,2)+ROUND(G2219*F2265,2)</f>
        <v>0</v>
      </c>
      <c r="R2219" s="364">
        <f>VLOOKUP(A2219,IV.A!$A$16:$L$172,12,FALSE)</f>
        <v>0</v>
      </c>
      <c r="S2219" s="366" t="str">
        <f>IF(Q2219=R2219,"si","no")</f>
        <v>si</v>
      </c>
      <c r="T2219" s="367">
        <f>SUM(L2221:L2236)+SUM(L2241:L2250)+SUM(L2255:L2261)</f>
        <v>77.599999999999994</v>
      </c>
      <c r="U2219" s="341">
        <f>(SUM(C2221:C2236)+SUM(C2241:C2250)+SUM(C2255:C2261))*G2219</f>
        <v>77.599999999999994</v>
      </c>
      <c r="V2219" s="368" t="str">
        <f>IF(T2219=U2219,"si","no")</f>
        <v>si</v>
      </c>
      <c r="W2219" s="369">
        <f>SUM(F2221:F2236)</f>
        <v>0</v>
      </c>
      <c r="X2219" s="369">
        <f>SUM(F2241:F2250)</f>
        <v>0</v>
      </c>
      <c r="Y2219" s="369">
        <f>SUM(F2255:F2261)</f>
        <v>0</v>
      </c>
    </row>
    <row r="2220" spans="1:25" ht="12.75" customHeight="1">
      <c r="A2220" s="374" t="s">
        <v>14</v>
      </c>
      <c r="B2220" s="375" t="s">
        <v>132</v>
      </c>
      <c r="C2220" s="376" t="s">
        <v>231</v>
      </c>
      <c r="D2220" s="376" t="s">
        <v>232</v>
      </c>
      <c r="E2220" s="377" t="s">
        <v>233</v>
      </c>
      <c r="F2220" s="378" t="s">
        <v>234</v>
      </c>
      <c r="G2220" s="379"/>
      <c r="J2220" s="341"/>
      <c r="L2220" s="380"/>
      <c r="M2220" s="381"/>
      <c r="N2220" s="342"/>
      <c r="O2220" s="382"/>
      <c r="P2220" s="383"/>
      <c r="Q2220" s="383"/>
      <c r="R2220" s="383"/>
      <c r="S2220" s="383"/>
      <c r="T2220" s="382"/>
      <c r="U2220" s="341"/>
      <c r="V2220" s="384"/>
      <c r="W2220" s="384"/>
      <c r="X2220" s="384"/>
      <c r="Y2220" s="384"/>
    </row>
    <row r="2221" spans="1:25" ht="12.75" customHeight="1">
      <c r="A2221" s="385"/>
      <c r="B2221" s="386"/>
      <c r="C2221" s="20"/>
      <c r="D2221" s="342"/>
      <c r="E2221" s="387"/>
      <c r="F2221" s="388">
        <f>ROUND(C2221*E2221,2)</f>
        <v>0</v>
      </c>
      <c r="H2221" s="341" t="str">
        <f>IF(A2221="","",VLOOKUP(A2221,VII.A!$A$10:$D$199,4,FALSE))</f>
        <v/>
      </c>
      <c r="I2221" s="341" t="str">
        <f t="shared" ref="I2221:I2236" si="591">IF(A2221="","",IF(E2221=H2221,"SIM","NÃO"))</f>
        <v/>
      </c>
      <c r="J2221" s="341" t="str">
        <f>IF(A2221="","",VLOOKUP(A2221,VII.A!$A$10:$D$199,3,FALSE))</f>
        <v/>
      </c>
      <c r="K2221" s="342" t="str">
        <f t="shared" ref="K2221:K2236" si="592">IF(A2221="","",IF(J2221=D2221,"SIM","NÃO"))</f>
        <v/>
      </c>
      <c r="L2221" s="380" t="str">
        <f>IF(C2221="","",G2219*C2221)</f>
        <v/>
      </c>
      <c r="M2221" s="381" t="str">
        <f>IF(A2221="","",VLOOKUP(A2221,VII.A!$A$10:$B$199,2,FALSE))</f>
        <v/>
      </c>
      <c r="N2221" s="342" t="str">
        <f t="shared" ref="N2221:N2236" si="593">IF(B2221="","",IF(M2221=B2221,"si","no"))</f>
        <v/>
      </c>
      <c r="R2221" s="341"/>
      <c r="S2221" s="341"/>
    </row>
    <row r="2222" spans="1:25" ht="12.75" customHeight="1">
      <c r="A2222" s="385"/>
      <c r="B2222" s="386"/>
      <c r="C2222" s="20"/>
      <c r="D2222" s="342"/>
      <c r="E2222" s="387"/>
      <c r="F2222" s="388">
        <f t="shared" ref="F2222:F2236" si="594">ROUND(C2222*E2222,2)</f>
        <v>0</v>
      </c>
      <c r="H2222" s="341" t="str">
        <f>IF(A2222="","",VLOOKUP(A2222,VII.A!$A$10:$D$199,4,FALSE))</f>
        <v/>
      </c>
      <c r="I2222" s="341" t="str">
        <f t="shared" si="591"/>
        <v/>
      </c>
      <c r="J2222" s="341" t="str">
        <f>IF(A2222="","",VLOOKUP(A2222,VII.A!$A$10:$D$199,3,FALSE))</f>
        <v/>
      </c>
      <c r="K2222" s="342" t="str">
        <f t="shared" si="592"/>
        <v/>
      </c>
      <c r="L2222" s="380" t="str">
        <f>IF(C2222="","",G2219*C2222)</f>
        <v/>
      </c>
      <c r="M2222" s="381" t="str">
        <f>IF(A2222="","",VLOOKUP(A2222,VII.A!$A$10:$B$199,2,FALSE))</f>
        <v/>
      </c>
      <c r="N2222" s="342" t="str">
        <f t="shared" si="593"/>
        <v/>
      </c>
      <c r="R2222" s="341"/>
      <c r="S2222" s="341"/>
    </row>
    <row r="2223" spans="1:25" ht="12.75" customHeight="1">
      <c r="A2223" s="385"/>
      <c r="B2223" s="386"/>
      <c r="C2223" s="20"/>
      <c r="D2223" s="342"/>
      <c r="E2223" s="387"/>
      <c r="F2223" s="388">
        <f t="shared" si="594"/>
        <v>0</v>
      </c>
      <c r="H2223" s="341" t="str">
        <f>IF(A2223="","",VLOOKUP(A2223,VII.A!$A$10:$D$199,4,FALSE))</f>
        <v/>
      </c>
      <c r="I2223" s="341" t="str">
        <f t="shared" si="591"/>
        <v/>
      </c>
      <c r="J2223" s="341" t="str">
        <f>IF(A2223="","",VLOOKUP(A2223,VII.A!$A$10:$D$199,3,FALSE))</f>
        <v/>
      </c>
      <c r="K2223" s="342" t="str">
        <f t="shared" si="592"/>
        <v/>
      </c>
      <c r="L2223" s="380" t="str">
        <f>IF(C2223="","",G2219*C2223)</f>
        <v/>
      </c>
      <c r="M2223" s="381" t="str">
        <f>IF(A2223="","",VLOOKUP(A2223,VII.A!$A$10:$B$199,2,FALSE))</f>
        <v/>
      </c>
      <c r="N2223" s="342" t="str">
        <f t="shared" si="593"/>
        <v/>
      </c>
      <c r="R2223" s="341"/>
      <c r="S2223" s="341"/>
    </row>
    <row r="2224" spans="1:25" ht="12.75" customHeight="1">
      <c r="A2224" s="385"/>
      <c r="B2224" s="386"/>
      <c r="C2224" s="20"/>
      <c r="D2224" s="342"/>
      <c r="E2224" s="387"/>
      <c r="F2224" s="388">
        <f t="shared" si="594"/>
        <v>0</v>
      </c>
      <c r="H2224" s="341" t="str">
        <f>IF(A2224="","",VLOOKUP(A2224,VII.A!$A$10:$D$199,4,FALSE))</f>
        <v/>
      </c>
      <c r="I2224" s="341" t="str">
        <f t="shared" si="591"/>
        <v/>
      </c>
      <c r="J2224" s="341" t="str">
        <f>IF(A2224="","",VLOOKUP(A2224,VII.A!$A$10:$D$199,3,FALSE))</f>
        <v/>
      </c>
      <c r="K2224" s="342" t="str">
        <f t="shared" si="592"/>
        <v/>
      </c>
      <c r="L2224" s="380" t="str">
        <f>IF(C2224="","",G2219*C2224)</f>
        <v/>
      </c>
      <c r="M2224" s="381" t="str">
        <f>IF(A2224="","",VLOOKUP(A2224,VII.A!$A$10:$B$199,2,FALSE))</f>
        <v/>
      </c>
      <c r="N2224" s="342" t="str">
        <f t="shared" si="593"/>
        <v/>
      </c>
      <c r="R2224" s="341"/>
      <c r="S2224" s="341"/>
    </row>
    <row r="2225" spans="1:21" ht="12.75" customHeight="1">
      <c r="A2225" s="385"/>
      <c r="B2225" s="386"/>
      <c r="C2225" s="20"/>
      <c r="D2225" s="342"/>
      <c r="E2225" s="387"/>
      <c r="F2225" s="388">
        <f t="shared" si="594"/>
        <v>0</v>
      </c>
      <c r="H2225" s="341" t="str">
        <f>IF(A2225="","",VLOOKUP(A2225,VII.A!$A$10:$D$199,4,FALSE))</f>
        <v/>
      </c>
      <c r="I2225" s="341" t="str">
        <f t="shared" si="591"/>
        <v/>
      </c>
      <c r="J2225" s="341" t="str">
        <f>IF(A2225="","",VLOOKUP(A2225,VII.A!$A$10:$D$199,3,FALSE))</f>
        <v/>
      </c>
      <c r="K2225" s="342" t="str">
        <f t="shared" si="592"/>
        <v/>
      </c>
      <c r="L2225" s="380" t="str">
        <f>IF(C2225="","",G2219*C2225)</f>
        <v/>
      </c>
      <c r="M2225" s="381" t="str">
        <f>IF(A2225="","",VLOOKUP(A2225,VII.A!$A$10:$B$199,2,FALSE))</f>
        <v/>
      </c>
      <c r="N2225" s="342" t="str">
        <f t="shared" si="593"/>
        <v/>
      </c>
      <c r="R2225" s="341"/>
      <c r="S2225" s="341"/>
    </row>
    <row r="2226" spans="1:21" ht="12.75" customHeight="1">
      <c r="A2226" s="385"/>
      <c r="B2226" s="386"/>
      <c r="C2226" s="20"/>
      <c r="D2226" s="342"/>
      <c r="E2226" s="387"/>
      <c r="F2226" s="388">
        <f t="shared" si="594"/>
        <v>0</v>
      </c>
      <c r="H2226" s="341" t="str">
        <f>IF(A2226="","",VLOOKUP(A2226,VII.A!$A$10:$D$199,4,FALSE))</f>
        <v/>
      </c>
      <c r="I2226" s="341" t="str">
        <f t="shared" si="591"/>
        <v/>
      </c>
      <c r="J2226" s="341" t="str">
        <f>IF(A2226="","",VLOOKUP(A2226,VII.A!$A$10:$D$199,3,FALSE))</f>
        <v/>
      </c>
      <c r="K2226" s="342" t="str">
        <f t="shared" si="592"/>
        <v/>
      </c>
      <c r="L2226" s="380" t="str">
        <f>IF(C2226="","",G2219*C2226)</f>
        <v/>
      </c>
      <c r="M2226" s="381" t="str">
        <f>IF(A2226="","",VLOOKUP(A2226,VII.A!$A$10:$B$199,2,FALSE))</f>
        <v/>
      </c>
      <c r="N2226" s="342" t="str">
        <f t="shared" si="593"/>
        <v/>
      </c>
      <c r="R2226" s="341"/>
      <c r="S2226" s="341"/>
      <c r="U2226" s="389"/>
    </row>
    <row r="2227" spans="1:21" ht="12.75" customHeight="1">
      <c r="A2227" s="385"/>
      <c r="B2227" s="386"/>
      <c r="C2227" s="20"/>
      <c r="D2227" s="342"/>
      <c r="E2227" s="387"/>
      <c r="F2227" s="388">
        <f t="shared" si="594"/>
        <v>0</v>
      </c>
      <c r="H2227" s="341" t="str">
        <f>IF(A2227="","",VLOOKUP(A2227,VII.A!$A$10:$D$199,4,FALSE))</f>
        <v/>
      </c>
      <c r="I2227" s="341" t="str">
        <f t="shared" si="591"/>
        <v/>
      </c>
      <c r="J2227" s="341" t="str">
        <f>IF(A2227="","",VLOOKUP(A2227,VII.A!$A$10:$D$199,3,FALSE))</f>
        <v/>
      </c>
      <c r="K2227" s="342" t="str">
        <f t="shared" si="592"/>
        <v/>
      </c>
      <c r="L2227" s="380" t="str">
        <f>IF(C2227="","",G2219*C2227)</f>
        <v/>
      </c>
      <c r="M2227" s="381" t="str">
        <f>IF(A2227="","",VLOOKUP(A2227,VII.A!$A$10:$B$199,2,FALSE))</f>
        <v/>
      </c>
      <c r="N2227" s="342" t="str">
        <f t="shared" si="593"/>
        <v/>
      </c>
      <c r="R2227" s="341"/>
      <c r="S2227" s="341"/>
    </row>
    <row r="2228" spans="1:21" ht="12.75" customHeight="1">
      <c r="A2228" s="385"/>
      <c r="B2228" s="386"/>
      <c r="C2228" s="20"/>
      <c r="D2228" s="342"/>
      <c r="E2228" s="387"/>
      <c r="F2228" s="388">
        <f t="shared" si="594"/>
        <v>0</v>
      </c>
      <c r="G2228" s="390"/>
      <c r="H2228" s="341" t="str">
        <f>IF(A2228="","",VLOOKUP(A2228,VII.A!$A$10:$D$199,4,FALSE))</f>
        <v/>
      </c>
      <c r="I2228" s="341" t="str">
        <f t="shared" si="591"/>
        <v/>
      </c>
      <c r="J2228" s="341" t="str">
        <f>IF(A2228="","",VLOOKUP(A2228,VII.A!$A$10:$D$199,3,FALSE))</f>
        <v/>
      </c>
      <c r="K2228" s="342" t="str">
        <f t="shared" si="592"/>
        <v/>
      </c>
      <c r="L2228" s="380" t="str">
        <f>IF(C2228="","",G2219*C2228)</f>
        <v/>
      </c>
      <c r="M2228" s="381" t="str">
        <f>IF(A2228="","",VLOOKUP(A2228,VII.A!$A$10:$B$199,2,FALSE))</f>
        <v/>
      </c>
      <c r="N2228" s="342" t="str">
        <f t="shared" si="593"/>
        <v/>
      </c>
      <c r="R2228" s="341"/>
      <c r="S2228" s="341"/>
    </row>
    <row r="2229" spans="1:21" ht="12.75" customHeight="1">
      <c r="A2229" s="385"/>
      <c r="B2229" s="386"/>
      <c r="C2229" s="20"/>
      <c r="D2229" s="342"/>
      <c r="E2229" s="387"/>
      <c r="F2229" s="388">
        <f t="shared" si="594"/>
        <v>0</v>
      </c>
      <c r="G2229" s="390"/>
      <c r="H2229" s="341" t="str">
        <f>IF(A2229="","",VLOOKUP(A2229,VII.A!$A$10:$D$199,4,FALSE))</f>
        <v/>
      </c>
      <c r="I2229" s="341" t="str">
        <f t="shared" si="591"/>
        <v/>
      </c>
      <c r="J2229" s="341" t="str">
        <f>IF(A2229="","",VLOOKUP(A2229,VII.A!$A$10:$D$199,3,FALSE))</f>
        <v/>
      </c>
      <c r="K2229" s="342" t="str">
        <f t="shared" si="592"/>
        <v/>
      </c>
      <c r="L2229" s="380" t="str">
        <f>IF(C2229="","",G2219*C2229)</f>
        <v/>
      </c>
      <c r="M2229" s="381" t="str">
        <f>IF(A2229="","",VLOOKUP(A2229,VII.A!$A$10:$B$199,2,FALSE))</f>
        <v/>
      </c>
      <c r="N2229" s="342" t="str">
        <f t="shared" si="593"/>
        <v/>
      </c>
      <c r="R2229" s="341"/>
      <c r="S2229" s="341"/>
    </row>
    <row r="2230" spans="1:21" ht="12.75" customHeight="1">
      <c r="A2230" s="385"/>
      <c r="B2230" s="386"/>
      <c r="C2230" s="20"/>
      <c r="D2230" s="342"/>
      <c r="E2230" s="387"/>
      <c r="F2230" s="388">
        <f t="shared" si="594"/>
        <v>0</v>
      </c>
      <c r="G2230" s="391"/>
      <c r="H2230" s="341" t="str">
        <f>IF(A2230="","",VLOOKUP(A2230,VII.A!$A$10:$D$199,4,FALSE))</f>
        <v/>
      </c>
      <c r="I2230" s="341" t="str">
        <f t="shared" si="591"/>
        <v/>
      </c>
      <c r="J2230" s="341" t="str">
        <f>IF(A2230="","",VLOOKUP(A2230,VII.A!$A$10:$D$199,3,FALSE))</f>
        <v/>
      </c>
      <c r="K2230" s="342" t="str">
        <f t="shared" si="592"/>
        <v/>
      </c>
      <c r="L2230" s="380" t="str">
        <f>IF(C2230="","",G2219*C2230)</f>
        <v/>
      </c>
      <c r="M2230" s="381" t="str">
        <f>IF(A2230="","",VLOOKUP(A2230,VII.A!$A$10:$B$199,2,FALSE))</f>
        <v/>
      </c>
      <c r="N2230" s="342" t="str">
        <f t="shared" si="593"/>
        <v/>
      </c>
      <c r="R2230" s="341"/>
      <c r="S2230" s="341"/>
    </row>
    <row r="2231" spans="1:21" ht="12.75" customHeight="1">
      <c r="A2231" s="385"/>
      <c r="B2231" s="386"/>
      <c r="C2231" s="20"/>
      <c r="D2231" s="342"/>
      <c r="E2231" s="387"/>
      <c r="F2231" s="388">
        <f t="shared" si="594"/>
        <v>0</v>
      </c>
      <c r="H2231" s="341" t="str">
        <f>IF(A2231="","",VLOOKUP(A2231,VII.A!$A$10:$D$199,4,FALSE))</f>
        <v/>
      </c>
      <c r="I2231" s="341" t="str">
        <f t="shared" si="591"/>
        <v/>
      </c>
      <c r="J2231" s="341" t="str">
        <f>IF(A2231="","",VLOOKUP(A2231,VII.A!$A$10:$D$199,3,FALSE))</f>
        <v/>
      </c>
      <c r="K2231" s="342" t="str">
        <f t="shared" si="592"/>
        <v/>
      </c>
      <c r="L2231" s="380" t="str">
        <f>IF(C2231="","",G2219*C2231)</f>
        <v/>
      </c>
      <c r="M2231" s="381" t="str">
        <f>IF(A2231="","",VLOOKUP(A2231,VII.A!$A$10:$B$199,2,FALSE))</f>
        <v/>
      </c>
      <c r="N2231" s="342" t="str">
        <f t="shared" si="593"/>
        <v/>
      </c>
      <c r="R2231" s="341"/>
      <c r="S2231" s="341"/>
    </row>
    <row r="2232" spans="1:21" ht="12.75" customHeight="1">
      <c r="A2232" s="385"/>
      <c r="B2232" s="386"/>
      <c r="C2232" s="20"/>
      <c r="D2232" s="392"/>
      <c r="E2232" s="387"/>
      <c r="F2232" s="388">
        <f t="shared" si="594"/>
        <v>0</v>
      </c>
      <c r="H2232" s="341" t="str">
        <f>IF(A2232="","",VLOOKUP(A2232,VII.A!$A$10:$D$199,4,FALSE))</f>
        <v/>
      </c>
      <c r="I2232" s="341" t="str">
        <f t="shared" si="591"/>
        <v/>
      </c>
      <c r="J2232" s="341" t="str">
        <f>IF(A2232="","",VLOOKUP(A2232,VII.A!$A$10:$D$199,3,FALSE))</f>
        <v/>
      </c>
      <c r="K2232" s="342" t="str">
        <f t="shared" si="592"/>
        <v/>
      </c>
      <c r="L2232" s="380" t="str">
        <f>IF(C2232="","",G2219*C2232)</f>
        <v/>
      </c>
      <c r="M2232" s="381" t="str">
        <f>IF(A2232="","",VLOOKUP(A2232,VII.A!$A$10:$B$199,2,FALSE))</f>
        <v/>
      </c>
      <c r="N2232" s="342" t="str">
        <f t="shared" si="593"/>
        <v/>
      </c>
      <c r="R2232" s="341"/>
      <c r="S2232" s="341"/>
    </row>
    <row r="2233" spans="1:21" ht="12.75" customHeight="1">
      <c r="A2233" s="385"/>
      <c r="B2233" s="386"/>
      <c r="C2233" s="20"/>
      <c r="D2233" s="392"/>
      <c r="E2233" s="387"/>
      <c r="F2233" s="388">
        <f t="shared" si="594"/>
        <v>0</v>
      </c>
      <c r="H2233" s="341" t="str">
        <f>IF(A2233="","",VLOOKUP(A2233,VII.A!$A$10:$D$199,4,FALSE))</f>
        <v/>
      </c>
      <c r="I2233" s="341" t="str">
        <f t="shared" si="591"/>
        <v/>
      </c>
      <c r="J2233" s="341" t="str">
        <f>IF(A2233="","",VLOOKUP(A2233,VII.A!$A$10:$D$199,3,FALSE))</f>
        <v/>
      </c>
      <c r="K2233" s="342" t="str">
        <f t="shared" si="592"/>
        <v/>
      </c>
      <c r="L2233" s="380" t="str">
        <f>IF(C2233="","",G2219*C2233)</f>
        <v/>
      </c>
      <c r="M2233" s="381" t="str">
        <f>IF(A2233="","",VLOOKUP(A2233,VII.A!$A$10:$B$199,2,FALSE))</f>
        <v/>
      </c>
      <c r="N2233" s="342" t="str">
        <f t="shared" si="593"/>
        <v/>
      </c>
      <c r="O2233" s="342"/>
      <c r="R2233" s="341"/>
      <c r="S2233" s="341"/>
    </row>
    <row r="2234" spans="1:21" ht="12.75" customHeight="1">
      <c r="A2234" s="385"/>
      <c r="B2234" s="386"/>
      <c r="C2234" s="20"/>
      <c r="D2234" s="392"/>
      <c r="E2234" s="387"/>
      <c r="F2234" s="388">
        <f t="shared" si="594"/>
        <v>0</v>
      </c>
      <c r="H2234" s="341" t="str">
        <f>IF(A2234="","",VLOOKUP(A2234,VII.A!$A$10:$D$199,4,FALSE))</f>
        <v/>
      </c>
      <c r="I2234" s="341" t="str">
        <f t="shared" si="591"/>
        <v/>
      </c>
      <c r="J2234" s="341" t="str">
        <f>IF(A2234="","",VLOOKUP(A2234,VII.A!$A$10:$D$199,3,FALSE))</f>
        <v/>
      </c>
      <c r="K2234" s="342" t="str">
        <f t="shared" si="592"/>
        <v/>
      </c>
      <c r="L2234" s="380" t="str">
        <f>IF(C2234="","",G2219*C2234)</f>
        <v/>
      </c>
      <c r="M2234" s="381" t="str">
        <f>IF(A2234="","",VLOOKUP(A2234,VII.A!$A$10:$B$199,2,FALSE))</f>
        <v/>
      </c>
      <c r="N2234" s="342" t="str">
        <f t="shared" si="593"/>
        <v/>
      </c>
      <c r="R2234" s="341"/>
      <c r="S2234" s="341"/>
    </row>
    <row r="2235" spans="1:21" ht="12.75" customHeight="1">
      <c r="A2235" s="393"/>
      <c r="C2235" s="20"/>
      <c r="E2235" s="387"/>
      <c r="F2235" s="388">
        <f t="shared" si="594"/>
        <v>0</v>
      </c>
      <c r="H2235" s="341" t="str">
        <f>IF(A2235="","",VLOOKUP(A2235,VII.A!$A$10:$D$199,4,FALSE))</f>
        <v/>
      </c>
      <c r="I2235" s="341" t="str">
        <f t="shared" si="591"/>
        <v/>
      </c>
      <c r="J2235" s="341" t="str">
        <f>IF(A2235="","",VLOOKUP(A2235,VII.A!$A$10:$D$199,3,FALSE))</f>
        <v/>
      </c>
      <c r="K2235" s="342" t="str">
        <f t="shared" si="592"/>
        <v/>
      </c>
      <c r="L2235" s="380" t="str">
        <f>IF(C2235="","",G2219*C2235)</f>
        <v/>
      </c>
      <c r="M2235" s="381" t="str">
        <f>IF(A2235="","",VLOOKUP(A2235,VII.A!$A$10:$B$199,2,FALSE))</f>
        <v/>
      </c>
      <c r="N2235" s="342" t="str">
        <f t="shared" si="593"/>
        <v/>
      </c>
      <c r="R2235" s="341"/>
      <c r="S2235" s="341"/>
    </row>
    <row r="2236" spans="1:21" ht="12.75" customHeight="1">
      <c r="A2236" s="393"/>
      <c r="C2236" s="20"/>
      <c r="E2236" s="387"/>
      <c r="F2236" s="388">
        <f t="shared" si="594"/>
        <v>0</v>
      </c>
      <c r="H2236" s="341" t="str">
        <f>IF(A2236="","",VLOOKUP(A2236,VII.A!$A$10:$D$199,4,FALSE))</f>
        <v/>
      </c>
      <c r="I2236" s="341" t="str">
        <f t="shared" si="591"/>
        <v/>
      </c>
      <c r="J2236" s="341" t="str">
        <f>IF(A2236="","",VLOOKUP(A2236,VII.A!$A$10:$D$199,3,FALSE))</f>
        <v/>
      </c>
      <c r="K2236" s="342" t="str">
        <f t="shared" si="592"/>
        <v/>
      </c>
      <c r="L2236" s="380" t="str">
        <f>IF(C2236="","",G2219*C2236)</f>
        <v/>
      </c>
      <c r="M2236" s="381" t="str">
        <f>IF(A2236="","",VLOOKUP(A2236,VII.A!$A$10:$B$199,2,FALSE))</f>
        <v/>
      </c>
      <c r="N2236" s="342" t="str">
        <f t="shared" si="593"/>
        <v/>
      </c>
      <c r="R2236" s="341"/>
      <c r="S2236" s="341"/>
    </row>
    <row r="2237" spans="1:21" ht="12.75" customHeight="1">
      <c r="A2237" s="393"/>
      <c r="B2237" s="395" t="s">
        <v>226</v>
      </c>
      <c r="C2237" s="396"/>
      <c r="D2237" s="397"/>
      <c r="E2237" s="398"/>
      <c r="F2237" s="399">
        <f>SUM(F2221:F2236)</f>
        <v>0</v>
      </c>
      <c r="J2237" s="341"/>
      <c r="L2237" s="380"/>
      <c r="M2237" s="381"/>
      <c r="N2237" s="342"/>
      <c r="R2237" s="341"/>
      <c r="S2237" s="341"/>
    </row>
    <row r="2238" spans="1:21" ht="12.75" customHeight="1">
      <c r="A2238" s="393"/>
      <c r="B2238" s="400" t="s">
        <v>53</v>
      </c>
      <c r="C2238" s="2">
        <f>$D$8</f>
        <v>0</v>
      </c>
      <c r="D2238" s="401"/>
      <c r="E2238" s="402"/>
      <c r="F2238" s="403">
        <f>ROUND(F2237*C2238,2)</f>
        <v>0</v>
      </c>
      <c r="H2238" s="426" t="s">
        <v>470</v>
      </c>
      <c r="J2238" s="341"/>
      <c r="L2238" s="380"/>
      <c r="M2238" s="381"/>
      <c r="N2238" s="342"/>
      <c r="R2238" s="341"/>
      <c r="S2238" s="341"/>
    </row>
    <row r="2239" spans="1:21" ht="12.75" customHeight="1">
      <c r="A2239" s="404"/>
      <c r="B2239" s="405" t="s">
        <v>227</v>
      </c>
      <c r="C2239" s="406"/>
      <c r="D2239" s="406"/>
      <c r="E2239" s="407"/>
      <c r="F2239" s="408">
        <f>F2237+F2238</f>
        <v>0</v>
      </c>
      <c r="J2239" s="341"/>
      <c r="L2239" s="380"/>
      <c r="M2239" s="381"/>
      <c r="N2239" s="342"/>
      <c r="R2239" s="341"/>
      <c r="S2239" s="341"/>
    </row>
    <row r="2240" spans="1:21" ht="12.75" customHeight="1">
      <c r="A2240" s="374" t="s">
        <v>2</v>
      </c>
      <c r="B2240" s="375" t="s">
        <v>235</v>
      </c>
      <c r="C2240" s="376" t="s">
        <v>231</v>
      </c>
      <c r="D2240" s="376" t="s">
        <v>232</v>
      </c>
      <c r="E2240" s="377" t="s">
        <v>233</v>
      </c>
      <c r="F2240" s="378" t="s">
        <v>234</v>
      </c>
      <c r="J2240" s="341"/>
      <c r="L2240" s="380"/>
      <c r="M2240" s="381"/>
      <c r="N2240" s="342"/>
      <c r="R2240" s="341"/>
      <c r="S2240" s="341"/>
    </row>
    <row r="2241" spans="1:19" ht="12.75" customHeight="1">
      <c r="A2241" s="393"/>
      <c r="B2241" s="423"/>
      <c r="C2241" s="20"/>
      <c r="E2241" s="387"/>
      <c r="F2241" s="388">
        <f t="shared" ref="F2241:F2250" si="595">ROUND(C2241*E2241,2)</f>
        <v>0</v>
      </c>
      <c r="H2241" s="341" t="str">
        <f>IF(A2241="","",VLOOKUP(A2241,VII.A!$A$10:$D$199,4,FALSE))</f>
        <v/>
      </c>
      <c r="I2241" s="341" t="str">
        <f t="shared" ref="I2241:I2250" si="596">IF(A2241="","",IF(E2241=H2241,"SIM","NÃO"))</f>
        <v/>
      </c>
      <c r="J2241" s="341" t="str">
        <f>IF(A2241="","",VLOOKUP(A2241,VII.A!$A$10:$D$199,3,FALSE))</f>
        <v/>
      </c>
      <c r="K2241" s="342" t="str">
        <f t="shared" ref="K2241:K2250" si="597">IF(A2241="","",IF(J2241=D2241,"SIM","NÃO"))</f>
        <v/>
      </c>
      <c r="L2241" s="380" t="str">
        <f>IF(C2241="","",G2219*C2241)</f>
        <v/>
      </c>
      <c r="M2241" s="381" t="str">
        <f>IF(A2241="","",VLOOKUP(A2241,VII.A!$A$10:$B$199,2,FALSE))</f>
        <v/>
      </c>
      <c r="N2241" s="342" t="str">
        <f t="shared" ref="N2241:N2250" si="598">IF(B2241="","",IF(M2241=B2241,"si","no"))</f>
        <v/>
      </c>
      <c r="R2241" s="341"/>
      <c r="S2241" s="341"/>
    </row>
    <row r="2242" spans="1:19" ht="12.75" customHeight="1">
      <c r="A2242" s="393"/>
      <c r="C2242" s="20"/>
      <c r="E2242" s="387"/>
      <c r="F2242" s="388">
        <f t="shared" si="595"/>
        <v>0</v>
      </c>
      <c r="H2242" s="341" t="str">
        <f>IF(A2242="","",VLOOKUP(A2242,VII.A!$A$10:$D$199,4,FALSE))</f>
        <v/>
      </c>
      <c r="I2242" s="341" t="str">
        <f t="shared" si="596"/>
        <v/>
      </c>
      <c r="J2242" s="341" t="str">
        <f>IF(A2242="","",VLOOKUP(A2242,VII.A!$A$10:$D$199,3,FALSE))</f>
        <v/>
      </c>
      <c r="K2242" s="342" t="str">
        <f t="shared" si="597"/>
        <v/>
      </c>
      <c r="L2242" s="380" t="str">
        <f>IF(C2242="","",G2219*C2242)</f>
        <v/>
      </c>
      <c r="M2242" s="381" t="str">
        <f>IF(A2242="","",VLOOKUP(A2242,VII.A!$A$10:$B$199,2,FALSE))</f>
        <v/>
      </c>
      <c r="N2242" s="342" t="str">
        <f t="shared" si="598"/>
        <v/>
      </c>
      <c r="R2242" s="341"/>
      <c r="S2242" s="341"/>
    </row>
    <row r="2243" spans="1:19" ht="12.75" customHeight="1">
      <c r="A2243" s="393"/>
      <c r="C2243" s="20"/>
      <c r="E2243" s="387"/>
      <c r="F2243" s="388">
        <f t="shared" si="595"/>
        <v>0</v>
      </c>
      <c r="H2243" s="341" t="str">
        <f>IF(A2243="","",VLOOKUP(A2243,VII.A!$A$10:$D$199,4,FALSE))</f>
        <v/>
      </c>
      <c r="I2243" s="341" t="str">
        <f t="shared" si="596"/>
        <v/>
      </c>
      <c r="J2243" s="341" t="str">
        <f>IF(A2243="","",VLOOKUP(A2243,VII.A!$A$10:$D$199,3,FALSE))</f>
        <v/>
      </c>
      <c r="K2243" s="342" t="str">
        <f t="shared" si="597"/>
        <v/>
      </c>
      <c r="L2243" s="380" t="str">
        <f>IF(C2243="","",G2219*C2243)</f>
        <v/>
      </c>
      <c r="M2243" s="381" t="str">
        <f>IF(A2243="","",VLOOKUP(A2243,VII.A!$A$10:$B$199,2,FALSE))</f>
        <v/>
      </c>
      <c r="N2243" s="342" t="str">
        <f t="shared" si="598"/>
        <v/>
      </c>
      <c r="R2243" s="341"/>
      <c r="S2243" s="341"/>
    </row>
    <row r="2244" spans="1:19" ht="12.75" customHeight="1">
      <c r="A2244" s="393"/>
      <c r="C2244" s="20"/>
      <c r="E2244" s="387"/>
      <c r="F2244" s="388">
        <f t="shared" si="595"/>
        <v>0</v>
      </c>
      <c r="H2244" s="341" t="str">
        <f>IF(A2244="","",VLOOKUP(A2244,VII.A!$A$10:$D$199,4,FALSE))</f>
        <v/>
      </c>
      <c r="I2244" s="341" t="str">
        <f t="shared" si="596"/>
        <v/>
      </c>
      <c r="J2244" s="341" t="str">
        <f>IF(A2244="","",VLOOKUP(A2244,VII.A!$A$10:$D$199,3,FALSE))</f>
        <v/>
      </c>
      <c r="K2244" s="342" t="str">
        <f t="shared" si="597"/>
        <v/>
      </c>
      <c r="L2244" s="380" t="str">
        <f>IF(C2244="","",G2219*C2244)</f>
        <v/>
      </c>
      <c r="M2244" s="381" t="str">
        <f>IF(A2244="","",VLOOKUP(A2244,VII.A!$A$10:$B$199,2,FALSE))</f>
        <v/>
      </c>
      <c r="N2244" s="342" t="str">
        <f t="shared" si="598"/>
        <v/>
      </c>
      <c r="R2244" s="341"/>
      <c r="S2244" s="341"/>
    </row>
    <row r="2245" spans="1:19" ht="12.75" customHeight="1">
      <c r="A2245" s="393"/>
      <c r="C2245" s="20"/>
      <c r="E2245" s="387"/>
      <c r="F2245" s="388">
        <f t="shared" si="595"/>
        <v>0</v>
      </c>
      <c r="G2245" s="390"/>
      <c r="H2245" s="341" t="str">
        <f>IF(A2245="","",VLOOKUP(A2245,VII.A!$A$10:$D$199,4,FALSE))</f>
        <v/>
      </c>
      <c r="I2245" s="341" t="str">
        <f t="shared" si="596"/>
        <v/>
      </c>
      <c r="J2245" s="341" t="str">
        <f>IF(A2245="","",VLOOKUP(A2245,VII.A!$A$10:$D$199,3,FALSE))</f>
        <v/>
      </c>
      <c r="K2245" s="342" t="str">
        <f t="shared" si="597"/>
        <v/>
      </c>
      <c r="L2245" s="380" t="str">
        <f>IF(C2245="","",G2219*C2245)</f>
        <v/>
      </c>
      <c r="M2245" s="381" t="str">
        <f>IF(A2245="","",VLOOKUP(A2245,VII.A!$A$10:$B$199,2,FALSE))</f>
        <v/>
      </c>
      <c r="N2245" s="342" t="str">
        <f t="shared" si="598"/>
        <v/>
      </c>
      <c r="R2245" s="341"/>
      <c r="S2245" s="341"/>
    </row>
    <row r="2246" spans="1:19" ht="12.75" customHeight="1">
      <c r="A2246" s="393"/>
      <c r="C2246" s="20"/>
      <c r="E2246" s="387"/>
      <c r="F2246" s="388">
        <f t="shared" si="595"/>
        <v>0</v>
      </c>
      <c r="G2246" s="391"/>
      <c r="H2246" s="341" t="str">
        <f>IF(A2246="","",VLOOKUP(A2246,VII.A!$A$10:$D$199,4,FALSE))</f>
        <v/>
      </c>
      <c r="I2246" s="341" t="str">
        <f t="shared" si="596"/>
        <v/>
      </c>
      <c r="J2246" s="341" t="str">
        <f>IF(A2246="","",VLOOKUP(A2246,VII.A!$A$10:$D$199,3,FALSE))</f>
        <v/>
      </c>
      <c r="K2246" s="342" t="str">
        <f t="shared" si="597"/>
        <v/>
      </c>
      <c r="L2246" s="380" t="str">
        <f>IF(C2246="","",G2219*C2246)</f>
        <v/>
      </c>
      <c r="M2246" s="381" t="str">
        <f>IF(A2246="","",VLOOKUP(A2246,VII.A!$A$10:$B$199,2,FALSE))</f>
        <v/>
      </c>
      <c r="N2246" s="342" t="str">
        <f t="shared" si="598"/>
        <v/>
      </c>
      <c r="R2246" s="341"/>
      <c r="S2246" s="341"/>
    </row>
    <row r="2247" spans="1:19" ht="12.75" customHeight="1">
      <c r="A2247" s="393"/>
      <c r="C2247" s="20"/>
      <c r="E2247" s="387"/>
      <c r="F2247" s="388">
        <f t="shared" si="595"/>
        <v>0</v>
      </c>
      <c r="H2247" s="341" t="str">
        <f>IF(A2247="","",VLOOKUP(A2247,VII.A!$A$10:$D$199,4,FALSE))</f>
        <v/>
      </c>
      <c r="I2247" s="341" t="str">
        <f t="shared" si="596"/>
        <v/>
      </c>
      <c r="J2247" s="341" t="str">
        <f>IF(A2247="","",VLOOKUP(A2247,VII.A!$A$10:$D$199,3,FALSE))</f>
        <v/>
      </c>
      <c r="K2247" s="342" t="str">
        <f t="shared" si="597"/>
        <v/>
      </c>
      <c r="L2247" s="380" t="str">
        <f>IF(C2247="","",G2219*C2247)</f>
        <v/>
      </c>
      <c r="M2247" s="381" t="str">
        <f>IF(A2247="","",VLOOKUP(A2247,VII.A!$A$10:$B$199,2,FALSE))</f>
        <v/>
      </c>
      <c r="N2247" s="342" t="str">
        <f t="shared" si="598"/>
        <v/>
      </c>
      <c r="R2247" s="341"/>
      <c r="S2247" s="341"/>
    </row>
    <row r="2248" spans="1:19" ht="12.75" customHeight="1">
      <c r="A2248" s="393"/>
      <c r="C2248" s="20"/>
      <c r="E2248" s="387"/>
      <c r="F2248" s="388">
        <f t="shared" si="595"/>
        <v>0</v>
      </c>
      <c r="H2248" s="341" t="str">
        <f>IF(A2248="","",VLOOKUP(A2248,VII.A!$A$10:$D$199,4,FALSE))</f>
        <v/>
      </c>
      <c r="I2248" s="341" t="str">
        <f t="shared" si="596"/>
        <v/>
      </c>
      <c r="J2248" s="341" t="str">
        <f>IF(A2248="","",VLOOKUP(A2248,VII.A!$A$10:$D$199,3,FALSE))</f>
        <v/>
      </c>
      <c r="K2248" s="342" t="str">
        <f t="shared" si="597"/>
        <v/>
      </c>
      <c r="L2248" s="380" t="str">
        <f>IF(C2248="","",G2219*C2248)</f>
        <v/>
      </c>
      <c r="M2248" s="381" t="str">
        <f>IF(A2248="","",VLOOKUP(A2248,VII.A!$A$10:$B$199,2,FALSE))</f>
        <v/>
      </c>
      <c r="N2248" s="342" t="str">
        <f t="shared" si="598"/>
        <v/>
      </c>
      <c r="R2248" s="341"/>
      <c r="S2248" s="341"/>
    </row>
    <row r="2249" spans="1:19" ht="12.75" customHeight="1">
      <c r="A2249" s="393"/>
      <c r="C2249" s="20"/>
      <c r="E2249" s="387"/>
      <c r="F2249" s="388">
        <f t="shared" si="595"/>
        <v>0</v>
      </c>
      <c r="H2249" s="341" t="str">
        <f>IF(A2249="","",VLOOKUP(A2249,VII.A!$A$10:$D$199,4,FALSE))</f>
        <v/>
      </c>
      <c r="I2249" s="341" t="str">
        <f t="shared" si="596"/>
        <v/>
      </c>
      <c r="J2249" s="341" t="str">
        <f>IF(A2249="","",VLOOKUP(A2249,VII.A!$A$10:$D$199,3,FALSE))</f>
        <v/>
      </c>
      <c r="K2249" s="342" t="str">
        <f t="shared" si="597"/>
        <v/>
      </c>
      <c r="L2249" s="380" t="str">
        <f>IF(C2249="","",G2219*C2249)</f>
        <v/>
      </c>
      <c r="M2249" s="381" t="str">
        <f>IF(A2249="","",VLOOKUP(A2249,VII.A!$A$10:$B$199,2,FALSE))</f>
        <v/>
      </c>
      <c r="N2249" s="342" t="str">
        <f t="shared" si="598"/>
        <v/>
      </c>
      <c r="R2249" s="341"/>
      <c r="S2249" s="341"/>
    </row>
    <row r="2250" spans="1:19" ht="12.75" customHeight="1">
      <c r="A2250" s="393"/>
      <c r="C2250" s="20"/>
      <c r="E2250" s="387"/>
      <c r="F2250" s="388">
        <f t="shared" si="595"/>
        <v>0</v>
      </c>
      <c r="H2250" s="341" t="str">
        <f>IF(A2250="","",VLOOKUP(A2250,VII.A!$A$10:$D$199,4,FALSE))</f>
        <v/>
      </c>
      <c r="I2250" s="341" t="str">
        <f t="shared" si="596"/>
        <v/>
      </c>
      <c r="J2250" s="341" t="str">
        <f>IF(A2250="","",VLOOKUP(A2250,VII.A!$A$10:$D$199,3,FALSE))</f>
        <v/>
      </c>
      <c r="K2250" s="342" t="str">
        <f t="shared" si="597"/>
        <v/>
      </c>
      <c r="L2250" s="380" t="str">
        <f>IF(C2250="","",G2219*C2250)</f>
        <v/>
      </c>
      <c r="M2250" s="381" t="str">
        <f>IF(A2250="","",VLOOKUP(A2250,VII.A!$A$10:$B$199,2,FALSE))</f>
        <v/>
      </c>
      <c r="N2250" s="342" t="str">
        <f t="shared" si="598"/>
        <v/>
      </c>
      <c r="R2250" s="341"/>
      <c r="S2250" s="341"/>
    </row>
    <row r="2251" spans="1:19" ht="12.75" customHeight="1">
      <c r="A2251" s="393"/>
      <c r="B2251" s="395" t="s">
        <v>226</v>
      </c>
      <c r="C2251" s="396"/>
      <c r="D2251" s="397"/>
      <c r="E2251" s="398"/>
      <c r="F2251" s="399">
        <f>SUM(F2241:F2250)</f>
        <v>0</v>
      </c>
      <c r="J2251" s="341"/>
      <c r="L2251" s="380"/>
      <c r="M2251" s="381"/>
      <c r="N2251" s="342"/>
      <c r="R2251" s="341"/>
      <c r="S2251" s="341"/>
    </row>
    <row r="2252" spans="1:19" ht="12.75" customHeight="1">
      <c r="A2252" s="393"/>
      <c r="B2252" s="400" t="s">
        <v>53</v>
      </c>
      <c r="C2252" s="2">
        <f>$D$8</f>
        <v>0</v>
      </c>
      <c r="D2252" s="401"/>
      <c r="E2252" s="402"/>
      <c r="F2252" s="403">
        <f>ROUND(C2252*F2251,2)</f>
        <v>0</v>
      </c>
      <c r="J2252" s="341"/>
      <c r="L2252" s="380"/>
      <c r="M2252" s="381"/>
      <c r="N2252" s="342"/>
      <c r="R2252" s="341"/>
      <c r="S2252" s="341"/>
    </row>
    <row r="2253" spans="1:19" ht="12.75" customHeight="1">
      <c r="A2253" s="404"/>
      <c r="B2253" s="405" t="s">
        <v>228</v>
      </c>
      <c r="C2253" s="406"/>
      <c r="D2253" s="406"/>
      <c r="E2253" s="407"/>
      <c r="F2253" s="408">
        <f>F2251+F2252</f>
        <v>0</v>
      </c>
      <c r="J2253" s="341"/>
      <c r="L2253" s="380"/>
      <c r="M2253" s="381"/>
      <c r="N2253" s="342"/>
      <c r="R2253" s="341"/>
      <c r="S2253" s="341"/>
    </row>
    <row r="2254" spans="1:19" ht="12.75" customHeight="1">
      <c r="A2254" s="409" t="s">
        <v>47</v>
      </c>
      <c r="B2254" s="410" t="s">
        <v>236</v>
      </c>
      <c r="C2254" s="411" t="s">
        <v>231</v>
      </c>
      <c r="D2254" s="412" t="s">
        <v>232</v>
      </c>
      <c r="E2254" s="413" t="s">
        <v>233</v>
      </c>
      <c r="F2254" s="378" t="s">
        <v>234</v>
      </c>
      <c r="J2254" s="341"/>
      <c r="L2254" s="380"/>
      <c r="M2254" s="381"/>
      <c r="N2254" s="342"/>
      <c r="R2254" s="341"/>
      <c r="S2254" s="341"/>
    </row>
    <row r="2255" spans="1:19" ht="12.75" customHeight="1">
      <c r="A2255" s="393" t="str">
        <f>VII.A!$A$196</f>
        <v>3.16</v>
      </c>
      <c r="B2255" s="394" t="s">
        <v>157</v>
      </c>
      <c r="C2255" s="20">
        <v>3.88</v>
      </c>
      <c r="D2255" s="384" t="str">
        <f>VLOOKUP(A2255,VII.A!$A$10:$G$199,3,FALSE)</f>
        <v>H</v>
      </c>
      <c r="E2255" s="387">
        <f>VII.A!$D$196</f>
        <v>0</v>
      </c>
      <c r="F2255" s="388">
        <f t="shared" ref="F2255:F2261" si="599">ROUND(C2255*E2255,2)</f>
        <v>0</v>
      </c>
      <c r="H2255" s="341">
        <f>IF(A2255="","",VLOOKUP(A2255,VII.A!$A$10:$D$199,4,FALSE))</f>
        <v>0</v>
      </c>
      <c r="I2255" s="341" t="str">
        <f t="shared" ref="I2255:I2261" si="600">IF(A2255="","",IF(E2255=H2255,"SIM","NÃO"))</f>
        <v>SIM</v>
      </c>
      <c r="J2255" s="341" t="str">
        <f>IF(A2255="","",VLOOKUP(A2255,VII.A!$A$10:$D$199,3,FALSE))</f>
        <v>H</v>
      </c>
      <c r="K2255" s="342" t="str">
        <f t="shared" ref="K2255:K2261" si="601">IF(A2255="","",IF(J2255=D2255,"SIM","NÃO"))</f>
        <v>SIM</v>
      </c>
      <c r="L2255" s="380">
        <f>IF(C2255="","",G2219*C2255)</f>
        <v>77.599999999999994</v>
      </c>
      <c r="M2255" s="381" t="str">
        <f>IF(A2255="","",VLOOKUP(A2255,VII.A!$A$10:$B$199,2,FALSE))</f>
        <v>SERVENTE COM ENCARGOS COMPLEMENTARES</v>
      </c>
      <c r="N2255" s="342" t="str">
        <f t="shared" ref="N2255:N2261" si="602">IF(B2255="","",IF(M2255=B2255,"si","no"))</f>
        <v>si</v>
      </c>
      <c r="R2255" s="341"/>
      <c r="S2255" s="341"/>
    </row>
    <row r="2256" spans="1:19" ht="12.75" customHeight="1">
      <c r="A2256" s="393"/>
      <c r="C2256" s="20"/>
      <c r="E2256" s="387"/>
      <c r="F2256" s="388">
        <f t="shared" si="599"/>
        <v>0</v>
      </c>
      <c r="H2256" s="341" t="str">
        <f>IF(A2256="","",VLOOKUP(A2256,VII.A!$A$10:$D$199,4,FALSE))</f>
        <v/>
      </c>
      <c r="I2256" s="341" t="str">
        <f t="shared" si="600"/>
        <v/>
      </c>
      <c r="J2256" s="341" t="str">
        <f>IF(A2256="","",VLOOKUP(A2256,VII.A!$A$10:$D$199,3,FALSE))</f>
        <v/>
      </c>
      <c r="K2256" s="342" t="str">
        <f t="shared" si="601"/>
        <v/>
      </c>
      <c r="L2256" s="380" t="str">
        <f>IF(C2256="","",G2219*C2256)</f>
        <v/>
      </c>
      <c r="M2256" s="381" t="str">
        <f>IF(A2256="","",VLOOKUP(A2256,VII.A!$A$10:$B$199,2,FALSE))</f>
        <v/>
      </c>
      <c r="N2256" s="342" t="str">
        <f t="shared" si="602"/>
        <v/>
      </c>
      <c r="R2256" s="341"/>
      <c r="S2256" s="341"/>
    </row>
    <row r="2257" spans="1:25" ht="12.75" customHeight="1">
      <c r="A2257" s="393"/>
      <c r="C2257" s="20"/>
      <c r="E2257" s="387"/>
      <c r="F2257" s="388">
        <f t="shared" si="599"/>
        <v>0</v>
      </c>
      <c r="H2257" s="341" t="str">
        <f>IF(A2257="","",VLOOKUP(A2257,VII.A!$A$10:$D$199,4,FALSE))</f>
        <v/>
      </c>
      <c r="I2257" s="341" t="str">
        <f t="shared" si="600"/>
        <v/>
      </c>
      <c r="J2257" s="341" t="str">
        <f>IF(A2257="","",VLOOKUP(A2257,VII.A!$A$10:$D$199,3,FALSE))</f>
        <v/>
      </c>
      <c r="K2257" s="342" t="str">
        <f t="shared" si="601"/>
        <v/>
      </c>
      <c r="L2257" s="380" t="str">
        <f>IF(C2257="","",G2219*C2257)</f>
        <v/>
      </c>
      <c r="M2257" s="381" t="str">
        <f>IF(A2257="","",VLOOKUP(A2257,VII.A!$A$10:$B$199,2,FALSE))</f>
        <v/>
      </c>
      <c r="N2257" s="342" t="str">
        <f t="shared" si="602"/>
        <v/>
      </c>
      <c r="R2257" s="341"/>
      <c r="S2257" s="341"/>
    </row>
    <row r="2258" spans="1:25" ht="12.75" customHeight="1">
      <c r="A2258" s="393"/>
      <c r="C2258" s="20"/>
      <c r="E2258" s="387"/>
      <c r="F2258" s="388">
        <f t="shared" si="599"/>
        <v>0</v>
      </c>
      <c r="H2258" s="341" t="str">
        <f>IF(A2258="","",VLOOKUP(A2258,VII.A!$A$10:$D$199,4,FALSE))</f>
        <v/>
      </c>
      <c r="I2258" s="341" t="str">
        <f t="shared" si="600"/>
        <v/>
      </c>
      <c r="J2258" s="341" t="str">
        <f>IF(A2258="","",VLOOKUP(A2258,VII.A!$A$10:$D$199,3,FALSE))</f>
        <v/>
      </c>
      <c r="K2258" s="342" t="str">
        <f t="shared" si="601"/>
        <v/>
      </c>
      <c r="L2258" s="380" t="str">
        <f>IF(C2258="","",G2219*C2258)</f>
        <v/>
      </c>
      <c r="M2258" s="381" t="str">
        <f>IF(A2258="","",VLOOKUP(A2258,VII.A!$A$10:$B$199,2,FALSE))</f>
        <v/>
      </c>
      <c r="N2258" s="342" t="str">
        <f t="shared" si="602"/>
        <v/>
      </c>
      <c r="R2258" s="341"/>
      <c r="S2258" s="341"/>
    </row>
    <row r="2259" spans="1:25" ht="12.75" customHeight="1">
      <c r="A2259" s="393"/>
      <c r="C2259" s="20"/>
      <c r="E2259" s="387"/>
      <c r="F2259" s="388">
        <f t="shared" si="599"/>
        <v>0</v>
      </c>
      <c r="H2259" s="341" t="str">
        <f>IF(A2259="","",VLOOKUP(A2259,VII.A!$A$10:$D$199,4,FALSE))</f>
        <v/>
      </c>
      <c r="I2259" s="341" t="str">
        <f t="shared" si="600"/>
        <v/>
      </c>
      <c r="J2259" s="341" t="str">
        <f>IF(A2259="","",VLOOKUP(A2259,VII.A!$A$10:$D$199,3,FALSE))</f>
        <v/>
      </c>
      <c r="K2259" s="342" t="str">
        <f t="shared" si="601"/>
        <v/>
      </c>
      <c r="L2259" s="380" t="str">
        <f>IF(C2259="","",G2219*C2259)</f>
        <v/>
      </c>
      <c r="M2259" s="381" t="str">
        <f>IF(A2259="","",VLOOKUP(A2259,VII.A!$A$10:$B$199,2,FALSE))</f>
        <v/>
      </c>
      <c r="N2259" s="342" t="str">
        <f t="shared" si="602"/>
        <v/>
      </c>
      <c r="R2259" s="341"/>
      <c r="S2259" s="341"/>
    </row>
    <row r="2260" spans="1:25" ht="12.75" customHeight="1">
      <c r="A2260" s="393"/>
      <c r="C2260" s="20"/>
      <c r="E2260" s="387"/>
      <c r="F2260" s="388">
        <f t="shared" si="599"/>
        <v>0</v>
      </c>
      <c r="H2260" s="341" t="str">
        <f>IF(A2260="","",VLOOKUP(A2260,VII.A!$A$10:$D$199,4,FALSE))</f>
        <v/>
      </c>
      <c r="I2260" s="341" t="str">
        <f t="shared" si="600"/>
        <v/>
      </c>
      <c r="J2260" s="341" t="str">
        <f>IF(A2260="","",VLOOKUP(A2260,VII.A!$A$10:$D$199,3,FALSE))</f>
        <v/>
      </c>
      <c r="K2260" s="342" t="str">
        <f t="shared" si="601"/>
        <v/>
      </c>
      <c r="L2260" s="380" t="str">
        <f>IF(C2260="","",G2219*C2260)</f>
        <v/>
      </c>
      <c r="M2260" s="381" t="str">
        <f>IF(A2260="","",VLOOKUP(A2260,VII.A!$A$10:$B$199,2,FALSE))</f>
        <v/>
      </c>
      <c r="N2260" s="342" t="str">
        <f t="shared" si="602"/>
        <v/>
      </c>
      <c r="R2260" s="341"/>
      <c r="S2260" s="341"/>
    </row>
    <row r="2261" spans="1:25" ht="12.75" customHeight="1">
      <c r="A2261" s="393"/>
      <c r="C2261" s="20"/>
      <c r="E2261" s="387"/>
      <c r="F2261" s="388">
        <f t="shared" si="599"/>
        <v>0</v>
      </c>
      <c r="H2261" s="341" t="str">
        <f>IF(A2261="","",VLOOKUP(A2261,VII.A!$A$10:$D$199,4,FALSE))</f>
        <v/>
      </c>
      <c r="I2261" s="341" t="str">
        <f t="shared" si="600"/>
        <v/>
      </c>
      <c r="J2261" s="341" t="str">
        <f>IF(A2261="","",VLOOKUP(A2261,VII.A!$A$10:$D$199,3,FALSE))</f>
        <v/>
      </c>
      <c r="K2261" s="342" t="str">
        <f t="shared" si="601"/>
        <v/>
      </c>
      <c r="L2261" s="380" t="str">
        <f>IF(C2261="","",G2219*C2261)</f>
        <v/>
      </c>
      <c r="M2261" s="381" t="str">
        <f>IF(A2261="","",VLOOKUP(A2261,VII.A!$A$10:$B$199,2,FALSE))</f>
        <v/>
      </c>
      <c r="N2261" s="342" t="str">
        <f t="shared" si="602"/>
        <v/>
      </c>
      <c r="R2261" s="341"/>
      <c r="S2261" s="341"/>
    </row>
    <row r="2262" spans="1:25" ht="12.75" customHeight="1">
      <c r="A2262" s="393"/>
      <c r="B2262" s="395" t="s">
        <v>226</v>
      </c>
      <c r="C2262" s="396"/>
      <c r="D2262" s="397"/>
      <c r="E2262" s="398"/>
      <c r="F2262" s="399">
        <f>SUM(F2255:F2261)</f>
        <v>0</v>
      </c>
      <c r="J2262" s="341"/>
      <c r="L2262" s="380"/>
      <c r="M2262" s="381"/>
      <c r="N2262" s="342"/>
      <c r="R2262" s="341"/>
      <c r="S2262" s="341"/>
    </row>
    <row r="2263" spans="1:25" ht="12.75" customHeight="1">
      <c r="A2263" s="393"/>
      <c r="B2263" s="400" t="s">
        <v>229</v>
      </c>
      <c r="C2263" s="2">
        <f>IX.A!$C$45</f>
        <v>0</v>
      </c>
      <c r="D2263" s="401"/>
      <c r="E2263" s="402"/>
      <c r="F2263" s="403">
        <f>ROUND(F2262*C2263,2)</f>
        <v>0</v>
      </c>
      <c r="J2263" s="341"/>
      <c r="L2263" s="380"/>
      <c r="M2263" s="381"/>
      <c r="N2263" s="342"/>
      <c r="R2263" s="341"/>
      <c r="S2263" s="341"/>
    </row>
    <row r="2264" spans="1:25" ht="12.75" customHeight="1">
      <c r="A2264" s="393"/>
      <c r="B2264" s="400" t="s">
        <v>53</v>
      </c>
      <c r="C2264" s="2">
        <f>$D$8</f>
        <v>0</v>
      </c>
      <c r="D2264" s="401"/>
      <c r="E2264" s="402"/>
      <c r="F2264" s="403">
        <f>ROUND(SUM(F2262:F2263)*C2264,2)</f>
        <v>0</v>
      </c>
      <c r="J2264" s="341"/>
      <c r="L2264" s="380"/>
      <c r="M2264" s="381"/>
      <c r="N2264" s="342"/>
      <c r="R2264" s="341"/>
      <c r="S2264" s="341"/>
    </row>
    <row r="2265" spans="1:25" ht="12.75" customHeight="1" thickBot="1">
      <c r="A2265" s="414"/>
      <c r="B2265" s="415" t="s">
        <v>230</v>
      </c>
      <c r="C2265" s="416"/>
      <c r="D2265" s="416"/>
      <c r="E2265" s="417"/>
      <c r="F2265" s="418">
        <f>SUM(F2262:F2264)</f>
        <v>0</v>
      </c>
      <c r="J2265" s="341"/>
      <c r="L2265" s="380"/>
      <c r="M2265" s="381"/>
      <c r="N2265" s="342"/>
      <c r="R2265" s="341"/>
      <c r="S2265" s="341"/>
    </row>
    <row r="2266" spans="1:25" ht="12.75" customHeight="1" thickBot="1">
      <c r="A2266" s="357"/>
      <c r="B2266" s="358"/>
      <c r="C2266" s="359"/>
      <c r="D2266" s="359"/>
      <c r="E2266" s="360"/>
      <c r="F2266" s="419"/>
      <c r="J2266" s="341"/>
      <c r="L2266" s="380"/>
      <c r="M2266" s="381"/>
      <c r="N2266" s="342"/>
      <c r="R2266" s="341"/>
      <c r="S2266" s="341"/>
    </row>
    <row r="2267" spans="1:25" ht="30" customHeight="1">
      <c r="A2267" s="370" t="str">
        <f>IV.A!A76</f>
        <v>3.4.5</v>
      </c>
      <c r="B2267" s="371" t="str">
        <f>IV.A!B76</f>
        <v xml:space="preserve">ESCAVAÇÃO MECANIZADA DE  VALA EM SOLO DE 1ª CATEGORIA COM PROFUNDIDADE ATÉ 2,0M </v>
      </c>
      <c r="C2267" s="871" t="s">
        <v>237</v>
      </c>
      <c r="D2267" s="872"/>
      <c r="E2267" s="372" t="str">
        <f>IV.A!C76</f>
        <v>M3</v>
      </c>
      <c r="F2267" s="11">
        <f>ROUND(F2287+F2301+F2313,2)</f>
        <v>0</v>
      </c>
      <c r="G2267" s="1">
        <f>VLOOKUP(A2267,IV.A!$A$16:$L$172,4,FALSE)</f>
        <v>10</v>
      </c>
      <c r="H2267" s="361">
        <f>SUM(F2269:F2284)+F2286</f>
        <v>0</v>
      </c>
      <c r="I2267" s="361">
        <f>SUM(F2289:F2298)+F2300</f>
        <v>0</v>
      </c>
      <c r="J2267" s="361">
        <f>SUM(F2303:F2309)+F2311+F2312</f>
        <v>0</v>
      </c>
      <c r="K2267" s="361">
        <f>SUM(H2267:J2267)</f>
        <v>0</v>
      </c>
      <c r="L2267" s="362" t="str">
        <f>IF(K2267=F2267,"SIM","NÃO")</f>
        <v>SIM</v>
      </c>
      <c r="M2267" s="373">
        <f>ROUND(SUM(F2269:F2284),2)+ROUND(SUM(F2269:F2284)*C2286,2)+ROUND(SUM(F2289:F2298)*C2300,2)+ROUND(SUM(F2289:F2298),2)+ROUND(SUM(F2303:F2309)*C2311,2)+ROUND((SUM(F2303:F2309)+ROUND(SUM(F2303:F2309)*C2311,2))*C2312,2)+ROUND(SUM(F2303:F2309),2)</f>
        <v>0</v>
      </c>
      <c r="N2267" s="343" t="str">
        <f>IF(M2267=F2267,"SIM","NÃO")</f>
        <v>SIM</v>
      </c>
      <c r="O2267" s="364" t="str">
        <f>VLOOKUP(A2267,IV.A!$A$16:$E$172,3,FALSE)</f>
        <v>M3</v>
      </c>
      <c r="P2267" s="344" t="str">
        <f>IF(O2267=E2267,"SIM","NÃO")</f>
        <v>SIM</v>
      </c>
      <c r="Q2267" s="365">
        <f>ROUND(G2267*F2287,2)+ROUND(G2267*F2301,2)+ROUND(G2267*F2313,2)</f>
        <v>0</v>
      </c>
      <c r="R2267" s="364">
        <f>VLOOKUP(A2267,IV.A!$A$16:$L$172,12,FALSE)</f>
        <v>0</v>
      </c>
      <c r="S2267" s="366" t="str">
        <f>IF(Q2267=R2267,"si","no")</f>
        <v>si</v>
      </c>
      <c r="T2267" s="367">
        <f>SUM(L2269:L2284)+SUM(L2289:L2298)+SUM(L2303:L2309)</f>
        <v>1.288</v>
      </c>
      <c r="U2267" s="341">
        <f>(SUM(C2269:C2284)+SUM(C2289:C2298)+SUM(C2303:C2309))*G2267</f>
        <v>1.288</v>
      </c>
      <c r="V2267" s="368" t="str">
        <f>IF(T2267=U2267,"si","no")</f>
        <v>si</v>
      </c>
      <c r="W2267" s="369">
        <f>SUM(F2269:F2284)</f>
        <v>0</v>
      </c>
      <c r="X2267" s="369">
        <f>SUM(F2289:F2298)</f>
        <v>0</v>
      </c>
      <c r="Y2267" s="369">
        <f>SUM(F2303:F2309)</f>
        <v>0</v>
      </c>
    </row>
    <row r="2268" spans="1:25" ht="12.75" customHeight="1">
      <c r="A2268" s="374" t="s">
        <v>14</v>
      </c>
      <c r="B2268" s="375" t="s">
        <v>132</v>
      </c>
      <c r="C2268" s="376" t="s">
        <v>231</v>
      </c>
      <c r="D2268" s="376" t="s">
        <v>232</v>
      </c>
      <c r="E2268" s="377" t="s">
        <v>233</v>
      </c>
      <c r="F2268" s="378" t="s">
        <v>234</v>
      </c>
      <c r="G2268" s="379"/>
      <c r="J2268" s="341"/>
      <c r="L2268" s="380"/>
      <c r="M2268" s="381"/>
      <c r="N2268" s="342"/>
      <c r="O2268" s="382"/>
      <c r="P2268" s="383"/>
      <c r="Q2268" s="383"/>
      <c r="R2268" s="383"/>
      <c r="S2268" s="383"/>
      <c r="T2268" s="382"/>
      <c r="U2268" s="341"/>
      <c r="V2268" s="384"/>
      <c r="W2268" s="384"/>
      <c r="X2268" s="384"/>
      <c r="Y2268" s="384"/>
    </row>
    <row r="2269" spans="1:25" ht="12.75" customHeight="1">
      <c r="A2269" s="385"/>
      <c r="B2269" s="386"/>
      <c r="C2269" s="20"/>
      <c r="D2269" s="342"/>
      <c r="E2269" s="387"/>
      <c r="F2269" s="388">
        <f>ROUND(C2269*E2269,2)</f>
        <v>0</v>
      </c>
      <c r="H2269" s="341" t="str">
        <f>IF(A2269="","",VLOOKUP(A2269,VII.A!$A$10:$D$199,4,FALSE))</f>
        <v/>
      </c>
      <c r="I2269" s="341" t="str">
        <f t="shared" ref="I2269:I2284" si="603">IF(A2269="","",IF(E2269=H2269,"SIM","NÃO"))</f>
        <v/>
      </c>
      <c r="J2269" s="341" t="str">
        <f>IF(A2269="","",VLOOKUP(A2269,VII.A!$A$10:$D$199,3,FALSE))</f>
        <v/>
      </c>
      <c r="K2269" s="342" t="str">
        <f t="shared" ref="K2269:K2284" si="604">IF(A2269="","",IF(J2269=D2269,"SIM","NÃO"))</f>
        <v/>
      </c>
      <c r="L2269" s="380" t="str">
        <f>IF(C2269="","",G2267*C2269)</f>
        <v/>
      </c>
      <c r="M2269" s="381" t="str">
        <f>IF(A2269="","",VLOOKUP(A2269,VII.A!$A$10:$B$199,2,FALSE))</f>
        <v/>
      </c>
      <c r="N2269" s="342" t="str">
        <f t="shared" ref="N2269:N2284" si="605">IF(B2269="","",IF(M2269=B2269,"si","no"))</f>
        <v/>
      </c>
      <c r="R2269" s="341"/>
      <c r="S2269" s="341"/>
    </row>
    <row r="2270" spans="1:25" ht="12.75" customHeight="1">
      <c r="A2270" s="385"/>
      <c r="B2270" s="386"/>
      <c r="C2270" s="20"/>
      <c r="D2270" s="342"/>
      <c r="E2270" s="387"/>
      <c r="F2270" s="388">
        <f t="shared" ref="F2270:F2284" si="606">ROUND(C2270*E2270,2)</f>
        <v>0</v>
      </c>
      <c r="H2270" s="341" t="str">
        <f>IF(A2270="","",VLOOKUP(A2270,VII.A!$A$10:$D$199,4,FALSE))</f>
        <v/>
      </c>
      <c r="I2270" s="341" t="str">
        <f t="shared" si="603"/>
        <v/>
      </c>
      <c r="J2270" s="341" t="str">
        <f>IF(A2270="","",VLOOKUP(A2270,VII.A!$A$10:$D$199,3,FALSE))</f>
        <v/>
      </c>
      <c r="K2270" s="342" t="str">
        <f t="shared" si="604"/>
        <v/>
      </c>
      <c r="L2270" s="380" t="str">
        <f>IF(C2270="","",G2267*C2270)</f>
        <v/>
      </c>
      <c r="M2270" s="381" t="str">
        <f>IF(A2270="","",VLOOKUP(A2270,VII.A!$A$10:$B$199,2,FALSE))</f>
        <v/>
      </c>
      <c r="N2270" s="342" t="str">
        <f t="shared" si="605"/>
        <v/>
      </c>
      <c r="R2270" s="341"/>
      <c r="S2270" s="341"/>
    </row>
    <row r="2271" spans="1:25" ht="12.75" customHeight="1">
      <c r="A2271" s="385"/>
      <c r="B2271" s="386"/>
      <c r="C2271" s="20"/>
      <c r="D2271" s="342"/>
      <c r="E2271" s="387"/>
      <c r="F2271" s="388">
        <f t="shared" si="606"/>
        <v>0</v>
      </c>
      <c r="H2271" s="341" t="str">
        <f>IF(A2271="","",VLOOKUP(A2271,VII.A!$A$10:$D$199,4,FALSE))</f>
        <v/>
      </c>
      <c r="I2271" s="341" t="str">
        <f t="shared" si="603"/>
        <v/>
      </c>
      <c r="J2271" s="341" t="str">
        <f>IF(A2271="","",VLOOKUP(A2271,VII.A!$A$10:$D$199,3,FALSE))</f>
        <v/>
      </c>
      <c r="K2271" s="342" t="str">
        <f t="shared" si="604"/>
        <v/>
      </c>
      <c r="L2271" s="380" t="str">
        <f>IF(C2271="","",G2267*C2271)</f>
        <v/>
      </c>
      <c r="M2271" s="381" t="str">
        <f>IF(A2271="","",VLOOKUP(A2271,VII.A!$A$10:$B$199,2,FALSE))</f>
        <v/>
      </c>
      <c r="N2271" s="342" t="str">
        <f t="shared" si="605"/>
        <v/>
      </c>
      <c r="R2271" s="341"/>
      <c r="S2271" s="341"/>
    </row>
    <row r="2272" spans="1:25" ht="12.75" customHeight="1">
      <c r="A2272" s="385"/>
      <c r="B2272" s="386"/>
      <c r="C2272" s="20"/>
      <c r="D2272" s="342"/>
      <c r="E2272" s="387"/>
      <c r="F2272" s="388">
        <f t="shared" si="606"/>
        <v>0</v>
      </c>
      <c r="H2272" s="341" t="str">
        <f>IF(A2272="","",VLOOKUP(A2272,VII.A!$A$10:$D$199,4,FALSE))</f>
        <v/>
      </c>
      <c r="I2272" s="341" t="str">
        <f t="shared" si="603"/>
        <v/>
      </c>
      <c r="J2272" s="341" t="str">
        <f>IF(A2272="","",VLOOKUP(A2272,VII.A!$A$10:$D$199,3,FALSE))</f>
        <v/>
      </c>
      <c r="K2272" s="342" t="str">
        <f t="shared" si="604"/>
        <v/>
      </c>
      <c r="L2272" s="380" t="str">
        <f>IF(C2272="","",G2267*C2272)</f>
        <v/>
      </c>
      <c r="M2272" s="381" t="str">
        <f>IF(A2272="","",VLOOKUP(A2272,VII.A!$A$10:$B$199,2,FALSE))</f>
        <v/>
      </c>
      <c r="N2272" s="342" t="str">
        <f t="shared" si="605"/>
        <v/>
      </c>
      <c r="R2272" s="341"/>
      <c r="S2272" s="341"/>
    </row>
    <row r="2273" spans="1:21" ht="12.75" customHeight="1">
      <c r="A2273" s="385"/>
      <c r="B2273" s="386"/>
      <c r="C2273" s="20"/>
      <c r="D2273" s="342"/>
      <c r="E2273" s="387"/>
      <c r="F2273" s="388">
        <f t="shared" si="606"/>
        <v>0</v>
      </c>
      <c r="H2273" s="341" t="str">
        <f>IF(A2273="","",VLOOKUP(A2273,VII.A!$A$10:$D$199,4,FALSE))</f>
        <v/>
      </c>
      <c r="I2273" s="341" t="str">
        <f t="shared" si="603"/>
        <v/>
      </c>
      <c r="J2273" s="341" t="str">
        <f>IF(A2273="","",VLOOKUP(A2273,VII.A!$A$10:$D$199,3,FALSE))</f>
        <v/>
      </c>
      <c r="K2273" s="342" t="str">
        <f t="shared" si="604"/>
        <v/>
      </c>
      <c r="L2273" s="380" t="str">
        <f>IF(C2273="","",G2267*C2273)</f>
        <v/>
      </c>
      <c r="M2273" s="381" t="str">
        <f>IF(A2273="","",VLOOKUP(A2273,VII.A!$A$10:$B$199,2,FALSE))</f>
        <v/>
      </c>
      <c r="N2273" s="342" t="str">
        <f t="shared" si="605"/>
        <v/>
      </c>
      <c r="R2273" s="341"/>
      <c r="S2273" s="341"/>
    </row>
    <row r="2274" spans="1:21" ht="12.75" customHeight="1">
      <c r="A2274" s="385"/>
      <c r="B2274" s="386"/>
      <c r="C2274" s="20"/>
      <c r="D2274" s="342"/>
      <c r="E2274" s="387"/>
      <c r="F2274" s="388">
        <f t="shared" si="606"/>
        <v>0</v>
      </c>
      <c r="H2274" s="341" t="str">
        <f>IF(A2274="","",VLOOKUP(A2274,VII.A!$A$10:$D$199,4,FALSE))</f>
        <v/>
      </c>
      <c r="I2274" s="341" t="str">
        <f t="shared" si="603"/>
        <v/>
      </c>
      <c r="J2274" s="341" t="str">
        <f>IF(A2274="","",VLOOKUP(A2274,VII.A!$A$10:$D$199,3,FALSE))</f>
        <v/>
      </c>
      <c r="K2274" s="342" t="str">
        <f t="shared" si="604"/>
        <v/>
      </c>
      <c r="L2274" s="380" t="str">
        <f>IF(C2274="","",G2267*C2274)</f>
        <v/>
      </c>
      <c r="M2274" s="381" t="str">
        <f>IF(A2274="","",VLOOKUP(A2274,VII.A!$A$10:$B$199,2,FALSE))</f>
        <v/>
      </c>
      <c r="N2274" s="342" t="str">
        <f t="shared" si="605"/>
        <v/>
      </c>
      <c r="R2274" s="341"/>
      <c r="S2274" s="341"/>
      <c r="U2274" s="389"/>
    </row>
    <row r="2275" spans="1:21" ht="12.75" customHeight="1">
      <c r="A2275" s="385"/>
      <c r="B2275" s="386"/>
      <c r="C2275" s="20"/>
      <c r="D2275" s="342"/>
      <c r="E2275" s="387"/>
      <c r="F2275" s="388">
        <f t="shared" si="606"/>
        <v>0</v>
      </c>
      <c r="H2275" s="341" t="str">
        <f>IF(A2275="","",VLOOKUP(A2275,VII.A!$A$10:$D$199,4,FALSE))</f>
        <v/>
      </c>
      <c r="I2275" s="341" t="str">
        <f t="shared" si="603"/>
        <v/>
      </c>
      <c r="J2275" s="341" t="str">
        <f>IF(A2275="","",VLOOKUP(A2275,VII.A!$A$10:$D$199,3,FALSE))</f>
        <v/>
      </c>
      <c r="K2275" s="342" t="str">
        <f t="shared" si="604"/>
        <v/>
      </c>
      <c r="L2275" s="380" t="str">
        <f>IF(C2275="","",G2267*C2275)</f>
        <v/>
      </c>
      <c r="M2275" s="381" t="str">
        <f>IF(A2275="","",VLOOKUP(A2275,VII.A!$A$10:$B$199,2,FALSE))</f>
        <v/>
      </c>
      <c r="N2275" s="342" t="str">
        <f t="shared" si="605"/>
        <v/>
      </c>
      <c r="R2275" s="341"/>
      <c r="S2275" s="341"/>
    </row>
    <row r="2276" spans="1:21" ht="12.75" customHeight="1">
      <c r="A2276" s="385"/>
      <c r="B2276" s="386"/>
      <c r="C2276" s="20"/>
      <c r="D2276" s="342"/>
      <c r="E2276" s="387"/>
      <c r="F2276" s="388">
        <f t="shared" si="606"/>
        <v>0</v>
      </c>
      <c r="G2276" s="390"/>
      <c r="H2276" s="341" t="str">
        <f>IF(A2276="","",VLOOKUP(A2276,VII.A!$A$10:$D$199,4,FALSE))</f>
        <v/>
      </c>
      <c r="I2276" s="341" t="str">
        <f t="shared" si="603"/>
        <v/>
      </c>
      <c r="J2276" s="341" t="str">
        <f>IF(A2276="","",VLOOKUP(A2276,VII.A!$A$10:$D$199,3,FALSE))</f>
        <v/>
      </c>
      <c r="K2276" s="342" t="str">
        <f t="shared" si="604"/>
        <v/>
      </c>
      <c r="L2276" s="380" t="str">
        <f>IF(C2276="","",G2267*C2276)</f>
        <v/>
      </c>
      <c r="M2276" s="381" t="str">
        <f>IF(A2276="","",VLOOKUP(A2276,VII.A!$A$10:$B$199,2,FALSE))</f>
        <v/>
      </c>
      <c r="N2276" s="342" t="str">
        <f t="shared" si="605"/>
        <v/>
      </c>
      <c r="R2276" s="341"/>
      <c r="S2276" s="341"/>
    </row>
    <row r="2277" spans="1:21" ht="12.75" customHeight="1">
      <c r="A2277" s="385"/>
      <c r="B2277" s="386"/>
      <c r="C2277" s="20"/>
      <c r="D2277" s="342"/>
      <c r="E2277" s="387"/>
      <c r="F2277" s="388">
        <f t="shared" si="606"/>
        <v>0</v>
      </c>
      <c r="G2277" s="390"/>
      <c r="H2277" s="341" t="str">
        <f>IF(A2277="","",VLOOKUP(A2277,VII.A!$A$10:$D$199,4,FALSE))</f>
        <v/>
      </c>
      <c r="I2277" s="341" t="str">
        <f t="shared" si="603"/>
        <v/>
      </c>
      <c r="J2277" s="341" t="str">
        <f>IF(A2277="","",VLOOKUP(A2277,VII.A!$A$10:$D$199,3,FALSE))</f>
        <v/>
      </c>
      <c r="K2277" s="342" t="str">
        <f t="shared" si="604"/>
        <v/>
      </c>
      <c r="L2277" s="380" t="str">
        <f>IF(C2277="","",G2267*C2277)</f>
        <v/>
      </c>
      <c r="M2277" s="381" t="str">
        <f>IF(A2277="","",VLOOKUP(A2277,VII.A!$A$10:$B$199,2,FALSE))</f>
        <v/>
      </c>
      <c r="N2277" s="342" t="str">
        <f t="shared" si="605"/>
        <v/>
      </c>
      <c r="R2277" s="341"/>
      <c r="S2277" s="341"/>
    </row>
    <row r="2278" spans="1:21" ht="12.75" customHeight="1">
      <c r="A2278" s="385"/>
      <c r="B2278" s="386"/>
      <c r="C2278" s="20"/>
      <c r="D2278" s="342"/>
      <c r="E2278" s="387"/>
      <c r="F2278" s="388">
        <f t="shared" si="606"/>
        <v>0</v>
      </c>
      <c r="G2278" s="391"/>
      <c r="H2278" s="341" t="str">
        <f>IF(A2278="","",VLOOKUP(A2278,VII.A!$A$10:$D$199,4,FALSE))</f>
        <v/>
      </c>
      <c r="I2278" s="341" t="str">
        <f t="shared" si="603"/>
        <v/>
      </c>
      <c r="J2278" s="341" t="str">
        <f>IF(A2278="","",VLOOKUP(A2278,VII.A!$A$10:$D$199,3,FALSE))</f>
        <v/>
      </c>
      <c r="K2278" s="342" t="str">
        <f t="shared" si="604"/>
        <v/>
      </c>
      <c r="L2278" s="380" t="str">
        <f>IF(C2278="","",G2267*C2278)</f>
        <v/>
      </c>
      <c r="M2278" s="381" t="str">
        <f>IF(A2278="","",VLOOKUP(A2278,VII.A!$A$10:$B$199,2,FALSE))</f>
        <v/>
      </c>
      <c r="N2278" s="342" t="str">
        <f t="shared" si="605"/>
        <v/>
      </c>
      <c r="R2278" s="341"/>
      <c r="S2278" s="341"/>
    </row>
    <row r="2279" spans="1:21" ht="12.75" customHeight="1">
      <c r="A2279" s="385"/>
      <c r="B2279" s="386"/>
      <c r="C2279" s="20"/>
      <c r="D2279" s="342"/>
      <c r="E2279" s="387"/>
      <c r="F2279" s="388">
        <f t="shared" si="606"/>
        <v>0</v>
      </c>
      <c r="H2279" s="341" t="str">
        <f>IF(A2279="","",VLOOKUP(A2279,VII.A!$A$10:$D$199,4,FALSE))</f>
        <v/>
      </c>
      <c r="I2279" s="341" t="str">
        <f t="shared" si="603"/>
        <v/>
      </c>
      <c r="J2279" s="341" t="str">
        <f>IF(A2279="","",VLOOKUP(A2279,VII.A!$A$10:$D$199,3,FALSE))</f>
        <v/>
      </c>
      <c r="K2279" s="342" t="str">
        <f t="shared" si="604"/>
        <v/>
      </c>
      <c r="L2279" s="380" t="str">
        <f>IF(C2279="","",G2267*C2279)</f>
        <v/>
      </c>
      <c r="M2279" s="381" t="str">
        <f>IF(A2279="","",VLOOKUP(A2279,VII.A!$A$10:$B$199,2,FALSE))</f>
        <v/>
      </c>
      <c r="N2279" s="342" t="str">
        <f t="shared" si="605"/>
        <v/>
      </c>
      <c r="R2279" s="341"/>
      <c r="S2279" s="341"/>
    </row>
    <row r="2280" spans="1:21" ht="12.75" customHeight="1">
      <c r="A2280" s="385"/>
      <c r="B2280" s="386"/>
      <c r="C2280" s="20"/>
      <c r="D2280" s="392"/>
      <c r="E2280" s="387"/>
      <c r="F2280" s="388">
        <f t="shared" si="606"/>
        <v>0</v>
      </c>
      <c r="H2280" s="341" t="str">
        <f>IF(A2280="","",VLOOKUP(A2280,VII.A!$A$10:$D$199,4,FALSE))</f>
        <v/>
      </c>
      <c r="I2280" s="341" t="str">
        <f t="shared" si="603"/>
        <v/>
      </c>
      <c r="J2280" s="341" t="str">
        <f>IF(A2280="","",VLOOKUP(A2280,VII.A!$A$10:$D$199,3,FALSE))</f>
        <v/>
      </c>
      <c r="K2280" s="342" t="str">
        <f t="shared" si="604"/>
        <v/>
      </c>
      <c r="L2280" s="380" t="str">
        <f>IF(C2280="","",G2267*C2280)</f>
        <v/>
      </c>
      <c r="M2280" s="381" t="str">
        <f>IF(A2280="","",VLOOKUP(A2280,VII.A!$A$10:$B$199,2,FALSE))</f>
        <v/>
      </c>
      <c r="N2280" s="342" t="str">
        <f t="shared" si="605"/>
        <v/>
      </c>
      <c r="R2280" s="341"/>
      <c r="S2280" s="341"/>
    </row>
    <row r="2281" spans="1:21" ht="12.75" customHeight="1">
      <c r="A2281" s="385"/>
      <c r="B2281" s="386"/>
      <c r="C2281" s="20"/>
      <c r="D2281" s="392"/>
      <c r="E2281" s="387"/>
      <c r="F2281" s="388">
        <f t="shared" si="606"/>
        <v>0</v>
      </c>
      <c r="H2281" s="341" t="str">
        <f>IF(A2281="","",VLOOKUP(A2281,VII.A!$A$10:$D$199,4,FALSE))</f>
        <v/>
      </c>
      <c r="I2281" s="341" t="str">
        <f t="shared" si="603"/>
        <v/>
      </c>
      <c r="J2281" s="341" t="str">
        <f>IF(A2281="","",VLOOKUP(A2281,VII.A!$A$10:$D$199,3,FALSE))</f>
        <v/>
      </c>
      <c r="K2281" s="342" t="str">
        <f t="shared" si="604"/>
        <v/>
      </c>
      <c r="L2281" s="380" t="str">
        <f>IF(C2281="","",G2267*C2281)</f>
        <v/>
      </c>
      <c r="M2281" s="381" t="str">
        <f>IF(A2281="","",VLOOKUP(A2281,VII.A!$A$10:$B$199,2,FALSE))</f>
        <v/>
      </c>
      <c r="N2281" s="342" t="str">
        <f t="shared" si="605"/>
        <v/>
      </c>
      <c r="O2281" s="342"/>
      <c r="R2281" s="341"/>
      <c r="S2281" s="341"/>
    </row>
    <row r="2282" spans="1:21" ht="12.75" customHeight="1">
      <c r="A2282" s="385"/>
      <c r="B2282" s="386"/>
      <c r="C2282" s="20"/>
      <c r="D2282" s="392"/>
      <c r="E2282" s="387"/>
      <c r="F2282" s="388">
        <f t="shared" si="606"/>
        <v>0</v>
      </c>
      <c r="H2282" s="341" t="str">
        <f>IF(A2282="","",VLOOKUP(A2282,VII.A!$A$10:$D$199,4,FALSE))</f>
        <v/>
      </c>
      <c r="I2282" s="341" t="str">
        <f t="shared" si="603"/>
        <v/>
      </c>
      <c r="J2282" s="341" t="str">
        <f>IF(A2282="","",VLOOKUP(A2282,VII.A!$A$10:$D$199,3,FALSE))</f>
        <v/>
      </c>
      <c r="K2282" s="342" t="str">
        <f t="shared" si="604"/>
        <v/>
      </c>
      <c r="L2282" s="380" t="str">
        <f>IF(C2282="","",G2267*C2282)</f>
        <v/>
      </c>
      <c r="M2282" s="381" t="str">
        <f>IF(A2282="","",VLOOKUP(A2282,VII.A!$A$10:$B$199,2,FALSE))</f>
        <v/>
      </c>
      <c r="N2282" s="342" t="str">
        <f t="shared" si="605"/>
        <v/>
      </c>
      <c r="R2282" s="341"/>
      <c r="S2282" s="341"/>
    </row>
    <row r="2283" spans="1:21" ht="12.75" customHeight="1">
      <c r="A2283" s="393"/>
      <c r="C2283" s="20"/>
      <c r="E2283" s="387"/>
      <c r="F2283" s="388">
        <f t="shared" si="606"/>
        <v>0</v>
      </c>
      <c r="H2283" s="341" t="str">
        <f>IF(A2283="","",VLOOKUP(A2283,VII.A!$A$10:$D$199,4,FALSE))</f>
        <v/>
      </c>
      <c r="I2283" s="341" t="str">
        <f t="shared" si="603"/>
        <v/>
      </c>
      <c r="J2283" s="341" t="str">
        <f>IF(A2283="","",VLOOKUP(A2283,VII.A!$A$10:$D$199,3,FALSE))</f>
        <v/>
      </c>
      <c r="K2283" s="342" t="str">
        <f t="shared" si="604"/>
        <v/>
      </c>
      <c r="L2283" s="380" t="str">
        <f>IF(C2283="","",G2267*C2283)</f>
        <v/>
      </c>
      <c r="M2283" s="381" t="str">
        <f>IF(A2283="","",VLOOKUP(A2283,VII.A!$A$10:$B$199,2,FALSE))</f>
        <v/>
      </c>
      <c r="N2283" s="342" t="str">
        <f t="shared" si="605"/>
        <v/>
      </c>
      <c r="R2283" s="341"/>
      <c r="S2283" s="341"/>
    </row>
    <row r="2284" spans="1:21" ht="12.75" customHeight="1">
      <c r="A2284" s="393"/>
      <c r="C2284" s="20"/>
      <c r="E2284" s="387"/>
      <c r="F2284" s="388">
        <f t="shared" si="606"/>
        <v>0</v>
      </c>
      <c r="H2284" s="341" t="str">
        <f>IF(A2284="","",VLOOKUP(A2284,VII.A!$A$10:$D$199,4,FALSE))</f>
        <v/>
      </c>
      <c r="I2284" s="341" t="str">
        <f t="shared" si="603"/>
        <v/>
      </c>
      <c r="J2284" s="341" t="str">
        <f>IF(A2284="","",VLOOKUP(A2284,VII.A!$A$10:$D$199,3,FALSE))</f>
        <v/>
      </c>
      <c r="K2284" s="342" t="str">
        <f t="shared" si="604"/>
        <v/>
      </c>
      <c r="L2284" s="380" t="str">
        <f>IF(C2284="","",G2267*C2284)</f>
        <v/>
      </c>
      <c r="M2284" s="381" t="str">
        <f>IF(A2284="","",VLOOKUP(A2284,VII.A!$A$10:$B$199,2,FALSE))</f>
        <v/>
      </c>
      <c r="N2284" s="342" t="str">
        <f t="shared" si="605"/>
        <v/>
      </c>
      <c r="R2284" s="341"/>
      <c r="S2284" s="341"/>
    </row>
    <row r="2285" spans="1:21" ht="12.75" customHeight="1">
      <c r="A2285" s="393"/>
      <c r="B2285" s="395" t="s">
        <v>226</v>
      </c>
      <c r="C2285" s="396"/>
      <c r="D2285" s="397"/>
      <c r="E2285" s="398"/>
      <c r="F2285" s="399">
        <f>SUM(F2269:F2284)</f>
        <v>0</v>
      </c>
      <c r="J2285" s="341"/>
      <c r="L2285" s="380"/>
      <c r="M2285" s="381"/>
      <c r="N2285" s="342"/>
      <c r="R2285" s="341"/>
      <c r="S2285" s="341"/>
    </row>
    <row r="2286" spans="1:21" ht="12.75" customHeight="1">
      <c r="A2286" s="393"/>
      <c r="B2286" s="400" t="s">
        <v>53</v>
      </c>
      <c r="C2286" s="2">
        <f>$D$8</f>
        <v>0</v>
      </c>
      <c r="D2286" s="401"/>
      <c r="E2286" s="402"/>
      <c r="F2286" s="403">
        <f>ROUND(F2285*C2286,2)</f>
        <v>0</v>
      </c>
      <c r="H2286" s="426" t="s">
        <v>471</v>
      </c>
      <c r="J2286" s="341"/>
      <c r="L2286" s="380"/>
      <c r="M2286" s="381"/>
      <c r="N2286" s="342"/>
      <c r="R2286" s="341"/>
      <c r="S2286" s="341"/>
    </row>
    <row r="2287" spans="1:21" ht="12.75" customHeight="1">
      <c r="A2287" s="404"/>
      <c r="B2287" s="405" t="s">
        <v>227</v>
      </c>
      <c r="C2287" s="406"/>
      <c r="D2287" s="406"/>
      <c r="E2287" s="407"/>
      <c r="F2287" s="408">
        <f>F2285+F2286</f>
        <v>0</v>
      </c>
      <c r="J2287" s="341"/>
      <c r="L2287" s="380"/>
      <c r="M2287" s="381"/>
      <c r="N2287" s="342"/>
      <c r="R2287" s="341"/>
      <c r="S2287" s="341"/>
    </row>
    <row r="2288" spans="1:21" ht="12.75" customHeight="1">
      <c r="A2288" s="374" t="s">
        <v>2</v>
      </c>
      <c r="B2288" s="375" t="s">
        <v>235</v>
      </c>
      <c r="C2288" s="376" t="s">
        <v>231</v>
      </c>
      <c r="D2288" s="376" t="s">
        <v>232</v>
      </c>
      <c r="E2288" s="377" t="s">
        <v>233</v>
      </c>
      <c r="F2288" s="378" t="s">
        <v>234</v>
      </c>
      <c r="J2288" s="341"/>
      <c r="L2288" s="380"/>
      <c r="M2288" s="381"/>
      <c r="N2288" s="342"/>
      <c r="R2288" s="341"/>
      <c r="S2288" s="341"/>
    </row>
    <row r="2289" spans="1:19" ht="12.75" customHeight="1">
      <c r="A2289" s="393" t="str">
        <f>VII.A!A166</f>
        <v>2.24</v>
      </c>
      <c r="B2289" s="423" t="str">
        <f>VII.A!B166</f>
        <v>RETRO ESCAVADEIRA A DIESEL SOBRE PNEUS - CAÇAMBA PÁ CARREGADEIRA DE 0,75 M3 - POTÊNCIA 75 CV - CHP</v>
      </c>
      <c r="C2289" s="20">
        <v>6.4399999999999999E-2</v>
      </c>
      <c r="D2289" s="384" t="str">
        <f>VII.A!C166</f>
        <v>CHP</v>
      </c>
      <c r="E2289" s="387">
        <f>VII.A!D166</f>
        <v>0</v>
      </c>
      <c r="F2289" s="388">
        <f t="shared" ref="F2289:F2298" si="607">ROUND(C2289*E2289,2)</f>
        <v>0</v>
      </c>
      <c r="H2289" s="341">
        <f>IF(A2289="","",VLOOKUP(A2289,VII.A!$A$10:$D$199,4,FALSE))</f>
        <v>0</v>
      </c>
      <c r="I2289" s="341" t="str">
        <f t="shared" ref="I2289:I2298" si="608">IF(A2289="","",IF(E2289=H2289,"SIM","NÃO"))</f>
        <v>SIM</v>
      </c>
      <c r="J2289" s="341" t="str">
        <f>IF(A2289="","",VLOOKUP(A2289,VII.A!$A$10:$D$199,3,FALSE))</f>
        <v>CHP</v>
      </c>
      <c r="K2289" s="342" t="str">
        <f t="shared" ref="K2289:K2298" si="609">IF(A2289="","",IF(J2289=D2289,"SIM","NÃO"))</f>
        <v>SIM</v>
      </c>
      <c r="L2289" s="380">
        <f>IF(C2289="","",G2267*C2289)</f>
        <v>0.64400000000000002</v>
      </c>
      <c r="M2289" s="381" t="str">
        <f>IF(A2289="","",VLOOKUP(A2289,VII.A!$A$10:$B$199,2,FALSE))</f>
        <v>RETRO ESCAVADEIRA A DIESEL SOBRE PNEUS - CAÇAMBA PÁ CARREGADEIRA DE 0,75 M3 - POTÊNCIA 75 CV - CHP</v>
      </c>
      <c r="N2289" s="342" t="str">
        <f t="shared" ref="N2289:N2298" si="610">IF(B2289="","",IF(M2289=B2289,"si","no"))</f>
        <v>si</v>
      </c>
      <c r="R2289" s="341"/>
      <c r="S2289" s="341"/>
    </row>
    <row r="2290" spans="1:19" ht="12.75" customHeight="1">
      <c r="A2290" s="393"/>
      <c r="C2290" s="20"/>
      <c r="E2290" s="387"/>
      <c r="F2290" s="388">
        <f t="shared" si="607"/>
        <v>0</v>
      </c>
      <c r="H2290" s="341" t="str">
        <f>IF(A2290="","",VLOOKUP(A2290,VII.A!$A$10:$D$199,4,FALSE))</f>
        <v/>
      </c>
      <c r="I2290" s="341" t="str">
        <f t="shared" si="608"/>
        <v/>
      </c>
      <c r="J2290" s="341" t="str">
        <f>IF(A2290="","",VLOOKUP(A2290,VII.A!$A$10:$D$199,3,FALSE))</f>
        <v/>
      </c>
      <c r="K2290" s="342" t="str">
        <f t="shared" si="609"/>
        <v/>
      </c>
      <c r="L2290" s="380" t="str">
        <f>IF(C2290="","",G2267*C2290)</f>
        <v/>
      </c>
      <c r="M2290" s="381" t="str">
        <f>IF(A2290="","",VLOOKUP(A2290,VII.A!$A$10:$B$199,2,FALSE))</f>
        <v/>
      </c>
      <c r="N2290" s="342" t="str">
        <f t="shared" si="610"/>
        <v/>
      </c>
      <c r="R2290" s="341"/>
      <c r="S2290" s="341"/>
    </row>
    <row r="2291" spans="1:19" ht="12.75" customHeight="1">
      <c r="A2291" s="393"/>
      <c r="C2291" s="20"/>
      <c r="E2291" s="387"/>
      <c r="F2291" s="388">
        <f t="shared" si="607"/>
        <v>0</v>
      </c>
      <c r="H2291" s="341" t="str">
        <f>IF(A2291="","",VLOOKUP(A2291,VII.A!$A$10:$D$199,4,FALSE))</f>
        <v/>
      </c>
      <c r="I2291" s="341" t="str">
        <f t="shared" si="608"/>
        <v/>
      </c>
      <c r="J2291" s="341" t="str">
        <f>IF(A2291="","",VLOOKUP(A2291,VII.A!$A$10:$D$199,3,FALSE))</f>
        <v/>
      </c>
      <c r="K2291" s="342" t="str">
        <f t="shared" si="609"/>
        <v/>
      </c>
      <c r="L2291" s="380" t="str">
        <f>IF(C2291="","",G2267*C2291)</f>
        <v/>
      </c>
      <c r="M2291" s="381" t="str">
        <f>IF(A2291="","",VLOOKUP(A2291,VII.A!$A$10:$B$199,2,FALSE))</f>
        <v/>
      </c>
      <c r="N2291" s="342" t="str">
        <f t="shared" si="610"/>
        <v/>
      </c>
      <c r="R2291" s="341"/>
      <c r="S2291" s="341"/>
    </row>
    <row r="2292" spans="1:19" ht="12.75" customHeight="1">
      <c r="A2292" s="393"/>
      <c r="C2292" s="20"/>
      <c r="E2292" s="387"/>
      <c r="F2292" s="388">
        <f t="shared" si="607"/>
        <v>0</v>
      </c>
      <c r="H2292" s="341" t="str">
        <f>IF(A2292="","",VLOOKUP(A2292,VII.A!$A$10:$D$199,4,FALSE))</f>
        <v/>
      </c>
      <c r="I2292" s="341" t="str">
        <f t="shared" si="608"/>
        <v/>
      </c>
      <c r="J2292" s="341" t="str">
        <f>IF(A2292="","",VLOOKUP(A2292,VII.A!$A$10:$D$199,3,FALSE))</f>
        <v/>
      </c>
      <c r="K2292" s="342" t="str">
        <f t="shared" si="609"/>
        <v/>
      </c>
      <c r="L2292" s="380" t="str">
        <f>IF(C2292="","",G2267*C2292)</f>
        <v/>
      </c>
      <c r="M2292" s="381" t="str">
        <f>IF(A2292="","",VLOOKUP(A2292,VII.A!$A$10:$B$199,2,FALSE))</f>
        <v/>
      </c>
      <c r="N2292" s="342" t="str">
        <f t="shared" si="610"/>
        <v/>
      </c>
      <c r="R2292" s="341"/>
      <c r="S2292" s="341"/>
    </row>
    <row r="2293" spans="1:19" ht="12.75" customHeight="1">
      <c r="A2293" s="393"/>
      <c r="C2293" s="20"/>
      <c r="E2293" s="387"/>
      <c r="F2293" s="388">
        <f t="shared" si="607"/>
        <v>0</v>
      </c>
      <c r="G2293" s="390"/>
      <c r="H2293" s="341" t="str">
        <f>IF(A2293="","",VLOOKUP(A2293,VII.A!$A$10:$D$199,4,FALSE))</f>
        <v/>
      </c>
      <c r="I2293" s="341" t="str">
        <f t="shared" si="608"/>
        <v/>
      </c>
      <c r="J2293" s="341" t="str">
        <f>IF(A2293="","",VLOOKUP(A2293,VII.A!$A$10:$D$199,3,FALSE))</f>
        <v/>
      </c>
      <c r="K2293" s="342" t="str">
        <f t="shared" si="609"/>
        <v/>
      </c>
      <c r="L2293" s="380" t="str">
        <f>IF(C2293="","",G2267*C2293)</f>
        <v/>
      </c>
      <c r="M2293" s="381" t="str">
        <f>IF(A2293="","",VLOOKUP(A2293,VII.A!$A$10:$B$199,2,FALSE))</f>
        <v/>
      </c>
      <c r="N2293" s="342" t="str">
        <f t="shared" si="610"/>
        <v/>
      </c>
      <c r="R2293" s="341"/>
      <c r="S2293" s="341"/>
    </row>
    <row r="2294" spans="1:19" ht="12.75" customHeight="1">
      <c r="A2294" s="393"/>
      <c r="C2294" s="20"/>
      <c r="E2294" s="387"/>
      <c r="F2294" s="388">
        <f t="shared" si="607"/>
        <v>0</v>
      </c>
      <c r="G2294" s="391"/>
      <c r="H2294" s="341" t="str">
        <f>IF(A2294="","",VLOOKUP(A2294,VII.A!$A$10:$D$199,4,FALSE))</f>
        <v/>
      </c>
      <c r="I2294" s="341" t="str">
        <f t="shared" si="608"/>
        <v/>
      </c>
      <c r="J2294" s="341" t="str">
        <f>IF(A2294="","",VLOOKUP(A2294,VII.A!$A$10:$D$199,3,FALSE))</f>
        <v/>
      </c>
      <c r="K2294" s="342" t="str">
        <f t="shared" si="609"/>
        <v/>
      </c>
      <c r="L2294" s="380" t="str">
        <f>IF(C2294="","",G2267*C2294)</f>
        <v/>
      </c>
      <c r="M2294" s="381" t="str">
        <f>IF(A2294="","",VLOOKUP(A2294,VII.A!$A$10:$B$199,2,FALSE))</f>
        <v/>
      </c>
      <c r="N2294" s="342" t="str">
        <f t="shared" si="610"/>
        <v/>
      </c>
      <c r="R2294" s="341"/>
      <c r="S2294" s="341"/>
    </row>
    <row r="2295" spans="1:19" ht="12.75" customHeight="1">
      <c r="A2295" s="393"/>
      <c r="C2295" s="20"/>
      <c r="E2295" s="387"/>
      <c r="F2295" s="388">
        <f t="shared" si="607"/>
        <v>0</v>
      </c>
      <c r="H2295" s="341" t="str">
        <f>IF(A2295="","",VLOOKUP(A2295,VII.A!$A$10:$D$199,4,FALSE))</f>
        <v/>
      </c>
      <c r="I2295" s="341" t="str">
        <f t="shared" si="608"/>
        <v/>
      </c>
      <c r="J2295" s="341" t="str">
        <f>IF(A2295="","",VLOOKUP(A2295,VII.A!$A$10:$D$199,3,FALSE))</f>
        <v/>
      </c>
      <c r="K2295" s="342" t="str">
        <f t="shared" si="609"/>
        <v/>
      </c>
      <c r="L2295" s="380" t="str">
        <f>IF(C2295="","",G2267*C2295)</f>
        <v/>
      </c>
      <c r="M2295" s="381" t="str">
        <f>IF(A2295="","",VLOOKUP(A2295,VII.A!$A$10:$B$199,2,FALSE))</f>
        <v/>
      </c>
      <c r="N2295" s="342" t="str">
        <f t="shared" si="610"/>
        <v/>
      </c>
      <c r="R2295" s="341"/>
      <c r="S2295" s="341"/>
    </row>
    <row r="2296" spans="1:19" ht="12.75" customHeight="1">
      <c r="A2296" s="393"/>
      <c r="C2296" s="20"/>
      <c r="E2296" s="387"/>
      <c r="F2296" s="388">
        <f t="shared" si="607"/>
        <v>0</v>
      </c>
      <c r="H2296" s="341" t="str">
        <f>IF(A2296="","",VLOOKUP(A2296,VII.A!$A$10:$D$199,4,FALSE))</f>
        <v/>
      </c>
      <c r="I2296" s="341" t="str">
        <f t="shared" si="608"/>
        <v/>
      </c>
      <c r="J2296" s="341" t="str">
        <f>IF(A2296="","",VLOOKUP(A2296,VII.A!$A$10:$D$199,3,FALSE))</f>
        <v/>
      </c>
      <c r="K2296" s="342" t="str">
        <f t="shared" si="609"/>
        <v/>
      </c>
      <c r="L2296" s="380" t="str">
        <f>IF(C2296="","",G2267*C2296)</f>
        <v/>
      </c>
      <c r="M2296" s="381" t="str">
        <f>IF(A2296="","",VLOOKUP(A2296,VII.A!$A$10:$B$199,2,FALSE))</f>
        <v/>
      </c>
      <c r="N2296" s="342" t="str">
        <f t="shared" si="610"/>
        <v/>
      </c>
      <c r="R2296" s="341"/>
      <c r="S2296" s="341"/>
    </row>
    <row r="2297" spans="1:19" ht="12.75" customHeight="1">
      <c r="A2297" s="393"/>
      <c r="C2297" s="20"/>
      <c r="E2297" s="387"/>
      <c r="F2297" s="388">
        <f t="shared" si="607"/>
        <v>0</v>
      </c>
      <c r="H2297" s="341" t="str">
        <f>IF(A2297="","",VLOOKUP(A2297,VII.A!$A$10:$D$199,4,FALSE))</f>
        <v/>
      </c>
      <c r="I2297" s="341" t="str">
        <f t="shared" si="608"/>
        <v/>
      </c>
      <c r="J2297" s="341" t="str">
        <f>IF(A2297="","",VLOOKUP(A2297,VII.A!$A$10:$D$199,3,FALSE))</f>
        <v/>
      </c>
      <c r="K2297" s="342" t="str">
        <f t="shared" si="609"/>
        <v/>
      </c>
      <c r="L2297" s="380" t="str">
        <f>IF(C2297="","",G2267*C2297)</f>
        <v/>
      </c>
      <c r="M2297" s="381" t="str">
        <f>IF(A2297="","",VLOOKUP(A2297,VII.A!$A$10:$B$199,2,FALSE))</f>
        <v/>
      </c>
      <c r="N2297" s="342" t="str">
        <f t="shared" si="610"/>
        <v/>
      </c>
      <c r="R2297" s="341"/>
      <c r="S2297" s="341"/>
    </row>
    <row r="2298" spans="1:19" ht="12.75" customHeight="1">
      <c r="A2298" s="393"/>
      <c r="C2298" s="20"/>
      <c r="E2298" s="387"/>
      <c r="F2298" s="388">
        <f t="shared" si="607"/>
        <v>0</v>
      </c>
      <c r="H2298" s="341" t="str">
        <f>IF(A2298="","",VLOOKUP(A2298,VII.A!$A$10:$D$199,4,FALSE))</f>
        <v/>
      </c>
      <c r="I2298" s="341" t="str">
        <f t="shared" si="608"/>
        <v/>
      </c>
      <c r="J2298" s="341" t="str">
        <f>IF(A2298="","",VLOOKUP(A2298,VII.A!$A$10:$D$199,3,FALSE))</f>
        <v/>
      </c>
      <c r="K2298" s="342" t="str">
        <f t="shared" si="609"/>
        <v/>
      </c>
      <c r="L2298" s="380" t="str">
        <f>IF(C2298="","",G2267*C2298)</f>
        <v/>
      </c>
      <c r="M2298" s="381" t="str">
        <f>IF(A2298="","",VLOOKUP(A2298,VII.A!$A$10:$B$199,2,FALSE))</f>
        <v/>
      </c>
      <c r="N2298" s="342" t="str">
        <f t="shared" si="610"/>
        <v/>
      </c>
      <c r="R2298" s="341"/>
      <c r="S2298" s="341"/>
    </row>
    <row r="2299" spans="1:19" ht="12.75" customHeight="1">
      <c r="A2299" s="393"/>
      <c r="B2299" s="395" t="s">
        <v>226</v>
      </c>
      <c r="C2299" s="396"/>
      <c r="D2299" s="397"/>
      <c r="E2299" s="398"/>
      <c r="F2299" s="399">
        <f>SUM(F2289:F2298)</f>
        <v>0</v>
      </c>
      <c r="J2299" s="341"/>
      <c r="L2299" s="380"/>
      <c r="M2299" s="381"/>
      <c r="N2299" s="342"/>
      <c r="R2299" s="341"/>
      <c r="S2299" s="341"/>
    </row>
    <row r="2300" spans="1:19" ht="12.75" customHeight="1">
      <c r="A2300" s="393"/>
      <c r="B2300" s="400" t="s">
        <v>53</v>
      </c>
      <c r="C2300" s="2">
        <f>$D$8</f>
        <v>0</v>
      </c>
      <c r="D2300" s="401"/>
      <c r="E2300" s="402"/>
      <c r="F2300" s="403">
        <f>ROUND(C2300*F2299,2)</f>
        <v>0</v>
      </c>
      <c r="J2300" s="341"/>
      <c r="L2300" s="380"/>
      <c r="M2300" s="381"/>
      <c r="N2300" s="342"/>
      <c r="R2300" s="341"/>
      <c r="S2300" s="341"/>
    </row>
    <row r="2301" spans="1:19" ht="12.75" customHeight="1">
      <c r="A2301" s="404"/>
      <c r="B2301" s="405" t="s">
        <v>228</v>
      </c>
      <c r="C2301" s="406"/>
      <c r="D2301" s="406"/>
      <c r="E2301" s="407"/>
      <c r="F2301" s="408">
        <f>F2299+F2300</f>
        <v>0</v>
      </c>
      <c r="J2301" s="341"/>
      <c r="L2301" s="380"/>
      <c r="M2301" s="381"/>
      <c r="N2301" s="342"/>
      <c r="R2301" s="341"/>
      <c r="S2301" s="341"/>
    </row>
    <row r="2302" spans="1:19" ht="12.75" customHeight="1">
      <c r="A2302" s="409" t="s">
        <v>47</v>
      </c>
      <c r="B2302" s="410" t="s">
        <v>236</v>
      </c>
      <c r="C2302" s="411" t="s">
        <v>231</v>
      </c>
      <c r="D2302" s="412" t="s">
        <v>232</v>
      </c>
      <c r="E2302" s="413" t="s">
        <v>233</v>
      </c>
      <c r="F2302" s="378" t="s">
        <v>234</v>
      </c>
      <c r="J2302" s="341"/>
      <c r="L2302" s="380"/>
      <c r="M2302" s="381"/>
      <c r="N2302" s="342"/>
      <c r="R2302" s="341"/>
      <c r="S2302" s="341"/>
    </row>
    <row r="2303" spans="1:19" ht="12.75" customHeight="1">
      <c r="A2303" s="393" t="str">
        <f>VII.A!$A$196</f>
        <v>3.16</v>
      </c>
      <c r="B2303" s="394" t="s">
        <v>157</v>
      </c>
      <c r="C2303" s="20">
        <v>6.4399999999999999E-2</v>
      </c>
      <c r="D2303" s="384" t="str">
        <f>VLOOKUP(A2303,VII.A!$A$10:$G$199,3,FALSE)</f>
        <v>H</v>
      </c>
      <c r="E2303" s="387">
        <f>VII.A!$D$196</f>
        <v>0</v>
      </c>
      <c r="F2303" s="388">
        <f t="shared" ref="F2303:F2309" si="611">ROUND(C2303*E2303,2)</f>
        <v>0</v>
      </c>
      <c r="H2303" s="341">
        <f>IF(A2303="","",VLOOKUP(A2303,VII.A!$A$10:$D$199,4,FALSE))</f>
        <v>0</v>
      </c>
      <c r="I2303" s="341" t="str">
        <f t="shared" ref="I2303:I2309" si="612">IF(A2303="","",IF(E2303=H2303,"SIM","NÃO"))</f>
        <v>SIM</v>
      </c>
      <c r="J2303" s="341" t="str">
        <f>IF(A2303="","",VLOOKUP(A2303,VII.A!$A$10:$D$199,3,FALSE))</f>
        <v>H</v>
      </c>
      <c r="K2303" s="342" t="str">
        <f t="shared" ref="K2303:K2309" si="613">IF(A2303="","",IF(J2303=D2303,"SIM","NÃO"))</f>
        <v>SIM</v>
      </c>
      <c r="L2303" s="380">
        <f>IF(C2303="","",G2267*C2303)</f>
        <v>0.64400000000000002</v>
      </c>
      <c r="M2303" s="381" t="str">
        <f>IF(A2303="","",VLOOKUP(A2303,VII.A!$A$10:$B$199,2,FALSE))</f>
        <v>SERVENTE COM ENCARGOS COMPLEMENTARES</v>
      </c>
      <c r="N2303" s="342" t="str">
        <f t="shared" ref="N2303:N2309" si="614">IF(B2303="","",IF(M2303=B2303,"si","no"))</f>
        <v>si</v>
      </c>
      <c r="R2303" s="341"/>
      <c r="S2303" s="341"/>
    </row>
    <row r="2304" spans="1:19" ht="12.75" customHeight="1">
      <c r="A2304" s="393"/>
      <c r="C2304" s="20"/>
      <c r="E2304" s="387"/>
      <c r="F2304" s="388">
        <f t="shared" si="611"/>
        <v>0</v>
      </c>
      <c r="H2304" s="341" t="str">
        <f>IF(A2304="","",VLOOKUP(A2304,VII.A!$A$10:$D$199,4,FALSE))</f>
        <v/>
      </c>
      <c r="I2304" s="341" t="str">
        <f t="shared" si="612"/>
        <v/>
      </c>
      <c r="J2304" s="341" t="str">
        <f>IF(A2304="","",VLOOKUP(A2304,VII.A!$A$10:$D$199,3,FALSE))</f>
        <v/>
      </c>
      <c r="K2304" s="342" t="str">
        <f t="shared" si="613"/>
        <v/>
      </c>
      <c r="L2304" s="380" t="str">
        <f>IF(C2304="","",G2267*C2304)</f>
        <v/>
      </c>
      <c r="M2304" s="381" t="str">
        <f>IF(A2304="","",VLOOKUP(A2304,VII.A!$A$10:$B$199,2,FALSE))</f>
        <v/>
      </c>
      <c r="N2304" s="342" t="str">
        <f t="shared" si="614"/>
        <v/>
      </c>
      <c r="R2304" s="341"/>
      <c r="S2304" s="341"/>
    </row>
    <row r="2305" spans="1:25" ht="12.75" customHeight="1">
      <c r="A2305" s="393"/>
      <c r="C2305" s="20"/>
      <c r="E2305" s="387"/>
      <c r="F2305" s="388">
        <f t="shared" si="611"/>
        <v>0</v>
      </c>
      <c r="H2305" s="341" t="str">
        <f>IF(A2305="","",VLOOKUP(A2305,VII.A!$A$10:$D$199,4,FALSE))</f>
        <v/>
      </c>
      <c r="I2305" s="341" t="str">
        <f t="shared" si="612"/>
        <v/>
      </c>
      <c r="J2305" s="341" t="str">
        <f>IF(A2305="","",VLOOKUP(A2305,VII.A!$A$10:$D$199,3,FALSE))</f>
        <v/>
      </c>
      <c r="K2305" s="342" t="str">
        <f t="shared" si="613"/>
        <v/>
      </c>
      <c r="L2305" s="380" t="str">
        <f>IF(C2305="","",G2267*C2305)</f>
        <v/>
      </c>
      <c r="M2305" s="381" t="str">
        <f>IF(A2305="","",VLOOKUP(A2305,VII.A!$A$10:$B$199,2,FALSE))</f>
        <v/>
      </c>
      <c r="N2305" s="342" t="str">
        <f t="shared" si="614"/>
        <v/>
      </c>
      <c r="R2305" s="341"/>
      <c r="S2305" s="341"/>
    </row>
    <row r="2306" spans="1:25" ht="12.75" customHeight="1">
      <c r="A2306" s="393"/>
      <c r="C2306" s="20"/>
      <c r="E2306" s="387"/>
      <c r="F2306" s="388">
        <f t="shared" si="611"/>
        <v>0</v>
      </c>
      <c r="H2306" s="341" t="str">
        <f>IF(A2306="","",VLOOKUP(A2306,VII.A!$A$10:$D$199,4,FALSE))</f>
        <v/>
      </c>
      <c r="I2306" s="341" t="str">
        <f t="shared" si="612"/>
        <v/>
      </c>
      <c r="J2306" s="341" t="str">
        <f>IF(A2306="","",VLOOKUP(A2306,VII.A!$A$10:$D$199,3,FALSE))</f>
        <v/>
      </c>
      <c r="K2306" s="342" t="str">
        <f t="shared" si="613"/>
        <v/>
      </c>
      <c r="L2306" s="380" t="str">
        <f>IF(C2306="","",G2267*C2306)</f>
        <v/>
      </c>
      <c r="M2306" s="381" t="str">
        <f>IF(A2306="","",VLOOKUP(A2306,VII.A!$A$10:$B$199,2,FALSE))</f>
        <v/>
      </c>
      <c r="N2306" s="342" t="str">
        <f t="shared" si="614"/>
        <v/>
      </c>
      <c r="R2306" s="341"/>
      <c r="S2306" s="341"/>
    </row>
    <row r="2307" spans="1:25" ht="12.75" customHeight="1">
      <c r="A2307" s="393"/>
      <c r="C2307" s="20"/>
      <c r="E2307" s="387"/>
      <c r="F2307" s="388">
        <f t="shared" si="611"/>
        <v>0</v>
      </c>
      <c r="H2307" s="341" t="str">
        <f>IF(A2307="","",VLOOKUP(A2307,VII.A!$A$10:$D$199,4,FALSE))</f>
        <v/>
      </c>
      <c r="I2307" s="341" t="str">
        <f t="shared" si="612"/>
        <v/>
      </c>
      <c r="J2307" s="341" t="str">
        <f>IF(A2307="","",VLOOKUP(A2307,VII.A!$A$10:$D$199,3,FALSE))</f>
        <v/>
      </c>
      <c r="K2307" s="342" t="str">
        <f t="shared" si="613"/>
        <v/>
      </c>
      <c r="L2307" s="380" t="str">
        <f>IF(C2307="","",G2267*C2307)</f>
        <v/>
      </c>
      <c r="M2307" s="381" t="str">
        <f>IF(A2307="","",VLOOKUP(A2307,VII.A!$A$10:$B$199,2,FALSE))</f>
        <v/>
      </c>
      <c r="N2307" s="342" t="str">
        <f t="shared" si="614"/>
        <v/>
      </c>
      <c r="R2307" s="341"/>
      <c r="S2307" s="341"/>
    </row>
    <row r="2308" spans="1:25" ht="12.75" customHeight="1">
      <c r="A2308" s="393"/>
      <c r="C2308" s="20"/>
      <c r="E2308" s="387"/>
      <c r="F2308" s="388">
        <f t="shared" si="611"/>
        <v>0</v>
      </c>
      <c r="H2308" s="341" t="str">
        <f>IF(A2308="","",VLOOKUP(A2308,VII.A!$A$10:$D$199,4,FALSE))</f>
        <v/>
      </c>
      <c r="I2308" s="341" t="str">
        <f t="shared" si="612"/>
        <v/>
      </c>
      <c r="J2308" s="341" t="str">
        <f>IF(A2308="","",VLOOKUP(A2308,VII.A!$A$10:$D$199,3,FALSE))</f>
        <v/>
      </c>
      <c r="K2308" s="342" t="str">
        <f t="shared" si="613"/>
        <v/>
      </c>
      <c r="L2308" s="380" t="str">
        <f>IF(C2308="","",G2267*C2308)</f>
        <v/>
      </c>
      <c r="M2308" s="381" t="str">
        <f>IF(A2308="","",VLOOKUP(A2308,VII.A!$A$10:$B$199,2,FALSE))</f>
        <v/>
      </c>
      <c r="N2308" s="342" t="str">
        <f t="shared" si="614"/>
        <v/>
      </c>
      <c r="R2308" s="341"/>
      <c r="S2308" s="341"/>
    </row>
    <row r="2309" spans="1:25" ht="12.75" customHeight="1">
      <c r="A2309" s="393"/>
      <c r="C2309" s="20"/>
      <c r="E2309" s="387"/>
      <c r="F2309" s="388">
        <f t="shared" si="611"/>
        <v>0</v>
      </c>
      <c r="H2309" s="341" t="str">
        <f>IF(A2309="","",VLOOKUP(A2309,VII.A!$A$10:$D$199,4,FALSE))</f>
        <v/>
      </c>
      <c r="I2309" s="341" t="str">
        <f t="shared" si="612"/>
        <v/>
      </c>
      <c r="J2309" s="341" t="str">
        <f>IF(A2309="","",VLOOKUP(A2309,VII.A!$A$10:$D$199,3,FALSE))</f>
        <v/>
      </c>
      <c r="K2309" s="342" t="str">
        <f t="shared" si="613"/>
        <v/>
      </c>
      <c r="L2309" s="380" t="str">
        <f>IF(C2309="","",G2267*C2309)</f>
        <v/>
      </c>
      <c r="M2309" s="381" t="str">
        <f>IF(A2309="","",VLOOKUP(A2309,VII.A!$A$10:$B$199,2,FALSE))</f>
        <v/>
      </c>
      <c r="N2309" s="342" t="str">
        <f t="shared" si="614"/>
        <v/>
      </c>
      <c r="R2309" s="341"/>
      <c r="S2309" s="341"/>
    </row>
    <row r="2310" spans="1:25" ht="12.75" customHeight="1">
      <c r="A2310" s="393"/>
      <c r="B2310" s="395" t="s">
        <v>226</v>
      </c>
      <c r="C2310" s="396"/>
      <c r="D2310" s="397"/>
      <c r="E2310" s="398"/>
      <c r="F2310" s="399">
        <f>SUM(F2303:F2309)</f>
        <v>0</v>
      </c>
      <c r="J2310" s="341"/>
      <c r="L2310" s="380"/>
      <c r="M2310" s="381"/>
      <c r="N2310" s="342"/>
      <c r="R2310" s="341"/>
      <c r="S2310" s="341"/>
    </row>
    <row r="2311" spans="1:25" ht="12.75" customHeight="1">
      <c r="A2311" s="393"/>
      <c r="B2311" s="400" t="s">
        <v>229</v>
      </c>
      <c r="C2311" s="2">
        <f>IX.A!$C$45</f>
        <v>0</v>
      </c>
      <c r="D2311" s="401"/>
      <c r="E2311" s="402"/>
      <c r="F2311" s="403">
        <f>ROUND(F2310*C2311,2)</f>
        <v>0</v>
      </c>
      <c r="J2311" s="341"/>
      <c r="L2311" s="380"/>
      <c r="M2311" s="381"/>
      <c r="N2311" s="342"/>
      <c r="R2311" s="341"/>
      <c r="S2311" s="341"/>
    </row>
    <row r="2312" spans="1:25" ht="12.75" customHeight="1">
      <c r="A2312" s="393"/>
      <c r="B2312" s="400" t="s">
        <v>53</v>
      </c>
      <c r="C2312" s="2">
        <f>$D$8</f>
        <v>0</v>
      </c>
      <c r="D2312" s="401"/>
      <c r="E2312" s="402"/>
      <c r="F2312" s="403">
        <f>ROUND(SUM(F2310:F2311)*C2312,2)</f>
        <v>0</v>
      </c>
      <c r="J2312" s="341"/>
      <c r="L2312" s="380"/>
      <c r="M2312" s="381"/>
      <c r="N2312" s="342"/>
      <c r="R2312" s="341"/>
      <c r="S2312" s="341"/>
    </row>
    <row r="2313" spans="1:25" ht="12.75" customHeight="1" thickBot="1">
      <c r="A2313" s="414"/>
      <c r="B2313" s="415" t="s">
        <v>230</v>
      </c>
      <c r="C2313" s="416"/>
      <c r="D2313" s="416"/>
      <c r="E2313" s="417"/>
      <c r="F2313" s="418">
        <f>SUM(F2310:F2312)</f>
        <v>0</v>
      </c>
      <c r="J2313" s="341"/>
      <c r="L2313" s="380"/>
      <c r="M2313" s="381"/>
      <c r="N2313" s="342"/>
      <c r="R2313" s="341"/>
      <c r="S2313" s="341"/>
    </row>
    <row r="2314" spans="1:25" ht="12.75" customHeight="1" thickBot="1">
      <c r="A2314" s="427"/>
      <c r="B2314" s="428"/>
      <c r="C2314" s="429"/>
      <c r="D2314" s="429"/>
      <c r="E2314" s="430"/>
      <c r="F2314" s="431"/>
      <c r="J2314" s="341"/>
      <c r="L2314" s="380"/>
      <c r="M2314" s="381"/>
      <c r="N2314" s="342"/>
      <c r="R2314" s="341"/>
      <c r="S2314" s="341"/>
    </row>
    <row r="2315" spans="1:25" ht="30" customHeight="1">
      <c r="A2315" s="370" t="str">
        <f>IV.A!A77</f>
        <v>3.4.8</v>
      </c>
      <c r="B2315" s="371" t="str">
        <f>IV.A!B77</f>
        <v>LANÇAMENTO, ESPALHAMENTO E ACOMODAÇÃO MECANIZADA DE BRITA PARA COBERTURA DE PÁTIO</v>
      </c>
      <c r="C2315" s="871" t="s">
        <v>237</v>
      </c>
      <c r="D2315" s="872"/>
      <c r="E2315" s="372" t="str">
        <f>IV.A!$C$77</f>
        <v>M3</v>
      </c>
      <c r="F2315" s="11">
        <f>ROUND(F2335+F2349+F2361,2)</f>
        <v>0</v>
      </c>
      <c r="G2315" s="1">
        <f>VLOOKUP(A2315,IV.A!$A$16:$L$172,4,FALSE)</f>
        <v>1200</v>
      </c>
      <c r="H2315" s="361">
        <f>SUM(F2317:F2332)+F2334</f>
        <v>0</v>
      </c>
      <c r="I2315" s="361">
        <f>SUM(F2337:F2346)+F2348</f>
        <v>0</v>
      </c>
      <c r="J2315" s="361">
        <f>SUM(F2351:F2357)+F2359+F2360</f>
        <v>0</v>
      </c>
      <c r="K2315" s="361">
        <f>SUM(H2315:J2315)</f>
        <v>0</v>
      </c>
      <c r="L2315" s="362" t="str">
        <f>IF(K2315=F2315,"SIM","NÃO")</f>
        <v>SIM</v>
      </c>
      <c r="M2315" s="373">
        <f>ROUND(SUM(F2317:F2332),2)+ROUND(SUM(F2317:F2332)*C2334,2)+ROUND(SUM(F2337:F2346)*C2348,2)+ROUND(SUM(F2337:F2346),2)+ROUND(SUM(F2351:F2357)*C2359,2)+ROUND((SUM(F2351:F2357)+ROUND(SUM(F2351:F2357)*C2359,2))*C2360,2)+ROUND(SUM(F2351:F2357),2)</f>
        <v>0</v>
      </c>
      <c r="N2315" s="343" t="str">
        <f>IF(M2315=F2315,"SIM","NÃO")</f>
        <v>SIM</v>
      </c>
      <c r="O2315" s="364" t="str">
        <f>VLOOKUP(A2315,IV.A!$A$16:$E$172,3,FALSE)</f>
        <v>M3</v>
      </c>
      <c r="P2315" s="344" t="str">
        <f>IF(O2315=E2315,"SIM","NÃO")</f>
        <v>SIM</v>
      </c>
      <c r="Q2315" s="365">
        <f>ROUND(G2315*F2335,2)+ROUND(G2315*F2349,2)+ROUND(G2315*F2361,2)</f>
        <v>0</v>
      </c>
      <c r="R2315" s="364">
        <f>VLOOKUP(A2315,IV.A!$A$16:$L$172,12,FALSE)</f>
        <v>0</v>
      </c>
      <c r="S2315" s="366" t="str">
        <f>IF(Q2315=R2315,"si","no")</f>
        <v>si</v>
      </c>
      <c r="T2315" s="367">
        <f>SUM(L2317:L2332)+SUM(L2337:L2346)+SUM(L2351:L2357)</f>
        <v>1870.1999999999998</v>
      </c>
      <c r="U2315" s="341">
        <f>(SUM(C2317:C2332)+SUM(C2337:C2346)+SUM(C2351:C2357))*G2315</f>
        <v>1870.2</v>
      </c>
      <c r="V2315" s="368" t="str">
        <f>IF(T2315=U2315,"si","no")</f>
        <v>si</v>
      </c>
      <c r="W2315" s="369">
        <f>SUM(F2317:F2332)</f>
        <v>0</v>
      </c>
      <c r="X2315" s="369">
        <f>SUM(F2337:F2346)</f>
        <v>0</v>
      </c>
      <c r="Y2315" s="369">
        <f>SUM(F2351:F2357)</f>
        <v>0</v>
      </c>
    </row>
    <row r="2316" spans="1:25" ht="12.75" customHeight="1">
      <c r="A2316" s="374" t="s">
        <v>14</v>
      </c>
      <c r="B2316" s="375" t="s">
        <v>132</v>
      </c>
      <c r="C2316" s="376" t="s">
        <v>231</v>
      </c>
      <c r="D2316" s="376" t="s">
        <v>232</v>
      </c>
      <c r="E2316" s="377" t="s">
        <v>233</v>
      </c>
      <c r="F2316" s="378" t="s">
        <v>234</v>
      </c>
      <c r="G2316" s="379"/>
      <c r="J2316" s="341"/>
      <c r="L2316" s="380"/>
      <c r="M2316" s="381"/>
      <c r="N2316" s="342"/>
      <c r="O2316" s="382"/>
      <c r="P2316" s="383"/>
      <c r="Q2316" s="383"/>
      <c r="R2316" s="383"/>
      <c r="S2316" s="383"/>
      <c r="T2316" s="382"/>
      <c r="U2316" s="341"/>
      <c r="V2316" s="384"/>
      <c r="W2316" s="384"/>
      <c r="X2316" s="384"/>
      <c r="Y2316" s="384"/>
    </row>
    <row r="2317" spans="1:25" ht="12.75" customHeight="1">
      <c r="A2317" s="385" t="str">
        <f>VII.A!$A$82</f>
        <v>1.73</v>
      </c>
      <c r="B2317" s="381" t="str">
        <f>VLOOKUP($A2317,VII.A!$A$10:$G$199,2,FALSE)</f>
        <v>PEDRA BRITADA Nº 1 GRANULOMETRIA ENTRE (9,5 E 25,00 MM)</v>
      </c>
      <c r="C2317" s="20">
        <v>1.05</v>
      </c>
      <c r="D2317" s="342" t="str">
        <f>VLOOKUP($A2317,VII.A!$A$10:$G$199,3,FALSE)</f>
        <v>M3</v>
      </c>
      <c r="E2317" s="387">
        <f>VLOOKUP(A2317,VII.A!$A$10:$G$199,4,FALSE)</f>
        <v>0</v>
      </c>
      <c r="F2317" s="388">
        <f>ROUND(C2317*E2317,2)</f>
        <v>0</v>
      </c>
      <c r="H2317" s="341">
        <f>IF(A2317="","",VLOOKUP(A2317,VII.A!$A$10:$D$199,4,FALSE))</f>
        <v>0</v>
      </c>
      <c r="I2317" s="341" t="str">
        <f t="shared" ref="I2317:I2332" si="615">IF(A2317="","",IF(E2317=H2317,"SIM","NÃO"))</f>
        <v>SIM</v>
      </c>
      <c r="J2317" s="341" t="str">
        <f>IF(A2317="","",VLOOKUP(A2317,VII.A!$A$10:$D$199,3,FALSE))</f>
        <v>M3</v>
      </c>
      <c r="K2317" s="342" t="str">
        <f t="shared" ref="K2317:K2332" si="616">IF(A2317="","",IF(J2317=D2317,"SIM","NÃO"))</f>
        <v>SIM</v>
      </c>
      <c r="L2317" s="380">
        <f>IF(C2317="","",G2315*C2317)</f>
        <v>1260</v>
      </c>
      <c r="M2317" s="381" t="str">
        <f>IF(A2317="","",VLOOKUP(A2317,VII.A!$A$10:$B$199,2,FALSE))</f>
        <v>PEDRA BRITADA Nº 1 GRANULOMETRIA ENTRE (9,5 E 25,00 MM)</v>
      </c>
      <c r="N2317" s="342" t="str">
        <f t="shared" ref="N2317:N2332" si="617">IF(B2317="","",IF(M2317=B2317,"si","no"))</f>
        <v>si</v>
      </c>
      <c r="R2317" s="341"/>
      <c r="S2317" s="341"/>
    </row>
    <row r="2318" spans="1:25" ht="12.75" customHeight="1">
      <c r="A2318" s="385"/>
      <c r="B2318" s="381"/>
      <c r="C2318" s="20"/>
      <c r="D2318" s="342"/>
      <c r="E2318" s="387"/>
      <c r="F2318" s="388">
        <f t="shared" ref="F2318:F2332" si="618">ROUND(C2318*E2318,2)</f>
        <v>0</v>
      </c>
      <c r="H2318" s="341" t="str">
        <f>IF(A2318="","",VLOOKUP(A2318,VII.A!$A$10:$D$199,4,FALSE))</f>
        <v/>
      </c>
      <c r="I2318" s="341" t="str">
        <f t="shared" si="615"/>
        <v/>
      </c>
      <c r="J2318" s="341" t="str">
        <f>IF(A2318="","",VLOOKUP(A2318,VII.A!$A$10:$D$199,3,FALSE))</f>
        <v/>
      </c>
      <c r="K2318" s="342" t="str">
        <f t="shared" si="616"/>
        <v/>
      </c>
      <c r="L2318" s="380" t="str">
        <f>IF(C2318="","",G2315*C2318)</f>
        <v/>
      </c>
      <c r="M2318" s="381" t="str">
        <f>IF(A2318="","",VLOOKUP(A2318,VII.A!$A$10:$B$199,2,FALSE))</f>
        <v/>
      </c>
      <c r="N2318" s="342" t="str">
        <f t="shared" si="617"/>
        <v/>
      </c>
      <c r="R2318" s="341"/>
      <c r="S2318" s="341"/>
    </row>
    <row r="2319" spans="1:25" ht="12.75" customHeight="1">
      <c r="A2319" s="385"/>
      <c r="B2319" s="381"/>
      <c r="C2319" s="20"/>
      <c r="D2319" s="342"/>
      <c r="E2319" s="387"/>
      <c r="F2319" s="388">
        <f t="shared" si="618"/>
        <v>0</v>
      </c>
      <c r="H2319" s="341" t="str">
        <f>IF(A2319="","",VLOOKUP(A2319,VII.A!$A$10:$D$199,4,FALSE))</f>
        <v/>
      </c>
      <c r="I2319" s="341" t="str">
        <f t="shared" si="615"/>
        <v/>
      </c>
      <c r="J2319" s="341" t="str">
        <f>IF(A2319="","",VLOOKUP(A2319,VII.A!$A$10:$D$199,3,FALSE))</f>
        <v/>
      </c>
      <c r="K2319" s="342" t="str">
        <f t="shared" si="616"/>
        <v/>
      </c>
      <c r="L2319" s="380" t="str">
        <f>IF(C2319="","",G2315*C2319)</f>
        <v/>
      </c>
      <c r="M2319" s="381" t="str">
        <f>IF(A2319="","",VLOOKUP(A2319,VII.A!$A$10:$B$199,2,FALSE))</f>
        <v/>
      </c>
      <c r="N2319" s="342" t="str">
        <f t="shared" si="617"/>
        <v/>
      </c>
      <c r="R2319" s="341"/>
      <c r="S2319" s="341"/>
    </row>
    <row r="2320" spans="1:25" ht="12.75" customHeight="1">
      <c r="A2320" s="385"/>
      <c r="B2320" s="386"/>
      <c r="C2320" s="20"/>
      <c r="D2320" s="342"/>
      <c r="E2320" s="387"/>
      <c r="F2320" s="388">
        <f t="shared" si="618"/>
        <v>0</v>
      </c>
      <c r="H2320" s="341" t="str">
        <f>IF(A2320="","",VLOOKUP(A2320,VII.A!$A$10:$D$199,4,FALSE))</f>
        <v/>
      </c>
      <c r="I2320" s="341" t="str">
        <f t="shared" si="615"/>
        <v/>
      </c>
      <c r="J2320" s="341" t="str">
        <f>IF(A2320="","",VLOOKUP(A2320,VII.A!$A$10:$D$199,3,FALSE))</f>
        <v/>
      </c>
      <c r="K2320" s="342" t="str">
        <f t="shared" si="616"/>
        <v/>
      </c>
      <c r="L2320" s="380" t="str">
        <f>IF(C2320="","",G2315*C2320)</f>
        <v/>
      </c>
      <c r="M2320" s="381" t="str">
        <f>IF(A2320="","",VLOOKUP(A2320,VII.A!$A$10:$B$199,2,FALSE))</f>
        <v/>
      </c>
      <c r="N2320" s="342" t="str">
        <f t="shared" si="617"/>
        <v/>
      </c>
      <c r="R2320" s="341"/>
      <c r="S2320" s="341"/>
    </row>
    <row r="2321" spans="1:21" ht="12.75" customHeight="1">
      <c r="A2321" s="385"/>
      <c r="B2321" s="386"/>
      <c r="C2321" s="20"/>
      <c r="D2321" s="342"/>
      <c r="E2321" s="387"/>
      <c r="F2321" s="388">
        <f t="shared" si="618"/>
        <v>0</v>
      </c>
      <c r="H2321" s="341" t="str">
        <f>IF(A2321="","",VLOOKUP(A2321,VII.A!$A$10:$D$199,4,FALSE))</f>
        <v/>
      </c>
      <c r="I2321" s="341" t="str">
        <f t="shared" si="615"/>
        <v/>
      </c>
      <c r="J2321" s="341" t="str">
        <f>IF(A2321="","",VLOOKUP(A2321,VII.A!$A$10:$D$199,3,FALSE))</f>
        <v/>
      </c>
      <c r="K2321" s="342" t="str">
        <f t="shared" si="616"/>
        <v/>
      </c>
      <c r="L2321" s="380" t="str">
        <f>IF(C2321="","",G2315*C2321)</f>
        <v/>
      </c>
      <c r="M2321" s="381" t="str">
        <f>IF(A2321="","",VLOOKUP(A2321,VII.A!$A$10:$B$199,2,FALSE))</f>
        <v/>
      </c>
      <c r="N2321" s="342" t="str">
        <f t="shared" si="617"/>
        <v/>
      </c>
      <c r="R2321" s="341"/>
      <c r="S2321" s="341"/>
    </row>
    <row r="2322" spans="1:21" ht="12.75" customHeight="1">
      <c r="A2322" s="385"/>
      <c r="B2322" s="386"/>
      <c r="C2322" s="20"/>
      <c r="D2322" s="342"/>
      <c r="E2322" s="387"/>
      <c r="F2322" s="388">
        <f t="shared" si="618"/>
        <v>0</v>
      </c>
      <c r="H2322" s="341" t="str">
        <f>IF(A2322="","",VLOOKUP(A2322,VII.A!$A$10:$D$199,4,FALSE))</f>
        <v/>
      </c>
      <c r="I2322" s="341" t="str">
        <f t="shared" si="615"/>
        <v/>
      </c>
      <c r="J2322" s="341" t="str">
        <f>IF(A2322="","",VLOOKUP(A2322,VII.A!$A$10:$D$199,3,FALSE))</f>
        <v/>
      </c>
      <c r="K2322" s="342" t="str">
        <f t="shared" si="616"/>
        <v/>
      </c>
      <c r="L2322" s="380" t="str">
        <f>IF(C2322="","",G2315*C2322)</f>
        <v/>
      </c>
      <c r="M2322" s="381" t="str">
        <f>IF(A2322="","",VLOOKUP(A2322,VII.A!$A$10:$B$199,2,FALSE))</f>
        <v/>
      </c>
      <c r="N2322" s="342" t="str">
        <f t="shared" si="617"/>
        <v/>
      </c>
      <c r="R2322" s="341"/>
      <c r="S2322" s="341"/>
      <c r="U2322" s="389"/>
    </row>
    <row r="2323" spans="1:21" ht="12.75" customHeight="1">
      <c r="A2323" s="385"/>
      <c r="B2323" s="386"/>
      <c r="C2323" s="20"/>
      <c r="D2323" s="342"/>
      <c r="E2323" s="387"/>
      <c r="F2323" s="388">
        <f t="shared" si="618"/>
        <v>0</v>
      </c>
      <c r="H2323" s="341" t="str">
        <f>IF(A2323="","",VLOOKUP(A2323,VII.A!$A$10:$D$199,4,FALSE))</f>
        <v/>
      </c>
      <c r="I2323" s="341" t="str">
        <f t="shared" si="615"/>
        <v/>
      </c>
      <c r="J2323" s="341" t="str">
        <f>IF(A2323="","",VLOOKUP(A2323,VII.A!$A$10:$D$199,3,FALSE))</f>
        <v/>
      </c>
      <c r="K2323" s="342" t="str">
        <f t="shared" si="616"/>
        <v/>
      </c>
      <c r="L2323" s="380" t="str">
        <f>IF(C2323="","",G2315*C2323)</f>
        <v/>
      </c>
      <c r="M2323" s="381" t="str">
        <f>IF(A2323="","",VLOOKUP(A2323,VII.A!$A$10:$B$199,2,FALSE))</f>
        <v/>
      </c>
      <c r="N2323" s="342" t="str">
        <f t="shared" si="617"/>
        <v/>
      </c>
      <c r="R2323" s="341"/>
      <c r="S2323" s="341"/>
    </row>
    <row r="2324" spans="1:21" ht="12.75" customHeight="1">
      <c r="A2324" s="385"/>
      <c r="B2324" s="386"/>
      <c r="C2324" s="20"/>
      <c r="D2324" s="342"/>
      <c r="E2324" s="387"/>
      <c r="F2324" s="388">
        <f t="shared" si="618"/>
        <v>0</v>
      </c>
      <c r="G2324" s="390"/>
      <c r="H2324" s="341" t="str">
        <f>IF(A2324="","",VLOOKUP(A2324,VII.A!$A$10:$D$199,4,FALSE))</f>
        <v/>
      </c>
      <c r="I2324" s="341" t="str">
        <f t="shared" si="615"/>
        <v/>
      </c>
      <c r="J2324" s="341" t="str">
        <f>IF(A2324="","",VLOOKUP(A2324,VII.A!$A$10:$D$199,3,FALSE))</f>
        <v/>
      </c>
      <c r="K2324" s="342" t="str">
        <f t="shared" si="616"/>
        <v/>
      </c>
      <c r="L2324" s="380" t="str">
        <f>IF(C2324="","",G2315*C2324)</f>
        <v/>
      </c>
      <c r="M2324" s="381" t="str">
        <f>IF(A2324="","",VLOOKUP(A2324,VII.A!$A$10:$B$199,2,FALSE))</f>
        <v/>
      </c>
      <c r="N2324" s="342" t="str">
        <f t="shared" si="617"/>
        <v/>
      </c>
      <c r="R2324" s="341"/>
      <c r="S2324" s="341"/>
    </row>
    <row r="2325" spans="1:21" ht="12.75" customHeight="1">
      <c r="A2325" s="385"/>
      <c r="B2325" s="386"/>
      <c r="C2325" s="20"/>
      <c r="D2325" s="342"/>
      <c r="E2325" s="387"/>
      <c r="F2325" s="388">
        <f t="shared" si="618"/>
        <v>0</v>
      </c>
      <c r="G2325" s="390"/>
      <c r="H2325" s="341" t="str">
        <f>IF(A2325="","",VLOOKUP(A2325,VII.A!$A$10:$D$199,4,FALSE))</f>
        <v/>
      </c>
      <c r="I2325" s="341" t="str">
        <f t="shared" si="615"/>
        <v/>
      </c>
      <c r="J2325" s="341" t="str">
        <f>IF(A2325="","",VLOOKUP(A2325,VII.A!$A$10:$D$199,3,FALSE))</f>
        <v/>
      </c>
      <c r="K2325" s="342" t="str">
        <f t="shared" si="616"/>
        <v/>
      </c>
      <c r="L2325" s="380" t="str">
        <f>IF(C2325="","",G2315*C2325)</f>
        <v/>
      </c>
      <c r="M2325" s="381" t="str">
        <f>IF(A2325="","",VLOOKUP(A2325,VII.A!$A$10:$B$199,2,FALSE))</f>
        <v/>
      </c>
      <c r="N2325" s="342" t="str">
        <f t="shared" si="617"/>
        <v/>
      </c>
      <c r="R2325" s="341"/>
      <c r="S2325" s="341"/>
    </row>
    <row r="2326" spans="1:21" ht="12.75" customHeight="1">
      <c r="A2326" s="385"/>
      <c r="B2326" s="386"/>
      <c r="C2326" s="20"/>
      <c r="D2326" s="342"/>
      <c r="E2326" s="387"/>
      <c r="F2326" s="388">
        <f t="shared" si="618"/>
        <v>0</v>
      </c>
      <c r="G2326" s="391"/>
      <c r="H2326" s="341" t="str">
        <f>IF(A2326="","",VLOOKUP(A2326,VII.A!$A$10:$D$199,4,FALSE))</f>
        <v/>
      </c>
      <c r="I2326" s="341" t="str">
        <f t="shared" si="615"/>
        <v/>
      </c>
      <c r="J2326" s="341" t="str">
        <f>IF(A2326="","",VLOOKUP(A2326,VII.A!$A$10:$D$199,3,FALSE))</f>
        <v/>
      </c>
      <c r="K2326" s="342" t="str">
        <f t="shared" si="616"/>
        <v/>
      </c>
      <c r="L2326" s="380" t="str">
        <f>IF(C2326="","",G2315*C2326)</f>
        <v/>
      </c>
      <c r="M2326" s="381" t="str">
        <f>IF(A2326="","",VLOOKUP(A2326,VII.A!$A$10:$B$199,2,FALSE))</f>
        <v/>
      </c>
      <c r="N2326" s="342" t="str">
        <f t="shared" si="617"/>
        <v/>
      </c>
      <c r="R2326" s="341"/>
      <c r="S2326" s="341"/>
    </row>
    <row r="2327" spans="1:21" ht="12.75" customHeight="1">
      <c r="A2327" s="385"/>
      <c r="B2327" s="386"/>
      <c r="C2327" s="20"/>
      <c r="D2327" s="342"/>
      <c r="E2327" s="387"/>
      <c r="F2327" s="388">
        <f t="shared" si="618"/>
        <v>0</v>
      </c>
      <c r="H2327" s="341" t="str">
        <f>IF(A2327="","",VLOOKUP(A2327,VII.A!$A$10:$D$199,4,FALSE))</f>
        <v/>
      </c>
      <c r="I2327" s="341" t="str">
        <f t="shared" si="615"/>
        <v/>
      </c>
      <c r="J2327" s="341" t="str">
        <f>IF(A2327="","",VLOOKUP(A2327,VII.A!$A$10:$D$199,3,FALSE))</f>
        <v/>
      </c>
      <c r="K2327" s="342" t="str">
        <f t="shared" si="616"/>
        <v/>
      </c>
      <c r="L2327" s="380" t="str">
        <f>IF(C2327="","",G2315*C2327)</f>
        <v/>
      </c>
      <c r="M2327" s="381" t="str">
        <f>IF(A2327="","",VLOOKUP(A2327,VII.A!$A$10:$B$199,2,FALSE))</f>
        <v/>
      </c>
      <c r="N2327" s="342" t="str">
        <f t="shared" si="617"/>
        <v/>
      </c>
      <c r="R2327" s="341"/>
      <c r="S2327" s="341"/>
    </row>
    <row r="2328" spans="1:21" ht="12.75" customHeight="1">
      <c r="A2328" s="385"/>
      <c r="B2328" s="386"/>
      <c r="C2328" s="20"/>
      <c r="D2328" s="392"/>
      <c r="E2328" s="387"/>
      <c r="F2328" s="388">
        <f t="shared" si="618"/>
        <v>0</v>
      </c>
      <c r="H2328" s="341" t="str">
        <f>IF(A2328="","",VLOOKUP(A2328,VII.A!$A$10:$D$199,4,FALSE))</f>
        <v/>
      </c>
      <c r="I2328" s="341" t="str">
        <f t="shared" si="615"/>
        <v/>
      </c>
      <c r="J2328" s="341" t="str">
        <f>IF(A2328="","",VLOOKUP(A2328,VII.A!$A$10:$D$199,3,FALSE))</f>
        <v/>
      </c>
      <c r="K2328" s="342" t="str">
        <f t="shared" si="616"/>
        <v/>
      </c>
      <c r="L2328" s="380" t="str">
        <f>IF(C2328="","",G2315*C2328)</f>
        <v/>
      </c>
      <c r="M2328" s="381" t="str">
        <f>IF(A2328="","",VLOOKUP(A2328,VII.A!$A$10:$B$199,2,FALSE))</f>
        <v/>
      </c>
      <c r="N2328" s="342" t="str">
        <f t="shared" si="617"/>
        <v/>
      </c>
      <c r="R2328" s="341"/>
      <c r="S2328" s="341"/>
    </row>
    <row r="2329" spans="1:21" ht="12.75" customHeight="1">
      <c r="A2329" s="385"/>
      <c r="B2329" s="386"/>
      <c r="C2329" s="20"/>
      <c r="D2329" s="392"/>
      <c r="E2329" s="387"/>
      <c r="F2329" s="388">
        <f t="shared" si="618"/>
        <v>0</v>
      </c>
      <c r="H2329" s="341" t="str">
        <f>IF(A2329="","",VLOOKUP(A2329,VII.A!$A$10:$D$199,4,FALSE))</f>
        <v/>
      </c>
      <c r="I2329" s="341" t="str">
        <f t="shared" si="615"/>
        <v/>
      </c>
      <c r="J2329" s="341" t="str">
        <f>IF(A2329="","",VLOOKUP(A2329,VII.A!$A$10:$D$199,3,FALSE))</f>
        <v/>
      </c>
      <c r="K2329" s="342" t="str">
        <f t="shared" si="616"/>
        <v/>
      </c>
      <c r="L2329" s="380" t="str">
        <f>IF(C2329="","",G2315*C2329)</f>
        <v/>
      </c>
      <c r="M2329" s="381" t="str">
        <f>IF(A2329="","",VLOOKUP(A2329,VII.A!$A$10:$B$199,2,FALSE))</f>
        <v/>
      </c>
      <c r="N2329" s="342" t="str">
        <f t="shared" si="617"/>
        <v/>
      </c>
      <c r="O2329" s="342"/>
      <c r="R2329" s="341"/>
      <c r="S2329" s="341"/>
    </row>
    <row r="2330" spans="1:21" ht="12.75" customHeight="1">
      <c r="A2330" s="385"/>
      <c r="B2330" s="386"/>
      <c r="C2330" s="20"/>
      <c r="D2330" s="392"/>
      <c r="E2330" s="387"/>
      <c r="F2330" s="388">
        <f t="shared" si="618"/>
        <v>0</v>
      </c>
      <c r="H2330" s="341" t="str">
        <f>IF(A2330="","",VLOOKUP(A2330,VII.A!$A$10:$D$199,4,FALSE))</f>
        <v/>
      </c>
      <c r="I2330" s="341" t="str">
        <f t="shared" si="615"/>
        <v/>
      </c>
      <c r="J2330" s="341" t="str">
        <f>IF(A2330="","",VLOOKUP(A2330,VII.A!$A$10:$D$199,3,FALSE))</f>
        <v/>
      </c>
      <c r="K2330" s="342" t="str">
        <f t="shared" si="616"/>
        <v/>
      </c>
      <c r="L2330" s="380" t="str">
        <f>IF(C2330="","",G2315*C2330)</f>
        <v/>
      </c>
      <c r="M2330" s="381" t="str">
        <f>IF(A2330="","",VLOOKUP(A2330,VII.A!$A$10:$B$199,2,FALSE))</f>
        <v/>
      </c>
      <c r="N2330" s="342" t="str">
        <f t="shared" si="617"/>
        <v/>
      </c>
      <c r="R2330" s="341"/>
      <c r="S2330" s="341"/>
    </row>
    <row r="2331" spans="1:21" ht="12.75" customHeight="1">
      <c r="A2331" s="393"/>
      <c r="C2331" s="20"/>
      <c r="E2331" s="387"/>
      <c r="F2331" s="388">
        <f t="shared" si="618"/>
        <v>0</v>
      </c>
      <c r="H2331" s="341" t="str">
        <f>IF(A2331="","",VLOOKUP(A2331,VII.A!$A$10:$D$199,4,FALSE))</f>
        <v/>
      </c>
      <c r="I2331" s="341" t="str">
        <f t="shared" si="615"/>
        <v/>
      </c>
      <c r="J2331" s="341" t="str">
        <f>IF(A2331="","",VLOOKUP(A2331,VII.A!$A$10:$D$199,3,FALSE))</f>
        <v/>
      </c>
      <c r="K2331" s="342" t="str">
        <f t="shared" si="616"/>
        <v/>
      </c>
      <c r="L2331" s="380" t="str">
        <f>IF(C2331="","",G2315*C2331)</f>
        <v/>
      </c>
      <c r="M2331" s="381" t="str">
        <f>IF(A2331="","",VLOOKUP(A2331,VII.A!$A$10:$B$199,2,FALSE))</f>
        <v/>
      </c>
      <c r="N2331" s="342" t="str">
        <f t="shared" si="617"/>
        <v/>
      </c>
      <c r="R2331" s="341"/>
      <c r="S2331" s="341"/>
    </row>
    <row r="2332" spans="1:21" ht="12.75" customHeight="1">
      <c r="A2332" s="393"/>
      <c r="C2332" s="20"/>
      <c r="E2332" s="387"/>
      <c r="F2332" s="388">
        <f t="shared" si="618"/>
        <v>0</v>
      </c>
      <c r="H2332" s="341" t="str">
        <f>IF(A2332="","",VLOOKUP(A2332,VII.A!$A$10:$D$199,4,FALSE))</f>
        <v/>
      </c>
      <c r="I2332" s="341" t="str">
        <f t="shared" si="615"/>
        <v/>
      </c>
      <c r="J2332" s="341" t="str">
        <f>IF(A2332="","",VLOOKUP(A2332,VII.A!$A$10:$D$199,3,FALSE))</f>
        <v/>
      </c>
      <c r="K2332" s="342" t="str">
        <f t="shared" si="616"/>
        <v/>
      </c>
      <c r="L2332" s="380" t="str">
        <f>IF(C2332="","",G2315*C2332)</f>
        <v/>
      </c>
      <c r="M2332" s="381" t="str">
        <f>IF(A2332="","",VLOOKUP(A2332,VII.A!$A$10:$B$199,2,FALSE))</f>
        <v/>
      </c>
      <c r="N2332" s="342" t="str">
        <f t="shared" si="617"/>
        <v/>
      </c>
      <c r="R2332" s="341"/>
      <c r="S2332" s="341"/>
    </row>
    <row r="2333" spans="1:21" ht="12.75" customHeight="1">
      <c r="A2333" s="393"/>
      <c r="B2333" s="395" t="s">
        <v>226</v>
      </c>
      <c r="C2333" s="396"/>
      <c r="D2333" s="397"/>
      <c r="E2333" s="398"/>
      <c r="F2333" s="399">
        <f>SUM(F2317:F2332)</f>
        <v>0</v>
      </c>
      <c r="G2333" s="424" t="s">
        <v>860</v>
      </c>
      <c r="J2333" s="341"/>
      <c r="L2333" s="380"/>
      <c r="M2333" s="381"/>
      <c r="N2333" s="342"/>
      <c r="R2333" s="341"/>
      <c r="S2333" s="341"/>
    </row>
    <row r="2334" spans="1:21" ht="12.75" customHeight="1">
      <c r="A2334" s="393"/>
      <c r="B2334" s="400" t="s">
        <v>53</v>
      </c>
      <c r="C2334" s="2">
        <f>$D$8</f>
        <v>0</v>
      </c>
      <c r="D2334" s="401"/>
      <c r="E2334" s="402"/>
      <c r="F2334" s="403">
        <f>ROUND(F2333*C2334,2)</f>
        <v>0</v>
      </c>
      <c r="H2334" s="426" t="s">
        <v>473</v>
      </c>
      <c r="J2334" s="341"/>
      <c r="L2334" s="380"/>
      <c r="M2334" s="381"/>
      <c r="N2334" s="342"/>
      <c r="R2334" s="341"/>
      <c r="S2334" s="341"/>
    </row>
    <row r="2335" spans="1:21" ht="12.75" customHeight="1">
      <c r="A2335" s="404"/>
      <c r="B2335" s="405" t="s">
        <v>227</v>
      </c>
      <c r="C2335" s="406"/>
      <c r="D2335" s="406"/>
      <c r="E2335" s="407"/>
      <c r="F2335" s="408">
        <f>F2333+F2334</f>
        <v>0</v>
      </c>
      <c r="J2335" s="341"/>
      <c r="L2335" s="380"/>
      <c r="M2335" s="381"/>
      <c r="N2335" s="342"/>
      <c r="R2335" s="341"/>
      <c r="S2335" s="341"/>
    </row>
    <row r="2336" spans="1:21" ht="12.75" customHeight="1">
      <c r="A2336" s="374" t="s">
        <v>2</v>
      </c>
      <c r="B2336" s="375" t="s">
        <v>235</v>
      </c>
      <c r="C2336" s="376" t="s">
        <v>231</v>
      </c>
      <c r="D2336" s="376" t="s">
        <v>232</v>
      </c>
      <c r="E2336" s="377" t="s">
        <v>233</v>
      </c>
      <c r="F2336" s="378" t="s">
        <v>234</v>
      </c>
      <c r="J2336" s="341"/>
      <c r="L2336" s="380"/>
      <c r="M2336" s="381"/>
      <c r="N2336" s="342"/>
      <c r="R2336" s="341"/>
      <c r="S2336" s="341"/>
    </row>
    <row r="2337" spans="1:19" ht="12.75" customHeight="1">
      <c r="A2337" s="393" t="str">
        <f>VII.A!$A$166</f>
        <v>2.24</v>
      </c>
      <c r="B2337" s="381" t="str">
        <f>VLOOKUP($A2337,VII.A!$A$10:$G$199,2,FALSE)</f>
        <v>RETRO ESCAVADEIRA A DIESEL SOBRE PNEUS - CAÇAMBA PÁ CARREGADEIRA DE 0,75 M3 - POTÊNCIA 75 CV - CHP</v>
      </c>
      <c r="C2337" s="20">
        <v>4.3700000000000003E-2</v>
      </c>
      <c r="D2337" s="342" t="str">
        <f>VLOOKUP($A2337,VII.A!$A$10:$G$199,3,FALSE)</f>
        <v>CHP</v>
      </c>
      <c r="E2337" s="387">
        <f>VLOOKUP(A2337,VII.A!$A$10:$G$199,4,FALSE)</f>
        <v>0</v>
      </c>
      <c r="F2337" s="388">
        <f t="shared" ref="F2337:F2346" si="619">ROUND(C2337*E2337,2)</f>
        <v>0</v>
      </c>
      <c r="H2337" s="341">
        <f>IF(A2337="","",VLOOKUP(A2337,VII.A!$A$10:$D$199,4,FALSE))</f>
        <v>0</v>
      </c>
      <c r="I2337" s="341" t="str">
        <f t="shared" ref="I2337:I2346" si="620">IF(A2337="","",IF(E2337=H2337,"SIM","NÃO"))</f>
        <v>SIM</v>
      </c>
      <c r="J2337" s="341" t="str">
        <f>IF(A2337="","",VLOOKUP(A2337,VII.A!$A$10:$D$199,3,FALSE))</f>
        <v>CHP</v>
      </c>
      <c r="K2337" s="342" t="str">
        <f t="shared" ref="K2337:K2346" si="621">IF(A2337="","",IF(J2337=D2337,"SIM","NÃO"))</f>
        <v>SIM</v>
      </c>
      <c r="L2337" s="380">
        <f>IF(C2337="","",G2315*C2337)</f>
        <v>52.440000000000005</v>
      </c>
      <c r="M2337" s="381" t="str">
        <f>IF(A2337="","",VLOOKUP(A2337,VII.A!$A$10:$B$199,2,FALSE))</f>
        <v>RETRO ESCAVADEIRA A DIESEL SOBRE PNEUS - CAÇAMBA PÁ CARREGADEIRA DE 0,75 M3 - POTÊNCIA 75 CV - CHP</v>
      </c>
      <c r="N2337" s="342" t="str">
        <f t="shared" ref="N2337:N2346" si="622">IF(B2337="","",IF(M2337=B2337,"si","no"))</f>
        <v>si</v>
      </c>
      <c r="R2337" s="341"/>
      <c r="S2337" s="341"/>
    </row>
    <row r="2338" spans="1:19" ht="12.75" customHeight="1">
      <c r="A2338" s="393" t="str">
        <f>VII.A!$A$167</f>
        <v>2.25</v>
      </c>
      <c r="B2338" s="381" t="str">
        <f>VLOOKUP($A2338,VII.A!$A$10:$G$199,2,FALSE)</f>
        <v>RETRO ESCAVADEIRA A DIESEL SOBRE PNEUS - CAÇAMBA PÁ CARREGADEIRA DE 0,75 M3 - POTÊNCIA 75 CV - CHI</v>
      </c>
      <c r="C2338" s="20">
        <v>0.1903</v>
      </c>
      <c r="D2338" s="342" t="str">
        <f>VLOOKUP($A2338,VII.A!$A$10:$G$199,3,FALSE)</f>
        <v>CHI</v>
      </c>
      <c r="E2338" s="387">
        <f>VLOOKUP(A2338,VII.A!$A$10:$G$199,4,FALSE)</f>
        <v>0</v>
      </c>
      <c r="F2338" s="388">
        <f t="shared" si="619"/>
        <v>0</v>
      </c>
      <c r="H2338" s="341">
        <f>IF(A2338="","",VLOOKUP(A2338,VII.A!$A$10:$D$199,4,FALSE))</f>
        <v>0</v>
      </c>
      <c r="I2338" s="341" t="str">
        <f t="shared" si="620"/>
        <v>SIM</v>
      </c>
      <c r="J2338" s="341" t="str">
        <f>IF(A2338="","",VLOOKUP(A2338,VII.A!$A$10:$D$199,3,FALSE))</f>
        <v>CHI</v>
      </c>
      <c r="K2338" s="342" t="str">
        <f t="shared" si="621"/>
        <v>SIM</v>
      </c>
      <c r="L2338" s="380">
        <f>IF(C2338="","",G2315*C2338)</f>
        <v>228.35999999999999</v>
      </c>
      <c r="M2338" s="381" t="str">
        <f>IF(A2338="","",VLOOKUP(A2338,VII.A!$A$10:$B$199,2,FALSE))</f>
        <v>RETRO ESCAVADEIRA A DIESEL SOBRE PNEUS - CAÇAMBA PÁ CARREGADEIRA DE 0,75 M3 - POTÊNCIA 75 CV - CHI</v>
      </c>
      <c r="N2338" s="342" t="str">
        <f t="shared" si="622"/>
        <v>si</v>
      </c>
      <c r="R2338" s="341"/>
      <c r="S2338" s="341"/>
    </row>
    <row r="2339" spans="1:19" ht="12.75" customHeight="1">
      <c r="A2339" s="393"/>
      <c r="C2339" s="20"/>
      <c r="E2339" s="387"/>
      <c r="F2339" s="388">
        <f t="shared" si="619"/>
        <v>0</v>
      </c>
      <c r="H2339" s="341" t="str">
        <f>IF(A2339="","",VLOOKUP(A2339,VII.A!$A$10:$D$199,4,FALSE))</f>
        <v/>
      </c>
      <c r="I2339" s="341" t="str">
        <f t="shared" si="620"/>
        <v/>
      </c>
      <c r="J2339" s="341" t="str">
        <f>IF(A2339="","",VLOOKUP(A2339,VII.A!$A$10:$D$199,3,FALSE))</f>
        <v/>
      </c>
      <c r="K2339" s="342" t="str">
        <f t="shared" si="621"/>
        <v/>
      </c>
      <c r="L2339" s="380" t="str">
        <f>IF(C2339="","",G2315*C2339)</f>
        <v/>
      </c>
      <c r="M2339" s="381" t="str">
        <f>IF(A2339="","",VLOOKUP(A2339,VII.A!$A$10:$B$199,2,FALSE))</f>
        <v/>
      </c>
      <c r="N2339" s="342" t="str">
        <f t="shared" si="622"/>
        <v/>
      </c>
      <c r="R2339" s="341"/>
      <c r="S2339" s="341"/>
    </row>
    <row r="2340" spans="1:19" ht="12.75" customHeight="1">
      <c r="A2340" s="393"/>
      <c r="C2340" s="20"/>
      <c r="E2340" s="387"/>
      <c r="F2340" s="388">
        <f t="shared" si="619"/>
        <v>0</v>
      </c>
      <c r="H2340" s="341" t="str">
        <f>IF(A2340="","",VLOOKUP(A2340,VII.A!$A$10:$D$199,4,FALSE))</f>
        <v/>
      </c>
      <c r="I2340" s="341" t="str">
        <f t="shared" si="620"/>
        <v/>
      </c>
      <c r="J2340" s="341" t="str">
        <f>IF(A2340="","",VLOOKUP(A2340,VII.A!$A$10:$D$199,3,FALSE))</f>
        <v/>
      </c>
      <c r="K2340" s="342" t="str">
        <f t="shared" si="621"/>
        <v/>
      </c>
      <c r="L2340" s="380" t="str">
        <f>IF(C2340="","",G2315*C2340)</f>
        <v/>
      </c>
      <c r="M2340" s="381" t="str">
        <f>IF(A2340="","",VLOOKUP(A2340,VII.A!$A$10:$B$199,2,FALSE))</f>
        <v/>
      </c>
      <c r="N2340" s="342" t="str">
        <f t="shared" si="622"/>
        <v/>
      </c>
      <c r="R2340" s="341"/>
      <c r="S2340" s="341"/>
    </row>
    <row r="2341" spans="1:19" ht="12.75" customHeight="1">
      <c r="A2341" s="393"/>
      <c r="C2341" s="20"/>
      <c r="E2341" s="387"/>
      <c r="F2341" s="388">
        <f t="shared" si="619"/>
        <v>0</v>
      </c>
      <c r="G2341" s="390"/>
      <c r="H2341" s="341" t="str">
        <f>IF(A2341="","",VLOOKUP(A2341,VII.A!$A$10:$D$199,4,FALSE))</f>
        <v/>
      </c>
      <c r="I2341" s="341" t="str">
        <f t="shared" si="620"/>
        <v/>
      </c>
      <c r="J2341" s="341" t="str">
        <f>IF(A2341="","",VLOOKUP(A2341,VII.A!$A$10:$D$199,3,FALSE))</f>
        <v/>
      </c>
      <c r="K2341" s="342" t="str">
        <f t="shared" si="621"/>
        <v/>
      </c>
      <c r="L2341" s="380" t="str">
        <f>IF(C2341="","",G2315*C2341)</f>
        <v/>
      </c>
      <c r="M2341" s="381" t="str">
        <f>IF(A2341="","",VLOOKUP(A2341,VII.A!$A$10:$B$199,2,FALSE))</f>
        <v/>
      </c>
      <c r="N2341" s="342" t="str">
        <f t="shared" si="622"/>
        <v/>
      </c>
      <c r="R2341" s="341"/>
      <c r="S2341" s="341"/>
    </row>
    <row r="2342" spans="1:19" ht="12.75" customHeight="1">
      <c r="A2342" s="393"/>
      <c r="C2342" s="20"/>
      <c r="E2342" s="387"/>
      <c r="F2342" s="388">
        <f t="shared" si="619"/>
        <v>0</v>
      </c>
      <c r="G2342" s="391"/>
      <c r="H2342" s="341" t="str">
        <f>IF(A2342="","",VLOOKUP(A2342,VII.A!$A$10:$D$199,4,FALSE))</f>
        <v/>
      </c>
      <c r="I2342" s="341" t="str">
        <f t="shared" si="620"/>
        <v/>
      </c>
      <c r="J2342" s="341" t="str">
        <f>IF(A2342="","",VLOOKUP(A2342,VII.A!$A$10:$D$199,3,FALSE))</f>
        <v/>
      </c>
      <c r="K2342" s="342" t="str">
        <f t="shared" si="621"/>
        <v/>
      </c>
      <c r="L2342" s="380" t="str">
        <f>IF(C2342="","",G2315*C2342)</f>
        <v/>
      </c>
      <c r="M2342" s="381" t="str">
        <f>IF(A2342="","",VLOOKUP(A2342,VII.A!$A$10:$B$199,2,FALSE))</f>
        <v/>
      </c>
      <c r="N2342" s="342" t="str">
        <f t="shared" si="622"/>
        <v/>
      </c>
      <c r="R2342" s="341"/>
      <c r="S2342" s="341"/>
    </row>
    <row r="2343" spans="1:19" ht="12.75" customHeight="1">
      <c r="A2343" s="393"/>
      <c r="C2343" s="20"/>
      <c r="E2343" s="387"/>
      <c r="F2343" s="388">
        <f t="shared" si="619"/>
        <v>0</v>
      </c>
      <c r="H2343" s="341" t="str">
        <f>IF(A2343="","",VLOOKUP(A2343,VII.A!$A$10:$D$199,4,FALSE))</f>
        <v/>
      </c>
      <c r="I2343" s="341" t="str">
        <f t="shared" si="620"/>
        <v/>
      </c>
      <c r="J2343" s="341" t="str">
        <f>IF(A2343="","",VLOOKUP(A2343,VII.A!$A$10:$D$199,3,FALSE))</f>
        <v/>
      </c>
      <c r="K2343" s="342" t="str">
        <f t="shared" si="621"/>
        <v/>
      </c>
      <c r="L2343" s="380" t="str">
        <f>IF(C2343="","",G2315*C2343)</f>
        <v/>
      </c>
      <c r="M2343" s="381" t="str">
        <f>IF(A2343="","",VLOOKUP(A2343,VII.A!$A$10:$B$199,2,FALSE))</f>
        <v/>
      </c>
      <c r="N2343" s="342" t="str">
        <f t="shared" si="622"/>
        <v/>
      </c>
      <c r="R2343" s="341"/>
      <c r="S2343" s="341"/>
    </row>
    <row r="2344" spans="1:19" ht="12.75" customHeight="1">
      <c r="A2344" s="393"/>
      <c r="C2344" s="20"/>
      <c r="E2344" s="387"/>
      <c r="F2344" s="388">
        <f t="shared" si="619"/>
        <v>0</v>
      </c>
      <c r="H2344" s="341" t="str">
        <f>IF(A2344="","",VLOOKUP(A2344,VII.A!$A$10:$D$199,4,FALSE))</f>
        <v/>
      </c>
      <c r="I2344" s="341" t="str">
        <f t="shared" si="620"/>
        <v/>
      </c>
      <c r="J2344" s="341" t="str">
        <f>IF(A2344="","",VLOOKUP(A2344,VII.A!$A$10:$D$199,3,FALSE))</f>
        <v/>
      </c>
      <c r="K2344" s="342" t="str">
        <f t="shared" si="621"/>
        <v/>
      </c>
      <c r="L2344" s="380" t="str">
        <f>IF(C2344="","",G2315*C2344)</f>
        <v/>
      </c>
      <c r="M2344" s="381" t="str">
        <f>IF(A2344="","",VLOOKUP(A2344,VII.A!$A$10:$B$199,2,FALSE))</f>
        <v/>
      </c>
      <c r="N2344" s="342" t="str">
        <f t="shared" si="622"/>
        <v/>
      </c>
      <c r="R2344" s="341"/>
      <c r="S2344" s="341"/>
    </row>
    <row r="2345" spans="1:19" ht="12.75" customHeight="1">
      <c r="A2345" s="393"/>
      <c r="C2345" s="20"/>
      <c r="E2345" s="387"/>
      <c r="F2345" s="388">
        <f t="shared" si="619"/>
        <v>0</v>
      </c>
      <c r="H2345" s="341" t="str">
        <f>IF(A2345="","",VLOOKUP(A2345,VII.A!$A$10:$D$199,4,FALSE))</f>
        <v/>
      </c>
      <c r="I2345" s="341" t="str">
        <f t="shared" si="620"/>
        <v/>
      </c>
      <c r="J2345" s="341" t="str">
        <f>IF(A2345="","",VLOOKUP(A2345,VII.A!$A$10:$D$199,3,FALSE))</f>
        <v/>
      </c>
      <c r="K2345" s="342" t="str">
        <f t="shared" si="621"/>
        <v/>
      </c>
      <c r="L2345" s="380" t="str">
        <f>IF(C2345="","",G2315*C2345)</f>
        <v/>
      </c>
      <c r="M2345" s="381" t="str">
        <f>IF(A2345="","",VLOOKUP(A2345,VII.A!$A$10:$B$199,2,FALSE))</f>
        <v/>
      </c>
      <c r="N2345" s="342" t="str">
        <f t="shared" si="622"/>
        <v/>
      </c>
      <c r="R2345" s="341"/>
      <c r="S2345" s="341"/>
    </row>
    <row r="2346" spans="1:19" ht="12.75" customHeight="1">
      <c r="A2346" s="393"/>
      <c r="C2346" s="20"/>
      <c r="E2346" s="387"/>
      <c r="F2346" s="388">
        <f t="shared" si="619"/>
        <v>0</v>
      </c>
      <c r="H2346" s="341" t="str">
        <f>IF(A2346="","",VLOOKUP(A2346,VII.A!$A$10:$D$199,4,FALSE))</f>
        <v/>
      </c>
      <c r="I2346" s="341" t="str">
        <f t="shared" si="620"/>
        <v/>
      </c>
      <c r="J2346" s="341" t="str">
        <f>IF(A2346="","",VLOOKUP(A2346,VII.A!$A$10:$D$199,3,FALSE))</f>
        <v/>
      </c>
      <c r="K2346" s="342" t="str">
        <f t="shared" si="621"/>
        <v/>
      </c>
      <c r="L2346" s="380" t="str">
        <f>IF(C2346="","",G2315*C2346)</f>
        <v/>
      </c>
      <c r="M2346" s="381" t="str">
        <f>IF(A2346="","",VLOOKUP(A2346,VII.A!$A$10:$B$199,2,FALSE))</f>
        <v/>
      </c>
      <c r="N2346" s="342" t="str">
        <f t="shared" si="622"/>
        <v/>
      </c>
      <c r="R2346" s="341"/>
      <c r="S2346" s="341"/>
    </row>
    <row r="2347" spans="1:19" ht="12.75" customHeight="1">
      <c r="A2347" s="393"/>
      <c r="B2347" s="395" t="s">
        <v>226</v>
      </c>
      <c r="C2347" s="396"/>
      <c r="D2347" s="397"/>
      <c r="E2347" s="398"/>
      <c r="F2347" s="399">
        <f>SUM(F2337:F2346)</f>
        <v>0</v>
      </c>
      <c r="J2347" s="341"/>
      <c r="L2347" s="380"/>
      <c r="M2347" s="381"/>
      <c r="N2347" s="342"/>
      <c r="R2347" s="341"/>
      <c r="S2347" s="341"/>
    </row>
    <row r="2348" spans="1:19" ht="12.75" customHeight="1">
      <c r="A2348" s="393"/>
      <c r="B2348" s="400" t="s">
        <v>53</v>
      </c>
      <c r="C2348" s="2">
        <f>$D$8</f>
        <v>0</v>
      </c>
      <c r="D2348" s="401"/>
      <c r="E2348" s="402"/>
      <c r="F2348" s="403">
        <f>ROUND(C2348*F2347,2)</f>
        <v>0</v>
      </c>
      <c r="J2348" s="341"/>
      <c r="L2348" s="380"/>
      <c r="M2348" s="381"/>
      <c r="N2348" s="342"/>
      <c r="R2348" s="341"/>
      <c r="S2348" s="341"/>
    </row>
    <row r="2349" spans="1:19" ht="12.75" customHeight="1">
      <c r="A2349" s="404"/>
      <c r="B2349" s="405" t="s">
        <v>228</v>
      </c>
      <c r="C2349" s="406"/>
      <c r="D2349" s="406"/>
      <c r="E2349" s="407"/>
      <c r="F2349" s="408">
        <f>F2347+F2348</f>
        <v>0</v>
      </c>
      <c r="J2349" s="341"/>
      <c r="L2349" s="380"/>
      <c r="M2349" s="381"/>
      <c r="N2349" s="342"/>
      <c r="R2349" s="341"/>
      <c r="S2349" s="341"/>
    </row>
    <row r="2350" spans="1:19" ht="12.75" customHeight="1">
      <c r="A2350" s="409" t="s">
        <v>47</v>
      </c>
      <c r="B2350" s="410" t="s">
        <v>236</v>
      </c>
      <c r="C2350" s="411" t="s">
        <v>231</v>
      </c>
      <c r="D2350" s="412" t="s">
        <v>232</v>
      </c>
      <c r="E2350" s="413" t="s">
        <v>233</v>
      </c>
      <c r="F2350" s="378" t="s">
        <v>234</v>
      </c>
      <c r="J2350" s="341"/>
      <c r="L2350" s="380"/>
      <c r="M2350" s="381"/>
      <c r="N2350" s="342"/>
      <c r="R2350" s="341"/>
      <c r="S2350" s="341"/>
    </row>
    <row r="2351" spans="1:19" ht="12.75" customHeight="1">
      <c r="A2351" s="393" t="str">
        <f>VII.A!$A$196</f>
        <v>3.16</v>
      </c>
      <c r="B2351" s="394" t="s">
        <v>157</v>
      </c>
      <c r="C2351" s="20">
        <v>0.2059</v>
      </c>
      <c r="D2351" s="384" t="str">
        <f>VLOOKUP(A2351,VII.A!$A$10:$G$199,3,FALSE)</f>
        <v>H</v>
      </c>
      <c r="E2351" s="387">
        <f>VII.A!$D$196</f>
        <v>0</v>
      </c>
      <c r="F2351" s="388">
        <f t="shared" ref="F2351:F2357" si="623">ROUND(C2351*E2351,2)</f>
        <v>0</v>
      </c>
      <c r="H2351" s="341">
        <f>IF(A2351="","",VLOOKUP(A2351,VII.A!$A$10:$D$199,4,FALSE))</f>
        <v>0</v>
      </c>
      <c r="I2351" s="341" t="str">
        <f t="shared" ref="I2351:I2357" si="624">IF(A2351="","",IF(E2351=H2351,"SIM","NÃO"))</f>
        <v>SIM</v>
      </c>
      <c r="J2351" s="341" t="str">
        <f>IF(A2351="","",VLOOKUP(A2351,VII.A!$A$10:$D$199,3,FALSE))</f>
        <v>H</v>
      </c>
      <c r="K2351" s="342" t="str">
        <f t="shared" ref="K2351:K2357" si="625">IF(A2351="","",IF(J2351=D2351,"SIM","NÃO"))</f>
        <v>SIM</v>
      </c>
      <c r="L2351" s="380">
        <f>IF(C2351="","",G2315*C2351)</f>
        <v>247.08</v>
      </c>
      <c r="M2351" s="381" t="str">
        <f>IF(A2351="","",VLOOKUP(A2351,VII.A!$A$10:$B$199,2,FALSE))</f>
        <v>SERVENTE COM ENCARGOS COMPLEMENTARES</v>
      </c>
      <c r="N2351" s="342" t="str">
        <f t="shared" ref="N2351:N2357" si="626">IF(B2351="","",IF(M2351=B2351,"si","no"))</f>
        <v>si</v>
      </c>
      <c r="R2351" s="341"/>
      <c r="S2351" s="341"/>
    </row>
    <row r="2352" spans="1:19" ht="12.75" customHeight="1">
      <c r="A2352" s="393" t="str">
        <f>VII.A!$A$192</f>
        <v>3.12</v>
      </c>
      <c r="B2352" s="381" t="str">
        <f>VLOOKUP($A2352,VII.A!$A$10:$G$199,2,FALSE)</f>
        <v>PEDREIRO COM ENCARGOS COMPLEMENTARES</v>
      </c>
      <c r="C2352" s="20">
        <v>6.8599999999999994E-2</v>
      </c>
      <c r="D2352" s="342" t="str">
        <f>VLOOKUP($A2352,VII.A!$A$10:$G$199,3,FALSE)</f>
        <v>H</v>
      </c>
      <c r="E2352" s="387">
        <f>VLOOKUP(A2352,VII.A!$A$10:$G$199,4,FALSE)</f>
        <v>0</v>
      </c>
      <c r="F2352" s="388">
        <f t="shared" si="623"/>
        <v>0</v>
      </c>
      <c r="H2352" s="341">
        <f>IF(A2352="","",VLOOKUP(A2352,VII.A!$A$10:$D$199,4,FALSE))</f>
        <v>0</v>
      </c>
      <c r="I2352" s="341" t="str">
        <f t="shared" si="624"/>
        <v>SIM</v>
      </c>
      <c r="J2352" s="341" t="str">
        <f>IF(A2352="","",VLOOKUP(A2352,VII.A!$A$10:$D$199,3,FALSE))</f>
        <v>H</v>
      </c>
      <c r="K2352" s="342" t="str">
        <f t="shared" si="625"/>
        <v>SIM</v>
      </c>
      <c r="L2352" s="380">
        <f>IF(C2352="","",G2315*C2352)</f>
        <v>82.32</v>
      </c>
      <c r="M2352" s="381" t="str">
        <f>IF(A2352="","",VLOOKUP(A2352,VII.A!$A$10:$B$199,2,FALSE))</f>
        <v>PEDREIRO COM ENCARGOS COMPLEMENTARES</v>
      </c>
      <c r="N2352" s="342" t="str">
        <f t="shared" si="626"/>
        <v>si</v>
      </c>
      <c r="R2352" s="341"/>
      <c r="S2352" s="341"/>
    </row>
    <row r="2353" spans="1:25" ht="12.75" customHeight="1">
      <c r="A2353" s="393"/>
      <c r="C2353" s="20"/>
      <c r="E2353" s="387"/>
      <c r="F2353" s="388">
        <f t="shared" si="623"/>
        <v>0</v>
      </c>
      <c r="H2353" s="341" t="str">
        <f>IF(A2353="","",VLOOKUP(A2353,VII.A!$A$10:$D$199,4,FALSE))</f>
        <v/>
      </c>
      <c r="I2353" s="341" t="str">
        <f t="shared" si="624"/>
        <v/>
      </c>
      <c r="J2353" s="341" t="str">
        <f>IF(A2353="","",VLOOKUP(A2353,VII.A!$A$10:$D$199,3,FALSE))</f>
        <v/>
      </c>
      <c r="K2353" s="342" t="str">
        <f t="shared" si="625"/>
        <v/>
      </c>
      <c r="L2353" s="380" t="str">
        <f>IF(C2353="","",G2315*C2353)</f>
        <v/>
      </c>
      <c r="M2353" s="381" t="str">
        <f>IF(A2353="","",VLOOKUP(A2353,VII.A!$A$10:$B$199,2,FALSE))</f>
        <v/>
      </c>
      <c r="N2353" s="342" t="str">
        <f t="shared" si="626"/>
        <v/>
      </c>
      <c r="R2353" s="341"/>
      <c r="S2353" s="341"/>
    </row>
    <row r="2354" spans="1:25" ht="12.75" customHeight="1">
      <c r="A2354" s="393"/>
      <c r="C2354" s="20"/>
      <c r="E2354" s="387"/>
      <c r="F2354" s="388">
        <f t="shared" si="623"/>
        <v>0</v>
      </c>
      <c r="H2354" s="341" t="str">
        <f>IF(A2354="","",VLOOKUP(A2354,VII.A!$A$10:$D$199,4,FALSE))</f>
        <v/>
      </c>
      <c r="I2354" s="341" t="str">
        <f t="shared" si="624"/>
        <v/>
      </c>
      <c r="J2354" s="341" t="str">
        <f>IF(A2354="","",VLOOKUP(A2354,VII.A!$A$10:$D$199,3,FALSE))</f>
        <v/>
      </c>
      <c r="K2354" s="342" t="str">
        <f t="shared" si="625"/>
        <v/>
      </c>
      <c r="L2354" s="380" t="str">
        <f>IF(C2354="","",G2315*C2354)</f>
        <v/>
      </c>
      <c r="M2354" s="381" t="str">
        <f>IF(A2354="","",VLOOKUP(A2354,VII.A!$A$10:$B$199,2,FALSE))</f>
        <v/>
      </c>
      <c r="N2354" s="342" t="str">
        <f t="shared" si="626"/>
        <v/>
      </c>
      <c r="R2354" s="341"/>
      <c r="S2354" s="341"/>
    </row>
    <row r="2355" spans="1:25" ht="12.75" customHeight="1">
      <c r="A2355" s="393"/>
      <c r="C2355" s="20"/>
      <c r="E2355" s="387"/>
      <c r="F2355" s="388">
        <f t="shared" si="623"/>
        <v>0</v>
      </c>
      <c r="H2355" s="341" t="str">
        <f>IF(A2355="","",VLOOKUP(A2355,VII.A!$A$10:$D$199,4,FALSE))</f>
        <v/>
      </c>
      <c r="I2355" s="341" t="str">
        <f t="shared" si="624"/>
        <v/>
      </c>
      <c r="J2355" s="341" t="str">
        <f>IF(A2355="","",VLOOKUP(A2355,VII.A!$A$10:$D$199,3,FALSE))</f>
        <v/>
      </c>
      <c r="K2355" s="342" t="str">
        <f t="shared" si="625"/>
        <v/>
      </c>
      <c r="L2355" s="380" t="str">
        <f>IF(C2355="","",G2315*C2355)</f>
        <v/>
      </c>
      <c r="M2355" s="381" t="str">
        <f>IF(A2355="","",VLOOKUP(A2355,VII.A!$A$10:$B$199,2,FALSE))</f>
        <v/>
      </c>
      <c r="N2355" s="342" t="str">
        <f t="shared" si="626"/>
        <v/>
      </c>
      <c r="R2355" s="341"/>
      <c r="S2355" s="341"/>
    </row>
    <row r="2356" spans="1:25" ht="12.75" customHeight="1">
      <c r="A2356" s="393"/>
      <c r="C2356" s="20"/>
      <c r="E2356" s="387"/>
      <c r="F2356" s="388">
        <f t="shared" si="623"/>
        <v>0</v>
      </c>
      <c r="H2356" s="341" t="str">
        <f>IF(A2356="","",VLOOKUP(A2356,VII.A!$A$10:$D$199,4,FALSE))</f>
        <v/>
      </c>
      <c r="I2356" s="341" t="str">
        <f t="shared" si="624"/>
        <v/>
      </c>
      <c r="J2356" s="341" t="str">
        <f>IF(A2356="","",VLOOKUP(A2356,VII.A!$A$10:$D$199,3,FALSE))</f>
        <v/>
      </c>
      <c r="K2356" s="342" t="str">
        <f t="shared" si="625"/>
        <v/>
      </c>
      <c r="L2356" s="380" t="str">
        <f>IF(C2356="","",G2315*C2356)</f>
        <v/>
      </c>
      <c r="M2356" s="381" t="str">
        <f>IF(A2356="","",VLOOKUP(A2356,VII.A!$A$10:$B$199,2,FALSE))</f>
        <v/>
      </c>
      <c r="N2356" s="342" t="str">
        <f t="shared" si="626"/>
        <v/>
      </c>
      <c r="R2356" s="341"/>
      <c r="S2356" s="341"/>
    </row>
    <row r="2357" spans="1:25" ht="12.75" customHeight="1">
      <c r="A2357" s="393"/>
      <c r="C2357" s="20"/>
      <c r="E2357" s="387"/>
      <c r="F2357" s="388">
        <f t="shared" si="623"/>
        <v>0</v>
      </c>
      <c r="H2357" s="341" t="str">
        <f>IF(A2357="","",VLOOKUP(A2357,VII.A!$A$10:$D$199,4,FALSE))</f>
        <v/>
      </c>
      <c r="I2357" s="341" t="str">
        <f t="shared" si="624"/>
        <v/>
      </c>
      <c r="J2357" s="341" t="str">
        <f>IF(A2357="","",VLOOKUP(A2357,VII.A!$A$10:$D$199,3,FALSE))</f>
        <v/>
      </c>
      <c r="K2357" s="342" t="str">
        <f t="shared" si="625"/>
        <v/>
      </c>
      <c r="L2357" s="380" t="str">
        <f>IF(C2357="","",G2315*C2357)</f>
        <v/>
      </c>
      <c r="M2357" s="381" t="str">
        <f>IF(A2357="","",VLOOKUP(A2357,VII.A!$A$10:$B$199,2,FALSE))</f>
        <v/>
      </c>
      <c r="N2357" s="342" t="str">
        <f t="shared" si="626"/>
        <v/>
      </c>
      <c r="R2357" s="341"/>
      <c r="S2357" s="341"/>
    </row>
    <row r="2358" spans="1:25" ht="12.75" customHeight="1">
      <c r="A2358" s="393"/>
      <c r="B2358" s="395" t="s">
        <v>226</v>
      </c>
      <c r="C2358" s="396"/>
      <c r="D2358" s="397"/>
      <c r="E2358" s="398"/>
      <c r="F2358" s="399">
        <f>SUM(F2351:F2357)</f>
        <v>0</v>
      </c>
      <c r="J2358" s="341"/>
      <c r="L2358" s="380"/>
      <c r="M2358" s="381"/>
      <c r="N2358" s="342"/>
      <c r="R2358" s="341"/>
      <c r="S2358" s="341"/>
    </row>
    <row r="2359" spans="1:25" ht="12.75" customHeight="1">
      <c r="A2359" s="393"/>
      <c r="B2359" s="400" t="s">
        <v>229</v>
      </c>
      <c r="C2359" s="2">
        <f>IX.A!$C$45</f>
        <v>0</v>
      </c>
      <c r="D2359" s="401"/>
      <c r="E2359" s="402"/>
      <c r="F2359" s="403">
        <f>ROUND(F2358*C2359,2)</f>
        <v>0</v>
      </c>
      <c r="J2359" s="341"/>
      <c r="L2359" s="380"/>
      <c r="M2359" s="381"/>
      <c r="N2359" s="342"/>
      <c r="R2359" s="341"/>
      <c r="S2359" s="341"/>
    </row>
    <row r="2360" spans="1:25" ht="12.75" customHeight="1">
      <c r="A2360" s="393"/>
      <c r="B2360" s="400" t="s">
        <v>53</v>
      </c>
      <c r="C2360" s="2">
        <f>$D$8</f>
        <v>0</v>
      </c>
      <c r="D2360" s="401"/>
      <c r="E2360" s="402"/>
      <c r="F2360" s="403">
        <f>ROUND(SUM(F2358:F2359)*C2360,2)</f>
        <v>0</v>
      </c>
      <c r="J2360" s="341"/>
      <c r="L2360" s="380"/>
      <c r="M2360" s="381"/>
      <c r="N2360" s="342"/>
      <c r="R2360" s="341"/>
      <c r="S2360" s="341"/>
    </row>
    <row r="2361" spans="1:25" ht="12.75" customHeight="1" thickBot="1">
      <c r="A2361" s="414"/>
      <c r="B2361" s="415" t="s">
        <v>230</v>
      </c>
      <c r="C2361" s="416"/>
      <c r="D2361" s="416"/>
      <c r="E2361" s="417"/>
      <c r="F2361" s="418">
        <f>SUM(F2358:F2360)</f>
        <v>0</v>
      </c>
      <c r="J2361" s="341"/>
      <c r="L2361" s="380"/>
      <c r="M2361" s="381"/>
      <c r="N2361" s="342"/>
      <c r="R2361" s="341"/>
      <c r="S2361" s="341"/>
    </row>
    <row r="2362" spans="1:25" ht="12.75" customHeight="1" thickBot="1">
      <c r="A2362" s="427"/>
      <c r="B2362" s="428"/>
      <c r="C2362" s="429"/>
      <c r="D2362" s="429"/>
      <c r="E2362" s="430"/>
      <c r="F2362" s="431"/>
      <c r="J2362" s="341"/>
      <c r="L2362" s="380"/>
      <c r="M2362" s="381"/>
      <c r="N2362" s="342"/>
      <c r="R2362" s="341"/>
      <c r="S2362" s="341"/>
    </row>
    <row r="2363" spans="1:25" ht="30" customHeight="1">
      <c r="A2363" s="370" t="str">
        <f>IV.A!A78</f>
        <v>3.4.9</v>
      </c>
      <c r="B2363" s="371" t="str">
        <f>IV.A!B78</f>
        <v>LASTRO DE BRITA APILOADO</v>
      </c>
      <c r="C2363" s="871" t="s">
        <v>237</v>
      </c>
      <c r="D2363" s="872"/>
      <c r="E2363" s="372" t="str">
        <f>IV.A!C78</f>
        <v>M3</v>
      </c>
      <c r="F2363" s="11">
        <f>ROUND(F2383+F2397+F2409,2)</f>
        <v>0</v>
      </c>
      <c r="G2363" s="1">
        <f>VLOOKUP(A2363,IV.A!$A$16:$L$172,4,FALSE)</f>
        <v>46</v>
      </c>
      <c r="H2363" s="361">
        <f>SUM(F2365:F2380)+F2382</f>
        <v>0</v>
      </c>
      <c r="I2363" s="361">
        <f>SUM(F2385:F2394)+F2396</f>
        <v>0</v>
      </c>
      <c r="J2363" s="361">
        <f>SUM(F2399:F2405)+F2407+F2408</f>
        <v>0</v>
      </c>
      <c r="K2363" s="361">
        <f>SUM(H2363:J2363)</f>
        <v>0</v>
      </c>
      <c r="L2363" s="362" t="str">
        <f>IF(K2363=F2363,"SIM","NÃO")</f>
        <v>SIM</v>
      </c>
      <c r="M2363" s="373">
        <f>ROUND(SUM(F2365:F2380),2)+ROUND(SUM(F2365:F2380)*C2382,2)+ROUND(SUM(F2385:F2394)*C2396,2)+ROUND(SUM(F2385:F2394),2)+ROUND(SUM(F2399:F2405)*C2407,2)+ROUND((SUM(F2399:F2405)+ROUND(SUM(F2399:F2405)*C2407,2))*C2408,2)+ROUND(SUM(F2399:F2405),2)</f>
        <v>0</v>
      </c>
      <c r="N2363" s="343" t="str">
        <f>IF(M2363=F2363,"SIM","NÃO")</f>
        <v>SIM</v>
      </c>
      <c r="O2363" s="364" t="str">
        <f>VLOOKUP(A2363,IV.A!$A$16:$E$172,3,FALSE)</f>
        <v>M3</v>
      </c>
      <c r="P2363" s="344" t="str">
        <f>IF(O2363=E2363,"SIM","NÃO")</f>
        <v>SIM</v>
      </c>
      <c r="Q2363" s="365">
        <f>ROUND(G2363*F2383,2)+ROUND(G2363*F2397,2)+ROUND(G2363*F2409,2)</f>
        <v>0</v>
      </c>
      <c r="R2363" s="364">
        <f>VLOOKUP(A2363,IV.A!$A$16:$L$172,12,FALSE)</f>
        <v>0</v>
      </c>
      <c r="S2363" s="366" t="str">
        <f>IF(Q2363=R2363,"si","no")</f>
        <v>si</v>
      </c>
      <c r="T2363" s="367">
        <f>SUM(L2365:L2380)+SUM(L2385:L2394)+SUM(L2399:L2405)</f>
        <v>124.19999999999999</v>
      </c>
      <c r="U2363" s="341">
        <f>(SUM(C2365:C2380)+SUM(C2385:C2394)+SUM(C2399:C2405))*G2363</f>
        <v>124.2</v>
      </c>
      <c r="V2363" s="368" t="str">
        <f>IF(T2363=U2363,"si","no")</f>
        <v>si</v>
      </c>
      <c r="W2363" s="369">
        <f>SUM(F2365:F2380)</f>
        <v>0</v>
      </c>
      <c r="X2363" s="369">
        <f>SUM(F2385:F2394)</f>
        <v>0</v>
      </c>
      <c r="Y2363" s="369">
        <f>SUM(F2399:F2405)</f>
        <v>0</v>
      </c>
    </row>
    <row r="2364" spans="1:25" ht="12.75" customHeight="1">
      <c r="A2364" s="374" t="s">
        <v>14</v>
      </c>
      <c r="B2364" s="375" t="s">
        <v>132</v>
      </c>
      <c r="C2364" s="376" t="s">
        <v>231</v>
      </c>
      <c r="D2364" s="376" t="s">
        <v>232</v>
      </c>
      <c r="E2364" s="377" t="s">
        <v>233</v>
      </c>
      <c r="F2364" s="378" t="s">
        <v>234</v>
      </c>
      <c r="G2364" s="379"/>
      <c r="J2364" s="341"/>
      <c r="L2364" s="380"/>
      <c r="M2364" s="381"/>
      <c r="N2364" s="342"/>
      <c r="O2364" s="382"/>
      <c r="P2364" s="383"/>
      <c r="Q2364" s="383"/>
      <c r="R2364" s="383"/>
      <c r="S2364" s="383"/>
      <c r="T2364" s="382"/>
      <c r="U2364" s="341"/>
      <c r="V2364" s="384"/>
      <c r="W2364" s="384"/>
      <c r="X2364" s="384"/>
      <c r="Y2364" s="384"/>
    </row>
    <row r="2365" spans="1:25" ht="12.75" customHeight="1">
      <c r="A2365" s="385" t="str">
        <f>VII.A!$A$82</f>
        <v>1.73</v>
      </c>
      <c r="B2365" s="381" t="str">
        <f>VLOOKUP($A2365,VII.A!$A$10:$G$199,2,FALSE)</f>
        <v>PEDRA BRITADA Nº 1 GRANULOMETRIA ENTRE (9,5 E 25,00 MM)</v>
      </c>
      <c r="C2365" s="20">
        <v>1.2</v>
      </c>
      <c r="D2365" s="342" t="str">
        <f>VLOOKUP($A2365,VII.A!$A$10:$G$199,3,FALSE)</f>
        <v>M3</v>
      </c>
      <c r="E2365" s="387">
        <f>VLOOKUP(A2365,VII.A!$A$10:$G$199,4,FALSE)</f>
        <v>0</v>
      </c>
      <c r="F2365" s="388">
        <f>ROUND(C2365*E2365,2)</f>
        <v>0</v>
      </c>
      <c r="H2365" s="341">
        <f>IF(A2365="","",VLOOKUP(A2365,VII.A!$A$10:$D$199,4,FALSE))</f>
        <v>0</v>
      </c>
      <c r="I2365" s="341" t="str">
        <f t="shared" ref="I2365:I2380" si="627">IF(A2365="","",IF(E2365=H2365,"SIM","NÃO"))</f>
        <v>SIM</v>
      </c>
      <c r="J2365" s="341" t="str">
        <f>IF(A2365="","",VLOOKUP(A2365,VII.A!$A$10:$D$199,3,FALSE))</f>
        <v>M3</v>
      </c>
      <c r="K2365" s="342" t="str">
        <f t="shared" ref="K2365:K2380" si="628">IF(A2365="","",IF(J2365=D2365,"SIM","NÃO"))</f>
        <v>SIM</v>
      </c>
      <c r="L2365" s="380">
        <f>IF(C2365="","",G2363*C2365)</f>
        <v>55.199999999999996</v>
      </c>
      <c r="M2365" s="381" t="str">
        <f>IF(A2365="","",VLOOKUP(A2365,VII.A!$A$10:$B$199,2,FALSE))</f>
        <v>PEDRA BRITADA Nº 1 GRANULOMETRIA ENTRE (9,5 E 25,00 MM)</v>
      </c>
      <c r="N2365" s="342" t="str">
        <f t="shared" ref="N2365:N2380" si="629">IF(B2365="","",IF(M2365=B2365,"si","no"))</f>
        <v>si</v>
      </c>
      <c r="R2365" s="341"/>
      <c r="S2365" s="341"/>
    </row>
    <row r="2366" spans="1:25" ht="12.75" customHeight="1">
      <c r="A2366" s="385"/>
      <c r="B2366" s="381"/>
      <c r="C2366" s="20"/>
      <c r="D2366" s="342"/>
      <c r="E2366" s="387"/>
      <c r="F2366" s="388">
        <f t="shared" ref="F2366:F2380" si="630">ROUND(C2366*E2366,2)</f>
        <v>0</v>
      </c>
      <c r="H2366" s="341" t="str">
        <f>IF(A2366="","",VLOOKUP(A2366,VII.A!$A$10:$D$199,4,FALSE))</f>
        <v/>
      </c>
      <c r="I2366" s="341" t="str">
        <f t="shared" si="627"/>
        <v/>
      </c>
      <c r="J2366" s="341" t="str">
        <f>IF(A2366="","",VLOOKUP(A2366,VII.A!$A$10:$D$199,3,FALSE))</f>
        <v/>
      </c>
      <c r="K2366" s="342" t="str">
        <f t="shared" si="628"/>
        <v/>
      </c>
      <c r="L2366" s="380" t="str">
        <f>IF(C2366="","",G2363*C2366)</f>
        <v/>
      </c>
      <c r="M2366" s="381" t="str">
        <f>IF(A2366="","",VLOOKUP(A2366,VII.A!$A$10:$B$199,2,FALSE))</f>
        <v/>
      </c>
      <c r="N2366" s="342" t="str">
        <f t="shared" si="629"/>
        <v/>
      </c>
      <c r="R2366" s="341"/>
      <c r="S2366" s="341"/>
    </row>
    <row r="2367" spans="1:25" ht="12.75" customHeight="1">
      <c r="A2367" s="385"/>
      <c r="B2367" s="381"/>
      <c r="C2367" s="20"/>
      <c r="D2367" s="342"/>
      <c r="E2367" s="387"/>
      <c r="F2367" s="388">
        <f t="shared" si="630"/>
        <v>0</v>
      </c>
      <c r="H2367" s="341" t="str">
        <f>IF(A2367="","",VLOOKUP(A2367,VII.A!$A$10:$D$199,4,FALSE))</f>
        <v/>
      </c>
      <c r="I2367" s="341" t="str">
        <f t="shared" si="627"/>
        <v/>
      </c>
      <c r="J2367" s="341" t="str">
        <f>IF(A2367="","",VLOOKUP(A2367,VII.A!$A$10:$D$199,3,FALSE))</f>
        <v/>
      </c>
      <c r="K2367" s="342" t="str">
        <f t="shared" si="628"/>
        <v/>
      </c>
      <c r="L2367" s="380" t="str">
        <f>IF(C2367="","",G2363*C2367)</f>
        <v/>
      </c>
      <c r="M2367" s="381" t="str">
        <f>IF(A2367="","",VLOOKUP(A2367,VII.A!$A$10:$B$199,2,FALSE))</f>
        <v/>
      </c>
      <c r="N2367" s="342" t="str">
        <f t="shared" si="629"/>
        <v/>
      </c>
      <c r="R2367" s="341"/>
      <c r="S2367" s="341"/>
    </row>
    <row r="2368" spans="1:25" ht="12.75" customHeight="1">
      <c r="A2368" s="385"/>
      <c r="B2368" s="386"/>
      <c r="C2368" s="20"/>
      <c r="D2368" s="342"/>
      <c r="E2368" s="387"/>
      <c r="F2368" s="388">
        <f t="shared" si="630"/>
        <v>0</v>
      </c>
      <c r="H2368" s="341" t="str">
        <f>IF(A2368="","",VLOOKUP(A2368,VII.A!$A$10:$D$199,4,FALSE))</f>
        <v/>
      </c>
      <c r="I2368" s="341" t="str">
        <f t="shared" si="627"/>
        <v/>
      </c>
      <c r="J2368" s="341" t="str">
        <f>IF(A2368="","",VLOOKUP(A2368,VII.A!$A$10:$D$199,3,FALSE))</f>
        <v/>
      </c>
      <c r="K2368" s="342" t="str">
        <f t="shared" si="628"/>
        <v/>
      </c>
      <c r="L2368" s="380" t="str">
        <f>IF(C2368="","",G2363*C2368)</f>
        <v/>
      </c>
      <c r="M2368" s="381" t="str">
        <f>IF(A2368="","",VLOOKUP(A2368,VII.A!$A$10:$B$199,2,FALSE))</f>
        <v/>
      </c>
      <c r="N2368" s="342" t="str">
        <f t="shared" si="629"/>
        <v/>
      </c>
      <c r="R2368" s="341"/>
      <c r="S2368" s="341"/>
    </row>
    <row r="2369" spans="1:21" ht="12.75" customHeight="1">
      <c r="A2369" s="385"/>
      <c r="B2369" s="386"/>
      <c r="C2369" s="20"/>
      <c r="D2369" s="342"/>
      <c r="E2369" s="387"/>
      <c r="F2369" s="388">
        <f t="shared" si="630"/>
        <v>0</v>
      </c>
      <c r="H2369" s="341" t="str">
        <f>IF(A2369="","",VLOOKUP(A2369,VII.A!$A$10:$D$199,4,FALSE))</f>
        <v/>
      </c>
      <c r="I2369" s="341" t="str">
        <f t="shared" si="627"/>
        <v/>
      </c>
      <c r="J2369" s="341" t="str">
        <f>IF(A2369="","",VLOOKUP(A2369,VII.A!$A$10:$D$199,3,FALSE))</f>
        <v/>
      </c>
      <c r="K2369" s="342" t="str">
        <f t="shared" si="628"/>
        <v/>
      </c>
      <c r="L2369" s="380" t="str">
        <f>IF(C2369="","",G2363*C2369)</f>
        <v/>
      </c>
      <c r="M2369" s="381" t="str">
        <f>IF(A2369="","",VLOOKUP(A2369,VII.A!$A$10:$B$199,2,FALSE))</f>
        <v/>
      </c>
      <c r="N2369" s="342" t="str">
        <f t="shared" si="629"/>
        <v/>
      </c>
      <c r="R2369" s="341"/>
      <c r="S2369" s="341"/>
    </row>
    <row r="2370" spans="1:21" ht="12.75" customHeight="1">
      <c r="A2370" s="385"/>
      <c r="B2370" s="386"/>
      <c r="C2370" s="20"/>
      <c r="D2370" s="342"/>
      <c r="E2370" s="387"/>
      <c r="F2370" s="388">
        <f t="shared" si="630"/>
        <v>0</v>
      </c>
      <c r="H2370" s="341" t="str">
        <f>IF(A2370="","",VLOOKUP(A2370,VII.A!$A$10:$D$199,4,FALSE))</f>
        <v/>
      </c>
      <c r="I2370" s="341" t="str">
        <f t="shared" si="627"/>
        <v/>
      </c>
      <c r="J2370" s="341" t="str">
        <f>IF(A2370="","",VLOOKUP(A2370,VII.A!$A$10:$D$199,3,FALSE))</f>
        <v/>
      </c>
      <c r="K2370" s="342" t="str">
        <f t="shared" si="628"/>
        <v/>
      </c>
      <c r="L2370" s="380" t="str">
        <f>IF(C2370="","",G2363*C2370)</f>
        <v/>
      </c>
      <c r="M2370" s="381" t="str">
        <f>IF(A2370="","",VLOOKUP(A2370,VII.A!$A$10:$B$199,2,FALSE))</f>
        <v/>
      </c>
      <c r="N2370" s="342" t="str">
        <f t="shared" si="629"/>
        <v/>
      </c>
      <c r="R2370" s="341"/>
      <c r="S2370" s="341"/>
      <c r="U2370" s="389"/>
    </row>
    <row r="2371" spans="1:21" ht="12.75" customHeight="1">
      <c r="A2371" s="385"/>
      <c r="B2371" s="386"/>
      <c r="C2371" s="20"/>
      <c r="D2371" s="342"/>
      <c r="E2371" s="387"/>
      <c r="F2371" s="388">
        <f t="shared" si="630"/>
        <v>0</v>
      </c>
      <c r="H2371" s="341" t="str">
        <f>IF(A2371="","",VLOOKUP(A2371,VII.A!$A$10:$D$199,4,FALSE))</f>
        <v/>
      </c>
      <c r="I2371" s="341" t="str">
        <f t="shared" si="627"/>
        <v/>
      </c>
      <c r="J2371" s="341" t="str">
        <f>IF(A2371="","",VLOOKUP(A2371,VII.A!$A$10:$D$199,3,FALSE))</f>
        <v/>
      </c>
      <c r="K2371" s="342" t="str">
        <f t="shared" si="628"/>
        <v/>
      </c>
      <c r="L2371" s="380" t="str">
        <f>IF(C2371="","",G2363*C2371)</f>
        <v/>
      </c>
      <c r="M2371" s="381" t="str">
        <f>IF(A2371="","",VLOOKUP(A2371,VII.A!$A$10:$B$199,2,FALSE))</f>
        <v/>
      </c>
      <c r="N2371" s="342" t="str">
        <f t="shared" si="629"/>
        <v/>
      </c>
      <c r="R2371" s="341"/>
      <c r="S2371" s="341"/>
    </row>
    <row r="2372" spans="1:21" ht="12.75" customHeight="1">
      <c r="A2372" s="385"/>
      <c r="B2372" s="386"/>
      <c r="C2372" s="20"/>
      <c r="D2372" s="342"/>
      <c r="E2372" s="387"/>
      <c r="F2372" s="388">
        <f t="shared" si="630"/>
        <v>0</v>
      </c>
      <c r="G2372" s="390"/>
      <c r="H2372" s="341" t="str">
        <f>IF(A2372="","",VLOOKUP(A2372,VII.A!$A$10:$D$199,4,FALSE))</f>
        <v/>
      </c>
      <c r="I2372" s="341" t="str">
        <f t="shared" si="627"/>
        <v/>
      </c>
      <c r="J2372" s="341" t="str">
        <f>IF(A2372="","",VLOOKUP(A2372,VII.A!$A$10:$D$199,3,FALSE))</f>
        <v/>
      </c>
      <c r="K2372" s="342" t="str">
        <f t="shared" si="628"/>
        <v/>
      </c>
      <c r="L2372" s="380" t="str">
        <f>IF(C2372="","",G2363*C2372)</f>
        <v/>
      </c>
      <c r="M2372" s="381" t="str">
        <f>IF(A2372="","",VLOOKUP(A2372,VII.A!$A$10:$B$199,2,FALSE))</f>
        <v/>
      </c>
      <c r="N2372" s="342" t="str">
        <f t="shared" si="629"/>
        <v/>
      </c>
      <c r="R2372" s="341"/>
      <c r="S2372" s="341"/>
    </row>
    <row r="2373" spans="1:21" ht="12.75" customHeight="1">
      <c r="A2373" s="385"/>
      <c r="B2373" s="386"/>
      <c r="C2373" s="20"/>
      <c r="D2373" s="342"/>
      <c r="E2373" s="387"/>
      <c r="F2373" s="388">
        <f t="shared" si="630"/>
        <v>0</v>
      </c>
      <c r="G2373" s="390"/>
      <c r="H2373" s="341" t="str">
        <f>IF(A2373="","",VLOOKUP(A2373,VII.A!$A$10:$D$199,4,FALSE))</f>
        <v/>
      </c>
      <c r="I2373" s="341" t="str">
        <f t="shared" si="627"/>
        <v/>
      </c>
      <c r="J2373" s="341" t="str">
        <f>IF(A2373="","",VLOOKUP(A2373,VII.A!$A$10:$D$199,3,FALSE))</f>
        <v/>
      </c>
      <c r="K2373" s="342" t="str">
        <f t="shared" si="628"/>
        <v/>
      </c>
      <c r="L2373" s="380" t="str">
        <f>IF(C2373="","",G2363*C2373)</f>
        <v/>
      </c>
      <c r="M2373" s="381" t="str">
        <f>IF(A2373="","",VLOOKUP(A2373,VII.A!$A$10:$B$199,2,FALSE))</f>
        <v/>
      </c>
      <c r="N2373" s="342" t="str">
        <f t="shared" si="629"/>
        <v/>
      </c>
      <c r="R2373" s="341"/>
      <c r="S2373" s="341"/>
    </row>
    <row r="2374" spans="1:21" ht="12.75" customHeight="1">
      <c r="A2374" s="385"/>
      <c r="B2374" s="386"/>
      <c r="C2374" s="20"/>
      <c r="D2374" s="342"/>
      <c r="E2374" s="387"/>
      <c r="F2374" s="388">
        <f t="shared" si="630"/>
        <v>0</v>
      </c>
      <c r="G2374" s="391"/>
      <c r="H2374" s="341" t="str">
        <f>IF(A2374="","",VLOOKUP(A2374,VII.A!$A$10:$D$199,4,FALSE))</f>
        <v/>
      </c>
      <c r="I2374" s="341" t="str">
        <f t="shared" si="627"/>
        <v/>
      </c>
      <c r="J2374" s="341" t="str">
        <f>IF(A2374="","",VLOOKUP(A2374,VII.A!$A$10:$D$199,3,FALSE))</f>
        <v/>
      </c>
      <c r="K2374" s="342" t="str">
        <f t="shared" si="628"/>
        <v/>
      </c>
      <c r="L2374" s="380" t="str">
        <f>IF(C2374="","",G2363*C2374)</f>
        <v/>
      </c>
      <c r="M2374" s="381" t="str">
        <f>IF(A2374="","",VLOOKUP(A2374,VII.A!$A$10:$B$199,2,FALSE))</f>
        <v/>
      </c>
      <c r="N2374" s="342" t="str">
        <f t="shared" si="629"/>
        <v/>
      </c>
      <c r="R2374" s="341"/>
      <c r="S2374" s="341"/>
    </row>
    <row r="2375" spans="1:21" ht="12.75" customHeight="1">
      <c r="A2375" s="385"/>
      <c r="B2375" s="386"/>
      <c r="C2375" s="20"/>
      <c r="D2375" s="342"/>
      <c r="E2375" s="387"/>
      <c r="F2375" s="388">
        <f t="shared" si="630"/>
        <v>0</v>
      </c>
      <c r="H2375" s="341" t="str">
        <f>IF(A2375="","",VLOOKUP(A2375,VII.A!$A$10:$D$199,4,FALSE))</f>
        <v/>
      </c>
      <c r="I2375" s="341" t="str">
        <f t="shared" si="627"/>
        <v/>
      </c>
      <c r="J2375" s="341" t="str">
        <f>IF(A2375="","",VLOOKUP(A2375,VII.A!$A$10:$D$199,3,FALSE))</f>
        <v/>
      </c>
      <c r="K2375" s="342" t="str">
        <f t="shared" si="628"/>
        <v/>
      </c>
      <c r="L2375" s="380" t="str">
        <f>IF(C2375="","",G2363*C2375)</f>
        <v/>
      </c>
      <c r="M2375" s="381" t="str">
        <f>IF(A2375="","",VLOOKUP(A2375,VII.A!$A$10:$B$199,2,FALSE))</f>
        <v/>
      </c>
      <c r="N2375" s="342" t="str">
        <f t="shared" si="629"/>
        <v/>
      </c>
      <c r="R2375" s="341"/>
      <c r="S2375" s="341"/>
    </row>
    <row r="2376" spans="1:21" ht="12.75" customHeight="1">
      <c r="A2376" s="385"/>
      <c r="B2376" s="386"/>
      <c r="C2376" s="20"/>
      <c r="D2376" s="392"/>
      <c r="E2376" s="387"/>
      <c r="F2376" s="388">
        <f t="shared" si="630"/>
        <v>0</v>
      </c>
      <c r="H2376" s="341" t="str">
        <f>IF(A2376="","",VLOOKUP(A2376,VII.A!$A$10:$D$199,4,FALSE))</f>
        <v/>
      </c>
      <c r="I2376" s="341" t="str">
        <f t="shared" si="627"/>
        <v/>
      </c>
      <c r="J2376" s="341" t="str">
        <f>IF(A2376="","",VLOOKUP(A2376,VII.A!$A$10:$D$199,3,FALSE))</f>
        <v/>
      </c>
      <c r="K2376" s="342" t="str">
        <f t="shared" si="628"/>
        <v/>
      </c>
      <c r="L2376" s="380" t="str">
        <f>IF(C2376="","",G2363*C2376)</f>
        <v/>
      </c>
      <c r="M2376" s="381" t="str">
        <f>IF(A2376="","",VLOOKUP(A2376,VII.A!$A$10:$B$199,2,FALSE))</f>
        <v/>
      </c>
      <c r="N2376" s="342" t="str">
        <f t="shared" si="629"/>
        <v/>
      </c>
      <c r="R2376" s="341"/>
      <c r="S2376" s="341"/>
    </row>
    <row r="2377" spans="1:21" ht="12.75" customHeight="1">
      <c r="A2377" s="385"/>
      <c r="B2377" s="386"/>
      <c r="C2377" s="20"/>
      <c r="D2377" s="392"/>
      <c r="E2377" s="387"/>
      <c r="F2377" s="388">
        <f t="shared" si="630"/>
        <v>0</v>
      </c>
      <c r="H2377" s="341" t="str">
        <f>IF(A2377="","",VLOOKUP(A2377,VII.A!$A$10:$D$199,4,FALSE))</f>
        <v/>
      </c>
      <c r="I2377" s="341" t="str">
        <f t="shared" si="627"/>
        <v/>
      </c>
      <c r="J2377" s="341" t="str">
        <f>IF(A2377="","",VLOOKUP(A2377,VII.A!$A$10:$D$199,3,FALSE))</f>
        <v/>
      </c>
      <c r="K2377" s="342" t="str">
        <f t="shared" si="628"/>
        <v/>
      </c>
      <c r="L2377" s="380" t="str">
        <f>IF(C2377="","",G2363*C2377)</f>
        <v/>
      </c>
      <c r="M2377" s="381" t="str">
        <f>IF(A2377="","",VLOOKUP(A2377,VII.A!$A$10:$B$199,2,FALSE))</f>
        <v/>
      </c>
      <c r="N2377" s="342" t="str">
        <f t="shared" si="629"/>
        <v/>
      </c>
      <c r="O2377" s="342"/>
      <c r="R2377" s="341"/>
      <c r="S2377" s="341"/>
    </row>
    <row r="2378" spans="1:21" ht="12.75" customHeight="1">
      <c r="A2378" s="385"/>
      <c r="B2378" s="386"/>
      <c r="C2378" s="20"/>
      <c r="D2378" s="392"/>
      <c r="E2378" s="387"/>
      <c r="F2378" s="388">
        <f t="shared" si="630"/>
        <v>0</v>
      </c>
      <c r="H2378" s="341" t="str">
        <f>IF(A2378="","",VLOOKUP(A2378,VII.A!$A$10:$D$199,4,FALSE))</f>
        <v/>
      </c>
      <c r="I2378" s="341" t="str">
        <f t="shared" si="627"/>
        <v/>
      </c>
      <c r="J2378" s="341" t="str">
        <f>IF(A2378="","",VLOOKUP(A2378,VII.A!$A$10:$D$199,3,FALSE))</f>
        <v/>
      </c>
      <c r="K2378" s="342" t="str">
        <f t="shared" si="628"/>
        <v/>
      </c>
      <c r="L2378" s="380" t="str">
        <f>IF(C2378="","",G2363*C2378)</f>
        <v/>
      </c>
      <c r="M2378" s="381" t="str">
        <f>IF(A2378="","",VLOOKUP(A2378,VII.A!$A$10:$B$199,2,FALSE))</f>
        <v/>
      </c>
      <c r="N2378" s="342" t="str">
        <f t="shared" si="629"/>
        <v/>
      </c>
      <c r="R2378" s="341"/>
      <c r="S2378" s="341"/>
    </row>
    <row r="2379" spans="1:21" ht="12.75" customHeight="1">
      <c r="A2379" s="393"/>
      <c r="C2379" s="20"/>
      <c r="E2379" s="387"/>
      <c r="F2379" s="388">
        <f t="shared" si="630"/>
        <v>0</v>
      </c>
      <c r="H2379" s="341" t="str">
        <f>IF(A2379="","",VLOOKUP(A2379,VII.A!$A$10:$D$199,4,FALSE))</f>
        <v/>
      </c>
      <c r="I2379" s="341" t="str">
        <f t="shared" si="627"/>
        <v/>
      </c>
      <c r="J2379" s="341" t="str">
        <f>IF(A2379="","",VLOOKUP(A2379,VII.A!$A$10:$D$199,3,FALSE))</f>
        <v/>
      </c>
      <c r="K2379" s="342" t="str">
        <f t="shared" si="628"/>
        <v/>
      </c>
      <c r="L2379" s="380" t="str">
        <f>IF(C2379="","",G2363*C2379)</f>
        <v/>
      </c>
      <c r="M2379" s="381" t="str">
        <f>IF(A2379="","",VLOOKUP(A2379,VII.A!$A$10:$B$199,2,FALSE))</f>
        <v/>
      </c>
      <c r="N2379" s="342" t="str">
        <f t="shared" si="629"/>
        <v/>
      </c>
      <c r="R2379" s="341"/>
      <c r="S2379" s="341"/>
    </row>
    <row r="2380" spans="1:21" ht="12.75" customHeight="1">
      <c r="A2380" s="393"/>
      <c r="C2380" s="20"/>
      <c r="E2380" s="387"/>
      <c r="F2380" s="388">
        <f t="shared" si="630"/>
        <v>0</v>
      </c>
      <c r="H2380" s="341" t="str">
        <f>IF(A2380="","",VLOOKUP(A2380,VII.A!$A$10:$D$199,4,FALSE))</f>
        <v/>
      </c>
      <c r="I2380" s="341" t="str">
        <f t="shared" si="627"/>
        <v/>
      </c>
      <c r="J2380" s="341" t="str">
        <f>IF(A2380="","",VLOOKUP(A2380,VII.A!$A$10:$D$199,3,FALSE))</f>
        <v/>
      </c>
      <c r="K2380" s="342" t="str">
        <f t="shared" si="628"/>
        <v/>
      </c>
      <c r="L2380" s="380" t="str">
        <f>IF(C2380="","",G2363*C2380)</f>
        <v/>
      </c>
      <c r="M2380" s="381" t="str">
        <f>IF(A2380="","",VLOOKUP(A2380,VII.A!$A$10:$B$199,2,FALSE))</f>
        <v/>
      </c>
      <c r="N2380" s="342" t="str">
        <f t="shared" si="629"/>
        <v/>
      </c>
      <c r="R2380" s="341"/>
      <c r="S2380" s="341"/>
    </row>
    <row r="2381" spans="1:21" ht="12.75" customHeight="1">
      <c r="A2381" s="393"/>
      <c r="B2381" s="395" t="s">
        <v>226</v>
      </c>
      <c r="C2381" s="396"/>
      <c r="D2381" s="397"/>
      <c r="E2381" s="398"/>
      <c r="F2381" s="399">
        <f>SUM(F2365:F2380)</f>
        <v>0</v>
      </c>
      <c r="J2381" s="341"/>
      <c r="L2381" s="380"/>
      <c r="M2381" s="381"/>
      <c r="N2381" s="342"/>
      <c r="R2381" s="341"/>
      <c r="S2381" s="341"/>
    </row>
    <row r="2382" spans="1:21" ht="12.75" customHeight="1">
      <c r="A2382" s="393"/>
      <c r="B2382" s="400" t="s">
        <v>53</v>
      </c>
      <c r="C2382" s="2">
        <f>$D$8</f>
        <v>0</v>
      </c>
      <c r="D2382" s="401"/>
      <c r="E2382" s="402"/>
      <c r="F2382" s="403">
        <f>ROUND(F2381*C2382,2)</f>
        <v>0</v>
      </c>
      <c r="H2382" s="426" t="s">
        <v>473</v>
      </c>
      <c r="J2382" s="341"/>
      <c r="L2382" s="380"/>
      <c r="M2382" s="381"/>
      <c r="N2382" s="342"/>
      <c r="R2382" s="341"/>
      <c r="S2382" s="341"/>
    </row>
    <row r="2383" spans="1:21" ht="12.75" customHeight="1">
      <c r="A2383" s="404"/>
      <c r="B2383" s="405" t="s">
        <v>227</v>
      </c>
      <c r="C2383" s="406"/>
      <c r="D2383" s="406"/>
      <c r="E2383" s="407"/>
      <c r="F2383" s="408">
        <f>F2381+F2382</f>
        <v>0</v>
      </c>
      <c r="J2383" s="341"/>
      <c r="L2383" s="380"/>
      <c r="M2383" s="381"/>
      <c r="N2383" s="342"/>
      <c r="R2383" s="341"/>
      <c r="S2383" s="341"/>
    </row>
    <row r="2384" spans="1:21" ht="12.75" customHeight="1">
      <c r="A2384" s="374" t="s">
        <v>2</v>
      </c>
      <c r="B2384" s="375" t="s">
        <v>235</v>
      </c>
      <c r="C2384" s="376" t="s">
        <v>231</v>
      </c>
      <c r="D2384" s="376" t="s">
        <v>232</v>
      </c>
      <c r="E2384" s="377" t="s">
        <v>233</v>
      </c>
      <c r="F2384" s="378" t="s">
        <v>234</v>
      </c>
      <c r="J2384" s="341"/>
      <c r="L2384" s="380"/>
      <c r="M2384" s="381"/>
      <c r="N2384" s="342"/>
      <c r="R2384" s="341"/>
      <c r="S2384" s="341"/>
    </row>
    <row r="2385" spans="1:19" ht="12.75" customHeight="1">
      <c r="A2385" s="393"/>
      <c r="B2385" s="381"/>
      <c r="C2385" s="20"/>
      <c r="D2385" s="342"/>
      <c r="E2385" s="387"/>
      <c r="F2385" s="388">
        <f t="shared" ref="F2385:F2394" si="631">ROUND(C2385*E2385,2)</f>
        <v>0</v>
      </c>
      <c r="H2385" s="341" t="str">
        <f>IF(A2385="","",VLOOKUP(A2385,VII.A!$A$10:$D$199,4,FALSE))</f>
        <v/>
      </c>
      <c r="I2385" s="341" t="str">
        <f t="shared" ref="I2385:I2394" si="632">IF(A2385="","",IF(E2385=H2385,"SIM","NÃO"))</f>
        <v/>
      </c>
      <c r="J2385" s="341" t="str">
        <f>IF(A2385="","",VLOOKUP(A2385,VII.A!$A$10:$D$199,3,FALSE))</f>
        <v/>
      </c>
      <c r="K2385" s="342" t="str">
        <f t="shared" ref="K2385:K2394" si="633">IF(A2385="","",IF(J2385=D2385,"SIM","NÃO"))</f>
        <v/>
      </c>
      <c r="L2385" s="380" t="str">
        <f>IF(C2385="","",G2363*C2385)</f>
        <v/>
      </c>
      <c r="M2385" s="381" t="str">
        <f>IF(A2385="","",VLOOKUP(A2385,VII.A!$A$10:$B$199,2,FALSE))</f>
        <v/>
      </c>
      <c r="N2385" s="342" t="str">
        <f t="shared" ref="N2385:N2394" si="634">IF(B2385="","",IF(M2385=B2385,"si","no"))</f>
        <v/>
      </c>
      <c r="R2385" s="341"/>
      <c r="S2385" s="341"/>
    </row>
    <row r="2386" spans="1:19" ht="12.75" customHeight="1">
      <c r="A2386" s="393"/>
      <c r="B2386" s="381"/>
      <c r="C2386" s="20"/>
      <c r="D2386" s="342"/>
      <c r="E2386" s="387"/>
      <c r="F2386" s="388">
        <f t="shared" si="631"/>
        <v>0</v>
      </c>
      <c r="H2386" s="341" t="str">
        <f>IF(A2386="","",VLOOKUP(A2386,VII.A!$A$10:$D$199,4,FALSE))</f>
        <v/>
      </c>
      <c r="I2386" s="341" t="str">
        <f t="shared" si="632"/>
        <v/>
      </c>
      <c r="J2386" s="341" t="str">
        <f>IF(A2386="","",VLOOKUP(A2386,VII.A!$A$10:$D$199,3,FALSE))</f>
        <v/>
      </c>
      <c r="K2386" s="342" t="str">
        <f t="shared" si="633"/>
        <v/>
      </c>
      <c r="L2386" s="380" t="str">
        <f>IF(C2386="","",G2363*C2386)</f>
        <v/>
      </c>
      <c r="M2386" s="381" t="str">
        <f>IF(A2386="","",VLOOKUP(A2386,VII.A!$A$10:$B$199,2,FALSE))</f>
        <v/>
      </c>
      <c r="N2386" s="342" t="str">
        <f t="shared" si="634"/>
        <v/>
      </c>
      <c r="R2386" s="341"/>
      <c r="S2386" s="341"/>
    </row>
    <row r="2387" spans="1:19" ht="12.75" customHeight="1">
      <c r="A2387" s="393"/>
      <c r="C2387" s="20"/>
      <c r="E2387" s="387"/>
      <c r="F2387" s="388">
        <f t="shared" si="631"/>
        <v>0</v>
      </c>
      <c r="H2387" s="341" t="str">
        <f>IF(A2387="","",VLOOKUP(A2387,VII.A!$A$10:$D$199,4,FALSE))</f>
        <v/>
      </c>
      <c r="I2387" s="341" t="str">
        <f t="shared" si="632"/>
        <v/>
      </c>
      <c r="J2387" s="341" t="str">
        <f>IF(A2387="","",VLOOKUP(A2387,VII.A!$A$10:$D$199,3,FALSE))</f>
        <v/>
      </c>
      <c r="K2387" s="342" t="str">
        <f t="shared" si="633"/>
        <v/>
      </c>
      <c r="L2387" s="380" t="str">
        <f>IF(C2387="","",G2363*C2387)</f>
        <v/>
      </c>
      <c r="M2387" s="381" t="str">
        <f>IF(A2387="","",VLOOKUP(A2387,VII.A!$A$10:$B$199,2,FALSE))</f>
        <v/>
      </c>
      <c r="N2387" s="342" t="str">
        <f t="shared" si="634"/>
        <v/>
      </c>
      <c r="R2387" s="341"/>
      <c r="S2387" s="341"/>
    </row>
    <row r="2388" spans="1:19" ht="12.75" customHeight="1">
      <c r="A2388" s="393"/>
      <c r="C2388" s="20"/>
      <c r="E2388" s="387"/>
      <c r="F2388" s="388">
        <f t="shared" si="631"/>
        <v>0</v>
      </c>
      <c r="H2388" s="341" t="str">
        <f>IF(A2388="","",VLOOKUP(A2388,VII.A!$A$10:$D$199,4,FALSE))</f>
        <v/>
      </c>
      <c r="I2388" s="341" t="str">
        <f t="shared" si="632"/>
        <v/>
      </c>
      <c r="J2388" s="341" t="str">
        <f>IF(A2388="","",VLOOKUP(A2388,VII.A!$A$10:$D$199,3,FALSE))</f>
        <v/>
      </c>
      <c r="K2388" s="342" t="str">
        <f t="shared" si="633"/>
        <v/>
      </c>
      <c r="L2388" s="380" t="str">
        <f>IF(C2388="","",G2363*C2388)</f>
        <v/>
      </c>
      <c r="M2388" s="381" t="str">
        <f>IF(A2388="","",VLOOKUP(A2388,VII.A!$A$10:$B$199,2,FALSE))</f>
        <v/>
      </c>
      <c r="N2388" s="342" t="str">
        <f t="shared" si="634"/>
        <v/>
      </c>
      <c r="R2388" s="341"/>
      <c r="S2388" s="341"/>
    </row>
    <row r="2389" spans="1:19" ht="12.75" customHeight="1">
      <c r="A2389" s="393"/>
      <c r="C2389" s="20"/>
      <c r="E2389" s="387"/>
      <c r="F2389" s="388">
        <f t="shared" si="631"/>
        <v>0</v>
      </c>
      <c r="G2389" s="390"/>
      <c r="H2389" s="341" t="str">
        <f>IF(A2389="","",VLOOKUP(A2389,VII.A!$A$10:$D$199,4,FALSE))</f>
        <v/>
      </c>
      <c r="I2389" s="341" t="str">
        <f t="shared" si="632"/>
        <v/>
      </c>
      <c r="J2389" s="341" t="str">
        <f>IF(A2389="","",VLOOKUP(A2389,VII.A!$A$10:$D$199,3,FALSE))</f>
        <v/>
      </c>
      <c r="K2389" s="342" t="str">
        <f t="shared" si="633"/>
        <v/>
      </c>
      <c r="L2389" s="380" t="str">
        <f>IF(C2389="","",G2363*C2389)</f>
        <v/>
      </c>
      <c r="M2389" s="381" t="str">
        <f>IF(A2389="","",VLOOKUP(A2389,VII.A!$A$10:$B$199,2,FALSE))</f>
        <v/>
      </c>
      <c r="N2389" s="342" t="str">
        <f t="shared" si="634"/>
        <v/>
      </c>
      <c r="R2389" s="341"/>
      <c r="S2389" s="341"/>
    </row>
    <row r="2390" spans="1:19" ht="12.75" customHeight="1">
      <c r="A2390" s="393"/>
      <c r="C2390" s="20"/>
      <c r="E2390" s="387"/>
      <c r="F2390" s="388">
        <f t="shared" si="631"/>
        <v>0</v>
      </c>
      <c r="G2390" s="391"/>
      <c r="H2390" s="341" t="str">
        <f>IF(A2390="","",VLOOKUP(A2390,VII.A!$A$10:$D$199,4,FALSE))</f>
        <v/>
      </c>
      <c r="I2390" s="341" t="str">
        <f t="shared" si="632"/>
        <v/>
      </c>
      <c r="J2390" s="341" t="str">
        <f>IF(A2390="","",VLOOKUP(A2390,VII.A!$A$10:$D$199,3,FALSE))</f>
        <v/>
      </c>
      <c r="K2390" s="342" t="str">
        <f t="shared" si="633"/>
        <v/>
      </c>
      <c r="L2390" s="380" t="str">
        <f>IF(C2390="","",G2363*C2390)</f>
        <v/>
      </c>
      <c r="M2390" s="381" t="str">
        <f>IF(A2390="","",VLOOKUP(A2390,VII.A!$A$10:$B$199,2,FALSE))</f>
        <v/>
      </c>
      <c r="N2390" s="342" t="str">
        <f t="shared" si="634"/>
        <v/>
      </c>
      <c r="R2390" s="341"/>
      <c r="S2390" s="341"/>
    </row>
    <row r="2391" spans="1:19" ht="12.75" customHeight="1">
      <c r="A2391" s="393"/>
      <c r="C2391" s="20"/>
      <c r="E2391" s="387"/>
      <c r="F2391" s="388">
        <f t="shared" si="631"/>
        <v>0</v>
      </c>
      <c r="H2391" s="341" t="str">
        <f>IF(A2391="","",VLOOKUP(A2391,VII.A!$A$10:$D$199,4,FALSE))</f>
        <v/>
      </c>
      <c r="I2391" s="341" t="str">
        <f t="shared" si="632"/>
        <v/>
      </c>
      <c r="J2391" s="341" t="str">
        <f>IF(A2391="","",VLOOKUP(A2391,VII.A!$A$10:$D$199,3,FALSE))</f>
        <v/>
      </c>
      <c r="K2391" s="342" t="str">
        <f t="shared" si="633"/>
        <v/>
      </c>
      <c r="L2391" s="380" t="str">
        <f>IF(C2391="","",G2363*C2391)</f>
        <v/>
      </c>
      <c r="M2391" s="381" t="str">
        <f>IF(A2391="","",VLOOKUP(A2391,VII.A!$A$10:$B$199,2,FALSE))</f>
        <v/>
      </c>
      <c r="N2391" s="342" t="str">
        <f t="shared" si="634"/>
        <v/>
      </c>
      <c r="R2391" s="341"/>
      <c r="S2391" s="341"/>
    </row>
    <row r="2392" spans="1:19" ht="12.75" customHeight="1">
      <c r="A2392" s="393"/>
      <c r="C2392" s="20"/>
      <c r="E2392" s="387"/>
      <c r="F2392" s="388">
        <f t="shared" si="631"/>
        <v>0</v>
      </c>
      <c r="H2392" s="341" t="str">
        <f>IF(A2392="","",VLOOKUP(A2392,VII.A!$A$10:$D$199,4,FALSE))</f>
        <v/>
      </c>
      <c r="I2392" s="341" t="str">
        <f t="shared" si="632"/>
        <v/>
      </c>
      <c r="J2392" s="341" t="str">
        <f>IF(A2392="","",VLOOKUP(A2392,VII.A!$A$10:$D$199,3,FALSE))</f>
        <v/>
      </c>
      <c r="K2392" s="342" t="str">
        <f t="shared" si="633"/>
        <v/>
      </c>
      <c r="L2392" s="380" t="str">
        <f>IF(C2392="","",G2363*C2392)</f>
        <v/>
      </c>
      <c r="M2392" s="381" t="str">
        <f>IF(A2392="","",VLOOKUP(A2392,VII.A!$A$10:$B$199,2,FALSE))</f>
        <v/>
      </c>
      <c r="N2392" s="342" t="str">
        <f t="shared" si="634"/>
        <v/>
      </c>
      <c r="R2392" s="341"/>
      <c r="S2392" s="341"/>
    </row>
    <row r="2393" spans="1:19" ht="12.75" customHeight="1">
      <c r="A2393" s="393"/>
      <c r="C2393" s="20"/>
      <c r="E2393" s="387"/>
      <c r="F2393" s="388">
        <f t="shared" si="631"/>
        <v>0</v>
      </c>
      <c r="H2393" s="341" t="str">
        <f>IF(A2393="","",VLOOKUP(A2393,VII.A!$A$10:$D$199,4,FALSE))</f>
        <v/>
      </c>
      <c r="I2393" s="341" t="str">
        <f t="shared" si="632"/>
        <v/>
      </c>
      <c r="J2393" s="341" t="str">
        <f>IF(A2393="","",VLOOKUP(A2393,VII.A!$A$10:$D$199,3,FALSE))</f>
        <v/>
      </c>
      <c r="K2393" s="342" t="str">
        <f t="shared" si="633"/>
        <v/>
      </c>
      <c r="L2393" s="380" t="str">
        <f>IF(C2393="","",G2363*C2393)</f>
        <v/>
      </c>
      <c r="M2393" s="381" t="str">
        <f>IF(A2393="","",VLOOKUP(A2393,VII.A!$A$10:$B$199,2,FALSE))</f>
        <v/>
      </c>
      <c r="N2393" s="342" t="str">
        <f t="shared" si="634"/>
        <v/>
      </c>
      <c r="R2393" s="341"/>
      <c r="S2393" s="341"/>
    </row>
    <row r="2394" spans="1:19" ht="12.75" customHeight="1">
      <c r="A2394" s="393"/>
      <c r="C2394" s="20"/>
      <c r="E2394" s="387"/>
      <c r="F2394" s="388">
        <f t="shared" si="631"/>
        <v>0</v>
      </c>
      <c r="H2394" s="341" t="str">
        <f>IF(A2394="","",VLOOKUP(A2394,VII.A!$A$10:$D$199,4,FALSE))</f>
        <v/>
      </c>
      <c r="I2394" s="341" t="str">
        <f t="shared" si="632"/>
        <v/>
      </c>
      <c r="J2394" s="341" t="str">
        <f>IF(A2394="","",VLOOKUP(A2394,VII.A!$A$10:$D$199,3,FALSE))</f>
        <v/>
      </c>
      <c r="K2394" s="342" t="str">
        <f t="shared" si="633"/>
        <v/>
      </c>
      <c r="L2394" s="380" t="str">
        <f>IF(C2394="","",G2363*C2394)</f>
        <v/>
      </c>
      <c r="M2394" s="381" t="str">
        <f>IF(A2394="","",VLOOKUP(A2394,VII.A!$A$10:$B$199,2,FALSE))</f>
        <v/>
      </c>
      <c r="N2394" s="342" t="str">
        <f t="shared" si="634"/>
        <v/>
      </c>
      <c r="R2394" s="341"/>
      <c r="S2394" s="341"/>
    </row>
    <row r="2395" spans="1:19" ht="12.75" customHeight="1">
      <c r="A2395" s="393"/>
      <c r="B2395" s="395" t="s">
        <v>226</v>
      </c>
      <c r="C2395" s="396"/>
      <c r="D2395" s="397"/>
      <c r="E2395" s="398"/>
      <c r="F2395" s="399">
        <f>SUM(F2385:F2394)</f>
        <v>0</v>
      </c>
      <c r="J2395" s="341"/>
      <c r="L2395" s="380"/>
      <c r="M2395" s="381"/>
      <c r="N2395" s="342"/>
      <c r="R2395" s="341"/>
      <c r="S2395" s="341"/>
    </row>
    <row r="2396" spans="1:19" ht="12.75" customHeight="1">
      <c r="A2396" s="393"/>
      <c r="B2396" s="400" t="s">
        <v>53</v>
      </c>
      <c r="C2396" s="2">
        <f>$D$8</f>
        <v>0</v>
      </c>
      <c r="D2396" s="401"/>
      <c r="E2396" s="402"/>
      <c r="F2396" s="403">
        <f>ROUND(C2396*F2395,2)</f>
        <v>0</v>
      </c>
      <c r="J2396" s="341"/>
      <c r="L2396" s="380"/>
      <c r="M2396" s="381"/>
      <c r="N2396" s="342"/>
      <c r="R2396" s="341"/>
      <c r="S2396" s="341"/>
    </row>
    <row r="2397" spans="1:19" ht="12.75" customHeight="1">
      <c r="A2397" s="404"/>
      <c r="B2397" s="405" t="s">
        <v>228</v>
      </c>
      <c r="C2397" s="406"/>
      <c r="D2397" s="406"/>
      <c r="E2397" s="407"/>
      <c r="F2397" s="408">
        <f>F2395+F2396</f>
        <v>0</v>
      </c>
      <c r="J2397" s="341"/>
      <c r="L2397" s="380"/>
      <c r="M2397" s="381"/>
      <c r="N2397" s="342"/>
      <c r="R2397" s="341"/>
      <c r="S2397" s="341"/>
    </row>
    <row r="2398" spans="1:19" ht="12.75" customHeight="1">
      <c r="A2398" s="409" t="s">
        <v>47</v>
      </c>
      <c r="B2398" s="410" t="s">
        <v>236</v>
      </c>
      <c r="C2398" s="411" t="s">
        <v>231</v>
      </c>
      <c r="D2398" s="412" t="s">
        <v>232</v>
      </c>
      <c r="E2398" s="413" t="s">
        <v>233</v>
      </c>
      <c r="F2398" s="378" t="s">
        <v>234</v>
      </c>
      <c r="J2398" s="341"/>
      <c r="L2398" s="380"/>
      <c r="M2398" s="381"/>
      <c r="N2398" s="342"/>
      <c r="R2398" s="341"/>
      <c r="S2398" s="341"/>
    </row>
    <row r="2399" spans="1:19" ht="12.75" customHeight="1">
      <c r="A2399" s="393" t="str">
        <f>VII.A!$A$196</f>
        <v>3.16</v>
      </c>
      <c r="B2399" s="394" t="s">
        <v>157</v>
      </c>
      <c r="C2399" s="20">
        <v>1.5</v>
      </c>
      <c r="D2399" s="384" t="str">
        <f>VLOOKUP(A2399,VII.A!$A$10:$G$199,3,FALSE)</f>
        <v>H</v>
      </c>
      <c r="E2399" s="387">
        <f>VII.A!$D$196</f>
        <v>0</v>
      </c>
      <c r="F2399" s="388">
        <f t="shared" ref="F2399:F2405" si="635">ROUND(C2399*E2399,2)</f>
        <v>0</v>
      </c>
      <c r="H2399" s="341">
        <f>IF(A2399="","",VLOOKUP(A2399,VII.A!$A$10:$D$199,4,FALSE))</f>
        <v>0</v>
      </c>
      <c r="I2399" s="341" t="str">
        <f t="shared" ref="I2399:I2405" si="636">IF(A2399="","",IF(E2399=H2399,"SIM","NÃO"))</f>
        <v>SIM</v>
      </c>
      <c r="J2399" s="341" t="str">
        <f>IF(A2399="","",VLOOKUP(A2399,VII.A!$A$10:$D$199,3,FALSE))</f>
        <v>H</v>
      </c>
      <c r="K2399" s="342" t="str">
        <f t="shared" ref="K2399:K2405" si="637">IF(A2399="","",IF(J2399=D2399,"SIM","NÃO"))</f>
        <v>SIM</v>
      </c>
      <c r="L2399" s="380">
        <f>IF(C2399="","",G2363*C2399)</f>
        <v>69</v>
      </c>
      <c r="M2399" s="381" t="str">
        <f>IF(A2399="","",VLOOKUP(A2399,VII.A!$A$10:$B$199,2,FALSE))</f>
        <v>SERVENTE COM ENCARGOS COMPLEMENTARES</v>
      </c>
      <c r="N2399" s="342" t="str">
        <f t="shared" ref="N2399:N2405" si="638">IF(B2399="","",IF(M2399=B2399,"si","no"))</f>
        <v>si</v>
      </c>
      <c r="R2399" s="341"/>
      <c r="S2399" s="341"/>
    </row>
    <row r="2400" spans="1:19" ht="12.75" customHeight="1">
      <c r="A2400" s="393"/>
      <c r="B2400" s="381"/>
      <c r="C2400" s="20"/>
      <c r="D2400" s="342"/>
      <c r="E2400" s="387"/>
      <c r="F2400" s="388">
        <f t="shared" si="635"/>
        <v>0</v>
      </c>
      <c r="H2400" s="341" t="str">
        <f>IF(A2400="","",VLOOKUP(A2400,VII.A!$A$10:$D$199,4,FALSE))</f>
        <v/>
      </c>
      <c r="I2400" s="341" t="str">
        <f t="shared" si="636"/>
        <v/>
      </c>
      <c r="J2400" s="341" t="str">
        <f>IF(A2400="","",VLOOKUP(A2400,VII.A!$A$10:$D$199,3,FALSE))</f>
        <v/>
      </c>
      <c r="K2400" s="342" t="str">
        <f t="shared" si="637"/>
        <v/>
      </c>
      <c r="L2400" s="380" t="str">
        <f>IF(C2400="","",G2363*C2400)</f>
        <v/>
      </c>
      <c r="M2400" s="381" t="str">
        <f>IF(A2400="","",VLOOKUP(A2400,VII.A!$A$10:$B$199,2,FALSE))</f>
        <v/>
      </c>
      <c r="N2400" s="342" t="str">
        <f t="shared" si="638"/>
        <v/>
      </c>
      <c r="R2400" s="341"/>
      <c r="S2400" s="341"/>
    </row>
    <row r="2401" spans="1:25" ht="12.75" customHeight="1">
      <c r="A2401" s="393"/>
      <c r="C2401" s="20"/>
      <c r="E2401" s="387"/>
      <c r="F2401" s="388">
        <f t="shared" si="635"/>
        <v>0</v>
      </c>
      <c r="H2401" s="341" t="str">
        <f>IF(A2401="","",VLOOKUP(A2401,VII.A!$A$10:$D$199,4,FALSE))</f>
        <v/>
      </c>
      <c r="I2401" s="341" t="str">
        <f t="shared" si="636"/>
        <v/>
      </c>
      <c r="J2401" s="341" t="str">
        <f>IF(A2401="","",VLOOKUP(A2401,VII.A!$A$10:$D$199,3,FALSE))</f>
        <v/>
      </c>
      <c r="K2401" s="342" t="str">
        <f t="shared" si="637"/>
        <v/>
      </c>
      <c r="L2401" s="380" t="str">
        <f>IF(C2401="","",G2363*C2401)</f>
        <v/>
      </c>
      <c r="M2401" s="381" t="str">
        <f>IF(A2401="","",VLOOKUP(A2401,VII.A!$A$10:$B$199,2,FALSE))</f>
        <v/>
      </c>
      <c r="N2401" s="342" t="str">
        <f t="shared" si="638"/>
        <v/>
      </c>
      <c r="R2401" s="341"/>
      <c r="S2401" s="341"/>
    </row>
    <row r="2402" spans="1:25" ht="12.75" customHeight="1">
      <c r="A2402" s="393"/>
      <c r="C2402" s="20"/>
      <c r="E2402" s="387"/>
      <c r="F2402" s="388">
        <f t="shared" si="635"/>
        <v>0</v>
      </c>
      <c r="H2402" s="341" t="str">
        <f>IF(A2402="","",VLOOKUP(A2402,VII.A!$A$10:$D$199,4,FALSE))</f>
        <v/>
      </c>
      <c r="I2402" s="341" t="str">
        <f t="shared" si="636"/>
        <v/>
      </c>
      <c r="J2402" s="341" t="str">
        <f>IF(A2402="","",VLOOKUP(A2402,VII.A!$A$10:$D$199,3,FALSE))</f>
        <v/>
      </c>
      <c r="K2402" s="342" t="str">
        <f t="shared" si="637"/>
        <v/>
      </c>
      <c r="L2402" s="380" t="str">
        <f>IF(C2402="","",G2363*C2402)</f>
        <v/>
      </c>
      <c r="M2402" s="381" t="str">
        <f>IF(A2402="","",VLOOKUP(A2402,VII.A!$A$10:$B$199,2,FALSE))</f>
        <v/>
      </c>
      <c r="N2402" s="342" t="str">
        <f t="shared" si="638"/>
        <v/>
      </c>
      <c r="R2402" s="341"/>
      <c r="S2402" s="341"/>
    </row>
    <row r="2403" spans="1:25" ht="12.75" customHeight="1">
      <c r="A2403" s="393"/>
      <c r="C2403" s="20"/>
      <c r="E2403" s="387"/>
      <c r="F2403" s="388">
        <f t="shared" si="635"/>
        <v>0</v>
      </c>
      <c r="H2403" s="341" t="str">
        <f>IF(A2403="","",VLOOKUP(A2403,VII.A!$A$10:$D$199,4,FALSE))</f>
        <v/>
      </c>
      <c r="I2403" s="341" t="str">
        <f t="shared" si="636"/>
        <v/>
      </c>
      <c r="J2403" s="341" t="str">
        <f>IF(A2403="","",VLOOKUP(A2403,VII.A!$A$10:$D$199,3,FALSE))</f>
        <v/>
      </c>
      <c r="K2403" s="342" t="str">
        <f t="shared" si="637"/>
        <v/>
      </c>
      <c r="L2403" s="380" t="str">
        <f>IF(C2403="","",G2363*C2403)</f>
        <v/>
      </c>
      <c r="M2403" s="381" t="str">
        <f>IF(A2403="","",VLOOKUP(A2403,VII.A!$A$10:$B$199,2,FALSE))</f>
        <v/>
      </c>
      <c r="N2403" s="342" t="str">
        <f t="shared" si="638"/>
        <v/>
      </c>
      <c r="R2403" s="341"/>
      <c r="S2403" s="341"/>
    </row>
    <row r="2404" spans="1:25" ht="12.75" customHeight="1">
      <c r="A2404" s="393"/>
      <c r="C2404" s="20"/>
      <c r="E2404" s="387"/>
      <c r="F2404" s="388">
        <f t="shared" si="635"/>
        <v>0</v>
      </c>
      <c r="H2404" s="341" t="str">
        <f>IF(A2404="","",VLOOKUP(A2404,VII.A!$A$10:$D$199,4,FALSE))</f>
        <v/>
      </c>
      <c r="I2404" s="341" t="str">
        <f t="shared" si="636"/>
        <v/>
      </c>
      <c r="J2404" s="341" t="str">
        <f>IF(A2404="","",VLOOKUP(A2404,VII.A!$A$10:$D$199,3,FALSE))</f>
        <v/>
      </c>
      <c r="K2404" s="342" t="str">
        <f t="shared" si="637"/>
        <v/>
      </c>
      <c r="L2404" s="380" t="str">
        <f>IF(C2404="","",G2363*C2404)</f>
        <v/>
      </c>
      <c r="M2404" s="381" t="str">
        <f>IF(A2404="","",VLOOKUP(A2404,VII.A!$A$10:$B$199,2,FALSE))</f>
        <v/>
      </c>
      <c r="N2404" s="342" t="str">
        <f t="shared" si="638"/>
        <v/>
      </c>
      <c r="R2404" s="341"/>
      <c r="S2404" s="341"/>
    </row>
    <row r="2405" spans="1:25" ht="12.75" customHeight="1">
      <c r="A2405" s="393"/>
      <c r="C2405" s="20"/>
      <c r="E2405" s="387"/>
      <c r="F2405" s="388">
        <f t="shared" si="635"/>
        <v>0</v>
      </c>
      <c r="H2405" s="341" t="str">
        <f>IF(A2405="","",VLOOKUP(A2405,VII.A!$A$10:$D$199,4,FALSE))</f>
        <v/>
      </c>
      <c r="I2405" s="341" t="str">
        <f t="shared" si="636"/>
        <v/>
      </c>
      <c r="J2405" s="341" t="str">
        <f>IF(A2405="","",VLOOKUP(A2405,VII.A!$A$10:$D$199,3,FALSE))</f>
        <v/>
      </c>
      <c r="K2405" s="342" t="str">
        <f t="shared" si="637"/>
        <v/>
      </c>
      <c r="L2405" s="380" t="str">
        <f>IF(C2405="","",G2363*C2405)</f>
        <v/>
      </c>
      <c r="M2405" s="381" t="str">
        <f>IF(A2405="","",VLOOKUP(A2405,VII.A!$A$10:$B$199,2,FALSE))</f>
        <v/>
      </c>
      <c r="N2405" s="342" t="str">
        <f t="shared" si="638"/>
        <v/>
      </c>
      <c r="R2405" s="341"/>
      <c r="S2405" s="341"/>
    </row>
    <row r="2406" spans="1:25" ht="12.75" customHeight="1">
      <c r="A2406" s="393"/>
      <c r="B2406" s="395" t="s">
        <v>226</v>
      </c>
      <c r="C2406" s="396"/>
      <c r="D2406" s="397"/>
      <c r="E2406" s="398"/>
      <c r="F2406" s="399">
        <f>SUM(F2399:F2405)</f>
        <v>0</v>
      </c>
      <c r="J2406" s="341"/>
      <c r="L2406" s="380"/>
      <c r="M2406" s="381"/>
      <c r="N2406" s="342"/>
      <c r="R2406" s="341"/>
      <c r="S2406" s="341"/>
    </row>
    <row r="2407" spans="1:25" ht="12.75" customHeight="1">
      <c r="A2407" s="393"/>
      <c r="B2407" s="400" t="s">
        <v>229</v>
      </c>
      <c r="C2407" s="2">
        <f>IX.A!$C$45</f>
        <v>0</v>
      </c>
      <c r="D2407" s="401"/>
      <c r="E2407" s="402"/>
      <c r="F2407" s="403">
        <f>ROUND(F2406*C2407,2)</f>
        <v>0</v>
      </c>
      <c r="J2407" s="341"/>
      <c r="L2407" s="380"/>
      <c r="M2407" s="381"/>
      <c r="N2407" s="342"/>
      <c r="R2407" s="341"/>
      <c r="S2407" s="341"/>
    </row>
    <row r="2408" spans="1:25" ht="12.75" customHeight="1">
      <c r="A2408" s="393"/>
      <c r="B2408" s="400" t="s">
        <v>53</v>
      </c>
      <c r="C2408" s="2">
        <f>$D$8</f>
        <v>0</v>
      </c>
      <c r="D2408" s="401"/>
      <c r="E2408" s="402"/>
      <c r="F2408" s="403">
        <f>ROUND(SUM(F2406:F2407)*C2408,2)</f>
        <v>0</v>
      </c>
      <c r="J2408" s="341"/>
      <c r="L2408" s="380"/>
      <c r="M2408" s="381"/>
      <c r="N2408" s="342"/>
      <c r="R2408" s="341"/>
      <c r="S2408" s="341"/>
    </row>
    <row r="2409" spans="1:25" ht="12.75" customHeight="1" thickBot="1">
      <c r="A2409" s="414"/>
      <c r="B2409" s="415" t="s">
        <v>230</v>
      </c>
      <c r="C2409" s="416"/>
      <c r="D2409" s="416"/>
      <c r="E2409" s="417"/>
      <c r="F2409" s="418">
        <f>SUM(F2406:F2408)</f>
        <v>0</v>
      </c>
      <c r="J2409" s="341"/>
      <c r="L2409" s="380"/>
      <c r="M2409" s="381"/>
      <c r="N2409" s="342"/>
      <c r="R2409" s="341"/>
      <c r="S2409" s="341"/>
    </row>
    <row r="2410" spans="1:25" ht="12.75" customHeight="1" thickBot="1">
      <c r="A2410" s="357"/>
      <c r="B2410" s="358"/>
      <c r="C2410" s="359"/>
      <c r="D2410" s="359"/>
      <c r="E2410" s="360"/>
      <c r="F2410" s="419"/>
      <c r="J2410" s="341"/>
      <c r="L2410" s="380"/>
      <c r="M2410" s="381"/>
      <c r="N2410" s="342"/>
      <c r="R2410" s="341"/>
      <c r="S2410" s="341"/>
    </row>
    <row r="2411" spans="1:25" ht="30" customHeight="1">
      <c r="A2411" s="370" t="str">
        <f>IV.A!A80</f>
        <v>3.5.1</v>
      </c>
      <c r="B2411" s="371" t="str">
        <f>IV.A!B80</f>
        <v xml:space="preserve">CONCRETO ESTRUTURAL USINADO, FCK=20 MPA </v>
      </c>
      <c r="C2411" s="871" t="s">
        <v>237</v>
      </c>
      <c r="D2411" s="872"/>
      <c r="E2411" s="372" t="str">
        <f>IV.A!$C$80</f>
        <v>M3</v>
      </c>
      <c r="F2411" s="11">
        <f>ROUND(F2431+F2445+F2457,2)</f>
        <v>0</v>
      </c>
      <c r="G2411" s="1">
        <f>VLOOKUP(A2411,IV.A!$A$16:$L$172,4,FALSE)</f>
        <v>100</v>
      </c>
      <c r="H2411" s="361">
        <f>SUM(F2413:F2428)+F2430</f>
        <v>0</v>
      </c>
      <c r="I2411" s="361">
        <f>SUM(F2433:F2442)+F2444</f>
        <v>0</v>
      </c>
      <c r="J2411" s="361">
        <f>SUM(F2447:F2453)+F2455+F2456</f>
        <v>0</v>
      </c>
      <c r="K2411" s="361">
        <f>SUM(H2411:J2411)</f>
        <v>0</v>
      </c>
      <c r="L2411" s="362" t="str">
        <f>IF(K2411=F2411,"SIM","NÃO")</f>
        <v>SIM</v>
      </c>
      <c r="M2411" s="373">
        <f>ROUND(SUM(F2413:F2428),2)+ROUND(SUM(F2413:F2428)*C2430,2)+ROUND(SUM(F2433:F2442)*C2444,2)+ROUND(SUM(F2433:F2442),2)+ROUND(SUM(F2447:F2453)*C2455,2)+ROUND((SUM(F2447:F2453)+ROUND(SUM(F2447:F2453)*C2455,2))*C2456,2)+ROUND(SUM(F2447:F2453),2)</f>
        <v>0</v>
      </c>
      <c r="N2411" s="343" t="str">
        <f>IF(M2411=F2411,"SIM","NÃO")</f>
        <v>SIM</v>
      </c>
      <c r="O2411" s="364" t="str">
        <f>VLOOKUP(A2411,IV.A!$A$16:$E$172,3,FALSE)</f>
        <v>M3</v>
      </c>
      <c r="P2411" s="344" t="str">
        <f>IF(O2411=E2411,"SIM","NÃO")</f>
        <v>SIM</v>
      </c>
      <c r="Q2411" s="365">
        <f>ROUND(G2411*F2431,2)+ROUND(G2411*F2445,2)+ROUND(G2411*F2457,2)</f>
        <v>0</v>
      </c>
      <c r="R2411" s="364">
        <f>VLOOKUP(A2411,IV.A!$A$16:$L$172,12,FALSE)</f>
        <v>0</v>
      </c>
      <c r="S2411" s="366" t="str">
        <f>IF(Q2411=R2411,"si","no")</f>
        <v>si</v>
      </c>
      <c r="T2411" s="367">
        <f>SUM(L2413:L2428)+SUM(L2433:L2442)+SUM(L2447:L2453)</f>
        <v>781.5</v>
      </c>
      <c r="U2411" s="341">
        <f>(SUM(C2413:C2428)+SUM(C2433:C2442)+SUM(C2447:C2453))*G2411</f>
        <v>781.5</v>
      </c>
      <c r="V2411" s="368" t="str">
        <f>IF(T2411=U2411,"si","no")</f>
        <v>si</v>
      </c>
      <c r="W2411" s="369">
        <f>SUM(F2413:F2428)</f>
        <v>0</v>
      </c>
      <c r="X2411" s="369">
        <f>SUM(F2433:F2442)</f>
        <v>0</v>
      </c>
      <c r="Y2411" s="369">
        <f>SUM(F2447:F2453)</f>
        <v>0</v>
      </c>
    </row>
    <row r="2412" spans="1:25" ht="12.75" customHeight="1">
      <c r="A2412" s="374" t="s">
        <v>14</v>
      </c>
      <c r="B2412" s="375" t="s">
        <v>132</v>
      </c>
      <c r="C2412" s="376" t="s">
        <v>231</v>
      </c>
      <c r="D2412" s="376" t="s">
        <v>232</v>
      </c>
      <c r="E2412" s="377" t="s">
        <v>233</v>
      </c>
      <c r="F2412" s="378" t="s">
        <v>234</v>
      </c>
      <c r="G2412" s="379"/>
      <c r="J2412" s="341"/>
      <c r="L2412" s="380"/>
      <c r="M2412" s="381"/>
      <c r="N2412" s="342"/>
      <c r="O2412" s="382"/>
      <c r="P2412" s="383"/>
      <c r="Q2412" s="383"/>
      <c r="R2412" s="383"/>
      <c r="S2412" s="383"/>
      <c r="T2412" s="382"/>
      <c r="U2412" s="341"/>
      <c r="V2412" s="384"/>
      <c r="W2412" s="384"/>
      <c r="X2412" s="384"/>
      <c r="Y2412" s="384"/>
    </row>
    <row r="2413" spans="1:25" ht="12.75" customHeight="1">
      <c r="A2413" s="385" t="str">
        <f>VII.A!$A$41</f>
        <v>1.32</v>
      </c>
      <c r="B2413" s="386" t="str">
        <f>VLOOKUP(A2413,VII.A!$A$10:$G$199,2,FALSE)</f>
        <v>CONCRETO USINADO FCK = 20,0 MPA</v>
      </c>
      <c r="C2413" s="20">
        <v>1.05</v>
      </c>
      <c r="D2413" s="342" t="str">
        <f>VLOOKUP(A2413,VII.A!$A$10:$G$199,3,FALSE)</f>
        <v>M3</v>
      </c>
      <c r="E2413" s="387">
        <f>VII.A!$D$41</f>
        <v>0</v>
      </c>
      <c r="F2413" s="388">
        <f>ROUND(C2413*E2413,2)</f>
        <v>0</v>
      </c>
      <c r="H2413" s="341">
        <f>IF(A2413="","",VLOOKUP(A2413,VII.A!$A$10:$D$199,4,FALSE))</f>
        <v>0</v>
      </c>
      <c r="I2413" s="341" t="str">
        <f t="shared" ref="I2413:I2428" si="639">IF(A2413="","",IF(E2413=H2413,"SIM","NÃO"))</f>
        <v>SIM</v>
      </c>
      <c r="J2413" s="341" t="str">
        <f>IF(A2413="","",VLOOKUP(A2413,VII.A!$A$10:$D$199,3,FALSE))</f>
        <v>M3</v>
      </c>
      <c r="K2413" s="342" t="str">
        <f t="shared" ref="K2413:K2428" si="640">IF(A2413="","",IF(J2413=D2413,"SIM","NÃO"))</f>
        <v>SIM</v>
      </c>
      <c r="L2413" s="380">
        <f>IF(C2413="","",G2411*C2413)</f>
        <v>105</v>
      </c>
      <c r="M2413" s="381" t="str">
        <f>IF(A2413="","",VLOOKUP(A2413,VII.A!$A$10:$B$199,2,FALSE))</f>
        <v>CONCRETO USINADO FCK = 20,0 MPA</v>
      </c>
      <c r="N2413" s="342" t="str">
        <f t="shared" ref="N2413:N2428" si="641">IF(B2413="","",IF(M2413=B2413,"si","no"))</f>
        <v>si</v>
      </c>
      <c r="R2413" s="341"/>
      <c r="S2413" s="341"/>
    </row>
    <row r="2414" spans="1:25" ht="12.75" customHeight="1">
      <c r="A2414" s="385"/>
      <c r="B2414" s="386"/>
      <c r="C2414" s="20"/>
      <c r="D2414" s="342"/>
      <c r="E2414" s="387"/>
      <c r="F2414" s="388">
        <f t="shared" ref="F2414:F2428" si="642">ROUND(C2414*E2414,2)</f>
        <v>0</v>
      </c>
      <c r="H2414" s="341" t="str">
        <f>IF(A2414="","",VLOOKUP(A2414,VII.A!$A$10:$D$199,4,FALSE))</f>
        <v/>
      </c>
      <c r="I2414" s="341" t="str">
        <f t="shared" si="639"/>
        <v/>
      </c>
      <c r="J2414" s="341" t="str">
        <f>IF(A2414="","",VLOOKUP(A2414,VII.A!$A$10:$D$199,3,FALSE))</f>
        <v/>
      </c>
      <c r="K2414" s="342" t="str">
        <f t="shared" si="640"/>
        <v/>
      </c>
      <c r="L2414" s="380" t="str">
        <f>IF(C2414="","",G2411*C2414)</f>
        <v/>
      </c>
      <c r="M2414" s="381" t="str">
        <f>IF(A2414="","",VLOOKUP(A2414,VII.A!$A$10:$B$199,2,FALSE))</f>
        <v/>
      </c>
      <c r="N2414" s="342" t="str">
        <f t="shared" si="641"/>
        <v/>
      </c>
      <c r="R2414" s="341"/>
      <c r="S2414" s="341"/>
    </row>
    <row r="2415" spans="1:25" ht="12.75" customHeight="1">
      <c r="A2415" s="385"/>
      <c r="B2415" s="386"/>
      <c r="C2415" s="20"/>
      <c r="D2415" s="342"/>
      <c r="E2415" s="387"/>
      <c r="F2415" s="388">
        <f t="shared" si="642"/>
        <v>0</v>
      </c>
      <c r="H2415" s="341" t="str">
        <f>IF(A2415="","",VLOOKUP(A2415,VII.A!$A$10:$D$199,4,FALSE))</f>
        <v/>
      </c>
      <c r="I2415" s="341" t="str">
        <f t="shared" si="639"/>
        <v/>
      </c>
      <c r="J2415" s="341" t="str">
        <f>IF(A2415="","",VLOOKUP(A2415,VII.A!$A$10:$D$199,3,FALSE))</f>
        <v/>
      </c>
      <c r="K2415" s="342" t="str">
        <f t="shared" si="640"/>
        <v/>
      </c>
      <c r="L2415" s="380" t="str">
        <f>IF(C2415="","",G2411*C2415)</f>
        <v/>
      </c>
      <c r="M2415" s="381" t="str">
        <f>IF(A2415="","",VLOOKUP(A2415,VII.A!$A$10:$B$199,2,FALSE))</f>
        <v/>
      </c>
      <c r="N2415" s="342" t="str">
        <f t="shared" si="641"/>
        <v/>
      </c>
      <c r="R2415" s="341"/>
      <c r="S2415" s="341"/>
    </row>
    <row r="2416" spans="1:25" ht="12.75" customHeight="1">
      <c r="A2416" s="385"/>
      <c r="B2416" s="386"/>
      <c r="C2416" s="20"/>
      <c r="D2416" s="342"/>
      <c r="E2416" s="387"/>
      <c r="F2416" s="388">
        <f t="shared" si="642"/>
        <v>0</v>
      </c>
      <c r="H2416" s="341" t="str">
        <f>IF(A2416="","",VLOOKUP(A2416,VII.A!$A$10:$D$199,4,FALSE))</f>
        <v/>
      </c>
      <c r="I2416" s="341" t="str">
        <f t="shared" si="639"/>
        <v/>
      </c>
      <c r="J2416" s="341" t="str">
        <f>IF(A2416="","",VLOOKUP(A2416,VII.A!$A$10:$D$199,3,FALSE))</f>
        <v/>
      </c>
      <c r="K2416" s="342" t="str">
        <f t="shared" si="640"/>
        <v/>
      </c>
      <c r="L2416" s="380" t="str">
        <f>IF(C2416="","",G2411*C2416)</f>
        <v/>
      </c>
      <c r="M2416" s="381" t="str">
        <f>IF(A2416="","",VLOOKUP(A2416,VII.A!$A$10:$B$199,2,FALSE))</f>
        <v/>
      </c>
      <c r="N2416" s="342" t="str">
        <f t="shared" si="641"/>
        <v/>
      </c>
      <c r="R2416" s="341"/>
      <c r="S2416" s="341"/>
    </row>
    <row r="2417" spans="1:21" ht="12.75" customHeight="1">
      <c r="A2417" s="385"/>
      <c r="B2417" s="386"/>
      <c r="C2417" s="20"/>
      <c r="D2417" s="342"/>
      <c r="E2417" s="387"/>
      <c r="F2417" s="388">
        <f t="shared" si="642"/>
        <v>0</v>
      </c>
      <c r="H2417" s="341" t="str">
        <f>IF(A2417="","",VLOOKUP(A2417,VII.A!$A$10:$D$199,4,FALSE))</f>
        <v/>
      </c>
      <c r="I2417" s="341" t="str">
        <f t="shared" si="639"/>
        <v/>
      </c>
      <c r="J2417" s="341" t="str">
        <f>IF(A2417="","",VLOOKUP(A2417,VII.A!$A$10:$D$199,3,FALSE))</f>
        <v/>
      </c>
      <c r="K2417" s="342" t="str">
        <f t="shared" si="640"/>
        <v/>
      </c>
      <c r="L2417" s="380" t="str">
        <f>IF(C2417="","",G2411*C2417)</f>
        <v/>
      </c>
      <c r="M2417" s="381" t="str">
        <f>IF(A2417="","",VLOOKUP(A2417,VII.A!$A$10:$B$199,2,FALSE))</f>
        <v/>
      </c>
      <c r="N2417" s="342" t="str">
        <f t="shared" si="641"/>
        <v/>
      </c>
      <c r="R2417" s="341"/>
      <c r="S2417" s="341"/>
    </row>
    <row r="2418" spans="1:21" ht="12.75" customHeight="1">
      <c r="A2418" s="385"/>
      <c r="B2418" s="386"/>
      <c r="C2418" s="20"/>
      <c r="D2418" s="342"/>
      <c r="E2418" s="387"/>
      <c r="F2418" s="388">
        <f t="shared" si="642"/>
        <v>0</v>
      </c>
      <c r="H2418" s="341" t="str">
        <f>IF(A2418="","",VLOOKUP(A2418,VII.A!$A$10:$D$199,4,FALSE))</f>
        <v/>
      </c>
      <c r="I2418" s="341" t="str">
        <f t="shared" si="639"/>
        <v/>
      </c>
      <c r="J2418" s="341" t="str">
        <f>IF(A2418="","",VLOOKUP(A2418,VII.A!$A$10:$D$199,3,FALSE))</f>
        <v/>
      </c>
      <c r="K2418" s="342" t="str">
        <f t="shared" si="640"/>
        <v/>
      </c>
      <c r="L2418" s="380" t="str">
        <f>IF(C2418="","",G2411*C2418)</f>
        <v/>
      </c>
      <c r="M2418" s="381" t="str">
        <f>IF(A2418="","",VLOOKUP(A2418,VII.A!$A$10:$B$199,2,FALSE))</f>
        <v/>
      </c>
      <c r="N2418" s="342" t="str">
        <f t="shared" si="641"/>
        <v/>
      </c>
      <c r="R2418" s="341"/>
      <c r="S2418" s="341"/>
      <c r="U2418" s="389"/>
    </row>
    <row r="2419" spans="1:21" ht="12.75" customHeight="1">
      <c r="A2419" s="385"/>
      <c r="B2419" s="386"/>
      <c r="C2419" s="20"/>
      <c r="D2419" s="342"/>
      <c r="E2419" s="387"/>
      <c r="F2419" s="388">
        <f t="shared" si="642"/>
        <v>0</v>
      </c>
      <c r="H2419" s="341" t="str">
        <f>IF(A2419="","",VLOOKUP(A2419,VII.A!$A$10:$D$199,4,FALSE))</f>
        <v/>
      </c>
      <c r="I2419" s="341" t="str">
        <f t="shared" si="639"/>
        <v/>
      </c>
      <c r="J2419" s="341" t="str">
        <f>IF(A2419="","",VLOOKUP(A2419,VII.A!$A$10:$D$199,3,FALSE))</f>
        <v/>
      </c>
      <c r="K2419" s="342" t="str">
        <f t="shared" si="640"/>
        <v/>
      </c>
      <c r="L2419" s="380" t="str">
        <f>IF(C2419="","",G2411*C2419)</f>
        <v/>
      </c>
      <c r="M2419" s="381" t="str">
        <f>IF(A2419="","",VLOOKUP(A2419,VII.A!$A$10:$B$199,2,FALSE))</f>
        <v/>
      </c>
      <c r="N2419" s="342" t="str">
        <f t="shared" si="641"/>
        <v/>
      </c>
      <c r="R2419" s="341"/>
      <c r="S2419" s="341"/>
    </row>
    <row r="2420" spans="1:21" ht="12.75" customHeight="1">
      <c r="A2420" s="385"/>
      <c r="B2420" s="386"/>
      <c r="C2420" s="20"/>
      <c r="D2420" s="342"/>
      <c r="E2420" s="387"/>
      <c r="F2420" s="388">
        <f t="shared" si="642"/>
        <v>0</v>
      </c>
      <c r="G2420" s="390"/>
      <c r="H2420" s="341" t="str">
        <f>IF(A2420="","",VLOOKUP(A2420,VII.A!$A$10:$D$199,4,FALSE))</f>
        <v/>
      </c>
      <c r="I2420" s="341" t="str">
        <f t="shared" si="639"/>
        <v/>
      </c>
      <c r="J2420" s="341" t="str">
        <f>IF(A2420="","",VLOOKUP(A2420,VII.A!$A$10:$D$199,3,FALSE))</f>
        <v/>
      </c>
      <c r="K2420" s="342" t="str">
        <f t="shared" si="640"/>
        <v/>
      </c>
      <c r="L2420" s="380" t="str">
        <f>IF(C2420="","",G2411*C2420)</f>
        <v/>
      </c>
      <c r="M2420" s="381" t="str">
        <f>IF(A2420="","",VLOOKUP(A2420,VII.A!$A$10:$B$199,2,FALSE))</f>
        <v/>
      </c>
      <c r="N2420" s="342" t="str">
        <f t="shared" si="641"/>
        <v/>
      </c>
      <c r="R2420" s="341"/>
      <c r="S2420" s="341"/>
    </row>
    <row r="2421" spans="1:21" ht="12.75" customHeight="1">
      <c r="A2421" s="385"/>
      <c r="B2421" s="386"/>
      <c r="C2421" s="20"/>
      <c r="D2421" s="342"/>
      <c r="E2421" s="387"/>
      <c r="F2421" s="388">
        <f t="shared" si="642"/>
        <v>0</v>
      </c>
      <c r="G2421" s="390"/>
      <c r="H2421" s="341" t="str">
        <f>IF(A2421="","",VLOOKUP(A2421,VII.A!$A$10:$D$199,4,FALSE))</f>
        <v/>
      </c>
      <c r="I2421" s="341" t="str">
        <f t="shared" si="639"/>
        <v/>
      </c>
      <c r="J2421" s="341" t="str">
        <f>IF(A2421="","",VLOOKUP(A2421,VII.A!$A$10:$D$199,3,FALSE))</f>
        <v/>
      </c>
      <c r="K2421" s="342" t="str">
        <f t="shared" si="640"/>
        <v/>
      </c>
      <c r="L2421" s="380" t="str">
        <f>IF(C2421="","",G2411*C2421)</f>
        <v/>
      </c>
      <c r="M2421" s="381" t="str">
        <f>IF(A2421="","",VLOOKUP(A2421,VII.A!$A$10:$B$199,2,FALSE))</f>
        <v/>
      </c>
      <c r="N2421" s="342" t="str">
        <f t="shared" si="641"/>
        <v/>
      </c>
      <c r="R2421" s="341"/>
      <c r="S2421" s="341"/>
    </row>
    <row r="2422" spans="1:21" ht="12.75" customHeight="1">
      <c r="A2422" s="385"/>
      <c r="B2422" s="386"/>
      <c r="C2422" s="20"/>
      <c r="D2422" s="342"/>
      <c r="E2422" s="387"/>
      <c r="F2422" s="388">
        <f t="shared" si="642"/>
        <v>0</v>
      </c>
      <c r="G2422" s="391"/>
      <c r="H2422" s="341" t="str">
        <f>IF(A2422="","",VLOOKUP(A2422,VII.A!$A$10:$D$199,4,FALSE))</f>
        <v/>
      </c>
      <c r="I2422" s="341" t="str">
        <f t="shared" si="639"/>
        <v/>
      </c>
      <c r="J2422" s="341" t="str">
        <f>IF(A2422="","",VLOOKUP(A2422,VII.A!$A$10:$D$199,3,FALSE))</f>
        <v/>
      </c>
      <c r="K2422" s="342" t="str">
        <f t="shared" si="640"/>
        <v/>
      </c>
      <c r="L2422" s="380" t="str">
        <f>IF(C2422="","",G2411*C2422)</f>
        <v/>
      </c>
      <c r="M2422" s="381" t="str">
        <f>IF(A2422="","",VLOOKUP(A2422,VII.A!$A$10:$B$199,2,FALSE))</f>
        <v/>
      </c>
      <c r="N2422" s="342" t="str">
        <f t="shared" si="641"/>
        <v/>
      </c>
      <c r="R2422" s="341"/>
      <c r="S2422" s="341"/>
    </row>
    <row r="2423" spans="1:21" ht="12.75" customHeight="1">
      <c r="A2423" s="385"/>
      <c r="B2423" s="386"/>
      <c r="C2423" s="20"/>
      <c r="D2423" s="342"/>
      <c r="E2423" s="387"/>
      <c r="F2423" s="388">
        <f t="shared" si="642"/>
        <v>0</v>
      </c>
      <c r="H2423" s="341" t="str">
        <f>IF(A2423="","",VLOOKUP(A2423,VII.A!$A$10:$D$199,4,FALSE))</f>
        <v/>
      </c>
      <c r="I2423" s="341" t="str">
        <f t="shared" si="639"/>
        <v/>
      </c>
      <c r="J2423" s="341" t="str">
        <f>IF(A2423="","",VLOOKUP(A2423,VII.A!$A$10:$D$199,3,FALSE))</f>
        <v/>
      </c>
      <c r="K2423" s="342" t="str">
        <f t="shared" si="640"/>
        <v/>
      </c>
      <c r="L2423" s="380" t="str">
        <f>IF(C2423="","",G2411*C2423)</f>
        <v/>
      </c>
      <c r="M2423" s="381" t="str">
        <f>IF(A2423="","",VLOOKUP(A2423,VII.A!$A$10:$B$199,2,FALSE))</f>
        <v/>
      </c>
      <c r="N2423" s="342" t="str">
        <f t="shared" si="641"/>
        <v/>
      </c>
      <c r="R2423" s="341"/>
      <c r="S2423" s="341"/>
    </row>
    <row r="2424" spans="1:21" ht="12.75" customHeight="1">
      <c r="A2424" s="385"/>
      <c r="B2424" s="386"/>
      <c r="C2424" s="20"/>
      <c r="D2424" s="392"/>
      <c r="E2424" s="387"/>
      <c r="F2424" s="388">
        <f t="shared" si="642"/>
        <v>0</v>
      </c>
      <c r="H2424" s="341" t="str">
        <f>IF(A2424="","",VLOOKUP(A2424,VII.A!$A$10:$D$199,4,FALSE))</f>
        <v/>
      </c>
      <c r="I2424" s="341" t="str">
        <f t="shared" si="639"/>
        <v/>
      </c>
      <c r="J2424" s="341" t="str">
        <f>IF(A2424="","",VLOOKUP(A2424,VII.A!$A$10:$D$199,3,FALSE))</f>
        <v/>
      </c>
      <c r="K2424" s="342" t="str">
        <f t="shared" si="640"/>
        <v/>
      </c>
      <c r="L2424" s="380" t="str">
        <f>IF(C2424="","",G2411*C2424)</f>
        <v/>
      </c>
      <c r="M2424" s="381" t="str">
        <f>IF(A2424="","",VLOOKUP(A2424,VII.A!$A$10:$B$199,2,FALSE))</f>
        <v/>
      </c>
      <c r="N2424" s="342" t="str">
        <f t="shared" si="641"/>
        <v/>
      </c>
      <c r="R2424" s="341"/>
      <c r="S2424" s="341"/>
    </row>
    <row r="2425" spans="1:21" ht="12.75" customHeight="1">
      <c r="A2425" s="385"/>
      <c r="B2425" s="386"/>
      <c r="C2425" s="20"/>
      <c r="D2425" s="392"/>
      <c r="E2425" s="387"/>
      <c r="F2425" s="388">
        <f t="shared" si="642"/>
        <v>0</v>
      </c>
      <c r="H2425" s="341" t="str">
        <f>IF(A2425="","",VLOOKUP(A2425,VII.A!$A$10:$D$199,4,FALSE))</f>
        <v/>
      </c>
      <c r="I2425" s="341" t="str">
        <f t="shared" si="639"/>
        <v/>
      </c>
      <c r="J2425" s="341" t="str">
        <f>IF(A2425="","",VLOOKUP(A2425,VII.A!$A$10:$D$199,3,FALSE))</f>
        <v/>
      </c>
      <c r="K2425" s="342" t="str">
        <f t="shared" si="640"/>
        <v/>
      </c>
      <c r="L2425" s="380" t="str">
        <f>IF(C2425="","",G2411*C2425)</f>
        <v/>
      </c>
      <c r="M2425" s="381" t="str">
        <f>IF(A2425="","",VLOOKUP(A2425,VII.A!$A$10:$B$199,2,FALSE))</f>
        <v/>
      </c>
      <c r="N2425" s="342" t="str">
        <f t="shared" si="641"/>
        <v/>
      </c>
      <c r="O2425" s="342"/>
      <c r="R2425" s="341"/>
      <c r="S2425" s="341"/>
    </row>
    <row r="2426" spans="1:21" ht="12.75" customHeight="1">
      <c r="A2426" s="385"/>
      <c r="B2426" s="386"/>
      <c r="C2426" s="20"/>
      <c r="D2426" s="392"/>
      <c r="E2426" s="387"/>
      <c r="F2426" s="388">
        <f t="shared" si="642"/>
        <v>0</v>
      </c>
      <c r="H2426" s="341" t="str">
        <f>IF(A2426="","",VLOOKUP(A2426,VII.A!$A$10:$D$199,4,FALSE))</f>
        <v/>
      </c>
      <c r="I2426" s="341" t="str">
        <f t="shared" si="639"/>
        <v/>
      </c>
      <c r="J2426" s="341" t="str">
        <f>IF(A2426="","",VLOOKUP(A2426,VII.A!$A$10:$D$199,3,FALSE))</f>
        <v/>
      </c>
      <c r="K2426" s="342" t="str">
        <f t="shared" si="640"/>
        <v/>
      </c>
      <c r="L2426" s="380" t="str">
        <f>IF(C2426="","",G2411*C2426)</f>
        <v/>
      </c>
      <c r="M2426" s="381" t="str">
        <f>IF(A2426="","",VLOOKUP(A2426,VII.A!$A$10:$B$199,2,FALSE))</f>
        <v/>
      </c>
      <c r="N2426" s="342" t="str">
        <f t="shared" si="641"/>
        <v/>
      </c>
      <c r="R2426" s="341"/>
      <c r="S2426" s="341"/>
    </row>
    <row r="2427" spans="1:21" ht="12.75" customHeight="1">
      <c r="A2427" s="393"/>
      <c r="C2427" s="20"/>
      <c r="E2427" s="387"/>
      <c r="F2427" s="388">
        <f t="shared" si="642"/>
        <v>0</v>
      </c>
      <c r="H2427" s="341" t="str">
        <f>IF(A2427="","",VLOOKUP(A2427,VII.A!$A$10:$D$199,4,FALSE))</f>
        <v/>
      </c>
      <c r="I2427" s="341" t="str">
        <f t="shared" si="639"/>
        <v/>
      </c>
      <c r="J2427" s="341" t="str">
        <f>IF(A2427="","",VLOOKUP(A2427,VII.A!$A$10:$D$199,3,FALSE))</f>
        <v/>
      </c>
      <c r="K2427" s="342" t="str">
        <f t="shared" si="640"/>
        <v/>
      </c>
      <c r="L2427" s="380" t="str">
        <f>IF(C2427="","",G2411*C2427)</f>
        <v/>
      </c>
      <c r="M2427" s="381" t="str">
        <f>IF(A2427="","",VLOOKUP(A2427,VII.A!$A$10:$B$199,2,FALSE))</f>
        <v/>
      </c>
      <c r="N2427" s="342" t="str">
        <f t="shared" si="641"/>
        <v/>
      </c>
      <c r="R2427" s="341"/>
      <c r="S2427" s="341"/>
    </row>
    <row r="2428" spans="1:21" ht="12.75" customHeight="1">
      <c r="A2428" s="393"/>
      <c r="C2428" s="20"/>
      <c r="E2428" s="387"/>
      <c r="F2428" s="388">
        <f t="shared" si="642"/>
        <v>0</v>
      </c>
      <c r="H2428" s="341" t="str">
        <f>IF(A2428="","",VLOOKUP(A2428,VII.A!$A$10:$D$199,4,FALSE))</f>
        <v/>
      </c>
      <c r="I2428" s="341" t="str">
        <f t="shared" si="639"/>
        <v/>
      </c>
      <c r="J2428" s="341" t="str">
        <f>IF(A2428="","",VLOOKUP(A2428,VII.A!$A$10:$D$199,3,FALSE))</f>
        <v/>
      </c>
      <c r="K2428" s="342" t="str">
        <f t="shared" si="640"/>
        <v/>
      </c>
      <c r="L2428" s="380" t="str">
        <f>IF(C2428="","",G2411*C2428)</f>
        <v/>
      </c>
      <c r="M2428" s="381" t="str">
        <f>IF(A2428="","",VLOOKUP(A2428,VII.A!$A$10:$B$199,2,FALSE))</f>
        <v/>
      </c>
      <c r="N2428" s="342" t="str">
        <f t="shared" si="641"/>
        <v/>
      </c>
      <c r="R2428" s="341"/>
      <c r="S2428" s="341"/>
    </row>
    <row r="2429" spans="1:21" ht="12.75" customHeight="1">
      <c r="A2429" s="393"/>
      <c r="B2429" s="395" t="s">
        <v>226</v>
      </c>
      <c r="C2429" s="396"/>
      <c r="D2429" s="397"/>
      <c r="E2429" s="398"/>
      <c r="F2429" s="399">
        <f>SUM(F2413:F2428)</f>
        <v>0</v>
      </c>
      <c r="H2429" s="426" t="s">
        <v>434</v>
      </c>
      <c r="J2429" s="341"/>
      <c r="L2429" s="380"/>
      <c r="M2429" s="381"/>
      <c r="N2429" s="342"/>
      <c r="R2429" s="341"/>
      <c r="S2429" s="341"/>
    </row>
    <row r="2430" spans="1:21" ht="12.75" customHeight="1">
      <c r="A2430" s="393"/>
      <c r="B2430" s="400" t="s">
        <v>53</v>
      </c>
      <c r="C2430" s="2">
        <f>$D$8</f>
        <v>0</v>
      </c>
      <c r="D2430" s="401"/>
      <c r="E2430" s="402"/>
      <c r="F2430" s="403">
        <f>ROUND(F2429*C2430,2)</f>
        <v>0</v>
      </c>
      <c r="H2430" s="425" t="s">
        <v>474</v>
      </c>
      <c r="I2430" s="382"/>
      <c r="J2430" s="382"/>
      <c r="K2430" s="382"/>
      <c r="L2430" s="382"/>
      <c r="M2430" s="381"/>
      <c r="N2430" s="342"/>
      <c r="R2430" s="341"/>
      <c r="S2430" s="341"/>
    </row>
    <row r="2431" spans="1:21" ht="12.75" customHeight="1">
      <c r="A2431" s="404"/>
      <c r="B2431" s="405" t="s">
        <v>227</v>
      </c>
      <c r="C2431" s="406"/>
      <c r="D2431" s="406"/>
      <c r="E2431" s="407"/>
      <c r="F2431" s="408">
        <f>F2429+F2430</f>
        <v>0</v>
      </c>
      <c r="J2431" s="341"/>
      <c r="L2431" s="380"/>
      <c r="M2431" s="381"/>
      <c r="N2431" s="342"/>
      <c r="R2431" s="341"/>
      <c r="S2431" s="341"/>
    </row>
    <row r="2432" spans="1:21" ht="12.75" customHeight="1">
      <c r="A2432" s="374" t="s">
        <v>2</v>
      </c>
      <c r="B2432" s="375" t="s">
        <v>235</v>
      </c>
      <c r="C2432" s="376" t="s">
        <v>231</v>
      </c>
      <c r="D2432" s="376" t="s">
        <v>232</v>
      </c>
      <c r="E2432" s="377" t="s">
        <v>233</v>
      </c>
      <c r="F2432" s="378" t="s">
        <v>234</v>
      </c>
      <c r="J2432" s="341"/>
      <c r="L2432" s="380"/>
      <c r="M2432" s="381"/>
      <c r="N2432" s="342"/>
      <c r="R2432" s="341"/>
      <c r="S2432" s="341"/>
    </row>
    <row r="2433" spans="1:19" ht="12.75" customHeight="1">
      <c r="A2433" s="393" t="str">
        <f>VII.A!$A$169</f>
        <v>2.27</v>
      </c>
      <c r="B2433" s="423" t="str">
        <f>VLOOKUP(A2433,VII.A!$A$10:$G$199,2,FALSE)</f>
        <v>VIBRADOR DE IMERSÃO COM MANGOTE 5,00 M - CHP</v>
      </c>
      <c r="C2433" s="20">
        <v>0.61499999999999999</v>
      </c>
      <c r="D2433" s="384" t="str">
        <f>VLOOKUP(A2433,VII.A!$A$10:$G$199,3,FALSE)</f>
        <v>CHP</v>
      </c>
      <c r="E2433" s="387">
        <f>VII.A!$D$169</f>
        <v>0</v>
      </c>
      <c r="F2433" s="388">
        <f t="shared" ref="F2433:F2442" si="643">ROUND(C2433*E2433,2)</f>
        <v>0</v>
      </c>
      <c r="H2433" s="341">
        <f>IF(A2433="","",VLOOKUP(A2433,VII.A!$A$10:$D$199,4,FALSE))</f>
        <v>0</v>
      </c>
      <c r="I2433" s="341" t="str">
        <f t="shared" ref="I2433:I2442" si="644">IF(A2433="","",IF(E2433=H2433,"SIM","NÃO"))</f>
        <v>SIM</v>
      </c>
      <c r="J2433" s="341" t="str">
        <f>IF(A2433="","",VLOOKUP(A2433,VII.A!$A$10:$D$199,3,FALSE))</f>
        <v>CHP</v>
      </c>
      <c r="K2433" s="342" t="str">
        <f t="shared" ref="K2433:K2442" si="645">IF(A2433="","",IF(J2433=D2433,"SIM","NÃO"))</f>
        <v>SIM</v>
      </c>
      <c r="L2433" s="380">
        <f>IF(C2433="","",G2411*C2433)</f>
        <v>61.5</v>
      </c>
      <c r="M2433" s="381" t="str">
        <f>IF(A2433="","",VLOOKUP(A2433,VII.A!$A$10:$B$199,2,FALSE))</f>
        <v>VIBRADOR DE IMERSÃO COM MANGOTE 5,00 M - CHP</v>
      </c>
      <c r="N2433" s="342" t="str">
        <f t="shared" ref="N2433:N2442" si="646">IF(B2433="","",IF(M2433=B2433,"si","no"))</f>
        <v>si</v>
      </c>
      <c r="R2433" s="341"/>
      <c r="S2433" s="341"/>
    </row>
    <row r="2434" spans="1:19" ht="12.75" customHeight="1">
      <c r="A2434" s="393"/>
      <c r="C2434" s="20"/>
      <c r="E2434" s="387"/>
      <c r="F2434" s="388">
        <f t="shared" si="643"/>
        <v>0</v>
      </c>
      <c r="H2434" s="341" t="str">
        <f>IF(A2434="","",VLOOKUP(A2434,VII.A!$A$10:$D$199,4,FALSE))</f>
        <v/>
      </c>
      <c r="I2434" s="341" t="str">
        <f t="shared" si="644"/>
        <v/>
      </c>
      <c r="J2434" s="341" t="str">
        <f>IF(A2434="","",VLOOKUP(A2434,VII.A!$A$10:$D$199,3,FALSE))</f>
        <v/>
      </c>
      <c r="K2434" s="342" t="str">
        <f t="shared" si="645"/>
        <v/>
      </c>
      <c r="L2434" s="380" t="str">
        <f>IF(C2434="","",G2411*C2434)</f>
        <v/>
      </c>
      <c r="M2434" s="381" t="str">
        <f>IF(A2434="","",VLOOKUP(A2434,VII.A!$A$10:$B$199,2,FALSE))</f>
        <v/>
      </c>
      <c r="N2434" s="342" t="str">
        <f t="shared" si="646"/>
        <v/>
      </c>
      <c r="R2434" s="341"/>
      <c r="S2434" s="341"/>
    </row>
    <row r="2435" spans="1:19" ht="12.75" customHeight="1">
      <c r="A2435" s="393"/>
      <c r="C2435" s="20"/>
      <c r="E2435" s="387"/>
      <c r="F2435" s="388">
        <f t="shared" si="643"/>
        <v>0</v>
      </c>
      <c r="H2435" s="341" t="str">
        <f>IF(A2435="","",VLOOKUP(A2435,VII.A!$A$10:$D$199,4,FALSE))</f>
        <v/>
      </c>
      <c r="I2435" s="341" t="str">
        <f t="shared" si="644"/>
        <v/>
      </c>
      <c r="J2435" s="341" t="str">
        <f>IF(A2435="","",VLOOKUP(A2435,VII.A!$A$10:$D$199,3,FALSE))</f>
        <v/>
      </c>
      <c r="K2435" s="342" t="str">
        <f t="shared" si="645"/>
        <v/>
      </c>
      <c r="L2435" s="380" t="str">
        <f>IF(C2435="","",G2411*C2435)</f>
        <v/>
      </c>
      <c r="M2435" s="381" t="str">
        <f>IF(A2435="","",VLOOKUP(A2435,VII.A!$A$10:$B$199,2,FALSE))</f>
        <v/>
      </c>
      <c r="N2435" s="342" t="str">
        <f t="shared" si="646"/>
        <v/>
      </c>
      <c r="R2435" s="341"/>
      <c r="S2435" s="341"/>
    </row>
    <row r="2436" spans="1:19" ht="12.75" customHeight="1">
      <c r="A2436" s="393"/>
      <c r="C2436" s="20"/>
      <c r="E2436" s="387"/>
      <c r="F2436" s="388">
        <f t="shared" si="643"/>
        <v>0</v>
      </c>
      <c r="H2436" s="341" t="str">
        <f>IF(A2436="","",VLOOKUP(A2436,VII.A!$A$10:$D$199,4,FALSE))</f>
        <v/>
      </c>
      <c r="I2436" s="341" t="str">
        <f t="shared" si="644"/>
        <v/>
      </c>
      <c r="J2436" s="341" t="str">
        <f>IF(A2436="","",VLOOKUP(A2436,VII.A!$A$10:$D$199,3,FALSE))</f>
        <v/>
      </c>
      <c r="K2436" s="342" t="str">
        <f t="shared" si="645"/>
        <v/>
      </c>
      <c r="L2436" s="380" t="str">
        <f>IF(C2436="","",G2411*C2436)</f>
        <v/>
      </c>
      <c r="M2436" s="381" t="str">
        <f>IF(A2436="","",VLOOKUP(A2436,VII.A!$A$10:$B$199,2,FALSE))</f>
        <v/>
      </c>
      <c r="N2436" s="342" t="str">
        <f t="shared" si="646"/>
        <v/>
      </c>
      <c r="R2436" s="341"/>
      <c r="S2436" s="341"/>
    </row>
    <row r="2437" spans="1:19" ht="12.75" customHeight="1">
      <c r="A2437" s="393"/>
      <c r="C2437" s="20"/>
      <c r="E2437" s="387"/>
      <c r="F2437" s="388">
        <f t="shared" si="643"/>
        <v>0</v>
      </c>
      <c r="G2437" s="390"/>
      <c r="H2437" s="341" t="str">
        <f>IF(A2437="","",VLOOKUP(A2437,VII.A!$A$10:$D$199,4,FALSE))</f>
        <v/>
      </c>
      <c r="I2437" s="341" t="str">
        <f t="shared" si="644"/>
        <v/>
      </c>
      <c r="J2437" s="341" t="str">
        <f>IF(A2437="","",VLOOKUP(A2437,VII.A!$A$10:$D$199,3,FALSE))</f>
        <v/>
      </c>
      <c r="K2437" s="342" t="str">
        <f t="shared" si="645"/>
        <v/>
      </c>
      <c r="L2437" s="380" t="str">
        <f>IF(C2437="","",G2411*C2437)</f>
        <v/>
      </c>
      <c r="M2437" s="381" t="str">
        <f>IF(A2437="","",VLOOKUP(A2437,VII.A!$A$10:$B$199,2,FALSE))</f>
        <v/>
      </c>
      <c r="N2437" s="342" t="str">
        <f t="shared" si="646"/>
        <v/>
      </c>
      <c r="R2437" s="341"/>
      <c r="S2437" s="341"/>
    </row>
    <row r="2438" spans="1:19" ht="12.75" customHeight="1">
      <c r="A2438" s="393"/>
      <c r="C2438" s="20"/>
      <c r="E2438" s="387"/>
      <c r="F2438" s="388">
        <f t="shared" si="643"/>
        <v>0</v>
      </c>
      <c r="G2438" s="391"/>
      <c r="H2438" s="341" t="str">
        <f>IF(A2438="","",VLOOKUP(A2438,VII.A!$A$10:$D$199,4,FALSE))</f>
        <v/>
      </c>
      <c r="I2438" s="341" t="str">
        <f t="shared" si="644"/>
        <v/>
      </c>
      <c r="J2438" s="341" t="str">
        <f>IF(A2438="","",VLOOKUP(A2438,VII.A!$A$10:$D$199,3,FALSE))</f>
        <v/>
      </c>
      <c r="K2438" s="342" t="str">
        <f t="shared" si="645"/>
        <v/>
      </c>
      <c r="L2438" s="380" t="str">
        <f>IF(C2438="","",G2411*C2438)</f>
        <v/>
      </c>
      <c r="M2438" s="381" t="str">
        <f>IF(A2438="","",VLOOKUP(A2438,VII.A!$A$10:$B$199,2,FALSE))</f>
        <v/>
      </c>
      <c r="N2438" s="342" t="str">
        <f t="shared" si="646"/>
        <v/>
      </c>
      <c r="R2438" s="341"/>
      <c r="S2438" s="341"/>
    </row>
    <row r="2439" spans="1:19" ht="12.75" customHeight="1">
      <c r="A2439" s="393"/>
      <c r="C2439" s="20"/>
      <c r="E2439" s="387"/>
      <c r="F2439" s="388">
        <f t="shared" si="643"/>
        <v>0</v>
      </c>
      <c r="H2439" s="341" t="str">
        <f>IF(A2439="","",VLOOKUP(A2439,VII.A!$A$10:$D$199,4,FALSE))</f>
        <v/>
      </c>
      <c r="I2439" s="341" t="str">
        <f t="shared" si="644"/>
        <v/>
      </c>
      <c r="J2439" s="341" t="str">
        <f>IF(A2439="","",VLOOKUP(A2439,VII.A!$A$10:$D$199,3,FALSE))</f>
        <v/>
      </c>
      <c r="K2439" s="342" t="str">
        <f t="shared" si="645"/>
        <v/>
      </c>
      <c r="L2439" s="380" t="str">
        <f>IF(C2439="","",G2411*C2439)</f>
        <v/>
      </c>
      <c r="M2439" s="381" t="str">
        <f>IF(A2439="","",VLOOKUP(A2439,VII.A!$A$10:$B$199,2,FALSE))</f>
        <v/>
      </c>
      <c r="N2439" s="342" t="str">
        <f t="shared" si="646"/>
        <v/>
      </c>
      <c r="R2439" s="341"/>
      <c r="S2439" s="341"/>
    </row>
    <row r="2440" spans="1:19" ht="12.75" customHeight="1">
      <c r="A2440" s="393"/>
      <c r="C2440" s="20"/>
      <c r="E2440" s="387"/>
      <c r="F2440" s="388">
        <f t="shared" si="643"/>
        <v>0</v>
      </c>
      <c r="H2440" s="341" t="str">
        <f>IF(A2440="","",VLOOKUP(A2440,VII.A!$A$10:$D$199,4,FALSE))</f>
        <v/>
      </c>
      <c r="I2440" s="341" t="str">
        <f t="shared" si="644"/>
        <v/>
      </c>
      <c r="J2440" s="341" t="str">
        <f>IF(A2440="","",VLOOKUP(A2440,VII.A!$A$10:$D$199,3,FALSE))</f>
        <v/>
      </c>
      <c r="K2440" s="342" t="str">
        <f t="shared" si="645"/>
        <v/>
      </c>
      <c r="L2440" s="380" t="str">
        <f>IF(C2440="","",G2411*C2440)</f>
        <v/>
      </c>
      <c r="M2440" s="381" t="str">
        <f>IF(A2440="","",VLOOKUP(A2440,VII.A!$A$10:$B$199,2,FALSE))</f>
        <v/>
      </c>
      <c r="N2440" s="342" t="str">
        <f t="shared" si="646"/>
        <v/>
      </c>
      <c r="R2440" s="341"/>
      <c r="S2440" s="341"/>
    </row>
    <row r="2441" spans="1:19" ht="12.75" customHeight="1">
      <c r="A2441" s="393"/>
      <c r="C2441" s="20"/>
      <c r="E2441" s="387"/>
      <c r="F2441" s="388">
        <f t="shared" si="643"/>
        <v>0</v>
      </c>
      <c r="H2441" s="341" t="str">
        <f>IF(A2441="","",VLOOKUP(A2441,VII.A!$A$10:$D$199,4,FALSE))</f>
        <v/>
      </c>
      <c r="I2441" s="341" t="str">
        <f t="shared" si="644"/>
        <v/>
      </c>
      <c r="J2441" s="341" t="str">
        <f>IF(A2441="","",VLOOKUP(A2441,VII.A!$A$10:$D$199,3,FALSE))</f>
        <v/>
      </c>
      <c r="K2441" s="342" t="str">
        <f t="shared" si="645"/>
        <v/>
      </c>
      <c r="L2441" s="380" t="str">
        <f>IF(C2441="","",G2411*C2441)</f>
        <v/>
      </c>
      <c r="M2441" s="381" t="str">
        <f>IF(A2441="","",VLOOKUP(A2441,VII.A!$A$10:$B$199,2,FALSE))</f>
        <v/>
      </c>
      <c r="N2441" s="342" t="str">
        <f t="shared" si="646"/>
        <v/>
      </c>
      <c r="R2441" s="341"/>
      <c r="S2441" s="341"/>
    </row>
    <row r="2442" spans="1:19" ht="12.75" customHeight="1">
      <c r="A2442" s="393"/>
      <c r="C2442" s="20"/>
      <c r="E2442" s="387"/>
      <c r="F2442" s="388">
        <f t="shared" si="643"/>
        <v>0</v>
      </c>
      <c r="H2442" s="341" t="str">
        <f>IF(A2442="","",VLOOKUP(A2442,VII.A!$A$10:$D$199,4,FALSE))</f>
        <v/>
      </c>
      <c r="I2442" s="341" t="str">
        <f t="shared" si="644"/>
        <v/>
      </c>
      <c r="J2442" s="341" t="str">
        <f>IF(A2442="","",VLOOKUP(A2442,VII.A!$A$10:$D$199,3,FALSE))</f>
        <v/>
      </c>
      <c r="K2442" s="342" t="str">
        <f t="shared" si="645"/>
        <v/>
      </c>
      <c r="L2442" s="380" t="str">
        <f>IF(C2442="","",G2411*C2442)</f>
        <v/>
      </c>
      <c r="M2442" s="381" t="str">
        <f>IF(A2442="","",VLOOKUP(A2442,VII.A!$A$10:$B$199,2,FALSE))</f>
        <v/>
      </c>
      <c r="N2442" s="342" t="str">
        <f t="shared" si="646"/>
        <v/>
      </c>
      <c r="R2442" s="341"/>
      <c r="S2442" s="341"/>
    </row>
    <row r="2443" spans="1:19" ht="12.75" customHeight="1">
      <c r="A2443" s="393"/>
      <c r="B2443" s="395" t="s">
        <v>226</v>
      </c>
      <c r="C2443" s="396"/>
      <c r="D2443" s="397"/>
      <c r="E2443" s="398"/>
      <c r="F2443" s="399">
        <f>SUM(F2433:F2442)</f>
        <v>0</v>
      </c>
      <c r="J2443" s="341"/>
      <c r="L2443" s="380"/>
      <c r="M2443" s="381"/>
      <c r="N2443" s="342"/>
      <c r="R2443" s="341"/>
      <c r="S2443" s="341"/>
    </row>
    <row r="2444" spans="1:19" ht="12.75" customHeight="1">
      <c r="A2444" s="393"/>
      <c r="B2444" s="400" t="s">
        <v>53</v>
      </c>
      <c r="C2444" s="2">
        <f>$D$8</f>
        <v>0</v>
      </c>
      <c r="D2444" s="401"/>
      <c r="E2444" s="402"/>
      <c r="F2444" s="403">
        <f>ROUND(C2444*F2443,2)</f>
        <v>0</v>
      </c>
      <c r="J2444" s="341"/>
      <c r="L2444" s="380"/>
      <c r="M2444" s="381"/>
      <c r="N2444" s="342"/>
      <c r="R2444" s="341"/>
      <c r="S2444" s="341"/>
    </row>
    <row r="2445" spans="1:19" ht="12.75" customHeight="1">
      <c r="A2445" s="404"/>
      <c r="B2445" s="405" t="s">
        <v>228</v>
      </c>
      <c r="C2445" s="406"/>
      <c r="D2445" s="406"/>
      <c r="E2445" s="407"/>
      <c r="F2445" s="408">
        <f>F2443+F2444</f>
        <v>0</v>
      </c>
      <c r="J2445" s="341"/>
      <c r="L2445" s="380"/>
      <c r="M2445" s="381"/>
      <c r="N2445" s="342"/>
      <c r="R2445" s="341"/>
      <c r="S2445" s="341"/>
    </row>
    <row r="2446" spans="1:19" ht="12.75" customHeight="1">
      <c r="A2446" s="409" t="s">
        <v>47</v>
      </c>
      <c r="B2446" s="410" t="s">
        <v>236</v>
      </c>
      <c r="C2446" s="411" t="s">
        <v>231</v>
      </c>
      <c r="D2446" s="412" t="s">
        <v>232</v>
      </c>
      <c r="E2446" s="413" t="s">
        <v>233</v>
      </c>
      <c r="F2446" s="378" t="s">
        <v>234</v>
      </c>
      <c r="J2446" s="341"/>
      <c r="L2446" s="380"/>
      <c r="M2446" s="381"/>
      <c r="N2446" s="342"/>
      <c r="R2446" s="341"/>
      <c r="S2446" s="341"/>
    </row>
    <row r="2447" spans="1:19" ht="12.75" customHeight="1">
      <c r="A2447" s="393" t="str">
        <f>VII.A!$A$196</f>
        <v>3.16</v>
      </c>
      <c r="B2447" s="394" t="s">
        <v>157</v>
      </c>
      <c r="C2447" s="20">
        <v>4.5</v>
      </c>
      <c r="D2447" s="384" t="str">
        <f>VLOOKUP(A2447,VII.A!$A$10:$G$199,3,FALSE)</f>
        <v>H</v>
      </c>
      <c r="E2447" s="387">
        <f>VII.A!$D$196</f>
        <v>0</v>
      </c>
      <c r="F2447" s="388">
        <f t="shared" ref="F2447:F2453" si="647">ROUND(C2447*E2447,2)</f>
        <v>0</v>
      </c>
      <c r="H2447" s="341">
        <f>IF(A2447="","",VLOOKUP(A2447,VII.A!$A$10:$D$199,4,FALSE))</f>
        <v>0</v>
      </c>
      <c r="I2447" s="341" t="str">
        <f t="shared" ref="I2447:I2453" si="648">IF(A2447="","",IF(E2447=H2447,"SIM","NÃO"))</f>
        <v>SIM</v>
      </c>
      <c r="J2447" s="341" t="str">
        <f>IF(A2447="","",VLOOKUP(A2447,VII.A!$A$10:$D$199,3,FALSE))</f>
        <v>H</v>
      </c>
      <c r="K2447" s="342" t="str">
        <f t="shared" ref="K2447:K2453" si="649">IF(A2447="","",IF(J2447=D2447,"SIM","NÃO"))</f>
        <v>SIM</v>
      </c>
      <c r="L2447" s="380">
        <f>IF(C2447="","",G2411*C2447)</f>
        <v>450</v>
      </c>
      <c r="M2447" s="381" t="str">
        <f>IF(A2447="","",VLOOKUP(A2447,VII.A!$A$10:$B$199,2,FALSE))</f>
        <v>SERVENTE COM ENCARGOS COMPLEMENTARES</v>
      </c>
      <c r="N2447" s="342" t="str">
        <f t="shared" ref="N2447:N2453" si="650">IF(B2447="","",IF(M2447=B2447,"si","no"))</f>
        <v>si</v>
      </c>
      <c r="R2447" s="341"/>
      <c r="S2447" s="341"/>
    </row>
    <row r="2448" spans="1:19" ht="12.75" customHeight="1">
      <c r="A2448" s="393" t="str">
        <f>VII.A!$A$192</f>
        <v>3.12</v>
      </c>
      <c r="B2448" s="394" t="s">
        <v>153</v>
      </c>
      <c r="C2448" s="20">
        <v>1.65</v>
      </c>
      <c r="D2448" s="384" t="str">
        <f>VLOOKUP(A2448,VII.A!$A$10:$G$199,3,FALSE)</f>
        <v>H</v>
      </c>
      <c r="E2448" s="387">
        <f>VII.A!$D$192</f>
        <v>0</v>
      </c>
      <c r="F2448" s="388">
        <f t="shared" si="647"/>
        <v>0</v>
      </c>
      <c r="H2448" s="341">
        <f>IF(A2448="","",VLOOKUP(A2448,VII.A!$A$10:$D$199,4,FALSE))</f>
        <v>0</v>
      </c>
      <c r="I2448" s="341" t="str">
        <f t="shared" si="648"/>
        <v>SIM</v>
      </c>
      <c r="J2448" s="341" t="str">
        <f>IF(A2448="","",VLOOKUP(A2448,VII.A!$A$10:$D$199,3,FALSE))</f>
        <v>H</v>
      </c>
      <c r="K2448" s="342" t="str">
        <f t="shared" si="649"/>
        <v>SIM</v>
      </c>
      <c r="L2448" s="380">
        <f>IF(C2448="","",G2411*C2448)</f>
        <v>165</v>
      </c>
      <c r="M2448" s="381" t="str">
        <f>IF(A2448="","",VLOOKUP(A2448,VII.A!$A$10:$B$199,2,FALSE))</f>
        <v>PEDREIRO COM ENCARGOS COMPLEMENTARES</v>
      </c>
      <c r="N2448" s="342" t="str">
        <f t="shared" si="650"/>
        <v>si</v>
      </c>
      <c r="R2448" s="341"/>
      <c r="S2448" s="341"/>
    </row>
    <row r="2449" spans="1:25" ht="12.75" customHeight="1">
      <c r="A2449" s="393"/>
      <c r="C2449" s="20"/>
      <c r="E2449" s="387"/>
      <c r="F2449" s="388">
        <f t="shared" si="647"/>
        <v>0</v>
      </c>
      <c r="H2449" s="341" t="str">
        <f>IF(A2449="","",VLOOKUP(A2449,VII.A!$A$10:$D$199,4,FALSE))</f>
        <v/>
      </c>
      <c r="I2449" s="341" t="str">
        <f t="shared" si="648"/>
        <v/>
      </c>
      <c r="J2449" s="341" t="str">
        <f>IF(A2449="","",VLOOKUP(A2449,VII.A!$A$10:$D$199,3,FALSE))</f>
        <v/>
      </c>
      <c r="K2449" s="342" t="str">
        <f t="shared" si="649"/>
        <v/>
      </c>
      <c r="L2449" s="380" t="str">
        <f>IF(C2449="","",G2411*C2449)</f>
        <v/>
      </c>
      <c r="M2449" s="381" t="str">
        <f>IF(A2449="","",VLOOKUP(A2449,VII.A!$A$10:$B$199,2,FALSE))</f>
        <v/>
      </c>
      <c r="N2449" s="342" t="str">
        <f t="shared" si="650"/>
        <v/>
      </c>
      <c r="R2449" s="341"/>
      <c r="S2449" s="341"/>
    </row>
    <row r="2450" spans="1:25" ht="12.75" customHeight="1">
      <c r="A2450" s="393"/>
      <c r="C2450" s="20"/>
      <c r="E2450" s="387"/>
      <c r="F2450" s="388">
        <f t="shared" si="647"/>
        <v>0</v>
      </c>
      <c r="H2450" s="341" t="str">
        <f>IF(A2450="","",VLOOKUP(A2450,VII.A!$A$10:$D$199,4,FALSE))</f>
        <v/>
      </c>
      <c r="I2450" s="341" t="str">
        <f t="shared" si="648"/>
        <v/>
      </c>
      <c r="J2450" s="341" t="str">
        <f>IF(A2450="","",VLOOKUP(A2450,VII.A!$A$10:$D$199,3,FALSE))</f>
        <v/>
      </c>
      <c r="K2450" s="342" t="str">
        <f t="shared" si="649"/>
        <v/>
      </c>
      <c r="L2450" s="380" t="str">
        <f>IF(C2450="","",G2411*C2450)</f>
        <v/>
      </c>
      <c r="M2450" s="381" t="str">
        <f>IF(A2450="","",VLOOKUP(A2450,VII.A!$A$10:$B$199,2,FALSE))</f>
        <v/>
      </c>
      <c r="N2450" s="342" t="str">
        <f t="shared" si="650"/>
        <v/>
      </c>
      <c r="R2450" s="341"/>
      <c r="S2450" s="341"/>
    </row>
    <row r="2451" spans="1:25" ht="12.75" customHeight="1">
      <c r="A2451" s="393"/>
      <c r="C2451" s="20"/>
      <c r="E2451" s="387"/>
      <c r="F2451" s="388">
        <f t="shared" si="647"/>
        <v>0</v>
      </c>
      <c r="H2451" s="341" t="str">
        <f>IF(A2451="","",VLOOKUP(A2451,VII.A!$A$10:$D$199,4,FALSE))</f>
        <v/>
      </c>
      <c r="I2451" s="341" t="str">
        <f t="shared" si="648"/>
        <v/>
      </c>
      <c r="J2451" s="341" t="str">
        <f>IF(A2451="","",VLOOKUP(A2451,VII.A!$A$10:$D$199,3,FALSE))</f>
        <v/>
      </c>
      <c r="K2451" s="342" t="str">
        <f t="shared" si="649"/>
        <v/>
      </c>
      <c r="L2451" s="380" t="str">
        <f>IF(C2451="","",G2411*C2451)</f>
        <v/>
      </c>
      <c r="M2451" s="381" t="str">
        <f>IF(A2451="","",VLOOKUP(A2451,VII.A!$A$10:$B$199,2,FALSE))</f>
        <v/>
      </c>
      <c r="N2451" s="342" t="str">
        <f t="shared" si="650"/>
        <v/>
      </c>
      <c r="R2451" s="341"/>
      <c r="S2451" s="341"/>
    </row>
    <row r="2452" spans="1:25" ht="12.75" customHeight="1">
      <c r="A2452" s="393"/>
      <c r="C2452" s="20"/>
      <c r="E2452" s="387"/>
      <c r="F2452" s="388">
        <f t="shared" si="647"/>
        <v>0</v>
      </c>
      <c r="H2452" s="341" t="str">
        <f>IF(A2452="","",VLOOKUP(A2452,VII.A!$A$10:$D$199,4,FALSE))</f>
        <v/>
      </c>
      <c r="I2452" s="341" t="str">
        <f t="shared" si="648"/>
        <v/>
      </c>
      <c r="J2452" s="341" t="str">
        <f>IF(A2452="","",VLOOKUP(A2452,VII.A!$A$10:$D$199,3,FALSE))</f>
        <v/>
      </c>
      <c r="K2452" s="342" t="str">
        <f t="shared" si="649"/>
        <v/>
      </c>
      <c r="L2452" s="380" t="str">
        <f>IF(C2452="","",G2411*C2452)</f>
        <v/>
      </c>
      <c r="M2452" s="381" t="str">
        <f>IF(A2452="","",VLOOKUP(A2452,VII.A!$A$10:$B$199,2,FALSE))</f>
        <v/>
      </c>
      <c r="N2452" s="342" t="str">
        <f t="shared" si="650"/>
        <v/>
      </c>
      <c r="R2452" s="341"/>
      <c r="S2452" s="341"/>
    </row>
    <row r="2453" spans="1:25" ht="12.75" customHeight="1">
      <c r="A2453" s="393"/>
      <c r="C2453" s="20"/>
      <c r="E2453" s="387"/>
      <c r="F2453" s="388">
        <f t="shared" si="647"/>
        <v>0</v>
      </c>
      <c r="H2453" s="341" t="str">
        <f>IF(A2453="","",VLOOKUP(A2453,VII.A!$A$10:$D$199,4,FALSE))</f>
        <v/>
      </c>
      <c r="I2453" s="341" t="str">
        <f t="shared" si="648"/>
        <v/>
      </c>
      <c r="J2453" s="341" t="str">
        <f>IF(A2453="","",VLOOKUP(A2453,VII.A!$A$10:$D$199,3,FALSE))</f>
        <v/>
      </c>
      <c r="K2453" s="342" t="str">
        <f t="shared" si="649"/>
        <v/>
      </c>
      <c r="L2453" s="380" t="str">
        <f>IF(C2453="","",G2411*C2453)</f>
        <v/>
      </c>
      <c r="M2453" s="381" t="str">
        <f>IF(A2453="","",VLOOKUP(A2453,VII.A!$A$10:$B$199,2,FALSE))</f>
        <v/>
      </c>
      <c r="N2453" s="342" t="str">
        <f t="shared" si="650"/>
        <v/>
      </c>
      <c r="R2453" s="341"/>
      <c r="S2453" s="341"/>
    </row>
    <row r="2454" spans="1:25" ht="12.75" customHeight="1">
      <c r="A2454" s="393"/>
      <c r="B2454" s="395" t="s">
        <v>226</v>
      </c>
      <c r="C2454" s="396"/>
      <c r="D2454" s="397"/>
      <c r="E2454" s="398"/>
      <c r="F2454" s="399">
        <f>SUM(F2447:F2453)</f>
        <v>0</v>
      </c>
      <c r="J2454" s="341"/>
      <c r="L2454" s="380"/>
      <c r="M2454" s="381"/>
      <c r="N2454" s="342"/>
      <c r="R2454" s="341"/>
      <c r="S2454" s="341"/>
    </row>
    <row r="2455" spans="1:25" ht="12.75" customHeight="1">
      <c r="A2455" s="393"/>
      <c r="B2455" s="400" t="s">
        <v>229</v>
      </c>
      <c r="C2455" s="2">
        <f>IX.A!$C$45</f>
        <v>0</v>
      </c>
      <c r="D2455" s="401"/>
      <c r="E2455" s="402"/>
      <c r="F2455" s="403">
        <f>ROUND(F2454*C2455,2)</f>
        <v>0</v>
      </c>
      <c r="J2455" s="341"/>
      <c r="L2455" s="380"/>
      <c r="M2455" s="381"/>
      <c r="N2455" s="342"/>
      <c r="R2455" s="341"/>
      <c r="S2455" s="341"/>
    </row>
    <row r="2456" spans="1:25" ht="12.75" customHeight="1">
      <c r="A2456" s="393"/>
      <c r="B2456" s="400" t="s">
        <v>53</v>
      </c>
      <c r="C2456" s="2">
        <f>$D$8</f>
        <v>0</v>
      </c>
      <c r="D2456" s="401"/>
      <c r="E2456" s="402"/>
      <c r="F2456" s="403">
        <f>ROUND(SUM(F2454:F2455)*C2456,2)</f>
        <v>0</v>
      </c>
      <c r="J2456" s="341"/>
      <c r="L2456" s="380"/>
      <c r="M2456" s="381"/>
      <c r="N2456" s="342"/>
      <c r="R2456" s="341"/>
      <c r="S2456" s="341"/>
    </row>
    <row r="2457" spans="1:25" ht="12.75" customHeight="1" thickBot="1">
      <c r="A2457" s="414"/>
      <c r="B2457" s="415" t="s">
        <v>230</v>
      </c>
      <c r="C2457" s="416"/>
      <c r="D2457" s="416"/>
      <c r="E2457" s="417"/>
      <c r="F2457" s="418">
        <f>SUM(F2454:F2456)</f>
        <v>0</v>
      </c>
      <c r="J2457" s="341"/>
      <c r="L2457" s="380"/>
      <c r="M2457" s="381"/>
      <c r="N2457" s="342"/>
      <c r="R2457" s="341"/>
      <c r="S2457" s="341"/>
    </row>
    <row r="2458" spans="1:25" ht="12.75" customHeight="1" thickBot="1">
      <c r="A2458" s="357"/>
      <c r="B2458" s="358"/>
      <c r="C2458" s="359"/>
      <c r="D2458" s="359"/>
      <c r="E2458" s="360"/>
      <c r="F2458" s="419"/>
      <c r="J2458" s="341"/>
      <c r="L2458" s="380"/>
      <c r="M2458" s="381"/>
      <c r="N2458" s="342"/>
      <c r="R2458" s="341"/>
      <c r="S2458" s="341"/>
    </row>
    <row r="2459" spans="1:25" ht="30" customHeight="1">
      <c r="A2459" s="370" t="str">
        <f>IV.A!A81</f>
        <v>3.5.2</v>
      </c>
      <c r="B2459" s="371" t="str">
        <f>IV.A!B81</f>
        <v xml:space="preserve">CALÇADAS E PISOS EM CONCRETO FCK=20 MPA, PREPARO MECÂNICO, ACABAMENTO CONVENCIONAL, INCLUSIVE PREPARO DE CAIXA </v>
      </c>
      <c r="C2459" s="871" t="s">
        <v>237</v>
      </c>
      <c r="D2459" s="872"/>
      <c r="E2459" s="372" t="str">
        <f>IV.A!$C$81</f>
        <v>M3</v>
      </c>
      <c r="F2459" s="11">
        <f>ROUND(F2479+F2493+F2505,2)</f>
        <v>0</v>
      </c>
      <c r="G2459" s="1">
        <f>VLOOKUP(A2459,IV.A!$A$16:$L$172,4,FALSE)</f>
        <v>500</v>
      </c>
      <c r="H2459" s="361">
        <f>SUM(F2461:F2476)+F2478</f>
        <v>0</v>
      </c>
      <c r="I2459" s="361">
        <f>SUM(F2481:F2490)+F2492</f>
        <v>0</v>
      </c>
      <c r="J2459" s="361">
        <f>SUM(F2495:F2501)+F2503+F2504</f>
        <v>0</v>
      </c>
      <c r="K2459" s="361">
        <f>SUM(H2459:J2459)</f>
        <v>0</v>
      </c>
      <c r="L2459" s="362" t="str">
        <f>IF(K2459=F2459,"SIM","NÃO")</f>
        <v>SIM</v>
      </c>
      <c r="M2459" s="373">
        <f>ROUND(SUM(F2461:F2476),2)+ROUND(SUM(F2461:F2476)*C2478,2)+ROUND(SUM(F2481:F2490)*C2492,2)+ROUND(SUM(F2481:F2490),2)+ROUND(SUM(F2495:F2501)*C2503,2)+ROUND((SUM(F2495:F2501)+ROUND(SUM(F2495:F2501)*C2503,2))*C2504,2)+ROUND(SUM(F2495:F2501),2)</f>
        <v>0</v>
      </c>
      <c r="N2459" s="343" t="str">
        <f>IF(M2459=F2459,"SIM","NÃO")</f>
        <v>SIM</v>
      </c>
      <c r="O2459" s="364" t="str">
        <f>VLOOKUP(A2459,IV.A!$A$16:$E$172,3,FALSE)</f>
        <v>M3</v>
      </c>
      <c r="P2459" s="344" t="str">
        <f>IF(O2459=E2459,"SIM","NÃO")</f>
        <v>SIM</v>
      </c>
      <c r="Q2459" s="365">
        <f>ROUND(G2459*F2479,2)+ROUND(G2459*F2493,2)+ROUND(G2459*F2505,2)</f>
        <v>0</v>
      </c>
      <c r="R2459" s="364">
        <f>VLOOKUP(A2459,IV.A!$A$16:$L$172,12,FALSE)</f>
        <v>0</v>
      </c>
      <c r="S2459" s="366" t="str">
        <f>IF(Q2459=R2459,"si","no")</f>
        <v>si</v>
      </c>
      <c r="T2459" s="367">
        <f>SUM(L2461:L2476)+SUM(L2481:L2490)+SUM(L2495:L2501)</f>
        <v>206541.69800000003</v>
      </c>
      <c r="U2459" s="341">
        <f>(SUM(C2461:C2476)+SUM(C2481:C2490)+SUM(C2495:C2501))*G2459</f>
        <v>206541.69800000003</v>
      </c>
      <c r="V2459" s="368" t="str">
        <f>IF(T2459=U2459,"si","no")</f>
        <v>si</v>
      </c>
      <c r="W2459" s="369">
        <f>SUM(F2461:F2476)</f>
        <v>0</v>
      </c>
      <c r="X2459" s="369">
        <f>SUM(F2481:F2490)</f>
        <v>0</v>
      </c>
      <c r="Y2459" s="369">
        <f>SUM(F2495:F2501)</f>
        <v>0</v>
      </c>
    </row>
    <row r="2460" spans="1:25" ht="12.75" customHeight="1">
      <c r="A2460" s="374" t="s">
        <v>14</v>
      </c>
      <c r="B2460" s="375" t="s">
        <v>132</v>
      </c>
      <c r="C2460" s="376" t="s">
        <v>231</v>
      </c>
      <c r="D2460" s="376" t="s">
        <v>232</v>
      </c>
      <c r="E2460" s="377" t="s">
        <v>233</v>
      </c>
      <c r="F2460" s="378" t="s">
        <v>234</v>
      </c>
      <c r="G2460" s="379"/>
      <c r="J2460" s="341"/>
      <c r="L2460" s="380"/>
      <c r="M2460" s="381"/>
      <c r="N2460" s="342"/>
      <c r="O2460" s="382"/>
      <c r="P2460" s="383"/>
      <c r="Q2460" s="383"/>
      <c r="R2460" s="383"/>
      <c r="S2460" s="383"/>
      <c r="T2460" s="382"/>
      <c r="U2460" s="341"/>
      <c r="V2460" s="384"/>
      <c r="W2460" s="384"/>
      <c r="X2460" s="384"/>
      <c r="Y2460" s="384"/>
    </row>
    <row r="2461" spans="1:25" ht="12.75" customHeight="1">
      <c r="A2461" s="385" t="str">
        <f>VII.A!$A$19</f>
        <v>1.10</v>
      </c>
      <c r="B2461" s="386" t="str">
        <f>VLOOKUP(A2461,VII.A!$A$10:$G$199,2,FALSE)</f>
        <v>AREIA MÉDIA LAVADA</v>
      </c>
      <c r="C2461" s="20">
        <f>1.213*0.785</f>
        <v>0.95220500000000008</v>
      </c>
      <c r="D2461" s="342" t="str">
        <f>VLOOKUP(A2461,VII.A!$A$10:$G$199,3,FALSE)</f>
        <v>M3</v>
      </c>
      <c r="E2461" s="387">
        <f>VII.A!$D$19</f>
        <v>0</v>
      </c>
      <c r="F2461" s="388">
        <f>ROUND(C2461*E2461,2)</f>
        <v>0</v>
      </c>
      <c r="H2461" s="341">
        <f>IF(A2461="","",VLOOKUP(A2461,VII.A!$A$10:$D$199,4,FALSE))</f>
        <v>0</v>
      </c>
      <c r="I2461" s="341" t="str">
        <f t="shared" ref="I2461:I2476" si="651">IF(A2461="","",IF(E2461=H2461,"SIM","NÃO"))</f>
        <v>SIM</v>
      </c>
      <c r="J2461" s="341" t="str">
        <f>IF(A2461="","",VLOOKUP(A2461,VII.A!$A$10:$D$199,3,FALSE))</f>
        <v>M3</v>
      </c>
      <c r="K2461" s="342" t="str">
        <f t="shared" ref="K2461:K2476" si="652">IF(A2461="","",IF(J2461=D2461,"SIM","NÃO"))</f>
        <v>SIM</v>
      </c>
      <c r="L2461" s="380">
        <f>IF(C2461="","",G2459*C2461)</f>
        <v>476.10250000000002</v>
      </c>
      <c r="M2461" s="381" t="str">
        <f>IF(A2461="","",VLOOKUP(A2461,VII.A!$A$10:$B$199,2,FALSE))</f>
        <v>AREIA MÉDIA LAVADA</v>
      </c>
      <c r="N2461" s="342" t="str">
        <f t="shared" ref="N2461:N2476" si="653">IF(B2461="","",IF(M2461=B2461,"si","no"))</f>
        <v>si</v>
      </c>
      <c r="R2461" s="341"/>
      <c r="S2461" s="341"/>
    </row>
    <row r="2462" spans="1:25" ht="12.75" customHeight="1">
      <c r="A2462" s="385" t="str">
        <f>VII.A!$A$38</f>
        <v>1.29</v>
      </c>
      <c r="B2462" s="386" t="str">
        <f>VLOOKUP(A2462,VII.A!$A$10:$G$199,2,FALSE)</f>
        <v>CIMENTO PORTLAND CP II-E-32</v>
      </c>
      <c r="C2462" s="20">
        <f>1.213*322.98</f>
        <v>391.77474000000007</v>
      </c>
      <c r="D2462" s="342" t="str">
        <f>VLOOKUP(A2462,VII.A!$A$10:$G$199,3,FALSE)</f>
        <v>KG</v>
      </c>
      <c r="E2462" s="387">
        <f>VII.A!$D$38</f>
        <v>0</v>
      </c>
      <c r="F2462" s="388">
        <f t="shared" ref="F2462:F2476" si="654">ROUND(C2462*E2462,2)</f>
        <v>0</v>
      </c>
      <c r="H2462" s="341">
        <f>IF(A2462="","",VLOOKUP(A2462,VII.A!$A$10:$D$199,4,FALSE))</f>
        <v>0</v>
      </c>
      <c r="I2462" s="341" t="str">
        <f t="shared" si="651"/>
        <v>SIM</v>
      </c>
      <c r="J2462" s="341" t="str">
        <f>IF(A2462="","",VLOOKUP(A2462,VII.A!$A$10:$D$199,3,FALSE))</f>
        <v>KG</v>
      </c>
      <c r="K2462" s="342" t="str">
        <f t="shared" si="652"/>
        <v>SIM</v>
      </c>
      <c r="L2462" s="380">
        <f>IF(C2462="","",G2459*C2462)</f>
        <v>195887.37000000002</v>
      </c>
      <c r="M2462" s="381" t="str">
        <f>IF(A2462="","",VLOOKUP(A2462,VII.A!$A$10:$B$199,2,FALSE))</f>
        <v>CIMENTO PORTLAND CP II-E-32</v>
      </c>
      <c r="N2462" s="342" t="str">
        <f t="shared" si="653"/>
        <v>si</v>
      </c>
      <c r="R2462" s="341"/>
      <c r="S2462" s="341"/>
    </row>
    <row r="2463" spans="1:25" ht="12.75" customHeight="1">
      <c r="A2463" s="385" t="str">
        <f>VII.A!$A$82</f>
        <v>1.73</v>
      </c>
      <c r="B2463" s="386" t="str">
        <f>VLOOKUP(A2463,VII.A!$A$10:$G$199,2,FALSE)</f>
        <v>PEDRA BRITADA Nº 1 GRANULOMETRIA ENTRE (9,5 E 25,00 MM)</v>
      </c>
      <c r="C2463" s="20">
        <f>1.213*0.587</f>
        <v>0.71203099999999997</v>
      </c>
      <c r="D2463" s="342" t="str">
        <f>VLOOKUP(A2463,VII.A!$A$10:$G$199,3,FALSE)</f>
        <v>M3</v>
      </c>
      <c r="E2463" s="387">
        <f>VII.A!$D$82</f>
        <v>0</v>
      </c>
      <c r="F2463" s="388">
        <f t="shared" si="654"/>
        <v>0</v>
      </c>
      <c r="H2463" s="341">
        <f>IF(A2463="","",VLOOKUP(A2463,VII.A!$A$10:$D$199,4,FALSE))</f>
        <v>0</v>
      </c>
      <c r="I2463" s="341" t="str">
        <f t="shared" si="651"/>
        <v>SIM</v>
      </c>
      <c r="J2463" s="341" t="str">
        <f>IF(A2463="","",VLOOKUP(A2463,VII.A!$A$10:$D$199,3,FALSE))</f>
        <v>M3</v>
      </c>
      <c r="K2463" s="342" t="str">
        <f t="shared" si="652"/>
        <v>SIM</v>
      </c>
      <c r="L2463" s="380">
        <f>IF(C2463="","",G2459*C2463)</f>
        <v>356.01549999999997</v>
      </c>
      <c r="M2463" s="381" t="str">
        <f>IF(A2463="","",VLOOKUP(A2463,VII.A!$A$10:$B$199,2,FALSE))</f>
        <v>PEDRA BRITADA Nº 1 GRANULOMETRIA ENTRE (9,5 E 25,00 MM)</v>
      </c>
      <c r="N2463" s="342" t="str">
        <f t="shared" si="653"/>
        <v>si</v>
      </c>
      <c r="R2463" s="341"/>
      <c r="S2463" s="341"/>
    </row>
    <row r="2464" spans="1:25" ht="12.75" customHeight="1">
      <c r="A2464" s="385" t="str">
        <f>VII.A!$A$80</f>
        <v>1.71</v>
      </c>
      <c r="B2464" s="386" t="str">
        <f>VLOOKUP(A2464,VII.A!$A$10:$G$199,2,FALSE)</f>
        <v>RIPA DE MADEIRA NAO APARELHADA - 1,5 X 5 CM (P/FORMA)</v>
      </c>
      <c r="C2464" s="20">
        <v>2</v>
      </c>
      <c r="D2464" s="342" t="str">
        <f>VLOOKUP(A2464,VII.A!$A$10:$G$199,3,FALSE)</f>
        <v>M</v>
      </c>
      <c r="E2464" s="387">
        <f>VII.A!$D$80</f>
        <v>0</v>
      </c>
      <c r="F2464" s="388">
        <f t="shared" si="654"/>
        <v>0</v>
      </c>
      <c r="H2464" s="341">
        <f>IF(A2464="","",VLOOKUP(A2464,VII.A!$A$10:$D$199,4,FALSE))</f>
        <v>0</v>
      </c>
      <c r="I2464" s="341" t="str">
        <f t="shared" si="651"/>
        <v>SIM</v>
      </c>
      <c r="J2464" s="341" t="str">
        <f>IF(A2464="","",VLOOKUP(A2464,VII.A!$A$10:$D$199,3,FALSE))</f>
        <v>M</v>
      </c>
      <c r="K2464" s="342" t="str">
        <f t="shared" si="652"/>
        <v>SIM</v>
      </c>
      <c r="L2464" s="380">
        <f>IF(C2464="","",G2459*C2464)</f>
        <v>1000</v>
      </c>
      <c r="M2464" s="381" t="str">
        <f>IF(A2464="","",VLOOKUP(A2464,VII.A!$A$10:$B$199,2,FALSE))</f>
        <v>RIPA DE MADEIRA NAO APARELHADA - 1,5 X 5 CM (P/FORMA)</v>
      </c>
      <c r="N2464" s="342" t="str">
        <f t="shared" si="653"/>
        <v>si</v>
      </c>
      <c r="R2464" s="341"/>
      <c r="S2464" s="341"/>
    </row>
    <row r="2465" spans="1:21" ht="12.75" customHeight="1">
      <c r="A2465" s="385" t="str">
        <f>VII.A!$A$84</f>
        <v>1.74</v>
      </c>
      <c r="B2465" s="386" t="str">
        <f>VLOOKUP(A2465,VII.A!$A$10:$G$199,2,FALSE)</f>
        <v>PEDRA BRITADA Nº 2 GRANULOMETRIA ENTRE (21,0 E 32,0 MM)</v>
      </c>
      <c r="C2465" s="20">
        <f>(1.13/0.05)*0.03</f>
        <v>0.67799999999999994</v>
      </c>
      <c r="D2465" s="342" t="str">
        <f>VLOOKUP(A2465,VII.A!$A$10:$G$199,3,FALSE)</f>
        <v>M3</v>
      </c>
      <c r="E2465" s="387">
        <f>VII.A!$D$84</f>
        <v>0</v>
      </c>
      <c r="F2465" s="388">
        <f t="shared" si="654"/>
        <v>0</v>
      </c>
      <c r="H2465" s="341">
        <f>IF(A2465="","",VLOOKUP(A2465,VII.A!$A$10:$D$199,4,FALSE))</f>
        <v>0</v>
      </c>
      <c r="I2465" s="341" t="str">
        <f t="shared" si="651"/>
        <v>SIM</v>
      </c>
      <c r="J2465" s="341" t="str">
        <f>IF(A2465="","",VLOOKUP(A2465,VII.A!$A$10:$D$199,3,FALSE))</f>
        <v>M3</v>
      </c>
      <c r="K2465" s="342" t="str">
        <f t="shared" si="652"/>
        <v>SIM</v>
      </c>
      <c r="L2465" s="380">
        <f>IF(C2465="","",G2459*C2465)</f>
        <v>338.99999999999994</v>
      </c>
      <c r="M2465" s="381" t="str">
        <f>IF(A2465="","",VLOOKUP(A2465,VII.A!$A$10:$B$199,2,FALSE))</f>
        <v>PEDRA BRITADA Nº 2 GRANULOMETRIA ENTRE (21,0 E 32,0 MM)</v>
      </c>
      <c r="N2465" s="342" t="str">
        <f t="shared" si="653"/>
        <v>si</v>
      </c>
      <c r="R2465" s="341"/>
      <c r="S2465" s="341"/>
    </row>
    <row r="2466" spans="1:21" ht="12.75" customHeight="1">
      <c r="A2466" s="385" t="str">
        <f>VII.A!$A$97</f>
        <v>1.87</v>
      </c>
      <c r="B2466" s="386" t="str">
        <f>VLOOKUP(A2466,VII.A!$A$10:$G$199,2,FALSE)</f>
        <v xml:space="preserve">SARRAFO 3A. CONSTRUÇÃO (SEÇÃO TRANSVERSAL: 1X4" - 2,5CM X 10,0CM) </v>
      </c>
      <c r="C2466" s="20">
        <v>2.5</v>
      </c>
      <c r="D2466" s="342" t="str">
        <f>VLOOKUP(A2466,VII.A!$A$10:$G$199,3,FALSE)</f>
        <v>M</v>
      </c>
      <c r="E2466" s="387">
        <f>VII.A!D97</f>
        <v>0</v>
      </c>
      <c r="F2466" s="388">
        <f t="shared" si="654"/>
        <v>0</v>
      </c>
      <c r="H2466" s="341">
        <f>IF(A2466="","",VLOOKUP(A2466,VII.A!$A$10:$D$199,4,FALSE))</f>
        <v>0</v>
      </c>
      <c r="I2466" s="341" t="str">
        <f t="shared" si="651"/>
        <v>SIM</v>
      </c>
      <c r="J2466" s="341" t="str">
        <f>IF(A2466="","",VLOOKUP(A2466,VII.A!$A$10:$D$199,3,FALSE))</f>
        <v>M</v>
      </c>
      <c r="K2466" s="342" t="str">
        <f t="shared" si="652"/>
        <v>SIM</v>
      </c>
      <c r="L2466" s="380">
        <f>IF(C2466="","",G2459*C2466)</f>
        <v>1250</v>
      </c>
      <c r="M2466" s="381" t="str">
        <f>IF(A2466="","",VLOOKUP(A2466,VII.A!$A$10:$B$199,2,FALSE))</f>
        <v xml:space="preserve">SARRAFO 3A. CONSTRUÇÃO (SEÇÃO TRANSVERSAL: 1X4" - 2,5CM X 10,0CM) </v>
      </c>
      <c r="N2466" s="342" t="str">
        <f t="shared" si="653"/>
        <v>si</v>
      </c>
      <c r="R2466" s="341"/>
      <c r="S2466" s="341"/>
      <c r="U2466" s="389"/>
    </row>
    <row r="2467" spans="1:21" ht="12.75" customHeight="1">
      <c r="A2467" s="385"/>
      <c r="B2467" s="386"/>
      <c r="C2467" s="20"/>
      <c r="D2467" s="342"/>
      <c r="E2467" s="387"/>
      <c r="F2467" s="388">
        <f t="shared" si="654"/>
        <v>0</v>
      </c>
      <c r="H2467" s="341" t="str">
        <f>IF(A2467="","",VLOOKUP(A2467,VII.A!$A$10:$D$199,4,FALSE))</f>
        <v/>
      </c>
      <c r="I2467" s="341" t="str">
        <f t="shared" si="651"/>
        <v/>
      </c>
      <c r="J2467" s="341" t="str">
        <f>IF(A2467="","",VLOOKUP(A2467,VII.A!$A$10:$D$199,3,FALSE))</f>
        <v/>
      </c>
      <c r="K2467" s="342" t="str">
        <f t="shared" si="652"/>
        <v/>
      </c>
      <c r="L2467" s="380" t="str">
        <f>IF(C2467="","",G2459*C2467)</f>
        <v/>
      </c>
      <c r="M2467" s="381" t="str">
        <f>IF(A2467="","",VLOOKUP(A2467,VII.A!$A$10:$B$199,2,FALSE))</f>
        <v/>
      </c>
      <c r="N2467" s="342" t="str">
        <f t="shared" si="653"/>
        <v/>
      </c>
      <c r="R2467" s="341"/>
      <c r="S2467" s="341"/>
    </row>
    <row r="2468" spans="1:21" ht="12.75" customHeight="1">
      <c r="A2468" s="385"/>
      <c r="B2468" s="386"/>
      <c r="C2468" s="20"/>
      <c r="D2468" s="342"/>
      <c r="E2468" s="387"/>
      <c r="F2468" s="388">
        <f t="shared" si="654"/>
        <v>0</v>
      </c>
      <c r="G2468" s="390"/>
      <c r="H2468" s="341" t="str">
        <f>IF(A2468="","",VLOOKUP(A2468,VII.A!$A$10:$D$199,4,FALSE))</f>
        <v/>
      </c>
      <c r="I2468" s="341" t="str">
        <f t="shared" si="651"/>
        <v/>
      </c>
      <c r="J2468" s="341" t="str">
        <f>IF(A2468="","",VLOOKUP(A2468,VII.A!$A$10:$D$199,3,FALSE))</f>
        <v/>
      </c>
      <c r="K2468" s="342" t="str">
        <f t="shared" si="652"/>
        <v/>
      </c>
      <c r="L2468" s="380" t="str">
        <f>IF(C2468="","",G2459*C2468)</f>
        <v/>
      </c>
      <c r="M2468" s="381" t="str">
        <f>IF(A2468="","",VLOOKUP(A2468,VII.A!$A$10:$B$199,2,FALSE))</f>
        <v/>
      </c>
      <c r="N2468" s="342" t="str">
        <f t="shared" si="653"/>
        <v/>
      </c>
      <c r="R2468" s="341"/>
      <c r="S2468" s="341"/>
    </row>
    <row r="2469" spans="1:21" ht="12.75" customHeight="1">
      <c r="A2469" s="385"/>
      <c r="B2469" s="386"/>
      <c r="C2469" s="20"/>
      <c r="D2469" s="342"/>
      <c r="E2469" s="387"/>
      <c r="F2469" s="388">
        <f t="shared" si="654"/>
        <v>0</v>
      </c>
      <c r="G2469" s="390"/>
      <c r="H2469" s="341" t="str">
        <f>IF(A2469="","",VLOOKUP(A2469,VII.A!$A$10:$D$199,4,FALSE))</f>
        <v/>
      </c>
      <c r="I2469" s="341" t="str">
        <f t="shared" si="651"/>
        <v/>
      </c>
      <c r="J2469" s="341" t="str">
        <f>IF(A2469="","",VLOOKUP(A2469,VII.A!$A$10:$D$199,3,FALSE))</f>
        <v/>
      </c>
      <c r="K2469" s="342" t="str">
        <f t="shared" si="652"/>
        <v/>
      </c>
      <c r="L2469" s="380" t="str">
        <f>IF(C2469="","",G2459*C2469)</f>
        <v/>
      </c>
      <c r="M2469" s="381" t="str">
        <f>IF(A2469="","",VLOOKUP(A2469,VII.A!$A$10:$B$199,2,FALSE))</f>
        <v/>
      </c>
      <c r="N2469" s="342" t="str">
        <f t="shared" si="653"/>
        <v/>
      </c>
      <c r="R2469" s="341"/>
      <c r="S2469" s="341"/>
    </row>
    <row r="2470" spans="1:21" ht="12.75" customHeight="1">
      <c r="A2470" s="385"/>
      <c r="B2470" s="386"/>
      <c r="C2470" s="20"/>
      <c r="D2470" s="342"/>
      <c r="E2470" s="387"/>
      <c r="F2470" s="388">
        <f t="shared" si="654"/>
        <v>0</v>
      </c>
      <c r="G2470" s="391"/>
      <c r="H2470" s="341" t="str">
        <f>IF(A2470="","",VLOOKUP(A2470,VII.A!$A$10:$D$199,4,FALSE))</f>
        <v/>
      </c>
      <c r="I2470" s="341" t="str">
        <f t="shared" si="651"/>
        <v/>
      </c>
      <c r="J2470" s="341" t="str">
        <f>IF(A2470="","",VLOOKUP(A2470,VII.A!$A$10:$D$199,3,FALSE))</f>
        <v/>
      </c>
      <c r="K2470" s="342" t="str">
        <f t="shared" si="652"/>
        <v/>
      </c>
      <c r="L2470" s="380" t="str">
        <f>IF(C2470="","",G2459*C2470)</f>
        <v/>
      </c>
      <c r="M2470" s="381" t="str">
        <f>IF(A2470="","",VLOOKUP(A2470,VII.A!$A$10:$B$199,2,FALSE))</f>
        <v/>
      </c>
      <c r="N2470" s="342" t="str">
        <f t="shared" si="653"/>
        <v/>
      </c>
      <c r="R2470" s="341"/>
      <c r="S2470" s="341"/>
    </row>
    <row r="2471" spans="1:21" ht="12.75" customHeight="1">
      <c r="A2471" s="385"/>
      <c r="B2471" s="386"/>
      <c r="C2471" s="20"/>
      <c r="D2471" s="342"/>
      <c r="E2471" s="387"/>
      <c r="F2471" s="388">
        <f t="shared" si="654"/>
        <v>0</v>
      </c>
      <c r="H2471" s="341" t="str">
        <f>IF(A2471="","",VLOOKUP(A2471,VII.A!$A$10:$D$199,4,FALSE))</f>
        <v/>
      </c>
      <c r="I2471" s="341" t="str">
        <f t="shared" si="651"/>
        <v/>
      </c>
      <c r="J2471" s="341" t="str">
        <f>IF(A2471="","",VLOOKUP(A2471,VII.A!$A$10:$D$199,3,FALSE))</f>
        <v/>
      </c>
      <c r="K2471" s="342" t="str">
        <f t="shared" si="652"/>
        <v/>
      </c>
      <c r="L2471" s="380" t="str">
        <f>IF(C2471="","",G2459*C2471)</f>
        <v/>
      </c>
      <c r="M2471" s="381" t="str">
        <f>IF(A2471="","",VLOOKUP(A2471,VII.A!$A$10:$B$199,2,FALSE))</f>
        <v/>
      </c>
      <c r="N2471" s="342" t="str">
        <f t="shared" si="653"/>
        <v/>
      </c>
      <c r="R2471" s="341"/>
      <c r="S2471" s="341"/>
    </row>
    <row r="2472" spans="1:21" ht="12.75" customHeight="1">
      <c r="A2472" s="385"/>
      <c r="B2472" s="386"/>
      <c r="C2472" s="20"/>
      <c r="D2472" s="392"/>
      <c r="E2472" s="387"/>
      <c r="F2472" s="388">
        <f t="shared" si="654"/>
        <v>0</v>
      </c>
      <c r="H2472" s="341" t="str">
        <f>IF(A2472="","",VLOOKUP(A2472,VII.A!$A$10:$D$199,4,FALSE))</f>
        <v/>
      </c>
      <c r="I2472" s="341" t="str">
        <f t="shared" si="651"/>
        <v/>
      </c>
      <c r="J2472" s="341" t="str">
        <f>IF(A2472="","",VLOOKUP(A2472,VII.A!$A$10:$D$199,3,FALSE))</f>
        <v/>
      </c>
      <c r="K2472" s="342" t="str">
        <f t="shared" si="652"/>
        <v/>
      </c>
      <c r="L2472" s="380" t="str">
        <f>IF(C2472="","",G2459*C2472)</f>
        <v/>
      </c>
      <c r="M2472" s="381" t="str">
        <f>IF(A2472="","",VLOOKUP(A2472,VII.A!$A$10:$B$199,2,FALSE))</f>
        <v/>
      </c>
      <c r="N2472" s="342" t="str">
        <f t="shared" si="653"/>
        <v/>
      </c>
      <c r="R2472" s="341"/>
      <c r="S2472" s="341"/>
    </row>
    <row r="2473" spans="1:21" ht="12.75" customHeight="1">
      <c r="A2473" s="385"/>
      <c r="B2473" s="386"/>
      <c r="C2473" s="20"/>
      <c r="D2473" s="392"/>
      <c r="E2473" s="387"/>
      <c r="F2473" s="388">
        <f t="shared" si="654"/>
        <v>0</v>
      </c>
      <c r="H2473" s="341" t="str">
        <f>IF(A2473="","",VLOOKUP(A2473,VII.A!$A$10:$D$199,4,FALSE))</f>
        <v/>
      </c>
      <c r="I2473" s="341" t="str">
        <f t="shared" si="651"/>
        <v/>
      </c>
      <c r="J2473" s="341" t="str">
        <f>IF(A2473="","",VLOOKUP(A2473,VII.A!$A$10:$D$199,3,FALSE))</f>
        <v/>
      </c>
      <c r="K2473" s="342" t="str">
        <f t="shared" si="652"/>
        <v/>
      </c>
      <c r="L2473" s="380" t="str">
        <f>IF(C2473="","",G2459*C2473)</f>
        <v/>
      </c>
      <c r="M2473" s="381" t="str">
        <f>IF(A2473="","",VLOOKUP(A2473,VII.A!$A$10:$B$199,2,FALSE))</f>
        <v/>
      </c>
      <c r="N2473" s="342" t="str">
        <f t="shared" si="653"/>
        <v/>
      </c>
      <c r="O2473" s="342"/>
      <c r="R2473" s="341"/>
      <c r="S2473" s="341"/>
    </row>
    <row r="2474" spans="1:21" ht="12.75" customHeight="1">
      <c r="A2474" s="385"/>
      <c r="B2474" s="386"/>
      <c r="C2474" s="20"/>
      <c r="D2474" s="392"/>
      <c r="E2474" s="387"/>
      <c r="F2474" s="388">
        <f t="shared" si="654"/>
        <v>0</v>
      </c>
      <c r="H2474" s="341" t="str">
        <f>IF(A2474="","",VLOOKUP(A2474,VII.A!$A$10:$D$199,4,FALSE))</f>
        <v/>
      </c>
      <c r="I2474" s="341" t="str">
        <f t="shared" si="651"/>
        <v/>
      </c>
      <c r="J2474" s="341" t="str">
        <f>IF(A2474="","",VLOOKUP(A2474,VII.A!$A$10:$D$199,3,FALSE))</f>
        <v/>
      </c>
      <c r="K2474" s="342" t="str">
        <f t="shared" si="652"/>
        <v/>
      </c>
      <c r="L2474" s="380" t="str">
        <f>IF(C2474="","",G2459*C2474)</f>
        <v/>
      </c>
      <c r="M2474" s="381" t="str">
        <f>IF(A2474="","",VLOOKUP(A2474,VII.A!$A$10:$B$199,2,FALSE))</f>
        <v/>
      </c>
      <c r="N2474" s="342" t="str">
        <f t="shared" si="653"/>
        <v/>
      </c>
      <c r="R2474" s="341"/>
      <c r="S2474" s="341"/>
    </row>
    <row r="2475" spans="1:21" ht="12.75" customHeight="1">
      <c r="A2475" s="393"/>
      <c r="C2475" s="20"/>
      <c r="E2475" s="387"/>
      <c r="F2475" s="388">
        <f t="shared" si="654"/>
        <v>0</v>
      </c>
      <c r="H2475" s="341" t="str">
        <f>IF(A2475="","",VLOOKUP(A2475,VII.A!$A$10:$D$199,4,FALSE))</f>
        <v/>
      </c>
      <c r="I2475" s="341" t="str">
        <f t="shared" si="651"/>
        <v/>
      </c>
      <c r="J2475" s="341" t="str">
        <f>IF(A2475="","",VLOOKUP(A2475,VII.A!$A$10:$D$199,3,FALSE))</f>
        <v/>
      </c>
      <c r="K2475" s="342" t="str">
        <f t="shared" si="652"/>
        <v/>
      </c>
      <c r="L2475" s="380" t="str">
        <f>IF(C2475="","",G2459*C2475)</f>
        <v/>
      </c>
      <c r="M2475" s="381" t="str">
        <f>IF(A2475="","",VLOOKUP(A2475,VII.A!$A$10:$B$199,2,FALSE))</f>
        <v/>
      </c>
      <c r="N2475" s="342" t="str">
        <f t="shared" si="653"/>
        <v/>
      </c>
      <c r="R2475" s="341"/>
      <c r="S2475" s="341"/>
    </row>
    <row r="2476" spans="1:21" ht="12.75" customHeight="1">
      <c r="A2476" s="393"/>
      <c r="C2476" s="20"/>
      <c r="E2476" s="387"/>
      <c r="F2476" s="388">
        <f t="shared" si="654"/>
        <v>0</v>
      </c>
      <c r="H2476" s="341" t="str">
        <f>IF(A2476="","",VLOOKUP(A2476,VII.A!$A$10:$D$199,4,FALSE))</f>
        <v/>
      </c>
      <c r="I2476" s="341" t="str">
        <f t="shared" si="651"/>
        <v/>
      </c>
      <c r="J2476" s="341" t="str">
        <f>IF(A2476="","",VLOOKUP(A2476,VII.A!$A$10:$D$199,3,FALSE))</f>
        <v/>
      </c>
      <c r="K2476" s="342" t="str">
        <f t="shared" si="652"/>
        <v/>
      </c>
      <c r="L2476" s="380" t="str">
        <f>IF(C2476="","",G2459*C2476)</f>
        <v/>
      </c>
      <c r="M2476" s="381" t="str">
        <f>IF(A2476="","",VLOOKUP(A2476,VII.A!$A$10:$B$199,2,FALSE))</f>
        <v/>
      </c>
      <c r="N2476" s="342" t="str">
        <f t="shared" si="653"/>
        <v/>
      </c>
      <c r="R2476" s="341"/>
      <c r="S2476" s="341"/>
    </row>
    <row r="2477" spans="1:21" ht="12.75" customHeight="1">
      <c r="A2477" s="393"/>
      <c r="B2477" s="395" t="s">
        <v>226</v>
      </c>
      <c r="C2477" s="396"/>
      <c r="D2477" s="397"/>
      <c r="E2477" s="398"/>
      <c r="F2477" s="399">
        <f>SUM(F2461:F2476)</f>
        <v>0</v>
      </c>
      <c r="H2477" s="426" t="s">
        <v>480</v>
      </c>
      <c r="J2477" s="341"/>
      <c r="L2477" s="380"/>
      <c r="M2477" s="381"/>
      <c r="N2477" s="342"/>
      <c r="R2477" s="341"/>
      <c r="S2477" s="341"/>
    </row>
    <row r="2478" spans="1:21" ht="12.75" customHeight="1">
      <c r="A2478" s="393"/>
      <c r="B2478" s="400" t="s">
        <v>53</v>
      </c>
      <c r="C2478" s="2">
        <f>$D$8</f>
        <v>0</v>
      </c>
      <c r="D2478" s="401"/>
      <c r="E2478" s="402"/>
      <c r="F2478" s="403">
        <f>ROUND(F2477*C2478,2)</f>
        <v>0</v>
      </c>
      <c r="H2478" s="426" t="s">
        <v>481</v>
      </c>
      <c r="J2478" s="341"/>
      <c r="L2478" s="380"/>
      <c r="M2478" s="381"/>
      <c r="N2478" s="342"/>
      <c r="R2478" s="341"/>
      <c r="S2478" s="341"/>
    </row>
    <row r="2479" spans="1:21" ht="12.75" customHeight="1">
      <c r="A2479" s="404"/>
      <c r="B2479" s="405" t="s">
        <v>227</v>
      </c>
      <c r="C2479" s="406"/>
      <c r="D2479" s="406"/>
      <c r="E2479" s="407"/>
      <c r="F2479" s="408">
        <f>F2477+F2478</f>
        <v>0</v>
      </c>
      <c r="J2479" s="341"/>
      <c r="L2479" s="380"/>
      <c r="M2479" s="381"/>
      <c r="N2479" s="342"/>
      <c r="R2479" s="341"/>
      <c r="S2479" s="341"/>
    </row>
    <row r="2480" spans="1:21" ht="12.75" customHeight="1">
      <c r="A2480" s="374" t="s">
        <v>2</v>
      </c>
      <c r="B2480" s="375" t="s">
        <v>235</v>
      </c>
      <c r="C2480" s="376" t="s">
        <v>231</v>
      </c>
      <c r="D2480" s="376" t="s">
        <v>232</v>
      </c>
      <c r="E2480" s="377" t="s">
        <v>233</v>
      </c>
      <c r="F2480" s="378" t="s">
        <v>234</v>
      </c>
      <c r="J2480" s="341"/>
      <c r="L2480" s="380"/>
      <c r="M2480" s="381"/>
      <c r="N2480" s="342"/>
      <c r="R2480" s="341"/>
      <c r="S2480" s="341"/>
    </row>
    <row r="2481" spans="1:19" ht="12.75" customHeight="1">
      <c r="A2481" s="393" t="str">
        <f>VII.A!$A$149</f>
        <v>2.7</v>
      </c>
      <c r="B2481" s="423" t="str">
        <f>VLOOKUP(A2481,VII.A!$A$10:$G$199,2,FALSE)</f>
        <v>BETONEIRA, CAPACIDADE NOMINAL DE 400L, MOTOR ELÉTRICO TRIFÁSICO DE  2CV - CHP</v>
      </c>
      <c r="C2481" s="20">
        <f>1.213*0.83</f>
        <v>1.0067900000000001</v>
      </c>
      <c r="D2481" s="384" t="str">
        <f>VLOOKUP(A2481,VII.A!$A$10:$G$199,3,FALSE)</f>
        <v>CHP</v>
      </c>
      <c r="E2481" s="387">
        <f>VII.A!$D$149</f>
        <v>0</v>
      </c>
      <c r="F2481" s="388">
        <f t="shared" ref="F2481:F2490" si="655">ROUND(C2481*E2481,2)</f>
        <v>0</v>
      </c>
      <c r="H2481" s="341">
        <f>IF(A2481="","",VLOOKUP(A2481,VII.A!$A$10:$D$199,4,FALSE))</f>
        <v>0</v>
      </c>
      <c r="I2481" s="341" t="str">
        <f t="shared" ref="I2481:I2490" si="656">IF(A2481="","",IF(E2481=H2481,"SIM","NÃO"))</f>
        <v>SIM</v>
      </c>
      <c r="J2481" s="341" t="str">
        <f>IF(A2481="","",VLOOKUP(A2481,VII.A!$A$10:$D$199,3,FALSE))</f>
        <v>CHP</v>
      </c>
      <c r="K2481" s="342" t="str">
        <f t="shared" ref="K2481:K2490" si="657">IF(A2481="","",IF(J2481=D2481,"SIM","NÃO"))</f>
        <v>SIM</v>
      </c>
      <c r="L2481" s="380">
        <f>IF(C2481="","",G2459*C2481)</f>
        <v>503.39500000000004</v>
      </c>
      <c r="M2481" s="381" t="str">
        <f>IF(A2481="","",VLOOKUP(A2481,VII.A!$A$10:$B$199,2,FALSE))</f>
        <v>BETONEIRA, CAPACIDADE NOMINAL DE 400L, MOTOR ELÉTRICO TRIFÁSICO DE  2CV - CHP</v>
      </c>
      <c r="N2481" s="342" t="str">
        <f t="shared" ref="N2481:N2490" si="658">IF(B2481="","",IF(M2481=B2481,"si","no"))</f>
        <v>si</v>
      </c>
      <c r="R2481" s="341"/>
      <c r="S2481" s="341"/>
    </row>
    <row r="2482" spans="1:19" ht="12.75" customHeight="1">
      <c r="A2482" s="393" t="str">
        <f>VII.A!$A$148</f>
        <v>2.6</v>
      </c>
      <c r="B2482" s="394" t="str">
        <f>VLOOKUP(A2482,VII.A!$A$10:$G$199,2,FALSE)</f>
        <v>BETONEIRA, CAPACIDADE NOMINAL DE 400L, MOTOR ELÉTRICO TRIFÁSICO DE  2CV - CHI</v>
      </c>
      <c r="C2482" s="20">
        <f>1.213*0.78</f>
        <v>0.94614000000000009</v>
      </c>
      <c r="D2482" s="384" t="str">
        <f>VLOOKUP(A2482,VII.A!$A$10:$G$199,3,FALSE)</f>
        <v>CHI</v>
      </c>
      <c r="E2482" s="387">
        <f>VII.A!$D$148</f>
        <v>0</v>
      </c>
      <c r="F2482" s="388">
        <f t="shared" si="655"/>
        <v>0</v>
      </c>
      <c r="H2482" s="341">
        <f>IF(A2482="","",VLOOKUP(A2482,VII.A!$A$10:$D$199,4,FALSE))</f>
        <v>0</v>
      </c>
      <c r="I2482" s="341" t="str">
        <f t="shared" si="656"/>
        <v>SIM</v>
      </c>
      <c r="J2482" s="341" t="str">
        <f>IF(A2482="","",VLOOKUP(A2482,VII.A!$A$10:$D$199,3,FALSE))</f>
        <v>CHI</v>
      </c>
      <c r="K2482" s="342" t="str">
        <f t="shared" si="657"/>
        <v>SIM</v>
      </c>
      <c r="L2482" s="380">
        <f>IF(C2482="","",G2459*C2482)</f>
        <v>473.07000000000005</v>
      </c>
      <c r="M2482" s="381" t="str">
        <f>IF(A2482="","",VLOOKUP(A2482,VII.A!$A$10:$B$199,2,FALSE))</f>
        <v>BETONEIRA, CAPACIDADE NOMINAL DE 400L, MOTOR ELÉTRICO TRIFÁSICO DE  2CV - CHI</v>
      </c>
      <c r="N2482" s="342" t="str">
        <f t="shared" si="658"/>
        <v>si</v>
      </c>
      <c r="R2482" s="341"/>
      <c r="S2482" s="341"/>
    </row>
    <row r="2483" spans="1:19" ht="12.75" customHeight="1">
      <c r="A2483" s="393"/>
      <c r="C2483" s="20"/>
      <c r="E2483" s="387"/>
      <c r="F2483" s="388">
        <f t="shared" si="655"/>
        <v>0</v>
      </c>
      <c r="H2483" s="341" t="str">
        <f>IF(A2483="","",VLOOKUP(A2483,VII.A!$A$10:$D$199,4,FALSE))</f>
        <v/>
      </c>
      <c r="I2483" s="341" t="str">
        <f t="shared" si="656"/>
        <v/>
      </c>
      <c r="J2483" s="341" t="str">
        <f>IF(A2483="","",VLOOKUP(A2483,VII.A!$A$10:$D$199,3,FALSE))</f>
        <v/>
      </c>
      <c r="K2483" s="342" t="str">
        <f t="shared" si="657"/>
        <v/>
      </c>
      <c r="L2483" s="380" t="str">
        <f>IF(C2483="","",G2459*C2483)</f>
        <v/>
      </c>
      <c r="M2483" s="381" t="str">
        <f>IF(A2483="","",VLOOKUP(A2483,VII.A!$A$10:$B$199,2,FALSE))</f>
        <v/>
      </c>
      <c r="N2483" s="342" t="str">
        <f t="shared" si="658"/>
        <v/>
      </c>
      <c r="R2483" s="341"/>
      <c r="S2483" s="341"/>
    </row>
    <row r="2484" spans="1:19" ht="12.75" customHeight="1">
      <c r="A2484" s="393"/>
      <c r="C2484" s="20"/>
      <c r="E2484" s="387"/>
      <c r="F2484" s="388">
        <f t="shared" si="655"/>
        <v>0</v>
      </c>
      <c r="H2484" s="341" t="str">
        <f>IF(A2484="","",VLOOKUP(A2484,VII.A!$A$10:$D$199,4,FALSE))</f>
        <v/>
      </c>
      <c r="I2484" s="341" t="str">
        <f t="shared" si="656"/>
        <v/>
      </c>
      <c r="J2484" s="341" t="str">
        <f>IF(A2484="","",VLOOKUP(A2484,VII.A!$A$10:$D$199,3,FALSE))</f>
        <v/>
      </c>
      <c r="K2484" s="342" t="str">
        <f t="shared" si="657"/>
        <v/>
      </c>
      <c r="L2484" s="380" t="str">
        <f>IF(C2484="","",G2459*C2484)</f>
        <v/>
      </c>
      <c r="M2484" s="381" t="str">
        <f>IF(A2484="","",VLOOKUP(A2484,VII.A!$A$10:$B$199,2,FALSE))</f>
        <v/>
      </c>
      <c r="N2484" s="342" t="str">
        <f t="shared" si="658"/>
        <v/>
      </c>
      <c r="R2484" s="341"/>
      <c r="S2484" s="341"/>
    </row>
    <row r="2485" spans="1:19" ht="12.75" customHeight="1">
      <c r="A2485" s="393"/>
      <c r="C2485" s="20"/>
      <c r="E2485" s="387"/>
      <c r="F2485" s="388">
        <f t="shared" si="655"/>
        <v>0</v>
      </c>
      <c r="G2485" s="390"/>
      <c r="H2485" s="341" t="str">
        <f>IF(A2485="","",VLOOKUP(A2485,VII.A!$A$10:$D$199,4,FALSE))</f>
        <v/>
      </c>
      <c r="I2485" s="341" t="str">
        <f t="shared" si="656"/>
        <v/>
      </c>
      <c r="J2485" s="341" t="str">
        <f>IF(A2485="","",VLOOKUP(A2485,VII.A!$A$10:$D$199,3,FALSE))</f>
        <v/>
      </c>
      <c r="K2485" s="342" t="str">
        <f t="shared" si="657"/>
        <v/>
      </c>
      <c r="L2485" s="380" t="str">
        <f>IF(C2485="","",G2459*C2485)</f>
        <v/>
      </c>
      <c r="M2485" s="381" t="str">
        <f>IF(A2485="","",VLOOKUP(A2485,VII.A!$A$10:$B$199,2,FALSE))</f>
        <v/>
      </c>
      <c r="N2485" s="342" t="str">
        <f t="shared" si="658"/>
        <v/>
      </c>
      <c r="R2485" s="341"/>
      <c r="S2485" s="341"/>
    </row>
    <row r="2486" spans="1:19" ht="12.75" customHeight="1">
      <c r="A2486" s="393"/>
      <c r="C2486" s="20"/>
      <c r="E2486" s="387"/>
      <c r="F2486" s="388">
        <f t="shared" si="655"/>
        <v>0</v>
      </c>
      <c r="G2486" s="391"/>
      <c r="H2486" s="341" t="str">
        <f>IF(A2486="","",VLOOKUP(A2486,VII.A!$A$10:$D$199,4,FALSE))</f>
        <v/>
      </c>
      <c r="I2486" s="341" t="str">
        <f t="shared" si="656"/>
        <v/>
      </c>
      <c r="J2486" s="341" t="str">
        <f>IF(A2486="","",VLOOKUP(A2486,VII.A!$A$10:$D$199,3,FALSE))</f>
        <v/>
      </c>
      <c r="K2486" s="342" t="str">
        <f t="shared" si="657"/>
        <v/>
      </c>
      <c r="L2486" s="380" t="str">
        <f>IF(C2486="","",G2459*C2486)</f>
        <v/>
      </c>
      <c r="M2486" s="381" t="str">
        <f>IF(A2486="","",VLOOKUP(A2486,VII.A!$A$10:$B$199,2,FALSE))</f>
        <v/>
      </c>
      <c r="N2486" s="342" t="str">
        <f t="shared" si="658"/>
        <v/>
      </c>
      <c r="R2486" s="341"/>
      <c r="S2486" s="341"/>
    </row>
    <row r="2487" spans="1:19" ht="12.75" customHeight="1">
      <c r="A2487" s="393"/>
      <c r="C2487" s="20"/>
      <c r="E2487" s="387"/>
      <c r="F2487" s="388">
        <f t="shared" si="655"/>
        <v>0</v>
      </c>
      <c r="H2487" s="341" t="str">
        <f>IF(A2487="","",VLOOKUP(A2487,VII.A!$A$10:$D$199,4,FALSE))</f>
        <v/>
      </c>
      <c r="I2487" s="341" t="str">
        <f t="shared" si="656"/>
        <v/>
      </c>
      <c r="J2487" s="341" t="str">
        <f>IF(A2487="","",VLOOKUP(A2487,VII.A!$A$10:$D$199,3,FALSE))</f>
        <v/>
      </c>
      <c r="K2487" s="342" t="str">
        <f t="shared" si="657"/>
        <v/>
      </c>
      <c r="L2487" s="380" t="str">
        <f>IF(C2487="","",G2459*C2487)</f>
        <v/>
      </c>
      <c r="M2487" s="381" t="str">
        <f>IF(A2487="","",VLOOKUP(A2487,VII.A!$A$10:$B$199,2,FALSE))</f>
        <v/>
      </c>
      <c r="N2487" s="342" t="str">
        <f t="shared" si="658"/>
        <v/>
      </c>
      <c r="R2487" s="341"/>
      <c r="S2487" s="341"/>
    </row>
    <row r="2488" spans="1:19" ht="12.75" customHeight="1">
      <c r="A2488" s="393"/>
      <c r="C2488" s="20"/>
      <c r="E2488" s="387"/>
      <c r="F2488" s="388">
        <f t="shared" si="655"/>
        <v>0</v>
      </c>
      <c r="H2488" s="341" t="str">
        <f>IF(A2488="","",VLOOKUP(A2488,VII.A!$A$10:$D$199,4,FALSE))</f>
        <v/>
      </c>
      <c r="I2488" s="341" t="str">
        <f t="shared" si="656"/>
        <v/>
      </c>
      <c r="J2488" s="341" t="str">
        <f>IF(A2488="","",VLOOKUP(A2488,VII.A!$A$10:$D$199,3,FALSE))</f>
        <v/>
      </c>
      <c r="K2488" s="342" t="str">
        <f t="shared" si="657"/>
        <v/>
      </c>
      <c r="L2488" s="380" t="str">
        <f>IF(C2488="","",G2459*C2488)</f>
        <v/>
      </c>
      <c r="M2488" s="381" t="str">
        <f>IF(A2488="","",VLOOKUP(A2488,VII.A!$A$10:$B$199,2,FALSE))</f>
        <v/>
      </c>
      <c r="N2488" s="342" t="str">
        <f t="shared" si="658"/>
        <v/>
      </c>
      <c r="R2488" s="341"/>
      <c r="S2488" s="341"/>
    </row>
    <row r="2489" spans="1:19" ht="12.75" customHeight="1">
      <c r="A2489" s="393"/>
      <c r="C2489" s="20"/>
      <c r="E2489" s="387"/>
      <c r="F2489" s="388">
        <f t="shared" si="655"/>
        <v>0</v>
      </c>
      <c r="H2489" s="341" t="str">
        <f>IF(A2489="","",VLOOKUP(A2489,VII.A!$A$10:$D$199,4,FALSE))</f>
        <v/>
      </c>
      <c r="I2489" s="341" t="str">
        <f t="shared" si="656"/>
        <v/>
      </c>
      <c r="J2489" s="341" t="str">
        <f>IF(A2489="","",VLOOKUP(A2489,VII.A!$A$10:$D$199,3,FALSE))</f>
        <v/>
      </c>
      <c r="K2489" s="342" t="str">
        <f t="shared" si="657"/>
        <v/>
      </c>
      <c r="L2489" s="380" t="str">
        <f>IF(C2489="","",G2459*C2489)</f>
        <v/>
      </c>
      <c r="M2489" s="381" t="str">
        <f>IF(A2489="","",VLOOKUP(A2489,VII.A!$A$10:$B$199,2,FALSE))</f>
        <v/>
      </c>
      <c r="N2489" s="342" t="str">
        <f t="shared" si="658"/>
        <v/>
      </c>
      <c r="R2489" s="341"/>
      <c r="S2489" s="341"/>
    </row>
    <row r="2490" spans="1:19" ht="12.75" customHeight="1">
      <c r="A2490" s="393"/>
      <c r="C2490" s="20"/>
      <c r="E2490" s="387"/>
      <c r="F2490" s="388">
        <f t="shared" si="655"/>
        <v>0</v>
      </c>
      <c r="H2490" s="341" t="str">
        <f>IF(A2490="","",VLOOKUP(A2490,VII.A!$A$10:$D$199,4,FALSE))</f>
        <v/>
      </c>
      <c r="I2490" s="341" t="str">
        <f t="shared" si="656"/>
        <v/>
      </c>
      <c r="J2490" s="341" t="str">
        <f>IF(A2490="","",VLOOKUP(A2490,VII.A!$A$10:$D$199,3,FALSE))</f>
        <v/>
      </c>
      <c r="K2490" s="342" t="str">
        <f t="shared" si="657"/>
        <v/>
      </c>
      <c r="L2490" s="380" t="str">
        <f>IF(C2490="","",G2459*C2490)</f>
        <v/>
      </c>
      <c r="M2490" s="381" t="str">
        <f>IF(A2490="","",VLOOKUP(A2490,VII.A!$A$10:$B$199,2,FALSE))</f>
        <v/>
      </c>
      <c r="N2490" s="342" t="str">
        <f t="shared" si="658"/>
        <v/>
      </c>
      <c r="R2490" s="341"/>
      <c r="S2490" s="341"/>
    </row>
    <row r="2491" spans="1:19" ht="12.75" customHeight="1">
      <c r="A2491" s="393"/>
      <c r="B2491" s="395" t="s">
        <v>226</v>
      </c>
      <c r="C2491" s="396"/>
      <c r="D2491" s="397"/>
      <c r="E2491" s="398"/>
      <c r="F2491" s="399">
        <f>SUM(F2481:F2490)</f>
        <v>0</v>
      </c>
      <c r="J2491" s="341"/>
      <c r="L2491" s="380"/>
      <c r="M2491" s="381"/>
      <c r="N2491" s="342"/>
      <c r="R2491" s="341"/>
      <c r="S2491" s="341"/>
    </row>
    <row r="2492" spans="1:19" ht="12.75" customHeight="1">
      <c r="A2492" s="393"/>
      <c r="B2492" s="400" t="s">
        <v>53</v>
      </c>
      <c r="C2492" s="2">
        <f>$D$8</f>
        <v>0</v>
      </c>
      <c r="D2492" s="401"/>
      <c r="E2492" s="402"/>
      <c r="F2492" s="403">
        <f>ROUND(C2492*F2491,2)</f>
        <v>0</v>
      </c>
      <c r="J2492" s="341"/>
      <c r="L2492" s="380"/>
      <c r="M2492" s="381"/>
      <c r="N2492" s="342"/>
      <c r="R2492" s="341"/>
      <c r="S2492" s="341"/>
    </row>
    <row r="2493" spans="1:19" ht="12.75" customHeight="1">
      <c r="A2493" s="404"/>
      <c r="B2493" s="405" t="s">
        <v>228</v>
      </c>
      <c r="C2493" s="406"/>
      <c r="D2493" s="406"/>
      <c r="E2493" s="407"/>
      <c r="F2493" s="408">
        <f>F2491+F2492</f>
        <v>0</v>
      </c>
      <c r="J2493" s="341"/>
      <c r="L2493" s="380"/>
      <c r="M2493" s="381"/>
      <c r="N2493" s="342"/>
      <c r="R2493" s="341"/>
      <c r="S2493" s="341"/>
    </row>
    <row r="2494" spans="1:19" ht="12.75" customHeight="1">
      <c r="A2494" s="409" t="s">
        <v>47</v>
      </c>
      <c r="B2494" s="410" t="s">
        <v>236</v>
      </c>
      <c r="C2494" s="411" t="s">
        <v>231</v>
      </c>
      <c r="D2494" s="412" t="s">
        <v>232</v>
      </c>
      <c r="E2494" s="413" t="s">
        <v>233</v>
      </c>
      <c r="F2494" s="378" t="s">
        <v>234</v>
      </c>
      <c r="J2494" s="341"/>
      <c r="L2494" s="380"/>
      <c r="M2494" s="381"/>
      <c r="N2494" s="342"/>
      <c r="R2494" s="341"/>
      <c r="S2494" s="341"/>
    </row>
    <row r="2495" spans="1:19" ht="12.75" customHeight="1">
      <c r="A2495" s="393" t="str">
        <f>VII.A!$A$196</f>
        <v>3.16</v>
      </c>
      <c r="B2495" s="394" t="s">
        <v>157</v>
      </c>
      <c r="C2495" s="20">
        <f>4.239+((0.394/0.05)*0.03)+(1.213*2.53)</f>
        <v>7.5442900000000002</v>
      </c>
      <c r="D2495" s="384" t="str">
        <f>VLOOKUP(A2495,VII.A!$A$10:$G$199,3,FALSE)</f>
        <v>H</v>
      </c>
      <c r="E2495" s="387">
        <f>VII.A!$D$196</f>
        <v>0</v>
      </c>
      <c r="F2495" s="388">
        <f t="shared" ref="F2495:F2501" si="659">ROUND(C2495*E2495,2)</f>
        <v>0</v>
      </c>
      <c r="H2495" s="341">
        <f>IF(A2495="","",VLOOKUP(A2495,VII.A!$A$10:$D$199,4,FALSE))</f>
        <v>0</v>
      </c>
      <c r="I2495" s="341" t="str">
        <f t="shared" ref="I2495:I2501" si="660">IF(A2495="","",IF(E2495=H2495,"SIM","NÃO"))</f>
        <v>SIM</v>
      </c>
      <c r="J2495" s="341" t="str">
        <f>IF(A2495="","",VLOOKUP(A2495,VII.A!$A$10:$D$199,3,FALSE))</f>
        <v>H</v>
      </c>
      <c r="K2495" s="342" t="str">
        <f t="shared" ref="K2495:K2501" si="661">IF(A2495="","",IF(J2495=D2495,"SIM","NÃO"))</f>
        <v>SIM</v>
      </c>
      <c r="L2495" s="380">
        <f>IF(C2495="","",G2459*C2495)</f>
        <v>3772.145</v>
      </c>
      <c r="M2495" s="381" t="str">
        <f>IF(A2495="","",VLOOKUP(A2495,VII.A!$A$10:$B$199,2,FALSE))</f>
        <v>SERVENTE COM ENCARGOS COMPLEMENTARES</v>
      </c>
      <c r="N2495" s="342" t="str">
        <f t="shared" ref="N2495:N2501" si="662">IF(B2495="","",IF(M2495=B2495,"si","no"))</f>
        <v>si</v>
      </c>
      <c r="R2495" s="341"/>
      <c r="S2495" s="341"/>
    </row>
    <row r="2496" spans="1:19" ht="12.75" customHeight="1">
      <c r="A2496" s="393" t="str">
        <f>VII.A!$A$192</f>
        <v>3.12</v>
      </c>
      <c r="B2496" s="394" t="s">
        <v>153</v>
      </c>
      <c r="C2496" s="20">
        <f>1.983+((1.217/0.05)*0.03)</f>
        <v>2.7132000000000001</v>
      </c>
      <c r="D2496" s="384" t="str">
        <f>VLOOKUP(A2496,VII.A!$A$10:$G$199,3,FALSE)</f>
        <v>H</v>
      </c>
      <c r="E2496" s="387">
        <f>VII.A!$D$192</f>
        <v>0</v>
      </c>
      <c r="F2496" s="388">
        <f t="shared" si="659"/>
        <v>0</v>
      </c>
      <c r="H2496" s="341">
        <f>IF(A2496="","",VLOOKUP(A2496,VII.A!$A$10:$D$199,4,FALSE))</f>
        <v>0</v>
      </c>
      <c r="I2496" s="341" t="str">
        <f t="shared" si="660"/>
        <v>SIM</v>
      </c>
      <c r="J2496" s="341" t="str">
        <f>IF(A2496="","",VLOOKUP(A2496,VII.A!$A$10:$D$199,3,FALSE))</f>
        <v>H</v>
      </c>
      <c r="K2496" s="342" t="str">
        <f t="shared" si="661"/>
        <v>SIM</v>
      </c>
      <c r="L2496" s="380">
        <f>IF(C2496="","",G2459*C2496)</f>
        <v>1356.6000000000001</v>
      </c>
      <c r="M2496" s="381" t="str">
        <f>IF(A2496="","",VLOOKUP(A2496,VII.A!$A$10:$B$199,2,FALSE))</f>
        <v>PEDREIRO COM ENCARGOS COMPLEMENTARES</v>
      </c>
      <c r="N2496" s="342" t="str">
        <f t="shared" si="662"/>
        <v>si</v>
      </c>
      <c r="R2496" s="341"/>
      <c r="S2496" s="341"/>
    </row>
    <row r="2497" spans="1:25" ht="12.75" customHeight="1">
      <c r="A2497" s="393" t="str">
        <f>VII.A!$A$186</f>
        <v>3.6</v>
      </c>
      <c r="B2497" s="394" t="s">
        <v>147</v>
      </c>
      <c r="C2497" s="20">
        <v>2.2559999999999998</v>
      </c>
      <c r="D2497" s="384" t="str">
        <f>VLOOKUP(A2497,VII.A!$A$10:$G$199,3,FALSE)</f>
        <v>H</v>
      </c>
      <c r="E2497" s="387">
        <f>VII.A!D186</f>
        <v>0</v>
      </c>
      <c r="F2497" s="388">
        <f t="shared" si="659"/>
        <v>0</v>
      </c>
      <c r="H2497" s="341">
        <f>IF(A2497="","",VLOOKUP(A2497,VII.A!$A$10:$D$199,4,FALSE))</f>
        <v>0</v>
      </c>
      <c r="I2497" s="341" t="str">
        <f t="shared" si="660"/>
        <v>SIM</v>
      </c>
      <c r="J2497" s="341" t="str">
        <f>IF(A2497="","",VLOOKUP(A2497,VII.A!$A$10:$D$199,3,FALSE))</f>
        <v>H</v>
      </c>
      <c r="K2497" s="342" t="str">
        <f t="shared" si="661"/>
        <v>SIM</v>
      </c>
      <c r="L2497" s="380">
        <f>IF(C2497="","",G2459*C2497)</f>
        <v>1128</v>
      </c>
      <c r="M2497" s="381" t="str">
        <f>IF(A2497="","",VLOOKUP(A2497,VII.A!$A$10:$B$199,2,FALSE))</f>
        <v>CARPINTEIRO COM ENCARGOS COMPLEMENTARES</v>
      </c>
      <c r="N2497" s="342" t="str">
        <f t="shared" si="662"/>
        <v>si</v>
      </c>
      <c r="R2497" s="341"/>
      <c r="S2497" s="341"/>
    </row>
    <row r="2498" spans="1:25" ht="12.75" customHeight="1">
      <c r="A2498" s="393"/>
      <c r="C2498" s="20"/>
      <c r="E2498" s="387"/>
      <c r="F2498" s="388">
        <f t="shared" si="659"/>
        <v>0</v>
      </c>
      <c r="H2498" s="341" t="str">
        <f>IF(A2498="","",VLOOKUP(A2498,VII.A!$A$10:$D$199,4,FALSE))</f>
        <v/>
      </c>
      <c r="I2498" s="341" t="str">
        <f t="shared" si="660"/>
        <v/>
      </c>
      <c r="J2498" s="341" t="str">
        <f>IF(A2498="","",VLOOKUP(A2498,VII.A!$A$10:$D$199,3,FALSE))</f>
        <v/>
      </c>
      <c r="K2498" s="342" t="str">
        <f t="shared" si="661"/>
        <v/>
      </c>
      <c r="L2498" s="380" t="str">
        <f>IF(C2498="","",G2459*C2498)</f>
        <v/>
      </c>
      <c r="M2498" s="381" t="str">
        <f>IF(A2498="","",VLOOKUP(A2498,VII.A!$A$10:$B$199,2,FALSE))</f>
        <v/>
      </c>
      <c r="N2498" s="342" t="str">
        <f t="shared" si="662"/>
        <v/>
      </c>
      <c r="R2498" s="341"/>
      <c r="S2498" s="341"/>
    </row>
    <row r="2499" spans="1:25" ht="12.75" customHeight="1">
      <c r="A2499" s="393"/>
      <c r="C2499" s="20"/>
      <c r="E2499" s="387"/>
      <c r="F2499" s="388">
        <f t="shared" si="659"/>
        <v>0</v>
      </c>
      <c r="H2499" s="341" t="str">
        <f>IF(A2499="","",VLOOKUP(A2499,VII.A!$A$10:$D$199,4,FALSE))</f>
        <v/>
      </c>
      <c r="I2499" s="341" t="str">
        <f t="shared" si="660"/>
        <v/>
      </c>
      <c r="J2499" s="341" t="str">
        <f>IF(A2499="","",VLOOKUP(A2499,VII.A!$A$10:$D$199,3,FALSE))</f>
        <v/>
      </c>
      <c r="K2499" s="342" t="str">
        <f t="shared" si="661"/>
        <v/>
      </c>
      <c r="L2499" s="380" t="str">
        <f>IF(C2499="","",G2459*C2499)</f>
        <v/>
      </c>
      <c r="M2499" s="381" t="str">
        <f>IF(A2499="","",VLOOKUP(A2499,VII.A!$A$10:$B$199,2,FALSE))</f>
        <v/>
      </c>
      <c r="N2499" s="342" t="str">
        <f t="shared" si="662"/>
        <v/>
      </c>
      <c r="R2499" s="341"/>
      <c r="S2499" s="341"/>
    </row>
    <row r="2500" spans="1:25" ht="12.75" customHeight="1">
      <c r="A2500" s="393"/>
      <c r="C2500" s="20"/>
      <c r="E2500" s="387"/>
      <c r="F2500" s="388">
        <f t="shared" si="659"/>
        <v>0</v>
      </c>
      <c r="H2500" s="341" t="str">
        <f>IF(A2500="","",VLOOKUP(A2500,VII.A!$A$10:$D$199,4,FALSE))</f>
        <v/>
      </c>
      <c r="I2500" s="341" t="str">
        <f t="shared" si="660"/>
        <v/>
      </c>
      <c r="J2500" s="341" t="str">
        <f>IF(A2500="","",VLOOKUP(A2500,VII.A!$A$10:$D$199,3,FALSE))</f>
        <v/>
      </c>
      <c r="K2500" s="342" t="str">
        <f t="shared" si="661"/>
        <v/>
      </c>
      <c r="L2500" s="380" t="str">
        <f>IF(C2500="","",G2459*C2500)</f>
        <v/>
      </c>
      <c r="M2500" s="381" t="str">
        <f>IF(A2500="","",VLOOKUP(A2500,VII.A!$A$10:$B$199,2,FALSE))</f>
        <v/>
      </c>
      <c r="N2500" s="342" t="str">
        <f t="shared" si="662"/>
        <v/>
      </c>
      <c r="R2500" s="341"/>
      <c r="S2500" s="341"/>
    </row>
    <row r="2501" spans="1:25" ht="12.75" customHeight="1">
      <c r="A2501" s="393"/>
      <c r="C2501" s="20"/>
      <c r="E2501" s="387"/>
      <c r="F2501" s="388">
        <f t="shared" si="659"/>
        <v>0</v>
      </c>
      <c r="H2501" s="341" t="str">
        <f>IF(A2501="","",VLOOKUP(A2501,VII.A!$A$10:$D$199,4,FALSE))</f>
        <v/>
      </c>
      <c r="I2501" s="341" t="str">
        <f t="shared" si="660"/>
        <v/>
      </c>
      <c r="J2501" s="341" t="str">
        <f>IF(A2501="","",VLOOKUP(A2501,VII.A!$A$10:$D$199,3,FALSE))</f>
        <v/>
      </c>
      <c r="K2501" s="342" t="str">
        <f t="shared" si="661"/>
        <v/>
      </c>
      <c r="L2501" s="380" t="str">
        <f>IF(C2501="","",G2459*C2501)</f>
        <v/>
      </c>
      <c r="M2501" s="381" t="str">
        <f>IF(A2501="","",VLOOKUP(A2501,VII.A!$A$10:$B$199,2,FALSE))</f>
        <v/>
      </c>
      <c r="N2501" s="342" t="str">
        <f t="shared" si="662"/>
        <v/>
      </c>
      <c r="R2501" s="341"/>
      <c r="S2501" s="341"/>
    </row>
    <row r="2502" spans="1:25" ht="12.75" customHeight="1">
      <c r="A2502" s="393"/>
      <c r="B2502" s="395" t="s">
        <v>226</v>
      </c>
      <c r="C2502" s="396"/>
      <c r="D2502" s="397"/>
      <c r="E2502" s="398"/>
      <c r="F2502" s="399">
        <f>SUM(F2495:F2501)</f>
        <v>0</v>
      </c>
      <c r="J2502" s="341"/>
      <c r="L2502" s="380"/>
      <c r="M2502" s="381"/>
      <c r="N2502" s="342"/>
      <c r="R2502" s="341"/>
      <c r="S2502" s="341"/>
    </row>
    <row r="2503" spans="1:25" ht="12.75" customHeight="1">
      <c r="A2503" s="393"/>
      <c r="B2503" s="400" t="s">
        <v>229</v>
      </c>
      <c r="C2503" s="2">
        <f>IX.A!$C$45</f>
        <v>0</v>
      </c>
      <c r="D2503" s="401"/>
      <c r="E2503" s="402"/>
      <c r="F2503" s="403">
        <f>ROUND(F2502*C2503,2)</f>
        <v>0</v>
      </c>
      <c r="J2503" s="341"/>
      <c r="L2503" s="380"/>
      <c r="M2503" s="381"/>
      <c r="N2503" s="342"/>
      <c r="R2503" s="341"/>
      <c r="S2503" s="341"/>
    </row>
    <row r="2504" spans="1:25" ht="12.75" customHeight="1">
      <c r="A2504" s="393"/>
      <c r="B2504" s="400" t="s">
        <v>53</v>
      </c>
      <c r="C2504" s="2">
        <f>$D$8</f>
        <v>0</v>
      </c>
      <c r="D2504" s="401"/>
      <c r="E2504" s="402"/>
      <c r="F2504" s="403">
        <f>ROUND(SUM(F2502:F2503)*C2504,2)</f>
        <v>0</v>
      </c>
      <c r="J2504" s="341"/>
      <c r="L2504" s="380"/>
      <c r="M2504" s="381"/>
      <c r="N2504" s="342"/>
      <c r="R2504" s="341"/>
      <c r="S2504" s="341"/>
    </row>
    <row r="2505" spans="1:25" ht="12.75" customHeight="1" thickBot="1">
      <c r="A2505" s="414"/>
      <c r="B2505" s="415" t="s">
        <v>230</v>
      </c>
      <c r="C2505" s="416"/>
      <c r="D2505" s="416"/>
      <c r="E2505" s="417"/>
      <c r="F2505" s="418">
        <f>SUM(F2502:F2504)</f>
        <v>0</v>
      </c>
      <c r="J2505" s="341"/>
      <c r="L2505" s="380"/>
      <c r="M2505" s="381"/>
      <c r="N2505" s="342"/>
      <c r="R2505" s="341"/>
      <c r="S2505" s="341"/>
    </row>
    <row r="2506" spans="1:25" ht="12.75" customHeight="1" thickBot="1">
      <c r="A2506" s="357"/>
      <c r="B2506" s="358"/>
      <c r="C2506" s="359"/>
      <c r="D2506" s="359"/>
      <c r="E2506" s="360"/>
      <c r="F2506" s="419"/>
      <c r="J2506" s="341"/>
      <c r="L2506" s="380"/>
      <c r="M2506" s="381"/>
      <c r="N2506" s="342"/>
      <c r="R2506" s="341"/>
      <c r="S2506" s="341"/>
    </row>
    <row r="2507" spans="1:25" ht="30" customHeight="1">
      <c r="A2507" s="370" t="str">
        <f>IV.A!A82</f>
        <v>3.5.3</v>
      </c>
      <c r="B2507" s="371" t="str">
        <f>IV.A!B82</f>
        <v xml:space="preserve">CALÇADAS E PISOS EM CONCRETO FCK = 20 MPA, USINADO, ACABAMENTO CONVENCIONAL, INCLUSIVE PREPARO DE CAIXA </v>
      </c>
      <c r="C2507" s="871" t="s">
        <v>237</v>
      </c>
      <c r="D2507" s="872"/>
      <c r="E2507" s="372" t="str">
        <f>IV.A!C82</f>
        <v>M3</v>
      </c>
      <c r="F2507" s="11">
        <f>ROUND(F2527+F2541+F2553,2)</f>
        <v>0</v>
      </c>
      <c r="G2507" s="1">
        <f>VLOOKUP(A2507,IV.A!$A$16:$L$172,4,FALSE)</f>
        <v>2000</v>
      </c>
      <c r="H2507" s="361">
        <f>SUM(F2509:F2524)+F2526</f>
        <v>0</v>
      </c>
      <c r="I2507" s="361">
        <f>SUM(F2529:F2538)+F2540</f>
        <v>0</v>
      </c>
      <c r="J2507" s="361">
        <f>SUM(F2543:F2549)+F2551+F2552</f>
        <v>0</v>
      </c>
      <c r="K2507" s="361">
        <f>SUM(H2507:J2507)</f>
        <v>0</v>
      </c>
      <c r="L2507" s="362" t="str">
        <f>IF(K2507=F2507,"SIM","NÃO")</f>
        <v>SIM</v>
      </c>
      <c r="M2507" s="373">
        <f>ROUND(SUM(F2509:F2524),2)+ROUND(SUM(F2509:F2524)*C2526,2)+ROUND(SUM(F2529:F2538)*C2540,2)+ROUND(SUM(F2529:F2538),2)+ROUND(SUM(F2543:F2549)*C2551,2)+ROUND((SUM(F2543:F2549)+ROUND(SUM(F2543:F2549)*C2551,2))*C2552,2)+ROUND(SUM(F2543:F2549),2)</f>
        <v>0</v>
      </c>
      <c r="N2507" s="343" t="str">
        <f>IF(M2507=F2507,"SIM","NÃO")</f>
        <v>SIM</v>
      </c>
      <c r="O2507" s="364" t="str">
        <f>VLOOKUP(A2507,IV.A!$A$16:$E$172,3,FALSE)</f>
        <v>M3</v>
      </c>
      <c r="P2507" s="344" t="str">
        <f>IF(O2507=E2507,"SIM","NÃO")</f>
        <v>SIM</v>
      </c>
      <c r="Q2507" s="365">
        <f>ROUND(G2507*F2527,2)+ROUND(G2507*F2541,2)+ROUND(G2507*F2553,2)</f>
        <v>0</v>
      </c>
      <c r="R2507" s="364">
        <f>VLOOKUP(A2507,IV.A!$A$16:$L$172,12,FALSE)</f>
        <v>0</v>
      </c>
      <c r="S2507" s="366" t="str">
        <f>IF(Q2507=R2507,"si","no")</f>
        <v>si</v>
      </c>
      <c r="T2507" s="367">
        <f>SUM(L2509:L2524)+SUM(L2529:L2538)+SUM(L2543:L2549)</f>
        <v>22482.199999999997</v>
      </c>
      <c r="U2507" s="341">
        <f>(SUM(C2509:C2524)+SUM(C2529:C2538)+SUM(C2543:C2549))*G2507</f>
        <v>22482.199999999997</v>
      </c>
      <c r="V2507" s="368" t="str">
        <f>IF(T2507=U2507,"si","no")</f>
        <v>si</v>
      </c>
      <c r="W2507" s="369">
        <f>SUM(F2509:F2524)</f>
        <v>0</v>
      </c>
      <c r="X2507" s="369">
        <f>SUM(F2529:F2538)</f>
        <v>0</v>
      </c>
      <c r="Y2507" s="369">
        <f>SUM(F2543:F2549)</f>
        <v>0</v>
      </c>
    </row>
    <row r="2508" spans="1:25" ht="12.75" customHeight="1">
      <c r="A2508" s="374" t="s">
        <v>14</v>
      </c>
      <c r="B2508" s="375" t="s">
        <v>132</v>
      </c>
      <c r="C2508" s="376" t="s">
        <v>231</v>
      </c>
      <c r="D2508" s="376" t="s">
        <v>232</v>
      </c>
      <c r="E2508" s="377" t="s">
        <v>233</v>
      </c>
      <c r="F2508" s="378" t="s">
        <v>234</v>
      </c>
      <c r="G2508" s="379"/>
      <c r="J2508" s="341"/>
      <c r="L2508" s="380"/>
      <c r="M2508" s="381"/>
      <c r="N2508" s="342"/>
      <c r="O2508" s="382"/>
      <c r="P2508" s="383"/>
      <c r="Q2508" s="383"/>
      <c r="R2508" s="383"/>
      <c r="S2508" s="383"/>
      <c r="T2508" s="382"/>
      <c r="U2508" s="341"/>
      <c r="V2508" s="384"/>
      <c r="W2508" s="384"/>
      <c r="X2508" s="384"/>
      <c r="Y2508" s="384"/>
    </row>
    <row r="2509" spans="1:25" ht="12.75" customHeight="1">
      <c r="A2509" s="385" t="str">
        <f>VII.A!$A$41</f>
        <v>1.32</v>
      </c>
      <c r="B2509" s="448" t="str">
        <f>VLOOKUP($A2509,VII.A!$A$10:$G$199,2,FALSE)</f>
        <v>CONCRETO USINADO FCK = 20,0 MPA</v>
      </c>
      <c r="C2509" s="20">
        <v>1.2315</v>
      </c>
      <c r="D2509" s="342" t="str">
        <f>VII.A!C41</f>
        <v>M3</v>
      </c>
      <c r="E2509" s="387">
        <f>VLOOKUP(A2509,VII.A!$A$10:$G$199,4,FALSE)</f>
        <v>0</v>
      </c>
      <c r="F2509" s="388">
        <f>ROUND(C2509*E2509,2)</f>
        <v>0</v>
      </c>
      <c r="H2509" s="341">
        <f>IF(A2509="","",VLOOKUP(A2509,VII.A!$A$10:$D$199,4,FALSE))</f>
        <v>0</v>
      </c>
      <c r="I2509" s="341" t="str">
        <f t="shared" ref="I2509:I2524" si="663">IF(A2509="","",IF(E2509=H2509,"SIM","NÃO"))</f>
        <v>SIM</v>
      </c>
      <c r="J2509" s="341" t="str">
        <f>IF(A2509="","",VLOOKUP(A2509,VII.A!$A$10:$D$199,3,FALSE))</f>
        <v>M3</v>
      </c>
      <c r="K2509" s="342" t="str">
        <f t="shared" ref="K2509:K2524" si="664">IF(A2509="","",IF(J2509=D2509,"SIM","NÃO"))</f>
        <v>SIM</v>
      </c>
      <c r="L2509" s="380">
        <f>IF(C2509="","",G2507*C2509)</f>
        <v>2463</v>
      </c>
      <c r="M2509" s="381" t="str">
        <f>IF(A2509="","",VLOOKUP(A2509,VII.A!$A$10:$B$199,2,FALSE))</f>
        <v>CONCRETO USINADO FCK = 20,0 MPA</v>
      </c>
      <c r="N2509" s="342" t="str">
        <f t="shared" ref="N2509:N2524" si="665">IF(B2509="","",IF(M2509=B2509,"si","no"))</f>
        <v>si</v>
      </c>
      <c r="R2509" s="341"/>
      <c r="S2509" s="341"/>
    </row>
    <row r="2510" spans="1:25" ht="12.75" customHeight="1">
      <c r="A2510" s="385" t="str">
        <f>VII.A!$A$97</f>
        <v>1.87</v>
      </c>
      <c r="B2510" s="386" t="str">
        <f>VII.A!B97</f>
        <v xml:space="preserve">SARRAFO 3A. CONSTRUÇÃO (SEÇÃO TRANSVERSAL: 1X4" - 2,5CM X 10,0CM) </v>
      </c>
      <c r="C2510" s="20">
        <v>2.5</v>
      </c>
      <c r="D2510" s="342" t="str">
        <f>VII.A!C97</f>
        <v>M</v>
      </c>
      <c r="E2510" s="387">
        <f>VII.A!D97</f>
        <v>0</v>
      </c>
      <c r="F2510" s="388">
        <f t="shared" ref="F2510:F2524" si="666">ROUND(C2510*E2510,2)</f>
        <v>0</v>
      </c>
      <c r="H2510" s="341">
        <f>IF(A2510="","",VLOOKUP(A2510,VII.A!$A$10:$D$199,4,FALSE))</f>
        <v>0</v>
      </c>
      <c r="I2510" s="341" t="str">
        <f t="shared" si="663"/>
        <v>SIM</v>
      </c>
      <c r="J2510" s="341" t="str">
        <f>IF(A2510="","",VLOOKUP(A2510,VII.A!$A$10:$D$199,3,FALSE))</f>
        <v>M</v>
      </c>
      <c r="K2510" s="342" t="str">
        <f t="shared" si="664"/>
        <v>SIM</v>
      </c>
      <c r="L2510" s="380">
        <f>IF(C2510="","",G2507*C2510)</f>
        <v>5000</v>
      </c>
      <c r="M2510" s="381" t="str">
        <f>IF(A2510="","",VLOOKUP(A2510,VII.A!$A$10:$B$199,2,FALSE))</f>
        <v xml:space="preserve">SARRAFO 3A. CONSTRUÇÃO (SEÇÃO TRANSVERSAL: 1X4" - 2,5CM X 10,0CM) </v>
      </c>
      <c r="N2510" s="342" t="str">
        <f t="shared" si="665"/>
        <v>si</v>
      </c>
      <c r="R2510" s="341"/>
      <c r="S2510" s="341"/>
    </row>
    <row r="2511" spans="1:25" ht="12.75" customHeight="1">
      <c r="A2511" s="385" t="str">
        <f>VII.A!$A$84</f>
        <v>1.74</v>
      </c>
      <c r="B2511" s="386" t="str">
        <f>VII.A!B84</f>
        <v>PEDRA BRITADA Nº 2 GRANULOMETRIA ENTRE (21,0 E 32,0 MM)</v>
      </c>
      <c r="C2511" s="20">
        <f>(1.13/0.05)*0.03</f>
        <v>0.67799999999999994</v>
      </c>
      <c r="D2511" s="342" t="str">
        <f>VII.A!C84</f>
        <v>M3</v>
      </c>
      <c r="E2511" s="387">
        <f>VII.A!D84</f>
        <v>0</v>
      </c>
      <c r="F2511" s="388">
        <f t="shared" si="666"/>
        <v>0</v>
      </c>
      <c r="H2511" s="341">
        <f>IF(A2511="","",VLOOKUP(A2511,VII.A!$A$10:$D$199,4,FALSE))</f>
        <v>0</v>
      </c>
      <c r="I2511" s="341" t="str">
        <f t="shared" si="663"/>
        <v>SIM</v>
      </c>
      <c r="J2511" s="341" t="str">
        <f>IF(A2511="","",VLOOKUP(A2511,VII.A!$A$10:$D$199,3,FALSE))</f>
        <v>M3</v>
      </c>
      <c r="K2511" s="342" t="str">
        <f t="shared" si="664"/>
        <v>SIM</v>
      </c>
      <c r="L2511" s="380">
        <f>IF(C2511="","",G2507*C2511)</f>
        <v>1355.9999999999998</v>
      </c>
      <c r="M2511" s="381" t="str">
        <f>IF(A2511="","",VLOOKUP(A2511,VII.A!$A$10:$B$199,2,FALSE))</f>
        <v>PEDRA BRITADA Nº 2 GRANULOMETRIA ENTRE (21,0 E 32,0 MM)</v>
      </c>
      <c r="N2511" s="342" t="str">
        <f t="shared" si="665"/>
        <v>si</v>
      </c>
      <c r="R2511" s="341"/>
      <c r="S2511" s="341"/>
    </row>
    <row r="2512" spans="1:25" ht="12.75" customHeight="1">
      <c r="A2512" s="385" t="str">
        <f>VII.A!$A$80</f>
        <v>1.71</v>
      </c>
      <c r="B2512" s="386" t="str">
        <f>VII.A!B80</f>
        <v>RIPA DE MADEIRA NAO APARELHADA - 1,5 X 5 CM (P/FORMA)</v>
      </c>
      <c r="C2512" s="20">
        <v>2</v>
      </c>
      <c r="D2512" s="342" t="str">
        <f>VII.A!C80</f>
        <v>M</v>
      </c>
      <c r="E2512" s="387">
        <f>VII.A!D80</f>
        <v>0</v>
      </c>
      <c r="F2512" s="388">
        <f t="shared" si="666"/>
        <v>0</v>
      </c>
      <c r="H2512" s="341">
        <f>IF(A2512="","",VLOOKUP(A2512,VII.A!$A$10:$D$199,4,FALSE))</f>
        <v>0</v>
      </c>
      <c r="I2512" s="341" t="str">
        <f t="shared" si="663"/>
        <v>SIM</v>
      </c>
      <c r="J2512" s="341" t="str">
        <f>IF(A2512="","",VLOOKUP(A2512,VII.A!$A$10:$D$199,3,FALSE))</f>
        <v>M</v>
      </c>
      <c r="K2512" s="342" t="str">
        <f t="shared" si="664"/>
        <v>SIM</v>
      </c>
      <c r="L2512" s="380">
        <f>IF(C2512="","",G2507*C2512)</f>
        <v>4000</v>
      </c>
      <c r="M2512" s="381" t="str">
        <f>IF(A2512="","",VLOOKUP(A2512,VII.A!$A$10:$B$199,2,FALSE))</f>
        <v>RIPA DE MADEIRA NAO APARELHADA - 1,5 X 5 CM (P/FORMA)</v>
      </c>
      <c r="N2512" s="342" t="str">
        <f t="shared" si="665"/>
        <v>si</v>
      </c>
      <c r="R2512" s="341"/>
      <c r="S2512" s="341"/>
    </row>
    <row r="2513" spans="1:21" ht="12.75" customHeight="1">
      <c r="A2513" s="385" t="str">
        <f>VII.A!$A$90</f>
        <v>1.80</v>
      </c>
      <c r="B2513" s="386" t="str">
        <f>VII.A!B90</f>
        <v>PREGO EM AÇO POLIDO COM CABEÇA (MEDIA DAS BITOLAS)</v>
      </c>
      <c r="C2513" s="20">
        <v>0.2994</v>
      </c>
      <c r="D2513" s="384" t="str">
        <f>VLOOKUP(A2513,VII.A!$A$10:$G$199,3,FALSE)</f>
        <v>KG</v>
      </c>
      <c r="E2513" s="387">
        <f>VII.A!D90</f>
        <v>0</v>
      </c>
      <c r="F2513" s="388">
        <f t="shared" si="666"/>
        <v>0</v>
      </c>
      <c r="H2513" s="341">
        <f>IF(A2513="","",VLOOKUP(A2513,VII.A!$A$10:$D$199,4,FALSE))</f>
        <v>0</v>
      </c>
      <c r="I2513" s="341" t="str">
        <f t="shared" si="663"/>
        <v>SIM</v>
      </c>
      <c r="J2513" s="341" t="str">
        <f>IF(A2513="","",VLOOKUP(A2513,VII.A!$A$10:$D$199,3,FALSE))</f>
        <v>KG</v>
      </c>
      <c r="K2513" s="342" t="str">
        <f t="shared" si="664"/>
        <v>SIM</v>
      </c>
      <c r="L2513" s="380">
        <f>IF(C2513="","",G2507*C2513)</f>
        <v>598.79999999999995</v>
      </c>
      <c r="M2513" s="381" t="str">
        <f>IF(A2513="","",VLOOKUP(A2513,VII.A!$A$10:$B$199,2,FALSE))</f>
        <v>PREGO EM AÇO POLIDO COM CABEÇA (MEDIA DAS BITOLAS)</v>
      </c>
      <c r="N2513" s="342" t="str">
        <f t="shared" si="665"/>
        <v>si</v>
      </c>
      <c r="R2513" s="341"/>
      <c r="S2513" s="341"/>
    </row>
    <row r="2514" spans="1:21" ht="12.75" customHeight="1">
      <c r="A2514" s="385"/>
      <c r="B2514" s="386"/>
      <c r="C2514" s="20"/>
      <c r="D2514" s="342"/>
      <c r="E2514" s="387"/>
      <c r="F2514" s="388">
        <f t="shared" si="666"/>
        <v>0</v>
      </c>
      <c r="H2514" s="341" t="str">
        <f>IF(A2514="","",VLOOKUP(A2514,VII.A!$A$10:$D$199,4,FALSE))</f>
        <v/>
      </c>
      <c r="I2514" s="341" t="str">
        <f t="shared" si="663"/>
        <v/>
      </c>
      <c r="J2514" s="341" t="str">
        <f>IF(A2514="","",VLOOKUP(A2514,VII.A!$A$10:$D$199,3,FALSE))</f>
        <v/>
      </c>
      <c r="K2514" s="342" t="str">
        <f t="shared" si="664"/>
        <v/>
      </c>
      <c r="L2514" s="380" t="str">
        <f>IF(C2514="","",G2507*C2514)</f>
        <v/>
      </c>
      <c r="M2514" s="381" t="str">
        <f>IF(A2514="","",VLOOKUP(A2514,VII.A!$A$10:$B$199,2,FALSE))</f>
        <v/>
      </c>
      <c r="N2514" s="342" t="str">
        <f t="shared" si="665"/>
        <v/>
      </c>
      <c r="R2514" s="341"/>
      <c r="S2514" s="341"/>
      <c r="U2514" s="389"/>
    </row>
    <row r="2515" spans="1:21" ht="12.75" customHeight="1">
      <c r="A2515" s="385"/>
      <c r="B2515" s="386"/>
      <c r="C2515" s="20"/>
      <c r="D2515" s="342"/>
      <c r="E2515" s="387"/>
      <c r="F2515" s="388">
        <f t="shared" si="666"/>
        <v>0</v>
      </c>
      <c r="H2515" s="341" t="str">
        <f>IF(A2515="","",VLOOKUP(A2515,VII.A!$A$10:$D$199,4,FALSE))</f>
        <v/>
      </c>
      <c r="I2515" s="341" t="str">
        <f t="shared" si="663"/>
        <v/>
      </c>
      <c r="J2515" s="341" t="str">
        <f>IF(A2515="","",VLOOKUP(A2515,VII.A!$A$10:$D$199,3,FALSE))</f>
        <v/>
      </c>
      <c r="K2515" s="342" t="str">
        <f t="shared" si="664"/>
        <v/>
      </c>
      <c r="L2515" s="380" t="str">
        <f>IF(C2515="","",G2507*C2515)</f>
        <v/>
      </c>
      <c r="M2515" s="381" t="str">
        <f>IF(A2515="","",VLOOKUP(A2515,VII.A!$A$10:$B$199,2,FALSE))</f>
        <v/>
      </c>
      <c r="N2515" s="342" t="str">
        <f t="shared" si="665"/>
        <v/>
      </c>
      <c r="R2515" s="341"/>
      <c r="S2515" s="341"/>
    </row>
    <row r="2516" spans="1:21" ht="12.75" customHeight="1">
      <c r="A2516" s="385"/>
      <c r="B2516" s="386"/>
      <c r="C2516" s="20"/>
      <c r="D2516" s="342"/>
      <c r="E2516" s="387"/>
      <c r="F2516" s="388">
        <f t="shared" si="666"/>
        <v>0</v>
      </c>
      <c r="G2516" s="390"/>
      <c r="H2516" s="341" t="str">
        <f>IF(A2516="","",VLOOKUP(A2516,VII.A!$A$10:$D$199,4,FALSE))</f>
        <v/>
      </c>
      <c r="I2516" s="341" t="str">
        <f t="shared" si="663"/>
        <v/>
      </c>
      <c r="J2516" s="341" t="str">
        <f>IF(A2516="","",VLOOKUP(A2516,VII.A!$A$10:$D$199,3,FALSE))</f>
        <v/>
      </c>
      <c r="K2516" s="342" t="str">
        <f t="shared" si="664"/>
        <v/>
      </c>
      <c r="L2516" s="380" t="str">
        <f>IF(C2516="","",G2507*C2516)</f>
        <v/>
      </c>
      <c r="M2516" s="381" t="str">
        <f>IF(A2516="","",VLOOKUP(A2516,VII.A!$A$10:$B$199,2,FALSE))</f>
        <v/>
      </c>
      <c r="N2516" s="342" t="str">
        <f t="shared" si="665"/>
        <v/>
      </c>
      <c r="R2516" s="341"/>
      <c r="S2516" s="341"/>
    </row>
    <row r="2517" spans="1:21" ht="12.75" customHeight="1">
      <c r="A2517" s="385"/>
      <c r="B2517" s="386"/>
      <c r="C2517" s="20"/>
      <c r="D2517" s="342"/>
      <c r="E2517" s="387"/>
      <c r="F2517" s="388">
        <f t="shared" si="666"/>
        <v>0</v>
      </c>
      <c r="G2517" s="390"/>
      <c r="H2517" s="341" t="str">
        <f>IF(A2517="","",VLOOKUP(A2517,VII.A!$A$10:$D$199,4,FALSE))</f>
        <v/>
      </c>
      <c r="I2517" s="341" t="str">
        <f t="shared" si="663"/>
        <v/>
      </c>
      <c r="J2517" s="341" t="str">
        <f>IF(A2517="","",VLOOKUP(A2517,VII.A!$A$10:$D$199,3,FALSE))</f>
        <v/>
      </c>
      <c r="K2517" s="342" t="str">
        <f t="shared" si="664"/>
        <v/>
      </c>
      <c r="L2517" s="380" t="str">
        <f>IF(C2517="","",G2507*C2517)</f>
        <v/>
      </c>
      <c r="M2517" s="381" t="str">
        <f>IF(A2517="","",VLOOKUP(A2517,VII.A!$A$10:$B$199,2,FALSE))</f>
        <v/>
      </c>
      <c r="N2517" s="342" t="str">
        <f t="shared" si="665"/>
        <v/>
      </c>
      <c r="R2517" s="341"/>
      <c r="S2517" s="341"/>
    </row>
    <row r="2518" spans="1:21" ht="12.75" customHeight="1">
      <c r="A2518" s="385"/>
      <c r="B2518" s="386"/>
      <c r="C2518" s="20"/>
      <c r="D2518" s="342"/>
      <c r="E2518" s="387"/>
      <c r="F2518" s="388">
        <f t="shared" si="666"/>
        <v>0</v>
      </c>
      <c r="G2518" s="391"/>
      <c r="H2518" s="341" t="str">
        <f>IF(A2518="","",VLOOKUP(A2518,VII.A!$A$10:$D$199,4,FALSE))</f>
        <v/>
      </c>
      <c r="I2518" s="341" t="str">
        <f t="shared" si="663"/>
        <v/>
      </c>
      <c r="J2518" s="341" t="str">
        <f>IF(A2518="","",VLOOKUP(A2518,VII.A!$A$10:$D$199,3,FALSE))</f>
        <v/>
      </c>
      <c r="K2518" s="342" t="str">
        <f t="shared" si="664"/>
        <v/>
      </c>
      <c r="L2518" s="380" t="str">
        <f>IF(C2518="","",G2507*C2518)</f>
        <v/>
      </c>
      <c r="M2518" s="381" t="str">
        <f>IF(A2518="","",VLOOKUP(A2518,VII.A!$A$10:$B$199,2,FALSE))</f>
        <v/>
      </c>
      <c r="N2518" s="342" t="str">
        <f t="shared" si="665"/>
        <v/>
      </c>
      <c r="R2518" s="341"/>
      <c r="S2518" s="341"/>
    </row>
    <row r="2519" spans="1:21" ht="12.75" customHeight="1">
      <c r="A2519" s="385"/>
      <c r="B2519" s="386"/>
      <c r="C2519" s="20"/>
      <c r="D2519" s="342"/>
      <c r="E2519" s="387"/>
      <c r="F2519" s="388">
        <f t="shared" si="666"/>
        <v>0</v>
      </c>
      <c r="H2519" s="341" t="str">
        <f>IF(A2519="","",VLOOKUP(A2519,VII.A!$A$10:$D$199,4,FALSE))</f>
        <v/>
      </c>
      <c r="I2519" s="341" t="str">
        <f t="shared" si="663"/>
        <v/>
      </c>
      <c r="J2519" s="341" t="str">
        <f>IF(A2519="","",VLOOKUP(A2519,VII.A!$A$10:$D$199,3,FALSE))</f>
        <v/>
      </c>
      <c r="K2519" s="342" t="str">
        <f t="shared" si="664"/>
        <v/>
      </c>
      <c r="L2519" s="380" t="str">
        <f>IF(C2519="","",G2507*C2519)</f>
        <v/>
      </c>
      <c r="M2519" s="381" t="str">
        <f>IF(A2519="","",VLOOKUP(A2519,VII.A!$A$10:$B$199,2,FALSE))</f>
        <v/>
      </c>
      <c r="N2519" s="342" t="str">
        <f t="shared" si="665"/>
        <v/>
      </c>
      <c r="R2519" s="341"/>
      <c r="S2519" s="341"/>
    </row>
    <row r="2520" spans="1:21" ht="12.75" customHeight="1">
      <c r="A2520" s="385"/>
      <c r="B2520" s="386"/>
      <c r="C2520" s="20"/>
      <c r="D2520" s="392"/>
      <c r="E2520" s="387"/>
      <c r="F2520" s="388">
        <f t="shared" si="666"/>
        <v>0</v>
      </c>
      <c r="H2520" s="341" t="str">
        <f>IF(A2520="","",VLOOKUP(A2520,VII.A!$A$10:$D$199,4,FALSE))</f>
        <v/>
      </c>
      <c r="I2520" s="341" t="str">
        <f t="shared" si="663"/>
        <v/>
      </c>
      <c r="J2520" s="341" t="str">
        <f>IF(A2520="","",VLOOKUP(A2520,VII.A!$A$10:$D$199,3,FALSE))</f>
        <v/>
      </c>
      <c r="K2520" s="342" t="str">
        <f t="shared" si="664"/>
        <v/>
      </c>
      <c r="L2520" s="380" t="str">
        <f>IF(C2520="","",G2507*C2520)</f>
        <v/>
      </c>
      <c r="M2520" s="381" t="str">
        <f>IF(A2520="","",VLOOKUP(A2520,VII.A!$A$10:$B$199,2,FALSE))</f>
        <v/>
      </c>
      <c r="N2520" s="342" t="str">
        <f t="shared" si="665"/>
        <v/>
      </c>
      <c r="R2520" s="341"/>
      <c r="S2520" s="341"/>
    </row>
    <row r="2521" spans="1:21" ht="12.75" customHeight="1">
      <c r="A2521" s="385"/>
      <c r="B2521" s="386"/>
      <c r="C2521" s="20"/>
      <c r="D2521" s="392"/>
      <c r="E2521" s="387"/>
      <c r="F2521" s="388">
        <f t="shared" si="666"/>
        <v>0</v>
      </c>
      <c r="H2521" s="341" t="str">
        <f>IF(A2521="","",VLOOKUP(A2521,VII.A!$A$10:$D$199,4,FALSE))</f>
        <v/>
      </c>
      <c r="I2521" s="341" t="str">
        <f t="shared" si="663"/>
        <v/>
      </c>
      <c r="J2521" s="341" t="str">
        <f>IF(A2521="","",VLOOKUP(A2521,VII.A!$A$10:$D$199,3,FALSE))</f>
        <v/>
      </c>
      <c r="K2521" s="342" t="str">
        <f t="shared" si="664"/>
        <v/>
      </c>
      <c r="L2521" s="380" t="str">
        <f>IF(C2521="","",G2507*C2521)</f>
        <v/>
      </c>
      <c r="M2521" s="381" t="str">
        <f>IF(A2521="","",VLOOKUP(A2521,VII.A!$A$10:$B$199,2,FALSE))</f>
        <v/>
      </c>
      <c r="N2521" s="342" t="str">
        <f t="shared" si="665"/>
        <v/>
      </c>
      <c r="O2521" s="342"/>
      <c r="R2521" s="341"/>
      <c r="S2521" s="341"/>
    </row>
    <row r="2522" spans="1:21" ht="12.75" customHeight="1">
      <c r="A2522" s="385"/>
      <c r="B2522" s="386"/>
      <c r="C2522" s="20"/>
      <c r="D2522" s="392"/>
      <c r="E2522" s="387"/>
      <c r="F2522" s="388">
        <f t="shared" si="666"/>
        <v>0</v>
      </c>
      <c r="H2522" s="341" t="str">
        <f>IF(A2522="","",VLOOKUP(A2522,VII.A!$A$10:$D$199,4,FALSE))</f>
        <v/>
      </c>
      <c r="I2522" s="341" t="str">
        <f t="shared" si="663"/>
        <v/>
      </c>
      <c r="J2522" s="341" t="str">
        <f>IF(A2522="","",VLOOKUP(A2522,VII.A!$A$10:$D$199,3,FALSE))</f>
        <v/>
      </c>
      <c r="K2522" s="342" t="str">
        <f t="shared" si="664"/>
        <v/>
      </c>
      <c r="L2522" s="380" t="str">
        <f>IF(C2522="","",G2507*C2522)</f>
        <v/>
      </c>
      <c r="M2522" s="381" t="str">
        <f>IF(A2522="","",VLOOKUP(A2522,VII.A!$A$10:$B$199,2,FALSE))</f>
        <v/>
      </c>
      <c r="N2522" s="342" t="str">
        <f t="shared" si="665"/>
        <v/>
      </c>
      <c r="R2522" s="341"/>
      <c r="S2522" s="341"/>
    </row>
    <row r="2523" spans="1:21" ht="12.75" customHeight="1">
      <c r="A2523" s="393"/>
      <c r="C2523" s="20"/>
      <c r="E2523" s="387"/>
      <c r="F2523" s="388">
        <f t="shared" si="666"/>
        <v>0</v>
      </c>
      <c r="H2523" s="341" t="str">
        <f>IF(A2523="","",VLOOKUP(A2523,VII.A!$A$10:$D$199,4,FALSE))</f>
        <v/>
      </c>
      <c r="I2523" s="341" t="str">
        <f t="shared" si="663"/>
        <v/>
      </c>
      <c r="J2523" s="341" t="str">
        <f>IF(A2523="","",VLOOKUP(A2523,VII.A!$A$10:$D$199,3,FALSE))</f>
        <v/>
      </c>
      <c r="K2523" s="342" t="str">
        <f t="shared" si="664"/>
        <v/>
      </c>
      <c r="L2523" s="380" t="str">
        <f>IF(C2523="","",G2507*C2523)</f>
        <v/>
      </c>
      <c r="M2523" s="381" t="str">
        <f>IF(A2523="","",VLOOKUP(A2523,VII.A!$A$10:$B$199,2,FALSE))</f>
        <v/>
      </c>
      <c r="N2523" s="342" t="str">
        <f t="shared" si="665"/>
        <v/>
      </c>
      <c r="R2523" s="341"/>
      <c r="S2523" s="341"/>
    </row>
    <row r="2524" spans="1:21" ht="12.75" customHeight="1">
      <c r="A2524" s="393"/>
      <c r="C2524" s="20"/>
      <c r="E2524" s="387"/>
      <c r="F2524" s="388">
        <f t="shared" si="666"/>
        <v>0</v>
      </c>
      <c r="H2524" s="341" t="str">
        <f>IF(A2524="","",VLOOKUP(A2524,VII.A!$A$10:$D$199,4,FALSE))</f>
        <v/>
      </c>
      <c r="I2524" s="341" t="str">
        <f t="shared" si="663"/>
        <v/>
      </c>
      <c r="J2524" s="341" t="str">
        <f>IF(A2524="","",VLOOKUP(A2524,VII.A!$A$10:$D$199,3,FALSE))</f>
        <v/>
      </c>
      <c r="K2524" s="342" t="str">
        <f t="shared" si="664"/>
        <v/>
      </c>
      <c r="L2524" s="380" t="str">
        <f>IF(C2524="","",G2507*C2524)</f>
        <v/>
      </c>
      <c r="M2524" s="381" t="str">
        <f>IF(A2524="","",VLOOKUP(A2524,VII.A!$A$10:$B$199,2,FALSE))</f>
        <v/>
      </c>
      <c r="N2524" s="342" t="str">
        <f t="shared" si="665"/>
        <v/>
      </c>
      <c r="R2524" s="341"/>
      <c r="S2524" s="341"/>
    </row>
    <row r="2525" spans="1:21" ht="12.75" customHeight="1">
      <c r="A2525" s="393"/>
      <c r="B2525" s="395" t="s">
        <v>226</v>
      </c>
      <c r="C2525" s="396"/>
      <c r="D2525" s="397"/>
      <c r="E2525" s="398"/>
      <c r="F2525" s="399">
        <f>SUM(F2509:F2524)</f>
        <v>0</v>
      </c>
      <c r="H2525" s="426" t="s">
        <v>476</v>
      </c>
      <c r="J2525" s="341"/>
      <c r="L2525" s="380"/>
      <c r="M2525" s="381"/>
      <c r="N2525" s="342"/>
      <c r="R2525" s="341"/>
      <c r="S2525" s="341"/>
    </row>
    <row r="2526" spans="1:21" ht="12.75" customHeight="1">
      <c r="A2526" s="393"/>
      <c r="B2526" s="400" t="s">
        <v>53</v>
      </c>
      <c r="C2526" s="2">
        <f>$D$8</f>
        <v>0</v>
      </c>
      <c r="D2526" s="401"/>
      <c r="E2526" s="402"/>
      <c r="F2526" s="403">
        <f>ROUND(F2525*C2526,2)</f>
        <v>0</v>
      </c>
      <c r="H2526" s="426" t="s">
        <v>477</v>
      </c>
      <c r="J2526" s="341"/>
      <c r="K2526" s="434" t="s">
        <v>478</v>
      </c>
      <c r="L2526" s="380"/>
      <c r="M2526" s="381"/>
      <c r="N2526" s="342"/>
      <c r="R2526" s="341"/>
      <c r="S2526" s="341"/>
    </row>
    <row r="2527" spans="1:21" ht="12.75" customHeight="1">
      <c r="A2527" s="404"/>
      <c r="B2527" s="405" t="s">
        <v>227</v>
      </c>
      <c r="C2527" s="406"/>
      <c r="D2527" s="406"/>
      <c r="E2527" s="407"/>
      <c r="F2527" s="408">
        <f>F2525+F2526</f>
        <v>0</v>
      </c>
      <c r="J2527" s="341"/>
      <c r="L2527" s="380"/>
      <c r="M2527" s="381"/>
      <c r="N2527" s="342"/>
      <c r="R2527" s="341"/>
      <c r="S2527" s="341"/>
    </row>
    <row r="2528" spans="1:21" ht="12.75" customHeight="1">
      <c r="A2528" s="374" t="s">
        <v>2</v>
      </c>
      <c r="B2528" s="375" t="s">
        <v>235</v>
      </c>
      <c r="C2528" s="376" t="s">
        <v>231</v>
      </c>
      <c r="D2528" s="376" t="s">
        <v>232</v>
      </c>
      <c r="E2528" s="377" t="s">
        <v>233</v>
      </c>
      <c r="F2528" s="378" t="s">
        <v>234</v>
      </c>
      <c r="J2528" s="341"/>
      <c r="L2528" s="380"/>
      <c r="M2528" s="381"/>
      <c r="N2528" s="342"/>
      <c r="R2528" s="341"/>
      <c r="S2528" s="341"/>
    </row>
    <row r="2529" spans="1:19" ht="12.75" customHeight="1">
      <c r="A2529" s="393"/>
      <c r="B2529" s="423"/>
      <c r="C2529" s="20"/>
      <c r="E2529" s="387"/>
      <c r="F2529" s="388">
        <f t="shared" ref="F2529:F2538" si="667">ROUND(C2529*E2529,2)</f>
        <v>0</v>
      </c>
      <c r="H2529" s="341" t="str">
        <f>IF(A2529="","",VLOOKUP(A2529,VII.A!$A$10:$D$199,4,FALSE))</f>
        <v/>
      </c>
      <c r="I2529" s="341" t="str">
        <f t="shared" ref="I2529:I2538" si="668">IF(A2529="","",IF(E2529=H2529,"SIM","NÃO"))</f>
        <v/>
      </c>
      <c r="J2529" s="341" t="str">
        <f>IF(A2529="","",VLOOKUP(A2529,VII.A!$A$10:$D$199,3,FALSE))</f>
        <v/>
      </c>
      <c r="K2529" s="342" t="str">
        <f t="shared" ref="K2529:K2538" si="669">IF(A2529="","",IF(J2529=D2529,"SIM","NÃO"))</f>
        <v/>
      </c>
      <c r="L2529" s="380" t="str">
        <f>IF(C2529="","",G2507*C2529)</f>
        <v/>
      </c>
      <c r="M2529" s="381" t="str">
        <f>IF(A2529="","",VLOOKUP(A2529,VII.A!$A$10:$B$199,2,FALSE))</f>
        <v/>
      </c>
      <c r="N2529" s="342" t="str">
        <f t="shared" ref="N2529:N2538" si="670">IF(B2529="","",IF(M2529=B2529,"si","no"))</f>
        <v/>
      </c>
      <c r="R2529" s="341"/>
      <c r="S2529" s="341"/>
    </row>
    <row r="2530" spans="1:19" ht="12.75" customHeight="1">
      <c r="A2530" s="393"/>
      <c r="C2530" s="20"/>
      <c r="E2530" s="387"/>
      <c r="F2530" s="388">
        <f t="shared" si="667"/>
        <v>0</v>
      </c>
      <c r="H2530" s="341" t="str">
        <f>IF(A2530="","",VLOOKUP(A2530,VII.A!$A$10:$D$199,4,FALSE))</f>
        <v/>
      </c>
      <c r="I2530" s="341" t="str">
        <f t="shared" si="668"/>
        <v/>
      </c>
      <c r="J2530" s="341" t="str">
        <f>IF(A2530="","",VLOOKUP(A2530,VII.A!$A$10:$D$199,3,FALSE))</f>
        <v/>
      </c>
      <c r="K2530" s="342" t="str">
        <f t="shared" si="669"/>
        <v/>
      </c>
      <c r="L2530" s="380" t="str">
        <f>IF(C2530="","",G2507*C2530)</f>
        <v/>
      </c>
      <c r="M2530" s="381" t="str">
        <f>IF(A2530="","",VLOOKUP(A2530,VII.A!$A$10:$B$199,2,FALSE))</f>
        <v/>
      </c>
      <c r="N2530" s="342" t="str">
        <f t="shared" si="670"/>
        <v/>
      </c>
      <c r="R2530" s="341"/>
      <c r="S2530" s="341"/>
    </row>
    <row r="2531" spans="1:19" ht="12.75" customHeight="1">
      <c r="A2531" s="393"/>
      <c r="C2531" s="20"/>
      <c r="E2531" s="387"/>
      <c r="F2531" s="388">
        <f t="shared" si="667"/>
        <v>0</v>
      </c>
      <c r="H2531" s="341" t="str">
        <f>IF(A2531="","",VLOOKUP(A2531,VII.A!$A$10:$D$199,4,FALSE))</f>
        <v/>
      </c>
      <c r="I2531" s="341" t="str">
        <f t="shared" si="668"/>
        <v/>
      </c>
      <c r="J2531" s="341" t="str">
        <f>IF(A2531="","",VLOOKUP(A2531,VII.A!$A$10:$D$199,3,FALSE))</f>
        <v/>
      </c>
      <c r="K2531" s="342" t="str">
        <f t="shared" si="669"/>
        <v/>
      </c>
      <c r="L2531" s="380" t="str">
        <f>IF(C2531="","",G2507*C2531)</f>
        <v/>
      </c>
      <c r="M2531" s="381" t="str">
        <f>IF(A2531="","",VLOOKUP(A2531,VII.A!$A$10:$B$199,2,FALSE))</f>
        <v/>
      </c>
      <c r="N2531" s="342" t="str">
        <f t="shared" si="670"/>
        <v/>
      </c>
      <c r="R2531" s="341"/>
      <c r="S2531" s="341"/>
    </row>
    <row r="2532" spans="1:19" ht="12.75" customHeight="1">
      <c r="A2532" s="393"/>
      <c r="C2532" s="20"/>
      <c r="E2532" s="387"/>
      <c r="F2532" s="388">
        <f t="shared" si="667"/>
        <v>0</v>
      </c>
      <c r="H2532" s="341" t="str">
        <f>IF(A2532="","",VLOOKUP(A2532,VII.A!$A$10:$D$199,4,FALSE))</f>
        <v/>
      </c>
      <c r="I2532" s="341" t="str">
        <f t="shared" si="668"/>
        <v/>
      </c>
      <c r="J2532" s="341" t="str">
        <f>IF(A2532="","",VLOOKUP(A2532,VII.A!$A$10:$D$199,3,FALSE))</f>
        <v/>
      </c>
      <c r="K2532" s="342" t="str">
        <f t="shared" si="669"/>
        <v/>
      </c>
      <c r="L2532" s="380" t="str">
        <f>IF(C2532="","",G2507*C2532)</f>
        <v/>
      </c>
      <c r="M2532" s="381" t="str">
        <f>IF(A2532="","",VLOOKUP(A2532,VII.A!$A$10:$B$199,2,FALSE))</f>
        <v/>
      </c>
      <c r="N2532" s="342" t="str">
        <f t="shared" si="670"/>
        <v/>
      </c>
      <c r="R2532" s="341"/>
      <c r="S2532" s="341"/>
    </row>
    <row r="2533" spans="1:19" ht="12.75" customHeight="1">
      <c r="A2533" s="393"/>
      <c r="C2533" s="20"/>
      <c r="E2533" s="387"/>
      <c r="F2533" s="388">
        <f t="shared" si="667"/>
        <v>0</v>
      </c>
      <c r="G2533" s="390"/>
      <c r="H2533" s="341" t="str">
        <f>IF(A2533="","",VLOOKUP(A2533,VII.A!$A$10:$D$199,4,FALSE))</f>
        <v/>
      </c>
      <c r="I2533" s="341" t="str">
        <f t="shared" si="668"/>
        <v/>
      </c>
      <c r="J2533" s="341" t="str">
        <f>IF(A2533="","",VLOOKUP(A2533,VII.A!$A$10:$D$199,3,FALSE))</f>
        <v/>
      </c>
      <c r="K2533" s="342" t="str">
        <f t="shared" si="669"/>
        <v/>
      </c>
      <c r="L2533" s="380" t="str">
        <f>IF(C2533="","",G2507*C2533)</f>
        <v/>
      </c>
      <c r="M2533" s="381" t="str">
        <f>IF(A2533="","",VLOOKUP(A2533,VII.A!$A$10:$B$199,2,FALSE))</f>
        <v/>
      </c>
      <c r="N2533" s="342" t="str">
        <f t="shared" si="670"/>
        <v/>
      </c>
      <c r="R2533" s="341"/>
      <c r="S2533" s="341"/>
    </row>
    <row r="2534" spans="1:19" ht="12.75" customHeight="1">
      <c r="A2534" s="393"/>
      <c r="C2534" s="20"/>
      <c r="E2534" s="387"/>
      <c r="F2534" s="388">
        <f t="shared" si="667"/>
        <v>0</v>
      </c>
      <c r="G2534" s="391"/>
      <c r="H2534" s="341" t="str">
        <f>IF(A2534="","",VLOOKUP(A2534,VII.A!$A$10:$D$199,4,FALSE))</f>
        <v/>
      </c>
      <c r="I2534" s="341" t="str">
        <f t="shared" si="668"/>
        <v/>
      </c>
      <c r="J2534" s="341" t="str">
        <f>IF(A2534="","",VLOOKUP(A2534,VII.A!$A$10:$D$199,3,FALSE))</f>
        <v/>
      </c>
      <c r="K2534" s="342" t="str">
        <f t="shared" si="669"/>
        <v/>
      </c>
      <c r="L2534" s="380" t="str">
        <f>IF(C2534="","",G2507*C2534)</f>
        <v/>
      </c>
      <c r="M2534" s="381" t="str">
        <f>IF(A2534="","",VLOOKUP(A2534,VII.A!$A$10:$B$199,2,FALSE))</f>
        <v/>
      </c>
      <c r="N2534" s="342" t="str">
        <f t="shared" si="670"/>
        <v/>
      </c>
      <c r="R2534" s="341"/>
      <c r="S2534" s="341"/>
    </row>
    <row r="2535" spans="1:19" ht="12.75" customHeight="1">
      <c r="A2535" s="393"/>
      <c r="C2535" s="20"/>
      <c r="E2535" s="387"/>
      <c r="F2535" s="388">
        <f t="shared" si="667"/>
        <v>0</v>
      </c>
      <c r="H2535" s="341" t="str">
        <f>IF(A2535="","",VLOOKUP(A2535,VII.A!$A$10:$D$199,4,FALSE))</f>
        <v/>
      </c>
      <c r="I2535" s="341" t="str">
        <f t="shared" si="668"/>
        <v/>
      </c>
      <c r="J2535" s="341" t="str">
        <f>IF(A2535="","",VLOOKUP(A2535,VII.A!$A$10:$D$199,3,FALSE))</f>
        <v/>
      </c>
      <c r="K2535" s="342" t="str">
        <f t="shared" si="669"/>
        <v/>
      </c>
      <c r="L2535" s="380" t="str">
        <f>IF(C2535="","",G2507*C2535)</f>
        <v/>
      </c>
      <c r="M2535" s="381" t="str">
        <f>IF(A2535="","",VLOOKUP(A2535,VII.A!$A$10:$B$199,2,FALSE))</f>
        <v/>
      </c>
      <c r="N2535" s="342" t="str">
        <f t="shared" si="670"/>
        <v/>
      </c>
      <c r="R2535" s="341"/>
      <c r="S2535" s="341"/>
    </row>
    <row r="2536" spans="1:19" ht="12.75" customHeight="1">
      <c r="A2536" s="393"/>
      <c r="C2536" s="20"/>
      <c r="E2536" s="387"/>
      <c r="F2536" s="388">
        <f t="shared" si="667"/>
        <v>0</v>
      </c>
      <c r="H2536" s="341" t="str">
        <f>IF(A2536="","",VLOOKUP(A2536,VII.A!$A$10:$D$199,4,FALSE))</f>
        <v/>
      </c>
      <c r="I2536" s="341" t="str">
        <f t="shared" si="668"/>
        <v/>
      </c>
      <c r="J2536" s="341" t="str">
        <f>IF(A2536="","",VLOOKUP(A2536,VII.A!$A$10:$D$199,3,FALSE))</f>
        <v/>
      </c>
      <c r="K2536" s="342" t="str">
        <f t="shared" si="669"/>
        <v/>
      </c>
      <c r="L2536" s="380" t="str">
        <f>IF(C2536="","",G2507*C2536)</f>
        <v/>
      </c>
      <c r="M2536" s="381" t="str">
        <f>IF(A2536="","",VLOOKUP(A2536,VII.A!$A$10:$B$199,2,FALSE))</f>
        <v/>
      </c>
      <c r="N2536" s="342" t="str">
        <f t="shared" si="670"/>
        <v/>
      </c>
      <c r="R2536" s="341"/>
      <c r="S2536" s="341"/>
    </row>
    <row r="2537" spans="1:19" ht="12.75" customHeight="1">
      <c r="A2537" s="393"/>
      <c r="C2537" s="20"/>
      <c r="E2537" s="387"/>
      <c r="F2537" s="388">
        <f t="shared" si="667"/>
        <v>0</v>
      </c>
      <c r="H2537" s="341" t="str">
        <f>IF(A2537="","",VLOOKUP(A2537,VII.A!$A$10:$D$199,4,FALSE))</f>
        <v/>
      </c>
      <c r="I2537" s="341" t="str">
        <f t="shared" si="668"/>
        <v/>
      </c>
      <c r="J2537" s="341" t="str">
        <f>IF(A2537="","",VLOOKUP(A2537,VII.A!$A$10:$D$199,3,FALSE))</f>
        <v/>
      </c>
      <c r="K2537" s="342" t="str">
        <f t="shared" si="669"/>
        <v/>
      </c>
      <c r="L2537" s="380" t="str">
        <f>IF(C2537="","",G2507*C2537)</f>
        <v/>
      </c>
      <c r="M2537" s="381" t="str">
        <f>IF(A2537="","",VLOOKUP(A2537,VII.A!$A$10:$B$199,2,FALSE))</f>
        <v/>
      </c>
      <c r="N2537" s="342" t="str">
        <f t="shared" si="670"/>
        <v/>
      </c>
      <c r="R2537" s="341"/>
      <c r="S2537" s="341"/>
    </row>
    <row r="2538" spans="1:19" ht="12.75" customHeight="1">
      <c r="A2538" s="393"/>
      <c r="C2538" s="20"/>
      <c r="E2538" s="387"/>
      <c r="F2538" s="388">
        <f t="shared" si="667"/>
        <v>0</v>
      </c>
      <c r="H2538" s="341" t="str">
        <f>IF(A2538="","",VLOOKUP(A2538,VII.A!$A$10:$D$199,4,FALSE))</f>
        <v/>
      </c>
      <c r="I2538" s="341" t="str">
        <f t="shared" si="668"/>
        <v/>
      </c>
      <c r="J2538" s="341" t="str">
        <f>IF(A2538="","",VLOOKUP(A2538,VII.A!$A$10:$D$199,3,FALSE))</f>
        <v/>
      </c>
      <c r="K2538" s="342" t="str">
        <f t="shared" si="669"/>
        <v/>
      </c>
      <c r="L2538" s="380" t="str">
        <f>IF(C2538="","",G2507*C2538)</f>
        <v/>
      </c>
      <c r="M2538" s="381" t="str">
        <f>IF(A2538="","",VLOOKUP(A2538,VII.A!$A$10:$B$199,2,FALSE))</f>
        <v/>
      </c>
      <c r="N2538" s="342" t="str">
        <f t="shared" si="670"/>
        <v/>
      </c>
      <c r="R2538" s="341"/>
      <c r="S2538" s="341"/>
    </row>
    <row r="2539" spans="1:19" ht="12.75" customHeight="1">
      <c r="A2539" s="393"/>
      <c r="B2539" s="395" t="s">
        <v>226</v>
      </c>
      <c r="C2539" s="396"/>
      <c r="D2539" s="397"/>
      <c r="E2539" s="398"/>
      <c r="F2539" s="399">
        <f>SUM(F2529:F2538)</f>
        <v>0</v>
      </c>
      <c r="J2539" s="341"/>
      <c r="L2539" s="380"/>
      <c r="M2539" s="381"/>
      <c r="N2539" s="342"/>
      <c r="R2539" s="341"/>
      <c r="S2539" s="341"/>
    </row>
    <row r="2540" spans="1:19" ht="12.75" customHeight="1">
      <c r="A2540" s="393"/>
      <c r="B2540" s="400" t="s">
        <v>53</v>
      </c>
      <c r="C2540" s="2">
        <f>$D$8</f>
        <v>0</v>
      </c>
      <c r="D2540" s="401"/>
      <c r="E2540" s="402"/>
      <c r="F2540" s="403">
        <f>ROUND(C2540*F2539,2)</f>
        <v>0</v>
      </c>
      <c r="J2540" s="341"/>
      <c r="L2540" s="380"/>
      <c r="M2540" s="381"/>
      <c r="N2540" s="342"/>
      <c r="R2540" s="341"/>
      <c r="S2540" s="341"/>
    </row>
    <row r="2541" spans="1:19" ht="12.75" customHeight="1">
      <c r="A2541" s="404"/>
      <c r="B2541" s="405" t="s">
        <v>228</v>
      </c>
      <c r="C2541" s="406"/>
      <c r="D2541" s="406"/>
      <c r="E2541" s="407"/>
      <c r="F2541" s="408">
        <f>F2539+F2540</f>
        <v>0</v>
      </c>
      <c r="J2541" s="341"/>
      <c r="L2541" s="380"/>
      <c r="M2541" s="381"/>
      <c r="N2541" s="342"/>
      <c r="R2541" s="341"/>
      <c r="S2541" s="341"/>
    </row>
    <row r="2542" spans="1:19" ht="12.75" customHeight="1">
      <c r="A2542" s="409" t="s">
        <v>47</v>
      </c>
      <c r="B2542" s="410" t="s">
        <v>236</v>
      </c>
      <c r="C2542" s="411" t="s">
        <v>231</v>
      </c>
      <c r="D2542" s="412" t="s">
        <v>232</v>
      </c>
      <c r="E2542" s="413" t="s">
        <v>233</v>
      </c>
      <c r="F2542" s="378" t="s">
        <v>234</v>
      </c>
      <c r="J2542" s="341"/>
      <c r="L2542" s="380"/>
      <c r="M2542" s="381"/>
      <c r="N2542" s="342"/>
      <c r="R2542" s="341"/>
      <c r="S2542" s="341"/>
    </row>
    <row r="2543" spans="1:19" ht="12.75" customHeight="1">
      <c r="A2543" s="393" t="str">
        <f>VII.A!$A$196</f>
        <v>3.16</v>
      </c>
      <c r="B2543" s="448" t="str">
        <f>VLOOKUP($A2543,VII.A!$A$10:$G$199,2,FALSE)</f>
        <v>SERVENTE COM ENCARGOS COMPLEMENTARES</v>
      </c>
      <c r="C2543" s="20">
        <f>1.7828+((0.394/0.05)*0.03)</f>
        <v>2.0192000000000001</v>
      </c>
      <c r="D2543" s="384" t="str">
        <f>VLOOKUP($A$2543,VII.A!$A$10:$G$199,3,FALSE)</f>
        <v>H</v>
      </c>
      <c r="E2543" s="387">
        <f>VII.A!$D$196</f>
        <v>0</v>
      </c>
      <c r="F2543" s="388">
        <f t="shared" ref="F2543:F2549" si="671">ROUND(C2543*E2543,2)</f>
        <v>0</v>
      </c>
      <c r="H2543" s="341">
        <f>IF(A2543="","",VLOOKUP(A2543,VII.A!$A$10:$D$199,4,FALSE))</f>
        <v>0</v>
      </c>
      <c r="I2543" s="341" t="str">
        <f t="shared" ref="I2543:I2549" si="672">IF(A2543="","",IF(E2543=H2543,"SIM","NÃO"))</f>
        <v>SIM</v>
      </c>
      <c r="J2543" s="341" t="str">
        <f>IF(A2543="","",VLOOKUP(A2543,VII.A!$A$10:$D$199,3,FALSE))</f>
        <v>H</v>
      </c>
      <c r="K2543" s="342" t="str">
        <f t="shared" ref="K2543:K2549" si="673">IF(A2543="","",IF(J2543=D2543,"SIM","NÃO"))</f>
        <v>SIM</v>
      </c>
      <c r="L2543" s="380">
        <f>IF(C2543="","",G2507*C2543)</f>
        <v>4038.4</v>
      </c>
      <c r="M2543" s="381" t="str">
        <f>IF(A2543="","",VLOOKUP(A2543,VII.A!$A$10:$B$199,2,FALSE))</f>
        <v>SERVENTE COM ENCARGOS COMPLEMENTARES</v>
      </c>
      <c r="N2543" s="342" t="str">
        <f t="shared" ref="N2543:N2549" si="674">IF(B2543="","",IF(M2543=B2543,"si","no"))</f>
        <v>si</v>
      </c>
      <c r="R2543" s="341"/>
      <c r="S2543" s="341"/>
    </row>
    <row r="2544" spans="1:19" ht="12.75" customHeight="1">
      <c r="A2544" s="393" t="str">
        <f>VII.A!$A$192</f>
        <v>3.12</v>
      </c>
      <c r="B2544" s="448" t="str">
        <f>VLOOKUP($A2544,VII.A!$A$10:$G$199,2,FALSE)</f>
        <v>PEDREIRO COM ENCARGOS COMPLEMENTARES</v>
      </c>
      <c r="C2544" s="20">
        <f>0.156+((1.217/0.05)*0.03)</f>
        <v>0.88619999999999999</v>
      </c>
      <c r="D2544" s="384" t="str">
        <f>VLOOKUP(A2544,VII.A!$A$10:$G$199,3,FALSE)</f>
        <v>H</v>
      </c>
      <c r="E2544" s="387">
        <f>VII.A!$D$192</f>
        <v>0</v>
      </c>
      <c r="F2544" s="388">
        <f t="shared" si="671"/>
        <v>0</v>
      </c>
      <c r="H2544" s="341">
        <f>IF(A2544="","",VLOOKUP(A2544,VII.A!$A$10:$D$199,4,FALSE))</f>
        <v>0</v>
      </c>
      <c r="I2544" s="341" t="str">
        <f t="shared" si="672"/>
        <v>SIM</v>
      </c>
      <c r="J2544" s="341" t="str">
        <f>IF(A2544="","",VLOOKUP(A2544,VII.A!$A$10:$D$199,3,FALSE))</f>
        <v>H</v>
      </c>
      <c r="K2544" s="342" t="str">
        <f t="shared" si="673"/>
        <v>SIM</v>
      </c>
      <c r="L2544" s="380">
        <f>IF(C2544="","",G2507*C2544)</f>
        <v>1772.3999999999999</v>
      </c>
      <c r="M2544" s="381" t="str">
        <f>IF(A2544="","",VLOOKUP(A2544,VII.A!$A$10:$B$199,2,FALSE))</f>
        <v>PEDREIRO COM ENCARGOS COMPLEMENTARES</v>
      </c>
      <c r="N2544" s="342" t="str">
        <f t="shared" si="674"/>
        <v>si</v>
      </c>
      <c r="R2544" s="341"/>
      <c r="S2544" s="341"/>
    </row>
    <row r="2545" spans="1:25" ht="12.75" customHeight="1">
      <c r="A2545" s="393" t="str">
        <f>VII.A!$A$186</f>
        <v>3.6</v>
      </c>
      <c r="B2545" s="448" t="str">
        <f>VLOOKUP($A2545,VII.A!$A$10:$G$199,2,FALSE)</f>
        <v>CARPINTEIRO COM ENCARGOS COMPLEMENTARES</v>
      </c>
      <c r="C2545" s="20">
        <v>1.6268</v>
      </c>
      <c r="D2545" s="384" t="str">
        <f>VLOOKUP(A2545,VII.A!$A$10:$G$199,3,FALSE)</f>
        <v>H</v>
      </c>
      <c r="E2545" s="387">
        <f>VII.A!D186</f>
        <v>0</v>
      </c>
      <c r="F2545" s="388">
        <f t="shared" si="671"/>
        <v>0</v>
      </c>
      <c r="H2545" s="341">
        <f>IF(A2545="","",VLOOKUP(A2545,VII.A!$A$10:$D$199,4,FALSE))</f>
        <v>0</v>
      </c>
      <c r="I2545" s="341" t="str">
        <f t="shared" si="672"/>
        <v>SIM</v>
      </c>
      <c r="J2545" s="341" t="str">
        <f>IF(A2545="","",VLOOKUP(A2545,VII.A!$A$10:$D$199,3,FALSE))</f>
        <v>H</v>
      </c>
      <c r="K2545" s="342" t="str">
        <f t="shared" si="673"/>
        <v>SIM</v>
      </c>
      <c r="L2545" s="380">
        <f>IF(C2545="","",G2507*C2545)</f>
        <v>3253.6</v>
      </c>
      <c r="M2545" s="381" t="str">
        <f>IF(A2545="","",VLOOKUP(A2545,VII.A!$A$10:$B$199,2,FALSE))</f>
        <v>CARPINTEIRO COM ENCARGOS COMPLEMENTARES</v>
      </c>
      <c r="N2545" s="342" t="str">
        <f t="shared" si="674"/>
        <v>si</v>
      </c>
      <c r="R2545" s="341"/>
      <c r="S2545" s="341"/>
    </row>
    <row r="2546" spans="1:25" ht="12.75" customHeight="1">
      <c r="A2546" s="393"/>
      <c r="C2546" s="20"/>
      <c r="E2546" s="387"/>
      <c r="F2546" s="388">
        <f t="shared" si="671"/>
        <v>0</v>
      </c>
      <c r="H2546" s="341" t="str">
        <f>IF(A2546="","",VLOOKUP(A2546,VII.A!$A$10:$D$199,4,FALSE))</f>
        <v/>
      </c>
      <c r="I2546" s="341" t="str">
        <f t="shared" si="672"/>
        <v/>
      </c>
      <c r="J2546" s="341" t="str">
        <f>IF(A2546="","",VLOOKUP(A2546,VII.A!$A$10:$D$199,3,FALSE))</f>
        <v/>
      </c>
      <c r="K2546" s="342" t="str">
        <f t="shared" si="673"/>
        <v/>
      </c>
      <c r="L2546" s="380" t="str">
        <f>IF(C2546="","",G2507*C2546)</f>
        <v/>
      </c>
      <c r="M2546" s="381" t="str">
        <f>IF(A2546="","",VLOOKUP(A2546,VII.A!$A$10:$B$199,2,FALSE))</f>
        <v/>
      </c>
      <c r="N2546" s="342" t="str">
        <f t="shared" si="674"/>
        <v/>
      </c>
      <c r="R2546" s="341"/>
      <c r="S2546" s="341"/>
    </row>
    <row r="2547" spans="1:25" ht="12.75" customHeight="1">
      <c r="A2547" s="393"/>
      <c r="C2547" s="20"/>
      <c r="E2547" s="387"/>
      <c r="F2547" s="388">
        <f t="shared" si="671"/>
        <v>0</v>
      </c>
      <c r="H2547" s="341" t="str">
        <f>IF(A2547="","",VLOOKUP(A2547,VII.A!$A$10:$D$199,4,FALSE))</f>
        <v/>
      </c>
      <c r="I2547" s="341" t="str">
        <f t="shared" si="672"/>
        <v/>
      </c>
      <c r="J2547" s="341" t="str">
        <f>IF(A2547="","",VLOOKUP(A2547,VII.A!$A$10:$D$199,3,FALSE))</f>
        <v/>
      </c>
      <c r="K2547" s="342" t="str">
        <f t="shared" si="673"/>
        <v/>
      </c>
      <c r="L2547" s="380" t="str">
        <f>IF(C2547="","",G2507*C2547)</f>
        <v/>
      </c>
      <c r="M2547" s="381" t="str">
        <f>IF(A2547="","",VLOOKUP(A2547,VII.A!$A$10:$B$199,2,FALSE))</f>
        <v/>
      </c>
      <c r="N2547" s="342" t="str">
        <f t="shared" si="674"/>
        <v/>
      </c>
      <c r="R2547" s="341"/>
      <c r="S2547" s="341"/>
    </row>
    <row r="2548" spans="1:25" ht="12.75" customHeight="1">
      <c r="A2548" s="393"/>
      <c r="C2548" s="20"/>
      <c r="E2548" s="387"/>
      <c r="F2548" s="388">
        <f t="shared" si="671"/>
        <v>0</v>
      </c>
      <c r="H2548" s="341" t="str">
        <f>IF(A2548="","",VLOOKUP(A2548,VII.A!$A$10:$D$199,4,FALSE))</f>
        <v/>
      </c>
      <c r="I2548" s="341" t="str">
        <f t="shared" si="672"/>
        <v/>
      </c>
      <c r="J2548" s="341" t="str">
        <f>IF(A2548="","",VLOOKUP(A2548,VII.A!$A$10:$D$199,3,FALSE))</f>
        <v/>
      </c>
      <c r="K2548" s="342" t="str">
        <f t="shared" si="673"/>
        <v/>
      </c>
      <c r="L2548" s="380" t="str">
        <f>IF(C2548="","",G2507*C2548)</f>
        <v/>
      </c>
      <c r="M2548" s="381" t="str">
        <f>IF(A2548="","",VLOOKUP(A2548,VII.A!$A$10:$B$199,2,FALSE))</f>
        <v/>
      </c>
      <c r="N2548" s="342" t="str">
        <f t="shared" si="674"/>
        <v/>
      </c>
      <c r="R2548" s="341"/>
      <c r="S2548" s="341"/>
    </row>
    <row r="2549" spans="1:25" ht="12.75" customHeight="1">
      <c r="A2549" s="393"/>
      <c r="C2549" s="20"/>
      <c r="E2549" s="387"/>
      <c r="F2549" s="388">
        <f t="shared" si="671"/>
        <v>0</v>
      </c>
      <c r="H2549" s="341" t="str">
        <f>IF(A2549="","",VLOOKUP(A2549,VII.A!$A$10:$D$199,4,FALSE))</f>
        <v/>
      </c>
      <c r="I2549" s="341" t="str">
        <f t="shared" si="672"/>
        <v/>
      </c>
      <c r="J2549" s="341" t="str">
        <f>IF(A2549="","",VLOOKUP(A2549,VII.A!$A$10:$D$199,3,FALSE))</f>
        <v/>
      </c>
      <c r="K2549" s="342" t="str">
        <f t="shared" si="673"/>
        <v/>
      </c>
      <c r="L2549" s="380" t="str">
        <f>IF(C2549="","",G2507*C2549)</f>
        <v/>
      </c>
      <c r="M2549" s="381" t="str">
        <f>IF(A2549="","",VLOOKUP(A2549,VII.A!$A$10:$B$199,2,FALSE))</f>
        <v/>
      </c>
      <c r="N2549" s="342" t="str">
        <f t="shared" si="674"/>
        <v/>
      </c>
      <c r="R2549" s="341"/>
      <c r="S2549" s="341"/>
    </row>
    <row r="2550" spans="1:25" ht="12.75" customHeight="1">
      <c r="A2550" s="393"/>
      <c r="B2550" s="395" t="s">
        <v>226</v>
      </c>
      <c r="C2550" s="396"/>
      <c r="D2550" s="397"/>
      <c r="E2550" s="398"/>
      <c r="F2550" s="399">
        <f>SUM(F2543:F2549)</f>
        <v>0</v>
      </c>
      <c r="J2550" s="341"/>
      <c r="L2550" s="380"/>
      <c r="M2550" s="381"/>
      <c r="N2550" s="342"/>
      <c r="R2550" s="341"/>
      <c r="S2550" s="341"/>
    </row>
    <row r="2551" spans="1:25" ht="12.75" customHeight="1">
      <c r="A2551" s="393"/>
      <c r="B2551" s="400" t="s">
        <v>229</v>
      </c>
      <c r="C2551" s="2">
        <f>IX.A!$C$45</f>
        <v>0</v>
      </c>
      <c r="D2551" s="401"/>
      <c r="E2551" s="402"/>
      <c r="F2551" s="403">
        <f>ROUND(F2550*C2551,2)</f>
        <v>0</v>
      </c>
      <c r="J2551" s="341"/>
      <c r="L2551" s="380"/>
      <c r="M2551" s="381"/>
      <c r="N2551" s="342"/>
      <c r="R2551" s="341"/>
      <c r="S2551" s="341"/>
    </row>
    <row r="2552" spans="1:25" ht="12.75" customHeight="1">
      <c r="A2552" s="393"/>
      <c r="B2552" s="400" t="s">
        <v>53</v>
      </c>
      <c r="C2552" s="2">
        <f>$D$8</f>
        <v>0</v>
      </c>
      <c r="D2552" s="401"/>
      <c r="E2552" s="402"/>
      <c r="F2552" s="403">
        <f>ROUND(SUM(F2550:F2551)*C2552,2)</f>
        <v>0</v>
      </c>
      <c r="J2552" s="341"/>
      <c r="L2552" s="380"/>
      <c r="M2552" s="381"/>
      <c r="N2552" s="342"/>
      <c r="R2552" s="341"/>
      <c r="S2552" s="341"/>
    </row>
    <row r="2553" spans="1:25" ht="12.75" customHeight="1" thickBot="1">
      <c r="A2553" s="414"/>
      <c r="B2553" s="415" t="s">
        <v>230</v>
      </c>
      <c r="C2553" s="416"/>
      <c r="D2553" s="416"/>
      <c r="E2553" s="417"/>
      <c r="F2553" s="418">
        <f>SUM(F2550:F2552)</f>
        <v>0</v>
      </c>
      <c r="J2553" s="341"/>
      <c r="L2553" s="380"/>
      <c r="M2553" s="381"/>
      <c r="N2553" s="342"/>
      <c r="R2553" s="341"/>
      <c r="S2553" s="341"/>
    </row>
    <row r="2554" spans="1:25" ht="12.75" customHeight="1" thickBot="1">
      <c r="A2554" s="357"/>
      <c r="B2554" s="358"/>
      <c r="C2554" s="359"/>
      <c r="D2554" s="359"/>
      <c r="E2554" s="360"/>
      <c r="F2554" s="419"/>
      <c r="J2554" s="341"/>
      <c r="L2554" s="380"/>
      <c r="M2554" s="381"/>
      <c r="N2554" s="342"/>
      <c r="R2554" s="341"/>
      <c r="S2554" s="341"/>
    </row>
    <row r="2555" spans="1:25" ht="30" customHeight="1">
      <c r="A2555" s="370" t="str">
        <f>IV.A!$A$83</f>
        <v>3.5.4</v>
      </c>
      <c r="B2555" s="371" t="str">
        <f>IV.A!$B$83</f>
        <v xml:space="preserve">CONCRETO ESTRUTURAL VIRADO EM OBRA, FCK 20MPA </v>
      </c>
      <c r="C2555" s="871" t="s">
        <v>237</v>
      </c>
      <c r="D2555" s="872"/>
      <c r="E2555" s="372" t="str">
        <f>IV.A!$C$83</f>
        <v>M3</v>
      </c>
      <c r="F2555" s="11">
        <f>ROUND(F2575+F2589+F2601,2)</f>
        <v>0</v>
      </c>
      <c r="G2555" s="1">
        <f>VLOOKUP(A2555,IV.A!$A$16:$L$172,4,FALSE)</f>
        <v>20</v>
      </c>
      <c r="H2555" s="361">
        <f>SUM(F2557:F2572)+F2574</f>
        <v>0</v>
      </c>
      <c r="I2555" s="361">
        <f>SUM(F2577:F2586)+F2588</f>
        <v>0</v>
      </c>
      <c r="J2555" s="361">
        <f>SUM(F2591:F2597)+F2599+F2600</f>
        <v>0</v>
      </c>
      <c r="K2555" s="361">
        <f>SUM(H2555:J2555)</f>
        <v>0</v>
      </c>
      <c r="L2555" s="362" t="str">
        <f>IF(K2555=F2555,"SIM","NÃO")</f>
        <v>SIM</v>
      </c>
      <c r="M2555" s="373">
        <f>ROUND(SUM(F2557:F2572),2)+ROUND(SUM(F2557:F2572)*C2574,2)+ROUND(SUM(F2577:F2586)*C2588,2)+ROUND(SUM(F2577:F2586),2)+ROUND(SUM(F2591:F2597)*C2599,2)+ROUND((SUM(F2591:F2597)+ROUND(SUM(F2591:F2597)*C2599,2))*C2600,2)+ROUND(SUM(F2591:F2597),2)</f>
        <v>0</v>
      </c>
      <c r="N2555" s="343" t="str">
        <f>IF(M2555=F2555,"SIM","NÃO")</f>
        <v>SIM</v>
      </c>
      <c r="O2555" s="364" t="str">
        <f>VLOOKUP(A2555,IV.A!$A$16:$E$172,3,FALSE)</f>
        <v>M3</v>
      </c>
      <c r="P2555" s="344" t="str">
        <f>IF(O2555=E2555,"SIM","NÃO")</f>
        <v>SIM</v>
      </c>
      <c r="Q2555" s="365">
        <f>ROUND(G2555*F2575,2)+ROUND(G2555*F2589,2)+ROUND(G2555*F2601,2)</f>
        <v>0</v>
      </c>
      <c r="R2555" s="364">
        <f>VLOOKUP(A2555,IV.A!$A$16:$L$172,12,FALSE)</f>
        <v>0</v>
      </c>
      <c r="S2555" s="366" t="str">
        <f>IF(Q2555=R2555,"si","no")</f>
        <v>si</v>
      </c>
      <c r="T2555" s="367">
        <f>SUM(L2557:L2572)+SUM(L2577:L2586)+SUM(L2591:L2597)</f>
        <v>6601.84</v>
      </c>
      <c r="U2555" s="341">
        <f>(SUM(C2557:C2572)+SUM(C2577:C2586)+SUM(C2591:C2597))*G2555</f>
        <v>6601.8400000000011</v>
      </c>
      <c r="V2555" s="368" t="str">
        <f>IF(T2555=U2555,"si","no")</f>
        <v>si</v>
      </c>
      <c r="W2555" s="369">
        <f>SUM(F2557:F2572)</f>
        <v>0</v>
      </c>
      <c r="X2555" s="369">
        <f>SUM(F2577:F2586)</f>
        <v>0</v>
      </c>
      <c r="Y2555" s="369">
        <f>SUM(F2591:F2597)</f>
        <v>0</v>
      </c>
    </row>
    <row r="2556" spans="1:25" ht="12.75" customHeight="1">
      <c r="A2556" s="374" t="s">
        <v>14</v>
      </c>
      <c r="B2556" s="375" t="s">
        <v>132</v>
      </c>
      <c r="C2556" s="376" t="s">
        <v>231</v>
      </c>
      <c r="D2556" s="376" t="s">
        <v>232</v>
      </c>
      <c r="E2556" s="377" t="s">
        <v>233</v>
      </c>
      <c r="F2556" s="378" t="s">
        <v>234</v>
      </c>
      <c r="G2556" s="379"/>
      <c r="J2556" s="341"/>
      <c r="L2556" s="380"/>
      <c r="M2556" s="381"/>
      <c r="N2556" s="342"/>
      <c r="O2556" s="382"/>
      <c r="P2556" s="383"/>
      <c r="Q2556" s="383"/>
      <c r="R2556" s="383"/>
      <c r="S2556" s="383"/>
      <c r="T2556" s="382"/>
      <c r="U2556" s="341"/>
      <c r="V2556" s="384"/>
      <c r="W2556" s="384"/>
      <c r="X2556" s="384"/>
      <c r="Y2556" s="384"/>
    </row>
    <row r="2557" spans="1:25" ht="12.75" customHeight="1">
      <c r="A2557" s="385" t="str">
        <f>VII.A!$A$19</f>
        <v>1.10</v>
      </c>
      <c r="B2557" s="386" t="str">
        <f>VLOOKUP(A2557,VII.A!$A$10:$G$199,2,FALSE)</f>
        <v>AREIA MÉDIA LAVADA</v>
      </c>
      <c r="C2557" s="20">
        <v>0.78500000000000003</v>
      </c>
      <c r="D2557" s="342" t="str">
        <f>VLOOKUP(A2557,VII.A!$A$10:$G$199,3,FALSE)</f>
        <v>M3</v>
      </c>
      <c r="E2557" s="387">
        <f>VII.A!$D$19</f>
        <v>0</v>
      </c>
      <c r="F2557" s="388">
        <f>ROUND(C2557*E2557,2)</f>
        <v>0</v>
      </c>
      <c r="H2557" s="341">
        <f>IF(A2557="","",VLOOKUP(A2557,VII.A!$A$10:$D$199,4,FALSE))</f>
        <v>0</v>
      </c>
      <c r="I2557" s="341" t="str">
        <f t="shared" ref="I2557:I2572" si="675">IF(A2557="","",IF(E2557=H2557,"SIM","NÃO"))</f>
        <v>SIM</v>
      </c>
      <c r="J2557" s="341" t="str">
        <f>IF(A2557="","",VLOOKUP(A2557,VII.A!$A$10:$D$199,3,FALSE))</f>
        <v>M3</v>
      </c>
      <c r="K2557" s="342" t="str">
        <f t="shared" ref="K2557:K2572" si="676">IF(A2557="","",IF(J2557=D2557,"SIM","NÃO"))</f>
        <v>SIM</v>
      </c>
      <c r="L2557" s="380">
        <f>IF(C2557="","",G2555*C2557)</f>
        <v>15.700000000000001</v>
      </c>
      <c r="M2557" s="381" t="str">
        <f>IF(A2557="","",VLOOKUP(A2557,VII.A!$A$10:$B$199,2,FALSE))</f>
        <v>AREIA MÉDIA LAVADA</v>
      </c>
      <c r="N2557" s="342" t="str">
        <f t="shared" ref="N2557:N2572" si="677">IF(B2557="","",IF(M2557=B2557,"si","no"))</f>
        <v>si</v>
      </c>
      <c r="R2557" s="341"/>
      <c r="S2557" s="341"/>
    </row>
    <row r="2558" spans="1:25" ht="12.75" customHeight="1">
      <c r="A2558" s="385" t="str">
        <f>VII.A!$A$38</f>
        <v>1.29</v>
      </c>
      <c r="B2558" s="386" t="str">
        <f>VLOOKUP(A2558,VII.A!$A$10:$G$199,2,FALSE)</f>
        <v>CIMENTO PORTLAND CP II-E-32</v>
      </c>
      <c r="C2558" s="20">
        <v>322.98</v>
      </c>
      <c r="D2558" s="342" t="str">
        <f>VLOOKUP(A2558,VII.A!$A$10:$G$199,3,FALSE)</f>
        <v>KG</v>
      </c>
      <c r="E2558" s="387">
        <f>VII.A!$D$38</f>
        <v>0</v>
      </c>
      <c r="F2558" s="388">
        <f t="shared" ref="F2558:F2572" si="678">ROUND(C2558*E2558,2)</f>
        <v>0</v>
      </c>
      <c r="H2558" s="341">
        <f>IF(A2558="","",VLOOKUP(A2558,VII.A!$A$10:$D$199,4,FALSE))</f>
        <v>0</v>
      </c>
      <c r="I2558" s="341" t="str">
        <f t="shared" si="675"/>
        <v>SIM</v>
      </c>
      <c r="J2558" s="341" t="str">
        <f>IF(A2558="","",VLOOKUP(A2558,VII.A!$A$10:$D$199,3,FALSE))</f>
        <v>KG</v>
      </c>
      <c r="K2558" s="342" t="str">
        <f t="shared" si="676"/>
        <v>SIM</v>
      </c>
      <c r="L2558" s="380">
        <f>IF(C2558="","",G2555*C2558)</f>
        <v>6459.6</v>
      </c>
      <c r="M2558" s="381" t="str">
        <f>IF(A2558="","",VLOOKUP(A2558,VII.A!$A$10:$B$199,2,FALSE))</f>
        <v>CIMENTO PORTLAND CP II-E-32</v>
      </c>
      <c r="N2558" s="342" t="str">
        <f t="shared" si="677"/>
        <v>si</v>
      </c>
      <c r="R2558" s="341"/>
      <c r="S2558" s="341"/>
    </row>
    <row r="2559" spans="1:25" ht="12.75" customHeight="1">
      <c r="A2559" s="385" t="str">
        <f>VII.A!$A$82</f>
        <v>1.73</v>
      </c>
      <c r="B2559" s="386" t="str">
        <f>VLOOKUP(A2559,VII.A!$A$10:$G$199,2,FALSE)</f>
        <v>PEDRA BRITADA Nº 1 GRANULOMETRIA ENTRE (9,5 E 25,00 MM)</v>
      </c>
      <c r="C2559" s="20">
        <v>0.58699999999999997</v>
      </c>
      <c r="D2559" s="342" t="str">
        <f>VLOOKUP(A2559,VII.A!$A$10:$G$199,3,FALSE)</f>
        <v>M3</v>
      </c>
      <c r="E2559" s="387">
        <f>VII.A!$D$82</f>
        <v>0</v>
      </c>
      <c r="F2559" s="388">
        <f t="shared" si="678"/>
        <v>0</v>
      </c>
      <c r="H2559" s="341">
        <f>IF(A2559="","",VLOOKUP(A2559,VII.A!$A$10:$D$199,4,FALSE))</f>
        <v>0</v>
      </c>
      <c r="I2559" s="341" t="str">
        <f t="shared" si="675"/>
        <v>SIM</v>
      </c>
      <c r="J2559" s="341" t="str">
        <f>IF(A2559="","",VLOOKUP(A2559,VII.A!$A$10:$D$199,3,FALSE))</f>
        <v>M3</v>
      </c>
      <c r="K2559" s="342" t="str">
        <f t="shared" si="676"/>
        <v>SIM</v>
      </c>
      <c r="L2559" s="380">
        <f>IF(C2559="","",G2555*C2559)</f>
        <v>11.739999999999998</v>
      </c>
      <c r="M2559" s="381" t="str">
        <f>IF(A2559="","",VLOOKUP(A2559,VII.A!$A$10:$B$199,2,FALSE))</f>
        <v>PEDRA BRITADA Nº 1 GRANULOMETRIA ENTRE (9,5 E 25,00 MM)</v>
      </c>
      <c r="N2559" s="342" t="str">
        <f t="shared" si="677"/>
        <v>si</v>
      </c>
      <c r="R2559" s="341"/>
      <c r="S2559" s="341"/>
    </row>
    <row r="2560" spans="1:25" ht="12.75" customHeight="1">
      <c r="A2560" s="385"/>
      <c r="B2560" s="386"/>
      <c r="C2560" s="20"/>
      <c r="D2560" s="342"/>
      <c r="E2560" s="387"/>
      <c r="F2560" s="388">
        <f t="shared" si="678"/>
        <v>0</v>
      </c>
      <c r="H2560" s="341" t="str">
        <f>IF(A2560="","",VLOOKUP(A2560,VII.A!$A$10:$D$199,4,FALSE))</f>
        <v/>
      </c>
      <c r="I2560" s="341" t="str">
        <f t="shared" si="675"/>
        <v/>
      </c>
      <c r="J2560" s="341" t="str">
        <f>IF(A2560="","",VLOOKUP(A2560,VII.A!$A$10:$D$199,3,FALSE))</f>
        <v/>
      </c>
      <c r="K2560" s="342" t="str">
        <f t="shared" si="676"/>
        <v/>
      </c>
      <c r="L2560" s="380" t="str">
        <f>IF(C2560="","",G2555*C2560)</f>
        <v/>
      </c>
      <c r="M2560" s="381" t="str">
        <f>IF(A2560="","",VLOOKUP(A2560,VII.A!$A$10:$B$199,2,FALSE))</f>
        <v/>
      </c>
      <c r="N2560" s="342" t="str">
        <f t="shared" si="677"/>
        <v/>
      </c>
      <c r="R2560" s="341"/>
      <c r="S2560" s="341"/>
    </row>
    <row r="2561" spans="1:21" ht="12.75" customHeight="1">
      <c r="A2561" s="385"/>
      <c r="B2561" s="386"/>
      <c r="C2561" s="20"/>
      <c r="D2561" s="342"/>
      <c r="E2561" s="387"/>
      <c r="F2561" s="388">
        <f t="shared" si="678"/>
        <v>0</v>
      </c>
      <c r="H2561" s="341" t="str">
        <f>IF(A2561="","",VLOOKUP(A2561,VII.A!$A$10:$D$199,4,FALSE))</f>
        <v/>
      </c>
      <c r="I2561" s="341" t="str">
        <f t="shared" si="675"/>
        <v/>
      </c>
      <c r="J2561" s="341" t="str">
        <f>IF(A2561="","",VLOOKUP(A2561,VII.A!$A$10:$D$199,3,FALSE))</f>
        <v/>
      </c>
      <c r="K2561" s="342" t="str">
        <f t="shared" si="676"/>
        <v/>
      </c>
      <c r="L2561" s="380" t="str">
        <f>IF(C2561="","",G2555*C2561)</f>
        <v/>
      </c>
      <c r="M2561" s="381" t="str">
        <f>IF(A2561="","",VLOOKUP(A2561,VII.A!$A$10:$B$199,2,FALSE))</f>
        <v/>
      </c>
      <c r="N2561" s="342" t="str">
        <f t="shared" si="677"/>
        <v/>
      </c>
      <c r="R2561" s="341"/>
      <c r="S2561" s="341"/>
    </row>
    <row r="2562" spans="1:21" ht="12.75" customHeight="1">
      <c r="A2562" s="385"/>
      <c r="B2562" s="386"/>
      <c r="C2562" s="20"/>
      <c r="D2562" s="342"/>
      <c r="E2562" s="387"/>
      <c r="F2562" s="388">
        <f t="shared" si="678"/>
        <v>0</v>
      </c>
      <c r="H2562" s="341" t="str">
        <f>IF(A2562="","",VLOOKUP(A2562,VII.A!$A$10:$D$199,4,FALSE))</f>
        <v/>
      </c>
      <c r="I2562" s="341" t="str">
        <f t="shared" si="675"/>
        <v/>
      </c>
      <c r="J2562" s="341" t="str">
        <f>IF(A2562="","",VLOOKUP(A2562,VII.A!$A$10:$D$199,3,FALSE))</f>
        <v/>
      </c>
      <c r="K2562" s="342" t="str">
        <f t="shared" si="676"/>
        <v/>
      </c>
      <c r="L2562" s="380" t="str">
        <f>IF(C2562="","",G2555*C2562)</f>
        <v/>
      </c>
      <c r="M2562" s="381" t="str">
        <f>IF(A2562="","",VLOOKUP(A2562,VII.A!$A$10:$B$199,2,FALSE))</f>
        <v/>
      </c>
      <c r="N2562" s="342" t="str">
        <f t="shared" si="677"/>
        <v/>
      </c>
      <c r="R2562" s="341"/>
      <c r="S2562" s="341"/>
      <c r="U2562" s="389"/>
    </row>
    <row r="2563" spans="1:21" ht="12.75" customHeight="1">
      <c r="A2563" s="385"/>
      <c r="B2563" s="386"/>
      <c r="C2563" s="20"/>
      <c r="D2563" s="342"/>
      <c r="E2563" s="387"/>
      <c r="F2563" s="388">
        <f t="shared" si="678"/>
        <v>0</v>
      </c>
      <c r="H2563" s="341" t="str">
        <f>IF(A2563="","",VLOOKUP(A2563,VII.A!$A$10:$D$199,4,FALSE))</f>
        <v/>
      </c>
      <c r="I2563" s="341" t="str">
        <f t="shared" si="675"/>
        <v/>
      </c>
      <c r="J2563" s="341" t="str">
        <f>IF(A2563="","",VLOOKUP(A2563,VII.A!$A$10:$D$199,3,FALSE))</f>
        <v/>
      </c>
      <c r="K2563" s="342" t="str">
        <f t="shared" si="676"/>
        <v/>
      </c>
      <c r="L2563" s="380" t="str">
        <f>IF(C2563="","",G2555*C2563)</f>
        <v/>
      </c>
      <c r="M2563" s="381" t="str">
        <f>IF(A2563="","",VLOOKUP(A2563,VII.A!$A$10:$B$199,2,FALSE))</f>
        <v/>
      </c>
      <c r="N2563" s="342" t="str">
        <f t="shared" si="677"/>
        <v/>
      </c>
      <c r="R2563" s="341"/>
      <c r="S2563" s="341"/>
    </row>
    <row r="2564" spans="1:21" ht="12.75" customHeight="1">
      <c r="A2564" s="385"/>
      <c r="B2564" s="386"/>
      <c r="C2564" s="20"/>
      <c r="D2564" s="342"/>
      <c r="E2564" s="387"/>
      <c r="F2564" s="388">
        <f t="shared" si="678"/>
        <v>0</v>
      </c>
      <c r="G2564" s="390"/>
      <c r="H2564" s="341" t="str">
        <f>IF(A2564="","",VLOOKUP(A2564,VII.A!$A$10:$D$199,4,FALSE))</f>
        <v/>
      </c>
      <c r="I2564" s="341" t="str">
        <f t="shared" si="675"/>
        <v/>
      </c>
      <c r="J2564" s="341" t="str">
        <f>IF(A2564="","",VLOOKUP(A2564,VII.A!$A$10:$D$199,3,FALSE))</f>
        <v/>
      </c>
      <c r="K2564" s="342" t="str">
        <f t="shared" si="676"/>
        <v/>
      </c>
      <c r="L2564" s="380" t="str">
        <f>IF(C2564="","",G2555*C2564)</f>
        <v/>
      </c>
      <c r="M2564" s="381" t="str">
        <f>IF(A2564="","",VLOOKUP(A2564,VII.A!$A$10:$B$199,2,FALSE))</f>
        <v/>
      </c>
      <c r="N2564" s="342" t="str">
        <f t="shared" si="677"/>
        <v/>
      </c>
      <c r="R2564" s="341"/>
      <c r="S2564" s="341"/>
    </row>
    <row r="2565" spans="1:21" ht="12.75" customHeight="1">
      <c r="A2565" s="385"/>
      <c r="B2565" s="386"/>
      <c r="C2565" s="20"/>
      <c r="D2565" s="342"/>
      <c r="E2565" s="387"/>
      <c r="F2565" s="388">
        <f t="shared" si="678"/>
        <v>0</v>
      </c>
      <c r="G2565" s="390"/>
      <c r="H2565" s="341" t="str">
        <f>IF(A2565="","",VLOOKUP(A2565,VII.A!$A$10:$D$199,4,FALSE))</f>
        <v/>
      </c>
      <c r="I2565" s="341" t="str">
        <f t="shared" si="675"/>
        <v/>
      </c>
      <c r="J2565" s="341" t="str">
        <f>IF(A2565="","",VLOOKUP(A2565,VII.A!$A$10:$D$199,3,FALSE))</f>
        <v/>
      </c>
      <c r="K2565" s="342" t="str">
        <f t="shared" si="676"/>
        <v/>
      </c>
      <c r="L2565" s="380" t="str">
        <f>IF(C2565="","",G2555*C2565)</f>
        <v/>
      </c>
      <c r="M2565" s="381" t="str">
        <f>IF(A2565="","",VLOOKUP(A2565,VII.A!$A$10:$B$199,2,FALSE))</f>
        <v/>
      </c>
      <c r="N2565" s="342" t="str">
        <f t="shared" si="677"/>
        <v/>
      </c>
      <c r="R2565" s="341"/>
      <c r="S2565" s="341"/>
    </row>
    <row r="2566" spans="1:21" ht="12.75" customHeight="1">
      <c r="A2566" s="385"/>
      <c r="B2566" s="386"/>
      <c r="C2566" s="20"/>
      <c r="D2566" s="342"/>
      <c r="E2566" s="387"/>
      <c r="F2566" s="388">
        <f t="shared" si="678"/>
        <v>0</v>
      </c>
      <c r="G2566" s="391"/>
      <c r="H2566" s="341" t="str">
        <f>IF(A2566="","",VLOOKUP(A2566,VII.A!$A$10:$D$199,4,FALSE))</f>
        <v/>
      </c>
      <c r="I2566" s="341" t="str">
        <f t="shared" si="675"/>
        <v/>
      </c>
      <c r="J2566" s="341" t="str">
        <f>IF(A2566="","",VLOOKUP(A2566,VII.A!$A$10:$D$199,3,FALSE))</f>
        <v/>
      </c>
      <c r="K2566" s="342" t="str">
        <f t="shared" si="676"/>
        <v/>
      </c>
      <c r="L2566" s="380" t="str">
        <f>IF(C2566="","",G2555*C2566)</f>
        <v/>
      </c>
      <c r="M2566" s="381" t="str">
        <f>IF(A2566="","",VLOOKUP(A2566,VII.A!$A$10:$B$199,2,FALSE))</f>
        <v/>
      </c>
      <c r="N2566" s="342" t="str">
        <f t="shared" si="677"/>
        <v/>
      </c>
      <c r="R2566" s="341"/>
      <c r="S2566" s="341"/>
    </row>
    <row r="2567" spans="1:21" ht="12.75" customHeight="1">
      <c r="A2567" s="385"/>
      <c r="B2567" s="386"/>
      <c r="C2567" s="20"/>
      <c r="D2567" s="342"/>
      <c r="E2567" s="387"/>
      <c r="F2567" s="388">
        <f t="shared" si="678"/>
        <v>0</v>
      </c>
      <c r="H2567" s="341" t="str">
        <f>IF(A2567="","",VLOOKUP(A2567,VII.A!$A$10:$D$199,4,FALSE))</f>
        <v/>
      </c>
      <c r="I2567" s="341" t="str">
        <f t="shared" si="675"/>
        <v/>
      </c>
      <c r="J2567" s="341" t="str">
        <f>IF(A2567="","",VLOOKUP(A2567,VII.A!$A$10:$D$199,3,FALSE))</f>
        <v/>
      </c>
      <c r="K2567" s="342" t="str">
        <f t="shared" si="676"/>
        <v/>
      </c>
      <c r="L2567" s="380" t="str">
        <f>IF(C2567="","",G2555*C2567)</f>
        <v/>
      </c>
      <c r="M2567" s="381" t="str">
        <f>IF(A2567="","",VLOOKUP(A2567,VII.A!$A$10:$B$199,2,FALSE))</f>
        <v/>
      </c>
      <c r="N2567" s="342" t="str">
        <f t="shared" si="677"/>
        <v/>
      </c>
      <c r="R2567" s="341"/>
      <c r="S2567" s="341"/>
    </row>
    <row r="2568" spans="1:21" ht="12.75" customHeight="1">
      <c r="A2568" s="385"/>
      <c r="B2568" s="386"/>
      <c r="C2568" s="20"/>
      <c r="D2568" s="392"/>
      <c r="E2568" s="387"/>
      <c r="F2568" s="388">
        <f t="shared" si="678"/>
        <v>0</v>
      </c>
      <c r="H2568" s="341" t="str">
        <f>IF(A2568="","",VLOOKUP(A2568,VII.A!$A$10:$D$199,4,FALSE))</f>
        <v/>
      </c>
      <c r="I2568" s="341" t="str">
        <f t="shared" si="675"/>
        <v/>
      </c>
      <c r="J2568" s="341" t="str">
        <f>IF(A2568="","",VLOOKUP(A2568,VII.A!$A$10:$D$199,3,FALSE))</f>
        <v/>
      </c>
      <c r="K2568" s="342" t="str">
        <f t="shared" si="676"/>
        <v/>
      </c>
      <c r="L2568" s="380" t="str">
        <f>IF(C2568="","",G2555*C2568)</f>
        <v/>
      </c>
      <c r="M2568" s="381" t="str">
        <f>IF(A2568="","",VLOOKUP(A2568,VII.A!$A$10:$B$199,2,FALSE))</f>
        <v/>
      </c>
      <c r="N2568" s="342" t="str">
        <f t="shared" si="677"/>
        <v/>
      </c>
      <c r="R2568" s="341"/>
      <c r="S2568" s="341"/>
    </row>
    <row r="2569" spans="1:21" ht="12.75" customHeight="1">
      <c r="A2569" s="385"/>
      <c r="B2569" s="386"/>
      <c r="C2569" s="20"/>
      <c r="D2569" s="392"/>
      <c r="E2569" s="387"/>
      <c r="F2569" s="388">
        <f t="shared" si="678"/>
        <v>0</v>
      </c>
      <c r="H2569" s="341" t="str">
        <f>IF(A2569="","",VLOOKUP(A2569,VII.A!$A$10:$D$199,4,FALSE))</f>
        <v/>
      </c>
      <c r="I2569" s="341" t="str">
        <f t="shared" si="675"/>
        <v/>
      </c>
      <c r="J2569" s="341" t="str">
        <f>IF(A2569="","",VLOOKUP(A2569,VII.A!$A$10:$D$199,3,FALSE))</f>
        <v/>
      </c>
      <c r="K2569" s="342" t="str">
        <f t="shared" si="676"/>
        <v/>
      </c>
      <c r="L2569" s="380" t="str">
        <f>IF(C2569="","",G2555*C2569)</f>
        <v/>
      </c>
      <c r="M2569" s="381" t="str">
        <f>IF(A2569="","",VLOOKUP(A2569,VII.A!$A$10:$B$199,2,FALSE))</f>
        <v/>
      </c>
      <c r="N2569" s="342" t="str">
        <f t="shared" si="677"/>
        <v/>
      </c>
      <c r="O2569" s="342"/>
      <c r="R2569" s="341"/>
      <c r="S2569" s="341"/>
    </row>
    <row r="2570" spans="1:21" ht="12.75" customHeight="1">
      <c r="A2570" s="385"/>
      <c r="B2570" s="386"/>
      <c r="C2570" s="20"/>
      <c r="D2570" s="392"/>
      <c r="E2570" s="387"/>
      <c r="F2570" s="388">
        <f t="shared" si="678"/>
        <v>0</v>
      </c>
      <c r="H2570" s="341" t="str">
        <f>IF(A2570="","",VLOOKUP(A2570,VII.A!$A$10:$D$199,4,FALSE))</f>
        <v/>
      </c>
      <c r="I2570" s="341" t="str">
        <f t="shared" si="675"/>
        <v/>
      </c>
      <c r="J2570" s="341" t="str">
        <f>IF(A2570="","",VLOOKUP(A2570,VII.A!$A$10:$D$199,3,FALSE))</f>
        <v/>
      </c>
      <c r="K2570" s="342" t="str">
        <f t="shared" si="676"/>
        <v/>
      </c>
      <c r="L2570" s="380" t="str">
        <f>IF(C2570="","",G2555*C2570)</f>
        <v/>
      </c>
      <c r="M2570" s="381" t="str">
        <f>IF(A2570="","",VLOOKUP(A2570,VII.A!$A$10:$B$199,2,FALSE))</f>
        <v/>
      </c>
      <c r="N2570" s="342" t="str">
        <f t="shared" si="677"/>
        <v/>
      </c>
      <c r="R2570" s="341"/>
      <c r="S2570" s="341"/>
    </row>
    <row r="2571" spans="1:21" ht="12.75" customHeight="1">
      <c r="A2571" s="393"/>
      <c r="C2571" s="20"/>
      <c r="E2571" s="387"/>
      <c r="F2571" s="388">
        <f t="shared" si="678"/>
        <v>0</v>
      </c>
      <c r="H2571" s="341" t="str">
        <f>IF(A2571="","",VLOOKUP(A2571,VII.A!$A$10:$D$199,4,FALSE))</f>
        <v/>
      </c>
      <c r="I2571" s="341" t="str">
        <f t="shared" si="675"/>
        <v/>
      </c>
      <c r="J2571" s="341" t="str">
        <f>IF(A2571="","",VLOOKUP(A2571,VII.A!$A$10:$D$199,3,FALSE))</f>
        <v/>
      </c>
      <c r="K2571" s="342" t="str">
        <f t="shared" si="676"/>
        <v/>
      </c>
      <c r="L2571" s="380" t="str">
        <f>IF(C2571="","",G2555*C2571)</f>
        <v/>
      </c>
      <c r="M2571" s="381" t="str">
        <f>IF(A2571="","",VLOOKUP(A2571,VII.A!$A$10:$B$199,2,FALSE))</f>
        <v/>
      </c>
      <c r="N2571" s="342" t="str">
        <f t="shared" si="677"/>
        <v/>
      </c>
      <c r="R2571" s="341"/>
      <c r="S2571" s="341"/>
    </row>
    <row r="2572" spans="1:21" ht="12.75" customHeight="1">
      <c r="A2572" s="393"/>
      <c r="C2572" s="20"/>
      <c r="E2572" s="387"/>
      <c r="F2572" s="388">
        <f t="shared" si="678"/>
        <v>0</v>
      </c>
      <c r="H2572" s="341" t="str">
        <f>IF(A2572="","",VLOOKUP(A2572,VII.A!$A$10:$D$199,4,FALSE))</f>
        <v/>
      </c>
      <c r="I2572" s="341" t="str">
        <f t="shared" si="675"/>
        <v/>
      </c>
      <c r="J2572" s="341" t="str">
        <f>IF(A2572="","",VLOOKUP(A2572,VII.A!$A$10:$D$199,3,FALSE))</f>
        <v/>
      </c>
      <c r="K2572" s="342" t="str">
        <f t="shared" si="676"/>
        <v/>
      </c>
      <c r="L2572" s="380" t="str">
        <f>IF(C2572="","",G2555*C2572)</f>
        <v/>
      </c>
      <c r="M2572" s="381" t="str">
        <f>IF(A2572="","",VLOOKUP(A2572,VII.A!$A$10:$B$199,2,FALSE))</f>
        <v/>
      </c>
      <c r="N2572" s="342" t="str">
        <f t="shared" si="677"/>
        <v/>
      </c>
      <c r="R2572" s="341"/>
      <c r="S2572" s="341"/>
    </row>
    <row r="2573" spans="1:21" ht="12.75" customHeight="1">
      <c r="A2573" s="393"/>
      <c r="B2573" s="395" t="s">
        <v>226</v>
      </c>
      <c r="C2573" s="396"/>
      <c r="D2573" s="397"/>
      <c r="E2573" s="398"/>
      <c r="F2573" s="399">
        <f>SUM(F2557:F2572)</f>
        <v>0</v>
      </c>
      <c r="J2573" s="341"/>
      <c r="L2573" s="380"/>
      <c r="M2573" s="381"/>
      <c r="N2573" s="342"/>
      <c r="R2573" s="341"/>
      <c r="S2573" s="341"/>
    </row>
    <row r="2574" spans="1:21" ht="12.75" customHeight="1">
      <c r="A2574" s="393"/>
      <c r="B2574" s="400" t="s">
        <v>53</v>
      </c>
      <c r="C2574" s="2">
        <f>$D$8</f>
        <v>0</v>
      </c>
      <c r="D2574" s="401"/>
      <c r="E2574" s="402"/>
      <c r="F2574" s="403">
        <f>ROUND(F2573*C2574,2)</f>
        <v>0</v>
      </c>
      <c r="H2574" s="426" t="s">
        <v>479</v>
      </c>
      <c r="J2574" s="341"/>
      <c r="L2574" s="380"/>
      <c r="M2574" s="381"/>
      <c r="N2574" s="342"/>
      <c r="R2574" s="341"/>
      <c r="S2574" s="341"/>
    </row>
    <row r="2575" spans="1:21" ht="12.75" customHeight="1">
      <c r="A2575" s="404"/>
      <c r="B2575" s="405" t="s">
        <v>227</v>
      </c>
      <c r="C2575" s="406"/>
      <c r="D2575" s="406"/>
      <c r="E2575" s="407"/>
      <c r="F2575" s="408">
        <f>F2573+F2574</f>
        <v>0</v>
      </c>
      <c r="J2575" s="341"/>
      <c r="L2575" s="380"/>
      <c r="M2575" s="381"/>
      <c r="N2575" s="342"/>
      <c r="R2575" s="341"/>
      <c r="S2575" s="341"/>
    </row>
    <row r="2576" spans="1:21" ht="12.75" customHeight="1">
      <c r="A2576" s="374" t="s">
        <v>2</v>
      </c>
      <c r="B2576" s="375" t="s">
        <v>235</v>
      </c>
      <c r="C2576" s="376" t="s">
        <v>231</v>
      </c>
      <c r="D2576" s="376" t="s">
        <v>232</v>
      </c>
      <c r="E2576" s="377" t="s">
        <v>233</v>
      </c>
      <c r="F2576" s="378" t="s">
        <v>234</v>
      </c>
      <c r="J2576" s="341"/>
      <c r="L2576" s="380"/>
      <c r="M2576" s="381"/>
      <c r="N2576" s="342"/>
      <c r="R2576" s="341"/>
      <c r="S2576" s="341"/>
    </row>
    <row r="2577" spans="1:19" ht="12.75" customHeight="1">
      <c r="A2577" s="393" t="str">
        <f>VII.A!$A$149</f>
        <v>2.7</v>
      </c>
      <c r="B2577" s="423" t="str">
        <f>VLOOKUP(A2577,VII.A!$A$10:$G$199,2,FALSE)</f>
        <v>BETONEIRA, CAPACIDADE NOMINAL DE 400L, MOTOR ELÉTRICO TRIFÁSICO DE  2CV - CHP</v>
      </c>
      <c r="C2577" s="20">
        <v>0.83</v>
      </c>
      <c r="D2577" s="384" t="str">
        <f>VLOOKUP(A2577,VII.A!$A$10:$G$199,3,FALSE)</f>
        <v>CHP</v>
      </c>
      <c r="E2577" s="387">
        <f>VII.A!$D$149</f>
        <v>0</v>
      </c>
      <c r="F2577" s="388">
        <f t="shared" ref="F2577:F2586" si="679">ROUND(C2577*E2577,2)</f>
        <v>0</v>
      </c>
      <c r="H2577" s="341">
        <f>IF(A2577="","",VLOOKUP(A2577,VII.A!$A$10:$D$199,4,FALSE))</f>
        <v>0</v>
      </c>
      <c r="I2577" s="341" t="str">
        <f t="shared" ref="I2577:I2586" si="680">IF(A2577="","",IF(E2577=H2577,"SIM","NÃO"))</f>
        <v>SIM</v>
      </c>
      <c r="J2577" s="341" t="str">
        <f>IF(A2577="","",VLOOKUP(A2577,VII.A!$A$10:$D$199,3,FALSE))</f>
        <v>CHP</v>
      </c>
      <c r="K2577" s="342" t="str">
        <f t="shared" ref="K2577:K2586" si="681">IF(A2577="","",IF(J2577=D2577,"SIM","NÃO"))</f>
        <v>SIM</v>
      </c>
      <c r="L2577" s="380">
        <f>IF(C2577="","",G2555*C2577)</f>
        <v>16.599999999999998</v>
      </c>
      <c r="M2577" s="381" t="str">
        <f>IF(A2577="","",VLOOKUP(A2577,VII.A!$A$10:$B$199,2,FALSE))</f>
        <v>BETONEIRA, CAPACIDADE NOMINAL DE 400L, MOTOR ELÉTRICO TRIFÁSICO DE  2CV - CHP</v>
      </c>
      <c r="N2577" s="342" t="str">
        <f t="shared" ref="N2577:N2586" si="682">IF(B2577="","",IF(M2577=B2577,"si","no"))</f>
        <v>si</v>
      </c>
      <c r="R2577" s="341"/>
      <c r="S2577" s="341"/>
    </row>
    <row r="2578" spans="1:19" ht="12.75" customHeight="1">
      <c r="A2578" s="393" t="str">
        <f>VII.A!$A$148</f>
        <v>2.6</v>
      </c>
      <c r="B2578" s="394" t="str">
        <f>VLOOKUP(A2578,VII.A!$A$10:$G$199,2,FALSE)</f>
        <v>BETONEIRA, CAPACIDADE NOMINAL DE 400L, MOTOR ELÉTRICO TRIFÁSICO DE  2CV - CHI</v>
      </c>
      <c r="C2578" s="20">
        <v>0.78</v>
      </c>
      <c r="D2578" s="384" t="str">
        <f>VLOOKUP(A2578,VII.A!$A$10:$G$199,3,FALSE)</f>
        <v>CHI</v>
      </c>
      <c r="E2578" s="387">
        <f>VII.A!$D$148</f>
        <v>0</v>
      </c>
      <c r="F2578" s="388">
        <f t="shared" si="679"/>
        <v>0</v>
      </c>
      <c r="H2578" s="341">
        <f>IF(A2578="","",VLOOKUP(A2578,VII.A!$A$10:$D$199,4,FALSE))</f>
        <v>0</v>
      </c>
      <c r="I2578" s="341" t="str">
        <f t="shared" si="680"/>
        <v>SIM</v>
      </c>
      <c r="J2578" s="341" t="str">
        <f>IF(A2578="","",VLOOKUP(A2578,VII.A!$A$10:$D$199,3,FALSE))</f>
        <v>CHI</v>
      </c>
      <c r="K2578" s="342" t="str">
        <f t="shared" si="681"/>
        <v>SIM</v>
      </c>
      <c r="L2578" s="380">
        <f>IF(C2578="","",G2555*C2578)</f>
        <v>15.600000000000001</v>
      </c>
      <c r="M2578" s="381" t="str">
        <f>IF(A2578="","",VLOOKUP(A2578,VII.A!$A$10:$B$199,2,FALSE))</f>
        <v>BETONEIRA, CAPACIDADE NOMINAL DE 400L, MOTOR ELÉTRICO TRIFÁSICO DE  2CV - CHI</v>
      </c>
      <c r="N2578" s="342" t="str">
        <f t="shared" si="682"/>
        <v>si</v>
      </c>
      <c r="R2578" s="341"/>
      <c r="S2578" s="341"/>
    </row>
    <row r="2579" spans="1:19" ht="12.75" customHeight="1">
      <c r="A2579" s="393"/>
      <c r="C2579" s="20"/>
      <c r="E2579" s="387"/>
      <c r="F2579" s="388">
        <f t="shared" si="679"/>
        <v>0</v>
      </c>
      <c r="H2579" s="341" t="str">
        <f>IF(A2579="","",VLOOKUP(A2579,VII.A!$A$10:$D$199,4,FALSE))</f>
        <v/>
      </c>
      <c r="I2579" s="341" t="str">
        <f t="shared" si="680"/>
        <v/>
      </c>
      <c r="J2579" s="341" t="str">
        <f>IF(A2579="","",VLOOKUP(A2579,VII.A!$A$10:$D$199,3,FALSE))</f>
        <v/>
      </c>
      <c r="K2579" s="342" t="str">
        <f t="shared" si="681"/>
        <v/>
      </c>
      <c r="L2579" s="380" t="str">
        <f>IF(C2579="","",G2555*C2579)</f>
        <v/>
      </c>
      <c r="M2579" s="381" t="str">
        <f>IF(A2579="","",VLOOKUP(A2579,VII.A!$A$10:$B$199,2,FALSE))</f>
        <v/>
      </c>
      <c r="N2579" s="342" t="str">
        <f t="shared" si="682"/>
        <v/>
      </c>
      <c r="R2579" s="341"/>
      <c r="S2579" s="341"/>
    </row>
    <row r="2580" spans="1:19" ht="12.75" customHeight="1">
      <c r="A2580" s="393"/>
      <c r="C2580" s="20"/>
      <c r="E2580" s="387"/>
      <c r="F2580" s="388">
        <f t="shared" si="679"/>
        <v>0</v>
      </c>
      <c r="H2580" s="341" t="str">
        <f>IF(A2580="","",VLOOKUP(A2580,VII.A!$A$10:$D$199,4,FALSE))</f>
        <v/>
      </c>
      <c r="I2580" s="341" t="str">
        <f t="shared" si="680"/>
        <v/>
      </c>
      <c r="J2580" s="341" t="str">
        <f>IF(A2580="","",VLOOKUP(A2580,VII.A!$A$10:$D$199,3,FALSE))</f>
        <v/>
      </c>
      <c r="K2580" s="342" t="str">
        <f t="shared" si="681"/>
        <v/>
      </c>
      <c r="L2580" s="380" t="str">
        <f>IF(C2580="","",G2555*C2580)</f>
        <v/>
      </c>
      <c r="M2580" s="381" t="str">
        <f>IF(A2580="","",VLOOKUP(A2580,VII.A!$A$10:$B$199,2,FALSE))</f>
        <v/>
      </c>
      <c r="N2580" s="342" t="str">
        <f t="shared" si="682"/>
        <v/>
      </c>
      <c r="R2580" s="341"/>
      <c r="S2580" s="341"/>
    </row>
    <row r="2581" spans="1:19" ht="12.75" customHeight="1">
      <c r="A2581" s="393"/>
      <c r="C2581" s="20"/>
      <c r="E2581" s="387"/>
      <c r="F2581" s="388">
        <f t="shared" si="679"/>
        <v>0</v>
      </c>
      <c r="G2581" s="390"/>
      <c r="H2581" s="341" t="str">
        <f>IF(A2581="","",VLOOKUP(A2581,VII.A!$A$10:$D$199,4,FALSE))</f>
        <v/>
      </c>
      <c r="I2581" s="341" t="str">
        <f t="shared" si="680"/>
        <v/>
      </c>
      <c r="J2581" s="341" t="str">
        <f>IF(A2581="","",VLOOKUP(A2581,VII.A!$A$10:$D$199,3,FALSE))</f>
        <v/>
      </c>
      <c r="K2581" s="342" t="str">
        <f t="shared" si="681"/>
        <v/>
      </c>
      <c r="L2581" s="380" t="str">
        <f>IF(C2581="","",G2555*C2581)</f>
        <v/>
      </c>
      <c r="M2581" s="381" t="str">
        <f>IF(A2581="","",VLOOKUP(A2581,VII.A!$A$10:$B$199,2,FALSE))</f>
        <v/>
      </c>
      <c r="N2581" s="342" t="str">
        <f t="shared" si="682"/>
        <v/>
      </c>
      <c r="R2581" s="341"/>
      <c r="S2581" s="341"/>
    </row>
    <row r="2582" spans="1:19" ht="12.75" customHeight="1">
      <c r="A2582" s="393"/>
      <c r="C2582" s="20"/>
      <c r="E2582" s="387"/>
      <c r="F2582" s="388">
        <f t="shared" si="679"/>
        <v>0</v>
      </c>
      <c r="G2582" s="391"/>
      <c r="H2582" s="341" t="str">
        <f>IF(A2582="","",VLOOKUP(A2582,VII.A!$A$10:$D$199,4,FALSE))</f>
        <v/>
      </c>
      <c r="I2582" s="341" t="str">
        <f t="shared" si="680"/>
        <v/>
      </c>
      <c r="J2582" s="341" t="str">
        <f>IF(A2582="","",VLOOKUP(A2582,VII.A!$A$10:$D$199,3,FALSE))</f>
        <v/>
      </c>
      <c r="K2582" s="342" t="str">
        <f t="shared" si="681"/>
        <v/>
      </c>
      <c r="L2582" s="380" t="str">
        <f>IF(C2582="","",G2555*C2582)</f>
        <v/>
      </c>
      <c r="M2582" s="381" t="str">
        <f>IF(A2582="","",VLOOKUP(A2582,VII.A!$A$10:$B$199,2,FALSE))</f>
        <v/>
      </c>
      <c r="N2582" s="342" t="str">
        <f t="shared" si="682"/>
        <v/>
      </c>
      <c r="R2582" s="341"/>
      <c r="S2582" s="341"/>
    </row>
    <row r="2583" spans="1:19" ht="12.75" customHeight="1">
      <c r="A2583" s="393"/>
      <c r="C2583" s="20"/>
      <c r="E2583" s="387"/>
      <c r="F2583" s="388">
        <f t="shared" si="679"/>
        <v>0</v>
      </c>
      <c r="H2583" s="341" t="str">
        <f>IF(A2583="","",VLOOKUP(A2583,VII.A!$A$10:$D$199,4,FALSE))</f>
        <v/>
      </c>
      <c r="I2583" s="341" t="str">
        <f t="shared" si="680"/>
        <v/>
      </c>
      <c r="J2583" s="341" t="str">
        <f>IF(A2583="","",VLOOKUP(A2583,VII.A!$A$10:$D$199,3,FALSE))</f>
        <v/>
      </c>
      <c r="K2583" s="342" t="str">
        <f t="shared" si="681"/>
        <v/>
      </c>
      <c r="L2583" s="380" t="str">
        <f>IF(C2583="","",G2555*C2583)</f>
        <v/>
      </c>
      <c r="M2583" s="381" t="str">
        <f>IF(A2583="","",VLOOKUP(A2583,VII.A!$A$10:$B$199,2,FALSE))</f>
        <v/>
      </c>
      <c r="N2583" s="342" t="str">
        <f t="shared" si="682"/>
        <v/>
      </c>
      <c r="R2583" s="341"/>
      <c r="S2583" s="341"/>
    </row>
    <row r="2584" spans="1:19" ht="12.75" customHeight="1">
      <c r="A2584" s="393"/>
      <c r="C2584" s="20"/>
      <c r="E2584" s="387"/>
      <c r="F2584" s="388">
        <f t="shared" si="679"/>
        <v>0</v>
      </c>
      <c r="H2584" s="341" t="str">
        <f>IF(A2584="","",VLOOKUP(A2584,VII.A!$A$10:$D$199,4,FALSE))</f>
        <v/>
      </c>
      <c r="I2584" s="341" t="str">
        <f t="shared" si="680"/>
        <v/>
      </c>
      <c r="J2584" s="341" t="str">
        <f>IF(A2584="","",VLOOKUP(A2584,VII.A!$A$10:$D$199,3,FALSE))</f>
        <v/>
      </c>
      <c r="K2584" s="342" t="str">
        <f t="shared" si="681"/>
        <v/>
      </c>
      <c r="L2584" s="380" t="str">
        <f>IF(C2584="","",G2555*C2584)</f>
        <v/>
      </c>
      <c r="M2584" s="381" t="str">
        <f>IF(A2584="","",VLOOKUP(A2584,VII.A!$A$10:$B$199,2,FALSE))</f>
        <v/>
      </c>
      <c r="N2584" s="342" t="str">
        <f t="shared" si="682"/>
        <v/>
      </c>
      <c r="R2584" s="341"/>
      <c r="S2584" s="341"/>
    </row>
    <row r="2585" spans="1:19" ht="12.75" customHeight="1">
      <c r="A2585" s="393"/>
      <c r="C2585" s="20"/>
      <c r="E2585" s="387"/>
      <c r="F2585" s="388">
        <f t="shared" si="679"/>
        <v>0</v>
      </c>
      <c r="H2585" s="341" t="str">
        <f>IF(A2585="","",VLOOKUP(A2585,VII.A!$A$10:$D$199,4,FALSE))</f>
        <v/>
      </c>
      <c r="I2585" s="341" t="str">
        <f t="shared" si="680"/>
        <v/>
      </c>
      <c r="J2585" s="341" t="str">
        <f>IF(A2585="","",VLOOKUP(A2585,VII.A!$A$10:$D$199,3,FALSE))</f>
        <v/>
      </c>
      <c r="K2585" s="342" t="str">
        <f t="shared" si="681"/>
        <v/>
      </c>
      <c r="L2585" s="380" t="str">
        <f>IF(C2585="","",G2555*C2585)</f>
        <v/>
      </c>
      <c r="M2585" s="381" t="str">
        <f>IF(A2585="","",VLOOKUP(A2585,VII.A!$A$10:$B$199,2,FALSE))</f>
        <v/>
      </c>
      <c r="N2585" s="342" t="str">
        <f t="shared" si="682"/>
        <v/>
      </c>
      <c r="R2585" s="341"/>
      <c r="S2585" s="341"/>
    </row>
    <row r="2586" spans="1:19" ht="12.75" customHeight="1">
      <c r="A2586" s="393"/>
      <c r="C2586" s="20"/>
      <c r="E2586" s="387"/>
      <c r="F2586" s="388">
        <f t="shared" si="679"/>
        <v>0</v>
      </c>
      <c r="H2586" s="341" t="str">
        <f>IF(A2586="","",VLOOKUP(A2586,VII.A!$A$10:$D$199,4,FALSE))</f>
        <v/>
      </c>
      <c r="I2586" s="341" t="str">
        <f t="shared" si="680"/>
        <v/>
      </c>
      <c r="J2586" s="341" t="str">
        <f>IF(A2586="","",VLOOKUP(A2586,VII.A!$A$10:$D$199,3,FALSE))</f>
        <v/>
      </c>
      <c r="K2586" s="342" t="str">
        <f t="shared" si="681"/>
        <v/>
      </c>
      <c r="L2586" s="380" t="str">
        <f>IF(C2586="","",G2555*C2586)</f>
        <v/>
      </c>
      <c r="M2586" s="381" t="str">
        <f>IF(A2586="","",VLOOKUP(A2586,VII.A!$A$10:$B$199,2,FALSE))</f>
        <v/>
      </c>
      <c r="N2586" s="342" t="str">
        <f t="shared" si="682"/>
        <v/>
      </c>
      <c r="R2586" s="341"/>
      <c r="S2586" s="341"/>
    </row>
    <row r="2587" spans="1:19" ht="12.75" customHeight="1">
      <c r="A2587" s="393"/>
      <c r="B2587" s="395" t="s">
        <v>226</v>
      </c>
      <c r="C2587" s="396"/>
      <c r="D2587" s="397"/>
      <c r="E2587" s="398"/>
      <c r="F2587" s="399">
        <f>SUM(F2577:F2586)</f>
        <v>0</v>
      </c>
      <c r="J2587" s="341"/>
      <c r="L2587" s="380"/>
      <c r="M2587" s="381"/>
      <c r="N2587" s="342"/>
      <c r="R2587" s="341"/>
      <c r="S2587" s="341"/>
    </row>
    <row r="2588" spans="1:19" ht="12.75" customHeight="1">
      <c r="A2588" s="393"/>
      <c r="B2588" s="400" t="s">
        <v>53</v>
      </c>
      <c r="C2588" s="2">
        <f>$D$8</f>
        <v>0</v>
      </c>
      <c r="D2588" s="401"/>
      <c r="E2588" s="402"/>
      <c r="F2588" s="403">
        <f>ROUND(C2588*F2587,2)</f>
        <v>0</v>
      </c>
      <c r="J2588" s="341"/>
      <c r="L2588" s="380"/>
      <c r="M2588" s="381"/>
      <c r="N2588" s="342"/>
      <c r="R2588" s="341"/>
      <c r="S2588" s="341"/>
    </row>
    <row r="2589" spans="1:19" ht="12.75" customHeight="1">
      <c r="A2589" s="404"/>
      <c r="B2589" s="405" t="s">
        <v>228</v>
      </c>
      <c r="C2589" s="406"/>
      <c r="D2589" s="406"/>
      <c r="E2589" s="407"/>
      <c r="F2589" s="408">
        <f>F2587+F2588</f>
        <v>0</v>
      </c>
      <c r="J2589" s="341"/>
      <c r="L2589" s="380"/>
      <c r="M2589" s="381"/>
      <c r="N2589" s="342"/>
      <c r="R2589" s="341"/>
      <c r="S2589" s="341"/>
    </row>
    <row r="2590" spans="1:19" ht="12.75" customHeight="1">
      <c r="A2590" s="409" t="s">
        <v>47</v>
      </c>
      <c r="B2590" s="410" t="s">
        <v>236</v>
      </c>
      <c r="C2590" s="411" t="s">
        <v>231</v>
      </c>
      <c r="D2590" s="412" t="s">
        <v>232</v>
      </c>
      <c r="E2590" s="413" t="s">
        <v>233</v>
      </c>
      <c r="F2590" s="378" t="s">
        <v>234</v>
      </c>
      <c r="J2590" s="341"/>
      <c r="L2590" s="380"/>
      <c r="M2590" s="381"/>
      <c r="N2590" s="342"/>
      <c r="R2590" s="341"/>
      <c r="S2590" s="341"/>
    </row>
    <row r="2591" spans="1:19" ht="12.75" customHeight="1">
      <c r="A2591" s="393" t="str">
        <f>VII.A!$A$196</f>
        <v>3.16</v>
      </c>
      <c r="B2591" s="394" t="s">
        <v>157</v>
      </c>
      <c r="C2591" s="20">
        <v>2.5299999999999998</v>
      </c>
      <c r="D2591" s="384" t="str">
        <f>VLOOKUP(A2591,VII.A!$A$10:$G$199,3,FALSE)</f>
        <v>H</v>
      </c>
      <c r="E2591" s="387">
        <f>VII.A!$D$196</f>
        <v>0</v>
      </c>
      <c r="F2591" s="388">
        <f t="shared" ref="F2591:F2597" si="683">ROUND(C2591*E2591,2)</f>
        <v>0</v>
      </c>
      <c r="H2591" s="341">
        <f>IF(A2591="","",VLOOKUP(A2591,VII.A!$A$10:$D$199,4,FALSE))</f>
        <v>0</v>
      </c>
      <c r="I2591" s="341" t="str">
        <f t="shared" ref="I2591:I2597" si="684">IF(A2591="","",IF(E2591=H2591,"SIM","NÃO"))</f>
        <v>SIM</v>
      </c>
      <c r="J2591" s="341" t="str">
        <f>IF(A2591="","",VLOOKUP(A2591,VII.A!$A$10:$D$199,3,FALSE))</f>
        <v>H</v>
      </c>
      <c r="K2591" s="342" t="str">
        <f t="shared" ref="K2591:K2597" si="685">IF(A2591="","",IF(J2591=D2591,"SIM","NÃO"))</f>
        <v>SIM</v>
      </c>
      <c r="L2591" s="380">
        <f>IF(C2591="","",G2555*C2591)</f>
        <v>50.599999999999994</v>
      </c>
      <c r="M2591" s="381" t="str">
        <f>IF(A2591="","",VLOOKUP(A2591,VII.A!$A$10:$B$199,2,FALSE))</f>
        <v>SERVENTE COM ENCARGOS COMPLEMENTARES</v>
      </c>
      <c r="N2591" s="342" t="str">
        <f t="shared" ref="N2591:N2597" si="686">IF(B2591="","",IF(M2591=B2591,"si","no"))</f>
        <v>si</v>
      </c>
      <c r="R2591" s="341"/>
      <c r="S2591" s="341"/>
    </row>
    <row r="2592" spans="1:19" ht="12.75" customHeight="1">
      <c r="A2592" s="393" t="str">
        <f>VII.A!$A$192</f>
        <v>3.12</v>
      </c>
      <c r="B2592" s="394" t="s">
        <v>153</v>
      </c>
      <c r="C2592" s="20">
        <v>1.6</v>
      </c>
      <c r="D2592" s="384" t="str">
        <f>VLOOKUP(A2592,VII.A!$A$10:$G$199,3,FALSE)</f>
        <v>H</v>
      </c>
      <c r="E2592" s="387">
        <f>VII.A!$D$192</f>
        <v>0</v>
      </c>
      <c r="F2592" s="388">
        <f t="shared" si="683"/>
        <v>0</v>
      </c>
      <c r="H2592" s="341">
        <f>IF(A2592="","",VLOOKUP(A2592,VII.A!$A$10:$D$199,4,FALSE))</f>
        <v>0</v>
      </c>
      <c r="I2592" s="341" t="str">
        <f t="shared" si="684"/>
        <v>SIM</v>
      </c>
      <c r="J2592" s="341" t="str">
        <f>IF(A2592="","",VLOOKUP(A2592,VII.A!$A$10:$D$199,3,FALSE))</f>
        <v>H</v>
      </c>
      <c r="K2592" s="342" t="str">
        <f t="shared" si="685"/>
        <v>SIM</v>
      </c>
      <c r="L2592" s="380">
        <f>IF(C2592="","",G2555*C2592)</f>
        <v>32</v>
      </c>
      <c r="M2592" s="381" t="str">
        <f>IF(A2592="","",VLOOKUP(A2592,VII.A!$A$10:$B$199,2,FALSE))</f>
        <v>PEDREIRO COM ENCARGOS COMPLEMENTARES</v>
      </c>
      <c r="N2592" s="342" t="str">
        <f t="shared" si="686"/>
        <v>si</v>
      </c>
      <c r="R2592" s="341"/>
      <c r="S2592" s="341"/>
    </row>
    <row r="2593" spans="1:25" ht="12.75" customHeight="1">
      <c r="A2593" s="393"/>
      <c r="C2593" s="20"/>
      <c r="E2593" s="387"/>
      <c r="F2593" s="388">
        <f t="shared" si="683"/>
        <v>0</v>
      </c>
      <c r="H2593" s="341" t="str">
        <f>IF(A2593="","",VLOOKUP(A2593,VII.A!$A$10:$D$199,4,FALSE))</f>
        <v/>
      </c>
      <c r="I2593" s="341" t="str">
        <f t="shared" si="684"/>
        <v/>
      </c>
      <c r="J2593" s="341" t="str">
        <f>IF(A2593="","",VLOOKUP(A2593,VII.A!$A$10:$D$199,3,FALSE))</f>
        <v/>
      </c>
      <c r="K2593" s="342" t="str">
        <f t="shared" si="685"/>
        <v/>
      </c>
      <c r="L2593" s="380" t="str">
        <f>IF(C2593="","",G2555*C2593)</f>
        <v/>
      </c>
      <c r="M2593" s="381" t="str">
        <f>IF(A2593="","",VLOOKUP(A2593,VII.A!$A$10:$B$199,2,FALSE))</f>
        <v/>
      </c>
      <c r="N2593" s="342" t="str">
        <f t="shared" si="686"/>
        <v/>
      </c>
      <c r="R2593" s="341"/>
      <c r="S2593" s="341"/>
    </row>
    <row r="2594" spans="1:25" ht="12.75" customHeight="1">
      <c r="A2594" s="393"/>
      <c r="C2594" s="20"/>
      <c r="E2594" s="387"/>
      <c r="F2594" s="388">
        <f t="shared" si="683"/>
        <v>0</v>
      </c>
      <c r="H2594" s="341" t="str">
        <f>IF(A2594="","",VLOOKUP(A2594,VII.A!$A$10:$D$199,4,FALSE))</f>
        <v/>
      </c>
      <c r="I2594" s="341" t="str">
        <f t="shared" si="684"/>
        <v/>
      </c>
      <c r="J2594" s="341" t="str">
        <f>IF(A2594="","",VLOOKUP(A2594,VII.A!$A$10:$D$199,3,FALSE))</f>
        <v/>
      </c>
      <c r="K2594" s="342" t="str">
        <f t="shared" si="685"/>
        <v/>
      </c>
      <c r="L2594" s="380" t="str">
        <f>IF(C2594="","",G2555*C2594)</f>
        <v/>
      </c>
      <c r="M2594" s="381" t="str">
        <f>IF(A2594="","",VLOOKUP(A2594,VII.A!$A$10:$B$199,2,FALSE))</f>
        <v/>
      </c>
      <c r="N2594" s="342" t="str">
        <f t="shared" si="686"/>
        <v/>
      </c>
      <c r="R2594" s="341"/>
      <c r="S2594" s="341"/>
    </row>
    <row r="2595" spans="1:25" ht="12.75" customHeight="1">
      <c r="A2595" s="393"/>
      <c r="C2595" s="20"/>
      <c r="E2595" s="387"/>
      <c r="F2595" s="388">
        <f t="shared" si="683"/>
        <v>0</v>
      </c>
      <c r="H2595" s="341" t="str">
        <f>IF(A2595="","",VLOOKUP(A2595,VII.A!$A$10:$D$199,4,FALSE))</f>
        <v/>
      </c>
      <c r="I2595" s="341" t="str">
        <f t="shared" si="684"/>
        <v/>
      </c>
      <c r="J2595" s="341" t="str">
        <f>IF(A2595="","",VLOOKUP(A2595,VII.A!$A$10:$D$199,3,FALSE))</f>
        <v/>
      </c>
      <c r="K2595" s="342" t="str">
        <f t="shared" si="685"/>
        <v/>
      </c>
      <c r="L2595" s="380" t="str">
        <f>IF(C2595="","",G2555*C2595)</f>
        <v/>
      </c>
      <c r="M2595" s="381" t="str">
        <f>IF(A2595="","",VLOOKUP(A2595,VII.A!$A$10:$B$199,2,FALSE))</f>
        <v/>
      </c>
      <c r="N2595" s="342" t="str">
        <f t="shared" si="686"/>
        <v/>
      </c>
      <c r="R2595" s="341"/>
      <c r="S2595" s="341"/>
    </row>
    <row r="2596" spans="1:25" ht="12.75" customHeight="1">
      <c r="A2596" s="393"/>
      <c r="C2596" s="20"/>
      <c r="E2596" s="387"/>
      <c r="F2596" s="388">
        <f t="shared" si="683"/>
        <v>0</v>
      </c>
      <c r="H2596" s="341" t="str">
        <f>IF(A2596="","",VLOOKUP(A2596,VII.A!$A$10:$D$199,4,FALSE))</f>
        <v/>
      </c>
      <c r="I2596" s="341" t="str">
        <f t="shared" si="684"/>
        <v/>
      </c>
      <c r="J2596" s="341" t="str">
        <f>IF(A2596="","",VLOOKUP(A2596,VII.A!$A$10:$D$199,3,FALSE))</f>
        <v/>
      </c>
      <c r="K2596" s="342" t="str">
        <f t="shared" si="685"/>
        <v/>
      </c>
      <c r="L2596" s="380" t="str">
        <f>IF(C2596="","",G2555*C2596)</f>
        <v/>
      </c>
      <c r="M2596" s="381" t="str">
        <f>IF(A2596="","",VLOOKUP(A2596,VII.A!$A$10:$B$199,2,FALSE))</f>
        <v/>
      </c>
      <c r="N2596" s="342" t="str">
        <f t="shared" si="686"/>
        <v/>
      </c>
      <c r="R2596" s="341"/>
      <c r="S2596" s="341"/>
    </row>
    <row r="2597" spans="1:25" ht="12.75" customHeight="1">
      <c r="A2597" s="393"/>
      <c r="C2597" s="20"/>
      <c r="E2597" s="387"/>
      <c r="F2597" s="388">
        <f t="shared" si="683"/>
        <v>0</v>
      </c>
      <c r="H2597" s="341" t="str">
        <f>IF(A2597="","",VLOOKUP(A2597,VII.A!$A$10:$D$199,4,FALSE))</f>
        <v/>
      </c>
      <c r="I2597" s="341" t="str">
        <f t="shared" si="684"/>
        <v/>
      </c>
      <c r="J2597" s="341" t="str">
        <f>IF(A2597="","",VLOOKUP(A2597,VII.A!$A$10:$D$199,3,FALSE))</f>
        <v/>
      </c>
      <c r="K2597" s="342" t="str">
        <f t="shared" si="685"/>
        <v/>
      </c>
      <c r="L2597" s="380" t="str">
        <f>IF(C2597="","",G2555*C2597)</f>
        <v/>
      </c>
      <c r="M2597" s="381" t="str">
        <f>IF(A2597="","",VLOOKUP(A2597,VII.A!$A$10:$B$199,2,FALSE))</f>
        <v/>
      </c>
      <c r="N2597" s="342" t="str">
        <f t="shared" si="686"/>
        <v/>
      </c>
      <c r="R2597" s="341"/>
      <c r="S2597" s="341"/>
    </row>
    <row r="2598" spans="1:25" ht="12.75" customHeight="1">
      <c r="A2598" s="393"/>
      <c r="B2598" s="395" t="s">
        <v>226</v>
      </c>
      <c r="C2598" s="396"/>
      <c r="D2598" s="397"/>
      <c r="E2598" s="398"/>
      <c r="F2598" s="399">
        <f>SUM(F2591:F2597)</f>
        <v>0</v>
      </c>
      <c r="J2598" s="341"/>
      <c r="L2598" s="380"/>
      <c r="M2598" s="381"/>
      <c r="N2598" s="342"/>
      <c r="R2598" s="341"/>
      <c r="S2598" s="341"/>
    </row>
    <row r="2599" spans="1:25" ht="12.75" customHeight="1">
      <c r="A2599" s="393"/>
      <c r="B2599" s="400" t="s">
        <v>229</v>
      </c>
      <c r="C2599" s="2">
        <f>IX.A!$C$45</f>
        <v>0</v>
      </c>
      <c r="D2599" s="401"/>
      <c r="E2599" s="402"/>
      <c r="F2599" s="403">
        <f>ROUND(F2598*C2599,2)</f>
        <v>0</v>
      </c>
      <c r="J2599" s="341"/>
      <c r="L2599" s="380"/>
      <c r="M2599" s="381"/>
      <c r="N2599" s="342"/>
      <c r="R2599" s="341"/>
      <c r="S2599" s="341"/>
    </row>
    <row r="2600" spans="1:25" ht="12.75" customHeight="1">
      <c r="A2600" s="393"/>
      <c r="B2600" s="400" t="s">
        <v>53</v>
      </c>
      <c r="C2600" s="2">
        <f>$D$8</f>
        <v>0</v>
      </c>
      <c r="D2600" s="401"/>
      <c r="E2600" s="402"/>
      <c r="F2600" s="403">
        <f>ROUND(SUM(F2598:F2599)*C2600,2)</f>
        <v>0</v>
      </c>
      <c r="J2600" s="341"/>
      <c r="L2600" s="380"/>
      <c r="M2600" s="381"/>
      <c r="N2600" s="342"/>
      <c r="R2600" s="341"/>
      <c r="S2600" s="341"/>
    </row>
    <row r="2601" spans="1:25" ht="12.75" customHeight="1" thickBot="1">
      <c r="A2601" s="414"/>
      <c r="B2601" s="415" t="s">
        <v>230</v>
      </c>
      <c r="C2601" s="416"/>
      <c r="D2601" s="416"/>
      <c r="E2601" s="417"/>
      <c r="F2601" s="418">
        <f>SUM(F2598:F2600)</f>
        <v>0</v>
      </c>
      <c r="J2601" s="341"/>
      <c r="L2601" s="380"/>
      <c r="M2601" s="381"/>
      <c r="N2601" s="342"/>
      <c r="R2601" s="341"/>
      <c r="S2601" s="341"/>
    </row>
    <row r="2602" spans="1:25" ht="12.75" customHeight="1" thickBot="1">
      <c r="A2602" s="357"/>
      <c r="B2602" s="358"/>
      <c r="C2602" s="359"/>
      <c r="D2602" s="359"/>
      <c r="E2602" s="360"/>
      <c r="F2602" s="419"/>
      <c r="J2602" s="341"/>
      <c r="L2602" s="380"/>
      <c r="M2602" s="381"/>
      <c r="N2602" s="342"/>
      <c r="R2602" s="341"/>
      <c r="S2602" s="341"/>
    </row>
    <row r="2603" spans="1:25" ht="30" customHeight="1">
      <c r="A2603" s="370" t="str">
        <f>IV.A!A84</f>
        <v>3.5.5</v>
      </c>
      <c r="B2603" s="371" t="str">
        <f>IV.A!B84</f>
        <v xml:space="preserve">ARGAMASSA GROUT (PREPARO E LANÇAMENTO DE ARGAMASSA DE CIMENTO, AREIA E PEDRISCO 1:3:2) </v>
      </c>
      <c r="C2603" s="871" t="s">
        <v>237</v>
      </c>
      <c r="D2603" s="872"/>
      <c r="E2603" s="372" t="str">
        <f>IV.A!$C$84</f>
        <v>M3</v>
      </c>
      <c r="F2603" s="11">
        <f>ROUND(F2623+F2637+F2649,2)</f>
        <v>0</v>
      </c>
      <c r="G2603" s="1">
        <f>VLOOKUP(A2603,IV.A!$A$16:$L$172,4,FALSE)</f>
        <v>20</v>
      </c>
      <c r="H2603" s="361">
        <f>SUM(F2605:F2620)+F2622</f>
        <v>0</v>
      </c>
      <c r="I2603" s="361">
        <f>SUM(F2625:F2634)+F2636</f>
        <v>0</v>
      </c>
      <c r="J2603" s="361">
        <f>SUM(F2639:F2645)+F2647+F2648</f>
        <v>0</v>
      </c>
      <c r="K2603" s="361">
        <f>SUM(H2603:J2603)</f>
        <v>0</v>
      </c>
      <c r="L2603" s="362" t="str">
        <f>IF(K2603=F2603,"SIM","NÃO")</f>
        <v>SIM</v>
      </c>
      <c r="M2603" s="373">
        <f>ROUND(SUM(F2605:F2620),2)+ROUND(SUM(F2605:F2620)*C2622,2)+ROUND(SUM(F2625:F2634)*C2636,2)+ROUND(SUM(F2625:F2634),2)+ROUND(SUM(F2639:F2645)*C2647,2)+ROUND((SUM(F2639:F2645)+ROUND(SUM(F2639:F2645)*C2647,2))*C2648,2)+ROUND(SUM(F2639:F2645),2)</f>
        <v>0</v>
      </c>
      <c r="N2603" s="343" t="str">
        <f>IF(M2603=F2603,"SIM","NÃO")</f>
        <v>SIM</v>
      </c>
      <c r="O2603" s="364" t="str">
        <f>VLOOKUP(A2603,IV.A!$A$16:$E$172,3,FALSE)</f>
        <v>M3</v>
      </c>
      <c r="P2603" s="344" t="str">
        <f>IF(O2603=E2603,"SIM","NÃO")</f>
        <v>SIM</v>
      </c>
      <c r="Q2603" s="365">
        <f>ROUND(G2603*F2623,2)+ROUND(G2603*F2637,2)+ROUND(G2603*F2649,2)</f>
        <v>0</v>
      </c>
      <c r="R2603" s="364">
        <f>VLOOKUP(A2603,IV.A!$A$16:$L$172,12,FALSE)</f>
        <v>0</v>
      </c>
      <c r="S2603" s="366" t="str">
        <f>IF(Q2603=R2603,"si","no")</f>
        <v>si</v>
      </c>
      <c r="T2603" s="367">
        <f>SUM(L2605:L2620)+SUM(L2625:L2634)+SUM(L2639:L2645)</f>
        <v>5743.6</v>
      </c>
      <c r="U2603" s="341">
        <f>(SUM(C2605:C2620)+SUM(C2625:C2634)+SUM(C2639:C2645))*G2603</f>
        <v>5743.6</v>
      </c>
      <c r="V2603" s="368" t="str">
        <f>IF(T2603=U2603,"si","no")</f>
        <v>si</v>
      </c>
      <c r="W2603" s="369">
        <f>SUM(F2605:F2620)</f>
        <v>0</v>
      </c>
      <c r="X2603" s="369">
        <f>SUM(F2625:F2634)</f>
        <v>0</v>
      </c>
      <c r="Y2603" s="369">
        <f>SUM(F2639:F2645)</f>
        <v>0</v>
      </c>
    </row>
    <row r="2604" spans="1:25" ht="12.75" customHeight="1">
      <c r="A2604" s="374" t="s">
        <v>14</v>
      </c>
      <c r="B2604" s="375" t="s">
        <v>132</v>
      </c>
      <c r="C2604" s="376" t="s">
        <v>231</v>
      </c>
      <c r="D2604" s="376" t="s">
        <v>232</v>
      </c>
      <c r="E2604" s="377" t="s">
        <v>233</v>
      </c>
      <c r="F2604" s="378" t="s">
        <v>234</v>
      </c>
      <c r="G2604" s="379"/>
      <c r="J2604" s="341"/>
      <c r="L2604" s="380"/>
      <c r="M2604" s="381"/>
      <c r="N2604" s="342"/>
      <c r="O2604" s="382"/>
      <c r="P2604" s="383"/>
      <c r="Q2604" s="383"/>
      <c r="R2604" s="383"/>
      <c r="S2604" s="383"/>
      <c r="T2604" s="382"/>
      <c r="U2604" s="341"/>
      <c r="V2604" s="384"/>
      <c r="W2604" s="384"/>
      <c r="X2604" s="384"/>
      <c r="Y2604" s="384"/>
    </row>
    <row r="2605" spans="1:25" ht="12.75" customHeight="1">
      <c r="A2605" s="385" t="str">
        <f>VII.A!$A$19</f>
        <v>1.10</v>
      </c>
      <c r="B2605" s="386" t="str">
        <f>VLOOKUP(A2605,VII.A!$A$10:$G$199,2,FALSE)</f>
        <v>AREIA MÉDIA LAVADA</v>
      </c>
      <c r="C2605" s="20">
        <v>0.72</v>
      </c>
      <c r="D2605" s="342" t="str">
        <f>VLOOKUP(A2605,VII.A!$A$10:$G$199,3,FALSE)</f>
        <v>M3</v>
      </c>
      <c r="E2605" s="387">
        <f>VII.A!$D$19</f>
        <v>0</v>
      </c>
      <c r="F2605" s="388">
        <f>ROUND(C2605*E2605,2)</f>
        <v>0</v>
      </c>
      <c r="H2605" s="341">
        <f>IF(A2605="","",VLOOKUP(A2605,VII.A!$A$10:$D$199,4,FALSE))</f>
        <v>0</v>
      </c>
      <c r="I2605" s="341" t="str">
        <f t="shared" ref="I2605:I2620" si="687">IF(A2605="","",IF(E2605=H2605,"SIM","NÃO"))</f>
        <v>SIM</v>
      </c>
      <c r="J2605" s="341" t="str">
        <f>IF(A2605="","",VLOOKUP(A2605,VII.A!$A$10:$D$199,3,FALSE))</f>
        <v>M3</v>
      </c>
      <c r="K2605" s="342" t="str">
        <f t="shared" ref="K2605:K2620" si="688">IF(A2605="","",IF(J2605=D2605,"SIM","NÃO"))</f>
        <v>SIM</v>
      </c>
      <c r="L2605" s="380">
        <f>IF(C2605="","",G2603*C2605)</f>
        <v>14.399999999999999</v>
      </c>
      <c r="M2605" s="381" t="str">
        <f>IF(A2605="","",VLOOKUP(A2605,VII.A!$A$10:$B$199,2,FALSE))</f>
        <v>AREIA MÉDIA LAVADA</v>
      </c>
      <c r="N2605" s="342" t="str">
        <f t="shared" ref="N2605:N2620" si="689">IF(B2605="","",IF(M2605=B2605,"si","no"))</f>
        <v>si</v>
      </c>
      <c r="R2605" s="341"/>
      <c r="S2605" s="341"/>
    </row>
    <row r="2606" spans="1:25" ht="12.75" customHeight="1">
      <c r="A2606" s="385" t="str">
        <f>VII.A!$A$38</f>
        <v>1.29</v>
      </c>
      <c r="B2606" s="386" t="str">
        <f>VLOOKUP(A2606,VII.A!$A$10:$G$199,2,FALSE)</f>
        <v>CIMENTO PORTLAND CP II-E-32</v>
      </c>
      <c r="C2606" s="20">
        <v>283</v>
      </c>
      <c r="D2606" s="342" t="str">
        <f>VLOOKUP(A2606,VII.A!$A$10:$G$199,3,FALSE)</f>
        <v>KG</v>
      </c>
      <c r="E2606" s="387">
        <f>VII.A!$D$38</f>
        <v>0</v>
      </c>
      <c r="F2606" s="388">
        <f t="shared" ref="F2606:F2620" si="690">ROUND(C2606*E2606,2)</f>
        <v>0</v>
      </c>
      <c r="H2606" s="341">
        <f>IF(A2606="","",VLOOKUP(A2606,VII.A!$A$10:$D$199,4,FALSE))</f>
        <v>0</v>
      </c>
      <c r="I2606" s="341" t="str">
        <f t="shared" si="687"/>
        <v>SIM</v>
      </c>
      <c r="J2606" s="341" t="str">
        <f>IF(A2606="","",VLOOKUP(A2606,VII.A!$A$10:$D$199,3,FALSE))</f>
        <v>KG</v>
      </c>
      <c r="K2606" s="342" t="str">
        <f t="shared" si="688"/>
        <v>SIM</v>
      </c>
      <c r="L2606" s="380">
        <f>IF(C2606="","",G2603*C2606)</f>
        <v>5660</v>
      </c>
      <c r="M2606" s="381" t="str">
        <f>IF(A2606="","",VLOOKUP(A2606,VII.A!$A$10:$B$199,2,FALSE))</f>
        <v>CIMENTO PORTLAND CP II-E-32</v>
      </c>
      <c r="N2606" s="342" t="str">
        <f t="shared" si="689"/>
        <v>si</v>
      </c>
      <c r="R2606" s="341"/>
      <c r="S2606" s="341"/>
    </row>
    <row r="2607" spans="1:25" ht="12.75" customHeight="1">
      <c r="A2607" s="385" t="str">
        <f>VII.A!$A$81</f>
        <v>1.72</v>
      </c>
      <c r="B2607" s="386" t="str">
        <f>VLOOKUP(A2607,VII.A!$A$10:$G$199,2,FALSE)</f>
        <v>PEDRISCO GRANULOMETRIA ENTRE (0,075 E 4,8 MM) NBR 7225</v>
      </c>
      <c r="C2607" s="20">
        <v>0.28000000000000003</v>
      </c>
      <c r="D2607" s="342" t="str">
        <f>VLOOKUP(A2607,VII.A!$A$10:$G$199,3,FALSE)</f>
        <v>M3</v>
      </c>
      <c r="E2607" s="387">
        <f>VII.A!$D$81</f>
        <v>0</v>
      </c>
      <c r="F2607" s="388">
        <f t="shared" si="690"/>
        <v>0</v>
      </c>
      <c r="H2607" s="341">
        <f>IF(A2607="","",VLOOKUP(A2607,VII.A!$A$10:$D$199,4,FALSE))</f>
        <v>0</v>
      </c>
      <c r="I2607" s="341" t="str">
        <f t="shared" si="687"/>
        <v>SIM</v>
      </c>
      <c r="J2607" s="341" t="str">
        <f>IF(A2607="","",VLOOKUP(A2607,VII.A!$A$10:$D$199,3,FALSE))</f>
        <v>M3</v>
      </c>
      <c r="K2607" s="342" t="str">
        <f t="shared" si="688"/>
        <v>SIM</v>
      </c>
      <c r="L2607" s="380">
        <f>IF(C2607="","",G2603*C2607)</f>
        <v>5.6000000000000005</v>
      </c>
      <c r="M2607" s="381" t="str">
        <f>IF(A2607="","",VLOOKUP(A2607,VII.A!$A$10:$B$199,2,FALSE))</f>
        <v>PEDRISCO GRANULOMETRIA ENTRE (0,075 E 4,8 MM) NBR 7225</v>
      </c>
      <c r="N2607" s="342" t="str">
        <f t="shared" si="689"/>
        <v>si</v>
      </c>
      <c r="R2607" s="341"/>
      <c r="S2607" s="341"/>
    </row>
    <row r="2608" spans="1:25" ht="12.75" customHeight="1">
      <c r="A2608" s="385"/>
      <c r="B2608" s="386"/>
      <c r="C2608" s="20"/>
      <c r="D2608" s="342"/>
      <c r="E2608" s="387"/>
      <c r="F2608" s="388">
        <f t="shared" si="690"/>
        <v>0</v>
      </c>
      <c r="H2608" s="341" t="str">
        <f>IF(A2608="","",VLOOKUP(A2608,VII.A!$A$10:$D$199,4,FALSE))</f>
        <v/>
      </c>
      <c r="I2608" s="341" t="str">
        <f t="shared" si="687"/>
        <v/>
      </c>
      <c r="J2608" s="341" t="str">
        <f>IF(A2608="","",VLOOKUP(A2608,VII.A!$A$10:$D$199,3,FALSE))</f>
        <v/>
      </c>
      <c r="K2608" s="342" t="str">
        <f t="shared" si="688"/>
        <v/>
      </c>
      <c r="L2608" s="380" t="str">
        <f>IF(C2608="","",G2603*C2608)</f>
        <v/>
      </c>
      <c r="M2608" s="381" t="str">
        <f>IF(A2608="","",VLOOKUP(A2608,VII.A!$A$10:$B$199,2,FALSE))</f>
        <v/>
      </c>
      <c r="N2608" s="342" t="str">
        <f t="shared" si="689"/>
        <v/>
      </c>
      <c r="R2608" s="341"/>
      <c r="S2608" s="341"/>
    </row>
    <row r="2609" spans="1:21" ht="12.75" customHeight="1">
      <c r="A2609" s="385"/>
      <c r="B2609" s="386"/>
      <c r="C2609" s="20"/>
      <c r="D2609" s="342"/>
      <c r="E2609" s="387"/>
      <c r="F2609" s="388">
        <f t="shared" si="690"/>
        <v>0</v>
      </c>
      <c r="H2609" s="341" t="str">
        <f>IF(A2609="","",VLOOKUP(A2609,VII.A!$A$10:$D$199,4,FALSE))</f>
        <v/>
      </c>
      <c r="I2609" s="341" t="str">
        <f t="shared" si="687"/>
        <v/>
      </c>
      <c r="J2609" s="341" t="str">
        <f>IF(A2609="","",VLOOKUP(A2609,VII.A!$A$10:$D$199,3,FALSE))</f>
        <v/>
      </c>
      <c r="K2609" s="342" t="str">
        <f t="shared" si="688"/>
        <v/>
      </c>
      <c r="L2609" s="380" t="str">
        <f>IF(C2609="","",G2603*C2609)</f>
        <v/>
      </c>
      <c r="M2609" s="381" t="str">
        <f>IF(A2609="","",VLOOKUP(A2609,VII.A!$A$10:$B$199,2,FALSE))</f>
        <v/>
      </c>
      <c r="N2609" s="342" t="str">
        <f t="shared" si="689"/>
        <v/>
      </c>
      <c r="R2609" s="341"/>
      <c r="S2609" s="341"/>
    </row>
    <row r="2610" spans="1:21" ht="12.75" customHeight="1">
      <c r="A2610" s="385"/>
      <c r="B2610" s="386"/>
      <c r="C2610" s="20"/>
      <c r="D2610" s="342"/>
      <c r="E2610" s="387"/>
      <c r="F2610" s="388">
        <f t="shared" si="690"/>
        <v>0</v>
      </c>
      <c r="H2610" s="341" t="str">
        <f>IF(A2610="","",VLOOKUP(A2610,VII.A!$A$10:$D$199,4,FALSE))</f>
        <v/>
      </c>
      <c r="I2610" s="341" t="str">
        <f t="shared" si="687"/>
        <v/>
      </c>
      <c r="J2610" s="341" t="str">
        <f>IF(A2610="","",VLOOKUP(A2610,VII.A!$A$10:$D$199,3,FALSE))</f>
        <v/>
      </c>
      <c r="K2610" s="342" t="str">
        <f t="shared" si="688"/>
        <v/>
      </c>
      <c r="L2610" s="380" t="str">
        <f>IF(C2610="","",G2603*C2610)</f>
        <v/>
      </c>
      <c r="M2610" s="381" t="str">
        <f>IF(A2610="","",VLOOKUP(A2610,VII.A!$A$10:$B$199,2,FALSE))</f>
        <v/>
      </c>
      <c r="N2610" s="342" t="str">
        <f t="shared" si="689"/>
        <v/>
      </c>
      <c r="R2610" s="341"/>
      <c r="S2610" s="341"/>
      <c r="U2610" s="389"/>
    </row>
    <row r="2611" spans="1:21" ht="12.75" customHeight="1">
      <c r="A2611" s="385"/>
      <c r="B2611" s="386"/>
      <c r="C2611" s="20"/>
      <c r="D2611" s="342"/>
      <c r="E2611" s="387"/>
      <c r="F2611" s="388">
        <f t="shared" si="690"/>
        <v>0</v>
      </c>
      <c r="H2611" s="341" t="str">
        <f>IF(A2611="","",VLOOKUP(A2611,VII.A!$A$10:$D$199,4,FALSE))</f>
        <v/>
      </c>
      <c r="I2611" s="341" t="str">
        <f t="shared" si="687"/>
        <v/>
      </c>
      <c r="J2611" s="341" t="str">
        <f>IF(A2611="","",VLOOKUP(A2611,VII.A!$A$10:$D$199,3,FALSE))</f>
        <v/>
      </c>
      <c r="K2611" s="342" t="str">
        <f t="shared" si="688"/>
        <v/>
      </c>
      <c r="L2611" s="380" t="str">
        <f>IF(C2611="","",G2603*C2611)</f>
        <v/>
      </c>
      <c r="M2611" s="381" t="str">
        <f>IF(A2611="","",VLOOKUP(A2611,VII.A!$A$10:$B$199,2,FALSE))</f>
        <v/>
      </c>
      <c r="N2611" s="342" t="str">
        <f t="shared" si="689"/>
        <v/>
      </c>
      <c r="R2611" s="341"/>
      <c r="S2611" s="341"/>
    </row>
    <row r="2612" spans="1:21" ht="12.75" customHeight="1">
      <c r="A2612" s="385"/>
      <c r="B2612" s="386"/>
      <c r="C2612" s="20"/>
      <c r="D2612" s="342"/>
      <c r="E2612" s="387"/>
      <c r="F2612" s="388">
        <f t="shared" si="690"/>
        <v>0</v>
      </c>
      <c r="G2612" s="390"/>
      <c r="H2612" s="341" t="str">
        <f>IF(A2612="","",VLOOKUP(A2612,VII.A!$A$10:$D$199,4,FALSE))</f>
        <v/>
      </c>
      <c r="I2612" s="341" t="str">
        <f t="shared" si="687"/>
        <v/>
      </c>
      <c r="J2612" s="341" t="str">
        <f>IF(A2612="","",VLOOKUP(A2612,VII.A!$A$10:$D$199,3,FALSE))</f>
        <v/>
      </c>
      <c r="K2612" s="342" t="str">
        <f t="shared" si="688"/>
        <v/>
      </c>
      <c r="L2612" s="380" t="str">
        <f>IF(C2612="","",G2603*C2612)</f>
        <v/>
      </c>
      <c r="M2612" s="381" t="str">
        <f>IF(A2612="","",VLOOKUP(A2612,VII.A!$A$10:$B$199,2,FALSE))</f>
        <v/>
      </c>
      <c r="N2612" s="342" t="str">
        <f t="shared" si="689"/>
        <v/>
      </c>
      <c r="R2612" s="341"/>
      <c r="S2612" s="341"/>
    </row>
    <row r="2613" spans="1:21" ht="12.75" customHeight="1">
      <c r="A2613" s="385"/>
      <c r="B2613" s="386"/>
      <c r="C2613" s="20"/>
      <c r="D2613" s="342"/>
      <c r="E2613" s="387"/>
      <c r="F2613" s="388">
        <f t="shared" si="690"/>
        <v>0</v>
      </c>
      <c r="G2613" s="390"/>
      <c r="H2613" s="341" t="str">
        <f>IF(A2613="","",VLOOKUP(A2613,VII.A!$A$10:$D$199,4,FALSE))</f>
        <v/>
      </c>
      <c r="I2613" s="341" t="str">
        <f t="shared" si="687"/>
        <v/>
      </c>
      <c r="J2613" s="341" t="str">
        <f>IF(A2613="","",VLOOKUP(A2613,VII.A!$A$10:$D$199,3,FALSE))</f>
        <v/>
      </c>
      <c r="K2613" s="342" t="str">
        <f t="shared" si="688"/>
        <v/>
      </c>
      <c r="L2613" s="380" t="str">
        <f>IF(C2613="","",G2603*C2613)</f>
        <v/>
      </c>
      <c r="M2613" s="381" t="str">
        <f>IF(A2613="","",VLOOKUP(A2613,VII.A!$A$10:$B$199,2,FALSE))</f>
        <v/>
      </c>
      <c r="N2613" s="342" t="str">
        <f t="shared" si="689"/>
        <v/>
      </c>
      <c r="R2613" s="341"/>
      <c r="S2613" s="341"/>
    </row>
    <row r="2614" spans="1:21" ht="12.75" customHeight="1">
      <c r="A2614" s="385"/>
      <c r="B2614" s="386"/>
      <c r="C2614" s="20"/>
      <c r="D2614" s="342"/>
      <c r="E2614" s="387"/>
      <c r="F2614" s="388">
        <f t="shared" si="690"/>
        <v>0</v>
      </c>
      <c r="G2614" s="391"/>
      <c r="H2614" s="341" t="str">
        <f>IF(A2614="","",VLOOKUP(A2614,VII.A!$A$10:$D$199,4,FALSE))</f>
        <v/>
      </c>
      <c r="I2614" s="341" t="str">
        <f t="shared" si="687"/>
        <v/>
      </c>
      <c r="J2614" s="341" t="str">
        <f>IF(A2614="","",VLOOKUP(A2614,VII.A!$A$10:$D$199,3,FALSE))</f>
        <v/>
      </c>
      <c r="K2614" s="342" t="str">
        <f t="shared" si="688"/>
        <v/>
      </c>
      <c r="L2614" s="380" t="str">
        <f>IF(C2614="","",G2603*C2614)</f>
        <v/>
      </c>
      <c r="M2614" s="381" t="str">
        <f>IF(A2614="","",VLOOKUP(A2614,VII.A!$A$10:$B$199,2,FALSE))</f>
        <v/>
      </c>
      <c r="N2614" s="342" t="str">
        <f t="shared" si="689"/>
        <v/>
      </c>
      <c r="R2614" s="341"/>
      <c r="S2614" s="341"/>
    </row>
    <row r="2615" spans="1:21" ht="12.75" customHeight="1">
      <c r="A2615" s="385"/>
      <c r="B2615" s="386"/>
      <c r="C2615" s="20"/>
      <c r="D2615" s="342"/>
      <c r="E2615" s="387"/>
      <c r="F2615" s="388">
        <f t="shared" si="690"/>
        <v>0</v>
      </c>
      <c r="H2615" s="341" t="str">
        <f>IF(A2615="","",VLOOKUP(A2615,VII.A!$A$10:$D$199,4,FALSE))</f>
        <v/>
      </c>
      <c r="I2615" s="341" t="str">
        <f t="shared" si="687"/>
        <v/>
      </c>
      <c r="J2615" s="341" t="str">
        <f>IF(A2615="","",VLOOKUP(A2615,VII.A!$A$10:$D$199,3,FALSE))</f>
        <v/>
      </c>
      <c r="K2615" s="342" t="str">
        <f t="shared" si="688"/>
        <v/>
      </c>
      <c r="L2615" s="380" t="str">
        <f>IF(C2615="","",G2603*C2615)</f>
        <v/>
      </c>
      <c r="M2615" s="381" t="str">
        <f>IF(A2615="","",VLOOKUP(A2615,VII.A!$A$10:$B$199,2,FALSE))</f>
        <v/>
      </c>
      <c r="N2615" s="342" t="str">
        <f t="shared" si="689"/>
        <v/>
      </c>
      <c r="R2615" s="341"/>
      <c r="S2615" s="341"/>
    </row>
    <row r="2616" spans="1:21" ht="12.75" customHeight="1">
      <c r="A2616" s="385"/>
      <c r="B2616" s="386"/>
      <c r="C2616" s="20"/>
      <c r="D2616" s="392"/>
      <c r="E2616" s="387"/>
      <c r="F2616" s="388">
        <f t="shared" si="690"/>
        <v>0</v>
      </c>
      <c r="H2616" s="341" t="str">
        <f>IF(A2616="","",VLOOKUP(A2616,VII.A!$A$10:$D$199,4,FALSE))</f>
        <v/>
      </c>
      <c r="I2616" s="341" t="str">
        <f t="shared" si="687"/>
        <v/>
      </c>
      <c r="J2616" s="341" t="str">
        <f>IF(A2616="","",VLOOKUP(A2616,VII.A!$A$10:$D$199,3,FALSE))</f>
        <v/>
      </c>
      <c r="K2616" s="342" t="str">
        <f t="shared" si="688"/>
        <v/>
      </c>
      <c r="L2616" s="380" t="str">
        <f>IF(C2616="","",G2603*C2616)</f>
        <v/>
      </c>
      <c r="M2616" s="381" t="str">
        <f>IF(A2616="","",VLOOKUP(A2616,VII.A!$A$10:$B$199,2,FALSE))</f>
        <v/>
      </c>
      <c r="N2616" s="342" t="str">
        <f t="shared" si="689"/>
        <v/>
      </c>
      <c r="R2616" s="341"/>
      <c r="S2616" s="341"/>
    </row>
    <row r="2617" spans="1:21" ht="12.75" customHeight="1">
      <c r="A2617" s="385"/>
      <c r="B2617" s="386"/>
      <c r="C2617" s="20"/>
      <c r="D2617" s="392"/>
      <c r="E2617" s="387"/>
      <c r="F2617" s="388">
        <f t="shared" si="690"/>
        <v>0</v>
      </c>
      <c r="H2617" s="341" t="str">
        <f>IF(A2617="","",VLOOKUP(A2617,VII.A!$A$10:$D$199,4,FALSE))</f>
        <v/>
      </c>
      <c r="I2617" s="341" t="str">
        <f t="shared" si="687"/>
        <v/>
      </c>
      <c r="J2617" s="341" t="str">
        <f>IF(A2617="","",VLOOKUP(A2617,VII.A!$A$10:$D$199,3,FALSE))</f>
        <v/>
      </c>
      <c r="K2617" s="342" t="str">
        <f t="shared" si="688"/>
        <v/>
      </c>
      <c r="L2617" s="380" t="str">
        <f>IF(C2617="","",G2603*C2617)</f>
        <v/>
      </c>
      <c r="M2617" s="381" t="str">
        <f>IF(A2617="","",VLOOKUP(A2617,VII.A!$A$10:$B$199,2,FALSE))</f>
        <v/>
      </c>
      <c r="N2617" s="342" t="str">
        <f t="shared" si="689"/>
        <v/>
      </c>
      <c r="O2617" s="342"/>
      <c r="R2617" s="341"/>
      <c r="S2617" s="341"/>
    </row>
    <row r="2618" spans="1:21" ht="12.75" customHeight="1">
      <c r="A2618" s="385"/>
      <c r="B2618" s="386"/>
      <c r="C2618" s="20"/>
      <c r="D2618" s="392"/>
      <c r="E2618" s="387"/>
      <c r="F2618" s="388">
        <f t="shared" si="690"/>
        <v>0</v>
      </c>
      <c r="H2618" s="341" t="str">
        <f>IF(A2618="","",VLOOKUP(A2618,VII.A!$A$10:$D$199,4,FALSE))</f>
        <v/>
      </c>
      <c r="I2618" s="341" t="str">
        <f t="shared" si="687"/>
        <v/>
      </c>
      <c r="J2618" s="341" t="str">
        <f>IF(A2618="","",VLOOKUP(A2618,VII.A!$A$10:$D$199,3,FALSE))</f>
        <v/>
      </c>
      <c r="K2618" s="342" t="str">
        <f t="shared" si="688"/>
        <v/>
      </c>
      <c r="L2618" s="380" t="str">
        <f>IF(C2618="","",G2603*C2618)</f>
        <v/>
      </c>
      <c r="M2618" s="381" t="str">
        <f>IF(A2618="","",VLOOKUP(A2618,VII.A!$A$10:$B$199,2,FALSE))</f>
        <v/>
      </c>
      <c r="N2618" s="342" t="str">
        <f t="shared" si="689"/>
        <v/>
      </c>
      <c r="R2618" s="341"/>
      <c r="S2618" s="341"/>
    </row>
    <row r="2619" spans="1:21" ht="12.75" customHeight="1">
      <c r="A2619" s="393"/>
      <c r="C2619" s="20"/>
      <c r="E2619" s="387"/>
      <c r="F2619" s="388">
        <f t="shared" si="690"/>
        <v>0</v>
      </c>
      <c r="H2619" s="341" t="str">
        <f>IF(A2619="","",VLOOKUP(A2619,VII.A!$A$10:$D$199,4,FALSE))</f>
        <v/>
      </c>
      <c r="I2619" s="341" t="str">
        <f t="shared" si="687"/>
        <v/>
      </c>
      <c r="J2619" s="341" t="str">
        <f>IF(A2619="","",VLOOKUP(A2619,VII.A!$A$10:$D$199,3,FALSE))</f>
        <v/>
      </c>
      <c r="K2619" s="342" t="str">
        <f t="shared" si="688"/>
        <v/>
      </c>
      <c r="L2619" s="380" t="str">
        <f>IF(C2619="","",G2603*C2619)</f>
        <v/>
      </c>
      <c r="M2619" s="381" t="str">
        <f>IF(A2619="","",VLOOKUP(A2619,VII.A!$A$10:$B$199,2,FALSE))</f>
        <v/>
      </c>
      <c r="N2619" s="342" t="str">
        <f t="shared" si="689"/>
        <v/>
      </c>
      <c r="R2619" s="341"/>
      <c r="S2619" s="341"/>
    </row>
    <row r="2620" spans="1:21" ht="12.75" customHeight="1">
      <c r="A2620" s="393"/>
      <c r="C2620" s="20"/>
      <c r="E2620" s="387"/>
      <c r="F2620" s="388">
        <f t="shared" si="690"/>
        <v>0</v>
      </c>
      <c r="H2620" s="341" t="str">
        <f>IF(A2620="","",VLOOKUP(A2620,VII.A!$A$10:$D$199,4,FALSE))</f>
        <v/>
      </c>
      <c r="I2620" s="341" t="str">
        <f t="shared" si="687"/>
        <v/>
      </c>
      <c r="J2620" s="341" t="str">
        <f>IF(A2620="","",VLOOKUP(A2620,VII.A!$A$10:$D$199,3,FALSE))</f>
        <v/>
      </c>
      <c r="K2620" s="342" t="str">
        <f t="shared" si="688"/>
        <v/>
      </c>
      <c r="L2620" s="380" t="str">
        <f>IF(C2620="","",G2603*C2620)</f>
        <v/>
      </c>
      <c r="M2620" s="381" t="str">
        <f>IF(A2620="","",VLOOKUP(A2620,VII.A!$A$10:$B$199,2,FALSE))</f>
        <v/>
      </c>
      <c r="N2620" s="342" t="str">
        <f t="shared" si="689"/>
        <v/>
      </c>
      <c r="R2620" s="341"/>
      <c r="S2620" s="341"/>
    </row>
    <row r="2621" spans="1:21" ht="12.75" customHeight="1">
      <c r="A2621" s="393"/>
      <c r="B2621" s="395" t="s">
        <v>226</v>
      </c>
      <c r="C2621" s="396"/>
      <c r="D2621" s="397"/>
      <c r="E2621" s="398"/>
      <c r="F2621" s="399">
        <f>SUM(F2605:F2620)</f>
        <v>0</v>
      </c>
      <c r="H2621" s="426" t="s">
        <v>482</v>
      </c>
      <c r="J2621" s="341"/>
      <c r="L2621" s="380"/>
      <c r="M2621" s="381"/>
      <c r="N2621" s="342"/>
      <c r="R2621" s="341"/>
      <c r="S2621" s="341"/>
    </row>
    <row r="2622" spans="1:21" ht="12.75" customHeight="1">
      <c r="A2622" s="393"/>
      <c r="B2622" s="400" t="s">
        <v>53</v>
      </c>
      <c r="C2622" s="2">
        <f>$D$8</f>
        <v>0</v>
      </c>
      <c r="D2622" s="401"/>
      <c r="E2622" s="402"/>
      <c r="F2622" s="403">
        <f>ROUND(F2621*C2622,2)</f>
        <v>0</v>
      </c>
      <c r="J2622" s="341"/>
      <c r="L2622" s="380"/>
      <c r="M2622" s="381"/>
      <c r="N2622" s="342"/>
      <c r="R2622" s="341"/>
      <c r="S2622" s="341"/>
    </row>
    <row r="2623" spans="1:21" ht="12.75" customHeight="1">
      <c r="A2623" s="404"/>
      <c r="B2623" s="405" t="s">
        <v>227</v>
      </c>
      <c r="C2623" s="406"/>
      <c r="D2623" s="406"/>
      <c r="E2623" s="407"/>
      <c r="F2623" s="408">
        <f>F2621+F2622</f>
        <v>0</v>
      </c>
      <c r="J2623" s="341"/>
      <c r="L2623" s="380"/>
      <c r="M2623" s="381"/>
      <c r="N2623" s="342"/>
      <c r="R2623" s="341"/>
      <c r="S2623" s="341"/>
    </row>
    <row r="2624" spans="1:21" ht="12.75" customHeight="1">
      <c r="A2624" s="374" t="s">
        <v>2</v>
      </c>
      <c r="B2624" s="375" t="s">
        <v>235</v>
      </c>
      <c r="C2624" s="376" t="s">
        <v>231</v>
      </c>
      <c r="D2624" s="376" t="s">
        <v>232</v>
      </c>
      <c r="E2624" s="377" t="s">
        <v>233</v>
      </c>
      <c r="F2624" s="378" t="s">
        <v>234</v>
      </c>
      <c r="J2624" s="341"/>
      <c r="L2624" s="380"/>
      <c r="M2624" s="381"/>
      <c r="N2624" s="342"/>
      <c r="R2624" s="341"/>
      <c r="S2624" s="341"/>
    </row>
    <row r="2625" spans="1:19" ht="12.75" customHeight="1">
      <c r="A2625" s="393" t="str">
        <f>VII.A!$A$172</f>
        <v>2.30</v>
      </c>
      <c r="B2625" s="423" t="str">
        <f>VLOOKUP(A2625,VII.A!$A$10:$G$199,2,FALSE)</f>
        <v>BETONEIRA REVERSIVEL COM CARREGADOR, CAPACIDADE DE 320 LITROS, ACIONAMENTO DO MOTOR COMBUSTÃO INTERNA (DIESEL E GASOLINA) OU MOTOR ELÉTRICO ALFA 320</v>
      </c>
      <c r="C2625" s="20">
        <v>0.43</v>
      </c>
      <c r="D2625" s="384" t="str">
        <f>VLOOKUP(A2625,VII.A!$A$10:$G$199,3,FALSE)</f>
        <v>H</v>
      </c>
      <c r="E2625" s="387">
        <f>VLOOKUP(A2625,VII.A!$A$10:$G$199,4,FALSE)</f>
        <v>0</v>
      </c>
      <c r="F2625" s="388">
        <f t="shared" ref="F2625:F2634" si="691">ROUND(C2625*E2625,2)</f>
        <v>0</v>
      </c>
      <c r="H2625" s="341">
        <f>IF(A2625="","",VLOOKUP(A2625,VII.A!$A$10:$D$199,4,FALSE))</f>
        <v>0</v>
      </c>
      <c r="I2625" s="341" t="str">
        <f t="shared" ref="I2625:I2634" si="692">IF(A2625="","",IF(E2625=H2625,"SIM","NÃO"))</f>
        <v>SIM</v>
      </c>
      <c r="J2625" s="341" t="str">
        <f>IF(A2625="","",VLOOKUP(A2625,VII.A!$A$10:$D$199,3,FALSE))</f>
        <v>H</v>
      </c>
      <c r="K2625" s="342" t="str">
        <f t="shared" ref="K2625:K2634" si="693">IF(A2625="","",IF(J2625=D2625,"SIM","NÃO"))</f>
        <v>SIM</v>
      </c>
      <c r="L2625" s="380">
        <f>IF(C2625="","",G2603*C2625)</f>
        <v>8.6</v>
      </c>
      <c r="M2625" s="381" t="str">
        <f>IF(A2625="","",VLOOKUP(A2625,VII.A!$A$10:$B$199,2,FALSE))</f>
        <v>BETONEIRA REVERSIVEL COM CARREGADOR, CAPACIDADE DE 320 LITROS, ACIONAMENTO DO MOTOR COMBUSTÃO INTERNA (DIESEL E GASOLINA) OU MOTOR ELÉTRICO ALFA 320</v>
      </c>
      <c r="N2625" s="342" t="str">
        <f t="shared" ref="N2625:N2634" si="694">IF(B2625="","",IF(M2625=B2625,"si","no"))</f>
        <v>si</v>
      </c>
      <c r="R2625" s="341"/>
      <c r="S2625" s="341"/>
    </row>
    <row r="2626" spans="1:19" ht="12.75" customHeight="1">
      <c r="A2626" s="393"/>
      <c r="C2626" s="20"/>
      <c r="E2626" s="387"/>
      <c r="F2626" s="388">
        <f t="shared" si="691"/>
        <v>0</v>
      </c>
      <c r="H2626" s="341" t="str">
        <f>IF(A2626="","",VLOOKUP(A2626,VII.A!$A$10:$D$199,4,FALSE))</f>
        <v/>
      </c>
      <c r="I2626" s="341" t="str">
        <f t="shared" si="692"/>
        <v/>
      </c>
      <c r="J2626" s="341" t="str">
        <f>IF(A2626="","",VLOOKUP(A2626,VII.A!$A$10:$D$199,3,FALSE))</f>
        <v/>
      </c>
      <c r="K2626" s="342" t="str">
        <f t="shared" si="693"/>
        <v/>
      </c>
      <c r="L2626" s="380" t="str">
        <f>IF(C2626="","",G2603*C2626)</f>
        <v/>
      </c>
      <c r="M2626" s="381" t="str">
        <f>IF(A2626="","",VLOOKUP(A2626,VII.A!$A$10:$B$199,2,FALSE))</f>
        <v/>
      </c>
      <c r="N2626" s="342" t="str">
        <f t="shared" si="694"/>
        <v/>
      </c>
      <c r="R2626" s="341"/>
      <c r="S2626" s="341"/>
    </row>
    <row r="2627" spans="1:19" ht="12.75" customHeight="1">
      <c r="A2627" s="393"/>
      <c r="C2627" s="20"/>
      <c r="E2627" s="387"/>
      <c r="F2627" s="388">
        <f t="shared" si="691"/>
        <v>0</v>
      </c>
      <c r="H2627" s="341" t="str">
        <f>IF(A2627="","",VLOOKUP(A2627,VII.A!$A$10:$D$199,4,FALSE))</f>
        <v/>
      </c>
      <c r="I2627" s="341" t="str">
        <f t="shared" si="692"/>
        <v/>
      </c>
      <c r="J2627" s="341" t="str">
        <f>IF(A2627="","",VLOOKUP(A2627,VII.A!$A$10:$D$199,3,FALSE))</f>
        <v/>
      </c>
      <c r="K2627" s="342" t="str">
        <f t="shared" si="693"/>
        <v/>
      </c>
      <c r="L2627" s="380" t="str">
        <f>IF(C2627="","",G2603*C2627)</f>
        <v/>
      </c>
      <c r="M2627" s="381" t="str">
        <f>IF(A2627="","",VLOOKUP(A2627,VII.A!$A$10:$B$199,2,FALSE))</f>
        <v/>
      </c>
      <c r="N2627" s="342" t="str">
        <f t="shared" si="694"/>
        <v/>
      </c>
      <c r="R2627" s="341"/>
      <c r="S2627" s="341"/>
    </row>
    <row r="2628" spans="1:19" ht="12.75" customHeight="1">
      <c r="A2628" s="393"/>
      <c r="C2628" s="20"/>
      <c r="E2628" s="387"/>
      <c r="F2628" s="388">
        <f t="shared" si="691"/>
        <v>0</v>
      </c>
      <c r="H2628" s="341" t="str">
        <f>IF(A2628="","",VLOOKUP(A2628,VII.A!$A$10:$D$199,4,FALSE))</f>
        <v/>
      </c>
      <c r="I2628" s="341" t="str">
        <f t="shared" si="692"/>
        <v/>
      </c>
      <c r="J2628" s="341" t="str">
        <f>IF(A2628="","",VLOOKUP(A2628,VII.A!$A$10:$D$199,3,FALSE))</f>
        <v/>
      </c>
      <c r="K2628" s="342" t="str">
        <f t="shared" si="693"/>
        <v/>
      </c>
      <c r="L2628" s="380" t="str">
        <f>IF(C2628="","",G2603*C2628)</f>
        <v/>
      </c>
      <c r="M2628" s="381" t="str">
        <f>IF(A2628="","",VLOOKUP(A2628,VII.A!$A$10:$B$199,2,FALSE))</f>
        <v/>
      </c>
      <c r="N2628" s="342" t="str">
        <f t="shared" si="694"/>
        <v/>
      </c>
      <c r="R2628" s="341"/>
      <c r="S2628" s="341"/>
    </row>
    <row r="2629" spans="1:19" ht="12.75" customHeight="1">
      <c r="A2629" s="393"/>
      <c r="C2629" s="20"/>
      <c r="E2629" s="387"/>
      <c r="F2629" s="388">
        <f t="shared" si="691"/>
        <v>0</v>
      </c>
      <c r="G2629" s="390"/>
      <c r="H2629" s="341" t="str">
        <f>IF(A2629="","",VLOOKUP(A2629,VII.A!$A$10:$D$199,4,FALSE))</f>
        <v/>
      </c>
      <c r="I2629" s="341" t="str">
        <f t="shared" si="692"/>
        <v/>
      </c>
      <c r="J2629" s="341" t="str">
        <f>IF(A2629="","",VLOOKUP(A2629,VII.A!$A$10:$D$199,3,FALSE))</f>
        <v/>
      </c>
      <c r="K2629" s="342" t="str">
        <f t="shared" si="693"/>
        <v/>
      </c>
      <c r="L2629" s="380" t="str">
        <f>IF(C2629="","",G2603*C2629)</f>
        <v/>
      </c>
      <c r="M2629" s="381" t="str">
        <f>IF(A2629="","",VLOOKUP(A2629,VII.A!$A$10:$B$199,2,FALSE))</f>
        <v/>
      </c>
      <c r="N2629" s="342" t="str">
        <f t="shared" si="694"/>
        <v/>
      </c>
      <c r="R2629" s="341"/>
      <c r="S2629" s="341"/>
    </row>
    <row r="2630" spans="1:19" ht="12.75" customHeight="1">
      <c r="A2630" s="393"/>
      <c r="C2630" s="20"/>
      <c r="E2630" s="387"/>
      <c r="F2630" s="388">
        <f t="shared" si="691"/>
        <v>0</v>
      </c>
      <c r="G2630" s="391"/>
      <c r="H2630" s="341" t="str">
        <f>IF(A2630="","",VLOOKUP(A2630,VII.A!$A$10:$D$199,4,FALSE))</f>
        <v/>
      </c>
      <c r="I2630" s="341" t="str">
        <f t="shared" si="692"/>
        <v/>
      </c>
      <c r="J2630" s="341" t="str">
        <f>IF(A2630="","",VLOOKUP(A2630,VII.A!$A$10:$D$199,3,FALSE))</f>
        <v/>
      </c>
      <c r="K2630" s="342" t="str">
        <f t="shared" si="693"/>
        <v/>
      </c>
      <c r="L2630" s="380" t="str">
        <f>IF(C2630="","",G2603*C2630)</f>
        <v/>
      </c>
      <c r="M2630" s="381" t="str">
        <f>IF(A2630="","",VLOOKUP(A2630,VII.A!$A$10:$B$199,2,FALSE))</f>
        <v/>
      </c>
      <c r="N2630" s="342" t="str">
        <f t="shared" si="694"/>
        <v/>
      </c>
      <c r="R2630" s="341"/>
      <c r="S2630" s="341"/>
    </row>
    <row r="2631" spans="1:19" ht="12.75" customHeight="1">
      <c r="A2631" s="393"/>
      <c r="C2631" s="20"/>
      <c r="E2631" s="387"/>
      <c r="F2631" s="388">
        <f t="shared" si="691"/>
        <v>0</v>
      </c>
      <c r="H2631" s="341" t="str">
        <f>IF(A2631="","",VLOOKUP(A2631,VII.A!$A$10:$D$199,4,FALSE))</f>
        <v/>
      </c>
      <c r="I2631" s="341" t="str">
        <f t="shared" si="692"/>
        <v/>
      </c>
      <c r="J2631" s="341" t="str">
        <f>IF(A2631="","",VLOOKUP(A2631,VII.A!$A$10:$D$199,3,FALSE))</f>
        <v/>
      </c>
      <c r="K2631" s="342" t="str">
        <f t="shared" si="693"/>
        <v/>
      </c>
      <c r="L2631" s="380" t="str">
        <f>IF(C2631="","",G2603*C2631)</f>
        <v/>
      </c>
      <c r="M2631" s="381" t="str">
        <f>IF(A2631="","",VLOOKUP(A2631,VII.A!$A$10:$B$199,2,FALSE))</f>
        <v/>
      </c>
      <c r="N2631" s="342" t="str">
        <f t="shared" si="694"/>
        <v/>
      </c>
      <c r="R2631" s="341"/>
      <c r="S2631" s="341"/>
    </row>
    <row r="2632" spans="1:19" ht="12.75" customHeight="1">
      <c r="A2632" s="393"/>
      <c r="C2632" s="20"/>
      <c r="E2632" s="387"/>
      <c r="F2632" s="388">
        <f t="shared" si="691"/>
        <v>0</v>
      </c>
      <c r="H2632" s="341" t="str">
        <f>IF(A2632="","",VLOOKUP(A2632,VII.A!$A$10:$D$199,4,FALSE))</f>
        <v/>
      </c>
      <c r="I2632" s="341" t="str">
        <f t="shared" si="692"/>
        <v/>
      </c>
      <c r="J2632" s="341" t="str">
        <f>IF(A2632="","",VLOOKUP(A2632,VII.A!$A$10:$D$199,3,FALSE))</f>
        <v/>
      </c>
      <c r="K2632" s="342" t="str">
        <f t="shared" si="693"/>
        <v/>
      </c>
      <c r="L2632" s="380" t="str">
        <f>IF(C2632="","",G2603*C2632)</f>
        <v/>
      </c>
      <c r="M2632" s="381" t="str">
        <f>IF(A2632="","",VLOOKUP(A2632,VII.A!$A$10:$B$199,2,FALSE))</f>
        <v/>
      </c>
      <c r="N2632" s="342" t="str">
        <f t="shared" si="694"/>
        <v/>
      </c>
      <c r="R2632" s="341"/>
      <c r="S2632" s="341"/>
    </row>
    <row r="2633" spans="1:19" ht="12.75" customHeight="1">
      <c r="A2633" s="393"/>
      <c r="C2633" s="20"/>
      <c r="E2633" s="387"/>
      <c r="F2633" s="388">
        <f t="shared" si="691"/>
        <v>0</v>
      </c>
      <c r="H2633" s="341" t="str">
        <f>IF(A2633="","",VLOOKUP(A2633,VII.A!$A$10:$D$199,4,FALSE))</f>
        <v/>
      </c>
      <c r="I2633" s="341" t="str">
        <f t="shared" si="692"/>
        <v/>
      </c>
      <c r="J2633" s="341" t="str">
        <f>IF(A2633="","",VLOOKUP(A2633,VII.A!$A$10:$D$199,3,FALSE))</f>
        <v/>
      </c>
      <c r="K2633" s="342" t="str">
        <f t="shared" si="693"/>
        <v/>
      </c>
      <c r="L2633" s="380" t="str">
        <f>IF(C2633="","",G2603*C2633)</f>
        <v/>
      </c>
      <c r="M2633" s="381" t="str">
        <f>IF(A2633="","",VLOOKUP(A2633,VII.A!$A$10:$B$199,2,FALSE))</f>
        <v/>
      </c>
      <c r="N2633" s="342" t="str">
        <f t="shared" si="694"/>
        <v/>
      </c>
      <c r="R2633" s="341"/>
      <c r="S2633" s="341"/>
    </row>
    <row r="2634" spans="1:19" ht="12.75" customHeight="1">
      <c r="A2634" s="393"/>
      <c r="C2634" s="20"/>
      <c r="E2634" s="387"/>
      <c r="F2634" s="388">
        <f t="shared" si="691"/>
        <v>0</v>
      </c>
      <c r="H2634" s="341" t="str">
        <f>IF(A2634="","",VLOOKUP(A2634,VII.A!$A$10:$D$199,4,FALSE))</f>
        <v/>
      </c>
      <c r="I2634" s="341" t="str">
        <f t="shared" si="692"/>
        <v/>
      </c>
      <c r="J2634" s="341" t="str">
        <f>IF(A2634="","",VLOOKUP(A2634,VII.A!$A$10:$D$199,3,FALSE))</f>
        <v/>
      </c>
      <c r="K2634" s="342" t="str">
        <f t="shared" si="693"/>
        <v/>
      </c>
      <c r="L2634" s="380" t="str">
        <f>IF(C2634="","",G2603*C2634)</f>
        <v/>
      </c>
      <c r="M2634" s="381" t="str">
        <f>IF(A2634="","",VLOOKUP(A2634,VII.A!$A$10:$B$199,2,FALSE))</f>
        <v/>
      </c>
      <c r="N2634" s="342" t="str">
        <f t="shared" si="694"/>
        <v/>
      </c>
      <c r="R2634" s="341"/>
      <c r="S2634" s="341"/>
    </row>
    <row r="2635" spans="1:19" ht="12.75" customHeight="1">
      <c r="A2635" s="393"/>
      <c r="B2635" s="395" t="s">
        <v>226</v>
      </c>
      <c r="C2635" s="396"/>
      <c r="D2635" s="397"/>
      <c r="E2635" s="398"/>
      <c r="F2635" s="399">
        <f>SUM(F2625:F2634)</f>
        <v>0</v>
      </c>
      <c r="J2635" s="341"/>
      <c r="L2635" s="380"/>
      <c r="M2635" s="381"/>
      <c r="N2635" s="342"/>
      <c r="R2635" s="341"/>
      <c r="S2635" s="341"/>
    </row>
    <row r="2636" spans="1:19" ht="12.75" customHeight="1">
      <c r="A2636" s="393"/>
      <c r="B2636" s="400" t="s">
        <v>53</v>
      </c>
      <c r="C2636" s="2">
        <f>$D$8</f>
        <v>0</v>
      </c>
      <c r="D2636" s="401"/>
      <c r="E2636" s="402"/>
      <c r="F2636" s="403">
        <f>ROUND(C2636*F2635,2)</f>
        <v>0</v>
      </c>
      <c r="J2636" s="341"/>
      <c r="L2636" s="380"/>
      <c r="M2636" s="381"/>
      <c r="N2636" s="342"/>
      <c r="R2636" s="341"/>
      <c r="S2636" s="341"/>
    </row>
    <row r="2637" spans="1:19" ht="12.75" customHeight="1">
      <c r="A2637" s="404"/>
      <c r="B2637" s="405" t="s">
        <v>228</v>
      </c>
      <c r="C2637" s="406"/>
      <c r="D2637" s="406"/>
      <c r="E2637" s="407"/>
      <c r="F2637" s="408">
        <f>F2635+F2636</f>
        <v>0</v>
      </c>
      <c r="J2637" s="341"/>
      <c r="L2637" s="380"/>
      <c r="M2637" s="381"/>
      <c r="N2637" s="342"/>
      <c r="R2637" s="341"/>
      <c r="S2637" s="341"/>
    </row>
    <row r="2638" spans="1:19" ht="12.75" customHeight="1">
      <c r="A2638" s="409" t="s">
        <v>47</v>
      </c>
      <c r="B2638" s="410" t="s">
        <v>236</v>
      </c>
      <c r="C2638" s="411" t="s">
        <v>231</v>
      </c>
      <c r="D2638" s="412" t="s">
        <v>232</v>
      </c>
      <c r="E2638" s="413" t="s">
        <v>233</v>
      </c>
      <c r="F2638" s="378" t="s">
        <v>234</v>
      </c>
      <c r="J2638" s="341"/>
      <c r="L2638" s="380"/>
      <c r="M2638" s="381"/>
      <c r="N2638" s="342"/>
      <c r="R2638" s="341"/>
      <c r="S2638" s="341"/>
    </row>
    <row r="2639" spans="1:19" ht="12.75" customHeight="1">
      <c r="A2639" s="393" t="str">
        <f>VII.A!$A$196</f>
        <v>3.16</v>
      </c>
      <c r="B2639" s="394" t="s">
        <v>157</v>
      </c>
      <c r="C2639" s="20">
        <v>2.5</v>
      </c>
      <c r="D2639" s="384" t="str">
        <f>VLOOKUP(A2639,VII.A!$A$10:$G$199,3,FALSE)</f>
        <v>H</v>
      </c>
      <c r="E2639" s="387">
        <f>VII.A!$D$196</f>
        <v>0</v>
      </c>
      <c r="F2639" s="388">
        <f t="shared" ref="F2639:F2645" si="695">ROUND(C2639*E2639,2)</f>
        <v>0</v>
      </c>
      <c r="H2639" s="341">
        <f>IF(A2639="","",VLOOKUP(A2639,VII.A!$A$10:$D$199,4,FALSE))</f>
        <v>0</v>
      </c>
      <c r="I2639" s="341" t="str">
        <f t="shared" ref="I2639:I2645" si="696">IF(A2639="","",IF(E2639=H2639,"SIM","NÃO"))</f>
        <v>SIM</v>
      </c>
      <c r="J2639" s="341" t="str">
        <f>IF(A2639="","",VLOOKUP(A2639,VII.A!$A$10:$D$199,3,FALSE))</f>
        <v>H</v>
      </c>
      <c r="K2639" s="342" t="str">
        <f t="shared" ref="K2639:K2645" si="697">IF(A2639="","",IF(J2639=D2639,"SIM","NÃO"))</f>
        <v>SIM</v>
      </c>
      <c r="L2639" s="380">
        <f>IF(C2639="","",G2603*C2639)</f>
        <v>50</v>
      </c>
      <c r="M2639" s="381" t="str">
        <f>IF(A2639="","",VLOOKUP(A2639,VII.A!$A$10:$B$199,2,FALSE))</f>
        <v>SERVENTE COM ENCARGOS COMPLEMENTARES</v>
      </c>
      <c r="N2639" s="342" t="str">
        <f t="shared" ref="N2639:N2645" si="698">IF(B2639="","",IF(M2639=B2639,"si","no"))</f>
        <v>si</v>
      </c>
      <c r="R2639" s="341"/>
      <c r="S2639" s="341"/>
    </row>
    <row r="2640" spans="1:19" ht="12.75" customHeight="1">
      <c r="A2640" s="393" t="str">
        <f>VII.A!$A$192</f>
        <v>3.12</v>
      </c>
      <c r="B2640" s="394" t="s">
        <v>153</v>
      </c>
      <c r="C2640" s="20">
        <v>0.25</v>
      </c>
      <c r="D2640" s="384" t="str">
        <f>VLOOKUP(A2640,VII.A!$A$10:$G$199,3,FALSE)</f>
        <v>H</v>
      </c>
      <c r="E2640" s="387">
        <f>VII.A!D192</f>
        <v>0</v>
      </c>
      <c r="F2640" s="388">
        <f t="shared" si="695"/>
        <v>0</v>
      </c>
      <c r="H2640" s="341">
        <f>IF(A2640="","",VLOOKUP(A2640,VII.A!$A$10:$D$199,4,FALSE))</f>
        <v>0</v>
      </c>
      <c r="I2640" s="341" t="str">
        <f t="shared" si="696"/>
        <v>SIM</v>
      </c>
      <c r="J2640" s="341" t="str">
        <f>IF(A2640="","",VLOOKUP(A2640,VII.A!$A$10:$D$199,3,FALSE))</f>
        <v>H</v>
      </c>
      <c r="K2640" s="342" t="str">
        <f t="shared" si="697"/>
        <v>SIM</v>
      </c>
      <c r="L2640" s="380">
        <f>IF(C2640="","",G2603*C2640)</f>
        <v>5</v>
      </c>
      <c r="M2640" s="381" t="str">
        <f>IF(A2640="","",VLOOKUP(A2640,VII.A!$A$10:$B$199,2,FALSE))</f>
        <v>PEDREIRO COM ENCARGOS COMPLEMENTARES</v>
      </c>
      <c r="N2640" s="342" t="str">
        <f t="shared" si="698"/>
        <v>si</v>
      </c>
      <c r="R2640" s="341"/>
      <c r="S2640" s="341"/>
    </row>
    <row r="2641" spans="1:25" ht="12.75" customHeight="1">
      <c r="A2641" s="393"/>
      <c r="C2641" s="20"/>
      <c r="E2641" s="387"/>
      <c r="F2641" s="388">
        <f t="shared" si="695"/>
        <v>0</v>
      </c>
      <c r="H2641" s="341" t="str">
        <f>IF(A2641="","",VLOOKUP(A2641,VII.A!$A$10:$D$199,4,FALSE))</f>
        <v/>
      </c>
      <c r="I2641" s="341" t="str">
        <f t="shared" si="696"/>
        <v/>
      </c>
      <c r="J2641" s="341" t="str">
        <f>IF(A2641="","",VLOOKUP(A2641,VII.A!$A$10:$D$199,3,FALSE))</f>
        <v/>
      </c>
      <c r="K2641" s="342" t="str">
        <f t="shared" si="697"/>
        <v/>
      </c>
      <c r="L2641" s="380" t="str">
        <f>IF(C2641="","",G2603*C2641)</f>
        <v/>
      </c>
      <c r="M2641" s="381" t="str">
        <f>IF(A2641="","",VLOOKUP(A2641,VII.A!$A$10:$B$199,2,FALSE))</f>
        <v/>
      </c>
      <c r="N2641" s="342" t="str">
        <f t="shared" si="698"/>
        <v/>
      </c>
      <c r="R2641" s="341"/>
      <c r="S2641" s="341"/>
    </row>
    <row r="2642" spans="1:25" ht="12.75" customHeight="1">
      <c r="A2642" s="393"/>
      <c r="C2642" s="20"/>
      <c r="E2642" s="387"/>
      <c r="F2642" s="388">
        <f t="shared" si="695"/>
        <v>0</v>
      </c>
      <c r="H2642" s="341" t="str">
        <f>IF(A2642="","",VLOOKUP(A2642,VII.A!$A$10:$D$199,4,FALSE))</f>
        <v/>
      </c>
      <c r="I2642" s="341" t="str">
        <f t="shared" si="696"/>
        <v/>
      </c>
      <c r="J2642" s="341" t="str">
        <f>IF(A2642="","",VLOOKUP(A2642,VII.A!$A$10:$D$199,3,FALSE))</f>
        <v/>
      </c>
      <c r="K2642" s="342" t="str">
        <f t="shared" si="697"/>
        <v/>
      </c>
      <c r="L2642" s="380" t="str">
        <f>IF(C2642="","",G2603*C2642)</f>
        <v/>
      </c>
      <c r="M2642" s="381" t="str">
        <f>IF(A2642="","",VLOOKUP(A2642,VII.A!$A$10:$B$199,2,FALSE))</f>
        <v/>
      </c>
      <c r="N2642" s="342" t="str">
        <f t="shared" si="698"/>
        <v/>
      </c>
      <c r="R2642" s="341"/>
      <c r="S2642" s="341"/>
    </row>
    <row r="2643" spans="1:25" ht="12.75" customHeight="1">
      <c r="A2643" s="393"/>
      <c r="C2643" s="20"/>
      <c r="E2643" s="387"/>
      <c r="F2643" s="388">
        <f t="shared" si="695"/>
        <v>0</v>
      </c>
      <c r="H2643" s="341" t="str">
        <f>IF(A2643="","",VLOOKUP(A2643,VII.A!$A$10:$D$199,4,FALSE))</f>
        <v/>
      </c>
      <c r="I2643" s="341" t="str">
        <f t="shared" si="696"/>
        <v/>
      </c>
      <c r="J2643" s="341" t="str">
        <f>IF(A2643="","",VLOOKUP(A2643,VII.A!$A$10:$D$199,3,FALSE))</f>
        <v/>
      </c>
      <c r="K2643" s="342" t="str">
        <f t="shared" si="697"/>
        <v/>
      </c>
      <c r="L2643" s="380" t="str">
        <f>IF(C2643="","",G2603*C2643)</f>
        <v/>
      </c>
      <c r="M2643" s="381" t="str">
        <f>IF(A2643="","",VLOOKUP(A2643,VII.A!$A$10:$B$199,2,FALSE))</f>
        <v/>
      </c>
      <c r="N2643" s="342" t="str">
        <f t="shared" si="698"/>
        <v/>
      </c>
      <c r="R2643" s="341"/>
      <c r="S2643" s="341"/>
    </row>
    <row r="2644" spans="1:25" ht="12.75" customHeight="1">
      <c r="A2644" s="393"/>
      <c r="C2644" s="20"/>
      <c r="E2644" s="387"/>
      <c r="F2644" s="388">
        <f t="shared" si="695"/>
        <v>0</v>
      </c>
      <c r="H2644" s="341" t="str">
        <f>IF(A2644="","",VLOOKUP(A2644,VII.A!$A$10:$D$199,4,FALSE))</f>
        <v/>
      </c>
      <c r="I2644" s="341" t="str">
        <f t="shared" si="696"/>
        <v/>
      </c>
      <c r="J2644" s="341" t="str">
        <f>IF(A2644="","",VLOOKUP(A2644,VII.A!$A$10:$D$199,3,FALSE))</f>
        <v/>
      </c>
      <c r="K2644" s="342" t="str">
        <f t="shared" si="697"/>
        <v/>
      </c>
      <c r="L2644" s="380" t="str">
        <f>IF(C2644="","",G2603*C2644)</f>
        <v/>
      </c>
      <c r="M2644" s="381" t="str">
        <f>IF(A2644="","",VLOOKUP(A2644,VII.A!$A$10:$B$199,2,FALSE))</f>
        <v/>
      </c>
      <c r="N2644" s="342" t="str">
        <f t="shared" si="698"/>
        <v/>
      </c>
      <c r="R2644" s="341"/>
      <c r="S2644" s="341"/>
    </row>
    <row r="2645" spans="1:25" ht="12.75" customHeight="1">
      <c r="A2645" s="393"/>
      <c r="C2645" s="20"/>
      <c r="E2645" s="387"/>
      <c r="F2645" s="388">
        <f t="shared" si="695"/>
        <v>0</v>
      </c>
      <c r="H2645" s="341" t="str">
        <f>IF(A2645="","",VLOOKUP(A2645,VII.A!$A$10:$D$199,4,FALSE))</f>
        <v/>
      </c>
      <c r="I2645" s="341" t="str">
        <f t="shared" si="696"/>
        <v/>
      </c>
      <c r="J2645" s="341" t="str">
        <f>IF(A2645="","",VLOOKUP(A2645,VII.A!$A$10:$D$199,3,FALSE))</f>
        <v/>
      </c>
      <c r="K2645" s="342" t="str">
        <f t="shared" si="697"/>
        <v/>
      </c>
      <c r="L2645" s="380" t="str">
        <f>IF(C2645="","",G2603*C2645)</f>
        <v/>
      </c>
      <c r="M2645" s="381" t="str">
        <f>IF(A2645="","",VLOOKUP(A2645,VII.A!$A$10:$B$199,2,FALSE))</f>
        <v/>
      </c>
      <c r="N2645" s="342" t="str">
        <f t="shared" si="698"/>
        <v/>
      </c>
      <c r="R2645" s="341"/>
      <c r="S2645" s="341"/>
    </row>
    <row r="2646" spans="1:25" ht="12.75" customHeight="1">
      <c r="A2646" s="393"/>
      <c r="B2646" s="395" t="s">
        <v>226</v>
      </c>
      <c r="C2646" s="396"/>
      <c r="D2646" s="397"/>
      <c r="E2646" s="398"/>
      <c r="F2646" s="399">
        <f>SUM(F2639:F2645)</f>
        <v>0</v>
      </c>
      <c r="J2646" s="341"/>
      <c r="L2646" s="380"/>
      <c r="M2646" s="381"/>
      <c r="N2646" s="342"/>
      <c r="R2646" s="341"/>
      <c r="S2646" s="341"/>
    </row>
    <row r="2647" spans="1:25" ht="12.75" customHeight="1">
      <c r="A2647" s="393"/>
      <c r="B2647" s="400" t="s">
        <v>229</v>
      </c>
      <c r="C2647" s="2">
        <f>IX.A!$C$45</f>
        <v>0</v>
      </c>
      <c r="D2647" s="401"/>
      <c r="E2647" s="402"/>
      <c r="F2647" s="403">
        <f>ROUND(F2646*C2647,2)</f>
        <v>0</v>
      </c>
      <c r="J2647" s="341"/>
      <c r="L2647" s="380"/>
      <c r="M2647" s="381"/>
      <c r="N2647" s="342"/>
      <c r="R2647" s="341"/>
      <c r="S2647" s="341"/>
    </row>
    <row r="2648" spans="1:25" ht="12.75" customHeight="1">
      <c r="A2648" s="393"/>
      <c r="B2648" s="400" t="s">
        <v>53</v>
      </c>
      <c r="C2648" s="2">
        <f>$D$8</f>
        <v>0</v>
      </c>
      <c r="D2648" s="401"/>
      <c r="E2648" s="402"/>
      <c r="F2648" s="403">
        <f>ROUND(SUM(F2646:F2647)*C2648,2)</f>
        <v>0</v>
      </c>
      <c r="J2648" s="341"/>
      <c r="L2648" s="380"/>
      <c r="M2648" s="381"/>
      <c r="N2648" s="342"/>
      <c r="R2648" s="341"/>
      <c r="S2648" s="341"/>
    </row>
    <row r="2649" spans="1:25" ht="12.75" customHeight="1" thickBot="1">
      <c r="A2649" s="414"/>
      <c r="B2649" s="415" t="s">
        <v>230</v>
      </c>
      <c r="C2649" s="416"/>
      <c r="D2649" s="416"/>
      <c r="E2649" s="417"/>
      <c r="F2649" s="418">
        <f>SUM(F2646:F2648)</f>
        <v>0</v>
      </c>
      <c r="J2649" s="341"/>
      <c r="L2649" s="380"/>
      <c r="M2649" s="381"/>
      <c r="N2649" s="342"/>
      <c r="R2649" s="341"/>
      <c r="S2649" s="341"/>
    </row>
    <row r="2650" spans="1:25" ht="12.75" customHeight="1" thickBot="1">
      <c r="A2650" s="357"/>
      <c r="B2650" s="358"/>
      <c r="C2650" s="359"/>
      <c r="D2650" s="359"/>
      <c r="E2650" s="360"/>
      <c r="F2650" s="419"/>
      <c r="J2650" s="341"/>
      <c r="L2650" s="380"/>
      <c r="M2650" s="381"/>
      <c r="N2650" s="342"/>
      <c r="R2650" s="341"/>
      <c r="S2650" s="341"/>
    </row>
    <row r="2651" spans="1:25" ht="30" customHeight="1">
      <c r="A2651" s="370" t="str">
        <f>IV.A!A86</f>
        <v>3.6.1</v>
      </c>
      <c r="B2651" s="371" t="str">
        <f>IV.A!B86</f>
        <v xml:space="preserve">FORMA PLANA COMUM </v>
      </c>
      <c r="C2651" s="871" t="s">
        <v>237</v>
      </c>
      <c r="D2651" s="872"/>
      <c r="E2651" s="372" t="str">
        <f>IV.A!$C$86</f>
        <v>M2</v>
      </c>
      <c r="F2651" s="11">
        <f>ROUND(F2671+F2685+F2697,2)</f>
        <v>0</v>
      </c>
      <c r="G2651" s="1">
        <f>VLOOKUP(A2651,IV.A!$A$16:$L$172,4,FALSE)</f>
        <v>217</v>
      </c>
      <c r="H2651" s="361">
        <f>SUM(F2653:F2668)+F2670</f>
        <v>0</v>
      </c>
      <c r="I2651" s="361">
        <f>SUM(F2673:F2682)+F2684</f>
        <v>0</v>
      </c>
      <c r="J2651" s="361">
        <f>SUM(F2687:F2693)+F2695+F2696</f>
        <v>0</v>
      </c>
      <c r="K2651" s="361">
        <f>SUM(H2651:J2651)</f>
        <v>0</v>
      </c>
      <c r="L2651" s="362" t="str">
        <f>IF(K2651=F2651,"SIM","NÃO")</f>
        <v>SIM</v>
      </c>
      <c r="M2651" s="373">
        <f>ROUND(SUM(F2653:F2668),2)+ROUND(SUM(F2653:F2668)*C2670,2)+ROUND(SUM(F2673:F2682)*C2684,2)+ROUND(SUM(F2673:F2682),2)+ROUND(SUM(F2687:F2693)*C2695,2)+ROUND((SUM(F2687:F2693)+ROUND(SUM(F2687:F2693)*C2695,2))*C2696,2)+ROUND(SUM(F2687:F2693),2)</f>
        <v>0</v>
      </c>
      <c r="N2651" s="343" t="str">
        <f>IF(M2651=F2651,"SIM","NÃO")</f>
        <v>SIM</v>
      </c>
      <c r="O2651" s="364" t="str">
        <f>VLOOKUP(A2651,IV.A!$A$16:$E$172,3,FALSE)</f>
        <v>M2</v>
      </c>
      <c r="P2651" s="344" t="str">
        <f>IF(O2651=E2651,"SIM","NÃO")</f>
        <v>SIM</v>
      </c>
      <c r="Q2651" s="365">
        <f>ROUND(G2651*F2671,2)+ROUND(G2651*F2685,2)+ROUND(G2651*F2697,2)</f>
        <v>0</v>
      </c>
      <c r="R2651" s="364">
        <f>VLOOKUP(A2651,IV.A!$A$16:$L$172,12,FALSE)</f>
        <v>0</v>
      </c>
      <c r="S2651" s="366" t="str">
        <f>IF(Q2651=R2651,"si","no")</f>
        <v>si</v>
      </c>
      <c r="T2651" s="367">
        <f>SUM(L2653:L2668)+SUM(L2673:L2682)+SUM(L2687:L2693)</f>
        <v>825.69946666666669</v>
      </c>
      <c r="U2651" s="341">
        <f>(SUM(C2653:C2668)+SUM(C2673:C2682)+SUM(C2687:C2693))*G2651</f>
        <v>825.69946666666669</v>
      </c>
      <c r="V2651" s="368" t="str">
        <f>IF(T2651=U2651,"si","no")</f>
        <v>si</v>
      </c>
      <c r="W2651" s="369">
        <f>SUM(F2653:F2668)</f>
        <v>0</v>
      </c>
      <c r="X2651" s="369">
        <f>SUM(F2673:F2682)</f>
        <v>0</v>
      </c>
      <c r="Y2651" s="369">
        <f>SUM(F2687:F2693)</f>
        <v>0</v>
      </c>
    </row>
    <row r="2652" spans="1:25" ht="12.75" customHeight="1">
      <c r="A2652" s="374" t="s">
        <v>14</v>
      </c>
      <c r="B2652" s="375" t="s">
        <v>132</v>
      </c>
      <c r="C2652" s="376" t="s">
        <v>231</v>
      </c>
      <c r="D2652" s="376" t="s">
        <v>232</v>
      </c>
      <c r="E2652" s="377" t="s">
        <v>233</v>
      </c>
      <c r="F2652" s="378" t="s">
        <v>234</v>
      </c>
      <c r="G2652" s="379"/>
      <c r="J2652" s="341"/>
      <c r="L2652" s="380"/>
      <c r="M2652" s="381"/>
      <c r="N2652" s="342"/>
      <c r="O2652" s="382"/>
      <c r="P2652" s="383"/>
      <c r="Q2652" s="383"/>
      <c r="R2652" s="383"/>
      <c r="S2652" s="383"/>
      <c r="T2652" s="382"/>
      <c r="U2652" s="341"/>
      <c r="V2652" s="384"/>
      <c r="W2652" s="384"/>
      <c r="X2652" s="384"/>
      <c r="Y2652" s="384"/>
    </row>
    <row r="2653" spans="1:25" ht="12.75" customHeight="1">
      <c r="A2653" s="385" t="str">
        <f>VII.A!$A$43</f>
        <v>1.34</v>
      </c>
      <c r="B2653" s="386" t="str">
        <f>VLOOKUP(A2653,VII.A!$A$10:$G$199,2,FALSE)</f>
        <v>DESMOLDANTE PARA FÔRMAS - BASE DE ÓLEO MINERAL EMULSIONADO</v>
      </c>
      <c r="C2653" s="20">
        <v>0.1</v>
      </c>
      <c r="D2653" s="342" t="str">
        <f>VLOOKUP(A2653,VII.A!$A$10:$G$199,3,FALSE)</f>
        <v>L</v>
      </c>
      <c r="E2653" s="387">
        <f>VII.A!$D$43</f>
        <v>0</v>
      </c>
      <c r="F2653" s="388">
        <f>ROUND(C2653*E2653,2)</f>
        <v>0</v>
      </c>
      <c r="H2653" s="341">
        <f>IF(A2653="","",VLOOKUP(A2653,VII.A!$A$10:$D$199,4,FALSE))</f>
        <v>0</v>
      </c>
      <c r="I2653" s="341" t="str">
        <f t="shared" ref="I2653:I2668" si="699">IF(A2653="","",IF(E2653=H2653,"SIM","NÃO"))</f>
        <v>SIM</v>
      </c>
      <c r="J2653" s="341" t="str">
        <f>IF(A2653="","",VLOOKUP(A2653,VII.A!$A$10:$D$199,3,FALSE))</f>
        <v>L</v>
      </c>
      <c r="K2653" s="342" t="str">
        <f t="shared" ref="K2653:K2668" si="700">IF(A2653="","",IF(J2653=D2653,"SIM","NÃO"))</f>
        <v>SIM</v>
      </c>
      <c r="L2653" s="380">
        <f>IF(C2653="","",G2651*C2653)</f>
        <v>21.700000000000003</v>
      </c>
      <c r="M2653" s="381" t="str">
        <f>IF(A2653="","",VLOOKUP(A2653,VII.A!$A$10:$B$199,2,FALSE))</f>
        <v>DESMOLDANTE PARA FÔRMAS - BASE DE ÓLEO MINERAL EMULSIONADO</v>
      </c>
      <c r="N2653" s="342" t="str">
        <f t="shared" ref="N2653:N2668" si="701">IF(B2653="","",IF(M2653=B2653,"si","no"))</f>
        <v>si</v>
      </c>
      <c r="R2653" s="341"/>
      <c r="S2653" s="341"/>
    </row>
    <row r="2654" spans="1:25" ht="12.75" customHeight="1">
      <c r="A2654" s="385" t="str">
        <f>VII.A!$A$90</f>
        <v>1.80</v>
      </c>
      <c r="B2654" s="386" t="str">
        <f>VLOOKUP(A2654,VII.A!$A$10:$G$199,2,FALSE)</f>
        <v>PREGO EM AÇO POLIDO COM CABEÇA (MEDIA DAS BITOLAS)</v>
      </c>
      <c r="C2654" s="20">
        <f>0.1+0.036</f>
        <v>0.13600000000000001</v>
      </c>
      <c r="D2654" s="342" t="str">
        <f>VLOOKUP(A2654,VII.A!$A$10:$G$199,3,FALSE)</f>
        <v>KG</v>
      </c>
      <c r="E2654" s="387">
        <f>VII.A!$D$90</f>
        <v>0</v>
      </c>
      <c r="F2654" s="388">
        <f t="shared" ref="F2654:F2668" si="702">ROUND(C2654*E2654,2)</f>
        <v>0</v>
      </c>
      <c r="H2654" s="341">
        <f>IF(A2654="","",VLOOKUP(A2654,VII.A!$A$10:$D$199,4,FALSE))</f>
        <v>0</v>
      </c>
      <c r="I2654" s="341" t="str">
        <f t="shared" si="699"/>
        <v>SIM</v>
      </c>
      <c r="J2654" s="341" t="str">
        <f>IF(A2654="","",VLOOKUP(A2654,VII.A!$A$10:$D$199,3,FALSE))</f>
        <v>KG</v>
      </c>
      <c r="K2654" s="342" t="str">
        <f t="shared" si="700"/>
        <v>SIM</v>
      </c>
      <c r="L2654" s="380">
        <f>IF(C2654="","",G2651*C2654)</f>
        <v>29.512</v>
      </c>
      <c r="M2654" s="381" t="str">
        <f>IF(A2654="","",VLOOKUP(A2654,VII.A!$A$10:$B$199,2,FALSE))</f>
        <v>PREGO EM AÇO POLIDO COM CABEÇA (MEDIA DAS BITOLAS)</v>
      </c>
      <c r="N2654" s="342" t="str">
        <f t="shared" si="701"/>
        <v>si</v>
      </c>
      <c r="R2654" s="341"/>
      <c r="S2654" s="341"/>
    </row>
    <row r="2655" spans="1:25" ht="12.75" customHeight="1">
      <c r="A2655" s="385" t="str">
        <f>VII.A!$A$97</f>
        <v>1.87</v>
      </c>
      <c r="B2655" s="386" t="str">
        <f>VLOOKUP(A2655,VII.A!$A$10:$G$199,2,FALSE)</f>
        <v xml:space="preserve">SARRAFO 3A. CONSTRUÇÃO (SEÇÃO TRANSVERSAL: 1X4" - 2,5CM X 10,0CM) </v>
      </c>
      <c r="C2655" s="20">
        <v>0.75</v>
      </c>
      <c r="D2655" s="342" t="str">
        <f>VLOOKUP(A2655,VII.A!$A$10:$G$199,3,FALSE)</f>
        <v>M</v>
      </c>
      <c r="E2655" s="387">
        <f>VII.A!$D$97</f>
        <v>0</v>
      </c>
      <c r="F2655" s="388">
        <f t="shared" si="702"/>
        <v>0</v>
      </c>
      <c r="H2655" s="341">
        <f>IF(A2655="","",VLOOKUP(A2655,VII.A!$A$10:$D$199,4,FALSE))</f>
        <v>0</v>
      </c>
      <c r="I2655" s="341" t="str">
        <f t="shared" si="699"/>
        <v>SIM</v>
      </c>
      <c r="J2655" s="341" t="str">
        <f>IF(A2655="","",VLOOKUP(A2655,VII.A!$A$10:$D$199,3,FALSE))</f>
        <v>M</v>
      </c>
      <c r="K2655" s="342" t="str">
        <f t="shared" si="700"/>
        <v>SIM</v>
      </c>
      <c r="L2655" s="380">
        <f>IF(C2655="","",G2651*C2655)</f>
        <v>162.75</v>
      </c>
      <c r="M2655" s="381" t="str">
        <f>IF(A2655="","",VLOOKUP(A2655,VII.A!$A$10:$B$199,2,FALSE))</f>
        <v xml:space="preserve">SARRAFO 3A. CONSTRUÇÃO (SEÇÃO TRANSVERSAL: 1X4" - 2,5CM X 10,0CM) </v>
      </c>
      <c r="N2655" s="342" t="str">
        <f t="shared" si="701"/>
        <v>si</v>
      </c>
      <c r="R2655" s="341"/>
      <c r="S2655" s="341"/>
    </row>
    <row r="2656" spans="1:25" ht="12.75" customHeight="1">
      <c r="A2656" s="385" t="str">
        <f>VII.A!$A$101</f>
        <v>1.91</v>
      </c>
      <c r="B2656" s="386" t="str">
        <f>VLOOKUP(A2656,VII.A!$A$10:$G$199,2,FALSE)</f>
        <v>TÁBUA MADEIRA 3A QUALIDADE 2,5 X 30CM (1X12") NÃO APARELHADA</v>
      </c>
      <c r="C2656" s="20">
        <f>0.26/0.3</f>
        <v>0.8666666666666667</v>
      </c>
      <c r="D2656" s="342" t="str">
        <f>VLOOKUP(A2656,VII.A!$A$10:$G$199,3,FALSE)</f>
        <v>M</v>
      </c>
      <c r="E2656" s="387">
        <f>VII.A!$D$101</f>
        <v>0</v>
      </c>
      <c r="F2656" s="388">
        <f t="shared" si="702"/>
        <v>0</v>
      </c>
      <c r="H2656" s="341">
        <f>IF(A2656="","",VLOOKUP(A2656,VII.A!$A$10:$D$199,4,FALSE))</f>
        <v>0</v>
      </c>
      <c r="I2656" s="341" t="str">
        <f t="shared" si="699"/>
        <v>SIM</v>
      </c>
      <c r="J2656" s="341" t="str">
        <f>IF(A2656="","",VLOOKUP(A2656,VII.A!$A$10:$D$199,3,FALSE))</f>
        <v>M</v>
      </c>
      <c r="K2656" s="342" t="str">
        <f t="shared" si="700"/>
        <v>SIM</v>
      </c>
      <c r="L2656" s="380">
        <f>IF(C2656="","",G2651*C2656)</f>
        <v>188.06666666666666</v>
      </c>
      <c r="M2656" s="381" t="str">
        <f>IF(A2656="","",VLOOKUP(A2656,VII.A!$A$10:$B$199,2,FALSE))</f>
        <v>TÁBUA MADEIRA 3A QUALIDADE 2,5 X 30CM (1X12") NÃO APARELHADA</v>
      </c>
      <c r="N2656" s="342" t="str">
        <f t="shared" si="701"/>
        <v>si</v>
      </c>
      <c r="R2656" s="341"/>
      <c r="S2656" s="341"/>
    </row>
    <row r="2657" spans="1:21" ht="12.75" customHeight="1">
      <c r="A2657" s="385"/>
      <c r="B2657" s="386"/>
      <c r="C2657" s="20"/>
      <c r="D2657" s="342"/>
      <c r="E2657" s="387"/>
      <c r="F2657" s="388">
        <f t="shared" si="702"/>
        <v>0</v>
      </c>
      <c r="H2657" s="341" t="str">
        <f>IF(A2657="","",VLOOKUP(A2657,VII.A!$A$10:$D$199,4,FALSE))</f>
        <v/>
      </c>
      <c r="I2657" s="341" t="str">
        <f t="shared" si="699"/>
        <v/>
      </c>
      <c r="J2657" s="341" t="str">
        <f>IF(A2657="","",VLOOKUP(A2657,VII.A!$A$10:$D$199,3,FALSE))</f>
        <v/>
      </c>
      <c r="K2657" s="342" t="str">
        <f t="shared" si="700"/>
        <v/>
      </c>
      <c r="L2657" s="380" t="str">
        <f>IF(C2657="","",G2651*C2657)</f>
        <v/>
      </c>
      <c r="M2657" s="381" t="str">
        <f>IF(A2657="","",VLOOKUP(A2657,VII.A!$A$10:$B$199,2,FALSE))</f>
        <v/>
      </c>
      <c r="N2657" s="342" t="str">
        <f t="shared" si="701"/>
        <v/>
      </c>
      <c r="R2657" s="341"/>
      <c r="S2657" s="341"/>
    </row>
    <row r="2658" spans="1:21" ht="12.75" customHeight="1">
      <c r="A2658" s="385"/>
      <c r="B2658" s="386"/>
      <c r="C2658" s="20"/>
      <c r="D2658" s="342"/>
      <c r="E2658" s="387"/>
      <c r="F2658" s="388">
        <f t="shared" si="702"/>
        <v>0</v>
      </c>
      <c r="H2658" s="341" t="str">
        <f>IF(A2658="","",VLOOKUP(A2658,VII.A!$A$10:$D$199,4,FALSE))</f>
        <v/>
      </c>
      <c r="I2658" s="341" t="str">
        <f t="shared" si="699"/>
        <v/>
      </c>
      <c r="J2658" s="341" t="str">
        <f>IF(A2658="","",VLOOKUP(A2658,VII.A!$A$10:$D$199,3,FALSE))</f>
        <v/>
      </c>
      <c r="K2658" s="342" t="str">
        <f t="shared" si="700"/>
        <v/>
      </c>
      <c r="L2658" s="380" t="str">
        <f>IF(C2658="","",G2651*C2658)</f>
        <v/>
      </c>
      <c r="M2658" s="381" t="str">
        <f>IF(A2658="","",VLOOKUP(A2658,VII.A!$A$10:$B$199,2,FALSE))</f>
        <v/>
      </c>
      <c r="N2658" s="342" t="str">
        <f t="shared" si="701"/>
        <v/>
      </c>
      <c r="R2658" s="341"/>
      <c r="S2658" s="341"/>
      <c r="U2658" s="389"/>
    </row>
    <row r="2659" spans="1:21" ht="12.75" customHeight="1">
      <c r="A2659" s="385"/>
      <c r="B2659" s="386"/>
      <c r="C2659" s="20"/>
      <c r="D2659" s="342"/>
      <c r="E2659" s="387"/>
      <c r="F2659" s="388">
        <f t="shared" si="702"/>
        <v>0</v>
      </c>
      <c r="H2659" s="341" t="str">
        <f>IF(A2659="","",VLOOKUP(A2659,VII.A!$A$10:$D$199,4,FALSE))</f>
        <v/>
      </c>
      <c r="I2659" s="341" t="str">
        <f t="shared" si="699"/>
        <v/>
      </c>
      <c r="J2659" s="341" t="str">
        <f>IF(A2659="","",VLOOKUP(A2659,VII.A!$A$10:$D$199,3,FALSE))</f>
        <v/>
      </c>
      <c r="K2659" s="342" t="str">
        <f t="shared" si="700"/>
        <v/>
      </c>
      <c r="L2659" s="380" t="str">
        <f>IF(C2659="","",G2651*C2659)</f>
        <v/>
      </c>
      <c r="M2659" s="381" t="str">
        <f>IF(A2659="","",VLOOKUP(A2659,VII.A!$A$10:$B$199,2,FALSE))</f>
        <v/>
      </c>
      <c r="N2659" s="342" t="str">
        <f t="shared" si="701"/>
        <v/>
      </c>
      <c r="R2659" s="341"/>
      <c r="S2659" s="341"/>
    </row>
    <row r="2660" spans="1:21" ht="12.75" customHeight="1">
      <c r="A2660" s="385"/>
      <c r="B2660" s="386"/>
      <c r="C2660" s="20"/>
      <c r="D2660" s="342"/>
      <c r="E2660" s="387"/>
      <c r="F2660" s="388">
        <f t="shared" si="702"/>
        <v>0</v>
      </c>
      <c r="G2660" s="390"/>
      <c r="H2660" s="341" t="str">
        <f>IF(A2660="","",VLOOKUP(A2660,VII.A!$A$10:$D$199,4,FALSE))</f>
        <v/>
      </c>
      <c r="I2660" s="341" t="str">
        <f t="shared" si="699"/>
        <v/>
      </c>
      <c r="J2660" s="341" t="str">
        <f>IF(A2660="","",VLOOKUP(A2660,VII.A!$A$10:$D$199,3,FALSE))</f>
        <v/>
      </c>
      <c r="K2660" s="342" t="str">
        <f t="shared" si="700"/>
        <v/>
      </c>
      <c r="L2660" s="380" t="str">
        <f>IF(C2660="","",G2651*C2660)</f>
        <v/>
      </c>
      <c r="M2660" s="381" t="str">
        <f>IF(A2660="","",VLOOKUP(A2660,VII.A!$A$10:$B$199,2,FALSE))</f>
        <v/>
      </c>
      <c r="N2660" s="342" t="str">
        <f t="shared" si="701"/>
        <v/>
      </c>
      <c r="R2660" s="341"/>
      <c r="S2660" s="341"/>
    </row>
    <row r="2661" spans="1:21" ht="12.75" customHeight="1">
      <c r="A2661" s="385"/>
      <c r="B2661" s="386"/>
      <c r="C2661" s="20"/>
      <c r="D2661" s="342"/>
      <c r="E2661" s="387"/>
      <c r="F2661" s="388">
        <f t="shared" si="702"/>
        <v>0</v>
      </c>
      <c r="G2661" s="390"/>
      <c r="H2661" s="341" t="str">
        <f>IF(A2661="","",VLOOKUP(A2661,VII.A!$A$10:$D$199,4,FALSE))</f>
        <v/>
      </c>
      <c r="I2661" s="341" t="str">
        <f t="shared" si="699"/>
        <v/>
      </c>
      <c r="J2661" s="341" t="str">
        <f>IF(A2661="","",VLOOKUP(A2661,VII.A!$A$10:$D$199,3,FALSE))</f>
        <v/>
      </c>
      <c r="K2661" s="342" t="str">
        <f t="shared" si="700"/>
        <v/>
      </c>
      <c r="L2661" s="380" t="str">
        <f>IF(C2661="","",G2651*C2661)</f>
        <v/>
      </c>
      <c r="M2661" s="381" t="str">
        <f>IF(A2661="","",VLOOKUP(A2661,VII.A!$A$10:$B$199,2,FALSE))</f>
        <v/>
      </c>
      <c r="N2661" s="342" t="str">
        <f t="shared" si="701"/>
        <v/>
      </c>
      <c r="R2661" s="341"/>
      <c r="S2661" s="341"/>
    </row>
    <row r="2662" spans="1:21" ht="12.75" customHeight="1">
      <c r="A2662" s="385"/>
      <c r="B2662" s="386"/>
      <c r="C2662" s="20"/>
      <c r="D2662" s="342"/>
      <c r="E2662" s="387"/>
      <c r="F2662" s="388">
        <f t="shared" si="702"/>
        <v>0</v>
      </c>
      <c r="G2662" s="391"/>
      <c r="H2662" s="341" t="str">
        <f>IF(A2662="","",VLOOKUP(A2662,VII.A!$A$10:$D$199,4,FALSE))</f>
        <v/>
      </c>
      <c r="I2662" s="341" t="str">
        <f t="shared" si="699"/>
        <v/>
      </c>
      <c r="J2662" s="341" t="str">
        <f>IF(A2662="","",VLOOKUP(A2662,VII.A!$A$10:$D$199,3,FALSE))</f>
        <v/>
      </c>
      <c r="K2662" s="342" t="str">
        <f t="shared" si="700"/>
        <v/>
      </c>
      <c r="L2662" s="380" t="str">
        <f>IF(C2662="","",G2651*C2662)</f>
        <v/>
      </c>
      <c r="M2662" s="381" t="str">
        <f>IF(A2662="","",VLOOKUP(A2662,VII.A!$A$10:$B$199,2,FALSE))</f>
        <v/>
      </c>
      <c r="N2662" s="342" t="str">
        <f t="shared" si="701"/>
        <v/>
      </c>
      <c r="R2662" s="341"/>
      <c r="S2662" s="341"/>
    </row>
    <row r="2663" spans="1:21" ht="12.75" customHeight="1">
      <c r="A2663" s="385"/>
      <c r="B2663" s="386"/>
      <c r="C2663" s="20"/>
      <c r="D2663" s="342"/>
      <c r="E2663" s="387"/>
      <c r="F2663" s="388">
        <f t="shared" si="702"/>
        <v>0</v>
      </c>
      <c r="H2663" s="341" t="str">
        <f>IF(A2663="","",VLOOKUP(A2663,VII.A!$A$10:$D$199,4,FALSE))</f>
        <v/>
      </c>
      <c r="I2663" s="341" t="str">
        <f t="shared" si="699"/>
        <v/>
      </c>
      <c r="J2663" s="341" t="str">
        <f>IF(A2663="","",VLOOKUP(A2663,VII.A!$A$10:$D$199,3,FALSE))</f>
        <v/>
      </c>
      <c r="K2663" s="342" t="str">
        <f t="shared" si="700"/>
        <v/>
      </c>
      <c r="L2663" s="380" t="str">
        <f>IF(C2663="","",G2651*C2663)</f>
        <v/>
      </c>
      <c r="M2663" s="381" t="str">
        <f>IF(A2663="","",VLOOKUP(A2663,VII.A!$A$10:$B$199,2,FALSE))</f>
        <v/>
      </c>
      <c r="N2663" s="342" t="str">
        <f t="shared" si="701"/>
        <v/>
      </c>
      <c r="R2663" s="341"/>
      <c r="S2663" s="341"/>
    </row>
    <row r="2664" spans="1:21" ht="12.75" customHeight="1">
      <c r="A2664" s="385"/>
      <c r="B2664" s="386"/>
      <c r="C2664" s="20"/>
      <c r="D2664" s="392"/>
      <c r="E2664" s="387"/>
      <c r="F2664" s="388">
        <f t="shared" si="702"/>
        <v>0</v>
      </c>
      <c r="H2664" s="341" t="str">
        <f>IF(A2664="","",VLOOKUP(A2664,VII.A!$A$10:$D$199,4,FALSE))</f>
        <v/>
      </c>
      <c r="I2664" s="341" t="str">
        <f t="shared" si="699"/>
        <v/>
      </c>
      <c r="J2664" s="341" t="str">
        <f>IF(A2664="","",VLOOKUP(A2664,VII.A!$A$10:$D$199,3,FALSE))</f>
        <v/>
      </c>
      <c r="K2664" s="342" t="str">
        <f t="shared" si="700"/>
        <v/>
      </c>
      <c r="L2664" s="380" t="str">
        <f>IF(C2664="","",G2651*C2664)</f>
        <v/>
      </c>
      <c r="M2664" s="381" t="str">
        <f>IF(A2664="","",VLOOKUP(A2664,VII.A!$A$10:$B$199,2,FALSE))</f>
        <v/>
      </c>
      <c r="N2664" s="342" t="str">
        <f t="shared" si="701"/>
        <v/>
      </c>
      <c r="R2664" s="341"/>
      <c r="S2664" s="341"/>
    </row>
    <row r="2665" spans="1:21" ht="12.75" customHeight="1">
      <c r="A2665" s="385"/>
      <c r="B2665" s="386"/>
      <c r="C2665" s="20"/>
      <c r="D2665" s="392"/>
      <c r="E2665" s="387"/>
      <c r="F2665" s="388">
        <f t="shared" si="702"/>
        <v>0</v>
      </c>
      <c r="H2665" s="341" t="str">
        <f>IF(A2665="","",VLOOKUP(A2665,VII.A!$A$10:$D$199,4,FALSE))</f>
        <v/>
      </c>
      <c r="I2665" s="341" t="str">
        <f t="shared" si="699"/>
        <v/>
      </c>
      <c r="J2665" s="341" t="str">
        <f>IF(A2665="","",VLOOKUP(A2665,VII.A!$A$10:$D$199,3,FALSE))</f>
        <v/>
      </c>
      <c r="K2665" s="342" t="str">
        <f t="shared" si="700"/>
        <v/>
      </c>
      <c r="L2665" s="380" t="str">
        <f>IF(C2665="","",G2651*C2665)</f>
        <v/>
      </c>
      <c r="M2665" s="381" t="str">
        <f>IF(A2665="","",VLOOKUP(A2665,VII.A!$A$10:$B$199,2,FALSE))</f>
        <v/>
      </c>
      <c r="N2665" s="342" t="str">
        <f t="shared" si="701"/>
        <v/>
      </c>
      <c r="O2665" s="342"/>
      <c r="R2665" s="341"/>
      <c r="S2665" s="341"/>
    </row>
    <row r="2666" spans="1:21" ht="12.75" customHeight="1">
      <c r="A2666" s="385"/>
      <c r="B2666" s="386"/>
      <c r="C2666" s="20"/>
      <c r="D2666" s="392"/>
      <c r="E2666" s="387"/>
      <c r="F2666" s="388">
        <f t="shared" si="702"/>
        <v>0</v>
      </c>
      <c r="H2666" s="341" t="str">
        <f>IF(A2666="","",VLOOKUP(A2666,VII.A!$A$10:$D$199,4,FALSE))</f>
        <v/>
      </c>
      <c r="I2666" s="341" t="str">
        <f t="shared" si="699"/>
        <v/>
      </c>
      <c r="J2666" s="341" t="str">
        <f>IF(A2666="","",VLOOKUP(A2666,VII.A!$A$10:$D$199,3,FALSE))</f>
        <v/>
      </c>
      <c r="K2666" s="342" t="str">
        <f t="shared" si="700"/>
        <v/>
      </c>
      <c r="L2666" s="380" t="str">
        <f>IF(C2666="","",G2651*C2666)</f>
        <v/>
      </c>
      <c r="M2666" s="381" t="str">
        <f>IF(A2666="","",VLOOKUP(A2666,VII.A!$A$10:$B$199,2,FALSE))</f>
        <v/>
      </c>
      <c r="N2666" s="342" t="str">
        <f t="shared" si="701"/>
        <v/>
      </c>
      <c r="R2666" s="341"/>
      <c r="S2666" s="341"/>
    </row>
    <row r="2667" spans="1:21" ht="12.75" customHeight="1">
      <c r="A2667" s="393"/>
      <c r="C2667" s="20"/>
      <c r="E2667" s="387"/>
      <c r="F2667" s="388">
        <f t="shared" si="702"/>
        <v>0</v>
      </c>
      <c r="H2667" s="341" t="str">
        <f>IF(A2667="","",VLOOKUP(A2667,VII.A!$A$10:$D$199,4,FALSE))</f>
        <v/>
      </c>
      <c r="I2667" s="341" t="str">
        <f t="shared" si="699"/>
        <v/>
      </c>
      <c r="J2667" s="341" t="str">
        <f>IF(A2667="","",VLOOKUP(A2667,VII.A!$A$10:$D$199,3,FALSE))</f>
        <v/>
      </c>
      <c r="K2667" s="342" t="str">
        <f t="shared" si="700"/>
        <v/>
      </c>
      <c r="L2667" s="380" t="str">
        <f>IF(C2667="","",G2651*C2667)</f>
        <v/>
      </c>
      <c r="M2667" s="381" t="str">
        <f>IF(A2667="","",VLOOKUP(A2667,VII.A!$A$10:$B$199,2,FALSE))</f>
        <v/>
      </c>
      <c r="N2667" s="342" t="str">
        <f t="shared" si="701"/>
        <v/>
      </c>
      <c r="R2667" s="341"/>
      <c r="S2667" s="341"/>
    </row>
    <row r="2668" spans="1:21" ht="12.75" customHeight="1">
      <c r="A2668" s="393"/>
      <c r="C2668" s="20"/>
      <c r="E2668" s="387"/>
      <c r="F2668" s="388">
        <f t="shared" si="702"/>
        <v>0</v>
      </c>
      <c r="H2668" s="341" t="str">
        <f>IF(A2668="","",VLOOKUP(A2668,VII.A!$A$10:$D$199,4,FALSE))</f>
        <v/>
      </c>
      <c r="I2668" s="341" t="str">
        <f t="shared" si="699"/>
        <v/>
      </c>
      <c r="J2668" s="341" t="str">
        <f>IF(A2668="","",VLOOKUP(A2668,VII.A!$A$10:$D$199,3,FALSE))</f>
        <v/>
      </c>
      <c r="K2668" s="342" t="str">
        <f t="shared" si="700"/>
        <v/>
      </c>
      <c r="L2668" s="380" t="str">
        <f>IF(C2668="","",G2651*C2668)</f>
        <v/>
      </c>
      <c r="M2668" s="381" t="str">
        <f>IF(A2668="","",VLOOKUP(A2668,VII.A!$A$10:$B$199,2,FALSE))</f>
        <v/>
      </c>
      <c r="N2668" s="342" t="str">
        <f t="shared" si="701"/>
        <v/>
      </c>
      <c r="R2668" s="341"/>
      <c r="S2668" s="341"/>
    </row>
    <row r="2669" spans="1:21" ht="12.75" customHeight="1">
      <c r="A2669" s="393"/>
      <c r="B2669" s="395" t="s">
        <v>226</v>
      </c>
      <c r="C2669" s="396"/>
      <c r="D2669" s="397"/>
      <c r="E2669" s="398"/>
      <c r="F2669" s="399">
        <f>SUM(F2653:F2668)</f>
        <v>0</v>
      </c>
      <c r="H2669" s="426" t="s">
        <v>502</v>
      </c>
      <c r="J2669" s="341"/>
      <c r="L2669" s="380"/>
      <c r="M2669" s="381"/>
      <c r="N2669" s="342"/>
      <c r="R2669" s="341"/>
      <c r="S2669" s="341"/>
    </row>
    <row r="2670" spans="1:21" ht="12.75" customHeight="1">
      <c r="A2670" s="393"/>
      <c r="B2670" s="400" t="s">
        <v>53</v>
      </c>
      <c r="C2670" s="2">
        <f>$D$8</f>
        <v>0</v>
      </c>
      <c r="D2670" s="401"/>
      <c r="E2670" s="402"/>
      <c r="F2670" s="403">
        <f>ROUND(F2669*C2670,2)</f>
        <v>0</v>
      </c>
      <c r="H2670" s="356" t="s">
        <v>503</v>
      </c>
      <c r="J2670" s="341"/>
      <c r="L2670" s="380"/>
      <c r="M2670" s="381"/>
      <c r="N2670" s="342"/>
      <c r="R2670" s="341"/>
      <c r="S2670" s="341"/>
    </row>
    <row r="2671" spans="1:21" ht="12.75" customHeight="1">
      <c r="A2671" s="404"/>
      <c r="B2671" s="405" t="s">
        <v>227</v>
      </c>
      <c r="C2671" s="406"/>
      <c r="D2671" s="406"/>
      <c r="E2671" s="407"/>
      <c r="F2671" s="408">
        <f>F2669+F2670</f>
        <v>0</v>
      </c>
      <c r="J2671" s="341"/>
      <c r="L2671" s="380"/>
      <c r="M2671" s="381"/>
      <c r="N2671" s="342"/>
      <c r="R2671" s="341"/>
      <c r="S2671" s="341"/>
    </row>
    <row r="2672" spans="1:21" ht="12.75" customHeight="1">
      <c r="A2672" s="374" t="s">
        <v>2</v>
      </c>
      <c r="B2672" s="375" t="s">
        <v>235</v>
      </c>
      <c r="C2672" s="376" t="s">
        <v>231</v>
      </c>
      <c r="D2672" s="376" t="s">
        <v>232</v>
      </c>
      <c r="E2672" s="377" t="s">
        <v>233</v>
      </c>
      <c r="F2672" s="378" t="s">
        <v>234</v>
      </c>
      <c r="J2672" s="341"/>
      <c r="L2672" s="380"/>
      <c r="M2672" s="381"/>
      <c r="N2672" s="342"/>
      <c r="R2672" s="341"/>
      <c r="S2672" s="341"/>
    </row>
    <row r="2673" spans="1:19" ht="12.75" customHeight="1">
      <c r="A2673" s="393"/>
      <c r="B2673" s="423"/>
      <c r="C2673" s="20"/>
      <c r="E2673" s="387"/>
      <c r="F2673" s="388">
        <f t="shared" ref="F2673:F2682" si="703">ROUND(C2673*E2673,2)</f>
        <v>0</v>
      </c>
      <c r="H2673" s="341" t="str">
        <f>IF(A2673="","",VLOOKUP(A2673,VII.A!$A$10:$D$199,4,FALSE))</f>
        <v/>
      </c>
      <c r="I2673" s="341" t="str">
        <f t="shared" ref="I2673:I2682" si="704">IF(A2673="","",IF(E2673=H2673,"SIM","NÃO"))</f>
        <v/>
      </c>
      <c r="J2673" s="341" t="str">
        <f>IF(A2673="","",VLOOKUP(A2673,VII.A!$A$10:$D$199,3,FALSE))</f>
        <v/>
      </c>
      <c r="K2673" s="342" t="str">
        <f t="shared" ref="K2673:K2682" si="705">IF(A2673="","",IF(J2673=D2673,"SIM","NÃO"))</f>
        <v/>
      </c>
      <c r="L2673" s="380" t="str">
        <f>IF(C2673="","",G2651*C2673)</f>
        <v/>
      </c>
      <c r="M2673" s="381" t="str">
        <f>IF(A2673="","",VLOOKUP(A2673,VII.A!$A$10:$B$199,2,FALSE))</f>
        <v/>
      </c>
      <c r="N2673" s="342" t="str">
        <f t="shared" ref="N2673:N2682" si="706">IF(B2673="","",IF(M2673=B2673,"si","no"))</f>
        <v/>
      </c>
      <c r="R2673" s="341"/>
      <c r="S2673" s="341"/>
    </row>
    <row r="2674" spans="1:19" ht="12.75" customHeight="1">
      <c r="A2674" s="393"/>
      <c r="C2674" s="20"/>
      <c r="E2674" s="387"/>
      <c r="F2674" s="388">
        <f t="shared" si="703"/>
        <v>0</v>
      </c>
      <c r="H2674" s="341" t="str">
        <f>IF(A2674="","",VLOOKUP(A2674,VII.A!$A$10:$D$199,4,FALSE))</f>
        <v/>
      </c>
      <c r="I2674" s="341" t="str">
        <f t="shared" si="704"/>
        <v/>
      </c>
      <c r="J2674" s="341" t="str">
        <f>IF(A2674="","",VLOOKUP(A2674,VII.A!$A$10:$D$199,3,FALSE))</f>
        <v/>
      </c>
      <c r="K2674" s="342" t="str">
        <f t="shared" si="705"/>
        <v/>
      </c>
      <c r="L2674" s="380" t="str">
        <f>IF(C2674="","",G2651*C2674)</f>
        <v/>
      </c>
      <c r="M2674" s="381" t="str">
        <f>IF(A2674="","",VLOOKUP(A2674,VII.A!$A$10:$B$199,2,FALSE))</f>
        <v/>
      </c>
      <c r="N2674" s="342" t="str">
        <f t="shared" si="706"/>
        <v/>
      </c>
      <c r="R2674" s="341"/>
      <c r="S2674" s="341"/>
    </row>
    <row r="2675" spans="1:19" ht="12.75" customHeight="1">
      <c r="A2675" s="393"/>
      <c r="C2675" s="20"/>
      <c r="E2675" s="387"/>
      <c r="F2675" s="388">
        <f t="shared" si="703"/>
        <v>0</v>
      </c>
      <c r="H2675" s="341" t="str">
        <f>IF(A2675="","",VLOOKUP(A2675,VII.A!$A$10:$D$199,4,FALSE))</f>
        <v/>
      </c>
      <c r="I2675" s="341" t="str">
        <f t="shared" si="704"/>
        <v/>
      </c>
      <c r="J2675" s="341" t="str">
        <f>IF(A2675="","",VLOOKUP(A2675,VII.A!$A$10:$D$199,3,FALSE))</f>
        <v/>
      </c>
      <c r="K2675" s="342" t="str">
        <f t="shared" si="705"/>
        <v/>
      </c>
      <c r="L2675" s="380" t="str">
        <f>IF(C2675="","",G2651*C2675)</f>
        <v/>
      </c>
      <c r="M2675" s="381" t="str">
        <f>IF(A2675="","",VLOOKUP(A2675,VII.A!$A$10:$B$199,2,FALSE))</f>
        <v/>
      </c>
      <c r="N2675" s="342" t="str">
        <f t="shared" si="706"/>
        <v/>
      </c>
      <c r="R2675" s="341"/>
      <c r="S2675" s="341"/>
    </row>
    <row r="2676" spans="1:19" ht="12.75" customHeight="1">
      <c r="A2676" s="393"/>
      <c r="C2676" s="20"/>
      <c r="E2676" s="387"/>
      <c r="F2676" s="388">
        <f t="shared" si="703"/>
        <v>0</v>
      </c>
      <c r="H2676" s="341" t="str">
        <f>IF(A2676="","",VLOOKUP(A2676,VII.A!$A$10:$D$199,4,FALSE))</f>
        <v/>
      </c>
      <c r="I2676" s="341" t="str">
        <f t="shared" si="704"/>
        <v/>
      </c>
      <c r="J2676" s="341" t="str">
        <f>IF(A2676="","",VLOOKUP(A2676,VII.A!$A$10:$D$199,3,FALSE))</f>
        <v/>
      </c>
      <c r="K2676" s="342" t="str">
        <f t="shared" si="705"/>
        <v/>
      </c>
      <c r="L2676" s="380" t="str">
        <f>IF(C2676="","",G2651*C2676)</f>
        <v/>
      </c>
      <c r="M2676" s="381" t="str">
        <f>IF(A2676="","",VLOOKUP(A2676,VII.A!$A$10:$B$199,2,FALSE))</f>
        <v/>
      </c>
      <c r="N2676" s="342" t="str">
        <f t="shared" si="706"/>
        <v/>
      </c>
      <c r="R2676" s="341"/>
      <c r="S2676" s="341"/>
    </row>
    <row r="2677" spans="1:19" ht="12.75" customHeight="1">
      <c r="A2677" s="393"/>
      <c r="C2677" s="20"/>
      <c r="E2677" s="387"/>
      <c r="F2677" s="388">
        <f t="shared" si="703"/>
        <v>0</v>
      </c>
      <c r="G2677" s="390"/>
      <c r="H2677" s="341" t="str">
        <f>IF(A2677="","",VLOOKUP(A2677,VII.A!$A$10:$D$199,4,FALSE))</f>
        <v/>
      </c>
      <c r="I2677" s="341" t="str">
        <f t="shared" si="704"/>
        <v/>
      </c>
      <c r="J2677" s="341" t="str">
        <f>IF(A2677="","",VLOOKUP(A2677,VII.A!$A$10:$D$199,3,FALSE))</f>
        <v/>
      </c>
      <c r="K2677" s="342" t="str">
        <f t="shared" si="705"/>
        <v/>
      </c>
      <c r="L2677" s="380" t="str">
        <f>IF(C2677="","",G2651*C2677)</f>
        <v/>
      </c>
      <c r="M2677" s="381" t="str">
        <f>IF(A2677="","",VLOOKUP(A2677,VII.A!$A$10:$B$199,2,FALSE))</f>
        <v/>
      </c>
      <c r="N2677" s="342" t="str">
        <f t="shared" si="706"/>
        <v/>
      </c>
      <c r="R2677" s="341"/>
      <c r="S2677" s="341"/>
    </row>
    <row r="2678" spans="1:19" ht="12.75" customHeight="1">
      <c r="A2678" s="393"/>
      <c r="C2678" s="20"/>
      <c r="E2678" s="387"/>
      <c r="F2678" s="388">
        <f t="shared" si="703"/>
        <v>0</v>
      </c>
      <c r="G2678" s="391"/>
      <c r="H2678" s="341" t="str">
        <f>IF(A2678="","",VLOOKUP(A2678,VII.A!$A$10:$D$199,4,FALSE))</f>
        <v/>
      </c>
      <c r="I2678" s="341" t="str">
        <f t="shared" si="704"/>
        <v/>
      </c>
      <c r="J2678" s="341" t="str">
        <f>IF(A2678="","",VLOOKUP(A2678,VII.A!$A$10:$D$199,3,FALSE))</f>
        <v/>
      </c>
      <c r="K2678" s="342" t="str">
        <f t="shared" si="705"/>
        <v/>
      </c>
      <c r="L2678" s="380" t="str">
        <f>IF(C2678="","",G2651*C2678)</f>
        <v/>
      </c>
      <c r="M2678" s="381" t="str">
        <f>IF(A2678="","",VLOOKUP(A2678,VII.A!$A$10:$B$199,2,FALSE))</f>
        <v/>
      </c>
      <c r="N2678" s="342" t="str">
        <f t="shared" si="706"/>
        <v/>
      </c>
      <c r="R2678" s="341"/>
      <c r="S2678" s="341"/>
    </row>
    <row r="2679" spans="1:19" ht="12.75" customHeight="1">
      <c r="A2679" s="393"/>
      <c r="C2679" s="20"/>
      <c r="E2679" s="387"/>
      <c r="F2679" s="388">
        <f t="shared" si="703"/>
        <v>0</v>
      </c>
      <c r="H2679" s="341" t="str">
        <f>IF(A2679="","",VLOOKUP(A2679,VII.A!$A$10:$D$199,4,FALSE))</f>
        <v/>
      </c>
      <c r="I2679" s="341" t="str">
        <f t="shared" si="704"/>
        <v/>
      </c>
      <c r="J2679" s="341" t="str">
        <f>IF(A2679="","",VLOOKUP(A2679,VII.A!$A$10:$D$199,3,FALSE))</f>
        <v/>
      </c>
      <c r="K2679" s="342" t="str">
        <f t="shared" si="705"/>
        <v/>
      </c>
      <c r="L2679" s="380" t="str">
        <f>IF(C2679="","",G2651*C2679)</f>
        <v/>
      </c>
      <c r="M2679" s="381" t="str">
        <f>IF(A2679="","",VLOOKUP(A2679,VII.A!$A$10:$B$199,2,FALSE))</f>
        <v/>
      </c>
      <c r="N2679" s="342" t="str">
        <f t="shared" si="706"/>
        <v/>
      </c>
      <c r="R2679" s="341"/>
      <c r="S2679" s="341"/>
    </row>
    <row r="2680" spans="1:19" ht="12.75" customHeight="1">
      <c r="A2680" s="393"/>
      <c r="C2680" s="20"/>
      <c r="E2680" s="387"/>
      <c r="F2680" s="388">
        <f t="shared" si="703"/>
        <v>0</v>
      </c>
      <c r="H2680" s="341" t="str">
        <f>IF(A2680="","",VLOOKUP(A2680,VII.A!$A$10:$D$199,4,FALSE))</f>
        <v/>
      </c>
      <c r="I2680" s="341" t="str">
        <f t="shared" si="704"/>
        <v/>
      </c>
      <c r="J2680" s="341" t="str">
        <f>IF(A2680="","",VLOOKUP(A2680,VII.A!$A$10:$D$199,3,FALSE))</f>
        <v/>
      </c>
      <c r="K2680" s="342" t="str">
        <f t="shared" si="705"/>
        <v/>
      </c>
      <c r="L2680" s="380" t="str">
        <f>IF(C2680="","",G2651*C2680)</f>
        <v/>
      </c>
      <c r="M2680" s="381" t="str">
        <f>IF(A2680="","",VLOOKUP(A2680,VII.A!$A$10:$B$199,2,FALSE))</f>
        <v/>
      </c>
      <c r="N2680" s="342" t="str">
        <f t="shared" si="706"/>
        <v/>
      </c>
      <c r="R2680" s="341"/>
      <c r="S2680" s="341"/>
    </row>
    <row r="2681" spans="1:19" ht="12.75" customHeight="1">
      <c r="A2681" s="393"/>
      <c r="C2681" s="20"/>
      <c r="E2681" s="387"/>
      <c r="F2681" s="388">
        <f t="shared" si="703"/>
        <v>0</v>
      </c>
      <c r="H2681" s="341" t="str">
        <f>IF(A2681="","",VLOOKUP(A2681,VII.A!$A$10:$D$199,4,FALSE))</f>
        <v/>
      </c>
      <c r="I2681" s="341" t="str">
        <f t="shared" si="704"/>
        <v/>
      </c>
      <c r="J2681" s="341" t="str">
        <f>IF(A2681="","",VLOOKUP(A2681,VII.A!$A$10:$D$199,3,FALSE))</f>
        <v/>
      </c>
      <c r="K2681" s="342" t="str">
        <f t="shared" si="705"/>
        <v/>
      </c>
      <c r="L2681" s="380" t="str">
        <f>IF(C2681="","",G2651*C2681)</f>
        <v/>
      </c>
      <c r="M2681" s="381" t="str">
        <f>IF(A2681="","",VLOOKUP(A2681,VII.A!$A$10:$B$199,2,FALSE))</f>
        <v/>
      </c>
      <c r="N2681" s="342" t="str">
        <f t="shared" si="706"/>
        <v/>
      </c>
      <c r="R2681" s="341"/>
      <c r="S2681" s="341"/>
    </row>
    <row r="2682" spans="1:19" ht="12.75" customHeight="1">
      <c r="A2682" s="393"/>
      <c r="C2682" s="20"/>
      <c r="E2682" s="387"/>
      <c r="F2682" s="388">
        <f t="shared" si="703"/>
        <v>0</v>
      </c>
      <c r="H2682" s="341" t="str">
        <f>IF(A2682="","",VLOOKUP(A2682,VII.A!$A$10:$D$199,4,FALSE))</f>
        <v/>
      </c>
      <c r="I2682" s="341" t="str">
        <f t="shared" si="704"/>
        <v/>
      </c>
      <c r="J2682" s="341" t="str">
        <f>IF(A2682="","",VLOOKUP(A2682,VII.A!$A$10:$D$199,3,FALSE))</f>
        <v/>
      </c>
      <c r="K2682" s="342" t="str">
        <f t="shared" si="705"/>
        <v/>
      </c>
      <c r="L2682" s="380" t="str">
        <f>IF(C2682="","",G2651*C2682)</f>
        <v/>
      </c>
      <c r="M2682" s="381" t="str">
        <f>IF(A2682="","",VLOOKUP(A2682,VII.A!$A$10:$B$199,2,FALSE))</f>
        <v/>
      </c>
      <c r="N2682" s="342" t="str">
        <f t="shared" si="706"/>
        <v/>
      </c>
      <c r="R2682" s="341"/>
      <c r="S2682" s="341"/>
    </row>
    <row r="2683" spans="1:19" ht="12.75" customHeight="1">
      <c r="A2683" s="393"/>
      <c r="B2683" s="395" t="s">
        <v>226</v>
      </c>
      <c r="C2683" s="396"/>
      <c r="D2683" s="397"/>
      <c r="E2683" s="398"/>
      <c r="F2683" s="399">
        <f>SUM(F2673:F2682)</f>
        <v>0</v>
      </c>
      <c r="J2683" s="341"/>
      <c r="L2683" s="380"/>
      <c r="M2683" s="381"/>
      <c r="N2683" s="342"/>
      <c r="R2683" s="341"/>
      <c r="S2683" s="341"/>
    </row>
    <row r="2684" spans="1:19" ht="12.75" customHeight="1">
      <c r="A2684" s="393"/>
      <c r="B2684" s="400" t="s">
        <v>53</v>
      </c>
      <c r="C2684" s="2">
        <f>$D$8</f>
        <v>0</v>
      </c>
      <c r="D2684" s="401"/>
      <c r="E2684" s="402"/>
      <c r="F2684" s="403">
        <f>ROUND(C2684*F2683,2)</f>
        <v>0</v>
      </c>
      <c r="J2684" s="341"/>
      <c r="L2684" s="380"/>
      <c r="M2684" s="381"/>
      <c r="N2684" s="342"/>
      <c r="R2684" s="341"/>
      <c r="S2684" s="341"/>
    </row>
    <row r="2685" spans="1:19" ht="12.75" customHeight="1">
      <c r="A2685" s="404"/>
      <c r="B2685" s="405" t="s">
        <v>228</v>
      </c>
      <c r="C2685" s="406"/>
      <c r="D2685" s="406"/>
      <c r="E2685" s="407"/>
      <c r="F2685" s="408">
        <f>F2683+F2684</f>
        <v>0</v>
      </c>
      <c r="J2685" s="341"/>
      <c r="L2685" s="380"/>
      <c r="M2685" s="381"/>
      <c r="N2685" s="342"/>
      <c r="R2685" s="341"/>
      <c r="S2685" s="341"/>
    </row>
    <row r="2686" spans="1:19" ht="12.75" customHeight="1">
      <c r="A2686" s="409" t="s">
        <v>47</v>
      </c>
      <c r="B2686" s="410" t="s">
        <v>236</v>
      </c>
      <c r="C2686" s="411" t="s">
        <v>231</v>
      </c>
      <c r="D2686" s="412" t="s">
        <v>232</v>
      </c>
      <c r="E2686" s="413" t="s">
        <v>233</v>
      </c>
      <c r="F2686" s="378" t="s">
        <v>234</v>
      </c>
      <c r="J2686" s="341"/>
      <c r="L2686" s="380"/>
      <c r="M2686" s="381"/>
      <c r="N2686" s="342"/>
      <c r="R2686" s="341"/>
      <c r="S2686" s="341"/>
    </row>
    <row r="2687" spans="1:19" ht="12.75" customHeight="1">
      <c r="A2687" s="393" t="str">
        <f>VII.A!$A$183</f>
        <v>3.3</v>
      </c>
      <c r="B2687" s="394" t="s">
        <v>144</v>
      </c>
      <c r="C2687" s="20">
        <v>0.39040000000000002</v>
      </c>
      <c r="D2687" s="384" t="str">
        <f>VLOOKUP(A2687,VII.A!$A$10:$G$199,3,FALSE)</f>
        <v>H</v>
      </c>
      <c r="E2687" s="387">
        <f>VII.A!D183</f>
        <v>0</v>
      </c>
      <c r="F2687" s="388">
        <f t="shared" ref="F2687:F2693" si="707">ROUND(C2687*E2687,2)</f>
        <v>0</v>
      </c>
      <c r="H2687" s="341">
        <f>IF(A2687="","",VLOOKUP(A2687,VII.A!$A$10:$D$199,4,FALSE))</f>
        <v>0</v>
      </c>
      <c r="I2687" s="341" t="str">
        <f t="shared" ref="I2687:I2693" si="708">IF(A2687="","",IF(E2687=H2687,"SIM","NÃO"))</f>
        <v>SIM</v>
      </c>
      <c r="J2687" s="341" t="str">
        <f>IF(A2687="","",VLOOKUP(A2687,VII.A!$A$10:$D$199,3,FALSE))</f>
        <v>H</v>
      </c>
      <c r="K2687" s="342" t="str">
        <f t="shared" ref="K2687:K2693" si="709">IF(A2687="","",IF(J2687=D2687,"SIM","NÃO"))</f>
        <v>SIM</v>
      </c>
      <c r="L2687" s="380">
        <f>IF(C2687="","",G2651*C2687)</f>
        <v>84.716800000000006</v>
      </c>
      <c r="M2687" s="381" t="str">
        <f>IF(A2687="","",VLOOKUP(A2687,VII.A!$A$10:$B$199,2,FALSE))</f>
        <v>AJUDANTE DE CARPINTEIRO</v>
      </c>
      <c r="N2687" s="342" t="str">
        <f t="shared" ref="N2687:N2693" si="710">IF(B2687="","",IF(M2687=B2687,"si","no"))</f>
        <v>no</v>
      </c>
      <c r="R2687" s="341"/>
      <c r="S2687" s="341"/>
    </row>
    <row r="2688" spans="1:19" ht="12.75" customHeight="1">
      <c r="A2688" s="393" t="str">
        <f>VII.A!$A$186</f>
        <v>3.6</v>
      </c>
      <c r="B2688" s="394" t="s">
        <v>147</v>
      </c>
      <c r="C2688" s="20">
        <v>1.5620000000000001</v>
      </c>
      <c r="D2688" s="384" t="str">
        <f>VLOOKUP(A2688,VII.A!$A$10:$G$199,3,FALSE)</f>
        <v>H</v>
      </c>
      <c r="E2688" s="387">
        <f>VII.A!D186</f>
        <v>0</v>
      </c>
      <c r="F2688" s="388">
        <f t="shared" si="707"/>
        <v>0</v>
      </c>
      <c r="H2688" s="341">
        <f>IF(A2688="","",VLOOKUP(A2688,VII.A!$A$10:$D$199,4,FALSE))</f>
        <v>0</v>
      </c>
      <c r="I2688" s="341" t="str">
        <f t="shared" si="708"/>
        <v>SIM</v>
      </c>
      <c r="J2688" s="341" t="str">
        <f>IF(A2688="","",VLOOKUP(A2688,VII.A!$A$10:$D$199,3,FALSE))</f>
        <v>H</v>
      </c>
      <c r="K2688" s="342" t="str">
        <f t="shared" si="709"/>
        <v>SIM</v>
      </c>
      <c r="L2688" s="380">
        <f>IF(C2688="","",G2651*C2688)</f>
        <v>338.95400000000001</v>
      </c>
      <c r="M2688" s="381" t="str">
        <f>IF(A2688="","",VLOOKUP(A2688,VII.A!$A$10:$B$199,2,FALSE))</f>
        <v>CARPINTEIRO COM ENCARGOS COMPLEMENTARES</v>
      </c>
      <c r="N2688" s="342" t="str">
        <f t="shared" si="710"/>
        <v>si</v>
      </c>
      <c r="R2688" s="341"/>
      <c r="S2688" s="341"/>
    </row>
    <row r="2689" spans="1:25" ht="12.75" customHeight="1">
      <c r="A2689" s="393"/>
      <c r="C2689" s="20"/>
      <c r="E2689" s="387"/>
      <c r="F2689" s="388">
        <f t="shared" si="707"/>
        <v>0</v>
      </c>
      <c r="H2689" s="341" t="str">
        <f>IF(A2689="","",VLOOKUP(A2689,VII.A!$A$10:$D$199,4,FALSE))</f>
        <v/>
      </c>
      <c r="I2689" s="341" t="str">
        <f t="shared" si="708"/>
        <v/>
      </c>
      <c r="J2689" s="341" t="str">
        <f>IF(A2689="","",VLOOKUP(A2689,VII.A!$A$10:$D$199,3,FALSE))</f>
        <v/>
      </c>
      <c r="K2689" s="342" t="str">
        <f t="shared" si="709"/>
        <v/>
      </c>
      <c r="L2689" s="380" t="str">
        <f>IF(C2689="","",G2651*C2689)</f>
        <v/>
      </c>
      <c r="M2689" s="381" t="str">
        <f>IF(A2689="","",VLOOKUP(A2689,VII.A!$A$10:$B$199,2,FALSE))</f>
        <v/>
      </c>
      <c r="N2689" s="342" t="str">
        <f t="shared" si="710"/>
        <v/>
      </c>
      <c r="R2689" s="341"/>
      <c r="S2689" s="341"/>
    </row>
    <row r="2690" spans="1:25" ht="12.75" customHeight="1">
      <c r="A2690" s="393"/>
      <c r="C2690" s="20"/>
      <c r="E2690" s="387"/>
      <c r="F2690" s="388">
        <f t="shared" si="707"/>
        <v>0</v>
      </c>
      <c r="H2690" s="341" t="str">
        <f>IF(A2690="","",VLOOKUP(A2690,VII.A!$A$10:$D$199,4,FALSE))</f>
        <v/>
      </c>
      <c r="I2690" s="341" t="str">
        <f t="shared" si="708"/>
        <v/>
      </c>
      <c r="J2690" s="341" t="str">
        <f>IF(A2690="","",VLOOKUP(A2690,VII.A!$A$10:$D$199,3,FALSE))</f>
        <v/>
      </c>
      <c r="K2690" s="342" t="str">
        <f t="shared" si="709"/>
        <v/>
      </c>
      <c r="L2690" s="380" t="str">
        <f>IF(C2690="","",G2651*C2690)</f>
        <v/>
      </c>
      <c r="M2690" s="381" t="str">
        <f>IF(A2690="","",VLOOKUP(A2690,VII.A!$A$10:$B$199,2,FALSE))</f>
        <v/>
      </c>
      <c r="N2690" s="342" t="str">
        <f t="shared" si="710"/>
        <v/>
      </c>
      <c r="R2690" s="341"/>
      <c r="S2690" s="341"/>
    </row>
    <row r="2691" spans="1:25" ht="12.75" customHeight="1">
      <c r="A2691" s="393"/>
      <c r="C2691" s="20"/>
      <c r="E2691" s="387"/>
      <c r="F2691" s="388">
        <f t="shared" si="707"/>
        <v>0</v>
      </c>
      <c r="H2691" s="341" t="str">
        <f>IF(A2691="","",VLOOKUP(A2691,VII.A!$A$10:$D$199,4,FALSE))</f>
        <v/>
      </c>
      <c r="I2691" s="341" t="str">
        <f t="shared" si="708"/>
        <v/>
      </c>
      <c r="J2691" s="341" t="str">
        <f>IF(A2691="","",VLOOKUP(A2691,VII.A!$A$10:$D$199,3,FALSE))</f>
        <v/>
      </c>
      <c r="K2691" s="342" t="str">
        <f t="shared" si="709"/>
        <v/>
      </c>
      <c r="L2691" s="380" t="str">
        <f>IF(C2691="","",G2651*C2691)</f>
        <v/>
      </c>
      <c r="M2691" s="381" t="str">
        <f>IF(A2691="","",VLOOKUP(A2691,VII.A!$A$10:$B$199,2,FALSE))</f>
        <v/>
      </c>
      <c r="N2691" s="342" t="str">
        <f t="shared" si="710"/>
        <v/>
      </c>
      <c r="R2691" s="341"/>
      <c r="S2691" s="341"/>
    </row>
    <row r="2692" spans="1:25" ht="12.75" customHeight="1">
      <c r="A2692" s="393"/>
      <c r="C2692" s="20"/>
      <c r="E2692" s="387"/>
      <c r="F2692" s="388">
        <f t="shared" si="707"/>
        <v>0</v>
      </c>
      <c r="H2692" s="341" t="str">
        <f>IF(A2692="","",VLOOKUP(A2692,VII.A!$A$10:$D$199,4,FALSE))</f>
        <v/>
      </c>
      <c r="I2692" s="341" t="str">
        <f t="shared" si="708"/>
        <v/>
      </c>
      <c r="J2692" s="341" t="str">
        <f>IF(A2692="","",VLOOKUP(A2692,VII.A!$A$10:$D$199,3,FALSE))</f>
        <v/>
      </c>
      <c r="K2692" s="342" t="str">
        <f t="shared" si="709"/>
        <v/>
      </c>
      <c r="L2692" s="380" t="str">
        <f>IF(C2692="","",G2651*C2692)</f>
        <v/>
      </c>
      <c r="M2692" s="381" t="str">
        <f>IF(A2692="","",VLOOKUP(A2692,VII.A!$A$10:$B$199,2,FALSE))</f>
        <v/>
      </c>
      <c r="N2692" s="342" t="str">
        <f t="shared" si="710"/>
        <v/>
      </c>
      <c r="R2692" s="341"/>
      <c r="S2692" s="341"/>
    </row>
    <row r="2693" spans="1:25" ht="12.75" customHeight="1">
      <c r="A2693" s="393"/>
      <c r="C2693" s="20"/>
      <c r="E2693" s="387"/>
      <c r="F2693" s="388">
        <f t="shared" si="707"/>
        <v>0</v>
      </c>
      <c r="H2693" s="341" t="str">
        <f>IF(A2693="","",VLOOKUP(A2693,VII.A!$A$10:$D$199,4,FALSE))</f>
        <v/>
      </c>
      <c r="I2693" s="341" t="str">
        <f t="shared" si="708"/>
        <v/>
      </c>
      <c r="J2693" s="341" t="str">
        <f>IF(A2693="","",VLOOKUP(A2693,VII.A!$A$10:$D$199,3,FALSE))</f>
        <v/>
      </c>
      <c r="K2693" s="342" t="str">
        <f t="shared" si="709"/>
        <v/>
      </c>
      <c r="L2693" s="380" t="str">
        <f>IF(C2693="","",G2651*C2693)</f>
        <v/>
      </c>
      <c r="M2693" s="381" t="str">
        <f>IF(A2693="","",VLOOKUP(A2693,VII.A!$A$10:$B$199,2,FALSE))</f>
        <v/>
      </c>
      <c r="N2693" s="342" t="str">
        <f t="shared" si="710"/>
        <v/>
      </c>
      <c r="R2693" s="341"/>
      <c r="S2693" s="341"/>
    </row>
    <row r="2694" spans="1:25" ht="12.75" customHeight="1">
      <c r="A2694" s="393"/>
      <c r="B2694" s="395" t="s">
        <v>226</v>
      </c>
      <c r="C2694" s="396"/>
      <c r="D2694" s="397"/>
      <c r="E2694" s="398"/>
      <c r="F2694" s="399">
        <f>SUM(F2687:F2693)</f>
        <v>0</v>
      </c>
      <c r="J2694" s="341"/>
      <c r="L2694" s="380"/>
      <c r="M2694" s="381"/>
      <c r="N2694" s="342"/>
      <c r="R2694" s="341"/>
      <c r="S2694" s="341"/>
    </row>
    <row r="2695" spans="1:25" ht="12.75" customHeight="1">
      <c r="A2695" s="393"/>
      <c r="B2695" s="400" t="s">
        <v>229</v>
      </c>
      <c r="C2695" s="2">
        <f>IX.A!$C$45</f>
        <v>0</v>
      </c>
      <c r="D2695" s="401"/>
      <c r="E2695" s="402"/>
      <c r="F2695" s="403">
        <f>ROUND(F2694*C2695,2)</f>
        <v>0</v>
      </c>
      <c r="J2695" s="341"/>
      <c r="L2695" s="380"/>
      <c r="M2695" s="381"/>
      <c r="N2695" s="342"/>
      <c r="R2695" s="341"/>
      <c r="S2695" s="341"/>
    </row>
    <row r="2696" spans="1:25" ht="12.75" customHeight="1">
      <c r="A2696" s="393"/>
      <c r="B2696" s="400" t="s">
        <v>53</v>
      </c>
      <c r="C2696" s="2">
        <f>$D$8</f>
        <v>0</v>
      </c>
      <c r="D2696" s="401"/>
      <c r="E2696" s="402"/>
      <c r="F2696" s="403">
        <f>ROUND(SUM(F2694:F2695)*C2696,2)</f>
        <v>0</v>
      </c>
      <c r="J2696" s="341"/>
      <c r="L2696" s="380"/>
      <c r="M2696" s="381"/>
      <c r="N2696" s="342"/>
      <c r="R2696" s="341"/>
      <c r="S2696" s="341"/>
    </row>
    <row r="2697" spans="1:25" ht="12.75" customHeight="1" thickBot="1">
      <c r="A2697" s="414"/>
      <c r="B2697" s="415" t="s">
        <v>230</v>
      </c>
      <c r="C2697" s="416"/>
      <c r="D2697" s="416"/>
      <c r="E2697" s="417"/>
      <c r="F2697" s="418">
        <f>SUM(F2694:F2696)</f>
        <v>0</v>
      </c>
      <c r="J2697" s="341"/>
      <c r="L2697" s="380"/>
      <c r="M2697" s="381"/>
      <c r="N2697" s="342"/>
      <c r="R2697" s="341"/>
      <c r="S2697" s="341"/>
    </row>
    <row r="2698" spans="1:25" ht="12.75" customHeight="1" thickBot="1">
      <c r="A2698" s="357"/>
      <c r="B2698" s="358"/>
      <c r="C2698" s="359"/>
      <c r="D2698" s="359"/>
      <c r="E2698" s="360"/>
      <c r="F2698" s="419"/>
      <c r="J2698" s="341"/>
      <c r="L2698" s="380"/>
      <c r="M2698" s="381"/>
      <c r="N2698" s="342"/>
      <c r="R2698" s="341"/>
      <c r="S2698" s="341"/>
    </row>
    <row r="2699" spans="1:25" ht="30" customHeight="1">
      <c r="A2699" s="370" t="str">
        <f>IV.A!A87</f>
        <v>3.6.2</v>
      </c>
      <c r="B2699" s="371" t="str">
        <f>IV.A!B87</f>
        <v xml:space="preserve">ARMADURA EM BARRA DE AÇO CA 50/60 (CORTE, DOBRA E MONTAGEM) </v>
      </c>
      <c r="C2699" s="871" t="s">
        <v>237</v>
      </c>
      <c r="D2699" s="872"/>
      <c r="E2699" s="372" t="str">
        <f>IV.A!$C$87</f>
        <v>KG</v>
      </c>
      <c r="F2699" s="11">
        <f>ROUND(F2719+F2733+F2745,2)</f>
        <v>0</v>
      </c>
      <c r="G2699" s="1">
        <f>VLOOKUP(A2699,IV.A!$A$16:$L$172,4,FALSE)</f>
        <v>1000</v>
      </c>
      <c r="H2699" s="361">
        <f>SUM(F2701:F2716)+F2718</f>
        <v>0</v>
      </c>
      <c r="I2699" s="361">
        <f>SUM(F2721:F2730)+F2732</f>
        <v>0</v>
      </c>
      <c r="J2699" s="361">
        <f>SUM(F2735:F2741)+F2743+F2744</f>
        <v>0</v>
      </c>
      <c r="K2699" s="361">
        <f>SUM(H2699:J2699)</f>
        <v>0</v>
      </c>
      <c r="L2699" s="362" t="str">
        <f>IF(K2699=F2699,"SIM","NÃO")</f>
        <v>SIM</v>
      </c>
      <c r="M2699" s="373">
        <f>ROUND(SUM(F2701:F2716),2)+ROUND(SUM(F2701:F2716)*C2718,2)+ROUND(SUM(F2721:F2730)*C2732,2)+ROUND(SUM(F2721:F2730),2)+ROUND(SUM(F2735:F2741)*C2743,2)+ROUND((SUM(F2735:F2741)+ROUND(SUM(F2735:F2741)*C2743,2))*C2744,2)+ROUND(SUM(F2735:F2741),2)</f>
        <v>0</v>
      </c>
      <c r="N2699" s="343" t="str">
        <f>IF(M2699=F2699,"SIM","NÃO")</f>
        <v>SIM</v>
      </c>
      <c r="O2699" s="364" t="str">
        <f>VLOOKUP(A2699,IV.A!$A$16:$E$172,3,FALSE)</f>
        <v>KG</v>
      </c>
      <c r="P2699" s="344" t="str">
        <f>IF(O2699=E2699,"SIM","NÃO")</f>
        <v>SIM</v>
      </c>
      <c r="Q2699" s="365">
        <f>ROUND(G2699*F2719,2)+ROUND(G2699*F2733,2)+ROUND(G2699*F2745,2)</f>
        <v>0</v>
      </c>
      <c r="R2699" s="364">
        <f>VLOOKUP(A2699,IV.A!$A$16:$L$172,12,FALSE)</f>
        <v>0</v>
      </c>
      <c r="S2699" s="366" t="str">
        <f>IF(Q2699=R2699,"si","no")</f>
        <v>si</v>
      </c>
      <c r="T2699" s="367">
        <f>SUM(L2701:L2716)+SUM(L2721:L2730)+SUM(L2735:L2741)</f>
        <v>1250</v>
      </c>
      <c r="U2699" s="341">
        <f>(SUM(C2701:C2716)+SUM(C2721:C2730)+SUM(C2735:C2741))*G2699</f>
        <v>1250</v>
      </c>
      <c r="V2699" s="368" t="str">
        <f>IF(T2699=U2699,"si","no")</f>
        <v>si</v>
      </c>
      <c r="W2699" s="369">
        <f>SUM(F2701:F2716)</f>
        <v>0</v>
      </c>
      <c r="X2699" s="369">
        <f>SUM(F2721:F2730)</f>
        <v>0</v>
      </c>
      <c r="Y2699" s="369">
        <f>SUM(F2735:F2741)</f>
        <v>0</v>
      </c>
    </row>
    <row r="2700" spans="1:25" ht="12.75" customHeight="1">
      <c r="A2700" s="374" t="s">
        <v>14</v>
      </c>
      <c r="B2700" s="375" t="s">
        <v>132</v>
      </c>
      <c r="C2700" s="376" t="s">
        <v>231</v>
      </c>
      <c r="D2700" s="376" t="s">
        <v>232</v>
      </c>
      <c r="E2700" s="377" t="s">
        <v>233</v>
      </c>
      <c r="F2700" s="378" t="s">
        <v>234</v>
      </c>
      <c r="G2700" s="379"/>
      <c r="J2700" s="341"/>
      <c r="L2700" s="380"/>
      <c r="M2700" s="381"/>
      <c r="N2700" s="342"/>
      <c r="O2700" s="382"/>
      <c r="P2700" s="383"/>
      <c r="Q2700" s="383"/>
      <c r="R2700" s="383"/>
      <c r="S2700" s="383"/>
      <c r="T2700" s="382"/>
      <c r="U2700" s="341"/>
      <c r="V2700" s="384"/>
      <c r="W2700" s="384"/>
      <c r="X2700" s="384"/>
      <c r="Y2700" s="384"/>
    </row>
    <row r="2701" spans="1:25" ht="12.75" customHeight="1">
      <c r="A2701" s="385" t="str">
        <f>VII.A!$A$10</f>
        <v>1.1</v>
      </c>
      <c r="B2701" s="386" t="str">
        <f>VLOOKUP(A2701,VII.A!$A$10:$G$199,2,FALSE)</f>
        <v>AÇO CA-50 (MÉDIA DAS BITOLAS)</v>
      </c>
      <c r="C2701" s="20">
        <v>1.1000000000000001</v>
      </c>
      <c r="D2701" s="342" t="str">
        <f>VLOOKUP(A2701,VII.A!$A$10:$G$199,3,FALSE)</f>
        <v>KG</v>
      </c>
      <c r="E2701" s="387">
        <f>VII.A!D10</f>
        <v>0</v>
      </c>
      <c r="F2701" s="388">
        <f>ROUND(C2701*E2701,2)</f>
        <v>0</v>
      </c>
      <c r="H2701" s="341">
        <f>IF(A2701="","",VLOOKUP(A2701,VII.A!$A$10:$D$199,4,FALSE))</f>
        <v>0</v>
      </c>
      <c r="I2701" s="341" t="str">
        <f t="shared" ref="I2701:I2716" si="711">IF(A2701="","",IF(E2701=H2701,"SIM","NÃO"))</f>
        <v>SIM</v>
      </c>
      <c r="J2701" s="341" t="str">
        <f>IF(A2701="","",VLOOKUP(A2701,VII.A!$A$10:$D$199,3,FALSE))</f>
        <v>KG</v>
      </c>
      <c r="K2701" s="342" t="str">
        <f t="shared" ref="K2701:K2716" si="712">IF(A2701="","",IF(J2701=D2701,"SIM","NÃO"))</f>
        <v>SIM</v>
      </c>
      <c r="L2701" s="380">
        <f>IF(C2701="","",G2699*C2701)</f>
        <v>1100</v>
      </c>
      <c r="M2701" s="381" t="str">
        <f>IF(A2701="","",VLOOKUP(A2701,VII.A!$A$10:$B$199,2,FALSE))</f>
        <v>AÇO CA-50 (MÉDIA DAS BITOLAS)</v>
      </c>
      <c r="N2701" s="342" t="str">
        <f t="shared" ref="N2701:N2716" si="713">IF(B2701="","",IF(M2701=B2701,"si","no"))</f>
        <v>si</v>
      </c>
      <c r="R2701" s="341"/>
      <c r="S2701" s="341"/>
    </row>
    <row r="2702" spans="1:25" ht="12.75" customHeight="1">
      <c r="A2702" s="385" t="str">
        <f>VII.A!$A$18</f>
        <v>1.9</v>
      </c>
      <c r="B2702" s="386" t="str">
        <f>VLOOKUP(A2702,VII.A!$A$10:$G$199,2,FALSE)</f>
        <v>ARAME RECOZIDO 18 BWG - 1,25MM - 9,60 G/M</v>
      </c>
      <c r="C2702" s="20">
        <v>0.03</v>
      </c>
      <c r="D2702" s="342" t="str">
        <f>VLOOKUP(A2702,VII.A!$A$10:$G$199,3,FALSE)</f>
        <v>KG</v>
      </c>
      <c r="E2702" s="387">
        <f>VII.A!D18</f>
        <v>0</v>
      </c>
      <c r="F2702" s="388">
        <f t="shared" ref="F2702:F2716" si="714">ROUND(C2702*E2702,2)</f>
        <v>0</v>
      </c>
      <c r="H2702" s="341">
        <f>IF(A2702="","",VLOOKUP(A2702,VII.A!$A$10:$D$199,4,FALSE))</f>
        <v>0</v>
      </c>
      <c r="I2702" s="341" t="str">
        <f t="shared" si="711"/>
        <v>SIM</v>
      </c>
      <c r="J2702" s="341" t="str">
        <f>IF(A2702="","",VLOOKUP(A2702,VII.A!$A$10:$D$199,3,FALSE))</f>
        <v>KG</v>
      </c>
      <c r="K2702" s="342" t="str">
        <f t="shared" si="712"/>
        <v>SIM</v>
      </c>
      <c r="L2702" s="380">
        <f>IF(C2702="","",G2699*C2702)</f>
        <v>30</v>
      </c>
      <c r="M2702" s="381" t="str">
        <f>IF(A2702="","",VLOOKUP(A2702,VII.A!$A$10:$B$199,2,FALSE))</f>
        <v>ARAME RECOZIDO 18 BWG - 1,25MM - 9,60 G/M</v>
      </c>
      <c r="N2702" s="342" t="str">
        <f t="shared" si="713"/>
        <v>si</v>
      </c>
      <c r="R2702" s="341"/>
      <c r="S2702" s="341"/>
    </row>
    <row r="2703" spans="1:25" ht="12.75" customHeight="1">
      <c r="A2703" s="385"/>
      <c r="B2703" s="386"/>
      <c r="C2703" s="20"/>
      <c r="D2703" s="342"/>
      <c r="E2703" s="387"/>
      <c r="F2703" s="388"/>
      <c r="H2703" s="341" t="str">
        <f>IF(A2703="","",VLOOKUP(A2703,VII.A!$A$10:$D$199,4,FALSE))</f>
        <v/>
      </c>
      <c r="I2703" s="341" t="str">
        <f t="shared" si="711"/>
        <v/>
      </c>
      <c r="J2703" s="341" t="str">
        <f>IF(A2703="","",VLOOKUP(A2703,VII.A!$A$10:$D$199,3,FALSE))</f>
        <v/>
      </c>
      <c r="K2703" s="342" t="str">
        <f t="shared" si="712"/>
        <v/>
      </c>
      <c r="L2703" s="380" t="str">
        <f>IF(C2703="","",G2699*C2703)</f>
        <v/>
      </c>
      <c r="M2703" s="381" t="str">
        <f>IF(A2703="","",VLOOKUP(A2703,VII.A!$A$10:$B$199,2,FALSE))</f>
        <v/>
      </c>
      <c r="N2703" s="342" t="str">
        <f t="shared" si="713"/>
        <v/>
      </c>
      <c r="R2703" s="341"/>
      <c r="S2703" s="341"/>
    </row>
    <row r="2704" spans="1:25" ht="12.75" customHeight="1">
      <c r="A2704" s="385"/>
      <c r="B2704" s="386"/>
      <c r="C2704" s="20"/>
      <c r="D2704" s="342"/>
      <c r="E2704" s="387"/>
      <c r="F2704" s="388">
        <f t="shared" si="714"/>
        <v>0</v>
      </c>
      <c r="H2704" s="341" t="str">
        <f>IF(A2704="","",VLOOKUP(A2704,VII.A!$A$10:$D$199,4,FALSE))</f>
        <v/>
      </c>
      <c r="I2704" s="341" t="str">
        <f t="shared" si="711"/>
        <v/>
      </c>
      <c r="J2704" s="341" t="str">
        <f>IF(A2704="","",VLOOKUP(A2704,VII.A!$A$10:$D$199,3,FALSE))</f>
        <v/>
      </c>
      <c r="K2704" s="342" t="str">
        <f t="shared" si="712"/>
        <v/>
      </c>
      <c r="L2704" s="380" t="str">
        <f>IF(C2704="","",G2699*C2704)</f>
        <v/>
      </c>
      <c r="M2704" s="381" t="str">
        <f>IF(A2704="","",VLOOKUP(A2704,VII.A!$A$10:$B$199,2,FALSE))</f>
        <v/>
      </c>
      <c r="N2704" s="342" t="str">
        <f t="shared" si="713"/>
        <v/>
      </c>
      <c r="R2704" s="341"/>
      <c r="S2704" s="341"/>
    </row>
    <row r="2705" spans="1:21" ht="12.75" customHeight="1">
      <c r="A2705" s="385"/>
      <c r="B2705" s="386"/>
      <c r="C2705" s="20"/>
      <c r="D2705" s="342"/>
      <c r="E2705" s="387"/>
      <c r="F2705" s="388">
        <f t="shared" si="714"/>
        <v>0</v>
      </c>
      <c r="H2705" s="341" t="str">
        <f>IF(A2705="","",VLOOKUP(A2705,VII.A!$A$10:$D$199,4,FALSE))</f>
        <v/>
      </c>
      <c r="I2705" s="341" t="str">
        <f t="shared" si="711"/>
        <v/>
      </c>
      <c r="J2705" s="341" t="str">
        <f>IF(A2705="","",VLOOKUP(A2705,VII.A!$A$10:$D$199,3,FALSE))</f>
        <v/>
      </c>
      <c r="K2705" s="342" t="str">
        <f t="shared" si="712"/>
        <v/>
      </c>
      <c r="L2705" s="380" t="str">
        <f>IF(C2705="","",G2699*C2705)</f>
        <v/>
      </c>
      <c r="M2705" s="381" t="str">
        <f>IF(A2705="","",VLOOKUP(A2705,VII.A!$A$10:$B$199,2,FALSE))</f>
        <v/>
      </c>
      <c r="N2705" s="342" t="str">
        <f t="shared" si="713"/>
        <v/>
      </c>
      <c r="R2705" s="341"/>
      <c r="S2705" s="341"/>
    </row>
    <row r="2706" spans="1:21" ht="12.75" customHeight="1">
      <c r="A2706" s="385"/>
      <c r="B2706" s="386"/>
      <c r="C2706" s="20"/>
      <c r="D2706" s="342"/>
      <c r="E2706" s="387"/>
      <c r="F2706" s="388">
        <f t="shared" si="714"/>
        <v>0</v>
      </c>
      <c r="H2706" s="341" t="str">
        <f>IF(A2706="","",VLOOKUP(A2706,VII.A!$A$10:$D$199,4,FALSE))</f>
        <v/>
      </c>
      <c r="I2706" s="341" t="str">
        <f t="shared" si="711"/>
        <v/>
      </c>
      <c r="J2706" s="341" t="str">
        <f>IF(A2706="","",VLOOKUP(A2706,VII.A!$A$10:$D$199,3,FALSE))</f>
        <v/>
      </c>
      <c r="K2706" s="342" t="str">
        <f t="shared" si="712"/>
        <v/>
      </c>
      <c r="L2706" s="380" t="str">
        <f>IF(C2706="","",G2699*C2706)</f>
        <v/>
      </c>
      <c r="M2706" s="381" t="str">
        <f>IF(A2706="","",VLOOKUP(A2706,VII.A!$A$10:$B$199,2,FALSE))</f>
        <v/>
      </c>
      <c r="N2706" s="342" t="str">
        <f t="shared" si="713"/>
        <v/>
      </c>
      <c r="R2706" s="341"/>
      <c r="S2706" s="341"/>
      <c r="U2706" s="389"/>
    </row>
    <row r="2707" spans="1:21" ht="12.75" customHeight="1">
      <c r="A2707" s="385"/>
      <c r="B2707" s="386"/>
      <c r="C2707" s="20"/>
      <c r="D2707" s="342"/>
      <c r="E2707" s="387"/>
      <c r="F2707" s="388">
        <f t="shared" si="714"/>
        <v>0</v>
      </c>
      <c r="H2707" s="341" t="str">
        <f>IF(A2707="","",VLOOKUP(A2707,VII.A!$A$10:$D$199,4,FALSE))</f>
        <v/>
      </c>
      <c r="I2707" s="341" t="str">
        <f t="shared" si="711"/>
        <v/>
      </c>
      <c r="J2707" s="341" t="str">
        <f>IF(A2707="","",VLOOKUP(A2707,VII.A!$A$10:$D$199,3,FALSE))</f>
        <v/>
      </c>
      <c r="K2707" s="342" t="str">
        <f t="shared" si="712"/>
        <v/>
      </c>
      <c r="L2707" s="380" t="str">
        <f>IF(C2707="","",G2699*C2707)</f>
        <v/>
      </c>
      <c r="M2707" s="381" t="str">
        <f>IF(A2707="","",VLOOKUP(A2707,VII.A!$A$10:$B$199,2,FALSE))</f>
        <v/>
      </c>
      <c r="N2707" s="342" t="str">
        <f t="shared" si="713"/>
        <v/>
      </c>
      <c r="R2707" s="341"/>
      <c r="S2707" s="341"/>
    </row>
    <row r="2708" spans="1:21" ht="12.75" customHeight="1">
      <c r="A2708" s="385"/>
      <c r="B2708" s="386"/>
      <c r="C2708" s="20"/>
      <c r="D2708" s="342"/>
      <c r="E2708" s="387"/>
      <c r="F2708" s="388">
        <f t="shared" si="714"/>
        <v>0</v>
      </c>
      <c r="G2708" s="390"/>
      <c r="H2708" s="341" t="str">
        <f>IF(A2708="","",VLOOKUP(A2708,VII.A!$A$10:$D$199,4,FALSE))</f>
        <v/>
      </c>
      <c r="I2708" s="341" t="str">
        <f t="shared" si="711"/>
        <v/>
      </c>
      <c r="J2708" s="341" t="str">
        <f>IF(A2708="","",VLOOKUP(A2708,VII.A!$A$10:$D$199,3,FALSE))</f>
        <v/>
      </c>
      <c r="K2708" s="342" t="str">
        <f t="shared" si="712"/>
        <v/>
      </c>
      <c r="L2708" s="380" t="str">
        <f>IF(C2708="","",G2699*C2708)</f>
        <v/>
      </c>
      <c r="M2708" s="381" t="str">
        <f>IF(A2708="","",VLOOKUP(A2708,VII.A!$A$10:$B$199,2,FALSE))</f>
        <v/>
      </c>
      <c r="N2708" s="342" t="str">
        <f t="shared" si="713"/>
        <v/>
      </c>
      <c r="R2708" s="341"/>
      <c r="S2708" s="341"/>
    </row>
    <row r="2709" spans="1:21" ht="12.75" customHeight="1">
      <c r="A2709" s="385"/>
      <c r="B2709" s="386"/>
      <c r="C2709" s="20"/>
      <c r="D2709" s="342"/>
      <c r="E2709" s="387"/>
      <c r="F2709" s="388">
        <f t="shared" si="714"/>
        <v>0</v>
      </c>
      <c r="G2709" s="390"/>
      <c r="H2709" s="341" t="str">
        <f>IF(A2709="","",VLOOKUP(A2709,VII.A!$A$10:$D$199,4,FALSE))</f>
        <v/>
      </c>
      <c r="I2709" s="341" t="str">
        <f t="shared" si="711"/>
        <v/>
      </c>
      <c r="J2709" s="341" t="str">
        <f>IF(A2709="","",VLOOKUP(A2709,VII.A!$A$10:$D$199,3,FALSE))</f>
        <v/>
      </c>
      <c r="K2709" s="342" t="str">
        <f t="shared" si="712"/>
        <v/>
      </c>
      <c r="L2709" s="380" t="str">
        <f>IF(C2709="","",G2699*C2709)</f>
        <v/>
      </c>
      <c r="M2709" s="381" t="str">
        <f>IF(A2709="","",VLOOKUP(A2709,VII.A!$A$10:$B$199,2,FALSE))</f>
        <v/>
      </c>
      <c r="N2709" s="342" t="str">
        <f t="shared" si="713"/>
        <v/>
      </c>
      <c r="R2709" s="341"/>
      <c r="S2709" s="341"/>
    </row>
    <row r="2710" spans="1:21" ht="12.75" customHeight="1">
      <c r="A2710" s="385"/>
      <c r="B2710" s="386"/>
      <c r="C2710" s="20"/>
      <c r="D2710" s="342"/>
      <c r="E2710" s="387"/>
      <c r="F2710" s="388">
        <f t="shared" si="714"/>
        <v>0</v>
      </c>
      <c r="G2710" s="391"/>
      <c r="H2710" s="341" t="str">
        <f>IF(A2710="","",VLOOKUP(A2710,VII.A!$A$10:$D$199,4,FALSE))</f>
        <v/>
      </c>
      <c r="I2710" s="341" t="str">
        <f t="shared" si="711"/>
        <v/>
      </c>
      <c r="J2710" s="341" t="str">
        <f>IF(A2710="","",VLOOKUP(A2710,VII.A!$A$10:$D$199,3,FALSE))</f>
        <v/>
      </c>
      <c r="K2710" s="342" t="str">
        <f t="shared" si="712"/>
        <v/>
      </c>
      <c r="L2710" s="380" t="str">
        <f>IF(C2710="","",G2699*C2710)</f>
        <v/>
      </c>
      <c r="M2710" s="381" t="str">
        <f>IF(A2710="","",VLOOKUP(A2710,VII.A!$A$10:$B$199,2,FALSE))</f>
        <v/>
      </c>
      <c r="N2710" s="342" t="str">
        <f t="shared" si="713"/>
        <v/>
      </c>
      <c r="R2710" s="341"/>
      <c r="S2710" s="341"/>
    </row>
    <row r="2711" spans="1:21" ht="12.75" customHeight="1">
      <c r="A2711" s="385"/>
      <c r="B2711" s="386"/>
      <c r="C2711" s="20"/>
      <c r="D2711" s="342"/>
      <c r="E2711" s="387"/>
      <c r="F2711" s="388">
        <f t="shared" si="714"/>
        <v>0</v>
      </c>
      <c r="H2711" s="341" t="str">
        <f>IF(A2711="","",VLOOKUP(A2711,VII.A!$A$10:$D$199,4,FALSE))</f>
        <v/>
      </c>
      <c r="I2711" s="341" t="str">
        <f t="shared" si="711"/>
        <v/>
      </c>
      <c r="J2711" s="341" t="str">
        <f>IF(A2711="","",VLOOKUP(A2711,VII.A!$A$10:$D$199,3,FALSE))</f>
        <v/>
      </c>
      <c r="K2711" s="342" t="str">
        <f t="shared" si="712"/>
        <v/>
      </c>
      <c r="L2711" s="380" t="str">
        <f>IF(C2711="","",G2699*C2711)</f>
        <v/>
      </c>
      <c r="M2711" s="381" t="str">
        <f>IF(A2711="","",VLOOKUP(A2711,VII.A!$A$10:$B$199,2,FALSE))</f>
        <v/>
      </c>
      <c r="N2711" s="342" t="str">
        <f t="shared" si="713"/>
        <v/>
      </c>
      <c r="R2711" s="341"/>
      <c r="S2711" s="341"/>
    </row>
    <row r="2712" spans="1:21" ht="12.75" customHeight="1">
      <c r="A2712" s="385"/>
      <c r="B2712" s="386"/>
      <c r="C2712" s="20"/>
      <c r="D2712" s="392"/>
      <c r="E2712" s="387"/>
      <c r="F2712" s="388">
        <f t="shared" si="714"/>
        <v>0</v>
      </c>
      <c r="H2712" s="341" t="str">
        <f>IF(A2712="","",VLOOKUP(A2712,VII.A!$A$10:$D$199,4,FALSE))</f>
        <v/>
      </c>
      <c r="I2712" s="341" t="str">
        <f t="shared" si="711"/>
        <v/>
      </c>
      <c r="J2712" s="341" t="str">
        <f>IF(A2712="","",VLOOKUP(A2712,VII.A!$A$10:$D$199,3,FALSE))</f>
        <v/>
      </c>
      <c r="K2712" s="342" t="str">
        <f t="shared" si="712"/>
        <v/>
      </c>
      <c r="L2712" s="380" t="str">
        <f>IF(C2712="","",G2699*C2712)</f>
        <v/>
      </c>
      <c r="M2712" s="381" t="str">
        <f>IF(A2712="","",VLOOKUP(A2712,VII.A!$A$10:$B$199,2,FALSE))</f>
        <v/>
      </c>
      <c r="N2712" s="342" t="str">
        <f t="shared" si="713"/>
        <v/>
      </c>
      <c r="R2712" s="341"/>
      <c r="S2712" s="341"/>
    </row>
    <row r="2713" spans="1:21" ht="12.75" customHeight="1">
      <c r="A2713" s="385"/>
      <c r="B2713" s="386"/>
      <c r="C2713" s="20"/>
      <c r="D2713" s="392"/>
      <c r="E2713" s="387"/>
      <c r="F2713" s="388">
        <f t="shared" si="714"/>
        <v>0</v>
      </c>
      <c r="H2713" s="341" t="str">
        <f>IF(A2713="","",VLOOKUP(A2713,VII.A!$A$10:$D$199,4,FALSE))</f>
        <v/>
      </c>
      <c r="I2713" s="341" t="str">
        <f t="shared" si="711"/>
        <v/>
      </c>
      <c r="J2713" s="341" t="str">
        <f>IF(A2713="","",VLOOKUP(A2713,VII.A!$A$10:$D$199,3,FALSE))</f>
        <v/>
      </c>
      <c r="K2713" s="342" t="str">
        <f t="shared" si="712"/>
        <v/>
      </c>
      <c r="L2713" s="380" t="str">
        <f>IF(C2713="","",G2699*C2713)</f>
        <v/>
      </c>
      <c r="M2713" s="381" t="str">
        <f>IF(A2713="","",VLOOKUP(A2713,VII.A!$A$10:$B$199,2,FALSE))</f>
        <v/>
      </c>
      <c r="N2713" s="342" t="str">
        <f t="shared" si="713"/>
        <v/>
      </c>
      <c r="O2713" s="342"/>
      <c r="R2713" s="341"/>
      <c r="S2713" s="341"/>
    </row>
    <row r="2714" spans="1:21" ht="12.75" customHeight="1">
      <c r="A2714" s="385"/>
      <c r="B2714" s="386"/>
      <c r="C2714" s="20"/>
      <c r="D2714" s="392"/>
      <c r="E2714" s="387"/>
      <c r="F2714" s="388">
        <f t="shared" si="714"/>
        <v>0</v>
      </c>
      <c r="H2714" s="341" t="str">
        <f>IF(A2714="","",VLOOKUP(A2714,VII.A!$A$10:$D$199,4,FALSE))</f>
        <v/>
      </c>
      <c r="I2714" s="341" t="str">
        <f t="shared" si="711"/>
        <v/>
      </c>
      <c r="J2714" s="341" t="str">
        <f>IF(A2714="","",VLOOKUP(A2714,VII.A!$A$10:$D$199,3,FALSE))</f>
        <v/>
      </c>
      <c r="K2714" s="342" t="str">
        <f t="shared" si="712"/>
        <v/>
      </c>
      <c r="L2714" s="380" t="str">
        <f>IF(C2714="","",G2699*C2714)</f>
        <v/>
      </c>
      <c r="M2714" s="381" t="str">
        <f>IF(A2714="","",VLOOKUP(A2714,VII.A!$A$10:$B$199,2,FALSE))</f>
        <v/>
      </c>
      <c r="N2714" s="342" t="str">
        <f t="shared" si="713"/>
        <v/>
      </c>
      <c r="R2714" s="341"/>
      <c r="S2714" s="341"/>
    </row>
    <row r="2715" spans="1:21" ht="12.75" customHeight="1">
      <c r="A2715" s="393"/>
      <c r="C2715" s="20"/>
      <c r="E2715" s="387"/>
      <c r="F2715" s="388">
        <f t="shared" si="714"/>
        <v>0</v>
      </c>
      <c r="H2715" s="341" t="str">
        <f>IF(A2715="","",VLOOKUP(A2715,VII.A!$A$10:$D$199,4,FALSE))</f>
        <v/>
      </c>
      <c r="I2715" s="341" t="str">
        <f t="shared" si="711"/>
        <v/>
      </c>
      <c r="J2715" s="341" t="str">
        <f>IF(A2715="","",VLOOKUP(A2715,VII.A!$A$10:$D$199,3,FALSE))</f>
        <v/>
      </c>
      <c r="K2715" s="342" t="str">
        <f t="shared" si="712"/>
        <v/>
      </c>
      <c r="L2715" s="380" t="str">
        <f>IF(C2715="","",G2699*C2715)</f>
        <v/>
      </c>
      <c r="M2715" s="381" t="str">
        <f>IF(A2715="","",VLOOKUP(A2715,VII.A!$A$10:$B$199,2,FALSE))</f>
        <v/>
      </c>
      <c r="N2715" s="342" t="str">
        <f t="shared" si="713"/>
        <v/>
      </c>
      <c r="R2715" s="341"/>
      <c r="S2715" s="341"/>
    </row>
    <row r="2716" spans="1:21" ht="12.75" customHeight="1">
      <c r="A2716" s="393"/>
      <c r="C2716" s="20"/>
      <c r="E2716" s="387"/>
      <c r="F2716" s="388">
        <f t="shared" si="714"/>
        <v>0</v>
      </c>
      <c r="H2716" s="341" t="str">
        <f>IF(A2716="","",VLOOKUP(A2716,VII.A!$A$10:$D$199,4,FALSE))</f>
        <v/>
      </c>
      <c r="I2716" s="341" t="str">
        <f t="shared" si="711"/>
        <v/>
      </c>
      <c r="J2716" s="341" t="str">
        <f>IF(A2716="","",VLOOKUP(A2716,VII.A!$A$10:$D$199,3,FALSE))</f>
        <v/>
      </c>
      <c r="K2716" s="342" t="str">
        <f t="shared" si="712"/>
        <v/>
      </c>
      <c r="L2716" s="380" t="str">
        <f>IF(C2716="","",G2699*C2716)</f>
        <v/>
      </c>
      <c r="M2716" s="381" t="str">
        <f>IF(A2716="","",VLOOKUP(A2716,VII.A!$A$10:$B$199,2,FALSE))</f>
        <v/>
      </c>
      <c r="N2716" s="342" t="str">
        <f t="shared" si="713"/>
        <v/>
      </c>
      <c r="R2716" s="341"/>
      <c r="S2716" s="341"/>
    </row>
    <row r="2717" spans="1:21" ht="12.75" customHeight="1">
      <c r="A2717" s="393"/>
      <c r="B2717" s="395" t="s">
        <v>226</v>
      </c>
      <c r="C2717" s="396"/>
      <c r="D2717" s="397"/>
      <c r="E2717" s="398"/>
      <c r="F2717" s="399">
        <f>SUM(F2701:F2716)</f>
        <v>0</v>
      </c>
      <c r="H2717" s="426" t="s">
        <v>604</v>
      </c>
      <c r="J2717" s="341"/>
      <c r="L2717" s="380"/>
      <c r="M2717" s="381"/>
      <c r="N2717" s="342"/>
      <c r="R2717" s="341"/>
      <c r="S2717" s="341"/>
    </row>
    <row r="2718" spans="1:21" ht="12.75" customHeight="1">
      <c r="A2718" s="393"/>
      <c r="B2718" s="400" t="s">
        <v>53</v>
      </c>
      <c r="C2718" s="2">
        <f>$D$8</f>
        <v>0</v>
      </c>
      <c r="D2718" s="401"/>
      <c r="E2718" s="402"/>
      <c r="F2718" s="403">
        <f>ROUND(F2717*C2718,2)</f>
        <v>0</v>
      </c>
      <c r="J2718" s="341"/>
      <c r="L2718" s="380"/>
      <c r="M2718" s="381"/>
      <c r="N2718" s="342"/>
      <c r="R2718" s="341"/>
      <c r="S2718" s="341"/>
    </row>
    <row r="2719" spans="1:21" ht="12.75" customHeight="1">
      <c r="A2719" s="404"/>
      <c r="B2719" s="405" t="s">
        <v>227</v>
      </c>
      <c r="C2719" s="406"/>
      <c r="D2719" s="406"/>
      <c r="E2719" s="407"/>
      <c r="F2719" s="408">
        <f>F2717+F2718</f>
        <v>0</v>
      </c>
      <c r="J2719" s="341"/>
      <c r="L2719" s="380"/>
      <c r="M2719" s="381"/>
      <c r="N2719" s="342"/>
      <c r="R2719" s="341"/>
      <c r="S2719" s="341"/>
    </row>
    <row r="2720" spans="1:21" ht="12.75" customHeight="1">
      <c r="A2720" s="374" t="s">
        <v>2</v>
      </c>
      <c r="B2720" s="375" t="s">
        <v>235</v>
      </c>
      <c r="C2720" s="376" t="s">
        <v>231</v>
      </c>
      <c r="D2720" s="376" t="s">
        <v>232</v>
      </c>
      <c r="E2720" s="377" t="s">
        <v>233</v>
      </c>
      <c r="F2720" s="378" t="s">
        <v>234</v>
      </c>
      <c r="J2720" s="341"/>
      <c r="L2720" s="380"/>
      <c r="M2720" s="381"/>
      <c r="N2720" s="342"/>
      <c r="R2720" s="341"/>
      <c r="S2720" s="341"/>
    </row>
    <row r="2721" spans="1:19" ht="12.75" customHeight="1">
      <c r="A2721" s="393"/>
      <c r="B2721" s="423"/>
      <c r="C2721" s="20"/>
      <c r="E2721" s="387"/>
      <c r="F2721" s="388">
        <f t="shared" ref="F2721:F2730" si="715">ROUND(C2721*E2721,2)</f>
        <v>0</v>
      </c>
      <c r="H2721" s="341" t="str">
        <f>IF(A2721="","",VLOOKUP(A2721,VII.A!$A$10:$D$199,4,FALSE))</f>
        <v/>
      </c>
      <c r="I2721" s="341" t="str">
        <f t="shared" ref="I2721:I2730" si="716">IF(A2721="","",IF(E2721=H2721,"SIM","NÃO"))</f>
        <v/>
      </c>
      <c r="J2721" s="341" t="str">
        <f>IF(A2721="","",VLOOKUP(A2721,VII.A!$A$10:$D$199,3,FALSE))</f>
        <v/>
      </c>
      <c r="K2721" s="342" t="str">
        <f t="shared" ref="K2721:K2730" si="717">IF(A2721="","",IF(J2721=D2721,"SIM","NÃO"))</f>
        <v/>
      </c>
      <c r="L2721" s="380" t="str">
        <f>IF(C2721="","",G2699*C2721)</f>
        <v/>
      </c>
      <c r="M2721" s="381" t="str">
        <f>IF(A2721="","",VLOOKUP(A2721,VII.A!$A$10:$B$199,2,FALSE))</f>
        <v/>
      </c>
      <c r="N2721" s="342" t="str">
        <f t="shared" ref="N2721:N2730" si="718">IF(B2721="","",IF(M2721=B2721,"si","no"))</f>
        <v/>
      </c>
      <c r="R2721" s="341"/>
      <c r="S2721" s="341"/>
    </row>
    <row r="2722" spans="1:19" ht="12.75" customHeight="1">
      <c r="A2722" s="393"/>
      <c r="C2722" s="20"/>
      <c r="E2722" s="387"/>
      <c r="F2722" s="388">
        <f t="shared" si="715"/>
        <v>0</v>
      </c>
      <c r="H2722" s="341" t="str">
        <f>IF(A2722="","",VLOOKUP(A2722,VII.A!$A$10:$D$199,4,FALSE))</f>
        <v/>
      </c>
      <c r="I2722" s="341" t="str">
        <f t="shared" si="716"/>
        <v/>
      </c>
      <c r="J2722" s="341" t="str">
        <f>IF(A2722="","",VLOOKUP(A2722,VII.A!$A$10:$D$199,3,FALSE))</f>
        <v/>
      </c>
      <c r="K2722" s="342" t="str">
        <f t="shared" si="717"/>
        <v/>
      </c>
      <c r="L2722" s="380" t="str">
        <f>IF(C2722="","",G2699*C2722)</f>
        <v/>
      </c>
      <c r="M2722" s="381" t="str">
        <f>IF(A2722="","",VLOOKUP(A2722,VII.A!$A$10:$B$199,2,FALSE))</f>
        <v/>
      </c>
      <c r="N2722" s="342" t="str">
        <f t="shared" si="718"/>
        <v/>
      </c>
      <c r="R2722" s="341"/>
      <c r="S2722" s="341"/>
    </row>
    <row r="2723" spans="1:19" ht="12.75" customHeight="1">
      <c r="A2723" s="393"/>
      <c r="C2723" s="20"/>
      <c r="E2723" s="387"/>
      <c r="F2723" s="388">
        <f t="shared" si="715"/>
        <v>0</v>
      </c>
      <c r="H2723" s="341" t="str">
        <f>IF(A2723="","",VLOOKUP(A2723,VII.A!$A$10:$D$199,4,FALSE))</f>
        <v/>
      </c>
      <c r="I2723" s="341" t="str">
        <f t="shared" si="716"/>
        <v/>
      </c>
      <c r="J2723" s="341" t="str">
        <f>IF(A2723="","",VLOOKUP(A2723,VII.A!$A$10:$D$199,3,FALSE))</f>
        <v/>
      </c>
      <c r="K2723" s="342" t="str">
        <f t="shared" si="717"/>
        <v/>
      </c>
      <c r="L2723" s="380" t="str">
        <f>IF(C2723="","",G2699*C2723)</f>
        <v/>
      </c>
      <c r="M2723" s="381" t="str">
        <f>IF(A2723="","",VLOOKUP(A2723,VII.A!$A$10:$B$199,2,FALSE))</f>
        <v/>
      </c>
      <c r="N2723" s="342" t="str">
        <f t="shared" si="718"/>
        <v/>
      </c>
      <c r="R2723" s="341"/>
      <c r="S2723" s="341"/>
    </row>
    <row r="2724" spans="1:19" ht="12.75" customHeight="1">
      <c r="A2724" s="393"/>
      <c r="C2724" s="20"/>
      <c r="E2724" s="387"/>
      <c r="F2724" s="388">
        <f t="shared" si="715"/>
        <v>0</v>
      </c>
      <c r="H2724" s="341" t="str">
        <f>IF(A2724="","",VLOOKUP(A2724,VII.A!$A$10:$D$199,4,FALSE))</f>
        <v/>
      </c>
      <c r="I2724" s="341" t="str">
        <f t="shared" si="716"/>
        <v/>
      </c>
      <c r="J2724" s="341" t="str">
        <f>IF(A2724="","",VLOOKUP(A2724,VII.A!$A$10:$D$199,3,FALSE))</f>
        <v/>
      </c>
      <c r="K2724" s="342" t="str">
        <f t="shared" si="717"/>
        <v/>
      </c>
      <c r="L2724" s="380" t="str">
        <f>IF(C2724="","",G2699*C2724)</f>
        <v/>
      </c>
      <c r="M2724" s="381" t="str">
        <f>IF(A2724="","",VLOOKUP(A2724,VII.A!$A$10:$B$199,2,FALSE))</f>
        <v/>
      </c>
      <c r="N2724" s="342" t="str">
        <f t="shared" si="718"/>
        <v/>
      </c>
      <c r="R2724" s="341"/>
      <c r="S2724" s="341"/>
    </row>
    <row r="2725" spans="1:19" ht="12.75" customHeight="1">
      <c r="A2725" s="393"/>
      <c r="C2725" s="20"/>
      <c r="E2725" s="387"/>
      <c r="F2725" s="388">
        <f t="shared" si="715"/>
        <v>0</v>
      </c>
      <c r="G2725" s="390"/>
      <c r="H2725" s="341" t="str">
        <f>IF(A2725="","",VLOOKUP(A2725,VII.A!$A$10:$D$199,4,FALSE))</f>
        <v/>
      </c>
      <c r="I2725" s="341" t="str">
        <f t="shared" si="716"/>
        <v/>
      </c>
      <c r="J2725" s="341" t="str">
        <f>IF(A2725="","",VLOOKUP(A2725,VII.A!$A$10:$D$199,3,FALSE))</f>
        <v/>
      </c>
      <c r="K2725" s="342" t="str">
        <f t="shared" si="717"/>
        <v/>
      </c>
      <c r="L2725" s="380" t="str">
        <f>IF(C2725="","",G2699*C2725)</f>
        <v/>
      </c>
      <c r="M2725" s="381" t="str">
        <f>IF(A2725="","",VLOOKUP(A2725,VII.A!$A$10:$B$199,2,FALSE))</f>
        <v/>
      </c>
      <c r="N2725" s="342" t="str">
        <f t="shared" si="718"/>
        <v/>
      </c>
      <c r="R2725" s="341"/>
      <c r="S2725" s="341"/>
    </row>
    <row r="2726" spans="1:19" ht="12.75" customHeight="1">
      <c r="A2726" s="393"/>
      <c r="C2726" s="20"/>
      <c r="E2726" s="387"/>
      <c r="F2726" s="388">
        <f t="shared" si="715"/>
        <v>0</v>
      </c>
      <c r="G2726" s="391"/>
      <c r="H2726" s="341" t="str">
        <f>IF(A2726="","",VLOOKUP(A2726,VII.A!$A$10:$D$199,4,FALSE))</f>
        <v/>
      </c>
      <c r="I2726" s="341" t="str">
        <f t="shared" si="716"/>
        <v/>
      </c>
      <c r="J2726" s="341" t="str">
        <f>IF(A2726="","",VLOOKUP(A2726,VII.A!$A$10:$D$199,3,FALSE))</f>
        <v/>
      </c>
      <c r="K2726" s="342" t="str">
        <f t="shared" si="717"/>
        <v/>
      </c>
      <c r="L2726" s="380" t="str">
        <f>IF(C2726="","",G2699*C2726)</f>
        <v/>
      </c>
      <c r="M2726" s="381" t="str">
        <f>IF(A2726="","",VLOOKUP(A2726,VII.A!$A$10:$B$199,2,FALSE))</f>
        <v/>
      </c>
      <c r="N2726" s="342" t="str">
        <f t="shared" si="718"/>
        <v/>
      </c>
      <c r="R2726" s="341"/>
      <c r="S2726" s="341"/>
    </row>
    <row r="2727" spans="1:19" ht="12.75" customHeight="1">
      <c r="A2727" s="393"/>
      <c r="C2727" s="20"/>
      <c r="E2727" s="387"/>
      <c r="F2727" s="388">
        <f t="shared" si="715"/>
        <v>0</v>
      </c>
      <c r="H2727" s="341" t="str">
        <f>IF(A2727="","",VLOOKUP(A2727,VII.A!$A$10:$D$199,4,FALSE))</f>
        <v/>
      </c>
      <c r="I2727" s="341" t="str">
        <f t="shared" si="716"/>
        <v/>
      </c>
      <c r="J2727" s="341" t="str">
        <f>IF(A2727="","",VLOOKUP(A2727,VII.A!$A$10:$D$199,3,FALSE))</f>
        <v/>
      </c>
      <c r="K2727" s="342" t="str">
        <f t="shared" si="717"/>
        <v/>
      </c>
      <c r="L2727" s="380" t="str">
        <f>IF(C2727="","",G2699*C2727)</f>
        <v/>
      </c>
      <c r="M2727" s="381" t="str">
        <f>IF(A2727="","",VLOOKUP(A2727,VII.A!$A$10:$B$199,2,FALSE))</f>
        <v/>
      </c>
      <c r="N2727" s="342" t="str">
        <f t="shared" si="718"/>
        <v/>
      </c>
      <c r="R2727" s="341"/>
      <c r="S2727" s="341"/>
    </row>
    <row r="2728" spans="1:19" ht="12.75" customHeight="1">
      <c r="A2728" s="393"/>
      <c r="C2728" s="20"/>
      <c r="E2728" s="387"/>
      <c r="F2728" s="388">
        <f t="shared" si="715"/>
        <v>0</v>
      </c>
      <c r="H2728" s="341" t="str">
        <f>IF(A2728="","",VLOOKUP(A2728,VII.A!$A$10:$D$199,4,FALSE))</f>
        <v/>
      </c>
      <c r="I2728" s="341" t="str">
        <f t="shared" si="716"/>
        <v/>
      </c>
      <c r="J2728" s="341" t="str">
        <f>IF(A2728="","",VLOOKUP(A2728,VII.A!$A$10:$D$199,3,FALSE))</f>
        <v/>
      </c>
      <c r="K2728" s="342" t="str">
        <f t="shared" si="717"/>
        <v/>
      </c>
      <c r="L2728" s="380" t="str">
        <f>IF(C2728="","",G2699*C2728)</f>
        <v/>
      </c>
      <c r="M2728" s="381" t="str">
        <f>IF(A2728="","",VLOOKUP(A2728,VII.A!$A$10:$B$199,2,FALSE))</f>
        <v/>
      </c>
      <c r="N2728" s="342" t="str">
        <f t="shared" si="718"/>
        <v/>
      </c>
      <c r="R2728" s="341"/>
      <c r="S2728" s="341"/>
    </row>
    <row r="2729" spans="1:19" ht="12.75" customHeight="1">
      <c r="A2729" s="393"/>
      <c r="C2729" s="20"/>
      <c r="E2729" s="387"/>
      <c r="F2729" s="388">
        <f t="shared" si="715"/>
        <v>0</v>
      </c>
      <c r="H2729" s="341" t="str">
        <f>IF(A2729="","",VLOOKUP(A2729,VII.A!$A$10:$D$199,4,FALSE))</f>
        <v/>
      </c>
      <c r="I2729" s="341" t="str">
        <f t="shared" si="716"/>
        <v/>
      </c>
      <c r="J2729" s="341" t="str">
        <f>IF(A2729="","",VLOOKUP(A2729,VII.A!$A$10:$D$199,3,FALSE))</f>
        <v/>
      </c>
      <c r="K2729" s="342" t="str">
        <f t="shared" si="717"/>
        <v/>
      </c>
      <c r="L2729" s="380" t="str">
        <f>IF(C2729="","",G2699*C2729)</f>
        <v/>
      </c>
      <c r="M2729" s="381" t="str">
        <f>IF(A2729="","",VLOOKUP(A2729,VII.A!$A$10:$B$199,2,FALSE))</f>
        <v/>
      </c>
      <c r="N2729" s="342" t="str">
        <f t="shared" si="718"/>
        <v/>
      </c>
      <c r="R2729" s="341"/>
      <c r="S2729" s="341"/>
    </row>
    <row r="2730" spans="1:19" ht="12.75" customHeight="1">
      <c r="A2730" s="393"/>
      <c r="C2730" s="20"/>
      <c r="E2730" s="387"/>
      <c r="F2730" s="388">
        <f t="shared" si="715"/>
        <v>0</v>
      </c>
      <c r="H2730" s="341" t="str">
        <f>IF(A2730="","",VLOOKUP(A2730,VII.A!$A$10:$D$199,4,FALSE))</f>
        <v/>
      </c>
      <c r="I2730" s="341" t="str">
        <f t="shared" si="716"/>
        <v/>
      </c>
      <c r="J2730" s="341" t="str">
        <f>IF(A2730="","",VLOOKUP(A2730,VII.A!$A$10:$D$199,3,FALSE))</f>
        <v/>
      </c>
      <c r="K2730" s="342" t="str">
        <f t="shared" si="717"/>
        <v/>
      </c>
      <c r="L2730" s="380" t="str">
        <f>IF(C2730="","",G2699*C2730)</f>
        <v/>
      </c>
      <c r="M2730" s="381" t="str">
        <f>IF(A2730="","",VLOOKUP(A2730,VII.A!$A$10:$B$199,2,FALSE))</f>
        <v/>
      </c>
      <c r="N2730" s="342" t="str">
        <f t="shared" si="718"/>
        <v/>
      </c>
      <c r="R2730" s="341"/>
      <c r="S2730" s="341"/>
    </row>
    <row r="2731" spans="1:19" ht="12.75" customHeight="1">
      <c r="A2731" s="393"/>
      <c r="B2731" s="395" t="s">
        <v>226</v>
      </c>
      <c r="C2731" s="396"/>
      <c r="D2731" s="397"/>
      <c r="E2731" s="398"/>
      <c r="F2731" s="399">
        <f>SUM(F2721:F2730)</f>
        <v>0</v>
      </c>
      <c r="J2731" s="341"/>
      <c r="L2731" s="380"/>
      <c r="M2731" s="381"/>
      <c r="N2731" s="342"/>
      <c r="R2731" s="341"/>
      <c r="S2731" s="341"/>
    </row>
    <row r="2732" spans="1:19" ht="12.75" customHeight="1">
      <c r="A2732" s="393"/>
      <c r="B2732" s="400" t="s">
        <v>53</v>
      </c>
      <c r="C2732" s="2">
        <f>$D$8</f>
        <v>0</v>
      </c>
      <c r="D2732" s="401"/>
      <c r="E2732" s="402"/>
      <c r="F2732" s="403">
        <f>ROUND(C2732*F2731,2)</f>
        <v>0</v>
      </c>
      <c r="J2732" s="341"/>
      <c r="L2732" s="380"/>
      <c r="M2732" s="381"/>
      <c r="N2732" s="342"/>
      <c r="R2732" s="341"/>
      <c r="S2732" s="341"/>
    </row>
    <row r="2733" spans="1:19" ht="12.75" customHeight="1">
      <c r="A2733" s="404"/>
      <c r="B2733" s="405" t="s">
        <v>228</v>
      </c>
      <c r="C2733" s="406"/>
      <c r="D2733" s="406"/>
      <c r="E2733" s="407"/>
      <c r="F2733" s="408">
        <f>F2731+F2732</f>
        <v>0</v>
      </c>
      <c r="J2733" s="341"/>
      <c r="L2733" s="380"/>
      <c r="M2733" s="381"/>
      <c r="N2733" s="342"/>
      <c r="R2733" s="341"/>
      <c r="S2733" s="341"/>
    </row>
    <row r="2734" spans="1:19" ht="12.75" customHeight="1">
      <c r="A2734" s="409" t="s">
        <v>47</v>
      </c>
      <c r="B2734" s="410" t="s">
        <v>236</v>
      </c>
      <c r="C2734" s="411" t="s">
        <v>231</v>
      </c>
      <c r="D2734" s="412" t="s">
        <v>232</v>
      </c>
      <c r="E2734" s="413" t="s">
        <v>233</v>
      </c>
      <c r="F2734" s="378" t="s">
        <v>234</v>
      </c>
      <c r="J2734" s="341"/>
      <c r="L2734" s="380"/>
      <c r="M2734" s="381"/>
      <c r="N2734" s="342"/>
      <c r="R2734" s="341"/>
      <c r="S2734" s="341"/>
    </row>
    <row r="2735" spans="1:19" ht="12.75" customHeight="1">
      <c r="A2735" s="393" t="str">
        <f>VII.A!$A$181</f>
        <v>3.1</v>
      </c>
      <c r="B2735" s="394" t="s">
        <v>142</v>
      </c>
      <c r="C2735" s="20">
        <v>0.08</v>
      </c>
      <c r="D2735" s="384" t="str">
        <f>VLOOKUP(A2735,VII.A!$A$10:$G$199,3,FALSE)</f>
        <v>H</v>
      </c>
      <c r="E2735" s="387">
        <f>VII.A!D181</f>
        <v>0</v>
      </c>
      <c r="F2735" s="388">
        <f t="shared" ref="F2735:F2741" si="719">ROUND(C2735*E2735,2)</f>
        <v>0</v>
      </c>
      <c r="H2735" s="341">
        <f>IF(A2735="","",VLOOKUP(A2735,VII.A!$A$10:$D$199,4,FALSE))</f>
        <v>0</v>
      </c>
      <c r="I2735" s="341" t="str">
        <f t="shared" ref="I2735:I2741" si="720">IF(A2735="","",IF(E2735=H2735,"SIM","NÃO"))</f>
        <v>SIM</v>
      </c>
      <c r="J2735" s="341" t="str">
        <f>IF(A2735="","",VLOOKUP(A2735,VII.A!$A$10:$D$199,3,FALSE))</f>
        <v>H</v>
      </c>
      <c r="K2735" s="342" t="str">
        <f t="shared" ref="K2735:K2741" si="721">IF(A2735="","",IF(J2735=D2735,"SIM","NÃO"))</f>
        <v>SIM</v>
      </c>
      <c r="L2735" s="380">
        <f>IF(C2735="","",G2699*C2735)</f>
        <v>80</v>
      </c>
      <c r="M2735" s="381" t="str">
        <f>IF(A2735="","",VLOOKUP(A2735,VII.A!$A$10:$B$199,2,FALSE))</f>
        <v>AJUDANTE COM ENCARGOS COMPLEMENTARES</v>
      </c>
      <c r="N2735" s="342" t="str">
        <f t="shared" ref="N2735:N2741" si="722">IF(B2735="","",IF(M2735=B2735,"si","no"))</f>
        <v>si</v>
      </c>
      <c r="R2735" s="341"/>
      <c r="S2735" s="341"/>
    </row>
    <row r="2736" spans="1:19" ht="12.75" customHeight="1">
      <c r="A2736" s="393" t="str">
        <f>VII.A!$A$184</f>
        <v>3.4</v>
      </c>
      <c r="B2736" s="394" t="s">
        <v>145</v>
      </c>
      <c r="C2736" s="20">
        <v>0.04</v>
      </c>
      <c r="D2736" s="384" t="str">
        <f>VLOOKUP(A2736,VII.A!$A$10:$G$199,3,FALSE)</f>
        <v>H</v>
      </c>
      <c r="E2736" s="387">
        <f>VII.A!D184</f>
        <v>0</v>
      </c>
      <c r="F2736" s="388">
        <f t="shared" si="719"/>
        <v>0</v>
      </c>
      <c r="H2736" s="341">
        <f>IF(A2736="","",VLOOKUP(A2736,VII.A!$A$10:$D$199,4,FALSE))</f>
        <v>0</v>
      </c>
      <c r="I2736" s="341" t="str">
        <f t="shared" si="720"/>
        <v>SIM</v>
      </c>
      <c r="J2736" s="341" t="str">
        <f>IF(A2736="","",VLOOKUP(A2736,VII.A!$A$10:$D$199,3,FALSE))</f>
        <v>H</v>
      </c>
      <c r="K2736" s="342" t="str">
        <f t="shared" si="721"/>
        <v>SIM</v>
      </c>
      <c r="L2736" s="380">
        <f>IF(C2736="","",G2699*C2736)</f>
        <v>40</v>
      </c>
      <c r="M2736" s="381" t="str">
        <f>IF(A2736="","",VLOOKUP(A2736,VII.A!$A$10:$B$199,2,FALSE))</f>
        <v>ARMADOR COM ENCARGOS COMPLEMENTARES</v>
      </c>
      <c r="N2736" s="342" t="str">
        <f t="shared" si="722"/>
        <v>si</v>
      </c>
      <c r="R2736" s="341"/>
      <c r="S2736" s="341"/>
    </row>
    <row r="2737" spans="1:25" ht="12.75" customHeight="1">
      <c r="A2737" s="393"/>
      <c r="C2737" s="20"/>
      <c r="E2737" s="387"/>
      <c r="F2737" s="388">
        <f t="shared" si="719"/>
        <v>0</v>
      </c>
      <c r="H2737" s="341" t="str">
        <f>IF(A2737="","",VLOOKUP(A2737,VII.A!$A$10:$D$199,4,FALSE))</f>
        <v/>
      </c>
      <c r="I2737" s="341" t="str">
        <f t="shared" si="720"/>
        <v/>
      </c>
      <c r="J2737" s="341" t="str">
        <f>IF(A2737="","",VLOOKUP(A2737,VII.A!$A$10:$D$199,3,FALSE))</f>
        <v/>
      </c>
      <c r="K2737" s="342" t="str">
        <f t="shared" si="721"/>
        <v/>
      </c>
      <c r="L2737" s="380" t="str">
        <f>IF(C2737="","",G2699*C2737)</f>
        <v/>
      </c>
      <c r="M2737" s="381" t="str">
        <f>IF(A2737="","",VLOOKUP(A2737,VII.A!$A$10:$B$199,2,FALSE))</f>
        <v/>
      </c>
      <c r="N2737" s="342" t="str">
        <f t="shared" si="722"/>
        <v/>
      </c>
      <c r="R2737" s="341"/>
      <c r="S2737" s="341"/>
    </row>
    <row r="2738" spans="1:25" ht="12.75" customHeight="1">
      <c r="A2738" s="393"/>
      <c r="C2738" s="20"/>
      <c r="E2738" s="387"/>
      <c r="F2738" s="388">
        <f t="shared" si="719"/>
        <v>0</v>
      </c>
      <c r="H2738" s="341" t="str">
        <f>IF(A2738="","",VLOOKUP(A2738,VII.A!$A$10:$D$199,4,FALSE))</f>
        <v/>
      </c>
      <c r="I2738" s="341" t="str">
        <f t="shared" si="720"/>
        <v/>
      </c>
      <c r="J2738" s="341" t="str">
        <f>IF(A2738="","",VLOOKUP(A2738,VII.A!$A$10:$D$199,3,FALSE))</f>
        <v/>
      </c>
      <c r="K2738" s="342" t="str">
        <f t="shared" si="721"/>
        <v/>
      </c>
      <c r="L2738" s="380" t="str">
        <f>IF(C2738="","",G2699*C2738)</f>
        <v/>
      </c>
      <c r="M2738" s="381" t="str">
        <f>IF(A2738="","",VLOOKUP(A2738,VII.A!$A$10:$B$199,2,FALSE))</f>
        <v/>
      </c>
      <c r="N2738" s="342" t="str">
        <f t="shared" si="722"/>
        <v/>
      </c>
      <c r="R2738" s="341"/>
      <c r="S2738" s="341"/>
    </row>
    <row r="2739" spans="1:25" ht="12.75" customHeight="1">
      <c r="A2739" s="393"/>
      <c r="C2739" s="20"/>
      <c r="E2739" s="387"/>
      <c r="F2739" s="388">
        <f t="shared" si="719"/>
        <v>0</v>
      </c>
      <c r="H2739" s="341" t="str">
        <f>IF(A2739="","",VLOOKUP(A2739,VII.A!$A$10:$D$199,4,FALSE))</f>
        <v/>
      </c>
      <c r="I2739" s="341" t="str">
        <f t="shared" si="720"/>
        <v/>
      </c>
      <c r="J2739" s="341" t="str">
        <f>IF(A2739="","",VLOOKUP(A2739,VII.A!$A$10:$D$199,3,FALSE))</f>
        <v/>
      </c>
      <c r="K2739" s="342" t="str">
        <f t="shared" si="721"/>
        <v/>
      </c>
      <c r="L2739" s="380" t="str">
        <f>IF(C2739="","",G2699*C2739)</f>
        <v/>
      </c>
      <c r="M2739" s="381" t="str">
        <f>IF(A2739="","",VLOOKUP(A2739,VII.A!$A$10:$B$199,2,FALSE))</f>
        <v/>
      </c>
      <c r="N2739" s="342" t="str">
        <f t="shared" si="722"/>
        <v/>
      </c>
      <c r="R2739" s="341"/>
      <c r="S2739" s="341"/>
    </row>
    <row r="2740" spans="1:25" ht="12.75" customHeight="1">
      <c r="A2740" s="393"/>
      <c r="C2740" s="20"/>
      <c r="E2740" s="387"/>
      <c r="F2740" s="388">
        <f t="shared" si="719"/>
        <v>0</v>
      </c>
      <c r="H2740" s="341" t="str">
        <f>IF(A2740="","",VLOOKUP(A2740,VII.A!$A$10:$D$199,4,FALSE))</f>
        <v/>
      </c>
      <c r="I2740" s="341" t="str">
        <f t="shared" si="720"/>
        <v/>
      </c>
      <c r="J2740" s="341" t="str">
        <f>IF(A2740="","",VLOOKUP(A2740,VII.A!$A$10:$D$199,3,FALSE))</f>
        <v/>
      </c>
      <c r="K2740" s="342" t="str">
        <f t="shared" si="721"/>
        <v/>
      </c>
      <c r="L2740" s="380" t="str">
        <f>IF(C2740="","",G2699*C2740)</f>
        <v/>
      </c>
      <c r="M2740" s="381" t="str">
        <f>IF(A2740="","",VLOOKUP(A2740,VII.A!$A$10:$B$199,2,FALSE))</f>
        <v/>
      </c>
      <c r="N2740" s="342" t="str">
        <f t="shared" si="722"/>
        <v/>
      </c>
      <c r="R2740" s="341"/>
      <c r="S2740" s="341"/>
    </row>
    <row r="2741" spans="1:25" ht="12.75" customHeight="1">
      <c r="A2741" s="393"/>
      <c r="C2741" s="20"/>
      <c r="E2741" s="387"/>
      <c r="F2741" s="388">
        <f t="shared" si="719"/>
        <v>0</v>
      </c>
      <c r="H2741" s="341" t="str">
        <f>IF(A2741="","",VLOOKUP(A2741,VII.A!$A$10:$D$199,4,FALSE))</f>
        <v/>
      </c>
      <c r="I2741" s="341" t="str">
        <f t="shared" si="720"/>
        <v/>
      </c>
      <c r="J2741" s="341" t="str">
        <f>IF(A2741="","",VLOOKUP(A2741,VII.A!$A$10:$D$199,3,FALSE))</f>
        <v/>
      </c>
      <c r="K2741" s="342" t="str">
        <f t="shared" si="721"/>
        <v/>
      </c>
      <c r="L2741" s="380" t="str">
        <f>IF(C2741="","",G2699*C2741)</f>
        <v/>
      </c>
      <c r="M2741" s="381" t="str">
        <f>IF(A2741="","",VLOOKUP(A2741,VII.A!$A$10:$B$199,2,FALSE))</f>
        <v/>
      </c>
      <c r="N2741" s="342" t="str">
        <f t="shared" si="722"/>
        <v/>
      </c>
      <c r="R2741" s="341"/>
      <c r="S2741" s="341"/>
    </row>
    <row r="2742" spans="1:25" ht="12.75" customHeight="1">
      <c r="A2742" s="393"/>
      <c r="B2742" s="395" t="s">
        <v>226</v>
      </c>
      <c r="C2742" s="396"/>
      <c r="D2742" s="397"/>
      <c r="E2742" s="398"/>
      <c r="F2742" s="399">
        <f>SUM(F2735:F2741)</f>
        <v>0</v>
      </c>
      <c r="J2742" s="341"/>
      <c r="L2742" s="380"/>
      <c r="M2742" s="381"/>
      <c r="N2742" s="342"/>
      <c r="R2742" s="341"/>
      <c r="S2742" s="341"/>
    </row>
    <row r="2743" spans="1:25" ht="12.75" customHeight="1">
      <c r="A2743" s="393"/>
      <c r="B2743" s="400" t="s">
        <v>229</v>
      </c>
      <c r="C2743" s="2">
        <f>IX.A!$C$45</f>
        <v>0</v>
      </c>
      <c r="D2743" s="401"/>
      <c r="E2743" s="402"/>
      <c r="F2743" s="403">
        <f>ROUND(F2742*C2743,2)</f>
        <v>0</v>
      </c>
      <c r="J2743" s="341"/>
      <c r="L2743" s="380"/>
      <c r="M2743" s="381"/>
      <c r="N2743" s="342"/>
      <c r="R2743" s="341"/>
      <c r="S2743" s="341"/>
    </row>
    <row r="2744" spans="1:25" ht="12.75" customHeight="1">
      <c r="A2744" s="393"/>
      <c r="B2744" s="400" t="s">
        <v>53</v>
      </c>
      <c r="C2744" s="2">
        <f>$D$8</f>
        <v>0</v>
      </c>
      <c r="D2744" s="401"/>
      <c r="E2744" s="402"/>
      <c r="F2744" s="403">
        <f>ROUND(SUM(F2742:F2743)*C2744,2)</f>
        <v>0</v>
      </c>
      <c r="J2744" s="341"/>
      <c r="L2744" s="380"/>
      <c r="M2744" s="381"/>
      <c r="N2744" s="342"/>
      <c r="R2744" s="341"/>
      <c r="S2744" s="341"/>
    </row>
    <row r="2745" spans="1:25" ht="12.75" customHeight="1" thickBot="1">
      <c r="A2745" s="414"/>
      <c r="B2745" s="415" t="s">
        <v>230</v>
      </c>
      <c r="C2745" s="416"/>
      <c r="D2745" s="416"/>
      <c r="E2745" s="417"/>
      <c r="F2745" s="418">
        <f>SUM(F2742:F2744)</f>
        <v>0</v>
      </c>
      <c r="J2745" s="341"/>
      <c r="L2745" s="380"/>
      <c r="M2745" s="381"/>
      <c r="N2745" s="342"/>
      <c r="R2745" s="341"/>
      <c r="S2745" s="341"/>
    </row>
    <row r="2746" spans="1:25" ht="12.75" customHeight="1" thickBot="1">
      <c r="A2746" s="357"/>
      <c r="B2746" s="358"/>
      <c r="C2746" s="359"/>
      <c r="D2746" s="359"/>
      <c r="E2746" s="360"/>
      <c r="F2746" s="419"/>
      <c r="J2746" s="341"/>
      <c r="L2746" s="380"/>
      <c r="M2746" s="381"/>
      <c r="N2746" s="342"/>
      <c r="R2746" s="341"/>
      <c r="S2746" s="341"/>
    </row>
    <row r="2747" spans="1:25" ht="30" customHeight="1">
      <c r="A2747" s="370" t="str">
        <f>IV.A!A88</f>
        <v>3.6.3</v>
      </c>
      <c r="B2747" s="371" t="str">
        <f>IV.A!B88</f>
        <v xml:space="preserve">ARMADURA EM TELA SOLDADA DE AÇO CA 50/60 (CORTE, DOBRA E MONTAGEM) </v>
      </c>
      <c r="C2747" s="871" t="s">
        <v>237</v>
      </c>
      <c r="D2747" s="872"/>
      <c r="E2747" s="372" t="str">
        <f>IV.A!C88</f>
        <v>KG</v>
      </c>
      <c r="F2747" s="11">
        <f>ROUND(F2767+F2781+F2793,2)</f>
        <v>0</v>
      </c>
      <c r="G2747" s="1">
        <f>VLOOKUP(A2747,IV.A!$A$16:$L$172,4,FALSE)</f>
        <v>5000</v>
      </c>
      <c r="H2747" s="361">
        <f>SUM(F2749:F2764)+F2766</f>
        <v>0</v>
      </c>
      <c r="I2747" s="361">
        <f>SUM(F2769:F2778)+F2780</f>
        <v>0</v>
      </c>
      <c r="J2747" s="361">
        <f>SUM(F2783:F2789)+F2791+F2792</f>
        <v>0</v>
      </c>
      <c r="K2747" s="361">
        <f>SUM(H2747:J2747)</f>
        <v>0</v>
      </c>
      <c r="L2747" s="362" t="str">
        <f>IF(K2747=F2747,"SIM","NÃO")</f>
        <v>SIM</v>
      </c>
      <c r="M2747" s="373">
        <f>ROUND(SUM(F2749:F2764),2)+ROUND(SUM(F2749:F2764)*C2766,2)+ROUND(SUM(F2769:F2778)*C2780,2)+ROUND(SUM(F2769:F2778),2)+ROUND(SUM(F2783:F2789)*C2791,2)+ROUND((SUM(F2783:F2789)+ROUND(SUM(F2783:F2789)*C2791,2))*C2792,2)+ROUND(SUM(F2783:F2789),2)</f>
        <v>0</v>
      </c>
      <c r="N2747" s="343" t="str">
        <f>IF(M2747=F2747,"SIM","NÃO")</f>
        <v>SIM</v>
      </c>
      <c r="O2747" s="364" t="str">
        <f>VLOOKUP(A2747,IV.A!$A$16:$E$172,3,FALSE)</f>
        <v>KG</v>
      </c>
      <c r="P2747" s="344" t="str">
        <f>IF(O2747=E2747,"SIM","NÃO")</f>
        <v>SIM</v>
      </c>
      <c r="Q2747" s="365">
        <f>ROUND(G2747*F2767,2)+ROUND(G2747*F2781,2)+ROUND(G2747*F2793,2)</f>
        <v>0</v>
      </c>
      <c r="R2747" s="364">
        <f>VLOOKUP(A2747,IV.A!$A$16:$L$172,12,FALSE)</f>
        <v>0</v>
      </c>
      <c r="S2747" s="366" t="str">
        <f>IF(Q2747=R2747,"si","no")</f>
        <v>si</v>
      </c>
      <c r="T2747" s="367">
        <f>SUM(L2749:L2764)+SUM(L2769:L2778)+SUM(L2783:L2789)</f>
        <v>5832.5</v>
      </c>
      <c r="U2747" s="341">
        <f>(SUM(C2749:C2764)+SUM(C2769:C2778)+SUM(C2783:C2789))*G2747</f>
        <v>5832.5000000000009</v>
      </c>
      <c r="V2747" s="368" t="str">
        <f>IF(T2747=U2747,"si","no")</f>
        <v>si</v>
      </c>
      <c r="W2747" s="369">
        <f>SUM(F2749:F2764)</f>
        <v>0</v>
      </c>
      <c r="X2747" s="369">
        <f>SUM(F2769:F2778)</f>
        <v>0</v>
      </c>
      <c r="Y2747" s="369">
        <f>SUM(F2783:F2789)</f>
        <v>0</v>
      </c>
    </row>
    <row r="2748" spans="1:25" ht="12.75" customHeight="1">
      <c r="A2748" s="374" t="s">
        <v>14</v>
      </c>
      <c r="B2748" s="375" t="s">
        <v>132</v>
      </c>
      <c r="C2748" s="376" t="s">
        <v>231</v>
      </c>
      <c r="D2748" s="376" t="s">
        <v>232</v>
      </c>
      <c r="E2748" s="377" t="s">
        <v>233</v>
      </c>
      <c r="F2748" s="378" t="s">
        <v>234</v>
      </c>
      <c r="G2748" s="379"/>
      <c r="J2748" s="341"/>
      <c r="L2748" s="380"/>
      <c r="M2748" s="381"/>
      <c r="N2748" s="342"/>
      <c r="O2748" s="382"/>
      <c r="P2748" s="383"/>
      <c r="Q2748" s="383"/>
      <c r="R2748" s="383"/>
      <c r="S2748" s="383"/>
      <c r="T2748" s="382"/>
      <c r="U2748" s="341"/>
      <c r="V2748" s="384"/>
      <c r="W2748" s="384"/>
      <c r="X2748" s="384"/>
      <c r="Y2748" s="384"/>
    </row>
    <row r="2749" spans="1:25" ht="12.75" customHeight="1">
      <c r="A2749" s="385" t="str">
        <f>VII.A!$A$18</f>
        <v>1.9</v>
      </c>
      <c r="B2749" s="386" t="str">
        <f>VII.A!B18</f>
        <v>ARAME RECOZIDO 18 BWG - 1,25MM - 9,60 G/M</v>
      </c>
      <c r="C2749" s="20">
        <v>6.4999999999999997E-3</v>
      </c>
      <c r="D2749" s="342" t="str">
        <f>VII.A!C18</f>
        <v>KG</v>
      </c>
      <c r="E2749" s="387">
        <f>VII.A!D18</f>
        <v>0</v>
      </c>
      <c r="F2749" s="388">
        <f>ROUND(C2749*E2749,2)</f>
        <v>0</v>
      </c>
      <c r="H2749" s="341">
        <f>IF(A2749="","",VLOOKUP(A2749,VII.A!$A$10:$D$199,4,FALSE))</f>
        <v>0</v>
      </c>
      <c r="I2749" s="341" t="str">
        <f t="shared" ref="I2749:I2764" si="723">IF(A2749="","",IF(E2749=H2749,"SIM","NÃO"))</f>
        <v>SIM</v>
      </c>
      <c r="J2749" s="341" t="str">
        <f>IF(A2749="","",VLOOKUP(A2749,VII.A!$A$10:$D$199,3,FALSE))</f>
        <v>KG</v>
      </c>
      <c r="K2749" s="342" t="str">
        <f t="shared" ref="K2749:K2764" si="724">IF(A2749="","",IF(J2749=D2749,"SIM","NÃO"))</f>
        <v>SIM</v>
      </c>
      <c r="L2749" s="380">
        <f>IF(C2749="","",G2747*C2749)</f>
        <v>32.5</v>
      </c>
      <c r="M2749" s="381" t="str">
        <f>IF(A2749="","",VLOOKUP(A2749,VII.A!$A$10:$B$199,2,FALSE))</f>
        <v>ARAME RECOZIDO 18 BWG - 1,25MM - 9,60 G/M</v>
      </c>
      <c r="N2749" s="342" t="str">
        <f t="shared" ref="N2749:N2764" si="725">IF(B2749="","",IF(M2749=B2749,"si","no"))</f>
        <v>si</v>
      </c>
      <c r="R2749" s="341"/>
      <c r="S2749" s="341"/>
    </row>
    <row r="2750" spans="1:25" ht="12.75" customHeight="1">
      <c r="A2750" s="385" t="str">
        <f>VII.A!$A$103</f>
        <v>1.93</v>
      </c>
      <c r="B2750" s="386" t="str">
        <f>VII.A!B103</f>
        <v>TELA DE AÇO SOLDADA, CA-60 (MÉDIA DAS BITOLAS)</v>
      </c>
      <c r="C2750" s="20">
        <v>1.1000000000000001</v>
      </c>
      <c r="D2750" s="342" t="str">
        <f>VII.A!C103</f>
        <v>KG</v>
      </c>
      <c r="E2750" s="387">
        <f>VII.A!D103</f>
        <v>0</v>
      </c>
      <c r="F2750" s="388">
        <f t="shared" ref="F2750:F2764" si="726">ROUND(C2750*E2750,2)</f>
        <v>0</v>
      </c>
      <c r="H2750" s="341">
        <f>IF(A2750="","",VLOOKUP(A2750,VII.A!$A$10:$D$199,4,FALSE))</f>
        <v>0</v>
      </c>
      <c r="I2750" s="341" t="str">
        <f t="shared" si="723"/>
        <v>SIM</v>
      </c>
      <c r="J2750" s="341" t="str">
        <f>IF(A2750="","",VLOOKUP(A2750,VII.A!$A$10:$D$199,3,FALSE))</f>
        <v>KG</v>
      </c>
      <c r="K2750" s="342" t="str">
        <f t="shared" si="724"/>
        <v>SIM</v>
      </c>
      <c r="L2750" s="380">
        <f>IF(C2750="","",G2747*C2750)</f>
        <v>5500</v>
      </c>
      <c r="M2750" s="381" t="str">
        <f>IF(A2750="","",VLOOKUP(A2750,VII.A!$A$10:$B$199,2,FALSE))</f>
        <v>TELA DE AÇO SOLDADA, CA-60 (MÉDIA DAS BITOLAS)</v>
      </c>
      <c r="N2750" s="342" t="str">
        <f t="shared" si="725"/>
        <v>si</v>
      </c>
      <c r="R2750" s="341"/>
      <c r="S2750" s="341"/>
    </row>
    <row r="2751" spans="1:25" ht="12.75" customHeight="1">
      <c r="A2751" s="385"/>
      <c r="B2751" s="386"/>
      <c r="C2751" s="20"/>
      <c r="D2751" s="342"/>
      <c r="E2751" s="387"/>
      <c r="F2751" s="388">
        <f t="shared" si="726"/>
        <v>0</v>
      </c>
      <c r="H2751" s="341" t="str">
        <f>IF(A2751="","",VLOOKUP(A2751,VII.A!$A$10:$D$199,4,FALSE))</f>
        <v/>
      </c>
      <c r="I2751" s="341" t="str">
        <f t="shared" si="723"/>
        <v/>
      </c>
      <c r="J2751" s="341" t="str">
        <f>IF(A2751="","",VLOOKUP(A2751,VII.A!$A$10:$D$199,3,FALSE))</f>
        <v/>
      </c>
      <c r="K2751" s="342" t="str">
        <f t="shared" si="724"/>
        <v/>
      </c>
      <c r="L2751" s="380" t="str">
        <f>IF(C2751="","",G2747*C2751)</f>
        <v/>
      </c>
      <c r="M2751" s="381" t="str">
        <f>IF(A2751="","",VLOOKUP(A2751,VII.A!$A$10:$B$199,2,FALSE))</f>
        <v/>
      </c>
      <c r="N2751" s="342" t="str">
        <f t="shared" si="725"/>
        <v/>
      </c>
      <c r="R2751" s="341"/>
      <c r="S2751" s="341"/>
    </row>
    <row r="2752" spans="1:25" ht="12.75" customHeight="1">
      <c r="A2752" s="385"/>
      <c r="B2752" s="386"/>
      <c r="C2752" s="20"/>
      <c r="D2752" s="342"/>
      <c r="E2752" s="387"/>
      <c r="F2752" s="388">
        <f t="shared" si="726"/>
        <v>0</v>
      </c>
      <c r="H2752" s="341" t="str">
        <f>IF(A2752="","",VLOOKUP(A2752,VII.A!$A$10:$D$199,4,FALSE))</f>
        <v/>
      </c>
      <c r="I2752" s="341" t="str">
        <f t="shared" si="723"/>
        <v/>
      </c>
      <c r="J2752" s="341" t="str">
        <f>IF(A2752="","",VLOOKUP(A2752,VII.A!$A$10:$D$199,3,FALSE))</f>
        <v/>
      </c>
      <c r="K2752" s="342" t="str">
        <f t="shared" si="724"/>
        <v/>
      </c>
      <c r="L2752" s="380" t="str">
        <f>IF(C2752="","",G2747*C2752)</f>
        <v/>
      </c>
      <c r="M2752" s="381" t="str">
        <f>IF(A2752="","",VLOOKUP(A2752,VII.A!$A$10:$B$199,2,FALSE))</f>
        <v/>
      </c>
      <c r="N2752" s="342" t="str">
        <f t="shared" si="725"/>
        <v/>
      </c>
      <c r="R2752" s="341"/>
      <c r="S2752" s="341"/>
    </row>
    <row r="2753" spans="1:21" ht="12.75" customHeight="1">
      <c r="A2753" s="385"/>
      <c r="B2753" s="386"/>
      <c r="C2753" s="20"/>
      <c r="D2753" s="342"/>
      <c r="E2753" s="387"/>
      <c r="F2753" s="388">
        <f t="shared" si="726"/>
        <v>0</v>
      </c>
      <c r="H2753" s="341" t="str">
        <f>IF(A2753="","",VLOOKUP(A2753,VII.A!$A$10:$D$199,4,FALSE))</f>
        <v/>
      </c>
      <c r="I2753" s="341" t="str">
        <f t="shared" si="723"/>
        <v/>
      </c>
      <c r="J2753" s="341" t="str">
        <f>IF(A2753="","",VLOOKUP(A2753,VII.A!$A$10:$D$199,3,FALSE))</f>
        <v/>
      </c>
      <c r="K2753" s="342" t="str">
        <f t="shared" si="724"/>
        <v/>
      </c>
      <c r="L2753" s="380" t="str">
        <f>IF(C2753="","",G2747*C2753)</f>
        <v/>
      </c>
      <c r="M2753" s="381" t="str">
        <f>IF(A2753="","",VLOOKUP(A2753,VII.A!$A$10:$B$199,2,FALSE))</f>
        <v/>
      </c>
      <c r="N2753" s="342" t="str">
        <f t="shared" si="725"/>
        <v/>
      </c>
      <c r="R2753" s="341"/>
      <c r="S2753" s="341"/>
    </row>
    <row r="2754" spans="1:21" ht="12.75" customHeight="1">
      <c r="A2754" s="385"/>
      <c r="B2754" s="386"/>
      <c r="C2754" s="20"/>
      <c r="D2754" s="342"/>
      <c r="E2754" s="387"/>
      <c r="F2754" s="388">
        <f t="shared" si="726"/>
        <v>0</v>
      </c>
      <c r="H2754" s="341" t="str">
        <f>IF(A2754="","",VLOOKUP(A2754,VII.A!$A$10:$D$199,4,FALSE))</f>
        <v/>
      </c>
      <c r="I2754" s="341" t="str">
        <f t="shared" si="723"/>
        <v/>
      </c>
      <c r="J2754" s="341" t="str">
        <f>IF(A2754="","",VLOOKUP(A2754,VII.A!$A$10:$D$199,3,FALSE))</f>
        <v/>
      </c>
      <c r="K2754" s="342" t="str">
        <f t="shared" si="724"/>
        <v/>
      </c>
      <c r="L2754" s="380" t="str">
        <f>IF(C2754="","",G2747*C2754)</f>
        <v/>
      </c>
      <c r="M2754" s="381" t="str">
        <f>IF(A2754="","",VLOOKUP(A2754,VII.A!$A$10:$B$199,2,FALSE))</f>
        <v/>
      </c>
      <c r="N2754" s="342" t="str">
        <f t="shared" si="725"/>
        <v/>
      </c>
      <c r="R2754" s="341"/>
      <c r="S2754" s="341"/>
      <c r="U2754" s="389"/>
    </row>
    <row r="2755" spans="1:21" ht="12.75" customHeight="1">
      <c r="A2755" s="385"/>
      <c r="B2755" s="386"/>
      <c r="C2755" s="20"/>
      <c r="D2755" s="342"/>
      <c r="E2755" s="387"/>
      <c r="F2755" s="388">
        <f t="shared" si="726"/>
        <v>0</v>
      </c>
      <c r="H2755" s="341" t="str">
        <f>IF(A2755="","",VLOOKUP(A2755,VII.A!$A$10:$D$199,4,FALSE))</f>
        <v/>
      </c>
      <c r="I2755" s="341" t="str">
        <f t="shared" si="723"/>
        <v/>
      </c>
      <c r="J2755" s="341" t="str">
        <f>IF(A2755="","",VLOOKUP(A2755,VII.A!$A$10:$D$199,3,FALSE))</f>
        <v/>
      </c>
      <c r="K2755" s="342" t="str">
        <f t="shared" si="724"/>
        <v/>
      </c>
      <c r="L2755" s="380" t="str">
        <f>IF(C2755="","",G2747*C2755)</f>
        <v/>
      </c>
      <c r="M2755" s="381" t="str">
        <f>IF(A2755="","",VLOOKUP(A2755,VII.A!$A$10:$B$199,2,FALSE))</f>
        <v/>
      </c>
      <c r="N2755" s="342" t="str">
        <f t="shared" si="725"/>
        <v/>
      </c>
      <c r="R2755" s="341"/>
      <c r="S2755" s="341"/>
    </row>
    <row r="2756" spans="1:21" ht="12.75" customHeight="1">
      <c r="A2756" s="385"/>
      <c r="B2756" s="386"/>
      <c r="C2756" s="20"/>
      <c r="D2756" s="342"/>
      <c r="E2756" s="387"/>
      <c r="F2756" s="388">
        <f t="shared" si="726"/>
        <v>0</v>
      </c>
      <c r="G2756" s="390"/>
      <c r="H2756" s="341" t="str">
        <f>IF(A2756="","",VLOOKUP(A2756,VII.A!$A$10:$D$199,4,FALSE))</f>
        <v/>
      </c>
      <c r="I2756" s="341" t="str">
        <f t="shared" si="723"/>
        <v/>
      </c>
      <c r="J2756" s="341" t="str">
        <f>IF(A2756="","",VLOOKUP(A2756,VII.A!$A$10:$D$199,3,FALSE))</f>
        <v/>
      </c>
      <c r="K2756" s="342" t="str">
        <f t="shared" si="724"/>
        <v/>
      </c>
      <c r="L2756" s="380" t="str">
        <f>IF(C2756="","",G2747*C2756)</f>
        <v/>
      </c>
      <c r="M2756" s="381" t="str">
        <f>IF(A2756="","",VLOOKUP(A2756,VII.A!$A$10:$B$199,2,FALSE))</f>
        <v/>
      </c>
      <c r="N2756" s="342" t="str">
        <f t="shared" si="725"/>
        <v/>
      </c>
      <c r="R2756" s="341"/>
      <c r="S2756" s="341"/>
    </row>
    <row r="2757" spans="1:21" ht="12.75" customHeight="1">
      <c r="A2757" s="385"/>
      <c r="B2757" s="386"/>
      <c r="C2757" s="20"/>
      <c r="D2757" s="342"/>
      <c r="E2757" s="387"/>
      <c r="F2757" s="388">
        <f t="shared" si="726"/>
        <v>0</v>
      </c>
      <c r="G2757" s="390"/>
      <c r="H2757" s="341" t="str">
        <f>IF(A2757="","",VLOOKUP(A2757,VII.A!$A$10:$D$199,4,FALSE))</f>
        <v/>
      </c>
      <c r="I2757" s="341" t="str">
        <f t="shared" si="723"/>
        <v/>
      </c>
      <c r="J2757" s="341" t="str">
        <f>IF(A2757="","",VLOOKUP(A2757,VII.A!$A$10:$D$199,3,FALSE))</f>
        <v/>
      </c>
      <c r="K2757" s="342" t="str">
        <f t="shared" si="724"/>
        <v/>
      </c>
      <c r="L2757" s="380" t="str">
        <f>IF(C2757="","",G2747*C2757)</f>
        <v/>
      </c>
      <c r="M2757" s="381" t="str">
        <f>IF(A2757="","",VLOOKUP(A2757,VII.A!$A$10:$B$199,2,FALSE))</f>
        <v/>
      </c>
      <c r="N2757" s="342" t="str">
        <f t="shared" si="725"/>
        <v/>
      </c>
      <c r="R2757" s="341"/>
      <c r="S2757" s="341"/>
    </row>
    <row r="2758" spans="1:21" ht="12.75" customHeight="1">
      <c r="A2758" s="385"/>
      <c r="B2758" s="386"/>
      <c r="C2758" s="20"/>
      <c r="D2758" s="342"/>
      <c r="E2758" s="387"/>
      <c r="F2758" s="388">
        <f t="shared" si="726"/>
        <v>0</v>
      </c>
      <c r="G2758" s="391"/>
      <c r="H2758" s="341" t="str">
        <f>IF(A2758="","",VLOOKUP(A2758,VII.A!$A$10:$D$199,4,FALSE))</f>
        <v/>
      </c>
      <c r="I2758" s="341" t="str">
        <f t="shared" si="723"/>
        <v/>
      </c>
      <c r="J2758" s="341" t="str">
        <f>IF(A2758="","",VLOOKUP(A2758,VII.A!$A$10:$D$199,3,FALSE))</f>
        <v/>
      </c>
      <c r="K2758" s="342" t="str">
        <f t="shared" si="724"/>
        <v/>
      </c>
      <c r="L2758" s="380" t="str">
        <f>IF(C2758="","",G2747*C2758)</f>
        <v/>
      </c>
      <c r="M2758" s="381" t="str">
        <f>IF(A2758="","",VLOOKUP(A2758,VII.A!$A$10:$B$199,2,FALSE))</f>
        <v/>
      </c>
      <c r="N2758" s="342" t="str">
        <f t="shared" si="725"/>
        <v/>
      </c>
      <c r="R2758" s="341"/>
      <c r="S2758" s="341"/>
    </row>
    <row r="2759" spans="1:21" ht="12.75" customHeight="1">
      <c r="A2759" s="385"/>
      <c r="B2759" s="386"/>
      <c r="C2759" s="20"/>
      <c r="D2759" s="342"/>
      <c r="E2759" s="387"/>
      <c r="F2759" s="388">
        <f t="shared" si="726"/>
        <v>0</v>
      </c>
      <c r="H2759" s="341" t="str">
        <f>IF(A2759="","",VLOOKUP(A2759,VII.A!$A$10:$D$199,4,FALSE))</f>
        <v/>
      </c>
      <c r="I2759" s="341" t="str">
        <f t="shared" si="723"/>
        <v/>
      </c>
      <c r="J2759" s="341" t="str">
        <f>IF(A2759="","",VLOOKUP(A2759,VII.A!$A$10:$D$199,3,FALSE))</f>
        <v/>
      </c>
      <c r="K2759" s="342" t="str">
        <f t="shared" si="724"/>
        <v/>
      </c>
      <c r="L2759" s="380" t="str">
        <f>IF(C2759="","",G2747*C2759)</f>
        <v/>
      </c>
      <c r="M2759" s="381" t="str">
        <f>IF(A2759="","",VLOOKUP(A2759,VII.A!$A$10:$B$199,2,FALSE))</f>
        <v/>
      </c>
      <c r="N2759" s="342" t="str">
        <f t="shared" si="725"/>
        <v/>
      </c>
      <c r="R2759" s="341"/>
      <c r="S2759" s="341"/>
    </row>
    <row r="2760" spans="1:21" ht="12.75" customHeight="1">
      <c r="A2760" s="385"/>
      <c r="B2760" s="386"/>
      <c r="C2760" s="20"/>
      <c r="D2760" s="392"/>
      <c r="E2760" s="387"/>
      <c r="F2760" s="388">
        <f t="shared" si="726"/>
        <v>0</v>
      </c>
      <c r="H2760" s="341" t="str">
        <f>IF(A2760="","",VLOOKUP(A2760,VII.A!$A$10:$D$199,4,FALSE))</f>
        <v/>
      </c>
      <c r="I2760" s="341" t="str">
        <f t="shared" si="723"/>
        <v/>
      </c>
      <c r="J2760" s="341" t="str">
        <f>IF(A2760="","",VLOOKUP(A2760,VII.A!$A$10:$D$199,3,FALSE))</f>
        <v/>
      </c>
      <c r="K2760" s="342" t="str">
        <f t="shared" si="724"/>
        <v/>
      </c>
      <c r="L2760" s="380" t="str">
        <f>IF(C2760="","",G2747*C2760)</f>
        <v/>
      </c>
      <c r="M2760" s="381" t="str">
        <f>IF(A2760="","",VLOOKUP(A2760,VII.A!$A$10:$B$199,2,FALSE))</f>
        <v/>
      </c>
      <c r="N2760" s="342" t="str">
        <f t="shared" si="725"/>
        <v/>
      </c>
      <c r="R2760" s="341"/>
      <c r="S2760" s="341"/>
    </row>
    <row r="2761" spans="1:21" ht="12.75" customHeight="1">
      <c r="A2761" s="385"/>
      <c r="B2761" s="386"/>
      <c r="C2761" s="20"/>
      <c r="D2761" s="392"/>
      <c r="E2761" s="387"/>
      <c r="F2761" s="388">
        <f t="shared" si="726"/>
        <v>0</v>
      </c>
      <c r="H2761" s="341" t="str">
        <f>IF(A2761="","",VLOOKUP(A2761,VII.A!$A$10:$D$199,4,FALSE))</f>
        <v/>
      </c>
      <c r="I2761" s="341" t="str">
        <f t="shared" si="723"/>
        <v/>
      </c>
      <c r="J2761" s="341" t="str">
        <f>IF(A2761="","",VLOOKUP(A2761,VII.A!$A$10:$D$199,3,FALSE))</f>
        <v/>
      </c>
      <c r="K2761" s="342" t="str">
        <f t="shared" si="724"/>
        <v/>
      </c>
      <c r="L2761" s="380" t="str">
        <f>IF(C2761="","",G2747*C2761)</f>
        <v/>
      </c>
      <c r="M2761" s="381" t="str">
        <f>IF(A2761="","",VLOOKUP(A2761,VII.A!$A$10:$B$199,2,FALSE))</f>
        <v/>
      </c>
      <c r="N2761" s="342" t="str">
        <f t="shared" si="725"/>
        <v/>
      </c>
      <c r="O2761" s="342"/>
      <c r="R2761" s="341"/>
      <c r="S2761" s="341"/>
    </row>
    <row r="2762" spans="1:21" ht="12.75" customHeight="1">
      <c r="A2762" s="385"/>
      <c r="B2762" s="386"/>
      <c r="C2762" s="20"/>
      <c r="D2762" s="392"/>
      <c r="E2762" s="387"/>
      <c r="F2762" s="388">
        <f t="shared" si="726"/>
        <v>0</v>
      </c>
      <c r="H2762" s="341" t="str">
        <f>IF(A2762="","",VLOOKUP(A2762,VII.A!$A$10:$D$199,4,FALSE))</f>
        <v/>
      </c>
      <c r="I2762" s="341" t="str">
        <f t="shared" si="723"/>
        <v/>
      </c>
      <c r="J2762" s="341" t="str">
        <f>IF(A2762="","",VLOOKUP(A2762,VII.A!$A$10:$D$199,3,FALSE))</f>
        <v/>
      </c>
      <c r="K2762" s="342" t="str">
        <f t="shared" si="724"/>
        <v/>
      </c>
      <c r="L2762" s="380" t="str">
        <f>IF(C2762="","",G2747*C2762)</f>
        <v/>
      </c>
      <c r="M2762" s="381" t="str">
        <f>IF(A2762="","",VLOOKUP(A2762,VII.A!$A$10:$B$199,2,FALSE))</f>
        <v/>
      </c>
      <c r="N2762" s="342" t="str">
        <f t="shared" si="725"/>
        <v/>
      </c>
      <c r="R2762" s="341"/>
      <c r="S2762" s="341"/>
    </row>
    <row r="2763" spans="1:21" ht="12.75" customHeight="1">
      <c r="A2763" s="393"/>
      <c r="C2763" s="20"/>
      <c r="E2763" s="387"/>
      <c r="F2763" s="388">
        <f t="shared" si="726"/>
        <v>0</v>
      </c>
      <c r="H2763" s="341" t="str">
        <f>IF(A2763="","",VLOOKUP(A2763,VII.A!$A$10:$D$199,4,FALSE))</f>
        <v/>
      </c>
      <c r="I2763" s="341" t="str">
        <f t="shared" si="723"/>
        <v/>
      </c>
      <c r="J2763" s="341" t="str">
        <f>IF(A2763="","",VLOOKUP(A2763,VII.A!$A$10:$D$199,3,FALSE))</f>
        <v/>
      </c>
      <c r="K2763" s="342" t="str">
        <f t="shared" si="724"/>
        <v/>
      </c>
      <c r="L2763" s="380" t="str">
        <f>IF(C2763="","",G2747*C2763)</f>
        <v/>
      </c>
      <c r="M2763" s="381" t="str">
        <f>IF(A2763="","",VLOOKUP(A2763,VII.A!$A$10:$B$199,2,FALSE))</f>
        <v/>
      </c>
      <c r="N2763" s="342" t="str">
        <f t="shared" si="725"/>
        <v/>
      </c>
      <c r="R2763" s="341"/>
      <c r="S2763" s="341"/>
    </row>
    <row r="2764" spans="1:21" ht="12.75" customHeight="1">
      <c r="A2764" s="393"/>
      <c r="C2764" s="20"/>
      <c r="E2764" s="387"/>
      <c r="F2764" s="388">
        <f t="shared" si="726"/>
        <v>0</v>
      </c>
      <c r="H2764" s="341" t="str">
        <f>IF(A2764="","",VLOOKUP(A2764,VII.A!$A$10:$D$199,4,FALSE))</f>
        <v/>
      </c>
      <c r="I2764" s="341" t="str">
        <f t="shared" si="723"/>
        <v/>
      </c>
      <c r="J2764" s="341" t="str">
        <f>IF(A2764="","",VLOOKUP(A2764,VII.A!$A$10:$D$199,3,FALSE))</f>
        <v/>
      </c>
      <c r="K2764" s="342" t="str">
        <f t="shared" si="724"/>
        <v/>
      </c>
      <c r="L2764" s="380" t="str">
        <f>IF(C2764="","",G2747*C2764)</f>
        <v/>
      </c>
      <c r="M2764" s="381" t="str">
        <f>IF(A2764="","",VLOOKUP(A2764,VII.A!$A$10:$B$199,2,FALSE))</f>
        <v/>
      </c>
      <c r="N2764" s="342" t="str">
        <f t="shared" si="725"/>
        <v/>
      </c>
      <c r="R2764" s="341"/>
      <c r="S2764" s="341"/>
    </row>
    <row r="2765" spans="1:21" ht="12.75" customHeight="1">
      <c r="A2765" s="393"/>
      <c r="B2765" s="395" t="s">
        <v>226</v>
      </c>
      <c r="C2765" s="396"/>
      <c r="D2765" s="397"/>
      <c r="E2765" s="398"/>
      <c r="F2765" s="399">
        <f>SUM(F2749:F2764)</f>
        <v>0</v>
      </c>
      <c r="H2765" s="426" t="s">
        <v>485</v>
      </c>
      <c r="J2765" s="341"/>
      <c r="L2765" s="380"/>
      <c r="M2765" s="381"/>
      <c r="N2765" s="342"/>
      <c r="R2765" s="341"/>
      <c r="S2765" s="341"/>
    </row>
    <row r="2766" spans="1:21" ht="12.75" customHeight="1">
      <c r="A2766" s="393"/>
      <c r="B2766" s="400" t="s">
        <v>53</v>
      </c>
      <c r="C2766" s="2">
        <f>$D$8</f>
        <v>0</v>
      </c>
      <c r="D2766" s="401"/>
      <c r="E2766" s="402"/>
      <c r="F2766" s="403">
        <f>ROUND(F2765*C2766,2)</f>
        <v>0</v>
      </c>
      <c r="J2766" s="341"/>
      <c r="L2766" s="380"/>
      <c r="M2766" s="381"/>
      <c r="N2766" s="342"/>
      <c r="R2766" s="341"/>
      <c r="S2766" s="341"/>
    </row>
    <row r="2767" spans="1:21" ht="12.75" customHeight="1">
      <c r="A2767" s="404"/>
      <c r="B2767" s="405" t="s">
        <v>227</v>
      </c>
      <c r="C2767" s="406"/>
      <c r="D2767" s="406"/>
      <c r="E2767" s="407"/>
      <c r="F2767" s="408">
        <f>F2765+F2766</f>
        <v>0</v>
      </c>
      <c r="J2767" s="341"/>
      <c r="L2767" s="380"/>
      <c r="M2767" s="381"/>
      <c r="N2767" s="342"/>
      <c r="R2767" s="341"/>
      <c r="S2767" s="341"/>
    </row>
    <row r="2768" spans="1:21" ht="12.75" customHeight="1">
      <c r="A2768" s="374" t="s">
        <v>2</v>
      </c>
      <c r="B2768" s="375" t="s">
        <v>235</v>
      </c>
      <c r="C2768" s="376" t="s">
        <v>231</v>
      </c>
      <c r="D2768" s="376" t="s">
        <v>232</v>
      </c>
      <c r="E2768" s="377" t="s">
        <v>233</v>
      </c>
      <c r="F2768" s="378" t="s">
        <v>234</v>
      </c>
      <c r="J2768" s="341"/>
      <c r="L2768" s="380"/>
      <c r="M2768" s="381"/>
      <c r="N2768" s="342"/>
      <c r="R2768" s="341"/>
      <c r="S2768" s="341"/>
    </row>
    <row r="2769" spans="1:19" ht="12.75" customHeight="1">
      <c r="A2769" s="393"/>
      <c r="B2769" s="423"/>
      <c r="C2769" s="20"/>
      <c r="E2769" s="387"/>
      <c r="F2769" s="388">
        <f t="shared" ref="F2769:F2778" si="727">ROUND(C2769*E2769,2)</f>
        <v>0</v>
      </c>
      <c r="H2769" s="341" t="str">
        <f>IF(A2769="","",VLOOKUP(A2769,VII.A!$A$10:$D$199,4,FALSE))</f>
        <v/>
      </c>
      <c r="I2769" s="341" t="str">
        <f t="shared" ref="I2769:I2778" si="728">IF(A2769="","",IF(E2769=H2769,"SIM","NÃO"))</f>
        <v/>
      </c>
      <c r="J2769" s="341" t="str">
        <f>IF(A2769="","",VLOOKUP(A2769,VII.A!$A$10:$D$199,3,FALSE))</f>
        <v/>
      </c>
      <c r="K2769" s="342" t="str">
        <f t="shared" ref="K2769:K2778" si="729">IF(A2769="","",IF(J2769=D2769,"SIM","NÃO"))</f>
        <v/>
      </c>
      <c r="L2769" s="380" t="str">
        <f>IF(C2769="","",G2747*C2769)</f>
        <v/>
      </c>
      <c r="M2769" s="381" t="str">
        <f>IF(A2769="","",VLOOKUP(A2769,VII.A!$A$10:$B$199,2,FALSE))</f>
        <v/>
      </c>
      <c r="N2769" s="342" t="str">
        <f t="shared" ref="N2769:N2778" si="730">IF(B2769="","",IF(M2769=B2769,"si","no"))</f>
        <v/>
      </c>
      <c r="R2769" s="341"/>
      <c r="S2769" s="341"/>
    </row>
    <row r="2770" spans="1:19" ht="12.75" customHeight="1">
      <c r="A2770" s="393"/>
      <c r="C2770" s="20"/>
      <c r="E2770" s="387"/>
      <c r="F2770" s="388">
        <f t="shared" si="727"/>
        <v>0</v>
      </c>
      <c r="H2770" s="341" t="str">
        <f>IF(A2770="","",VLOOKUP(A2770,VII.A!$A$10:$D$199,4,FALSE))</f>
        <v/>
      </c>
      <c r="I2770" s="341" t="str">
        <f t="shared" si="728"/>
        <v/>
      </c>
      <c r="J2770" s="341" t="str">
        <f>IF(A2770="","",VLOOKUP(A2770,VII.A!$A$10:$D$199,3,FALSE))</f>
        <v/>
      </c>
      <c r="K2770" s="342" t="str">
        <f t="shared" si="729"/>
        <v/>
      </c>
      <c r="L2770" s="380" t="str">
        <f>IF(C2770="","",G2747*C2770)</f>
        <v/>
      </c>
      <c r="M2770" s="381" t="str">
        <f>IF(A2770="","",VLOOKUP(A2770,VII.A!$A$10:$B$199,2,FALSE))</f>
        <v/>
      </c>
      <c r="N2770" s="342" t="str">
        <f t="shared" si="730"/>
        <v/>
      </c>
      <c r="R2770" s="341"/>
      <c r="S2770" s="341"/>
    </row>
    <row r="2771" spans="1:19" ht="12.75" customHeight="1">
      <c r="A2771" s="393"/>
      <c r="C2771" s="20"/>
      <c r="E2771" s="387"/>
      <c r="F2771" s="388">
        <f t="shared" si="727"/>
        <v>0</v>
      </c>
      <c r="H2771" s="341" t="str">
        <f>IF(A2771="","",VLOOKUP(A2771,VII.A!$A$10:$D$199,4,FALSE))</f>
        <v/>
      </c>
      <c r="I2771" s="341" t="str">
        <f t="shared" si="728"/>
        <v/>
      </c>
      <c r="J2771" s="341" t="str">
        <f>IF(A2771="","",VLOOKUP(A2771,VII.A!$A$10:$D$199,3,FALSE))</f>
        <v/>
      </c>
      <c r="K2771" s="342" t="str">
        <f t="shared" si="729"/>
        <v/>
      </c>
      <c r="L2771" s="380" t="str">
        <f>IF(C2771="","",G2747*C2771)</f>
        <v/>
      </c>
      <c r="M2771" s="381" t="str">
        <f>IF(A2771="","",VLOOKUP(A2771,VII.A!$A$10:$B$199,2,FALSE))</f>
        <v/>
      </c>
      <c r="N2771" s="342" t="str">
        <f t="shared" si="730"/>
        <v/>
      </c>
      <c r="R2771" s="341"/>
      <c r="S2771" s="341"/>
    </row>
    <row r="2772" spans="1:19" ht="12.75" customHeight="1">
      <c r="A2772" s="393"/>
      <c r="C2772" s="20"/>
      <c r="E2772" s="387"/>
      <c r="F2772" s="388">
        <f t="shared" si="727"/>
        <v>0</v>
      </c>
      <c r="H2772" s="341" t="str">
        <f>IF(A2772="","",VLOOKUP(A2772,VII.A!$A$10:$D$199,4,FALSE))</f>
        <v/>
      </c>
      <c r="I2772" s="341" t="str">
        <f t="shared" si="728"/>
        <v/>
      </c>
      <c r="J2772" s="341" t="str">
        <f>IF(A2772="","",VLOOKUP(A2772,VII.A!$A$10:$D$199,3,FALSE))</f>
        <v/>
      </c>
      <c r="K2772" s="342" t="str">
        <f t="shared" si="729"/>
        <v/>
      </c>
      <c r="L2772" s="380" t="str">
        <f>IF(C2772="","",G2747*C2772)</f>
        <v/>
      </c>
      <c r="M2772" s="381" t="str">
        <f>IF(A2772="","",VLOOKUP(A2772,VII.A!$A$10:$B$199,2,FALSE))</f>
        <v/>
      </c>
      <c r="N2772" s="342" t="str">
        <f t="shared" si="730"/>
        <v/>
      </c>
      <c r="R2772" s="341"/>
      <c r="S2772" s="341"/>
    </row>
    <row r="2773" spans="1:19" ht="12.75" customHeight="1">
      <c r="A2773" s="393"/>
      <c r="C2773" s="20"/>
      <c r="E2773" s="387"/>
      <c r="F2773" s="388">
        <f t="shared" si="727"/>
        <v>0</v>
      </c>
      <c r="G2773" s="390"/>
      <c r="H2773" s="341" t="str">
        <f>IF(A2773="","",VLOOKUP(A2773,VII.A!$A$10:$D$199,4,FALSE))</f>
        <v/>
      </c>
      <c r="I2773" s="341" t="str">
        <f t="shared" si="728"/>
        <v/>
      </c>
      <c r="J2773" s="341" t="str">
        <f>IF(A2773="","",VLOOKUP(A2773,VII.A!$A$10:$D$199,3,FALSE))</f>
        <v/>
      </c>
      <c r="K2773" s="342" t="str">
        <f t="shared" si="729"/>
        <v/>
      </c>
      <c r="L2773" s="380" t="str">
        <f>IF(C2773="","",G2747*C2773)</f>
        <v/>
      </c>
      <c r="M2773" s="381" t="str">
        <f>IF(A2773="","",VLOOKUP(A2773,VII.A!$A$10:$B$199,2,FALSE))</f>
        <v/>
      </c>
      <c r="N2773" s="342" t="str">
        <f t="shared" si="730"/>
        <v/>
      </c>
      <c r="R2773" s="341"/>
      <c r="S2773" s="341"/>
    </row>
    <row r="2774" spans="1:19" ht="12.75" customHeight="1">
      <c r="A2774" s="393"/>
      <c r="C2774" s="20"/>
      <c r="E2774" s="387"/>
      <c r="F2774" s="388">
        <f t="shared" si="727"/>
        <v>0</v>
      </c>
      <c r="G2774" s="391"/>
      <c r="H2774" s="341" t="str">
        <f>IF(A2774="","",VLOOKUP(A2774,VII.A!$A$10:$D$199,4,FALSE))</f>
        <v/>
      </c>
      <c r="I2774" s="341" t="str">
        <f t="shared" si="728"/>
        <v/>
      </c>
      <c r="J2774" s="341" t="str">
        <f>IF(A2774="","",VLOOKUP(A2774,VII.A!$A$10:$D$199,3,FALSE))</f>
        <v/>
      </c>
      <c r="K2774" s="342" t="str">
        <f t="shared" si="729"/>
        <v/>
      </c>
      <c r="L2774" s="380" t="str">
        <f>IF(C2774="","",G2747*C2774)</f>
        <v/>
      </c>
      <c r="M2774" s="381" t="str">
        <f>IF(A2774="","",VLOOKUP(A2774,VII.A!$A$10:$B$199,2,FALSE))</f>
        <v/>
      </c>
      <c r="N2774" s="342" t="str">
        <f t="shared" si="730"/>
        <v/>
      </c>
      <c r="R2774" s="341"/>
      <c r="S2774" s="341"/>
    </row>
    <row r="2775" spans="1:19" ht="12.75" customHeight="1">
      <c r="A2775" s="393"/>
      <c r="C2775" s="20"/>
      <c r="E2775" s="387"/>
      <c r="F2775" s="388">
        <f t="shared" si="727"/>
        <v>0</v>
      </c>
      <c r="H2775" s="341" t="str">
        <f>IF(A2775="","",VLOOKUP(A2775,VII.A!$A$10:$D$199,4,FALSE))</f>
        <v/>
      </c>
      <c r="I2775" s="341" t="str">
        <f t="shared" si="728"/>
        <v/>
      </c>
      <c r="J2775" s="341" t="str">
        <f>IF(A2775="","",VLOOKUP(A2775,VII.A!$A$10:$D$199,3,FALSE))</f>
        <v/>
      </c>
      <c r="K2775" s="342" t="str">
        <f t="shared" si="729"/>
        <v/>
      </c>
      <c r="L2775" s="380" t="str">
        <f>IF(C2775="","",G2747*C2775)</f>
        <v/>
      </c>
      <c r="M2775" s="381" t="str">
        <f>IF(A2775="","",VLOOKUP(A2775,VII.A!$A$10:$B$199,2,FALSE))</f>
        <v/>
      </c>
      <c r="N2775" s="342" t="str">
        <f t="shared" si="730"/>
        <v/>
      </c>
      <c r="R2775" s="341"/>
      <c r="S2775" s="341"/>
    </row>
    <row r="2776" spans="1:19" ht="12.75" customHeight="1">
      <c r="A2776" s="393"/>
      <c r="C2776" s="20"/>
      <c r="E2776" s="387"/>
      <c r="F2776" s="388">
        <f t="shared" si="727"/>
        <v>0</v>
      </c>
      <c r="H2776" s="341" t="str">
        <f>IF(A2776="","",VLOOKUP(A2776,VII.A!$A$10:$D$199,4,FALSE))</f>
        <v/>
      </c>
      <c r="I2776" s="341" t="str">
        <f t="shared" si="728"/>
        <v/>
      </c>
      <c r="J2776" s="341" t="str">
        <f>IF(A2776="","",VLOOKUP(A2776,VII.A!$A$10:$D$199,3,FALSE))</f>
        <v/>
      </c>
      <c r="K2776" s="342" t="str">
        <f t="shared" si="729"/>
        <v/>
      </c>
      <c r="L2776" s="380" t="str">
        <f>IF(C2776="","",G2747*C2776)</f>
        <v/>
      </c>
      <c r="M2776" s="381" t="str">
        <f>IF(A2776="","",VLOOKUP(A2776,VII.A!$A$10:$B$199,2,FALSE))</f>
        <v/>
      </c>
      <c r="N2776" s="342" t="str">
        <f t="shared" si="730"/>
        <v/>
      </c>
      <c r="R2776" s="341"/>
      <c r="S2776" s="341"/>
    </row>
    <row r="2777" spans="1:19" ht="12.75" customHeight="1">
      <c r="A2777" s="393"/>
      <c r="C2777" s="20"/>
      <c r="E2777" s="387"/>
      <c r="F2777" s="388">
        <f t="shared" si="727"/>
        <v>0</v>
      </c>
      <c r="H2777" s="341" t="str">
        <f>IF(A2777="","",VLOOKUP(A2777,VII.A!$A$10:$D$199,4,FALSE))</f>
        <v/>
      </c>
      <c r="I2777" s="341" t="str">
        <f t="shared" si="728"/>
        <v/>
      </c>
      <c r="J2777" s="341" t="str">
        <f>IF(A2777="","",VLOOKUP(A2777,VII.A!$A$10:$D$199,3,FALSE))</f>
        <v/>
      </c>
      <c r="K2777" s="342" t="str">
        <f t="shared" si="729"/>
        <v/>
      </c>
      <c r="L2777" s="380" t="str">
        <f>IF(C2777="","",G2747*C2777)</f>
        <v/>
      </c>
      <c r="M2777" s="381" t="str">
        <f>IF(A2777="","",VLOOKUP(A2777,VII.A!$A$10:$B$199,2,FALSE))</f>
        <v/>
      </c>
      <c r="N2777" s="342" t="str">
        <f t="shared" si="730"/>
        <v/>
      </c>
      <c r="R2777" s="341"/>
      <c r="S2777" s="341"/>
    </row>
    <row r="2778" spans="1:19" ht="12.75" customHeight="1">
      <c r="A2778" s="393"/>
      <c r="C2778" s="20"/>
      <c r="E2778" s="387"/>
      <c r="F2778" s="388">
        <f t="shared" si="727"/>
        <v>0</v>
      </c>
      <c r="H2778" s="341" t="str">
        <f>IF(A2778="","",VLOOKUP(A2778,VII.A!$A$10:$D$199,4,FALSE))</f>
        <v/>
      </c>
      <c r="I2778" s="341" t="str">
        <f t="shared" si="728"/>
        <v/>
      </c>
      <c r="J2778" s="341" t="str">
        <f>IF(A2778="","",VLOOKUP(A2778,VII.A!$A$10:$D$199,3,FALSE))</f>
        <v/>
      </c>
      <c r="K2778" s="342" t="str">
        <f t="shared" si="729"/>
        <v/>
      </c>
      <c r="L2778" s="380" t="str">
        <f>IF(C2778="","",G2747*C2778)</f>
        <v/>
      </c>
      <c r="M2778" s="381" t="str">
        <f>IF(A2778="","",VLOOKUP(A2778,VII.A!$A$10:$B$199,2,FALSE))</f>
        <v/>
      </c>
      <c r="N2778" s="342" t="str">
        <f t="shared" si="730"/>
        <v/>
      </c>
      <c r="R2778" s="341"/>
      <c r="S2778" s="341"/>
    </row>
    <row r="2779" spans="1:19" ht="12.75" customHeight="1">
      <c r="A2779" s="393"/>
      <c r="B2779" s="395" t="s">
        <v>226</v>
      </c>
      <c r="C2779" s="396"/>
      <c r="D2779" s="397"/>
      <c r="E2779" s="398"/>
      <c r="F2779" s="399">
        <f>SUM(F2769:F2778)</f>
        <v>0</v>
      </c>
      <c r="J2779" s="341"/>
      <c r="L2779" s="380"/>
      <c r="M2779" s="381"/>
      <c r="N2779" s="342"/>
      <c r="R2779" s="341"/>
      <c r="S2779" s="341"/>
    </row>
    <row r="2780" spans="1:19" ht="12.75" customHeight="1">
      <c r="A2780" s="393"/>
      <c r="B2780" s="400" t="s">
        <v>53</v>
      </c>
      <c r="C2780" s="2">
        <f>$D$8</f>
        <v>0</v>
      </c>
      <c r="D2780" s="401"/>
      <c r="E2780" s="402"/>
      <c r="F2780" s="403">
        <f>ROUND(C2780*F2779,2)</f>
        <v>0</v>
      </c>
      <c r="J2780" s="341"/>
      <c r="L2780" s="380"/>
      <c r="M2780" s="381"/>
      <c r="N2780" s="342"/>
      <c r="R2780" s="341"/>
      <c r="S2780" s="341"/>
    </row>
    <row r="2781" spans="1:19" ht="12.75" customHeight="1">
      <c r="A2781" s="404"/>
      <c r="B2781" s="405" t="s">
        <v>228</v>
      </c>
      <c r="C2781" s="406"/>
      <c r="D2781" s="406"/>
      <c r="E2781" s="407"/>
      <c r="F2781" s="408">
        <f>F2779+F2780</f>
        <v>0</v>
      </c>
      <c r="J2781" s="341"/>
      <c r="L2781" s="380"/>
      <c r="M2781" s="381"/>
      <c r="N2781" s="342"/>
      <c r="R2781" s="341"/>
      <c r="S2781" s="341"/>
    </row>
    <row r="2782" spans="1:19" ht="12.75" customHeight="1">
      <c r="A2782" s="409" t="s">
        <v>47</v>
      </c>
      <c r="B2782" s="410" t="s">
        <v>236</v>
      </c>
      <c r="C2782" s="411" t="s">
        <v>231</v>
      </c>
      <c r="D2782" s="412" t="s">
        <v>232</v>
      </c>
      <c r="E2782" s="413" t="s">
        <v>233</v>
      </c>
      <c r="F2782" s="378" t="s">
        <v>234</v>
      </c>
      <c r="J2782" s="341"/>
      <c r="L2782" s="380"/>
      <c r="M2782" s="381"/>
      <c r="N2782" s="342"/>
      <c r="R2782" s="341"/>
      <c r="S2782" s="341"/>
    </row>
    <row r="2783" spans="1:19" ht="12.75" customHeight="1">
      <c r="A2783" s="393" t="str">
        <f>VII.A!$A$181</f>
        <v>3.1</v>
      </c>
      <c r="B2783" s="394" t="s">
        <v>142</v>
      </c>
      <c r="C2783" s="20">
        <v>0.04</v>
      </c>
      <c r="D2783" s="384" t="str">
        <f>VLOOKUP(A2783,VII.A!$A$10:$G$199,3,FALSE)</f>
        <v>H</v>
      </c>
      <c r="E2783" s="387">
        <f>VII.A!D181</f>
        <v>0</v>
      </c>
      <c r="F2783" s="388">
        <f t="shared" ref="F2783:F2789" si="731">ROUND(C2783*E2783,2)</f>
        <v>0</v>
      </c>
      <c r="H2783" s="341">
        <f>IF(A2783="","",VLOOKUP(A2783,VII.A!$A$10:$D$199,4,FALSE))</f>
        <v>0</v>
      </c>
      <c r="I2783" s="341" t="str">
        <f t="shared" ref="I2783:I2789" si="732">IF(A2783="","",IF(E2783=H2783,"SIM","NÃO"))</f>
        <v>SIM</v>
      </c>
      <c r="J2783" s="341" t="str">
        <f>IF(A2783="","",VLOOKUP(A2783,VII.A!$A$10:$D$199,3,FALSE))</f>
        <v>H</v>
      </c>
      <c r="K2783" s="342" t="str">
        <f t="shared" ref="K2783:K2789" si="733">IF(A2783="","",IF(J2783=D2783,"SIM","NÃO"))</f>
        <v>SIM</v>
      </c>
      <c r="L2783" s="380">
        <f>IF(C2783="","",G2747*C2783)</f>
        <v>200</v>
      </c>
      <c r="M2783" s="381" t="str">
        <f>IF(A2783="","",VLOOKUP(A2783,VII.A!$A$10:$B$199,2,FALSE))</f>
        <v>AJUDANTE COM ENCARGOS COMPLEMENTARES</v>
      </c>
      <c r="N2783" s="342" t="str">
        <f t="shared" ref="N2783:N2789" si="734">IF(B2783="","",IF(M2783=B2783,"si","no"))</f>
        <v>si</v>
      </c>
      <c r="R2783" s="341"/>
      <c r="S2783" s="341"/>
    </row>
    <row r="2784" spans="1:19" ht="12.75" customHeight="1">
      <c r="A2784" s="393" t="str">
        <f>VII.A!$A$184</f>
        <v>3.4</v>
      </c>
      <c r="B2784" s="394" t="s">
        <v>145</v>
      </c>
      <c r="C2784" s="20">
        <v>0.02</v>
      </c>
      <c r="D2784" s="384" t="str">
        <f>VLOOKUP(A2784,VII.A!$A$10:$G$199,3,FALSE)</f>
        <v>H</v>
      </c>
      <c r="E2784" s="387">
        <f>VII.A!D184</f>
        <v>0</v>
      </c>
      <c r="F2784" s="388">
        <f t="shared" si="731"/>
        <v>0</v>
      </c>
      <c r="H2784" s="341">
        <f>IF(A2784="","",VLOOKUP(A2784,VII.A!$A$10:$D$199,4,FALSE))</f>
        <v>0</v>
      </c>
      <c r="I2784" s="341" t="str">
        <f t="shared" si="732"/>
        <v>SIM</v>
      </c>
      <c r="J2784" s="341" t="str">
        <f>IF(A2784="","",VLOOKUP(A2784,VII.A!$A$10:$D$199,3,FALSE))</f>
        <v>H</v>
      </c>
      <c r="K2784" s="342" t="str">
        <f t="shared" si="733"/>
        <v>SIM</v>
      </c>
      <c r="L2784" s="380">
        <f>IF(C2784="","",G2747*C2784)</f>
        <v>100</v>
      </c>
      <c r="M2784" s="381" t="str">
        <f>IF(A2784="","",VLOOKUP(A2784,VII.A!$A$10:$B$199,2,FALSE))</f>
        <v>ARMADOR COM ENCARGOS COMPLEMENTARES</v>
      </c>
      <c r="N2784" s="342" t="str">
        <f t="shared" si="734"/>
        <v>si</v>
      </c>
      <c r="R2784" s="341"/>
      <c r="S2784" s="341"/>
    </row>
    <row r="2785" spans="1:25" ht="12.75" customHeight="1">
      <c r="A2785" s="393"/>
      <c r="C2785" s="20"/>
      <c r="E2785" s="387"/>
      <c r="F2785" s="388">
        <f t="shared" si="731"/>
        <v>0</v>
      </c>
      <c r="H2785" s="341" t="str">
        <f>IF(A2785="","",VLOOKUP(A2785,VII.A!$A$10:$D$199,4,FALSE))</f>
        <v/>
      </c>
      <c r="I2785" s="341" t="str">
        <f t="shared" si="732"/>
        <v/>
      </c>
      <c r="J2785" s="341" t="str">
        <f>IF(A2785="","",VLOOKUP(A2785,VII.A!$A$10:$D$199,3,FALSE))</f>
        <v/>
      </c>
      <c r="K2785" s="342" t="str">
        <f t="shared" si="733"/>
        <v/>
      </c>
      <c r="L2785" s="380" t="str">
        <f>IF(C2785="","",G2747*C2785)</f>
        <v/>
      </c>
      <c r="M2785" s="381" t="str">
        <f>IF(A2785="","",VLOOKUP(A2785,VII.A!$A$10:$B$199,2,FALSE))</f>
        <v/>
      </c>
      <c r="N2785" s="342" t="str">
        <f t="shared" si="734"/>
        <v/>
      </c>
      <c r="R2785" s="341"/>
      <c r="S2785" s="341"/>
    </row>
    <row r="2786" spans="1:25" ht="12.75" customHeight="1">
      <c r="A2786" s="393"/>
      <c r="C2786" s="20"/>
      <c r="E2786" s="387"/>
      <c r="F2786" s="388">
        <f t="shared" si="731"/>
        <v>0</v>
      </c>
      <c r="H2786" s="341" t="str">
        <f>IF(A2786="","",VLOOKUP(A2786,VII.A!$A$10:$D$199,4,FALSE))</f>
        <v/>
      </c>
      <c r="I2786" s="341" t="str">
        <f t="shared" si="732"/>
        <v/>
      </c>
      <c r="J2786" s="341" t="str">
        <f>IF(A2786="","",VLOOKUP(A2786,VII.A!$A$10:$D$199,3,FALSE))</f>
        <v/>
      </c>
      <c r="K2786" s="342" t="str">
        <f t="shared" si="733"/>
        <v/>
      </c>
      <c r="L2786" s="380" t="str">
        <f>IF(C2786="","",G2747*C2786)</f>
        <v/>
      </c>
      <c r="M2786" s="381" t="str">
        <f>IF(A2786="","",VLOOKUP(A2786,VII.A!$A$10:$B$199,2,FALSE))</f>
        <v/>
      </c>
      <c r="N2786" s="342" t="str">
        <f t="shared" si="734"/>
        <v/>
      </c>
      <c r="R2786" s="341"/>
      <c r="S2786" s="341"/>
    </row>
    <row r="2787" spans="1:25" ht="12.75" customHeight="1">
      <c r="A2787" s="393"/>
      <c r="C2787" s="20"/>
      <c r="E2787" s="387"/>
      <c r="F2787" s="388">
        <f t="shared" si="731"/>
        <v>0</v>
      </c>
      <c r="H2787" s="341" t="str">
        <f>IF(A2787="","",VLOOKUP(A2787,VII.A!$A$10:$D$199,4,FALSE))</f>
        <v/>
      </c>
      <c r="I2787" s="341" t="str">
        <f t="shared" si="732"/>
        <v/>
      </c>
      <c r="J2787" s="341" t="str">
        <f>IF(A2787="","",VLOOKUP(A2787,VII.A!$A$10:$D$199,3,FALSE))</f>
        <v/>
      </c>
      <c r="K2787" s="342" t="str">
        <f t="shared" si="733"/>
        <v/>
      </c>
      <c r="L2787" s="380" t="str">
        <f>IF(C2787="","",G2747*C2787)</f>
        <v/>
      </c>
      <c r="M2787" s="381" t="str">
        <f>IF(A2787="","",VLOOKUP(A2787,VII.A!$A$10:$B$199,2,FALSE))</f>
        <v/>
      </c>
      <c r="N2787" s="342" t="str">
        <f t="shared" si="734"/>
        <v/>
      </c>
      <c r="R2787" s="341"/>
      <c r="S2787" s="341"/>
    </row>
    <row r="2788" spans="1:25" ht="12.75" customHeight="1">
      <c r="A2788" s="393"/>
      <c r="C2788" s="20"/>
      <c r="E2788" s="387"/>
      <c r="F2788" s="388">
        <f t="shared" si="731"/>
        <v>0</v>
      </c>
      <c r="H2788" s="341" t="str">
        <f>IF(A2788="","",VLOOKUP(A2788,VII.A!$A$10:$D$199,4,FALSE))</f>
        <v/>
      </c>
      <c r="I2788" s="341" t="str">
        <f t="shared" si="732"/>
        <v/>
      </c>
      <c r="J2788" s="341" t="str">
        <f>IF(A2788="","",VLOOKUP(A2788,VII.A!$A$10:$D$199,3,FALSE))</f>
        <v/>
      </c>
      <c r="K2788" s="342" t="str">
        <f t="shared" si="733"/>
        <v/>
      </c>
      <c r="L2788" s="380" t="str">
        <f>IF(C2788="","",G2747*C2788)</f>
        <v/>
      </c>
      <c r="M2788" s="381" t="str">
        <f>IF(A2788="","",VLOOKUP(A2788,VII.A!$A$10:$B$199,2,FALSE))</f>
        <v/>
      </c>
      <c r="N2788" s="342" t="str">
        <f t="shared" si="734"/>
        <v/>
      </c>
      <c r="R2788" s="341"/>
      <c r="S2788" s="341"/>
    </row>
    <row r="2789" spans="1:25" ht="12.75" customHeight="1">
      <c r="A2789" s="393"/>
      <c r="C2789" s="20"/>
      <c r="E2789" s="387"/>
      <c r="F2789" s="388">
        <f t="shared" si="731"/>
        <v>0</v>
      </c>
      <c r="H2789" s="341" t="str">
        <f>IF(A2789="","",VLOOKUP(A2789,VII.A!$A$10:$D$199,4,FALSE))</f>
        <v/>
      </c>
      <c r="I2789" s="341" t="str">
        <f t="shared" si="732"/>
        <v/>
      </c>
      <c r="J2789" s="341" t="str">
        <f>IF(A2789="","",VLOOKUP(A2789,VII.A!$A$10:$D$199,3,FALSE))</f>
        <v/>
      </c>
      <c r="K2789" s="342" t="str">
        <f t="shared" si="733"/>
        <v/>
      </c>
      <c r="L2789" s="380" t="str">
        <f>IF(C2789="","",G2747*C2789)</f>
        <v/>
      </c>
      <c r="M2789" s="381" t="str">
        <f>IF(A2789="","",VLOOKUP(A2789,VII.A!$A$10:$B$199,2,FALSE))</f>
        <v/>
      </c>
      <c r="N2789" s="342" t="str">
        <f t="shared" si="734"/>
        <v/>
      </c>
      <c r="R2789" s="341"/>
      <c r="S2789" s="341"/>
    </row>
    <row r="2790" spans="1:25" ht="12.75" customHeight="1">
      <c r="A2790" s="393"/>
      <c r="B2790" s="395" t="s">
        <v>226</v>
      </c>
      <c r="C2790" s="396"/>
      <c r="D2790" s="397"/>
      <c r="E2790" s="398"/>
      <c r="F2790" s="399">
        <f>SUM(F2783:F2789)</f>
        <v>0</v>
      </c>
      <c r="J2790" s="341"/>
      <c r="L2790" s="380"/>
      <c r="M2790" s="381"/>
      <c r="N2790" s="342"/>
      <c r="R2790" s="341"/>
      <c r="S2790" s="341"/>
    </row>
    <row r="2791" spans="1:25" ht="12.75" customHeight="1">
      <c r="A2791" s="393"/>
      <c r="B2791" s="400" t="s">
        <v>229</v>
      </c>
      <c r="C2791" s="2">
        <f>IX.A!$C$45</f>
        <v>0</v>
      </c>
      <c r="D2791" s="401"/>
      <c r="E2791" s="402"/>
      <c r="F2791" s="403">
        <f>ROUND(F2790*C2791,2)</f>
        <v>0</v>
      </c>
      <c r="J2791" s="341"/>
      <c r="L2791" s="380"/>
      <c r="M2791" s="381"/>
      <c r="N2791" s="342"/>
      <c r="R2791" s="341"/>
      <c r="S2791" s="341"/>
    </row>
    <row r="2792" spans="1:25" ht="12.75" customHeight="1">
      <c r="A2792" s="393"/>
      <c r="B2792" s="400" t="s">
        <v>53</v>
      </c>
      <c r="C2792" s="2">
        <f>$D$8</f>
        <v>0</v>
      </c>
      <c r="D2792" s="401"/>
      <c r="E2792" s="402"/>
      <c r="F2792" s="403">
        <f>ROUND(SUM(F2790:F2791)*C2792,2)</f>
        <v>0</v>
      </c>
      <c r="J2792" s="341"/>
      <c r="L2792" s="380"/>
      <c r="M2792" s="381"/>
      <c r="N2792" s="342"/>
      <c r="R2792" s="341"/>
      <c r="S2792" s="341"/>
    </row>
    <row r="2793" spans="1:25" ht="12.75" customHeight="1" thickBot="1">
      <c r="A2793" s="414"/>
      <c r="B2793" s="415" t="s">
        <v>230</v>
      </c>
      <c r="C2793" s="416"/>
      <c r="D2793" s="416"/>
      <c r="E2793" s="417"/>
      <c r="F2793" s="418">
        <f>SUM(F2790:F2792)</f>
        <v>0</v>
      </c>
      <c r="J2793" s="341"/>
      <c r="L2793" s="380"/>
      <c r="M2793" s="381"/>
      <c r="N2793" s="342"/>
      <c r="R2793" s="341"/>
      <c r="S2793" s="341"/>
    </row>
    <row r="2794" spans="1:25" ht="12.75" customHeight="1" thickBot="1">
      <c r="A2794" s="427"/>
      <c r="B2794" s="428"/>
      <c r="C2794" s="429"/>
      <c r="D2794" s="429"/>
      <c r="E2794" s="430"/>
      <c r="F2794" s="431"/>
      <c r="J2794" s="341"/>
      <c r="L2794" s="380"/>
      <c r="M2794" s="381"/>
      <c r="N2794" s="342"/>
      <c r="R2794" s="341"/>
      <c r="S2794" s="341"/>
    </row>
    <row r="2795" spans="1:25" ht="30" customHeight="1">
      <c r="A2795" s="370" t="str">
        <f>IV.A!A90</f>
        <v>3.7.1</v>
      </c>
      <c r="B2795" s="371" t="str">
        <f>IV.A!B90</f>
        <v xml:space="preserve">BROCA EM CONCRETO ARMADO, DIÂMETRO DE 20CM, COMPLETA </v>
      </c>
      <c r="C2795" s="871" t="s">
        <v>237</v>
      </c>
      <c r="D2795" s="872"/>
      <c r="E2795" s="372" t="str">
        <f>IV.A!C90</f>
        <v>M</v>
      </c>
      <c r="F2795" s="11">
        <f>ROUND(F2815+F2829+F2841,2)</f>
        <v>0</v>
      </c>
      <c r="G2795" s="1">
        <f>VLOOKUP(A2795,IV.A!$A$16:$L$172,4,FALSE)</f>
        <v>100</v>
      </c>
      <c r="H2795" s="361">
        <f>SUM(F2797:F2812)+F2814</f>
        <v>0</v>
      </c>
      <c r="I2795" s="361">
        <f>SUM(F2817:F2826)+F2828</f>
        <v>0</v>
      </c>
      <c r="J2795" s="361">
        <f>SUM(F2831:F2837)+F2839+F2840</f>
        <v>0</v>
      </c>
      <c r="K2795" s="361">
        <f>SUM(H2795:J2795)</f>
        <v>0</v>
      </c>
      <c r="L2795" s="362" t="str">
        <f>IF(K2795=F2795,"SIM","NÃO")</f>
        <v>SIM</v>
      </c>
      <c r="M2795" s="373">
        <f>ROUND(SUM(F2797:F2812),2)+ROUND(SUM(F2797:F2812)*C2814,2)+ROUND(SUM(F2817:F2826)*C2828,2)+ROUND(SUM(F2817:F2826),2)+ROUND(SUM(F2831:F2837)*C2839,2)+ROUND((SUM(F2831:F2837)+ROUND(SUM(F2831:F2837)*C2839,2))*C2840,2)+ROUND(SUM(F2831:F2837),2)</f>
        <v>0</v>
      </c>
      <c r="N2795" s="343" t="str">
        <f>IF(M2795=F2795,"SIM","NÃO")</f>
        <v>SIM</v>
      </c>
      <c r="O2795" s="364" t="str">
        <f>VLOOKUP(A2795,IV.A!$A$16:$E$172,3,FALSE)</f>
        <v>M</v>
      </c>
      <c r="P2795" s="344" t="str">
        <f>IF(O2795=E2795,"SIM","NÃO")</f>
        <v>SIM</v>
      </c>
      <c r="Q2795" s="365">
        <f>ROUND(G2795*F2815,2)+ROUND(G2795*F2829,2)+ROUND(G2795*F2841,2)</f>
        <v>0</v>
      </c>
      <c r="R2795" s="364">
        <f>VLOOKUP(A2795,IV.A!$A$16:$L$172,12,FALSE)</f>
        <v>0</v>
      </c>
      <c r="S2795" s="366" t="str">
        <f>IF(Q2795=R2795,"si","no")</f>
        <v>si</v>
      </c>
      <c r="T2795" s="367">
        <f>SUM(L2797:L2812)+SUM(L2817:L2826)+SUM(L2831:L2837)</f>
        <v>1697.12</v>
      </c>
      <c r="U2795" s="341">
        <f>(SUM(C2797:C2812)+SUM(C2817:C2826)+SUM(C2831:C2837))*G2795</f>
        <v>1697.12</v>
      </c>
      <c r="V2795" s="368" t="str">
        <f>IF(T2795=U2795,"si","no")</f>
        <v>si</v>
      </c>
      <c r="W2795" s="369">
        <f>SUM(F2797:F2812)</f>
        <v>0</v>
      </c>
      <c r="X2795" s="369">
        <f>SUM(F2817:F2826)</f>
        <v>0</v>
      </c>
      <c r="Y2795" s="369">
        <f>SUM(F2831:F2837)</f>
        <v>0</v>
      </c>
    </row>
    <row r="2796" spans="1:25" ht="12.75" customHeight="1">
      <c r="A2796" s="374" t="s">
        <v>14</v>
      </c>
      <c r="B2796" s="375" t="s">
        <v>132</v>
      </c>
      <c r="C2796" s="376" t="s">
        <v>231</v>
      </c>
      <c r="D2796" s="376" t="s">
        <v>232</v>
      </c>
      <c r="E2796" s="377" t="s">
        <v>233</v>
      </c>
      <c r="F2796" s="378" t="s">
        <v>234</v>
      </c>
      <c r="G2796" s="379"/>
      <c r="J2796" s="341"/>
      <c r="L2796" s="380"/>
      <c r="M2796" s="381"/>
      <c r="N2796" s="342"/>
      <c r="O2796" s="382"/>
      <c r="P2796" s="383"/>
      <c r="Q2796" s="383"/>
      <c r="R2796" s="383"/>
      <c r="S2796" s="383"/>
      <c r="T2796" s="382"/>
      <c r="U2796" s="341"/>
      <c r="V2796" s="384"/>
      <c r="W2796" s="384"/>
      <c r="X2796" s="384"/>
      <c r="Y2796" s="384"/>
    </row>
    <row r="2797" spans="1:25" ht="12.75" customHeight="1">
      <c r="A2797" s="385" t="str">
        <f>VII.A!$A$10</f>
        <v>1.1</v>
      </c>
      <c r="B2797" s="386" t="str">
        <f>VII.A!B10</f>
        <v>AÇO CA-50 (MÉDIA DAS BITOLAS)</v>
      </c>
      <c r="C2797" s="20">
        <v>1.5096000000000001</v>
      </c>
      <c r="D2797" s="342" t="str">
        <f>VII.A!C10</f>
        <v>KG</v>
      </c>
      <c r="E2797" s="387">
        <f>VII.A!D10</f>
        <v>0</v>
      </c>
      <c r="F2797" s="388">
        <f>ROUND(C2797*E2797,2)</f>
        <v>0</v>
      </c>
      <c r="H2797" s="341">
        <f>IF(A2797="","",VLOOKUP(A2797,VII.A!$A$10:$D$199,4,FALSE))</f>
        <v>0</v>
      </c>
      <c r="I2797" s="341" t="str">
        <f t="shared" ref="I2797:I2812" si="735">IF(A2797="","",IF(E2797=H2797,"SIM","NÃO"))</f>
        <v>SIM</v>
      </c>
      <c r="J2797" s="341" t="str">
        <f>IF(A2797="","",VLOOKUP(A2797,VII.A!$A$10:$D$199,3,FALSE))</f>
        <v>KG</v>
      </c>
      <c r="K2797" s="342" t="str">
        <f t="shared" ref="K2797:K2812" si="736">IF(A2797="","",IF(J2797=D2797,"SIM","NÃO"))</f>
        <v>SIM</v>
      </c>
      <c r="L2797" s="380">
        <f>IF(C2797="","",G2795*C2797)</f>
        <v>150.96</v>
      </c>
      <c r="M2797" s="381" t="str">
        <f>IF(A2797="","",VLOOKUP(A2797,VII.A!$A$10:$B$199,2,FALSE))</f>
        <v>AÇO CA-50 (MÉDIA DAS BITOLAS)</v>
      </c>
      <c r="N2797" s="342" t="str">
        <f t="shared" ref="N2797:N2812" si="737">IF(B2797="","",IF(M2797=B2797,"si","no"))</f>
        <v>si</v>
      </c>
      <c r="R2797" s="341"/>
      <c r="S2797" s="341"/>
    </row>
    <row r="2798" spans="1:25" ht="12.75" customHeight="1">
      <c r="A2798" s="385" t="str">
        <f>VII.A!$A$19</f>
        <v>1.10</v>
      </c>
      <c r="B2798" s="386" t="str">
        <f>VII.A!B19</f>
        <v>AREIA MÉDIA LAVADA</v>
      </c>
      <c r="C2798" s="20">
        <v>3.27E-2</v>
      </c>
      <c r="D2798" s="342" t="str">
        <f>VII.A!C19</f>
        <v>M3</v>
      </c>
      <c r="E2798" s="387">
        <f>VII.A!D19</f>
        <v>0</v>
      </c>
      <c r="F2798" s="388">
        <f t="shared" ref="F2798:F2812" si="738">ROUND(C2798*E2798,2)</f>
        <v>0</v>
      </c>
      <c r="H2798" s="341">
        <f>IF(A2798="","",VLOOKUP(A2798,VII.A!$A$10:$D$199,4,FALSE))</f>
        <v>0</v>
      </c>
      <c r="I2798" s="341" t="str">
        <f t="shared" si="735"/>
        <v>SIM</v>
      </c>
      <c r="J2798" s="341" t="str">
        <f>IF(A2798="","",VLOOKUP(A2798,VII.A!$A$10:$D$199,3,FALSE))</f>
        <v>M3</v>
      </c>
      <c r="K2798" s="342" t="str">
        <f t="shared" si="736"/>
        <v>SIM</v>
      </c>
      <c r="L2798" s="380">
        <f>IF(C2798="","",G2795*C2798)</f>
        <v>3.27</v>
      </c>
      <c r="M2798" s="381" t="str">
        <f>IF(A2798="","",VLOOKUP(A2798,VII.A!$A$10:$B$199,2,FALSE))</f>
        <v>AREIA MÉDIA LAVADA</v>
      </c>
      <c r="N2798" s="342" t="str">
        <f t="shared" si="737"/>
        <v>si</v>
      </c>
      <c r="R2798" s="341"/>
      <c r="S2798" s="341"/>
    </row>
    <row r="2799" spans="1:25" ht="12.75" customHeight="1">
      <c r="A2799" s="385" t="str">
        <f>VII.A!$A$38</f>
        <v>1.29</v>
      </c>
      <c r="B2799" s="386" t="str">
        <f>VII.A!B38</f>
        <v>CIMENTO PORTLAND CP II-E-32</v>
      </c>
      <c r="C2799" s="20">
        <v>13.9818</v>
      </c>
      <c r="D2799" s="342" t="str">
        <f>VII.A!C38</f>
        <v>KG</v>
      </c>
      <c r="E2799" s="387">
        <f>VII.A!D38</f>
        <v>0</v>
      </c>
      <c r="F2799" s="388">
        <f t="shared" si="738"/>
        <v>0</v>
      </c>
      <c r="H2799" s="341">
        <f>IF(A2799="","",VLOOKUP(A2799,VII.A!$A$10:$D$199,4,FALSE))</f>
        <v>0</v>
      </c>
      <c r="I2799" s="341" t="str">
        <f t="shared" si="735"/>
        <v>SIM</v>
      </c>
      <c r="J2799" s="341" t="str">
        <f>IF(A2799="","",VLOOKUP(A2799,VII.A!$A$10:$D$199,3,FALSE))</f>
        <v>KG</v>
      </c>
      <c r="K2799" s="342" t="str">
        <f t="shared" si="736"/>
        <v>SIM</v>
      </c>
      <c r="L2799" s="380">
        <f>IF(C2799="","",G2795*C2799)</f>
        <v>1398.18</v>
      </c>
      <c r="M2799" s="381" t="str">
        <f>IF(A2799="","",VLOOKUP(A2799,VII.A!$A$10:$B$199,2,FALSE))</f>
        <v>CIMENTO PORTLAND CP II-E-32</v>
      </c>
      <c r="N2799" s="342" t="str">
        <f t="shared" si="737"/>
        <v>si</v>
      </c>
      <c r="R2799" s="341"/>
      <c r="S2799" s="341"/>
    </row>
    <row r="2800" spans="1:25" ht="12.75" customHeight="1">
      <c r="A2800" s="385" t="str">
        <f>VII.A!$A$84</f>
        <v>1.74</v>
      </c>
      <c r="B2800" s="386" t="str">
        <f>VII.A!B84</f>
        <v>PEDRA BRITADA Nº 2 GRANULOMETRIA ENTRE (21,0 E 32,0 MM)</v>
      </c>
      <c r="C2800" s="20">
        <v>2.5399999999999999E-2</v>
      </c>
      <c r="D2800" s="342" t="str">
        <f>VII.A!C84</f>
        <v>M3</v>
      </c>
      <c r="E2800" s="387">
        <f>VII.A!D84</f>
        <v>0</v>
      </c>
      <c r="F2800" s="388">
        <f t="shared" si="738"/>
        <v>0</v>
      </c>
      <c r="H2800" s="341">
        <f>IF(A2800="","",VLOOKUP(A2800,VII.A!$A$10:$D$199,4,FALSE))</f>
        <v>0</v>
      </c>
      <c r="I2800" s="341" t="str">
        <f t="shared" si="735"/>
        <v>SIM</v>
      </c>
      <c r="J2800" s="341" t="str">
        <f>IF(A2800="","",VLOOKUP(A2800,VII.A!$A$10:$D$199,3,FALSE))</f>
        <v>M3</v>
      </c>
      <c r="K2800" s="342" t="str">
        <f t="shared" si="736"/>
        <v>SIM</v>
      </c>
      <c r="L2800" s="380">
        <f>IF(C2800="","",G2795*C2800)</f>
        <v>2.54</v>
      </c>
      <c r="M2800" s="381" t="str">
        <f>IF(A2800="","",VLOOKUP(A2800,VII.A!$A$10:$B$199,2,FALSE))</f>
        <v>PEDRA BRITADA Nº 2 GRANULOMETRIA ENTRE (21,0 E 32,0 MM)</v>
      </c>
      <c r="N2800" s="342" t="str">
        <f t="shared" si="737"/>
        <v>si</v>
      </c>
      <c r="R2800" s="341"/>
      <c r="S2800" s="341"/>
    </row>
    <row r="2801" spans="1:21" ht="12.75" customHeight="1">
      <c r="A2801" s="385"/>
      <c r="B2801" s="386"/>
      <c r="C2801" s="20"/>
      <c r="D2801" s="342"/>
      <c r="E2801" s="387"/>
      <c r="F2801" s="388">
        <f t="shared" si="738"/>
        <v>0</v>
      </c>
      <c r="H2801" s="341" t="str">
        <f>IF(A2801="","",VLOOKUP(A2801,VII.A!$A$10:$D$199,4,FALSE))</f>
        <v/>
      </c>
      <c r="I2801" s="341" t="str">
        <f t="shared" si="735"/>
        <v/>
      </c>
      <c r="J2801" s="341" t="str">
        <f>IF(A2801="","",VLOOKUP(A2801,VII.A!$A$10:$D$199,3,FALSE))</f>
        <v/>
      </c>
      <c r="K2801" s="342" t="str">
        <f t="shared" si="736"/>
        <v/>
      </c>
      <c r="L2801" s="380" t="str">
        <f>IF(C2801="","",G2795*C2801)</f>
        <v/>
      </c>
      <c r="M2801" s="381" t="str">
        <f>IF(A2801="","",VLOOKUP(A2801,VII.A!$A$10:$B$199,2,FALSE))</f>
        <v/>
      </c>
      <c r="N2801" s="342" t="str">
        <f t="shared" si="737"/>
        <v/>
      </c>
      <c r="R2801" s="341"/>
      <c r="S2801" s="341"/>
    </row>
    <row r="2802" spans="1:21" ht="12.75" customHeight="1">
      <c r="A2802" s="385"/>
      <c r="B2802" s="386"/>
      <c r="C2802" s="20"/>
      <c r="D2802" s="342"/>
      <c r="E2802" s="387"/>
      <c r="F2802" s="388">
        <f t="shared" si="738"/>
        <v>0</v>
      </c>
      <c r="H2802" s="341" t="str">
        <f>IF(A2802="","",VLOOKUP(A2802,VII.A!$A$10:$D$199,4,FALSE))</f>
        <v/>
      </c>
      <c r="I2802" s="341" t="str">
        <f t="shared" si="735"/>
        <v/>
      </c>
      <c r="J2802" s="341" t="str">
        <f>IF(A2802="","",VLOOKUP(A2802,VII.A!$A$10:$D$199,3,FALSE))</f>
        <v/>
      </c>
      <c r="K2802" s="342" t="str">
        <f t="shared" si="736"/>
        <v/>
      </c>
      <c r="L2802" s="380" t="str">
        <f>IF(C2802="","",G2795*C2802)</f>
        <v/>
      </c>
      <c r="M2802" s="381" t="str">
        <f>IF(A2802="","",VLOOKUP(A2802,VII.A!$A$10:$B$199,2,FALSE))</f>
        <v/>
      </c>
      <c r="N2802" s="342" t="str">
        <f t="shared" si="737"/>
        <v/>
      </c>
      <c r="R2802" s="341"/>
      <c r="S2802" s="341"/>
      <c r="U2802" s="389"/>
    </row>
    <row r="2803" spans="1:21" ht="12.75" customHeight="1">
      <c r="A2803" s="385"/>
      <c r="B2803" s="386"/>
      <c r="C2803" s="20"/>
      <c r="D2803" s="342"/>
      <c r="E2803" s="387"/>
      <c r="F2803" s="388">
        <f t="shared" si="738"/>
        <v>0</v>
      </c>
      <c r="H2803" s="341" t="str">
        <f>IF(A2803="","",VLOOKUP(A2803,VII.A!$A$10:$D$199,4,FALSE))</f>
        <v/>
      </c>
      <c r="I2803" s="341" t="str">
        <f t="shared" si="735"/>
        <v/>
      </c>
      <c r="J2803" s="341" t="str">
        <f>IF(A2803="","",VLOOKUP(A2803,VII.A!$A$10:$D$199,3,FALSE))</f>
        <v/>
      </c>
      <c r="K2803" s="342" t="str">
        <f t="shared" si="736"/>
        <v/>
      </c>
      <c r="L2803" s="380" t="str">
        <f>IF(C2803="","",G2795*C2803)</f>
        <v/>
      </c>
      <c r="M2803" s="381" t="str">
        <f>IF(A2803="","",VLOOKUP(A2803,VII.A!$A$10:$B$199,2,FALSE))</f>
        <v/>
      </c>
      <c r="N2803" s="342" t="str">
        <f t="shared" si="737"/>
        <v/>
      </c>
      <c r="R2803" s="341"/>
      <c r="S2803" s="341"/>
    </row>
    <row r="2804" spans="1:21" ht="12.75" customHeight="1">
      <c r="A2804" s="385"/>
      <c r="B2804" s="386"/>
      <c r="C2804" s="20"/>
      <c r="D2804" s="342"/>
      <c r="E2804" s="387"/>
      <c r="F2804" s="388">
        <f t="shared" si="738"/>
        <v>0</v>
      </c>
      <c r="G2804" s="390"/>
      <c r="H2804" s="341" t="str">
        <f>IF(A2804="","",VLOOKUP(A2804,VII.A!$A$10:$D$199,4,FALSE))</f>
        <v/>
      </c>
      <c r="I2804" s="341" t="str">
        <f t="shared" si="735"/>
        <v/>
      </c>
      <c r="J2804" s="341" t="str">
        <f>IF(A2804="","",VLOOKUP(A2804,VII.A!$A$10:$D$199,3,FALSE))</f>
        <v/>
      </c>
      <c r="K2804" s="342" t="str">
        <f t="shared" si="736"/>
        <v/>
      </c>
      <c r="L2804" s="380" t="str">
        <f>IF(C2804="","",G2795*C2804)</f>
        <v/>
      </c>
      <c r="M2804" s="381" t="str">
        <f>IF(A2804="","",VLOOKUP(A2804,VII.A!$A$10:$B$199,2,FALSE))</f>
        <v/>
      </c>
      <c r="N2804" s="342" t="str">
        <f t="shared" si="737"/>
        <v/>
      </c>
      <c r="R2804" s="341"/>
      <c r="S2804" s="341"/>
    </row>
    <row r="2805" spans="1:21" ht="12.75" customHeight="1">
      <c r="A2805" s="385"/>
      <c r="B2805" s="386"/>
      <c r="C2805" s="20"/>
      <c r="D2805" s="342"/>
      <c r="E2805" s="387"/>
      <c r="F2805" s="388">
        <f t="shared" si="738"/>
        <v>0</v>
      </c>
      <c r="G2805" s="390"/>
      <c r="H2805" s="341" t="str">
        <f>IF(A2805="","",VLOOKUP(A2805,VII.A!$A$10:$D$199,4,FALSE))</f>
        <v/>
      </c>
      <c r="I2805" s="341" t="str">
        <f t="shared" si="735"/>
        <v/>
      </c>
      <c r="J2805" s="341" t="str">
        <f>IF(A2805="","",VLOOKUP(A2805,VII.A!$A$10:$D$199,3,FALSE))</f>
        <v/>
      </c>
      <c r="K2805" s="342" t="str">
        <f t="shared" si="736"/>
        <v/>
      </c>
      <c r="L2805" s="380" t="str">
        <f>IF(C2805="","",G2795*C2805)</f>
        <v/>
      </c>
      <c r="M2805" s="381" t="str">
        <f>IF(A2805="","",VLOOKUP(A2805,VII.A!$A$10:$B$199,2,FALSE))</f>
        <v/>
      </c>
      <c r="N2805" s="342" t="str">
        <f t="shared" si="737"/>
        <v/>
      </c>
      <c r="R2805" s="341"/>
      <c r="S2805" s="341"/>
    </row>
    <row r="2806" spans="1:21" ht="12.75" customHeight="1">
      <c r="A2806" s="385"/>
      <c r="B2806" s="386"/>
      <c r="C2806" s="20"/>
      <c r="D2806" s="342"/>
      <c r="E2806" s="387"/>
      <c r="F2806" s="388">
        <f t="shared" si="738"/>
        <v>0</v>
      </c>
      <c r="G2806" s="391"/>
      <c r="H2806" s="341" t="str">
        <f>IF(A2806="","",VLOOKUP(A2806,VII.A!$A$10:$D$199,4,FALSE))</f>
        <v/>
      </c>
      <c r="I2806" s="341" t="str">
        <f t="shared" si="735"/>
        <v/>
      </c>
      <c r="J2806" s="341" t="str">
        <f>IF(A2806="","",VLOOKUP(A2806,VII.A!$A$10:$D$199,3,FALSE))</f>
        <v/>
      </c>
      <c r="K2806" s="342" t="str">
        <f t="shared" si="736"/>
        <v/>
      </c>
      <c r="L2806" s="380" t="str">
        <f>IF(C2806="","",G2795*C2806)</f>
        <v/>
      </c>
      <c r="M2806" s="381" t="str">
        <f>IF(A2806="","",VLOOKUP(A2806,VII.A!$A$10:$B$199,2,FALSE))</f>
        <v/>
      </c>
      <c r="N2806" s="342" t="str">
        <f t="shared" si="737"/>
        <v/>
      </c>
      <c r="R2806" s="341"/>
      <c r="S2806" s="341"/>
    </row>
    <row r="2807" spans="1:21" ht="12.75" customHeight="1">
      <c r="A2807" s="385"/>
      <c r="B2807" s="386"/>
      <c r="C2807" s="20"/>
      <c r="D2807" s="342"/>
      <c r="E2807" s="387"/>
      <c r="F2807" s="388">
        <f t="shared" si="738"/>
        <v>0</v>
      </c>
      <c r="H2807" s="341" t="str">
        <f>IF(A2807="","",VLOOKUP(A2807,VII.A!$A$10:$D$199,4,FALSE))</f>
        <v/>
      </c>
      <c r="I2807" s="341" t="str">
        <f t="shared" si="735"/>
        <v/>
      </c>
      <c r="J2807" s="341" t="str">
        <f>IF(A2807="","",VLOOKUP(A2807,VII.A!$A$10:$D$199,3,FALSE))</f>
        <v/>
      </c>
      <c r="K2807" s="342" t="str">
        <f t="shared" si="736"/>
        <v/>
      </c>
      <c r="L2807" s="380" t="str">
        <f>IF(C2807="","",G2795*C2807)</f>
        <v/>
      </c>
      <c r="M2807" s="381" t="str">
        <f>IF(A2807="","",VLOOKUP(A2807,VII.A!$A$10:$B$199,2,FALSE))</f>
        <v/>
      </c>
      <c r="N2807" s="342" t="str">
        <f t="shared" si="737"/>
        <v/>
      </c>
      <c r="R2807" s="341"/>
      <c r="S2807" s="341"/>
    </row>
    <row r="2808" spans="1:21" ht="12.75" customHeight="1">
      <c r="A2808" s="385"/>
      <c r="B2808" s="386"/>
      <c r="C2808" s="20"/>
      <c r="D2808" s="392"/>
      <c r="E2808" s="387"/>
      <c r="F2808" s="388">
        <f t="shared" si="738"/>
        <v>0</v>
      </c>
      <c r="H2808" s="341" t="str">
        <f>IF(A2808="","",VLOOKUP(A2808,VII.A!$A$10:$D$199,4,FALSE))</f>
        <v/>
      </c>
      <c r="I2808" s="341" t="str">
        <f t="shared" si="735"/>
        <v/>
      </c>
      <c r="J2808" s="341" t="str">
        <f>IF(A2808="","",VLOOKUP(A2808,VII.A!$A$10:$D$199,3,FALSE))</f>
        <v/>
      </c>
      <c r="K2808" s="342" t="str">
        <f t="shared" si="736"/>
        <v/>
      </c>
      <c r="L2808" s="380" t="str">
        <f>IF(C2808="","",G2795*C2808)</f>
        <v/>
      </c>
      <c r="M2808" s="381" t="str">
        <f>IF(A2808="","",VLOOKUP(A2808,VII.A!$A$10:$B$199,2,FALSE))</f>
        <v/>
      </c>
      <c r="N2808" s="342" t="str">
        <f t="shared" si="737"/>
        <v/>
      </c>
      <c r="R2808" s="341"/>
      <c r="S2808" s="341"/>
    </row>
    <row r="2809" spans="1:21" ht="12.75" customHeight="1">
      <c r="A2809" s="385"/>
      <c r="B2809" s="386"/>
      <c r="C2809" s="20"/>
      <c r="D2809" s="392"/>
      <c r="E2809" s="387"/>
      <c r="F2809" s="388">
        <f t="shared" si="738"/>
        <v>0</v>
      </c>
      <c r="H2809" s="341" t="str">
        <f>IF(A2809="","",VLOOKUP(A2809,VII.A!$A$10:$D$199,4,FALSE))</f>
        <v/>
      </c>
      <c r="I2809" s="341" t="str">
        <f t="shared" si="735"/>
        <v/>
      </c>
      <c r="J2809" s="341" t="str">
        <f>IF(A2809="","",VLOOKUP(A2809,VII.A!$A$10:$D$199,3,FALSE))</f>
        <v/>
      </c>
      <c r="K2809" s="342" t="str">
        <f t="shared" si="736"/>
        <v/>
      </c>
      <c r="L2809" s="380" t="str">
        <f>IF(C2809="","",G2795*C2809)</f>
        <v/>
      </c>
      <c r="M2809" s="381" t="str">
        <f>IF(A2809="","",VLOOKUP(A2809,VII.A!$A$10:$B$199,2,FALSE))</f>
        <v/>
      </c>
      <c r="N2809" s="342" t="str">
        <f t="shared" si="737"/>
        <v/>
      </c>
      <c r="O2809" s="342"/>
      <c r="R2809" s="341"/>
      <c r="S2809" s="341"/>
    </row>
    <row r="2810" spans="1:21" ht="12.75" customHeight="1">
      <c r="A2810" s="385"/>
      <c r="B2810" s="386"/>
      <c r="C2810" s="20"/>
      <c r="D2810" s="392"/>
      <c r="E2810" s="387"/>
      <c r="F2810" s="388">
        <f t="shared" si="738"/>
        <v>0</v>
      </c>
      <c r="H2810" s="341" t="str">
        <f>IF(A2810="","",VLOOKUP(A2810,VII.A!$A$10:$D$199,4,FALSE))</f>
        <v/>
      </c>
      <c r="I2810" s="341" t="str">
        <f t="shared" si="735"/>
        <v/>
      </c>
      <c r="J2810" s="341" t="str">
        <f>IF(A2810="","",VLOOKUP(A2810,VII.A!$A$10:$D$199,3,FALSE))</f>
        <v/>
      </c>
      <c r="K2810" s="342" t="str">
        <f t="shared" si="736"/>
        <v/>
      </c>
      <c r="L2810" s="380" t="str">
        <f>IF(C2810="","",G2795*C2810)</f>
        <v/>
      </c>
      <c r="M2810" s="381" t="str">
        <f>IF(A2810="","",VLOOKUP(A2810,VII.A!$A$10:$B$199,2,FALSE))</f>
        <v/>
      </c>
      <c r="N2810" s="342" t="str">
        <f t="shared" si="737"/>
        <v/>
      </c>
      <c r="R2810" s="341"/>
      <c r="S2810" s="341"/>
    </row>
    <row r="2811" spans="1:21" ht="12.75" customHeight="1">
      <c r="A2811" s="393"/>
      <c r="C2811" s="20"/>
      <c r="E2811" s="387"/>
      <c r="F2811" s="388">
        <f t="shared" si="738"/>
        <v>0</v>
      </c>
      <c r="H2811" s="341" t="str">
        <f>IF(A2811="","",VLOOKUP(A2811,VII.A!$A$10:$D$199,4,FALSE))</f>
        <v/>
      </c>
      <c r="I2811" s="341" t="str">
        <f t="shared" si="735"/>
        <v/>
      </c>
      <c r="J2811" s="341" t="str">
        <f>IF(A2811="","",VLOOKUP(A2811,VII.A!$A$10:$D$199,3,FALSE))</f>
        <v/>
      </c>
      <c r="K2811" s="342" t="str">
        <f t="shared" si="736"/>
        <v/>
      </c>
      <c r="L2811" s="380" t="str">
        <f>IF(C2811="","",G2795*C2811)</f>
        <v/>
      </c>
      <c r="M2811" s="381" t="str">
        <f>IF(A2811="","",VLOOKUP(A2811,VII.A!$A$10:$B$199,2,FALSE))</f>
        <v/>
      </c>
      <c r="N2811" s="342" t="str">
        <f t="shared" si="737"/>
        <v/>
      </c>
      <c r="R2811" s="341"/>
      <c r="S2811" s="341"/>
    </row>
    <row r="2812" spans="1:21" ht="12.75" customHeight="1">
      <c r="A2812" s="393"/>
      <c r="C2812" s="20"/>
      <c r="E2812" s="387"/>
      <c r="F2812" s="388">
        <f t="shared" si="738"/>
        <v>0</v>
      </c>
      <c r="H2812" s="341" t="str">
        <f>IF(A2812="","",VLOOKUP(A2812,VII.A!$A$10:$D$199,4,FALSE))</f>
        <v/>
      </c>
      <c r="I2812" s="341" t="str">
        <f t="shared" si="735"/>
        <v/>
      </c>
      <c r="J2812" s="341" t="str">
        <f>IF(A2812="","",VLOOKUP(A2812,VII.A!$A$10:$D$199,3,FALSE))</f>
        <v/>
      </c>
      <c r="K2812" s="342" t="str">
        <f t="shared" si="736"/>
        <v/>
      </c>
      <c r="L2812" s="380" t="str">
        <f>IF(C2812="","",G2795*C2812)</f>
        <v/>
      </c>
      <c r="M2812" s="381" t="str">
        <f>IF(A2812="","",VLOOKUP(A2812,VII.A!$A$10:$B$199,2,FALSE))</f>
        <v/>
      </c>
      <c r="N2812" s="342" t="str">
        <f t="shared" si="737"/>
        <v/>
      </c>
      <c r="R2812" s="341"/>
      <c r="S2812" s="341"/>
    </row>
    <row r="2813" spans="1:21" ht="12.75" customHeight="1">
      <c r="A2813" s="393"/>
      <c r="B2813" s="395" t="s">
        <v>226</v>
      </c>
      <c r="C2813" s="396"/>
      <c r="D2813" s="397"/>
      <c r="E2813" s="398"/>
      <c r="F2813" s="399">
        <f>SUM(F2797:F2812)</f>
        <v>0</v>
      </c>
      <c r="H2813" s="441" t="s">
        <v>858</v>
      </c>
      <c r="J2813" s="341"/>
      <c r="L2813" s="380"/>
      <c r="M2813" s="381"/>
      <c r="N2813" s="342"/>
      <c r="R2813" s="341"/>
      <c r="S2813" s="341"/>
    </row>
    <row r="2814" spans="1:21" ht="12.75" customHeight="1">
      <c r="A2814" s="393"/>
      <c r="B2814" s="400" t="s">
        <v>53</v>
      </c>
      <c r="C2814" s="2">
        <f>$D$8</f>
        <v>0</v>
      </c>
      <c r="D2814" s="401"/>
      <c r="E2814" s="402"/>
      <c r="F2814" s="403">
        <f>ROUND(F2813*C2814,2)</f>
        <v>0</v>
      </c>
      <c r="J2814" s="341"/>
      <c r="L2814" s="380"/>
      <c r="M2814" s="381"/>
      <c r="N2814" s="342"/>
      <c r="R2814" s="341"/>
      <c r="S2814" s="341"/>
    </row>
    <row r="2815" spans="1:21" ht="12.75" customHeight="1">
      <c r="A2815" s="404"/>
      <c r="B2815" s="405" t="s">
        <v>227</v>
      </c>
      <c r="C2815" s="406"/>
      <c r="D2815" s="406"/>
      <c r="E2815" s="407"/>
      <c r="F2815" s="408">
        <f>F2813+F2814</f>
        <v>0</v>
      </c>
      <c r="J2815" s="341"/>
      <c r="L2815" s="380"/>
      <c r="M2815" s="381"/>
      <c r="N2815" s="342"/>
      <c r="R2815" s="341"/>
      <c r="S2815" s="341"/>
    </row>
    <row r="2816" spans="1:21" ht="12.75" customHeight="1">
      <c r="A2816" s="374" t="s">
        <v>2</v>
      </c>
      <c r="B2816" s="375" t="s">
        <v>235</v>
      </c>
      <c r="C2816" s="376" t="s">
        <v>231</v>
      </c>
      <c r="D2816" s="376" t="s">
        <v>232</v>
      </c>
      <c r="E2816" s="377" t="s">
        <v>233</v>
      </c>
      <c r="F2816" s="378" t="s">
        <v>234</v>
      </c>
      <c r="J2816" s="341"/>
      <c r="L2816" s="380"/>
      <c r="M2816" s="381"/>
      <c r="N2816" s="342"/>
      <c r="R2816" s="341"/>
      <c r="S2816" s="341"/>
    </row>
    <row r="2817" spans="1:19" ht="12.75" customHeight="1">
      <c r="A2817" s="393" t="str">
        <f>VII.A!$A$149</f>
        <v>2.7</v>
      </c>
      <c r="B2817" s="423" t="str">
        <f>VII.A!B149</f>
        <v>BETONEIRA, CAPACIDADE NOMINAL DE 400L, MOTOR ELÉTRICO TRIFÁSICO DE  2CV - CHP</v>
      </c>
      <c r="C2817" s="20">
        <v>2.7699999999999999E-2</v>
      </c>
      <c r="D2817" s="384" t="str">
        <f>VII.A!C149</f>
        <v>CHP</v>
      </c>
      <c r="E2817" s="387">
        <f>VII.A!D149</f>
        <v>0</v>
      </c>
      <c r="F2817" s="388">
        <f t="shared" ref="F2817:F2826" si="739">ROUND(C2817*E2817,2)</f>
        <v>0</v>
      </c>
      <c r="H2817" s="341">
        <f>IF(A2817="","",VLOOKUP(A2817,VII.A!$A$10:$D$199,4,FALSE))</f>
        <v>0</v>
      </c>
      <c r="I2817" s="341" t="str">
        <f t="shared" ref="I2817:I2826" si="740">IF(A2817="","",IF(E2817=H2817,"SIM","NÃO"))</f>
        <v>SIM</v>
      </c>
      <c r="J2817" s="341" t="str">
        <f>IF(A2817="","",VLOOKUP(A2817,VII.A!$A$10:$D$199,3,FALSE))</f>
        <v>CHP</v>
      </c>
      <c r="K2817" s="342" t="str">
        <f t="shared" ref="K2817:K2826" si="741">IF(A2817="","",IF(J2817=D2817,"SIM","NÃO"))</f>
        <v>SIM</v>
      </c>
      <c r="L2817" s="380">
        <f>IF(C2817="","",G2795*C2817)</f>
        <v>2.77</v>
      </c>
      <c r="M2817" s="381" t="str">
        <f>IF(A2817="","",VLOOKUP(A2817,VII.A!$A$10:$B$199,2,FALSE))</f>
        <v>BETONEIRA, CAPACIDADE NOMINAL DE 400L, MOTOR ELÉTRICO TRIFÁSICO DE  2CV - CHP</v>
      </c>
      <c r="N2817" s="342" t="str">
        <f t="shared" ref="N2817:N2826" si="742">IF(B2817="","",IF(M2817=B2817,"si","no"))</f>
        <v>si</v>
      </c>
      <c r="R2817" s="341"/>
      <c r="S2817" s="341"/>
    </row>
    <row r="2818" spans="1:19" ht="12.75" customHeight="1">
      <c r="A2818" s="393"/>
      <c r="C2818" s="20"/>
      <c r="E2818" s="387"/>
      <c r="F2818" s="388">
        <f t="shared" si="739"/>
        <v>0</v>
      </c>
      <c r="H2818" s="341" t="str">
        <f>IF(A2818="","",VLOOKUP(A2818,VII.A!$A$10:$D$199,4,FALSE))</f>
        <v/>
      </c>
      <c r="I2818" s="341" t="str">
        <f t="shared" si="740"/>
        <v/>
      </c>
      <c r="J2818" s="341" t="str">
        <f>IF(A2818="","",VLOOKUP(A2818,VII.A!$A$10:$D$199,3,FALSE))</f>
        <v/>
      </c>
      <c r="K2818" s="342" t="str">
        <f t="shared" si="741"/>
        <v/>
      </c>
      <c r="L2818" s="380" t="str">
        <f>IF(C2818="","",G2795*C2818)</f>
        <v/>
      </c>
      <c r="M2818" s="381" t="str">
        <f>IF(A2818="","",VLOOKUP(A2818,VII.A!$A$10:$B$199,2,FALSE))</f>
        <v/>
      </c>
      <c r="N2818" s="342" t="str">
        <f t="shared" si="742"/>
        <v/>
      </c>
      <c r="R2818" s="341"/>
      <c r="S2818" s="341"/>
    </row>
    <row r="2819" spans="1:19" ht="12.75" customHeight="1">
      <c r="A2819" s="393"/>
      <c r="C2819" s="20"/>
      <c r="E2819" s="387"/>
      <c r="F2819" s="388">
        <f t="shared" si="739"/>
        <v>0</v>
      </c>
      <c r="H2819" s="341" t="str">
        <f>IF(A2819="","",VLOOKUP(A2819,VII.A!$A$10:$D$199,4,FALSE))</f>
        <v/>
      </c>
      <c r="I2819" s="341" t="str">
        <f t="shared" si="740"/>
        <v/>
      </c>
      <c r="J2819" s="341" t="str">
        <f>IF(A2819="","",VLOOKUP(A2819,VII.A!$A$10:$D$199,3,FALSE))</f>
        <v/>
      </c>
      <c r="K2819" s="342" t="str">
        <f t="shared" si="741"/>
        <v/>
      </c>
      <c r="L2819" s="380" t="str">
        <f>IF(C2819="","",G2795*C2819)</f>
        <v/>
      </c>
      <c r="M2819" s="381" t="str">
        <f>IF(A2819="","",VLOOKUP(A2819,VII.A!$A$10:$B$199,2,FALSE))</f>
        <v/>
      </c>
      <c r="N2819" s="342" t="str">
        <f t="shared" si="742"/>
        <v/>
      </c>
      <c r="R2819" s="341"/>
      <c r="S2819" s="341"/>
    </row>
    <row r="2820" spans="1:19" ht="12.75" customHeight="1">
      <c r="A2820" s="393"/>
      <c r="C2820" s="20"/>
      <c r="E2820" s="387"/>
      <c r="F2820" s="388">
        <f t="shared" si="739"/>
        <v>0</v>
      </c>
      <c r="H2820" s="341" t="str">
        <f>IF(A2820="","",VLOOKUP(A2820,VII.A!$A$10:$D$199,4,FALSE))</f>
        <v/>
      </c>
      <c r="I2820" s="341" t="str">
        <f t="shared" si="740"/>
        <v/>
      </c>
      <c r="J2820" s="341" t="str">
        <f>IF(A2820="","",VLOOKUP(A2820,VII.A!$A$10:$D$199,3,FALSE))</f>
        <v/>
      </c>
      <c r="K2820" s="342" t="str">
        <f t="shared" si="741"/>
        <v/>
      </c>
      <c r="L2820" s="380" t="str">
        <f>IF(C2820="","",G2795*C2820)</f>
        <v/>
      </c>
      <c r="M2820" s="381" t="str">
        <f>IF(A2820="","",VLOOKUP(A2820,VII.A!$A$10:$B$199,2,FALSE))</f>
        <v/>
      </c>
      <c r="N2820" s="342" t="str">
        <f t="shared" si="742"/>
        <v/>
      </c>
      <c r="R2820" s="341"/>
      <c r="S2820" s="341"/>
    </row>
    <row r="2821" spans="1:19" ht="12.75" customHeight="1">
      <c r="A2821" s="393"/>
      <c r="C2821" s="20"/>
      <c r="E2821" s="387"/>
      <c r="F2821" s="388">
        <f t="shared" si="739"/>
        <v>0</v>
      </c>
      <c r="G2821" s="390"/>
      <c r="H2821" s="341" t="str">
        <f>IF(A2821="","",VLOOKUP(A2821,VII.A!$A$10:$D$199,4,FALSE))</f>
        <v/>
      </c>
      <c r="I2821" s="341" t="str">
        <f t="shared" si="740"/>
        <v/>
      </c>
      <c r="J2821" s="341" t="str">
        <f>IF(A2821="","",VLOOKUP(A2821,VII.A!$A$10:$D$199,3,FALSE))</f>
        <v/>
      </c>
      <c r="K2821" s="342" t="str">
        <f t="shared" si="741"/>
        <v/>
      </c>
      <c r="L2821" s="380" t="str">
        <f>IF(C2821="","",G2795*C2821)</f>
        <v/>
      </c>
      <c r="M2821" s="381" t="str">
        <f>IF(A2821="","",VLOOKUP(A2821,VII.A!$A$10:$B$199,2,FALSE))</f>
        <v/>
      </c>
      <c r="N2821" s="342" t="str">
        <f t="shared" si="742"/>
        <v/>
      </c>
      <c r="R2821" s="341"/>
      <c r="S2821" s="341"/>
    </row>
    <row r="2822" spans="1:19" ht="12.75" customHeight="1">
      <c r="A2822" s="393"/>
      <c r="C2822" s="20"/>
      <c r="E2822" s="387"/>
      <c r="F2822" s="388">
        <f t="shared" si="739"/>
        <v>0</v>
      </c>
      <c r="G2822" s="391"/>
      <c r="H2822" s="341" t="str">
        <f>IF(A2822="","",VLOOKUP(A2822,VII.A!$A$10:$D$199,4,FALSE))</f>
        <v/>
      </c>
      <c r="I2822" s="341" t="str">
        <f t="shared" si="740"/>
        <v/>
      </c>
      <c r="J2822" s="341" t="str">
        <f>IF(A2822="","",VLOOKUP(A2822,VII.A!$A$10:$D$199,3,FALSE))</f>
        <v/>
      </c>
      <c r="K2822" s="342" t="str">
        <f t="shared" si="741"/>
        <v/>
      </c>
      <c r="L2822" s="380" t="str">
        <f>IF(C2822="","",G2795*C2822)</f>
        <v/>
      </c>
      <c r="M2822" s="381" t="str">
        <f>IF(A2822="","",VLOOKUP(A2822,VII.A!$A$10:$B$199,2,FALSE))</f>
        <v/>
      </c>
      <c r="N2822" s="342" t="str">
        <f t="shared" si="742"/>
        <v/>
      </c>
      <c r="R2822" s="341"/>
      <c r="S2822" s="341"/>
    </row>
    <row r="2823" spans="1:19" ht="12.75" customHeight="1">
      <c r="A2823" s="393"/>
      <c r="C2823" s="20"/>
      <c r="E2823" s="387"/>
      <c r="F2823" s="388">
        <f t="shared" si="739"/>
        <v>0</v>
      </c>
      <c r="H2823" s="341" t="str">
        <f>IF(A2823="","",VLOOKUP(A2823,VII.A!$A$10:$D$199,4,FALSE))</f>
        <v/>
      </c>
      <c r="I2823" s="341" t="str">
        <f t="shared" si="740"/>
        <v/>
      </c>
      <c r="J2823" s="341" t="str">
        <f>IF(A2823="","",VLOOKUP(A2823,VII.A!$A$10:$D$199,3,FALSE))</f>
        <v/>
      </c>
      <c r="K2823" s="342" t="str">
        <f t="shared" si="741"/>
        <v/>
      </c>
      <c r="L2823" s="380" t="str">
        <f>IF(C2823="","",G2795*C2823)</f>
        <v/>
      </c>
      <c r="M2823" s="381" t="str">
        <f>IF(A2823="","",VLOOKUP(A2823,VII.A!$A$10:$B$199,2,FALSE))</f>
        <v/>
      </c>
      <c r="N2823" s="342" t="str">
        <f t="shared" si="742"/>
        <v/>
      </c>
      <c r="R2823" s="341"/>
      <c r="S2823" s="341"/>
    </row>
    <row r="2824" spans="1:19" ht="12.75" customHeight="1">
      <c r="A2824" s="393"/>
      <c r="C2824" s="20"/>
      <c r="E2824" s="387"/>
      <c r="F2824" s="388">
        <f t="shared" si="739"/>
        <v>0</v>
      </c>
      <c r="H2824" s="341" t="str">
        <f>IF(A2824="","",VLOOKUP(A2824,VII.A!$A$10:$D$199,4,FALSE))</f>
        <v/>
      </c>
      <c r="I2824" s="341" t="str">
        <f t="shared" si="740"/>
        <v/>
      </c>
      <c r="J2824" s="341" t="str">
        <f>IF(A2824="","",VLOOKUP(A2824,VII.A!$A$10:$D$199,3,FALSE))</f>
        <v/>
      </c>
      <c r="K2824" s="342" t="str">
        <f t="shared" si="741"/>
        <v/>
      </c>
      <c r="L2824" s="380" t="str">
        <f>IF(C2824="","",G2795*C2824)</f>
        <v/>
      </c>
      <c r="M2824" s="381" t="str">
        <f>IF(A2824="","",VLOOKUP(A2824,VII.A!$A$10:$B$199,2,FALSE))</f>
        <v/>
      </c>
      <c r="N2824" s="342" t="str">
        <f t="shared" si="742"/>
        <v/>
      </c>
      <c r="R2824" s="341"/>
      <c r="S2824" s="341"/>
    </row>
    <row r="2825" spans="1:19" ht="12.75" customHeight="1">
      <c r="A2825" s="393"/>
      <c r="C2825" s="20"/>
      <c r="E2825" s="387"/>
      <c r="F2825" s="388">
        <f t="shared" si="739"/>
        <v>0</v>
      </c>
      <c r="H2825" s="341" t="str">
        <f>IF(A2825="","",VLOOKUP(A2825,VII.A!$A$10:$D$199,4,FALSE))</f>
        <v/>
      </c>
      <c r="I2825" s="341" t="str">
        <f t="shared" si="740"/>
        <v/>
      </c>
      <c r="J2825" s="341" t="str">
        <f>IF(A2825="","",VLOOKUP(A2825,VII.A!$A$10:$D$199,3,FALSE))</f>
        <v/>
      </c>
      <c r="K2825" s="342" t="str">
        <f t="shared" si="741"/>
        <v/>
      </c>
      <c r="L2825" s="380" t="str">
        <f>IF(C2825="","",G2795*C2825)</f>
        <v/>
      </c>
      <c r="M2825" s="381" t="str">
        <f>IF(A2825="","",VLOOKUP(A2825,VII.A!$A$10:$B$199,2,FALSE))</f>
        <v/>
      </c>
      <c r="N2825" s="342" t="str">
        <f t="shared" si="742"/>
        <v/>
      </c>
      <c r="R2825" s="341"/>
      <c r="S2825" s="341"/>
    </row>
    <row r="2826" spans="1:19" ht="12.75" customHeight="1">
      <c r="A2826" s="393"/>
      <c r="C2826" s="20"/>
      <c r="E2826" s="387"/>
      <c r="F2826" s="388">
        <f t="shared" si="739"/>
        <v>0</v>
      </c>
      <c r="H2826" s="341" t="str">
        <f>IF(A2826="","",VLOOKUP(A2826,VII.A!$A$10:$D$199,4,FALSE))</f>
        <v/>
      </c>
      <c r="I2826" s="341" t="str">
        <f t="shared" si="740"/>
        <v/>
      </c>
      <c r="J2826" s="341" t="str">
        <f>IF(A2826="","",VLOOKUP(A2826,VII.A!$A$10:$D$199,3,FALSE))</f>
        <v/>
      </c>
      <c r="K2826" s="342" t="str">
        <f t="shared" si="741"/>
        <v/>
      </c>
      <c r="L2826" s="380" t="str">
        <f>IF(C2826="","",G2795*C2826)</f>
        <v/>
      </c>
      <c r="M2826" s="381" t="str">
        <f>IF(A2826="","",VLOOKUP(A2826,VII.A!$A$10:$B$199,2,FALSE))</f>
        <v/>
      </c>
      <c r="N2826" s="342" t="str">
        <f t="shared" si="742"/>
        <v/>
      </c>
      <c r="R2826" s="341"/>
      <c r="S2826" s="341"/>
    </row>
    <row r="2827" spans="1:19" ht="12.75" customHeight="1">
      <c r="A2827" s="393"/>
      <c r="B2827" s="395" t="s">
        <v>226</v>
      </c>
      <c r="C2827" s="396"/>
      <c r="D2827" s="397"/>
      <c r="E2827" s="398"/>
      <c r="F2827" s="399">
        <f>SUM(F2817:F2826)</f>
        <v>0</v>
      </c>
      <c r="J2827" s="341"/>
      <c r="L2827" s="380"/>
      <c r="M2827" s="381"/>
      <c r="N2827" s="342"/>
      <c r="R2827" s="341"/>
      <c r="S2827" s="341"/>
    </row>
    <row r="2828" spans="1:19" ht="12.75" customHeight="1">
      <c r="A2828" s="393"/>
      <c r="B2828" s="400" t="s">
        <v>53</v>
      </c>
      <c r="C2828" s="2">
        <f>$D$8</f>
        <v>0</v>
      </c>
      <c r="D2828" s="401"/>
      <c r="E2828" s="402"/>
      <c r="F2828" s="403">
        <f>ROUND(C2828*F2827,2)</f>
        <v>0</v>
      </c>
      <c r="J2828" s="341"/>
      <c r="L2828" s="380"/>
      <c r="M2828" s="381"/>
      <c r="N2828" s="342"/>
      <c r="R2828" s="341"/>
      <c r="S2828" s="341"/>
    </row>
    <row r="2829" spans="1:19" ht="12.75" customHeight="1">
      <c r="A2829" s="404"/>
      <c r="B2829" s="405" t="s">
        <v>228</v>
      </c>
      <c r="C2829" s="406"/>
      <c r="D2829" s="406"/>
      <c r="E2829" s="407"/>
      <c r="F2829" s="408">
        <f>F2827+F2828</f>
        <v>0</v>
      </c>
      <c r="J2829" s="341"/>
      <c r="L2829" s="380"/>
      <c r="M2829" s="381"/>
      <c r="N2829" s="342"/>
      <c r="R2829" s="341"/>
      <c r="S2829" s="341"/>
    </row>
    <row r="2830" spans="1:19" ht="12.75" customHeight="1">
      <c r="A2830" s="409" t="s">
        <v>47</v>
      </c>
      <c r="B2830" s="410" t="s">
        <v>236</v>
      </c>
      <c r="C2830" s="411" t="s">
        <v>231</v>
      </c>
      <c r="D2830" s="412" t="s">
        <v>232</v>
      </c>
      <c r="E2830" s="413" t="s">
        <v>233</v>
      </c>
      <c r="F2830" s="378" t="s">
        <v>234</v>
      </c>
      <c r="J2830" s="341"/>
      <c r="L2830" s="380"/>
      <c r="M2830" s="381"/>
      <c r="N2830" s="342"/>
      <c r="R2830" s="341"/>
      <c r="S2830" s="341"/>
    </row>
    <row r="2831" spans="1:19" ht="12.75" customHeight="1">
      <c r="A2831" s="393" t="str">
        <f>VII.A!$A$192</f>
        <v>3.12</v>
      </c>
      <c r="B2831" s="394" t="str">
        <f>VII.A!B192</f>
        <v>PEDREIRO COM ENCARGOS COMPLEMENTARES</v>
      </c>
      <c r="C2831" s="20">
        <f>0.486+0.012</f>
        <v>0.498</v>
      </c>
      <c r="D2831" s="384" t="str">
        <f>VII.A!C192</f>
        <v>H</v>
      </c>
      <c r="E2831" s="387">
        <f>VII.A!D192</f>
        <v>0</v>
      </c>
      <c r="F2831" s="388">
        <f t="shared" ref="F2831:F2837" si="743">ROUND(C2831*E2831,2)</f>
        <v>0</v>
      </c>
      <c r="H2831" s="341">
        <f>IF(A2831="","",VLOOKUP(A2831,VII.A!$A$10:$D$199,4,FALSE))</f>
        <v>0</v>
      </c>
      <c r="I2831" s="341" t="str">
        <f t="shared" ref="I2831:I2837" si="744">IF(A2831="","",IF(E2831=H2831,"SIM","NÃO"))</f>
        <v>SIM</v>
      </c>
      <c r="J2831" s="341" t="str">
        <f>IF(A2831="","",VLOOKUP(A2831,VII.A!$A$10:$D$199,3,FALSE))</f>
        <v>H</v>
      </c>
      <c r="K2831" s="342" t="str">
        <f t="shared" ref="K2831:K2837" si="745">IF(A2831="","",IF(J2831=D2831,"SIM","NÃO"))</f>
        <v>SIM</v>
      </c>
      <c r="L2831" s="380">
        <f>IF(C2831="","",G2795*C2831)</f>
        <v>49.8</v>
      </c>
      <c r="M2831" s="381" t="str">
        <f>IF(A2831="","",VLOOKUP(A2831,VII.A!$A$10:$B$199,2,FALSE))</f>
        <v>PEDREIRO COM ENCARGOS COMPLEMENTARES</v>
      </c>
      <c r="N2831" s="342" t="str">
        <f t="shared" ref="N2831:N2837" si="746">IF(B2831="","",IF(M2831=B2831,"si","no"))</f>
        <v>si</v>
      </c>
      <c r="R2831" s="341"/>
      <c r="S2831" s="341"/>
    </row>
    <row r="2832" spans="1:19" ht="12.75" customHeight="1">
      <c r="A2832" s="393" t="str">
        <f>VII.A!$A$196</f>
        <v>3.16</v>
      </c>
      <c r="B2832" s="394" t="str">
        <f>VII.A!B196</f>
        <v>SERVENTE COM ENCARGOS COMPLEMENTARES</v>
      </c>
      <c r="C2832" s="20">
        <f>0.665+0.0019+0.0871+0.0871+0.0549</f>
        <v>0.89599999999999991</v>
      </c>
      <c r="D2832" s="384" t="str">
        <f>VII.A!C196</f>
        <v>H</v>
      </c>
      <c r="E2832" s="387">
        <f>VII.A!D196</f>
        <v>0</v>
      </c>
      <c r="F2832" s="388">
        <f t="shared" si="743"/>
        <v>0</v>
      </c>
      <c r="H2832" s="341">
        <f>IF(A2832="","",VLOOKUP(A2832,VII.A!$A$10:$D$199,4,FALSE))</f>
        <v>0</v>
      </c>
      <c r="I2832" s="341" t="str">
        <f t="shared" si="744"/>
        <v>SIM</v>
      </c>
      <c r="J2832" s="341" t="str">
        <f>IF(A2832="","",VLOOKUP(A2832,VII.A!$A$10:$D$199,3,FALSE))</f>
        <v>H</v>
      </c>
      <c r="K2832" s="342" t="str">
        <f t="shared" si="745"/>
        <v>SIM</v>
      </c>
      <c r="L2832" s="380">
        <f>IF(C2832="","",G2795*C2832)</f>
        <v>89.6</v>
      </c>
      <c r="M2832" s="381" t="str">
        <f>IF(A2832="","",VLOOKUP(A2832,VII.A!$A$10:$B$199,2,FALSE))</f>
        <v>SERVENTE COM ENCARGOS COMPLEMENTARES</v>
      </c>
      <c r="N2832" s="342" t="str">
        <f t="shared" si="746"/>
        <v>si</v>
      </c>
      <c r="R2832" s="341"/>
      <c r="S2832" s="341"/>
    </row>
    <row r="2833" spans="1:25" ht="12.75" customHeight="1">
      <c r="A2833" s="393"/>
      <c r="C2833" s="20"/>
      <c r="E2833" s="387"/>
      <c r="F2833" s="388">
        <f t="shared" si="743"/>
        <v>0</v>
      </c>
      <c r="H2833" s="341" t="str">
        <f>IF(A2833="","",VLOOKUP(A2833,VII.A!$A$10:$D$199,4,FALSE))</f>
        <v/>
      </c>
      <c r="I2833" s="341" t="str">
        <f t="shared" si="744"/>
        <v/>
      </c>
      <c r="J2833" s="341" t="str">
        <f>IF(A2833="","",VLOOKUP(A2833,VII.A!$A$10:$D$199,3,FALSE))</f>
        <v/>
      </c>
      <c r="K2833" s="342" t="str">
        <f t="shared" si="745"/>
        <v/>
      </c>
      <c r="L2833" s="380" t="str">
        <f>IF(C2833="","",G2795*C2833)</f>
        <v/>
      </c>
      <c r="M2833" s="381" t="str">
        <f>IF(A2833="","",VLOOKUP(A2833,VII.A!$A$10:$B$199,2,FALSE))</f>
        <v/>
      </c>
      <c r="N2833" s="342" t="str">
        <f t="shared" si="746"/>
        <v/>
      </c>
      <c r="R2833" s="341"/>
      <c r="S2833" s="341"/>
    </row>
    <row r="2834" spans="1:25" ht="12.75" customHeight="1">
      <c r="A2834" s="393"/>
      <c r="C2834" s="20"/>
      <c r="E2834" s="387"/>
      <c r="F2834" s="388">
        <f t="shared" si="743"/>
        <v>0</v>
      </c>
      <c r="H2834" s="341" t="str">
        <f>IF(A2834="","",VLOOKUP(A2834,VII.A!$A$10:$D$199,4,FALSE))</f>
        <v/>
      </c>
      <c r="I2834" s="341" t="str">
        <f t="shared" si="744"/>
        <v/>
      </c>
      <c r="J2834" s="341" t="str">
        <f>IF(A2834="","",VLOOKUP(A2834,VII.A!$A$10:$D$199,3,FALSE))</f>
        <v/>
      </c>
      <c r="K2834" s="342" t="str">
        <f t="shared" si="745"/>
        <v/>
      </c>
      <c r="L2834" s="380" t="str">
        <f>IF(C2834="","",G2795*C2834)</f>
        <v/>
      </c>
      <c r="M2834" s="381" t="str">
        <f>IF(A2834="","",VLOOKUP(A2834,VII.A!$A$10:$B$199,2,FALSE))</f>
        <v/>
      </c>
      <c r="N2834" s="342" t="str">
        <f t="shared" si="746"/>
        <v/>
      </c>
      <c r="R2834" s="341"/>
      <c r="S2834" s="341"/>
    </row>
    <row r="2835" spans="1:25" ht="12.75" customHeight="1">
      <c r="A2835" s="393"/>
      <c r="C2835" s="20"/>
      <c r="E2835" s="387"/>
      <c r="F2835" s="388">
        <f t="shared" si="743"/>
        <v>0</v>
      </c>
      <c r="H2835" s="341" t="str">
        <f>IF(A2835="","",VLOOKUP(A2835,VII.A!$A$10:$D$199,4,FALSE))</f>
        <v/>
      </c>
      <c r="I2835" s="341" t="str">
        <f t="shared" si="744"/>
        <v/>
      </c>
      <c r="J2835" s="341" t="str">
        <f>IF(A2835="","",VLOOKUP(A2835,VII.A!$A$10:$D$199,3,FALSE))</f>
        <v/>
      </c>
      <c r="K2835" s="342" t="str">
        <f t="shared" si="745"/>
        <v/>
      </c>
      <c r="L2835" s="380" t="str">
        <f>IF(C2835="","",G2795*C2835)</f>
        <v/>
      </c>
      <c r="M2835" s="381" t="str">
        <f>IF(A2835="","",VLOOKUP(A2835,VII.A!$A$10:$B$199,2,FALSE))</f>
        <v/>
      </c>
      <c r="N2835" s="342" t="str">
        <f t="shared" si="746"/>
        <v/>
      </c>
      <c r="R2835" s="341"/>
      <c r="S2835" s="341"/>
    </row>
    <row r="2836" spans="1:25" ht="12.75" customHeight="1">
      <c r="A2836" s="393"/>
      <c r="C2836" s="20"/>
      <c r="E2836" s="387"/>
      <c r="F2836" s="388">
        <f t="shared" si="743"/>
        <v>0</v>
      </c>
      <c r="H2836" s="341" t="str">
        <f>IF(A2836="","",VLOOKUP(A2836,VII.A!$A$10:$D$199,4,FALSE))</f>
        <v/>
      </c>
      <c r="I2836" s="341" t="str">
        <f t="shared" si="744"/>
        <v/>
      </c>
      <c r="J2836" s="341" t="str">
        <f>IF(A2836="","",VLOOKUP(A2836,VII.A!$A$10:$D$199,3,FALSE))</f>
        <v/>
      </c>
      <c r="K2836" s="342" t="str">
        <f t="shared" si="745"/>
        <v/>
      </c>
      <c r="L2836" s="380" t="str">
        <f>IF(C2836="","",G2795*C2836)</f>
        <v/>
      </c>
      <c r="M2836" s="381" t="str">
        <f>IF(A2836="","",VLOOKUP(A2836,VII.A!$A$10:$B$199,2,FALSE))</f>
        <v/>
      </c>
      <c r="N2836" s="342" t="str">
        <f t="shared" si="746"/>
        <v/>
      </c>
      <c r="R2836" s="341"/>
      <c r="S2836" s="341"/>
    </row>
    <row r="2837" spans="1:25" ht="12.75" customHeight="1">
      <c r="A2837" s="393"/>
      <c r="C2837" s="20"/>
      <c r="E2837" s="387"/>
      <c r="F2837" s="388">
        <f t="shared" si="743"/>
        <v>0</v>
      </c>
      <c r="H2837" s="341" t="str">
        <f>IF(A2837="","",VLOOKUP(A2837,VII.A!$A$10:$D$199,4,FALSE))</f>
        <v/>
      </c>
      <c r="I2837" s="341" t="str">
        <f t="shared" si="744"/>
        <v/>
      </c>
      <c r="J2837" s="341" t="str">
        <f>IF(A2837="","",VLOOKUP(A2837,VII.A!$A$10:$D$199,3,FALSE))</f>
        <v/>
      </c>
      <c r="K2837" s="342" t="str">
        <f t="shared" si="745"/>
        <v/>
      </c>
      <c r="L2837" s="380" t="str">
        <f>IF(C2837="","",G2795*C2837)</f>
        <v/>
      </c>
      <c r="M2837" s="381" t="str">
        <f>IF(A2837="","",VLOOKUP(A2837,VII.A!$A$10:$B$199,2,FALSE))</f>
        <v/>
      </c>
      <c r="N2837" s="342" t="str">
        <f t="shared" si="746"/>
        <v/>
      </c>
      <c r="R2837" s="341"/>
      <c r="S2837" s="341"/>
    </row>
    <row r="2838" spans="1:25" ht="12.75" customHeight="1">
      <c r="A2838" s="393"/>
      <c r="B2838" s="395" t="s">
        <v>226</v>
      </c>
      <c r="C2838" s="396"/>
      <c r="D2838" s="397"/>
      <c r="E2838" s="398"/>
      <c r="F2838" s="399">
        <f>SUM(F2831:F2837)</f>
        <v>0</v>
      </c>
      <c r="J2838" s="341"/>
      <c r="L2838" s="380"/>
      <c r="M2838" s="381"/>
      <c r="N2838" s="342"/>
      <c r="R2838" s="341"/>
      <c r="S2838" s="341"/>
    </row>
    <row r="2839" spans="1:25" ht="12.75" customHeight="1">
      <c r="A2839" s="393"/>
      <c r="B2839" s="400" t="s">
        <v>229</v>
      </c>
      <c r="C2839" s="2">
        <f>IX.A!$C$45</f>
        <v>0</v>
      </c>
      <c r="D2839" s="401"/>
      <c r="E2839" s="402"/>
      <c r="F2839" s="403">
        <f>ROUND(F2838*C2839,2)</f>
        <v>0</v>
      </c>
      <c r="J2839" s="341"/>
      <c r="L2839" s="380"/>
      <c r="M2839" s="381"/>
      <c r="N2839" s="342"/>
      <c r="R2839" s="341"/>
      <c r="S2839" s="341"/>
    </row>
    <row r="2840" spans="1:25" ht="12.75" customHeight="1">
      <c r="A2840" s="393"/>
      <c r="B2840" s="400" t="s">
        <v>53</v>
      </c>
      <c r="C2840" s="2">
        <f>$D$8</f>
        <v>0</v>
      </c>
      <c r="D2840" s="401"/>
      <c r="E2840" s="402"/>
      <c r="F2840" s="403">
        <f>ROUND(SUM(F2838:F2839)*C2840,2)</f>
        <v>0</v>
      </c>
      <c r="J2840" s="341"/>
      <c r="L2840" s="380"/>
      <c r="M2840" s="381"/>
      <c r="N2840" s="342"/>
      <c r="R2840" s="341"/>
      <c r="S2840" s="341"/>
    </row>
    <row r="2841" spans="1:25" ht="12.75" customHeight="1" thickBot="1">
      <c r="A2841" s="414"/>
      <c r="B2841" s="415" t="s">
        <v>230</v>
      </c>
      <c r="C2841" s="416"/>
      <c r="D2841" s="416"/>
      <c r="E2841" s="417"/>
      <c r="F2841" s="418">
        <f>SUM(F2838:F2840)</f>
        <v>0</v>
      </c>
      <c r="J2841" s="341"/>
      <c r="L2841" s="380"/>
      <c r="M2841" s="381"/>
      <c r="N2841" s="342"/>
      <c r="R2841" s="341"/>
      <c r="S2841" s="341"/>
    </row>
    <row r="2842" spans="1:25" ht="12.75" customHeight="1" thickBot="1">
      <c r="A2842" s="357"/>
      <c r="B2842" s="358"/>
      <c r="C2842" s="359"/>
      <c r="D2842" s="359"/>
      <c r="E2842" s="360"/>
      <c r="F2842" s="419"/>
      <c r="J2842" s="341"/>
      <c r="L2842" s="380"/>
      <c r="M2842" s="381"/>
      <c r="N2842" s="342"/>
      <c r="R2842" s="341"/>
      <c r="S2842" s="341"/>
    </row>
    <row r="2843" spans="1:25" ht="30" customHeight="1">
      <c r="A2843" s="370" t="str">
        <f>IV.A!$A$92</f>
        <v>3.8.1</v>
      </c>
      <c r="B2843" s="371" t="str">
        <f>IV.A!B92</f>
        <v xml:space="preserve">CHAPISCO COM ARGAMASSA DE CIMENTO E AREIA TRAÇO 1:3, E=5 MM </v>
      </c>
      <c r="C2843" s="871" t="s">
        <v>237</v>
      </c>
      <c r="D2843" s="872"/>
      <c r="E2843" s="372" t="str">
        <f>IV.A!$C$92</f>
        <v>M2</v>
      </c>
      <c r="F2843" s="11">
        <f>ROUND(F2863+F2877+F2889,2)</f>
        <v>0</v>
      </c>
      <c r="G2843" s="1">
        <f>VLOOKUP(A2843,IV.A!$A$16:$L$172,4,FALSE)</f>
        <v>125</v>
      </c>
      <c r="H2843" s="361">
        <f>SUM(F2845:F2860)+F2862</f>
        <v>0</v>
      </c>
      <c r="I2843" s="361">
        <f>SUM(F2865:F2874)+F2876</f>
        <v>0</v>
      </c>
      <c r="J2843" s="361">
        <f>SUM(F2879:F2885)+F2887+F2888</f>
        <v>0</v>
      </c>
      <c r="K2843" s="361">
        <f>SUM(H2843:J2843)</f>
        <v>0</v>
      </c>
      <c r="L2843" s="362" t="str">
        <f>IF(K2843=F2843,"SIM","NÃO")</f>
        <v>SIM</v>
      </c>
      <c r="M2843" s="373">
        <f>ROUND(SUM(F2845:F2860),2)+ROUND(SUM(F2845:F2860)*C2862,2)+ROUND(SUM(F2865:F2874)*C2876,2)+ROUND(SUM(F2865:F2874),2)+ROUND(SUM(F2879:F2885)*C2887,2)+ROUND((SUM(F2879:F2885)+ROUND(SUM(F2879:F2885)*C2887,2))*C2888,2)+ROUND(SUM(F2879:F2885),2)</f>
        <v>0</v>
      </c>
      <c r="N2843" s="343" t="str">
        <f>IF(M2843=F2843,"SIM","NÃO")</f>
        <v>SIM</v>
      </c>
      <c r="O2843" s="364" t="str">
        <f>VLOOKUP(A2843,IV.A!$A$16:$E$172,3,FALSE)</f>
        <v>M2</v>
      </c>
      <c r="P2843" s="344" t="str">
        <f>IF(O2843=E2843,"SIM","NÃO")</f>
        <v>SIM</v>
      </c>
      <c r="Q2843" s="365">
        <f>ROUND(G2843*F2863,2)+ROUND(G2843*F2877,2)+ROUND(G2843*F2889,2)</f>
        <v>0</v>
      </c>
      <c r="R2843" s="364">
        <f>VLOOKUP(A2843,IV.A!$A$16:$L$172,12,FALSE)</f>
        <v>0</v>
      </c>
      <c r="S2843" s="366" t="str">
        <f>IF(Q2843=R2843,"si","no")</f>
        <v>si</v>
      </c>
      <c r="T2843" s="367">
        <f>SUM(L2845:L2860)+SUM(L2865:L2874)+SUM(L2879:L2885)</f>
        <v>252.31925000000001</v>
      </c>
      <c r="U2843" s="341">
        <f>(SUM(C2845:C2860)+SUM(C2865:C2874)+SUM(C2879:C2885))*G2843</f>
        <v>252.31924999999998</v>
      </c>
      <c r="V2843" s="368" t="str">
        <f>IF(T2843=U2843,"si","no")</f>
        <v>si</v>
      </c>
      <c r="W2843" s="369">
        <f>SUM(F2845:F2860)</f>
        <v>0</v>
      </c>
      <c r="X2843" s="369">
        <f>SUM(F2865:F2874)</f>
        <v>0</v>
      </c>
      <c r="Y2843" s="369">
        <f>SUM(F2879:F2885)</f>
        <v>0</v>
      </c>
    </row>
    <row r="2844" spans="1:25" ht="12.75" customHeight="1">
      <c r="A2844" s="374" t="s">
        <v>14</v>
      </c>
      <c r="B2844" s="375" t="s">
        <v>132</v>
      </c>
      <c r="C2844" s="376" t="s">
        <v>231</v>
      </c>
      <c r="D2844" s="376" t="s">
        <v>232</v>
      </c>
      <c r="E2844" s="377" t="s">
        <v>233</v>
      </c>
      <c r="F2844" s="378" t="s">
        <v>234</v>
      </c>
      <c r="G2844" s="379"/>
      <c r="J2844" s="341"/>
      <c r="L2844" s="380"/>
      <c r="M2844" s="381"/>
      <c r="N2844" s="342"/>
      <c r="O2844" s="382"/>
      <c r="P2844" s="383"/>
      <c r="Q2844" s="383"/>
      <c r="R2844" s="383"/>
      <c r="S2844" s="383"/>
      <c r="T2844" s="382"/>
      <c r="U2844" s="341"/>
      <c r="V2844" s="384"/>
      <c r="W2844" s="384"/>
      <c r="X2844" s="384"/>
      <c r="Y2844" s="384"/>
    </row>
    <row r="2845" spans="1:25" ht="12.75" customHeight="1">
      <c r="A2845" s="385" t="str">
        <f>VII.A!$A$19</f>
        <v>1.10</v>
      </c>
      <c r="B2845" s="386" t="str">
        <f>VLOOKUP(A2845,VII.A!$A$10:$G$199,2,FALSE)</f>
        <v>AREIA MÉDIA LAVADA</v>
      </c>
      <c r="C2845" s="20">
        <v>4.4520000000000002E-3</v>
      </c>
      <c r="D2845" s="342" t="str">
        <f>VLOOKUP(A2845,VII.A!$A$10:$G$199,3,FALSE)</f>
        <v>M3</v>
      </c>
      <c r="E2845" s="387">
        <f>VII.A!D19</f>
        <v>0</v>
      </c>
      <c r="F2845" s="388">
        <f>ROUND(C2845*E2845,2)</f>
        <v>0</v>
      </c>
      <c r="H2845" s="341">
        <f>IF(A2845="","",VLOOKUP(A2845,VII.A!$A$10:$D$199,4,FALSE))</f>
        <v>0</v>
      </c>
      <c r="I2845" s="341" t="str">
        <f t="shared" ref="I2845:I2860" si="747">IF(A2845="","",IF(E2845=H2845,"SIM","NÃO"))</f>
        <v>SIM</v>
      </c>
      <c r="J2845" s="341" t="str">
        <f>IF(A2845="","",VLOOKUP(A2845,VII.A!$A$10:$D$199,3,FALSE))</f>
        <v>M3</v>
      </c>
      <c r="K2845" s="342" t="str">
        <f t="shared" ref="K2845:K2860" si="748">IF(A2845="","",IF(J2845=D2845,"SIM","NÃO"))</f>
        <v>SIM</v>
      </c>
      <c r="L2845" s="380">
        <f>IF(C2845="","",G2843*C2845)</f>
        <v>0.55649999999999999</v>
      </c>
      <c r="M2845" s="381" t="str">
        <f>IF(A2845="","",VLOOKUP(A2845,VII.A!$A$10:$B$199,2,FALSE))</f>
        <v>AREIA MÉDIA LAVADA</v>
      </c>
      <c r="N2845" s="342" t="str">
        <f t="shared" ref="N2845:N2860" si="749">IF(B2845="","",IF(M2845=B2845,"si","no"))</f>
        <v>si</v>
      </c>
      <c r="R2845" s="341"/>
      <c r="S2845" s="341"/>
    </row>
    <row r="2846" spans="1:25" ht="12.75" customHeight="1">
      <c r="A2846" s="385" t="str">
        <f>VII.A!$A$38</f>
        <v>1.29</v>
      </c>
      <c r="B2846" s="386" t="str">
        <f>VLOOKUP(A2846,VII.A!$A$10:$G$199,2,FALSE)</f>
        <v>CIMENTO PORTLAND CP II-E-32</v>
      </c>
      <c r="C2846" s="20">
        <v>1.7041499999999998</v>
      </c>
      <c r="D2846" s="342" t="str">
        <f>VLOOKUP(A2846,VII.A!$A$10:$G$199,3,FALSE)</f>
        <v>KG</v>
      </c>
      <c r="E2846" s="387">
        <f>VII.A!D38</f>
        <v>0</v>
      </c>
      <c r="F2846" s="388">
        <f t="shared" ref="F2846:F2860" si="750">ROUND(C2846*E2846,2)</f>
        <v>0</v>
      </c>
      <c r="H2846" s="341">
        <f>IF(A2846="","",VLOOKUP(A2846,VII.A!$A$10:$D$199,4,FALSE))</f>
        <v>0</v>
      </c>
      <c r="I2846" s="341" t="str">
        <f t="shared" si="747"/>
        <v>SIM</v>
      </c>
      <c r="J2846" s="341" t="str">
        <f>IF(A2846="","",VLOOKUP(A2846,VII.A!$A$10:$D$199,3,FALSE))</f>
        <v>KG</v>
      </c>
      <c r="K2846" s="342" t="str">
        <f t="shared" si="748"/>
        <v>SIM</v>
      </c>
      <c r="L2846" s="380">
        <f>IF(C2846="","",G2843*C2846)</f>
        <v>213.01874999999998</v>
      </c>
      <c r="M2846" s="381" t="str">
        <f>IF(A2846="","",VLOOKUP(A2846,VII.A!$A$10:$B$199,2,FALSE))</f>
        <v>CIMENTO PORTLAND CP II-E-32</v>
      </c>
      <c r="N2846" s="342" t="str">
        <f t="shared" si="749"/>
        <v>si</v>
      </c>
      <c r="R2846" s="341"/>
      <c r="S2846" s="341"/>
    </row>
    <row r="2847" spans="1:25" ht="12.75" customHeight="1">
      <c r="A2847" s="385"/>
      <c r="B2847" s="386"/>
      <c r="C2847" s="20"/>
      <c r="D2847" s="342"/>
      <c r="E2847" s="387"/>
      <c r="F2847" s="388">
        <f t="shared" si="750"/>
        <v>0</v>
      </c>
      <c r="H2847" s="341" t="str">
        <f>IF(A2847="","",VLOOKUP(A2847,VII.A!$A$10:$D$199,4,FALSE))</f>
        <v/>
      </c>
      <c r="I2847" s="341" t="str">
        <f t="shared" si="747"/>
        <v/>
      </c>
      <c r="J2847" s="341" t="str">
        <f>IF(A2847="","",VLOOKUP(A2847,VII.A!$A$10:$D$199,3,FALSE))</f>
        <v/>
      </c>
      <c r="K2847" s="342" t="str">
        <f t="shared" si="748"/>
        <v/>
      </c>
      <c r="L2847" s="380" t="str">
        <f>IF(C2847="","",G2843*C2847)</f>
        <v/>
      </c>
      <c r="M2847" s="381" t="str">
        <f>IF(A2847="","",VLOOKUP(A2847,VII.A!$A$10:$B$199,2,FALSE))</f>
        <v/>
      </c>
      <c r="N2847" s="342" t="str">
        <f t="shared" si="749"/>
        <v/>
      </c>
      <c r="R2847" s="341"/>
      <c r="S2847" s="341"/>
    </row>
    <row r="2848" spans="1:25" ht="12.75" customHeight="1">
      <c r="A2848" s="385"/>
      <c r="B2848" s="386"/>
      <c r="C2848" s="20"/>
      <c r="D2848" s="342"/>
      <c r="E2848" s="387"/>
      <c r="F2848" s="388">
        <f t="shared" si="750"/>
        <v>0</v>
      </c>
      <c r="H2848" s="341" t="str">
        <f>IF(A2848="","",VLOOKUP(A2848,VII.A!$A$10:$D$199,4,FALSE))</f>
        <v/>
      </c>
      <c r="I2848" s="341" t="str">
        <f t="shared" si="747"/>
        <v/>
      </c>
      <c r="J2848" s="341" t="str">
        <f>IF(A2848="","",VLOOKUP(A2848,VII.A!$A$10:$D$199,3,FALSE))</f>
        <v/>
      </c>
      <c r="K2848" s="342" t="str">
        <f t="shared" si="748"/>
        <v/>
      </c>
      <c r="L2848" s="380" t="str">
        <f>IF(C2848="","",G2843*C2848)</f>
        <v/>
      </c>
      <c r="M2848" s="381" t="str">
        <f>IF(A2848="","",VLOOKUP(A2848,VII.A!$A$10:$B$199,2,FALSE))</f>
        <v/>
      </c>
      <c r="N2848" s="342" t="str">
        <f t="shared" si="749"/>
        <v/>
      </c>
      <c r="R2848" s="341"/>
      <c r="S2848" s="341"/>
    </row>
    <row r="2849" spans="1:21" ht="12.75" customHeight="1">
      <c r="A2849" s="385"/>
      <c r="B2849" s="386"/>
      <c r="C2849" s="20"/>
      <c r="D2849" s="342"/>
      <c r="E2849" s="387"/>
      <c r="F2849" s="388">
        <f t="shared" si="750"/>
        <v>0</v>
      </c>
      <c r="H2849" s="341" t="str">
        <f>IF(A2849="","",VLOOKUP(A2849,VII.A!$A$10:$D$199,4,FALSE))</f>
        <v/>
      </c>
      <c r="I2849" s="341" t="str">
        <f t="shared" si="747"/>
        <v/>
      </c>
      <c r="J2849" s="341" t="str">
        <f>IF(A2849="","",VLOOKUP(A2849,VII.A!$A$10:$D$199,3,FALSE))</f>
        <v/>
      </c>
      <c r="K2849" s="342" t="str">
        <f t="shared" si="748"/>
        <v/>
      </c>
      <c r="L2849" s="380" t="str">
        <f>IF(C2849="","",G2843*C2849)</f>
        <v/>
      </c>
      <c r="M2849" s="381" t="str">
        <f>IF(A2849="","",VLOOKUP(A2849,VII.A!$A$10:$B$199,2,FALSE))</f>
        <v/>
      </c>
      <c r="N2849" s="342" t="str">
        <f t="shared" si="749"/>
        <v/>
      </c>
      <c r="R2849" s="341"/>
      <c r="S2849" s="341"/>
    </row>
    <row r="2850" spans="1:21" ht="12.75" customHeight="1">
      <c r="A2850" s="385"/>
      <c r="B2850" s="386"/>
      <c r="C2850" s="20"/>
      <c r="D2850" s="342"/>
      <c r="E2850" s="387"/>
      <c r="F2850" s="388">
        <f t="shared" si="750"/>
        <v>0</v>
      </c>
      <c r="H2850" s="341" t="str">
        <f>IF(A2850="","",VLOOKUP(A2850,VII.A!$A$10:$D$199,4,FALSE))</f>
        <v/>
      </c>
      <c r="I2850" s="341" t="str">
        <f t="shared" si="747"/>
        <v/>
      </c>
      <c r="J2850" s="341" t="str">
        <f>IF(A2850="","",VLOOKUP(A2850,VII.A!$A$10:$D$199,3,FALSE))</f>
        <v/>
      </c>
      <c r="K2850" s="342" t="str">
        <f t="shared" si="748"/>
        <v/>
      </c>
      <c r="L2850" s="380" t="str">
        <f>IF(C2850="","",G2843*C2850)</f>
        <v/>
      </c>
      <c r="M2850" s="381" t="str">
        <f>IF(A2850="","",VLOOKUP(A2850,VII.A!$A$10:$B$199,2,FALSE))</f>
        <v/>
      </c>
      <c r="N2850" s="342" t="str">
        <f t="shared" si="749"/>
        <v/>
      </c>
      <c r="R2850" s="341"/>
      <c r="S2850" s="341"/>
      <c r="U2850" s="389"/>
    </row>
    <row r="2851" spans="1:21" ht="12.75" customHeight="1">
      <c r="A2851" s="385"/>
      <c r="B2851" s="386"/>
      <c r="C2851" s="20"/>
      <c r="D2851" s="342"/>
      <c r="E2851" s="387"/>
      <c r="F2851" s="388">
        <f t="shared" si="750"/>
        <v>0</v>
      </c>
      <c r="H2851" s="341" t="str">
        <f>IF(A2851="","",VLOOKUP(A2851,VII.A!$A$10:$D$199,4,FALSE))</f>
        <v/>
      </c>
      <c r="I2851" s="341" t="str">
        <f t="shared" si="747"/>
        <v/>
      </c>
      <c r="J2851" s="341" t="str">
        <f>IF(A2851="","",VLOOKUP(A2851,VII.A!$A$10:$D$199,3,FALSE))</f>
        <v/>
      </c>
      <c r="K2851" s="342" t="str">
        <f t="shared" si="748"/>
        <v/>
      </c>
      <c r="L2851" s="380" t="str">
        <f>IF(C2851="","",G2843*C2851)</f>
        <v/>
      </c>
      <c r="M2851" s="381" t="str">
        <f>IF(A2851="","",VLOOKUP(A2851,VII.A!$A$10:$B$199,2,FALSE))</f>
        <v/>
      </c>
      <c r="N2851" s="342" t="str">
        <f t="shared" si="749"/>
        <v/>
      </c>
      <c r="R2851" s="341"/>
      <c r="S2851" s="341"/>
    </row>
    <row r="2852" spans="1:21" ht="12.75" customHeight="1">
      <c r="A2852" s="385"/>
      <c r="B2852" s="386"/>
      <c r="C2852" s="20"/>
      <c r="D2852" s="342"/>
      <c r="E2852" s="387"/>
      <c r="F2852" s="388">
        <f t="shared" si="750"/>
        <v>0</v>
      </c>
      <c r="G2852" s="390"/>
      <c r="H2852" s="341" t="str">
        <f>IF(A2852="","",VLOOKUP(A2852,VII.A!$A$10:$D$199,4,FALSE))</f>
        <v/>
      </c>
      <c r="I2852" s="341" t="str">
        <f t="shared" si="747"/>
        <v/>
      </c>
      <c r="J2852" s="341" t="str">
        <f>IF(A2852="","",VLOOKUP(A2852,VII.A!$A$10:$D$199,3,FALSE))</f>
        <v/>
      </c>
      <c r="K2852" s="342" t="str">
        <f t="shared" si="748"/>
        <v/>
      </c>
      <c r="L2852" s="380" t="str">
        <f>IF(C2852="","",G2843*C2852)</f>
        <v/>
      </c>
      <c r="M2852" s="381" t="str">
        <f>IF(A2852="","",VLOOKUP(A2852,VII.A!$A$10:$B$199,2,FALSE))</f>
        <v/>
      </c>
      <c r="N2852" s="342" t="str">
        <f t="shared" si="749"/>
        <v/>
      </c>
      <c r="R2852" s="341"/>
      <c r="S2852" s="341"/>
    </row>
    <row r="2853" spans="1:21" ht="12.75" customHeight="1">
      <c r="A2853" s="385"/>
      <c r="B2853" s="386"/>
      <c r="C2853" s="20"/>
      <c r="D2853" s="342"/>
      <c r="E2853" s="387"/>
      <c r="F2853" s="388">
        <f t="shared" si="750"/>
        <v>0</v>
      </c>
      <c r="G2853" s="390"/>
      <c r="H2853" s="341" t="str">
        <f>IF(A2853="","",VLOOKUP(A2853,VII.A!$A$10:$D$199,4,FALSE))</f>
        <v/>
      </c>
      <c r="I2853" s="341" t="str">
        <f t="shared" si="747"/>
        <v/>
      </c>
      <c r="J2853" s="341" t="str">
        <f>IF(A2853="","",VLOOKUP(A2853,VII.A!$A$10:$D$199,3,FALSE))</f>
        <v/>
      </c>
      <c r="K2853" s="342" t="str">
        <f t="shared" si="748"/>
        <v/>
      </c>
      <c r="L2853" s="380" t="str">
        <f>IF(C2853="","",G2843*C2853)</f>
        <v/>
      </c>
      <c r="M2853" s="381" t="str">
        <f>IF(A2853="","",VLOOKUP(A2853,VII.A!$A$10:$B$199,2,FALSE))</f>
        <v/>
      </c>
      <c r="N2853" s="342" t="str">
        <f t="shared" si="749"/>
        <v/>
      </c>
      <c r="R2853" s="341"/>
      <c r="S2853" s="341"/>
    </row>
    <row r="2854" spans="1:21" ht="12.75" customHeight="1">
      <c r="A2854" s="385"/>
      <c r="B2854" s="386"/>
      <c r="C2854" s="20"/>
      <c r="D2854" s="342"/>
      <c r="E2854" s="387"/>
      <c r="F2854" s="388">
        <f t="shared" si="750"/>
        <v>0</v>
      </c>
      <c r="G2854" s="391"/>
      <c r="H2854" s="341" t="str">
        <f>IF(A2854="","",VLOOKUP(A2854,VII.A!$A$10:$D$199,4,FALSE))</f>
        <v/>
      </c>
      <c r="I2854" s="341" t="str">
        <f t="shared" si="747"/>
        <v/>
      </c>
      <c r="J2854" s="341" t="str">
        <f>IF(A2854="","",VLOOKUP(A2854,VII.A!$A$10:$D$199,3,FALSE))</f>
        <v/>
      </c>
      <c r="K2854" s="342" t="str">
        <f t="shared" si="748"/>
        <v/>
      </c>
      <c r="L2854" s="380" t="str">
        <f>IF(C2854="","",G2843*C2854)</f>
        <v/>
      </c>
      <c r="M2854" s="381" t="str">
        <f>IF(A2854="","",VLOOKUP(A2854,VII.A!$A$10:$B$199,2,FALSE))</f>
        <v/>
      </c>
      <c r="N2854" s="342" t="str">
        <f t="shared" si="749"/>
        <v/>
      </c>
      <c r="R2854" s="341"/>
      <c r="S2854" s="341"/>
    </row>
    <row r="2855" spans="1:21" ht="12.75" customHeight="1">
      <c r="A2855" s="385"/>
      <c r="B2855" s="386"/>
      <c r="C2855" s="20"/>
      <c r="D2855" s="342"/>
      <c r="E2855" s="387"/>
      <c r="F2855" s="388">
        <f t="shared" si="750"/>
        <v>0</v>
      </c>
      <c r="H2855" s="341" t="str">
        <f>IF(A2855="","",VLOOKUP(A2855,VII.A!$A$10:$D$199,4,FALSE))</f>
        <v/>
      </c>
      <c r="I2855" s="341" t="str">
        <f t="shared" si="747"/>
        <v/>
      </c>
      <c r="J2855" s="341" t="str">
        <f>IF(A2855="","",VLOOKUP(A2855,VII.A!$A$10:$D$199,3,FALSE))</f>
        <v/>
      </c>
      <c r="K2855" s="342" t="str">
        <f t="shared" si="748"/>
        <v/>
      </c>
      <c r="L2855" s="380" t="str">
        <f>IF(C2855="","",G2843*C2855)</f>
        <v/>
      </c>
      <c r="M2855" s="381" t="str">
        <f>IF(A2855="","",VLOOKUP(A2855,VII.A!$A$10:$B$199,2,FALSE))</f>
        <v/>
      </c>
      <c r="N2855" s="342" t="str">
        <f t="shared" si="749"/>
        <v/>
      </c>
      <c r="R2855" s="341"/>
      <c r="S2855" s="341"/>
    </row>
    <row r="2856" spans="1:21" ht="12.75" customHeight="1">
      <c r="A2856" s="385"/>
      <c r="B2856" s="386"/>
      <c r="C2856" s="20"/>
      <c r="D2856" s="392"/>
      <c r="E2856" s="387"/>
      <c r="F2856" s="388">
        <f t="shared" si="750"/>
        <v>0</v>
      </c>
      <c r="H2856" s="341" t="str">
        <f>IF(A2856="","",VLOOKUP(A2856,VII.A!$A$10:$D$199,4,FALSE))</f>
        <v/>
      </c>
      <c r="I2856" s="341" t="str">
        <f t="shared" si="747"/>
        <v/>
      </c>
      <c r="J2856" s="341" t="str">
        <f>IF(A2856="","",VLOOKUP(A2856,VII.A!$A$10:$D$199,3,FALSE))</f>
        <v/>
      </c>
      <c r="K2856" s="342" t="str">
        <f t="shared" si="748"/>
        <v/>
      </c>
      <c r="L2856" s="380" t="str">
        <f>IF(C2856="","",G2843*C2856)</f>
        <v/>
      </c>
      <c r="M2856" s="381" t="str">
        <f>IF(A2856="","",VLOOKUP(A2856,VII.A!$A$10:$B$199,2,FALSE))</f>
        <v/>
      </c>
      <c r="N2856" s="342" t="str">
        <f t="shared" si="749"/>
        <v/>
      </c>
      <c r="R2856" s="341"/>
      <c r="S2856" s="341"/>
    </row>
    <row r="2857" spans="1:21" ht="12.75" customHeight="1">
      <c r="A2857" s="385"/>
      <c r="B2857" s="386"/>
      <c r="C2857" s="20"/>
      <c r="D2857" s="392"/>
      <c r="E2857" s="387"/>
      <c r="F2857" s="388">
        <f t="shared" si="750"/>
        <v>0</v>
      </c>
      <c r="H2857" s="341" t="str">
        <f>IF(A2857="","",VLOOKUP(A2857,VII.A!$A$10:$D$199,4,FALSE))</f>
        <v/>
      </c>
      <c r="I2857" s="341" t="str">
        <f t="shared" si="747"/>
        <v/>
      </c>
      <c r="J2857" s="341" t="str">
        <f>IF(A2857="","",VLOOKUP(A2857,VII.A!$A$10:$D$199,3,FALSE))</f>
        <v/>
      </c>
      <c r="K2857" s="342" t="str">
        <f t="shared" si="748"/>
        <v/>
      </c>
      <c r="L2857" s="380" t="str">
        <f>IF(C2857="","",G2843*C2857)</f>
        <v/>
      </c>
      <c r="M2857" s="381" t="str">
        <f>IF(A2857="","",VLOOKUP(A2857,VII.A!$A$10:$B$199,2,FALSE))</f>
        <v/>
      </c>
      <c r="N2857" s="342" t="str">
        <f t="shared" si="749"/>
        <v/>
      </c>
      <c r="O2857" s="342"/>
      <c r="R2857" s="341"/>
      <c r="S2857" s="341"/>
    </row>
    <row r="2858" spans="1:21" ht="12.75" customHeight="1">
      <c r="A2858" s="385"/>
      <c r="B2858" s="386"/>
      <c r="C2858" s="20"/>
      <c r="D2858" s="392"/>
      <c r="E2858" s="387"/>
      <c r="F2858" s="388">
        <f t="shared" si="750"/>
        <v>0</v>
      </c>
      <c r="H2858" s="341" t="str">
        <f>IF(A2858="","",VLOOKUP(A2858,VII.A!$A$10:$D$199,4,FALSE))</f>
        <v/>
      </c>
      <c r="I2858" s="341" t="str">
        <f t="shared" si="747"/>
        <v/>
      </c>
      <c r="J2858" s="341" t="str">
        <f>IF(A2858="","",VLOOKUP(A2858,VII.A!$A$10:$D$199,3,FALSE))</f>
        <v/>
      </c>
      <c r="K2858" s="342" t="str">
        <f t="shared" si="748"/>
        <v/>
      </c>
      <c r="L2858" s="380" t="str">
        <f>IF(C2858="","",G2843*C2858)</f>
        <v/>
      </c>
      <c r="M2858" s="381" t="str">
        <f>IF(A2858="","",VLOOKUP(A2858,VII.A!$A$10:$B$199,2,FALSE))</f>
        <v/>
      </c>
      <c r="N2858" s="342" t="str">
        <f t="shared" si="749"/>
        <v/>
      </c>
      <c r="R2858" s="341"/>
      <c r="S2858" s="341"/>
    </row>
    <row r="2859" spans="1:21" ht="12.75" customHeight="1">
      <c r="A2859" s="393"/>
      <c r="C2859" s="20"/>
      <c r="E2859" s="387"/>
      <c r="F2859" s="388">
        <f t="shared" si="750"/>
        <v>0</v>
      </c>
      <c r="H2859" s="341" t="str">
        <f>IF(A2859="","",VLOOKUP(A2859,VII.A!$A$10:$D$199,4,FALSE))</f>
        <v/>
      </c>
      <c r="I2859" s="341" t="str">
        <f t="shared" si="747"/>
        <v/>
      </c>
      <c r="J2859" s="341" t="str">
        <f>IF(A2859="","",VLOOKUP(A2859,VII.A!$A$10:$D$199,3,FALSE))</f>
        <v/>
      </c>
      <c r="K2859" s="342" t="str">
        <f t="shared" si="748"/>
        <v/>
      </c>
      <c r="L2859" s="380" t="str">
        <f>IF(C2859="","",G2843*C2859)</f>
        <v/>
      </c>
      <c r="M2859" s="381" t="str">
        <f>IF(A2859="","",VLOOKUP(A2859,VII.A!$A$10:$B$199,2,FALSE))</f>
        <v/>
      </c>
      <c r="N2859" s="342" t="str">
        <f t="shared" si="749"/>
        <v/>
      </c>
      <c r="R2859" s="341"/>
      <c r="S2859" s="341"/>
    </row>
    <row r="2860" spans="1:21" ht="12.75" customHeight="1">
      <c r="A2860" s="393"/>
      <c r="C2860" s="20"/>
      <c r="E2860" s="387"/>
      <c r="F2860" s="388">
        <f t="shared" si="750"/>
        <v>0</v>
      </c>
      <c r="H2860" s="341" t="str">
        <f>IF(A2860="","",VLOOKUP(A2860,VII.A!$A$10:$D$199,4,FALSE))</f>
        <v/>
      </c>
      <c r="I2860" s="341" t="str">
        <f t="shared" si="747"/>
        <v/>
      </c>
      <c r="J2860" s="341" t="str">
        <f>IF(A2860="","",VLOOKUP(A2860,VII.A!$A$10:$D$199,3,FALSE))</f>
        <v/>
      </c>
      <c r="K2860" s="342" t="str">
        <f t="shared" si="748"/>
        <v/>
      </c>
      <c r="L2860" s="380" t="str">
        <f>IF(C2860="","",G2843*C2860)</f>
        <v/>
      </c>
      <c r="M2860" s="381" t="str">
        <f>IF(A2860="","",VLOOKUP(A2860,VII.A!$A$10:$B$199,2,FALSE))</f>
        <v/>
      </c>
      <c r="N2860" s="342" t="str">
        <f t="shared" si="749"/>
        <v/>
      </c>
      <c r="R2860" s="341"/>
      <c r="S2860" s="341"/>
    </row>
    <row r="2861" spans="1:21" ht="12.75" customHeight="1">
      <c r="A2861" s="393"/>
      <c r="B2861" s="395" t="s">
        <v>226</v>
      </c>
      <c r="C2861" s="396"/>
      <c r="D2861" s="397"/>
      <c r="E2861" s="398"/>
      <c r="F2861" s="399">
        <f>SUM(F2845:F2860)</f>
        <v>0</v>
      </c>
      <c r="H2861" s="426" t="s">
        <v>434</v>
      </c>
      <c r="J2861" s="341"/>
      <c r="L2861" s="380"/>
      <c r="M2861" s="381"/>
      <c r="N2861" s="342"/>
      <c r="R2861" s="341"/>
      <c r="S2861" s="341"/>
    </row>
    <row r="2862" spans="1:21" ht="12.75" customHeight="1">
      <c r="A2862" s="393"/>
      <c r="B2862" s="400" t="s">
        <v>53</v>
      </c>
      <c r="C2862" s="2">
        <f>$D$8</f>
        <v>0</v>
      </c>
      <c r="D2862" s="401"/>
      <c r="E2862" s="402"/>
      <c r="F2862" s="403">
        <f>ROUND(F2861*C2862,2)</f>
        <v>0</v>
      </c>
      <c r="H2862" s="341" t="s">
        <v>494</v>
      </c>
      <c r="J2862" s="341"/>
      <c r="L2862" s="380"/>
      <c r="M2862" s="381"/>
      <c r="N2862" s="342"/>
      <c r="R2862" s="341"/>
      <c r="S2862" s="341"/>
    </row>
    <row r="2863" spans="1:21" ht="12.75" customHeight="1">
      <c r="A2863" s="404"/>
      <c r="B2863" s="405" t="s">
        <v>227</v>
      </c>
      <c r="C2863" s="406"/>
      <c r="D2863" s="406"/>
      <c r="E2863" s="407"/>
      <c r="F2863" s="408">
        <f>F2861+F2862</f>
        <v>0</v>
      </c>
      <c r="J2863" s="341"/>
      <c r="L2863" s="380"/>
      <c r="M2863" s="381"/>
      <c r="N2863" s="342"/>
      <c r="R2863" s="341"/>
      <c r="S2863" s="341"/>
    </row>
    <row r="2864" spans="1:21" ht="12.75" customHeight="1">
      <c r="A2864" s="374" t="s">
        <v>2</v>
      </c>
      <c r="B2864" s="375" t="s">
        <v>235</v>
      </c>
      <c r="C2864" s="376" t="s">
        <v>231</v>
      </c>
      <c r="D2864" s="376" t="s">
        <v>232</v>
      </c>
      <c r="E2864" s="377" t="s">
        <v>233</v>
      </c>
      <c r="F2864" s="378" t="s">
        <v>234</v>
      </c>
      <c r="J2864" s="341"/>
      <c r="L2864" s="380"/>
      <c r="M2864" s="381"/>
      <c r="N2864" s="342"/>
      <c r="R2864" s="341"/>
      <c r="S2864" s="341"/>
    </row>
    <row r="2865" spans="1:19" ht="12.75" customHeight="1">
      <c r="A2865" s="393" t="str">
        <f>VII.A!$A$149</f>
        <v>2.7</v>
      </c>
      <c r="B2865" s="423" t="str">
        <f>VLOOKUP(A2865,VII.A!$A$10:$G$199,2,FALSE)</f>
        <v>BETONEIRA, CAPACIDADE NOMINAL DE 400L, MOTOR ELÉTRICO TRIFÁSICO DE  2CV - CHP</v>
      </c>
      <c r="C2865" s="20">
        <v>4.1999999999999997E-3</v>
      </c>
      <c r="D2865" s="384" t="str">
        <f>VLOOKUP(A2865,VII.A!$A$10:$G$199,3,FALSE)</f>
        <v>CHP</v>
      </c>
      <c r="E2865" s="387">
        <f>VII.A!$D$149</f>
        <v>0</v>
      </c>
      <c r="F2865" s="388">
        <f t="shared" ref="F2865:F2874" si="751">ROUND(C2865*E2865,2)</f>
        <v>0</v>
      </c>
      <c r="H2865" s="341">
        <f>IF(A2865="","",VLOOKUP(A2865,VII.A!$A$10:$D$199,4,FALSE))</f>
        <v>0</v>
      </c>
      <c r="I2865" s="341" t="str">
        <f t="shared" ref="I2865:I2874" si="752">IF(A2865="","",IF(E2865=H2865,"SIM","NÃO"))</f>
        <v>SIM</v>
      </c>
      <c r="J2865" s="341" t="str">
        <f>IF(A2865="","",VLOOKUP(A2865,VII.A!$A$10:$D$199,3,FALSE))</f>
        <v>CHP</v>
      </c>
      <c r="K2865" s="342" t="str">
        <f t="shared" ref="K2865:K2874" si="753">IF(A2865="","",IF(J2865=D2865,"SIM","NÃO"))</f>
        <v>SIM</v>
      </c>
      <c r="L2865" s="380">
        <f>IF(C2865="","",G2843*C2865)</f>
        <v>0.52500000000000002</v>
      </c>
      <c r="M2865" s="381" t="str">
        <f>IF(A2865="","",VLOOKUP(A2865,VII.A!$A$10:$B$199,2,FALSE))</f>
        <v>BETONEIRA, CAPACIDADE NOMINAL DE 400L, MOTOR ELÉTRICO TRIFÁSICO DE  2CV - CHP</v>
      </c>
      <c r="N2865" s="342" t="str">
        <f t="shared" ref="N2865:N2874" si="754">IF(B2865="","",IF(M2865=B2865,"si","no"))</f>
        <v>si</v>
      </c>
      <c r="R2865" s="341"/>
      <c r="S2865" s="341"/>
    </row>
    <row r="2866" spans="1:19" ht="12.75" customHeight="1">
      <c r="A2866" s="393" t="str">
        <f>VII.A!$A$148</f>
        <v>2.6</v>
      </c>
      <c r="B2866" s="394" t="str">
        <f>VLOOKUP(A2866,VII.A!$A$10:$G$199,2,FALSE)</f>
        <v>BETONEIRA, CAPACIDADE NOMINAL DE 400L, MOTOR ELÉTRICO TRIFÁSICO DE  2CV - CHI</v>
      </c>
      <c r="C2866" s="20">
        <v>1.3775999999999998E-2</v>
      </c>
      <c r="D2866" s="384" t="str">
        <f>VLOOKUP(A2866,VII.A!$A$10:$G$199,3,FALSE)</f>
        <v>CHI</v>
      </c>
      <c r="E2866" s="387">
        <f>VII.A!$D$148</f>
        <v>0</v>
      </c>
      <c r="F2866" s="388">
        <f t="shared" si="751"/>
        <v>0</v>
      </c>
      <c r="H2866" s="341">
        <f>IF(A2866="","",VLOOKUP(A2866,VII.A!$A$10:$D$199,4,FALSE))</f>
        <v>0</v>
      </c>
      <c r="I2866" s="341" t="str">
        <f t="shared" si="752"/>
        <v>SIM</v>
      </c>
      <c r="J2866" s="341" t="str">
        <f>IF(A2866="","",VLOOKUP(A2866,VII.A!$A$10:$D$199,3,FALSE))</f>
        <v>CHI</v>
      </c>
      <c r="K2866" s="342" t="str">
        <f t="shared" si="753"/>
        <v>SIM</v>
      </c>
      <c r="L2866" s="380">
        <f>IF(C2866="","",G2843*C2866)</f>
        <v>1.7219999999999998</v>
      </c>
      <c r="M2866" s="381" t="str">
        <f>IF(A2866="","",VLOOKUP(A2866,VII.A!$A$10:$B$199,2,FALSE))</f>
        <v>BETONEIRA, CAPACIDADE NOMINAL DE 400L, MOTOR ELÉTRICO TRIFÁSICO DE  2CV - CHI</v>
      </c>
      <c r="N2866" s="342" t="str">
        <f t="shared" si="754"/>
        <v>si</v>
      </c>
      <c r="R2866" s="341"/>
      <c r="S2866" s="341"/>
    </row>
    <row r="2867" spans="1:19" ht="12.75" customHeight="1">
      <c r="A2867" s="393"/>
      <c r="C2867" s="20"/>
      <c r="E2867" s="387"/>
      <c r="F2867" s="388">
        <f t="shared" si="751"/>
        <v>0</v>
      </c>
      <c r="H2867" s="341" t="str">
        <f>IF(A2867="","",VLOOKUP(A2867,VII.A!$A$10:$D$199,4,FALSE))</f>
        <v/>
      </c>
      <c r="I2867" s="341" t="str">
        <f t="shared" si="752"/>
        <v/>
      </c>
      <c r="J2867" s="341" t="str">
        <f>IF(A2867="","",VLOOKUP(A2867,VII.A!$A$10:$D$199,3,FALSE))</f>
        <v/>
      </c>
      <c r="K2867" s="342" t="str">
        <f t="shared" si="753"/>
        <v/>
      </c>
      <c r="L2867" s="380" t="str">
        <f>IF(C2867="","",G2843*C2867)</f>
        <v/>
      </c>
      <c r="M2867" s="381" t="str">
        <f>IF(A2867="","",VLOOKUP(A2867,VII.A!$A$10:$B$199,2,FALSE))</f>
        <v/>
      </c>
      <c r="N2867" s="342" t="str">
        <f t="shared" si="754"/>
        <v/>
      </c>
      <c r="R2867" s="341"/>
      <c r="S2867" s="341"/>
    </row>
    <row r="2868" spans="1:19" ht="12.75" customHeight="1">
      <c r="A2868" s="393"/>
      <c r="C2868" s="20"/>
      <c r="E2868" s="387"/>
      <c r="F2868" s="388">
        <f t="shared" si="751"/>
        <v>0</v>
      </c>
      <c r="H2868" s="341" t="str">
        <f>IF(A2868="","",VLOOKUP(A2868,VII.A!$A$10:$D$199,4,FALSE))</f>
        <v/>
      </c>
      <c r="I2868" s="341" t="str">
        <f t="shared" si="752"/>
        <v/>
      </c>
      <c r="J2868" s="341" t="str">
        <f>IF(A2868="","",VLOOKUP(A2868,VII.A!$A$10:$D$199,3,FALSE))</f>
        <v/>
      </c>
      <c r="K2868" s="342" t="str">
        <f t="shared" si="753"/>
        <v/>
      </c>
      <c r="L2868" s="380" t="str">
        <f>IF(C2868="","",G2843*C2868)</f>
        <v/>
      </c>
      <c r="M2868" s="381" t="str">
        <f>IF(A2868="","",VLOOKUP(A2868,VII.A!$A$10:$B$199,2,FALSE))</f>
        <v/>
      </c>
      <c r="N2868" s="342" t="str">
        <f t="shared" si="754"/>
        <v/>
      </c>
      <c r="R2868" s="341"/>
      <c r="S2868" s="341"/>
    </row>
    <row r="2869" spans="1:19" ht="12.75" customHeight="1">
      <c r="A2869" s="393"/>
      <c r="C2869" s="20"/>
      <c r="E2869" s="387"/>
      <c r="F2869" s="388">
        <f t="shared" si="751"/>
        <v>0</v>
      </c>
      <c r="G2869" s="390"/>
      <c r="H2869" s="341" t="str">
        <f>IF(A2869="","",VLOOKUP(A2869,VII.A!$A$10:$D$199,4,FALSE))</f>
        <v/>
      </c>
      <c r="I2869" s="341" t="str">
        <f t="shared" si="752"/>
        <v/>
      </c>
      <c r="J2869" s="341" t="str">
        <f>IF(A2869="","",VLOOKUP(A2869,VII.A!$A$10:$D$199,3,FALSE))</f>
        <v/>
      </c>
      <c r="K2869" s="342" t="str">
        <f t="shared" si="753"/>
        <v/>
      </c>
      <c r="L2869" s="380" t="str">
        <f>IF(C2869="","",G2843*C2869)</f>
        <v/>
      </c>
      <c r="M2869" s="381" t="str">
        <f>IF(A2869="","",VLOOKUP(A2869,VII.A!$A$10:$B$199,2,FALSE))</f>
        <v/>
      </c>
      <c r="N2869" s="342" t="str">
        <f t="shared" si="754"/>
        <v/>
      </c>
      <c r="R2869" s="341"/>
      <c r="S2869" s="341"/>
    </row>
    <row r="2870" spans="1:19" ht="12.75" customHeight="1">
      <c r="A2870" s="393"/>
      <c r="C2870" s="20"/>
      <c r="E2870" s="387"/>
      <c r="F2870" s="388">
        <f t="shared" si="751"/>
        <v>0</v>
      </c>
      <c r="G2870" s="391"/>
      <c r="H2870" s="341" t="str">
        <f>IF(A2870="","",VLOOKUP(A2870,VII.A!$A$10:$D$199,4,FALSE))</f>
        <v/>
      </c>
      <c r="I2870" s="341" t="str">
        <f t="shared" si="752"/>
        <v/>
      </c>
      <c r="J2870" s="341" t="str">
        <f>IF(A2870="","",VLOOKUP(A2870,VII.A!$A$10:$D$199,3,FALSE))</f>
        <v/>
      </c>
      <c r="K2870" s="342" t="str">
        <f t="shared" si="753"/>
        <v/>
      </c>
      <c r="L2870" s="380" t="str">
        <f>IF(C2870="","",G2843*C2870)</f>
        <v/>
      </c>
      <c r="M2870" s="381" t="str">
        <f>IF(A2870="","",VLOOKUP(A2870,VII.A!$A$10:$B$199,2,FALSE))</f>
        <v/>
      </c>
      <c r="N2870" s="342" t="str">
        <f t="shared" si="754"/>
        <v/>
      </c>
      <c r="R2870" s="341"/>
      <c r="S2870" s="341"/>
    </row>
    <row r="2871" spans="1:19" ht="12.75" customHeight="1">
      <c r="A2871" s="393"/>
      <c r="C2871" s="20"/>
      <c r="E2871" s="387"/>
      <c r="F2871" s="388">
        <f t="shared" si="751"/>
        <v>0</v>
      </c>
      <c r="H2871" s="341" t="str">
        <f>IF(A2871="","",VLOOKUP(A2871,VII.A!$A$10:$D$199,4,FALSE))</f>
        <v/>
      </c>
      <c r="I2871" s="341" t="str">
        <f t="shared" si="752"/>
        <v/>
      </c>
      <c r="J2871" s="341" t="str">
        <f>IF(A2871="","",VLOOKUP(A2871,VII.A!$A$10:$D$199,3,FALSE))</f>
        <v/>
      </c>
      <c r="K2871" s="342" t="str">
        <f t="shared" si="753"/>
        <v/>
      </c>
      <c r="L2871" s="380" t="str">
        <f>IF(C2871="","",G2843*C2871)</f>
        <v/>
      </c>
      <c r="M2871" s="381" t="str">
        <f>IF(A2871="","",VLOOKUP(A2871,VII.A!$A$10:$B$199,2,FALSE))</f>
        <v/>
      </c>
      <c r="N2871" s="342" t="str">
        <f t="shared" si="754"/>
        <v/>
      </c>
      <c r="R2871" s="341"/>
      <c r="S2871" s="341"/>
    </row>
    <row r="2872" spans="1:19" ht="12.75" customHeight="1">
      <c r="A2872" s="393"/>
      <c r="C2872" s="20"/>
      <c r="E2872" s="387"/>
      <c r="F2872" s="388">
        <f t="shared" si="751"/>
        <v>0</v>
      </c>
      <c r="H2872" s="341" t="str">
        <f>IF(A2872="","",VLOOKUP(A2872,VII.A!$A$10:$D$199,4,FALSE))</f>
        <v/>
      </c>
      <c r="I2872" s="341" t="str">
        <f t="shared" si="752"/>
        <v/>
      </c>
      <c r="J2872" s="341" t="str">
        <f>IF(A2872="","",VLOOKUP(A2872,VII.A!$A$10:$D$199,3,FALSE))</f>
        <v/>
      </c>
      <c r="K2872" s="342" t="str">
        <f t="shared" si="753"/>
        <v/>
      </c>
      <c r="L2872" s="380" t="str">
        <f>IF(C2872="","",G2843*C2872)</f>
        <v/>
      </c>
      <c r="M2872" s="381" t="str">
        <f>IF(A2872="","",VLOOKUP(A2872,VII.A!$A$10:$B$199,2,FALSE))</f>
        <v/>
      </c>
      <c r="N2872" s="342" t="str">
        <f t="shared" si="754"/>
        <v/>
      </c>
      <c r="R2872" s="341"/>
      <c r="S2872" s="341"/>
    </row>
    <row r="2873" spans="1:19" ht="12.75" customHeight="1">
      <c r="A2873" s="393"/>
      <c r="C2873" s="20"/>
      <c r="E2873" s="387"/>
      <c r="F2873" s="388">
        <f t="shared" si="751"/>
        <v>0</v>
      </c>
      <c r="H2873" s="341" t="str">
        <f>IF(A2873="","",VLOOKUP(A2873,VII.A!$A$10:$D$199,4,FALSE))</f>
        <v/>
      </c>
      <c r="I2873" s="341" t="str">
        <f t="shared" si="752"/>
        <v/>
      </c>
      <c r="J2873" s="341" t="str">
        <f>IF(A2873="","",VLOOKUP(A2873,VII.A!$A$10:$D$199,3,FALSE))</f>
        <v/>
      </c>
      <c r="K2873" s="342" t="str">
        <f t="shared" si="753"/>
        <v/>
      </c>
      <c r="L2873" s="380" t="str">
        <f>IF(C2873="","",G2843*C2873)</f>
        <v/>
      </c>
      <c r="M2873" s="381" t="str">
        <f>IF(A2873="","",VLOOKUP(A2873,VII.A!$A$10:$B$199,2,FALSE))</f>
        <v/>
      </c>
      <c r="N2873" s="342" t="str">
        <f t="shared" si="754"/>
        <v/>
      </c>
      <c r="R2873" s="341"/>
      <c r="S2873" s="341"/>
    </row>
    <row r="2874" spans="1:19" ht="12.75" customHeight="1">
      <c r="A2874" s="393"/>
      <c r="C2874" s="20"/>
      <c r="E2874" s="387"/>
      <c r="F2874" s="388">
        <f t="shared" si="751"/>
        <v>0</v>
      </c>
      <c r="H2874" s="341" t="str">
        <f>IF(A2874="","",VLOOKUP(A2874,VII.A!$A$10:$D$199,4,FALSE))</f>
        <v/>
      </c>
      <c r="I2874" s="341" t="str">
        <f t="shared" si="752"/>
        <v/>
      </c>
      <c r="J2874" s="341" t="str">
        <f>IF(A2874="","",VLOOKUP(A2874,VII.A!$A$10:$D$199,3,FALSE))</f>
        <v/>
      </c>
      <c r="K2874" s="342" t="str">
        <f t="shared" si="753"/>
        <v/>
      </c>
      <c r="L2874" s="380" t="str">
        <f>IF(C2874="","",G2843*C2874)</f>
        <v/>
      </c>
      <c r="M2874" s="381" t="str">
        <f>IF(A2874="","",VLOOKUP(A2874,VII.A!$A$10:$B$199,2,FALSE))</f>
        <v/>
      </c>
      <c r="N2874" s="342" t="str">
        <f t="shared" si="754"/>
        <v/>
      </c>
      <c r="R2874" s="341"/>
      <c r="S2874" s="341"/>
    </row>
    <row r="2875" spans="1:19" ht="12.75" customHeight="1">
      <c r="A2875" s="393"/>
      <c r="B2875" s="395" t="s">
        <v>226</v>
      </c>
      <c r="C2875" s="396"/>
      <c r="D2875" s="397"/>
      <c r="E2875" s="398"/>
      <c r="F2875" s="399">
        <f>SUM(F2865:F2874)</f>
        <v>0</v>
      </c>
      <c r="J2875" s="341"/>
      <c r="L2875" s="380"/>
      <c r="M2875" s="381"/>
      <c r="N2875" s="342"/>
      <c r="R2875" s="341"/>
      <c r="S2875" s="341"/>
    </row>
    <row r="2876" spans="1:19" ht="12.75" customHeight="1">
      <c r="A2876" s="393"/>
      <c r="B2876" s="400" t="s">
        <v>53</v>
      </c>
      <c r="C2876" s="2">
        <f>$D$8</f>
        <v>0</v>
      </c>
      <c r="D2876" s="401"/>
      <c r="E2876" s="402"/>
      <c r="F2876" s="403">
        <f>ROUND(C2876*F2875,2)</f>
        <v>0</v>
      </c>
      <c r="J2876" s="341"/>
      <c r="L2876" s="380"/>
      <c r="M2876" s="381"/>
      <c r="N2876" s="342"/>
      <c r="R2876" s="341"/>
      <c r="S2876" s="341"/>
    </row>
    <row r="2877" spans="1:19" ht="12.75" customHeight="1">
      <c r="A2877" s="404"/>
      <c r="B2877" s="405" t="s">
        <v>228</v>
      </c>
      <c r="C2877" s="406"/>
      <c r="D2877" s="406"/>
      <c r="E2877" s="407"/>
      <c r="F2877" s="408">
        <f>F2875+F2876</f>
        <v>0</v>
      </c>
      <c r="J2877" s="341"/>
      <c r="L2877" s="380"/>
      <c r="M2877" s="381"/>
      <c r="N2877" s="342"/>
      <c r="R2877" s="341"/>
      <c r="S2877" s="341"/>
    </row>
    <row r="2878" spans="1:19" ht="12.75" customHeight="1">
      <c r="A2878" s="409" t="s">
        <v>47</v>
      </c>
      <c r="B2878" s="410" t="s">
        <v>236</v>
      </c>
      <c r="C2878" s="411" t="s">
        <v>231</v>
      </c>
      <c r="D2878" s="412" t="s">
        <v>232</v>
      </c>
      <c r="E2878" s="413" t="s">
        <v>233</v>
      </c>
      <c r="F2878" s="378" t="s">
        <v>234</v>
      </c>
      <c r="J2878" s="341"/>
      <c r="L2878" s="380"/>
      <c r="M2878" s="381"/>
      <c r="N2878" s="342"/>
      <c r="R2878" s="341"/>
      <c r="S2878" s="341"/>
    </row>
    <row r="2879" spans="1:19" ht="12.75" customHeight="1">
      <c r="A2879" s="393" t="str">
        <f>VII.A!$A$196</f>
        <v>3.16</v>
      </c>
      <c r="B2879" s="394" t="s">
        <v>157</v>
      </c>
      <c r="C2879" s="20">
        <f>0.091+0.017976</f>
        <v>0.10897599999999999</v>
      </c>
      <c r="D2879" s="384" t="str">
        <f>VLOOKUP(A2879,VII.A!$A$10:$G$199,3,FALSE)</f>
        <v>H</v>
      </c>
      <c r="E2879" s="387">
        <f>VII.A!D196</f>
        <v>0</v>
      </c>
      <c r="F2879" s="388">
        <f t="shared" ref="F2879:F2885" si="755">ROUND(C2879*E2879,2)</f>
        <v>0</v>
      </c>
      <c r="H2879" s="341">
        <f>IF(A2879="","",VLOOKUP(A2879,VII.A!$A$10:$D$199,4,FALSE))</f>
        <v>0</v>
      </c>
      <c r="I2879" s="341" t="str">
        <f t="shared" ref="I2879:I2885" si="756">IF(A2879="","",IF(E2879=H2879,"SIM","NÃO"))</f>
        <v>SIM</v>
      </c>
      <c r="J2879" s="341" t="str">
        <f>IF(A2879="","",VLOOKUP(A2879,VII.A!$A$10:$D$199,3,FALSE))</f>
        <v>H</v>
      </c>
      <c r="K2879" s="342" t="str">
        <f t="shared" ref="K2879:K2885" si="757">IF(A2879="","",IF(J2879=D2879,"SIM","NÃO"))</f>
        <v>SIM</v>
      </c>
      <c r="L2879" s="380">
        <f>IF(C2879="","",G2843*C2879)</f>
        <v>13.621999999999998</v>
      </c>
      <c r="M2879" s="381" t="str">
        <f>IF(A2879="","",VLOOKUP(A2879,VII.A!$A$10:$B$199,2,FALSE))</f>
        <v>SERVENTE COM ENCARGOS COMPLEMENTARES</v>
      </c>
      <c r="N2879" s="342" t="str">
        <f t="shared" ref="N2879:N2885" si="758">IF(B2879="","",IF(M2879=B2879,"si","no"))</f>
        <v>si</v>
      </c>
      <c r="R2879" s="341"/>
      <c r="S2879" s="341"/>
    </row>
    <row r="2880" spans="1:19" ht="12.75" customHeight="1">
      <c r="A2880" s="393" t="str">
        <f>VII.A!$A$192</f>
        <v>3.12</v>
      </c>
      <c r="B2880" s="394" t="s">
        <v>153</v>
      </c>
      <c r="C2880" s="20">
        <v>0.183</v>
      </c>
      <c r="D2880" s="384" t="str">
        <f>VLOOKUP(A2880,VII.A!$A$10:$G$199,3,FALSE)</f>
        <v>H</v>
      </c>
      <c r="E2880" s="387">
        <f>VII.A!D192</f>
        <v>0</v>
      </c>
      <c r="F2880" s="388">
        <f t="shared" si="755"/>
        <v>0</v>
      </c>
      <c r="H2880" s="341">
        <f>IF(A2880="","",VLOOKUP(A2880,VII.A!$A$10:$D$199,4,FALSE))</f>
        <v>0</v>
      </c>
      <c r="I2880" s="341" t="str">
        <f t="shared" si="756"/>
        <v>SIM</v>
      </c>
      <c r="J2880" s="341" t="str">
        <f>IF(A2880="","",VLOOKUP(A2880,VII.A!$A$10:$D$199,3,FALSE))</f>
        <v>H</v>
      </c>
      <c r="K2880" s="342" t="str">
        <f t="shared" si="757"/>
        <v>SIM</v>
      </c>
      <c r="L2880" s="380">
        <f>IF(C2880="","",G2843*C2880)</f>
        <v>22.875</v>
      </c>
      <c r="M2880" s="381" t="str">
        <f>IF(A2880="","",VLOOKUP(A2880,VII.A!$A$10:$B$199,2,FALSE))</f>
        <v>PEDREIRO COM ENCARGOS COMPLEMENTARES</v>
      </c>
      <c r="N2880" s="342" t="str">
        <f t="shared" si="758"/>
        <v>si</v>
      </c>
      <c r="R2880" s="341"/>
      <c r="S2880" s="341"/>
    </row>
    <row r="2881" spans="1:25" ht="12.75" customHeight="1">
      <c r="A2881" s="393"/>
      <c r="C2881" s="20"/>
      <c r="E2881" s="387"/>
      <c r="F2881" s="388">
        <f t="shared" si="755"/>
        <v>0</v>
      </c>
      <c r="H2881" s="341" t="str">
        <f>IF(A2881="","",VLOOKUP(A2881,VII.A!$A$10:$D$199,4,FALSE))</f>
        <v/>
      </c>
      <c r="I2881" s="341" t="str">
        <f t="shared" si="756"/>
        <v/>
      </c>
      <c r="J2881" s="341" t="str">
        <f>IF(A2881="","",VLOOKUP(A2881,VII.A!$A$10:$D$199,3,FALSE))</f>
        <v/>
      </c>
      <c r="K2881" s="342" t="str">
        <f t="shared" si="757"/>
        <v/>
      </c>
      <c r="L2881" s="380" t="str">
        <f>IF(C2881="","",G2843*C2881)</f>
        <v/>
      </c>
      <c r="M2881" s="381" t="str">
        <f>IF(A2881="","",VLOOKUP(A2881,VII.A!$A$10:$B$199,2,FALSE))</f>
        <v/>
      </c>
      <c r="N2881" s="342" t="str">
        <f t="shared" si="758"/>
        <v/>
      </c>
      <c r="R2881" s="341"/>
      <c r="S2881" s="341"/>
    </row>
    <row r="2882" spans="1:25" ht="12.75" customHeight="1">
      <c r="A2882" s="393"/>
      <c r="C2882" s="20"/>
      <c r="E2882" s="387"/>
      <c r="F2882" s="388">
        <f t="shared" si="755"/>
        <v>0</v>
      </c>
      <c r="H2882" s="341" t="str">
        <f>IF(A2882="","",VLOOKUP(A2882,VII.A!$A$10:$D$199,4,FALSE))</f>
        <v/>
      </c>
      <c r="I2882" s="341" t="str">
        <f t="shared" si="756"/>
        <v/>
      </c>
      <c r="J2882" s="341" t="str">
        <f>IF(A2882="","",VLOOKUP(A2882,VII.A!$A$10:$D$199,3,FALSE))</f>
        <v/>
      </c>
      <c r="K2882" s="342" t="str">
        <f t="shared" si="757"/>
        <v/>
      </c>
      <c r="L2882" s="380" t="str">
        <f>IF(C2882="","",G2843*C2882)</f>
        <v/>
      </c>
      <c r="M2882" s="381" t="str">
        <f>IF(A2882="","",VLOOKUP(A2882,VII.A!$A$10:$B$199,2,FALSE))</f>
        <v/>
      </c>
      <c r="N2882" s="342" t="str">
        <f t="shared" si="758"/>
        <v/>
      </c>
      <c r="R2882" s="341"/>
      <c r="S2882" s="341"/>
    </row>
    <row r="2883" spans="1:25" ht="12.75" customHeight="1">
      <c r="A2883" s="393"/>
      <c r="C2883" s="20"/>
      <c r="E2883" s="387"/>
      <c r="F2883" s="388">
        <f t="shared" si="755"/>
        <v>0</v>
      </c>
      <c r="H2883" s="341" t="str">
        <f>IF(A2883="","",VLOOKUP(A2883,VII.A!$A$10:$D$199,4,FALSE))</f>
        <v/>
      </c>
      <c r="I2883" s="341" t="str">
        <f t="shared" si="756"/>
        <v/>
      </c>
      <c r="J2883" s="341" t="str">
        <f>IF(A2883="","",VLOOKUP(A2883,VII.A!$A$10:$D$199,3,FALSE))</f>
        <v/>
      </c>
      <c r="K2883" s="342" t="str">
        <f t="shared" si="757"/>
        <v/>
      </c>
      <c r="L2883" s="380" t="str">
        <f>IF(C2883="","",G2843*C2883)</f>
        <v/>
      </c>
      <c r="M2883" s="381" t="str">
        <f>IF(A2883="","",VLOOKUP(A2883,VII.A!$A$10:$B$199,2,FALSE))</f>
        <v/>
      </c>
      <c r="N2883" s="342" t="str">
        <f t="shared" si="758"/>
        <v/>
      </c>
      <c r="R2883" s="341"/>
      <c r="S2883" s="341"/>
    </row>
    <row r="2884" spans="1:25" ht="12.75" customHeight="1">
      <c r="A2884" s="393"/>
      <c r="C2884" s="20"/>
      <c r="E2884" s="387"/>
      <c r="F2884" s="388">
        <f t="shared" si="755"/>
        <v>0</v>
      </c>
      <c r="H2884" s="341" t="str">
        <f>IF(A2884="","",VLOOKUP(A2884,VII.A!$A$10:$D$199,4,FALSE))</f>
        <v/>
      </c>
      <c r="I2884" s="341" t="str">
        <f t="shared" si="756"/>
        <v/>
      </c>
      <c r="J2884" s="341" t="str">
        <f>IF(A2884="","",VLOOKUP(A2884,VII.A!$A$10:$D$199,3,FALSE))</f>
        <v/>
      </c>
      <c r="K2884" s="342" t="str">
        <f t="shared" si="757"/>
        <v/>
      </c>
      <c r="L2884" s="380" t="str">
        <f>IF(C2884="","",G2843*C2884)</f>
        <v/>
      </c>
      <c r="M2884" s="381" t="str">
        <f>IF(A2884="","",VLOOKUP(A2884,VII.A!$A$10:$B$199,2,FALSE))</f>
        <v/>
      </c>
      <c r="N2884" s="342" t="str">
        <f t="shared" si="758"/>
        <v/>
      </c>
      <c r="R2884" s="341"/>
      <c r="S2884" s="341"/>
    </row>
    <row r="2885" spans="1:25" ht="12.75" customHeight="1">
      <c r="A2885" s="393"/>
      <c r="C2885" s="20"/>
      <c r="E2885" s="387"/>
      <c r="F2885" s="388">
        <f t="shared" si="755"/>
        <v>0</v>
      </c>
      <c r="H2885" s="341" t="str">
        <f>IF(A2885="","",VLOOKUP(A2885,VII.A!$A$10:$D$199,4,FALSE))</f>
        <v/>
      </c>
      <c r="I2885" s="341" t="str">
        <f t="shared" si="756"/>
        <v/>
      </c>
      <c r="J2885" s="341" t="str">
        <f>IF(A2885="","",VLOOKUP(A2885,VII.A!$A$10:$D$199,3,FALSE))</f>
        <v/>
      </c>
      <c r="K2885" s="342" t="str">
        <f t="shared" si="757"/>
        <v/>
      </c>
      <c r="L2885" s="380" t="str">
        <f>IF(C2885="","",G2843*C2885)</f>
        <v/>
      </c>
      <c r="M2885" s="381" t="str">
        <f>IF(A2885="","",VLOOKUP(A2885,VII.A!$A$10:$B$199,2,FALSE))</f>
        <v/>
      </c>
      <c r="N2885" s="342" t="str">
        <f t="shared" si="758"/>
        <v/>
      </c>
      <c r="R2885" s="341"/>
      <c r="S2885" s="341"/>
    </row>
    <row r="2886" spans="1:25" ht="12.75" customHeight="1">
      <c r="A2886" s="393"/>
      <c r="B2886" s="395" t="s">
        <v>226</v>
      </c>
      <c r="C2886" s="396"/>
      <c r="D2886" s="397"/>
      <c r="E2886" s="398"/>
      <c r="F2886" s="399">
        <f>SUM(F2879:F2885)</f>
        <v>0</v>
      </c>
      <c r="J2886" s="341"/>
      <c r="L2886" s="380"/>
      <c r="M2886" s="381"/>
      <c r="N2886" s="342"/>
      <c r="R2886" s="341"/>
      <c r="S2886" s="341"/>
    </row>
    <row r="2887" spans="1:25" ht="12.75" customHeight="1">
      <c r="A2887" s="393"/>
      <c r="B2887" s="400" t="s">
        <v>229</v>
      </c>
      <c r="C2887" s="2">
        <f>IX.A!$C$45</f>
        <v>0</v>
      </c>
      <c r="D2887" s="401"/>
      <c r="E2887" s="402"/>
      <c r="F2887" s="403">
        <f>ROUND(F2886*C2887,2)</f>
        <v>0</v>
      </c>
      <c r="J2887" s="341"/>
      <c r="L2887" s="380"/>
      <c r="M2887" s="381"/>
      <c r="N2887" s="342"/>
      <c r="R2887" s="341"/>
      <c r="S2887" s="341"/>
    </row>
    <row r="2888" spans="1:25" ht="12.75" customHeight="1">
      <c r="A2888" s="393"/>
      <c r="B2888" s="400" t="s">
        <v>53</v>
      </c>
      <c r="C2888" s="2">
        <f>$D$8</f>
        <v>0</v>
      </c>
      <c r="D2888" s="401"/>
      <c r="E2888" s="402"/>
      <c r="F2888" s="403">
        <f>ROUND(SUM(F2886:F2887)*C2888,2)</f>
        <v>0</v>
      </c>
      <c r="J2888" s="341"/>
      <c r="L2888" s="380"/>
      <c r="M2888" s="381"/>
      <c r="N2888" s="342"/>
      <c r="R2888" s="341"/>
      <c r="S2888" s="341"/>
    </row>
    <row r="2889" spans="1:25" ht="12.75" customHeight="1" thickBot="1">
      <c r="A2889" s="414"/>
      <c r="B2889" s="415" t="s">
        <v>230</v>
      </c>
      <c r="C2889" s="416"/>
      <c r="D2889" s="416"/>
      <c r="E2889" s="417"/>
      <c r="F2889" s="418">
        <f>SUM(F2886:F2888)</f>
        <v>0</v>
      </c>
      <c r="J2889" s="341"/>
      <c r="L2889" s="380"/>
      <c r="M2889" s="381"/>
      <c r="N2889" s="342"/>
      <c r="R2889" s="341"/>
      <c r="S2889" s="341"/>
    </row>
    <row r="2890" spans="1:25" ht="12.75" customHeight="1" thickBot="1">
      <c r="A2890" s="357"/>
      <c r="B2890" s="358"/>
      <c r="C2890" s="359"/>
      <c r="D2890" s="359"/>
      <c r="E2890" s="360"/>
      <c r="F2890" s="419"/>
      <c r="J2890" s="341"/>
      <c r="L2890" s="380"/>
      <c r="M2890" s="381"/>
      <c r="N2890" s="342"/>
      <c r="R2890" s="341"/>
      <c r="S2890" s="341"/>
    </row>
    <row r="2891" spans="1:25" ht="30" customHeight="1">
      <c r="A2891" s="370" t="str">
        <f>IV.A!A93</f>
        <v>3.8.2</v>
      </c>
      <c r="B2891" s="371" t="str">
        <f>IV.A!B93</f>
        <v xml:space="preserve">REBOCO/MASSA ÚNICA, PAREDE INTERNA/EXTERNA COM ARGAMASSA DE CIMENTO, CAL E AREIA 1:2:8, E=20 MM </v>
      </c>
      <c r="C2891" s="871" t="s">
        <v>237</v>
      </c>
      <c r="D2891" s="872"/>
      <c r="E2891" s="372" t="str">
        <f>IV.A!$C$93</f>
        <v>M2</v>
      </c>
      <c r="F2891" s="11">
        <f>ROUND(F2911+F2925+F2937,2)</f>
        <v>0</v>
      </c>
      <c r="G2891" s="1">
        <f>VLOOKUP(A2891,IV.A!$A$16:$L$172,4,FALSE)</f>
        <v>125</v>
      </c>
      <c r="H2891" s="361">
        <f>SUM(F2893:F2908)+F2910</f>
        <v>0</v>
      </c>
      <c r="I2891" s="361">
        <f>SUM(F2913:F2922)+F2924</f>
        <v>0</v>
      </c>
      <c r="J2891" s="361">
        <f>SUM(F2927:F2933)+F2935+F2936</f>
        <v>0</v>
      </c>
      <c r="K2891" s="361">
        <f>SUM(H2891:J2891)</f>
        <v>0</v>
      </c>
      <c r="L2891" s="362" t="str">
        <f>IF(K2891=F2891,"SIM","NÃO")</f>
        <v>SIM</v>
      </c>
      <c r="M2891" s="373">
        <f>ROUND(SUM(F2893:F2908),2)+ROUND(SUM(F2893:F2908)*C2910,2)+ROUND(SUM(F2913:F2922)*C2924,2)+ROUND(SUM(F2913:F2922),2)+ROUND(SUM(F2927:F2933)*C2935,2)+ROUND((SUM(F2927:F2933)+ROUND(SUM(F2927:F2933)*C2935,2))*C2936,2)+ROUND(SUM(F2927:F2933),2)</f>
        <v>0</v>
      </c>
      <c r="N2891" s="343" t="str">
        <f>IF(M2891=F2891,"SIM","NÃO")</f>
        <v>SIM</v>
      </c>
      <c r="O2891" s="364" t="str">
        <f>VLOOKUP(A2891,IV.A!$A$16:$E$172,3,FALSE)</f>
        <v>M2</v>
      </c>
      <c r="P2891" s="344" t="str">
        <f>IF(O2891=E2891,"SIM","NÃO")</f>
        <v>SIM</v>
      </c>
      <c r="Q2891" s="365">
        <f>ROUND(G2891*F2911,2)+ROUND(G2891*F2925,2)+ROUND(G2891*F2937,2)</f>
        <v>0</v>
      </c>
      <c r="R2891" s="364">
        <f>VLOOKUP(A2891,IV.A!$A$16:$L$172,12,FALSE)</f>
        <v>0</v>
      </c>
      <c r="S2891" s="366" t="str">
        <f>IF(Q2891=R2891,"si","no")</f>
        <v>si</v>
      </c>
      <c r="T2891" s="367">
        <f>SUM(L2893:L2908)+SUM(L2913:L2922)+SUM(L2927:L2933)</f>
        <v>1380.9685999999999</v>
      </c>
      <c r="U2891" s="341">
        <f>(SUM(C2893:C2908)+SUM(C2913:C2922)+SUM(C2927:C2933))*G2891</f>
        <v>1380.9685999999999</v>
      </c>
      <c r="V2891" s="368" t="str">
        <f>IF(T2891=U2891,"si","no")</f>
        <v>si</v>
      </c>
      <c r="W2891" s="369">
        <f>SUM(F2893:F2908)</f>
        <v>0</v>
      </c>
      <c r="X2891" s="369">
        <f>SUM(F2913:F2922)</f>
        <v>0</v>
      </c>
      <c r="Y2891" s="369">
        <f>SUM(F2927:F2933)</f>
        <v>0</v>
      </c>
    </row>
    <row r="2892" spans="1:25" ht="12.75" customHeight="1">
      <c r="A2892" s="374" t="s">
        <v>14</v>
      </c>
      <c r="B2892" s="375" t="s">
        <v>132</v>
      </c>
      <c r="C2892" s="376" t="s">
        <v>231</v>
      </c>
      <c r="D2892" s="376" t="s">
        <v>232</v>
      </c>
      <c r="E2892" s="377" t="s">
        <v>233</v>
      </c>
      <c r="F2892" s="378" t="s">
        <v>234</v>
      </c>
      <c r="G2892" s="379"/>
      <c r="J2892" s="341"/>
      <c r="L2892" s="380"/>
      <c r="M2892" s="381"/>
      <c r="N2892" s="342"/>
      <c r="O2892" s="382"/>
      <c r="P2892" s="383"/>
      <c r="Q2892" s="383"/>
      <c r="R2892" s="383"/>
      <c r="S2892" s="383"/>
      <c r="T2892" s="382"/>
      <c r="U2892" s="341"/>
      <c r="V2892" s="384"/>
      <c r="W2892" s="384"/>
      <c r="X2892" s="384"/>
      <c r="Y2892" s="384"/>
    </row>
    <row r="2893" spans="1:25" ht="12.75" customHeight="1">
      <c r="A2893" s="385" t="str">
        <f>VII.A!$A$19</f>
        <v>1.10</v>
      </c>
      <c r="B2893" s="386" t="str">
        <f>VLOOKUP(A2893,VII.A!$A$10:$G$199,2,FALSE)</f>
        <v>AREIA MÉDIA LAVADA</v>
      </c>
      <c r="C2893" s="20">
        <f>(0.040506/0.025)*0.02</f>
        <v>3.2404799999999997E-2</v>
      </c>
      <c r="D2893" s="342" t="str">
        <f>VLOOKUP(A2893,VII.A!$A$10:$G$199,3,FALSE)</f>
        <v>M3</v>
      </c>
      <c r="E2893" s="387">
        <f>VII.A!D19</f>
        <v>0</v>
      </c>
      <c r="F2893" s="388">
        <f>ROUND(C2893*E2893,2)</f>
        <v>0</v>
      </c>
      <c r="H2893" s="341">
        <f>IF(A2893="","",VLOOKUP(A2893,VII.A!$A$10:$D$199,4,FALSE))</f>
        <v>0</v>
      </c>
      <c r="I2893" s="341" t="str">
        <f t="shared" ref="I2893:I2908" si="759">IF(A2893="","",IF(E2893=H2893,"SIM","NÃO"))</f>
        <v>SIM</v>
      </c>
      <c r="J2893" s="341" t="str">
        <f>IF(A2893="","",VLOOKUP(A2893,VII.A!$A$10:$D$199,3,FALSE))</f>
        <v>M3</v>
      </c>
      <c r="K2893" s="342" t="str">
        <f t="shared" ref="K2893:K2908" si="760">IF(A2893="","",IF(J2893=D2893,"SIM","NÃO"))</f>
        <v>SIM</v>
      </c>
      <c r="L2893" s="380">
        <f>IF(C2893="","",G2891*C2893)</f>
        <v>4.0505999999999993</v>
      </c>
      <c r="M2893" s="381" t="str">
        <f>IF(A2893="","",VLOOKUP(A2893,VII.A!$A$10:$B$199,2,FALSE))</f>
        <v>AREIA MÉDIA LAVADA</v>
      </c>
      <c r="N2893" s="342" t="str">
        <f t="shared" ref="N2893:N2908" si="761">IF(B2893="","",IF(M2893=B2893,"si","no"))</f>
        <v>si</v>
      </c>
      <c r="R2893" s="341"/>
      <c r="S2893" s="341"/>
    </row>
    <row r="2894" spans="1:25" ht="12.75" customHeight="1">
      <c r="A2894" s="385" t="str">
        <f>VII.A!$A$29</f>
        <v>1.20</v>
      </c>
      <c r="B2894" s="386" t="str">
        <f>VLOOKUP(A2894,VII.A!$A$10:$G$199,2,FALSE)</f>
        <v>CAL HIDRATADA CH III - NBR 7175</v>
      </c>
      <c r="C2894" s="20">
        <f>(6.08218/0.025)*0.02</f>
        <v>4.8657439999999994</v>
      </c>
      <c r="D2894" s="342" t="str">
        <f>VLOOKUP(A2894,VII.A!$A$10:$G$199,3,FALSE)</f>
        <v>KG</v>
      </c>
      <c r="E2894" s="387">
        <f>VII.A!D29</f>
        <v>0</v>
      </c>
      <c r="F2894" s="388">
        <f t="shared" ref="F2894:F2908" si="762">ROUND(C2894*E2894,2)</f>
        <v>0</v>
      </c>
      <c r="H2894" s="341">
        <f>IF(A2894="","",VLOOKUP(A2894,VII.A!$A$10:$D$199,4,FALSE))</f>
        <v>0</v>
      </c>
      <c r="I2894" s="341" t="str">
        <f t="shared" si="759"/>
        <v>SIM</v>
      </c>
      <c r="J2894" s="341" t="str">
        <f>IF(A2894="","",VLOOKUP(A2894,VII.A!$A$10:$D$199,3,FALSE))</f>
        <v>KG</v>
      </c>
      <c r="K2894" s="342" t="str">
        <f t="shared" si="760"/>
        <v>SIM</v>
      </c>
      <c r="L2894" s="380">
        <f>IF(C2894="","",G2891*C2894)</f>
        <v>608.21799999999996</v>
      </c>
      <c r="M2894" s="381" t="str">
        <f>IF(A2894="","",VLOOKUP(A2894,VII.A!$A$10:$B$199,2,FALSE))</f>
        <v>CAL HIDRATADA CH III - NBR 7175</v>
      </c>
      <c r="N2894" s="342" t="str">
        <f t="shared" si="761"/>
        <v>si</v>
      </c>
      <c r="R2894" s="341"/>
      <c r="S2894" s="341"/>
    </row>
    <row r="2895" spans="1:25" ht="12.75" customHeight="1">
      <c r="A2895" s="385" t="str">
        <f>VII.A!$A$38</f>
        <v>1.29</v>
      </c>
      <c r="B2895" s="386" t="str">
        <f>VLOOKUP(A2895,VII.A!$A$10:$G$199,2,FALSE)</f>
        <v>CIMENTO PORTLAND CP II-E-32</v>
      </c>
      <c r="C2895" s="20">
        <f>(5.8287/0.025)*0.02</f>
        <v>4.66296</v>
      </c>
      <c r="D2895" s="342" t="str">
        <f>VLOOKUP(A2895,VII.A!$A$10:$G$199,3,FALSE)</f>
        <v>KG</v>
      </c>
      <c r="E2895" s="387">
        <f>VII.A!D38</f>
        <v>0</v>
      </c>
      <c r="F2895" s="388">
        <f t="shared" si="762"/>
        <v>0</v>
      </c>
      <c r="H2895" s="341">
        <f>IF(A2895="","",VLOOKUP(A2895,VII.A!$A$10:$D$199,4,FALSE))</f>
        <v>0</v>
      </c>
      <c r="I2895" s="341" t="str">
        <f t="shared" si="759"/>
        <v>SIM</v>
      </c>
      <c r="J2895" s="341" t="str">
        <f>IF(A2895="","",VLOOKUP(A2895,VII.A!$A$10:$D$199,3,FALSE))</f>
        <v>KG</v>
      </c>
      <c r="K2895" s="342" t="str">
        <f t="shared" si="760"/>
        <v>SIM</v>
      </c>
      <c r="L2895" s="380">
        <f>IF(C2895="","",G2891*C2895)</f>
        <v>582.87</v>
      </c>
      <c r="M2895" s="381" t="str">
        <f>IF(A2895="","",VLOOKUP(A2895,VII.A!$A$10:$B$199,2,FALSE))</f>
        <v>CIMENTO PORTLAND CP II-E-32</v>
      </c>
      <c r="N2895" s="342" t="str">
        <f t="shared" si="761"/>
        <v>si</v>
      </c>
      <c r="R2895" s="341"/>
      <c r="S2895" s="341"/>
    </row>
    <row r="2896" spans="1:25" ht="12.75" customHeight="1">
      <c r="A2896" s="385"/>
      <c r="B2896" s="386"/>
      <c r="C2896" s="20"/>
      <c r="D2896" s="342"/>
      <c r="E2896" s="387"/>
      <c r="F2896" s="388">
        <f t="shared" si="762"/>
        <v>0</v>
      </c>
      <c r="H2896" s="341" t="str">
        <f>IF(A2896="","",VLOOKUP(A2896,VII.A!$A$10:$D$199,4,FALSE))</f>
        <v/>
      </c>
      <c r="I2896" s="341" t="str">
        <f t="shared" si="759"/>
        <v/>
      </c>
      <c r="J2896" s="341" t="str">
        <f>IF(A2896="","",VLOOKUP(A2896,VII.A!$A$10:$D$199,3,FALSE))</f>
        <v/>
      </c>
      <c r="K2896" s="342" t="str">
        <f t="shared" si="760"/>
        <v/>
      </c>
      <c r="L2896" s="380" t="str">
        <f>IF(C2896="","",G2891*C2896)</f>
        <v/>
      </c>
      <c r="M2896" s="381" t="str">
        <f>IF(A2896="","",VLOOKUP(A2896,VII.A!$A$10:$B$199,2,FALSE))</f>
        <v/>
      </c>
      <c r="N2896" s="342" t="str">
        <f t="shared" si="761"/>
        <v/>
      </c>
      <c r="R2896" s="341"/>
      <c r="S2896" s="341"/>
    </row>
    <row r="2897" spans="1:21" ht="12.75" customHeight="1">
      <c r="A2897" s="385"/>
      <c r="B2897" s="386"/>
      <c r="C2897" s="20"/>
      <c r="D2897" s="342"/>
      <c r="E2897" s="387"/>
      <c r="F2897" s="388">
        <f t="shared" si="762"/>
        <v>0</v>
      </c>
      <c r="H2897" s="341" t="str">
        <f>IF(A2897="","",VLOOKUP(A2897,VII.A!$A$10:$D$199,4,FALSE))</f>
        <v/>
      </c>
      <c r="I2897" s="341" t="str">
        <f t="shared" si="759"/>
        <v/>
      </c>
      <c r="J2897" s="341" t="str">
        <f>IF(A2897="","",VLOOKUP(A2897,VII.A!$A$10:$D$199,3,FALSE))</f>
        <v/>
      </c>
      <c r="K2897" s="342" t="str">
        <f t="shared" si="760"/>
        <v/>
      </c>
      <c r="L2897" s="380" t="str">
        <f>IF(C2897="","",G2891*C2897)</f>
        <v/>
      </c>
      <c r="M2897" s="381" t="str">
        <f>IF(A2897="","",VLOOKUP(A2897,VII.A!$A$10:$B$199,2,FALSE))</f>
        <v/>
      </c>
      <c r="N2897" s="342" t="str">
        <f t="shared" si="761"/>
        <v/>
      </c>
      <c r="R2897" s="341"/>
      <c r="S2897" s="341"/>
    </row>
    <row r="2898" spans="1:21" ht="12.75" customHeight="1">
      <c r="A2898" s="385"/>
      <c r="B2898" s="386"/>
      <c r="C2898" s="20"/>
      <c r="D2898" s="342"/>
      <c r="E2898" s="387"/>
      <c r="F2898" s="388">
        <f t="shared" si="762"/>
        <v>0</v>
      </c>
      <c r="H2898" s="341" t="str">
        <f>IF(A2898="","",VLOOKUP(A2898,VII.A!$A$10:$D$199,4,FALSE))</f>
        <v/>
      </c>
      <c r="I2898" s="341" t="str">
        <f t="shared" si="759"/>
        <v/>
      </c>
      <c r="J2898" s="341" t="str">
        <f>IF(A2898="","",VLOOKUP(A2898,VII.A!$A$10:$D$199,3,FALSE))</f>
        <v/>
      </c>
      <c r="K2898" s="342" t="str">
        <f t="shared" si="760"/>
        <v/>
      </c>
      <c r="L2898" s="380" t="str">
        <f>IF(C2898="","",G2891*C2898)</f>
        <v/>
      </c>
      <c r="M2898" s="381" t="str">
        <f>IF(A2898="","",VLOOKUP(A2898,VII.A!$A$10:$B$199,2,FALSE))</f>
        <v/>
      </c>
      <c r="N2898" s="342" t="str">
        <f t="shared" si="761"/>
        <v/>
      </c>
      <c r="R2898" s="341"/>
      <c r="S2898" s="341"/>
      <c r="U2898" s="389"/>
    </row>
    <row r="2899" spans="1:21" ht="12.75" customHeight="1">
      <c r="A2899" s="385"/>
      <c r="B2899" s="386"/>
      <c r="C2899" s="20"/>
      <c r="D2899" s="342"/>
      <c r="E2899" s="387"/>
      <c r="F2899" s="388">
        <f t="shared" si="762"/>
        <v>0</v>
      </c>
      <c r="H2899" s="341" t="str">
        <f>IF(A2899="","",VLOOKUP(A2899,VII.A!$A$10:$D$199,4,FALSE))</f>
        <v/>
      </c>
      <c r="I2899" s="341" t="str">
        <f t="shared" si="759"/>
        <v/>
      </c>
      <c r="J2899" s="341" t="str">
        <f>IF(A2899="","",VLOOKUP(A2899,VII.A!$A$10:$D$199,3,FALSE))</f>
        <v/>
      </c>
      <c r="K2899" s="342" t="str">
        <f t="shared" si="760"/>
        <v/>
      </c>
      <c r="L2899" s="380" t="str">
        <f>IF(C2899="","",G2891*C2899)</f>
        <v/>
      </c>
      <c r="M2899" s="381" t="str">
        <f>IF(A2899="","",VLOOKUP(A2899,VII.A!$A$10:$B$199,2,FALSE))</f>
        <v/>
      </c>
      <c r="N2899" s="342" t="str">
        <f t="shared" si="761"/>
        <v/>
      </c>
      <c r="R2899" s="341"/>
      <c r="S2899" s="341"/>
    </row>
    <row r="2900" spans="1:21" ht="12.75" customHeight="1">
      <c r="A2900" s="385"/>
      <c r="B2900" s="386"/>
      <c r="C2900" s="20"/>
      <c r="D2900" s="342"/>
      <c r="E2900" s="387"/>
      <c r="F2900" s="388">
        <f t="shared" si="762"/>
        <v>0</v>
      </c>
      <c r="G2900" s="390"/>
      <c r="H2900" s="341" t="str">
        <f>IF(A2900="","",VLOOKUP(A2900,VII.A!$A$10:$D$199,4,FALSE))</f>
        <v/>
      </c>
      <c r="I2900" s="341" t="str">
        <f t="shared" si="759"/>
        <v/>
      </c>
      <c r="J2900" s="341" t="str">
        <f>IF(A2900="","",VLOOKUP(A2900,VII.A!$A$10:$D$199,3,FALSE))</f>
        <v/>
      </c>
      <c r="K2900" s="342" t="str">
        <f t="shared" si="760"/>
        <v/>
      </c>
      <c r="L2900" s="380" t="str">
        <f>IF(C2900="","",G2891*C2900)</f>
        <v/>
      </c>
      <c r="M2900" s="381" t="str">
        <f>IF(A2900="","",VLOOKUP(A2900,VII.A!$A$10:$B$199,2,FALSE))</f>
        <v/>
      </c>
      <c r="N2900" s="342" t="str">
        <f t="shared" si="761"/>
        <v/>
      </c>
      <c r="R2900" s="341"/>
      <c r="S2900" s="341"/>
    </row>
    <row r="2901" spans="1:21" ht="12.75" customHeight="1">
      <c r="A2901" s="385"/>
      <c r="B2901" s="386"/>
      <c r="C2901" s="20"/>
      <c r="D2901" s="342"/>
      <c r="E2901" s="387"/>
      <c r="F2901" s="388">
        <f t="shared" si="762"/>
        <v>0</v>
      </c>
      <c r="G2901" s="390"/>
      <c r="H2901" s="341" t="str">
        <f>IF(A2901="","",VLOOKUP(A2901,VII.A!$A$10:$D$199,4,FALSE))</f>
        <v/>
      </c>
      <c r="I2901" s="341" t="str">
        <f t="shared" si="759"/>
        <v/>
      </c>
      <c r="J2901" s="341" t="str">
        <f>IF(A2901="","",VLOOKUP(A2901,VII.A!$A$10:$D$199,3,FALSE))</f>
        <v/>
      </c>
      <c r="K2901" s="342" t="str">
        <f t="shared" si="760"/>
        <v/>
      </c>
      <c r="L2901" s="380" t="str">
        <f>IF(C2901="","",G2891*C2901)</f>
        <v/>
      </c>
      <c r="M2901" s="381" t="str">
        <f>IF(A2901="","",VLOOKUP(A2901,VII.A!$A$10:$B$199,2,FALSE))</f>
        <v/>
      </c>
      <c r="N2901" s="342" t="str">
        <f t="shared" si="761"/>
        <v/>
      </c>
      <c r="R2901" s="341"/>
      <c r="S2901" s="341"/>
    </row>
    <row r="2902" spans="1:21" ht="12.75" customHeight="1">
      <c r="A2902" s="385"/>
      <c r="B2902" s="386"/>
      <c r="C2902" s="20"/>
      <c r="D2902" s="342"/>
      <c r="E2902" s="387"/>
      <c r="F2902" s="388">
        <f t="shared" si="762"/>
        <v>0</v>
      </c>
      <c r="G2902" s="391"/>
      <c r="H2902" s="341" t="str">
        <f>IF(A2902="","",VLOOKUP(A2902,VII.A!$A$10:$D$199,4,FALSE))</f>
        <v/>
      </c>
      <c r="I2902" s="341" t="str">
        <f t="shared" si="759"/>
        <v/>
      </c>
      <c r="J2902" s="341" t="str">
        <f>IF(A2902="","",VLOOKUP(A2902,VII.A!$A$10:$D$199,3,FALSE))</f>
        <v/>
      </c>
      <c r="K2902" s="342" t="str">
        <f t="shared" si="760"/>
        <v/>
      </c>
      <c r="L2902" s="380" t="str">
        <f>IF(C2902="","",G2891*C2902)</f>
        <v/>
      </c>
      <c r="M2902" s="381" t="str">
        <f>IF(A2902="","",VLOOKUP(A2902,VII.A!$A$10:$B$199,2,FALSE))</f>
        <v/>
      </c>
      <c r="N2902" s="342" t="str">
        <f t="shared" si="761"/>
        <v/>
      </c>
      <c r="R2902" s="341"/>
      <c r="S2902" s="341"/>
    </row>
    <row r="2903" spans="1:21" ht="12.75" customHeight="1">
      <c r="A2903" s="385"/>
      <c r="B2903" s="386"/>
      <c r="C2903" s="20"/>
      <c r="D2903" s="342"/>
      <c r="E2903" s="387"/>
      <c r="F2903" s="388">
        <f t="shared" si="762"/>
        <v>0</v>
      </c>
      <c r="H2903" s="341" t="str">
        <f>IF(A2903="","",VLOOKUP(A2903,VII.A!$A$10:$D$199,4,FALSE))</f>
        <v/>
      </c>
      <c r="I2903" s="341" t="str">
        <f t="shared" si="759"/>
        <v/>
      </c>
      <c r="J2903" s="341" t="str">
        <f>IF(A2903="","",VLOOKUP(A2903,VII.A!$A$10:$D$199,3,FALSE))</f>
        <v/>
      </c>
      <c r="K2903" s="342" t="str">
        <f t="shared" si="760"/>
        <v/>
      </c>
      <c r="L2903" s="380" t="str">
        <f>IF(C2903="","",G2891*C2903)</f>
        <v/>
      </c>
      <c r="M2903" s="381" t="str">
        <f>IF(A2903="","",VLOOKUP(A2903,VII.A!$A$10:$B$199,2,FALSE))</f>
        <v/>
      </c>
      <c r="N2903" s="342" t="str">
        <f t="shared" si="761"/>
        <v/>
      </c>
      <c r="R2903" s="341"/>
      <c r="S2903" s="341"/>
    </row>
    <row r="2904" spans="1:21" ht="12.75" customHeight="1">
      <c r="A2904" s="385"/>
      <c r="B2904" s="386"/>
      <c r="C2904" s="20"/>
      <c r="D2904" s="392"/>
      <c r="E2904" s="387"/>
      <c r="F2904" s="388">
        <f t="shared" si="762"/>
        <v>0</v>
      </c>
      <c r="H2904" s="341" t="str">
        <f>IF(A2904="","",VLOOKUP(A2904,VII.A!$A$10:$D$199,4,FALSE))</f>
        <v/>
      </c>
      <c r="I2904" s="341" t="str">
        <f t="shared" si="759"/>
        <v/>
      </c>
      <c r="J2904" s="341" t="str">
        <f>IF(A2904="","",VLOOKUP(A2904,VII.A!$A$10:$D$199,3,FALSE))</f>
        <v/>
      </c>
      <c r="K2904" s="342" t="str">
        <f t="shared" si="760"/>
        <v/>
      </c>
      <c r="L2904" s="380" t="str">
        <f>IF(C2904="","",G2891*C2904)</f>
        <v/>
      </c>
      <c r="M2904" s="381" t="str">
        <f>IF(A2904="","",VLOOKUP(A2904,VII.A!$A$10:$B$199,2,FALSE))</f>
        <v/>
      </c>
      <c r="N2904" s="342" t="str">
        <f t="shared" si="761"/>
        <v/>
      </c>
      <c r="R2904" s="341"/>
      <c r="S2904" s="341"/>
    </row>
    <row r="2905" spans="1:21" ht="12.75" customHeight="1">
      <c r="A2905" s="385"/>
      <c r="B2905" s="386"/>
      <c r="C2905" s="20"/>
      <c r="D2905" s="392"/>
      <c r="E2905" s="387"/>
      <c r="F2905" s="388">
        <f t="shared" si="762"/>
        <v>0</v>
      </c>
      <c r="H2905" s="341" t="str">
        <f>IF(A2905="","",VLOOKUP(A2905,VII.A!$A$10:$D$199,4,FALSE))</f>
        <v/>
      </c>
      <c r="I2905" s="341" t="str">
        <f t="shared" si="759"/>
        <v/>
      </c>
      <c r="J2905" s="341" t="str">
        <f>IF(A2905="","",VLOOKUP(A2905,VII.A!$A$10:$D$199,3,FALSE))</f>
        <v/>
      </c>
      <c r="K2905" s="342" t="str">
        <f t="shared" si="760"/>
        <v/>
      </c>
      <c r="L2905" s="380" t="str">
        <f>IF(C2905="","",G2891*C2905)</f>
        <v/>
      </c>
      <c r="M2905" s="381" t="str">
        <f>IF(A2905="","",VLOOKUP(A2905,VII.A!$A$10:$B$199,2,FALSE))</f>
        <v/>
      </c>
      <c r="N2905" s="342" t="str">
        <f t="shared" si="761"/>
        <v/>
      </c>
      <c r="O2905" s="342"/>
      <c r="R2905" s="341"/>
      <c r="S2905" s="341"/>
    </row>
    <row r="2906" spans="1:21" ht="12.75" customHeight="1">
      <c r="A2906" s="385"/>
      <c r="B2906" s="386"/>
      <c r="C2906" s="20"/>
      <c r="D2906" s="392"/>
      <c r="E2906" s="387"/>
      <c r="F2906" s="388">
        <f t="shared" si="762"/>
        <v>0</v>
      </c>
      <c r="H2906" s="341" t="str">
        <f>IF(A2906="","",VLOOKUP(A2906,VII.A!$A$10:$D$199,4,FALSE))</f>
        <v/>
      </c>
      <c r="I2906" s="341" t="str">
        <f t="shared" si="759"/>
        <v/>
      </c>
      <c r="J2906" s="341" t="str">
        <f>IF(A2906="","",VLOOKUP(A2906,VII.A!$A$10:$D$199,3,FALSE))</f>
        <v/>
      </c>
      <c r="K2906" s="342" t="str">
        <f t="shared" si="760"/>
        <v/>
      </c>
      <c r="L2906" s="380" t="str">
        <f>IF(C2906="","",G2891*C2906)</f>
        <v/>
      </c>
      <c r="M2906" s="381" t="str">
        <f>IF(A2906="","",VLOOKUP(A2906,VII.A!$A$10:$B$199,2,FALSE))</f>
        <v/>
      </c>
      <c r="N2906" s="342" t="str">
        <f t="shared" si="761"/>
        <v/>
      </c>
      <c r="R2906" s="341"/>
      <c r="S2906" s="341"/>
    </row>
    <row r="2907" spans="1:21" ht="12.75" customHeight="1">
      <c r="A2907" s="393"/>
      <c r="C2907" s="20"/>
      <c r="E2907" s="387"/>
      <c r="F2907" s="388">
        <f t="shared" si="762"/>
        <v>0</v>
      </c>
      <c r="H2907" s="341" t="str">
        <f>IF(A2907="","",VLOOKUP(A2907,VII.A!$A$10:$D$199,4,FALSE))</f>
        <v/>
      </c>
      <c r="I2907" s="341" t="str">
        <f t="shared" si="759"/>
        <v/>
      </c>
      <c r="J2907" s="341" t="str">
        <f>IF(A2907="","",VLOOKUP(A2907,VII.A!$A$10:$D$199,3,FALSE))</f>
        <v/>
      </c>
      <c r="K2907" s="342" t="str">
        <f t="shared" si="760"/>
        <v/>
      </c>
      <c r="L2907" s="380" t="str">
        <f>IF(C2907="","",G2891*C2907)</f>
        <v/>
      </c>
      <c r="M2907" s="381" t="str">
        <f>IF(A2907="","",VLOOKUP(A2907,VII.A!$A$10:$B$199,2,FALSE))</f>
        <v/>
      </c>
      <c r="N2907" s="342" t="str">
        <f t="shared" si="761"/>
        <v/>
      </c>
      <c r="R2907" s="341"/>
      <c r="S2907" s="341"/>
    </row>
    <row r="2908" spans="1:21" ht="12.75" customHeight="1">
      <c r="A2908" s="393"/>
      <c r="C2908" s="20"/>
      <c r="E2908" s="387"/>
      <c r="F2908" s="388">
        <f t="shared" si="762"/>
        <v>0</v>
      </c>
      <c r="H2908" s="341" t="str">
        <f>IF(A2908="","",VLOOKUP(A2908,VII.A!$A$10:$D$199,4,FALSE))</f>
        <v/>
      </c>
      <c r="I2908" s="341" t="str">
        <f t="shared" si="759"/>
        <v/>
      </c>
      <c r="J2908" s="341" t="str">
        <f>IF(A2908="","",VLOOKUP(A2908,VII.A!$A$10:$D$199,3,FALSE))</f>
        <v/>
      </c>
      <c r="K2908" s="342" t="str">
        <f t="shared" si="760"/>
        <v/>
      </c>
      <c r="L2908" s="380" t="str">
        <f>IF(C2908="","",G2891*C2908)</f>
        <v/>
      </c>
      <c r="M2908" s="381" t="str">
        <f>IF(A2908="","",VLOOKUP(A2908,VII.A!$A$10:$B$199,2,FALSE))</f>
        <v/>
      </c>
      <c r="N2908" s="342" t="str">
        <f t="shared" si="761"/>
        <v/>
      </c>
      <c r="R2908" s="341"/>
      <c r="S2908" s="341"/>
    </row>
    <row r="2909" spans="1:21" ht="12.75" customHeight="1">
      <c r="A2909" s="393"/>
      <c r="B2909" s="395" t="s">
        <v>226</v>
      </c>
      <c r="C2909" s="396"/>
      <c r="D2909" s="397"/>
      <c r="E2909" s="398"/>
      <c r="F2909" s="399">
        <f>SUM(F2893:F2908)</f>
        <v>0</v>
      </c>
      <c r="H2909" s="426" t="s">
        <v>434</v>
      </c>
      <c r="J2909" s="341"/>
      <c r="L2909" s="380"/>
      <c r="M2909" s="381"/>
      <c r="N2909" s="342"/>
      <c r="R2909" s="341"/>
      <c r="S2909" s="341"/>
    </row>
    <row r="2910" spans="1:21" ht="12.75" customHeight="1">
      <c r="A2910" s="393"/>
      <c r="B2910" s="400" t="s">
        <v>53</v>
      </c>
      <c r="C2910" s="2">
        <f>$D$8</f>
        <v>0</v>
      </c>
      <c r="D2910" s="401"/>
      <c r="E2910" s="402"/>
      <c r="F2910" s="403">
        <f>ROUND(F2909*C2910,2)</f>
        <v>0</v>
      </c>
      <c r="H2910" s="341" t="s">
        <v>494</v>
      </c>
      <c r="J2910" s="341"/>
      <c r="L2910" s="380"/>
      <c r="M2910" s="381"/>
      <c r="N2910" s="342"/>
      <c r="R2910" s="341"/>
      <c r="S2910" s="341"/>
    </row>
    <row r="2911" spans="1:21" ht="12.75" customHeight="1">
      <c r="A2911" s="404"/>
      <c r="B2911" s="405" t="s">
        <v>227</v>
      </c>
      <c r="C2911" s="406"/>
      <c r="D2911" s="406"/>
      <c r="E2911" s="407"/>
      <c r="F2911" s="408">
        <f>F2909+F2910</f>
        <v>0</v>
      </c>
      <c r="J2911" s="341"/>
      <c r="L2911" s="380"/>
      <c r="M2911" s="381"/>
      <c r="N2911" s="342"/>
      <c r="R2911" s="341"/>
      <c r="S2911" s="341"/>
    </row>
    <row r="2912" spans="1:21" ht="12.75" customHeight="1">
      <c r="A2912" s="374" t="s">
        <v>2</v>
      </c>
      <c r="B2912" s="375" t="s">
        <v>235</v>
      </c>
      <c r="C2912" s="376" t="s">
        <v>231</v>
      </c>
      <c r="D2912" s="376" t="s">
        <v>232</v>
      </c>
      <c r="E2912" s="377" t="s">
        <v>233</v>
      </c>
      <c r="F2912" s="378" t="s">
        <v>234</v>
      </c>
      <c r="J2912" s="341"/>
      <c r="L2912" s="380"/>
      <c r="M2912" s="381"/>
      <c r="N2912" s="342"/>
      <c r="R2912" s="341"/>
      <c r="S2912" s="341"/>
    </row>
    <row r="2913" spans="1:19" ht="12.75" customHeight="1">
      <c r="A2913" s="393" t="str">
        <f>VII.A!$A$149</f>
        <v>2.7</v>
      </c>
      <c r="B2913" s="423" t="str">
        <f>VLOOKUP(A2913,VII.A!$A$10:$G$199,2,FALSE)</f>
        <v>BETONEIRA, CAPACIDADE NOMINAL DE 400L, MOTOR ELÉTRICO TRIFÁSICO DE  2CV - CHP</v>
      </c>
      <c r="C2913" s="20">
        <f>(0.034854/0.025)*0.02</f>
        <v>2.78832E-2</v>
      </c>
      <c r="D2913" s="384" t="str">
        <f>VLOOKUP(A2913,VII.A!$A$10:$G$199,3,FALSE)</f>
        <v>CHP</v>
      </c>
      <c r="E2913" s="387">
        <f>VII.A!$D$149</f>
        <v>0</v>
      </c>
      <c r="F2913" s="388">
        <f t="shared" ref="F2913:F2922" si="763">ROUND(C2913*E2913,2)</f>
        <v>0</v>
      </c>
      <c r="H2913" s="341">
        <f>IF(A2913="","",VLOOKUP(A2913,VII.A!$A$10:$D$199,4,FALSE))</f>
        <v>0</v>
      </c>
      <c r="I2913" s="341" t="str">
        <f t="shared" ref="I2913:I2922" si="764">IF(A2913="","",IF(E2913=H2913,"SIM","NÃO"))</f>
        <v>SIM</v>
      </c>
      <c r="J2913" s="341" t="str">
        <f>IF(A2913="","",VLOOKUP(A2913,VII.A!$A$10:$D$199,3,FALSE))</f>
        <v>CHP</v>
      </c>
      <c r="K2913" s="342" t="str">
        <f t="shared" ref="K2913:K2922" si="765">IF(A2913="","",IF(J2913=D2913,"SIM","NÃO"))</f>
        <v>SIM</v>
      </c>
      <c r="L2913" s="380">
        <f>IF(C2913="","",G2891*C2913)</f>
        <v>3.4853999999999998</v>
      </c>
      <c r="M2913" s="381" t="str">
        <f>IF(A2913="","",VLOOKUP(A2913,VII.A!$A$10:$B$199,2,FALSE))</f>
        <v>BETONEIRA, CAPACIDADE NOMINAL DE 400L, MOTOR ELÉTRICO TRIFÁSICO DE  2CV - CHP</v>
      </c>
      <c r="N2913" s="342" t="str">
        <f t="shared" ref="N2913:N2922" si="766">IF(B2913="","",IF(M2913=B2913,"si","no"))</f>
        <v>si</v>
      </c>
      <c r="R2913" s="341"/>
      <c r="S2913" s="341"/>
    </row>
    <row r="2914" spans="1:19" ht="12.75" customHeight="1">
      <c r="A2914" s="393" t="str">
        <f>VII.A!$A$148</f>
        <v>2.6</v>
      </c>
      <c r="B2914" s="394" t="str">
        <f>VLOOKUP(A2914,VII.A!$A$10:$G$199,2,FALSE)</f>
        <v>BETONEIRA, CAPACIDADE NOMINAL DE 400L, MOTOR ELÉTRICO TRIFÁSICO DE  2CV - CHI</v>
      </c>
      <c r="C2914" s="20">
        <f>(0.114296/0.025)*0.02</f>
        <v>9.1436799999999999E-2</v>
      </c>
      <c r="D2914" s="384" t="str">
        <f>VLOOKUP(A2914,VII.A!$A$10:$G$199,3,FALSE)</f>
        <v>CHI</v>
      </c>
      <c r="E2914" s="387">
        <f>VII.A!$D$148</f>
        <v>0</v>
      </c>
      <c r="F2914" s="388">
        <f t="shared" si="763"/>
        <v>0</v>
      </c>
      <c r="H2914" s="341">
        <f>IF(A2914="","",VLOOKUP(A2914,VII.A!$A$10:$D$199,4,FALSE))</f>
        <v>0</v>
      </c>
      <c r="I2914" s="341" t="str">
        <f t="shared" si="764"/>
        <v>SIM</v>
      </c>
      <c r="J2914" s="341" t="str">
        <f>IF(A2914="","",VLOOKUP(A2914,VII.A!$A$10:$D$199,3,FALSE))</f>
        <v>CHI</v>
      </c>
      <c r="K2914" s="342" t="str">
        <f t="shared" si="765"/>
        <v>SIM</v>
      </c>
      <c r="L2914" s="380">
        <f>IF(C2914="","",G2891*C2914)</f>
        <v>11.429600000000001</v>
      </c>
      <c r="M2914" s="381" t="str">
        <f>IF(A2914="","",VLOOKUP(A2914,VII.A!$A$10:$B$199,2,FALSE))</f>
        <v>BETONEIRA, CAPACIDADE NOMINAL DE 400L, MOTOR ELÉTRICO TRIFÁSICO DE  2CV - CHI</v>
      </c>
      <c r="N2914" s="342" t="str">
        <f t="shared" si="766"/>
        <v>si</v>
      </c>
      <c r="R2914" s="341"/>
      <c r="S2914" s="341"/>
    </row>
    <row r="2915" spans="1:19" ht="12.75" customHeight="1">
      <c r="A2915" s="393"/>
      <c r="C2915" s="20"/>
      <c r="E2915" s="387"/>
      <c r="F2915" s="388">
        <f t="shared" si="763"/>
        <v>0</v>
      </c>
      <c r="H2915" s="341" t="str">
        <f>IF(A2915="","",VLOOKUP(A2915,VII.A!$A$10:$D$199,4,FALSE))</f>
        <v/>
      </c>
      <c r="I2915" s="341" t="str">
        <f t="shared" si="764"/>
        <v/>
      </c>
      <c r="J2915" s="341" t="str">
        <f>IF(A2915="","",VLOOKUP(A2915,VII.A!$A$10:$D$199,3,FALSE))</f>
        <v/>
      </c>
      <c r="K2915" s="342" t="str">
        <f t="shared" si="765"/>
        <v/>
      </c>
      <c r="L2915" s="380" t="str">
        <f>IF(C2915="","",G2891*C2915)</f>
        <v/>
      </c>
      <c r="M2915" s="381" t="str">
        <f>IF(A2915="","",VLOOKUP(A2915,VII.A!$A$10:$B$199,2,FALSE))</f>
        <v/>
      </c>
      <c r="N2915" s="342" t="str">
        <f t="shared" si="766"/>
        <v/>
      </c>
      <c r="R2915" s="341"/>
      <c r="S2915" s="341"/>
    </row>
    <row r="2916" spans="1:19" ht="12.75" customHeight="1">
      <c r="A2916" s="393"/>
      <c r="C2916" s="20"/>
      <c r="E2916" s="387"/>
      <c r="F2916" s="388">
        <f t="shared" si="763"/>
        <v>0</v>
      </c>
      <c r="H2916" s="341" t="str">
        <f>IF(A2916="","",VLOOKUP(A2916,VII.A!$A$10:$D$199,4,FALSE))</f>
        <v/>
      </c>
      <c r="I2916" s="341" t="str">
        <f t="shared" si="764"/>
        <v/>
      </c>
      <c r="J2916" s="341" t="str">
        <f>IF(A2916="","",VLOOKUP(A2916,VII.A!$A$10:$D$199,3,FALSE))</f>
        <v/>
      </c>
      <c r="K2916" s="342" t="str">
        <f t="shared" si="765"/>
        <v/>
      </c>
      <c r="L2916" s="380" t="str">
        <f>IF(C2916="","",G2891*C2916)</f>
        <v/>
      </c>
      <c r="M2916" s="381" t="str">
        <f>IF(A2916="","",VLOOKUP(A2916,VII.A!$A$10:$B$199,2,FALSE))</f>
        <v/>
      </c>
      <c r="N2916" s="342" t="str">
        <f t="shared" si="766"/>
        <v/>
      </c>
      <c r="R2916" s="341"/>
      <c r="S2916" s="341"/>
    </row>
    <row r="2917" spans="1:19" ht="12.75" customHeight="1">
      <c r="A2917" s="393"/>
      <c r="C2917" s="20"/>
      <c r="E2917" s="387"/>
      <c r="F2917" s="388">
        <f t="shared" si="763"/>
        <v>0</v>
      </c>
      <c r="G2917" s="390"/>
      <c r="H2917" s="341" t="str">
        <f>IF(A2917="","",VLOOKUP(A2917,VII.A!$A$10:$D$199,4,FALSE))</f>
        <v/>
      </c>
      <c r="I2917" s="341" t="str">
        <f t="shared" si="764"/>
        <v/>
      </c>
      <c r="J2917" s="341" t="str">
        <f>IF(A2917="","",VLOOKUP(A2917,VII.A!$A$10:$D$199,3,FALSE))</f>
        <v/>
      </c>
      <c r="K2917" s="342" t="str">
        <f t="shared" si="765"/>
        <v/>
      </c>
      <c r="L2917" s="380" t="str">
        <f>IF(C2917="","",G2891*C2917)</f>
        <v/>
      </c>
      <c r="M2917" s="381" t="str">
        <f>IF(A2917="","",VLOOKUP(A2917,VII.A!$A$10:$B$199,2,FALSE))</f>
        <v/>
      </c>
      <c r="N2917" s="342" t="str">
        <f t="shared" si="766"/>
        <v/>
      </c>
      <c r="R2917" s="341"/>
      <c r="S2917" s="341"/>
    </row>
    <row r="2918" spans="1:19" ht="12.75" customHeight="1">
      <c r="A2918" s="393"/>
      <c r="C2918" s="20"/>
      <c r="E2918" s="387"/>
      <c r="F2918" s="388">
        <f t="shared" si="763"/>
        <v>0</v>
      </c>
      <c r="G2918" s="391"/>
      <c r="H2918" s="341" t="str">
        <f>IF(A2918="","",VLOOKUP(A2918,VII.A!$A$10:$D$199,4,FALSE))</f>
        <v/>
      </c>
      <c r="I2918" s="341" t="str">
        <f t="shared" si="764"/>
        <v/>
      </c>
      <c r="J2918" s="341" t="str">
        <f>IF(A2918="","",VLOOKUP(A2918,VII.A!$A$10:$D$199,3,FALSE))</f>
        <v/>
      </c>
      <c r="K2918" s="342" t="str">
        <f t="shared" si="765"/>
        <v/>
      </c>
      <c r="L2918" s="380" t="str">
        <f>IF(C2918="","",G2891*C2918)</f>
        <v/>
      </c>
      <c r="M2918" s="381" t="str">
        <f>IF(A2918="","",VLOOKUP(A2918,VII.A!$A$10:$B$199,2,FALSE))</f>
        <v/>
      </c>
      <c r="N2918" s="342" t="str">
        <f t="shared" si="766"/>
        <v/>
      </c>
      <c r="R2918" s="341"/>
      <c r="S2918" s="341"/>
    </row>
    <row r="2919" spans="1:19" ht="12.75" customHeight="1">
      <c r="A2919" s="393"/>
      <c r="C2919" s="20"/>
      <c r="E2919" s="387"/>
      <c r="F2919" s="388">
        <f t="shared" si="763"/>
        <v>0</v>
      </c>
      <c r="H2919" s="341" t="str">
        <f>IF(A2919="","",VLOOKUP(A2919,VII.A!$A$10:$D$199,4,FALSE))</f>
        <v/>
      </c>
      <c r="I2919" s="341" t="str">
        <f t="shared" si="764"/>
        <v/>
      </c>
      <c r="J2919" s="341" t="str">
        <f>IF(A2919="","",VLOOKUP(A2919,VII.A!$A$10:$D$199,3,FALSE))</f>
        <v/>
      </c>
      <c r="K2919" s="342" t="str">
        <f t="shared" si="765"/>
        <v/>
      </c>
      <c r="L2919" s="380" t="str">
        <f>IF(C2919="","",G2891*C2919)</f>
        <v/>
      </c>
      <c r="M2919" s="381" t="str">
        <f>IF(A2919="","",VLOOKUP(A2919,VII.A!$A$10:$B$199,2,FALSE))</f>
        <v/>
      </c>
      <c r="N2919" s="342" t="str">
        <f t="shared" si="766"/>
        <v/>
      </c>
      <c r="R2919" s="341"/>
      <c r="S2919" s="341"/>
    </row>
    <row r="2920" spans="1:19" ht="12.75" customHeight="1">
      <c r="A2920" s="393"/>
      <c r="C2920" s="20"/>
      <c r="E2920" s="387"/>
      <c r="F2920" s="388">
        <f t="shared" si="763"/>
        <v>0</v>
      </c>
      <c r="H2920" s="341" t="str">
        <f>IF(A2920="","",VLOOKUP(A2920,VII.A!$A$10:$D$199,4,FALSE))</f>
        <v/>
      </c>
      <c r="I2920" s="341" t="str">
        <f t="shared" si="764"/>
        <v/>
      </c>
      <c r="J2920" s="341" t="str">
        <f>IF(A2920="","",VLOOKUP(A2920,VII.A!$A$10:$D$199,3,FALSE))</f>
        <v/>
      </c>
      <c r="K2920" s="342" t="str">
        <f t="shared" si="765"/>
        <v/>
      </c>
      <c r="L2920" s="380" t="str">
        <f>IF(C2920="","",G2891*C2920)</f>
        <v/>
      </c>
      <c r="M2920" s="381" t="str">
        <f>IF(A2920="","",VLOOKUP(A2920,VII.A!$A$10:$B$199,2,FALSE))</f>
        <v/>
      </c>
      <c r="N2920" s="342" t="str">
        <f t="shared" si="766"/>
        <v/>
      </c>
      <c r="R2920" s="341"/>
      <c r="S2920" s="341"/>
    </row>
    <row r="2921" spans="1:19" ht="12.75" customHeight="1">
      <c r="A2921" s="393"/>
      <c r="C2921" s="20"/>
      <c r="E2921" s="387"/>
      <c r="F2921" s="388">
        <f t="shared" si="763"/>
        <v>0</v>
      </c>
      <c r="H2921" s="341" t="str">
        <f>IF(A2921="","",VLOOKUP(A2921,VII.A!$A$10:$D$199,4,FALSE))</f>
        <v/>
      </c>
      <c r="I2921" s="341" t="str">
        <f t="shared" si="764"/>
        <v/>
      </c>
      <c r="J2921" s="341" t="str">
        <f>IF(A2921="","",VLOOKUP(A2921,VII.A!$A$10:$D$199,3,FALSE))</f>
        <v/>
      </c>
      <c r="K2921" s="342" t="str">
        <f t="shared" si="765"/>
        <v/>
      </c>
      <c r="L2921" s="380" t="str">
        <f>IF(C2921="","",G2891*C2921)</f>
        <v/>
      </c>
      <c r="M2921" s="381" t="str">
        <f>IF(A2921="","",VLOOKUP(A2921,VII.A!$A$10:$B$199,2,FALSE))</f>
        <v/>
      </c>
      <c r="N2921" s="342" t="str">
        <f t="shared" si="766"/>
        <v/>
      </c>
      <c r="R2921" s="341"/>
      <c r="S2921" s="341"/>
    </row>
    <row r="2922" spans="1:19" ht="12.75" customHeight="1">
      <c r="A2922" s="393"/>
      <c r="C2922" s="20"/>
      <c r="E2922" s="387"/>
      <c r="F2922" s="388">
        <f t="shared" si="763"/>
        <v>0</v>
      </c>
      <c r="H2922" s="341" t="str">
        <f>IF(A2922="","",VLOOKUP(A2922,VII.A!$A$10:$D$199,4,FALSE))</f>
        <v/>
      </c>
      <c r="I2922" s="341" t="str">
        <f t="shared" si="764"/>
        <v/>
      </c>
      <c r="J2922" s="341" t="str">
        <f>IF(A2922="","",VLOOKUP(A2922,VII.A!$A$10:$D$199,3,FALSE))</f>
        <v/>
      </c>
      <c r="K2922" s="342" t="str">
        <f t="shared" si="765"/>
        <v/>
      </c>
      <c r="L2922" s="380" t="str">
        <f>IF(C2922="","",G2891*C2922)</f>
        <v/>
      </c>
      <c r="M2922" s="381" t="str">
        <f>IF(A2922="","",VLOOKUP(A2922,VII.A!$A$10:$B$199,2,FALSE))</f>
        <v/>
      </c>
      <c r="N2922" s="342" t="str">
        <f t="shared" si="766"/>
        <v/>
      </c>
      <c r="R2922" s="341"/>
      <c r="S2922" s="341"/>
    </row>
    <row r="2923" spans="1:19" ht="12.75" customHeight="1">
      <c r="A2923" s="393"/>
      <c r="B2923" s="395" t="s">
        <v>226</v>
      </c>
      <c r="C2923" s="396"/>
      <c r="D2923" s="397"/>
      <c r="E2923" s="398"/>
      <c r="F2923" s="399">
        <f>SUM(F2913:F2922)</f>
        <v>0</v>
      </c>
      <c r="J2923" s="341"/>
      <c r="L2923" s="380"/>
      <c r="M2923" s="381"/>
      <c r="N2923" s="342"/>
      <c r="R2923" s="341"/>
      <c r="S2923" s="341"/>
    </row>
    <row r="2924" spans="1:19" ht="12.75" customHeight="1">
      <c r="A2924" s="393"/>
      <c r="B2924" s="400" t="s">
        <v>53</v>
      </c>
      <c r="C2924" s="2">
        <f>$D$8</f>
        <v>0</v>
      </c>
      <c r="D2924" s="401"/>
      <c r="E2924" s="402"/>
      <c r="F2924" s="403">
        <f>ROUND(C2924*F2923,2)</f>
        <v>0</v>
      </c>
      <c r="J2924" s="341"/>
      <c r="L2924" s="380"/>
      <c r="M2924" s="381"/>
      <c r="N2924" s="342"/>
      <c r="R2924" s="341"/>
      <c r="S2924" s="341"/>
    </row>
    <row r="2925" spans="1:19" ht="12.75" customHeight="1">
      <c r="A2925" s="404"/>
      <c r="B2925" s="405" t="s">
        <v>228</v>
      </c>
      <c r="C2925" s="406"/>
      <c r="D2925" s="406"/>
      <c r="E2925" s="407"/>
      <c r="F2925" s="408">
        <f>F2923+F2924</f>
        <v>0</v>
      </c>
      <c r="J2925" s="341"/>
      <c r="L2925" s="380"/>
      <c r="M2925" s="381"/>
      <c r="N2925" s="342"/>
      <c r="R2925" s="341"/>
      <c r="S2925" s="341"/>
    </row>
    <row r="2926" spans="1:19" ht="12.75" customHeight="1">
      <c r="A2926" s="409" t="s">
        <v>47</v>
      </c>
      <c r="B2926" s="410" t="s">
        <v>236</v>
      </c>
      <c r="C2926" s="411" t="s">
        <v>231</v>
      </c>
      <c r="D2926" s="412" t="s">
        <v>232</v>
      </c>
      <c r="E2926" s="413" t="s">
        <v>233</v>
      </c>
      <c r="F2926" s="378" t="s">
        <v>234</v>
      </c>
      <c r="J2926" s="341"/>
      <c r="L2926" s="380"/>
      <c r="M2926" s="381"/>
      <c r="N2926" s="342"/>
      <c r="R2926" s="341"/>
      <c r="S2926" s="341"/>
    </row>
    <row r="2927" spans="1:19" ht="12.75" customHeight="1">
      <c r="A2927" s="393" t="str">
        <f>VII.A!$A$192</f>
        <v>3.12</v>
      </c>
      <c r="B2927" s="394" t="s">
        <v>153</v>
      </c>
      <c r="C2927" s="20">
        <f>(0.78/0.025)*0.02</f>
        <v>0.624</v>
      </c>
      <c r="D2927" s="384" t="str">
        <f>VLOOKUP(A2927,VII.A!$A$10:$G$199,3,FALSE)</f>
        <v>H</v>
      </c>
      <c r="E2927" s="387">
        <f>VII.A!D192</f>
        <v>0</v>
      </c>
      <c r="F2927" s="388">
        <f t="shared" ref="F2927:F2933" si="767">ROUND(C2927*E2927,2)</f>
        <v>0</v>
      </c>
      <c r="H2927" s="341">
        <f>IF(A2927="","",VLOOKUP(A2927,VII.A!$A$10:$D$199,4,FALSE))</f>
        <v>0</v>
      </c>
      <c r="I2927" s="341" t="str">
        <f t="shared" ref="I2927:I2933" si="768">IF(A2927="","",IF(E2927=H2927,"SIM","NÃO"))</f>
        <v>SIM</v>
      </c>
      <c r="J2927" s="341" t="str">
        <f>IF(A2927="","",VLOOKUP(A2927,VII.A!$A$10:$D$199,3,FALSE))</f>
        <v>H</v>
      </c>
      <c r="K2927" s="342" t="str">
        <f t="shared" ref="K2927:K2933" si="769">IF(A2927="","",IF(J2927=D2927,"SIM","NÃO"))</f>
        <v>SIM</v>
      </c>
      <c r="L2927" s="380">
        <f>IF(C2927="","",G2891*C2927)</f>
        <v>78</v>
      </c>
      <c r="M2927" s="381" t="str">
        <f>IF(A2927="","",VLOOKUP(A2927,VII.A!$A$10:$B$199,2,FALSE))</f>
        <v>PEDREIRO COM ENCARGOS COMPLEMENTARES</v>
      </c>
      <c r="N2927" s="342" t="str">
        <f t="shared" ref="N2927:N2933" si="770">IF(B2927="","",IF(M2927=B2927,"si","no"))</f>
        <v>si</v>
      </c>
      <c r="R2927" s="341"/>
      <c r="S2927" s="341"/>
    </row>
    <row r="2928" spans="1:19" ht="12.75" customHeight="1">
      <c r="A2928" s="393" t="str">
        <f>VII.A!$A$196</f>
        <v>3.16</v>
      </c>
      <c r="B2928" s="394" t="s">
        <v>157</v>
      </c>
      <c r="C2928" s="20">
        <f>((0.78+0.14915)/0.025)*0.02</f>
        <v>0.74331999999999998</v>
      </c>
      <c r="D2928" s="384" t="str">
        <f>VLOOKUP(A2928,VII.A!$A$10:$G$199,3,FALSE)</f>
        <v>H</v>
      </c>
      <c r="E2928" s="387">
        <f>VII.A!D196</f>
        <v>0</v>
      </c>
      <c r="F2928" s="388">
        <f t="shared" si="767"/>
        <v>0</v>
      </c>
      <c r="H2928" s="341">
        <f>IF(A2928="","",VLOOKUP(A2928,VII.A!$A$10:$D$199,4,FALSE))</f>
        <v>0</v>
      </c>
      <c r="I2928" s="341" t="str">
        <f t="shared" si="768"/>
        <v>SIM</v>
      </c>
      <c r="J2928" s="341" t="str">
        <f>IF(A2928="","",VLOOKUP(A2928,VII.A!$A$10:$D$199,3,FALSE))</f>
        <v>H</v>
      </c>
      <c r="K2928" s="342" t="str">
        <f t="shared" si="769"/>
        <v>SIM</v>
      </c>
      <c r="L2928" s="380">
        <f>IF(C2928="","",G2891*C2928)</f>
        <v>92.914999999999992</v>
      </c>
      <c r="M2928" s="381" t="str">
        <f>IF(A2928="","",VLOOKUP(A2928,VII.A!$A$10:$B$199,2,FALSE))</f>
        <v>SERVENTE COM ENCARGOS COMPLEMENTARES</v>
      </c>
      <c r="N2928" s="342" t="str">
        <f t="shared" si="770"/>
        <v>si</v>
      </c>
      <c r="R2928" s="341"/>
      <c r="S2928" s="341"/>
    </row>
    <row r="2929" spans="1:25" ht="12.75" customHeight="1">
      <c r="A2929" s="393"/>
      <c r="C2929" s="20"/>
      <c r="E2929" s="387"/>
      <c r="F2929" s="388">
        <f t="shared" si="767"/>
        <v>0</v>
      </c>
      <c r="H2929" s="341" t="str">
        <f>IF(A2929="","",VLOOKUP(A2929,VII.A!$A$10:$D$199,4,FALSE))</f>
        <v/>
      </c>
      <c r="I2929" s="341" t="str">
        <f t="shared" si="768"/>
        <v/>
      </c>
      <c r="J2929" s="341" t="str">
        <f>IF(A2929="","",VLOOKUP(A2929,VII.A!$A$10:$D$199,3,FALSE))</f>
        <v/>
      </c>
      <c r="K2929" s="342" t="str">
        <f t="shared" si="769"/>
        <v/>
      </c>
      <c r="L2929" s="380" t="str">
        <f>IF(C2929="","",G2891*C2929)</f>
        <v/>
      </c>
      <c r="M2929" s="381" t="str">
        <f>IF(A2929="","",VLOOKUP(A2929,VII.A!$A$10:$B$199,2,FALSE))</f>
        <v/>
      </c>
      <c r="N2929" s="342" t="str">
        <f t="shared" si="770"/>
        <v/>
      </c>
      <c r="R2929" s="341"/>
      <c r="S2929" s="341"/>
    </row>
    <row r="2930" spans="1:25" ht="12.75" customHeight="1">
      <c r="A2930" s="393"/>
      <c r="C2930" s="20"/>
      <c r="E2930" s="387"/>
      <c r="F2930" s="388">
        <f t="shared" si="767"/>
        <v>0</v>
      </c>
      <c r="H2930" s="341" t="str">
        <f>IF(A2930="","",VLOOKUP(A2930,VII.A!$A$10:$D$199,4,FALSE))</f>
        <v/>
      </c>
      <c r="I2930" s="341" t="str">
        <f t="shared" si="768"/>
        <v/>
      </c>
      <c r="J2930" s="341" t="str">
        <f>IF(A2930="","",VLOOKUP(A2930,VII.A!$A$10:$D$199,3,FALSE))</f>
        <v/>
      </c>
      <c r="K2930" s="342" t="str">
        <f t="shared" si="769"/>
        <v/>
      </c>
      <c r="L2930" s="380" t="str">
        <f>IF(C2930="","",G2891*C2930)</f>
        <v/>
      </c>
      <c r="M2930" s="381" t="str">
        <f>IF(A2930="","",VLOOKUP(A2930,VII.A!$A$10:$B$199,2,FALSE))</f>
        <v/>
      </c>
      <c r="N2930" s="342" t="str">
        <f t="shared" si="770"/>
        <v/>
      </c>
      <c r="R2930" s="341"/>
      <c r="S2930" s="341"/>
    </row>
    <row r="2931" spans="1:25" ht="12.75" customHeight="1">
      <c r="A2931" s="393"/>
      <c r="C2931" s="20"/>
      <c r="E2931" s="387"/>
      <c r="F2931" s="388">
        <f t="shared" si="767"/>
        <v>0</v>
      </c>
      <c r="H2931" s="341" t="str">
        <f>IF(A2931="","",VLOOKUP(A2931,VII.A!$A$10:$D$199,4,FALSE))</f>
        <v/>
      </c>
      <c r="I2931" s="341" t="str">
        <f t="shared" si="768"/>
        <v/>
      </c>
      <c r="J2931" s="341" t="str">
        <f>IF(A2931="","",VLOOKUP(A2931,VII.A!$A$10:$D$199,3,FALSE))</f>
        <v/>
      </c>
      <c r="K2931" s="342" t="str">
        <f t="shared" si="769"/>
        <v/>
      </c>
      <c r="L2931" s="380" t="str">
        <f>IF(C2931="","",G2891*C2931)</f>
        <v/>
      </c>
      <c r="M2931" s="381" t="str">
        <f>IF(A2931="","",VLOOKUP(A2931,VII.A!$A$10:$B$199,2,FALSE))</f>
        <v/>
      </c>
      <c r="N2931" s="342" t="str">
        <f t="shared" si="770"/>
        <v/>
      </c>
      <c r="R2931" s="341"/>
      <c r="S2931" s="341"/>
    </row>
    <row r="2932" spans="1:25" ht="12.75" customHeight="1">
      <c r="A2932" s="393"/>
      <c r="C2932" s="20"/>
      <c r="E2932" s="387"/>
      <c r="F2932" s="388">
        <f t="shared" si="767"/>
        <v>0</v>
      </c>
      <c r="H2932" s="341" t="str">
        <f>IF(A2932="","",VLOOKUP(A2932,VII.A!$A$10:$D$199,4,FALSE))</f>
        <v/>
      </c>
      <c r="I2932" s="341" t="str">
        <f t="shared" si="768"/>
        <v/>
      </c>
      <c r="J2932" s="341" t="str">
        <f>IF(A2932="","",VLOOKUP(A2932,VII.A!$A$10:$D$199,3,FALSE))</f>
        <v/>
      </c>
      <c r="K2932" s="342" t="str">
        <f t="shared" si="769"/>
        <v/>
      </c>
      <c r="L2932" s="380" t="str">
        <f>IF(C2932="","",G2891*C2932)</f>
        <v/>
      </c>
      <c r="M2932" s="381" t="str">
        <f>IF(A2932="","",VLOOKUP(A2932,VII.A!$A$10:$B$199,2,FALSE))</f>
        <v/>
      </c>
      <c r="N2932" s="342" t="str">
        <f t="shared" si="770"/>
        <v/>
      </c>
      <c r="R2932" s="341"/>
      <c r="S2932" s="341"/>
    </row>
    <row r="2933" spans="1:25" ht="12.75" customHeight="1">
      <c r="A2933" s="393"/>
      <c r="C2933" s="20"/>
      <c r="E2933" s="387"/>
      <c r="F2933" s="388">
        <f t="shared" si="767"/>
        <v>0</v>
      </c>
      <c r="H2933" s="341" t="str">
        <f>IF(A2933="","",VLOOKUP(A2933,VII.A!$A$10:$D$199,4,FALSE))</f>
        <v/>
      </c>
      <c r="I2933" s="341" t="str">
        <f t="shared" si="768"/>
        <v/>
      </c>
      <c r="J2933" s="341" t="str">
        <f>IF(A2933="","",VLOOKUP(A2933,VII.A!$A$10:$D$199,3,FALSE))</f>
        <v/>
      </c>
      <c r="K2933" s="342" t="str">
        <f t="shared" si="769"/>
        <v/>
      </c>
      <c r="L2933" s="380" t="str">
        <f>IF(C2933="","",G2891*C2933)</f>
        <v/>
      </c>
      <c r="M2933" s="381" t="str">
        <f>IF(A2933="","",VLOOKUP(A2933,VII.A!$A$10:$B$199,2,FALSE))</f>
        <v/>
      </c>
      <c r="N2933" s="342" t="str">
        <f t="shared" si="770"/>
        <v/>
      </c>
      <c r="R2933" s="341"/>
      <c r="S2933" s="341"/>
    </row>
    <row r="2934" spans="1:25" ht="12.75" customHeight="1">
      <c r="A2934" s="393"/>
      <c r="B2934" s="395" t="s">
        <v>226</v>
      </c>
      <c r="C2934" s="396"/>
      <c r="D2934" s="397"/>
      <c r="E2934" s="398"/>
      <c r="F2934" s="399">
        <f>SUM(F2927:F2933)</f>
        <v>0</v>
      </c>
      <c r="J2934" s="341"/>
      <c r="L2934" s="380"/>
      <c r="M2934" s="381"/>
      <c r="N2934" s="342"/>
      <c r="R2934" s="341"/>
      <c r="S2934" s="341"/>
    </row>
    <row r="2935" spans="1:25" ht="12.75" customHeight="1">
      <c r="A2935" s="393"/>
      <c r="B2935" s="400" t="s">
        <v>229</v>
      </c>
      <c r="C2935" s="2">
        <f>IX.A!$C$45</f>
        <v>0</v>
      </c>
      <c r="D2935" s="401"/>
      <c r="E2935" s="402"/>
      <c r="F2935" s="403">
        <f>ROUND(F2934*C2935,2)</f>
        <v>0</v>
      </c>
      <c r="J2935" s="341"/>
      <c r="L2935" s="380"/>
      <c r="M2935" s="381"/>
      <c r="N2935" s="342"/>
      <c r="R2935" s="341"/>
      <c r="S2935" s="341"/>
    </row>
    <row r="2936" spans="1:25" ht="12.75" customHeight="1">
      <c r="A2936" s="393"/>
      <c r="B2936" s="400" t="s">
        <v>53</v>
      </c>
      <c r="C2936" s="2">
        <f>$D$8</f>
        <v>0</v>
      </c>
      <c r="D2936" s="401"/>
      <c r="E2936" s="402"/>
      <c r="F2936" s="403">
        <f>ROUND(SUM(F2934:F2935)*C2936,2)</f>
        <v>0</v>
      </c>
      <c r="J2936" s="341"/>
      <c r="L2936" s="380"/>
      <c r="M2936" s="381"/>
      <c r="N2936" s="342"/>
      <c r="R2936" s="341"/>
      <c r="S2936" s="341"/>
    </row>
    <row r="2937" spans="1:25" ht="12.75" customHeight="1" thickBot="1">
      <c r="A2937" s="414"/>
      <c r="B2937" s="415" t="s">
        <v>230</v>
      </c>
      <c r="C2937" s="416"/>
      <c r="D2937" s="416"/>
      <c r="E2937" s="417"/>
      <c r="F2937" s="418">
        <f>SUM(F2934:F2936)</f>
        <v>0</v>
      </c>
      <c r="J2937" s="341"/>
      <c r="L2937" s="380"/>
      <c r="M2937" s="381"/>
      <c r="N2937" s="342"/>
      <c r="R2937" s="341"/>
      <c r="S2937" s="341"/>
    </row>
    <row r="2938" spans="1:25" ht="12.75" customHeight="1" thickBot="1">
      <c r="A2938" s="357"/>
      <c r="B2938" s="358"/>
      <c r="C2938" s="359"/>
      <c r="D2938" s="359"/>
      <c r="E2938" s="360"/>
      <c r="F2938" s="419"/>
      <c r="J2938" s="341"/>
      <c r="L2938" s="380"/>
      <c r="M2938" s="381"/>
      <c r="N2938" s="342"/>
      <c r="R2938" s="341"/>
      <c r="S2938" s="341"/>
    </row>
    <row r="2939" spans="1:25" ht="30" customHeight="1">
      <c r="A2939" s="370" t="str">
        <f>IV.A!$A$94</f>
        <v>3.8.3</v>
      </c>
      <c r="B2939" s="371" t="str">
        <f>IV.A!$B$94</f>
        <v xml:space="preserve">RECUPERAÇÃO E REGULARIZAÇÃO DO REVESTIMENTO EM EMBOÇO/MASSA ÚNICA/REBOCO </v>
      </c>
      <c r="C2939" s="871" t="s">
        <v>237</v>
      </c>
      <c r="D2939" s="872"/>
      <c r="E2939" s="372" t="str">
        <f>IV.A!$C$94</f>
        <v>M2</v>
      </c>
      <c r="F2939" s="11">
        <f>ROUND(F2959+F2973+F2985,2)</f>
        <v>0</v>
      </c>
      <c r="G2939" s="1">
        <f>VLOOKUP(A2939,IV.A!$A$16:$L$172,4,FALSE)</f>
        <v>300</v>
      </c>
      <c r="H2939" s="361">
        <f>SUM(F2941:F2956)+F2958</f>
        <v>0</v>
      </c>
      <c r="I2939" s="361">
        <f>SUM(F2961:F2970)+F2972</f>
        <v>0</v>
      </c>
      <c r="J2939" s="361">
        <f>SUM(F2975:F2981)+F2983+F2984</f>
        <v>0</v>
      </c>
      <c r="K2939" s="361">
        <f>SUM(H2939:J2939)</f>
        <v>0</v>
      </c>
      <c r="L2939" s="362" t="str">
        <f>IF(K2939=F2939,"SIM","NÃO")</f>
        <v>SIM</v>
      </c>
      <c r="M2939" s="373">
        <f>ROUND(SUM(F2941:F2956),2)+ROUND(SUM(F2941:F2956)*C2958,2)+ROUND(SUM(F2961:F2970)*C2972,2)+ROUND(SUM(F2961:F2970),2)+ROUND(SUM(F2975:F2981)*C2983,2)+ROUND((SUM(F2975:F2981)+ROUND(SUM(F2975:F2981)*C2983,2))*C2984,2)+ROUND(SUM(F2975:F2981),2)</f>
        <v>0</v>
      </c>
      <c r="N2939" s="343" t="str">
        <f>IF(M2939=F2939,"SIM","NÃO")</f>
        <v>SIM</v>
      </c>
      <c r="O2939" s="364" t="str">
        <f>VLOOKUP(A2939,IV.A!$A$16:$E$172,3,FALSE)</f>
        <v>M2</v>
      </c>
      <c r="P2939" s="344" t="str">
        <f>IF(O2939=E2939,"SIM","NÃO")</f>
        <v>SIM</v>
      </c>
      <c r="Q2939" s="365">
        <f>ROUND(G2939*F2959,2)+ROUND(G2939*F2973,2)+ROUND(G2939*F2985,2)</f>
        <v>0</v>
      </c>
      <c r="R2939" s="364">
        <f>VLOOKUP(A2939,IV.A!$A$16:$L$172,12,FALSE)</f>
        <v>0</v>
      </c>
      <c r="S2939" s="366" t="str">
        <f>IF(Q2939=R2939,"si","no")</f>
        <v>si</v>
      </c>
      <c r="T2939" s="367">
        <f>SUM(L2941:L2956)+SUM(L2961:L2970)+SUM(L2975:L2981)</f>
        <v>878.82828000000006</v>
      </c>
      <c r="U2939" s="341">
        <f>(SUM(C2941:C2956)+SUM(C2961:C2970)+SUM(C2975:C2981))*G2939</f>
        <v>878.82827999999995</v>
      </c>
      <c r="V2939" s="368" t="str">
        <f>IF(T2939=U2939,"si","no")</f>
        <v>si</v>
      </c>
      <c r="W2939" s="369">
        <f>SUM(F2941:F2956)</f>
        <v>0</v>
      </c>
      <c r="X2939" s="369">
        <f>SUM(F2961:F2970)</f>
        <v>0</v>
      </c>
      <c r="Y2939" s="369">
        <f>SUM(F2975:F2981)</f>
        <v>0</v>
      </c>
    </row>
    <row r="2940" spans="1:25" ht="12.75" customHeight="1">
      <c r="A2940" s="374" t="s">
        <v>14</v>
      </c>
      <c r="B2940" s="375" t="s">
        <v>132</v>
      </c>
      <c r="C2940" s="376" t="s">
        <v>231</v>
      </c>
      <c r="D2940" s="376" t="s">
        <v>232</v>
      </c>
      <c r="E2940" s="377" t="s">
        <v>233</v>
      </c>
      <c r="F2940" s="378" t="s">
        <v>234</v>
      </c>
      <c r="G2940" s="379"/>
      <c r="J2940" s="341"/>
      <c r="L2940" s="380"/>
      <c r="M2940" s="381"/>
      <c r="N2940" s="342"/>
      <c r="O2940" s="382"/>
      <c r="P2940" s="383"/>
      <c r="Q2940" s="383"/>
      <c r="R2940" s="383"/>
      <c r="S2940" s="383"/>
      <c r="T2940" s="382"/>
      <c r="U2940" s="341"/>
      <c r="V2940" s="384"/>
      <c r="W2940" s="384"/>
      <c r="X2940" s="384"/>
      <c r="Y2940" s="384"/>
    </row>
    <row r="2941" spans="1:25" ht="12.75" customHeight="1">
      <c r="A2941" s="385" t="str">
        <f>VII.A!$A$19</f>
        <v>1.10</v>
      </c>
      <c r="B2941" s="386" t="str">
        <f>VLOOKUP(A2941,VII.A!$A$10:$G$199,2,FALSE)</f>
        <v>AREIA MÉDIA LAVADA</v>
      </c>
      <c r="C2941" s="20">
        <f>1.216*0.005</f>
        <v>6.0800000000000003E-3</v>
      </c>
      <c r="D2941" s="342" t="str">
        <f>VLOOKUP(A2941,VII.A!$A$10:$G$199,3,FALSE)</f>
        <v>M3</v>
      </c>
      <c r="E2941" s="387">
        <f>VII.A!D19</f>
        <v>0</v>
      </c>
      <c r="F2941" s="388">
        <f>ROUND(C2941*E2941,2)</f>
        <v>0</v>
      </c>
      <c r="H2941" s="341">
        <f>IF(A2941="","",VLOOKUP(A2941,VII.A!$A$10:$D$199,4,FALSE))</f>
        <v>0</v>
      </c>
      <c r="I2941" s="341" t="str">
        <f t="shared" ref="I2941:I2956" si="771">IF(A2941="","",IF(E2941=H2941,"SIM","NÃO"))</f>
        <v>SIM</v>
      </c>
      <c r="J2941" s="341" t="str">
        <f>IF(A2941="","",VLOOKUP(A2941,VII.A!$A$10:$D$199,3,FALSE))</f>
        <v>M3</v>
      </c>
      <c r="K2941" s="342" t="str">
        <f t="shared" ref="K2941:K2956" si="772">IF(A2941="","",IF(J2941=D2941,"SIM","NÃO"))</f>
        <v>SIM</v>
      </c>
      <c r="L2941" s="380">
        <f>IF(C2941="","",G2939*C2941)</f>
        <v>1.8240000000000001</v>
      </c>
      <c r="M2941" s="381" t="str">
        <f>IF(A2941="","",VLOOKUP(A2941,VII.A!$A$10:$B$199,2,FALSE))</f>
        <v>AREIA MÉDIA LAVADA</v>
      </c>
      <c r="N2941" s="342" t="str">
        <f t="shared" ref="N2941:N2956" si="773">IF(B2941="","",IF(M2941=B2941,"si","no"))</f>
        <v>si</v>
      </c>
      <c r="R2941" s="341"/>
      <c r="S2941" s="341"/>
    </row>
    <row r="2942" spans="1:25" ht="12.75" customHeight="1">
      <c r="A2942" s="385" t="str">
        <f>VII.A!$A$29</f>
        <v>1.20</v>
      </c>
      <c r="B2942" s="386" t="str">
        <f>VLOOKUP(A2942,VII.A!$A$10:$G$199,2,FALSE)</f>
        <v>CAL HIDRATADA CH III - NBR 7175</v>
      </c>
      <c r="C2942" s="20">
        <f>162*0.005</f>
        <v>0.81</v>
      </c>
      <c r="D2942" s="342" t="str">
        <f>VLOOKUP(A2942,VII.A!$A$10:$G$199,3,FALSE)</f>
        <v>KG</v>
      </c>
      <c r="E2942" s="387">
        <f>VII.A!$D$29</f>
        <v>0</v>
      </c>
      <c r="F2942" s="388">
        <f t="shared" ref="F2942:F2956" si="774">ROUND(C2942*E2942,2)</f>
        <v>0</v>
      </c>
      <c r="H2942" s="341">
        <f>IF(A2942="","",VLOOKUP(A2942,VII.A!$A$10:$D$199,4,FALSE))</f>
        <v>0</v>
      </c>
      <c r="I2942" s="341" t="str">
        <f t="shared" si="771"/>
        <v>SIM</v>
      </c>
      <c r="J2942" s="341" t="str">
        <f>IF(A2942="","",VLOOKUP(A2942,VII.A!$A$10:$D$199,3,FALSE))</f>
        <v>KG</v>
      </c>
      <c r="K2942" s="342" t="str">
        <f t="shared" si="772"/>
        <v>SIM</v>
      </c>
      <c r="L2942" s="380">
        <f>IF(C2942="","",G2939*C2942)</f>
        <v>243.00000000000003</v>
      </c>
      <c r="M2942" s="381" t="str">
        <f>IF(A2942="","",VLOOKUP(A2942,VII.A!$A$10:$B$199,2,FALSE))</f>
        <v>CAL HIDRATADA CH III - NBR 7175</v>
      </c>
      <c r="N2942" s="342" t="str">
        <f t="shared" si="773"/>
        <v>si</v>
      </c>
      <c r="R2942" s="341"/>
      <c r="S2942" s="341"/>
    </row>
    <row r="2943" spans="1:25" ht="12.75" customHeight="1">
      <c r="A2943" s="385" t="str">
        <f>VII.A!$A$38</f>
        <v>1.29</v>
      </c>
      <c r="B2943" s="386" t="str">
        <f>VLOOKUP(A2943,VII.A!$A$10:$G$199,2,FALSE)</f>
        <v>CIMENTO PORTLAND CP II-E-32</v>
      </c>
      <c r="C2943" s="20">
        <f>162*0.005</f>
        <v>0.81</v>
      </c>
      <c r="D2943" s="342" t="str">
        <f>VLOOKUP(A2943,VII.A!$A$10:$G$199,3,FALSE)</f>
        <v>KG</v>
      </c>
      <c r="E2943" s="387">
        <f>VII.A!$D$38</f>
        <v>0</v>
      </c>
      <c r="F2943" s="388">
        <f t="shared" si="774"/>
        <v>0</v>
      </c>
      <c r="H2943" s="341">
        <f>IF(A2943="","",VLOOKUP(A2943,VII.A!$A$10:$D$199,4,FALSE))</f>
        <v>0</v>
      </c>
      <c r="I2943" s="341" t="str">
        <f t="shared" si="771"/>
        <v>SIM</v>
      </c>
      <c r="J2943" s="341" t="str">
        <f>IF(A2943="","",VLOOKUP(A2943,VII.A!$A$10:$D$199,3,FALSE))</f>
        <v>KG</v>
      </c>
      <c r="K2943" s="342" t="str">
        <f t="shared" si="772"/>
        <v>SIM</v>
      </c>
      <c r="L2943" s="380">
        <f>IF(C2943="","",G2939*C2943)</f>
        <v>243.00000000000003</v>
      </c>
      <c r="M2943" s="381" t="str">
        <f>IF(A2943="","",VLOOKUP(A2943,VII.A!$A$10:$B$199,2,FALSE))</f>
        <v>CIMENTO PORTLAND CP II-E-32</v>
      </c>
      <c r="N2943" s="342" t="str">
        <f t="shared" si="773"/>
        <v>si</v>
      </c>
      <c r="R2943" s="341"/>
      <c r="S2943" s="341"/>
    </row>
    <row r="2944" spans="1:25" ht="12.75" customHeight="1">
      <c r="A2944" s="385"/>
      <c r="B2944" s="386"/>
      <c r="C2944" s="20"/>
      <c r="D2944" s="342"/>
      <c r="E2944" s="387"/>
      <c r="F2944" s="388">
        <f t="shared" si="774"/>
        <v>0</v>
      </c>
      <c r="H2944" s="341" t="str">
        <f>IF(A2944="","",VLOOKUP(A2944,VII.A!$A$10:$D$199,4,FALSE))</f>
        <v/>
      </c>
      <c r="I2944" s="341" t="str">
        <f t="shared" si="771"/>
        <v/>
      </c>
      <c r="J2944" s="341" t="str">
        <f>IF(A2944="","",VLOOKUP(A2944,VII.A!$A$10:$D$199,3,FALSE))</f>
        <v/>
      </c>
      <c r="K2944" s="342" t="str">
        <f t="shared" si="772"/>
        <v/>
      </c>
      <c r="L2944" s="380" t="str">
        <f>IF(C2944="","",G2939*C2944)</f>
        <v/>
      </c>
      <c r="M2944" s="381" t="str">
        <f>IF(A2944="","",VLOOKUP(A2944,VII.A!$A$10:$B$199,2,FALSE))</f>
        <v/>
      </c>
      <c r="N2944" s="342" t="str">
        <f t="shared" si="773"/>
        <v/>
      </c>
      <c r="R2944" s="341"/>
      <c r="S2944" s="341"/>
    </row>
    <row r="2945" spans="1:21" ht="12.75" customHeight="1">
      <c r="A2945" s="385"/>
      <c r="B2945" s="386"/>
      <c r="C2945" s="20"/>
      <c r="D2945" s="342"/>
      <c r="E2945" s="387"/>
      <c r="F2945" s="388">
        <f t="shared" si="774"/>
        <v>0</v>
      </c>
      <c r="H2945" s="341" t="str">
        <f>IF(A2945="","",VLOOKUP(A2945,VII.A!$A$10:$D$199,4,FALSE))</f>
        <v/>
      </c>
      <c r="I2945" s="341" t="str">
        <f t="shared" si="771"/>
        <v/>
      </c>
      <c r="J2945" s="341" t="str">
        <f>IF(A2945="","",VLOOKUP(A2945,VII.A!$A$10:$D$199,3,FALSE))</f>
        <v/>
      </c>
      <c r="K2945" s="342" t="str">
        <f t="shared" si="772"/>
        <v/>
      </c>
      <c r="L2945" s="380" t="str">
        <f>IF(C2945="","",G2939*C2945)</f>
        <v/>
      </c>
      <c r="M2945" s="381" t="str">
        <f>IF(A2945="","",VLOOKUP(A2945,VII.A!$A$10:$B$199,2,FALSE))</f>
        <v/>
      </c>
      <c r="N2945" s="342" t="str">
        <f t="shared" si="773"/>
        <v/>
      </c>
      <c r="R2945" s="341"/>
      <c r="S2945" s="341"/>
    </row>
    <row r="2946" spans="1:21" ht="12.75" customHeight="1">
      <c r="A2946" s="385"/>
      <c r="B2946" s="386"/>
      <c r="C2946" s="20"/>
      <c r="D2946" s="342"/>
      <c r="E2946" s="387"/>
      <c r="F2946" s="388">
        <f t="shared" si="774"/>
        <v>0</v>
      </c>
      <c r="H2946" s="341" t="str">
        <f>IF(A2946="","",VLOOKUP(A2946,VII.A!$A$10:$D$199,4,FALSE))</f>
        <v/>
      </c>
      <c r="I2946" s="341" t="str">
        <f t="shared" si="771"/>
        <v/>
      </c>
      <c r="J2946" s="341" t="str">
        <f>IF(A2946="","",VLOOKUP(A2946,VII.A!$A$10:$D$199,3,FALSE))</f>
        <v/>
      </c>
      <c r="K2946" s="342" t="str">
        <f t="shared" si="772"/>
        <v/>
      </c>
      <c r="L2946" s="380" t="str">
        <f>IF(C2946="","",G2939*C2946)</f>
        <v/>
      </c>
      <c r="M2946" s="381" t="str">
        <f>IF(A2946="","",VLOOKUP(A2946,VII.A!$A$10:$B$199,2,FALSE))</f>
        <v/>
      </c>
      <c r="N2946" s="342" t="str">
        <f t="shared" si="773"/>
        <v/>
      </c>
      <c r="R2946" s="341"/>
      <c r="S2946" s="341"/>
      <c r="U2946" s="389"/>
    </row>
    <row r="2947" spans="1:21" ht="12.75" customHeight="1">
      <c r="A2947" s="385"/>
      <c r="B2947" s="386"/>
      <c r="C2947" s="20"/>
      <c r="D2947" s="342"/>
      <c r="E2947" s="387"/>
      <c r="F2947" s="388">
        <f t="shared" si="774"/>
        <v>0</v>
      </c>
      <c r="H2947" s="341" t="str">
        <f>IF(A2947="","",VLOOKUP(A2947,VII.A!$A$10:$D$199,4,FALSE))</f>
        <v/>
      </c>
      <c r="I2947" s="341" t="str">
        <f t="shared" si="771"/>
        <v/>
      </c>
      <c r="J2947" s="341" t="str">
        <f>IF(A2947="","",VLOOKUP(A2947,VII.A!$A$10:$D$199,3,FALSE))</f>
        <v/>
      </c>
      <c r="K2947" s="342" t="str">
        <f t="shared" si="772"/>
        <v/>
      </c>
      <c r="L2947" s="380" t="str">
        <f>IF(C2947="","",G2939*C2947)</f>
        <v/>
      </c>
      <c r="M2947" s="381" t="str">
        <f>IF(A2947="","",VLOOKUP(A2947,VII.A!$A$10:$B$199,2,FALSE))</f>
        <v/>
      </c>
      <c r="N2947" s="342" t="str">
        <f t="shared" si="773"/>
        <v/>
      </c>
      <c r="R2947" s="341"/>
      <c r="S2947" s="341"/>
    </row>
    <row r="2948" spans="1:21" ht="12.75" customHeight="1">
      <c r="A2948" s="385"/>
      <c r="B2948" s="386"/>
      <c r="C2948" s="20"/>
      <c r="D2948" s="342"/>
      <c r="E2948" s="387"/>
      <c r="F2948" s="388">
        <f t="shared" si="774"/>
        <v>0</v>
      </c>
      <c r="G2948" s="390"/>
      <c r="H2948" s="341" t="str">
        <f>IF(A2948="","",VLOOKUP(A2948,VII.A!$A$10:$D$199,4,FALSE))</f>
        <v/>
      </c>
      <c r="I2948" s="341" t="str">
        <f t="shared" si="771"/>
        <v/>
      </c>
      <c r="J2948" s="341" t="str">
        <f>IF(A2948="","",VLOOKUP(A2948,VII.A!$A$10:$D$199,3,FALSE))</f>
        <v/>
      </c>
      <c r="K2948" s="342" t="str">
        <f t="shared" si="772"/>
        <v/>
      </c>
      <c r="L2948" s="380" t="str">
        <f>IF(C2948="","",G2939*C2948)</f>
        <v/>
      </c>
      <c r="M2948" s="381" t="str">
        <f>IF(A2948="","",VLOOKUP(A2948,VII.A!$A$10:$B$199,2,FALSE))</f>
        <v/>
      </c>
      <c r="N2948" s="342" t="str">
        <f t="shared" si="773"/>
        <v/>
      </c>
      <c r="R2948" s="341"/>
      <c r="S2948" s="341"/>
    </row>
    <row r="2949" spans="1:21" ht="12.75" customHeight="1">
      <c r="A2949" s="385"/>
      <c r="B2949" s="386"/>
      <c r="C2949" s="20"/>
      <c r="D2949" s="342"/>
      <c r="E2949" s="387"/>
      <c r="F2949" s="388">
        <f t="shared" si="774"/>
        <v>0</v>
      </c>
      <c r="G2949" s="390"/>
      <c r="H2949" s="341" t="str">
        <f>IF(A2949="","",VLOOKUP(A2949,VII.A!$A$10:$D$199,4,FALSE))</f>
        <v/>
      </c>
      <c r="I2949" s="341" t="str">
        <f t="shared" si="771"/>
        <v/>
      </c>
      <c r="J2949" s="341" t="str">
        <f>IF(A2949="","",VLOOKUP(A2949,VII.A!$A$10:$D$199,3,FALSE))</f>
        <v/>
      </c>
      <c r="K2949" s="342" t="str">
        <f t="shared" si="772"/>
        <v/>
      </c>
      <c r="L2949" s="380" t="str">
        <f>IF(C2949="","",G2939*C2949)</f>
        <v/>
      </c>
      <c r="M2949" s="381" t="str">
        <f>IF(A2949="","",VLOOKUP(A2949,VII.A!$A$10:$B$199,2,FALSE))</f>
        <v/>
      </c>
      <c r="N2949" s="342" t="str">
        <f t="shared" si="773"/>
        <v/>
      </c>
      <c r="R2949" s="341"/>
      <c r="S2949" s="341"/>
    </row>
    <row r="2950" spans="1:21" ht="12.75" customHeight="1">
      <c r="A2950" s="385"/>
      <c r="B2950" s="386"/>
      <c r="C2950" s="20"/>
      <c r="D2950" s="342"/>
      <c r="E2950" s="387"/>
      <c r="F2950" s="388">
        <f t="shared" si="774"/>
        <v>0</v>
      </c>
      <c r="G2950" s="391"/>
      <c r="H2950" s="341" t="str">
        <f>IF(A2950="","",VLOOKUP(A2950,VII.A!$A$10:$D$199,4,FALSE))</f>
        <v/>
      </c>
      <c r="I2950" s="341" t="str">
        <f t="shared" si="771"/>
        <v/>
      </c>
      <c r="J2950" s="341" t="str">
        <f>IF(A2950="","",VLOOKUP(A2950,VII.A!$A$10:$D$199,3,FALSE))</f>
        <v/>
      </c>
      <c r="K2950" s="342" t="str">
        <f t="shared" si="772"/>
        <v/>
      </c>
      <c r="L2950" s="380" t="str">
        <f>IF(C2950="","",G2939*C2950)</f>
        <v/>
      </c>
      <c r="M2950" s="381" t="str">
        <f>IF(A2950="","",VLOOKUP(A2950,VII.A!$A$10:$B$199,2,FALSE))</f>
        <v/>
      </c>
      <c r="N2950" s="342" t="str">
        <f t="shared" si="773"/>
        <v/>
      </c>
      <c r="R2950" s="341"/>
      <c r="S2950" s="341"/>
    </row>
    <row r="2951" spans="1:21" ht="12.75" customHeight="1">
      <c r="A2951" s="385"/>
      <c r="B2951" s="386"/>
      <c r="C2951" s="20"/>
      <c r="D2951" s="342"/>
      <c r="E2951" s="387"/>
      <c r="F2951" s="388">
        <f t="shared" si="774"/>
        <v>0</v>
      </c>
      <c r="H2951" s="341" t="str">
        <f>IF(A2951="","",VLOOKUP(A2951,VII.A!$A$10:$D$199,4,FALSE))</f>
        <v/>
      </c>
      <c r="I2951" s="341" t="str">
        <f t="shared" si="771"/>
        <v/>
      </c>
      <c r="J2951" s="341" t="str">
        <f>IF(A2951="","",VLOOKUP(A2951,VII.A!$A$10:$D$199,3,FALSE))</f>
        <v/>
      </c>
      <c r="K2951" s="342" t="str">
        <f t="shared" si="772"/>
        <v/>
      </c>
      <c r="L2951" s="380" t="str">
        <f>IF(C2951="","",G2939*C2951)</f>
        <v/>
      </c>
      <c r="M2951" s="381" t="str">
        <f>IF(A2951="","",VLOOKUP(A2951,VII.A!$A$10:$B$199,2,FALSE))</f>
        <v/>
      </c>
      <c r="N2951" s="342" t="str">
        <f t="shared" si="773"/>
        <v/>
      </c>
      <c r="R2951" s="341"/>
      <c r="S2951" s="341"/>
    </row>
    <row r="2952" spans="1:21" ht="12.75" customHeight="1">
      <c r="A2952" s="385"/>
      <c r="B2952" s="386"/>
      <c r="C2952" s="20"/>
      <c r="D2952" s="392"/>
      <c r="E2952" s="387"/>
      <c r="F2952" s="388">
        <f t="shared" si="774"/>
        <v>0</v>
      </c>
      <c r="H2952" s="341" t="str">
        <f>IF(A2952="","",VLOOKUP(A2952,VII.A!$A$10:$D$199,4,FALSE))</f>
        <v/>
      </c>
      <c r="I2952" s="341" t="str">
        <f t="shared" si="771"/>
        <v/>
      </c>
      <c r="J2952" s="341" t="str">
        <f>IF(A2952="","",VLOOKUP(A2952,VII.A!$A$10:$D$199,3,FALSE))</f>
        <v/>
      </c>
      <c r="K2952" s="342" t="str">
        <f t="shared" si="772"/>
        <v/>
      </c>
      <c r="L2952" s="380" t="str">
        <f>IF(C2952="","",G2939*C2952)</f>
        <v/>
      </c>
      <c r="M2952" s="381" t="str">
        <f>IF(A2952="","",VLOOKUP(A2952,VII.A!$A$10:$B$199,2,FALSE))</f>
        <v/>
      </c>
      <c r="N2952" s="342" t="str">
        <f t="shared" si="773"/>
        <v/>
      </c>
      <c r="R2952" s="341"/>
      <c r="S2952" s="341"/>
    </row>
    <row r="2953" spans="1:21" ht="12.75" customHeight="1">
      <c r="A2953" s="385"/>
      <c r="B2953" s="386"/>
      <c r="C2953" s="20"/>
      <c r="D2953" s="392"/>
      <c r="E2953" s="387"/>
      <c r="F2953" s="388">
        <f t="shared" si="774"/>
        <v>0</v>
      </c>
      <c r="H2953" s="341" t="str">
        <f>IF(A2953="","",VLOOKUP(A2953,VII.A!$A$10:$D$199,4,FALSE))</f>
        <v/>
      </c>
      <c r="I2953" s="341" t="str">
        <f t="shared" si="771"/>
        <v/>
      </c>
      <c r="J2953" s="341" t="str">
        <f>IF(A2953="","",VLOOKUP(A2953,VII.A!$A$10:$D$199,3,FALSE))</f>
        <v/>
      </c>
      <c r="K2953" s="342" t="str">
        <f t="shared" si="772"/>
        <v/>
      </c>
      <c r="L2953" s="380" t="str">
        <f>IF(C2953="","",G2939*C2953)</f>
        <v/>
      </c>
      <c r="M2953" s="381" t="str">
        <f>IF(A2953="","",VLOOKUP(A2953,VII.A!$A$10:$B$199,2,FALSE))</f>
        <v/>
      </c>
      <c r="N2953" s="342" t="str">
        <f t="shared" si="773"/>
        <v/>
      </c>
      <c r="O2953" s="342"/>
      <c r="R2953" s="341"/>
      <c r="S2953" s="341"/>
    </row>
    <row r="2954" spans="1:21" ht="12.75" customHeight="1">
      <c r="A2954" s="385"/>
      <c r="B2954" s="386"/>
      <c r="C2954" s="20"/>
      <c r="D2954" s="392"/>
      <c r="E2954" s="387"/>
      <c r="F2954" s="388">
        <f t="shared" si="774"/>
        <v>0</v>
      </c>
      <c r="H2954" s="341" t="str">
        <f>IF(A2954="","",VLOOKUP(A2954,VII.A!$A$10:$D$199,4,FALSE))</f>
        <v/>
      </c>
      <c r="I2954" s="341" t="str">
        <f t="shared" si="771"/>
        <v/>
      </c>
      <c r="J2954" s="341" t="str">
        <f>IF(A2954="","",VLOOKUP(A2954,VII.A!$A$10:$D$199,3,FALSE))</f>
        <v/>
      </c>
      <c r="K2954" s="342" t="str">
        <f t="shared" si="772"/>
        <v/>
      </c>
      <c r="L2954" s="380" t="str">
        <f>IF(C2954="","",G2939*C2954)</f>
        <v/>
      </c>
      <c r="M2954" s="381" t="str">
        <f>IF(A2954="","",VLOOKUP(A2954,VII.A!$A$10:$B$199,2,FALSE))</f>
        <v/>
      </c>
      <c r="N2954" s="342" t="str">
        <f t="shared" si="773"/>
        <v/>
      </c>
      <c r="R2954" s="341"/>
      <c r="S2954" s="341"/>
    </row>
    <row r="2955" spans="1:21" ht="12.75" customHeight="1">
      <c r="A2955" s="393"/>
      <c r="C2955" s="20"/>
      <c r="E2955" s="387"/>
      <c r="F2955" s="388">
        <f t="shared" si="774"/>
        <v>0</v>
      </c>
      <c r="H2955" s="341" t="str">
        <f>IF(A2955="","",VLOOKUP(A2955,VII.A!$A$10:$D$199,4,FALSE))</f>
        <v/>
      </c>
      <c r="I2955" s="341" t="str">
        <f t="shared" si="771"/>
        <v/>
      </c>
      <c r="J2955" s="341" t="str">
        <f>IF(A2955="","",VLOOKUP(A2955,VII.A!$A$10:$D$199,3,FALSE))</f>
        <v/>
      </c>
      <c r="K2955" s="342" t="str">
        <f t="shared" si="772"/>
        <v/>
      </c>
      <c r="L2955" s="380" t="str">
        <f>IF(C2955="","",G2939*C2955)</f>
        <v/>
      </c>
      <c r="M2955" s="381" t="str">
        <f>IF(A2955="","",VLOOKUP(A2955,VII.A!$A$10:$B$199,2,FALSE))</f>
        <v/>
      </c>
      <c r="N2955" s="342" t="str">
        <f t="shared" si="773"/>
        <v/>
      </c>
      <c r="R2955" s="341"/>
      <c r="S2955" s="341"/>
    </row>
    <row r="2956" spans="1:21" ht="12.75" customHeight="1">
      <c r="A2956" s="393"/>
      <c r="C2956" s="20"/>
      <c r="E2956" s="387"/>
      <c r="F2956" s="388">
        <f t="shared" si="774"/>
        <v>0</v>
      </c>
      <c r="H2956" s="341" t="str">
        <f>IF(A2956="","",VLOOKUP(A2956,VII.A!$A$10:$D$199,4,FALSE))</f>
        <v/>
      </c>
      <c r="I2956" s="341" t="str">
        <f t="shared" si="771"/>
        <v/>
      </c>
      <c r="J2956" s="341" t="str">
        <f>IF(A2956="","",VLOOKUP(A2956,VII.A!$A$10:$D$199,3,FALSE))</f>
        <v/>
      </c>
      <c r="K2956" s="342" t="str">
        <f t="shared" si="772"/>
        <v/>
      </c>
      <c r="L2956" s="380" t="str">
        <f>IF(C2956="","",G2939*C2956)</f>
        <v/>
      </c>
      <c r="M2956" s="381" t="str">
        <f>IF(A2956="","",VLOOKUP(A2956,VII.A!$A$10:$B$199,2,FALSE))</f>
        <v/>
      </c>
      <c r="N2956" s="342" t="str">
        <f t="shared" si="773"/>
        <v/>
      </c>
      <c r="R2956" s="341"/>
      <c r="S2956" s="341"/>
    </row>
    <row r="2957" spans="1:21" ht="12.75" customHeight="1">
      <c r="A2957" s="393"/>
      <c r="B2957" s="395" t="s">
        <v>226</v>
      </c>
      <c r="C2957" s="396"/>
      <c r="D2957" s="397"/>
      <c r="E2957" s="398"/>
      <c r="F2957" s="399">
        <f>SUM(F2941:F2956)</f>
        <v>0</v>
      </c>
      <c r="H2957" s="426" t="s">
        <v>397</v>
      </c>
      <c r="J2957" s="341"/>
      <c r="L2957" s="380"/>
      <c r="M2957" s="381"/>
      <c r="N2957" s="342"/>
      <c r="R2957" s="341"/>
      <c r="S2957" s="341"/>
    </row>
    <row r="2958" spans="1:21" ht="12.75" customHeight="1">
      <c r="A2958" s="393"/>
      <c r="B2958" s="400" t="s">
        <v>53</v>
      </c>
      <c r="C2958" s="2">
        <f>$D$8</f>
        <v>0</v>
      </c>
      <c r="D2958" s="401"/>
      <c r="E2958" s="402"/>
      <c r="F2958" s="403">
        <f>ROUND(F2957*C2958,2)</f>
        <v>0</v>
      </c>
      <c r="J2958" s="341"/>
      <c r="L2958" s="380"/>
      <c r="M2958" s="381"/>
      <c r="N2958" s="342"/>
      <c r="R2958" s="341"/>
      <c r="S2958" s="341"/>
    </row>
    <row r="2959" spans="1:21" ht="12.75" customHeight="1">
      <c r="A2959" s="404"/>
      <c r="B2959" s="405" t="s">
        <v>227</v>
      </c>
      <c r="C2959" s="406"/>
      <c r="D2959" s="406"/>
      <c r="E2959" s="407"/>
      <c r="F2959" s="408">
        <f>F2957+F2958</f>
        <v>0</v>
      </c>
      <c r="J2959" s="341"/>
      <c r="L2959" s="380"/>
      <c r="M2959" s="381"/>
      <c r="N2959" s="342"/>
      <c r="R2959" s="341"/>
      <c r="S2959" s="341"/>
    </row>
    <row r="2960" spans="1:21" ht="12.75" customHeight="1">
      <c r="A2960" s="374" t="s">
        <v>2</v>
      </c>
      <c r="B2960" s="375" t="s">
        <v>235</v>
      </c>
      <c r="C2960" s="376" t="s">
        <v>231</v>
      </c>
      <c r="D2960" s="376" t="s">
        <v>232</v>
      </c>
      <c r="E2960" s="377" t="s">
        <v>233</v>
      </c>
      <c r="F2960" s="378" t="s">
        <v>234</v>
      </c>
      <c r="J2960" s="341"/>
      <c r="L2960" s="380"/>
      <c r="M2960" s="381"/>
      <c r="N2960" s="342"/>
      <c r="R2960" s="341"/>
      <c r="S2960" s="341"/>
    </row>
    <row r="2961" spans="1:19" ht="12.75" customHeight="1">
      <c r="A2961" s="393"/>
      <c r="B2961" s="423"/>
      <c r="C2961" s="20"/>
      <c r="E2961" s="387"/>
      <c r="F2961" s="388">
        <f t="shared" ref="F2961:F2970" si="775">ROUND(C2961*E2961,2)</f>
        <v>0</v>
      </c>
      <c r="H2961" s="341" t="str">
        <f>IF(A2961="","",VLOOKUP(A2961,VII.A!$A$10:$D$199,4,FALSE))</f>
        <v/>
      </c>
      <c r="I2961" s="341" t="str">
        <f t="shared" ref="I2961:I2970" si="776">IF(A2961="","",IF(E2961=H2961,"SIM","NÃO"))</f>
        <v/>
      </c>
      <c r="J2961" s="341" t="str">
        <f>IF(A2961="","",VLOOKUP(A2961,VII.A!$A$10:$D$199,3,FALSE))</f>
        <v/>
      </c>
      <c r="K2961" s="342" t="str">
        <f t="shared" ref="K2961:K2970" si="777">IF(A2961="","",IF(J2961=D2961,"SIM","NÃO"))</f>
        <v/>
      </c>
      <c r="L2961" s="380" t="str">
        <f>IF(C2961="","",G2939*C2961)</f>
        <v/>
      </c>
      <c r="M2961" s="381" t="str">
        <f>IF(A2961="","",VLOOKUP(A2961,VII.A!$A$10:$B$199,2,FALSE))</f>
        <v/>
      </c>
      <c r="N2961" s="342" t="str">
        <f t="shared" ref="N2961:N2970" si="778">IF(B2961="","",IF(M2961=B2961,"si","no"))</f>
        <v/>
      </c>
      <c r="R2961" s="341"/>
      <c r="S2961" s="341"/>
    </row>
    <row r="2962" spans="1:19" ht="12.75" customHeight="1">
      <c r="A2962" s="393"/>
      <c r="C2962" s="20"/>
      <c r="E2962" s="387"/>
      <c r="F2962" s="388">
        <f t="shared" si="775"/>
        <v>0</v>
      </c>
      <c r="H2962" s="341" t="str">
        <f>IF(A2962="","",VLOOKUP(A2962,VII.A!$A$10:$D$199,4,FALSE))</f>
        <v/>
      </c>
      <c r="I2962" s="341" t="str">
        <f t="shared" si="776"/>
        <v/>
      </c>
      <c r="J2962" s="341" t="str">
        <f>IF(A2962="","",VLOOKUP(A2962,VII.A!$A$10:$D$199,3,FALSE))</f>
        <v/>
      </c>
      <c r="K2962" s="342" t="str">
        <f t="shared" si="777"/>
        <v/>
      </c>
      <c r="L2962" s="380" t="str">
        <f>IF(C2962="","",G2939*C2962)</f>
        <v/>
      </c>
      <c r="M2962" s="381" t="str">
        <f>IF(A2962="","",VLOOKUP(A2962,VII.A!$A$10:$B$199,2,FALSE))</f>
        <v/>
      </c>
      <c r="N2962" s="342" t="str">
        <f t="shared" si="778"/>
        <v/>
      </c>
      <c r="R2962" s="341"/>
      <c r="S2962" s="341"/>
    </row>
    <row r="2963" spans="1:19" ht="12.75" customHeight="1">
      <c r="A2963" s="393"/>
      <c r="C2963" s="20"/>
      <c r="E2963" s="387"/>
      <c r="F2963" s="388">
        <f t="shared" si="775"/>
        <v>0</v>
      </c>
      <c r="H2963" s="341" t="str">
        <f>IF(A2963="","",VLOOKUP(A2963,VII.A!$A$10:$D$199,4,FALSE))</f>
        <v/>
      </c>
      <c r="I2963" s="341" t="str">
        <f t="shared" si="776"/>
        <v/>
      </c>
      <c r="J2963" s="341" t="str">
        <f>IF(A2963="","",VLOOKUP(A2963,VII.A!$A$10:$D$199,3,FALSE))</f>
        <v/>
      </c>
      <c r="K2963" s="342" t="str">
        <f t="shared" si="777"/>
        <v/>
      </c>
      <c r="L2963" s="380" t="str">
        <f>IF(C2963="","",G2939*C2963)</f>
        <v/>
      </c>
      <c r="M2963" s="381" t="str">
        <f>IF(A2963="","",VLOOKUP(A2963,VII.A!$A$10:$B$199,2,FALSE))</f>
        <v/>
      </c>
      <c r="N2963" s="342" t="str">
        <f t="shared" si="778"/>
        <v/>
      </c>
      <c r="R2963" s="341"/>
      <c r="S2963" s="341"/>
    </row>
    <row r="2964" spans="1:19" ht="12.75" customHeight="1">
      <c r="A2964" s="393"/>
      <c r="C2964" s="20"/>
      <c r="E2964" s="387"/>
      <c r="F2964" s="388">
        <f t="shared" si="775"/>
        <v>0</v>
      </c>
      <c r="H2964" s="341" t="str">
        <f>IF(A2964="","",VLOOKUP(A2964,VII.A!$A$10:$D$199,4,FALSE))</f>
        <v/>
      </c>
      <c r="I2964" s="341" t="str">
        <f t="shared" si="776"/>
        <v/>
      </c>
      <c r="J2964" s="341" t="str">
        <f>IF(A2964="","",VLOOKUP(A2964,VII.A!$A$10:$D$199,3,FALSE))</f>
        <v/>
      </c>
      <c r="K2964" s="342" t="str">
        <f t="shared" si="777"/>
        <v/>
      </c>
      <c r="L2964" s="380" t="str">
        <f>IF(C2964="","",G2939*C2964)</f>
        <v/>
      </c>
      <c r="M2964" s="381" t="str">
        <f>IF(A2964="","",VLOOKUP(A2964,VII.A!$A$10:$B$199,2,FALSE))</f>
        <v/>
      </c>
      <c r="N2964" s="342" t="str">
        <f t="shared" si="778"/>
        <v/>
      </c>
      <c r="R2964" s="341"/>
      <c r="S2964" s="341"/>
    </row>
    <row r="2965" spans="1:19" ht="12.75" customHeight="1">
      <c r="A2965" s="393"/>
      <c r="C2965" s="20"/>
      <c r="E2965" s="387"/>
      <c r="F2965" s="388">
        <f t="shared" si="775"/>
        <v>0</v>
      </c>
      <c r="G2965" s="390"/>
      <c r="H2965" s="341" t="str">
        <f>IF(A2965="","",VLOOKUP(A2965,VII.A!$A$10:$D$199,4,FALSE))</f>
        <v/>
      </c>
      <c r="I2965" s="341" t="str">
        <f t="shared" si="776"/>
        <v/>
      </c>
      <c r="J2965" s="341" t="str">
        <f>IF(A2965="","",VLOOKUP(A2965,VII.A!$A$10:$D$199,3,FALSE))</f>
        <v/>
      </c>
      <c r="K2965" s="342" t="str">
        <f t="shared" si="777"/>
        <v/>
      </c>
      <c r="L2965" s="380" t="str">
        <f>IF(C2965="","",G2939*C2965)</f>
        <v/>
      </c>
      <c r="M2965" s="381" t="str">
        <f>IF(A2965="","",VLOOKUP(A2965,VII.A!$A$10:$B$199,2,FALSE))</f>
        <v/>
      </c>
      <c r="N2965" s="342" t="str">
        <f t="shared" si="778"/>
        <v/>
      </c>
      <c r="R2965" s="341"/>
      <c r="S2965" s="341"/>
    </row>
    <row r="2966" spans="1:19" ht="12.75" customHeight="1">
      <c r="A2966" s="393"/>
      <c r="C2966" s="20"/>
      <c r="E2966" s="387"/>
      <c r="F2966" s="388">
        <f t="shared" si="775"/>
        <v>0</v>
      </c>
      <c r="G2966" s="391"/>
      <c r="H2966" s="341" t="str">
        <f>IF(A2966="","",VLOOKUP(A2966,VII.A!$A$10:$D$199,4,FALSE))</f>
        <v/>
      </c>
      <c r="I2966" s="341" t="str">
        <f t="shared" si="776"/>
        <v/>
      </c>
      <c r="J2966" s="341" t="str">
        <f>IF(A2966="","",VLOOKUP(A2966,VII.A!$A$10:$D$199,3,FALSE))</f>
        <v/>
      </c>
      <c r="K2966" s="342" t="str">
        <f t="shared" si="777"/>
        <v/>
      </c>
      <c r="L2966" s="380" t="str">
        <f>IF(C2966="","",G2939*C2966)</f>
        <v/>
      </c>
      <c r="M2966" s="381" t="str">
        <f>IF(A2966="","",VLOOKUP(A2966,VII.A!$A$10:$B$199,2,FALSE))</f>
        <v/>
      </c>
      <c r="N2966" s="342" t="str">
        <f t="shared" si="778"/>
        <v/>
      </c>
      <c r="R2966" s="341"/>
      <c r="S2966" s="341"/>
    </row>
    <row r="2967" spans="1:19" ht="12.75" customHeight="1">
      <c r="A2967" s="393"/>
      <c r="C2967" s="20"/>
      <c r="E2967" s="387"/>
      <c r="F2967" s="388">
        <f t="shared" si="775"/>
        <v>0</v>
      </c>
      <c r="H2967" s="341" t="str">
        <f>IF(A2967="","",VLOOKUP(A2967,VII.A!$A$10:$D$199,4,FALSE))</f>
        <v/>
      </c>
      <c r="I2967" s="341" t="str">
        <f t="shared" si="776"/>
        <v/>
      </c>
      <c r="J2967" s="341" t="str">
        <f>IF(A2967="","",VLOOKUP(A2967,VII.A!$A$10:$D$199,3,FALSE))</f>
        <v/>
      </c>
      <c r="K2967" s="342" t="str">
        <f t="shared" si="777"/>
        <v/>
      </c>
      <c r="L2967" s="380" t="str">
        <f>IF(C2967="","",G2939*C2967)</f>
        <v/>
      </c>
      <c r="M2967" s="381" t="str">
        <f>IF(A2967="","",VLOOKUP(A2967,VII.A!$A$10:$B$199,2,FALSE))</f>
        <v/>
      </c>
      <c r="N2967" s="342" t="str">
        <f t="shared" si="778"/>
        <v/>
      </c>
      <c r="R2967" s="341"/>
      <c r="S2967" s="341"/>
    </row>
    <row r="2968" spans="1:19" ht="12.75" customHeight="1">
      <c r="A2968" s="393"/>
      <c r="C2968" s="20"/>
      <c r="E2968" s="387"/>
      <c r="F2968" s="388">
        <f t="shared" si="775"/>
        <v>0</v>
      </c>
      <c r="H2968" s="341" t="str">
        <f>IF(A2968="","",VLOOKUP(A2968,VII.A!$A$10:$D$199,4,FALSE))</f>
        <v/>
      </c>
      <c r="I2968" s="341" t="str">
        <f t="shared" si="776"/>
        <v/>
      </c>
      <c r="J2968" s="341" t="str">
        <f>IF(A2968="","",VLOOKUP(A2968,VII.A!$A$10:$D$199,3,FALSE))</f>
        <v/>
      </c>
      <c r="K2968" s="342" t="str">
        <f t="shared" si="777"/>
        <v/>
      </c>
      <c r="L2968" s="380" t="str">
        <f>IF(C2968="","",G2939*C2968)</f>
        <v/>
      </c>
      <c r="M2968" s="381" t="str">
        <f>IF(A2968="","",VLOOKUP(A2968,VII.A!$A$10:$B$199,2,FALSE))</f>
        <v/>
      </c>
      <c r="N2968" s="342" t="str">
        <f t="shared" si="778"/>
        <v/>
      </c>
      <c r="R2968" s="341"/>
      <c r="S2968" s="341"/>
    </row>
    <row r="2969" spans="1:19" ht="12.75" customHeight="1">
      <c r="A2969" s="393"/>
      <c r="C2969" s="20"/>
      <c r="E2969" s="387"/>
      <c r="F2969" s="388">
        <f t="shared" si="775"/>
        <v>0</v>
      </c>
      <c r="H2969" s="341" t="str">
        <f>IF(A2969="","",VLOOKUP(A2969,VII.A!$A$10:$D$199,4,FALSE))</f>
        <v/>
      </c>
      <c r="I2969" s="341" t="str">
        <f t="shared" si="776"/>
        <v/>
      </c>
      <c r="J2969" s="341" t="str">
        <f>IF(A2969="","",VLOOKUP(A2969,VII.A!$A$10:$D$199,3,FALSE))</f>
        <v/>
      </c>
      <c r="K2969" s="342" t="str">
        <f t="shared" si="777"/>
        <v/>
      </c>
      <c r="L2969" s="380" t="str">
        <f>IF(C2969="","",G2939*C2969)</f>
        <v/>
      </c>
      <c r="M2969" s="381" t="str">
        <f>IF(A2969="","",VLOOKUP(A2969,VII.A!$A$10:$B$199,2,FALSE))</f>
        <v/>
      </c>
      <c r="N2969" s="342" t="str">
        <f t="shared" si="778"/>
        <v/>
      </c>
      <c r="R2969" s="341"/>
      <c r="S2969" s="341"/>
    </row>
    <row r="2970" spans="1:19" ht="12.75" customHeight="1">
      <c r="A2970" s="393"/>
      <c r="C2970" s="20"/>
      <c r="E2970" s="387"/>
      <c r="F2970" s="388">
        <f t="shared" si="775"/>
        <v>0</v>
      </c>
      <c r="H2970" s="341" t="str">
        <f>IF(A2970="","",VLOOKUP(A2970,VII.A!$A$10:$D$199,4,FALSE))</f>
        <v/>
      </c>
      <c r="I2970" s="341" t="str">
        <f t="shared" si="776"/>
        <v/>
      </c>
      <c r="J2970" s="341" t="str">
        <f>IF(A2970="","",VLOOKUP(A2970,VII.A!$A$10:$D$199,3,FALSE))</f>
        <v/>
      </c>
      <c r="K2970" s="342" t="str">
        <f t="shared" si="777"/>
        <v/>
      </c>
      <c r="L2970" s="380" t="str">
        <f>IF(C2970="","",G2939*C2970)</f>
        <v/>
      </c>
      <c r="M2970" s="381" t="str">
        <f>IF(A2970="","",VLOOKUP(A2970,VII.A!$A$10:$B$199,2,FALSE))</f>
        <v/>
      </c>
      <c r="N2970" s="342" t="str">
        <f t="shared" si="778"/>
        <v/>
      </c>
      <c r="R2970" s="341"/>
      <c r="S2970" s="341"/>
    </row>
    <row r="2971" spans="1:19" ht="12.75" customHeight="1">
      <c r="A2971" s="393"/>
      <c r="B2971" s="395" t="s">
        <v>226</v>
      </c>
      <c r="C2971" s="396"/>
      <c r="D2971" s="397"/>
      <c r="E2971" s="398"/>
      <c r="F2971" s="399">
        <f>SUM(F2961:F2970)</f>
        <v>0</v>
      </c>
      <c r="J2971" s="341"/>
      <c r="L2971" s="380"/>
      <c r="M2971" s="381"/>
      <c r="N2971" s="342"/>
      <c r="R2971" s="341"/>
      <c r="S2971" s="341"/>
    </row>
    <row r="2972" spans="1:19" ht="12.75" customHeight="1">
      <c r="A2972" s="393"/>
      <c r="B2972" s="400" t="s">
        <v>53</v>
      </c>
      <c r="C2972" s="2">
        <f>$D$8</f>
        <v>0</v>
      </c>
      <c r="D2972" s="401"/>
      <c r="E2972" s="402"/>
      <c r="F2972" s="403">
        <f>ROUND(C2972*F2971,2)</f>
        <v>0</v>
      </c>
      <c r="J2972" s="341"/>
      <c r="L2972" s="380"/>
      <c r="M2972" s="381"/>
      <c r="N2972" s="342"/>
      <c r="R2972" s="341"/>
      <c r="S2972" s="341"/>
    </row>
    <row r="2973" spans="1:19" ht="12.75" customHeight="1">
      <c r="A2973" s="404"/>
      <c r="B2973" s="405" t="s">
        <v>228</v>
      </c>
      <c r="C2973" s="406"/>
      <c r="D2973" s="406"/>
      <c r="E2973" s="407"/>
      <c r="F2973" s="408">
        <f>F2971+F2972</f>
        <v>0</v>
      </c>
      <c r="J2973" s="341"/>
      <c r="L2973" s="380"/>
      <c r="M2973" s="381"/>
      <c r="N2973" s="342"/>
      <c r="R2973" s="341"/>
      <c r="S2973" s="341"/>
    </row>
    <row r="2974" spans="1:19" ht="12.75" customHeight="1">
      <c r="A2974" s="409" t="s">
        <v>47</v>
      </c>
      <c r="B2974" s="410" t="s">
        <v>236</v>
      </c>
      <c r="C2974" s="411" t="s">
        <v>231</v>
      </c>
      <c r="D2974" s="412" t="s">
        <v>232</v>
      </c>
      <c r="E2974" s="413" t="s">
        <v>233</v>
      </c>
      <c r="F2974" s="378" t="s">
        <v>234</v>
      </c>
      <c r="J2974" s="341"/>
      <c r="L2974" s="380"/>
      <c r="M2974" s="381"/>
      <c r="N2974" s="342"/>
      <c r="R2974" s="341"/>
      <c r="S2974" s="341"/>
    </row>
    <row r="2975" spans="1:19" ht="12.75" customHeight="1">
      <c r="A2975" s="393" t="str">
        <f>VII.A!$A$181</f>
        <v>3.1</v>
      </c>
      <c r="B2975" s="394" t="s">
        <v>142</v>
      </c>
      <c r="C2975" s="20">
        <f>(0.5+17.2246*0.005)*1.2</f>
        <v>0.70334759999999996</v>
      </c>
      <c r="D2975" s="384" t="str">
        <f>VLOOKUP(A2975,VII.A!$A$10:$G$199,3,FALSE)</f>
        <v>H</v>
      </c>
      <c r="E2975" s="387">
        <f>VII.A!$D$181</f>
        <v>0</v>
      </c>
      <c r="F2975" s="388">
        <f t="shared" ref="F2975:F2981" si="779">ROUND(C2975*E2975,2)</f>
        <v>0</v>
      </c>
      <c r="H2975" s="341">
        <f>IF(A2975="","",VLOOKUP(A2975,VII.A!$A$10:$D$199,4,FALSE))</f>
        <v>0</v>
      </c>
      <c r="I2975" s="341" t="str">
        <f t="shared" ref="I2975:I2981" si="780">IF(A2975="","",IF(E2975=H2975,"SIM","NÃO"))</f>
        <v>SIM</v>
      </c>
      <c r="J2975" s="341" t="str">
        <f>IF(A2975="","",VLOOKUP(A2975,VII.A!$A$10:$D$199,3,FALSE))</f>
        <v>H</v>
      </c>
      <c r="K2975" s="342" t="str">
        <f t="shared" ref="K2975:K2981" si="781">IF(A2975="","",IF(J2975=D2975,"SIM","NÃO"))</f>
        <v>SIM</v>
      </c>
      <c r="L2975" s="380">
        <f>IF(C2975="","",G2939*C2975)</f>
        <v>211.00427999999999</v>
      </c>
      <c r="M2975" s="381" t="str">
        <f>IF(A2975="","",VLOOKUP(A2975,VII.A!$A$10:$B$199,2,FALSE))</f>
        <v>AJUDANTE COM ENCARGOS COMPLEMENTARES</v>
      </c>
      <c r="N2975" s="342" t="str">
        <f t="shared" ref="N2975:N2981" si="782">IF(B2975="","",IF(M2975=B2975,"si","no"))</f>
        <v>si</v>
      </c>
      <c r="R2975" s="341"/>
      <c r="S2975" s="341"/>
    </row>
    <row r="2976" spans="1:19" ht="12.75" customHeight="1">
      <c r="A2976" s="393" t="str">
        <f>VII.A!$A$192</f>
        <v>3.12</v>
      </c>
      <c r="B2976" s="394" t="s">
        <v>153</v>
      </c>
      <c r="C2976" s="20">
        <f>1.2*0.5</f>
        <v>0.6</v>
      </c>
      <c r="D2976" s="384" t="str">
        <f>VLOOKUP(A2976,VII.A!$A$10:$G$199,3,FALSE)</f>
        <v>H</v>
      </c>
      <c r="E2976" s="387">
        <f>VII.A!$D$192</f>
        <v>0</v>
      </c>
      <c r="F2976" s="388">
        <f t="shared" si="779"/>
        <v>0</v>
      </c>
      <c r="H2976" s="341">
        <f>IF(A2976="","",VLOOKUP(A2976,VII.A!$A$10:$D$199,4,FALSE))</f>
        <v>0</v>
      </c>
      <c r="I2976" s="341" t="str">
        <f t="shared" si="780"/>
        <v>SIM</v>
      </c>
      <c r="J2976" s="341" t="str">
        <f>IF(A2976="","",VLOOKUP(A2976,VII.A!$A$10:$D$199,3,FALSE))</f>
        <v>H</v>
      </c>
      <c r="K2976" s="342" t="str">
        <f t="shared" si="781"/>
        <v>SIM</v>
      </c>
      <c r="L2976" s="380">
        <f>IF(C2976="","",G2939*C2976)</f>
        <v>180</v>
      </c>
      <c r="M2976" s="381" t="str">
        <f>IF(A2976="","",VLOOKUP(A2976,VII.A!$A$10:$B$199,2,FALSE))</f>
        <v>PEDREIRO COM ENCARGOS COMPLEMENTARES</v>
      </c>
      <c r="N2976" s="342" t="str">
        <f t="shared" si="782"/>
        <v>si</v>
      </c>
      <c r="R2976" s="341"/>
      <c r="S2976" s="341"/>
    </row>
    <row r="2977" spans="1:25" ht="12.75" customHeight="1">
      <c r="A2977" s="393"/>
      <c r="C2977" s="20"/>
      <c r="E2977" s="387"/>
      <c r="F2977" s="388">
        <f t="shared" si="779"/>
        <v>0</v>
      </c>
      <c r="H2977" s="341" t="str">
        <f>IF(A2977="","",VLOOKUP(A2977,VII.A!$A$10:$D$199,4,FALSE))</f>
        <v/>
      </c>
      <c r="I2977" s="341" t="str">
        <f t="shared" si="780"/>
        <v/>
      </c>
      <c r="J2977" s="341" t="str">
        <f>IF(A2977="","",VLOOKUP(A2977,VII.A!$A$10:$D$199,3,FALSE))</f>
        <v/>
      </c>
      <c r="K2977" s="342" t="str">
        <f t="shared" si="781"/>
        <v/>
      </c>
      <c r="L2977" s="380" t="str">
        <f>IF(C2977="","",G2939*C2977)</f>
        <v/>
      </c>
      <c r="M2977" s="381" t="str">
        <f>IF(A2977="","",VLOOKUP(A2977,VII.A!$A$10:$B$199,2,FALSE))</f>
        <v/>
      </c>
      <c r="N2977" s="342" t="str">
        <f t="shared" si="782"/>
        <v/>
      </c>
      <c r="R2977" s="341"/>
      <c r="S2977" s="341"/>
    </row>
    <row r="2978" spans="1:25" ht="12.75" customHeight="1">
      <c r="A2978" s="393"/>
      <c r="C2978" s="20"/>
      <c r="E2978" s="387"/>
      <c r="F2978" s="388">
        <f t="shared" si="779"/>
        <v>0</v>
      </c>
      <c r="H2978" s="341" t="str">
        <f>IF(A2978="","",VLOOKUP(A2978,VII.A!$A$10:$D$199,4,FALSE))</f>
        <v/>
      </c>
      <c r="I2978" s="341" t="str">
        <f t="shared" si="780"/>
        <v/>
      </c>
      <c r="J2978" s="341" t="str">
        <f>IF(A2978="","",VLOOKUP(A2978,VII.A!$A$10:$D$199,3,FALSE))</f>
        <v/>
      </c>
      <c r="K2978" s="342" t="str">
        <f t="shared" si="781"/>
        <v/>
      </c>
      <c r="L2978" s="380" t="str">
        <f>IF(C2978="","",G2939*C2978)</f>
        <v/>
      </c>
      <c r="M2978" s="381" t="str">
        <f>IF(A2978="","",VLOOKUP(A2978,VII.A!$A$10:$B$199,2,FALSE))</f>
        <v/>
      </c>
      <c r="N2978" s="342" t="str">
        <f t="shared" si="782"/>
        <v/>
      </c>
      <c r="R2978" s="341"/>
      <c r="S2978" s="341"/>
    </row>
    <row r="2979" spans="1:25" ht="12.75" customHeight="1">
      <c r="A2979" s="393"/>
      <c r="C2979" s="20"/>
      <c r="E2979" s="387"/>
      <c r="F2979" s="388">
        <f t="shared" si="779"/>
        <v>0</v>
      </c>
      <c r="H2979" s="341" t="str">
        <f>IF(A2979="","",VLOOKUP(A2979,VII.A!$A$10:$D$199,4,FALSE))</f>
        <v/>
      </c>
      <c r="I2979" s="341" t="str">
        <f t="shared" si="780"/>
        <v/>
      </c>
      <c r="J2979" s="341" t="str">
        <f>IF(A2979="","",VLOOKUP(A2979,VII.A!$A$10:$D$199,3,FALSE))</f>
        <v/>
      </c>
      <c r="K2979" s="342" t="str">
        <f t="shared" si="781"/>
        <v/>
      </c>
      <c r="L2979" s="380" t="str">
        <f>IF(C2979="","",G2939*C2979)</f>
        <v/>
      </c>
      <c r="M2979" s="381" t="str">
        <f>IF(A2979="","",VLOOKUP(A2979,VII.A!$A$10:$B$199,2,FALSE))</f>
        <v/>
      </c>
      <c r="N2979" s="342" t="str">
        <f t="shared" si="782"/>
        <v/>
      </c>
      <c r="R2979" s="341"/>
      <c r="S2979" s="341"/>
    </row>
    <row r="2980" spans="1:25" ht="12.75" customHeight="1">
      <c r="A2980" s="393"/>
      <c r="C2980" s="20"/>
      <c r="E2980" s="387"/>
      <c r="F2980" s="388">
        <f t="shared" si="779"/>
        <v>0</v>
      </c>
      <c r="H2980" s="341" t="str">
        <f>IF(A2980="","",VLOOKUP(A2980,VII.A!$A$10:$D$199,4,FALSE))</f>
        <v/>
      </c>
      <c r="I2980" s="341" t="str">
        <f t="shared" si="780"/>
        <v/>
      </c>
      <c r="J2980" s="341" t="str">
        <f>IF(A2980="","",VLOOKUP(A2980,VII.A!$A$10:$D$199,3,FALSE))</f>
        <v/>
      </c>
      <c r="K2980" s="342" t="str">
        <f t="shared" si="781"/>
        <v/>
      </c>
      <c r="L2980" s="380" t="str">
        <f>IF(C2980="","",G2939*C2980)</f>
        <v/>
      </c>
      <c r="M2980" s="381" t="str">
        <f>IF(A2980="","",VLOOKUP(A2980,VII.A!$A$10:$B$199,2,FALSE))</f>
        <v/>
      </c>
      <c r="N2980" s="342" t="str">
        <f t="shared" si="782"/>
        <v/>
      </c>
      <c r="R2980" s="341"/>
      <c r="S2980" s="341"/>
    </row>
    <row r="2981" spans="1:25" ht="12.75" customHeight="1">
      <c r="A2981" s="393"/>
      <c r="C2981" s="20"/>
      <c r="E2981" s="387"/>
      <c r="F2981" s="388">
        <f t="shared" si="779"/>
        <v>0</v>
      </c>
      <c r="H2981" s="341" t="str">
        <f>IF(A2981="","",VLOOKUP(A2981,VII.A!$A$10:$D$199,4,FALSE))</f>
        <v/>
      </c>
      <c r="I2981" s="341" t="str">
        <f t="shared" si="780"/>
        <v/>
      </c>
      <c r="J2981" s="341" t="str">
        <f>IF(A2981="","",VLOOKUP(A2981,VII.A!$A$10:$D$199,3,FALSE))</f>
        <v/>
      </c>
      <c r="K2981" s="342" t="str">
        <f t="shared" si="781"/>
        <v/>
      </c>
      <c r="L2981" s="380" t="str">
        <f>IF(C2981="","",G2939*C2981)</f>
        <v/>
      </c>
      <c r="M2981" s="381" t="str">
        <f>IF(A2981="","",VLOOKUP(A2981,VII.A!$A$10:$B$199,2,FALSE))</f>
        <v/>
      </c>
      <c r="N2981" s="342" t="str">
        <f t="shared" si="782"/>
        <v/>
      </c>
      <c r="R2981" s="341"/>
      <c r="S2981" s="341"/>
    </row>
    <row r="2982" spans="1:25" ht="12.75" customHeight="1">
      <c r="A2982" s="393"/>
      <c r="B2982" s="395" t="s">
        <v>226</v>
      </c>
      <c r="C2982" s="396"/>
      <c r="D2982" s="397"/>
      <c r="E2982" s="398"/>
      <c r="F2982" s="399">
        <f>SUM(F2975:F2981)</f>
        <v>0</v>
      </c>
      <c r="J2982" s="341"/>
      <c r="L2982" s="380"/>
      <c r="M2982" s="381"/>
      <c r="N2982" s="342"/>
      <c r="R2982" s="341"/>
      <c r="S2982" s="341"/>
    </row>
    <row r="2983" spans="1:25" ht="12.75" customHeight="1">
      <c r="A2983" s="393"/>
      <c r="B2983" s="400" t="s">
        <v>229</v>
      </c>
      <c r="C2983" s="2">
        <f>IX.A!$C$45</f>
        <v>0</v>
      </c>
      <c r="D2983" s="401"/>
      <c r="E2983" s="402"/>
      <c r="F2983" s="403">
        <f>ROUND(F2982*C2983,2)</f>
        <v>0</v>
      </c>
      <c r="J2983" s="341"/>
      <c r="L2983" s="380"/>
      <c r="M2983" s="381"/>
      <c r="N2983" s="342"/>
      <c r="R2983" s="341"/>
      <c r="S2983" s="341"/>
    </row>
    <row r="2984" spans="1:25" ht="12.75" customHeight="1">
      <c r="A2984" s="393"/>
      <c r="B2984" s="400" t="s">
        <v>53</v>
      </c>
      <c r="C2984" s="2">
        <f>$D$8</f>
        <v>0</v>
      </c>
      <c r="D2984" s="401"/>
      <c r="E2984" s="402"/>
      <c r="F2984" s="403">
        <f>ROUND(SUM(F2982:F2983)*C2984,2)</f>
        <v>0</v>
      </c>
      <c r="J2984" s="341"/>
      <c r="L2984" s="380"/>
      <c r="M2984" s="381"/>
      <c r="N2984" s="342"/>
      <c r="R2984" s="341"/>
      <c r="S2984" s="341"/>
    </row>
    <row r="2985" spans="1:25" ht="12.75" customHeight="1" thickBot="1">
      <c r="A2985" s="414"/>
      <c r="B2985" s="415" t="s">
        <v>230</v>
      </c>
      <c r="C2985" s="416"/>
      <c r="D2985" s="416"/>
      <c r="E2985" s="417"/>
      <c r="F2985" s="418">
        <f>SUM(F2982:F2984)</f>
        <v>0</v>
      </c>
      <c r="J2985" s="341"/>
      <c r="L2985" s="380"/>
      <c r="M2985" s="381"/>
      <c r="N2985" s="342"/>
      <c r="R2985" s="341"/>
      <c r="S2985" s="341"/>
    </row>
    <row r="2986" spans="1:25" ht="12.75" customHeight="1" thickBot="1">
      <c r="A2986" s="357"/>
      <c r="B2986" s="358"/>
      <c r="C2986" s="359"/>
      <c r="D2986" s="359"/>
      <c r="E2986" s="360"/>
      <c r="F2986" s="419"/>
      <c r="J2986" s="341"/>
      <c r="L2986" s="380"/>
      <c r="M2986" s="381"/>
      <c r="N2986" s="342"/>
      <c r="R2986" s="341"/>
      <c r="S2986" s="341"/>
    </row>
    <row r="2987" spans="1:25" ht="30" customHeight="1">
      <c r="A2987" s="370" t="str">
        <f>IV.A!A96</f>
        <v>3.9.1</v>
      </c>
      <c r="B2987" s="371" t="str">
        <f>IV.A!B96</f>
        <v>AZULEJO CERÂMICO ESMALTADO EXTRA, ASSENTADO COM ARGAMASSA COLANTE, JUNTAS A PRUMO, INCLUSO REJUNTAMENTO</v>
      </c>
      <c r="C2987" s="871" t="s">
        <v>237</v>
      </c>
      <c r="D2987" s="872"/>
      <c r="E2987" s="372" t="str">
        <f>IV.A!$C$96</f>
        <v>M2</v>
      </c>
      <c r="F2987" s="11">
        <f>ROUND(F3007+F3021+F3033,2)</f>
        <v>0</v>
      </c>
      <c r="G2987" s="1">
        <f>VLOOKUP(A2987,IV.A!$A$16:$L$172,4,FALSE)</f>
        <v>200</v>
      </c>
      <c r="H2987" s="361">
        <f>SUM(F2989:F3004)+F3006</f>
        <v>0</v>
      </c>
      <c r="I2987" s="361">
        <f>SUM(F3009:F3018)+F3020</f>
        <v>0</v>
      </c>
      <c r="J2987" s="361">
        <f>SUM(F3023:F3029)+F3031+F3032</f>
        <v>0</v>
      </c>
      <c r="K2987" s="361">
        <f>SUM(H2987:J2987)</f>
        <v>0</v>
      </c>
      <c r="L2987" s="362" t="str">
        <f>IF(K2987=F2987,"SIM","NÃO")</f>
        <v>SIM</v>
      </c>
      <c r="M2987" s="373">
        <f>ROUND(SUM(F2989:F3004),2)+ROUND(SUM(F2989:F3004)*C3006,2)+ROUND(SUM(F3009:F3018)*C3020,2)+ROUND(SUM(F3009:F3018),2)+ROUND(SUM(F3023:F3029)*C3031,2)+ROUND((SUM(F3023:F3029)+ROUND(SUM(F3023:F3029)*C3031,2))*C3032,2)+ROUND(SUM(F3023:F3029),2)</f>
        <v>0</v>
      </c>
      <c r="N2987" s="343" t="str">
        <f>IF(M2987=F2987,"SIM","NÃO")</f>
        <v>SIM</v>
      </c>
      <c r="O2987" s="364" t="str">
        <f>VLOOKUP(A2987,IV.A!$A$16:$E$172,3,FALSE)</f>
        <v>M2</v>
      </c>
      <c r="P2987" s="344" t="str">
        <f>IF(O2987=E2987,"SIM","NÃO")</f>
        <v>SIM</v>
      </c>
      <c r="Q2987" s="365">
        <f>ROUND(G2987*F3007,2)+ROUND(G2987*F3021,2)+ROUND(G2987*F3033,2)</f>
        <v>0</v>
      </c>
      <c r="R2987" s="364">
        <f>VLOOKUP(A2987,IV.A!$A$16:$L$172,12,FALSE)</f>
        <v>0</v>
      </c>
      <c r="S2987" s="366" t="str">
        <f>IF(Q2987=R2987,"si","no")</f>
        <v>si</v>
      </c>
      <c r="T2987" s="367">
        <f>SUM(L2989:L3004)+SUM(L3009:L3018)+SUM(L3023:L3029)</f>
        <v>1482</v>
      </c>
      <c r="U2987" s="341">
        <f>(SUM(C2989:C3004)+SUM(C3009:C3018)+SUM(C3023:C3029))*G2987</f>
        <v>1482</v>
      </c>
      <c r="V2987" s="368" t="str">
        <f>IF(T2987=U2987,"si","no")</f>
        <v>si</v>
      </c>
      <c r="W2987" s="369">
        <f>SUM(F2989:F3004)</f>
        <v>0</v>
      </c>
      <c r="X2987" s="369">
        <f>SUM(F3009:F3018)</f>
        <v>0</v>
      </c>
      <c r="Y2987" s="369">
        <f>SUM(F3023:F3029)</f>
        <v>0</v>
      </c>
    </row>
    <row r="2988" spans="1:25" ht="12.75" customHeight="1">
      <c r="A2988" s="374" t="s">
        <v>14</v>
      </c>
      <c r="B2988" s="375" t="s">
        <v>132</v>
      </c>
      <c r="C2988" s="376" t="s">
        <v>231</v>
      </c>
      <c r="D2988" s="376" t="s">
        <v>232</v>
      </c>
      <c r="E2988" s="377" t="s">
        <v>233</v>
      </c>
      <c r="F2988" s="378" t="s">
        <v>234</v>
      </c>
      <c r="G2988" s="379"/>
      <c r="J2988" s="341"/>
      <c r="L2988" s="380"/>
      <c r="M2988" s="381"/>
      <c r="N2988" s="342"/>
      <c r="O2988" s="382"/>
      <c r="P2988" s="383"/>
      <c r="Q2988" s="383"/>
      <c r="R2988" s="383"/>
      <c r="S2988" s="383"/>
      <c r="T2988" s="382"/>
      <c r="U2988" s="341"/>
      <c r="V2988" s="384"/>
      <c r="W2988" s="384"/>
      <c r="X2988" s="384"/>
      <c r="Y2988" s="384"/>
    </row>
    <row r="2989" spans="1:25" ht="12.75" customHeight="1">
      <c r="A2989" s="385" t="str">
        <f>VII.A!$A$20</f>
        <v>1.11</v>
      </c>
      <c r="B2989" s="386" t="str">
        <f>VLOOKUP(A2989,VII.A!$A$10:$G$199,2,FALSE)</f>
        <v>ARGAMASSA COLANTE TIPO AC III</v>
      </c>
      <c r="C2989" s="20">
        <v>4.8600000000000003</v>
      </c>
      <c r="D2989" s="342" t="str">
        <f>VLOOKUP(A2989,VII.A!$A$10:$G$199,3,FALSE)</f>
        <v>KG</v>
      </c>
      <c r="E2989" s="387">
        <f>VII.A!$D$20</f>
        <v>0</v>
      </c>
      <c r="F2989" s="388">
        <f>ROUND(C2989*E2989,2)</f>
        <v>0</v>
      </c>
      <c r="H2989" s="341">
        <f>IF(A2989="","",VLOOKUP(A2989,VII.A!$A$10:$D$199,4,FALSE))</f>
        <v>0</v>
      </c>
      <c r="I2989" s="341" t="str">
        <f t="shared" ref="I2989:I3004" si="783">IF(A2989="","",IF(E2989=H2989,"SIM","NÃO"))</f>
        <v>SIM</v>
      </c>
      <c r="J2989" s="341" t="str">
        <f>IF(A2989="","",VLOOKUP(A2989,VII.A!$A$10:$D$199,3,FALSE))</f>
        <v>KG</v>
      </c>
      <c r="K2989" s="342" t="str">
        <f t="shared" ref="K2989:K3004" si="784">IF(A2989="","",IF(J2989=D2989,"SIM","NÃO"))</f>
        <v>SIM</v>
      </c>
      <c r="L2989" s="380">
        <f>IF(C2989="","",G2987*C2989)</f>
        <v>972.00000000000011</v>
      </c>
      <c r="M2989" s="381" t="str">
        <f>IF(A2989="","",VLOOKUP(A2989,VII.A!$A$10:$B$199,2,FALSE))</f>
        <v>ARGAMASSA COLANTE TIPO AC III</v>
      </c>
      <c r="N2989" s="342" t="str">
        <f t="shared" ref="N2989:N3004" si="785">IF(B2989="","",IF(M2989=B2989,"si","no"))</f>
        <v>si</v>
      </c>
      <c r="R2989" s="341"/>
      <c r="S2989" s="341"/>
    </row>
    <row r="2990" spans="1:25" ht="12.75" customHeight="1">
      <c r="A2990" s="385" t="str">
        <f>VII.A!$A$21</f>
        <v>1.12</v>
      </c>
      <c r="B2990" s="386" t="str">
        <f>VLOOKUP(A2990,VII.A!$A$10:$G$199,2,FALSE)</f>
        <v>REVESTIMENTO EM CERAMICA ESMALTADA EXTRA, PEI MAIOR OU IGUAL A 4 FORMATO MAIOR A 2025CM2</v>
      </c>
      <c r="C2990" s="20">
        <v>1.06</v>
      </c>
      <c r="D2990" s="342" t="str">
        <f>VLOOKUP(A2990,VII.A!$A$10:$G$199,3,FALSE)</f>
        <v>M2</v>
      </c>
      <c r="E2990" s="387">
        <f>VII.A!$D$21</f>
        <v>0</v>
      </c>
      <c r="F2990" s="388">
        <f t="shared" ref="F2990:F3004" si="786">ROUND(C2990*E2990,2)</f>
        <v>0</v>
      </c>
      <c r="H2990" s="341">
        <f>IF(A2990="","",VLOOKUP(A2990,VII.A!$A$10:$D$199,4,FALSE))</f>
        <v>0</v>
      </c>
      <c r="I2990" s="341" t="str">
        <f t="shared" si="783"/>
        <v>SIM</v>
      </c>
      <c r="J2990" s="341" t="str">
        <f>IF(A2990="","",VLOOKUP(A2990,VII.A!$A$10:$D$199,3,FALSE))</f>
        <v>M2</v>
      </c>
      <c r="K2990" s="342" t="str">
        <f t="shared" si="784"/>
        <v>SIM</v>
      </c>
      <c r="L2990" s="380">
        <f>IF(C2990="","",G2987*C2990)</f>
        <v>212</v>
      </c>
      <c r="M2990" s="381" t="str">
        <f>IF(A2990="","",VLOOKUP(A2990,VII.A!$A$10:$B$199,2,FALSE))</f>
        <v>REVESTIMENTO EM CERAMICA ESMALTADA EXTRA, PEI MAIOR OU IGUAL A 4 FORMATO MAIOR A 2025CM2</v>
      </c>
      <c r="N2990" s="342" t="str">
        <f t="shared" si="785"/>
        <v>si</v>
      </c>
      <c r="R2990" s="341"/>
      <c r="S2990" s="341"/>
    </row>
    <row r="2991" spans="1:25" ht="12.75" customHeight="1">
      <c r="A2991" s="385" t="str">
        <f>VII.A!$A$36</f>
        <v>1.27</v>
      </c>
      <c r="B2991" s="386" t="str">
        <f>VLOOKUP(A2991,VII.A!$A$10:$G$199,2,FALSE)</f>
        <v>REJUNTE EPOXI BRANCO</v>
      </c>
      <c r="C2991" s="20">
        <v>0.42</v>
      </c>
      <c r="D2991" s="342" t="str">
        <f>VLOOKUP(A2991,VII.A!$A$10:$G$199,3,FALSE)</f>
        <v>KG</v>
      </c>
      <c r="E2991" s="387">
        <f>VII.A!$D$36</f>
        <v>0</v>
      </c>
      <c r="F2991" s="388">
        <f t="shared" si="786"/>
        <v>0</v>
      </c>
      <c r="H2991" s="341">
        <f>IF(A2991="","",VLOOKUP(A2991,VII.A!$A$10:$D$199,4,FALSE))</f>
        <v>0</v>
      </c>
      <c r="I2991" s="341" t="str">
        <f t="shared" si="783"/>
        <v>SIM</v>
      </c>
      <c r="J2991" s="341" t="str">
        <f>IF(A2991="","",VLOOKUP(A2991,VII.A!$A$10:$D$199,3,FALSE))</f>
        <v>KG</v>
      </c>
      <c r="K2991" s="342" t="str">
        <f t="shared" si="784"/>
        <v>SIM</v>
      </c>
      <c r="L2991" s="380">
        <f>IF(C2991="","",G2987*C2991)</f>
        <v>84</v>
      </c>
      <c r="M2991" s="381" t="str">
        <f>IF(A2991="","",VLOOKUP(A2991,VII.A!$A$10:$B$199,2,FALSE))</f>
        <v>REJUNTE EPOXI BRANCO</v>
      </c>
      <c r="N2991" s="342" t="str">
        <f t="shared" si="785"/>
        <v>si</v>
      </c>
      <c r="R2991" s="341"/>
      <c r="S2991" s="341"/>
    </row>
    <row r="2992" spans="1:25" ht="12.75" customHeight="1">
      <c r="A2992" s="385"/>
      <c r="B2992" s="386"/>
      <c r="C2992" s="20"/>
      <c r="D2992" s="342"/>
      <c r="E2992" s="387"/>
      <c r="F2992" s="388">
        <f t="shared" si="786"/>
        <v>0</v>
      </c>
      <c r="H2992" s="341" t="str">
        <f>IF(A2992="","",VLOOKUP(A2992,VII.A!$A$10:$D$199,4,FALSE))</f>
        <v/>
      </c>
      <c r="I2992" s="341" t="str">
        <f t="shared" si="783"/>
        <v/>
      </c>
      <c r="J2992" s="341" t="str">
        <f>IF(A2992="","",VLOOKUP(A2992,VII.A!$A$10:$D$199,3,FALSE))</f>
        <v/>
      </c>
      <c r="K2992" s="342" t="str">
        <f t="shared" si="784"/>
        <v/>
      </c>
      <c r="L2992" s="380" t="str">
        <f>IF(C2992="","",G2987*C2992)</f>
        <v/>
      </c>
      <c r="M2992" s="381" t="str">
        <f>IF(A2992="","",VLOOKUP(A2992,VII.A!$A$10:$B$199,2,FALSE))</f>
        <v/>
      </c>
      <c r="N2992" s="342" t="str">
        <f t="shared" si="785"/>
        <v/>
      </c>
      <c r="R2992" s="341"/>
      <c r="S2992" s="341"/>
    </row>
    <row r="2993" spans="1:21" ht="12.75" customHeight="1">
      <c r="A2993" s="385"/>
      <c r="B2993" s="386"/>
      <c r="C2993" s="20"/>
      <c r="D2993" s="342"/>
      <c r="E2993" s="387"/>
      <c r="F2993" s="388">
        <f t="shared" si="786"/>
        <v>0</v>
      </c>
      <c r="H2993" s="341" t="str">
        <f>IF(A2993="","",VLOOKUP(A2993,VII.A!$A$10:$D$199,4,FALSE))</f>
        <v/>
      </c>
      <c r="I2993" s="341" t="str">
        <f t="shared" si="783"/>
        <v/>
      </c>
      <c r="J2993" s="341" t="str">
        <f>IF(A2993="","",VLOOKUP(A2993,VII.A!$A$10:$D$199,3,FALSE))</f>
        <v/>
      </c>
      <c r="K2993" s="342" t="str">
        <f t="shared" si="784"/>
        <v/>
      </c>
      <c r="L2993" s="380" t="str">
        <f>IF(C2993="","",G2987*C2993)</f>
        <v/>
      </c>
      <c r="M2993" s="381" t="str">
        <f>IF(A2993="","",VLOOKUP(A2993,VII.A!$A$10:$B$199,2,FALSE))</f>
        <v/>
      </c>
      <c r="N2993" s="342" t="str">
        <f t="shared" si="785"/>
        <v/>
      </c>
      <c r="R2993" s="341"/>
      <c r="S2993" s="341"/>
    </row>
    <row r="2994" spans="1:21" ht="12.75" customHeight="1">
      <c r="A2994" s="385"/>
      <c r="B2994" s="386"/>
      <c r="C2994" s="20"/>
      <c r="D2994" s="342"/>
      <c r="E2994" s="387"/>
      <c r="F2994" s="388">
        <f t="shared" si="786"/>
        <v>0</v>
      </c>
      <c r="H2994" s="341" t="str">
        <f>IF(A2994="","",VLOOKUP(A2994,VII.A!$A$10:$D$199,4,FALSE))</f>
        <v/>
      </c>
      <c r="I2994" s="341" t="str">
        <f t="shared" si="783"/>
        <v/>
      </c>
      <c r="J2994" s="341" t="str">
        <f>IF(A2994="","",VLOOKUP(A2994,VII.A!$A$10:$D$199,3,FALSE))</f>
        <v/>
      </c>
      <c r="K2994" s="342" t="str">
        <f t="shared" si="784"/>
        <v/>
      </c>
      <c r="L2994" s="380" t="str">
        <f>IF(C2994="","",G2987*C2994)</f>
        <v/>
      </c>
      <c r="M2994" s="381" t="str">
        <f>IF(A2994="","",VLOOKUP(A2994,VII.A!$A$10:$B$199,2,FALSE))</f>
        <v/>
      </c>
      <c r="N2994" s="342" t="str">
        <f t="shared" si="785"/>
        <v/>
      </c>
      <c r="R2994" s="341"/>
      <c r="S2994" s="341"/>
      <c r="U2994" s="389"/>
    </row>
    <row r="2995" spans="1:21" ht="12.75" customHeight="1">
      <c r="A2995" s="385"/>
      <c r="B2995" s="386"/>
      <c r="C2995" s="20"/>
      <c r="D2995" s="342"/>
      <c r="E2995" s="387"/>
      <c r="F2995" s="388">
        <f t="shared" si="786"/>
        <v>0</v>
      </c>
      <c r="H2995" s="341" t="str">
        <f>IF(A2995="","",VLOOKUP(A2995,VII.A!$A$10:$D$199,4,FALSE))</f>
        <v/>
      </c>
      <c r="I2995" s="341" t="str">
        <f t="shared" si="783"/>
        <v/>
      </c>
      <c r="J2995" s="341" t="str">
        <f>IF(A2995="","",VLOOKUP(A2995,VII.A!$A$10:$D$199,3,FALSE))</f>
        <v/>
      </c>
      <c r="K2995" s="342" t="str">
        <f t="shared" si="784"/>
        <v/>
      </c>
      <c r="L2995" s="380" t="str">
        <f>IF(C2995="","",G2987*C2995)</f>
        <v/>
      </c>
      <c r="M2995" s="381" t="str">
        <f>IF(A2995="","",VLOOKUP(A2995,VII.A!$A$10:$B$199,2,FALSE))</f>
        <v/>
      </c>
      <c r="N2995" s="342" t="str">
        <f t="shared" si="785"/>
        <v/>
      </c>
      <c r="R2995" s="341"/>
      <c r="S2995" s="341"/>
    </row>
    <row r="2996" spans="1:21" ht="12.75" customHeight="1">
      <c r="A2996" s="385"/>
      <c r="B2996" s="386"/>
      <c r="C2996" s="20"/>
      <c r="D2996" s="342"/>
      <c r="E2996" s="387"/>
      <c r="F2996" s="388">
        <f t="shared" si="786"/>
        <v>0</v>
      </c>
      <c r="G2996" s="390"/>
      <c r="H2996" s="341" t="str">
        <f>IF(A2996="","",VLOOKUP(A2996,VII.A!$A$10:$D$199,4,FALSE))</f>
        <v/>
      </c>
      <c r="I2996" s="341" t="str">
        <f t="shared" si="783"/>
        <v/>
      </c>
      <c r="J2996" s="341" t="str">
        <f>IF(A2996="","",VLOOKUP(A2996,VII.A!$A$10:$D$199,3,FALSE))</f>
        <v/>
      </c>
      <c r="K2996" s="342" t="str">
        <f t="shared" si="784"/>
        <v/>
      </c>
      <c r="L2996" s="380" t="str">
        <f>IF(C2996="","",G2987*C2996)</f>
        <v/>
      </c>
      <c r="M2996" s="381" t="str">
        <f>IF(A2996="","",VLOOKUP(A2996,VII.A!$A$10:$B$199,2,FALSE))</f>
        <v/>
      </c>
      <c r="N2996" s="342" t="str">
        <f t="shared" si="785"/>
        <v/>
      </c>
      <c r="R2996" s="341"/>
      <c r="S2996" s="341"/>
    </row>
    <row r="2997" spans="1:21" ht="12.75" customHeight="1">
      <c r="A2997" s="385"/>
      <c r="B2997" s="386"/>
      <c r="C2997" s="20"/>
      <c r="D2997" s="342"/>
      <c r="E2997" s="387"/>
      <c r="F2997" s="388">
        <f t="shared" si="786"/>
        <v>0</v>
      </c>
      <c r="G2997" s="390"/>
      <c r="H2997" s="341" t="str">
        <f>IF(A2997="","",VLOOKUP(A2997,VII.A!$A$10:$D$199,4,FALSE))</f>
        <v/>
      </c>
      <c r="I2997" s="341" t="str">
        <f t="shared" si="783"/>
        <v/>
      </c>
      <c r="J2997" s="341" t="str">
        <f>IF(A2997="","",VLOOKUP(A2997,VII.A!$A$10:$D$199,3,FALSE))</f>
        <v/>
      </c>
      <c r="K2997" s="342" t="str">
        <f t="shared" si="784"/>
        <v/>
      </c>
      <c r="L2997" s="380" t="str">
        <f>IF(C2997="","",G2987*C2997)</f>
        <v/>
      </c>
      <c r="M2997" s="381" t="str">
        <f>IF(A2997="","",VLOOKUP(A2997,VII.A!$A$10:$B$199,2,FALSE))</f>
        <v/>
      </c>
      <c r="N2997" s="342" t="str">
        <f t="shared" si="785"/>
        <v/>
      </c>
      <c r="R2997" s="341"/>
      <c r="S2997" s="341"/>
    </row>
    <row r="2998" spans="1:21" ht="12.75" customHeight="1">
      <c r="A2998" s="385"/>
      <c r="B2998" s="386"/>
      <c r="C2998" s="20"/>
      <c r="D2998" s="342"/>
      <c r="E2998" s="387"/>
      <c r="F2998" s="388">
        <f t="shared" si="786"/>
        <v>0</v>
      </c>
      <c r="G2998" s="391"/>
      <c r="H2998" s="341" t="str">
        <f>IF(A2998="","",VLOOKUP(A2998,VII.A!$A$10:$D$199,4,FALSE))</f>
        <v/>
      </c>
      <c r="I2998" s="341" t="str">
        <f t="shared" si="783"/>
        <v/>
      </c>
      <c r="J2998" s="341" t="str">
        <f>IF(A2998="","",VLOOKUP(A2998,VII.A!$A$10:$D$199,3,FALSE))</f>
        <v/>
      </c>
      <c r="K2998" s="342" t="str">
        <f t="shared" si="784"/>
        <v/>
      </c>
      <c r="L2998" s="380" t="str">
        <f>IF(C2998="","",G2987*C2998)</f>
        <v/>
      </c>
      <c r="M2998" s="381" t="str">
        <f>IF(A2998="","",VLOOKUP(A2998,VII.A!$A$10:$B$199,2,FALSE))</f>
        <v/>
      </c>
      <c r="N2998" s="342" t="str">
        <f t="shared" si="785"/>
        <v/>
      </c>
      <c r="R2998" s="341"/>
      <c r="S2998" s="341"/>
    </row>
    <row r="2999" spans="1:21" ht="12.75" customHeight="1">
      <c r="A2999" s="385"/>
      <c r="B2999" s="386"/>
      <c r="C2999" s="20"/>
      <c r="D2999" s="342"/>
      <c r="E2999" s="387"/>
      <c r="F2999" s="388">
        <f t="shared" si="786"/>
        <v>0</v>
      </c>
      <c r="H2999" s="341" t="str">
        <f>IF(A2999="","",VLOOKUP(A2999,VII.A!$A$10:$D$199,4,FALSE))</f>
        <v/>
      </c>
      <c r="I2999" s="341" t="str">
        <f t="shared" si="783"/>
        <v/>
      </c>
      <c r="J2999" s="341" t="str">
        <f>IF(A2999="","",VLOOKUP(A2999,VII.A!$A$10:$D$199,3,FALSE))</f>
        <v/>
      </c>
      <c r="K2999" s="342" t="str">
        <f t="shared" si="784"/>
        <v/>
      </c>
      <c r="L2999" s="380" t="str">
        <f>IF(C2999="","",G2987*C2999)</f>
        <v/>
      </c>
      <c r="M2999" s="381" t="str">
        <f>IF(A2999="","",VLOOKUP(A2999,VII.A!$A$10:$B$199,2,FALSE))</f>
        <v/>
      </c>
      <c r="N2999" s="342" t="str">
        <f t="shared" si="785"/>
        <v/>
      </c>
      <c r="R2999" s="341"/>
      <c r="S2999" s="341"/>
    </row>
    <row r="3000" spans="1:21" ht="12.75" customHeight="1">
      <c r="A3000" s="385"/>
      <c r="B3000" s="386"/>
      <c r="C3000" s="20"/>
      <c r="D3000" s="392"/>
      <c r="E3000" s="387"/>
      <c r="F3000" s="388">
        <f t="shared" si="786"/>
        <v>0</v>
      </c>
      <c r="H3000" s="341" t="str">
        <f>IF(A3000="","",VLOOKUP(A3000,VII.A!$A$10:$D$199,4,FALSE))</f>
        <v/>
      </c>
      <c r="I3000" s="341" t="str">
        <f t="shared" si="783"/>
        <v/>
      </c>
      <c r="J3000" s="341" t="str">
        <f>IF(A3000="","",VLOOKUP(A3000,VII.A!$A$10:$D$199,3,FALSE))</f>
        <v/>
      </c>
      <c r="K3000" s="342" t="str">
        <f t="shared" si="784"/>
        <v/>
      </c>
      <c r="L3000" s="380" t="str">
        <f>IF(C3000="","",G2987*C3000)</f>
        <v/>
      </c>
      <c r="M3000" s="381" t="str">
        <f>IF(A3000="","",VLOOKUP(A3000,VII.A!$A$10:$B$199,2,FALSE))</f>
        <v/>
      </c>
      <c r="N3000" s="342" t="str">
        <f t="shared" si="785"/>
        <v/>
      </c>
      <c r="R3000" s="341"/>
      <c r="S3000" s="341"/>
    </row>
    <row r="3001" spans="1:21" ht="12.75" customHeight="1">
      <c r="A3001" s="385"/>
      <c r="B3001" s="386"/>
      <c r="C3001" s="20"/>
      <c r="D3001" s="392"/>
      <c r="E3001" s="387"/>
      <c r="F3001" s="388">
        <f t="shared" si="786"/>
        <v>0</v>
      </c>
      <c r="H3001" s="341" t="str">
        <f>IF(A3001="","",VLOOKUP(A3001,VII.A!$A$10:$D$199,4,FALSE))</f>
        <v/>
      </c>
      <c r="I3001" s="341" t="str">
        <f t="shared" si="783"/>
        <v/>
      </c>
      <c r="J3001" s="341" t="str">
        <f>IF(A3001="","",VLOOKUP(A3001,VII.A!$A$10:$D$199,3,FALSE))</f>
        <v/>
      </c>
      <c r="K3001" s="342" t="str">
        <f t="shared" si="784"/>
        <v/>
      </c>
      <c r="L3001" s="380" t="str">
        <f>IF(C3001="","",G2987*C3001)</f>
        <v/>
      </c>
      <c r="M3001" s="381" t="str">
        <f>IF(A3001="","",VLOOKUP(A3001,VII.A!$A$10:$B$199,2,FALSE))</f>
        <v/>
      </c>
      <c r="N3001" s="342" t="str">
        <f t="shared" si="785"/>
        <v/>
      </c>
      <c r="O3001" s="342"/>
      <c r="R3001" s="341"/>
      <c r="S3001" s="341"/>
    </row>
    <row r="3002" spans="1:21" ht="12.75" customHeight="1">
      <c r="A3002" s="385"/>
      <c r="B3002" s="386"/>
      <c r="C3002" s="20"/>
      <c r="D3002" s="392"/>
      <c r="E3002" s="387"/>
      <c r="F3002" s="388">
        <f t="shared" si="786"/>
        <v>0</v>
      </c>
      <c r="H3002" s="341" t="str">
        <f>IF(A3002="","",VLOOKUP(A3002,VII.A!$A$10:$D$199,4,FALSE))</f>
        <v/>
      </c>
      <c r="I3002" s="341" t="str">
        <f t="shared" si="783"/>
        <v/>
      </c>
      <c r="J3002" s="341" t="str">
        <f>IF(A3002="","",VLOOKUP(A3002,VII.A!$A$10:$D$199,3,FALSE))</f>
        <v/>
      </c>
      <c r="K3002" s="342" t="str">
        <f t="shared" si="784"/>
        <v/>
      </c>
      <c r="L3002" s="380" t="str">
        <f>IF(C3002="","",G2987*C3002)</f>
        <v/>
      </c>
      <c r="M3002" s="381" t="str">
        <f>IF(A3002="","",VLOOKUP(A3002,VII.A!$A$10:$B$199,2,FALSE))</f>
        <v/>
      </c>
      <c r="N3002" s="342" t="str">
        <f t="shared" si="785"/>
        <v/>
      </c>
      <c r="R3002" s="341"/>
      <c r="S3002" s="341"/>
    </row>
    <row r="3003" spans="1:21" ht="12.75" customHeight="1">
      <c r="A3003" s="393"/>
      <c r="C3003" s="20"/>
      <c r="E3003" s="387"/>
      <c r="F3003" s="388">
        <f t="shared" si="786"/>
        <v>0</v>
      </c>
      <c r="H3003" s="341" t="str">
        <f>IF(A3003="","",VLOOKUP(A3003,VII.A!$A$10:$D$199,4,FALSE))</f>
        <v/>
      </c>
      <c r="I3003" s="341" t="str">
        <f t="shared" si="783"/>
        <v/>
      </c>
      <c r="J3003" s="341" t="str">
        <f>IF(A3003="","",VLOOKUP(A3003,VII.A!$A$10:$D$199,3,FALSE))</f>
        <v/>
      </c>
      <c r="K3003" s="342" t="str">
        <f t="shared" si="784"/>
        <v/>
      </c>
      <c r="L3003" s="380" t="str">
        <f>IF(C3003="","",G2987*C3003)</f>
        <v/>
      </c>
      <c r="M3003" s="381" t="str">
        <f>IF(A3003="","",VLOOKUP(A3003,VII.A!$A$10:$B$199,2,FALSE))</f>
        <v/>
      </c>
      <c r="N3003" s="342" t="str">
        <f t="shared" si="785"/>
        <v/>
      </c>
      <c r="R3003" s="341"/>
      <c r="S3003" s="341"/>
    </row>
    <row r="3004" spans="1:21" ht="12.75" customHeight="1">
      <c r="A3004" s="393"/>
      <c r="C3004" s="20"/>
      <c r="E3004" s="387"/>
      <c r="F3004" s="388">
        <f t="shared" si="786"/>
        <v>0</v>
      </c>
      <c r="H3004" s="341" t="str">
        <f>IF(A3004="","",VLOOKUP(A3004,VII.A!$A$10:$D$199,4,FALSE))</f>
        <v/>
      </c>
      <c r="I3004" s="341" t="str">
        <f t="shared" si="783"/>
        <v/>
      </c>
      <c r="J3004" s="341" t="str">
        <f>IF(A3004="","",VLOOKUP(A3004,VII.A!$A$10:$D$199,3,FALSE))</f>
        <v/>
      </c>
      <c r="K3004" s="342" t="str">
        <f t="shared" si="784"/>
        <v/>
      </c>
      <c r="L3004" s="380" t="str">
        <f>IF(C3004="","",G2987*C3004)</f>
        <v/>
      </c>
      <c r="M3004" s="381" t="str">
        <f>IF(A3004="","",VLOOKUP(A3004,VII.A!$A$10:$B$199,2,FALSE))</f>
        <v/>
      </c>
      <c r="N3004" s="342" t="str">
        <f t="shared" si="785"/>
        <v/>
      </c>
      <c r="R3004" s="341"/>
      <c r="S3004" s="341"/>
    </row>
    <row r="3005" spans="1:21" ht="12.75" customHeight="1">
      <c r="A3005" s="393"/>
      <c r="B3005" s="395" t="s">
        <v>226</v>
      </c>
      <c r="C3005" s="396"/>
      <c r="D3005" s="397"/>
      <c r="E3005" s="398"/>
      <c r="F3005" s="399">
        <f>SUM(F2989:F3004)</f>
        <v>0</v>
      </c>
      <c r="H3005" s="426" t="s">
        <v>434</v>
      </c>
      <c r="J3005" s="341"/>
      <c r="L3005" s="380"/>
      <c r="M3005" s="381"/>
      <c r="N3005" s="342"/>
      <c r="R3005" s="341"/>
      <c r="S3005" s="341"/>
    </row>
    <row r="3006" spans="1:21" ht="12.75" customHeight="1">
      <c r="A3006" s="393"/>
      <c r="B3006" s="400" t="s">
        <v>53</v>
      </c>
      <c r="C3006" s="2">
        <f>$D$8</f>
        <v>0</v>
      </c>
      <c r="D3006" s="401"/>
      <c r="E3006" s="402"/>
      <c r="F3006" s="403">
        <f>ROUND(F3005*C3006,2)</f>
        <v>0</v>
      </c>
      <c r="J3006" s="341"/>
      <c r="L3006" s="380"/>
      <c r="M3006" s="381"/>
      <c r="N3006" s="342"/>
      <c r="R3006" s="341"/>
      <c r="S3006" s="341"/>
    </row>
    <row r="3007" spans="1:21" ht="12.75" customHeight="1">
      <c r="A3007" s="404"/>
      <c r="B3007" s="405" t="s">
        <v>227</v>
      </c>
      <c r="C3007" s="406"/>
      <c r="D3007" s="406"/>
      <c r="E3007" s="407"/>
      <c r="F3007" s="408">
        <f>F3005+F3006</f>
        <v>0</v>
      </c>
      <c r="J3007" s="341"/>
      <c r="L3007" s="380"/>
      <c r="M3007" s="381"/>
      <c r="N3007" s="342"/>
      <c r="R3007" s="341"/>
      <c r="S3007" s="341"/>
    </row>
    <row r="3008" spans="1:21" ht="12.75" customHeight="1">
      <c r="A3008" s="374" t="s">
        <v>2</v>
      </c>
      <c r="B3008" s="375" t="s">
        <v>235</v>
      </c>
      <c r="C3008" s="376" t="s">
        <v>231</v>
      </c>
      <c r="D3008" s="376" t="s">
        <v>232</v>
      </c>
      <c r="E3008" s="377" t="s">
        <v>233</v>
      </c>
      <c r="F3008" s="378" t="s">
        <v>234</v>
      </c>
      <c r="J3008" s="341"/>
      <c r="L3008" s="380"/>
      <c r="M3008" s="381"/>
      <c r="N3008" s="342"/>
      <c r="R3008" s="341"/>
      <c r="S3008" s="341"/>
    </row>
    <row r="3009" spans="1:19" ht="12.75" customHeight="1">
      <c r="A3009" s="393"/>
      <c r="B3009" s="423"/>
      <c r="C3009" s="20"/>
      <c r="E3009" s="387"/>
      <c r="F3009" s="388">
        <f t="shared" ref="F3009:F3018" si="787">ROUND(C3009*E3009,2)</f>
        <v>0</v>
      </c>
      <c r="H3009" s="341" t="str">
        <f>IF(A3009="","",VLOOKUP(A3009,VII.A!$A$10:$D$199,4,FALSE))</f>
        <v/>
      </c>
      <c r="I3009" s="341" t="str">
        <f t="shared" ref="I3009:I3018" si="788">IF(A3009="","",IF(E3009=H3009,"SIM","NÃO"))</f>
        <v/>
      </c>
      <c r="J3009" s="341" t="str">
        <f>IF(A3009="","",VLOOKUP(A3009,VII.A!$A$10:$D$199,3,FALSE))</f>
        <v/>
      </c>
      <c r="K3009" s="342" t="str">
        <f t="shared" ref="K3009:K3018" si="789">IF(A3009="","",IF(J3009=D3009,"SIM","NÃO"))</f>
        <v/>
      </c>
      <c r="L3009" s="380" t="str">
        <f>IF(C3009="","",G2987*C3009)</f>
        <v/>
      </c>
      <c r="M3009" s="381" t="str">
        <f>IF(A3009="","",VLOOKUP(A3009,VII.A!$A$10:$B$199,2,FALSE))</f>
        <v/>
      </c>
      <c r="N3009" s="342" t="str">
        <f t="shared" ref="N3009:N3018" si="790">IF(B3009="","",IF(M3009=B3009,"si","no"))</f>
        <v/>
      </c>
      <c r="R3009" s="341"/>
      <c r="S3009" s="341"/>
    </row>
    <row r="3010" spans="1:19" ht="12.75" customHeight="1">
      <c r="A3010" s="393"/>
      <c r="C3010" s="20"/>
      <c r="E3010" s="387"/>
      <c r="F3010" s="388">
        <f t="shared" si="787"/>
        <v>0</v>
      </c>
      <c r="H3010" s="341" t="str">
        <f>IF(A3010="","",VLOOKUP(A3010,VII.A!$A$10:$D$199,4,FALSE))</f>
        <v/>
      </c>
      <c r="I3010" s="341" t="str">
        <f t="shared" si="788"/>
        <v/>
      </c>
      <c r="J3010" s="341" t="str">
        <f>IF(A3010="","",VLOOKUP(A3010,VII.A!$A$10:$D$199,3,FALSE))</f>
        <v/>
      </c>
      <c r="K3010" s="342" t="str">
        <f t="shared" si="789"/>
        <v/>
      </c>
      <c r="L3010" s="380" t="str">
        <f>IF(C3010="","",G2987*C3010)</f>
        <v/>
      </c>
      <c r="M3010" s="381" t="str">
        <f>IF(A3010="","",VLOOKUP(A3010,VII.A!$A$10:$B$199,2,FALSE))</f>
        <v/>
      </c>
      <c r="N3010" s="342" t="str">
        <f t="shared" si="790"/>
        <v/>
      </c>
      <c r="R3010" s="341"/>
      <c r="S3010" s="341"/>
    </row>
    <row r="3011" spans="1:19" ht="12.75" customHeight="1">
      <c r="A3011" s="393"/>
      <c r="C3011" s="20"/>
      <c r="E3011" s="387"/>
      <c r="F3011" s="388">
        <f t="shared" si="787"/>
        <v>0</v>
      </c>
      <c r="H3011" s="341" t="str">
        <f>IF(A3011="","",VLOOKUP(A3011,VII.A!$A$10:$D$199,4,FALSE))</f>
        <v/>
      </c>
      <c r="I3011" s="341" t="str">
        <f t="shared" si="788"/>
        <v/>
      </c>
      <c r="J3011" s="341" t="str">
        <f>IF(A3011="","",VLOOKUP(A3011,VII.A!$A$10:$D$199,3,FALSE))</f>
        <v/>
      </c>
      <c r="K3011" s="342" t="str">
        <f t="shared" si="789"/>
        <v/>
      </c>
      <c r="L3011" s="380" t="str">
        <f>IF(C3011="","",G2987*C3011)</f>
        <v/>
      </c>
      <c r="M3011" s="381" t="str">
        <f>IF(A3011="","",VLOOKUP(A3011,VII.A!$A$10:$B$199,2,FALSE))</f>
        <v/>
      </c>
      <c r="N3011" s="342" t="str">
        <f t="shared" si="790"/>
        <v/>
      </c>
      <c r="R3011" s="341"/>
      <c r="S3011" s="341"/>
    </row>
    <row r="3012" spans="1:19" ht="12.75" customHeight="1">
      <c r="A3012" s="393"/>
      <c r="C3012" s="20"/>
      <c r="E3012" s="387"/>
      <c r="F3012" s="388">
        <f t="shared" si="787"/>
        <v>0</v>
      </c>
      <c r="H3012" s="341" t="str">
        <f>IF(A3012="","",VLOOKUP(A3012,VII.A!$A$10:$D$199,4,FALSE))</f>
        <v/>
      </c>
      <c r="I3012" s="341" t="str">
        <f t="shared" si="788"/>
        <v/>
      </c>
      <c r="J3012" s="341" t="str">
        <f>IF(A3012="","",VLOOKUP(A3012,VII.A!$A$10:$D$199,3,FALSE))</f>
        <v/>
      </c>
      <c r="K3012" s="342" t="str">
        <f t="shared" si="789"/>
        <v/>
      </c>
      <c r="L3012" s="380" t="str">
        <f>IF(C3012="","",G2987*C3012)</f>
        <v/>
      </c>
      <c r="M3012" s="381" t="str">
        <f>IF(A3012="","",VLOOKUP(A3012,VII.A!$A$10:$B$199,2,FALSE))</f>
        <v/>
      </c>
      <c r="N3012" s="342" t="str">
        <f t="shared" si="790"/>
        <v/>
      </c>
      <c r="R3012" s="341"/>
      <c r="S3012" s="341"/>
    </row>
    <row r="3013" spans="1:19" ht="12.75" customHeight="1">
      <c r="A3013" s="393"/>
      <c r="C3013" s="20"/>
      <c r="E3013" s="387"/>
      <c r="F3013" s="388">
        <f t="shared" si="787"/>
        <v>0</v>
      </c>
      <c r="G3013" s="390"/>
      <c r="H3013" s="341" t="str">
        <f>IF(A3013="","",VLOOKUP(A3013,VII.A!$A$10:$D$199,4,FALSE))</f>
        <v/>
      </c>
      <c r="I3013" s="341" t="str">
        <f t="shared" si="788"/>
        <v/>
      </c>
      <c r="J3013" s="341" t="str">
        <f>IF(A3013="","",VLOOKUP(A3013,VII.A!$A$10:$D$199,3,FALSE))</f>
        <v/>
      </c>
      <c r="K3013" s="342" t="str">
        <f t="shared" si="789"/>
        <v/>
      </c>
      <c r="L3013" s="380" t="str">
        <f>IF(C3013="","",G2987*C3013)</f>
        <v/>
      </c>
      <c r="M3013" s="381" t="str">
        <f>IF(A3013="","",VLOOKUP(A3013,VII.A!$A$10:$B$199,2,FALSE))</f>
        <v/>
      </c>
      <c r="N3013" s="342" t="str">
        <f t="shared" si="790"/>
        <v/>
      </c>
      <c r="R3013" s="341"/>
      <c r="S3013" s="341"/>
    </row>
    <row r="3014" spans="1:19" ht="12.75" customHeight="1">
      <c r="A3014" s="393"/>
      <c r="C3014" s="20"/>
      <c r="E3014" s="387"/>
      <c r="F3014" s="388">
        <f t="shared" si="787"/>
        <v>0</v>
      </c>
      <c r="G3014" s="391"/>
      <c r="H3014" s="341" t="str">
        <f>IF(A3014="","",VLOOKUP(A3014,VII.A!$A$10:$D$199,4,FALSE))</f>
        <v/>
      </c>
      <c r="I3014" s="341" t="str">
        <f t="shared" si="788"/>
        <v/>
      </c>
      <c r="J3014" s="341" t="str">
        <f>IF(A3014="","",VLOOKUP(A3014,VII.A!$A$10:$D$199,3,FALSE))</f>
        <v/>
      </c>
      <c r="K3014" s="342" t="str">
        <f t="shared" si="789"/>
        <v/>
      </c>
      <c r="L3014" s="380" t="str">
        <f>IF(C3014="","",G2987*C3014)</f>
        <v/>
      </c>
      <c r="M3014" s="381" t="str">
        <f>IF(A3014="","",VLOOKUP(A3014,VII.A!$A$10:$B$199,2,FALSE))</f>
        <v/>
      </c>
      <c r="N3014" s="342" t="str">
        <f t="shared" si="790"/>
        <v/>
      </c>
      <c r="R3014" s="341"/>
      <c r="S3014" s="341"/>
    </row>
    <row r="3015" spans="1:19" ht="12.75" customHeight="1">
      <c r="A3015" s="393"/>
      <c r="C3015" s="20"/>
      <c r="E3015" s="387"/>
      <c r="F3015" s="388">
        <f t="shared" si="787"/>
        <v>0</v>
      </c>
      <c r="H3015" s="341" t="str">
        <f>IF(A3015="","",VLOOKUP(A3015,VII.A!$A$10:$D$199,4,FALSE))</f>
        <v/>
      </c>
      <c r="I3015" s="341" t="str">
        <f t="shared" si="788"/>
        <v/>
      </c>
      <c r="J3015" s="341" t="str">
        <f>IF(A3015="","",VLOOKUP(A3015,VII.A!$A$10:$D$199,3,FALSE))</f>
        <v/>
      </c>
      <c r="K3015" s="342" t="str">
        <f t="shared" si="789"/>
        <v/>
      </c>
      <c r="L3015" s="380" t="str">
        <f>IF(C3015="","",G2987*C3015)</f>
        <v/>
      </c>
      <c r="M3015" s="381" t="str">
        <f>IF(A3015="","",VLOOKUP(A3015,VII.A!$A$10:$B$199,2,FALSE))</f>
        <v/>
      </c>
      <c r="N3015" s="342" t="str">
        <f t="shared" si="790"/>
        <v/>
      </c>
      <c r="R3015" s="341"/>
      <c r="S3015" s="341"/>
    </row>
    <row r="3016" spans="1:19" ht="12.75" customHeight="1">
      <c r="A3016" s="393"/>
      <c r="C3016" s="20"/>
      <c r="E3016" s="387"/>
      <c r="F3016" s="388">
        <f t="shared" si="787"/>
        <v>0</v>
      </c>
      <c r="H3016" s="341" t="str">
        <f>IF(A3016="","",VLOOKUP(A3016,VII.A!$A$10:$D$199,4,FALSE))</f>
        <v/>
      </c>
      <c r="I3016" s="341" t="str">
        <f t="shared" si="788"/>
        <v/>
      </c>
      <c r="J3016" s="341" t="str">
        <f>IF(A3016="","",VLOOKUP(A3016,VII.A!$A$10:$D$199,3,FALSE))</f>
        <v/>
      </c>
      <c r="K3016" s="342" t="str">
        <f t="shared" si="789"/>
        <v/>
      </c>
      <c r="L3016" s="380" t="str">
        <f>IF(C3016="","",G2987*C3016)</f>
        <v/>
      </c>
      <c r="M3016" s="381" t="str">
        <f>IF(A3016="","",VLOOKUP(A3016,VII.A!$A$10:$B$199,2,FALSE))</f>
        <v/>
      </c>
      <c r="N3016" s="342" t="str">
        <f t="shared" si="790"/>
        <v/>
      </c>
      <c r="R3016" s="341"/>
      <c r="S3016" s="341"/>
    </row>
    <row r="3017" spans="1:19" ht="12.75" customHeight="1">
      <c r="A3017" s="393"/>
      <c r="C3017" s="20"/>
      <c r="E3017" s="387"/>
      <c r="F3017" s="388">
        <f t="shared" si="787"/>
        <v>0</v>
      </c>
      <c r="H3017" s="341" t="str">
        <f>IF(A3017="","",VLOOKUP(A3017,VII.A!$A$10:$D$199,4,FALSE))</f>
        <v/>
      </c>
      <c r="I3017" s="341" t="str">
        <f t="shared" si="788"/>
        <v/>
      </c>
      <c r="J3017" s="341" t="str">
        <f>IF(A3017="","",VLOOKUP(A3017,VII.A!$A$10:$D$199,3,FALSE))</f>
        <v/>
      </c>
      <c r="K3017" s="342" t="str">
        <f t="shared" si="789"/>
        <v/>
      </c>
      <c r="L3017" s="380" t="str">
        <f>IF(C3017="","",G2987*C3017)</f>
        <v/>
      </c>
      <c r="M3017" s="381" t="str">
        <f>IF(A3017="","",VLOOKUP(A3017,VII.A!$A$10:$B$199,2,FALSE))</f>
        <v/>
      </c>
      <c r="N3017" s="342" t="str">
        <f t="shared" si="790"/>
        <v/>
      </c>
      <c r="R3017" s="341"/>
      <c r="S3017" s="341"/>
    </row>
    <row r="3018" spans="1:19" ht="12.75" customHeight="1">
      <c r="A3018" s="393"/>
      <c r="C3018" s="20"/>
      <c r="E3018" s="387"/>
      <c r="F3018" s="388">
        <f t="shared" si="787"/>
        <v>0</v>
      </c>
      <c r="H3018" s="341" t="str">
        <f>IF(A3018="","",VLOOKUP(A3018,VII.A!$A$10:$D$199,4,FALSE))</f>
        <v/>
      </c>
      <c r="I3018" s="341" t="str">
        <f t="shared" si="788"/>
        <v/>
      </c>
      <c r="J3018" s="341" t="str">
        <f>IF(A3018="","",VLOOKUP(A3018,VII.A!$A$10:$D$199,3,FALSE))</f>
        <v/>
      </c>
      <c r="K3018" s="342" t="str">
        <f t="shared" si="789"/>
        <v/>
      </c>
      <c r="L3018" s="380" t="str">
        <f>IF(C3018="","",G2987*C3018)</f>
        <v/>
      </c>
      <c r="M3018" s="381" t="str">
        <f>IF(A3018="","",VLOOKUP(A3018,VII.A!$A$10:$B$199,2,FALSE))</f>
        <v/>
      </c>
      <c r="N3018" s="342" t="str">
        <f t="shared" si="790"/>
        <v/>
      </c>
      <c r="R3018" s="341"/>
      <c r="S3018" s="341"/>
    </row>
    <row r="3019" spans="1:19" ht="12.75" customHeight="1">
      <c r="A3019" s="393"/>
      <c r="B3019" s="395" t="s">
        <v>226</v>
      </c>
      <c r="C3019" s="396"/>
      <c r="D3019" s="397"/>
      <c r="E3019" s="398"/>
      <c r="F3019" s="399">
        <f>SUM(F3009:F3018)</f>
        <v>0</v>
      </c>
      <c r="J3019" s="341"/>
      <c r="L3019" s="380"/>
      <c r="M3019" s="381"/>
      <c r="N3019" s="342"/>
      <c r="R3019" s="341"/>
      <c r="S3019" s="341"/>
    </row>
    <row r="3020" spans="1:19" ht="12.75" customHeight="1">
      <c r="A3020" s="393"/>
      <c r="B3020" s="400" t="s">
        <v>53</v>
      </c>
      <c r="C3020" s="2">
        <f>$D$8</f>
        <v>0</v>
      </c>
      <c r="D3020" s="401"/>
      <c r="E3020" s="402"/>
      <c r="F3020" s="403">
        <f>ROUND(C3020*F3019,2)</f>
        <v>0</v>
      </c>
      <c r="J3020" s="341"/>
      <c r="L3020" s="380"/>
      <c r="M3020" s="381"/>
      <c r="N3020" s="342"/>
      <c r="R3020" s="341"/>
      <c r="S3020" s="341"/>
    </row>
    <row r="3021" spans="1:19" ht="12.75" customHeight="1">
      <c r="A3021" s="404"/>
      <c r="B3021" s="405" t="s">
        <v>228</v>
      </c>
      <c r="C3021" s="406"/>
      <c r="D3021" s="406"/>
      <c r="E3021" s="407"/>
      <c r="F3021" s="408">
        <f>F3019+F3020</f>
        <v>0</v>
      </c>
      <c r="J3021" s="341"/>
      <c r="L3021" s="380"/>
      <c r="M3021" s="381"/>
      <c r="N3021" s="342"/>
      <c r="R3021" s="341"/>
      <c r="S3021" s="341"/>
    </row>
    <row r="3022" spans="1:19" ht="12.75" customHeight="1">
      <c r="A3022" s="409" t="s">
        <v>47</v>
      </c>
      <c r="B3022" s="410" t="s">
        <v>236</v>
      </c>
      <c r="C3022" s="411" t="s">
        <v>231</v>
      </c>
      <c r="D3022" s="412" t="s">
        <v>232</v>
      </c>
      <c r="E3022" s="413" t="s">
        <v>233</v>
      </c>
      <c r="F3022" s="378" t="s">
        <v>234</v>
      </c>
      <c r="J3022" s="341"/>
      <c r="L3022" s="380"/>
      <c r="M3022" s="381"/>
      <c r="N3022" s="342"/>
      <c r="R3022" s="341"/>
      <c r="S3022" s="341"/>
    </row>
    <row r="3023" spans="1:19" ht="12.75" customHeight="1">
      <c r="A3023" s="393" t="str">
        <f>VII.A!$A$181</f>
        <v>3.1</v>
      </c>
      <c r="B3023" s="394" t="s">
        <v>142</v>
      </c>
      <c r="C3023" s="20">
        <v>0.37</v>
      </c>
      <c r="D3023" s="384" t="str">
        <f>VLOOKUP(A3023,VII.A!$A$10:$G$199,3,FALSE)</f>
        <v>H</v>
      </c>
      <c r="E3023" s="387">
        <f>VII.A!$D$181</f>
        <v>0</v>
      </c>
      <c r="F3023" s="388">
        <f t="shared" ref="F3023:F3029" si="791">ROUND(C3023*E3023,2)</f>
        <v>0</v>
      </c>
      <c r="H3023" s="341">
        <f>IF(A3023="","",VLOOKUP(A3023,VII.A!$A$10:$D$199,4,FALSE))</f>
        <v>0</v>
      </c>
      <c r="I3023" s="341" t="str">
        <f t="shared" ref="I3023:I3029" si="792">IF(A3023="","",IF(E3023=H3023,"SIM","NÃO"))</f>
        <v>SIM</v>
      </c>
      <c r="J3023" s="341" t="str">
        <f>IF(A3023="","",VLOOKUP(A3023,VII.A!$A$10:$D$199,3,FALSE))</f>
        <v>H</v>
      </c>
      <c r="K3023" s="342" t="str">
        <f t="shared" ref="K3023:K3029" si="793">IF(A3023="","",IF(J3023=D3023,"SIM","NÃO"))</f>
        <v>SIM</v>
      </c>
      <c r="L3023" s="380">
        <f>IF(C3023="","",G2987*C3023)</f>
        <v>74</v>
      </c>
      <c r="M3023" s="381" t="str">
        <f>IF(A3023="","",VLOOKUP(A3023,VII.A!$A$10:$B$199,2,FALSE))</f>
        <v>AJUDANTE COM ENCARGOS COMPLEMENTARES</v>
      </c>
      <c r="N3023" s="342" t="str">
        <f t="shared" ref="N3023:N3029" si="794">IF(B3023="","",IF(M3023=B3023,"si","no"))</f>
        <v>si</v>
      </c>
      <c r="R3023" s="341"/>
      <c r="S3023" s="341"/>
    </row>
    <row r="3024" spans="1:19" ht="12.75" customHeight="1">
      <c r="A3024" s="393" t="str">
        <f>VII.A!$A$185</f>
        <v>3.5</v>
      </c>
      <c r="B3024" s="394" t="s">
        <v>146</v>
      </c>
      <c r="C3024" s="20">
        <v>0.7</v>
      </c>
      <c r="D3024" s="384" t="str">
        <f>VLOOKUP(A3024,VII.A!$A$10:$G$199,3,FALSE)</f>
        <v>H</v>
      </c>
      <c r="E3024" s="387">
        <f>VII.A!$D$185</f>
        <v>0</v>
      </c>
      <c r="F3024" s="388">
        <f t="shared" si="791"/>
        <v>0</v>
      </c>
      <c r="H3024" s="341">
        <f>IF(A3024="","",VLOOKUP(A3024,VII.A!$A$10:$D$199,4,FALSE))</f>
        <v>0</v>
      </c>
      <c r="I3024" s="341" t="str">
        <f t="shared" si="792"/>
        <v>SIM</v>
      </c>
      <c r="J3024" s="341" t="str">
        <f>IF(A3024="","",VLOOKUP(A3024,VII.A!$A$10:$D$199,3,FALSE))</f>
        <v>H</v>
      </c>
      <c r="K3024" s="342" t="str">
        <f t="shared" si="793"/>
        <v>SIM</v>
      </c>
      <c r="L3024" s="380">
        <f>IF(C3024="","",G2987*C3024)</f>
        <v>140</v>
      </c>
      <c r="M3024" s="381" t="str">
        <f>IF(A3024="","",VLOOKUP(A3024,VII.A!$A$10:$B$199,2,FALSE))</f>
        <v>AZULEJISTA COM ENCARGOS COMPLEMENTARES</v>
      </c>
      <c r="N3024" s="342" t="str">
        <f t="shared" si="794"/>
        <v>si</v>
      </c>
      <c r="R3024" s="341"/>
      <c r="S3024" s="341"/>
    </row>
    <row r="3025" spans="1:25" ht="12.75" customHeight="1">
      <c r="A3025" s="393"/>
      <c r="C3025" s="20"/>
      <c r="E3025" s="387"/>
      <c r="F3025" s="388">
        <f t="shared" si="791"/>
        <v>0</v>
      </c>
      <c r="H3025" s="341" t="str">
        <f>IF(A3025="","",VLOOKUP(A3025,VII.A!$A$10:$D$199,4,FALSE))</f>
        <v/>
      </c>
      <c r="I3025" s="341" t="str">
        <f t="shared" si="792"/>
        <v/>
      </c>
      <c r="J3025" s="341" t="str">
        <f>IF(A3025="","",VLOOKUP(A3025,VII.A!$A$10:$D$199,3,FALSE))</f>
        <v/>
      </c>
      <c r="K3025" s="342" t="str">
        <f t="shared" si="793"/>
        <v/>
      </c>
      <c r="L3025" s="380" t="str">
        <f>IF(C3025="","",G2987*C3025)</f>
        <v/>
      </c>
      <c r="M3025" s="381" t="str">
        <f>IF(A3025="","",VLOOKUP(A3025,VII.A!$A$10:$B$199,2,FALSE))</f>
        <v/>
      </c>
      <c r="N3025" s="342" t="str">
        <f t="shared" si="794"/>
        <v/>
      </c>
      <c r="R3025" s="341"/>
      <c r="S3025" s="341"/>
    </row>
    <row r="3026" spans="1:25" ht="12.75" customHeight="1">
      <c r="A3026" s="393"/>
      <c r="C3026" s="20"/>
      <c r="E3026" s="387"/>
      <c r="F3026" s="388">
        <f t="shared" si="791"/>
        <v>0</v>
      </c>
      <c r="H3026" s="341" t="str">
        <f>IF(A3026="","",VLOOKUP(A3026,VII.A!$A$10:$D$199,4,FALSE))</f>
        <v/>
      </c>
      <c r="I3026" s="341" t="str">
        <f t="shared" si="792"/>
        <v/>
      </c>
      <c r="J3026" s="341" t="str">
        <f>IF(A3026="","",VLOOKUP(A3026,VII.A!$A$10:$D$199,3,FALSE))</f>
        <v/>
      </c>
      <c r="K3026" s="342" t="str">
        <f t="shared" si="793"/>
        <v/>
      </c>
      <c r="L3026" s="380" t="str">
        <f>IF(C3026="","",G2987*C3026)</f>
        <v/>
      </c>
      <c r="M3026" s="381" t="str">
        <f>IF(A3026="","",VLOOKUP(A3026,VII.A!$A$10:$B$199,2,FALSE))</f>
        <v/>
      </c>
      <c r="N3026" s="342" t="str">
        <f t="shared" si="794"/>
        <v/>
      </c>
      <c r="R3026" s="341"/>
      <c r="S3026" s="341"/>
    </row>
    <row r="3027" spans="1:25" ht="12.75" customHeight="1">
      <c r="A3027" s="393"/>
      <c r="C3027" s="20"/>
      <c r="E3027" s="387"/>
      <c r="F3027" s="388">
        <f t="shared" si="791"/>
        <v>0</v>
      </c>
      <c r="H3027" s="341" t="str">
        <f>IF(A3027="","",VLOOKUP(A3027,VII.A!$A$10:$D$199,4,FALSE))</f>
        <v/>
      </c>
      <c r="I3027" s="341" t="str">
        <f t="shared" si="792"/>
        <v/>
      </c>
      <c r="J3027" s="341" t="str">
        <f>IF(A3027="","",VLOOKUP(A3027,VII.A!$A$10:$D$199,3,FALSE))</f>
        <v/>
      </c>
      <c r="K3027" s="342" t="str">
        <f t="shared" si="793"/>
        <v/>
      </c>
      <c r="L3027" s="380" t="str">
        <f>IF(C3027="","",G2987*C3027)</f>
        <v/>
      </c>
      <c r="M3027" s="381" t="str">
        <f>IF(A3027="","",VLOOKUP(A3027,VII.A!$A$10:$B$199,2,FALSE))</f>
        <v/>
      </c>
      <c r="N3027" s="342" t="str">
        <f t="shared" si="794"/>
        <v/>
      </c>
      <c r="R3027" s="341"/>
      <c r="S3027" s="341"/>
    </row>
    <row r="3028" spans="1:25" ht="12.75" customHeight="1">
      <c r="A3028" s="393"/>
      <c r="C3028" s="20"/>
      <c r="E3028" s="387"/>
      <c r="F3028" s="388">
        <f t="shared" si="791"/>
        <v>0</v>
      </c>
      <c r="H3028" s="341" t="str">
        <f>IF(A3028="","",VLOOKUP(A3028,VII.A!$A$10:$D$199,4,FALSE))</f>
        <v/>
      </c>
      <c r="I3028" s="341" t="str">
        <f t="shared" si="792"/>
        <v/>
      </c>
      <c r="J3028" s="341" t="str">
        <f>IF(A3028="","",VLOOKUP(A3028,VII.A!$A$10:$D$199,3,FALSE))</f>
        <v/>
      </c>
      <c r="K3028" s="342" t="str">
        <f t="shared" si="793"/>
        <v/>
      </c>
      <c r="L3028" s="380" t="str">
        <f>IF(C3028="","",G2987*C3028)</f>
        <v/>
      </c>
      <c r="M3028" s="381" t="str">
        <f>IF(A3028="","",VLOOKUP(A3028,VII.A!$A$10:$B$199,2,FALSE))</f>
        <v/>
      </c>
      <c r="N3028" s="342" t="str">
        <f t="shared" si="794"/>
        <v/>
      </c>
      <c r="R3028" s="341"/>
      <c r="S3028" s="341"/>
    </row>
    <row r="3029" spans="1:25" ht="12.75" customHeight="1">
      <c r="A3029" s="393"/>
      <c r="C3029" s="20"/>
      <c r="E3029" s="387"/>
      <c r="F3029" s="388">
        <f t="shared" si="791"/>
        <v>0</v>
      </c>
      <c r="H3029" s="341" t="str">
        <f>IF(A3029="","",VLOOKUP(A3029,VII.A!$A$10:$D$199,4,FALSE))</f>
        <v/>
      </c>
      <c r="I3029" s="341" t="str">
        <f t="shared" si="792"/>
        <v/>
      </c>
      <c r="J3029" s="341" t="str">
        <f>IF(A3029="","",VLOOKUP(A3029,VII.A!$A$10:$D$199,3,FALSE))</f>
        <v/>
      </c>
      <c r="K3029" s="342" t="str">
        <f t="shared" si="793"/>
        <v/>
      </c>
      <c r="L3029" s="380" t="str">
        <f>IF(C3029="","",G2987*C3029)</f>
        <v/>
      </c>
      <c r="M3029" s="381" t="str">
        <f>IF(A3029="","",VLOOKUP(A3029,VII.A!$A$10:$B$199,2,FALSE))</f>
        <v/>
      </c>
      <c r="N3029" s="342" t="str">
        <f t="shared" si="794"/>
        <v/>
      </c>
      <c r="R3029" s="341"/>
      <c r="S3029" s="341"/>
    </row>
    <row r="3030" spans="1:25" ht="12.75" customHeight="1">
      <c r="A3030" s="393"/>
      <c r="B3030" s="395" t="s">
        <v>226</v>
      </c>
      <c r="C3030" s="396"/>
      <c r="D3030" s="397"/>
      <c r="E3030" s="398"/>
      <c r="F3030" s="399">
        <f>SUM(F3023:F3029)</f>
        <v>0</v>
      </c>
      <c r="J3030" s="341"/>
      <c r="L3030" s="380"/>
      <c r="M3030" s="381"/>
      <c r="N3030" s="342"/>
      <c r="R3030" s="341"/>
      <c r="S3030" s="341"/>
    </row>
    <row r="3031" spans="1:25" ht="12.75" customHeight="1">
      <c r="A3031" s="393"/>
      <c r="B3031" s="400" t="s">
        <v>229</v>
      </c>
      <c r="C3031" s="2">
        <f>IX.A!$C$45</f>
        <v>0</v>
      </c>
      <c r="D3031" s="401"/>
      <c r="E3031" s="402"/>
      <c r="F3031" s="403">
        <f>ROUND(F3030*C3031,2)</f>
        <v>0</v>
      </c>
      <c r="J3031" s="341"/>
      <c r="L3031" s="380"/>
      <c r="M3031" s="381"/>
      <c r="N3031" s="342"/>
      <c r="R3031" s="341"/>
      <c r="S3031" s="341"/>
    </row>
    <row r="3032" spans="1:25" ht="12.75" customHeight="1">
      <c r="A3032" s="393"/>
      <c r="B3032" s="400" t="s">
        <v>53</v>
      </c>
      <c r="C3032" s="2">
        <f>$D$8</f>
        <v>0</v>
      </c>
      <c r="D3032" s="401"/>
      <c r="E3032" s="402"/>
      <c r="F3032" s="403">
        <f>ROUND(SUM(F3030:F3031)*C3032,2)</f>
        <v>0</v>
      </c>
      <c r="J3032" s="341"/>
      <c r="L3032" s="380"/>
      <c r="M3032" s="381"/>
      <c r="N3032" s="342"/>
      <c r="R3032" s="341"/>
      <c r="S3032" s="341"/>
    </row>
    <row r="3033" spans="1:25" ht="12.75" customHeight="1" thickBot="1">
      <c r="A3033" s="414"/>
      <c r="B3033" s="415" t="s">
        <v>230</v>
      </c>
      <c r="C3033" s="416"/>
      <c r="D3033" s="416"/>
      <c r="E3033" s="417"/>
      <c r="F3033" s="418">
        <f>SUM(F3030:F3032)</f>
        <v>0</v>
      </c>
      <c r="J3033" s="341"/>
      <c r="L3033" s="380"/>
      <c r="M3033" s="381"/>
      <c r="N3033" s="342"/>
      <c r="R3033" s="341"/>
      <c r="S3033" s="341"/>
    </row>
    <row r="3034" spans="1:25" ht="12.75" customHeight="1" thickBot="1">
      <c r="A3034" s="357"/>
      <c r="B3034" s="358"/>
      <c r="C3034" s="359"/>
      <c r="D3034" s="359"/>
      <c r="E3034" s="360"/>
      <c r="F3034" s="419"/>
      <c r="J3034" s="341"/>
      <c r="L3034" s="380"/>
      <c r="M3034" s="381"/>
      <c r="N3034" s="342"/>
      <c r="R3034" s="341"/>
      <c r="S3034" s="341"/>
    </row>
    <row r="3035" spans="1:25" ht="30" customHeight="1">
      <c r="A3035" s="370" t="str">
        <f>IV.A!$A$97</f>
        <v>3.9.2</v>
      </c>
      <c r="B3035" s="371" t="str">
        <f>IV.A!$B$97</f>
        <v xml:space="preserve">CONTRAPISO EM ARGAMASSA, ADERIDO, TRAÇO 1:4, E=3 CM, COM ADITIVO ADESIVO </v>
      </c>
      <c r="C3035" s="871" t="s">
        <v>237</v>
      </c>
      <c r="D3035" s="872"/>
      <c r="E3035" s="372" t="str">
        <f>IV.A!C97</f>
        <v>M2</v>
      </c>
      <c r="F3035" s="11">
        <f>ROUND(F3055+F3069+F3081,2)</f>
        <v>0</v>
      </c>
      <c r="G3035" s="1">
        <f>VLOOKUP(A3035,IV.A!$A$16:$L$172,4,FALSE)</f>
        <v>100</v>
      </c>
      <c r="H3035" s="361">
        <f>SUM(F3037:F3052)+F3054</f>
        <v>0</v>
      </c>
      <c r="I3035" s="361">
        <f>SUM(F3057:F3066)+F3068</f>
        <v>0</v>
      </c>
      <c r="J3035" s="361">
        <f>SUM(F3071:F3077)+F3079+F3080</f>
        <v>0</v>
      </c>
      <c r="K3035" s="361">
        <f>SUM(H3035:J3035)</f>
        <v>0</v>
      </c>
      <c r="L3035" s="362" t="str">
        <f>IF(K3035=F3035,"SIM","NÃO")</f>
        <v>SIM</v>
      </c>
      <c r="M3035" s="373">
        <f>ROUND(SUM(F3037:F3052),2)+ROUND(SUM(F3037:F3052)*C3054,2)+ROUND(SUM(F3057:F3066)*C3068,2)+ROUND(SUM(F3057:F3066),2)+ROUND(SUM(F3071:F3077)*C3079,2)+ROUND((SUM(F3071:F3077)+ROUND(SUM(F3071:F3077)*C3079,2))*C3080,2)+ROUND(SUM(F3071:F3077),2)</f>
        <v>0</v>
      </c>
      <c r="N3035" s="343" t="str">
        <f>IF(M3035=F3035,"SIM","NÃO")</f>
        <v>SIM</v>
      </c>
      <c r="O3035" s="364" t="str">
        <f>VLOOKUP(A3035,IV.A!$A$16:$E$172,3,FALSE)</f>
        <v>M2</v>
      </c>
      <c r="P3035" s="344" t="str">
        <f>IF(O3035=E3035,"SIM","NÃO")</f>
        <v>SIM</v>
      </c>
      <c r="Q3035" s="365">
        <f>ROUND(G3035*F3055,2)+ROUND(G3035*F3069,2)+ROUND(G3035*F3081,2)</f>
        <v>0</v>
      </c>
      <c r="R3035" s="364">
        <f>VLOOKUP(A3035,IV.A!$A$16:$L$172,12,FALSE)</f>
        <v>0</v>
      </c>
      <c r="S3035" s="366" t="str">
        <f>IF(Q3035=R3035,"si","no")</f>
        <v>si</v>
      </c>
      <c r="T3035" s="367">
        <f>SUM(L3037:L3052)+SUM(L3057:L3066)+SUM(L3071:L3077)</f>
        <v>2098.8780000000002</v>
      </c>
      <c r="U3035" s="341">
        <f>(SUM(C3037:C3052)+SUM(C3057:C3066)+SUM(C3071:C3077))*G3035</f>
        <v>2098.8780000000002</v>
      </c>
      <c r="V3035" s="368" t="str">
        <f>IF(T3035=U3035,"si","no")</f>
        <v>si</v>
      </c>
      <c r="W3035" s="369">
        <f>SUM(F3037:F3052)</f>
        <v>0</v>
      </c>
      <c r="X3035" s="369">
        <f>SUM(F3057:F3066)</f>
        <v>0</v>
      </c>
      <c r="Y3035" s="369">
        <f>SUM(F3071:F3077)</f>
        <v>0</v>
      </c>
    </row>
    <row r="3036" spans="1:25" ht="12.75" customHeight="1">
      <c r="A3036" s="374" t="s">
        <v>14</v>
      </c>
      <c r="B3036" s="375" t="s">
        <v>132</v>
      </c>
      <c r="C3036" s="376" t="s">
        <v>231</v>
      </c>
      <c r="D3036" s="376" t="s">
        <v>232</v>
      </c>
      <c r="E3036" s="377" t="s">
        <v>233</v>
      </c>
      <c r="F3036" s="378" t="s">
        <v>234</v>
      </c>
      <c r="G3036" s="379"/>
      <c r="J3036" s="341"/>
      <c r="L3036" s="380"/>
      <c r="M3036" s="381"/>
      <c r="N3036" s="342"/>
      <c r="O3036" s="382"/>
      <c r="P3036" s="383"/>
      <c r="Q3036" s="383"/>
      <c r="R3036" s="383"/>
      <c r="S3036" s="383"/>
      <c r="T3036" s="382"/>
      <c r="U3036" s="341"/>
      <c r="V3036" s="384"/>
      <c r="W3036" s="384"/>
      <c r="X3036" s="384"/>
      <c r="Y3036" s="384"/>
    </row>
    <row r="3037" spans="1:25" ht="12.75" customHeight="1">
      <c r="A3037" s="385" t="str">
        <f>VII.A!$A$19</f>
        <v>1.10</v>
      </c>
      <c r="B3037" s="386" t="str">
        <f>VLOOKUP(A3037,VII.A!$A$10:$G$199,2,FALSE)</f>
        <v>AREIA MÉDIA LAVADA</v>
      </c>
      <c r="C3037" s="20">
        <f>0.0431*1.54</f>
        <v>6.6374000000000002E-2</v>
      </c>
      <c r="D3037" s="342" t="str">
        <f>VLOOKUP(A3037,VII.A!$A$10:$G$199,3,FALSE)</f>
        <v>M3</v>
      </c>
      <c r="E3037" s="387">
        <f>VII.A!D19</f>
        <v>0</v>
      </c>
      <c r="F3037" s="388">
        <f>ROUND(C3037*E3037,2)</f>
        <v>0</v>
      </c>
      <c r="H3037" s="341">
        <f>IF(A3037="","",VLOOKUP(A3037,VII.A!$A$10:$D$199,4,FALSE))</f>
        <v>0</v>
      </c>
      <c r="I3037" s="341" t="str">
        <f t="shared" ref="I3037:I3052" si="795">IF(A3037="","",IF(E3037=H3037,"SIM","NÃO"))</f>
        <v>SIM</v>
      </c>
      <c r="J3037" s="341" t="str">
        <f>IF(A3037="","",VLOOKUP(A3037,VII.A!$A$10:$D$199,3,FALSE))</f>
        <v>M3</v>
      </c>
      <c r="K3037" s="342" t="str">
        <f t="shared" ref="K3037:K3052" si="796">IF(A3037="","",IF(J3037=D3037,"SIM","NÃO"))</f>
        <v>SIM</v>
      </c>
      <c r="L3037" s="380">
        <f>IF(C3037="","",G3035*C3037)</f>
        <v>6.6374000000000004</v>
      </c>
      <c r="M3037" s="381" t="str">
        <f>IF(A3037="","",VLOOKUP(A3037,VII.A!$A$10:$B$199,2,FALSE))</f>
        <v>AREIA MÉDIA LAVADA</v>
      </c>
      <c r="N3037" s="342" t="str">
        <f t="shared" ref="N3037:N3052" si="797">IF(B3037="","",IF(M3037=B3037,"si","no"))</f>
        <v>si</v>
      </c>
      <c r="R3037" s="341"/>
      <c r="S3037" s="341"/>
    </row>
    <row r="3038" spans="1:25" ht="12.75" customHeight="1">
      <c r="A3038" s="385" t="str">
        <f>VII.A!$A$38</f>
        <v>1.29</v>
      </c>
      <c r="B3038" s="386" t="str">
        <f>VLOOKUP(A3038,VII.A!$A$10:$G$199,2,FALSE)</f>
        <v>CIMENTO PORTLAND CP II-E-32</v>
      </c>
      <c r="C3038" s="20">
        <f>0.5+(0.0431*442.22)</f>
        <v>19.559682000000002</v>
      </c>
      <c r="D3038" s="342" t="str">
        <f>VLOOKUP(A3038,VII.A!$A$10:$G$199,3,FALSE)</f>
        <v>KG</v>
      </c>
      <c r="E3038" s="387">
        <f>VII.A!D38</f>
        <v>0</v>
      </c>
      <c r="F3038" s="388">
        <f t="shared" ref="F3038:F3052" si="798">ROUND(C3038*E3038,2)</f>
        <v>0</v>
      </c>
      <c r="H3038" s="341">
        <f>IF(A3038="","",VLOOKUP(A3038,VII.A!$A$10:$D$199,4,FALSE))</f>
        <v>0</v>
      </c>
      <c r="I3038" s="341" t="str">
        <f t="shared" si="795"/>
        <v>SIM</v>
      </c>
      <c r="J3038" s="341" t="str">
        <f>IF(A3038="","",VLOOKUP(A3038,VII.A!$A$10:$D$199,3,FALSE))</f>
        <v>KG</v>
      </c>
      <c r="K3038" s="342" t="str">
        <f t="shared" si="796"/>
        <v>SIM</v>
      </c>
      <c r="L3038" s="380">
        <f>IF(C3038="","",G3035*C3038)</f>
        <v>1955.9682000000003</v>
      </c>
      <c r="M3038" s="381" t="str">
        <f>IF(A3038="","",VLOOKUP(A3038,VII.A!$A$10:$B$199,2,FALSE))</f>
        <v>CIMENTO PORTLAND CP II-E-32</v>
      </c>
      <c r="N3038" s="342" t="str">
        <f t="shared" si="797"/>
        <v>si</v>
      </c>
      <c r="R3038" s="341"/>
      <c r="S3038" s="341"/>
    </row>
    <row r="3039" spans="1:25" ht="12.75" customHeight="1">
      <c r="A3039" s="385" t="str">
        <f>VII.A!$A$13</f>
        <v>1.4</v>
      </c>
      <c r="B3039" s="386" t="str">
        <f>VLOOKUP(A3039,VII.A!$A$10:$G$199,2,FALSE)</f>
        <v>ADITIVO ADESIVO LIQUIDO PARA ARGAMASSAS DE REVESTIMENTOS CIMENTICIOS</v>
      </c>
      <c r="C3039" s="20">
        <v>0.435</v>
      </c>
      <c r="D3039" s="342" t="str">
        <f>VLOOKUP(A3039,VII.A!$A$10:$G$199,3,FALSE)</f>
        <v>L</v>
      </c>
      <c r="E3039" s="387">
        <f>VII.A!$D$13</f>
        <v>0</v>
      </c>
      <c r="F3039" s="388">
        <f t="shared" si="798"/>
        <v>0</v>
      </c>
      <c r="H3039" s="341">
        <f>IF(A3039="","",VLOOKUP(A3039,VII.A!$A$10:$D$199,4,FALSE))</f>
        <v>0</v>
      </c>
      <c r="I3039" s="341" t="str">
        <f t="shared" si="795"/>
        <v>SIM</v>
      </c>
      <c r="J3039" s="341" t="str">
        <f>IF(A3039="","",VLOOKUP(A3039,VII.A!$A$10:$D$199,3,FALSE))</f>
        <v>L</v>
      </c>
      <c r="K3039" s="342" t="str">
        <f t="shared" si="796"/>
        <v>SIM</v>
      </c>
      <c r="L3039" s="380">
        <f>IF(C3039="","",G3035*C3039)</f>
        <v>43.5</v>
      </c>
      <c r="M3039" s="381" t="str">
        <f>IF(A3039="","",VLOOKUP(A3039,VII.A!$A$10:$B$199,2,FALSE))</f>
        <v>ADITIVO ADESIVO LIQUIDO PARA ARGAMASSAS DE REVESTIMENTOS CIMENTICIOS</v>
      </c>
      <c r="N3039" s="342" t="str">
        <f t="shared" si="797"/>
        <v>si</v>
      </c>
      <c r="R3039" s="341"/>
      <c r="S3039" s="341"/>
    </row>
    <row r="3040" spans="1:25" ht="12.75" customHeight="1">
      <c r="A3040" s="385"/>
      <c r="B3040" s="449"/>
      <c r="C3040" s="20"/>
      <c r="D3040" s="342"/>
      <c r="E3040" s="387"/>
      <c r="F3040" s="388">
        <f t="shared" si="798"/>
        <v>0</v>
      </c>
      <c r="H3040" s="341" t="str">
        <f>IF(A3040="","",VLOOKUP(A3040,VII.A!$A$10:$D$199,4,FALSE))</f>
        <v/>
      </c>
      <c r="I3040" s="341" t="str">
        <f t="shared" si="795"/>
        <v/>
      </c>
      <c r="J3040" s="341" t="str">
        <f>IF(A3040="","",VLOOKUP(A3040,VII.A!$A$10:$D$199,3,FALSE))</f>
        <v/>
      </c>
      <c r="K3040" s="342" t="str">
        <f t="shared" si="796"/>
        <v/>
      </c>
      <c r="L3040" s="380" t="str">
        <f>IF(C3040="","",G3035*C3040)</f>
        <v/>
      </c>
      <c r="M3040" s="381" t="str">
        <f>IF(A3040="","",VLOOKUP(A3040,VII.A!$A$10:$B$199,2,FALSE))</f>
        <v/>
      </c>
      <c r="N3040" s="342" t="str">
        <f t="shared" si="797"/>
        <v/>
      </c>
      <c r="R3040" s="341"/>
      <c r="S3040" s="341"/>
    </row>
    <row r="3041" spans="1:21" ht="12.75" customHeight="1">
      <c r="A3041" s="385"/>
      <c r="B3041" s="449"/>
      <c r="C3041" s="20"/>
      <c r="D3041" s="342"/>
      <c r="E3041" s="387"/>
      <c r="F3041" s="388">
        <f t="shared" si="798"/>
        <v>0</v>
      </c>
      <c r="H3041" s="341" t="str">
        <f>IF(A3041="","",VLOOKUP(A3041,VII.A!$A$10:$D$199,4,FALSE))</f>
        <v/>
      </c>
      <c r="I3041" s="341" t="str">
        <f t="shared" si="795"/>
        <v/>
      </c>
      <c r="J3041" s="341" t="str">
        <f>IF(A3041="","",VLOOKUP(A3041,VII.A!$A$10:$D$199,3,FALSE))</f>
        <v/>
      </c>
      <c r="K3041" s="342" t="str">
        <f t="shared" si="796"/>
        <v/>
      </c>
      <c r="L3041" s="380" t="str">
        <f>IF(C3041="","",G3035*C3041)</f>
        <v/>
      </c>
      <c r="M3041" s="381" t="str">
        <f>IF(A3041="","",VLOOKUP(A3041,VII.A!$A$10:$B$199,2,FALSE))</f>
        <v/>
      </c>
      <c r="N3041" s="342" t="str">
        <f t="shared" si="797"/>
        <v/>
      </c>
      <c r="R3041" s="341"/>
      <c r="S3041" s="341"/>
    </row>
    <row r="3042" spans="1:21" ht="12.75" customHeight="1">
      <c r="A3042" s="385"/>
      <c r="B3042" s="386"/>
      <c r="C3042" s="20"/>
      <c r="D3042" s="342"/>
      <c r="E3042" s="387"/>
      <c r="F3042" s="388">
        <f t="shared" si="798"/>
        <v>0</v>
      </c>
      <c r="H3042" s="341" t="str">
        <f>IF(A3042="","",VLOOKUP(A3042,VII.A!$A$10:$D$199,4,FALSE))</f>
        <v/>
      </c>
      <c r="I3042" s="341" t="str">
        <f t="shared" si="795"/>
        <v/>
      </c>
      <c r="J3042" s="341" t="str">
        <f>IF(A3042="","",VLOOKUP(A3042,VII.A!$A$10:$D$199,3,FALSE))</f>
        <v/>
      </c>
      <c r="K3042" s="342" t="str">
        <f t="shared" si="796"/>
        <v/>
      </c>
      <c r="L3042" s="380" t="str">
        <f>IF(C3042="","",G3035*C3042)</f>
        <v/>
      </c>
      <c r="M3042" s="381" t="str">
        <f>IF(A3042="","",VLOOKUP(A3042,VII.A!$A$10:$B$199,2,FALSE))</f>
        <v/>
      </c>
      <c r="N3042" s="342" t="str">
        <f t="shared" si="797"/>
        <v/>
      </c>
      <c r="R3042" s="341"/>
      <c r="S3042" s="341"/>
      <c r="U3042" s="389"/>
    </row>
    <row r="3043" spans="1:21" ht="12.75" customHeight="1">
      <c r="A3043" s="385"/>
      <c r="B3043" s="386"/>
      <c r="C3043" s="20"/>
      <c r="D3043" s="342"/>
      <c r="E3043" s="387"/>
      <c r="F3043" s="388">
        <f t="shared" si="798"/>
        <v>0</v>
      </c>
      <c r="H3043" s="341" t="str">
        <f>IF(A3043="","",VLOOKUP(A3043,VII.A!$A$10:$D$199,4,FALSE))</f>
        <v/>
      </c>
      <c r="I3043" s="341" t="str">
        <f t="shared" si="795"/>
        <v/>
      </c>
      <c r="J3043" s="341" t="str">
        <f>IF(A3043="","",VLOOKUP(A3043,VII.A!$A$10:$D$199,3,FALSE))</f>
        <v/>
      </c>
      <c r="K3043" s="342" t="str">
        <f t="shared" si="796"/>
        <v/>
      </c>
      <c r="L3043" s="380" t="str">
        <f>IF(C3043="","",G3035*C3043)</f>
        <v/>
      </c>
      <c r="M3043" s="381" t="str">
        <f>IF(A3043="","",VLOOKUP(A3043,VII.A!$A$10:$B$199,2,FALSE))</f>
        <v/>
      </c>
      <c r="N3043" s="342" t="str">
        <f t="shared" si="797"/>
        <v/>
      </c>
      <c r="R3043" s="341"/>
      <c r="S3043" s="341"/>
    </row>
    <row r="3044" spans="1:21" ht="12.75" customHeight="1">
      <c r="A3044" s="385"/>
      <c r="B3044" s="386"/>
      <c r="C3044" s="20"/>
      <c r="D3044" s="342"/>
      <c r="E3044" s="387"/>
      <c r="F3044" s="388">
        <f t="shared" si="798"/>
        <v>0</v>
      </c>
      <c r="G3044" s="390"/>
      <c r="H3044" s="341" t="str">
        <f>IF(A3044="","",VLOOKUP(A3044,VII.A!$A$10:$D$199,4,FALSE))</f>
        <v/>
      </c>
      <c r="I3044" s="341" t="str">
        <f t="shared" si="795"/>
        <v/>
      </c>
      <c r="J3044" s="341" t="str">
        <f>IF(A3044="","",VLOOKUP(A3044,VII.A!$A$10:$D$199,3,FALSE))</f>
        <v/>
      </c>
      <c r="K3044" s="342" t="str">
        <f t="shared" si="796"/>
        <v/>
      </c>
      <c r="L3044" s="380" t="str">
        <f>IF(C3044="","",G3035*C3044)</f>
        <v/>
      </c>
      <c r="M3044" s="381" t="str">
        <f>IF(A3044="","",VLOOKUP(A3044,VII.A!$A$10:$B$199,2,FALSE))</f>
        <v/>
      </c>
      <c r="N3044" s="342" t="str">
        <f t="shared" si="797"/>
        <v/>
      </c>
      <c r="R3044" s="341"/>
      <c r="S3044" s="341"/>
    </row>
    <row r="3045" spans="1:21" ht="12.75" customHeight="1">
      <c r="A3045" s="385"/>
      <c r="B3045" s="386"/>
      <c r="C3045" s="20"/>
      <c r="D3045" s="342"/>
      <c r="E3045" s="387"/>
      <c r="F3045" s="388">
        <f t="shared" si="798"/>
        <v>0</v>
      </c>
      <c r="G3045" s="390"/>
      <c r="H3045" s="341" t="str">
        <f>IF(A3045="","",VLOOKUP(A3045,VII.A!$A$10:$D$199,4,FALSE))</f>
        <v/>
      </c>
      <c r="I3045" s="341" t="str">
        <f t="shared" si="795"/>
        <v/>
      </c>
      <c r="J3045" s="341" t="str">
        <f>IF(A3045="","",VLOOKUP(A3045,VII.A!$A$10:$D$199,3,FALSE))</f>
        <v/>
      </c>
      <c r="K3045" s="342" t="str">
        <f t="shared" si="796"/>
        <v/>
      </c>
      <c r="L3045" s="380" t="str">
        <f>IF(C3045="","",G3035*C3045)</f>
        <v/>
      </c>
      <c r="M3045" s="381" t="str">
        <f>IF(A3045="","",VLOOKUP(A3045,VII.A!$A$10:$B$199,2,FALSE))</f>
        <v/>
      </c>
      <c r="N3045" s="342" t="str">
        <f t="shared" si="797"/>
        <v/>
      </c>
      <c r="R3045" s="341"/>
      <c r="S3045" s="341"/>
    </row>
    <row r="3046" spans="1:21" ht="12.75" customHeight="1">
      <c r="A3046" s="385"/>
      <c r="B3046" s="386"/>
      <c r="C3046" s="20"/>
      <c r="D3046" s="342"/>
      <c r="E3046" s="387"/>
      <c r="F3046" s="388">
        <f t="shared" si="798"/>
        <v>0</v>
      </c>
      <c r="G3046" s="391"/>
      <c r="H3046" s="341" t="str">
        <f>IF(A3046="","",VLOOKUP(A3046,VII.A!$A$10:$D$199,4,FALSE))</f>
        <v/>
      </c>
      <c r="I3046" s="341" t="str">
        <f t="shared" si="795"/>
        <v/>
      </c>
      <c r="J3046" s="341" t="str">
        <f>IF(A3046="","",VLOOKUP(A3046,VII.A!$A$10:$D$199,3,FALSE))</f>
        <v/>
      </c>
      <c r="K3046" s="342" t="str">
        <f t="shared" si="796"/>
        <v/>
      </c>
      <c r="L3046" s="380" t="str">
        <f>IF(C3046="","",G3035*C3046)</f>
        <v/>
      </c>
      <c r="M3046" s="381" t="str">
        <f>IF(A3046="","",VLOOKUP(A3046,VII.A!$A$10:$B$199,2,FALSE))</f>
        <v/>
      </c>
      <c r="N3046" s="342" t="str">
        <f t="shared" si="797"/>
        <v/>
      </c>
      <c r="R3046" s="341"/>
      <c r="S3046" s="341"/>
    </row>
    <row r="3047" spans="1:21" ht="12.75" customHeight="1">
      <c r="A3047" s="385"/>
      <c r="B3047" s="386"/>
      <c r="C3047" s="20"/>
      <c r="D3047" s="342"/>
      <c r="E3047" s="387"/>
      <c r="F3047" s="388">
        <f t="shared" si="798"/>
        <v>0</v>
      </c>
      <c r="H3047" s="341" t="str">
        <f>IF(A3047="","",VLOOKUP(A3047,VII.A!$A$10:$D$199,4,FALSE))</f>
        <v/>
      </c>
      <c r="I3047" s="341" t="str">
        <f t="shared" si="795"/>
        <v/>
      </c>
      <c r="J3047" s="341" t="str">
        <f>IF(A3047="","",VLOOKUP(A3047,VII.A!$A$10:$D$199,3,FALSE))</f>
        <v/>
      </c>
      <c r="K3047" s="342" t="str">
        <f t="shared" si="796"/>
        <v/>
      </c>
      <c r="L3047" s="380" t="str">
        <f>IF(C3047="","",G3035*C3047)</f>
        <v/>
      </c>
      <c r="M3047" s="381" t="str">
        <f>IF(A3047="","",VLOOKUP(A3047,VII.A!$A$10:$B$199,2,FALSE))</f>
        <v/>
      </c>
      <c r="N3047" s="342" t="str">
        <f t="shared" si="797"/>
        <v/>
      </c>
      <c r="R3047" s="341"/>
      <c r="S3047" s="341"/>
    </row>
    <row r="3048" spans="1:21" ht="12.75" customHeight="1">
      <c r="A3048" s="385"/>
      <c r="B3048" s="386"/>
      <c r="C3048" s="20"/>
      <c r="D3048" s="392"/>
      <c r="E3048" s="387"/>
      <c r="F3048" s="388">
        <f t="shared" si="798"/>
        <v>0</v>
      </c>
      <c r="H3048" s="341" t="str">
        <f>IF(A3048="","",VLOOKUP(A3048,VII.A!$A$10:$D$199,4,FALSE))</f>
        <v/>
      </c>
      <c r="I3048" s="341" t="str">
        <f t="shared" si="795"/>
        <v/>
      </c>
      <c r="J3048" s="341" t="str">
        <f>IF(A3048="","",VLOOKUP(A3048,VII.A!$A$10:$D$199,3,FALSE))</f>
        <v/>
      </c>
      <c r="K3048" s="342" t="str">
        <f t="shared" si="796"/>
        <v/>
      </c>
      <c r="L3048" s="380" t="str">
        <f>IF(C3048="","",G3035*C3048)</f>
        <v/>
      </c>
      <c r="M3048" s="381" t="str">
        <f>IF(A3048="","",VLOOKUP(A3048,VII.A!$A$10:$B$199,2,FALSE))</f>
        <v/>
      </c>
      <c r="N3048" s="342" t="str">
        <f t="shared" si="797"/>
        <v/>
      </c>
      <c r="R3048" s="341"/>
      <c r="S3048" s="341"/>
    </row>
    <row r="3049" spans="1:21" ht="12.75" customHeight="1">
      <c r="A3049" s="385"/>
      <c r="B3049" s="386"/>
      <c r="C3049" s="20"/>
      <c r="D3049" s="392"/>
      <c r="E3049" s="387"/>
      <c r="F3049" s="388">
        <f t="shared" si="798"/>
        <v>0</v>
      </c>
      <c r="H3049" s="341" t="str">
        <f>IF(A3049="","",VLOOKUP(A3049,VII.A!$A$10:$D$199,4,FALSE))</f>
        <v/>
      </c>
      <c r="I3049" s="341" t="str">
        <f t="shared" si="795"/>
        <v/>
      </c>
      <c r="J3049" s="341" t="str">
        <f>IF(A3049="","",VLOOKUP(A3049,VII.A!$A$10:$D$199,3,FALSE))</f>
        <v/>
      </c>
      <c r="K3049" s="342" t="str">
        <f t="shared" si="796"/>
        <v/>
      </c>
      <c r="L3049" s="380" t="str">
        <f>IF(C3049="","",G3035*C3049)</f>
        <v/>
      </c>
      <c r="M3049" s="381" t="str">
        <f>IF(A3049="","",VLOOKUP(A3049,VII.A!$A$10:$B$199,2,FALSE))</f>
        <v/>
      </c>
      <c r="N3049" s="342" t="str">
        <f t="shared" si="797"/>
        <v/>
      </c>
      <c r="O3049" s="342"/>
      <c r="R3049" s="341"/>
      <c r="S3049" s="341"/>
    </row>
    <row r="3050" spans="1:21" ht="12.75" customHeight="1">
      <c r="A3050" s="385"/>
      <c r="B3050" s="386"/>
      <c r="C3050" s="20"/>
      <c r="D3050" s="392"/>
      <c r="E3050" s="387"/>
      <c r="F3050" s="388">
        <f t="shared" si="798"/>
        <v>0</v>
      </c>
      <c r="H3050" s="341" t="str">
        <f>IF(A3050="","",VLOOKUP(A3050,VII.A!$A$10:$D$199,4,FALSE))</f>
        <v/>
      </c>
      <c r="I3050" s="341" t="str">
        <f t="shared" si="795"/>
        <v/>
      </c>
      <c r="J3050" s="341" t="str">
        <f>IF(A3050="","",VLOOKUP(A3050,VII.A!$A$10:$D$199,3,FALSE))</f>
        <v/>
      </c>
      <c r="K3050" s="342" t="str">
        <f t="shared" si="796"/>
        <v/>
      </c>
      <c r="L3050" s="380" t="str">
        <f>IF(C3050="","",G3035*C3050)</f>
        <v/>
      </c>
      <c r="M3050" s="381" t="str">
        <f>IF(A3050="","",VLOOKUP(A3050,VII.A!$A$10:$B$199,2,FALSE))</f>
        <v/>
      </c>
      <c r="N3050" s="342" t="str">
        <f t="shared" si="797"/>
        <v/>
      </c>
      <c r="R3050" s="341"/>
      <c r="S3050" s="341"/>
    </row>
    <row r="3051" spans="1:21" ht="12.75" customHeight="1">
      <c r="A3051" s="393"/>
      <c r="C3051" s="20"/>
      <c r="E3051" s="387"/>
      <c r="F3051" s="388">
        <f t="shared" si="798"/>
        <v>0</v>
      </c>
      <c r="H3051" s="341" t="str">
        <f>IF(A3051="","",VLOOKUP(A3051,VII.A!$A$10:$D$199,4,FALSE))</f>
        <v/>
      </c>
      <c r="I3051" s="341" t="str">
        <f t="shared" si="795"/>
        <v/>
      </c>
      <c r="J3051" s="341" t="str">
        <f>IF(A3051="","",VLOOKUP(A3051,VII.A!$A$10:$D$199,3,FALSE))</f>
        <v/>
      </c>
      <c r="K3051" s="342" t="str">
        <f t="shared" si="796"/>
        <v/>
      </c>
      <c r="L3051" s="380" t="str">
        <f>IF(C3051="","",G3035*C3051)</f>
        <v/>
      </c>
      <c r="M3051" s="381" t="str">
        <f>IF(A3051="","",VLOOKUP(A3051,VII.A!$A$10:$B$199,2,FALSE))</f>
        <v/>
      </c>
      <c r="N3051" s="342" t="str">
        <f t="shared" si="797"/>
        <v/>
      </c>
      <c r="R3051" s="341"/>
      <c r="S3051" s="341"/>
    </row>
    <row r="3052" spans="1:21" ht="12.75" customHeight="1">
      <c r="A3052" s="393"/>
      <c r="C3052" s="20"/>
      <c r="E3052" s="387"/>
      <c r="F3052" s="388">
        <f t="shared" si="798"/>
        <v>0</v>
      </c>
      <c r="H3052" s="341" t="str">
        <f>IF(A3052="","",VLOOKUP(A3052,VII.A!$A$10:$D$199,4,FALSE))</f>
        <v/>
      </c>
      <c r="I3052" s="341" t="str">
        <f t="shared" si="795"/>
        <v/>
      </c>
      <c r="J3052" s="341" t="str">
        <f>IF(A3052="","",VLOOKUP(A3052,VII.A!$A$10:$D$199,3,FALSE))</f>
        <v/>
      </c>
      <c r="K3052" s="342" t="str">
        <f t="shared" si="796"/>
        <v/>
      </c>
      <c r="L3052" s="380" t="str">
        <f>IF(C3052="","",G3035*C3052)</f>
        <v/>
      </c>
      <c r="M3052" s="381" t="str">
        <f>IF(A3052="","",VLOOKUP(A3052,VII.A!$A$10:$B$199,2,FALSE))</f>
        <v/>
      </c>
      <c r="N3052" s="342" t="str">
        <f t="shared" si="797"/>
        <v/>
      </c>
      <c r="R3052" s="341"/>
      <c r="S3052" s="341"/>
    </row>
    <row r="3053" spans="1:21" ht="12.75" customHeight="1">
      <c r="A3053" s="393"/>
      <c r="B3053" s="395" t="s">
        <v>226</v>
      </c>
      <c r="C3053" s="396"/>
      <c r="D3053" s="397"/>
      <c r="E3053" s="398"/>
      <c r="F3053" s="399">
        <f>SUM(F3037:F3052)</f>
        <v>0</v>
      </c>
      <c r="H3053" s="426" t="s">
        <v>495</v>
      </c>
      <c r="J3053" s="341"/>
      <c r="L3053" s="380"/>
      <c r="M3053" s="381"/>
      <c r="N3053" s="342"/>
      <c r="R3053" s="341"/>
      <c r="S3053" s="341"/>
    </row>
    <row r="3054" spans="1:21" ht="12.75" customHeight="1">
      <c r="A3054" s="393"/>
      <c r="B3054" s="400" t="s">
        <v>53</v>
      </c>
      <c r="C3054" s="2">
        <f>$D$8</f>
        <v>0</v>
      </c>
      <c r="D3054" s="401"/>
      <c r="E3054" s="402"/>
      <c r="F3054" s="403">
        <f>ROUND(F3053*C3054,2)</f>
        <v>0</v>
      </c>
      <c r="J3054" s="341"/>
      <c r="L3054" s="380"/>
      <c r="M3054" s="381"/>
      <c r="N3054" s="342"/>
      <c r="R3054" s="341"/>
      <c r="S3054" s="341"/>
    </row>
    <row r="3055" spans="1:21" ht="12.75" customHeight="1">
      <c r="A3055" s="404"/>
      <c r="B3055" s="405" t="s">
        <v>227</v>
      </c>
      <c r="C3055" s="406"/>
      <c r="D3055" s="406"/>
      <c r="E3055" s="407"/>
      <c r="F3055" s="408">
        <f>F3053+F3054</f>
        <v>0</v>
      </c>
      <c r="J3055" s="341"/>
      <c r="L3055" s="380"/>
      <c r="M3055" s="381"/>
      <c r="N3055" s="342"/>
      <c r="R3055" s="341"/>
      <c r="S3055" s="341"/>
    </row>
    <row r="3056" spans="1:21" ht="12.75" customHeight="1">
      <c r="A3056" s="374" t="s">
        <v>2</v>
      </c>
      <c r="B3056" s="375" t="s">
        <v>235</v>
      </c>
      <c r="C3056" s="376" t="s">
        <v>231</v>
      </c>
      <c r="D3056" s="376" t="s">
        <v>232</v>
      </c>
      <c r="E3056" s="377" t="s">
        <v>233</v>
      </c>
      <c r="F3056" s="378" t="s">
        <v>234</v>
      </c>
      <c r="J3056" s="341"/>
      <c r="L3056" s="380"/>
      <c r="M3056" s="381"/>
      <c r="N3056" s="342"/>
      <c r="R3056" s="341"/>
      <c r="S3056" s="341"/>
    </row>
    <row r="3057" spans="1:19" ht="12.75" customHeight="1">
      <c r="A3057" s="393" t="str">
        <f>VII.A!$A$149</f>
        <v>2.7</v>
      </c>
      <c r="B3057" s="423" t="str">
        <f>VLOOKUP(A3057,VII.A!$A$10:$G$199,2,FALSE)</f>
        <v>BETONEIRA, CAPACIDADE NOMINAL DE 400L, MOTOR ELÉTRICO TRIFÁSICO DE  2CV - CHP</v>
      </c>
      <c r="C3057" s="20">
        <f>0.0431*1.17</f>
        <v>5.0427E-2</v>
      </c>
      <c r="D3057" s="384" t="str">
        <f>VLOOKUP(A3057,VII.A!$A$10:$G$199,3,FALSE)</f>
        <v>CHP</v>
      </c>
      <c r="E3057" s="387">
        <f>VII.A!$D$149</f>
        <v>0</v>
      </c>
      <c r="F3057" s="388">
        <f t="shared" ref="F3057:F3066" si="799">ROUND(C3057*E3057,2)</f>
        <v>0</v>
      </c>
      <c r="H3057" s="341">
        <f>IF(A3057="","",VLOOKUP(A3057,VII.A!$A$10:$D$199,4,FALSE))</f>
        <v>0</v>
      </c>
      <c r="I3057" s="341" t="str">
        <f t="shared" ref="I3057:I3066" si="800">IF(A3057="","",IF(E3057=H3057,"SIM","NÃO"))</f>
        <v>SIM</v>
      </c>
      <c r="J3057" s="341" t="str">
        <f>IF(A3057="","",VLOOKUP(A3057,VII.A!$A$10:$D$199,3,FALSE))</f>
        <v>CHP</v>
      </c>
      <c r="K3057" s="342" t="str">
        <f t="shared" ref="K3057:K3066" si="801">IF(A3057="","",IF(J3057=D3057,"SIM","NÃO"))</f>
        <v>SIM</v>
      </c>
      <c r="L3057" s="380">
        <f>IF(C3057="","",G3035*C3057)</f>
        <v>5.0427</v>
      </c>
      <c r="M3057" s="381" t="str">
        <f>IF(A3057="","",VLOOKUP(A3057,VII.A!$A$10:$B$199,2,FALSE))</f>
        <v>BETONEIRA, CAPACIDADE NOMINAL DE 400L, MOTOR ELÉTRICO TRIFÁSICO DE  2CV - CHP</v>
      </c>
      <c r="N3057" s="342" t="str">
        <f t="shared" ref="N3057:N3066" si="802">IF(B3057="","",IF(M3057=B3057,"si","no"))</f>
        <v>si</v>
      </c>
      <c r="R3057" s="341"/>
      <c r="S3057" s="341"/>
    </row>
    <row r="3058" spans="1:19" ht="12.75" customHeight="1">
      <c r="A3058" s="393" t="str">
        <f>VII.A!$A$148</f>
        <v>2.6</v>
      </c>
      <c r="B3058" s="394" t="str">
        <f>VLOOKUP(A3058,VII.A!$A$10:$G$199,2,FALSE)</f>
        <v>BETONEIRA, CAPACIDADE NOMINAL DE 400L, MOTOR ELÉTRICO TRIFÁSICO DE  2CV - CHI</v>
      </c>
      <c r="C3058" s="20">
        <f>0.0431*3.85</f>
        <v>0.165935</v>
      </c>
      <c r="D3058" s="384" t="str">
        <f>VLOOKUP(A3058,VII.A!$A$10:$G$199,3,FALSE)</f>
        <v>CHI</v>
      </c>
      <c r="E3058" s="387">
        <f>VII.A!$D$148</f>
        <v>0</v>
      </c>
      <c r="F3058" s="388">
        <f t="shared" si="799"/>
        <v>0</v>
      </c>
      <c r="H3058" s="341">
        <f>IF(A3058="","",VLOOKUP(A3058,VII.A!$A$10:$D$199,4,FALSE))</f>
        <v>0</v>
      </c>
      <c r="I3058" s="341" t="str">
        <f t="shared" si="800"/>
        <v>SIM</v>
      </c>
      <c r="J3058" s="341" t="str">
        <f>IF(A3058="","",VLOOKUP(A3058,VII.A!$A$10:$D$199,3,FALSE))</f>
        <v>CHI</v>
      </c>
      <c r="K3058" s="342" t="str">
        <f t="shared" si="801"/>
        <v>SIM</v>
      </c>
      <c r="L3058" s="380">
        <f>IF(C3058="","",G3035*C3058)</f>
        <v>16.593499999999999</v>
      </c>
      <c r="M3058" s="381" t="str">
        <f>IF(A3058="","",VLOOKUP(A3058,VII.A!$A$10:$B$199,2,FALSE))</f>
        <v>BETONEIRA, CAPACIDADE NOMINAL DE 400L, MOTOR ELÉTRICO TRIFÁSICO DE  2CV - CHI</v>
      </c>
      <c r="N3058" s="342" t="str">
        <f t="shared" si="802"/>
        <v>si</v>
      </c>
      <c r="R3058" s="341"/>
      <c r="S3058" s="341"/>
    </row>
    <row r="3059" spans="1:19" ht="12.75" customHeight="1">
      <c r="A3059" s="393"/>
      <c r="C3059" s="20"/>
      <c r="E3059" s="387"/>
      <c r="F3059" s="388">
        <f t="shared" si="799"/>
        <v>0</v>
      </c>
      <c r="H3059" s="341" t="str">
        <f>IF(A3059="","",VLOOKUP(A3059,VII.A!$A$10:$D$199,4,FALSE))</f>
        <v/>
      </c>
      <c r="I3059" s="341" t="str">
        <f t="shared" si="800"/>
        <v/>
      </c>
      <c r="J3059" s="341" t="str">
        <f>IF(A3059="","",VLOOKUP(A3059,VII.A!$A$10:$D$199,3,FALSE))</f>
        <v/>
      </c>
      <c r="K3059" s="342" t="str">
        <f t="shared" si="801"/>
        <v/>
      </c>
      <c r="L3059" s="380" t="str">
        <f>IF(C3059="","",G3035*C3059)</f>
        <v/>
      </c>
      <c r="M3059" s="381" t="str">
        <f>IF(A3059="","",VLOOKUP(A3059,VII.A!$A$10:$B$199,2,FALSE))</f>
        <v/>
      </c>
      <c r="N3059" s="342" t="str">
        <f t="shared" si="802"/>
        <v/>
      </c>
      <c r="R3059" s="341"/>
      <c r="S3059" s="341"/>
    </row>
    <row r="3060" spans="1:19" ht="12.75" customHeight="1">
      <c r="A3060" s="393"/>
      <c r="C3060" s="20"/>
      <c r="E3060" s="387"/>
      <c r="F3060" s="388">
        <f t="shared" si="799"/>
        <v>0</v>
      </c>
      <c r="H3060" s="341" t="str">
        <f>IF(A3060="","",VLOOKUP(A3060,VII.A!$A$10:$D$199,4,FALSE))</f>
        <v/>
      </c>
      <c r="I3060" s="341" t="str">
        <f t="shared" si="800"/>
        <v/>
      </c>
      <c r="J3060" s="341" t="str">
        <f>IF(A3060="","",VLOOKUP(A3060,VII.A!$A$10:$D$199,3,FALSE))</f>
        <v/>
      </c>
      <c r="K3060" s="342" t="str">
        <f t="shared" si="801"/>
        <v/>
      </c>
      <c r="L3060" s="380" t="str">
        <f>IF(C3060="","",G3035*C3060)</f>
        <v/>
      </c>
      <c r="M3060" s="381" t="str">
        <f>IF(A3060="","",VLOOKUP(A3060,VII.A!$A$10:$B$199,2,FALSE))</f>
        <v/>
      </c>
      <c r="N3060" s="342" t="str">
        <f t="shared" si="802"/>
        <v/>
      </c>
      <c r="R3060" s="341"/>
      <c r="S3060" s="341"/>
    </row>
    <row r="3061" spans="1:19" ht="12.75" customHeight="1">
      <c r="A3061" s="393"/>
      <c r="C3061" s="20"/>
      <c r="E3061" s="387"/>
      <c r="F3061" s="388">
        <f t="shared" si="799"/>
        <v>0</v>
      </c>
      <c r="G3061" s="390"/>
      <c r="H3061" s="341" t="str">
        <f>IF(A3061="","",VLOOKUP(A3061,VII.A!$A$10:$D$199,4,FALSE))</f>
        <v/>
      </c>
      <c r="I3061" s="341" t="str">
        <f t="shared" si="800"/>
        <v/>
      </c>
      <c r="J3061" s="341" t="str">
        <f>IF(A3061="","",VLOOKUP(A3061,VII.A!$A$10:$D$199,3,FALSE))</f>
        <v/>
      </c>
      <c r="K3061" s="342" t="str">
        <f t="shared" si="801"/>
        <v/>
      </c>
      <c r="L3061" s="380" t="str">
        <f>IF(C3061="","",G3035*C3061)</f>
        <v/>
      </c>
      <c r="M3061" s="381" t="str">
        <f>IF(A3061="","",VLOOKUP(A3061,VII.A!$A$10:$B$199,2,FALSE))</f>
        <v/>
      </c>
      <c r="N3061" s="342" t="str">
        <f t="shared" si="802"/>
        <v/>
      </c>
      <c r="R3061" s="341"/>
      <c r="S3061" s="341"/>
    </row>
    <row r="3062" spans="1:19" ht="12.75" customHeight="1">
      <c r="A3062" s="393"/>
      <c r="C3062" s="20"/>
      <c r="E3062" s="387"/>
      <c r="F3062" s="388">
        <f t="shared" si="799"/>
        <v>0</v>
      </c>
      <c r="G3062" s="391"/>
      <c r="H3062" s="341" t="str">
        <f>IF(A3062="","",VLOOKUP(A3062,VII.A!$A$10:$D$199,4,FALSE))</f>
        <v/>
      </c>
      <c r="I3062" s="341" t="str">
        <f t="shared" si="800"/>
        <v/>
      </c>
      <c r="J3062" s="341" t="str">
        <f>IF(A3062="","",VLOOKUP(A3062,VII.A!$A$10:$D$199,3,FALSE))</f>
        <v/>
      </c>
      <c r="K3062" s="342" t="str">
        <f t="shared" si="801"/>
        <v/>
      </c>
      <c r="L3062" s="380" t="str">
        <f>IF(C3062="","",G3035*C3062)</f>
        <v/>
      </c>
      <c r="M3062" s="381" t="str">
        <f>IF(A3062="","",VLOOKUP(A3062,VII.A!$A$10:$B$199,2,FALSE))</f>
        <v/>
      </c>
      <c r="N3062" s="342" t="str">
        <f t="shared" si="802"/>
        <v/>
      </c>
      <c r="R3062" s="341"/>
      <c r="S3062" s="341"/>
    </row>
    <row r="3063" spans="1:19" ht="12.75" customHeight="1">
      <c r="A3063" s="393"/>
      <c r="C3063" s="20"/>
      <c r="E3063" s="387"/>
      <c r="F3063" s="388">
        <f t="shared" si="799"/>
        <v>0</v>
      </c>
      <c r="H3063" s="341" t="str">
        <f>IF(A3063="","",VLOOKUP(A3063,VII.A!$A$10:$D$199,4,FALSE))</f>
        <v/>
      </c>
      <c r="I3063" s="341" t="str">
        <f t="shared" si="800"/>
        <v/>
      </c>
      <c r="J3063" s="341" t="str">
        <f>IF(A3063="","",VLOOKUP(A3063,VII.A!$A$10:$D$199,3,FALSE))</f>
        <v/>
      </c>
      <c r="K3063" s="342" t="str">
        <f t="shared" si="801"/>
        <v/>
      </c>
      <c r="L3063" s="380" t="str">
        <f>IF(C3063="","",G3035*C3063)</f>
        <v/>
      </c>
      <c r="M3063" s="381" t="str">
        <f>IF(A3063="","",VLOOKUP(A3063,VII.A!$A$10:$B$199,2,FALSE))</f>
        <v/>
      </c>
      <c r="N3063" s="342" t="str">
        <f t="shared" si="802"/>
        <v/>
      </c>
      <c r="R3063" s="341"/>
      <c r="S3063" s="341"/>
    </row>
    <row r="3064" spans="1:19" ht="12.75" customHeight="1">
      <c r="A3064" s="393"/>
      <c r="C3064" s="20"/>
      <c r="E3064" s="387"/>
      <c r="F3064" s="388">
        <f t="shared" si="799"/>
        <v>0</v>
      </c>
      <c r="H3064" s="341" t="str">
        <f>IF(A3064="","",VLOOKUP(A3064,VII.A!$A$10:$D$199,4,FALSE))</f>
        <v/>
      </c>
      <c r="I3064" s="341" t="str">
        <f t="shared" si="800"/>
        <v/>
      </c>
      <c r="J3064" s="341" t="str">
        <f>IF(A3064="","",VLOOKUP(A3064,VII.A!$A$10:$D$199,3,FALSE))</f>
        <v/>
      </c>
      <c r="K3064" s="342" t="str">
        <f t="shared" si="801"/>
        <v/>
      </c>
      <c r="L3064" s="380" t="str">
        <f>IF(C3064="","",G3035*C3064)</f>
        <v/>
      </c>
      <c r="M3064" s="381" t="str">
        <f>IF(A3064="","",VLOOKUP(A3064,VII.A!$A$10:$B$199,2,FALSE))</f>
        <v/>
      </c>
      <c r="N3064" s="342" t="str">
        <f t="shared" si="802"/>
        <v/>
      </c>
      <c r="R3064" s="341"/>
      <c r="S3064" s="341"/>
    </row>
    <row r="3065" spans="1:19" ht="12.75" customHeight="1">
      <c r="A3065" s="393"/>
      <c r="C3065" s="20"/>
      <c r="E3065" s="387"/>
      <c r="F3065" s="388">
        <f t="shared" si="799"/>
        <v>0</v>
      </c>
      <c r="H3065" s="341" t="str">
        <f>IF(A3065="","",VLOOKUP(A3065,VII.A!$A$10:$D$199,4,FALSE))</f>
        <v/>
      </c>
      <c r="I3065" s="341" t="str">
        <f t="shared" si="800"/>
        <v/>
      </c>
      <c r="J3065" s="341" t="str">
        <f>IF(A3065="","",VLOOKUP(A3065,VII.A!$A$10:$D$199,3,FALSE))</f>
        <v/>
      </c>
      <c r="K3065" s="342" t="str">
        <f t="shared" si="801"/>
        <v/>
      </c>
      <c r="L3065" s="380" t="str">
        <f>IF(C3065="","",G3035*C3065)</f>
        <v/>
      </c>
      <c r="M3065" s="381" t="str">
        <f>IF(A3065="","",VLOOKUP(A3065,VII.A!$A$10:$B$199,2,FALSE))</f>
        <v/>
      </c>
      <c r="N3065" s="342" t="str">
        <f t="shared" si="802"/>
        <v/>
      </c>
      <c r="R3065" s="341"/>
      <c r="S3065" s="341"/>
    </row>
    <row r="3066" spans="1:19" ht="12.75" customHeight="1">
      <c r="A3066" s="393"/>
      <c r="C3066" s="20"/>
      <c r="E3066" s="387"/>
      <c r="F3066" s="388">
        <f t="shared" si="799"/>
        <v>0</v>
      </c>
      <c r="H3066" s="341" t="str">
        <f>IF(A3066="","",VLOOKUP(A3066,VII.A!$A$10:$D$199,4,FALSE))</f>
        <v/>
      </c>
      <c r="I3066" s="341" t="str">
        <f t="shared" si="800"/>
        <v/>
      </c>
      <c r="J3066" s="341" t="str">
        <f>IF(A3066="","",VLOOKUP(A3066,VII.A!$A$10:$D$199,3,FALSE))</f>
        <v/>
      </c>
      <c r="K3066" s="342" t="str">
        <f t="shared" si="801"/>
        <v/>
      </c>
      <c r="L3066" s="380" t="str">
        <f>IF(C3066="","",G3035*C3066)</f>
        <v/>
      </c>
      <c r="M3066" s="381" t="str">
        <f>IF(A3066="","",VLOOKUP(A3066,VII.A!$A$10:$B$199,2,FALSE))</f>
        <v/>
      </c>
      <c r="N3066" s="342" t="str">
        <f t="shared" si="802"/>
        <v/>
      </c>
      <c r="R3066" s="341"/>
      <c r="S3066" s="341"/>
    </row>
    <row r="3067" spans="1:19" ht="12.75" customHeight="1">
      <c r="A3067" s="393"/>
      <c r="B3067" s="395" t="s">
        <v>226</v>
      </c>
      <c r="C3067" s="396"/>
      <c r="D3067" s="397"/>
      <c r="E3067" s="398"/>
      <c r="F3067" s="399">
        <f>SUM(F3057:F3066)</f>
        <v>0</v>
      </c>
      <c r="J3067" s="341"/>
      <c r="L3067" s="380"/>
      <c r="M3067" s="381"/>
      <c r="N3067" s="342"/>
      <c r="R3067" s="341"/>
      <c r="S3067" s="341"/>
    </row>
    <row r="3068" spans="1:19" ht="12.75" customHeight="1">
      <c r="A3068" s="393"/>
      <c r="B3068" s="400" t="s">
        <v>53</v>
      </c>
      <c r="C3068" s="2">
        <f>$D$8</f>
        <v>0</v>
      </c>
      <c r="D3068" s="401"/>
      <c r="E3068" s="402"/>
      <c r="F3068" s="403">
        <f>ROUND(C3068*F3067,2)</f>
        <v>0</v>
      </c>
      <c r="J3068" s="341"/>
      <c r="L3068" s="380"/>
      <c r="M3068" s="381"/>
      <c r="N3068" s="342"/>
      <c r="R3068" s="341"/>
      <c r="S3068" s="341"/>
    </row>
    <row r="3069" spans="1:19" ht="12.75" customHeight="1">
      <c r="A3069" s="404"/>
      <c r="B3069" s="405" t="s">
        <v>228</v>
      </c>
      <c r="C3069" s="406"/>
      <c r="D3069" s="406"/>
      <c r="E3069" s="407"/>
      <c r="F3069" s="408">
        <f>F3067+F3068</f>
        <v>0</v>
      </c>
      <c r="J3069" s="341"/>
      <c r="L3069" s="380"/>
      <c r="M3069" s="381"/>
      <c r="N3069" s="342"/>
      <c r="R3069" s="341"/>
      <c r="S3069" s="341"/>
    </row>
    <row r="3070" spans="1:19" ht="12.75" customHeight="1">
      <c r="A3070" s="409" t="s">
        <v>47</v>
      </c>
      <c r="B3070" s="410" t="s">
        <v>236</v>
      </c>
      <c r="C3070" s="411" t="s">
        <v>231</v>
      </c>
      <c r="D3070" s="412" t="s">
        <v>232</v>
      </c>
      <c r="E3070" s="413" t="s">
        <v>233</v>
      </c>
      <c r="F3070" s="378" t="s">
        <v>234</v>
      </c>
      <c r="J3070" s="341"/>
      <c r="L3070" s="380"/>
      <c r="M3070" s="381"/>
      <c r="N3070" s="342"/>
      <c r="R3070" s="341"/>
      <c r="S3070" s="341"/>
    </row>
    <row r="3071" spans="1:19" ht="12.75" customHeight="1">
      <c r="A3071" s="393" t="str">
        <f>VII.A!$A$192</f>
        <v>3.12</v>
      </c>
      <c r="B3071" s="394" t="s">
        <v>153</v>
      </c>
      <c r="C3071" s="20">
        <v>0.33</v>
      </c>
      <c r="D3071" s="384" t="str">
        <f>VLOOKUP(A3071,VII.A!$A$10:$G$199,3,FALSE)</f>
        <v>H</v>
      </c>
      <c r="E3071" s="387">
        <f>VII.A!D192</f>
        <v>0</v>
      </c>
      <c r="F3071" s="388">
        <f t="shared" ref="F3071:F3077" si="803">ROUND(C3071*E3071,2)</f>
        <v>0</v>
      </c>
      <c r="H3071" s="341">
        <f>IF(A3071="","",VLOOKUP(A3071,VII.A!$A$10:$D$199,4,FALSE))</f>
        <v>0</v>
      </c>
      <c r="I3071" s="341" t="str">
        <f t="shared" ref="I3071:I3077" si="804">IF(A3071="","",IF(E3071=H3071,"SIM","NÃO"))</f>
        <v>SIM</v>
      </c>
      <c r="J3071" s="341" t="str">
        <f>IF(A3071="","",VLOOKUP(A3071,VII.A!$A$10:$D$199,3,FALSE))</f>
        <v>H</v>
      </c>
      <c r="K3071" s="342" t="str">
        <f t="shared" ref="K3071:K3077" si="805">IF(A3071="","",IF(J3071=D3071,"SIM","NÃO"))</f>
        <v>SIM</v>
      </c>
      <c r="L3071" s="380">
        <f>IF(C3071="","",G3035*C3071)</f>
        <v>33</v>
      </c>
      <c r="M3071" s="381" t="str">
        <f>IF(A3071="","",VLOOKUP(A3071,VII.A!$A$10:$B$199,2,FALSE))</f>
        <v>PEDREIRO COM ENCARGOS COMPLEMENTARES</v>
      </c>
      <c r="N3071" s="342" t="str">
        <f t="shared" ref="N3071:N3077" si="806">IF(B3071="","",IF(M3071=B3071,"si","no"))</f>
        <v>si</v>
      </c>
      <c r="R3071" s="341"/>
      <c r="S3071" s="341"/>
    </row>
    <row r="3072" spans="1:19" ht="12.75" customHeight="1">
      <c r="A3072" s="393" t="str">
        <f>VII.A!$A$196</f>
        <v>3.16</v>
      </c>
      <c r="B3072" s="394" t="s">
        <v>157</v>
      </c>
      <c r="C3072" s="20">
        <f>0.165+(0.0431*5.02)</f>
        <v>0.38136199999999998</v>
      </c>
      <c r="D3072" s="384" t="str">
        <f>VLOOKUP(A3072,VII.A!$A$10:$G$199,3,FALSE)</f>
        <v>H</v>
      </c>
      <c r="E3072" s="387">
        <f>VII.A!D196</f>
        <v>0</v>
      </c>
      <c r="F3072" s="388">
        <f t="shared" si="803"/>
        <v>0</v>
      </c>
      <c r="H3072" s="341">
        <f>IF(A3072="","",VLOOKUP(A3072,VII.A!$A$10:$D$199,4,FALSE))</f>
        <v>0</v>
      </c>
      <c r="I3072" s="341" t="str">
        <f t="shared" si="804"/>
        <v>SIM</v>
      </c>
      <c r="J3072" s="341" t="str">
        <f>IF(A3072="","",VLOOKUP(A3072,VII.A!$A$10:$D$199,3,FALSE))</f>
        <v>H</v>
      </c>
      <c r="K3072" s="342" t="str">
        <f t="shared" si="805"/>
        <v>SIM</v>
      </c>
      <c r="L3072" s="380">
        <f>IF(C3072="","",G3035*C3072)</f>
        <v>38.136199999999995</v>
      </c>
      <c r="M3072" s="381" t="str">
        <f>IF(A3072="","",VLOOKUP(A3072,VII.A!$A$10:$B$199,2,FALSE))</f>
        <v>SERVENTE COM ENCARGOS COMPLEMENTARES</v>
      </c>
      <c r="N3072" s="342" t="str">
        <f t="shared" si="806"/>
        <v>si</v>
      </c>
      <c r="R3072" s="341"/>
      <c r="S3072" s="341"/>
    </row>
    <row r="3073" spans="1:25" ht="12.75" customHeight="1">
      <c r="A3073" s="393"/>
      <c r="C3073" s="20"/>
      <c r="E3073" s="387"/>
      <c r="F3073" s="388">
        <f t="shared" si="803"/>
        <v>0</v>
      </c>
      <c r="H3073" s="341" t="str">
        <f>IF(A3073="","",VLOOKUP(A3073,VII.A!$A$10:$D$199,4,FALSE))</f>
        <v/>
      </c>
      <c r="I3073" s="341" t="str">
        <f t="shared" si="804"/>
        <v/>
      </c>
      <c r="J3073" s="341" t="str">
        <f>IF(A3073="","",VLOOKUP(A3073,VII.A!$A$10:$D$199,3,FALSE))</f>
        <v/>
      </c>
      <c r="K3073" s="342" t="str">
        <f t="shared" si="805"/>
        <v/>
      </c>
      <c r="L3073" s="380" t="str">
        <f>IF(C3073="","",G3035*C3073)</f>
        <v/>
      </c>
      <c r="M3073" s="381" t="str">
        <f>IF(A3073="","",VLOOKUP(A3073,VII.A!$A$10:$B$199,2,FALSE))</f>
        <v/>
      </c>
      <c r="N3073" s="342" t="str">
        <f t="shared" si="806"/>
        <v/>
      </c>
      <c r="R3073" s="341"/>
      <c r="S3073" s="341"/>
    </row>
    <row r="3074" spans="1:25" ht="12.75" customHeight="1">
      <c r="A3074" s="393"/>
      <c r="C3074" s="20"/>
      <c r="E3074" s="387"/>
      <c r="F3074" s="388">
        <f t="shared" si="803"/>
        <v>0</v>
      </c>
      <c r="H3074" s="341" t="str">
        <f>IF(A3074="","",VLOOKUP(A3074,VII.A!$A$10:$D$199,4,FALSE))</f>
        <v/>
      </c>
      <c r="I3074" s="341" t="str">
        <f t="shared" si="804"/>
        <v/>
      </c>
      <c r="J3074" s="341" t="str">
        <f>IF(A3074="","",VLOOKUP(A3074,VII.A!$A$10:$D$199,3,FALSE))</f>
        <v/>
      </c>
      <c r="K3074" s="342" t="str">
        <f t="shared" si="805"/>
        <v/>
      </c>
      <c r="L3074" s="380" t="str">
        <f>IF(C3074="","",G3035*C3074)</f>
        <v/>
      </c>
      <c r="M3074" s="381" t="str">
        <f>IF(A3074="","",VLOOKUP(A3074,VII.A!$A$10:$B$199,2,FALSE))</f>
        <v/>
      </c>
      <c r="N3074" s="342" t="str">
        <f t="shared" si="806"/>
        <v/>
      </c>
      <c r="R3074" s="341"/>
      <c r="S3074" s="341"/>
    </row>
    <row r="3075" spans="1:25" ht="12.75" customHeight="1">
      <c r="A3075" s="393"/>
      <c r="C3075" s="20"/>
      <c r="E3075" s="387"/>
      <c r="F3075" s="388">
        <f t="shared" si="803"/>
        <v>0</v>
      </c>
      <c r="H3075" s="341" t="str">
        <f>IF(A3075="","",VLOOKUP(A3075,VII.A!$A$10:$D$199,4,FALSE))</f>
        <v/>
      </c>
      <c r="I3075" s="341" t="str">
        <f t="shared" si="804"/>
        <v/>
      </c>
      <c r="J3075" s="341" t="str">
        <f>IF(A3075="","",VLOOKUP(A3075,VII.A!$A$10:$D$199,3,FALSE))</f>
        <v/>
      </c>
      <c r="K3075" s="342" t="str">
        <f t="shared" si="805"/>
        <v/>
      </c>
      <c r="L3075" s="380" t="str">
        <f>IF(C3075="","",G3035*C3075)</f>
        <v/>
      </c>
      <c r="M3075" s="381" t="str">
        <f>IF(A3075="","",VLOOKUP(A3075,VII.A!$A$10:$B$199,2,FALSE))</f>
        <v/>
      </c>
      <c r="N3075" s="342" t="str">
        <f t="shared" si="806"/>
        <v/>
      </c>
      <c r="R3075" s="341"/>
      <c r="S3075" s="341"/>
    </row>
    <row r="3076" spans="1:25" ht="12.75" customHeight="1">
      <c r="A3076" s="393"/>
      <c r="C3076" s="20"/>
      <c r="E3076" s="387"/>
      <c r="F3076" s="388">
        <f t="shared" si="803"/>
        <v>0</v>
      </c>
      <c r="H3076" s="341" t="str">
        <f>IF(A3076="","",VLOOKUP(A3076,VII.A!$A$10:$D$199,4,FALSE))</f>
        <v/>
      </c>
      <c r="I3076" s="341" t="str">
        <f t="shared" si="804"/>
        <v/>
      </c>
      <c r="J3076" s="341" t="str">
        <f>IF(A3076="","",VLOOKUP(A3076,VII.A!$A$10:$D$199,3,FALSE))</f>
        <v/>
      </c>
      <c r="K3076" s="342" t="str">
        <f t="shared" si="805"/>
        <v/>
      </c>
      <c r="L3076" s="380" t="str">
        <f>IF(C3076="","",G3035*C3076)</f>
        <v/>
      </c>
      <c r="M3076" s="381" t="str">
        <f>IF(A3076="","",VLOOKUP(A3076,VII.A!$A$10:$B$199,2,FALSE))</f>
        <v/>
      </c>
      <c r="N3076" s="342" t="str">
        <f t="shared" si="806"/>
        <v/>
      </c>
      <c r="R3076" s="341"/>
      <c r="S3076" s="341"/>
    </row>
    <row r="3077" spans="1:25" ht="12.75" customHeight="1">
      <c r="A3077" s="393"/>
      <c r="C3077" s="20"/>
      <c r="E3077" s="387"/>
      <c r="F3077" s="388">
        <f t="shared" si="803"/>
        <v>0</v>
      </c>
      <c r="H3077" s="341" t="str">
        <f>IF(A3077="","",VLOOKUP(A3077,VII.A!$A$10:$D$199,4,FALSE))</f>
        <v/>
      </c>
      <c r="I3077" s="341" t="str">
        <f t="shared" si="804"/>
        <v/>
      </c>
      <c r="J3077" s="341" t="str">
        <f>IF(A3077="","",VLOOKUP(A3077,VII.A!$A$10:$D$199,3,FALSE))</f>
        <v/>
      </c>
      <c r="K3077" s="342" t="str">
        <f t="shared" si="805"/>
        <v/>
      </c>
      <c r="L3077" s="380" t="str">
        <f>IF(C3077="","",G3035*C3077)</f>
        <v/>
      </c>
      <c r="M3077" s="381" t="str">
        <f>IF(A3077="","",VLOOKUP(A3077,VII.A!$A$10:$B$199,2,FALSE))</f>
        <v/>
      </c>
      <c r="N3077" s="342" t="str">
        <f t="shared" si="806"/>
        <v/>
      </c>
      <c r="R3077" s="341"/>
      <c r="S3077" s="341"/>
    </row>
    <row r="3078" spans="1:25" ht="12.75" customHeight="1">
      <c r="A3078" s="393"/>
      <c r="B3078" s="395" t="s">
        <v>226</v>
      </c>
      <c r="C3078" s="396"/>
      <c r="D3078" s="397"/>
      <c r="E3078" s="398"/>
      <c r="F3078" s="399">
        <f>SUM(F3071:F3077)</f>
        <v>0</v>
      </c>
      <c r="J3078" s="341"/>
      <c r="L3078" s="380"/>
      <c r="M3078" s="381"/>
      <c r="N3078" s="342"/>
      <c r="R3078" s="341"/>
      <c r="S3078" s="341"/>
    </row>
    <row r="3079" spans="1:25" ht="12.75" customHeight="1">
      <c r="A3079" s="393"/>
      <c r="B3079" s="400" t="s">
        <v>229</v>
      </c>
      <c r="C3079" s="2">
        <f>IX.A!$C$45</f>
        <v>0</v>
      </c>
      <c r="D3079" s="401"/>
      <c r="E3079" s="402"/>
      <c r="F3079" s="403">
        <f>ROUND(F3078*C3079,2)</f>
        <v>0</v>
      </c>
      <c r="J3079" s="341"/>
      <c r="L3079" s="380"/>
      <c r="M3079" s="381"/>
      <c r="N3079" s="342"/>
      <c r="R3079" s="341"/>
      <c r="S3079" s="341"/>
    </row>
    <row r="3080" spans="1:25" ht="12.75" customHeight="1">
      <c r="A3080" s="393"/>
      <c r="B3080" s="400" t="s">
        <v>53</v>
      </c>
      <c r="C3080" s="2">
        <f>$D$8</f>
        <v>0</v>
      </c>
      <c r="D3080" s="401"/>
      <c r="E3080" s="402"/>
      <c r="F3080" s="403">
        <f>ROUND(SUM(F3078:F3079)*C3080,2)</f>
        <v>0</v>
      </c>
      <c r="J3080" s="341"/>
      <c r="L3080" s="380"/>
      <c r="M3080" s="381"/>
      <c r="N3080" s="342"/>
      <c r="R3080" s="341"/>
      <c r="S3080" s="341"/>
    </row>
    <row r="3081" spans="1:25" ht="12.75" customHeight="1" thickBot="1">
      <c r="A3081" s="414"/>
      <c r="B3081" s="415" t="s">
        <v>230</v>
      </c>
      <c r="C3081" s="416"/>
      <c r="D3081" s="416"/>
      <c r="E3081" s="417"/>
      <c r="F3081" s="418">
        <f>SUM(F3078:F3080)</f>
        <v>0</v>
      </c>
      <c r="J3081" s="341"/>
      <c r="L3081" s="380"/>
      <c r="M3081" s="381"/>
      <c r="N3081" s="342"/>
      <c r="R3081" s="341"/>
      <c r="S3081" s="341"/>
    </row>
    <row r="3082" spans="1:25" ht="12.75" customHeight="1" thickBot="1">
      <c r="A3082" s="357"/>
      <c r="B3082" s="358"/>
      <c r="C3082" s="359"/>
      <c r="D3082" s="359"/>
      <c r="E3082" s="360"/>
      <c r="F3082" s="419"/>
      <c r="J3082" s="341"/>
      <c r="L3082" s="380"/>
      <c r="M3082" s="381"/>
      <c r="N3082" s="342"/>
      <c r="R3082" s="341"/>
      <c r="S3082" s="341"/>
    </row>
    <row r="3083" spans="1:25" ht="30" customHeight="1">
      <c r="A3083" s="370" t="str">
        <f>IV.A!A98</f>
        <v>3.9.3</v>
      </c>
      <c r="B3083" s="371" t="str">
        <f>IV.A!B98</f>
        <v xml:space="preserve">PISO COM CERÂMICA ESMALTADA PEI-5 </v>
      </c>
      <c r="C3083" s="871" t="s">
        <v>237</v>
      </c>
      <c r="D3083" s="872"/>
      <c r="E3083" s="372" t="str">
        <f>IV.A!$C$98</f>
        <v>M2</v>
      </c>
      <c r="F3083" s="11">
        <f>ROUND(F3103+F3117+F3129,2)</f>
        <v>0</v>
      </c>
      <c r="G3083" s="1">
        <f>VLOOKUP(A3083,IV.A!$A$16:$L$172,4,FALSE)</f>
        <v>250</v>
      </c>
      <c r="H3083" s="361">
        <f>SUM(F3085:F3100)+F3102</f>
        <v>0</v>
      </c>
      <c r="I3083" s="361">
        <f>SUM(F3105:F3114)+F3116</f>
        <v>0</v>
      </c>
      <c r="J3083" s="361">
        <f>SUM(F3119:F3125)+F3127+F3128</f>
        <v>0</v>
      </c>
      <c r="K3083" s="361">
        <f>SUM(H3083:J3083)</f>
        <v>0</v>
      </c>
      <c r="L3083" s="362" t="str">
        <f>IF(K3083=F3083,"SIM","NÃO")</f>
        <v>SIM</v>
      </c>
      <c r="M3083" s="373">
        <f>ROUND(SUM(F3085:F3100),2)+ROUND(SUM(F3085:F3100)*C3102,2)+ROUND(SUM(F3105:F3114)*C3116,2)+ROUND(SUM(F3105:F3114),2)+ROUND(SUM(F3119:F3125)*C3127,2)+ROUND((SUM(F3119:F3125)+ROUND(SUM(F3119:F3125)*C3127,2))*C3128,2)+ROUND(SUM(F3119:F3125),2)</f>
        <v>0</v>
      </c>
      <c r="N3083" s="343" t="str">
        <f>IF(M3083=F3083,"SIM","NÃO")</f>
        <v>SIM</v>
      </c>
      <c r="O3083" s="364" t="str">
        <f>VLOOKUP(A3083,IV.A!$A$16:$E$172,3,FALSE)</f>
        <v>M2</v>
      </c>
      <c r="P3083" s="344" t="str">
        <f>IF(O3083=E3083,"SIM","NÃO")</f>
        <v>SIM</v>
      </c>
      <c r="Q3083" s="365">
        <f>ROUND(G3083*F3103,2)+ROUND(G3083*F3117,2)+ROUND(G3083*F3129,2)</f>
        <v>0</v>
      </c>
      <c r="R3083" s="364">
        <f>VLOOKUP(A3083,IV.A!$A$16:$L$172,12,FALSE)</f>
        <v>0</v>
      </c>
      <c r="S3083" s="366" t="str">
        <f>IF(Q3083=R3083,"si","no")</f>
        <v>si</v>
      </c>
      <c r="T3083" s="367">
        <f>SUM(L3085:L3100)+SUM(L3105:L3114)+SUM(L3119:L3125)</f>
        <v>1683.05</v>
      </c>
      <c r="U3083" s="341">
        <f>(SUM(C3085:C3100)+SUM(C3105:C3114)+SUM(C3119:C3125))*G3083</f>
        <v>1683.05</v>
      </c>
      <c r="V3083" s="368" t="str">
        <f>IF(T3083=U3083,"si","no")</f>
        <v>si</v>
      </c>
      <c r="W3083" s="369">
        <f>SUM(F3085:F3100)</f>
        <v>0</v>
      </c>
      <c r="X3083" s="369">
        <f>SUM(F3105:F3114)</f>
        <v>0</v>
      </c>
      <c r="Y3083" s="369">
        <f>SUM(F3119:F3125)</f>
        <v>0</v>
      </c>
    </row>
    <row r="3084" spans="1:25" ht="12.75" customHeight="1">
      <c r="A3084" s="374" t="s">
        <v>14</v>
      </c>
      <c r="B3084" s="375" t="s">
        <v>132</v>
      </c>
      <c r="C3084" s="376" t="s">
        <v>231</v>
      </c>
      <c r="D3084" s="376" t="s">
        <v>232</v>
      </c>
      <c r="E3084" s="377" t="s">
        <v>233</v>
      </c>
      <c r="F3084" s="378" t="s">
        <v>234</v>
      </c>
      <c r="G3084" s="379"/>
      <c r="J3084" s="341"/>
      <c r="L3084" s="380"/>
      <c r="M3084" s="381"/>
      <c r="N3084" s="342"/>
      <c r="O3084" s="382"/>
      <c r="P3084" s="383"/>
      <c r="Q3084" s="383"/>
      <c r="R3084" s="383"/>
      <c r="S3084" s="383"/>
      <c r="T3084" s="382"/>
      <c r="U3084" s="341"/>
      <c r="V3084" s="384"/>
      <c r="W3084" s="384"/>
      <c r="X3084" s="384"/>
      <c r="Y3084" s="384"/>
    </row>
    <row r="3085" spans="1:25" ht="12.75" customHeight="1">
      <c r="A3085" s="385" t="str">
        <f>VII.A!$A$20</f>
        <v>1.11</v>
      </c>
      <c r="B3085" s="386" t="str">
        <f>VLOOKUP(A3085,VII.A!$A$10:$G$199,2,FALSE)</f>
        <v>ARGAMASSA COLANTE TIPO AC III</v>
      </c>
      <c r="C3085" s="20">
        <v>4.8600000000000003</v>
      </c>
      <c r="D3085" s="342" t="str">
        <f>VLOOKUP(A3085,VII.A!$A$10:$G$199,3,FALSE)</f>
        <v>KG</v>
      </c>
      <c r="E3085" s="387">
        <f>VII.A!$D$20</f>
        <v>0</v>
      </c>
      <c r="F3085" s="388">
        <f>ROUND(C3085*E3085,2)</f>
        <v>0</v>
      </c>
      <c r="H3085" s="341">
        <f>IF(A3085="","",VLOOKUP(A3085,VII.A!$A$10:$D$199,4,FALSE))</f>
        <v>0</v>
      </c>
      <c r="I3085" s="341" t="str">
        <f t="shared" ref="I3085:I3100" si="807">IF(A3085="","",IF(E3085=H3085,"SIM","NÃO"))</f>
        <v>SIM</v>
      </c>
      <c r="J3085" s="341" t="str">
        <f>IF(A3085="","",VLOOKUP(A3085,VII.A!$A$10:$D$199,3,FALSE))</f>
        <v>KG</v>
      </c>
      <c r="K3085" s="342" t="str">
        <f t="shared" ref="K3085:K3100" si="808">IF(A3085="","",IF(J3085=D3085,"SIM","NÃO"))</f>
        <v>SIM</v>
      </c>
      <c r="L3085" s="380">
        <f>IF(C3085="","",G3083*C3085)</f>
        <v>1215</v>
      </c>
      <c r="M3085" s="381" t="str">
        <f>IF(A3085="","",VLOOKUP(A3085,VII.A!$A$10:$B$199,2,FALSE))</f>
        <v>ARGAMASSA COLANTE TIPO AC III</v>
      </c>
      <c r="N3085" s="342" t="str">
        <f t="shared" ref="N3085:N3100" si="809">IF(B3085="","",IF(M3085=B3085,"si","no"))</f>
        <v>si</v>
      </c>
      <c r="R3085" s="341"/>
      <c r="S3085" s="341"/>
    </row>
    <row r="3086" spans="1:25" ht="12.75" customHeight="1">
      <c r="A3086" s="385" t="str">
        <f>VII.A!$A$33</f>
        <v>1.24</v>
      </c>
      <c r="B3086" s="386" t="str">
        <f>VLOOKUP(A3086,VII.A!$A$10:$G$199,2,FALSE)</f>
        <v>CERÂMICA ESMALTADA EXTRA OU 1ª QUALIDADE PARA PISO, PEI-5</v>
      </c>
      <c r="C3086" s="20">
        <v>1.06</v>
      </c>
      <c r="D3086" s="342" t="str">
        <f>VLOOKUP(A3086,VII.A!$A$10:$G$199,3,FALSE)</f>
        <v>M2</v>
      </c>
      <c r="E3086" s="387">
        <f>VII.A!$D$33</f>
        <v>0</v>
      </c>
      <c r="F3086" s="388">
        <f t="shared" ref="F3086:F3100" si="810">ROUND(C3086*E3086,2)</f>
        <v>0</v>
      </c>
      <c r="H3086" s="341">
        <f>IF(A3086="","",VLOOKUP(A3086,VII.A!$A$10:$D$199,4,FALSE))</f>
        <v>0</v>
      </c>
      <c r="I3086" s="341" t="str">
        <f t="shared" si="807"/>
        <v>SIM</v>
      </c>
      <c r="J3086" s="341" t="str">
        <f>IF(A3086="","",VLOOKUP(A3086,VII.A!$A$10:$D$199,3,FALSE))</f>
        <v>M2</v>
      </c>
      <c r="K3086" s="342" t="str">
        <f t="shared" si="808"/>
        <v>SIM</v>
      </c>
      <c r="L3086" s="380">
        <f>IF(C3086="","",G3083*C3086)</f>
        <v>265</v>
      </c>
      <c r="M3086" s="381" t="str">
        <f>IF(A3086="","",VLOOKUP(A3086,VII.A!$A$10:$B$199,2,FALSE))</f>
        <v>CERÂMICA ESMALTADA EXTRA OU 1ª QUALIDADE PARA PISO, PEI-5</v>
      </c>
      <c r="N3086" s="342" t="str">
        <f t="shared" si="809"/>
        <v>si</v>
      </c>
      <c r="R3086" s="341"/>
      <c r="S3086" s="341"/>
    </row>
    <row r="3087" spans="1:25" ht="12.75" customHeight="1">
      <c r="A3087" s="385" t="str">
        <f>VII.A!$A$36</f>
        <v>1.27</v>
      </c>
      <c r="B3087" s="386" t="str">
        <f>VLOOKUP(A3087,VII.A!$A$10:$G$199,2,FALSE)</f>
        <v>REJUNTE EPOXI BRANCO</v>
      </c>
      <c r="C3087" s="20">
        <v>0.31219999999999998</v>
      </c>
      <c r="D3087" s="342" t="str">
        <f>VLOOKUP(A3087,VII.A!$A$10:$G$199,3,FALSE)</f>
        <v>KG</v>
      </c>
      <c r="E3087" s="387">
        <f>VII.A!$D$36</f>
        <v>0</v>
      </c>
      <c r="F3087" s="388">
        <f t="shared" si="810"/>
        <v>0</v>
      </c>
      <c r="H3087" s="341">
        <f>IF(A3087="","",VLOOKUP(A3087,VII.A!$A$10:$D$199,4,FALSE))</f>
        <v>0</v>
      </c>
      <c r="I3087" s="341" t="str">
        <f t="shared" si="807"/>
        <v>SIM</v>
      </c>
      <c r="J3087" s="341" t="str">
        <f>IF(A3087="","",VLOOKUP(A3087,VII.A!$A$10:$D$199,3,FALSE))</f>
        <v>KG</v>
      </c>
      <c r="K3087" s="342" t="str">
        <f t="shared" si="808"/>
        <v>SIM</v>
      </c>
      <c r="L3087" s="380">
        <f>IF(C3087="","",G3083*C3087)</f>
        <v>78.05</v>
      </c>
      <c r="M3087" s="381" t="str">
        <f>IF(A3087="","",VLOOKUP(A3087,VII.A!$A$10:$B$199,2,FALSE))</f>
        <v>REJUNTE EPOXI BRANCO</v>
      </c>
      <c r="N3087" s="342" t="str">
        <f t="shared" si="809"/>
        <v>si</v>
      </c>
      <c r="R3087" s="341"/>
      <c r="S3087" s="341"/>
    </row>
    <row r="3088" spans="1:25" ht="12.75" customHeight="1">
      <c r="A3088" s="385"/>
      <c r="B3088" s="386"/>
      <c r="C3088" s="20"/>
      <c r="D3088" s="342"/>
      <c r="E3088" s="387"/>
      <c r="F3088" s="388">
        <f t="shared" si="810"/>
        <v>0</v>
      </c>
      <c r="H3088" s="341" t="str">
        <f>IF(A3088="","",VLOOKUP(A3088,VII.A!$A$10:$D$199,4,FALSE))</f>
        <v/>
      </c>
      <c r="I3088" s="341" t="str">
        <f t="shared" si="807"/>
        <v/>
      </c>
      <c r="J3088" s="341" t="str">
        <f>IF(A3088="","",VLOOKUP(A3088,VII.A!$A$10:$D$199,3,FALSE))</f>
        <v/>
      </c>
      <c r="K3088" s="342" t="str">
        <f t="shared" si="808"/>
        <v/>
      </c>
      <c r="L3088" s="380" t="str">
        <f>IF(C3088="","",G3083*C3088)</f>
        <v/>
      </c>
      <c r="M3088" s="381" t="str">
        <f>IF(A3088="","",VLOOKUP(A3088,VII.A!$A$10:$B$199,2,FALSE))</f>
        <v/>
      </c>
      <c r="N3088" s="342" t="str">
        <f t="shared" si="809"/>
        <v/>
      </c>
      <c r="R3088" s="341"/>
      <c r="S3088" s="341"/>
    </row>
    <row r="3089" spans="1:21" ht="12.75" customHeight="1">
      <c r="A3089" s="385"/>
      <c r="B3089" s="386"/>
      <c r="C3089" s="20"/>
      <c r="D3089" s="342"/>
      <c r="E3089" s="387"/>
      <c r="F3089" s="388">
        <f t="shared" si="810"/>
        <v>0</v>
      </c>
      <c r="H3089" s="341" t="str">
        <f>IF(A3089="","",VLOOKUP(A3089,VII.A!$A$10:$D$199,4,FALSE))</f>
        <v/>
      </c>
      <c r="I3089" s="341" t="str">
        <f t="shared" si="807"/>
        <v/>
      </c>
      <c r="J3089" s="341" t="str">
        <f>IF(A3089="","",VLOOKUP(A3089,VII.A!$A$10:$D$199,3,FALSE))</f>
        <v/>
      </c>
      <c r="K3089" s="342" t="str">
        <f t="shared" si="808"/>
        <v/>
      </c>
      <c r="L3089" s="380" t="str">
        <f>IF(C3089="","",G3083*C3089)</f>
        <v/>
      </c>
      <c r="M3089" s="381" t="str">
        <f>IF(A3089="","",VLOOKUP(A3089,VII.A!$A$10:$B$199,2,FALSE))</f>
        <v/>
      </c>
      <c r="N3089" s="342" t="str">
        <f t="shared" si="809"/>
        <v/>
      </c>
      <c r="R3089" s="341"/>
      <c r="S3089" s="341"/>
    </row>
    <row r="3090" spans="1:21" ht="12.75" customHeight="1">
      <c r="A3090" s="385"/>
      <c r="B3090" s="386"/>
      <c r="C3090" s="20"/>
      <c r="D3090" s="342"/>
      <c r="E3090" s="387"/>
      <c r="F3090" s="388">
        <f t="shared" si="810"/>
        <v>0</v>
      </c>
      <c r="H3090" s="341" t="str">
        <f>IF(A3090="","",VLOOKUP(A3090,VII.A!$A$10:$D$199,4,FALSE))</f>
        <v/>
      </c>
      <c r="I3090" s="341" t="str">
        <f t="shared" si="807"/>
        <v/>
      </c>
      <c r="J3090" s="341" t="str">
        <f>IF(A3090="","",VLOOKUP(A3090,VII.A!$A$10:$D$199,3,FALSE))</f>
        <v/>
      </c>
      <c r="K3090" s="342" t="str">
        <f t="shared" si="808"/>
        <v/>
      </c>
      <c r="L3090" s="380" t="str">
        <f>IF(C3090="","",G3083*C3090)</f>
        <v/>
      </c>
      <c r="M3090" s="381" t="str">
        <f>IF(A3090="","",VLOOKUP(A3090,VII.A!$A$10:$B$199,2,FALSE))</f>
        <v/>
      </c>
      <c r="N3090" s="342" t="str">
        <f t="shared" si="809"/>
        <v/>
      </c>
      <c r="R3090" s="341"/>
      <c r="S3090" s="341"/>
      <c r="U3090" s="389"/>
    </row>
    <row r="3091" spans="1:21" ht="12.75" customHeight="1">
      <c r="A3091" s="385"/>
      <c r="B3091" s="386"/>
      <c r="C3091" s="20"/>
      <c r="D3091" s="342"/>
      <c r="E3091" s="387"/>
      <c r="F3091" s="388">
        <f t="shared" si="810"/>
        <v>0</v>
      </c>
      <c r="H3091" s="341" t="str">
        <f>IF(A3091="","",VLOOKUP(A3091,VII.A!$A$10:$D$199,4,FALSE))</f>
        <v/>
      </c>
      <c r="I3091" s="341" t="str">
        <f t="shared" si="807"/>
        <v/>
      </c>
      <c r="J3091" s="341" t="str">
        <f>IF(A3091="","",VLOOKUP(A3091,VII.A!$A$10:$D$199,3,FALSE))</f>
        <v/>
      </c>
      <c r="K3091" s="342" t="str">
        <f t="shared" si="808"/>
        <v/>
      </c>
      <c r="L3091" s="380" t="str">
        <f>IF(C3091="","",G3083*C3091)</f>
        <v/>
      </c>
      <c r="M3091" s="381" t="str">
        <f>IF(A3091="","",VLOOKUP(A3091,VII.A!$A$10:$B$199,2,FALSE))</f>
        <v/>
      </c>
      <c r="N3091" s="342" t="str">
        <f t="shared" si="809"/>
        <v/>
      </c>
      <c r="R3091" s="341"/>
      <c r="S3091" s="341"/>
    </row>
    <row r="3092" spans="1:21" ht="12.75" customHeight="1">
      <c r="A3092" s="385"/>
      <c r="B3092" s="386"/>
      <c r="C3092" s="20"/>
      <c r="D3092" s="342"/>
      <c r="E3092" s="387"/>
      <c r="F3092" s="388">
        <f t="shared" si="810"/>
        <v>0</v>
      </c>
      <c r="G3092" s="390"/>
      <c r="H3092" s="341" t="str">
        <f>IF(A3092="","",VLOOKUP(A3092,VII.A!$A$10:$D$199,4,FALSE))</f>
        <v/>
      </c>
      <c r="I3092" s="341" t="str">
        <f t="shared" si="807"/>
        <v/>
      </c>
      <c r="J3092" s="341" t="str">
        <f>IF(A3092="","",VLOOKUP(A3092,VII.A!$A$10:$D$199,3,FALSE))</f>
        <v/>
      </c>
      <c r="K3092" s="342" t="str">
        <f t="shared" si="808"/>
        <v/>
      </c>
      <c r="L3092" s="380" t="str">
        <f>IF(C3092="","",G3083*C3092)</f>
        <v/>
      </c>
      <c r="M3092" s="381" t="str">
        <f>IF(A3092="","",VLOOKUP(A3092,VII.A!$A$10:$B$199,2,FALSE))</f>
        <v/>
      </c>
      <c r="N3092" s="342" t="str">
        <f t="shared" si="809"/>
        <v/>
      </c>
      <c r="R3092" s="341"/>
      <c r="S3092" s="341"/>
    </row>
    <row r="3093" spans="1:21" ht="12.75" customHeight="1">
      <c r="A3093" s="385"/>
      <c r="B3093" s="386"/>
      <c r="C3093" s="20"/>
      <c r="D3093" s="342"/>
      <c r="E3093" s="387"/>
      <c r="F3093" s="388">
        <f t="shared" si="810"/>
        <v>0</v>
      </c>
      <c r="G3093" s="390"/>
      <c r="H3093" s="341" t="str">
        <f>IF(A3093="","",VLOOKUP(A3093,VII.A!$A$10:$D$199,4,FALSE))</f>
        <v/>
      </c>
      <c r="I3093" s="341" t="str">
        <f t="shared" si="807"/>
        <v/>
      </c>
      <c r="J3093" s="341" t="str">
        <f>IF(A3093="","",VLOOKUP(A3093,VII.A!$A$10:$D$199,3,FALSE))</f>
        <v/>
      </c>
      <c r="K3093" s="342" t="str">
        <f t="shared" si="808"/>
        <v/>
      </c>
      <c r="L3093" s="380" t="str">
        <f>IF(C3093="","",G3083*C3093)</f>
        <v/>
      </c>
      <c r="M3093" s="381" t="str">
        <f>IF(A3093="","",VLOOKUP(A3093,VII.A!$A$10:$B$199,2,FALSE))</f>
        <v/>
      </c>
      <c r="N3093" s="342" t="str">
        <f t="shared" si="809"/>
        <v/>
      </c>
      <c r="R3093" s="341"/>
      <c r="S3093" s="341"/>
    </row>
    <row r="3094" spans="1:21" ht="12.75" customHeight="1">
      <c r="A3094" s="385"/>
      <c r="B3094" s="386"/>
      <c r="C3094" s="20"/>
      <c r="D3094" s="342"/>
      <c r="E3094" s="387"/>
      <c r="F3094" s="388">
        <f t="shared" si="810"/>
        <v>0</v>
      </c>
      <c r="G3094" s="391"/>
      <c r="H3094" s="341" t="str">
        <f>IF(A3094="","",VLOOKUP(A3094,VII.A!$A$10:$D$199,4,FALSE))</f>
        <v/>
      </c>
      <c r="I3094" s="341" t="str">
        <f t="shared" si="807"/>
        <v/>
      </c>
      <c r="J3094" s="341" t="str">
        <f>IF(A3094="","",VLOOKUP(A3094,VII.A!$A$10:$D$199,3,FALSE))</f>
        <v/>
      </c>
      <c r="K3094" s="342" t="str">
        <f t="shared" si="808"/>
        <v/>
      </c>
      <c r="L3094" s="380" t="str">
        <f>IF(C3094="","",G3083*C3094)</f>
        <v/>
      </c>
      <c r="M3094" s="381" t="str">
        <f>IF(A3094="","",VLOOKUP(A3094,VII.A!$A$10:$B$199,2,FALSE))</f>
        <v/>
      </c>
      <c r="N3094" s="342" t="str">
        <f t="shared" si="809"/>
        <v/>
      </c>
      <c r="R3094" s="341"/>
      <c r="S3094" s="341"/>
    </row>
    <row r="3095" spans="1:21" ht="12.75" customHeight="1">
      <c r="A3095" s="385"/>
      <c r="B3095" s="386"/>
      <c r="C3095" s="20"/>
      <c r="D3095" s="342"/>
      <c r="E3095" s="387"/>
      <c r="F3095" s="388">
        <f t="shared" si="810"/>
        <v>0</v>
      </c>
      <c r="H3095" s="341" t="str">
        <f>IF(A3095="","",VLOOKUP(A3095,VII.A!$A$10:$D$199,4,FALSE))</f>
        <v/>
      </c>
      <c r="I3095" s="341" t="str">
        <f t="shared" si="807"/>
        <v/>
      </c>
      <c r="J3095" s="341" t="str">
        <f>IF(A3095="","",VLOOKUP(A3095,VII.A!$A$10:$D$199,3,FALSE))</f>
        <v/>
      </c>
      <c r="K3095" s="342" t="str">
        <f t="shared" si="808"/>
        <v/>
      </c>
      <c r="L3095" s="380" t="str">
        <f>IF(C3095="","",G3083*C3095)</f>
        <v/>
      </c>
      <c r="M3095" s="381" t="str">
        <f>IF(A3095="","",VLOOKUP(A3095,VII.A!$A$10:$B$199,2,FALSE))</f>
        <v/>
      </c>
      <c r="N3095" s="342" t="str">
        <f t="shared" si="809"/>
        <v/>
      </c>
      <c r="R3095" s="341"/>
      <c r="S3095" s="341"/>
    </row>
    <row r="3096" spans="1:21" ht="12.75" customHeight="1">
      <c r="A3096" s="385"/>
      <c r="B3096" s="386"/>
      <c r="C3096" s="20"/>
      <c r="D3096" s="392"/>
      <c r="E3096" s="387"/>
      <c r="F3096" s="388">
        <f t="shared" si="810"/>
        <v>0</v>
      </c>
      <c r="H3096" s="341" t="str">
        <f>IF(A3096="","",VLOOKUP(A3096,VII.A!$A$10:$D$199,4,FALSE))</f>
        <v/>
      </c>
      <c r="I3096" s="341" t="str">
        <f t="shared" si="807"/>
        <v/>
      </c>
      <c r="J3096" s="341" t="str">
        <f>IF(A3096="","",VLOOKUP(A3096,VII.A!$A$10:$D$199,3,FALSE))</f>
        <v/>
      </c>
      <c r="K3096" s="342" t="str">
        <f t="shared" si="808"/>
        <v/>
      </c>
      <c r="L3096" s="380" t="str">
        <f>IF(C3096="","",G3083*C3096)</f>
        <v/>
      </c>
      <c r="M3096" s="381" t="str">
        <f>IF(A3096="","",VLOOKUP(A3096,VII.A!$A$10:$B$199,2,FALSE))</f>
        <v/>
      </c>
      <c r="N3096" s="342" t="str">
        <f t="shared" si="809"/>
        <v/>
      </c>
      <c r="R3096" s="341"/>
      <c r="S3096" s="341"/>
    </row>
    <row r="3097" spans="1:21" ht="12.75" customHeight="1">
      <c r="A3097" s="385"/>
      <c r="B3097" s="386"/>
      <c r="C3097" s="20"/>
      <c r="D3097" s="392"/>
      <c r="E3097" s="387"/>
      <c r="F3097" s="388">
        <f t="shared" si="810"/>
        <v>0</v>
      </c>
      <c r="H3097" s="341" t="str">
        <f>IF(A3097="","",VLOOKUP(A3097,VII.A!$A$10:$D$199,4,FALSE))</f>
        <v/>
      </c>
      <c r="I3097" s="341" t="str">
        <f t="shared" si="807"/>
        <v/>
      </c>
      <c r="J3097" s="341" t="str">
        <f>IF(A3097="","",VLOOKUP(A3097,VII.A!$A$10:$D$199,3,FALSE))</f>
        <v/>
      </c>
      <c r="K3097" s="342" t="str">
        <f t="shared" si="808"/>
        <v/>
      </c>
      <c r="L3097" s="380" t="str">
        <f>IF(C3097="","",G3083*C3097)</f>
        <v/>
      </c>
      <c r="M3097" s="381" t="str">
        <f>IF(A3097="","",VLOOKUP(A3097,VII.A!$A$10:$B$199,2,FALSE))</f>
        <v/>
      </c>
      <c r="N3097" s="342" t="str">
        <f t="shared" si="809"/>
        <v/>
      </c>
      <c r="O3097" s="342"/>
      <c r="R3097" s="341"/>
      <c r="S3097" s="341"/>
    </row>
    <row r="3098" spans="1:21" ht="12.75" customHeight="1">
      <c r="A3098" s="385"/>
      <c r="B3098" s="386"/>
      <c r="C3098" s="20"/>
      <c r="D3098" s="392"/>
      <c r="E3098" s="387"/>
      <c r="F3098" s="388">
        <f t="shared" si="810"/>
        <v>0</v>
      </c>
      <c r="H3098" s="341" t="str">
        <f>IF(A3098="","",VLOOKUP(A3098,VII.A!$A$10:$D$199,4,FALSE))</f>
        <v/>
      </c>
      <c r="I3098" s="341" t="str">
        <f t="shared" si="807"/>
        <v/>
      </c>
      <c r="J3098" s="341" t="str">
        <f>IF(A3098="","",VLOOKUP(A3098,VII.A!$A$10:$D$199,3,FALSE))</f>
        <v/>
      </c>
      <c r="K3098" s="342" t="str">
        <f t="shared" si="808"/>
        <v/>
      </c>
      <c r="L3098" s="380" t="str">
        <f>IF(C3098="","",G3083*C3098)</f>
        <v/>
      </c>
      <c r="M3098" s="381" t="str">
        <f>IF(A3098="","",VLOOKUP(A3098,VII.A!$A$10:$B$199,2,FALSE))</f>
        <v/>
      </c>
      <c r="N3098" s="342" t="str">
        <f t="shared" si="809"/>
        <v/>
      </c>
      <c r="R3098" s="341"/>
      <c r="S3098" s="341"/>
    </row>
    <row r="3099" spans="1:21" ht="12.75" customHeight="1">
      <c r="A3099" s="393"/>
      <c r="C3099" s="20"/>
      <c r="E3099" s="387"/>
      <c r="F3099" s="388">
        <f t="shared" si="810"/>
        <v>0</v>
      </c>
      <c r="H3099" s="341" t="str">
        <f>IF(A3099="","",VLOOKUP(A3099,VII.A!$A$10:$D$199,4,FALSE))</f>
        <v/>
      </c>
      <c r="I3099" s="341" t="str">
        <f t="shared" si="807"/>
        <v/>
      </c>
      <c r="J3099" s="341" t="str">
        <f>IF(A3099="","",VLOOKUP(A3099,VII.A!$A$10:$D$199,3,FALSE))</f>
        <v/>
      </c>
      <c r="K3099" s="342" t="str">
        <f t="shared" si="808"/>
        <v/>
      </c>
      <c r="L3099" s="380" t="str">
        <f>IF(C3099="","",G3083*C3099)</f>
        <v/>
      </c>
      <c r="M3099" s="381" t="str">
        <f>IF(A3099="","",VLOOKUP(A3099,VII.A!$A$10:$B$199,2,FALSE))</f>
        <v/>
      </c>
      <c r="N3099" s="342" t="str">
        <f t="shared" si="809"/>
        <v/>
      </c>
      <c r="R3099" s="341"/>
      <c r="S3099" s="341"/>
    </row>
    <row r="3100" spans="1:21" ht="12.75" customHeight="1">
      <c r="A3100" s="393"/>
      <c r="C3100" s="20"/>
      <c r="E3100" s="387"/>
      <c r="F3100" s="388">
        <f t="shared" si="810"/>
        <v>0</v>
      </c>
      <c r="H3100" s="341" t="str">
        <f>IF(A3100="","",VLOOKUP(A3100,VII.A!$A$10:$D$199,4,FALSE))</f>
        <v/>
      </c>
      <c r="I3100" s="341" t="str">
        <f t="shared" si="807"/>
        <v/>
      </c>
      <c r="J3100" s="341" t="str">
        <f>IF(A3100="","",VLOOKUP(A3100,VII.A!$A$10:$D$199,3,FALSE))</f>
        <v/>
      </c>
      <c r="K3100" s="342" t="str">
        <f t="shared" si="808"/>
        <v/>
      </c>
      <c r="L3100" s="380" t="str">
        <f>IF(C3100="","",G3083*C3100)</f>
        <v/>
      </c>
      <c r="M3100" s="381" t="str">
        <f>IF(A3100="","",VLOOKUP(A3100,VII.A!$A$10:$B$199,2,FALSE))</f>
        <v/>
      </c>
      <c r="N3100" s="342" t="str">
        <f t="shared" si="809"/>
        <v/>
      </c>
      <c r="R3100" s="341"/>
      <c r="S3100" s="341"/>
    </row>
    <row r="3101" spans="1:21" ht="12.75" customHeight="1">
      <c r="A3101" s="393"/>
      <c r="B3101" s="395" t="s">
        <v>226</v>
      </c>
      <c r="C3101" s="396"/>
      <c r="D3101" s="397"/>
      <c r="E3101" s="398"/>
      <c r="F3101" s="399">
        <f>SUM(F3085:F3100)</f>
        <v>0</v>
      </c>
      <c r="H3101" s="426" t="s">
        <v>434</v>
      </c>
      <c r="J3101" s="341"/>
      <c r="L3101" s="380"/>
      <c r="M3101" s="381"/>
      <c r="N3101" s="342"/>
      <c r="R3101" s="341"/>
      <c r="S3101" s="341"/>
    </row>
    <row r="3102" spans="1:21" ht="12.75" customHeight="1">
      <c r="A3102" s="393"/>
      <c r="B3102" s="400" t="s">
        <v>53</v>
      </c>
      <c r="C3102" s="2">
        <f>$D$8</f>
        <v>0</v>
      </c>
      <c r="D3102" s="401"/>
      <c r="E3102" s="402"/>
      <c r="F3102" s="403">
        <f>ROUND(F3101*C3102,2)</f>
        <v>0</v>
      </c>
      <c r="J3102" s="341"/>
      <c r="L3102" s="380"/>
      <c r="M3102" s="381"/>
      <c r="N3102" s="342"/>
      <c r="R3102" s="341"/>
      <c r="S3102" s="341"/>
    </row>
    <row r="3103" spans="1:21" ht="12.75" customHeight="1">
      <c r="A3103" s="404"/>
      <c r="B3103" s="405" t="s">
        <v>227</v>
      </c>
      <c r="C3103" s="406"/>
      <c r="D3103" s="406"/>
      <c r="E3103" s="407"/>
      <c r="F3103" s="408">
        <f>F3101+F3102</f>
        <v>0</v>
      </c>
      <c r="J3103" s="341"/>
      <c r="L3103" s="380"/>
      <c r="M3103" s="381"/>
      <c r="N3103" s="342"/>
      <c r="R3103" s="341"/>
      <c r="S3103" s="341"/>
    </row>
    <row r="3104" spans="1:21" ht="12.75" customHeight="1">
      <c r="A3104" s="374" t="s">
        <v>2</v>
      </c>
      <c r="B3104" s="375" t="s">
        <v>235</v>
      </c>
      <c r="C3104" s="376" t="s">
        <v>231</v>
      </c>
      <c r="D3104" s="376" t="s">
        <v>232</v>
      </c>
      <c r="E3104" s="377" t="s">
        <v>233</v>
      </c>
      <c r="F3104" s="378" t="s">
        <v>234</v>
      </c>
      <c r="J3104" s="341"/>
      <c r="L3104" s="380"/>
      <c r="M3104" s="381"/>
      <c r="N3104" s="342"/>
      <c r="R3104" s="341"/>
      <c r="S3104" s="341"/>
    </row>
    <row r="3105" spans="1:19" ht="12.75" customHeight="1">
      <c r="A3105" s="393"/>
      <c r="B3105" s="423"/>
      <c r="C3105" s="20"/>
      <c r="E3105" s="387"/>
      <c r="F3105" s="388">
        <f t="shared" ref="F3105:F3114" si="811">ROUND(C3105*E3105,2)</f>
        <v>0</v>
      </c>
      <c r="H3105" s="341" t="str">
        <f>IF(A3105="","",VLOOKUP(A3105,VII.A!$A$10:$D$199,4,FALSE))</f>
        <v/>
      </c>
      <c r="I3105" s="341" t="str">
        <f t="shared" ref="I3105:I3114" si="812">IF(A3105="","",IF(E3105=H3105,"SIM","NÃO"))</f>
        <v/>
      </c>
      <c r="J3105" s="341" t="str">
        <f>IF(A3105="","",VLOOKUP(A3105,VII.A!$A$10:$D$199,3,FALSE))</f>
        <v/>
      </c>
      <c r="K3105" s="342" t="str">
        <f t="shared" ref="K3105:K3114" si="813">IF(A3105="","",IF(J3105=D3105,"SIM","NÃO"))</f>
        <v/>
      </c>
      <c r="L3105" s="380" t="str">
        <f>IF(C3105="","",G3083*C3105)</f>
        <v/>
      </c>
      <c r="M3105" s="381" t="str">
        <f>IF(A3105="","",VLOOKUP(A3105,VII.A!$A$10:$B$199,2,FALSE))</f>
        <v/>
      </c>
      <c r="N3105" s="342" t="str">
        <f t="shared" ref="N3105:N3114" si="814">IF(B3105="","",IF(M3105=B3105,"si","no"))</f>
        <v/>
      </c>
      <c r="R3105" s="341"/>
      <c r="S3105" s="341"/>
    </row>
    <row r="3106" spans="1:19" ht="12.75" customHeight="1">
      <c r="A3106" s="393"/>
      <c r="C3106" s="20"/>
      <c r="E3106" s="387"/>
      <c r="F3106" s="388">
        <f t="shared" si="811"/>
        <v>0</v>
      </c>
      <c r="H3106" s="341" t="str">
        <f>IF(A3106="","",VLOOKUP(A3106,VII.A!$A$10:$D$199,4,FALSE))</f>
        <v/>
      </c>
      <c r="I3106" s="341" t="str">
        <f t="shared" si="812"/>
        <v/>
      </c>
      <c r="J3106" s="341" t="str">
        <f>IF(A3106="","",VLOOKUP(A3106,VII.A!$A$10:$D$199,3,FALSE))</f>
        <v/>
      </c>
      <c r="K3106" s="342" t="str">
        <f t="shared" si="813"/>
        <v/>
      </c>
      <c r="L3106" s="380" t="str">
        <f>IF(C3106="","",G3083*C3106)</f>
        <v/>
      </c>
      <c r="M3106" s="381" t="str">
        <f>IF(A3106="","",VLOOKUP(A3106,VII.A!$A$10:$B$199,2,FALSE))</f>
        <v/>
      </c>
      <c r="N3106" s="342" t="str">
        <f t="shared" si="814"/>
        <v/>
      </c>
      <c r="R3106" s="341"/>
      <c r="S3106" s="341"/>
    </row>
    <row r="3107" spans="1:19" ht="12.75" customHeight="1">
      <c r="A3107" s="393"/>
      <c r="C3107" s="20"/>
      <c r="E3107" s="387"/>
      <c r="F3107" s="388">
        <f t="shared" si="811"/>
        <v>0</v>
      </c>
      <c r="H3107" s="341" t="str">
        <f>IF(A3107="","",VLOOKUP(A3107,VII.A!$A$10:$D$199,4,FALSE))</f>
        <v/>
      </c>
      <c r="I3107" s="341" t="str">
        <f t="shared" si="812"/>
        <v/>
      </c>
      <c r="J3107" s="341" t="str">
        <f>IF(A3107="","",VLOOKUP(A3107,VII.A!$A$10:$D$199,3,FALSE))</f>
        <v/>
      </c>
      <c r="K3107" s="342" t="str">
        <f t="shared" si="813"/>
        <v/>
      </c>
      <c r="L3107" s="380" t="str">
        <f>IF(C3107="","",G3083*C3107)</f>
        <v/>
      </c>
      <c r="M3107" s="381" t="str">
        <f>IF(A3107="","",VLOOKUP(A3107,VII.A!$A$10:$B$199,2,FALSE))</f>
        <v/>
      </c>
      <c r="N3107" s="342" t="str">
        <f t="shared" si="814"/>
        <v/>
      </c>
      <c r="R3107" s="341"/>
      <c r="S3107" s="341"/>
    </row>
    <row r="3108" spans="1:19" ht="12.75" customHeight="1">
      <c r="A3108" s="393"/>
      <c r="C3108" s="20"/>
      <c r="E3108" s="387"/>
      <c r="F3108" s="388">
        <f t="shared" si="811"/>
        <v>0</v>
      </c>
      <c r="H3108" s="341" t="str">
        <f>IF(A3108="","",VLOOKUP(A3108,VII.A!$A$10:$D$199,4,FALSE))</f>
        <v/>
      </c>
      <c r="I3108" s="341" t="str">
        <f t="shared" si="812"/>
        <v/>
      </c>
      <c r="J3108" s="341" t="str">
        <f>IF(A3108="","",VLOOKUP(A3108,VII.A!$A$10:$D$199,3,FALSE))</f>
        <v/>
      </c>
      <c r="K3108" s="342" t="str">
        <f t="shared" si="813"/>
        <v/>
      </c>
      <c r="L3108" s="380" t="str">
        <f>IF(C3108="","",G3083*C3108)</f>
        <v/>
      </c>
      <c r="M3108" s="381" t="str">
        <f>IF(A3108="","",VLOOKUP(A3108,VII.A!$A$10:$B$199,2,FALSE))</f>
        <v/>
      </c>
      <c r="N3108" s="342" t="str">
        <f t="shared" si="814"/>
        <v/>
      </c>
      <c r="R3108" s="341"/>
      <c r="S3108" s="341"/>
    </row>
    <row r="3109" spans="1:19" ht="12.75" customHeight="1">
      <c r="A3109" s="393"/>
      <c r="C3109" s="20"/>
      <c r="E3109" s="387"/>
      <c r="F3109" s="388">
        <f t="shared" si="811"/>
        <v>0</v>
      </c>
      <c r="G3109" s="390"/>
      <c r="H3109" s="341" t="str">
        <f>IF(A3109="","",VLOOKUP(A3109,VII.A!$A$10:$D$199,4,FALSE))</f>
        <v/>
      </c>
      <c r="I3109" s="341" t="str">
        <f t="shared" si="812"/>
        <v/>
      </c>
      <c r="J3109" s="341" t="str">
        <f>IF(A3109="","",VLOOKUP(A3109,VII.A!$A$10:$D$199,3,FALSE))</f>
        <v/>
      </c>
      <c r="K3109" s="342" t="str">
        <f t="shared" si="813"/>
        <v/>
      </c>
      <c r="L3109" s="380" t="str">
        <f>IF(C3109="","",G3083*C3109)</f>
        <v/>
      </c>
      <c r="M3109" s="381" t="str">
        <f>IF(A3109="","",VLOOKUP(A3109,VII.A!$A$10:$B$199,2,FALSE))</f>
        <v/>
      </c>
      <c r="N3109" s="342" t="str">
        <f t="shared" si="814"/>
        <v/>
      </c>
      <c r="R3109" s="341"/>
      <c r="S3109" s="341"/>
    </row>
    <row r="3110" spans="1:19" ht="12.75" customHeight="1">
      <c r="A3110" s="393"/>
      <c r="C3110" s="20"/>
      <c r="E3110" s="387"/>
      <c r="F3110" s="388">
        <f t="shared" si="811"/>
        <v>0</v>
      </c>
      <c r="G3110" s="391"/>
      <c r="H3110" s="341" t="str">
        <f>IF(A3110="","",VLOOKUP(A3110,VII.A!$A$10:$D$199,4,FALSE))</f>
        <v/>
      </c>
      <c r="I3110" s="341" t="str">
        <f t="shared" si="812"/>
        <v/>
      </c>
      <c r="J3110" s="341" t="str">
        <f>IF(A3110="","",VLOOKUP(A3110,VII.A!$A$10:$D$199,3,FALSE))</f>
        <v/>
      </c>
      <c r="K3110" s="342" t="str">
        <f t="shared" si="813"/>
        <v/>
      </c>
      <c r="L3110" s="380" t="str">
        <f>IF(C3110="","",G3083*C3110)</f>
        <v/>
      </c>
      <c r="M3110" s="381" t="str">
        <f>IF(A3110="","",VLOOKUP(A3110,VII.A!$A$10:$B$199,2,FALSE))</f>
        <v/>
      </c>
      <c r="N3110" s="342" t="str">
        <f t="shared" si="814"/>
        <v/>
      </c>
      <c r="R3110" s="341"/>
      <c r="S3110" s="341"/>
    </row>
    <row r="3111" spans="1:19" ht="12.75" customHeight="1">
      <c r="A3111" s="393"/>
      <c r="C3111" s="20"/>
      <c r="E3111" s="387"/>
      <c r="F3111" s="388">
        <f t="shared" si="811"/>
        <v>0</v>
      </c>
      <c r="H3111" s="341" t="str">
        <f>IF(A3111="","",VLOOKUP(A3111,VII.A!$A$10:$D$199,4,FALSE))</f>
        <v/>
      </c>
      <c r="I3111" s="341" t="str">
        <f t="shared" si="812"/>
        <v/>
      </c>
      <c r="J3111" s="341" t="str">
        <f>IF(A3111="","",VLOOKUP(A3111,VII.A!$A$10:$D$199,3,FALSE))</f>
        <v/>
      </c>
      <c r="K3111" s="342" t="str">
        <f t="shared" si="813"/>
        <v/>
      </c>
      <c r="L3111" s="380" t="str">
        <f>IF(C3111="","",G3083*C3111)</f>
        <v/>
      </c>
      <c r="M3111" s="381" t="str">
        <f>IF(A3111="","",VLOOKUP(A3111,VII.A!$A$10:$B$199,2,FALSE))</f>
        <v/>
      </c>
      <c r="N3111" s="342" t="str">
        <f t="shared" si="814"/>
        <v/>
      </c>
      <c r="R3111" s="341"/>
      <c r="S3111" s="341"/>
    </row>
    <row r="3112" spans="1:19" ht="12.75" customHeight="1">
      <c r="A3112" s="393"/>
      <c r="C3112" s="20"/>
      <c r="E3112" s="387"/>
      <c r="F3112" s="388">
        <f t="shared" si="811"/>
        <v>0</v>
      </c>
      <c r="H3112" s="341" t="str">
        <f>IF(A3112="","",VLOOKUP(A3112,VII.A!$A$10:$D$199,4,FALSE))</f>
        <v/>
      </c>
      <c r="I3112" s="341" t="str">
        <f t="shared" si="812"/>
        <v/>
      </c>
      <c r="J3112" s="341" t="str">
        <f>IF(A3112="","",VLOOKUP(A3112,VII.A!$A$10:$D$199,3,FALSE))</f>
        <v/>
      </c>
      <c r="K3112" s="342" t="str">
        <f t="shared" si="813"/>
        <v/>
      </c>
      <c r="L3112" s="380" t="str">
        <f>IF(C3112="","",G3083*C3112)</f>
        <v/>
      </c>
      <c r="M3112" s="381" t="str">
        <f>IF(A3112="","",VLOOKUP(A3112,VII.A!$A$10:$B$199,2,FALSE))</f>
        <v/>
      </c>
      <c r="N3112" s="342" t="str">
        <f t="shared" si="814"/>
        <v/>
      </c>
      <c r="R3112" s="341"/>
      <c r="S3112" s="341"/>
    </row>
    <row r="3113" spans="1:19" ht="12.75" customHeight="1">
      <c r="A3113" s="393"/>
      <c r="C3113" s="20"/>
      <c r="E3113" s="387"/>
      <c r="F3113" s="388">
        <f t="shared" si="811"/>
        <v>0</v>
      </c>
      <c r="H3113" s="341" t="str">
        <f>IF(A3113="","",VLOOKUP(A3113,VII.A!$A$10:$D$199,4,FALSE))</f>
        <v/>
      </c>
      <c r="I3113" s="341" t="str">
        <f t="shared" si="812"/>
        <v/>
      </c>
      <c r="J3113" s="341" t="str">
        <f>IF(A3113="","",VLOOKUP(A3113,VII.A!$A$10:$D$199,3,FALSE))</f>
        <v/>
      </c>
      <c r="K3113" s="342" t="str">
        <f t="shared" si="813"/>
        <v/>
      </c>
      <c r="L3113" s="380" t="str">
        <f>IF(C3113="","",G3083*C3113)</f>
        <v/>
      </c>
      <c r="M3113" s="381" t="str">
        <f>IF(A3113="","",VLOOKUP(A3113,VII.A!$A$10:$B$199,2,FALSE))</f>
        <v/>
      </c>
      <c r="N3113" s="342" t="str">
        <f t="shared" si="814"/>
        <v/>
      </c>
      <c r="R3113" s="341"/>
      <c r="S3113" s="341"/>
    </row>
    <row r="3114" spans="1:19" ht="12.75" customHeight="1">
      <c r="A3114" s="393"/>
      <c r="C3114" s="20"/>
      <c r="E3114" s="387"/>
      <c r="F3114" s="388">
        <f t="shared" si="811"/>
        <v>0</v>
      </c>
      <c r="H3114" s="341" t="str">
        <f>IF(A3114="","",VLOOKUP(A3114,VII.A!$A$10:$D$199,4,FALSE))</f>
        <v/>
      </c>
      <c r="I3114" s="341" t="str">
        <f t="shared" si="812"/>
        <v/>
      </c>
      <c r="J3114" s="341" t="str">
        <f>IF(A3114="","",VLOOKUP(A3114,VII.A!$A$10:$D$199,3,FALSE))</f>
        <v/>
      </c>
      <c r="K3114" s="342" t="str">
        <f t="shared" si="813"/>
        <v/>
      </c>
      <c r="L3114" s="380" t="str">
        <f>IF(C3114="","",G3083*C3114)</f>
        <v/>
      </c>
      <c r="M3114" s="381" t="str">
        <f>IF(A3114="","",VLOOKUP(A3114,VII.A!$A$10:$B$199,2,FALSE))</f>
        <v/>
      </c>
      <c r="N3114" s="342" t="str">
        <f t="shared" si="814"/>
        <v/>
      </c>
      <c r="R3114" s="341"/>
      <c r="S3114" s="341"/>
    </row>
    <row r="3115" spans="1:19" ht="12.75" customHeight="1">
      <c r="A3115" s="393"/>
      <c r="B3115" s="395" t="s">
        <v>226</v>
      </c>
      <c r="C3115" s="396"/>
      <c r="D3115" s="397"/>
      <c r="E3115" s="398"/>
      <c r="F3115" s="399">
        <f>SUM(F3105:F3114)</f>
        <v>0</v>
      </c>
      <c r="J3115" s="341"/>
      <c r="L3115" s="380"/>
      <c r="M3115" s="381"/>
      <c r="N3115" s="342"/>
      <c r="R3115" s="341"/>
      <c r="S3115" s="341"/>
    </row>
    <row r="3116" spans="1:19" ht="12.75" customHeight="1">
      <c r="A3116" s="393"/>
      <c r="B3116" s="400" t="s">
        <v>53</v>
      </c>
      <c r="C3116" s="2">
        <f>$D$8</f>
        <v>0</v>
      </c>
      <c r="D3116" s="401"/>
      <c r="E3116" s="402"/>
      <c r="F3116" s="403">
        <f>ROUND(C3116*F3115,2)</f>
        <v>0</v>
      </c>
      <c r="J3116" s="341"/>
      <c r="L3116" s="380"/>
      <c r="M3116" s="381"/>
      <c r="N3116" s="342"/>
      <c r="R3116" s="341"/>
      <c r="S3116" s="341"/>
    </row>
    <row r="3117" spans="1:19" ht="12.75" customHeight="1">
      <c r="A3117" s="404"/>
      <c r="B3117" s="405" t="s">
        <v>228</v>
      </c>
      <c r="C3117" s="406"/>
      <c r="D3117" s="406"/>
      <c r="E3117" s="407"/>
      <c r="F3117" s="408">
        <f>F3115+F3116</f>
        <v>0</v>
      </c>
      <c r="J3117" s="341"/>
      <c r="L3117" s="380"/>
      <c r="M3117" s="381"/>
      <c r="N3117" s="342"/>
      <c r="R3117" s="341"/>
      <c r="S3117" s="341"/>
    </row>
    <row r="3118" spans="1:19" ht="12.75" customHeight="1">
      <c r="A3118" s="409" t="s">
        <v>47</v>
      </c>
      <c r="B3118" s="410" t="s">
        <v>236</v>
      </c>
      <c r="C3118" s="411" t="s">
        <v>231</v>
      </c>
      <c r="D3118" s="412" t="s">
        <v>232</v>
      </c>
      <c r="E3118" s="413" t="s">
        <v>233</v>
      </c>
      <c r="F3118" s="378" t="s">
        <v>234</v>
      </c>
      <c r="J3118" s="341"/>
      <c r="L3118" s="380"/>
      <c r="M3118" s="381"/>
      <c r="N3118" s="342"/>
      <c r="R3118" s="341"/>
      <c r="S3118" s="341"/>
    </row>
    <row r="3119" spans="1:19" ht="12.75" customHeight="1">
      <c r="A3119" s="393" t="str">
        <f>VII.A!$A$196</f>
        <v>3.16</v>
      </c>
      <c r="B3119" s="394" t="s">
        <v>157</v>
      </c>
      <c r="C3119" s="20">
        <v>0.2</v>
      </c>
      <c r="D3119" s="384" t="str">
        <f>VLOOKUP(A3119,VII.A!$A$10:$G$199,3,FALSE)</f>
        <v>H</v>
      </c>
      <c r="E3119" s="387">
        <f>VII.A!$D$196</f>
        <v>0</v>
      </c>
      <c r="F3119" s="388">
        <f t="shared" ref="F3119:F3125" si="815">ROUND(C3119*E3119,2)</f>
        <v>0</v>
      </c>
      <c r="H3119" s="341">
        <f>IF(A3119="","",VLOOKUP(A3119,VII.A!$A$10:$D$199,4,FALSE))</f>
        <v>0</v>
      </c>
      <c r="I3119" s="341" t="str">
        <f t="shared" ref="I3119:I3125" si="816">IF(A3119="","",IF(E3119=H3119,"SIM","NÃO"))</f>
        <v>SIM</v>
      </c>
      <c r="J3119" s="341" t="str">
        <f>IF(A3119="","",VLOOKUP(A3119,VII.A!$A$10:$D$199,3,FALSE))</f>
        <v>H</v>
      </c>
      <c r="K3119" s="342" t="str">
        <f t="shared" ref="K3119:K3125" si="817">IF(A3119="","",IF(J3119=D3119,"SIM","NÃO"))</f>
        <v>SIM</v>
      </c>
      <c r="L3119" s="380">
        <f>IF(C3119="","",G3083*C3119)</f>
        <v>50</v>
      </c>
      <c r="M3119" s="381" t="str">
        <f>IF(A3119="","",VLOOKUP(A3119,VII.A!$A$10:$B$199,2,FALSE))</f>
        <v>SERVENTE COM ENCARGOS COMPLEMENTARES</v>
      </c>
      <c r="N3119" s="342" t="str">
        <f t="shared" ref="N3119:N3125" si="818">IF(B3119="","",IF(M3119=B3119,"si","no"))</f>
        <v>si</v>
      </c>
      <c r="R3119" s="341"/>
      <c r="S3119" s="341"/>
    </row>
    <row r="3120" spans="1:19" ht="12.75" customHeight="1">
      <c r="A3120" s="393" t="str">
        <f>VII.A!$A$185</f>
        <v>3.5</v>
      </c>
      <c r="B3120" s="394" t="s">
        <v>146</v>
      </c>
      <c r="C3120" s="20">
        <v>0.3</v>
      </c>
      <c r="D3120" s="384" t="str">
        <f>VLOOKUP(A3120,VII.A!$A$10:$G$199,3,FALSE)</f>
        <v>H</v>
      </c>
      <c r="E3120" s="387">
        <f>VII.A!$D$185</f>
        <v>0</v>
      </c>
      <c r="F3120" s="388">
        <f t="shared" si="815"/>
        <v>0</v>
      </c>
      <c r="H3120" s="341">
        <f>IF(A3120="","",VLOOKUP(A3120,VII.A!$A$10:$D$199,4,FALSE))</f>
        <v>0</v>
      </c>
      <c r="I3120" s="341" t="str">
        <f t="shared" si="816"/>
        <v>SIM</v>
      </c>
      <c r="J3120" s="341" t="str">
        <f>IF(A3120="","",VLOOKUP(A3120,VII.A!$A$10:$D$199,3,FALSE))</f>
        <v>H</v>
      </c>
      <c r="K3120" s="342" t="str">
        <f t="shared" si="817"/>
        <v>SIM</v>
      </c>
      <c r="L3120" s="380">
        <f>IF(C3120="","",G3083*C3120)</f>
        <v>75</v>
      </c>
      <c r="M3120" s="381" t="str">
        <f>IF(A3120="","",VLOOKUP(A3120,VII.A!$A$10:$B$199,2,FALSE))</f>
        <v>AZULEJISTA COM ENCARGOS COMPLEMENTARES</v>
      </c>
      <c r="N3120" s="342" t="str">
        <f t="shared" si="818"/>
        <v>si</v>
      </c>
      <c r="R3120" s="341"/>
      <c r="S3120" s="341"/>
    </row>
    <row r="3121" spans="1:25" ht="12.75" customHeight="1">
      <c r="A3121" s="393"/>
      <c r="C3121" s="20"/>
      <c r="E3121" s="387"/>
      <c r="F3121" s="388">
        <f t="shared" si="815"/>
        <v>0</v>
      </c>
      <c r="H3121" s="341" t="str">
        <f>IF(A3121="","",VLOOKUP(A3121,VII.A!$A$10:$D$199,4,FALSE))</f>
        <v/>
      </c>
      <c r="I3121" s="341" t="str">
        <f t="shared" si="816"/>
        <v/>
      </c>
      <c r="J3121" s="341" t="str">
        <f>IF(A3121="","",VLOOKUP(A3121,VII.A!$A$10:$D$199,3,FALSE))</f>
        <v/>
      </c>
      <c r="K3121" s="342" t="str">
        <f t="shared" si="817"/>
        <v/>
      </c>
      <c r="L3121" s="380" t="str">
        <f>IF(C3121="","",G3083*C3121)</f>
        <v/>
      </c>
      <c r="M3121" s="381" t="str">
        <f>IF(A3121="","",VLOOKUP(A3121,VII.A!$A$10:$B$199,2,FALSE))</f>
        <v/>
      </c>
      <c r="N3121" s="342" t="str">
        <f t="shared" si="818"/>
        <v/>
      </c>
      <c r="R3121" s="341"/>
      <c r="S3121" s="341"/>
    </row>
    <row r="3122" spans="1:25" ht="12.75" customHeight="1">
      <c r="A3122" s="393"/>
      <c r="C3122" s="20"/>
      <c r="E3122" s="387"/>
      <c r="F3122" s="388">
        <f t="shared" si="815"/>
        <v>0</v>
      </c>
      <c r="H3122" s="341" t="str">
        <f>IF(A3122="","",VLOOKUP(A3122,VII.A!$A$10:$D$199,4,FALSE))</f>
        <v/>
      </c>
      <c r="I3122" s="341" t="str">
        <f t="shared" si="816"/>
        <v/>
      </c>
      <c r="J3122" s="341" t="str">
        <f>IF(A3122="","",VLOOKUP(A3122,VII.A!$A$10:$D$199,3,FALSE))</f>
        <v/>
      </c>
      <c r="K3122" s="342" t="str">
        <f t="shared" si="817"/>
        <v/>
      </c>
      <c r="L3122" s="380" t="str">
        <f>IF(C3122="","",G3083*C3122)</f>
        <v/>
      </c>
      <c r="M3122" s="381" t="str">
        <f>IF(A3122="","",VLOOKUP(A3122,VII.A!$A$10:$B$199,2,FALSE))</f>
        <v/>
      </c>
      <c r="N3122" s="342" t="str">
        <f t="shared" si="818"/>
        <v/>
      </c>
      <c r="R3122" s="341"/>
      <c r="S3122" s="341"/>
    </row>
    <row r="3123" spans="1:25" ht="12.75" customHeight="1">
      <c r="A3123" s="393"/>
      <c r="C3123" s="20"/>
      <c r="E3123" s="387"/>
      <c r="F3123" s="388">
        <f t="shared" si="815"/>
        <v>0</v>
      </c>
      <c r="H3123" s="341" t="str">
        <f>IF(A3123="","",VLOOKUP(A3123,VII.A!$A$10:$D$199,4,FALSE))</f>
        <v/>
      </c>
      <c r="I3123" s="341" t="str">
        <f t="shared" si="816"/>
        <v/>
      </c>
      <c r="J3123" s="341" t="str">
        <f>IF(A3123="","",VLOOKUP(A3123,VII.A!$A$10:$D$199,3,FALSE))</f>
        <v/>
      </c>
      <c r="K3123" s="342" t="str">
        <f t="shared" si="817"/>
        <v/>
      </c>
      <c r="L3123" s="380" t="str">
        <f>IF(C3123="","",G3083*C3123)</f>
        <v/>
      </c>
      <c r="M3123" s="381" t="str">
        <f>IF(A3123="","",VLOOKUP(A3123,VII.A!$A$10:$B$199,2,FALSE))</f>
        <v/>
      </c>
      <c r="N3123" s="342" t="str">
        <f t="shared" si="818"/>
        <v/>
      </c>
      <c r="R3123" s="341"/>
      <c r="S3123" s="341"/>
    </row>
    <row r="3124" spans="1:25" ht="12.75" customHeight="1">
      <c r="A3124" s="393"/>
      <c r="C3124" s="20"/>
      <c r="E3124" s="387"/>
      <c r="F3124" s="388">
        <f t="shared" si="815"/>
        <v>0</v>
      </c>
      <c r="H3124" s="341" t="str">
        <f>IF(A3124="","",VLOOKUP(A3124,VII.A!$A$10:$D$199,4,FALSE))</f>
        <v/>
      </c>
      <c r="I3124" s="341" t="str">
        <f t="shared" si="816"/>
        <v/>
      </c>
      <c r="J3124" s="341" t="str">
        <f>IF(A3124="","",VLOOKUP(A3124,VII.A!$A$10:$D$199,3,FALSE))</f>
        <v/>
      </c>
      <c r="K3124" s="342" t="str">
        <f t="shared" si="817"/>
        <v/>
      </c>
      <c r="L3124" s="380" t="str">
        <f>IF(C3124="","",G3083*C3124)</f>
        <v/>
      </c>
      <c r="M3124" s="381" t="str">
        <f>IF(A3124="","",VLOOKUP(A3124,VII.A!$A$10:$B$199,2,FALSE))</f>
        <v/>
      </c>
      <c r="N3124" s="342" t="str">
        <f t="shared" si="818"/>
        <v/>
      </c>
      <c r="R3124" s="341"/>
      <c r="S3124" s="341"/>
    </row>
    <row r="3125" spans="1:25" ht="12.75" customHeight="1">
      <c r="A3125" s="393"/>
      <c r="C3125" s="20"/>
      <c r="E3125" s="387"/>
      <c r="F3125" s="388">
        <f t="shared" si="815"/>
        <v>0</v>
      </c>
      <c r="H3125" s="341" t="str">
        <f>IF(A3125="","",VLOOKUP(A3125,VII.A!$A$10:$D$199,4,FALSE))</f>
        <v/>
      </c>
      <c r="I3125" s="341" t="str">
        <f t="shared" si="816"/>
        <v/>
      </c>
      <c r="J3125" s="341" t="str">
        <f>IF(A3125="","",VLOOKUP(A3125,VII.A!$A$10:$D$199,3,FALSE))</f>
        <v/>
      </c>
      <c r="K3125" s="342" t="str">
        <f t="shared" si="817"/>
        <v/>
      </c>
      <c r="L3125" s="380" t="str">
        <f>IF(C3125="","",G3083*C3125)</f>
        <v/>
      </c>
      <c r="M3125" s="381" t="str">
        <f>IF(A3125="","",VLOOKUP(A3125,VII.A!$A$10:$B$199,2,FALSE))</f>
        <v/>
      </c>
      <c r="N3125" s="342" t="str">
        <f t="shared" si="818"/>
        <v/>
      </c>
      <c r="R3125" s="341"/>
      <c r="S3125" s="341"/>
    </row>
    <row r="3126" spans="1:25" ht="12.75" customHeight="1">
      <c r="A3126" s="393"/>
      <c r="B3126" s="395" t="s">
        <v>226</v>
      </c>
      <c r="C3126" s="396"/>
      <c r="D3126" s="397"/>
      <c r="E3126" s="398"/>
      <c r="F3126" s="399">
        <f>SUM(F3119:F3125)</f>
        <v>0</v>
      </c>
      <c r="J3126" s="341"/>
      <c r="L3126" s="380"/>
      <c r="M3126" s="381"/>
      <c r="N3126" s="342"/>
      <c r="R3126" s="341"/>
      <c r="S3126" s="341"/>
    </row>
    <row r="3127" spans="1:25" ht="12.75" customHeight="1">
      <c r="A3127" s="393"/>
      <c r="B3127" s="400" t="s">
        <v>229</v>
      </c>
      <c r="C3127" s="2">
        <f>IX.A!$C$45</f>
        <v>0</v>
      </c>
      <c r="D3127" s="401"/>
      <c r="E3127" s="402"/>
      <c r="F3127" s="403">
        <f>ROUND(F3126*C3127,2)</f>
        <v>0</v>
      </c>
      <c r="J3127" s="341"/>
      <c r="L3127" s="380"/>
      <c r="M3127" s="381"/>
      <c r="N3127" s="342"/>
      <c r="R3127" s="341"/>
      <c r="S3127" s="341"/>
    </row>
    <row r="3128" spans="1:25" ht="12.75" customHeight="1">
      <c r="A3128" s="393"/>
      <c r="B3128" s="400" t="s">
        <v>53</v>
      </c>
      <c r="C3128" s="2">
        <f>$D$8</f>
        <v>0</v>
      </c>
      <c r="D3128" s="401"/>
      <c r="E3128" s="402"/>
      <c r="F3128" s="403">
        <f>ROUND(SUM(F3126:F3127)*C3128,2)</f>
        <v>0</v>
      </c>
      <c r="J3128" s="341"/>
      <c r="L3128" s="380"/>
      <c r="M3128" s="381"/>
      <c r="N3128" s="342"/>
      <c r="R3128" s="341"/>
      <c r="S3128" s="341"/>
    </row>
    <row r="3129" spans="1:25" ht="12.75" customHeight="1" thickBot="1">
      <c r="A3129" s="414"/>
      <c r="B3129" s="415" t="s">
        <v>230</v>
      </c>
      <c r="C3129" s="416"/>
      <c r="D3129" s="416"/>
      <c r="E3129" s="417"/>
      <c r="F3129" s="418">
        <f>SUM(F3126:F3128)</f>
        <v>0</v>
      </c>
      <c r="J3129" s="341"/>
      <c r="L3129" s="380"/>
      <c r="M3129" s="381"/>
      <c r="N3129" s="342"/>
      <c r="R3129" s="341"/>
      <c r="S3129" s="341"/>
    </row>
    <row r="3130" spans="1:25" ht="12.75" customHeight="1" thickBot="1">
      <c r="A3130" s="357"/>
      <c r="B3130" s="358"/>
      <c r="C3130" s="359"/>
      <c r="D3130" s="359"/>
      <c r="E3130" s="360"/>
      <c r="F3130" s="419"/>
      <c r="J3130" s="341"/>
      <c r="L3130" s="380"/>
      <c r="M3130" s="381"/>
      <c r="N3130" s="342"/>
      <c r="R3130" s="341"/>
      <c r="S3130" s="341"/>
    </row>
    <row r="3131" spans="1:25" ht="30" customHeight="1">
      <c r="A3131" s="370" t="str">
        <f>IV.A!A99</f>
        <v>3.9.4</v>
      </c>
      <c r="B3131" s="371" t="str">
        <f>IV.A!B99</f>
        <v xml:space="preserve">CAMADA DE REGULARIZAÇÃO EM ARGAMASSA DESEMPENADA E=3CM, IMPERMEABILIZANTE E ADITIVO ADESIVO </v>
      </c>
      <c r="C3131" s="871" t="s">
        <v>237</v>
      </c>
      <c r="D3131" s="872"/>
      <c r="E3131" s="372" t="str">
        <f>IV.A!$C$99</f>
        <v>M2</v>
      </c>
      <c r="F3131" s="11">
        <f>ROUND(F3151+F3165+F3177,2)</f>
        <v>0</v>
      </c>
      <c r="G3131" s="1">
        <f>VLOOKUP(A3131,IV.A!$A$16:$L$172,4,FALSE)</f>
        <v>45</v>
      </c>
      <c r="H3131" s="361">
        <f>SUM(F3133:F3148)+F3150</f>
        <v>0</v>
      </c>
      <c r="I3131" s="361">
        <f>SUM(F3153:F3162)+F3164</f>
        <v>0</v>
      </c>
      <c r="J3131" s="361">
        <f>SUM(F3167:F3173)+F3175+F3176</f>
        <v>0</v>
      </c>
      <c r="K3131" s="361">
        <f>SUM(H3131:J3131)</f>
        <v>0</v>
      </c>
      <c r="L3131" s="362" t="str">
        <f>IF(K3131=F3131,"SIM","NÃO")</f>
        <v>SIM</v>
      </c>
      <c r="M3131" s="373">
        <f>ROUND(SUM(F3133:F3148),2)+ROUND(SUM(F3133:F3148)*C3150,2)+ROUND(SUM(F3153:F3162)*C3164,2)+ROUND(SUM(F3153:F3162),2)+ROUND(SUM(F3167:F3173)*C3175,2)+ROUND((SUM(F3167:F3173)+ROUND(SUM(F3167:F3173)*C3175,2))*C3176,2)+ROUND(SUM(F3167:F3173),2)</f>
        <v>0</v>
      </c>
      <c r="N3131" s="343" t="str">
        <f>IF(M3131=F3131,"SIM","NÃO")</f>
        <v>SIM</v>
      </c>
      <c r="O3131" s="364" t="str">
        <f>VLOOKUP(A3131,IV.A!$A$16:$E$172,3,FALSE)</f>
        <v>M2</v>
      </c>
      <c r="P3131" s="344" t="str">
        <f>IF(O3131=E3131,"SIM","NÃO")</f>
        <v>SIM</v>
      </c>
      <c r="Q3131" s="365">
        <f>ROUND(G3131*F3151,2)+ROUND(G3131*F3165,2)+ROUND(G3131*F3177,2)</f>
        <v>0</v>
      </c>
      <c r="R3131" s="364">
        <f>VLOOKUP(A3131,IV.A!$A$16:$L$172,12,FALSE)</f>
        <v>0</v>
      </c>
      <c r="S3131" s="366" t="str">
        <f>IF(Q3131=R3131,"si","no")</f>
        <v>si</v>
      </c>
      <c r="T3131" s="367">
        <f>SUM(L3133:L3148)+SUM(L3153:L3162)+SUM(L3167:L3173)</f>
        <v>485.84699999999998</v>
      </c>
      <c r="U3131" s="341">
        <f>(SUM(C3133:C3148)+SUM(C3153:C3162)+SUM(C3167:C3173))*G3131</f>
        <v>485.84699999999998</v>
      </c>
      <c r="V3131" s="368" t="str">
        <f>IF(T3131=U3131,"si","no")</f>
        <v>si</v>
      </c>
      <c r="W3131" s="369">
        <f>SUM(F3133:F3148)</f>
        <v>0</v>
      </c>
      <c r="X3131" s="369">
        <f>SUM(F3153:F3162)</f>
        <v>0</v>
      </c>
      <c r="Y3131" s="369">
        <f>SUM(F3167:F3173)</f>
        <v>0</v>
      </c>
    </row>
    <row r="3132" spans="1:25" ht="12.75" customHeight="1">
      <c r="A3132" s="374" t="s">
        <v>14</v>
      </c>
      <c r="B3132" s="375" t="s">
        <v>132</v>
      </c>
      <c r="C3132" s="376" t="s">
        <v>231</v>
      </c>
      <c r="D3132" s="376" t="s">
        <v>232</v>
      </c>
      <c r="E3132" s="377" t="s">
        <v>233</v>
      </c>
      <c r="F3132" s="378" t="s">
        <v>234</v>
      </c>
      <c r="G3132" s="379"/>
      <c r="J3132" s="341"/>
      <c r="L3132" s="380"/>
      <c r="M3132" s="381"/>
      <c r="N3132" s="342"/>
      <c r="O3132" s="382"/>
      <c r="P3132" s="383"/>
      <c r="Q3132" s="383"/>
      <c r="R3132" s="383"/>
      <c r="S3132" s="383"/>
      <c r="T3132" s="382"/>
      <c r="U3132" s="341"/>
      <c r="V3132" s="384"/>
      <c r="W3132" s="384"/>
      <c r="X3132" s="384"/>
      <c r="Y3132" s="384"/>
    </row>
    <row r="3133" spans="1:25" ht="12.75" customHeight="1">
      <c r="A3133" s="385" t="str">
        <f>VII.A!$A$13</f>
        <v>1.4</v>
      </c>
      <c r="B3133" s="386" t="str">
        <f>VLOOKUP(A3133,VII.A!$A$10:$G$199,2,FALSE)</f>
        <v>ADITIVO ADESIVO LIQUIDO PARA ARGAMASSAS DE REVESTIMENTOS CIMENTICIOS</v>
      </c>
      <c r="C3133" s="20">
        <v>0.6</v>
      </c>
      <c r="D3133" s="342" t="str">
        <f>VLOOKUP(A3133,VII.A!$A$10:$G$199,3,FALSE)</f>
        <v>L</v>
      </c>
      <c r="E3133" s="387">
        <f>VII.A!D13</f>
        <v>0</v>
      </c>
      <c r="F3133" s="388">
        <f>ROUND(C3133*E3133,2)</f>
        <v>0</v>
      </c>
      <c r="H3133" s="341">
        <f>IF(A3133="","",VLOOKUP(A3133,VII.A!$A$10:$D$199,4,FALSE))</f>
        <v>0</v>
      </c>
      <c r="I3133" s="341" t="str">
        <f t="shared" ref="I3133:I3148" si="819">IF(A3133="","",IF(E3133=H3133,"SIM","NÃO"))</f>
        <v>SIM</v>
      </c>
      <c r="J3133" s="341" t="str">
        <f>IF(A3133="","",VLOOKUP(A3133,VII.A!$A$10:$D$199,3,FALSE))</f>
        <v>L</v>
      </c>
      <c r="K3133" s="342" t="str">
        <f t="shared" ref="K3133:K3148" si="820">IF(A3133="","",IF(J3133=D3133,"SIM","NÃO"))</f>
        <v>SIM</v>
      </c>
      <c r="L3133" s="380">
        <f>IF(C3133="","",G3131*C3133)</f>
        <v>27</v>
      </c>
      <c r="M3133" s="381" t="str">
        <f>IF(A3133="","",VLOOKUP(A3133,VII.A!$A$10:$B$199,2,FALSE))</f>
        <v>ADITIVO ADESIVO LIQUIDO PARA ARGAMASSAS DE REVESTIMENTOS CIMENTICIOS</v>
      </c>
      <c r="N3133" s="342" t="str">
        <f t="shared" ref="N3133:N3148" si="821">IF(B3133="","",IF(M3133=B3133,"si","no"))</f>
        <v>si</v>
      </c>
      <c r="R3133" s="341"/>
      <c r="S3133" s="341"/>
    </row>
    <row r="3134" spans="1:25" ht="12.75" customHeight="1">
      <c r="A3134" s="385" t="str">
        <f>VII.A!$A$12</f>
        <v>1.3</v>
      </c>
      <c r="B3134" s="386" t="str">
        <f>VLOOKUP(A3134,VII.A!$A$10:$G$199,2,FALSE)</f>
        <v>ADITIVO HIDROFUGO IMPERMEABILIZANTE DE PEGA NORMAL PARA CONCRETO E ARGAMASSA</v>
      </c>
      <c r="C3134" s="20">
        <v>0.6</v>
      </c>
      <c r="D3134" s="342" t="str">
        <f>VLOOKUP(A3134,VII.A!$A$10:$G$199,3,FALSE)</f>
        <v>KG</v>
      </c>
      <c r="E3134" s="387">
        <f>VII.A!D12</f>
        <v>0</v>
      </c>
      <c r="F3134" s="388">
        <f t="shared" ref="F3134:F3148" si="822">ROUND(C3134*E3134,2)</f>
        <v>0</v>
      </c>
      <c r="H3134" s="341">
        <f>IF(A3134="","",VLOOKUP(A3134,VII.A!$A$10:$D$199,4,FALSE))</f>
        <v>0</v>
      </c>
      <c r="I3134" s="341" t="str">
        <f t="shared" si="819"/>
        <v>SIM</v>
      </c>
      <c r="J3134" s="341" t="str">
        <f>IF(A3134="","",VLOOKUP(A3134,VII.A!$A$10:$D$199,3,FALSE))</f>
        <v>KG</v>
      </c>
      <c r="K3134" s="342" t="str">
        <f t="shared" si="820"/>
        <v>SIM</v>
      </c>
      <c r="L3134" s="380">
        <f>IF(C3134="","",G3131*C3134)</f>
        <v>27</v>
      </c>
      <c r="M3134" s="381" t="str">
        <f>IF(A3134="","",VLOOKUP(A3134,VII.A!$A$10:$B$199,2,FALSE))</f>
        <v>ADITIVO HIDROFUGO IMPERMEABILIZANTE DE PEGA NORMAL PARA CONCRETO E ARGAMASSA</v>
      </c>
      <c r="N3134" s="342" t="str">
        <f t="shared" si="821"/>
        <v>si</v>
      </c>
      <c r="R3134" s="341"/>
      <c r="S3134" s="341"/>
    </row>
    <row r="3135" spans="1:25" ht="12.75" customHeight="1">
      <c r="A3135" s="385" t="str">
        <f>VII.A!$A$19</f>
        <v>1.10</v>
      </c>
      <c r="B3135" s="386" t="str">
        <f>VLOOKUP(A3135,VII.A!$A$10:$G$199,2,FALSE)</f>
        <v>AREIA MÉDIA LAVADA</v>
      </c>
      <c r="C3135" s="20">
        <v>3.6600000000000001E-2</v>
      </c>
      <c r="D3135" s="342" t="str">
        <f>VLOOKUP(A3135,VII.A!$A$10:$G$199,3,FALSE)</f>
        <v>M3</v>
      </c>
      <c r="E3135" s="387">
        <f>VII.A!D19</f>
        <v>0</v>
      </c>
      <c r="F3135" s="388">
        <f t="shared" si="822"/>
        <v>0</v>
      </c>
      <c r="H3135" s="341">
        <f>IF(A3135="","",VLOOKUP(A3135,VII.A!$A$10:$D$199,4,FALSE))</f>
        <v>0</v>
      </c>
      <c r="I3135" s="341" t="str">
        <f t="shared" si="819"/>
        <v>SIM</v>
      </c>
      <c r="J3135" s="341" t="str">
        <f>IF(A3135="","",VLOOKUP(A3135,VII.A!$A$10:$D$199,3,FALSE))</f>
        <v>M3</v>
      </c>
      <c r="K3135" s="342" t="str">
        <f t="shared" si="820"/>
        <v>SIM</v>
      </c>
      <c r="L3135" s="380">
        <f>IF(C3135="","",G3131*C3135)</f>
        <v>1.647</v>
      </c>
      <c r="M3135" s="381" t="str">
        <f>IF(A3135="","",VLOOKUP(A3135,VII.A!$A$10:$B$199,2,FALSE))</f>
        <v>AREIA MÉDIA LAVADA</v>
      </c>
      <c r="N3135" s="342" t="str">
        <f t="shared" si="821"/>
        <v>si</v>
      </c>
      <c r="R3135" s="341"/>
      <c r="S3135" s="341"/>
    </row>
    <row r="3136" spans="1:25" ht="12.75" customHeight="1">
      <c r="A3136" s="385" t="str">
        <f>VII.A!$A$38</f>
        <v>1.29</v>
      </c>
      <c r="B3136" s="386" t="str">
        <f>VLOOKUP(A3136,VII.A!$A$10:$G$199,2,FALSE)</f>
        <v>CIMENTO PORTLAND CP II-E-32</v>
      </c>
      <c r="C3136" s="20">
        <v>8.76</v>
      </c>
      <c r="D3136" s="342" t="str">
        <f>VLOOKUP(A3136,VII.A!$A$10:$G$199,3,FALSE)</f>
        <v>KG</v>
      </c>
      <c r="E3136" s="387">
        <f>VII.A!D38</f>
        <v>0</v>
      </c>
      <c r="F3136" s="388">
        <f t="shared" si="822"/>
        <v>0</v>
      </c>
      <c r="H3136" s="341">
        <f>IF(A3136="","",VLOOKUP(A3136,VII.A!$A$10:$D$199,4,FALSE))</f>
        <v>0</v>
      </c>
      <c r="I3136" s="341" t="str">
        <f t="shared" si="819"/>
        <v>SIM</v>
      </c>
      <c r="J3136" s="341" t="str">
        <f>IF(A3136="","",VLOOKUP(A3136,VII.A!$A$10:$D$199,3,FALSE))</f>
        <v>KG</v>
      </c>
      <c r="K3136" s="342" t="str">
        <f t="shared" si="820"/>
        <v>SIM</v>
      </c>
      <c r="L3136" s="380">
        <f>IF(C3136="","",G3131*C3136)</f>
        <v>394.2</v>
      </c>
      <c r="M3136" s="381" t="str">
        <f>IF(A3136="","",VLOOKUP(A3136,VII.A!$A$10:$B$199,2,FALSE))</f>
        <v>CIMENTO PORTLAND CP II-E-32</v>
      </c>
      <c r="N3136" s="342" t="str">
        <f t="shared" si="821"/>
        <v>si</v>
      </c>
      <c r="R3136" s="341"/>
      <c r="S3136" s="341"/>
    </row>
    <row r="3137" spans="1:21" ht="12.75" customHeight="1">
      <c r="A3137" s="385"/>
      <c r="B3137" s="386"/>
      <c r="C3137" s="20"/>
      <c r="D3137" s="342"/>
      <c r="E3137" s="387"/>
      <c r="F3137" s="388">
        <f t="shared" si="822"/>
        <v>0</v>
      </c>
      <c r="H3137" s="341" t="str">
        <f>IF(A3137="","",VLOOKUP(A3137,VII.A!$A$10:$D$199,4,FALSE))</f>
        <v/>
      </c>
      <c r="I3137" s="341" t="str">
        <f t="shared" si="819"/>
        <v/>
      </c>
      <c r="J3137" s="341" t="str">
        <f>IF(A3137="","",VLOOKUP(A3137,VII.A!$A$10:$D$199,3,FALSE))</f>
        <v/>
      </c>
      <c r="K3137" s="342" t="str">
        <f t="shared" si="820"/>
        <v/>
      </c>
      <c r="L3137" s="380" t="str">
        <f>IF(C3137="","",G3131*C3137)</f>
        <v/>
      </c>
      <c r="M3137" s="381" t="str">
        <f>IF(A3137="","",VLOOKUP(A3137,VII.A!$A$10:$B$199,2,FALSE))</f>
        <v/>
      </c>
      <c r="N3137" s="342" t="str">
        <f t="shared" si="821"/>
        <v/>
      </c>
      <c r="R3137" s="341"/>
      <c r="S3137" s="341"/>
    </row>
    <row r="3138" spans="1:21" ht="12.75" customHeight="1">
      <c r="A3138" s="385"/>
      <c r="B3138" s="386"/>
      <c r="C3138" s="20"/>
      <c r="D3138" s="342"/>
      <c r="E3138" s="387"/>
      <c r="F3138" s="388">
        <f t="shared" si="822"/>
        <v>0</v>
      </c>
      <c r="H3138" s="341" t="str">
        <f>IF(A3138="","",VLOOKUP(A3138,VII.A!$A$10:$D$199,4,FALSE))</f>
        <v/>
      </c>
      <c r="I3138" s="341" t="str">
        <f t="shared" si="819"/>
        <v/>
      </c>
      <c r="J3138" s="341" t="str">
        <f>IF(A3138="","",VLOOKUP(A3138,VII.A!$A$10:$D$199,3,FALSE))</f>
        <v/>
      </c>
      <c r="K3138" s="342" t="str">
        <f t="shared" si="820"/>
        <v/>
      </c>
      <c r="L3138" s="380" t="str">
        <f>IF(C3138="","",G3131*C3138)</f>
        <v/>
      </c>
      <c r="M3138" s="381" t="str">
        <f>IF(A3138="","",VLOOKUP(A3138,VII.A!$A$10:$B$199,2,FALSE))</f>
        <v/>
      </c>
      <c r="N3138" s="342" t="str">
        <f t="shared" si="821"/>
        <v/>
      </c>
      <c r="R3138" s="341"/>
      <c r="S3138" s="341"/>
      <c r="U3138" s="389"/>
    </row>
    <row r="3139" spans="1:21" ht="12.75" customHeight="1">
      <c r="A3139" s="385"/>
      <c r="B3139" s="386"/>
      <c r="C3139" s="20"/>
      <c r="D3139" s="342"/>
      <c r="E3139" s="387"/>
      <c r="F3139" s="388">
        <f t="shared" si="822"/>
        <v>0</v>
      </c>
      <c r="H3139" s="341" t="str">
        <f>IF(A3139="","",VLOOKUP(A3139,VII.A!$A$10:$D$199,4,FALSE))</f>
        <v/>
      </c>
      <c r="I3139" s="341" t="str">
        <f t="shared" si="819"/>
        <v/>
      </c>
      <c r="J3139" s="341" t="str">
        <f>IF(A3139="","",VLOOKUP(A3139,VII.A!$A$10:$D$199,3,FALSE))</f>
        <v/>
      </c>
      <c r="K3139" s="342" t="str">
        <f t="shared" si="820"/>
        <v/>
      </c>
      <c r="L3139" s="380" t="str">
        <f>IF(C3139="","",G3131*C3139)</f>
        <v/>
      </c>
      <c r="M3139" s="381" t="str">
        <f>IF(A3139="","",VLOOKUP(A3139,VII.A!$A$10:$B$199,2,FALSE))</f>
        <v/>
      </c>
      <c r="N3139" s="342" t="str">
        <f t="shared" si="821"/>
        <v/>
      </c>
      <c r="R3139" s="341"/>
      <c r="S3139" s="341"/>
    </row>
    <row r="3140" spans="1:21" ht="12.75" customHeight="1">
      <c r="A3140" s="385"/>
      <c r="B3140" s="386"/>
      <c r="C3140" s="20"/>
      <c r="D3140" s="342"/>
      <c r="E3140" s="387"/>
      <c r="F3140" s="388">
        <f t="shared" si="822"/>
        <v>0</v>
      </c>
      <c r="G3140" s="390"/>
      <c r="H3140" s="341" t="str">
        <f>IF(A3140="","",VLOOKUP(A3140,VII.A!$A$10:$D$199,4,FALSE))</f>
        <v/>
      </c>
      <c r="I3140" s="341" t="str">
        <f t="shared" si="819"/>
        <v/>
      </c>
      <c r="J3140" s="341" t="str">
        <f>IF(A3140="","",VLOOKUP(A3140,VII.A!$A$10:$D$199,3,FALSE))</f>
        <v/>
      </c>
      <c r="K3140" s="342" t="str">
        <f t="shared" si="820"/>
        <v/>
      </c>
      <c r="L3140" s="380" t="str">
        <f>IF(C3140="","",G3131*C3140)</f>
        <v/>
      </c>
      <c r="M3140" s="381" t="str">
        <f>IF(A3140="","",VLOOKUP(A3140,VII.A!$A$10:$B$199,2,FALSE))</f>
        <v/>
      </c>
      <c r="N3140" s="342" t="str">
        <f t="shared" si="821"/>
        <v/>
      </c>
      <c r="R3140" s="341"/>
      <c r="S3140" s="341"/>
    </row>
    <row r="3141" spans="1:21" ht="12.75" customHeight="1">
      <c r="A3141" s="385"/>
      <c r="B3141" s="386"/>
      <c r="C3141" s="20"/>
      <c r="D3141" s="342"/>
      <c r="E3141" s="387"/>
      <c r="F3141" s="388">
        <f t="shared" si="822"/>
        <v>0</v>
      </c>
      <c r="G3141" s="390"/>
      <c r="H3141" s="341" t="str">
        <f>IF(A3141="","",VLOOKUP(A3141,VII.A!$A$10:$D$199,4,FALSE))</f>
        <v/>
      </c>
      <c r="I3141" s="341" t="str">
        <f t="shared" si="819"/>
        <v/>
      </c>
      <c r="J3141" s="341" t="str">
        <f>IF(A3141="","",VLOOKUP(A3141,VII.A!$A$10:$D$199,3,FALSE))</f>
        <v/>
      </c>
      <c r="K3141" s="342" t="str">
        <f t="shared" si="820"/>
        <v/>
      </c>
      <c r="L3141" s="380" t="str">
        <f>IF(C3141="","",G3131*C3141)</f>
        <v/>
      </c>
      <c r="M3141" s="381" t="str">
        <f>IF(A3141="","",VLOOKUP(A3141,VII.A!$A$10:$B$199,2,FALSE))</f>
        <v/>
      </c>
      <c r="N3141" s="342" t="str">
        <f t="shared" si="821"/>
        <v/>
      </c>
      <c r="R3141" s="341"/>
      <c r="S3141" s="341"/>
    </row>
    <row r="3142" spans="1:21" ht="12.75" customHeight="1">
      <c r="A3142" s="385"/>
      <c r="B3142" s="386"/>
      <c r="C3142" s="20"/>
      <c r="D3142" s="342"/>
      <c r="E3142" s="387"/>
      <c r="F3142" s="388">
        <f t="shared" si="822"/>
        <v>0</v>
      </c>
      <c r="G3142" s="391"/>
      <c r="H3142" s="341" t="str">
        <f>IF(A3142="","",VLOOKUP(A3142,VII.A!$A$10:$D$199,4,FALSE))</f>
        <v/>
      </c>
      <c r="I3142" s="341" t="str">
        <f t="shared" si="819"/>
        <v/>
      </c>
      <c r="J3142" s="341" t="str">
        <f>IF(A3142="","",VLOOKUP(A3142,VII.A!$A$10:$D$199,3,FALSE))</f>
        <v/>
      </c>
      <c r="K3142" s="342" t="str">
        <f t="shared" si="820"/>
        <v/>
      </c>
      <c r="L3142" s="380" t="str">
        <f>IF(C3142="","",G3131*C3142)</f>
        <v/>
      </c>
      <c r="M3142" s="381" t="str">
        <f>IF(A3142="","",VLOOKUP(A3142,VII.A!$A$10:$B$199,2,FALSE))</f>
        <v/>
      </c>
      <c r="N3142" s="342" t="str">
        <f t="shared" si="821"/>
        <v/>
      </c>
      <c r="R3142" s="341"/>
      <c r="S3142" s="341"/>
    </row>
    <row r="3143" spans="1:21" ht="12.75" customHeight="1">
      <c r="A3143" s="385"/>
      <c r="B3143" s="386"/>
      <c r="C3143" s="20"/>
      <c r="D3143" s="342"/>
      <c r="E3143" s="387"/>
      <c r="F3143" s="388">
        <f t="shared" si="822"/>
        <v>0</v>
      </c>
      <c r="H3143" s="341" t="str">
        <f>IF(A3143="","",VLOOKUP(A3143,VII.A!$A$10:$D$199,4,FALSE))</f>
        <v/>
      </c>
      <c r="I3143" s="341" t="str">
        <f t="shared" si="819"/>
        <v/>
      </c>
      <c r="J3143" s="341" t="str">
        <f>IF(A3143="","",VLOOKUP(A3143,VII.A!$A$10:$D$199,3,FALSE))</f>
        <v/>
      </c>
      <c r="K3143" s="342" t="str">
        <f t="shared" si="820"/>
        <v/>
      </c>
      <c r="L3143" s="380" t="str">
        <f>IF(C3143="","",G3131*C3143)</f>
        <v/>
      </c>
      <c r="M3143" s="381" t="str">
        <f>IF(A3143="","",VLOOKUP(A3143,VII.A!$A$10:$B$199,2,FALSE))</f>
        <v/>
      </c>
      <c r="N3143" s="342" t="str">
        <f t="shared" si="821"/>
        <v/>
      </c>
      <c r="R3143" s="341"/>
      <c r="S3143" s="341"/>
    </row>
    <row r="3144" spans="1:21" ht="12.75" customHeight="1">
      <c r="A3144" s="385"/>
      <c r="B3144" s="386"/>
      <c r="C3144" s="20"/>
      <c r="D3144" s="392"/>
      <c r="E3144" s="387"/>
      <c r="F3144" s="388">
        <f t="shared" si="822"/>
        <v>0</v>
      </c>
      <c r="H3144" s="341" t="str">
        <f>IF(A3144="","",VLOOKUP(A3144,VII.A!$A$10:$D$199,4,FALSE))</f>
        <v/>
      </c>
      <c r="I3144" s="341" t="str">
        <f t="shared" si="819"/>
        <v/>
      </c>
      <c r="J3144" s="341" t="str">
        <f>IF(A3144="","",VLOOKUP(A3144,VII.A!$A$10:$D$199,3,FALSE))</f>
        <v/>
      </c>
      <c r="K3144" s="342" t="str">
        <f t="shared" si="820"/>
        <v/>
      </c>
      <c r="L3144" s="380" t="str">
        <f>IF(C3144="","",G3131*C3144)</f>
        <v/>
      </c>
      <c r="M3144" s="381" t="str">
        <f>IF(A3144="","",VLOOKUP(A3144,VII.A!$A$10:$B$199,2,FALSE))</f>
        <v/>
      </c>
      <c r="N3144" s="342" t="str">
        <f t="shared" si="821"/>
        <v/>
      </c>
      <c r="R3144" s="341"/>
      <c r="S3144" s="341"/>
    </row>
    <row r="3145" spans="1:21" ht="12.75" customHeight="1">
      <c r="A3145" s="385"/>
      <c r="B3145" s="386"/>
      <c r="C3145" s="20"/>
      <c r="D3145" s="392"/>
      <c r="E3145" s="387"/>
      <c r="F3145" s="388">
        <f t="shared" si="822"/>
        <v>0</v>
      </c>
      <c r="H3145" s="341" t="str">
        <f>IF(A3145="","",VLOOKUP(A3145,VII.A!$A$10:$D$199,4,FALSE))</f>
        <v/>
      </c>
      <c r="I3145" s="341" t="str">
        <f t="shared" si="819"/>
        <v/>
      </c>
      <c r="J3145" s="341" t="str">
        <f>IF(A3145="","",VLOOKUP(A3145,VII.A!$A$10:$D$199,3,FALSE))</f>
        <v/>
      </c>
      <c r="K3145" s="342" t="str">
        <f t="shared" si="820"/>
        <v/>
      </c>
      <c r="L3145" s="380" t="str">
        <f>IF(C3145="","",G3131*C3145)</f>
        <v/>
      </c>
      <c r="M3145" s="381" t="str">
        <f>IF(A3145="","",VLOOKUP(A3145,VII.A!$A$10:$B$199,2,FALSE))</f>
        <v/>
      </c>
      <c r="N3145" s="342" t="str">
        <f t="shared" si="821"/>
        <v/>
      </c>
      <c r="O3145" s="342"/>
      <c r="R3145" s="341"/>
      <c r="S3145" s="341"/>
    </row>
    <row r="3146" spans="1:21" ht="12.75" customHeight="1">
      <c r="A3146" s="385"/>
      <c r="B3146" s="386"/>
      <c r="C3146" s="20"/>
      <c r="D3146" s="392"/>
      <c r="E3146" s="387"/>
      <c r="F3146" s="388">
        <f t="shared" si="822"/>
        <v>0</v>
      </c>
      <c r="H3146" s="341" t="str">
        <f>IF(A3146="","",VLOOKUP(A3146,VII.A!$A$10:$D$199,4,FALSE))</f>
        <v/>
      </c>
      <c r="I3146" s="341" t="str">
        <f t="shared" si="819"/>
        <v/>
      </c>
      <c r="J3146" s="341" t="str">
        <f>IF(A3146="","",VLOOKUP(A3146,VII.A!$A$10:$D$199,3,FALSE))</f>
        <v/>
      </c>
      <c r="K3146" s="342" t="str">
        <f t="shared" si="820"/>
        <v/>
      </c>
      <c r="L3146" s="380" t="str">
        <f>IF(C3146="","",G3131*C3146)</f>
        <v/>
      </c>
      <c r="M3146" s="381" t="str">
        <f>IF(A3146="","",VLOOKUP(A3146,VII.A!$A$10:$B$199,2,FALSE))</f>
        <v/>
      </c>
      <c r="N3146" s="342" t="str">
        <f t="shared" si="821"/>
        <v/>
      </c>
      <c r="R3146" s="341"/>
      <c r="S3146" s="341"/>
    </row>
    <row r="3147" spans="1:21" ht="12.75" customHeight="1">
      <c r="A3147" s="393"/>
      <c r="C3147" s="20"/>
      <c r="E3147" s="387"/>
      <c r="F3147" s="388">
        <f t="shared" si="822"/>
        <v>0</v>
      </c>
      <c r="H3147" s="341" t="str">
        <f>IF(A3147="","",VLOOKUP(A3147,VII.A!$A$10:$D$199,4,FALSE))</f>
        <v/>
      </c>
      <c r="I3147" s="341" t="str">
        <f t="shared" si="819"/>
        <v/>
      </c>
      <c r="J3147" s="341" t="str">
        <f>IF(A3147="","",VLOOKUP(A3147,VII.A!$A$10:$D$199,3,FALSE))</f>
        <v/>
      </c>
      <c r="K3147" s="342" t="str">
        <f t="shared" si="820"/>
        <v/>
      </c>
      <c r="L3147" s="380" t="str">
        <f>IF(C3147="","",G3131*C3147)</f>
        <v/>
      </c>
      <c r="M3147" s="381" t="str">
        <f>IF(A3147="","",VLOOKUP(A3147,VII.A!$A$10:$B$199,2,FALSE))</f>
        <v/>
      </c>
      <c r="N3147" s="342" t="str">
        <f t="shared" si="821"/>
        <v/>
      </c>
      <c r="R3147" s="341"/>
      <c r="S3147" s="341"/>
    </row>
    <row r="3148" spans="1:21" ht="12.75" customHeight="1">
      <c r="A3148" s="393"/>
      <c r="C3148" s="20"/>
      <c r="E3148" s="387"/>
      <c r="F3148" s="388">
        <f t="shared" si="822"/>
        <v>0</v>
      </c>
      <c r="H3148" s="341" t="str">
        <f>IF(A3148="","",VLOOKUP(A3148,VII.A!$A$10:$D$199,4,FALSE))</f>
        <v/>
      </c>
      <c r="I3148" s="341" t="str">
        <f t="shared" si="819"/>
        <v/>
      </c>
      <c r="J3148" s="341" t="str">
        <f>IF(A3148="","",VLOOKUP(A3148,VII.A!$A$10:$D$199,3,FALSE))</f>
        <v/>
      </c>
      <c r="K3148" s="342" t="str">
        <f t="shared" si="820"/>
        <v/>
      </c>
      <c r="L3148" s="380" t="str">
        <f>IF(C3148="","",G3131*C3148)</f>
        <v/>
      </c>
      <c r="M3148" s="381" t="str">
        <f>IF(A3148="","",VLOOKUP(A3148,VII.A!$A$10:$B$199,2,FALSE))</f>
        <v/>
      </c>
      <c r="N3148" s="342" t="str">
        <f t="shared" si="821"/>
        <v/>
      </c>
      <c r="R3148" s="341"/>
      <c r="S3148" s="341"/>
    </row>
    <row r="3149" spans="1:21" ht="12.75" customHeight="1">
      <c r="A3149" s="393"/>
      <c r="B3149" s="395" t="s">
        <v>226</v>
      </c>
      <c r="C3149" s="396"/>
      <c r="D3149" s="397"/>
      <c r="E3149" s="398"/>
      <c r="F3149" s="399">
        <f>SUM(F3133:F3148)</f>
        <v>0</v>
      </c>
      <c r="H3149" s="426" t="s">
        <v>397</v>
      </c>
      <c r="J3149" s="341"/>
      <c r="L3149" s="380"/>
      <c r="M3149" s="381"/>
      <c r="N3149" s="342"/>
      <c r="R3149" s="341"/>
      <c r="S3149" s="341"/>
    </row>
    <row r="3150" spans="1:21" ht="12.75" customHeight="1">
      <c r="A3150" s="393"/>
      <c r="B3150" s="400" t="s">
        <v>53</v>
      </c>
      <c r="C3150" s="2">
        <f>$D$8</f>
        <v>0</v>
      </c>
      <c r="D3150" s="401"/>
      <c r="E3150" s="402"/>
      <c r="F3150" s="403">
        <f>ROUND(F3149*C3150,2)</f>
        <v>0</v>
      </c>
      <c r="J3150" s="341"/>
      <c r="L3150" s="380"/>
      <c r="M3150" s="381"/>
      <c r="N3150" s="342"/>
      <c r="R3150" s="341"/>
      <c r="S3150" s="341"/>
    </row>
    <row r="3151" spans="1:21" ht="12.75" customHeight="1">
      <c r="A3151" s="404"/>
      <c r="B3151" s="405" t="s">
        <v>227</v>
      </c>
      <c r="C3151" s="406"/>
      <c r="D3151" s="406"/>
      <c r="E3151" s="407"/>
      <c r="F3151" s="408">
        <f>F3149+F3150</f>
        <v>0</v>
      </c>
      <c r="J3151" s="341"/>
      <c r="L3151" s="380"/>
      <c r="M3151" s="381"/>
      <c r="N3151" s="342"/>
      <c r="R3151" s="341"/>
      <c r="S3151" s="341"/>
    </row>
    <row r="3152" spans="1:21" ht="12.75" customHeight="1">
      <c r="A3152" s="374" t="s">
        <v>2</v>
      </c>
      <c r="B3152" s="375" t="s">
        <v>235</v>
      </c>
      <c r="C3152" s="376" t="s">
        <v>231</v>
      </c>
      <c r="D3152" s="376" t="s">
        <v>232</v>
      </c>
      <c r="E3152" s="377" t="s">
        <v>233</v>
      </c>
      <c r="F3152" s="378" t="s">
        <v>234</v>
      </c>
      <c r="J3152" s="341"/>
      <c r="L3152" s="380"/>
      <c r="M3152" s="381"/>
      <c r="N3152" s="342"/>
      <c r="R3152" s="341"/>
      <c r="S3152" s="341"/>
    </row>
    <row r="3153" spans="1:19" ht="12.75" customHeight="1">
      <c r="A3153" s="393"/>
      <c r="B3153" s="423"/>
      <c r="C3153" s="20"/>
      <c r="E3153" s="387"/>
      <c r="F3153" s="388">
        <f t="shared" ref="F3153:F3162" si="823">ROUND(C3153*E3153,2)</f>
        <v>0</v>
      </c>
      <c r="H3153" s="341" t="str">
        <f>IF(A3153="","",VLOOKUP(A3153,VII.A!$A$10:$D$199,4,FALSE))</f>
        <v/>
      </c>
      <c r="I3153" s="341" t="str">
        <f t="shared" ref="I3153:I3162" si="824">IF(A3153="","",IF(E3153=H3153,"SIM","NÃO"))</f>
        <v/>
      </c>
      <c r="J3153" s="341" t="str">
        <f>IF(A3153="","",VLOOKUP(A3153,VII.A!$A$10:$D$199,3,FALSE))</f>
        <v/>
      </c>
      <c r="K3153" s="342" t="str">
        <f t="shared" ref="K3153:K3162" si="825">IF(A3153="","",IF(J3153=D3153,"SIM","NÃO"))</f>
        <v/>
      </c>
      <c r="L3153" s="380" t="str">
        <f>IF(C3153="","",G3131*C3153)</f>
        <v/>
      </c>
      <c r="M3153" s="381" t="str">
        <f>IF(A3153="","",VLOOKUP(A3153,VII.A!$A$10:$B$199,2,FALSE))</f>
        <v/>
      </c>
      <c r="N3153" s="342" t="str">
        <f t="shared" ref="N3153:N3162" si="826">IF(B3153="","",IF(M3153=B3153,"si","no"))</f>
        <v/>
      </c>
      <c r="R3153" s="341"/>
      <c r="S3153" s="341"/>
    </row>
    <row r="3154" spans="1:19" ht="12.75" customHeight="1">
      <c r="A3154" s="393"/>
      <c r="C3154" s="20"/>
      <c r="E3154" s="387"/>
      <c r="F3154" s="388">
        <f t="shared" si="823"/>
        <v>0</v>
      </c>
      <c r="H3154" s="341" t="str">
        <f>IF(A3154="","",VLOOKUP(A3154,VII.A!$A$10:$D$199,4,FALSE))</f>
        <v/>
      </c>
      <c r="I3154" s="341" t="str">
        <f t="shared" si="824"/>
        <v/>
      </c>
      <c r="J3154" s="341" t="str">
        <f>IF(A3154="","",VLOOKUP(A3154,VII.A!$A$10:$D$199,3,FALSE))</f>
        <v/>
      </c>
      <c r="K3154" s="342" t="str">
        <f t="shared" si="825"/>
        <v/>
      </c>
      <c r="L3154" s="380" t="str">
        <f>IF(C3154="","",G3131*C3154)</f>
        <v/>
      </c>
      <c r="M3154" s="381" t="str">
        <f>IF(A3154="","",VLOOKUP(A3154,VII.A!$A$10:$B$199,2,FALSE))</f>
        <v/>
      </c>
      <c r="N3154" s="342" t="str">
        <f t="shared" si="826"/>
        <v/>
      </c>
      <c r="R3154" s="341"/>
      <c r="S3154" s="341"/>
    </row>
    <row r="3155" spans="1:19" ht="12.75" customHeight="1">
      <c r="A3155" s="393"/>
      <c r="C3155" s="20"/>
      <c r="E3155" s="387"/>
      <c r="F3155" s="388">
        <f t="shared" si="823"/>
        <v>0</v>
      </c>
      <c r="H3155" s="341" t="str">
        <f>IF(A3155="","",VLOOKUP(A3155,VII.A!$A$10:$D$199,4,FALSE))</f>
        <v/>
      </c>
      <c r="I3155" s="341" t="str">
        <f t="shared" si="824"/>
        <v/>
      </c>
      <c r="J3155" s="341" t="str">
        <f>IF(A3155="","",VLOOKUP(A3155,VII.A!$A$10:$D$199,3,FALSE))</f>
        <v/>
      </c>
      <c r="K3155" s="342" t="str">
        <f t="shared" si="825"/>
        <v/>
      </c>
      <c r="L3155" s="380" t="str">
        <f>IF(C3155="","",G3131*C3155)</f>
        <v/>
      </c>
      <c r="M3155" s="381" t="str">
        <f>IF(A3155="","",VLOOKUP(A3155,VII.A!$A$10:$B$199,2,FALSE))</f>
        <v/>
      </c>
      <c r="N3155" s="342" t="str">
        <f t="shared" si="826"/>
        <v/>
      </c>
      <c r="R3155" s="341"/>
      <c r="S3155" s="341"/>
    </row>
    <row r="3156" spans="1:19" ht="12.75" customHeight="1">
      <c r="A3156" s="393"/>
      <c r="C3156" s="20"/>
      <c r="E3156" s="387"/>
      <c r="F3156" s="388">
        <f t="shared" si="823"/>
        <v>0</v>
      </c>
      <c r="H3156" s="341" t="str">
        <f>IF(A3156="","",VLOOKUP(A3156,VII.A!$A$10:$D$199,4,FALSE))</f>
        <v/>
      </c>
      <c r="I3156" s="341" t="str">
        <f t="shared" si="824"/>
        <v/>
      </c>
      <c r="J3156" s="341" t="str">
        <f>IF(A3156="","",VLOOKUP(A3156,VII.A!$A$10:$D$199,3,FALSE))</f>
        <v/>
      </c>
      <c r="K3156" s="342" t="str">
        <f t="shared" si="825"/>
        <v/>
      </c>
      <c r="L3156" s="380" t="str">
        <f>IF(C3156="","",G3131*C3156)</f>
        <v/>
      </c>
      <c r="M3156" s="381" t="str">
        <f>IF(A3156="","",VLOOKUP(A3156,VII.A!$A$10:$B$199,2,FALSE))</f>
        <v/>
      </c>
      <c r="N3156" s="342" t="str">
        <f t="shared" si="826"/>
        <v/>
      </c>
      <c r="R3156" s="341"/>
      <c r="S3156" s="341"/>
    </row>
    <row r="3157" spans="1:19" ht="12.75" customHeight="1">
      <c r="A3157" s="393"/>
      <c r="C3157" s="20"/>
      <c r="E3157" s="387"/>
      <c r="F3157" s="388">
        <f t="shared" si="823"/>
        <v>0</v>
      </c>
      <c r="G3157" s="390"/>
      <c r="H3157" s="341" t="str">
        <f>IF(A3157="","",VLOOKUP(A3157,VII.A!$A$10:$D$199,4,FALSE))</f>
        <v/>
      </c>
      <c r="I3157" s="341" t="str">
        <f t="shared" si="824"/>
        <v/>
      </c>
      <c r="J3157" s="341" t="str">
        <f>IF(A3157="","",VLOOKUP(A3157,VII.A!$A$10:$D$199,3,FALSE))</f>
        <v/>
      </c>
      <c r="K3157" s="342" t="str">
        <f t="shared" si="825"/>
        <v/>
      </c>
      <c r="L3157" s="380" t="str">
        <f>IF(C3157="","",G3131*C3157)</f>
        <v/>
      </c>
      <c r="M3157" s="381" t="str">
        <f>IF(A3157="","",VLOOKUP(A3157,VII.A!$A$10:$B$199,2,FALSE))</f>
        <v/>
      </c>
      <c r="N3157" s="342" t="str">
        <f t="shared" si="826"/>
        <v/>
      </c>
      <c r="R3157" s="341"/>
      <c r="S3157" s="341"/>
    </row>
    <row r="3158" spans="1:19" ht="12.75" customHeight="1">
      <c r="A3158" s="393"/>
      <c r="C3158" s="20"/>
      <c r="E3158" s="387"/>
      <c r="F3158" s="388">
        <f t="shared" si="823"/>
        <v>0</v>
      </c>
      <c r="G3158" s="391"/>
      <c r="H3158" s="341" t="str">
        <f>IF(A3158="","",VLOOKUP(A3158,VII.A!$A$10:$D$199,4,FALSE))</f>
        <v/>
      </c>
      <c r="I3158" s="341" t="str">
        <f t="shared" si="824"/>
        <v/>
      </c>
      <c r="J3158" s="341" t="str">
        <f>IF(A3158="","",VLOOKUP(A3158,VII.A!$A$10:$D$199,3,FALSE))</f>
        <v/>
      </c>
      <c r="K3158" s="342" t="str">
        <f t="shared" si="825"/>
        <v/>
      </c>
      <c r="L3158" s="380" t="str">
        <f>IF(C3158="","",G3131*C3158)</f>
        <v/>
      </c>
      <c r="M3158" s="381" t="str">
        <f>IF(A3158="","",VLOOKUP(A3158,VII.A!$A$10:$B$199,2,FALSE))</f>
        <v/>
      </c>
      <c r="N3158" s="342" t="str">
        <f t="shared" si="826"/>
        <v/>
      </c>
      <c r="R3158" s="341"/>
      <c r="S3158" s="341"/>
    </row>
    <row r="3159" spans="1:19" ht="12.75" customHeight="1">
      <c r="A3159" s="393"/>
      <c r="C3159" s="20"/>
      <c r="E3159" s="387"/>
      <c r="F3159" s="388">
        <f t="shared" si="823"/>
        <v>0</v>
      </c>
      <c r="H3159" s="341" t="str">
        <f>IF(A3159="","",VLOOKUP(A3159,VII.A!$A$10:$D$199,4,FALSE))</f>
        <v/>
      </c>
      <c r="I3159" s="341" t="str">
        <f t="shared" si="824"/>
        <v/>
      </c>
      <c r="J3159" s="341" t="str">
        <f>IF(A3159="","",VLOOKUP(A3159,VII.A!$A$10:$D$199,3,FALSE))</f>
        <v/>
      </c>
      <c r="K3159" s="342" t="str">
        <f t="shared" si="825"/>
        <v/>
      </c>
      <c r="L3159" s="380" t="str">
        <f>IF(C3159="","",G3131*C3159)</f>
        <v/>
      </c>
      <c r="M3159" s="381" t="str">
        <f>IF(A3159="","",VLOOKUP(A3159,VII.A!$A$10:$B$199,2,FALSE))</f>
        <v/>
      </c>
      <c r="N3159" s="342" t="str">
        <f t="shared" si="826"/>
        <v/>
      </c>
      <c r="R3159" s="341"/>
      <c r="S3159" s="341"/>
    </row>
    <row r="3160" spans="1:19" ht="12.75" customHeight="1">
      <c r="A3160" s="393"/>
      <c r="C3160" s="20"/>
      <c r="E3160" s="387"/>
      <c r="F3160" s="388">
        <f t="shared" si="823"/>
        <v>0</v>
      </c>
      <c r="H3160" s="341" t="str">
        <f>IF(A3160="","",VLOOKUP(A3160,VII.A!$A$10:$D$199,4,FALSE))</f>
        <v/>
      </c>
      <c r="I3160" s="341" t="str">
        <f t="shared" si="824"/>
        <v/>
      </c>
      <c r="J3160" s="341" t="str">
        <f>IF(A3160="","",VLOOKUP(A3160,VII.A!$A$10:$D$199,3,FALSE))</f>
        <v/>
      </c>
      <c r="K3160" s="342" t="str">
        <f t="shared" si="825"/>
        <v/>
      </c>
      <c r="L3160" s="380" t="str">
        <f>IF(C3160="","",G3131*C3160)</f>
        <v/>
      </c>
      <c r="M3160" s="381" t="str">
        <f>IF(A3160="","",VLOOKUP(A3160,VII.A!$A$10:$B$199,2,FALSE))</f>
        <v/>
      </c>
      <c r="N3160" s="342" t="str">
        <f t="shared" si="826"/>
        <v/>
      </c>
      <c r="R3160" s="341"/>
      <c r="S3160" s="341"/>
    </row>
    <row r="3161" spans="1:19" ht="12.75" customHeight="1">
      <c r="A3161" s="393"/>
      <c r="C3161" s="20"/>
      <c r="E3161" s="387"/>
      <c r="F3161" s="388">
        <f t="shared" si="823"/>
        <v>0</v>
      </c>
      <c r="H3161" s="341" t="str">
        <f>IF(A3161="","",VLOOKUP(A3161,VII.A!$A$10:$D$199,4,FALSE))</f>
        <v/>
      </c>
      <c r="I3161" s="341" t="str">
        <f t="shared" si="824"/>
        <v/>
      </c>
      <c r="J3161" s="341" t="str">
        <f>IF(A3161="","",VLOOKUP(A3161,VII.A!$A$10:$D$199,3,FALSE))</f>
        <v/>
      </c>
      <c r="K3161" s="342" t="str">
        <f t="shared" si="825"/>
        <v/>
      </c>
      <c r="L3161" s="380" t="str">
        <f>IF(C3161="","",G3131*C3161)</f>
        <v/>
      </c>
      <c r="M3161" s="381" t="str">
        <f>IF(A3161="","",VLOOKUP(A3161,VII.A!$A$10:$B$199,2,FALSE))</f>
        <v/>
      </c>
      <c r="N3161" s="342" t="str">
        <f t="shared" si="826"/>
        <v/>
      </c>
      <c r="R3161" s="341"/>
      <c r="S3161" s="341"/>
    </row>
    <row r="3162" spans="1:19" ht="12.75" customHeight="1">
      <c r="A3162" s="393"/>
      <c r="C3162" s="20"/>
      <c r="E3162" s="387"/>
      <c r="F3162" s="388">
        <f t="shared" si="823"/>
        <v>0</v>
      </c>
      <c r="H3162" s="341" t="str">
        <f>IF(A3162="","",VLOOKUP(A3162,VII.A!$A$10:$D$199,4,FALSE))</f>
        <v/>
      </c>
      <c r="I3162" s="341" t="str">
        <f t="shared" si="824"/>
        <v/>
      </c>
      <c r="J3162" s="341" t="str">
        <f>IF(A3162="","",VLOOKUP(A3162,VII.A!$A$10:$D$199,3,FALSE))</f>
        <v/>
      </c>
      <c r="K3162" s="342" t="str">
        <f t="shared" si="825"/>
        <v/>
      </c>
      <c r="L3162" s="380" t="str">
        <f>IF(C3162="","",G3131*C3162)</f>
        <v/>
      </c>
      <c r="M3162" s="381" t="str">
        <f>IF(A3162="","",VLOOKUP(A3162,VII.A!$A$10:$B$199,2,FALSE))</f>
        <v/>
      </c>
      <c r="N3162" s="342" t="str">
        <f t="shared" si="826"/>
        <v/>
      </c>
      <c r="R3162" s="341"/>
      <c r="S3162" s="341"/>
    </row>
    <row r="3163" spans="1:19" ht="12.75" customHeight="1">
      <c r="A3163" s="393"/>
      <c r="B3163" s="395" t="s">
        <v>226</v>
      </c>
      <c r="C3163" s="396"/>
      <c r="D3163" s="397"/>
      <c r="E3163" s="398"/>
      <c r="F3163" s="399">
        <f>SUM(F3153:F3162)</f>
        <v>0</v>
      </c>
      <c r="J3163" s="341"/>
      <c r="L3163" s="380"/>
      <c r="M3163" s="381"/>
      <c r="N3163" s="342"/>
      <c r="R3163" s="341"/>
      <c r="S3163" s="341"/>
    </row>
    <row r="3164" spans="1:19" ht="12.75" customHeight="1">
      <c r="A3164" s="393"/>
      <c r="B3164" s="400" t="s">
        <v>53</v>
      </c>
      <c r="C3164" s="2">
        <f>$D$8</f>
        <v>0</v>
      </c>
      <c r="D3164" s="401"/>
      <c r="E3164" s="402"/>
      <c r="F3164" s="403">
        <f>ROUND(C3164*F3163,2)</f>
        <v>0</v>
      </c>
      <c r="J3164" s="341"/>
      <c r="L3164" s="380"/>
      <c r="M3164" s="381"/>
      <c r="N3164" s="342"/>
      <c r="R3164" s="341"/>
      <c r="S3164" s="341"/>
    </row>
    <row r="3165" spans="1:19" ht="12.75" customHeight="1">
      <c r="A3165" s="404"/>
      <c r="B3165" s="405" t="s">
        <v>228</v>
      </c>
      <c r="C3165" s="406"/>
      <c r="D3165" s="406"/>
      <c r="E3165" s="407"/>
      <c r="F3165" s="408">
        <f>F3163+F3164</f>
        <v>0</v>
      </c>
      <c r="J3165" s="341"/>
      <c r="L3165" s="380"/>
      <c r="M3165" s="381"/>
      <c r="N3165" s="342"/>
      <c r="R3165" s="341"/>
      <c r="S3165" s="341"/>
    </row>
    <row r="3166" spans="1:19" ht="12.75" customHeight="1">
      <c r="A3166" s="409" t="s">
        <v>47</v>
      </c>
      <c r="B3166" s="410" t="s">
        <v>236</v>
      </c>
      <c r="C3166" s="411" t="s">
        <v>231</v>
      </c>
      <c r="D3166" s="412" t="s">
        <v>232</v>
      </c>
      <c r="E3166" s="413" t="s">
        <v>233</v>
      </c>
      <c r="F3166" s="378" t="s">
        <v>234</v>
      </c>
      <c r="J3166" s="341"/>
      <c r="L3166" s="380"/>
      <c r="M3166" s="381"/>
      <c r="N3166" s="342"/>
      <c r="R3166" s="341"/>
      <c r="S3166" s="341"/>
    </row>
    <row r="3167" spans="1:19" ht="12.75" customHeight="1">
      <c r="A3167" s="393" t="str">
        <f>VII.A!$A$196</f>
        <v>3.16</v>
      </c>
      <c r="B3167" s="394" t="s">
        <v>157</v>
      </c>
      <c r="C3167" s="20">
        <v>0.55000000000000004</v>
      </c>
      <c r="D3167" s="384" t="str">
        <f>VLOOKUP(A3167,VII.A!$A$10:$G$199,3,FALSE)</f>
        <v>H</v>
      </c>
      <c r="E3167" s="387">
        <f>VII.A!D196</f>
        <v>0</v>
      </c>
      <c r="F3167" s="388">
        <f t="shared" ref="F3167:F3173" si="827">ROUND(C3167*E3167,2)</f>
        <v>0</v>
      </c>
      <c r="H3167" s="341">
        <f>IF(A3167="","",VLOOKUP(A3167,VII.A!$A$10:$D$199,4,FALSE))</f>
        <v>0</v>
      </c>
      <c r="I3167" s="341" t="str">
        <f t="shared" ref="I3167:I3173" si="828">IF(A3167="","",IF(E3167=H3167,"SIM","NÃO"))</f>
        <v>SIM</v>
      </c>
      <c r="J3167" s="341" t="str">
        <f>IF(A3167="","",VLOOKUP(A3167,VII.A!$A$10:$D$199,3,FALSE))</f>
        <v>H</v>
      </c>
      <c r="K3167" s="342" t="str">
        <f t="shared" ref="K3167:K3173" si="829">IF(A3167="","",IF(J3167=D3167,"SIM","NÃO"))</f>
        <v>SIM</v>
      </c>
      <c r="L3167" s="380">
        <f>IF(C3167="","",G3131*C3167)</f>
        <v>24.750000000000004</v>
      </c>
      <c r="M3167" s="381" t="str">
        <f>IF(A3167="","",VLOOKUP(A3167,VII.A!$A$10:$B$199,2,FALSE))</f>
        <v>SERVENTE COM ENCARGOS COMPLEMENTARES</v>
      </c>
      <c r="N3167" s="342" t="str">
        <f t="shared" ref="N3167:N3173" si="830">IF(B3167="","",IF(M3167=B3167,"si","no"))</f>
        <v>si</v>
      </c>
      <c r="R3167" s="341"/>
      <c r="S3167" s="341"/>
    </row>
    <row r="3168" spans="1:19" ht="12.75" customHeight="1">
      <c r="A3168" s="393" t="str">
        <f>VII.A!$A$192</f>
        <v>3.12</v>
      </c>
      <c r="B3168" s="394" t="s">
        <v>153</v>
      </c>
      <c r="C3168" s="20">
        <v>0.25</v>
      </c>
      <c r="D3168" s="384" t="str">
        <f>VLOOKUP(A3168,VII.A!$A$10:$G$199,3,FALSE)</f>
        <v>H</v>
      </c>
      <c r="E3168" s="387">
        <f>VII.A!D192</f>
        <v>0</v>
      </c>
      <c r="F3168" s="388">
        <f t="shared" si="827"/>
        <v>0</v>
      </c>
      <c r="H3168" s="341">
        <f>IF(A3168="","",VLOOKUP(A3168,VII.A!$A$10:$D$199,4,FALSE))</f>
        <v>0</v>
      </c>
      <c r="I3168" s="341" t="str">
        <f t="shared" si="828"/>
        <v>SIM</v>
      </c>
      <c r="J3168" s="341" t="str">
        <f>IF(A3168="","",VLOOKUP(A3168,VII.A!$A$10:$D$199,3,FALSE))</f>
        <v>H</v>
      </c>
      <c r="K3168" s="342" t="str">
        <f t="shared" si="829"/>
        <v>SIM</v>
      </c>
      <c r="L3168" s="380">
        <f>IF(C3168="","",G3131*C3168)</f>
        <v>11.25</v>
      </c>
      <c r="M3168" s="381" t="str">
        <f>IF(A3168="","",VLOOKUP(A3168,VII.A!$A$10:$B$199,2,FALSE))</f>
        <v>PEDREIRO COM ENCARGOS COMPLEMENTARES</v>
      </c>
      <c r="N3168" s="342" t="str">
        <f t="shared" si="830"/>
        <v>si</v>
      </c>
      <c r="R3168" s="341"/>
      <c r="S3168" s="341"/>
    </row>
    <row r="3169" spans="1:25" ht="12.75" customHeight="1">
      <c r="A3169" s="393"/>
      <c r="C3169" s="20"/>
      <c r="E3169" s="387"/>
      <c r="F3169" s="388">
        <f t="shared" si="827"/>
        <v>0</v>
      </c>
      <c r="H3169" s="341" t="str">
        <f>IF(A3169="","",VLOOKUP(A3169,VII.A!$A$10:$D$199,4,FALSE))</f>
        <v/>
      </c>
      <c r="I3169" s="341" t="str">
        <f t="shared" si="828"/>
        <v/>
      </c>
      <c r="J3169" s="341" t="str">
        <f>IF(A3169="","",VLOOKUP(A3169,VII.A!$A$10:$D$199,3,FALSE))</f>
        <v/>
      </c>
      <c r="K3169" s="342" t="str">
        <f t="shared" si="829"/>
        <v/>
      </c>
      <c r="L3169" s="380" t="str">
        <f>IF(C3169="","",G3131*C3169)</f>
        <v/>
      </c>
      <c r="M3169" s="381" t="str">
        <f>IF(A3169="","",VLOOKUP(A3169,VII.A!$A$10:$B$199,2,FALSE))</f>
        <v/>
      </c>
      <c r="N3169" s="342" t="str">
        <f t="shared" si="830"/>
        <v/>
      </c>
      <c r="R3169" s="341"/>
      <c r="S3169" s="341"/>
    </row>
    <row r="3170" spans="1:25" ht="12.75" customHeight="1">
      <c r="A3170" s="393"/>
      <c r="C3170" s="20"/>
      <c r="E3170" s="387"/>
      <c r="F3170" s="388">
        <f t="shared" si="827"/>
        <v>0</v>
      </c>
      <c r="H3170" s="341" t="str">
        <f>IF(A3170="","",VLOOKUP(A3170,VII.A!$A$10:$D$199,4,FALSE))</f>
        <v/>
      </c>
      <c r="I3170" s="341" t="str">
        <f t="shared" si="828"/>
        <v/>
      </c>
      <c r="J3170" s="341" t="str">
        <f>IF(A3170="","",VLOOKUP(A3170,VII.A!$A$10:$D$199,3,FALSE))</f>
        <v/>
      </c>
      <c r="K3170" s="342" t="str">
        <f t="shared" si="829"/>
        <v/>
      </c>
      <c r="L3170" s="380" t="str">
        <f>IF(C3170="","",G3131*C3170)</f>
        <v/>
      </c>
      <c r="M3170" s="381" t="str">
        <f>IF(A3170="","",VLOOKUP(A3170,VII.A!$A$10:$B$199,2,FALSE))</f>
        <v/>
      </c>
      <c r="N3170" s="342" t="str">
        <f t="shared" si="830"/>
        <v/>
      </c>
      <c r="R3170" s="341"/>
      <c r="S3170" s="341"/>
    </row>
    <row r="3171" spans="1:25" ht="12.75" customHeight="1">
      <c r="A3171" s="393"/>
      <c r="C3171" s="20"/>
      <c r="E3171" s="387"/>
      <c r="F3171" s="388">
        <f t="shared" si="827"/>
        <v>0</v>
      </c>
      <c r="H3171" s="341" t="str">
        <f>IF(A3171="","",VLOOKUP(A3171,VII.A!$A$10:$D$199,4,FALSE))</f>
        <v/>
      </c>
      <c r="I3171" s="341" t="str">
        <f t="shared" si="828"/>
        <v/>
      </c>
      <c r="J3171" s="341" t="str">
        <f>IF(A3171="","",VLOOKUP(A3171,VII.A!$A$10:$D$199,3,FALSE))</f>
        <v/>
      </c>
      <c r="K3171" s="342" t="str">
        <f t="shared" si="829"/>
        <v/>
      </c>
      <c r="L3171" s="380" t="str">
        <f>IF(C3171="","",G3131*C3171)</f>
        <v/>
      </c>
      <c r="M3171" s="381" t="str">
        <f>IF(A3171="","",VLOOKUP(A3171,VII.A!$A$10:$B$199,2,FALSE))</f>
        <v/>
      </c>
      <c r="N3171" s="342" t="str">
        <f t="shared" si="830"/>
        <v/>
      </c>
      <c r="R3171" s="341"/>
      <c r="S3171" s="341"/>
    </row>
    <row r="3172" spans="1:25" ht="12.75" customHeight="1">
      <c r="A3172" s="393"/>
      <c r="C3172" s="20"/>
      <c r="E3172" s="387"/>
      <c r="F3172" s="388">
        <f t="shared" si="827"/>
        <v>0</v>
      </c>
      <c r="H3172" s="341" t="str">
        <f>IF(A3172="","",VLOOKUP(A3172,VII.A!$A$10:$D$199,4,FALSE))</f>
        <v/>
      </c>
      <c r="I3172" s="341" t="str">
        <f t="shared" si="828"/>
        <v/>
      </c>
      <c r="J3172" s="341" t="str">
        <f>IF(A3172="","",VLOOKUP(A3172,VII.A!$A$10:$D$199,3,FALSE))</f>
        <v/>
      </c>
      <c r="K3172" s="342" t="str">
        <f t="shared" si="829"/>
        <v/>
      </c>
      <c r="L3172" s="380" t="str">
        <f>IF(C3172="","",G3131*C3172)</f>
        <v/>
      </c>
      <c r="M3172" s="381" t="str">
        <f>IF(A3172="","",VLOOKUP(A3172,VII.A!$A$10:$B$199,2,FALSE))</f>
        <v/>
      </c>
      <c r="N3172" s="342" t="str">
        <f t="shared" si="830"/>
        <v/>
      </c>
      <c r="R3172" s="341"/>
      <c r="S3172" s="341"/>
    </row>
    <row r="3173" spans="1:25" ht="12.75" customHeight="1">
      <c r="A3173" s="393"/>
      <c r="C3173" s="20"/>
      <c r="E3173" s="387"/>
      <c r="F3173" s="388">
        <f t="shared" si="827"/>
        <v>0</v>
      </c>
      <c r="H3173" s="341" t="str">
        <f>IF(A3173="","",VLOOKUP(A3173,VII.A!$A$10:$D$199,4,FALSE))</f>
        <v/>
      </c>
      <c r="I3173" s="341" t="str">
        <f t="shared" si="828"/>
        <v/>
      </c>
      <c r="J3173" s="341" t="str">
        <f>IF(A3173="","",VLOOKUP(A3173,VII.A!$A$10:$D$199,3,FALSE))</f>
        <v/>
      </c>
      <c r="K3173" s="342" t="str">
        <f t="shared" si="829"/>
        <v/>
      </c>
      <c r="L3173" s="380" t="str">
        <f>IF(C3173="","",G3131*C3173)</f>
        <v/>
      </c>
      <c r="M3173" s="381" t="str">
        <f>IF(A3173="","",VLOOKUP(A3173,VII.A!$A$10:$B$199,2,FALSE))</f>
        <v/>
      </c>
      <c r="N3173" s="342" t="str">
        <f t="shared" si="830"/>
        <v/>
      </c>
      <c r="R3173" s="341"/>
      <c r="S3173" s="341"/>
    </row>
    <row r="3174" spans="1:25" ht="12.75" customHeight="1">
      <c r="A3174" s="393"/>
      <c r="B3174" s="395" t="s">
        <v>226</v>
      </c>
      <c r="C3174" s="396"/>
      <c r="D3174" s="397"/>
      <c r="E3174" s="398"/>
      <c r="F3174" s="399">
        <f>SUM(F3167:F3173)</f>
        <v>0</v>
      </c>
      <c r="J3174" s="341"/>
      <c r="L3174" s="380"/>
      <c r="M3174" s="381"/>
      <c r="N3174" s="342"/>
      <c r="R3174" s="341"/>
      <c r="S3174" s="341"/>
    </row>
    <row r="3175" spans="1:25" ht="12.75" customHeight="1">
      <c r="A3175" s="393"/>
      <c r="B3175" s="400" t="s">
        <v>229</v>
      </c>
      <c r="C3175" s="2">
        <f>IX.A!$C$45</f>
        <v>0</v>
      </c>
      <c r="D3175" s="401"/>
      <c r="E3175" s="402"/>
      <c r="F3175" s="403">
        <f>ROUND(F3174*C3175,2)</f>
        <v>0</v>
      </c>
      <c r="J3175" s="341"/>
      <c r="L3175" s="380"/>
      <c r="M3175" s="381"/>
      <c r="N3175" s="342"/>
      <c r="R3175" s="341"/>
      <c r="S3175" s="341"/>
    </row>
    <row r="3176" spans="1:25" ht="12.75" customHeight="1">
      <c r="A3176" s="393"/>
      <c r="B3176" s="400" t="s">
        <v>53</v>
      </c>
      <c r="C3176" s="2">
        <f>$D$8</f>
        <v>0</v>
      </c>
      <c r="D3176" s="401"/>
      <c r="E3176" s="402"/>
      <c r="F3176" s="403">
        <f>ROUND(SUM(F3174:F3175)*C3176,2)</f>
        <v>0</v>
      </c>
      <c r="J3176" s="341"/>
      <c r="L3176" s="380"/>
      <c r="M3176" s="381"/>
      <c r="N3176" s="342"/>
      <c r="R3176" s="341"/>
      <c r="S3176" s="341"/>
    </row>
    <row r="3177" spans="1:25" ht="12.75" customHeight="1" thickBot="1">
      <c r="A3177" s="414"/>
      <c r="B3177" s="415" t="s">
        <v>230</v>
      </c>
      <c r="C3177" s="416"/>
      <c r="D3177" s="416"/>
      <c r="E3177" s="417"/>
      <c r="F3177" s="418">
        <f>SUM(F3174:F3176)</f>
        <v>0</v>
      </c>
      <c r="J3177" s="341"/>
      <c r="L3177" s="380"/>
      <c r="M3177" s="381"/>
      <c r="N3177" s="342"/>
      <c r="R3177" s="341"/>
      <c r="S3177" s="341"/>
    </row>
    <row r="3178" spans="1:25" ht="12.75" customHeight="1" thickBot="1">
      <c r="A3178" s="357"/>
      <c r="B3178" s="358"/>
      <c r="C3178" s="359"/>
      <c r="D3178" s="359"/>
      <c r="E3178" s="360"/>
      <c r="F3178" s="419"/>
      <c r="J3178" s="341"/>
      <c r="L3178" s="380"/>
      <c r="M3178" s="381"/>
      <c r="N3178" s="342"/>
      <c r="R3178" s="341"/>
      <c r="S3178" s="341"/>
    </row>
    <row r="3179" spans="1:25" ht="30" customHeight="1">
      <c r="A3179" s="370" t="str">
        <f>IV.A!$A$101</f>
        <v>3.10.1</v>
      </c>
      <c r="B3179" s="371" t="str">
        <f>IV.A!$B$101</f>
        <v xml:space="preserve">LAJE PRE-MOLDADA P/FORRO, E=8CM, C/LAJOTAS E CAP.C/CONC FCK=20MPA, 3CM, INTER-EIXO 38CM, C/ESCORAMENTO E FERRAGEM NEGATIVA </v>
      </c>
      <c r="C3179" s="871" t="s">
        <v>237</v>
      </c>
      <c r="D3179" s="872"/>
      <c r="E3179" s="372" t="str">
        <f>IV.A!$C$101</f>
        <v>M2</v>
      </c>
      <c r="F3179" s="11">
        <f>ROUND(F3199+F3213+F3225,2)</f>
        <v>0</v>
      </c>
      <c r="G3179" s="1">
        <f>VLOOKUP(A3179,IV.A!$A$16:$L$172,4,FALSE)</f>
        <v>200</v>
      </c>
      <c r="H3179" s="361">
        <f>SUM(F3181:F3196)+F3198</f>
        <v>0</v>
      </c>
      <c r="I3179" s="361">
        <f>SUM(F3201:F3210)+F3212</f>
        <v>0</v>
      </c>
      <c r="J3179" s="361">
        <f>SUM(F3215:F3221)+F3223+F3224</f>
        <v>0</v>
      </c>
      <c r="K3179" s="361">
        <f>SUM(H3179:J3179)</f>
        <v>0</v>
      </c>
      <c r="L3179" s="362" t="str">
        <f>IF(K3179=F3179,"SIM","NÃO")</f>
        <v>SIM</v>
      </c>
      <c r="M3179" s="373">
        <f>ROUND(SUM(F3181:F3196),2)+ROUND(SUM(F3181:F3196)*C3198,2)+ROUND(SUM(F3201:F3210)*C3212,2)+ROUND(SUM(F3201:F3210),2)+ROUND(SUM(F3215:F3221)*C3223,2)+ROUND((SUM(F3215:F3221)+ROUND(SUM(F3215:F3221)*C3223,2))*C3224,2)+ROUND(SUM(F3215:F3221),2)</f>
        <v>0</v>
      </c>
      <c r="N3179" s="343" t="str">
        <f>IF(M3179=F3179,"SIM","NÃO")</f>
        <v>SIM</v>
      </c>
      <c r="O3179" s="364" t="str">
        <f>VLOOKUP(A3179,IV.A!$A$16:$E$172,3,FALSE)</f>
        <v>M2</v>
      </c>
      <c r="P3179" s="344" t="str">
        <f>IF(O3179=E3179,"SIM","NÃO")</f>
        <v>SIM</v>
      </c>
      <c r="Q3179" s="365">
        <f>ROUND(G3179*F3199,2)+ROUND(G3179*F3213,2)+ROUND(G3179*F3225,2)</f>
        <v>0</v>
      </c>
      <c r="R3179" s="364">
        <f>VLOOKUP(A3179,IV.A!$A$16:$L$172,12,FALSE)</f>
        <v>0</v>
      </c>
      <c r="S3179" s="366" t="str">
        <f>IF(Q3179=R3179,"si","no")</f>
        <v>si</v>
      </c>
      <c r="T3179" s="367">
        <f>SUM(L3181:L3196)+SUM(L3201:L3210)+SUM(L3215:L3221)</f>
        <v>2778.6881999999996</v>
      </c>
      <c r="U3179" s="341">
        <f>(SUM(C3181:C3196)+SUM(C3201:C3210)+SUM(C3215:C3221))*G3179</f>
        <v>2778.6881999999996</v>
      </c>
      <c r="V3179" s="368" t="str">
        <f>IF(T3179=U3179,"si","no")</f>
        <v>si</v>
      </c>
      <c r="W3179" s="369">
        <f>SUM(F3181:F3196)</f>
        <v>0</v>
      </c>
      <c r="X3179" s="369">
        <f>SUM(F3201:F3210)</f>
        <v>0</v>
      </c>
      <c r="Y3179" s="369">
        <f>SUM(F3215:F3221)</f>
        <v>0</v>
      </c>
    </row>
    <row r="3180" spans="1:25" ht="12.75" customHeight="1">
      <c r="A3180" s="374" t="s">
        <v>14</v>
      </c>
      <c r="B3180" s="375" t="s">
        <v>132</v>
      </c>
      <c r="C3180" s="376" t="s">
        <v>231</v>
      </c>
      <c r="D3180" s="376" t="s">
        <v>232</v>
      </c>
      <c r="E3180" s="377" t="s">
        <v>233</v>
      </c>
      <c r="F3180" s="378" t="s">
        <v>234</v>
      </c>
      <c r="G3180" s="379"/>
      <c r="J3180" s="341"/>
      <c r="L3180" s="380"/>
      <c r="M3180" s="381"/>
      <c r="N3180" s="342"/>
      <c r="O3180" s="382"/>
      <c r="P3180" s="383"/>
      <c r="Q3180" s="383"/>
      <c r="R3180" s="383"/>
      <c r="S3180" s="383"/>
      <c r="T3180" s="382"/>
      <c r="U3180" s="341"/>
      <c r="V3180" s="384"/>
      <c r="W3180" s="384"/>
      <c r="X3180" s="384"/>
      <c r="Y3180" s="384"/>
    </row>
    <row r="3181" spans="1:25" ht="12.75" customHeight="1">
      <c r="A3181" s="385" t="str">
        <f>VII.A!$A$19</f>
        <v>1.10</v>
      </c>
      <c r="B3181" s="386" t="str">
        <f>VLOOKUP(A3181,VII.A!$A$10:$G$199,2,FALSE)</f>
        <v>AREIA MÉDIA LAVADA</v>
      </c>
      <c r="C3181" s="20">
        <v>2.5805999999999999E-2</v>
      </c>
      <c r="D3181" s="342" t="str">
        <f>VLOOKUP(A3181,VII.A!$A$10:$G$199,3,FALSE)</f>
        <v>M3</v>
      </c>
      <c r="E3181" s="387">
        <f>VII.A!D19</f>
        <v>0</v>
      </c>
      <c r="F3181" s="388">
        <f>ROUND(C3181*E3181,2)</f>
        <v>0</v>
      </c>
      <c r="H3181" s="341">
        <f>IF(A3181="","",VLOOKUP(A3181,VII.A!$A$10:$D$199,4,FALSE))</f>
        <v>0</v>
      </c>
      <c r="I3181" s="341" t="str">
        <f t="shared" ref="I3181:I3196" si="831">IF(A3181="","",IF(E3181=H3181,"SIM","NÃO"))</f>
        <v>SIM</v>
      </c>
      <c r="J3181" s="341" t="str">
        <f>IF(A3181="","",VLOOKUP(A3181,VII.A!$A$10:$D$199,3,FALSE))</f>
        <v>M3</v>
      </c>
      <c r="K3181" s="342" t="str">
        <f t="shared" ref="K3181:K3196" si="832">IF(A3181="","",IF(J3181=D3181,"SIM","NÃO"))</f>
        <v>SIM</v>
      </c>
      <c r="L3181" s="380">
        <f>IF(C3181="","",G3179*C3181)</f>
        <v>5.1612</v>
      </c>
      <c r="M3181" s="381" t="str">
        <f>IF(A3181="","",VLOOKUP(A3181,VII.A!$A$10:$B$199,2,FALSE))</f>
        <v>AREIA MÉDIA LAVADA</v>
      </c>
      <c r="N3181" s="342" t="str">
        <f t="shared" ref="N3181:N3196" si="833">IF(B3181="","",IF(M3181=B3181,"si","no"))</f>
        <v>si</v>
      </c>
      <c r="R3181" s="341"/>
      <c r="S3181" s="341"/>
    </row>
    <row r="3182" spans="1:25" ht="12.75" customHeight="1">
      <c r="A3182" s="385" t="str">
        <f>VII.A!$A$38</f>
        <v>1.29</v>
      </c>
      <c r="B3182" s="386" t="str">
        <f>VLOOKUP(A3182,VII.A!$A$10:$G$199,2,FALSE)</f>
        <v>CIMENTO PORTLAND CP II-E-32</v>
      </c>
      <c r="C3182" s="20">
        <v>10.62072</v>
      </c>
      <c r="D3182" s="342" t="str">
        <f>VLOOKUP(A3182,VII.A!$A$10:$G$199,3,FALSE)</f>
        <v>KG</v>
      </c>
      <c r="E3182" s="387">
        <f>VII.A!D38</f>
        <v>0</v>
      </c>
      <c r="F3182" s="388">
        <f t="shared" ref="F3182:F3196" si="834">ROUND(C3182*E3182,2)</f>
        <v>0</v>
      </c>
      <c r="H3182" s="341">
        <f>IF(A3182="","",VLOOKUP(A3182,VII.A!$A$10:$D$199,4,FALSE))</f>
        <v>0</v>
      </c>
      <c r="I3182" s="341" t="str">
        <f t="shared" si="831"/>
        <v>SIM</v>
      </c>
      <c r="J3182" s="341" t="str">
        <f>IF(A3182="","",VLOOKUP(A3182,VII.A!$A$10:$D$199,3,FALSE))</f>
        <v>KG</v>
      </c>
      <c r="K3182" s="342" t="str">
        <f t="shared" si="832"/>
        <v>SIM</v>
      </c>
      <c r="L3182" s="380">
        <f>IF(C3182="","",G3179*C3182)</f>
        <v>2124.1440000000002</v>
      </c>
      <c r="M3182" s="381" t="str">
        <f>IF(A3182="","",VLOOKUP(A3182,VII.A!$A$10:$B$199,2,FALSE))</f>
        <v>CIMENTO PORTLAND CP II-E-32</v>
      </c>
      <c r="N3182" s="342" t="str">
        <f t="shared" si="833"/>
        <v>si</v>
      </c>
      <c r="R3182" s="341"/>
      <c r="S3182" s="341"/>
    </row>
    <row r="3183" spans="1:25" ht="12.75" customHeight="1">
      <c r="A3183" s="385" t="str">
        <f>VII.A!$A$66</f>
        <v>1.57</v>
      </c>
      <c r="B3183" s="386" t="str">
        <f>VLOOKUP(A3183,VII.A!$A$10:$G$199,2,FALSE)</f>
        <v>LAJE PRE-MOLDADA (LAJOTAS+VIGOTAS), UNIDIRECIONAL, SOBRECARGA 100 KG/M2, VAO ATE 4,0 M</v>
      </c>
      <c r="C3183" s="20">
        <v>1</v>
      </c>
      <c r="D3183" s="342" t="str">
        <f>VLOOKUP(A3183,VII.A!$A$10:$G$199,3,FALSE)</f>
        <v>M2</v>
      </c>
      <c r="E3183" s="387">
        <f>VII.A!D66</f>
        <v>0</v>
      </c>
      <c r="F3183" s="388">
        <f t="shared" si="834"/>
        <v>0</v>
      </c>
      <c r="H3183" s="341">
        <f>IF(A3183="","",VLOOKUP(A3183,VII.A!$A$10:$D$199,4,FALSE))</f>
        <v>0</v>
      </c>
      <c r="I3183" s="341" t="str">
        <f t="shared" si="831"/>
        <v>SIM</v>
      </c>
      <c r="J3183" s="341" t="str">
        <f>IF(A3183="","",VLOOKUP(A3183,VII.A!$A$10:$D$199,3,FALSE))</f>
        <v>M2</v>
      </c>
      <c r="K3183" s="342" t="str">
        <f t="shared" si="832"/>
        <v>SIM</v>
      </c>
      <c r="L3183" s="380">
        <f>IF(C3183="","",G3179*C3183)</f>
        <v>200</v>
      </c>
      <c r="M3183" s="381" t="str">
        <f>IF(A3183="","",VLOOKUP(A3183,VII.A!$A$10:$B$199,2,FALSE))</f>
        <v>LAJE PRE-MOLDADA (LAJOTAS+VIGOTAS), UNIDIRECIONAL, SOBRECARGA 100 KG/M2, VAO ATE 4,0 M</v>
      </c>
      <c r="N3183" s="342" t="str">
        <f t="shared" si="833"/>
        <v>si</v>
      </c>
      <c r="R3183" s="341"/>
      <c r="S3183" s="341"/>
    </row>
    <row r="3184" spans="1:25" ht="12.75" customHeight="1">
      <c r="A3184" s="385" t="str">
        <f>VII.A!$A$82</f>
        <v>1.73</v>
      </c>
      <c r="B3184" s="386" t="str">
        <f>VLOOKUP(A3184,VII.A!$A$10:$G$199,2,FALSE)</f>
        <v>PEDRA BRITADA Nº 1 GRANULOMETRIA ENTRE (9,5 E 25,00 MM)</v>
      </c>
      <c r="C3184" s="20">
        <v>1.9304999999999999E-2</v>
      </c>
      <c r="D3184" s="342" t="str">
        <f>VLOOKUP(A3184,VII.A!$A$10:$G$199,3,FALSE)</f>
        <v>M3</v>
      </c>
      <c r="E3184" s="387">
        <f>VII.A!$D$82</f>
        <v>0</v>
      </c>
      <c r="F3184" s="388">
        <f t="shared" si="834"/>
        <v>0</v>
      </c>
      <c r="H3184" s="341">
        <f>IF(A3184="","",VLOOKUP(A3184,VII.A!$A$10:$D$199,4,FALSE))</f>
        <v>0</v>
      </c>
      <c r="I3184" s="341" t="str">
        <f t="shared" si="831"/>
        <v>SIM</v>
      </c>
      <c r="J3184" s="341" t="str">
        <f>IF(A3184="","",VLOOKUP(A3184,VII.A!$A$10:$D$199,3,FALSE))</f>
        <v>M3</v>
      </c>
      <c r="K3184" s="342" t="str">
        <f t="shared" si="832"/>
        <v>SIM</v>
      </c>
      <c r="L3184" s="380">
        <f>IF(C3184="","",G3179*C3184)</f>
        <v>3.8609999999999998</v>
      </c>
      <c r="M3184" s="381" t="str">
        <f>IF(A3184="","",VLOOKUP(A3184,VII.A!$A$10:$B$199,2,FALSE))</f>
        <v>PEDRA BRITADA Nº 1 GRANULOMETRIA ENTRE (9,5 E 25,00 MM)</v>
      </c>
      <c r="N3184" s="342" t="str">
        <f t="shared" si="833"/>
        <v>si</v>
      </c>
      <c r="R3184" s="341"/>
      <c r="S3184" s="341"/>
    </row>
    <row r="3185" spans="1:21" ht="12.75" customHeight="1">
      <c r="A3185" s="385" t="str">
        <f>VII.A!$A$79</f>
        <v>1.70</v>
      </c>
      <c r="B3185" s="386" t="str">
        <f>VLOOKUP(A3185,VII.A!$A$10:$G$199,2,FALSE)</f>
        <v>PONTALETE DE MADEIRA NAO APARELHADA - 7,5 X 7,5 CM (3 X 3 ")</v>
      </c>
      <c r="C3185" s="20">
        <v>0.28999999999999998</v>
      </c>
      <c r="D3185" s="342" t="str">
        <f>VLOOKUP(A3185,VII.A!$A$10:$G$199,3,FALSE)</f>
        <v>M</v>
      </c>
      <c r="E3185" s="387">
        <f>VII.A!D79</f>
        <v>0</v>
      </c>
      <c r="F3185" s="388">
        <f t="shared" si="834"/>
        <v>0</v>
      </c>
      <c r="H3185" s="341">
        <f>IF(A3185="","",VLOOKUP(A3185,VII.A!$A$10:$D$199,4,FALSE))</f>
        <v>0</v>
      </c>
      <c r="I3185" s="341" t="str">
        <f t="shared" si="831"/>
        <v>SIM</v>
      </c>
      <c r="J3185" s="341" t="str">
        <f>IF(A3185="","",VLOOKUP(A3185,VII.A!$A$10:$D$199,3,FALSE))</f>
        <v>M</v>
      </c>
      <c r="K3185" s="342" t="str">
        <f t="shared" si="832"/>
        <v>SIM</v>
      </c>
      <c r="L3185" s="380">
        <f>IF(C3185="","",G3179*C3185)</f>
        <v>57.999999999999993</v>
      </c>
      <c r="M3185" s="381" t="str">
        <f>IF(A3185="","",VLOOKUP(A3185,VII.A!$A$10:$B$199,2,FALSE))</f>
        <v>PONTALETE DE MADEIRA NAO APARELHADA - 7,5 X 7,5 CM (3 X 3 ")</v>
      </c>
      <c r="N3185" s="342" t="str">
        <f t="shared" si="833"/>
        <v>si</v>
      </c>
      <c r="R3185" s="341"/>
      <c r="S3185" s="341"/>
    </row>
    <row r="3186" spans="1:21" ht="12.75" customHeight="1">
      <c r="A3186" s="385" t="str">
        <f>VII.A!$A$101</f>
        <v>1.91</v>
      </c>
      <c r="B3186" s="386" t="str">
        <f>VLOOKUP(A3186,VII.A!$A$10:$G$199,2,FALSE)</f>
        <v>TÁBUA MADEIRA 3A QUALIDADE 2,5 X 30CM (1X12") NÃO APARELHADA</v>
      </c>
      <c r="C3186" s="20">
        <v>0.17</v>
      </c>
      <c r="D3186" s="342" t="str">
        <f>VLOOKUP(A3186,VII.A!$A$10:$G$199,3,FALSE)</f>
        <v>M</v>
      </c>
      <c r="E3186" s="387">
        <f>VII.A!$D$101</f>
        <v>0</v>
      </c>
      <c r="F3186" s="388">
        <f t="shared" si="834"/>
        <v>0</v>
      </c>
      <c r="H3186" s="341">
        <f>IF(A3186="","",VLOOKUP(A3186,VII.A!$A$10:$D$199,4,FALSE))</f>
        <v>0</v>
      </c>
      <c r="I3186" s="341" t="str">
        <f t="shared" si="831"/>
        <v>SIM</v>
      </c>
      <c r="J3186" s="341" t="str">
        <f>IF(A3186="","",VLOOKUP(A3186,VII.A!$A$10:$D$199,3,FALSE))</f>
        <v>M</v>
      </c>
      <c r="K3186" s="342" t="str">
        <f t="shared" si="832"/>
        <v>SIM</v>
      </c>
      <c r="L3186" s="380">
        <f>IF(C3186="","",G3179*C3186)</f>
        <v>34</v>
      </c>
      <c r="M3186" s="381" t="str">
        <f>IF(A3186="","",VLOOKUP(A3186,VII.A!$A$10:$B$199,2,FALSE))</f>
        <v>TÁBUA MADEIRA 3A QUALIDADE 2,5 X 30CM (1X12") NÃO APARELHADA</v>
      </c>
      <c r="N3186" s="342" t="str">
        <f t="shared" si="833"/>
        <v>si</v>
      </c>
      <c r="R3186" s="341"/>
      <c r="S3186" s="341"/>
      <c r="U3186" s="389"/>
    </row>
    <row r="3187" spans="1:21" ht="12.75" customHeight="1">
      <c r="A3187" s="385" t="str">
        <f>VII.A!$A$10</f>
        <v>1.1</v>
      </c>
      <c r="B3187" s="386" t="str">
        <f>VLOOKUP(A3187,VII.A!$A$10:$G$199,2,FALSE)</f>
        <v>AÇO CA-50 (MÉDIA DAS BITOLAS)</v>
      </c>
      <c r="C3187" s="20">
        <v>0.47099999999999997</v>
      </c>
      <c r="D3187" s="342" t="str">
        <f>VLOOKUP(A3187,VII.A!$A$10:$G$199,3,FALSE)</f>
        <v>KG</v>
      </c>
      <c r="E3187" s="387">
        <f>VII.A!$D$10</f>
        <v>0</v>
      </c>
      <c r="F3187" s="388">
        <f t="shared" si="834"/>
        <v>0</v>
      </c>
      <c r="H3187" s="341">
        <f>IF(A3187="","",VLOOKUP(A3187,VII.A!$A$10:$D$199,4,FALSE))</f>
        <v>0</v>
      </c>
      <c r="I3187" s="341" t="str">
        <f t="shared" si="831"/>
        <v>SIM</v>
      </c>
      <c r="J3187" s="341" t="str">
        <f>IF(A3187="","",VLOOKUP(A3187,VII.A!$A$10:$D$199,3,FALSE))</f>
        <v>KG</v>
      </c>
      <c r="K3187" s="342" t="str">
        <f t="shared" si="832"/>
        <v>SIM</v>
      </c>
      <c r="L3187" s="380">
        <f>IF(C3187="","",G3179*C3187)</f>
        <v>94.199999999999989</v>
      </c>
      <c r="M3187" s="381" t="str">
        <f>IF(A3187="","",VLOOKUP(A3187,VII.A!$A$10:$B$199,2,FALSE))</f>
        <v>AÇO CA-50 (MÉDIA DAS BITOLAS)</v>
      </c>
      <c r="N3187" s="342" t="str">
        <f t="shared" si="833"/>
        <v>si</v>
      </c>
      <c r="R3187" s="341"/>
      <c r="S3187" s="341"/>
    </row>
    <row r="3188" spans="1:21" ht="12.75" customHeight="1">
      <c r="A3188" s="385" t="str">
        <f>VII.A!$A$90</f>
        <v>1.80</v>
      </c>
      <c r="B3188" s="386" t="str">
        <f>VLOOKUP(A3188,VII.A!$A$10:$G$199,2,FALSE)</f>
        <v>PREGO EM AÇO POLIDO COM CABEÇA (MEDIA DAS BITOLAS)</v>
      </c>
      <c r="C3188" s="20">
        <v>0.03</v>
      </c>
      <c r="D3188" s="342" t="str">
        <f>VLOOKUP(A3188,VII.A!$A$10:$G$199,3,FALSE)</f>
        <v>KG</v>
      </c>
      <c r="E3188" s="387">
        <f>VII.A!$D$90</f>
        <v>0</v>
      </c>
      <c r="F3188" s="388">
        <f t="shared" si="834"/>
        <v>0</v>
      </c>
      <c r="G3188" s="390"/>
      <c r="H3188" s="341">
        <f>IF(A3188="","",VLOOKUP(A3188,VII.A!$A$10:$D$199,4,FALSE))</f>
        <v>0</v>
      </c>
      <c r="I3188" s="341" t="str">
        <f t="shared" si="831"/>
        <v>SIM</v>
      </c>
      <c r="J3188" s="341" t="str">
        <f>IF(A3188="","",VLOOKUP(A3188,VII.A!$A$10:$D$199,3,FALSE))</f>
        <v>KG</v>
      </c>
      <c r="K3188" s="342" t="str">
        <f t="shared" si="832"/>
        <v>SIM</v>
      </c>
      <c r="L3188" s="380">
        <f>IF(C3188="","",G3179*C3188)</f>
        <v>6</v>
      </c>
      <c r="M3188" s="381" t="str">
        <f>IF(A3188="","",VLOOKUP(A3188,VII.A!$A$10:$B$199,2,FALSE))</f>
        <v>PREGO EM AÇO POLIDO COM CABEÇA (MEDIA DAS BITOLAS)</v>
      </c>
      <c r="N3188" s="342" t="str">
        <f t="shared" si="833"/>
        <v>si</v>
      </c>
      <c r="R3188" s="341"/>
      <c r="S3188" s="341"/>
    </row>
    <row r="3189" spans="1:21" ht="12.75" customHeight="1">
      <c r="A3189" s="385"/>
      <c r="B3189" s="386"/>
      <c r="C3189" s="20"/>
      <c r="D3189" s="342"/>
      <c r="E3189" s="387"/>
      <c r="F3189" s="388">
        <f t="shared" si="834"/>
        <v>0</v>
      </c>
      <c r="G3189" s="390"/>
      <c r="H3189" s="341" t="str">
        <f>IF(A3189="","",VLOOKUP(A3189,VII.A!$A$10:$D$199,4,FALSE))</f>
        <v/>
      </c>
      <c r="I3189" s="341" t="str">
        <f t="shared" si="831"/>
        <v/>
      </c>
      <c r="J3189" s="341" t="str">
        <f>IF(A3189="","",VLOOKUP(A3189,VII.A!$A$10:$D$199,3,FALSE))</f>
        <v/>
      </c>
      <c r="K3189" s="342" t="str">
        <f t="shared" si="832"/>
        <v/>
      </c>
      <c r="L3189" s="380" t="str">
        <f>IF(C3189="","",G3179*C3189)</f>
        <v/>
      </c>
      <c r="M3189" s="381" t="str">
        <f>IF(A3189="","",VLOOKUP(A3189,VII.A!$A$10:$B$199,2,FALSE))</f>
        <v/>
      </c>
      <c r="N3189" s="342" t="str">
        <f t="shared" si="833"/>
        <v/>
      </c>
      <c r="R3189" s="341"/>
      <c r="S3189" s="341"/>
    </row>
    <row r="3190" spans="1:21" ht="12.75" customHeight="1">
      <c r="A3190" s="385"/>
      <c r="B3190" s="386"/>
      <c r="C3190" s="20"/>
      <c r="D3190" s="342"/>
      <c r="E3190" s="387"/>
      <c r="F3190" s="388">
        <f t="shared" si="834"/>
        <v>0</v>
      </c>
      <c r="G3190" s="391"/>
      <c r="H3190" s="341" t="str">
        <f>IF(A3190="","",VLOOKUP(A3190,VII.A!$A$10:$D$199,4,FALSE))</f>
        <v/>
      </c>
      <c r="I3190" s="341" t="str">
        <f t="shared" si="831"/>
        <v/>
      </c>
      <c r="J3190" s="341" t="str">
        <f>IF(A3190="","",VLOOKUP(A3190,VII.A!$A$10:$D$199,3,FALSE))</f>
        <v/>
      </c>
      <c r="K3190" s="342" t="str">
        <f t="shared" si="832"/>
        <v/>
      </c>
      <c r="L3190" s="380" t="str">
        <f>IF(C3190="","",G3179*C3190)</f>
        <v/>
      </c>
      <c r="M3190" s="381" t="str">
        <f>IF(A3190="","",VLOOKUP(A3190,VII.A!$A$10:$B$199,2,FALSE))</f>
        <v/>
      </c>
      <c r="N3190" s="342" t="str">
        <f t="shared" si="833"/>
        <v/>
      </c>
      <c r="R3190" s="341"/>
      <c r="S3190" s="341"/>
    </row>
    <row r="3191" spans="1:21" ht="12.75" customHeight="1">
      <c r="A3191" s="385"/>
      <c r="B3191" s="386"/>
      <c r="C3191" s="20"/>
      <c r="D3191" s="342"/>
      <c r="E3191" s="387"/>
      <c r="F3191" s="388">
        <f t="shared" si="834"/>
        <v>0</v>
      </c>
      <c r="H3191" s="341" t="str">
        <f>IF(A3191="","",VLOOKUP(A3191,VII.A!$A$10:$D$199,4,FALSE))</f>
        <v/>
      </c>
      <c r="I3191" s="341" t="str">
        <f t="shared" si="831"/>
        <v/>
      </c>
      <c r="J3191" s="341" t="str">
        <f>IF(A3191="","",VLOOKUP(A3191,VII.A!$A$10:$D$199,3,FALSE))</f>
        <v/>
      </c>
      <c r="K3191" s="342" t="str">
        <f t="shared" si="832"/>
        <v/>
      </c>
      <c r="L3191" s="380" t="str">
        <f>IF(C3191="","",G3179*C3191)</f>
        <v/>
      </c>
      <c r="M3191" s="381" t="str">
        <f>IF(A3191="","",VLOOKUP(A3191,VII.A!$A$10:$B$199,2,FALSE))</f>
        <v/>
      </c>
      <c r="N3191" s="342" t="str">
        <f t="shared" si="833"/>
        <v/>
      </c>
      <c r="R3191" s="341"/>
      <c r="S3191" s="341"/>
    </row>
    <row r="3192" spans="1:21" ht="12.75" customHeight="1">
      <c r="A3192" s="385"/>
      <c r="B3192" s="386"/>
      <c r="C3192" s="20"/>
      <c r="D3192" s="392"/>
      <c r="E3192" s="387"/>
      <c r="F3192" s="388">
        <f t="shared" si="834"/>
        <v>0</v>
      </c>
      <c r="H3192" s="341" t="str">
        <f>IF(A3192="","",VLOOKUP(A3192,VII.A!$A$10:$D$199,4,FALSE))</f>
        <v/>
      </c>
      <c r="I3192" s="341" t="str">
        <f t="shared" si="831"/>
        <v/>
      </c>
      <c r="J3192" s="341" t="str">
        <f>IF(A3192="","",VLOOKUP(A3192,VII.A!$A$10:$D$199,3,FALSE))</f>
        <v/>
      </c>
      <c r="K3192" s="342" t="str">
        <f t="shared" si="832"/>
        <v/>
      </c>
      <c r="L3192" s="380" t="str">
        <f>IF(C3192="","",G3179*C3192)</f>
        <v/>
      </c>
      <c r="M3192" s="381" t="str">
        <f>IF(A3192="","",VLOOKUP(A3192,VII.A!$A$10:$B$199,2,FALSE))</f>
        <v/>
      </c>
      <c r="N3192" s="342" t="str">
        <f t="shared" si="833"/>
        <v/>
      </c>
      <c r="R3192" s="341"/>
      <c r="S3192" s="341"/>
    </row>
    <row r="3193" spans="1:21" ht="12.75" customHeight="1">
      <c r="A3193" s="385"/>
      <c r="B3193" s="386"/>
      <c r="C3193" s="20"/>
      <c r="D3193" s="392"/>
      <c r="E3193" s="387"/>
      <c r="F3193" s="388">
        <f t="shared" si="834"/>
        <v>0</v>
      </c>
      <c r="H3193" s="341" t="str">
        <f>IF(A3193="","",VLOOKUP(A3193,VII.A!$A$10:$D$199,4,FALSE))</f>
        <v/>
      </c>
      <c r="I3193" s="341" t="str">
        <f t="shared" si="831"/>
        <v/>
      </c>
      <c r="J3193" s="341" t="str">
        <f>IF(A3193="","",VLOOKUP(A3193,VII.A!$A$10:$D$199,3,FALSE))</f>
        <v/>
      </c>
      <c r="K3193" s="342" t="str">
        <f t="shared" si="832"/>
        <v/>
      </c>
      <c r="L3193" s="380" t="str">
        <f>IF(C3193="","",G3179*C3193)</f>
        <v/>
      </c>
      <c r="M3193" s="381" t="str">
        <f>IF(A3193="","",VLOOKUP(A3193,VII.A!$A$10:$B$199,2,FALSE))</f>
        <v/>
      </c>
      <c r="N3193" s="342" t="str">
        <f t="shared" si="833"/>
        <v/>
      </c>
      <c r="O3193" s="342"/>
      <c r="R3193" s="341"/>
      <c r="S3193" s="341"/>
    </row>
    <row r="3194" spans="1:21" ht="12.75" customHeight="1">
      <c r="A3194" s="385"/>
      <c r="B3194" s="386"/>
      <c r="C3194" s="20"/>
      <c r="D3194" s="392"/>
      <c r="E3194" s="387"/>
      <c r="F3194" s="388">
        <f t="shared" si="834"/>
        <v>0</v>
      </c>
      <c r="H3194" s="341" t="str">
        <f>IF(A3194="","",VLOOKUP(A3194,VII.A!$A$10:$D$199,4,FALSE))</f>
        <v/>
      </c>
      <c r="I3194" s="341" t="str">
        <f t="shared" si="831"/>
        <v/>
      </c>
      <c r="J3194" s="341" t="str">
        <f>IF(A3194="","",VLOOKUP(A3194,VII.A!$A$10:$D$199,3,FALSE))</f>
        <v/>
      </c>
      <c r="K3194" s="342" t="str">
        <f t="shared" si="832"/>
        <v/>
      </c>
      <c r="L3194" s="380" t="str">
        <f>IF(C3194="","",G3179*C3194)</f>
        <v/>
      </c>
      <c r="M3194" s="381" t="str">
        <f>IF(A3194="","",VLOOKUP(A3194,VII.A!$A$10:$B$199,2,FALSE))</f>
        <v/>
      </c>
      <c r="N3194" s="342" t="str">
        <f t="shared" si="833"/>
        <v/>
      </c>
      <c r="R3194" s="341"/>
      <c r="S3194" s="341"/>
    </row>
    <row r="3195" spans="1:21" ht="12.75" customHeight="1">
      <c r="A3195" s="393"/>
      <c r="C3195" s="20"/>
      <c r="E3195" s="387"/>
      <c r="F3195" s="388">
        <f t="shared" si="834"/>
        <v>0</v>
      </c>
      <c r="H3195" s="341" t="str">
        <f>IF(A3195="","",VLOOKUP(A3195,VII.A!$A$10:$D$199,4,FALSE))</f>
        <v/>
      </c>
      <c r="I3195" s="341" t="str">
        <f t="shared" si="831"/>
        <v/>
      </c>
      <c r="J3195" s="341" t="str">
        <f>IF(A3195="","",VLOOKUP(A3195,VII.A!$A$10:$D$199,3,FALSE))</f>
        <v/>
      </c>
      <c r="K3195" s="342" t="str">
        <f t="shared" si="832"/>
        <v/>
      </c>
      <c r="L3195" s="380" t="str">
        <f>IF(C3195="","",G3179*C3195)</f>
        <v/>
      </c>
      <c r="M3195" s="381" t="str">
        <f>IF(A3195="","",VLOOKUP(A3195,VII.A!$A$10:$B$199,2,FALSE))</f>
        <v/>
      </c>
      <c r="N3195" s="342" t="str">
        <f t="shared" si="833"/>
        <v/>
      </c>
      <c r="R3195" s="341"/>
      <c r="S3195" s="341"/>
    </row>
    <row r="3196" spans="1:21" ht="12.75" customHeight="1">
      <c r="A3196" s="393"/>
      <c r="C3196" s="20"/>
      <c r="E3196" s="387"/>
      <c r="F3196" s="388">
        <f t="shared" si="834"/>
        <v>0</v>
      </c>
      <c r="H3196" s="341" t="str">
        <f>IF(A3196="","",VLOOKUP(A3196,VII.A!$A$10:$D$199,4,FALSE))</f>
        <v/>
      </c>
      <c r="I3196" s="341" t="str">
        <f t="shared" si="831"/>
        <v/>
      </c>
      <c r="J3196" s="341" t="str">
        <f>IF(A3196="","",VLOOKUP(A3196,VII.A!$A$10:$D$199,3,FALSE))</f>
        <v/>
      </c>
      <c r="K3196" s="342" t="str">
        <f t="shared" si="832"/>
        <v/>
      </c>
      <c r="L3196" s="380" t="str">
        <f>IF(C3196="","",G3179*C3196)</f>
        <v/>
      </c>
      <c r="M3196" s="381" t="str">
        <f>IF(A3196="","",VLOOKUP(A3196,VII.A!$A$10:$B$199,2,FALSE))</f>
        <v/>
      </c>
      <c r="N3196" s="342" t="str">
        <f t="shared" si="833"/>
        <v/>
      </c>
      <c r="R3196" s="341"/>
      <c r="S3196" s="341"/>
    </row>
    <row r="3197" spans="1:21" ht="12.75" customHeight="1">
      <c r="A3197" s="393"/>
      <c r="B3197" s="395" t="s">
        <v>226</v>
      </c>
      <c r="C3197" s="396"/>
      <c r="D3197" s="397"/>
      <c r="E3197" s="398"/>
      <c r="F3197" s="399">
        <f>SUM(F3181:F3196)</f>
        <v>0</v>
      </c>
      <c r="H3197" s="426" t="s">
        <v>397</v>
      </c>
      <c r="J3197" s="341"/>
      <c r="L3197" s="380"/>
      <c r="M3197" s="381"/>
      <c r="N3197" s="342"/>
      <c r="R3197" s="341"/>
      <c r="S3197" s="341"/>
    </row>
    <row r="3198" spans="1:21" ht="12.75" customHeight="1">
      <c r="A3198" s="393"/>
      <c r="B3198" s="400" t="s">
        <v>53</v>
      </c>
      <c r="C3198" s="2">
        <f>$D$8</f>
        <v>0</v>
      </c>
      <c r="D3198" s="401"/>
      <c r="E3198" s="402"/>
      <c r="F3198" s="403">
        <f>ROUND(F3197*C3198,2)</f>
        <v>0</v>
      </c>
      <c r="H3198" s="426" t="s">
        <v>496</v>
      </c>
      <c r="J3198" s="341"/>
      <c r="L3198" s="380"/>
      <c r="M3198" s="381"/>
      <c r="N3198" s="342"/>
      <c r="R3198" s="341"/>
      <c r="S3198" s="341"/>
    </row>
    <row r="3199" spans="1:21" ht="12.75" customHeight="1">
      <c r="A3199" s="404"/>
      <c r="B3199" s="405" t="s">
        <v>227</v>
      </c>
      <c r="C3199" s="406"/>
      <c r="D3199" s="406"/>
      <c r="E3199" s="407"/>
      <c r="F3199" s="408">
        <f>F3197+F3198</f>
        <v>0</v>
      </c>
      <c r="J3199" s="341"/>
      <c r="L3199" s="380"/>
      <c r="M3199" s="381"/>
      <c r="N3199" s="342"/>
      <c r="R3199" s="341"/>
      <c r="S3199" s="341"/>
    </row>
    <row r="3200" spans="1:21" ht="12.75" customHeight="1">
      <c r="A3200" s="374" t="s">
        <v>2</v>
      </c>
      <c r="B3200" s="375" t="s">
        <v>235</v>
      </c>
      <c r="C3200" s="376" t="s">
        <v>231</v>
      </c>
      <c r="D3200" s="376" t="s">
        <v>232</v>
      </c>
      <c r="E3200" s="377" t="s">
        <v>233</v>
      </c>
      <c r="F3200" s="378" t="s">
        <v>234</v>
      </c>
      <c r="J3200" s="341"/>
      <c r="L3200" s="380"/>
      <c r="M3200" s="381"/>
      <c r="N3200" s="342"/>
      <c r="R3200" s="341"/>
      <c r="S3200" s="341"/>
    </row>
    <row r="3201" spans="1:19" ht="12.75" customHeight="1">
      <c r="A3201" s="393" t="str">
        <f>VII.A!$A$149</f>
        <v>2.7</v>
      </c>
      <c r="B3201" s="423" t="str">
        <f>VLOOKUP(A3201,VII.A!$A$10:$G$199,2,FALSE)</f>
        <v>BETONEIRA, CAPACIDADE NOMINAL DE 400L, MOTOR ELÉTRICO TRIFÁSICO DE  2CV - CHP</v>
      </c>
      <c r="C3201" s="20">
        <v>3.3989999999999999E-2</v>
      </c>
      <c r="D3201" s="384" t="str">
        <f>VLOOKUP(A3201,VII.A!$A$10:$G$199,3,FALSE)</f>
        <v>CHP</v>
      </c>
      <c r="E3201" s="387">
        <f>VII.A!$D$149</f>
        <v>0</v>
      </c>
      <c r="F3201" s="388">
        <f t="shared" ref="F3201:F3210" si="835">ROUND(C3201*E3201,2)</f>
        <v>0</v>
      </c>
      <c r="H3201" s="341">
        <f>IF(A3201="","",VLOOKUP(A3201,VII.A!$A$10:$D$199,4,FALSE))</f>
        <v>0</v>
      </c>
      <c r="I3201" s="341" t="str">
        <f t="shared" ref="I3201:I3210" si="836">IF(A3201="","",IF(E3201=H3201,"SIM","NÃO"))</f>
        <v>SIM</v>
      </c>
      <c r="J3201" s="341" t="str">
        <f>IF(A3201="","",VLOOKUP(A3201,VII.A!$A$10:$D$199,3,FALSE))</f>
        <v>CHP</v>
      </c>
      <c r="K3201" s="342" t="str">
        <f t="shared" ref="K3201:K3210" si="837">IF(A3201="","",IF(J3201=D3201,"SIM","NÃO"))</f>
        <v>SIM</v>
      </c>
      <c r="L3201" s="380">
        <f>IF(C3201="","",G3179*C3201)</f>
        <v>6.798</v>
      </c>
      <c r="M3201" s="381" t="str">
        <f>IF(A3201="","",VLOOKUP(A3201,VII.A!$A$10:$B$199,2,FALSE))</f>
        <v>BETONEIRA, CAPACIDADE NOMINAL DE 400L, MOTOR ELÉTRICO TRIFÁSICO DE  2CV - CHP</v>
      </c>
      <c r="N3201" s="342" t="str">
        <f t="shared" ref="N3201:N3210" si="838">IF(B3201="","",IF(M3201=B3201,"si","no"))</f>
        <v>si</v>
      </c>
      <c r="R3201" s="341"/>
      <c r="S3201" s="341"/>
    </row>
    <row r="3202" spans="1:19" ht="12.75" customHeight="1">
      <c r="A3202" s="393" t="str">
        <f>VII.A!$A$148</f>
        <v>2.6</v>
      </c>
      <c r="B3202" s="394" t="str">
        <f>VLOOKUP(A3202,VII.A!$A$10:$G$199,2,FALSE)</f>
        <v>BETONEIRA, CAPACIDADE NOMINAL DE 400L, MOTOR ELÉTRICO TRIFÁSICO DE  2CV - CHI</v>
      </c>
      <c r="C3202" s="20">
        <v>3.2009999999999997E-2</v>
      </c>
      <c r="D3202" s="384" t="str">
        <f>VLOOKUP(A3202,VII.A!$A$10:$G$199,3,FALSE)</f>
        <v>CHI</v>
      </c>
      <c r="E3202" s="387">
        <f>VII.A!$D$148</f>
        <v>0</v>
      </c>
      <c r="F3202" s="388">
        <f t="shared" si="835"/>
        <v>0</v>
      </c>
      <c r="H3202" s="341">
        <f>IF(A3202="","",VLOOKUP(A3202,VII.A!$A$10:$D$199,4,FALSE))</f>
        <v>0</v>
      </c>
      <c r="I3202" s="341" t="str">
        <f t="shared" si="836"/>
        <v>SIM</v>
      </c>
      <c r="J3202" s="341" t="str">
        <f>IF(A3202="","",VLOOKUP(A3202,VII.A!$A$10:$D$199,3,FALSE))</f>
        <v>CHI</v>
      </c>
      <c r="K3202" s="342" t="str">
        <f t="shared" si="837"/>
        <v>SIM</v>
      </c>
      <c r="L3202" s="380">
        <f>IF(C3202="","",G3179*C3202)</f>
        <v>6.4019999999999992</v>
      </c>
      <c r="M3202" s="381" t="str">
        <f>IF(A3202="","",VLOOKUP(A3202,VII.A!$A$10:$B$199,2,FALSE))</f>
        <v>BETONEIRA, CAPACIDADE NOMINAL DE 400L, MOTOR ELÉTRICO TRIFÁSICO DE  2CV - CHI</v>
      </c>
      <c r="N3202" s="342" t="str">
        <f t="shared" si="838"/>
        <v>si</v>
      </c>
      <c r="R3202" s="341"/>
      <c r="S3202" s="341"/>
    </row>
    <row r="3203" spans="1:19" ht="12.75" customHeight="1">
      <c r="A3203" s="393"/>
      <c r="C3203" s="20"/>
      <c r="E3203" s="387"/>
      <c r="F3203" s="388">
        <f t="shared" si="835"/>
        <v>0</v>
      </c>
      <c r="H3203" s="341" t="str">
        <f>IF(A3203="","",VLOOKUP(A3203,VII.A!$A$10:$D$199,4,FALSE))</f>
        <v/>
      </c>
      <c r="I3203" s="341" t="str">
        <f t="shared" si="836"/>
        <v/>
      </c>
      <c r="J3203" s="341" t="str">
        <f>IF(A3203="","",VLOOKUP(A3203,VII.A!$A$10:$D$199,3,FALSE))</f>
        <v/>
      </c>
      <c r="K3203" s="342" t="str">
        <f t="shared" si="837"/>
        <v/>
      </c>
      <c r="L3203" s="380" t="str">
        <f>IF(C3203="","",G3179*C3203)</f>
        <v/>
      </c>
      <c r="M3203" s="381" t="str">
        <f>IF(A3203="","",VLOOKUP(A3203,VII.A!$A$10:$B$199,2,FALSE))</f>
        <v/>
      </c>
      <c r="N3203" s="342" t="str">
        <f t="shared" si="838"/>
        <v/>
      </c>
      <c r="R3203" s="341"/>
      <c r="S3203" s="341"/>
    </row>
    <row r="3204" spans="1:19" ht="12.75" customHeight="1">
      <c r="A3204" s="393"/>
      <c r="C3204" s="20"/>
      <c r="E3204" s="387"/>
      <c r="F3204" s="388">
        <f t="shared" si="835"/>
        <v>0</v>
      </c>
      <c r="H3204" s="341" t="str">
        <f>IF(A3204="","",VLOOKUP(A3204,VII.A!$A$10:$D$199,4,FALSE))</f>
        <v/>
      </c>
      <c r="I3204" s="341" t="str">
        <f t="shared" si="836"/>
        <v/>
      </c>
      <c r="J3204" s="341" t="str">
        <f>IF(A3204="","",VLOOKUP(A3204,VII.A!$A$10:$D$199,3,FALSE))</f>
        <v/>
      </c>
      <c r="K3204" s="342" t="str">
        <f t="shared" si="837"/>
        <v/>
      </c>
      <c r="L3204" s="380" t="str">
        <f>IF(C3204="","",G3179*C3204)</f>
        <v/>
      </c>
      <c r="M3204" s="381" t="str">
        <f>IF(A3204="","",VLOOKUP(A3204,VII.A!$A$10:$B$199,2,FALSE))</f>
        <v/>
      </c>
      <c r="N3204" s="342" t="str">
        <f t="shared" si="838"/>
        <v/>
      </c>
      <c r="R3204" s="341"/>
      <c r="S3204" s="341"/>
    </row>
    <row r="3205" spans="1:19" ht="12.75" customHeight="1">
      <c r="A3205" s="393"/>
      <c r="C3205" s="20"/>
      <c r="E3205" s="387"/>
      <c r="F3205" s="388">
        <f t="shared" si="835"/>
        <v>0</v>
      </c>
      <c r="G3205" s="390"/>
      <c r="H3205" s="341" t="str">
        <f>IF(A3205="","",VLOOKUP(A3205,VII.A!$A$10:$D$199,4,FALSE))</f>
        <v/>
      </c>
      <c r="I3205" s="341" t="str">
        <f t="shared" si="836"/>
        <v/>
      </c>
      <c r="J3205" s="341" t="str">
        <f>IF(A3205="","",VLOOKUP(A3205,VII.A!$A$10:$D$199,3,FALSE))</f>
        <v/>
      </c>
      <c r="K3205" s="342" t="str">
        <f t="shared" si="837"/>
        <v/>
      </c>
      <c r="L3205" s="380" t="str">
        <f>IF(C3205="","",G3179*C3205)</f>
        <v/>
      </c>
      <c r="M3205" s="381" t="str">
        <f>IF(A3205="","",VLOOKUP(A3205,VII.A!$A$10:$B$199,2,FALSE))</f>
        <v/>
      </c>
      <c r="N3205" s="342" t="str">
        <f t="shared" si="838"/>
        <v/>
      </c>
      <c r="R3205" s="341"/>
      <c r="S3205" s="341"/>
    </row>
    <row r="3206" spans="1:19" ht="12.75" customHeight="1">
      <c r="A3206" s="393"/>
      <c r="C3206" s="20"/>
      <c r="E3206" s="387"/>
      <c r="F3206" s="388">
        <f t="shared" si="835"/>
        <v>0</v>
      </c>
      <c r="G3206" s="391"/>
      <c r="H3206" s="341" t="str">
        <f>IF(A3206="","",VLOOKUP(A3206,VII.A!$A$10:$D$199,4,FALSE))</f>
        <v/>
      </c>
      <c r="I3206" s="341" t="str">
        <f t="shared" si="836"/>
        <v/>
      </c>
      <c r="J3206" s="341" t="str">
        <f>IF(A3206="","",VLOOKUP(A3206,VII.A!$A$10:$D$199,3,FALSE))</f>
        <v/>
      </c>
      <c r="K3206" s="342" t="str">
        <f t="shared" si="837"/>
        <v/>
      </c>
      <c r="L3206" s="380" t="str">
        <f>IF(C3206="","",G3179*C3206)</f>
        <v/>
      </c>
      <c r="M3206" s="381" t="str">
        <f>IF(A3206="","",VLOOKUP(A3206,VII.A!$A$10:$B$199,2,FALSE))</f>
        <v/>
      </c>
      <c r="N3206" s="342" t="str">
        <f t="shared" si="838"/>
        <v/>
      </c>
      <c r="R3206" s="341"/>
      <c r="S3206" s="341"/>
    </row>
    <row r="3207" spans="1:19" ht="12.75" customHeight="1">
      <c r="A3207" s="393"/>
      <c r="C3207" s="20"/>
      <c r="E3207" s="387"/>
      <c r="F3207" s="388">
        <f t="shared" si="835"/>
        <v>0</v>
      </c>
      <c r="H3207" s="341" t="str">
        <f>IF(A3207="","",VLOOKUP(A3207,VII.A!$A$10:$D$199,4,FALSE))</f>
        <v/>
      </c>
      <c r="I3207" s="341" t="str">
        <f t="shared" si="836"/>
        <v/>
      </c>
      <c r="J3207" s="341" t="str">
        <f>IF(A3207="","",VLOOKUP(A3207,VII.A!$A$10:$D$199,3,FALSE))</f>
        <v/>
      </c>
      <c r="K3207" s="342" t="str">
        <f t="shared" si="837"/>
        <v/>
      </c>
      <c r="L3207" s="380" t="str">
        <f>IF(C3207="","",G3179*C3207)</f>
        <v/>
      </c>
      <c r="M3207" s="381" t="str">
        <f>IF(A3207="","",VLOOKUP(A3207,VII.A!$A$10:$B$199,2,FALSE))</f>
        <v/>
      </c>
      <c r="N3207" s="342" t="str">
        <f t="shared" si="838"/>
        <v/>
      </c>
      <c r="R3207" s="341"/>
      <c r="S3207" s="341"/>
    </row>
    <row r="3208" spans="1:19" ht="12.75" customHeight="1">
      <c r="A3208" s="393"/>
      <c r="C3208" s="20"/>
      <c r="E3208" s="387"/>
      <c r="F3208" s="388">
        <f t="shared" si="835"/>
        <v>0</v>
      </c>
      <c r="H3208" s="341" t="str">
        <f>IF(A3208="","",VLOOKUP(A3208,VII.A!$A$10:$D$199,4,FALSE))</f>
        <v/>
      </c>
      <c r="I3208" s="341" t="str">
        <f t="shared" si="836"/>
        <v/>
      </c>
      <c r="J3208" s="341" t="str">
        <f>IF(A3208="","",VLOOKUP(A3208,VII.A!$A$10:$D$199,3,FALSE))</f>
        <v/>
      </c>
      <c r="K3208" s="342" t="str">
        <f t="shared" si="837"/>
        <v/>
      </c>
      <c r="L3208" s="380" t="str">
        <f>IF(C3208="","",G3179*C3208)</f>
        <v/>
      </c>
      <c r="M3208" s="381" t="str">
        <f>IF(A3208="","",VLOOKUP(A3208,VII.A!$A$10:$B$199,2,FALSE))</f>
        <v/>
      </c>
      <c r="N3208" s="342" t="str">
        <f t="shared" si="838"/>
        <v/>
      </c>
      <c r="R3208" s="341"/>
      <c r="S3208" s="341"/>
    </row>
    <row r="3209" spans="1:19" ht="12.75" customHeight="1">
      <c r="A3209" s="393"/>
      <c r="C3209" s="20"/>
      <c r="E3209" s="387"/>
      <c r="F3209" s="388">
        <f t="shared" si="835"/>
        <v>0</v>
      </c>
      <c r="H3209" s="341" t="str">
        <f>IF(A3209="","",VLOOKUP(A3209,VII.A!$A$10:$D$199,4,FALSE))</f>
        <v/>
      </c>
      <c r="I3209" s="341" t="str">
        <f t="shared" si="836"/>
        <v/>
      </c>
      <c r="J3209" s="341" t="str">
        <f>IF(A3209="","",VLOOKUP(A3209,VII.A!$A$10:$D$199,3,FALSE))</f>
        <v/>
      </c>
      <c r="K3209" s="342" t="str">
        <f t="shared" si="837"/>
        <v/>
      </c>
      <c r="L3209" s="380" t="str">
        <f>IF(C3209="","",G3179*C3209)</f>
        <v/>
      </c>
      <c r="M3209" s="381" t="str">
        <f>IF(A3209="","",VLOOKUP(A3209,VII.A!$A$10:$B$199,2,FALSE))</f>
        <v/>
      </c>
      <c r="N3209" s="342" t="str">
        <f t="shared" si="838"/>
        <v/>
      </c>
      <c r="R3209" s="341"/>
      <c r="S3209" s="341"/>
    </row>
    <row r="3210" spans="1:19" ht="12.75" customHeight="1">
      <c r="A3210" s="393"/>
      <c r="C3210" s="20"/>
      <c r="E3210" s="387"/>
      <c r="F3210" s="388">
        <f t="shared" si="835"/>
        <v>0</v>
      </c>
      <c r="H3210" s="341" t="str">
        <f>IF(A3210="","",VLOOKUP(A3210,VII.A!$A$10:$D$199,4,FALSE))</f>
        <v/>
      </c>
      <c r="I3210" s="341" t="str">
        <f t="shared" si="836"/>
        <v/>
      </c>
      <c r="J3210" s="341" t="str">
        <f>IF(A3210="","",VLOOKUP(A3210,VII.A!$A$10:$D$199,3,FALSE))</f>
        <v/>
      </c>
      <c r="K3210" s="342" t="str">
        <f t="shared" si="837"/>
        <v/>
      </c>
      <c r="L3210" s="380" t="str">
        <f>IF(C3210="","",G3179*C3210)</f>
        <v/>
      </c>
      <c r="M3210" s="381" t="str">
        <f>IF(A3210="","",VLOOKUP(A3210,VII.A!$A$10:$B$199,2,FALSE))</f>
        <v/>
      </c>
      <c r="N3210" s="342" t="str">
        <f t="shared" si="838"/>
        <v/>
      </c>
      <c r="R3210" s="341"/>
      <c r="S3210" s="341"/>
    </row>
    <row r="3211" spans="1:19" ht="12.75" customHeight="1">
      <c r="A3211" s="393"/>
      <c r="B3211" s="395" t="s">
        <v>226</v>
      </c>
      <c r="C3211" s="396"/>
      <c r="D3211" s="397"/>
      <c r="E3211" s="398"/>
      <c r="F3211" s="399">
        <f>SUM(F3201:F3210)</f>
        <v>0</v>
      </c>
      <c r="J3211" s="341"/>
      <c r="L3211" s="380"/>
      <c r="M3211" s="381"/>
      <c r="N3211" s="342"/>
      <c r="R3211" s="341"/>
      <c r="S3211" s="341"/>
    </row>
    <row r="3212" spans="1:19" ht="12.75" customHeight="1">
      <c r="A3212" s="393"/>
      <c r="B3212" s="400" t="s">
        <v>53</v>
      </c>
      <c r="C3212" s="2">
        <f>$D$8</f>
        <v>0</v>
      </c>
      <c r="D3212" s="401"/>
      <c r="E3212" s="402"/>
      <c r="F3212" s="403">
        <f>ROUND(C3212*F3211,2)</f>
        <v>0</v>
      </c>
      <c r="J3212" s="341"/>
      <c r="L3212" s="380"/>
      <c r="M3212" s="381"/>
      <c r="N3212" s="342"/>
      <c r="R3212" s="341"/>
      <c r="S3212" s="341"/>
    </row>
    <row r="3213" spans="1:19" ht="12.75" customHeight="1">
      <c r="A3213" s="404"/>
      <c r="B3213" s="405" t="s">
        <v>228</v>
      </c>
      <c r="C3213" s="406"/>
      <c r="D3213" s="406"/>
      <c r="E3213" s="407"/>
      <c r="F3213" s="408">
        <f>F3211+F3212</f>
        <v>0</v>
      </c>
      <c r="J3213" s="341"/>
      <c r="L3213" s="380"/>
      <c r="M3213" s="381"/>
      <c r="N3213" s="342"/>
      <c r="R3213" s="341"/>
      <c r="S3213" s="341"/>
    </row>
    <row r="3214" spans="1:19" ht="12.75" customHeight="1">
      <c r="A3214" s="409" t="s">
        <v>47</v>
      </c>
      <c r="B3214" s="410" t="s">
        <v>236</v>
      </c>
      <c r="C3214" s="411" t="s">
        <v>231</v>
      </c>
      <c r="D3214" s="412" t="s">
        <v>232</v>
      </c>
      <c r="E3214" s="413" t="s">
        <v>233</v>
      </c>
      <c r="F3214" s="378" t="s">
        <v>234</v>
      </c>
      <c r="J3214" s="341"/>
      <c r="L3214" s="380"/>
      <c r="M3214" s="381"/>
      <c r="N3214" s="342"/>
      <c r="R3214" s="341"/>
      <c r="S3214" s="341"/>
    </row>
    <row r="3215" spans="1:19" ht="12.75" customHeight="1">
      <c r="A3215" s="393" t="str">
        <f>VII.A!$A$183</f>
        <v>3.3</v>
      </c>
      <c r="B3215" s="394" t="s">
        <v>144</v>
      </c>
      <c r="C3215" s="20">
        <v>0.16</v>
      </c>
      <c r="D3215" s="384" t="str">
        <f>VLOOKUP(A3215,VII.A!$A$10:$G$199,3,FALSE)</f>
        <v>H</v>
      </c>
      <c r="E3215" s="387">
        <f>VII.A!D183</f>
        <v>0</v>
      </c>
      <c r="F3215" s="388">
        <f t="shared" ref="F3215:F3221" si="839">ROUND(C3215*E3215,2)</f>
        <v>0</v>
      </c>
      <c r="H3215" s="341">
        <f>IF(A3215="","",VLOOKUP(A3215,VII.A!$A$10:$D$199,4,FALSE))</f>
        <v>0</v>
      </c>
      <c r="I3215" s="341" t="str">
        <f t="shared" ref="I3215:I3221" si="840">IF(A3215="","",IF(E3215=H3215,"SIM","NÃO"))</f>
        <v>SIM</v>
      </c>
      <c r="J3215" s="341" t="str">
        <f>IF(A3215="","",VLOOKUP(A3215,VII.A!$A$10:$D$199,3,FALSE))</f>
        <v>H</v>
      </c>
      <c r="K3215" s="342" t="str">
        <f t="shared" ref="K3215:K3221" si="841">IF(A3215="","",IF(J3215=D3215,"SIM","NÃO"))</f>
        <v>SIM</v>
      </c>
      <c r="L3215" s="380">
        <f>IF(C3215="","",G3179*C3215)</f>
        <v>32</v>
      </c>
      <c r="M3215" s="381" t="str">
        <f>IF(A3215="","",VLOOKUP(A3215,VII.A!$A$10:$B$199,2,FALSE))</f>
        <v>AJUDANTE DE CARPINTEIRO</v>
      </c>
      <c r="N3215" s="342" t="str">
        <f t="shared" ref="N3215:N3221" si="842">IF(B3215="","",IF(M3215=B3215,"si","no"))</f>
        <v>no</v>
      </c>
      <c r="R3215" s="341"/>
      <c r="S3215" s="341"/>
    </row>
    <row r="3216" spans="1:19" ht="12.75" customHeight="1">
      <c r="A3216" s="393" t="str">
        <f>VII.A!$A$186</f>
        <v>3.6</v>
      </c>
      <c r="B3216" s="394" t="s">
        <v>147</v>
      </c>
      <c r="C3216" s="20">
        <v>0.16</v>
      </c>
      <c r="D3216" s="384" t="str">
        <f>VLOOKUP(A3216,VII.A!$A$10:$G$199,3,FALSE)</f>
        <v>H</v>
      </c>
      <c r="E3216" s="387">
        <f>VII.A!D186</f>
        <v>0</v>
      </c>
      <c r="F3216" s="388">
        <f t="shared" si="839"/>
        <v>0</v>
      </c>
      <c r="H3216" s="341">
        <f>IF(A3216="","",VLOOKUP(A3216,VII.A!$A$10:$D$199,4,FALSE))</f>
        <v>0</v>
      </c>
      <c r="I3216" s="341" t="str">
        <f t="shared" si="840"/>
        <v>SIM</v>
      </c>
      <c r="J3216" s="341" t="str">
        <f>IF(A3216="","",VLOOKUP(A3216,VII.A!$A$10:$D$199,3,FALSE))</f>
        <v>H</v>
      </c>
      <c r="K3216" s="342" t="str">
        <f t="shared" si="841"/>
        <v>SIM</v>
      </c>
      <c r="L3216" s="380">
        <f>IF(C3216="","",G3179*C3216)</f>
        <v>32</v>
      </c>
      <c r="M3216" s="381" t="str">
        <f>IF(A3216="","",VLOOKUP(A3216,VII.A!$A$10:$B$199,2,FALSE))</f>
        <v>CARPINTEIRO COM ENCARGOS COMPLEMENTARES</v>
      </c>
      <c r="N3216" s="342" t="str">
        <f t="shared" si="842"/>
        <v>si</v>
      </c>
      <c r="R3216" s="341"/>
      <c r="S3216" s="341"/>
    </row>
    <row r="3217" spans="1:25" ht="12.75" customHeight="1">
      <c r="A3217" s="393" t="str">
        <f>VII.A!$A$192</f>
        <v>3.12</v>
      </c>
      <c r="B3217" s="394" t="s">
        <v>153</v>
      </c>
      <c r="C3217" s="20">
        <v>0.35</v>
      </c>
      <c r="D3217" s="384" t="str">
        <f>VLOOKUP(A3217,VII.A!$A$10:$G$199,3,FALSE)</f>
        <v>H</v>
      </c>
      <c r="E3217" s="387">
        <f>VII.A!D192</f>
        <v>0</v>
      </c>
      <c r="F3217" s="388">
        <f t="shared" si="839"/>
        <v>0</v>
      </c>
      <c r="H3217" s="341">
        <f>IF(A3217="","",VLOOKUP(A3217,VII.A!$A$10:$D$199,4,FALSE))</f>
        <v>0</v>
      </c>
      <c r="I3217" s="341" t="str">
        <f t="shared" si="840"/>
        <v>SIM</v>
      </c>
      <c r="J3217" s="341" t="str">
        <f>IF(A3217="","",VLOOKUP(A3217,VII.A!$A$10:$D$199,3,FALSE))</f>
        <v>H</v>
      </c>
      <c r="K3217" s="342" t="str">
        <f t="shared" si="841"/>
        <v>SIM</v>
      </c>
      <c r="L3217" s="380">
        <f>IF(C3217="","",G3179*C3217)</f>
        <v>70</v>
      </c>
      <c r="M3217" s="381" t="str">
        <f>IF(A3217="","",VLOOKUP(A3217,VII.A!$A$10:$B$199,2,FALSE))</f>
        <v>PEDREIRO COM ENCARGOS COMPLEMENTARES</v>
      </c>
      <c r="N3217" s="342" t="str">
        <f t="shared" si="842"/>
        <v>si</v>
      </c>
      <c r="R3217" s="341"/>
      <c r="S3217" s="341"/>
    </row>
    <row r="3218" spans="1:25" ht="12.75" customHeight="1">
      <c r="A3218" s="393" t="str">
        <f>VII.A!$A$196</f>
        <v>3.16</v>
      </c>
      <c r="B3218" s="394" t="s">
        <v>157</v>
      </c>
      <c r="C3218" s="20">
        <f>0.36+0.17061</f>
        <v>0.53061000000000003</v>
      </c>
      <c r="D3218" s="384" t="str">
        <f>VLOOKUP(A3218,VII.A!$A$10:$G$199,3,FALSE)</f>
        <v>H</v>
      </c>
      <c r="E3218" s="387">
        <f>VII.A!D196</f>
        <v>0</v>
      </c>
      <c r="F3218" s="388">
        <f t="shared" si="839"/>
        <v>0</v>
      </c>
      <c r="H3218" s="341">
        <f>IF(A3218="","",VLOOKUP(A3218,VII.A!$A$10:$D$199,4,FALSE))</f>
        <v>0</v>
      </c>
      <c r="I3218" s="341" t="str">
        <f t="shared" si="840"/>
        <v>SIM</v>
      </c>
      <c r="J3218" s="341" t="str">
        <f>IF(A3218="","",VLOOKUP(A3218,VII.A!$A$10:$D$199,3,FALSE))</f>
        <v>H</v>
      </c>
      <c r="K3218" s="342" t="str">
        <f t="shared" si="841"/>
        <v>SIM</v>
      </c>
      <c r="L3218" s="380">
        <f>IF(C3218="","",G3179*C3218)</f>
        <v>106.122</v>
      </c>
      <c r="M3218" s="381" t="str">
        <f>IF(A3218="","",VLOOKUP(A3218,VII.A!$A$10:$B$199,2,FALSE))</f>
        <v>SERVENTE COM ENCARGOS COMPLEMENTARES</v>
      </c>
      <c r="N3218" s="342" t="str">
        <f t="shared" si="842"/>
        <v>si</v>
      </c>
      <c r="R3218" s="341"/>
      <c r="S3218" s="341"/>
    </row>
    <row r="3219" spans="1:25" ht="12.75" customHeight="1">
      <c r="A3219" s="393"/>
      <c r="C3219" s="20"/>
      <c r="E3219" s="387"/>
      <c r="F3219" s="388">
        <f t="shared" si="839"/>
        <v>0</v>
      </c>
      <c r="H3219" s="341" t="str">
        <f>IF(A3219="","",VLOOKUP(A3219,VII.A!$A$10:$D$199,4,FALSE))</f>
        <v/>
      </c>
      <c r="I3219" s="341" t="str">
        <f t="shared" si="840"/>
        <v/>
      </c>
      <c r="J3219" s="341" t="str">
        <f>IF(A3219="","",VLOOKUP(A3219,VII.A!$A$10:$D$199,3,FALSE))</f>
        <v/>
      </c>
      <c r="K3219" s="342" t="str">
        <f t="shared" si="841"/>
        <v/>
      </c>
      <c r="L3219" s="380" t="str">
        <f>IF(C3219="","",G3179*C3219)</f>
        <v/>
      </c>
      <c r="M3219" s="381" t="str">
        <f>IF(A3219="","",VLOOKUP(A3219,VII.A!$A$10:$B$199,2,FALSE))</f>
        <v/>
      </c>
      <c r="N3219" s="342" t="str">
        <f t="shared" si="842"/>
        <v/>
      </c>
      <c r="R3219" s="341"/>
      <c r="S3219" s="341"/>
    </row>
    <row r="3220" spans="1:25" ht="12.75" customHeight="1">
      <c r="A3220" s="393"/>
      <c r="C3220" s="20"/>
      <c r="E3220" s="387"/>
      <c r="F3220" s="388">
        <f t="shared" si="839"/>
        <v>0</v>
      </c>
      <c r="H3220" s="341" t="str">
        <f>IF(A3220="","",VLOOKUP(A3220,VII.A!$A$10:$D$199,4,FALSE))</f>
        <v/>
      </c>
      <c r="I3220" s="341" t="str">
        <f t="shared" si="840"/>
        <v/>
      </c>
      <c r="J3220" s="341" t="str">
        <f>IF(A3220="","",VLOOKUP(A3220,VII.A!$A$10:$D$199,3,FALSE))</f>
        <v/>
      </c>
      <c r="K3220" s="342" t="str">
        <f t="shared" si="841"/>
        <v/>
      </c>
      <c r="L3220" s="380" t="str">
        <f>IF(C3220="","",G3179*C3220)</f>
        <v/>
      </c>
      <c r="M3220" s="381" t="str">
        <f>IF(A3220="","",VLOOKUP(A3220,VII.A!$A$10:$B$199,2,FALSE))</f>
        <v/>
      </c>
      <c r="N3220" s="342" t="str">
        <f t="shared" si="842"/>
        <v/>
      </c>
      <c r="R3220" s="341"/>
      <c r="S3220" s="341"/>
    </row>
    <row r="3221" spans="1:25" ht="12.75" customHeight="1">
      <c r="A3221" s="393"/>
      <c r="C3221" s="20"/>
      <c r="E3221" s="387"/>
      <c r="F3221" s="388">
        <f t="shared" si="839"/>
        <v>0</v>
      </c>
      <c r="H3221" s="341" t="str">
        <f>IF(A3221="","",VLOOKUP(A3221,VII.A!$A$10:$D$199,4,FALSE))</f>
        <v/>
      </c>
      <c r="I3221" s="341" t="str">
        <f t="shared" si="840"/>
        <v/>
      </c>
      <c r="J3221" s="341" t="str">
        <f>IF(A3221="","",VLOOKUP(A3221,VII.A!$A$10:$D$199,3,FALSE))</f>
        <v/>
      </c>
      <c r="K3221" s="342" t="str">
        <f t="shared" si="841"/>
        <v/>
      </c>
      <c r="L3221" s="380" t="str">
        <f>IF(C3221="","",G3179*C3221)</f>
        <v/>
      </c>
      <c r="M3221" s="381" t="str">
        <f>IF(A3221="","",VLOOKUP(A3221,VII.A!$A$10:$B$199,2,FALSE))</f>
        <v/>
      </c>
      <c r="N3221" s="342" t="str">
        <f t="shared" si="842"/>
        <v/>
      </c>
      <c r="R3221" s="341"/>
      <c r="S3221" s="341"/>
    </row>
    <row r="3222" spans="1:25" ht="12.75" customHeight="1">
      <c r="A3222" s="393"/>
      <c r="B3222" s="395" t="s">
        <v>226</v>
      </c>
      <c r="C3222" s="396"/>
      <c r="D3222" s="397"/>
      <c r="E3222" s="398"/>
      <c r="F3222" s="399">
        <f>SUM(F3215:F3221)</f>
        <v>0</v>
      </c>
      <c r="J3222" s="341"/>
      <c r="L3222" s="380"/>
      <c r="M3222" s="381"/>
      <c r="N3222" s="342"/>
      <c r="R3222" s="341"/>
      <c r="S3222" s="341"/>
    </row>
    <row r="3223" spans="1:25" ht="12.75" customHeight="1">
      <c r="A3223" s="393"/>
      <c r="B3223" s="400" t="s">
        <v>229</v>
      </c>
      <c r="C3223" s="2">
        <f>IX.A!$C$45</f>
        <v>0</v>
      </c>
      <c r="D3223" s="401"/>
      <c r="E3223" s="402"/>
      <c r="F3223" s="403">
        <f>ROUND(F3222*C3223,2)</f>
        <v>0</v>
      </c>
      <c r="J3223" s="341"/>
      <c r="L3223" s="380"/>
      <c r="M3223" s="381"/>
      <c r="N3223" s="342"/>
      <c r="R3223" s="341"/>
      <c r="S3223" s="341"/>
    </row>
    <row r="3224" spans="1:25" ht="12.75" customHeight="1">
      <c r="A3224" s="393"/>
      <c r="B3224" s="400" t="s">
        <v>53</v>
      </c>
      <c r="C3224" s="2">
        <f>$D$8</f>
        <v>0</v>
      </c>
      <c r="D3224" s="401"/>
      <c r="E3224" s="402"/>
      <c r="F3224" s="403">
        <f>ROUND(SUM(F3222:F3223)*C3224,2)</f>
        <v>0</v>
      </c>
      <c r="J3224" s="341"/>
      <c r="L3224" s="380"/>
      <c r="M3224" s="381"/>
      <c r="N3224" s="342"/>
      <c r="R3224" s="341"/>
      <c r="S3224" s="341"/>
    </row>
    <row r="3225" spans="1:25" ht="12.75" customHeight="1" thickBot="1">
      <c r="A3225" s="414"/>
      <c r="B3225" s="415" t="s">
        <v>230</v>
      </c>
      <c r="C3225" s="416"/>
      <c r="D3225" s="416"/>
      <c r="E3225" s="417"/>
      <c r="F3225" s="418">
        <f>SUM(F3222:F3224)</f>
        <v>0</v>
      </c>
      <c r="J3225" s="341"/>
      <c r="L3225" s="380"/>
      <c r="M3225" s="381"/>
      <c r="N3225" s="342"/>
      <c r="R3225" s="341"/>
      <c r="S3225" s="341"/>
    </row>
    <row r="3226" spans="1:25" ht="12.75" customHeight="1" thickBot="1">
      <c r="A3226" s="357"/>
      <c r="B3226" s="358"/>
      <c r="C3226" s="359"/>
      <c r="D3226" s="359"/>
      <c r="E3226" s="360"/>
      <c r="F3226" s="419"/>
      <c r="J3226" s="341"/>
      <c r="L3226" s="380"/>
      <c r="M3226" s="381"/>
      <c r="N3226" s="342"/>
      <c r="R3226" s="341"/>
      <c r="S3226" s="341"/>
    </row>
    <row r="3227" spans="1:25" ht="30" customHeight="1">
      <c r="A3227" s="370" t="str">
        <f>IV.A!$A$102</f>
        <v>3.10.2</v>
      </c>
      <c r="B3227" s="371" t="str">
        <f>IV.A!B102</f>
        <v>TRAMA DE MADEIRA COMPOSTA POR TERÇAS PARA TELHADOS DE ATÉ 2 ÁGUAS PARA TELHA ONDULADA DE FIBROCIMENTO, METÁLICA, PLÁSTICA OU TERMOACÚSTICA</v>
      </c>
      <c r="C3227" s="871" t="s">
        <v>237</v>
      </c>
      <c r="D3227" s="872"/>
      <c r="E3227" s="372" t="str">
        <f>IV.A!C102</f>
        <v>M2</v>
      </c>
      <c r="F3227" s="11">
        <f>ROUND(F3247+F3261+F3273,2)</f>
        <v>0</v>
      </c>
      <c r="G3227" s="1">
        <f>VLOOKUP(A3227,IV.A!$A$16:$L$172,4,FALSE)</f>
        <v>50</v>
      </c>
      <c r="H3227" s="361">
        <f>SUM(F3229:F3244)+F3246</f>
        <v>0</v>
      </c>
      <c r="I3227" s="361">
        <f>SUM(F3249:F3258)+F3260</f>
        <v>0</v>
      </c>
      <c r="J3227" s="361">
        <f>SUM(F3263:F3269)+F3271+F3272</f>
        <v>0</v>
      </c>
      <c r="K3227" s="361">
        <f>SUM(H3227:J3227)</f>
        <v>0</v>
      </c>
      <c r="L3227" s="362" t="str">
        <f>IF(K3227=F3227,"SIM","NÃO")</f>
        <v>SIM</v>
      </c>
      <c r="M3227" s="373">
        <f>ROUND(SUM(F3229:F3244),2)+ROUND(SUM(F3229:F3244)*C3246,2)+ROUND(SUM(F3249:F3258)*C3260,2)+ROUND(SUM(F3249:F3258),2)+ROUND(SUM(F3263:F3269)*C3271,2)+ROUND((SUM(F3263:F3269)+ROUND(SUM(F3263:F3269)*C3271,2))*C3272,2)+ROUND(SUM(F3263:F3269),2)</f>
        <v>0</v>
      </c>
      <c r="N3227" s="343" t="str">
        <f>IF(M3227=F3227,"SIM","NÃO")</f>
        <v>SIM</v>
      </c>
      <c r="O3227" s="364" t="str">
        <f>VLOOKUP(A3227,IV.A!$A$16:$E$172,3,FALSE)</f>
        <v>M2</v>
      </c>
      <c r="P3227" s="344" t="str">
        <f>IF(O3227=E3227,"SIM","NÃO")</f>
        <v>SIM</v>
      </c>
      <c r="Q3227" s="365">
        <f>ROUND(G3227*F3247,2)+ROUND(G3227*F3261,2)+ROUND(G3227*F3273,2)</f>
        <v>0</v>
      </c>
      <c r="R3227" s="364">
        <f>VLOOKUP(A3227,IV.A!$A$16:$L$172,12,FALSE)</f>
        <v>0</v>
      </c>
      <c r="S3227" s="366" t="str">
        <f>IF(Q3227=R3227,"si","no")</f>
        <v>si</v>
      </c>
      <c r="T3227" s="367">
        <f>SUM(L3229:L3244)+SUM(L3249:L3258)+SUM(L3263:L3269)</f>
        <v>42.749999999999993</v>
      </c>
      <c r="U3227" s="341">
        <f>(SUM(C3229:C3244)+SUM(C3249:C3258)+SUM(C3263:C3269))*G3227</f>
        <v>42.75</v>
      </c>
      <c r="V3227" s="368" t="str">
        <f>IF(T3227=U3227,"si","no")</f>
        <v>si</v>
      </c>
      <c r="W3227" s="369">
        <f>SUM(F3229:F3244)</f>
        <v>0</v>
      </c>
      <c r="X3227" s="369">
        <f>SUM(F3249:F3258)</f>
        <v>0</v>
      </c>
      <c r="Y3227" s="369">
        <f>SUM(F3263:F3269)</f>
        <v>0</v>
      </c>
    </row>
    <row r="3228" spans="1:25" ht="12.75" customHeight="1">
      <c r="A3228" s="374" t="s">
        <v>14</v>
      </c>
      <c r="B3228" s="375" t="s">
        <v>132</v>
      </c>
      <c r="C3228" s="376" t="s">
        <v>231</v>
      </c>
      <c r="D3228" s="376" t="s">
        <v>232</v>
      </c>
      <c r="E3228" s="377" t="s">
        <v>233</v>
      </c>
      <c r="F3228" s="378" t="s">
        <v>234</v>
      </c>
      <c r="G3228" s="379"/>
      <c r="J3228" s="341"/>
      <c r="L3228" s="380"/>
      <c r="M3228" s="381"/>
      <c r="N3228" s="342"/>
      <c r="O3228" s="382"/>
      <c r="P3228" s="383"/>
      <c r="Q3228" s="383"/>
      <c r="R3228" s="383"/>
      <c r="S3228" s="383"/>
      <c r="T3228" s="382"/>
      <c r="U3228" s="341"/>
      <c r="V3228" s="384"/>
      <c r="W3228" s="384"/>
      <c r="X3228" s="384"/>
      <c r="Y3228" s="384"/>
    </row>
    <row r="3229" spans="1:25" ht="12.75" customHeight="1">
      <c r="A3229" s="385" t="str">
        <f>VII.A!$A$126</f>
        <v>1.116</v>
      </c>
      <c r="B3229" s="386" t="str">
        <f>VLOOKUP(A3229,VII.A!$A$10:$G$199,2,FALSE)</f>
        <v>VIGA DE MADEIRA NAO APARELHADA 6 X 12 CM, MACARANDUBA, ANGELIM OU EQUIVALENTE DA REGIAO</v>
      </c>
      <c r="C3229" s="20">
        <v>0.63100000000000001</v>
      </c>
      <c r="D3229" s="342" t="str">
        <f>VLOOKUP(A3229,VII.A!$A$10:$G$199,3,FALSE)</f>
        <v>M</v>
      </c>
      <c r="E3229" s="387">
        <f>VII.A!D126</f>
        <v>0</v>
      </c>
      <c r="F3229" s="388">
        <f>ROUND(C3229*E3229,2)</f>
        <v>0</v>
      </c>
      <c r="H3229" s="341">
        <f>IF(A3229="","",VLOOKUP(A3229,VII.A!$A$10:$D$199,4,FALSE))</f>
        <v>0</v>
      </c>
      <c r="I3229" s="341" t="str">
        <f t="shared" ref="I3229:I3244" si="843">IF(A3229="","",IF(E3229=H3229,"SIM","NÃO"))</f>
        <v>SIM</v>
      </c>
      <c r="J3229" s="341" t="str">
        <f>IF(A3229="","",VLOOKUP(A3229,VII.A!$A$10:$D$199,3,FALSE))</f>
        <v>M</v>
      </c>
      <c r="K3229" s="342" t="str">
        <f t="shared" ref="K3229:K3244" si="844">IF(A3229="","",IF(J3229=D3229,"SIM","NÃO"))</f>
        <v>SIM</v>
      </c>
      <c r="L3229" s="380">
        <f>IF(C3229="","",G3227*C3229)</f>
        <v>31.55</v>
      </c>
      <c r="M3229" s="381" t="str">
        <f>IF(A3229="","",VLOOKUP(A3229,VII.A!$A$10:$B$199,2,FALSE))</f>
        <v>VIGA DE MADEIRA NAO APARELHADA 6 X 12 CM, MACARANDUBA, ANGELIM OU EQUIVALENTE DA REGIAO</v>
      </c>
      <c r="N3229" s="342" t="str">
        <f t="shared" ref="N3229:N3244" si="845">IF(B3229="","",IF(M3229=B3229,"si","no"))</f>
        <v>si</v>
      </c>
      <c r="R3229" s="341"/>
      <c r="S3229" s="341"/>
    </row>
    <row r="3230" spans="1:25" ht="12.75" customHeight="1">
      <c r="A3230" s="385" t="str">
        <f>VII.A!$A$90</f>
        <v>1.80</v>
      </c>
      <c r="B3230" s="386" t="str">
        <f>VLOOKUP(A3230,VII.A!$A$10:$G$199,2,FALSE)</f>
        <v>PREGO EM AÇO POLIDO COM CABEÇA (MEDIA DAS BITOLAS)</v>
      </c>
      <c r="C3230" s="20">
        <v>0.03</v>
      </c>
      <c r="D3230" s="342" t="str">
        <f>VLOOKUP(A3230,VII.A!$A$10:$G$199,3,FALSE)</f>
        <v>KG</v>
      </c>
      <c r="E3230" s="387">
        <f>VII.A!D90</f>
        <v>0</v>
      </c>
      <c r="F3230" s="388">
        <f t="shared" ref="F3230:F3244" si="846">ROUND(C3230*E3230,2)</f>
        <v>0</v>
      </c>
      <c r="H3230" s="341">
        <f>IF(A3230="","",VLOOKUP(A3230,VII.A!$A$10:$D$199,4,FALSE))</f>
        <v>0</v>
      </c>
      <c r="I3230" s="341" t="str">
        <f t="shared" si="843"/>
        <v>SIM</v>
      </c>
      <c r="J3230" s="341" t="str">
        <f>IF(A3230="","",VLOOKUP(A3230,VII.A!$A$10:$D$199,3,FALSE))</f>
        <v>KG</v>
      </c>
      <c r="K3230" s="342" t="str">
        <f t="shared" si="844"/>
        <v>SIM</v>
      </c>
      <c r="L3230" s="380">
        <f>IF(C3230="","",G3227*C3230)</f>
        <v>1.5</v>
      </c>
      <c r="M3230" s="381" t="str">
        <f>IF(A3230="","",VLOOKUP(A3230,VII.A!$A$10:$B$199,2,FALSE))</f>
        <v>PREGO EM AÇO POLIDO COM CABEÇA (MEDIA DAS BITOLAS)</v>
      </c>
      <c r="N3230" s="342" t="str">
        <f t="shared" si="845"/>
        <v>si</v>
      </c>
      <c r="R3230" s="341"/>
      <c r="S3230" s="341"/>
    </row>
    <row r="3231" spans="1:25" ht="12.75" customHeight="1">
      <c r="A3231" s="385"/>
      <c r="B3231" s="386"/>
      <c r="C3231" s="20"/>
      <c r="D3231" s="342"/>
      <c r="E3231" s="387"/>
      <c r="F3231" s="388">
        <f t="shared" si="846"/>
        <v>0</v>
      </c>
      <c r="H3231" s="341" t="str">
        <f>IF(A3231="","",VLOOKUP(A3231,VII.A!$A$10:$D$199,4,FALSE))</f>
        <v/>
      </c>
      <c r="I3231" s="341" t="str">
        <f t="shared" si="843"/>
        <v/>
      </c>
      <c r="J3231" s="341" t="str">
        <f>IF(A3231="","",VLOOKUP(A3231,VII.A!$A$10:$D$199,3,FALSE))</f>
        <v/>
      </c>
      <c r="K3231" s="342" t="str">
        <f t="shared" si="844"/>
        <v/>
      </c>
      <c r="L3231" s="380" t="str">
        <f>IF(C3231="","",G3227*C3231)</f>
        <v/>
      </c>
      <c r="M3231" s="381" t="str">
        <f>IF(A3231="","",VLOOKUP(A3231,VII.A!$A$10:$B$199,2,FALSE))</f>
        <v/>
      </c>
      <c r="N3231" s="342" t="str">
        <f t="shared" si="845"/>
        <v/>
      </c>
      <c r="R3231" s="341"/>
      <c r="S3231" s="341"/>
    </row>
    <row r="3232" spans="1:25" ht="12.75" customHeight="1">
      <c r="A3232" s="385"/>
      <c r="B3232" s="386"/>
      <c r="C3232" s="20"/>
      <c r="D3232" s="342"/>
      <c r="E3232" s="387"/>
      <c r="F3232" s="388">
        <f t="shared" si="846"/>
        <v>0</v>
      </c>
      <c r="H3232" s="341" t="str">
        <f>IF(A3232="","",VLOOKUP(A3232,VII.A!$A$10:$D$199,4,FALSE))</f>
        <v/>
      </c>
      <c r="I3232" s="341" t="str">
        <f t="shared" si="843"/>
        <v/>
      </c>
      <c r="J3232" s="341" t="str">
        <f>IF(A3232="","",VLOOKUP(A3232,VII.A!$A$10:$D$199,3,FALSE))</f>
        <v/>
      </c>
      <c r="K3232" s="342" t="str">
        <f t="shared" si="844"/>
        <v/>
      </c>
      <c r="L3232" s="380" t="str">
        <f>IF(C3232="","",G3227*C3232)</f>
        <v/>
      </c>
      <c r="M3232" s="381" t="str">
        <f>IF(A3232="","",VLOOKUP(A3232,VII.A!$A$10:$B$199,2,FALSE))</f>
        <v/>
      </c>
      <c r="N3232" s="342" t="str">
        <f t="shared" si="845"/>
        <v/>
      </c>
      <c r="R3232" s="341"/>
      <c r="S3232" s="341"/>
    </row>
    <row r="3233" spans="1:21" ht="12.75" customHeight="1">
      <c r="A3233" s="385"/>
      <c r="B3233" s="386"/>
      <c r="C3233" s="20"/>
      <c r="D3233" s="342"/>
      <c r="E3233" s="387"/>
      <c r="F3233" s="388">
        <f t="shared" si="846"/>
        <v>0</v>
      </c>
      <c r="H3233" s="341" t="str">
        <f>IF(A3233="","",VLOOKUP(A3233,VII.A!$A$10:$D$199,4,FALSE))</f>
        <v/>
      </c>
      <c r="I3233" s="341" t="str">
        <f t="shared" si="843"/>
        <v/>
      </c>
      <c r="J3233" s="341" t="str">
        <f>IF(A3233="","",VLOOKUP(A3233,VII.A!$A$10:$D$199,3,FALSE))</f>
        <v/>
      </c>
      <c r="K3233" s="342" t="str">
        <f t="shared" si="844"/>
        <v/>
      </c>
      <c r="L3233" s="380" t="str">
        <f>IF(C3233="","",G3227*C3233)</f>
        <v/>
      </c>
      <c r="M3233" s="381" t="str">
        <f>IF(A3233="","",VLOOKUP(A3233,VII.A!$A$10:$B$199,2,FALSE))</f>
        <v/>
      </c>
      <c r="N3233" s="342" t="str">
        <f t="shared" si="845"/>
        <v/>
      </c>
      <c r="R3233" s="341"/>
      <c r="S3233" s="341"/>
    </row>
    <row r="3234" spans="1:21" ht="12.75" customHeight="1">
      <c r="A3234" s="385"/>
      <c r="B3234" s="386"/>
      <c r="C3234" s="20"/>
      <c r="D3234" s="342"/>
      <c r="E3234" s="387"/>
      <c r="F3234" s="388">
        <f t="shared" si="846"/>
        <v>0</v>
      </c>
      <c r="H3234" s="341" t="str">
        <f>IF(A3234="","",VLOOKUP(A3234,VII.A!$A$10:$D$199,4,FALSE))</f>
        <v/>
      </c>
      <c r="I3234" s="341" t="str">
        <f t="shared" si="843"/>
        <v/>
      </c>
      <c r="J3234" s="341" t="str">
        <f>IF(A3234="","",VLOOKUP(A3234,VII.A!$A$10:$D$199,3,FALSE))</f>
        <v/>
      </c>
      <c r="K3234" s="342" t="str">
        <f t="shared" si="844"/>
        <v/>
      </c>
      <c r="L3234" s="380" t="str">
        <f>IF(C3234="","",G3227*C3234)</f>
        <v/>
      </c>
      <c r="M3234" s="381" t="str">
        <f>IF(A3234="","",VLOOKUP(A3234,VII.A!$A$10:$B$199,2,FALSE))</f>
        <v/>
      </c>
      <c r="N3234" s="342" t="str">
        <f t="shared" si="845"/>
        <v/>
      </c>
      <c r="R3234" s="341"/>
      <c r="S3234" s="341"/>
      <c r="U3234" s="389"/>
    </row>
    <row r="3235" spans="1:21" ht="12.75" customHeight="1">
      <c r="A3235" s="385"/>
      <c r="B3235" s="386"/>
      <c r="C3235" s="20"/>
      <c r="D3235" s="342"/>
      <c r="E3235" s="387"/>
      <c r="F3235" s="388">
        <f t="shared" si="846"/>
        <v>0</v>
      </c>
      <c r="H3235" s="341" t="str">
        <f>IF(A3235="","",VLOOKUP(A3235,VII.A!$A$10:$D$199,4,FALSE))</f>
        <v/>
      </c>
      <c r="I3235" s="341" t="str">
        <f t="shared" si="843"/>
        <v/>
      </c>
      <c r="J3235" s="341" t="str">
        <f>IF(A3235="","",VLOOKUP(A3235,VII.A!$A$10:$D$199,3,FALSE))</f>
        <v/>
      </c>
      <c r="K3235" s="342" t="str">
        <f t="shared" si="844"/>
        <v/>
      </c>
      <c r="L3235" s="380" t="str">
        <f>IF(C3235="","",G3227*C3235)</f>
        <v/>
      </c>
      <c r="M3235" s="381" t="str">
        <f>IF(A3235="","",VLOOKUP(A3235,VII.A!$A$10:$B$199,2,FALSE))</f>
        <v/>
      </c>
      <c r="N3235" s="342" t="str">
        <f t="shared" si="845"/>
        <v/>
      </c>
      <c r="R3235" s="341"/>
      <c r="S3235" s="341"/>
    </row>
    <row r="3236" spans="1:21" ht="12.75" customHeight="1">
      <c r="A3236" s="385"/>
      <c r="B3236" s="386"/>
      <c r="C3236" s="20"/>
      <c r="D3236" s="342"/>
      <c r="E3236" s="387"/>
      <c r="F3236" s="388">
        <f t="shared" si="846"/>
        <v>0</v>
      </c>
      <c r="G3236" s="390"/>
      <c r="H3236" s="341" t="str">
        <f>IF(A3236="","",VLOOKUP(A3236,VII.A!$A$10:$D$199,4,FALSE))</f>
        <v/>
      </c>
      <c r="I3236" s="341" t="str">
        <f t="shared" si="843"/>
        <v/>
      </c>
      <c r="J3236" s="341" t="str">
        <f>IF(A3236="","",VLOOKUP(A3236,VII.A!$A$10:$D$199,3,FALSE))</f>
        <v/>
      </c>
      <c r="K3236" s="342" t="str">
        <f t="shared" si="844"/>
        <v/>
      </c>
      <c r="L3236" s="380" t="str">
        <f>IF(C3236="","",G3227*C3236)</f>
        <v/>
      </c>
      <c r="M3236" s="381" t="str">
        <f>IF(A3236="","",VLOOKUP(A3236,VII.A!$A$10:$B$199,2,FALSE))</f>
        <v/>
      </c>
      <c r="N3236" s="342" t="str">
        <f t="shared" si="845"/>
        <v/>
      </c>
      <c r="R3236" s="341"/>
      <c r="S3236" s="341"/>
    </row>
    <row r="3237" spans="1:21" ht="12.75" customHeight="1">
      <c r="A3237" s="385"/>
      <c r="B3237" s="386"/>
      <c r="C3237" s="20"/>
      <c r="D3237" s="342"/>
      <c r="E3237" s="387"/>
      <c r="F3237" s="388">
        <f t="shared" si="846"/>
        <v>0</v>
      </c>
      <c r="G3237" s="390"/>
      <c r="H3237" s="341" t="str">
        <f>IF(A3237="","",VLOOKUP(A3237,VII.A!$A$10:$D$199,4,FALSE))</f>
        <v/>
      </c>
      <c r="I3237" s="341" t="str">
        <f t="shared" si="843"/>
        <v/>
      </c>
      <c r="J3237" s="341" t="str">
        <f>IF(A3237="","",VLOOKUP(A3237,VII.A!$A$10:$D$199,3,FALSE))</f>
        <v/>
      </c>
      <c r="K3237" s="342" t="str">
        <f t="shared" si="844"/>
        <v/>
      </c>
      <c r="L3237" s="380" t="str">
        <f>IF(C3237="","",G3227*C3237)</f>
        <v/>
      </c>
      <c r="M3237" s="381" t="str">
        <f>IF(A3237="","",VLOOKUP(A3237,VII.A!$A$10:$B$199,2,FALSE))</f>
        <v/>
      </c>
      <c r="N3237" s="342" t="str">
        <f t="shared" si="845"/>
        <v/>
      </c>
      <c r="R3237" s="341"/>
      <c r="S3237" s="341"/>
    </row>
    <row r="3238" spans="1:21" ht="12.75" customHeight="1">
      <c r="A3238" s="385"/>
      <c r="B3238" s="386"/>
      <c r="C3238" s="20"/>
      <c r="D3238" s="342"/>
      <c r="E3238" s="387"/>
      <c r="F3238" s="388">
        <f t="shared" si="846"/>
        <v>0</v>
      </c>
      <c r="G3238" s="391"/>
      <c r="H3238" s="341" t="str">
        <f>IF(A3238="","",VLOOKUP(A3238,VII.A!$A$10:$D$199,4,FALSE))</f>
        <v/>
      </c>
      <c r="I3238" s="341" t="str">
        <f t="shared" si="843"/>
        <v/>
      </c>
      <c r="J3238" s="341" t="str">
        <f>IF(A3238="","",VLOOKUP(A3238,VII.A!$A$10:$D$199,3,FALSE))</f>
        <v/>
      </c>
      <c r="K3238" s="342" t="str">
        <f t="shared" si="844"/>
        <v/>
      </c>
      <c r="L3238" s="380" t="str">
        <f>IF(C3238="","",G3227*C3238)</f>
        <v/>
      </c>
      <c r="M3238" s="381" t="str">
        <f>IF(A3238="","",VLOOKUP(A3238,VII.A!$A$10:$B$199,2,FALSE))</f>
        <v/>
      </c>
      <c r="N3238" s="342" t="str">
        <f t="shared" si="845"/>
        <v/>
      </c>
      <c r="R3238" s="341"/>
      <c r="S3238" s="341"/>
    </row>
    <row r="3239" spans="1:21" ht="12.75" customHeight="1">
      <c r="A3239" s="385"/>
      <c r="B3239" s="386"/>
      <c r="C3239" s="20"/>
      <c r="D3239" s="342"/>
      <c r="E3239" s="387"/>
      <c r="F3239" s="388">
        <f t="shared" si="846"/>
        <v>0</v>
      </c>
      <c r="H3239" s="341" t="str">
        <f>IF(A3239="","",VLOOKUP(A3239,VII.A!$A$10:$D$199,4,FALSE))</f>
        <v/>
      </c>
      <c r="I3239" s="341" t="str">
        <f t="shared" si="843"/>
        <v/>
      </c>
      <c r="J3239" s="341" t="str">
        <f>IF(A3239="","",VLOOKUP(A3239,VII.A!$A$10:$D$199,3,FALSE))</f>
        <v/>
      </c>
      <c r="K3239" s="342" t="str">
        <f t="shared" si="844"/>
        <v/>
      </c>
      <c r="L3239" s="380" t="str">
        <f>IF(C3239="","",G3227*C3239)</f>
        <v/>
      </c>
      <c r="M3239" s="381" t="str">
        <f>IF(A3239="","",VLOOKUP(A3239,VII.A!$A$10:$B$199,2,FALSE))</f>
        <v/>
      </c>
      <c r="N3239" s="342" t="str">
        <f t="shared" si="845"/>
        <v/>
      </c>
      <c r="R3239" s="341"/>
      <c r="S3239" s="341"/>
    </row>
    <row r="3240" spans="1:21" ht="12.75" customHeight="1">
      <c r="A3240" s="385"/>
      <c r="B3240" s="386"/>
      <c r="C3240" s="20"/>
      <c r="D3240" s="392"/>
      <c r="E3240" s="387"/>
      <c r="F3240" s="388">
        <f t="shared" si="846"/>
        <v>0</v>
      </c>
      <c r="H3240" s="341" t="str">
        <f>IF(A3240="","",VLOOKUP(A3240,VII.A!$A$10:$D$199,4,FALSE))</f>
        <v/>
      </c>
      <c r="I3240" s="341" t="str">
        <f t="shared" si="843"/>
        <v/>
      </c>
      <c r="J3240" s="341" t="str">
        <f>IF(A3240="","",VLOOKUP(A3240,VII.A!$A$10:$D$199,3,FALSE))</f>
        <v/>
      </c>
      <c r="K3240" s="342" t="str">
        <f t="shared" si="844"/>
        <v/>
      </c>
      <c r="L3240" s="380" t="str">
        <f>IF(C3240="","",G3227*C3240)</f>
        <v/>
      </c>
      <c r="M3240" s="381" t="str">
        <f>IF(A3240="","",VLOOKUP(A3240,VII.A!$A$10:$B$199,2,FALSE))</f>
        <v/>
      </c>
      <c r="N3240" s="342" t="str">
        <f t="shared" si="845"/>
        <v/>
      </c>
      <c r="R3240" s="341"/>
      <c r="S3240" s="341"/>
    </row>
    <row r="3241" spans="1:21" ht="12.75" customHeight="1">
      <c r="A3241" s="385"/>
      <c r="B3241" s="386"/>
      <c r="C3241" s="20"/>
      <c r="D3241" s="392"/>
      <c r="E3241" s="387"/>
      <c r="F3241" s="388">
        <f t="shared" si="846"/>
        <v>0</v>
      </c>
      <c r="H3241" s="341" t="str">
        <f>IF(A3241="","",VLOOKUP(A3241,VII.A!$A$10:$D$199,4,FALSE))</f>
        <v/>
      </c>
      <c r="I3241" s="341" t="str">
        <f t="shared" si="843"/>
        <v/>
      </c>
      <c r="J3241" s="341" t="str">
        <f>IF(A3241="","",VLOOKUP(A3241,VII.A!$A$10:$D$199,3,FALSE))</f>
        <v/>
      </c>
      <c r="K3241" s="342" t="str">
        <f t="shared" si="844"/>
        <v/>
      </c>
      <c r="L3241" s="380" t="str">
        <f>IF(C3241="","",G3227*C3241)</f>
        <v/>
      </c>
      <c r="M3241" s="381" t="str">
        <f>IF(A3241="","",VLOOKUP(A3241,VII.A!$A$10:$B$199,2,FALSE))</f>
        <v/>
      </c>
      <c r="N3241" s="342" t="str">
        <f t="shared" si="845"/>
        <v/>
      </c>
      <c r="O3241" s="342"/>
      <c r="R3241" s="341"/>
      <c r="S3241" s="341"/>
    </row>
    <row r="3242" spans="1:21" ht="12.75" customHeight="1">
      <c r="A3242" s="385"/>
      <c r="B3242" s="386"/>
      <c r="C3242" s="20"/>
      <c r="D3242" s="392"/>
      <c r="E3242" s="387"/>
      <c r="F3242" s="388">
        <f t="shared" si="846"/>
        <v>0</v>
      </c>
      <c r="H3242" s="341" t="str">
        <f>IF(A3242="","",VLOOKUP(A3242,VII.A!$A$10:$D$199,4,FALSE))</f>
        <v/>
      </c>
      <c r="I3242" s="341" t="str">
        <f t="shared" si="843"/>
        <v/>
      </c>
      <c r="J3242" s="341" t="str">
        <f>IF(A3242="","",VLOOKUP(A3242,VII.A!$A$10:$D$199,3,FALSE))</f>
        <v/>
      </c>
      <c r="K3242" s="342" t="str">
        <f t="shared" si="844"/>
        <v/>
      </c>
      <c r="L3242" s="380" t="str">
        <f>IF(C3242="","",G3227*C3242)</f>
        <v/>
      </c>
      <c r="M3242" s="381" t="str">
        <f>IF(A3242="","",VLOOKUP(A3242,VII.A!$A$10:$B$199,2,FALSE))</f>
        <v/>
      </c>
      <c r="N3242" s="342" t="str">
        <f t="shared" si="845"/>
        <v/>
      </c>
      <c r="R3242" s="341"/>
      <c r="S3242" s="341"/>
    </row>
    <row r="3243" spans="1:21" ht="12.75" customHeight="1">
      <c r="A3243" s="393"/>
      <c r="C3243" s="20"/>
      <c r="E3243" s="387"/>
      <c r="F3243" s="388">
        <f t="shared" si="846"/>
        <v>0</v>
      </c>
      <c r="H3243" s="341" t="str">
        <f>IF(A3243="","",VLOOKUP(A3243,VII.A!$A$10:$D$199,4,FALSE))</f>
        <v/>
      </c>
      <c r="I3243" s="341" t="str">
        <f t="shared" si="843"/>
        <v/>
      </c>
      <c r="J3243" s="341" t="str">
        <f>IF(A3243="","",VLOOKUP(A3243,VII.A!$A$10:$D$199,3,FALSE))</f>
        <v/>
      </c>
      <c r="K3243" s="342" t="str">
        <f t="shared" si="844"/>
        <v/>
      </c>
      <c r="L3243" s="380" t="str">
        <f>IF(C3243="","",G3227*C3243)</f>
        <v/>
      </c>
      <c r="M3243" s="381" t="str">
        <f>IF(A3243="","",VLOOKUP(A3243,VII.A!$A$10:$B$199,2,FALSE))</f>
        <v/>
      </c>
      <c r="N3243" s="342" t="str">
        <f t="shared" si="845"/>
        <v/>
      </c>
      <c r="R3243" s="341"/>
      <c r="S3243" s="341"/>
    </row>
    <row r="3244" spans="1:21" ht="12.75" customHeight="1">
      <c r="A3244" s="393"/>
      <c r="C3244" s="20"/>
      <c r="E3244" s="387"/>
      <c r="F3244" s="388">
        <f t="shared" si="846"/>
        <v>0</v>
      </c>
      <c r="H3244" s="341" t="str">
        <f>IF(A3244="","",VLOOKUP(A3244,VII.A!$A$10:$D$199,4,FALSE))</f>
        <v/>
      </c>
      <c r="I3244" s="341" t="str">
        <f t="shared" si="843"/>
        <v/>
      </c>
      <c r="J3244" s="341" t="str">
        <f>IF(A3244="","",VLOOKUP(A3244,VII.A!$A$10:$D$199,3,FALSE))</f>
        <v/>
      </c>
      <c r="K3244" s="342" t="str">
        <f t="shared" si="844"/>
        <v/>
      </c>
      <c r="L3244" s="380" t="str">
        <f>IF(C3244="","",G3227*C3244)</f>
        <v/>
      </c>
      <c r="M3244" s="381" t="str">
        <f>IF(A3244="","",VLOOKUP(A3244,VII.A!$A$10:$B$199,2,FALSE))</f>
        <v/>
      </c>
      <c r="N3244" s="342" t="str">
        <f t="shared" si="845"/>
        <v/>
      </c>
      <c r="R3244" s="341"/>
      <c r="S3244" s="341"/>
    </row>
    <row r="3245" spans="1:21" ht="12.75" customHeight="1">
      <c r="A3245" s="393"/>
      <c r="B3245" s="395" t="s">
        <v>226</v>
      </c>
      <c r="C3245" s="396"/>
      <c r="D3245" s="397"/>
      <c r="E3245" s="398"/>
      <c r="F3245" s="399">
        <f>SUM(F3229:F3244)</f>
        <v>0</v>
      </c>
      <c r="H3245" s="426" t="s">
        <v>397</v>
      </c>
      <c r="J3245" s="341"/>
      <c r="L3245" s="380"/>
      <c r="M3245" s="381"/>
      <c r="N3245" s="342"/>
      <c r="R3245" s="341"/>
      <c r="S3245" s="341"/>
    </row>
    <row r="3246" spans="1:21" ht="12.75" customHeight="1">
      <c r="A3246" s="393"/>
      <c r="B3246" s="400" t="s">
        <v>53</v>
      </c>
      <c r="C3246" s="2">
        <f>$D$8</f>
        <v>0</v>
      </c>
      <c r="D3246" s="401"/>
      <c r="E3246" s="402"/>
      <c r="F3246" s="403">
        <f>ROUND(F3245*C3246,2)</f>
        <v>0</v>
      </c>
      <c r="H3246" s="426" t="s">
        <v>497</v>
      </c>
      <c r="J3246" s="341"/>
      <c r="L3246" s="380"/>
      <c r="M3246" s="381"/>
      <c r="N3246" s="342"/>
      <c r="R3246" s="341"/>
      <c r="S3246" s="341"/>
    </row>
    <row r="3247" spans="1:21" ht="12.75" customHeight="1">
      <c r="A3247" s="404"/>
      <c r="B3247" s="405" t="s">
        <v>227</v>
      </c>
      <c r="C3247" s="406"/>
      <c r="D3247" s="406"/>
      <c r="E3247" s="407"/>
      <c r="F3247" s="408">
        <f>F3245+F3246</f>
        <v>0</v>
      </c>
      <c r="J3247" s="341"/>
      <c r="L3247" s="380"/>
      <c r="M3247" s="381"/>
      <c r="N3247" s="342"/>
      <c r="R3247" s="341"/>
      <c r="S3247" s="341"/>
    </row>
    <row r="3248" spans="1:21" ht="12.75" customHeight="1">
      <c r="A3248" s="374" t="s">
        <v>2</v>
      </c>
      <c r="B3248" s="375" t="s">
        <v>235</v>
      </c>
      <c r="C3248" s="376" t="s">
        <v>231</v>
      </c>
      <c r="D3248" s="376" t="s">
        <v>232</v>
      </c>
      <c r="E3248" s="377" t="s">
        <v>233</v>
      </c>
      <c r="F3248" s="378" t="s">
        <v>234</v>
      </c>
      <c r="J3248" s="341"/>
      <c r="L3248" s="380"/>
      <c r="M3248" s="381"/>
      <c r="N3248" s="342"/>
      <c r="R3248" s="341"/>
      <c r="S3248" s="341"/>
    </row>
    <row r="3249" spans="1:19" ht="12.75" customHeight="1">
      <c r="A3249" s="393" t="str">
        <f>VII.A!$A$157</f>
        <v>2.15</v>
      </c>
      <c r="B3249" s="423" t="str">
        <f>VLOOKUP(A3249,VII.A!$A$10:$G$199,2,FALSE)</f>
        <v>GUINCHO ELÉTRICO DE COLUNA, CAPACIDADE 400 KG, COM MOTO FREIO, MOTOR TRIFÁSICO DE 1,25 CV - CHP</v>
      </c>
      <c r="C3249" s="20">
        <v>4.5999999999999999E-3</v>
      </c>
      <c r="D3249" s="384" t="str">
        <f>VLOOKUP(A3249,VII.A!$A$10:$G$199,3,FALSE)</f>
        <v>CHP</v>
      </c>
      <c r="E3249" s="387">
        <f>VII.A!$D$157</f>
        <v>0</v>
      </c>
      <c r="F3249" s="388">
        <f t="shared" ref="F3249:F3258" si="847">ROUND(C3249*E3249,2)</f>
        <v>0</v>
      </c>
      <c r="H3249" s="341">
        <f>IF(A3249="","",VLOOKUP(A3249,VII.A!$A$10:$D$199,4,FALSE))</f>
        <v>0</v>
      </c>
      <c r="I3249" s="341" t="str">
        <f t="shared" ref="I3249:I3258" si="848">IF(A3249="","",IF(E3249=H3249,"SIM","NÃO"))</f>
        <v>SIM</v>
      </c>
      <c r="J3249" s="341" t="str">
        <f>IF(A3249="","",VLOOKUP(A3249,VII.A!$A$10:$D$199,3,FALSE))</f>
        <v>CHP</v>
      </c>
      <c r="K3249" s="342" t="str">
        <f t="shared" ref="K3249:K3258" si="849">IF(A3249="","",IF(J3249=D3249,"SIM","NÃO"))</f>
        <v>SIM</v>
      </c>
      <c r="L3249" s="380">
        <f>IF(C3249="","",G3227*C3249)</f>
        <v>0.22999999999999998</v>
      </c>
      <c r="M3249" s="381" t="str">
        <f>IF(A3249="","",VLOOKUP(A3249,VII.A!$A$10:$B$199,2,FALSE))</f>
        <v>GUINCHO ELÉTRICO DE COLUNA, CAPACIDADE 400 KG, COM MOTO FREIO, MOTOR TRIFÁSICO DE 1,25 CV - CHP</v>
      </c>
      <c r="N3249" s="342" t="str">
        <f t="shared" ref="N3249:N3258" si="850">IF(B3249="","",IF(M3249=B3249,"si","no"))</f>
        <v>si</v>
      </c>
      <c r="R3249" s="341"/>
      <c r="S3249" s="341"/>
    </row>
    <row r="3250" spans="1:19" ht="12.75" customHeight="1">
      <c r="A3250" s="393" t="str">
        <f>VII.A!$A$158</f>
        <v>2.16</v>
      </c>
      <c r="B3250" s="394" t="str">
        <f>VLOOKUP(A3250,VII.A!$A$10:$G$199,2,FALSE)</f>
        <v>GUINCHO ELÉTRICO DE COLUNA, CAPACIDADE 400 KG, COM MOTO FREIO, MOTOR TRIFÁSICO DE 1,25 CV - CHI</v>
      </c>
      <c r="C3250" s="20">
        <v>6.4000000000000003E-3</v>
      </c>
      <c r="D3250" s="384" t="str">
        <f>VLOOKUP(A3250,VII.A!$A$10:$G$199,3,FALSE)</f>
        <v>CHI</v>
      </c>
      <c r="E3250" s="387">
        <f>VII.A!$D$158</f>
        <v>0</v>
      </c>
      <c r="F3250" s="388">
        <f t="shared" si="847"/>
        <v>0</v>
      </c>
      <c r="H3250" s="341">
        <f>IF(A3250="","",VLOOKUP(A3250,VII.A!$A$10:$D$199,4,FALSE))</f>
        <v>0</v>
      </c>
      <c r="I3250" s="341" t="str">
        <f t="shared" si="848"/>
        <v>SIM</v>
      </c>
      <c r="J3250" s="341" t="str">
        <f>IF(A3250="","",VLOOKUP(A3250,VII.A!$A$10:$D$199,3,FALSE))</f>
        <v>CHI</v>
      </c>
      <c r="K3250" s="342" t="str">
        <f t="shared" si="849"/>
        <v>SIM</v>
      </c>
      <c r="L3250" s="380">
        <f>IF(C3250="","",G3227*C3250)</f>
        <v>0.32</v>
      </c>
      <c r="M3250" s="381" t="str">
        <f>IF(A3250="","",VLOOKUP(A3250,VII.A!$A$10:$B$199,2,FALSE))</f>
        <v>GUINCHO ELÉTRICO DE COLUNA, CAPACIDADE 400 KG, COM MOTO FREIO, MOTOR TRIFÁSICO DE 1,25 CV - CHI</v>
      </c>
      <c r="N3250" s="342" t="str">
        <f t="shared" si="850"/>
        <v>si</v>
      </c>
      <c r="R3250" s="341"/>
      <c r="S3250" s="341"/>
    </row>
    <row r="3251" spans="1:19" ht="12.75" customHeight="1">
      <c r="A3251" s="393"/>
      <c r="C3251" s="20"/>
      <c r="E3251" s="387"/>
      <c r="F3251" s="388">
        <f t="shared" si="847"/>
        <v>0</v>
      </c>
      <c r="H3251" s="341" t="str">
        <f>IF(A3251="","",VLOOKUP(A3251,VII.A!$A$10:$D$199,4,FALSE))</f>
        <v/>
      </c>
      <c r="I3251" s="341" t="str">
        <f t="shared" si="848"/>
        <v/>
      </c>
      <c r="J3251" s="341" t="str">
        <f>IF(A3251="","",VLOOKUP(A3251,VII.A!$A$10:$D$199,3,FALSE))</f>
        <v/>
      </c>
      <c r="K3251" s="342" t="str">
        <f t="shared" si="849"/>
        <v/>
      </c>
      <c r="L3251" s="380" t="str">
        <f>IF(C3251="","",G3227*C3251)</f>
        <v/>
      </c>
      <c r="M3251" s="381" t="str">
        <f>IF(A3251="","",VLOOKUP(A3251,VII.A!$A$10:$B$199,2,FALSE))</f>
        <v/>
      </c>
      <c r="N3251" s="342" t="str">
        <f t="shared" si="850"/>
        <v/>
      </c>
      <c r="R3251" s="341"/>
      <c r="S3251" s="341"/>
    </row>
    <row r="3252" spans="1:19" ht="12.75" customHeight="1">
      <c r="A3252" s="393"/>
      <c r="C3252" s="20"/>
      <c r="E3252" s="387"/>
      <c r="F3252" s="388">
        <f t="shared" si="847"/>
        <v>0</v>
      </c>
      <c r="H3252" s="341" t="str">
        <f>IF(A3252="","",VLOOKUP(A3252,VII.A!$A$10:$D$199,4,FALSE))</f>
        <v/>
      </c>
      <c r="I3252" s="341" t="str">
        <f t="shared" si="848"/>
        <v/>
      </c>
      <c r="J3252" s="341" t="str">
        <f>IF(A3252="","",VLOOKUP(A3252,VII.A!$A$10:$D$199,3,FALSE))</f>
        <v/>
      </c>
      <c r="K3252" s="342" t="str">
        <f t="shared" si="849"/>
        <v/>
      </c>
      <c r="L3252" s="380" t="str">
        <f>IF(C3252="","",G3227*C3252)</f>
        <v/>
      </c>
      <c r="M3252" s="381" t="str">
        <f>IF(A3252="","",VLOOKUP(A3252,VII.A!$A$10:$B$199,2,FALSE))</f>
        <v/>
      </c>
      <c r="N3252" s="342" t="str">
        <f t="shared" si="850"/>
        <v/>
      </c>
      <c r="R3252" s="341"/>
      <c r="S3252" s="341"/>
    </row>
    <row r="3253" spans="1:19" ht="12.75" customHeight="1">
      <c r="A3253" s="393"/>
      <c r="C3253" s="20"/>
      <c r="E3253" s="387"/>
      <c r="F3253" s="388">
        <f t="shared" si="847"/>
        <v>0</v>
      </c>
      <c r="G3253" s="390"/>
      <c r="H3253" s="341" t="str">
        <f>IF(A3253="","",VLOOKUP(A3253,VII.A!$A$10:$D$199,4,FALSE))</f>
        <v/>
      </c>
      <c r="I3253" s="341" t="str">
        <f t="shared" si="848"/>
        <v/>
      </c>
      <c r="J3253" s="341" t="str">
        <f>IF(A3253="","",VLOOKUP(A3253,VII.A!$A$10:$D$199,3,FALSE))</f>
        <v/>
      </c>
      <c r="K3253" s="342" t="str">
        <f t="shared" si="849"/>
        <v/>
      </c>
      <c r="L3253" s="380" t="str">
        <f>IF(C3253="","",G3227*C3253)</f>
        <v/>
      </c>
      <c r="M3253" s="381" t="str">
        <f>IF(A3253="","",VLOOKUP(A3253,VII.A!$A$10:$B$199,2,FALSE))</f>
        <v/>
      </c>
      <c r="N3253" s="342" t="str">
        <f t="shared" si="850"/>
        <v/>
      </c>
      <c r="R3253" s="341"/>
      <c r="S3253" s="341"/>
    </row>
    <row r="3254" spans="1:19" ht="12.75" customHeight="1">
      <c r="A3254" s="393"/>
      <c r="C3254" s="20"/>
      <c r="E3254" s="387"/>
      <c r="F3254" s="388">
        <f t="shared" si="847"/>
        <v>0</v>
      </c>
      <c r="G3254" s="391"/>
      <c r="H3254" s="341" t="str">
        <f>IF(A3254="","",VLOOKUP(A3254,VII.A!$A$10:$D$199,4,FALSE))</f>
        <v/>
      </c>
      <c r="I3254" s="341" t="str">
        <f t="shared" si="848"/>
        <v/>
      </c>
      <c r="J3254" s="341" t="str">
        <f>IF(A3254="","",VLOOKUP(A3254,VII.A!$A$10:$D$199,3,FALSE))</f>
        <v/>
      </c>
      <c r="K3254" s="342" t="str">
        <f t="shared" si="849"/>
        <v/>
      </c>
      <c r="L3254" s="380" t="str">
        <f>IF(C3254="","",G3227*C3254)</f>
        <v/>
      </c>
      <c r="M3254" s="381" t="str">
        <f>IF(A3254="","",VLOOKUP(A3254,VII.A!$A$10:$B$199,2,FALSE))</f>
        <v/>
      </c>
      <c r="N3254" s="342" t="str">
        <f t="shared" si="850"/>
        <v/>
      </c>
      <c r="R3254" s="341"/>
      <c r="S3254" s="341"/>
    </row>
    <row r="3255" spans="1:19" ht="12.75" customHeight="1">
      <c r="A3255" s="393"/>
      <c r="C3255" s="20"/>
      <c r="E3255" s="387"/>
      <c r="F3255" s="388">
        <f t="shared" si="847"/>
        <v>0</v>
      </c>
      <c r="H3255" s="341" t="str">
        <f>IF(A3255="","",VLOOKUP(A3255,VII.A!$A$10:$D$199,4,FALSE))</f>
        <v/>
      </c>
      <c r="I3255" s="341" t="str">
        <f t="shared" si="848"/>
        <v/>
      </c>
      <c r="J3255" s="341" t="str">
        <f>IF(A3255="","",VLOOKUP(A3255,VII.A!$A$10:$D$199,3,FALSE))</f>
        <v/>
      </c>
      <c r="K3255" s="342" t="str">
        <f t="shared" si="849"/>
        <v/>
      </c>
      <c r="L3255" s="380" t="str">
        <f>IF(C3255="","",G3227*C3255)</f>
        <v/>
      </c>
      <c r="M3255" s="381" t="str">
        <f>IF(A3255="","",VLOOKUP(A3255,VII.A!$A$10:$B$199,2,FALSE))</f>
        <v/>
      </c>
      <c r="N3255" s="342" t="str">
        <f t="shared" si="850"/>
        <v/>
      </c>
      <c r="R3255" s="341"/>
      <c r="S3255" s="341"/>
    </row>
    <row r="3256" spans="1:19" ht="12.75" customHeight="1">
      <c r="A3256" s="393"/>
      <c r="C3256" s="20"/>
      <c r="E3256" s="387"/>
      <c r="F3256" s="388">
        <f t="shared" si="847"/>
        <v>0</v>
      </c>
      <c r="H3256" s="341" t="str">
        <f>IF(A3256="","",VLOOKUP(A3256,VII.A!$A$10:$D$199,4,FALSE))</f>
        <v/>
      </c>
      <c r="I3256" s="341" t="str">
        <f t="shared" si="848"/>
        <v/>
      </c>
      <c r="J3256" s="341" t="str">
        <f>IF(A3256="","",VLOOKUP(A3256,VII.A!$A$10:$D$199,3,FALSE))</f>
        <v/>
      </c>
      <c r="K3256" s="342" t="str">
        <f t="shared" si="849"/>
        <v/>
      </c>
      <c r="L3256" s="380" t="str">
        <f>IF(C3256="","",G3227*C3256)</f>
        <v/>
      </c>
      <c r="M3256" s="381" t="str">
        <f>IF(A3256="","",VLOOKUP(A3256,VII.A!$A$10:$B$199,2,FALSE))</f>
        <v/>
      </c>
      <c r="N3256" s="342" t="str">
        <f t="shared" si="850"/>
        <v/>
      </c>
      <c r="R3256" s="341"/>
      <c r="S3256" s="341"/>
    </row>
    <row r="3257" spans="1:19" ht="12.75" customHeight="1">
      <c r="A3257" s="393"/>
      <c r="C3257" s="20"/>
      <c r="E3257" s="387"/>
      <c r="F3257" s="388">
        <f t="shared" si="847"/>
        <v>0</v>
      </c>
      <c r="H3257" s="341" t="str">
        <f>IF(A3257="","",VLOOKUP(A3257,VII.A!$A$10:$D$199,4,FALSE))</f>
        <v/>
      </c>
      <c r="I3257" s="341" t="str">
        <f t="shared" si="848"/>
        <v/>
      </c>
      <c r="J3257" s="341" t="str">
        <f>IF(A3257="","",VLOOKUP(A3257,VII.A!$A$10:$D$199,3,FALSE))</f>
        <v/>
      </c>
      <c r="K3257" s="342" t="str">
        <f t="shared" si="849"/>
        <v/>
      </c>
      <c r="L3257" s="380" t="str">
        <f>IF(C3257="","",G3227*C3257)</f>
        <v/>
      </c>
      <c r="M3257" s="381" t="str">
        <f>IF(A3257="","",VLOOKUP(A3257,VII.A!$A$10:$B$199,2,FALSE))</f>
        <v/>
      </c>
      <c r="N3257" s="342" t="str">
        <f t="shared" si="850"/>
        <v/>
      </c>
      <c r="R3257" s="341"/>
      <c r="S3257" s="341"/>
    </row>
    <row r="3258" spans="1:19" ht="12.75" customHeight="1">
      <c r="A3258" s="393"/>
      <c r="C3258" s="20"/>
      <c r="E3258" s="387"/>
      <c r="F3258" s="388">
        <f t="shared" si="847"/>
        <v>0</v>
      </c>
      <c r="H3258" s="341" t="str">
        <f>IF(A3258="","",VLOOKUP(A3258,VII.A!$A$10:$D$199,4,FALSE))</f>
        <v/>
      </c>
      <c r="I3258" s="341" t="str">
        <f t="shared" si="848"/>
        <v/>
      </c>
      <c r="J3258" s="341" t="str">
        <f>IF(A3258="","",VLOOKUP(A3258,VII.A!$A$10:$D$199,3,FALSE))</f>
        <v/>
      </c>
      <c r="K3258" s="342" t="str">
        <f t="shared" si="849"/>
        <v/>
      </c>
      <c r="L3258" s="380" t="str">
        <f>IF(C3258="","",G3227*C3258)</f>
        <v/>
      </c>
      <c r="M3258" s="381" t="str">
        <f>IF(A3258="","",VLOOKUP(A3258,VII.A!$A$10:$B$199,2,FALSE))</f>
        <v/>
      </c>
      <c r="N3258" s="342" t="str">
        <f t="shared" si="850"/>
        <v/>
      </c>
      <c r="R3258" s="341"/>
      <c r="S3258" s="341"/>
    </row>
    <row r="3259" spans="1:19" ht="12.75" customHeight="1">
      <c r="A3259" s="393"/>
      <c r="B3259" s="395" t="s">
        <v>226</v>
      </c>
      <c r="C3259" s="396"/>
      <c r="D3259" s="397"/>
      <c r="E3259" s="398"/>
      <c r="F3259" s="399">
        <f>SUM(F3249:F3258)</f>
        <v>0</v>
      </c>
      <c r="J3259" s="341"/>
      <c r="L3259" s="380"/>
      <c r="M3259" s="381"/>
      <c r="N3259" s="342"/>
      <c r="R3259" s="341"/>
      <c r="S3259" s="341"/>
    </row>
    <row r="3260" spans="1:19" ht="12.75" customHeight="1">
      <c r="A3260" s="393"/>
      <c r="B3260" s="400" t="s">
        <v>53</v>
      </c>
      <c r="C3260" s="2">
        <f>$D$8</f>
        <v>0</v>
      </c>
      <c r="D3260" s="401"/>
      <c r="E3260" s="402"/>
      <c r="F3260" s="403">
        <f>ROUND(C3260*F3259,2)</f>
        <v>0</v>
      </c>
      <c r="J3260" s="341"/>
      <c r="L3260" s="380"/>
      <c r="M3260" s="381"/>
      <c r="N3260" s="342"/>
      <c r="R3260" s="341"/>
      <c r="S3260" s="341"/>
    </row>
    <row r="3261" spans="1:19" ht="12.75" customHeight="1">
      <c r="A3261" s="404"/>
      <c r="B3261" s="405" t="s">
        <v>228</v>
      </c>
      <c r="C3261" s="406"/>
      <c r="D3261" s="406"/>
      <c r="E3261" s="407"/>
      <c r="F3261" s="408">
        <f>F3259+F3260</f>
        <v>0</v>
      </c>
      <c r="J3261" s="341"/>
      <c r="L3261" s="380"/>
      <c r="M3261" s="381"/>
      <c r="N3261" s="342"/>
      <c r="R3261" s="341"/>
      <c r="S3261" s="341"/>
    </row>
    <row r="3262" spans="1:19" ht="12.75" customHeight="1">
      <c r="A3262" s="409" t="s">
        <v>47</v>
      </c>
      <c r="B3262" s="410" t="s">
        <v>236</v>
      </c>
      <c r="C3262" s="411" t="s">
        <v>231</v>
      </c>
      <c r="D3262" s="412" t="s">
        <v>232</v>
      </c>
      <c r="E3262" s="413" t="s">
        <v>233</v>
      </c>
      <c r="F3262" s="378" t="s">
        <v>234</v>
      </c>
      <c r="J3262" s="341"/>
      <c r="L3262" s="380"/>
      <c r="M3262" s="381"/>
      <c r="N3262" s="342"/>
      <c r="R3262" s="341"/>
      <c r="S3262" s="341"/>
    </row>
    <row r="3263" spans="1:19" ht="12.75" customHeight="1">
      <c r="A3263" s="393" t="str">
        <f>VII.A!$A$183</f>
        <v>3.3</v>
      </c>
      <c r="B3263" s="394" t="s">
        <v>144</v>
      </c>
      <c r="C3263" s="20">
        <f>0.065</f>
        <v>6.5000000000000002E-2</v>
      </c>
      <c r="D3263" s="384" t="str">
        <f>VLOOKUP(A3263,VII.A!$A$10:$G$199,3,FALSE)</f>
        <v>H</v>
      </c>
      <c r="E3263" s="387">
        <f>VII.A!D183</f>
        <v>0</v>
      </c>
      <c r="F3263" s="388">
        <f t="shared" ref="F3263:F3269" si="851">ROUND(C3263*E3263,2)</f>
        <v>0</v>
      </c>
      <c r="H3263" s="341">
        <f>IF(A3263="","",VLOOKUP(A3263,VII.A!$A$10:$D$199,4,FALSE))</f>
        <v>0</v>
      </c>
      <c r="I3263" s="341" t="str">
        <f t="shared" ref="I3263:I3269" si="852">IF(A3263="","",IF(E3263=H3263,"SIM","NÃO"))</f>
        <v>SIM</v>
      </c>
      <c r="J3263" s="341" t="str">
        <f>IF(A3263="","",VLOOKUP(A3263,VII.A!$A$10:$D$199,3,FALSE))</f>
        <v>H</v>
      </c>
      <c r="K3263" s="342" t="str">
        <f t="shared" ref="K3263:K3269" si="853">IF(A3263="","",IF(J3263=D3263,"SIM","NÃO"))</f>
        <v>SIM</v>
      </c>
      <c r="L3263" s="380">
        <f>IF(C3263="","",G3227*C3263)</f>
        <v>3.25</v>
      </c>
      <c r="M3263" s="381" t="str">
        <f>IF(A3263="","",VLOOKUP(A3263,VII.A!$A$10:$B$199,2,FALSE))</f>
        <v>AJUDANTE DE CARPINTEIRO</v>
      </c>
      <c r="N3263" s="342" t="str">
        <f t="shared" ref="N3263:N3269" si="854">IF(B3263="","",IF(M3263=B3263,"si","no"))</f>
        <v>no</v>
      </c>
      <c r="R3263" s="341"/>
      <c r="S3263" s="341"/>
    </row>
    <row r="3264" spans="1:19" ht="12.75" customHeight="1">
      <c r="A3264" s="393" t="str">
        <f>VII.A!$A$186</f>
        <v>3.6</v>
      </c>
      <c r="B3264" s="394" t="s">
        <v>147</v>
      </c>
      <c r="C3264" s="20">
        <v>0.11799999999999999</v>
      </c>
      <c r="D3264" s="384" t="str">
        <f>VLOOKUP(A3264,VII.A!$A$10:$G$199,3,FALSE)</f>
        <v>H</v>
      </c>
      <c r="E3264" s="387">
        <f>VII.A!D186</f>
        <v>0</v>
      </c>
      <c r="F3264" s="388">
        <f t="shared" si="851"/>
        <v>0</v>
      </c>
      <c r="H3264" s="341">
        <f>IF(A3264="","",VLOOKUP(A3264,VII.A!$A$10:$D$199,4,FALSE))</f>
        <v>0</v>
      </c>
      <c r="I3264" s="341" t="str">
        <f t="shared" si="852"/>
        <v>SIM</v>
      </c>
      <c r="J3264" s="341" t="str">
        <f>IF(A3264="","",VLOOKUP(A3264,VII.A!$A$10:$D$199,3,FALSE))</f>
        <v>H</v>
      </c>
      <c r="K3264" s="342" t="str">
        <f t="shared" si="853"/>
        <v>SIM</v>
      </c>
      <c r="L3264" s="380">
        <f>IF(C3264="","",G3227*C3264)</f>
        <v>5.8999999999999995</v>
      </c>
      <c r="M3264" s="381" t="str">
        <f>IF(A3264="","",VLOOKUP(A3264,VII.A!$A$10:$B$199,2,FALSE))</f>
        <v>CARPINTEIRO COM ENCARGOS COMPLEMENTARES</v>
      </c>
      <c r="N3264" s="342" t="str">
        <f t="shared" si="854"/>
        <v>si</v>
      </c>
      <c r="R3264" s="341"/>
      <c r="S3264" s="341"/>
    </row>
    <row r="3265" spans="1:25" ht="12.75" customHeight="1">
      <c r="A3265" s="393"/>
      <c r="C3265" s="20"/>
      <c r="E3265" s="387"/>
      <c r="F3265" s="388">
        <f t="shared" si="851"/>
        <v>0</v>
      </c>
      <c r="H3265" s="341" t="str">
        <f>IF(A3265="","",VLOOKUP(A3265,VII.A!$A$10:$D$199,4,FALSE))</f>
        <v/>
      </c>
      <c r="I3265" s="341" t="str">
        <f t="shared" si="852"/>
        <v/>
      </c>
      <c r="J3265" s="341" t="str">
        <f>IF(A3265="","",VLOOKUP(A3265,VII.A!$A$10:$D$199,3,FALSE))</f>
        <v/>
      </c>
      <c r="K3265" s="342" t="str">
        <f t="shared" si="853"/>
        <v/>
      </c>
      <c r="L3265" s="380" t="str">
        <f>IF(C3265="","",G3227*C3265)</f>
        <v/>
      </c>
      <c r="M3265" s="381" t="str">
        <f>IF(A3265="","",VLOOKUP(A3265,VII.A!$A$10:$B$199,2,FALSE))</f>
        <v/>
      </c>
      <c r="N3265" s="342" t="str">
        <f t="shared" si="854"/>
        <v/>
      </c>
      <c r="R3265" s="341"/>
      <c r="S3265" s="341"/>
    </row>
    <row r="3266" spans="1:25" ht="12.75" customHeight="1">
      <c r="A3266" s="393"/>
      <c r="C3266" s="20"/>
      <c r="E3266" s="387"/>
      <c r="F3266" s="388">
        <f t="shared" si="851"/>
        <v>0</v>
      </c>
      <c r="H3266" s="341" t="str">
        <f>IF(A3266="","",VLOOKUP(A3266,VII.A!$A$10:$D$199,4,FALSE))</f>
        <v/>
      </c>
      <c r="I3266" s="341" t="str">
        <f t="shared" si="852"/>
        <v/>
      </c>
      <c r="J3266" s="341" t="str">
        <f>IF(A3266="","",VLOOKUP(A3266,VII.A!$A$10:$D$199,3,FALSE))</f>
        <v/>
      </c>
      <c r="K3266" s="342" t="str">
        <f t="shared" si="853"/>
        <v/>
      </c>
      <c r="L3266" s="380" t="str">
        <f>IF(C3266="","",G3227*C3266)</f>
        <v/>
      </c>
      <c r="M3266" s="381" t="str">
        <f>IF(A3266="","",VLOOKUP(A3266,VII.A!$A$10:$B$199,2,FALSE))</f>
        <v/>
      </c>
      <c r="N3266" s="342" t="str">
        <f t="shared" si="854"/>
        <v/>
      </c>
      <c r="R3266" s="341"/>
      <c r="S3266" s="341"/>
    </row>
    <row r="3267" spans="1:25" ht="12.75" customHeight="1">
      <c r="A3267" s="393"/>
      <c r="C3267" s="20"/>
      <c r="E3267" s="387"/>
      <c r="F3267" s="388">
        <f t="shared" si="851"/>
        <v>0</v>
      </c>
      <c r="H3267" s="341" t="str">
        <f>IF(A3267="","",VLOOKUP(A3267,VII.A!$A$10:$D$199,4,FALSE))</f>
        <v/>
      </c>
      <c r="I3267" s="341" t="str">
        <f t="shared" si="852"/>
        <v/>
      </c>
      <c r="J3267" s="341" t="str">
        <f>IF(A3267="","",VLOOKUP(A3267,VII.A!$A$10:$D$199,3,FALSE))</f>
        <v/>
      </c>
      <c r="K3267" s="342" t="str">
        <f t="shared" si="853"/>
        <v/>
      </c>
      <c r="L3267" s="380" t="str">
        <f>IF(C3267="","",G3227*C3267)</f>
        <v/>
      </c>
      <c r="M3267" s="381" t="str">
        <f>IF(A3267="","",VLOOKUP(A3267,VII.A!$A$10:$B$199,2,FALSE))</f>
        <v/>
      </c>
      <c r="N3267" s="342" t="str">
        <f t="shared" si="854"/>
        <v/>
      </c>
      <c r="R3267" s="341"/>
      <c r="S3267" s="341"/>
    </row>
    <row r="3268" spans="1:25" ht="12.75" customHeight="1">
      <c r="A3268" s="393"/>
      <c r="C3268" s="20"/>
      <c r="E3268" s="387"/>
      <c r="F3268" s="388">
        <f t="shared" si="851"/>
        <v>0</v>
      </c>
      <c r="H3268" s="341" t="str">
        <f>IF(A3268="","",VLOOKUP(A3268,VII.A!$A$10:$D$199,4,FALSE))</f>
        <v/>
      </c>
      <c r="I3268" s="341" t="str">
        <f t="shared" si="852"/>
        <v/>
      </c>
      <c r="J3268" s="341" t="str">
        <f>IF(A3268="","",VLOOKUP(A3268,VII.A!$A$10:$D$199,3,FALSE))</f>
        <v/>
      </c>
      <c r="K3268" s="342" t="str">
        <f t="shared" si="853"/>
        <v/>
      </c>
      <c r="L3268" s="380" t="str">
        <f>IF(C3268="","",G3227*C3268)</f>
        <v/>
      </c>
      <c r="M3268" s="381" t="str">
        <f>IF(A3268="","",VLOOKUP(A3268,VII.A!$A$10:$B$199,2,FALSE))</f>
        <v/>
      </c>
      <c r="N3268" s="342" t="str">
        <f t="shared" si="854"/>
        <v/>
      </c>
      <c r="R3268" s="341"/>
      <c r="S3268" s="341"/>
    </row>
    <row r="3269" spans="1:25" ht="12.75" customHeight="1">
      <c r="A3269" s="393"/>
      <c r="C3269" s="20"/>
      <c r="E3269" s="387"/>
      <c r="F3269" s="388">
        <f t="shared" si="851"/>
        <v>0</v>
      </c>
      <c r="H3269" s="341" t="str">
        <f>IF(A3269="","",VLOOKUP(A3269,VII.A!$A$10:$D$199,4,FALSE))</f>
        <v/>
      </c>
      <c r="I3269" s="341" t="str">
        <f t="shared" si="852"/>
        <v/>
      </c>
      <c r="J3269" s="341" t="str">
        <f>IF(A3269="","",VLOOKUP(A3269,VII.A!$A$10:$D$199,3,FALSE))</f>
        <v/>
      </c>
      <c r="K3269" s="342" t="str">
        <f t="shared" si="853"/>
        <v/>
      </c>
      <c r="L3269" s="380" t="str">
        <f>IF(C3269="","",G3227*C3269)</f>
        <v/>
      </c>
      <c r="M3269" s="381" t="str">
        <f>IF(A3269="","",VLOOKUP(A3269,VII.A!$A$10:$B$199,2,FALSE))</f>
        <v/>
      </c>
      <c r="N3269" s="342" t="str">
        <f t="shared" si="854"/>
        <v/>
      </c>
      <c r="R3269" s="341"/>
      <c r="S3269" s="341"/>
    </row>
    <row r="3270" spans="1:25" ht="12.75" customHeight="1">
      <c r="A3270" s="393"/>
      <c r="B3270" s="395" t="s">
        <v>226</v>
      </c>
      <c r="C3270" s="396"/>
      <c r="D3270" s="397"/>
      <c r="E3270" s="398"/>
      <c r="F3270" s="399">
        <f>SUM(F3263:F3269)</f>
        <v>0</v>
      </c>
      <c r="J3270" s="341"/>
      <c r="L3270" s="380"/>
      <c r="M3270" s="381"/>
      <c r="N3270" s="342"/>
      <c r="R3270" s="341"/>
      <c r="S3270" s="341"/>
    </row>
    <row r="3271" spans="1:25" ht="12.75" customHeight="1">
      <c r="A3271" s="393"/>
      <c r="B3271" s="400" t="s">
        <v>229</v>
      </c>
      <c r="C3271" s="2">
        <f>IX.A!$C$45</f>
        <v>0</v>
      </c>
      <c r="D3271" s="401"/>
      <c r="E3271" s="402"/>
      <c r="F3271" s="403">
        <f>ROUND(F3270*C3271,2)</f>
        <v>0</v>
      </c>
      <c r="J3271" s="341"/>
      <c r="L3271" s="380"/>
      <c r="M3271" s="381"/>
      <c r="N3271" s="342"/>
      <c r="R3271" s="341"/>
      <c r="S3271" s="341"/>
    </row>
    <row r="3272" spans="1:25" ht="12.75" customHeight="1">
      <c r="A3272" s="393"/>
      <c r="B3272" s="400" t="s">
        <v>53</v>
      </c>
      <c r="C3272" s="2">
        <f>$D$8</f>
        <v>0</v>
      </c>
      <c r="D3272" s="401"/>
      <c r="E3272" s="402"/>
      <c r="F3272" s="403">
        <f>ROUND(SUM(F3270:F3271)*C3272,2)</f>
        <v>0</v>
      </c>
      <c r="J3272" s="341"/>
      <c r="L3272" s="380"/>
      <c r="M3272" s="381"/>
      <c r="N3272" s="342"/>
      <c r="R3272" s="341"/>
      <c r="S3272" s="341"/>
    </row>
    <row r="3273" spans="1:25" ht="12.75" customHeight="1" thickBot="1">
      <c r="A3273" s="414"/>
      <c r="B3273" s="415" t="s">
        <v>230</v>
      </c>
      <c r="C3273" s="416"/>
      <c r="D3273" s="416"/>
      <c r="E3273" s="417"/>
      <c r="F3273" s="418">
        <f>SUM(F3270:F3272)</f>
        <v>0</v>
      </c>
      <c r="J3273" s="341"/>
      <c r="L3273" s="380"/>
      <c r="M3273" s="381"/>
      <c r="N3273" s="342"/>
      <c r="R3273" s="341"/>
      <c r="S3273" s="341"/>
    </row>
    <row r="3274" spans="1:25" ht="12.75" customHeight="1" thickBot="1">
      <c r="A3274" s="357"/>
      <c r="B3274" s="358"/>
      <c r="C3274" s="359"/>
      <c r="D3274" s="359"/>
      <c r="E3274" s="360"/>
      <c r="F3274" s="419"/>
      <c r="J3274" s="341"/>
      <c r="L3274" s="380"/>
      <c r="M3274" s="381"/>
      <c r="N3274" s="342"/>
      <c r="R3274" s="341"/>
      <c r="S3274" s="341"/>
    </row>
    <row r="3275" spans="1:25" ht="30" customHeight="1">
      <c r="A3275" s="370" t="str">
        <f>IV.A!$A$103</f>
        <v>3.10.3</v>
      </c>
      <c r="B3275" s="371" t="str">
        <f>IV.A!$B$103</f>
        <v xml:space="preserve">TELHA DE FIBROCIMENTO ONDULADA E=6MM </v>
      </c>
      <c r="C3275" s="871" t="s">
        <v>237</v>
      </c>
      <c r="D3275" s="872"/>
      <c r="E3275" s="372" t="str">
        <f>IV.A!$C$103</f>
        <v>M2</v>
      </c>
      <c r="F3275" s="11">
        <f>ROUND(F3295+F3309+F3321,2)</f>
        <v>0</v>
      </c>
      <c r="G3275" s="1">
        <f>VLOOKUP(A3275,IV.A!$A$16:$L$172,4,FALSE)</f>
        <v>50</v>
      </c>
      <c r="H3275" s="361">
        <f>SUM(F3277:F3292)+F3294</f>
        <v>0</v>
      </c>
      <c r="I3275" s="361">
        <f>SUM(F3297:F3306)+F3308</f>
        <v>0</v>
      </c>
      <c r="J3275" s="361">
        <f>SUM(F3311:F3317)+F3319+F3320</f>
        <v>0</v>
      </c>
      <c r="K3275" s="361">
        <f>SUM(H3275:J3275)</f>
        <v>0</v>
      </c>
      <c r="L3275" s="362" t="str">
        <f>IF(K3275=F3275,"SIM","NÃO")</f>
        <v>SIM</v>
      </c>
      <c r="M3275" s="373">
        <f>ROUND(SUM(F3277:F3292),2)+ROUND(SUM(F3277:F3292)*C3294,2)+ROUND(SUM(F3297:F3306)*C3308,2)+ROUND(SUM(F3297:F3306),2)+ROUND(SUM(F3311:F3317)*C3319,2)+ROUND((SUM(F3311:F3317)+ROUND(SUM(F3311:F3317)*C3319,2))*C3320,2)+ROUND(SUM(F3311:F3317),2)</f>
        <v>0</v>
      </c>
      <c r="N3275" s="343" t="str">
        <f>IF(M3275=F3275,"SIM","NÃO")</f>
        <v>SIM</v>
      </c>
      <c r="O3275" s="364" t="str">
        <f>VLOOKUP(A3275,IV.A!$A$16:$E$172,3,FALSE)</f>
        <v>M2</v>
      </c>
      <c r="P3275" s="344" t="str">
        <f>IF(O3275=E3275,"SIM","NÃO")</f>
        <v>SIM</v>
      </c>
      <c r="Q3275" s="365">
        <f>ROUND(G3275*F3295,2)+ROUND(G3275*F3309,2)+ROUND(G3275*F3321,2)</f>
        <v>0</v>
      </c>
      <c r="R3275" s="364">
        <f>VLOOKUP(A3275,IV.A!$A$16:$L$172,12,FALSE)</f>
        <v>0</v>
      </c>
      <c r="S3275" s="366" t="str">
        <f>IF(Q3275=R3275,"si","no")</f>
        <v>si</v>
      </c>
      <c r="T3275" s="367">
        <f>SUM(L3277:L3292)+SUM(L3297:L3306)+SUM(L3311:L3317)</f>
        <v>204.595</v>
      </c>
      <c r="U3275" s="341">
        <f>(SUM(C3277:C3292)+SUM(C3297:C3306)+SUM(C3311:C3317))*G3275</f>
        <v>204.595</v>
      </c>
      <c r="V3275" s="368" t="str">
        <f>IF(T3275=U3275,"si","no")</f>
        <v>si</v>
      </c>
      <c r="W3275" s="369">
        <f>SUM(F3277:F3292)</f>
        <v>0</v>
      </c>
      <c r="X3275" s="369">
        <f>SUM(F3297:F3306)</f>
        <v>0</v>
      </c>
      <c r="Y3275" s="369">
        <f>SUM(F3311:F3317)</f>
        <v>0</v>
      </c>
    </row>
    <row r="3276" spans="1:25" ht="12.75" customHeight="1">
      <c r="A3276" s="374" t="s">
        <v>14</v>
      </c>
      <c r="B3276" s="375" t="s">
        <v>132</v>
      </c>
      <c r="C3276" s="376" t="s">
        <v>231</v>
      </c>
      <c r="D3276" s="376" t="s">
        <v>232</v>
      </c>
      <c r="E3276" s="377" t="s">
        <v>233</v>
      </c>
      <c r="F3276" s="378" t="s">
        <v>234</v>
      </c>
      <c r="G3276" s="379"/>
      <c r="J3276" s="341"/>
      <c r="L3276" s="380"/>
      <c r="M3276" s="381"/>
      <c r="N3276" s="342"/>
      <c r="O3276" s="382"/>
      <c r="P3276" s="383"/>
      <c r="Q3276" s="383"/>
      <c r="R3276" s="383"/>
      <c r="S3276" s="383"/>
      <c r="T3276" s="382"/>
      <c r="U3276" s="341"/>
      <c r="V3276" s="384"/>
      <c r="W3276" s="384"/>
      <c r="X3276" s="384"/>
      <c r="Y3276" s="384"/>
    </row>
    <row r="3277" spans="1:25" ht="12.75" customHeight="1">
      <c r="A3277" s="385" t="str">
        <f>VII.A!$A$78</f>
        <v>1.69</v>
      </c>
      <c r="B3277" s="386" t="str">
        <f>VLOOKUP(A3277,VII.A!$A$10:$G$199,2,FALSE)</f>
        <v>PARAFUSO ZINCADO ROSCA SOBERBA, CABECA SEXTAVADA, 5/16 " X 250 MM - FIXACAO DE TELHA EM MADEIRA</v>
      </c>
      <c r="C3277" s="20">
        <v>1.27</v>
      </c>
      <c r="D3277" s="342" t="str">
        <f>VLOOKUP(A3277,VII.A!$A$10:$G$199,3,FALSE)</f>
        <v>UN</v>
      </c>
      <c r="E3277" s="387">
        <f>VII.A!D78</f>
        <v>0</v>
      </c>
      <c r="F3277" s="388">
        <f>ROUND(C3277*E3277,2)</f>
        <v>0</v>
      </c>
      <c r="H3277" s="341">
        <f>IF(A3277="","",VLOOKUP(A3277,VII.A!$A$10:$D$199,4,FALSE))</f>
        <v>0</v>
      </c>
      <c r="I3277" s="341" t="str">
        <f t="shared" ref="I3277:I3292" si="855">IF(A3277="","",IF(E3277=H3277,"SIM","NÃO"))</f>
        <v>SIM</v>
      </c>
      <c r="J3277" s="341" t="str">
        <f>IF(A3277="","",VLOOKUP(A3277,VII.A!$A$10:$D$199,3,FALSE))</f>
        <v>UN</v>
      </c>
      <c r="K3277" s="342" t="str">
        <f t="shared" ref="K3277:K3292" si="856">IF(A3277="","",IF(J3277=D3277,"SIM","NÃO"))</f>
        <v>SIM</v>
      </c>
      <c r="L3277" s="380">
        <f>IF(C3277="","",G3275*C3277)</f>
        <v>63.5</v>
      </c>
      <c r="M3277" s="381" t="str">
        <f>IF(A3277="","",VLOOKUP(A3277,VII.A!$A$10:$B$199,2,FALSE))</f>
        <v>PARAFUSO ZINCADO ROSCA SOBERBA, CABECA SEXTAVADA, 5/16 " X 250 MM - FIXACAO DE TELHA EM MADEIRA</v>
      </c>
      <c r="N3277" s="342" t="str">
        <f t="shared" ref="N3277:N3292" si="857">IF(B3277="","",IF(M3277=B3277,"si","no"))</f>
        <v>si</v>
      </c>
      <c r="R3277" s="341"/>
      <c r="S3277" s="341"/>
    </row>
    <row r="3278" spans="1:25" ht="12.75" customHeight="1">
      <c r="A3278" s="385" t="str">
        <f>VII.A!$A$106</f>
        <v>1.96</v>
      </c>
      <c r="B3278" s="386" t="str">
        <f>VLOOKUP(A3278,VII.A!$A$10:$G$199,2,FALSE)</f>
        <v>TELHA DE FIBROCIMENTO ONDULADA E = 6 MM, DE 2,44 X 1,10 M (SEM AMIANTO)</v>
      </c>
      <c r="C3278" s="20">
        <v>1.2749999999999999</v>
      </c>
      <c r="D3278" s="342" t="str">
        <f>VLOOKUP(A3278,VII.A!$A$10:$G$199,3,FALSE)</f>
        <v>M2</v>
      </c>
      <c r="E3278" s="387">
        <f>VII.A!D106</f>
        <v>0</v>
      </c>
      <c r="F3278" s="388">
        <f t="shared" ref="F3278:F3292" si="858">ROUND(C3278*E3278,2)</f>
        <v>0</v>
      </c>
      <c r="H3278" s="341">
        <f>IF(A3278="","",VLOOKUP(A3278,VII.A!$A$10:$D$199,4,FALSE))</f>
        <v>0</v>
      </c>
      <c r="I3278" s="341" t="str">
        <f t="shared" si="855"/>
        <v>SIM</v>
      </c>
      <c r="J3278" s="341" t="str">
        <f>IF(A3278="","",VLOOKUP(A3278,VII.A!$A$10:$D$199,3,FALSE))</f>
        <v>M2</v>
      </c>
      <c r="K3278" s="342" t="str">
        <f t="shared" si="856"/>
        <v>SIM</v>
      </c>
      <c r="L3278" s="380">
        <f>IF(C3278="","",G3275*C3278)</f>
        <v>63.749999999999993</v>
      </c>
      <c r="M3278" s="381" t="str">
        <f>IF(A3278="","",VLOOKUP(A3278,VII.A!$A$10:$B$199,2,FALSE))</f>
        <v>TELHA DE FIBROCIMENTO ONDULADA E = 6 MM, DE 2,44 X 1,10 M (SEM AMIANTO)</v>
      </c>
      <c r="N3278" s="342" t="str">
        <f t="shared" si="857"/>
        <v>si</v>
      </c>
      <c r="R3278" s="341"/>
      <c r="S3278" s="341"/>
    </row>
    <row r="3279" spans="1:25" ht="12.75" customHeight="1">
      <c r="A3279" s="385" t="str">
        <f>VII.A!$A$122</f>
        <v>1.112</v>
      </c>
      <c r="B3279" s="386" t="str">
        <f>VLOOKUP(A3279,VII.A!$A$10:$G$199,2,FALSE)</f>
        <v>VEDAÇÃO ELÁSTICA - CONJUNTO DE ARRUELAS DE AÇO E PVC</v>
      </c>
      <c r="C3279" s="20">
        <v>1.27</v>
      </c>
      <c r="D3279" s="342" t="str">
        <f>VLOOKUP(A3279,VII.A!$A$10:$G$199,3,FALSE)</f>
        <v>CJ</v>
      </c>
      <c r="E3279" s="387">
        <f>VII.A!D122</f>
        <v>0</v>
      </c>
      <c r="F3279" s="388">
        <f t="shared" si="858"/>
        <v>0</v>
      </c>
      <c r="H3279" s="341">
        <f>IF(A3279="","",VLOOKUP(A3279,VII.A!$A$10:$D$199,4,FALSE))</f>
        <v>0</v>
      </c>
      <c r="I3279" s="341" t="str">
        <f t="shared" si="855"/>
        <v>SIM</v>
      </c>
      <c r="J3279" s="341" t="str">
        <f>IF(A3279="","",VLOOKUP(A3279,VII.A!$A$10:$D$199,3,FALSE))</f>
        <v>CJ</v>
      </c>
      <c r="K3279" s="342" t="str">
        <f t="shared" si="856"/>
        <v>SIM</v>
      </c>
      <c r="L3279" s="380">
        <f>IF(C3279="","",G3275*C3279)</f>
        <v>63.5</v>
      </c>
      <c r="M3279" s="381" t="str">
        <f>IF(A3279="","",VLOOKUP(A3279,VII.A!$A$10:$B$199,2,FALSE))</f>
        <v>VEDAÇÃO ELÁSTICA - CONJUNTO DE ARRUELAS DE AÇO E PVC</v>
      </c>
      <c r="N3279" s="342" t="str">
        <f t="shared" si="857"/>
        <v>si</v>
      </c>
      <c r="R3279" s="341"/>
      <c r="S3279" s="341"/>
    </row>
    <row r="3280" spans="1:25" ht="12.75" customHeight="1">
      <c r="A3280" s="385"/>
      <c r="B3280" s="386"/>
      <c r="C3280" s="20"/>
      <c r="D3280" s="342"/>
      <c r="E3280" s="387"/>
      <c r="F3280" s="388">
        <f t="shared" si="858"/>
        <v>0</v>
      </c>
      <c r="H3280" s="341" t="str">
        <f>IF(A3280="","",VLOOKUP(A3280,VII.A!$A$10:$D$199,4,FALSE))</f>
        <v/>
      </c>
      <c r="I3280" s="341" t="str">
        <f t="shared" si="855"/>
        <v/>
      </c>
      <c r="J3280" s="341" t="str">
        <f>IF(A3280="","",VLOOKUP(A3280,VII.A!$A$10:$D$199,3,FALSE))</f>
        <v/>
      </c>
      <c r="K3280" s="342" t="str">
        <f t="shared" si="856"/>
        <v/>
      </c>
      <c r="L3280" s="380" t="str">
        <f>IF(C3280="","",G3275*C3280)</f>
        <v/>
      </c>
      <c r="M3280" s="381" t="str">
        <f>IF(A3280="","",VLOOKUP(A3280,VII.A!$A$10:$B$199,2,FALSE))</f>
        <v/>
      </c>
      <c r="N3280" s="342" t="str">
        <f t="shared" si="857"/>
        <v/>
      </c>
      <c r="R3280" s="341"/>
      <c r="S3280" s="341"/>
    </row>
    <row r="3281" spans="1:21" ht="12.75" customHeight="1">
      <c r="A3281" s="385"/>
      <c r="B3281" s="386"/>
      <c r="C3281" s="20"/>
      <c r="D3281" s="342"/>
      <c r="E3281" s="387"/>
      <c r="F3281" s="388">
        <f t="shared" si="858"/>
        <v>0</v>
      </c>
      <c r="H3281" s="341" t="str">
        <f>IF(A3281="","",VLOOKUP(A3281,VII.A!$A$10:$D$199,4,FALSE))</f>
        <v/>
      </c>
      <c r="I3281" s="341" t="str">
        <f t="shared" si="855"/>
        <v/>
      </c>
      <c r="J3281" s="341" t="str">
        <f>IF(A3281="","",VLOOKUP(A3281,VII.A!$A$10:$D$199,3,FALSE))</f>
        <v/>
      </c>
      <c r="K3281" s="342" t="str">
        <f t="shared" si="856"/>
        <v/>
      </c>
      <c r="L3281" s="380" t="str">
        <f>IF(C3281="","",G3275*C3281)</f>
        <v/>
      </c>
      <c r="M3281" s="381" t="str">
        <f>IF(A3281="","",VLOOKUP(A3281,VII.A!$A$10:$B$199,2,FALSE))</f>
        <v/>
      </c>
      <c r="N3281" s="342" t="str">
        <f t="shared" si="857"/>
        <v/>
      </c>
      <c r="R3281" s="341"/>
      <c r="S3281" s="341"/>
    </row>
    <row r="3282" spans="1:21" ht="12.75" customHeight="1">
      <c r="A3282" s="385"/>
      <c r="B3282" s="386"/>
      <c r="C3282" s="20"/>
      <c r="D3282" s="342"/>
      <c r="E3282" s="387"/>
      <c r="F3282" s="388">
        <f t="shared" si="858"/>
        <v>0</v>
      </c>
      <c r="H3282" s="341" t="str">
        <f>IF(A3282="","",VLOOKUP(A3282,VII.A!$A$10:$D$199,4,FALSE))</f>
        <v/>
      </c>
      <c r="I3282" s="341" t="str">
        <f t="shared" si="855"/>
        <v/>
      </c>
      <c r="J3282" s="341" t="str">
        <f>IF(A3282="","",VLOOKUP(A3282,VII.A!$A$10:$D$199,3,FALSE))</f>
        <v/>
      </c>
      <c r="K3282" s="342" t="str">
        <f t="shared" si="856"/>
        <v/>
      </c>
      <c r="L3282" s="380" t="str">
        <f>IF(C3282="","",G3275*C3282)</f>
        <v/>
      </c>
      <c r="M3282" s="381" t="str">
        <f>IF(A3282="","",VLOOKUP(A3282,VII.A!$A$10:$B$199,2,FALSE))</f>
        <v/>
      </c>
      <c r="N3282" s="342" t="str">
        <f t="shared" si="857"/>
        <v/>
      </c>
      <c r="R3282" s="341"/>
      <c r="S3282" s="341"/>
      <c r="U3282" s="389"/>
    </row>
    <row r="3283" spans="1:21" ht="12.75" customHeight="1">
      <c r="A3283" s="385"/>
      <c r="B3283" s="386"/>
      <c r="C3283" s="20"/>
      <c r="D3283" s="342"/>
      <c r="E3283" s="387"/>
      <c r="F3283" s="388">
        <f t="shared" si="858"/>
        <v>0</v>
      </c>
      <c r="H3283" s="341" t="str">
        <f>IF(A3283="","",VLOOKUP(A3283,VII.A!$A$10:$D$199,4,FALSE))</f>
        <v/>
      </c>
      <c r="I3283" s="341" t="str">
        <f t="shared" si="855"/>
        <v/>
      </c>
      <c r="J3283" s="341" t="str">
        <f>IF(A3283="","",VLOOKUP(A3283,VII.A!$A$10:$D$199,3,FALSE))</f>
        <v/>
      </c>
      <c r="K3283" s="342" t="str">
        <f t="shared" si="856"/>
        <v/>
      </c>
      <c r="L3283" s="380" t="str">
        <f>IF(C3283="","",G3275*C3283)</f>
        <v/>
      </c>
      <c r="M3283" s="381" t="str">
        <f>IF(A3283="","",VLOOKUP(A3283,VII.A!$A$10:$B$199,2,FALSE))</f>
        <v/>
      </c>
      <c r="N3283" s="342" t="str">
        <f t="shared" si="857"/>
        <v/>
      </c>
      <c r="R3283" s="341"/>
      <c r="S3283" s="341"/>
    </row>
    <row r="3284" spans="1:21" ht="12.75" customHeight="1">
      <c r="A3284" s="385"/>
      <c r="B3284" s="386"/>
      <c r="C3284" s="20"/>
      <c r="D3284" s="342"/>
      <c r="E3284" s="387"/>
      <c r="F3284" s="388">
        <f t="shared" si="858"/>
        <v>0</v>
      </c>
      <c r="G3284" s="390"/>
      <c r="H3284" s="341" t="str">
        <f>IF(A3284="","",VLOOKUP(A3284,VII.A!$A$10:$D$199,4,FALSE))</f>
        <v/>
      </c>
      <c r="I3284" s="341" t="str">
        <f t="shared" si="855"/>
        <v/>
      </c>
      <c r="J3284" s="341" t="str">
        <f>IF(A3284="","",VLOOKUP(A3284,VII.A!$A$10:$D$199,3,FALSE))</f>
        <v/>
      </c>
      <c r="K3284" s="342" t="str">
        <f t="shared" si="856"/>
        <v/>
      </c>
      <c r="L3284" s="380" t="str">
        <f>IF(C3284="","",G3275*C3284)</f>
        <v/>
      </c>
      <c r="M3284" s="381" t="str">
        <f>IF(A3284="","",VLOOKUP(A3284,VII.A!$A$10:$B$199,2,FALSE))</f>
        <v/>
      </c>
      <c r="N3284" s="342" t="str">
        <f t="shared" si="857"/>
        <v/>
      </c>
      <c r="R3284" s="341"/>
      <c r="S3284" s="341"/>
    </row>
    <row r="3285" spans="1:21" ht="12.75" customHeight="1">
      <c r="A3285" s="385"/>
      <c r="B3285" s="386"/>
      <c r="C3285" s="20"/>
      <c r="D3285" s="342"/>
      <c r="E3285" s="387"/>
      <c r="F3285" s="388">
        <f t="shared" si="858"/>
        <v>0</v>
      </c>
      <c r="G3285" s="390"/>
      <c r="H3285" s="341" t="str">
        <f>IF(A3285="","",VLOOKUP(A3285,VII.A!$A$10:$D$199,4,FALSE))</f>
        <v/>
      </c>
      <c r="I3285" s="341" t="str">
        <f t="shared" si="855"/>
        <v/>
      </c>
      <c r="J3285" s="341" t="str">
        <f>IF(A3285="","",VLOOKUP(A3285,VII.A!$A$10:$D$199,3,FALSE))</f>
        <v/>
      </c>
      <c r="K3285" s="342" t="str">
        <f t="shared" si="856"/>
        <v/>
      </c>
      <c r="L3285" s="380" t="str">
        <f>IF(C3285="","",G3275*C3285)</f>
        <v/>
      </c>
      <c r="M3285" s="381" t="str">
        <f>IF(A3285="","",VLOOKUP(A3285,VII.A!$A$10:$B$199,2,FALSE))</f>
        <v/>
      </c>
      <c r="N3285" s="342" t="str">
        <f t="shared" si="857"/>
        <v/>
      </c>
      <c r="R3285" s="341"/>
      <c r="S3285" s="341"/>
    </row>
    <row r="3286" spans="1:21" ht="12.75" customHeight="1">
      <c r="A3286" s="385"/>
      <c r="B3286" s="386"/>
      <c r="C3286" s="20"/>
      <c r="D3286" s="342"/>
      <c r="E3286" s="387"/>
      <c r="F3286" s="388">
        <f t="shared" si="858"/>
        <v>0</v>
      </c>
      <c r="G3286" s="391"/>
      <c r="H3286" s="341" t="str">
        <f>IF(A3286="","",VLOOKUP(A3286,VII.A!$A$10:$D$199,4,FALSE))</f>
        <v/>
      </c>
      <c r="I3286" s="341" t="str">
        <f t="shared" si="855"/>
        <v/>
      </c>
      <c r="J3286" s="341" t="str">
        <f>IF(A3286="","",VLOOKUP(A3286,VII.A!$A$10:$D$199,3,FALSE))</f>
        <v/>
      </c>
      <c r="K3286" s="342" t="str">
        <f t="shared" si="856"/>
        <v/>
      </c>
      <c r="L3286" s="380" t="str">
        <f>IF(C3286="","",G3275*C3286)</f>
        <v/>
      </c>
      <c r="M3286" s="381" t="str">
        <f>IF(A3286="","",VLOOKUP(A3286,VII.A!$A$10:$B$199,2,FALSE))</f>
        <v/>
      </c>
      <c r="N3286" s="342" t="str">
        <f t="shared" si="857"/>
        <v/>
      </c>
      <c r="R3286" s="341"/>
      <c r="S3286" s="341"/>
    </row>
    <row r="3287" spans="1:21" ht="12.75" customHeight="1">
      <c r="A3287" s="385"/>
      <c r="B3287" s="386"/>
      <c r="C3287" s="20"/>
      <c r="D3287" s="342"/>
      <c r="E3287" s="387"/>
      <c r="F3287" s="388">
        <f t="shared" si="858"/>
        <v>0</v>
      </c>
      <c r="H3287" s="341" t="str">
        <f>IF(A3287="","",VLOOKUP(A3287,VII.A!$A$10:$D$199,4,FALSE))</f>
        <v/>
      </c>
      <c r="I3287" s="341" t="str">
        <f t="shared" si="855"/>
        <v/>
      </c>
      <c r="J3287" s="341" t="str">
        <f>IF(A3287="","",VLOOKUP(A3287,VII.A!$A$10:$D$199,3,FALSE))</f>
        <v/>
      </c>
      <c r="K3287" s="342" t="str">
        <f t="shared" si="856"/>
        <v/>
      </c>
      <c r="L3287" s="380" t="str">
        <f>IF(C3287="","",G3275*C3287)</f>
        <v/>
      </c>
      <c r="M3287" s="381" t="str">
        <f>IF(A3287="","",VLOOKUP(A3287,VII.A!$A$10:$B$199,2,FALSE))</f>
        <v/>
      </c>
      <c r="N3287" s="342" t="str">
        <f t="shared" si="857"/>
        <v/>
      </c>
      <c r="R3287" s="341"/>
      <c r="S3287" s="341"/>
    </row>
    <row r="3288" spans="1:21" ht="12.75" customHeight="1">
      <c r="A3288" s="385"/>
      <c r="B3288" s="386"/>
      <c r="C3288" s="20"/>
      <c r="D3288" s="392"/>
      <c r="E3288" s="387"/>
      <c r="F3288" s="388">
        <f t="shared" si="858"/>
        <v>0</v>
      </c>
      <c r="H3288" s="341" t="str">
        <f>IF(A3288="","",VLOOKUP(A3288,VII.A!$A$10:$D$199,4,FALSE))</f>
        <v/>
      </c>
      <c r="I3288" s="341" t="str">
        <f t="shared" si="855"/>
        <v/>
      </c>
      <c r="J3288" s="341" t="str">
        <f>IF(A3288="","",VLOOKUP(A3288,VII.A!$A$10:$D$199,3,FALSE))</f>
        <v/>
      </c>
      <c r="K3288" s="342" t="str">
        <f t="shared" si="856"/>
        <v/>
      </c>
      <c r="L3288" s="380" t="str">
        <f>IF(C3288="","",G3275*C3288)</f>
        <v/>
      </c>
      <c r="M3288" s="381" t="str">
        <f>IF(A3288="","",VLOOKUP(A3288,VII.A!$A$10:$B$199,2,FALSE))</f>
        <v/>
      </c>
      <c r="N3288" s="342" t="str">
        <f t="shared" si="857"/>
        <v/>
      </c>
      <c r="R3288" s="341"/>
      <c r="S3288" s="341"/>
    </row>
    <row r="3289" spans="1:21" ht="12.75" customHeight="1">
      <c r="A3289" s="385"/>
      <c r="B3289" s="386"/>
      <c r="C3289" s="20"/>
      <c r="D3289" s="392"/>
      <c r="E3289" s="387"/>
      <c r="F3289" s="388">
        <f t="shared" si="858"/>
        <v>0</v>
      </c>
      <c r="H3289" s="341" t="str">
        <f>IF(A3289="","",VLOOKUP(A3289,VII.A!$A$10:$D$199,4,FALSE))</f>
        <v/>
      </c>
      <c r="I3289" s="341" t="str">
        <f t="shared" si="855"/>
        <v/>
      </c>
      <c r="J3289" s="341" t="str">
        <f>IF(A3289="","",VLOOKUP(A3289,VII.A!$A$10:$D$199,3,FALSE))</f>
        <v/>
      </c>
      <c r="K3289" s="342" t="str">
        <f t="shared" si="856"/>
        <v/>
      </c>
      <c r="L3289" s="380" t="str">
        <f>IF(C3289="","",G3275*C3289)</f>
        <v/>
      </c>
      <c r="M3289" s="381" t="str">
        <f>IF(A3289="","",VLOOKUP(A3289,VII.A!$A$10:$B$199,2,FALSE))</f>
        <v/>
      </c>
      <c r="N3289" s="342" t="str">
        <f t="shared" si="857"/>
        <v/>
      </c>
      <c r="O3289" s="342"/>
      <c r="R3289" s="341"/>
      <c r="S3289" s="341"/>
    </row>
    <row r="3290" spans="1:21" ht="12.75" customHeight="1">
      <c r="A3290" s="385"/>
      <c r="B3290" s="386"/>
      <c r="C3290" s="20"/>
      <c r="D3290" s="392"/>
      <c r="E3290" s="387"/>
      <c r="F3290" s="388">
        <f t="shared" si="858"/>
        <v>0</v>
      </c>
      <c r="H3290" s="341" t="str">
        <f>IF(A3290="","",VLOOKUP(A3290,VII.A!$A$10:$D$199,4,FALSE))</f>
        <v/>
      </c>
      <c r="I3290" s="341" t="str">
        <f t="shared" si="855"/>
        <v/>
      </c>
      <c r="J3290" s="341" t="str">
        <f>IF(A3290="","",VLOOKUP(A3290,VII.A!$A$10:$D$199,3,FALSE))</f>
        <v/>
      </c>
      <c r="K3290" s="342" t="str">
        <f t="shared" si="856"/>
        <v/>
      </c>
      <c r="L3290" s="380" t="str">
        <f>IF(C3290="","",G3275*C3290)</f>
        <v/>
      </c>
      <c r="M3290" s="381" t="str">
        <f>IF(A3290="","",VLOOKUP(A3290,VII.A!$A$10:$B$199,2,FALSE))</f>
        <v/>
      </c>
      <c r="N3290" s="342" t="str">
        <f t="shared" si="857"/>
        <v/>
      </c>
      <c r="R3290" s="341"/>
      <c r="S3290" s="341"/>
    </row>
    <row r="3291" spans="1:21" ht="12.75" customHeight="1">
      <c r="A3291" s="393"/>
      <c r="C3291" s="20"/>
      <c r="E3291" s="387"/>
      <c r="F3291" s="388">
        <f t="shared" si="858"/>
        <v>0</v>
      </c>
      <c r="H3291" s="341" t="str">
        <f>IF(A3291="","",VLOOKUP(A3291,VII.A!$A$10:$D$199,4,FALSE))</f>
        <v/>
      </c>
      <c r="I3291" s="341" t="str">
        <f t="shared" si="855"/>
        <v/>
      </c>
      <c r="J3291" s="341" t="str">
        <f>IF(A3291="","",VLOOKUP(A3291,VII.A!$A$10:$D$199,3,FALSE))</f>
        <v/>
      </c>
      <c r="K3291" s="342" t="str">
        <f t="shared" si="856"/>
        <v/>
      </c>
      <c r="L3291" s="380" t="str">
        <f>IF(C3291="","",G3275*C3291)</f>
        <v/>
      </c>
      <c r="M3291" s="381" t="str">
        <f>IF(A3291="","",VLOOKUP(A3291,VII.A!$A$10:$B$199,2,FALSE))</f>
        <v/>
      </c>
      <c r="N3291" s="342" t="str">
        <f t="shared" si="857"/>
        <v/>
      </c>
      <c r="R3291" s="341"/>
      <c r="S3291" s="341"/>
    </row>
    <row r="3292" spans="1:21" ht="12.75" customHeight="1">
      <c r="A3292" s="393"/>
      <c r="C3292" s="20"/>
      <c r="E3292" s="387"/>
      <c r="F3292" s="388">
        <f t="shared" si="858"/>
        <v>0</v>
      </c>
      <c r="H3292" s="341" t="str">
        <f>IF(A3292="","",VLOOKUP(A3292,VII.A!$A$10:$D$199,4,FALSE))</f>
        <v/>
      </c>
      <c r="I3292" s="341" t="str">
        <f t="shared" si="855"/>
        <v/>
      </c>
      <c r="J3292" s="341" t="str">
        <f>IF(A3292="","",VLOOKUP(A3292,VII.A!$A$10:$D$199,3,FALSE))</f>
        <v/>
      </c>
      <c r="K3292" s="342" t="str">
        <f t="shared" si="856"/>
        <v/>
      </c>
      <c r="L3292" s="380" t="str">
        <f>IF(C3292="","",G3275*C3292)</f>
        <v/>
      </c>
      <c r="M3292" s="381" t="str">
        <f>IF(A3292="","",VLOOKUP(A3292,VII.A!$A$10:$B$199,2,FALSE))</f>
        <v/>
      </c>
      <c r="N3292" s="342" t="str">
        <f t="shared" si="857"/>
        <v/>
      </c>
      <c r="R3292" s="341"/>
      <c r="S3292" s="341"/>
    </row>
    <row r="3293" spans="1:21" ht="12.75" customHeight="1">
      <c r="A3293" s="393"/>
      <c r="B3293" s="395" t="s">
        <v>226</v>
      </c>
      <c r="C3293" s="396"/>
      <c r="D3293" s="397"/>
      <c r="E3293" s="398"/>
      <c r="F3293" s="399">
        <f>SUM(F3277:F3292)</f>
        <v>0</v>
      </c>
      <c r="H3293" s="433" t="s">
        <v>555</v>
      </c>
      <c r="J3293" s="341"/>
      <c r="L3293" s="380"/>
      <c r="M3293" s="381"/>
      <c r="N3293" s="342"/>
      <c r="R3293" s="341"/>
      <c r="S3293" s="341"/>
    </row>
    <row r="3294" spans="1:21" ht="12.75" customHeight="1">
      <c r="A3294" s="393"/>
      <c r="B3294" s="400" t="s">
        <v>53</v>
      </c>
      <c r="C3294" s="2">
        <f>$D$8</f>
        <v>0</v>
      </c>
      <c r="D3294" s="401"/>
      <c r="E3294" s="402"/>
      <c r="F3294" s="403">
        <f>ROUND(F3293*C3294,2)</f>
        <v>0</v>
      </c>
      <c r="J3294" s="341"/>
      <c r="L3294" s="380"/>
      <c r="M3294" s="381"/>
      <c r="N3294" s="342"/>
      <c r="R3294" s="341"/>
      <c r="S3294" s="341"/>
    </row>
    <row r="3295" spans="1:21" ht="12.75" customHeight="1">
      <c r="A3295" s="404"/>
      <c r="B3295" s="405" t="s">
        <v>227</v>
      </c>
      <c r="C3295" s="406"/>
      <c r="D3295" s="406"/>
      <c r="E3295" s="407"/>
      <c r="F3295" s="408">
        <f>F3293+F3294</f>
        <v>0</v>
      </c>
      <c r="J3295" s="341"/>
      <c r="L3295" s="380"/>
      <c r="M3295" s="381"/>
      <c r="N3295" s="342"/>
      <c r="R3295" s="341"/>
      <c r="S3295" s="341"/>
    </row>
    <row r="3296" spans="1:21" ht="12.75" customHeight="1">
      <c r="A3296" s="374" t="s">
        <v>2</v>
      </c>
      <c r="B3296" s="375" t="s">
        <v>235</v>
      </c>
      <c r="C3296" s="376" t="s">
        <v>231</v>
      </c>
      <c r="D3296" s="376" t="s">
        <v>232</v>
      </c>
      <c r="E3296" s="377" t="s">
        <v>233</v>
      </c>
      <c r="F3296" s="378" t="s">
        <v>234</v>
      </c>
      <c r="J3296" s="341"/>
      <c r="L3296" s="380"/>
      <c r="M3296" s="381"/>
      <c r="N3296" s="342"/>
      <c r="R3296" s="341"/>
      <c r="S3296" s="341"/>
    </row>
    <row r="3297" spans="1:19" ht="12.75" customHeight="1">
      <c r="A3297" s="393" t="str">
        <f>VII.A!$A$157</f>
        <v>2.15</v>
      </c>
      <c r="B3297" s="423" t="str">
        <f>VII.A!B157</f>
        <v>GUINCHO ELÉTRICO DE COLUNA, CAPACIDADE 400 KG, COM MOTO FREIO, MOTOR TRIFÁSICO DE 1,25 CV - CHP</v>
      </c>
      <c r="C3297" s="20">
        <v>5.0000000000000001E-3</v>
      </c>
      <c r="D3297" s="384" t="str">
        <f>VII.A!C157</f>
        <v>CHP</v>
      </c>
      <c r="E3297" s="387">
        <f>VII.A!D157</f>
        <v>0</v>
      </c>
      <c r="F3297" s="388">
        <f t="shared" ref="F3297:F3306" si="859">ROUND(C3297*E3297,2)</f>
        <v>0</v>
      </c>
      <c r="H3297" s="341">
        <f>IF(A3297="","",VLOOKUP(A3297,VII.A!$A$10:$D$199,4,FALSE))</f>
        <v>0</v>
      </c>
      <c r="I3297" s="341" t="str">
        <f t="shared" ref="I3297:I3306" si="860">IF(A3297="","",IF(E3297=H3297,"SIM","NÃO"))</f>
        <v>SIM</v>
      </c>
      <c r="J3297" s="341" t="str">
        <f>IF(A3297="","",VLOOKUP(A3297,VII.A!$A$10:$D$199,3,FALSE))</f>
        <v>CHP</v>
      </c>
      <c r="K3297" s="342" t="str">
        <f t="shared" ref="K3297:K3306" si="861">IF(A3297="","",IF(J3297=D3297,"SIM","NÃO"))</f>
        <v>SIM</v>
      </c>
      <c r="L3297" s="380">
        <f>IF(C3297="","",G3275*C3297)</f>
        <v>0.25</v>
      </c>
      <c r="M3297" s="381" t="str">
        <f>IF(A3297="","",VLOOKUP(A3297,VII.A!$A$10:$B$199,2,FALSE))</f>
        <v>GUINCHO ELÉTRICO DE COLUNA, CAPACIDADE 400 KG, COM MOTO FREIO, MOTOR TRIFÁSICO DE 1,25 CV - CHP</v>
      </c>
      <c r="N3297" s="342" t="str">
        <f t="shared" ref="N3297:N3306" si="862">IF(B3297="","",IF(M3297=B3297,"si","no"))</f>
        <v>si</v>
      </c>
      <c r="R3297" s="341"/>
      <c r="S3297" s="341"/>
    </row>
    <row r="3298" spans="1:19" ht="12.75" customHeight="1">
      <c r="A3298" s="393" t="str">
        <f>VII.A!$A$158</f>
        <v>2.16</v>
      </c>
      <c r="B3298" s="423" t="str">
        <f>VII.A!B158</f>
        <v>GUINCHO ELÉTRICO DE COLUNA, CAPACIDADE 400 KG, COM MOTO FREIO, MOTOR TRIFÁSICO DE 1,25 CV - CHI</v>
      </c>
      <c r="C3298" s="20">
        <v>6.8999999999999999E-3</v>
      </c>
      <c r="D3298" s="384" t="str">
        <f>VII.A!C158</f>
        <v>CHI</v>
      </c>
      <c r="E3298" s="387">
        <f>VII.A!D158</f>
        <v>0</v>
      </c>
      <c r="F3298" s="388">
        <f t="shared" si="859"/>
        <v>0</v>
      </c>
      <c r="H3298" s="341">
        <f>IF(A3298="","",VLOOKUP(A3298,VII.A!$A$10:$D$199,4,FALSE))</f>
        <v>0</v>
      </c>
      <c r="I3298" s="341" t="str">
        <f t="shared" si="860"/>
        <v>SIM</v>
      </c>
      <c r="J3298" s="341" t="str">
        <f>IF(A3298="","",VLOOKUP(A3298,VII.A!$A$10:$D$199,3,FALSE))</f>
        <v>CHI</v>
      </c>
      <c r="K3298" s="342" t="str">
        <f t="shared" si="861"/>
        <v>SIM</v>
      </c>
      <c r="L3298" s="380">
        <f>IF(C3298="","",G3275*C3298)</f>
        <v>0.34499999999999997</v>
      </c>
      <c r="M3298" s="381" t="str">
        <f>IF(A3298="","",VLOOKUP(A3298,VII.A!$A$10:$B$199,2,FALSE))</f>
        <v>GUINCHO ELÉTRICO DE COLUNA, CAPACIDADE 400 KG, COM MOTO FREIO, MOTOR TRIFÁSICO DE 1,25 CV - CHI</v>
      </c>
      <c r="N3298" s="342" t="str">
        <f t="shared" si="862"/>
        <v>si</v>
      </c>
      <c r="R3298" s="341"/>
      <c r="S3298" s="341"/>
    </row>
    <row r="3299" spans="1:19" ht="12.75" customHeight="1">
      <c r="A3299" s="393"/>
      <c r="C3299" s="20"/>
      <c r="E3299" s="387"/>
      <c r="F3299" s="388">
        <f t="shared" si="859"/>
        <v>0</v>
      </c>
      <c r="H3299" s="341" t="str">
        <f>IF(A3299="","",VLOOKUP(A3299,VII.A!$A$10:$D$199,4,FALSE))</f>
        <v/>
      </c>
      <c r="I3299" s="341" t="str">
        <f t="shared" si="860"/>
        <v/>
      </c>
      <c r="J3299" s="341" t="str">
        <f>IF(A3299="","",VLOOKUP(A3299,VII.A!$A$10:$D$199,3,FALSE))</f>
        <v/>
      </c>
      <c r="K3299" s="342" t="str">
        <f t="shared" si="861"/>
        <v/>
      </c>
      <c r="L3299" s="380" t="str">
        <f>IF(C3299="","",G3275*C3299)</f>
        <v/>
      </c>
      <c r="M3299" s="381" t="str">
        <f>IF(A3299="","",VLOOKUP(A3299,VII.A!$A$10:$B$199,2,FALSE))</f>
        <v/>
      </c>
      <c r="N3299" s="342" t="str">
        <f t="shared" si="862"/>
        <v/>
      </c>
      <c r="R3299" s="341"/>
      <c r="S3299" s="341"/>
    </row>
    <row r="3300" spans="1:19" ht="12.75" customHeight="1">
      <c r="A3300" s="393"/>
      <c r="C3300" s="20"/>
      <c r="E3300" s="387"/>
      <c r="F3300" s="388">
        <f t="shared" si="859"/>
        <v>0</v>
      </c>
      <c r="H3300" s="341" t="str">
        <f>IF(A3300="","",VLOOKUP(A3300,VII.A!$A$10:$D$199,4,FALSE))</f>
        <v/>
      </c>
      <c r="I3300" s="341" t="str">
        <f t="shared" si="860"/>
        <v/>
      </c>
      <c r="J3300" s="341" t="str">
        <f>IF(A3300="","",VLOOKUP(A3300,VII.A!$A$10:$D$199,3,FALSE))</f>
        <v/>
      </c>
      <c r="K3300" s="342" t="str">
        <f t="shared" si="861"/>
        <v/>
      </c>
      <c r="L3300" s="380" t="str">
        <f>IF(C3300="","",G3275*C3300)</f>
        <v/>
      </c>
      <c r="M3300" s="381" t="str">
        <f>IF(A3300="","",VLOOKUP(A3300,VII.A!$A$10:$B$199,2,FALSE))</f>
        <v/>
      </c>
      <c r="N3300" s="342" t="str">
        <f t="shared" si="862"/>
        <v/>
      </c>
      <c r="R3300" s="341"/>
      <c r="S3300" s="341"/>
    </row>
    <row r="3301" spans="1:19" ht="12.75" customHeight="1">
      <c r="A3301" s="393"/>
      <c r="C3301" s="20"/>
      <c r="E3301" s="387"/>
      <c r="F3301" s="388">
        <f t="shared" si="859"/>
        <v>0</v>
      </c>
      <c r="G3301" s="390"/>
      <c r="H3301" s="341" t="str">
        <f>IF(A3301="","",VLOOKUP(A3301,VII.A!$A$10:$D$199,4,FALSE))</f>
        <v/>
      </c>
      <c r="I3301" s="341" t="str">
        <f t="shared" si="860"/>
        <v/>
      </c>
      <c r="J3301" s="341" t="str">
        <f>IF(A3301="","",VLOOKUP(A3301,VII.A!$A$10:$D$199,3,FALSE))</f>
        <v/>
      </c>
      <c r="K3301" s="342" t="str">
        <f t="shared" si="861"/>
        <v/>
      </c>
      <c r="L3301" s="380" t="str">
        <f>IF(C3301="","",G3275*C3301)</f>
        <v/>
      </c>
      <c r="M3301" s="381" t="str">
        <f>IF(A3301="","",VLOOKUP(A3301,VII.A!$A$10:$B$199,2,FALSE))</f>
        <v/>
      </c>
      <c r="N3301" s="342" t="str">
        <f t="shared" si="862"/>
        <v/>
      </c>
      <c r="R3301" s="341"/>
      <c r="S3301" s="341"/>
    </row>
    <row r="3302" spans="1:19" ht="12.75" customHeight="1">
      <c r="A3302" s="393"/>
      <c r="C3302" s="20"/>
      <c r="E3302" s="387"/>
      <c r="F3302" s="388">
        <f t="shared" si="859"/>
        <v>0</v>
      </c>
      <c r="G3302" s="391"/>
      <c r="H3302" s="341" t="str">
        <f>IF(A3302="","",VLOOKUP(A3302,VII.A!$A$10:$D$199,4,FALSE))</f>
        <v/>
      </c>
      <c r="I3302" s="341" t="str">
        <f t="shared" si="860"/>
        <v/>
      </c>
      <c r="J3302" s="341" t="str">
        <f>IF(A3302="","",VLOOKUP(A3302,VII.A!$A$10:$D$199,3,FALSE))</f>
        <v/>
      </c>
      <c r="K3302" s="342" t="str">
        <f t="shared" si="861"/>
        <v/>
      </c>
      <c r="L3302" s="380" t="str">
        <f>IF(C3302="","",G3275*C3302)</f>
        <v/>
      </c>
      <c r="M3302" s="381" t="str">
        <f>IF(A3302="","",VLOOKUP(A3302,VII.A!$A$10:$B$199,2,FALSE))</f>
        <v/>
      </c>
      <c r="N3302" s="342" t="str">
        <f t="shared" si="862"/>
        <v/>
      </c>
      <c r="R3302" s="341"/>
      <c r="S3302" s="341"/>
    </row>
    <row r="3303" spans="1:19" ht="12.75" customHeight="1">
      <c r="A3303" s="393"/>
      <c r="C3303" s="20"/>
      <c r="E3303" s="387"/>
      <c r="F3303" s="388">
        <f t="shared" si="859"/>
        <v>0</v>
      </c>
      <c r="H3303" s="341" t="str">
        <f>IF(A3303="","",VLOOKUP(A3303,VII.A!$A$10:$D$199,4,FALSE))</f>
        <v/>
      </c>
      <c r="I3303" s="341" t="str">
        <f t="shared" si="860"/>
        <v/>
      </c>
      <c r="J3303" s="341" t="str">
        <f>IF(A3303="","",VLOOKUP(A3303,VII.A!$A$10:$D$199,3,FALSE))</f>
        <v/>
      </c>
      <c r="K3303" s="342" t="str">
        <f t="shared" si="861"/>
        <v/>
      </c>
      <c r="L3303" s="380" t="str">
        <f>IF(C3303="","",G3275*C3303)</f>
        <v/>
      </c>
      <c r="M3303" s="381" t="str">
        <f>IF(A3303="","",VLOOKUP(A3303,VII.A!$A$10:$B$199,2,FALSE))</f>
        <v/>
      </c>
      <c r="N3303" s="342" t="str">
        <f t="shared" si="862"/>
        <v/>
      </c>
      <c r="R3303" s="341"/>
      <c r="S3303" s="341"/>
    </row>
    <row r="3304" spans="1:19" ht="12.75" customHeight="1">
      <c r="A3304" s="393"/>
      <c r="C3304" s="20"/>
      <c r="E3304" s="387"/>
      <c r="F3304" s="388">
        <f t="shared" si="859"/>
        <v>0</v>
      </c>
      <c r="H3304" s="341" t="str">
        <f>IF(A3304="","",VLOOKUP(A3304,VII.A!$A$10:$D$199,4,FALSE))</f>
        <v/>
      </c>
      <c r="I3304" s="341" t="str">
        <f t="shared" si="860"/>
        <v/>
      </c>
      <c r="J3304" s="341" t="str">
        <f>IF(A3304="","",VLOOKUP(A3304,VII.A!$A$10:$D$199,3,FALSE))</f>
        <v/>
      </c>
      <c r="K3304" s="342" t="str">
        <f t="shared" si="861"/>
        <v/>
      </c>
      <c r="L3304" s="380" t="str">
        <f>IF(C3304="","",G3275*C3304)</f>
        <v/>
      </c>
      <c r="M3304" s="381" t="str">
        <f>IF(A3304="","",VLOOKUP(A3304,VII.A!$A$10:$B$199,2,FALSE))</f>
        <v/>
      </c>
      <c r="N3304" s="342" t="str">
        <f t="shared" si="862"/>
        <v/>
      </c>
      <c r="R3304" s="341"/>
      <c r="S3304" s="341"/>
    </row>
    <row r="3305" spans="1:19" ht="12.75" customHeight="1">
      <c r="A3305" s="393"/>
      <c r="C3305" s="20"/>
      <c r="E3305" s="387"/>
      <c r="F3305" s="388">
        <f t="shared" si="859"/>
        <v>0</v>
      </c>
      <c r="H3305" s="341" t="str">
        <f>IF(A3305="","",VLOOKUP(A3305,VII.A!$A$10:$D$199,4,FALSE))</f>
        <v/>
      </c>
      <c r="I3305" s="341" t="str">
        <f t="shared" si="860"/>
        <v/>
      </c>
      <c r="J3305" s="341" t="str">
        <f>IF(A3305="","",VLOOKUP(A3305,VII.A!$A$10:$D$199,3,FALSE))</f>
        <v/>
      </c>
      <c r="K3305" s="342" t="str">
        <f t="shared" si="861"/>
        <v/>
      </c>
      <c r="L3305" s="380" t="str">
        <f>IF(C3305="","",G3275*C3305)</f>
        <v/>
      </c>
      <c r="M3305" s="381" t="str">
        <f>IF(A3305="","",VLOOKUP(A3305,VII.A!$A$10:$B$199,2,FALSE))</f>
        <v/>
      </c>
      <c r="N3305" s="342" t="str">
        <f t="shared" si="862"/>
        <v/>
      </c>
      <c r="R3305" s="341"/>
      <c r="S3305" s="341"/>
    </row>
    <row r="3306" spans="1:19" ht="12.75" customHeight="1">
      <c r="A3306" s="393"/>
      <c r="C3306" s="20"/>
      <c r="E3306" s="387"/>
      <c r="F3306" s="388">
        <f t="shared" si="859"/>
        <v>0</v>
      </c>
      <c r="H3306" s="341" t="str">
        <f>IF(A3306="","",VLOOKUP(A3306,VII.A!$A$10:$D$199,4,FALSE))</f>
        <v/>
      </c>
      <c r="I3306" s="341" t="str">
        <f t="shared" si="860"/>
        <v/>
      </c>
      <c r="J3306" s="341" t="str">
        <f>IF(A3306="","",VLOOKUP(A3306,VII.A!$A$10:$D$199,3,FALSE))</f>
        <v/>
      </c>
      <c r="K3306" s="342" t="str">
        <f t="shared" si="861"/>
        <v/>
      </c>
      <c r="L3306" s="380" t="str">
        <f>IF(C3306="","",G3275*C3306)</f>
        <v/>
      </c>
      <c r="M3306" s="381" t="str">
        <f>IF(A3306="","",VLOOKUP(A3306,VII.A!$A$10:$B$199,2,FALSE))</f>
        <v/>
      </c>
      <c r="N3306" s="342" t="str">
        <f t="shared" si="862"/>
        <v/>
      </c>
      <c r="R3306" s="341"/>
      <c r="S3306" s="341"/>
    </row>
    <row r="3307" spans="1:19" ht="12.75" customHeight="1">
      <c r="A3307" s="393"/>
      <c r="B3307" s="395" t="s">
        <v>226</v>
      </c>
      <c r="C3307" s="396"/>
      <c r="D3307" s="397"/>
      <c r="E3307" s="398"/>
      <c r="F3307" s="399">
        <f>SUM(F3297:F3306)</f>
        <v>0</v>
      </c>
      <c r="J3307" s="341"/>
      <c r="L3307" s="380"/>
      <c r="M3307" s="381"/>
      <c r="N3307" s="342"/>
      <c r="R3307" s="341"/>
      <c r="S3307" s="341"/>
    </row>
    <row r="3308" spans="1:19" ht="12.75" customHeight="1">
      <c r="A3308" s="393"/>
      <c r="B3308" s="400" t="s">
        <v>53</v>
      </c>
      <c r="C3308" s="2">
        <f>$D$8</f>
        <v>0</v>
      </c>
      <c r="D3308" s="401"/>
      <c r="E3308" s="402"/>
      <c r="F3308" s="403">
        <f>ROUND(C3308*F3307,2)</f>
        <v>0</v>
      </c>
      <c r="J3308" s="341"/>
      <c r="L3308" s="380"/>
      <c r="M3308" s="381"/>
      <c r="N3308" s="342"/>
      <c r="R3308" s="341"/>
      <c r="S3308" s="341"/>
    </row>
    <row r="3309" spans="1:19" ht="12.75" customHeight="1">
      <c r="A3309" s="404"/>
      <c r="B3309" s="405" t="s">
        <v>228</v>
      </c>
      <c r="C3309" s="406"/>
      <c r="D3309" s="406"/>
      <c r="E3309" s="407"/>
      <c r="F3309" s="408">
        <f>F3307+F3308</f>
        <v>0</v>
      </c>
      <c r="J3309" s="341"/>
      <c r="L3309" s="380"/>
      <c r="M3309" s="381"/>
      <c r="N3309" s="342"/>
      <c r="R3309" s="341"/>
      <c r="S3309" s="341"/>
    </row>
    <row r="3310" spans="1:19" ht="12.75" customHeight="1">
      <c r="A3310" s="409" t="s">
        <v>47</v>
      </c>
      <c r="B3310" s="410" t="s">
        <v>236</v>
      </c>
      <c r="C3310" s="411" t="s">
        <v>231</v>
      </c>
      <c r="D3310" s="412" t="s">
        <v>232</v>
      </c>
      <c r="E3310" s="413" t="s">
        <v>233</v>
      </c>
      <c r="F3310" s="378" t="s">
        <v>234</v>
      </c>
      <c r="J3310" s="341"/>
      <c r="L3310" s="380"/>
      <c r="M3310" s="381"/>
      <c r="N3310" s="342"/>
      <c r="R3310" s="341"/>
      <c r="S3310" s="341"/>
    </row>
    <row r="3311" spans="1:19" ht="12.75" customHeight="1">
      <c r="A3311" s="393" t="str">
        <f>VII.A!$A$196</f>
        <v>3.16</v>
      </c>
      <c r="B3311" s="394" t="s">
        <v>157</v>
      </c>
      <c r="C3311" s="20">
        <v>0.15</v>
      </c>
      <c r="D3311" s="384" t="str">
        <f>VLOOKUP(A3311,VII.A!$A$10:$G$199,3,FALSE)</f>
        <v>H</v>
      </c>
      <c r="E3311" s="387">
        <f>VII.A!D196</f>
        <v>0</v>
      </c>
      <c r="F3311" s="388">
        <f t="shared" ref="F3311:F3317" si="863">ROUND(C3311*E3311,2)</f>
        <v>0</v>
      </c>
      <c r="H3311" s="341">
        <f>IF(A3311="","",VLOOKUP(A3311,VII.A!$A$10:$D$199,4,FALSE))</f>
        <v>0</v>
      </c>
      <c r="I3311" s="341" t="str">
        <f t="shared" ref="I3311:I3317" si="864">IF(A3311="","",IF(E3311=H3311,"SIM","NÃO"))</f>
        <v>SIM</v>
      </c>
      <c r="J3311" s="341" t="str">
        <f>IF(A3311="","",VLOOKUP(A3311,VII.A!$A$10:$D$199,3,FALSE))</f>
        <v>H</v>
      </c>
      <c r="K3311" s="342" t="str">
        <f t="shared" ref="K3311:K3317" si="865">IF(A3311="","",IF(J3311=D3311,"SIM","NÃO"))</f>
        <v>SIM</v>
      </c>
      <c r="L3311" s="380">
        <f>IF(C3311="","",G3275*C3311)</f>
        <v>7.5</v>
      </c>
      <c r="M3311" s="381" t="str">
        <f>IF(A3311="","",VLOOKUP(A3311,VII.A!$A$10:$B$199,2,FALSE))</f>
        <v>SERVENTE COM ENCARGOS COMPLEMENTARES</v>
      </c>
      <c r="N3311" s="342" t="str">
        <f t="shared" ref="N3311:N3317" si="866">IF(B3311="","",IF(M3311=B3311,"si","no"))</f>
        <v>si</v>
      </c>
      <c r="R3311" s="341"/>
      <c r="S3311" s="341"/>
    </row>
    <row r="3312" spans="1:19" ht="12.75" customHeight="1">
      <c r="A3312" s="393" t="str">
        <f>VII.A!$A$199</f>
        <v>3.19</v>
      </c>
      <c r="B3312" s="394" t="s">
        <v>160</v>
      </c>
      <c r="C3312" s="20">
        <v>0.115</v>
      </c>
      <c r="D3312" s="384" t="str">
        <f>VLOOKUP(A3312,VII.A!$A$10:$G$199,3,FALSE)</f>
        <v>H</v>
      </c>
      <c r="E3312" s="387">
        <f>VII.A!D199</f>
        <v>0</v>
      </c>
      <c r="F3312" s="388">
        <f t="shared" si="863"/>
        <v>0</v>
      </c>
      <c r="H3312" s="341">
        <f>IF(A3312="","",VLOOKUP(A3312,VII.A!$A$10:$D$199,4,FALSE))</f>
        <v>0</v>
      </c>
      <c r="I3312" s="341" t="str">
        <f t="shared" si="864"/>
        <v>SIM</v>
      </c>
      <c r="J3312" s="341" t="str">
        <f>IF(A3312="","",VLOOKUP(A3312,VII.A!$A$10:$D$199,3,FALSE))</f>
        <v>H</v>
      </c>
      <c r="K3312" s="342" t="str">
        <f t="shared" si="865"/>
        <v>SIM</v>
      </c>
      <c r="L3312" s="380">
        <f>IF(C3312="","",G3275*C3312)</f>
        <v>5.75</v>
      </c>
      <c r="M3312" s="381" t="str">
        <f>IF(A3312="","",VLOOKUP(A3312,VII.A!$A$10:$B$199,2,FALSE))</f>
        <v>TELHADISTA COM ENCARGOS COMPLEMENTARES</v>
      </c>
      <c r="N3312" s="342" t="str">
        <f t="shared" si="866"/>
        <v>si</v>
      </c>
      <c r="R3312" s="341"/>
      <c r="S3312" s="341"/>
    </row>
    <row r="3313" spans="1:25" ht="12.75" customHeight="1">
      <c r="A3313" s="393"/>
      <c r="C3313" s="20"/>
      <c r="E3313" s="387"/>
      <c r="F3313" s="388">
        <f t="shared" si="863"/>
        <v>0</v>
      </c>
      <c r="H3313" s="341" t="str">
        <f>IF(A3313="","",VLOOKUP(A3313,VII.A!$A$10:$D$199,4,FALSE))</f>
        <v/>
      </c>
      <c r="I3313" s="341" t="str">
        <f t="shared" si="864"/>
        <v/>
      </c>
      <c r="J3313" s="341" t="str">
        <f>IF(A3313="","",VLOOKUP(A3313,VII.A!$A$10:$D$199,3,FALSE))</f>
        <v/>
      </c>
      <c r="K3313" s="342" t="str">
        <f t="shared" si="865"/>
        <v/>
      </c>
      <c r="L3313" s="380" t="str">
        <f>IF(C3313="","",G3275*C3313)</f>
        <v/>
      </c>
      <c r="M3313" s="381" t="str">
        <f>IF(A3313="","",VLOOKUP(A3313,VII.A!$A$10:$B$199,2,FALSE))</f>
        <v/>
      </c>
      <c r="N3313" s="342" t="str">
        <f t="shared" si="866"/>
        <v/>
      </c>
      <c r="R3313" s="341"/>
      <c r="S3313" s="341"/>
    </row>
    <row r="3314" spans="1:25" ht="12.75" customHeight="1">
      <c r="A3314" s="393"/>
      <c r="C3314" s="20"/>
      <c r="E3314" s="387"/>
      <c r="F3314" s="388">
        <f t="shared" si="863"/>
        <v>0</v>
      </c>
      <c r="H3314" s="341" t="str">
        <f>IF(A3314="","",VLOOKUP(A3314,VII.A!$A$10:$D$199,4,FALSE))</f>
        <v/>
      </c>
      <c r="I3314" s="341" t="str">
        <f t="shared" si="864"/>
        <v/>
      </c>
      <c r="J3314" s="341" t="str">
        <f>IF(A3314="","",VLOOKUP(A3314,VII.A!$A$10:$D$199,3,FALSE))</f>
        <v/>
      </c>
      <c r="K3314" s="342" t="str">
        <f t="shared" si="865"/>
        <v/>
      </c>
      <c r="L3314" s="380" t="str">
        <f>IF(C3314="","",G3275*C3314)</f>
        <v/>
      </c>
      <c r="M3314" s="381" t="str">
        <f>IF(A3314="","",VLOOKUP(A3314,VII.A!$A$10:$B$199,2,FALSE))</f>
        <v/>
      </c>
      <c r="N3314" s="342" t="str">
        <f t="shared" si="866"/>
        <v/>
      </c>
      <c r="R3314" s="341"/>
      <c r="S3314" s="341"/>
    </row>
    <row r="3315" spans="1:25" ht="12.75" customHeight="1">
      <c r="A3315" s="393"/>
      <c r="C3315" s="20"/>
      <c r="E3315" s="387"/>
      <c r="F3315" s="388">
        <f t="shared" si="863"/>
        <v>0</v>
      </c>
      <c r="H3315" s="341" t="str">
        <f>IF(A3315="","",VLOOKUP(A3315,VII.A!$A$10:$D$199,4,FALSE))</f>
        <v/>
      </c>
      <c r="I3315" s="341" t="str">
        <f t="shared" si="864"/>
        <v/>
      </c>
      <c r="J3315" s="341" t="str">
        <f>IF(A3315="","",VLOOKUP(A3315,VII.A!$A$10:$D$199,3,FALSE))</f>
        <v/>
      </c>
      <c r="K3315" s="342" t="str">
        <f t="shared" si="865"/>
        <v/>
      </c>
      <c r="L3315" s="380" t="str">
        <f>IF(C3315="","",G3275*C3315)</f>
        <v/>
      </c>
      <c r="M3315" s="381" t="str">
        <f>IF(A3315="","",VLOOKUP(A3315,VII.A!$A$10:$B$199,2,FALSE))</f>
        <v/>
      </c>
      <c r="N3315" s="342" t="str">
        <f t="shared" si="866"/>
        <v/>
      </c>
      <c r="R3315" s="341"/>
      <c r="S3315" s="341"/>
    </row>
    <row r="3316" spans="1:25" ht="12.75" customHeight="1">
      <c r="A3316" s="393"/>
      <c r="C3316" s="20"/>
      <c r="E3316" s="387"/>
      <c r="F3316" s="388">
        <f t="shared" si="863"/>
        <v>0</v>
      </c>
      <c r="H3316" s="341" t="str">
        <f>IF(A3316="","",VLOOKUP(A3316,VII.A!$A$10:$D$199,4,FALSE))</f>
        <v/>
      </c>
      <c r="I3316" s="341" t="str">
        <f t="shared" si="864"/>
        <v/>
      </c>
      <c r="J3316" s="341" t="str">
        <f>IF(A3316="","",VLOOKUP(A3316,VII.A!$A$10:$D$199,3,FALSE))</f>
        <v/>
      </c>
      <c r="K3316" s="342" t="str">
        <f t="shared" si="865"/>
        <v/>
      </c>
      <c r="L3316" s="380" t="str">
        <f>IF(C3316="","",G3275*C3316)</f>
        <v/>
      </c>
      <c r="M3316" s="381" t="str">
        <f>IF(A3316="","",VLOOKUP(A3316,VII.A!$A$10:$B$199,2,FALSE))</f>
        <v/>
      </c>
      <c r="N3316" s="342" t="str">
        <f t="shared" si="866"/>
        <v/>
      </c>
      <c r="R3316" s="341"/>
      <c r="S3316" s="341"/>
    </row>
    <row r="3317" spans="1:25" ht="12.75" customHeight="1">
      <c r="A3317" s="393"/>
      <c r="C3317" s="20"/>
      <c r="E3317" s="387"/>
      <c r="F3317" s="388">
        <f t="shared" si="863"/>
        <v>0</v>
      </c>
      <c r="H3317" s="341" t="str">
        <f>IF(A3317="","",VLOOKUP(A3317,VII.A!$A$10:$D$199,4,FALSE))</f>
        <v/>
      </c>
      <c r="I3317" s="341" t="str">
        <f t="shared" si="864"/>
        <v/>
      </c>
      <c r="J3317" s="341" t="str">
        <f>IF(A3317="","",VLOOKUP(A3317,VII.A!$A$10:$D$199,3,FALSE))</f>
        <v/>
      </c>
      <c r="K3317" s="342" t="str">
        <f t="shared" si="865"/>
        <v/>
      </c>
      <c r="L3317" s="380" t="str">
        <f>IF(C3317="","",G3275*C3317)</f>
        <v/>
      </c>
      <c r="M3317" s="381" t="str">
        <f>IF(A3317="","",VLOOKUP(A3317,VII.A!$A$10:$B$199,2,FALSE))</f>
        <v/>
      </c>
      <c r="N3317" s="342" t="str">
        <f t="shared" si="866"/>
        <v/>
      </c>
      <c r="R3317" s="341"/>
      <c r="S3317" s="341"/>
    </row>
    <row r="3318" spans="1:25" ht="12.75" customHeight="1">
      <c r="A3318" s="393"/>
      <c r="B3318" s="395" t="s">
        <v>226</v>
      </c>
      <c r="C3318" s="396"/>
      <c r="D3318" s="397"/>
      <c r="E3318" s="398"/>
      <c r="F3318" s="399">
        <f>SUM(F3311:F3317)</f>
        <v>0</v>
      </c>
      <c r="J3318" s="341"/>
      <c r="L3318" s="380"/>
      <c r="M3318" s="381"/>
      <c r="N3318" s="342"/>
      <c r="R3318" s="341"/>
      <c r="S3318" s="341"/>
    </row>
    <row r="3319" spans="1:25" ht="12.75" customHeight="1">
      <c r="A3319" s="393"/>
      <c r="B3319" s="400" t="s">
        <v>229</v>
      </c>
      <c r="C3319" s="2">
        <f>IX.A!$C$45</f>
        <v>0</v>
      </c>
      <c r="D3319" s="401"/>
      <c r="E3319" s="402"/>
      <c r="F3319" s="403">
        <f>ROUND(F3318*C3319,2)</f>
        <v>0</v>
      </c>
      <c r="J3319" s="341"/>
      <c r="L3319" s="380"/>
      <c r="M3319" s="381"/>
      <c r="N3319" s="342"/>
      <c r="R3319" s="341"/>
      <c r="S3319" s="341"/>
    </row>
    <row r="3320" spans="1:25" ht="12.75" customHeight="1">
      <c r="A3320" s="393"/>
      <c r="B3320" s="400" t="s">
        <v>53</v>
      </c>
      <c r="C3320" s="2">
        <f>$D$8</f>
        <v>0</v>
      </c>
      <c r="D3320" s="401"/>
      <c r="E3320" s="402"/>
      <c r="F3320" s="403">
        <f>ROUND(SUM(F3318:F3319)*C3320,2)</f>
        <v>0</v>
      </c>
      <c r="J3320" s="341"/>
      <c r="L3320" s="380"/>
      <c r="M3320" s="381"/>
      <c r="N3320" s="342"/>
      <c r="R3320" s="341"/>
      <c r="S3320" s="341"/>
    </row>
    <row r="3321" spans="1:25" ht="12.75" customHeight="1" thickBot="1">
      <c r="A3321" s="414"/>
      <c r="B3321" s="415" t="s">
        <v>230</v>
      </c>
      <c r="C3321" s="416"/>
      <c r="D3321" s="416"/>
      <c r="E3321" s="417"/>
      <c r="F3321" s="418">
        <f>SUM(F3318:F3320)</f>
        <v>0</v>
      </c>
      <c r="J3321" s="341"/>
      <c r="L3321" s="380"/>
      <c r="M3321" s="381"/>
      <c r="N3321" s="342"/>
      <c r="R3321" s="341"/>
      <c r="S3321" s="341"/>
    </row>
    <row r="3322" spans="1:25" ht="12.75" customHeight="1" thickBot="1">
      <c r="A3322" s="357"/>
      <c r="B3322" s="358"/>
      <c r="C3322" s="359"/>
      <c r="D3322" s="359"/>
      <c r="E3322" s="360"/>
      <c r="F3322" s="419"/>
      <c r="J3322" s="341"/>
      <c r="L3322" s="380"/>
      <c r="M3322" s="381"/>
      <c r="N3322" s="342"/>
      <c r="R3322" s="341"/>
      <c r="S3322" s="341"/>
    </row>
    <row r="3323" spans="1:25" ht="30" customHeight="1">
      <c r="A3323" s="370" t="str">
        <f>IV.A!$A$104</f>
        <v>3.10.4</v>
      </c>
      <c r="B3323" s="371" t="str">
        <f>IV.A!B104</f>
        <v xml:space="preserve">TELHA TIPO KALHETA E=8MM, COM FIO SINTÉTICO CRFS - PERFIL TRAPEZOIDAL DE 44CM </v>
      </c>
      <c r="C3323" s="871" t="s">
        <v>237</v>
      </c>
      <c r="D3323" s="872"/>
      <c r="E3323" s="372" t="str">
        <f>IV.A!$C$104</f>
        <v>M2</v>
      </c>
      <c r="F3323" s="11">
        <f>ROUND(F3343+F3357+F3369,2)</f>
        <v>0</v>
      </c>
      <c r="G3323" s="1">
        <f>VLOOKUP(A3323,IV.A!$A$16:$L$172,4,FALSE)</f>
        <v>20</v>
      </c>
      <c r="H3323" s="361">
        <f>SUM(F3325:F3340)+F3342</f>
        <v>0</v>
      </c>
      <c r="I3323" s="361">
        <f>SUM(F3345:F3354)+F3356</f>
        <v>0</v>
      </c>
      <c r="J3323" s="361">
        <f>SUM(F3359:F3365)+F3367+F3368</f>
        <v>0</v>
      </c>
      <c r="K3323" s="361">
        <f>SUM(H3323:J3323)</f>
        <v>0</v>
      </c>
      <c r="L3323" s="362" t="str">
        <f>IF(K3323=F3323,"SIM","NÃO")</f>
        <v>SIM</v>
      </c>
      <c r="M3323" s="373">
        <f>ROUND(SUM(F3325:F3340),2)+ROUND(SUM(F3325:F3340)*C3342,2)+ROUND(SUM(F3345:F3354)*C3356,2)+ROUND(SUM(F3345:F3354),2)+ROUND(SUM(F3359:F3365)*C3367,2)+ROUND((SUM(F3359:F3365)+ROUND(SUM(F3359:F3365)*C3367,2))*C3368,2)+ROUND(SUM(F3359:F3365),2)</f>
        <v>0</v>
      </c>
      <c r="N3323" s="343" t="str">
        <f>IF(M3323=F3323,"SIM","NÃO")</f>
        <v>SIM</v>
      </c>
      <c r="O3323" s="364" t="str">
        <f>VLOOKUP(A3323,IV.A!$A$16:$E$172,3,FALSE)</f>
        <v>M2</v>
      </c>
      <c r="P3323" s="344" t="str">
        <f>IF(O3323=E3323,"SIM","NÃO")</f>
        <v>SIM</v>
      </c>
      <c r="Q3323" s="365">
        <f>ROUND(G3323*F3343,2)+ROUND(G3323*F3357,2)+ROUND(G3323*F3369,2)</f>
        <v>0</v>
      </c>
      <c r="R3323" s="364">
        <f>VLOOKUP(A3323,IV.A!$A$16:$L$172,12,FALSE)</f>
        <v>0</v>
      </c>
      <c r="S3323" s="366" t="str">
        <f>IF(Q3323=R3323,"si","no")</f>
        <v>si</v>
      </c>
      <c r="T3323" s="367">
        <f>SUM(L3325:L3340)+SUM(L3345:L3354)+SUM(L3359:L3365)</f>
        <v>98</v>
      </c>
      <c r="U3323" s="341">
        <f>(SUM(C3325:C3340)+SUM(C3345:C3354)+SUM(C3359:C3365))*G3323</f>
        <v>97.999999999999986</v>
      </c>
      <c r="V3323" s="368" t="str">
        <f>IF(T3323=U3323,"si","no")</f>
        <v>si</v>
      </c>
      <c r="W3323" s="369">
        <f>SUM(F3325:F3340)</f>
        <v>0</v>
      </c>
      <c r="X3323" s="369">
        <f>SUM(F3345:F3354)</f>
        <v>0</v>
      </c>
      <c r="Y3323" s="369">
        <f>SUM(F3359:F3365)</f>
        <v>0</v>
      </c>
    </row>
    <row r="3324" spans="1:25" ht="12.75" customHeight="1">
      <c r="A3324" s="374" t="s">
        <v>14</v>
      </c>
      <c r="B3324" s="375" t="s">
        <v>132</v>
      </c>
      <c r="C3324" s="376" t="s">
        <v>231</v>
      </c>
      <c r="D3324" s="376" t="s">
        <v>232</v>
      </c>
      <c r="E3324" s="377" t="s">
        <v>233</v>
      </c>
      <c r="F3324" s="378" t="s">
        <v>234</v>
      </c>
      <c r="G3324" s="379"/>
      <c r="J3324" s="341"/>
      <c r="L3324" s="380"/>
      <c r="M3324" s="381"/>
      <c r="N3324" s="342"/>
      <c r="O3324" s="382"/>
      <c r="P3324" s="383"/>
      <c r="Q3324" s="383"/>
      <c r="R3324" s="383"/>
      <c r="S3324" s="383"/>
      <c r="T3324" s="382"/>
      <c r="U3324" s="341"/>
      <c r="V3324" s="384"/>
      <c r="W3324" s="384"/>
      <c r="X3324" s="384"/>
      <c r="Y3324" s="384"/>
    </row>
    <row r="3325" spans="1:25" ht="12.75" customHeight="1">
      <c r="A3325" s="385" t="str">
        <f>VII.A!$A$129</f>
        <v>1.119</v>
      </c>
      <c r="B3325" s="386" t="str">
        <f>VLOOKUP(A3325,VII.A!$A$10:$G$199,2,FALSE)</f>
        <v>HASTE RETA PARA GANCHO DE FERRO GALVANIZADO, COM ROSCA 5/16" X 45 CM PARA FIXACAO DE TELHA DE FIBROCIMENTO, INCLUI PORCA E ARRUELAS DE VEDACAO</v>
      </c>
      <c r="C3325" s="20">
        <v>3</v>
      </c>
      <c r="D3325" s="342" t="str">
        <f>VLOOKUP(A3325,VII.A!$A$10:$G$199,3,FALSE)</f>
        <v>UN</v>
      </c>
      <c r="E3325" s="387">
        <f>VLOOKUP(A3325,VII.A!$A$10:$G$199,4,FALSE)</f>
        <v>0</v>
      </c>
      <c r="F3325" s="388">
        <f>ROUND(C3325*E3325,2)</f>
        <v>0</v>
      </c>
      <c r="H3325" s="341">
        <f>IF(A3325="","",VLOOKUP(A3325,VII.A!$A$10:$D$199,4,FALSE))</f>
        <v>0</v>
      </c>
      <c r="I3325" s="341" t="str">
        <f t="shared" ref="I3325:I3340" si="867">IF(A3325="","",IF(E3325=H3325,"SIM","NÃO"))</f>
        <v>SIM</v>
      </c>
      <c r="J3325" s="341" t="str">
        <f>IF(A3325="","",VLOOKUP(A3325,VII.A!$A$10:$D$199,3,FALSE))</f>
        <v>UN</v>
      </c>
      <c r="K3325" s="342" t="str">
        <f t="shared" ref="K3325:K3340" si="868">IF(A3325="","",IF(J3325=D3325,"SIM","NÃO"))</f>
        <v>SIM</v>
      </c>
      <c r="L3325" s="380">
        <f>IF(C3325="","",G3323*C3325)</f>
        <v>60</v>
      </c>
      <c r="M3325" s="381" t="str">
        <f>IF(A3325="","",VLOOKUP(A3325,VII.A!$A$10:$B$199,2,FALSE))</f>
        <v>HASTE RETA PARA GANCHO DE FERRO GALVANIZADO, COM ROSCA 5/16" X 45 CM PARA FIXACAO DE TELHA DE FIBROCIMENTO, INCLUI PORCA E ARRUELAS DE VEDACAO</v>
      </c>
      <c r="N3325" s="342" t="str">
        <f t="shared" ref="N3325:N3340" si="869">IF(B3325="","",IF(M3325=B3325,"si","no"))</f>
        <v>si</v>
      </c>
      <c r="R3325" s="341"/>
      <c r="S3325" s="341"/>
    </row>
    <row r="3326" spans="1:25" ht="12.75" customHeight="1">
      <c r="A3326" s="385" t="str">
        <f>VII.A!$A$107</f>
        <v>1.97</v>
      </c>
      <c r="B3326" s="386" t="str">
        <f>VLOOKUP(A3326,VII.A!$A$10:$G$199,2,FALSE)</f>
        <v>TELHA ESTRUTURAL DE FIBROCIMENTO 1 ABA, DE 0,52 X 4,00 M (SEM AMIANTO)</v>
      </c>
      <c r="C3326" s="20">
        <v>1.1000000000000001</v>
      </c>
      <c r="D3326" s="342" t="str">
        <f>VLOOKUP(A3326,VII.A!$A$10:$G$199,3,FALSE)</f>
        <v>M2</v>
      </c>
      <c r="E3326" s="387">
        <f>VII.A!D107</f>
        <v>0</v>
      </c>
      <c r="F3326" s="388">
        <f t="shared" ref="F3326:F3340" si="870">ROUND(C3326*E3326,2)</f>
        <v>0</v>
      </c>
      <c r="H3326" s="341">
        <f>IF(A3326="","",VLOOKUP(A3326,VII.A!$A$10:$D$199,4,FALSE))</f>
        <v>0</v>
      </c>
      <c r="I3326" s="341" t="str">
        <f t="shared" si="867"/>
        <v>SIM</v>
      </c>
      <c r="J3326" s="341" t="str">
        <f>IF(A3326="","",VLOOKUP(A3326,VII.A!$A$10:$D$199,3,FALSE))</f>
        <v>M2</v>
      </c>
      <c r="K3326" s="342" t="str">
        <f t="shared" si="868"/>
        <v>SIM</v>
      </c>
      <c r="L3326" s="380">
        <f>IF(C3326="","",G3323*C3326)</f>
        <v>22</v>
      </c>
      <c r="M3326" s="381" t="str">
        <f>IF(A3326="","",VLOOKUP(A3326,VII.A!$A$10:$B$199,2,FALSE))</f>
        <v>TELHA ESTRUTURAL DE FIBROCIMENTO 1 ABA, DE 0,52 X 4,00 M (SEM AMIANTO)</v>
      </c>
      <c r="N3326" s="342" t="str">
        <f t="shared" si="869"/>
        <v>si</v>
      </c>
      <c r="R3326" s="341"/>
      <c r="S3326" s="341"/>
    </row>
    <row r="3327" spans="1:25" ht="12.75" customHeight="1">
      <c r="A3327" s="385"/>
      <c r="B3327" s="386"/>
      <c r="C3327" s="20"/>
      <c r="D3327" s="342"/>
      <c r="E3327" s="387"/>
      <c r="F3327" s="388">
        <f t="shared" si="870"/>
        <v>0</v>
      </c>
      <c r="H3327" s="341" t="str">
        <f>IF(A3327="","",VLOOKUP(A3327,VII.A!$A$10:$D$199,4,FALSE))</f>
        <v/>
      </c>
      <c r="I3327" s="341" t="str">
        <f t="shared" si="867"/>
        <v/>
      </c>
      <c r="J3327" s="341" t="str">
        <f>IF(A3327="","",VLOOKUP(A3327,VII.A!$A$10:$D$199,3,FALSE))</f>
        <v/>
      </c>
      <c r="K3327" s="342" t="str">
        <f t="shared" si="868"/>
        <v/>
      </c>
      <c r="L3327" s="380" t="str">
        <f>IF(C3327="","",G3323*C3327)</f>
        <v/>
      </c>
      <c r="M3327" s="381" t="str">
        <f>IF(A3327="","",VLOOKUP(A3327,VII.A!$A$10:$B$199,2,FALSE))</f>
        <v/>
      </c>
      <c r="N3327" s="342" t="str">
        <f t="shared" si="869"/>
        <v/>
      </c>
      <c r="R3327" s="341"/>
      <c r="S3327" s="341"/>
    </row>
    <row r="3328" spans="1:25" ht="12.75" customHeight="1">
      <c r="A3328" s="385"/>
      <c r="B3328" s="386"/>
      <c r="C3328" s="20"/>
      <c r="D3328" s="342"/>
      <c r="E3328" s="387"/>
      <c r="F3328" s="388">
        <f t="shared" si="870"/>
        <v>0</v>
      </c>
      <c r="H3328" s="341" t="str">
        <f>IF(A3328="","",VLOOKUP(A3328,VII.A!$A$10:$D$199,4,FALSE))</f>
        <v/>
      </c>
      <c r="I3328" s="341" t="str">
        <f t="shared" si="867"/>
        <v/>
      </c>
      <c r="J3328" s="341" t="str">
        <f>IF(A3328="","",VLOOKUP(A3328,VII.A!$A$10:$D$199,3,FALSE))</f>
        <v/>
      </c>
      <c r="K3328" s="342" t="str">
        <f t="shared" si="868"/>
        <v/>
      </c>
      <c r="L3328" s="380" t="str">
        <f>IF(C3328="","",G3323*C3328)</f>
        <v/>
      </c>
      <c r="M3328" s="381" t="str">
        <f>IF(A3328="","",VLOOKUP(A3328,VII.A!$A$10:$B$199,2,FALSE))</f>
        <v/>
      </c>
      <c r="N3328" s="342" t="str">
        <f t="shared" si="869"/>
        <v/>
      </c>
      <c r="R3328" s="341"/>
      <c r="S3328" s="341"/>
    </row>
    <row r="3329" spans="1:21" ht="12.75" customHeight="1">
      <c r="A3329" s="385"/>
      <c r="B3329" s="386"/>
      <c r="C3329" s="20"/>
      <c r="D3329" s="342"/>
      <c r="E3329" s="387"/>
      <c r="F3329" s="388">
        <f t="shared" si="870"/>
        <v>0</v>
      </c>
      <c r="H3329" s="341" t="str">
        <f>IF(A3329="","",VLOOKUP(A3329,VII.A!$A$10:$D$199,4,FALSE))</f>
        <v/>
      </c>
      <c r="I3329" s="341" t="str">
        <f t="shared" si="867"/>
        <v/>
      </c>
      <c r="J3329" s="341" t="str">
        <f>IF(A3329="","",VLOOKUP(A3329,VII.A!$A$10:$D$199,3,FALSE))</f>
        <v/>
      </c>
      <c r="K3329" s="342" t="str">
        <f t="shared" si="868"/>
        <v/>
      </c>
      <c r="L3329" s="380" t="str">
        <f>IF(C3329="","",G3323*C3329)</f>
        <v/>
      </c>
      <c r="M3329" s="381" t="str">
        <f>IF(A3329="","",VLOOKUP(A3329,VII.A!$A$10:$B$199,2,FALSE))</f>
        <v/>
      </c>
      <c r="N3329" s="342" t="str">
        <f t="shared" si="869"/>
        <v/>
      </c>
      <c r="R3329" s="341"/>
      <c r="S3329" s="341"/>
    </row>
    <row r="3330" spans="1:21" ht="12.75" customHeight="1">
      <c r="A3330" s="385"/>
      <c r="B3330" s="386"/>
      <c r="C3330" s="20"/>
      <c r="D3330" s="342"/>
      <c r="E3330" s="387"/>
      <c r="F3330" s="388">
        <f t="shared" si="870"/>
        <v>0</v>
      </c>
      <c r="H3330" s="341" t="str">
        <f>IF(A3330="","",VLOOKUP(A3330,VII.A!$A$10:$D$199,4,FALSE))</f>
        <v/>
      </c>
      <c r="I3330" s="341" t="str">
        <f t="shared" si="867"/>
        <v/>
      </c>
      <c r="J3330" s="341" t="str">
        <f>IF(A3330="","",VLOOKUP(A3330,VII.A!$A$10:$D$199,3,FALSE))</f>
        <v/>
      </c>
      <c r="K3330" s="342" t="str">
        <f t="shared" si="868"/>
        <v/>
      </c>
      <c r="L3330" s="380" t="str">
        <f>IF(C3330="","",G3323*C3330)</f>
        <v/>
      </c>
      <c r="M3330" s="381" t="str">
        <f>IF(A3330="","",VLOOKUP(A3330,VII.A!$A$10:$B$199,2,FALSE))</f>
        <v/>
      </c>
      <c r="N3330" s="342" t="str">
        <f t="shared" si="869"/>
        <v/>
      </c>
      <c r="R3330" s="341"/>
      <c r="S3330" s="341"/>
      <c r="U3330" s="389"/>
    </row>
    <row r="3331" spans="1:21" ht="12.75" customHeight="1">
      <c r="A3331" s="385"/>
      <c r="B3331" s="386"/>
      <c r="C3331" s="20"/>
      <c r="D3331" s="342"/>
      <c r="E3331" s="387"/>
      <c r="F3331" s="388">
        <f t="shared" si="870"/>
        <v>0</v>
      </c>
      <c r="H3331" s="341" t="str">
        <f>IF(A3331="","",VLOOKUP(A3331,VII.A!$A$10:$D$199,4,FALSE))</f>
        <v/>
      </c>
      <c r="I3331" s="341" t="str">
        <f t="shared" si="867"/>
        <v/>
      </c>
      <c r="J3331" s="341" t="str">
        <f>IF(A3331="","",VLOOKUP(A3331,VII.A!$A$10:$D$199,3,FALSE))</f>
        <v/>
      </c>
      <c r="K3331" s="342" t="str">
        <f t="shared" si="868"/>
        <v/>
      </c>
      <c r="L3331" s="380" t="str">
        <f>IF(C3331="","",G3323*C3331)</f>
        <v/>
      </c>
      <c r="M3331" s="381" t="str">
        <f>IF(A3331="","",VLOOKUP(A3331,VII.A!$A$10:$B$199,2,FALSE))</f>
        <v/>
      </c>
      <c r="N3331" s="342" t="str">
        <f t="shared" si="869"/>
        <v/>
      </c>
      <c r="R3331" s="341"/>
      <c r="S3331" s="341"/>
    </row>
    <row r="3332" spans="1:21" ht="12.75" customHeight="1">
      <c r="A3332" s="385"/>
      <c r="B3332" s="386"/>
      <c r="C3332" s="20"/>
      <c r="D3332" s="342"/>
      <c r="E3332" s="387"/>
      <c r="F3332" s="388">
        <f t="shared" si="870"/>
        <v>0</v>
      </c>
      <c r="G3332" s="390"/>
      <c r="H3332" s="341" t="str">
        <f>IF(A3332="","",VLOOKUP(A3332,VII.A!$A$10:$D$199,4,FALSE))</f>
        <v/>
      </c>
      <c r="I3332" s="341" t="str">
        <f t="shared" si="867"/>
        <v/>
      </c>
      <c r="J3332" s="341" t="str">
        <f>IF(A3332="","",VLOOKUP(A3332,VII.A!$A$10:$D$199,3,FALSE))</f>
        <v/>
      </c>
      <c r="K3332" s="342" t="str">
        <f t="shared" si="868"/>
        <v/>
      </c>
      <c r="L3332" s="380" t="str">
        <f>IF(C3332="","",G3323*C3332)</f>
        <v/>
      </c>
      <c r="M3332" s="381" t="str">
        <f>IF(A3332="","",VLOOKUP(A3332,VII.A!$A$10:$B$199,2,FALSE))</f>
        <v/>
      </c>
      <c r="N3332" s="342" t="str">
        <f t="shared" si="869"/>
        <v/>
      </c>
      <c r="R3332" s="341"/>
      <c r="S3332" s="341"/>
    </row>
    <row r="3333" spans="1:21" ht="12.75" customHeight="1">
      <c r="A3333" s="385"/>
      <c r="B3333" s="386"/>
      <c r="C3333" s="20"/>
      <c r="D3333" s="342"/>
      <c r="E3333" s="387"/>
      <c r="F3333" s="388">
        <f t="shared" si="870"/>
        <v>0</v>
      </c>
      <c r="G3333" s="390"/>
      <c r="H3333" s="341" t="str">
        <f>IF(A3333="","",VLOOKUP(A3333,VII.A!$A$10:$D$199,4,FALSE))</f>
        <v/>
      </c>
      <c r="I3333" s="341" t="str">
        <f t="shared" si="867"/>
        <v/>
      </c>
      <c r="J3333" s="341" t="str">
        <f>IF(A3333="","",VLOOKUP(A3333,VII.A!$A$10:$D$199,3,FALSE))</f>
        <v/>
      </c>
      <c r="K3333" s="342" t="str">
        <f t="shared" si="868"/>
        <v/>
      </c>
      <c r="L3333" s="380" t="str">
        <f>IF(C3333="","",G3323*C3333)</f>
        <v/>
      </c>
      <c r="M3333" s="381" t="str">
        <f>IF(A3333="","",VLOOKUP(A3333,VII.A!$A$10:$B$199,2,FALSE))</f>
        <v/>
      </c>
      <c r="N3333" s="342" t="str">
        <f t="shared" si="869"/>
        <v/>
      </c>
      <c r="R3333" s="341"/>
      <c r="S3333" s="341"/>
    </row>
    <row r="3334" spans="1:21" ht="12.75" customHeight="1">
      <c r="A3334" s="385"/>
      <c r="B3334" s="386"/>
      <c r="C3334" s="20"/>
      <c r="D3334" s="342"/>
      <c r="E3334" s="387"/>
      <c r="F3334" s="388">
        <f t="shared" si="870"/>
        <v>0</v>
      </c>
      <c r="G3334" s="391"/>
      <c r="H3334" s="341" t="str">
        <f>IF(A3334="","",VLOOKUP(A3334,VII.A!$A$10:$D$199,4,FALSE))</f>
        <v/>
      </c>
      <c r="I3334" s="341" t="str">
        <f t="shared" si="867"/>
        <v/>
      </c>
      <c r="J3334" s="341" t="str">
        <f>IF(A3334="","",VLOOKUP(A3334,VII.A!$A$10:$D$199,3,FALSE))</f>
        <v/>
      </c>
      <c r="K3334" s="342" t="str">
        <f t="shared" si="868"/>
        <v/>
      </c>
      <c r="L3334" s="380" t="str">
        <f>IF(C3334="","",G3323*C3334)</f>
        <v/>
      </c>
      <c r="M3334" s="381" t="str">
        <f>IF(A3334="","",VLOOKUP(A3334,VII.A!$A$10:$B$199,2,FALSE))</f>
        <v/>
      </c>
      <c r="N3334" s="342" t="str">
        <f t="shared" si="869"/>
        <v/>
      </c>
      <c r="R3334" s="341"/>
      <c r="S3334" s="341"/>
    </row>
    <row r="3335" spans="1:21" ht="12.75" customHeight="1">
      <c r="A3335" s="385"/>
      <c r="B3335" s="386"/>
      <c r="C3335" s="20"/>
      <c r="D3335" s="342"/>
      <c r="E3335" s="387"/>
      <c r="F3335" s="388">
        <f t="shared" si="870"/>
        <v>0</v>
      </c>
      <c r="H3335" s="341" t="str">
        <f>IF(A3335="","",VLOOKUP(A3335,VII.A!$A$10:$D$199,4,FALSE))</f>
        <v/>
      </c>
      <c r="I3335" s="341" t="str">
        <f t="shared" si="867"/>
        <v/>
      </c>
      <c r="J3335" s="341" t="str">
        <f>IF(A3335="","",VLOOKUP(A3335,VII.A!$A$10:$D$199,3,FALSE))</f>
        <v/>
      </c>
      <c r="K3335" s="342" t="str">
        <f t="shared" si="868"/>
        <v/>
      </c>
      <c r="L3335" s="380" t="str">
        <f>IF(C3335="","",G3323*C3335)</f>
        <v/>
      </c>
      <c r="M3335" s="381" t="str">
        <f>IF(A3335="","",VLOOKUP(A3335,VII.A!$A$10:$B$199,2,FALSE))</f>
        <v/>
      </c>
      <c r="N3335" s="342" t="str">
        <f t="shared" si="869"/>
        <v/>
      </c>
      <c r="R3335" s="341"/>
      <c r="S3335" s="341"/>
    </row>
    <row r="3336" spans="1:21" ht="12.75" customHeight="1">
      <c r="A3336" s="385"/>
      <c r="B3336" s="386"/>
      <c r="C3336" s="20"/>
      <c r="D3336" s="392"/>
      <c r="E3336" s="387"/>
      <c r="F3336" s="388">
        <f t="shared" si="870"/>
        <v>0</v>
      </c>
      <c r="H3336" s="341" t="str">
        <f>IF(A3336="","",VLOOKUP(A3336,VII.A!$A$10:$D$199,4,FALSE))</f>
        <v/>
      </c>
      <c r="I3336" s="341" t="str">
        <f t="shared" si="867"/>
        <v/>
      </c>
      <c r="J3336" s="341" t="str">
        <f>IF(A3336="","",VLOOKUP(A3336,VII.A!$A$10:$D$199,3,FALSE))</f>
        <v/>
      </c>
      <c r="K3336" s="342" t="str">
        <f t="shared" si="868"/>
        <v/>
      </c>
      <c r="L3336" s="380" t="str">
        <f>IF(C3336="","",G3323*C3336)</f>
        <v/>
      </c>
      <c r="M3336" s="381" t="str">
        <f>IF(A3336="","",VLOOKUP(A3336,VII.A!$A$10:$B$199,2,FALSE))</f>
        <v/>
      </c>
      <c r="N3336" s="342" t="str">
        <f t="shared" si="869"/>
        <v/>
      </c>
      <c r="R3336" s="341"/>
      <c r="S3336" s="341"/>
    </row>
    <row r="3337" spans="1:21" ht="12.75" customHeight="1">
      <c r="A3337" s="385"/>
      <c r="B3337" s="386"/>
      <c r="C3337" s="20"/>
      <c r="D3337" s="392"/>
      <c r="E3337" s="387"/>
      <c r="F3337" s="388">
        <f t="shared" si="870"/>
        <v>0</v>
      </c>
      <c r="H3337" s="341" t="str">
        <f>IF(A3337="","",VLOOKUP(A3337,VII.A!$A$10:$D$199,4,FALSE))</f>
        <v/>
      </c>
      <c r="I3337" s="341" t="str">
        <f t="shared" si="867"/>
        <v/>
      </c>
      <c r="J3337" s="341" t="str">
        <f>IF(A3337="","",VLOOKUP(A3337,VII.A!$A$10:$D$199,3,FALSE))</f>
        <v/>
      </c>
      <c r="K3337" s="342" t="str">
        <f t="shared" si="868"/>
        <v/>
      </c>
      <c r="L3337" s="380" t="str">
        <f>IF(C3337="","",G3323*C3337)</f>
        <v/>
      </c>
      <c r="M3337" s="381" t="str">
        <f>IF(A3337="","",VLOOKUP(A3337,VII.A!$A$10:$B$199,2,FALSE))</f>
        <v/>
      </c>
      <c r="N3337" s="342" t="str">
        <f t="shared" si="869"/>
        <v/>
      </c>
      <c r="O3337" s="342"/>
      <c r="R3337" s="341"/>
      <c r="S3337" s="341"/>
    </row>
    <row r="3338" spans="1:21" ht="12.75" customHeight="1">
      <c r="A3338" s="385"/>
      <c r="B3338" s="386"/>
      <c r="C3338" s="20"/>
      <c r="D3338" s="392"/>
      <c r="E3338" s="387"/>
      <c r="F3338" s="388">
        <f t="shared" si="870"/>
        <v>0</v>
      </c>
      <c r="H3338" s="341" t="str">
        <f>IF(A3338="","",VLOOKUP(A3338,VII.A!$A$10:$D$199,4,FALSE))</f>
        <v/>
      </c>
      <c r="I3338" s="341" t="str">
        <f t="shared" si="867"/>
        <v/>
      </c>
      <c r="J3338" s="341" t="str">
        <f>IF(A3338="","",VLOOKUP(A3338,VII.A!$A$10:$D$199,3,FALSE))</f>
        <v/>
      </c>
      <c r="K3338" s="342" t="str">
        <f t="shared" si="868"/>
        <v/>
      </c>
      <c r="L3338" s="380" t="str">
        <f>IF(C3338="","",G3323*C3338)</f>
        <v/>
      </c>
      <c r="M3338" s="381" t="str">
        <f>IF(A3338="","",VLOOKUP(A3338,VII.A!$A$10:$B$199,2,FALSE))</f>
        <v/>
      </c>
      <c r="N3338" s="342" t="str">
        <f t="shared" si="869"/>
        <v/>
      </c>
      <c r="R3338" s="341"/>
      <c r="S3338" s="341"/>
    </row>
    <row r="3339" spans="1:21" ht="12.75" customHeight="1">
      <c r="A3339" s="393"/>
      <c r="C3339" s="20"/>
      <c r="E3339" s="387"/>
      <c r="F3339" s="388">
        <f t="shared" si="870"/>
        <v>0</v>
      </c>
      <c r="H3339" s="341" t="str">
        <f>IF(A3339="","",VLOOKUP(A3339,VII.A!$A$10:$D$199,4,FALSE))</f>
        <v/>
      </c>
      <c r="I3339" s="341" t="str">
        <f t="shared" si="867"/>
        <v/>
      </c>
      <c r="J3339" s="341" t="str">
        <f>IF(A3339="","",VLOOKUP(A3339,VII.A!$A$10:$D$199,3,FALSE))</f>
        <v/>
      </c>
      <c r="K3339" s="342" t="str">
        <f t="shared" si="868"/>
        <v/>
      </c>
      <c r="L3339" s="380" t="str">
        <f>IF(C3339="","",G3323*C3339)</f>
        <v/>
      </c>
      <c r="M3339" s="381" t="str">
        <f>IF(A3339="","",VLOOKUP(A3339,VII.A!$A$10:$B$199,2,FALSE))</f>
        <v/>
      </c>
      <c r="N3339" s="342" t="str">
        <f t="shared" si="869"/>
        <v/>
      </c>
      <c r="R3339" s="341"/>
      <c r="S3339" s="341"/>
    </row>
    <row r="3340" spans="1:21" ht="12.75" customHeight="1">
      <c r="A3340" s="393"/>
      <c r="C3340" s="20"/>
      <c r="E3340" s="387"/>
      <c r="F3340" s="388">
        <f t="shared" si="870"/>
        <v>0</v>
      </c>
      <c r="H3340" s="341" t="str">
        <f>IF(A3340="","",VLOOKUP(A3340,VII.A!$A$10:$D$199,4,FALSE))</f>
        <v/>
      </c>
      <c r="I3340" s="341" t="str">
        <f t="shared" si="867"/>
        <v/>
      </c>
      <c r="J3340" s="341" t="str">
        <f>IF(A3340="","",VLOOKUP(A3340,VII.A!$A$10:$D$199,3,FALSE))</f>
        <v/>
      </c>
      <c r="K3340" s="342" t="str">
        <f t="shared" si="868"/>
        <v/>
      </c>
      <c r="L3340" s="380" t="str">
        <f>IF(C3340="","",G3323*C3340)</f>
        <v/>
      </c>
      <c r="M3340" s="381" t="str">
        <f>IF(A3340="","",VLOOKUP(A3340,VII.A!$A$10:$B$199,2,FALSE))</f>
        <v/>
      </c>
      <c r="N3340" s="342" t="str">
        <f t="shared" si="869"/>
        <v/>
      </c>
      <c r="R3340" s="341"/>
      <c r="S3340" s="341"/>
    </row>
    <row r="3341" spans="1:21" ht="12.75" customHeight="1">
      <c r="A3341" s="393"/>
      <c r="B3341" s="395" t="s">
        <v>226</v>
      </c>
      <c r="C3341" s="396"/>
      <c r="D3341" s="397"/>
      <c r="E3341" s="398"/>
      <c r="F3341" s="399">
        <f>SUM(F3325:F3340)</f>
        <v>0</v>
      </c>
      <c r="H3341" s="433" t="s">
        <v>555</v>
      </c>
      <c r="J3341" s="341"/>
      <c r="L3341" s="380"/>
      <c r="M3341" s="381"/>
      <c r="N3341" s="342"/>
      <c r="R3341" s="341"/>
      <c r="S3341" s="341"/>
    </row>
    <row r="3342" spans="1:21" ht="12.75" customHeight="1">
      <c r="A3342" s="393"/>
      <c r="B3342" s="400" t="s">
        <v>53</v>
      </c>
      <c r="C3342" s="2">
        <f>$D$8</f>
        <v>0</v>
      </c>
      <c r="D3342" s="401"/>
      <c r="E3342" s="402"/>
      <c r="F3342" s="403">
        <f>ROUND(F3341*C3342,2)</f>
        <v>0</v>
      </c>
      <c r="J3342" s="341"/>
      <c r="L3342" s="380"/>
      <c r="M3342" s="381"/>
      <c r="N3342" s="342"/>
      <c r="R3342" s="341"/>
      <c r="S3342" s="341"/>
    </row>
    <row r="3343" spans="1:21" ht="12.75" customHeight="1">
      <c r="A3343" s="404"/>
      <c r="B3343" s="405" t="s">
        <v>227</v>
      </c>
      <c r="C3343" s="406"/>
      <c r="D3343" s="406"/>
      <c r="E3343" s="407"/>
      <c r="F3343" s="408">
        <f>F3341+F3342</f>
        <v>0</v>
      </c>
      <c r="J3343" s="341"/>
      <c r="L3343" s="380"/>
      <c r="M3343" s="381"/>
      <c r="N3343" s="342"/>
      <c r="R3343" s="341"/>
      <c r="S3343" s="341"/>
    </row>
    <row r="3344" spans="1:21" ht="12.75" customHeight="1">
      <c r="A3344" s="374" t="s">
        <v>2</v>
      </c>
      <c r="B3344" s="375" t="s">
        <v>235</v>
      </c>
      <c r="C3344" s="376" t="s">
        <v>231</v>
      </c>
      <c r="D3344" s="376" t="s">
        <v>232</v>
      </c>
      <c r="E3344" s="377" t="s">
        <v>233</v>
      </c>
      <c r="F3344" s="378" t="s">
        <v>234</v>
      </c>
      <c r="J3344" s="341"/>
      <c r="L3344" s="380"/>
      <c r="M3344" s="381"/>
      <c r="N3344" s="342"/>
      <c r="R3344" s="341"/>
      <c r="S3344" s="341"/>
    </row>
    <row r="3345" spans="1:19" ht="12.75" customHeight="1">
      <c r="A3345" s="393"/>
      <c r="B3345" s="423"/>
      <c r="C3345" s="20"/>
      <c r="E3345" s="387"/>
      <c r="F3345" s="388">
        <f t="shared" ref="F3345:F3354" si="871">ROUND(C3345*E3345,2)</f>
        <v>0</v>
      </c>
      <c r="H3345" s="341" t="str">
        <f>IF(A3345="","",VLOOKUP(A3345,VII.A!$A$10:$D$199,4,FALSE))</f>
        <v/>
      </c>
      <c r="I3345" s="341" t="str">
        <f t="shared" ref="I3345:I3354" si="872">IF(A3345="","",IF(E3345=H3345,"SIM","NÃO"))</f>
        <v/>
      </c>
      <c r="J3345" s="341" t="str">
        <f>IF(A3345="","",VLOOKUP(A3345,VII.A!$A$10:$D$199,3,FALSE))</f>
        <v/>
      </c>
      <c r="K3345" s="342" t="str">
        <f t="shared" ref="K3345:K3354" si="873">IF(A3345="","",IF(J3345=D3345,"SIM","NÃO"))</f>
        <v/>
      </c>
      <c r="L3345" s="380" t="str">
        <f>IF(C3345="","",G3323*C3345)</f>
        <v/>
      </c>
      <c r="M3345" s="381" t="str">
        <f>IF(A3345="","",VLOOKUP(A3345,VII.A!$A$10:$B$199,2,FALSE))</f>
        <v/>
      </c>
      <c r="N3345" s="342" t="str">
        <f t="shared" ref="N3345:N3354" si="874">IF(B3345="","",IF(M3345=B3345,"si","no"))</f>
        <v/>
      </c>
      <c r="R3345" s="341"/>
      <c r="S3345" s="341"/>
    </row>
    <row r="3346" spans="1:19" ht="12.75" customHeight="1">
      <c r="A3346" s="393"/>
      <c r="B3346" s="423"/>
      <c r="C3346" s="20"/>
      <c r="E3346" s="387"/>
      <c r="F3346" s="388">
        <f t="shared" si="871"/>
        <v>0</v>
      </c>
      <c r="H3346" s="341" t="str">
        <f>IF(A3346="","",VLOOKUP(A3346,VII.A!$A$10:$D$199,4,FALSE))</f>
        <v/>
      </c>
      <c r="I3346" s="341" t="str">
        <f t="shared" si="872"/>
        <v/>
      </c>
      <c r="J3346" s="341" t="str">
        <f>IF(A3346="","",VLOOKUP(A3346,VII.A!$A$10:$D$199,3,FALSE))</f>
        <v/>
      </c>
      <c r="K3346" s="342" t="str">
        <f t="shared" si="873"/>
        <v/>
      </c>
      <c r="L3346" s="380" t="str">
        <f>IF(C3346="","",G3323*C3346)</f>
        <v/>
      </c>
      <c r="M3346" s="381" t="str">
        <f>IF(A3346="","",VLOOKUP(A3346,VII.A!$A$10:$B$199,2,FALSE))</f>
        <v/>
      </c>
      <c r="N3346" s="342" t="str">
        <f t="shared" si="874"/>
        <v/>
      </c>
      <c r="R3346" s="341"/>
      <c r="S3346" s="341"/>
    </row>
    <row r="3347" spans="1:19" ht="12.75" customHeight="1">
      <c r="A3347" s="393"/>
      <c r="C3347" s="20"/>
      <c r="E3347" s="387"/>
      <c r="F3347" s="388">
        <f t="shared" si="871"/>
        <v>0</v>
      </c>
      <c r="H3347" s="341" t="str">
        <f>IF(A3347="","",VLOOKUP(A3347,VII.A!$A$10:$D$199,4,FALSE))</f>
        <v/>
      </c>
      <c r="I3347" s="341" t="str">
        <f t="shared" si="872"/>
        <v/>
      </c>
      <c r="J3347" s="341" t="str">
        <f>IF(A3347="","",VLOOKUP(A3347,VII.A!$A$10:$D$199,3,FALSE))</f>
        <v/>
      </c>
      <c r="K3347" s="342" t="str">
        <f t="shared" si="873"/>
        <v/>
      </c>
      <c r="L3347" s="380" t="str">
        <f>IF(C3347="","",G3323*C3347)</f>
        <v/>
      </c>
      <c r="M3347" s="381" t="str">
        <f>IF(A3347="","",VLOOKUP(A3347,VII.A!$A$10:$B$199,2,FALSE))</f>
        <v/>
      </c>
      <c r="N3347" s="342" t="str">
        <f t="shared" si="874"/>
        <v/>
      </c>
      <c r="R3347" s="341"/>
      <c r="S3347" s="341"/>
    </row>
    <row r="3348" spans="1:19" ht="12.75" customHeight="1">
      <c r="A3348" s="393"/>
      <c r="C3348" s="20"/>
      <c r="E3348" s="387"/>
      <c r="F3348" s="388">
        <f t="shared" si="871"/>
        <v>0</v>
      </c>
      <c r="H3348" s="341" t="str">
        <f>IF(A3348="","",VLOOKUP(A3348,VII.A!$A$10:$D$199,4,FALSE))</f>
        <v/>
      </c>
      <c r="I3348" s="341" t="str">
        <f t="shared" si="872"/>
        <v/>
      </c>
      <c r="J3348" s="341" t="str">
        <f>IF(A3348="","",VLOOKUP(A3348,VII.A!$A$10:$D$199,3,FALSE))</f>
        <v/>
      </c>
      <c r="K3348" s="342" t="str">
        <f t="shared" si="873"/>
        <v/>
      </c>
      <c r="L3348" s="380" t="str">
        <f>IF(C3348="","",G3323*C3348)</f>
        <v/>
      </c>
      <c r="M3348" s="381" t="str">
        <f>IF(A3348="","",VLOOKUP(A3348,VII.A!$A$10:$B$199,2,FALSE))</f>
        <v/>
      </c>
      <c r="N3348" s="342" t="str">
        <f t="shared" si="874"/>
        <v/>
      </c>
      <c r="R3348" s="341"/>
      <c r="S3348" s="341"/>
    </row>
    <row r="3349" spans="1:19" ht="12.75" customHeight="1">
      <c r="A3349" s="393"/>
      <c r="C3349" s="20"/>
      <c r="E3349" s="387"/>
      <c r="F3349" s="388">
        <f t="shared" si="871"/>
        <v>0</v>
      </c>
      <c r="G3349" s="390"/>
      <c r="H3349" s="341" t="str">
        <f>IF(A3349="","",VLOOKUP(A3349,VII.A!$A$10:$D$199,4,FALSE))</f>
        <v/>
      </c>
      <c r="I3349" s="341" t="str">
        <f t="shared" si="872"/>
        <v/>
      </c>
      <c r="J3349" s="341" t="str">
        <f>IF(A3349="","",VLOOKUP(A3349,VII.A!$A$10:$D$199,3,FALSE))</f>
        <v/>
      </c>
      <c r="K3349" s="342" t="str">
        <f t="shared" si="873"/>
        <v/>
      </c>
      <c r="L3349" s="380" t="str">
        <f>IF(C3349="","",G3323*C3349)</f>
        <v/>
      </c>
      <c r="M3349" s="381" t="str">
        <f>IF(A3349="","",VLOOKUP(A3349,VII.A!$A$10:$B$199,2,FALSE))</f>
        <v/>
      </c>
      <c r="N3349" s="342" t="str">
        <f t="shared" si="874"/>
        <v/>
      </c>
      <c r="R3349" s="341"/>
      <c r="S3349" s="341"/>
    </row>
    <row r="3350" spans="1:19" ht="12.75" customHeight="1">
      <c r="A3350" s="393"/>
      <c r="C3350" s="20"/>
      <c r="E3350" s="387"/>
      <c r="F3350" s="388">
        <f t="shared" si="871"/>
        <v>0</v>
      </c>
      <c r="G3350" s="391"/>
      <c r="H3350" s="341" t="str">
        <f>IF(A3350="","",VLOOKUP(A3350,VII.A!$A$10:$D$199,4,FALSE))</f>
        <v/>
      </c>
      <c r="I3350" s="341" t="str">
        <f t="shared" si="872"/>
        <v/>
      </c>
      <c r="J3350" s="341" t="str">
        <f>IF(A3350="","",VLOOKUP(A3350,VII.A!$A$10:$D$199,3,FALSE))</f>
        <v/>
      </c>
      <c r="K3350" s="342" t="str">
        <f t="shared" si="873"/>
        <v/>
      </c>
      <c r="L3350" s="380" t="str">
        <f>IF(C3350="","",G3323*C3350)</f>
        <v/>
      </c>
      <c r="M3350" s="381" t="str">
        <f>IF(A3350="","",VLOOKUP(A3350,VII.A!$A$10:$B$199,2,FALSE))</f>
        <v/>
      </c>
      <c r="N3350" s="342" t="str">
        <f t="shared" si="874"/>
        <v/>
      </c>
      <c r="R3350" s="341"/>
      <c r="S3350" s="341"/>
    </row>
    <row r="3351" spans="1:19" ht="12.75" customHeight="1">
      <c r="A3351" s="393"/>
      <c r="C3351" s="20"/>
      <c r="E3351" s="387"/>
      <c r="F3351" s="388">
        <f t="shared" si="871"/>
        <v>0</v>
      </c>
      <c r="H3351" s="341" t="str">
        <f>IF(A3351="","",VLOOKUP(A3351,VII.A!$A$10:$D$199,4,FALSE))</f>
        <v/>
      </c>
      <c r="I3351" s="341" t="str">
        <f t="shared" si="872"/>
        <v/>
      </c>
      <c r="J3351" s="341" t="str">
        <f>IF(A3351="","",VLOOKUP(A3351,VII.A!$A$10:$D$199,3,FALSE))</f>
        <v/>
      </c>
      <c r="K3351" s="342" t="str">
        <f t="shared" si="873"/>
        <v/>
      </c>
      <c r="L3351" s="380" t="str">
        <f>IF(C3351="","",G3323*C3351)</f>
        <v/>
      </c>
      <c r="M3351" s="381" t="str">
        <f>IF(A3351="","",VLOOKUP(A3351,VII.A!$A$10:$B$199,2,FALSE))</f>
        <v/>
      </c>
      <c r="N3351" s="342" t="str">
        <f t="shared" si="874"/>
        <v/>
      </c>
      <c r="R3351" s="341"/>
      <c r="S3351" s="341"/>
    </row>
    <row r="3352" spans="1:19" ht="12.75" customHeight="1">
      <c r="A3352" s="393"/>
      <c r="C3352" s="20"/>
      <c r="E3352" s="387"/>
      <c r="F3352" s="388">
        <f t="shared" si="871"/>
        <v>0</v>
      </c>
      <c r="H3352" s="341" t="str">
        <f>IF(A3352="","",VLOOKUP(A3352,VII.A!$A$10:$D$199,4,FALSE))</f>
        <v/>
      </c>
      <c r="I3352" s="341" t="str">
        <f t="shared" si="872"/>
        <v/>
      </c>
      <c r="J3352" s="341" t="str">
        <f>IF(A3352="","",VLOOKUP(A3352,VII.A!$A$10:$D$199,3,FALSE))</f>
        <v/>
      </c>
      <c r="K3352" s="342" t="str">
        <f t="shared" si="873"/>
        <v/>
      </c>
      <c r="L3352" s="380" t="str">
        <f>IF(C3352="","",G3323*C3352)</f>
        <v/>
      </c>
      <c r="M3352" s="381" t="str">
        <f>IF(A3352="","",VLOOKUP(A3352,VII.A!$A$10:$B$199,2,FALSE))</f>
        <v/>
      </c>
      <c r="N3352" s="342" t="str">
        <f t="shared" si="874"/>
        <v/>
      </c>
      <c r="R3352" s="341"/>
      <c r="S3352" s="341"/>
    </row>
    <row r="3353" spans="1:19" ht="12.75" customHeight="1">
      <c r="A3353" s="393"/>
      <c r="C3353" s="20"/>
      <c r="E3353" s="387"/>
      <c r="F3353" s="388">
        <f t="shared" si="871"/>
        <v>0</v>
      </c>
      <c r="H3353" s="341" t="str">
        <f>IF(A3353="","",VLOOKUP(A3353,VII.A!$A$10:$D$199,4,FALSE))</f>
        <v/>
      </c>
      <c r="I3353" s="341" t="str">
        <f t="shared" si="872"/>
        <v/>
      </c>
      <c r="J3353" s="341" t="str">
        <f>IF(A3353="","",VLOOKUP(A3353,VII.A!$A$10:$D$199,3,FALSE))</f>
        <v/>
      </c>
      <c r="K3353" s="342" t="str">
        <f t="shared" si="873"/>
        <v/>
      </c>
      <c r="L3353" s="380" t="str">
        <f>IF(C3353="","",G3323*C3353)</f>
        <v/>
      </c>
      <c r="M3353" s="381" t="str">
        <f>IF(A3353="","",VLOOKUP(A3353,VII.A!$A$10:$B$199,2,FALSE))</f>
        <v/>
      </c>
      <c r="N3353" s="342" t="str">
        <f t="shared" si="874"/>
        <v/>
      </c>
      <c r="R3353" s="341"/>
      <c r="S3353" s="341"/>
    </row>
    <row r="3354" spans="1:19" ht="12.75" customHeight="1">
      <c r="A3354" s="393"/>
      <c r="C3354" s="20"/>
      <c r="E3354" s="387"/>
      <c r="F3354" s="388">
        <f t="shared" si="871"/>
        <v>0</v>
      </c>
      <c r="H3354" s="341" t="str">
        <f>IF(A3354="","",VLOOKUP(A3354,VII.A!$A$10:$D$199,4,FALSE))</f>
        <v/>
      </c>
      <c r="I3354" s="341" t="str">
        <f t="shared" si="872"/>
        <v/>
      </c>
      <c r="J3354" s="341" t="str">
        <f>IF(A3354="","",VLOOKUP(A3354,VII.A!$A$10:$D$199,3,FALSE))</f>
        <v/>
      </c>
      <c r="K3354" s="342" t="str">
        <f t="shared" si="873"/>
        <v/>
      </c>
      <c r="L3354" s="380" t="str">
        <f>IF(C3354="","",G3323*C3354)</f>
        <v/>
      </c>
      <c r="M3354" s="381" t="str">
        <f>IF(A3354="","",VLOOKUP(A3354,VII.A!$A$10:$B$199,2,FALSE))</f>
        <v/>
      </c>
      <c r="N3354" s="342" t="str">
        <f t="shared" si="874"/>
        <v/>
      </c>
      <c r="R3354" s="341"/>
      <c r="S3354" s="341"/>
    </row>
    <row r="3355" spans="1:19" ht="12.75" customHeight="1">
      <c r="A3355" s="393"/>
      <c r="B3355" s="395" t="s">
        <v>226</v>
      </c>
      <c r="C3355" s="396"/>
      <c r="D3355" s="397"/>
      <c r="E3355" s="398"/>
      <c r="F3355" s="399">
        <f>SUM(F3345:F3354)</f>
        <v>0</v>
      </c>
      <c r="J3355" s="341"/>
      <c r="L3355" s="380"/>
      <c r="M3355" s="381"/>
      <c r="N3355" s="342"/>
      <c r="R3355" s="341"/>
      <c r="S3355" s="341"/>
    </row>
    <row r="3356" spans="1:19" ht="12.75" customHeight="1">
      <c r="A3356" s="393"/>
      <c r="B3356" s="400" t="s">
        <v>53</v>
      </c>
      <c r="C3356" s="2">
        <f>$D$8</f>
        <v>0</v>
      </c>
      <c r="D3356" s="401"/>
      <c r="E3356" s="402"/>
      <c r="F3356" s="403">
        <f>ROUND(C3356*F3355,2)</f>
        <v>0</v>
      </c>
      <c r="J3356" s="341"/>
      <c r="L3356" s="380"/>
      <c r="M3356" s="381"/>
      <c r="N3356" s="342"/>
      <c r="R3356" s="341"/>
      <c r="S3356" s="341"/>
    </row>
    <row r="3357" spans="1:19" ht="12.75" customHeight="1">
      <c r="A3357" s="404"/>
      <c r="B3357" s="405" t="s">
        <v>228</v>
      </c>
      <c r="C3357" s="406"/>
      <c r="D3357" s="406"/>
      <c r="E3357" s="407"/>
      <c r="F3357" s="408">
        <f>F3355+F3356</f>
        <v>0</v>
      </c>
      <c r="J3357" s="341"/>
      <c r="L3357" s="380"/>
      <c r="M3357" s="381"/>
      <c r="N3357" s="342"/>
      <c r="R3357" s="341"/>
      <c r="S3357" s="341"/>
    </row>
    <row r="3358" spans="1:19" ht="12.75" customHeight="1">
      <c r="A3358" s="409" t="s">
        <v>47</v>
      </c>
      <c r="B3358" s="410" t="s">
        <v>236</v>
      </c>
      <c r="C3358" s="411" t="s">
        <v>231</v>
      </c>
      <c r="D3358" s="412" t="s">
        <v>232</v>
      </c>
      <c r="E3358" s="413" t="s">
        <v>233</v>
      </c>
      <c r="F3358" s="378" t="s">
        <v>234</v>
      </c>
      <c r="J3358" s="341"/>
      <c r="L3358" s="380"/>
      <c r="M3358" s="381"/>
      <c r="N3358" s="342"/>
      <c r="R3358" s="341"/>
      <c r="S3358" s="341"/>
    </row>
    <row r="3359" spans="1:19" ht="12.75" customHeight="1">
      <c r="A3359" s="393" t="str">
        <f>VII.A!$A$186</f>
        <v>3.6</v>
      </c>
      <c r="B3359" s="394" t="str">
        <f>VII.A!B186</f>
        <v>CARPINTEIRO COM ENCARGOS COMPLEMENTARES</v>
      </c>
      <c r="C3359" s="20">
        <v>0.4</v>
      </c>
      <c r="D3359" s="384" t="str">
        <f>VLOOKUP(A3359,VII.A!$A$10:$G$199,3,FALSE)</f>
        <v>H</v>
      </c>
      <c r="E3359" s="387">
        <f>VII.A!D186</f>
        <v>0</v>
      </c>
      <c r="F3359" s="388">
        <f t="shared" ref="F3359:F3365" si="875">ROUND(C3359*E3359,2)</f>
        <v>0</v>
      </c>
      <c r="H3359" s="341">
        <f>IF(A3359="","",VLOOKUP(A3359,VII.A!$A$10:$D$199,4,FALSE))</f>
        <v>0</v>
      </c>
      <c r="I3359" s="341" t="str">
        <f t="shared" ref="I3359:I3365" si="876">IF(A3359="","",IF(E3359=H3359,"SIM","NÃO"))</f>
        <v>SIM</v>
      </c>
      <c r="J3359" s="341" t="str">
        <f>IF(A3359="","",VLOOKUP(A3359,VII.A!$A$10:$D$199,3,FALSE))</f>
        <v>H</v>
      </c>
      <c r="K3359" s="342" t="str">
        <f t="shared" ref="K3359:K3365" si="877">IF(A3359="","",IF(J3359=D3359,"SIM","NÃO"))</f>
        <v>SIM</v>
      </c>
      <c r="L3359" s="380">
        <f>IF(C3359="","",G3323*C3359)</f>
        <v>8</v>
      </c>
      <c r="M3359" s="381" t="str">
        <f>IF(A3359="","",VLOOKUP(A3359,VII.A!$A$10:$B$199,2,FALSE))</f>
        <v>CARPINTEIRO COM ENCARGOS COMPLEMENTARES</v>
      </c>
      <c r="N3359" s="342" t="str">
        <f t="shared" ref="N3359:N3365" si="878">IF(B3359="","",IF(M3359=B3359,"si","no"))</f>
        <v>si</v>
      </c>
      <c r="R3359" s="341"/>
      <c r="S3359" s="341"/>
    </row>
    <row r="3360" spans="1:19" ht="12.75" customHeight="1">
      <c r="A3360" s="393" t="str">
        <f>VII.A!$A$183</f>
        <v>3.3</v>
      </c>
      <c r="B3360" s="394" t="str">
        <f>VII.A!B183</f>
        <v>AJUDANTE DE CARPINTEIRO</v>
      </c>
      <c r="C3360" s="20">
        <v>0.4</v>
      </c>
      <c r="D3360" s="384" t="str">
        <f>VLOOKUP(A3360,VII.A!$A$10:$G$199,3,FALSE)</f>
        <v>H</v>
      </c>
      <c r="E3360" s="387">
        <f>VII.A!D183</f>
        <v>0</v>
      </c>
      <c r="F3360" s="388">
        <f t="shared" si="875"/>
        <v>0</v>
      </c>
      <c r="H3360" s="341">
        <f>IF(A3360="","",VLOOKUP(A3360,VII.A!$A$10:$D$199,4,FALSE))</f>
        <v>0</v>
      </c>
      <c r="I3360" s="341" t="str">
        <f t="shared" si="876"/>
        <v>SIM</v>
      </c>
      <c r="J3360" s="341" t="str">
        <f>IF(A3360="","",VLOOKUP(A3360,VII.A!$A$10:$D$199,3,FALSE))</f>
        <v>H</v>
      </c>
      <c r="K3360" s="342" t="str">
        <f t="shared" si="877"/>
        <v>SIM</v>
      </c>
      <c r="L3360" s="380">
        <f>IF(C3360="","",G3323*C3360)</f>
        <v>8</v>
      </c>
      <c r="M3360" s="381" t="str">
        <f>IF(A3360="","",VLOOKUP(A3360,VII.A!$A$10:$B$199,2,FALSE))</f>
        <v>AJUDANTE DE CARPINTEIRO</v>
      </c>
      <c r="N3360" s="342" t="str">
        <f t="shared" si="878"/>
        <v>si</v>
      </c>
      <c r="R3360" s="341"/>
      <c r="S3360" s="341"/>
    </row>
    <row r="3361" spans="1:25" ht="12.75" customHeight="1">
      <c r="A3361" s="393"/>
      <c r="C3361" s="20"/>
      <c r="E3361" s="387"/>
      <c r="F3361" s="388">
        <f t="shared" si="875"/>
        <v>0</v>
      </c>
      <c r="H3361" s="341" t="str">
        <f>IF(A3361="","",VLOOKUP(A3361,VII.A!$A$10:$D$199,4,FALSE))</f>
        <v/>
      </c>
      <c r="I3361" s="341" t="str">
        <f t="shared" si="876"/>
        <v/>
      </c>
      <c r="J3361" s="341" t="str">
        <f>IF(A3361="","",VLOOKUP(A3361,VII.A!$A$10:$D$199,3,FALSE))</f>
        <v/>
      </c>
      <c r="K3361" s="342" t="str">
        <f t="shared" si="877"/>
        <v/>
      </c>
      <c r="L3361" s="380" t="str">
        <f>IF(C3361="","",G3323*C3361)</f>
        <v/>
      </c>
      <c r="M3361" s="381" t="str">
        <f>IF(A3361="","",VLOOKUP(A3361,VII.A!$A$10:$B$199,2,FALSE))</f>
        <v/>
      </c>
      <c r="N3361" s="342" t="str">
        <f t="shared" si="878"/>
        <v/>
      </c>
      <c r="R3361" s="341"/>
      <c r="S3361" s="341"/>
    </row>
    <row r="3362" spans="1:25" ht="12.75" customHeight="1">
      <c r="A3362" s="393"/>
      <c r="C3362" s="20"/>
      <c r="E3362" s="387"/>
      <c r="F3362" s="388">
        <f t="shared" si="875"/>
        <v>0</v>
      </c>
      <c r="H3362" s="341" t="str">
        <f>IF(A3362="","",VLOOKUP(A3362,VII.A!$A$10:$D$199,4,FALSE))</f>
        <v/>
      </c>
      <c r="I3362" s="341" t="str">
        <f t="shared" si="876"/>
        <v/>
      </c>
      <c r="J3362" s="341" t="str">
        <f>IF(A3362="","",VLOOKUP(A3362,VII.A!$A$10:$D$199,3,FALSE))</f>
        <v/>
      </c>
      <c r="K3362" s="342" t="str">
        <f t="shared" si="877"/>
        <v/>
      </c>
      <c r="L3362" s="380" t="str">
        <f>IF(C3362="","",G3323*C3362)</f>
        <v/>
      </c>
      <c r="M3362" s="381" t="str">
        <f>IF(A3362="","",VLOOKUP(A3362,VII.A!$A$10:$B$199,2,FALSE))</f>
        <v/>
      </c>
      <c r="N3362" s="342" t="str">
        <f t="shared" si="878"/>
        <v/>
      </c>
      <c r="R3362" s="341"/>
      <c r="S3362" s="341"/>
    </row>
    <row r="3363" spans="1:25" ht="12.75" customHeight="1">
      <c r="A3363" s="393"/>
      <c r="C3363" s="20"/>
      <c r="E3363" s="387"/>
      <c r="F3363" s="388">
        <f t="shared" si="875"/>
        <v>0</v>
      </c>
      <c r="H3363" s="341" t="str">
        <f>IF(A3363="","",VLOOKUP(A3363,VII.A!$A$10:$D$199,4,FALSE))</f>
        <v/>
      </c>
      <c r="I3363" s="341" t="str">
        <f t="shared" si="876"/>
        <v/>
      </c>
      <c r="J3363" s="341" t="str">
        <f>IF(A3363="","",VLOOKUP(A3363,VII.A!$A$10:$D$199,3,FALSE))</f>
        <v/>
      </c>
      <c r="K3363" s="342" t="str">
        <f t="shared" si="877"/>
        <v/>
      </c>
      <c r="L3363" s="380" t="str">
        <f>IF(C3363="","",G3323*C3363)</f>
        <v/>
      </c>
      <c r="M3363" s="381" t="str">
        <f>IF(A3363="","",VLOOKUP(A3363,VII.A!$A$10:$B$199,2,FALSE))</f>
        <v/>
      </c>
      <c r="N3363" s="342" t="str">
        <f t="shared" si="878"/>
        <v/>
      </c>
      <c r="R3363" s="341"/>
      <c r="S3363" s="341"/>
    </row>
    <row r="3364" spans="1:25" ht="12.75" customHeight="1">
      <c r="A3364" s="393"/>
      <c r="C3364" s="20"/>
      <c r="E3364" s="387"/>
      <c r="F3364" s="388">
        <f t="shared" si="875"/>
        <v>0</v>
      </c>
      <c r="H3364" s="341" t="str">
        <f>IF(A3364="","",VLOOKUP(A3364,VII.A!$A$10:$D$199,4,FALSE))</f>
        <v/>
      </c>
      <c r="I3364" s="341" t="str">
        <f t="shared" si="876"/>
        <v/>
      </c>
      <c r="J3364" s="341" t="str">
        <f>IF(A3364="","",VLOOKUP(A3364,VII.A!$A$10:$D$199,3,FALSE))</f>
        <v/>
      </c>
      <c r="K3364" s="342" t="str">
        <f t="shared" si="877"/>
        <v/>
      </c>
      <c r="L3364" s="380" t="str">
        <f>IF(C3364="","",G3323*C3364)</f>
        <v/>
      </c>
      <c r="M3364" s="381" t="str">
        <f>IF(A3364="","",VLOOKUP(A3364,VII.A!$A$10:$B$199,2,FALSE))</f>
        <v/>
      </c>
      <c r="N3364" s="342" t="str">
        <f t="shared" si="878"/>
        <v/>
      </c>
      <c r="R3364" s="341"/>
      <c r="S3364" s="341"/>
    </row>
    <row r="3365" spans="1:25" ht="12.75" customHeight="1">
      <c r="A3365" s="393"/>
      <c r="C3365" s="20"/>
      <c r="E3365" s="387"/>
      <c r="F3365" s="388">
        <f t="shared" si="875"/>
        <v>0</v>
      </c>
      <c r="H3365" s="341" t="str">
        <f>IF(A3365="","",VLOOKUP(A3365,VII.A!$A$10:$D$199,4,FALSE))</f>
        <v/>
      </c>
      <c r="I3365" s="341" t="str">
        <f t="shared" si="876"/>
        <v/>
      </c>
      <c r="J3365" s="341" t="str">
        <f>IF(A3365="","",VLOOKUP(A3365,VII.A!$A$10:$D$199,3,FALSE))</f>
        <v/>
      </c>
      <c r="K3365" s="342" t="str">
        <f t="shared" si="877"/>
        <v/>
      </c>
      <c r="L3365" s="380" t="str">
        <f>IF(C3365="","",G3323*C3365)</f>
        <v/>
      </c>
      <c r="M3365" s="381" t="str">
        <f>IF(A3365="","",VLOOKUP(A3365,VII.A!$A$10:$B$199,2,FALSE))</f>
        <v/>
      </c>
      <c r="N3365" s="342" t="str">
        <f t="shared" si="878"/>
        <v/>
      </c>
      <c r="R3365" s="341"/>
      <c r="S3365" s="341"/>
    </row>
    <row r="3366" spans="1:25" ht="12.75" customHeight="1">
      <c r="A3366" s="393"/>
      <c r="B3366" s="395" t="s">
        <v>226</v>
      </c>
      <c r="C3366" s="396"/>
      <c r="D3366" s="397"/>
      <c r="E3366" s="398"/>
      <c r="F3366" s="399">
        <f>SUM(F3359:F3365)</f>
        <v>0</v>
      </c>
      <c r="J3366" s="341"/>
      <c r="L3366" s="380"/>
      <c r="M3366" s="381"/>
      <c r="N3366" s="342"/>
      <c r="R3366" s="341"/>
      <c r="S3366" s="341"/>
    </row>
    <row r="3367" spans="1:25" ht="12.75" customHeight="1">
      <c r="A3367" s="393"/>
      <c r="B3367" s="400" t="s">
        <v>229</v>
      </c>
      <c r="C3367" s="2">
        <f>IX.A!$C$45</f>
        <v>0</v>
      </c>
      <c r="D3367" s="401"/>
      <c r="E3367" s="402"/>
      <c r="F3367" s="403">
        <f>ROUND(F3366*C3367,2)</f>
        <v>0</v>
      </c>
      <c r="J3367" s="341"/>
      <c r="L3367" s="380"/>
      <c r="M3367" s="381"/>
      <c r="N3367" s="342"/>
      <c r="R3367" s="341"/>
      <c r="S3367" s="341"/>
    </row>
    <row r="3368" spans="1:25" ht="12.75" customHeight="1">
      <c r="A3368" s="393"/>
      <c r="B3368" s="400" t="s">
        <v>53</v>
      </c>
      <c r="C3368" s="2">
        <f>$D$8</f>
        <v>0</v>
      </c>
      <c r="D3368" s="401"/>
      <c r="E3368" s="402"/>
      <c r="F3368" s="403">
        <f>ROUND(SUM(F3366:F3367)*C3368,2)</f>
        <v>0</v>
      </c>
      <c r="J3368" s="341"/>
      <c r="L3368" s="380"/>
      <c r="M3368" s="381"/>
      <c r="N3368" s="342"/>
      <c r="R3368" s="341"/>
      <c r="S3368" s="341"/>
    </row>
    <row r="3369" spans="1:25" ht="12.75" customHeight="1" thickBot="1">
      <c r="A3369" s="414"/>
      <c r="B3369" s="415" t="s">
        <v>230</v>
      </c>
      <c r="C3369" s="416"/>
      <c r="D3369" s="416"/>
      <c r="E3369" s="417"/>
      <c r="F3369" s="418">
        <f>SUM(F3366:F3368)</f>
        <v>0</v>
      </c>
      <c r="J3369" s="341"/>
      <c r="L3369" s="380"/>
      <c r="M3369" s="381"/>
      <c r="N3369" s="342"/>
      <c r="R3369" s="341"/>
      <c r="S3369" s="341"/>
    </row>
    <row r="3370" spans="1:25" ht="12.75" customHeight="1" thickBot="1">
      <c r="A3370" s="427"/>
      <c r="B3370" s="428"/>
      <c r="C3370" s="429"/>
      <c r="D3370" s="429"/>
      <c r="E3370" s="430"/>
      <c r="F3370" s="431"/>
      <c r="J3370" s="341"/>
      <c r="L3370" s="380"/>
      <c r="M3370" s="381"/>
      <c r="N3370" s="342"/>
      <c r="R3370" s="341"/>
      <c r="S3370" s="341"/>
    </row>
    <row r="3371" spans="1:25" ht="30" customHeight="1">
      <c r="A3371" s="370" t="str">
        <f>IV.A!$A$105</f>
        <v>3.10.5</v>
      </c>
      <c r="B3371" s="371" t="str">
        <f>IV.A!B105</f>
        <v>CALHA DE CHAPA GALVANIZADA N° 26</v>
      </c>
      <c r="C3371" s="871" t="s">
        <v>237</v>
      </c>
      <c r="D3371" s="872"/>
      <c r="E3371" s="372" t="str">
        <f>IV.A!C105</f>
        <v>M</v>
      </c>
      <c r="F3371" s="11">
        <f>ROUND(F3391+F3405+F3417,2)</f>
        <v>0</v>
      </c>
      <c r="G3371" s="1">
        <f>VLOOKUP(A3371,IV.A!$A$16:$L$172,4,FALSE)</f>
        <v>25</v>
      </c>
      <c r="H3371" s="361">
        <f>SUM(F3373:F3388)+F3390</f>
        <v>0</v>
      </c>
      <c r="I3371" s="361">
        <f>SUM(F3393:F3402)+F3404</f>
        <v>0</v>
      </c>
      <c r="J3371" s="361">
        <f>SUM(F3407:F3413)+F3415+F3416</f>
        <v>0</v>
      </c>
      <c r="K3371" s="361">
        <f>SUM(H3371:J3371)</f>
        <v>0</v>
      </c>
      <c r="L3371" s="362" t="str">
        <f>IF(K3371=F3371,"SIM","NÃO")</f>
        <v>SIM</v>
      </c>
      <c r="M3371" s="373">
        <f>ROUND(SUM(F3373:F3388),2)+ROUND(SUM(F3373:F3388)*C3390,2)+ROUND(SUM(F3393:F3402)*C3404,2)+ROUND(SUM(F3393:F3402),2)+ROUND(SUM(F3407:F3413)*C3415,2)+ROUND((SUM(F3407:F3413)+ROUND(SUM(F3407:F3413)*C3415,2))*C3416,2)+ROUND(SUM(F3407:F3413),2)</f>
        <v>0</v>
      </c>
      <c r="N3371" s="343" t="str">
        <f>IF(M3371=F3371,"SIM","NÃO")</f>
        <v>SIM</v>
      </c>
      <c r="O3371" s="364" t="str">
        <f>VLOOKUP(A3371,IV.A!$A$16:$E$172,3,FALSE)</f>
        <v>M</v>
      </c>
      <c r="P3371" s="344" t="str">
        <f>IF(O3371=E3371,"SIM","NÃO")</f>
        <v>SIM</v>
      </c>
      <c r="Q3371" s="365">
        <f>ROUND(G3371*F3391,2)+ROUND(G3371*F3405,2)+ROUND(G3371*F3417,2)</f>
        <v>0</v>
      </c>
      <c r="R3371" s="364">
        <f>VLOOKUP(A3371,IV.A!$A$16:$L$172,12,FALSE)</f>
        <v>0</v>
      </c>
      <c r="S3371" s="366" t="str">
        <f>IF(Q3371=R3371,"si","no")</f>
        <v>si</v>
      </c>
      <c r="T3371" s="367">
        <f>SUM(L3373:L3388)+SUM(L3393:L3402)+SUM(L3407:L3413)</f>
        <v>47.897500000000001</v>
      </c>
      <c r="U3371" s="341">
        <f>(SUM(C3373:C3388)+SUM(C3393:C3402)+SUM(C3407:C3413))*G3371</f>
        <v>47.897500000000001</v>
      </c>
      <c r="V3371" s="368" t="str">
        <f>IF(T3371=U3371,"si","no")</f>
        <v>si</v>
      </c>
      <c r="W3371" s="369">
        <f>SUM(F3373:F3388)</f>
        <v>0</v>
      </c>
      <c r="X3371" s="369">
        <f>SUM(F3393:F3402)</f>
        <v>0</v>
      </c>
      <c r="Y3371" s="369">
        <f>SUM(F3407:F3413)</f>
        <v>0</v>
      </c>
    </row>
    <row r="3372" spans="1:25" ht="12.75" customHeight="1">
      <c r="A3372" s="374" t="s">
        <v>14</v>
      </c>
      <c r="B3372" s="375" t="s">
        <v>132</v>
      </c>
      <c r="C3372" s="376" t="s">
        <v>231</v>
      </c>
      <c r="D3372" s="376" t="s">
        <v>232</v>
      </c>
      <c r="E3372" s="377" t="s">
        <v>233</v>
      </c>
      <c r="F3372" s="378" t="s">
        <v>234</v>
      </c>
      <c r="G3372" s="379"/>
      <c r="J3372" s="341"/>
      <c r="L3372" s="380"/>
      <c r="M3372" s="381"/>
      <c r="N3372" s="342"/>
      <c r="O3372" s="382"/>
      <c r="P3372" s="383"/>
      <c r="Q3372" s="383"/>
      <c r="R3372" s="383"/>
      <c r="S3372" s="383"/>
      <c r="T3372" s="382"/>
      <c r="U3372" s="341"/>
      <c r="V3372" s="384"/>
      <c r="W3372" s="384"/>
      <c r="X3372" s="384"/>
      <c r="Y3372" s="384"/>
    </row>
    <row r="3373" spans="1:25" ht="12.75" customHeight="1">
      <c r="A3373" s="385" t="str">
        <f>VII.A!$A$90</f>
        <v>1.80</v>
      </c>
      <c r="B3373" s="386" t="str">
        <f>VLOOKUP(A3373,VII.A!$A$10:$G$199,2,FALSE)</f>
        <v>PREGO EM AÇO POLIDO COM CABEÇA (MEDIA DAS BITOLAS)</v>
      </c>
      <c r="C3373" s="20">
        <v>1.2999999999999999E-2</v>
      </c>
      <c r="D3373" s="342" t="str">
        <f>VLOOKUP(A3373,VII.A!$A$10:$G$199,3,FALSE)</f>
        <v>KG</v>
      </c>
      <c r="E3373" s="387">
        <f>VII.A!D90</f>
        <v>0</v>
      </c>
      <c r="F3373" s="388">
        <f>ROUND(C3373*E3373,2)</f>
        <v>0</v>
      </c>
      <c r="H3373" s="341">
        <f>IF(A3373="","",VLOOKUP(A3373,VII.A!$A$10:$D$199,4,FALSE))</f>
        <v>0</v>
      </c>
      <c r="I3373" s="341" t="str">
        <f t="shared" ref="I3373:I3388" si="879">IF(A3373="","",IF(E3373=H3373,"SIM","NÃO"))</f>
        <v>SIM</v>
      </c>
      <c r="J3373" s="341" t="str">
        <f>IF(A3373="","",VLOOKUP(A3373,VII.A!$A$10:$D$199,3,FALSE))</f>
        <v>KG</v>
      </c>
      <c r="K3373" s="342" t="str">
        <f t="shared" ref="K3373:K3388" si="880">IF(A3373="","",IF(J3373=D3373,"SIM","NÃO"))</f>
        <v>SIM</v>
      </c>
      <c r="L3373" s="380">
        <f>IF(C3373="","",G3371*C3373)</f>
        <v>0.32500000000000001</v>
      </c>
      <c r="M3373" s="381" t="str">
        <f>IF(A3373="","",VLOOKUP(A3373,VII.A!$A$10:$B$199,2,FALSE))</f>
        <v>PREGO EM AÇO POLIDO COM CABEÇA (MEDIA DAS BITOLAS)</v>
      </c>
      <c r="N3373" s="342" t="str">
        <f t="shared" ref="N3373:N3388" si="881">IF(B3373="","",IF(M3373=B3373,"si","no"))</f>
        <v>si</v>
      </c>
      <c r="R3373" s="341"/>
      <c r="S3373" s="341"/>
    </row>
    <row r="3374" spans="1:25" ht="12.75" customHeight="1">
      <c r="A3374" s="385" t="str">
        <f>VII.A!$A$93</f>
        <v>1.83</v>
      </c>
      <c r="B3374" s="386" t="str">
        <f>VLOOKUP(A3374,VII.A!$A$10:$G$199,2,FALSE)</f>
        <v>REBITE DE ALUMINIO VAZADO DE REPUXO, 3,2 X 8 MM (1KG = 1025 UNIDADES)</v>
      </c>
      <c r="C3374" s="20">
        <v>2.3999999999999998E-3</v>
      </c>
      <c r="D3374" s="342" t="str">
        <f>VLOOKUP(A3374,VII.A!$A$10:$G$199,3,FALSE)</f>
        <v>KG</v>
      </c>
      <c r="E3374" s="387">
        <f>VII.A!D93</f>
        <v>0</v>
      </c>
      <c r="F3374" s="388">
        <f t="shared" ref="F3374:F3388" si="882">ROUND(C3374*E3374,2)</f>
        <v>0</v>
      </c>
      <c r="H3374" s="341">
        <f>IF(A3374="","",VLOOKUP(A3374,VII.A!$A$10:$D$199,4,FALSE))</f>
        <v>0</v>
      </c>
      <c r="I3374" s="341" t="str">
        <f t="shared" si="879"/>
        <v>SIM</v>
      </c>
      <c r="J3374" s="341" t="str">
        <f>IF(A3374="","",VLOOKUP(A3374,VII.A!$A$10:$D$199,3,FALSE))</f>
        <v>KG</v>
      </c>
      <c r="K3374" s="342" t="str">
        <f t="shared" si="880"/>
        <v>SIM</v>
      </c>
      <c r="L3374" s="380">
        <f>IF(C3374="","",G3371*C3374)</f>
        <v>0.06</v>
      </c>
      <c r="M3374" s="381" t="str">
        <f>IF(A3374="","",VLOOKUP(A3374,VII.A!$A$10:$B$199,2,FALSE))</f>
        <v>REBITE DE ALUMINIO VAZADO DE REPUXO, 3,2 X 8 MM (1KG = 1025 UNIDADES)</v>
      </c>
      <c r="N3374" s="342" t="str">
        <f t="shared" si="881"/>
        <v>si</v>
      </c>
      <c r="R3374" s="341"/>
      <c r="S3374" s="341"/>
    </row>
    <row r="3375" spans="1:25" ht="12.75" customHeight="1">
      <c r="A3375" s="385" t="str">
        <f>VII.A!$A$51</f>
        <v>1.42</v>
      </c>
      <c r="B3375" s="386" t="str">
        <f>VLOOKUP(A3375,VII.A!$A$10:$G$199,2,FALSE)</f>
        <v>ESTANHO PARA SOLDA</v>
      </c>
      <c r="C3375" s="20">
        <v>0.09</v>
      </c>
      <c r="D3375" s="342" t="str">
        <f>VLOOKUP(A3375,VII.A!$A$10:$G$199,3,FALSE)</f>
        <v>KG</v>
      </c>
      <c r="E3375" s="387">
        <f>VII.A!D51</f>
        <v>0</v>
      </c>
      <c r="F3375" s="388">
        <f t="shared" si="882"/>
        <v>0</v>
      </c>
      <c r="H3375" s="341">
        <f>IF(A3375="","",VLOOKUP(A3375,VII.A!$A$10:$D$199,4,FALSE))</f>
        <v>0</v>
      </c>
      <c r="I3375" s="341" t="str">
        <f t="shared" si="879"/>
        <v>SIM</v>
      </c>
      <c r="J3375" s="341" t="str">
        <f>IF(A3375="","",VLOOKUP(A3375,VII.A!$A$10:$D$199,3,FALSE))</f>
        <v>KG</v>
      </c>
      <c r="K3375" s="342" t="str">
        <f t="shared" si="880"/>
        <v>SIM</v>
      </c>
      <c r="L3375" s="380">
        <f>IF(C3375="","",G3371*C3375)</f>
        <v>2.25</v>
      </c>
      <c r="M3375" s="381" t="str">
        <f>IF(A3375="","",VLOOKUP(A3375,VII.A!$A$10:$B$199,2,FALSE))</f>
        <v>ESTANHO PARA SOLDA</v>
      </c>
      <c r="N3375" s="342" t="str">
        <f t="shared" si="881"/>
        <v>si</v>
      </c>
      <c r="R3375" s="341"/>
      <c r="S3375" s="341"/>
    </row>
    <row r="3376" spans="1:25" ht="12.75" customHeight="1">
      <c r="A3376" s="385" t="str">
        <f>VII.A!$A$30</f>
        <v>1.21</v>
      </c>
      <c r="B3376" s="386" t="str">
        <f>VLOOKUP(A3376,VII.A!$A$10:$G$199,2,FALSE)</f>
        <v>CALHA PARA AGUA FURTADA DE CHAPA DE ACO GALVANIZADA NUM 26, CORTE 50 CM</v>
      </c>
      <c r="C3376" s="20">
        <v>1.05</v>
      </c>
      <c r="D3376" s="342" t="str">
        <f>VLOOKUP(A3376,VII.A!$A$10:$G$199,3,FALSE)</f>
        <v>M</v>
      </c>
      <c r="E3376" s="387">
        <f>VII.A!D30</f>
        <v>0</v>
      </c>
      <c r="F3376" s="388">
        <f t="shared" si="882"/>
        <v>0</v>
      </c>
      <c r="H3376" s="341">
        <f>IF(A3376="","",VLOOKUP(A3376,VII.A!$A$10:$D$199,4,FALSE))</f>
        <v>0</v>
      </c>
      <c r="I3376" s="341" t="str">
        <f t="shared" si="879"/>
        <v>SIM</v>
      </c>
      <c r="J3376" s="341" t="str">
        <f>IF(A3376="","",VLOOKUP(A3376,VII.A!$A$10:$D$199,3,FALSE))</f>
        <v>M</v>
      </c>
      <c r="K3376" s="342" t="str">
        <f t="shared" si="880"/>
        <v>SIM</v>
      </c>
      <c r="L3376" s="380">
        <f>IF(C3376="","",G3371*C3376)</f>
        <v>26.25</v>
      </c>
      <c r="M3376" s="381" t="str">
        <f>IF(A3376="","",VLOOKUP(A3376,VII.A!$A$10:$B$199,2,FALSE))</f>
        <v>CALHA PARA AGUA FURTADA DE CHAPA DE ACO GALVANIZADA NUM 26, CORTE 50 CM</v>
      </c>
      <c r="N3376" s="342" t="str">
        <f t="shared" si="881"/>
        <v>si</v>
      </c>
      <c r="R3376" s="341"/>
      <c r="S3376" s="341"/>
    </row>
    <row r="3377" spans="1:21" ht="12.75" customHeight="1">
      <c r="A3377" s="385" t="str">
        <f>VII.A!$A$99</f>
        <v>1.89</v>
      </c>
      <c r="B3377" s="386" t="str">
        <f>VLOOKUP(A3377,VII.A!$A$10:$G$199,2,FALSE)</f>
        <v>SELANTE ELASTICO MONOCOMPONENTE A BASE DE POLIURETANO PARA JUNTAS DIVERSAS</v>
      </c>
      <c r="C3377" s="20">
        <v>8.1000000000000003E-2</v>
      </c>
      <c r="D3377" s="342" t="str">
        <f>VLOOKUP(A3377,VII.A!$A$10:$G$199,3,FALSE)</f>
        <v>310 ML</v>
      </c>
      <c r="E3377" s="387">
        <f>VII.A!D99</f>
        <v>0</v>
      </c>
      <c r="F3377" s="388">
        <f t="shared" si="882"/>
        <v>0</v>
      </c>
      <c r="H3377" s="341">
        <f>IF(A3377="","",VLOOKUP(A3377,VII.A!$A$10:$D$199,4,FALSE))</f>
        <v>0</v>
      </c>
      <c r="I3377" s="341" t="str">
        <f t="shared" si="879"/>
        <v>SIM</v>
      </c>
      <c r="J3377" s="341" t="str">
        <f>IF(A3377="","",VLOOKUP(A3377,VII.A!$A$10:$D$199,3,FALSE))</f>
        <v>310 ML</v>
      </c>
      <c r="K3377" s="342" t="str">
        <f t="shared" si="880"/>
        <v>SIM</v>
      </c>
      <c r="L3377" s="380">
        <f>IF(C3377="","",G3371*C3377)</f>
        <v>2.0249999999999999</v>
      </c>
      <c r="M3377" s="381" t="str">
        <f>IF(A3377="","",VLOOKUP(A3377,VII.A!$A$10:$B$199,2,FALSE))</f>
        <v>SELANTE ELASTICO MONOCOMPONENTE A BASE DE POLIURETANO PARA JUNTAS DIVERSAS</v>
      </c>
      <c r="N3377" s="342" t="str">
        <f t="shared" si="881"/>
        <v>si</v>
      </c>
      <c r="R3377" s="341"/>
      <c r="S3377" s="341"/>
    </row>
    <row r="3378" spans="1:21" ht="12.75" customHeight="1">
      <c r="A3378" s="385"/>
      <c r="B3378" s="386"/>
      <c r="C3378" s="20"/>
      <c r="D3378" s="342"/>
      <c r="E3378" s="387"/>
      <c r="F3378" s="388">
        <f t="shared" si="882"/>
        <v>0</v>
      </c>
      <c r="H3378" s="341" t="str">
        <f>IF(A3378="","",VLOOKUP(A3378,VII.A!$A$10:$D$199,4,FALSE))</f>
        <v/>
      </c>
      <c r="I3378" s="341" t="str">
        <f t="shared" si="879"/>
        <v/>
      </c>
      <c r="J3378" s="341" t="str">
        <f>IF(A3378="","",VLOOKUP(A3378,VII.A!$A$10:$D$199,3,FALSE))</f>
        <v/>
      </c>
      <c r="K3378" s="342" t="str">
        <f t="shared" si="880"/>
        <v/>
      </c>
      <c r="L3378" s="380" t="str">
        <f>IF(C3378="","",G3371*C3378)</f>
        <v/>
      </c>
      <c r="M3378" s="381" t="str">
        <f>IF(A3378="","",VLOOKUP(A3378,VII.A!$A$10:$B$199,2,FALSE))</f>
        <v/>
      </c>
      <c r="N3378" s="342" t="str">
        <f t="shared" si="881"/>
        <v/>
      </c>
      <c r="R3378" s="341"/>
      <c r="S3378" s="341"/>
      <c r="U3378" s="389"/>
    </row>
    <row r="3379" spans="1:21" ht="12.75" customHeight="1">
      <c r="A3379" s="385"/>
      <c r="B3379" s="386"/>
      <c r="C3379" s="20"/>
      <c r="D3379" s="342"/>
      <c r="E3379" s="387"/>
      <c r="F3379" s="388">
        <f t="shared" si="882"/>
        <v>0</v>
      </c>
      <c r="H3379" s="341" t="str">
        <f>IF(A3379="","",VLOOKUP(A3379,VII.A!$A$10:$D$199,4,FALSE))</f>
        <v/>
      </c>
      <c r="I3379" s="341" t="str">
        <f t="shared" si="879"/>
        <v/>
      </c>
      <c r="J3379" s="341" t="str">
        <f>IF(A3379="","",VLOOKUP(A3379,VII.A!$A$10:$D$199,3,FALSE))</f>
        <v/>
      </c>
      <c r="K3379" s="342" t="str">
        <f t="shared" si="880"/>
        <v/>
      </c>
      <c r="L3379" s="380" t="str">
        <f>IF(C3379="","",G3371*C3379)</f>
        <v/>
      </c>
      <c r="M3379" s="381" t="str">
        <f>IF(A3379="","",VLOOKUP(A3379,VII.A!$A$10:$B$199,2,FALSE))</f>
        <v/>
      </c>
      <c r="N3379" s="342" t="str">
        <f t="shared" si="881"/>
        <v/>
      </c>
      <c r="R3379" s="341"/>
      <c r="S3379" s="341"/>
    </row>
    <row r="3380" spans="1:21" ht="12.75" customHeight="1">
      <c r="A3380" s="385"/>
      <c r="B3380" s="386"/>
      <c r="C3380" s="20"/>
      <c r="D3380" s="342"/>
      <c r="E3380" s="387"/>
      <c r="F3380" s="388">
        <f t="shared" si="882"/>
        <v>0</v>
      </c>
      <c r="G3380" s="390"/>
      <c r="H3380" s="341" t="str">
        <f>IF(A3380="","",VLOOKUP(A3380,VII.A!$A$10:$D$199,4,FALSE))</f>
        <v/>
      </c>
      <c r="I3380" s="341" t="str">
        <f t="shared" si="879"/>
        <v/>
      </c>
      <c r="J3380" s="341" t="str">
        <f>IF(A3380="","",VLOOKUP(A3380,VII.A!$A$10:$D$199,3,FALSE))</f>
        <v/>
      </c>
      <c r="K3380" s="342" t="str">
        <f t="shared" si="880"/>
        <v/>
      </c>
      <c r="L3380" s="380" t="str">
        <f>IF(C3380="","",G3371*C3380)</f>
        <v/>
      </c>
      <c r="M3380" s="381" t="str">
        <f>IF(A3380="","",VLOOKUP(A3380,VII.A!$A$10:$B$199,2,FALSE))</f>
        <v/>
      </c>
      <c r="N3380" s="342" t="str">
        <f t="shared" si="881"/>
        <v/>
      </c>
      <c r="R3380" s="341"/>
      <c r="S3380" s="341"/>
    </row>
    <row r="3381" spans="1:21" ht="12.75" customHeight="1">
      <c r="A3381" s="385"/>
      <c r="B3381" s="386"/>
      <c r="C3381" s="20"/>
      <c r="D3381" s="342"/>
      <c r="E3381" s="387"/>
      <c r="F3381" s="388">
        <f t="shared" si="882"/>
        <v>0</v>
      </c>
      <c r="G3381" s="390"/>
      <c r="H3381" s="341" t="str">
        <f>IF(A3381="","",VLOOKUP(A3381,VII.A!$A$10:$D$199,4,FALSE))</f>
        <v/>
      </c>
      <c r="I3381" s="341" t="str">
        <f t="shared" si="879"/>
        <v/>
      </c>
      <c r="J3381" s="341" t="str">
        <f>IF(A3381="","",VLOOKUP(A3381,VII.A!$A$10:$D$199,3,FALSE))</f>
        <v/>
      </c>
      <c r="K3381" s="342" t="str">
        <f t="shared" si="880"/>
        <v/>
      </c>
      <c r="L3381" s="380" t="str">
        <f>IF(C3381="","",G3371*C3381)</f>
        <v/>
      </c>
      <c r="M3381" s="381" t="str">
        <f>IF(A3381="","",VLOOKUP(A3381,VII.A!$A$10:$B$199,2,FALSE))</f>
        <v/>
      </c>
      <c r="N3381" s="342" t="str">
        <f t="shared" si="881"/>
        <v/>
      </c>
      <c r="R3381" s="341"/>
      <c r="S3381" s="341"/>
    </row>
    <row r="3382" spans="1:21" ht="12.75" customHeight="1">
      <c r="A3382" s="385"/>
      <c r="B3382" s="386"/>
      <c r="C3382" s="20"/>
      <c r="D3382" s="342"/>
      <c r="E3382" s="387"/>
      <c r="F3382" s="388">
        <f t="shared" si="882"/>
        <v>0</v>
      </c>
      <c r="G3382" s="391"/>
      <c r="H3382" s="341" t="str">
        <f>IF(A3382="","",VLOOKUP(A3382,VII.A!$A$10:$D$199,4,FALSE))</f>
        <v/>
      </c>
      <c r="I3382" s="341" t="str">
        <f t="shared" si="879"/>
        <v/>
      </c>
      <c r="J3382" s="341" t="str">
        <f>IF(A3382="","",VLOOKUP(A3382,VII.A!$A$10:$D$199,3,FALSE))</f>
        <v/>
      </c>
      <c r="K3382" s="342" t="str">
        <f t="shared" si="880"/>
        <v/>
      </c>
      <c r="L3382" s="380" t="str">
        <f>IF(C3382="","",G3371*C3382)</f>
        <v/>
      </c>
      <c r="M3382" s="381" t="str">
        <f>IF(A3382="","",VLOOKUP(A3382,VII.A!$A$10:$B$199,2,FALSE))</f>
        <v/>
      </c>
      <c r="N3382" s="342" t="str">
        <f t="shared" si="881"/>
        <v/>
      </c>
      <c r="R3382" s="341"/>
      <c r="S3382" s="341"/>
    </row>
    <row r="3383" spans="1:21" ht="12.75" customHeight="1">
      <c r="A3383" s="385"/>
      <c r="B3383" s="386"/>
      <c r="C3383" s="20"/>
      <c r="D3383" s="342"/>
      <c r="E3383" s="387"/>
      <c r="F3383" s="388">
        <f t="shared" si="882"/>
        <v>0</v>
      </c>
      <c r="H3383" s="341" t="str">
        <f>IF(A3383="","",VLOOKUP(A3383,VII.A!$A$10:$D$199,4,FALSE))</f>
        <v/>
      </c>
      <c r="I3383" s="341" t="str">
        <f t="shared" si="879"/>
        <v/>
      </c>
      <c r="J3383" s="341" t="str">
        <f>IF(A3383="","",VLOOKUP(A3383,VII.A!$A$10:$D$199,3,FALSE))</f>
        <v/>
      </c>
      <c r="K3383" s="342" t="str">
        <f t="shared" si="880"/>
        <v/>
      </c>
      <c r="L3383" s="380" t="str">
        <f>IF(C3383="","",G3371*C3383)</f>
        <v/>
      </c>
      <c r="M3383" s="381" t="str">
        <f>IF(A3383="","",VLOOKUP(A3383,VII.A!$A$10:$B$199,2,FALSE))</f>
        <v/>
      </c>
      <c r="N3383" s="342" t="str">
        <f t="shared" si="881"/>
        <v/>
      </c>
      <c r="R3383" s="341"/>
      <c r="S3383" s="341"/>
    </row>
    <row r="3384" spans="1:21" ht="12.75" customHeight="1">
      <c r="A3384" s="385"/>
      <c r="B3384" s="386"/>
      <c r="C3384" s="20"/>
      <c r="D3384" s="392"/>
      <c r="E3384" s="387"/>
      <c r="F3384" s="388">
        <f t="shared" si="882"/>
        <v>0</v>
      </c>
      <c r="H3384" s="341" t="str">
        <f>IF(A3384="","",VLOOKUP(A3384,VII.A!$A$10:$D$199,4,FALSE))</f>
        <v/>
      </c>
      <c r="I3384" s="341" t="str">
        <f t="shared" si="879"/>
        <v/>
      </c>
      <c r="J3384" s="341" t="str">
        <f>IF(A3384="","",VLOOKUP(A3384,VII.A!$A$10:$D$199,3,FALSE))</f>
        <v/>
      </c>
      <c r="K3384" s="342" t="str">
        <f t="shared" si="880"/>
        <v/>
      </c>
      <c r="L3384" s="380" t="str">
        <f>IF(C3384="","",G3371*C3384)</f>
        <v/>
      </c>
      <c r="M3384" s="381" t="str">
        <f>IF(A3384="","",VLOOKUP(A3384,VII.A!$A$10:$B$199,2,FALSE))</f>
        <v/>
      </c>
      <c r="N3384" s="342" t="str">
        <f t="shared" si="881"/>
        <v/>
      </c>
      <c r="R3384" s="341"/>
      <c r="S3384" s="341"/>
    </row>
    <row r="3385" spans="1:21" ht="12.75" customHeight="1">
      <c r="A3385" s="385"/>
      <c r="B3385" s="386"/>
      <c r="C3385" s="20"/>
      <c r="D3385" s="392"/>
      <c r="E3385" s="387"/>
      <c r="F3385" s="388">
        <f t="shared" si="882"/>
        <v>0</v>
      </c>
      <c r="H3385" s="341" t="str">
        <f>IF(A3385="","",VLOOKUP(A3385,VII.A!$A$10:$D$199,4,FALSE))</f>
        <v/>
      </c>
      <c r="I3385" s="341" t="str">
        <f t="shared" si="879"/>
        <v/>
      </c>
      <c r="J3385" s="341" t="str">
        <f>IF(A3385="","",VLOOKUP(A3385,VII.A!$A$10:$D$199,3,FALSE))</f>
        <v/>
      </c>
      <c r="K3385" s="342" t="str">
        <f t="shared" si="880"/>
        <v/>
      </c>
      <c r="L3385" s="380" t="str">
        <f>IF(C3385="","",G3371*C3385)</f>
        <v/>
      </c>
      <c r="M3385" s="381" t="str">
        <f>IF(A3385="","",VLOOKUP(A3385,VII.A!$A$10:$B$199,2,FALSE))</f>
        <v/>
      </c>
      <c r="N3385" s="342" t="str">
        <f t="shared" si="881"/>
        <v/>
      </c>
      <c r="O3385" s="342"/>
      <c r="R3385" s="341"/>
      <c r="S3385" s="341"/>
    </row>
    <row r="3386" spans="1:21" ht="12.75" customHeight="1">
      <c r="A3386" s="385"/>
      <c r="B3386" s="386"/>
      <c r="C3386" s="20"/>
      <c r="D3386" s="392"/>
      <c r="E3386" s="387"/>
      <c r="F3386" s="388">
        <f t="shared" si="882"/>
        <v>0</v>
      </c>
      <c r="H3386" s="341" t="str">
        <f>IF(A3386="","",VLOOKUP(A3386,VII.A!$A$10:$D$199,4,FALSE))</f>
        <v/>
      </c>
      <c r="I3386" s="341" t="str">
        <f t="shared" si="879"/>
        <v/>
      </c>
      <c r="J3386" s="341" t="str">
        <f>IF(A3386="","",VLOOKUP(A3386,VII.A!$A$10:$D$199,3,FALSE))</f>
        <v/>
      </c>
      <c r="K3386" s="342" t="str">
        <f t="shared" si="880"/>
        <v/>
      </c>
      <c r="L3386" s="380" t="str">
        <f>IF(C3386="","",G3371*C3386)</f>
        <v/>
      </c>
      <c r="M3386" s="381" t="str">
        <f>IF(A3386="","",VLOOKUP(A3386,VII.A!$A$10:$B$199,2,FALSE))</f>
        <v/>
      </c>
      <c r="N3386" s="342" t="str">
        <f t="shared" si="881"/>
        <v/>
      </c>
      <c r="R3386" s="341"/>
      <c r="S3386" s="341"/>
    </row>
    <row r="3387" spans="1:21" ht="12.75" customHeight="1">
      <c r="A3387" s="393"/>
      <c r="C3387" s="20"/>
      <c r="E3387" s="387"/>
      <c r="F3387" s="388">
        <f t="shared" si="882"/>
        <v>0</v>
      </c>
      <c r="H3387" s="341" t="str">
        <f>IF(A3387="","",VLOOKUP(A3387,VII.A!$A$10:$D$199,4,FALSE))</f>
        <v/>
      </c>
      <c r="I3387" s="341" t="str">
        <f t="shared" si="879"/>
        <v/>
      </c>
      <c r="J3387" s="341" t="str">
        <f>IF(A3387="","",VLOOKUP(A3387,VII.A!$A$10:$D$199,3,FALSE))</f>
        <v/>
      </c>
      <c r="K3387" s="342" t="str">
        <f t="shared" si="880"/>
        <v/>
      </c>
      <c r="L3387" s="380" t="str">
        <f>IF(C3387="","",G3371*C3387)</f>
        <v/>
      </c>
      <c r="M3387" s="381" t="str">
        <f>IF(A3387="","",VLOOKUP(A3387,VII.A!$A$10:$B$199,2,FALSE))</f>
        <v/>
      </c>
      <c r="N3387" s="342" t="str">
        <f t="shared" si="881"/>
        <v/>
      </c>
      <c r="R3387" s="341"/>
      <c r="S3387" s="341"/>
    </row>
    <row r="3388" spans="1:21" ht="12.75" customHeight="1">
      <c r="A3388" s="393"/>
      <c r="C3388" s="20"/>
      <c r="E3388" s="387"/>
      <c r="F3388" s="388">
        <f t="shared" si="882"/>
        <v>0</v>
      </c>
      <c r="H3388" s="341" t="str">
        <f>IF(A3388="","",VLOOKUP(A3388,VII.A!$A$10:$D$199,4,FALSE))</f>
        <v/>
      </c>
      <c r="I3388" s="341" t="str">
        <f t="shared" si="879"/>
        <v/>
      </c>
      <c r="J3388" s="341" t="str">
        <f>IF(A3388="","",VLOOKUP(A3388,VII.A!$A$10:$D$199,3,FALSE))</f>
        <v/>
      </c>
      <c r="K3388" s="342" t="str">
        <f t="shared" si="880"/>
        <v/>
      </c>
      <c r="L3388" s="380" t="str">
        <f>IF(C3388="","",G3371*C3388)</f>
        <v/>
      </c>
      <c r="M3388" s="381" t="str">
        <f>IF(A3388="","",VLOOKUP(A3388,VII.A!$A$10:$B$199,2,FALSE))</f>
        <v/>
      </c>
      <c r="N3388" s="342" t="str">
        <f t="shared" si="881"/>
        <v/>
      </c>
      <c r="R3388" s="341"/>
      <c r="S3388" s="341"/>
    </row>
    <row r="3389" spans="1:21" ht="12.75" customHeight="1">
      <c r="A3389" s="393"/>
      <c r="B3389" s="395" t="s">
        <v>226</v>
      </c>
      <c r="C3389" s="396"/>
      <c r="D3389" s="397"/>
      <c r="E3389" s="398"/>
      <c r="F3389" s="399">
        <f>SUM(F3373:F3388)</f>
        <v>0</v>
      </c>
      <c r="H3389" s="426" t="s">
        <v>434</v>
      </c>
      <c r="J3389" s="341"/>
      <c r="L3389" s="380"/>
      <c r="M3389" s="381"/>
      <c r="N3389" s="342"/>
      <c r="R3389" s="341"/>
      <c r="S3389" s="341"/>
    </row>
    <row r="3390" spans="1:21" ht="12.75" customHeight="1">
      <c r="A3390" s="393"/>
      <c r="B3390" s="400" t="s">
        <v>53</v>
      </c>
      <c r="C3390" s="2">
        <f>$D$8</f>
        <v>0</v>
      </c>
      <c r="D3390" s="401"/>
      <c r="E3390" s="402"/>
      <c r="F3390" s="403">
        <f>ROUND(F3389*C3390,2)</f>
        <v>0</v>
      </c>
      <c r="H3390" s="426" t="s">
        <v>556</v>
      </c>
      <c r="J3390" s="341"/>
      <c r="L3390" s="380"/>
      <c r="M3390" s="381"/>
      <c r="N3390" s="342"/>
      <c r="R3390" s="341"/>
      <c r="S3390" s="341"/>
    </row>
    <row r="3391" spans="1:21" ht="12.75" customHeight="1">
      <c r="A3391" s="404"/>
      <c r="B3391" s="405" t="s">
        <v>227</v>
      </c>
      <c r="C3391" s="406"/>
      <c r="D3391" s="406"/>
      <c r="E3391" s="407"/>
      <c r="F3391" s="408">
        <f>F3389+F3390</f>
        <v>0</v>
      </c>
      <c r="J3391" s="341"/>
      <c r="L3391" s="380"/>
      <c r="M3391" s="381"/>
      <c r="N3391" s="342"/>
      <c r="R3391" s="341"/>
      <c r="S3391" s="341"/>
    </row>
    <row r="3392" spans="1:21" ht="12.75" customHeight="1">
      <c r="A3392" s="374" t="s">
        <v>2</v>
      </c>
      <c r="B3392" s="375" t="s">
        <v>235</v>
      </c>
      <c r="C3392" s="376" t="s">
        <v>231</v>
      </c>
      <c r="D3392" s="376" t="s">
        <v>232</v>
      </c>
      <c r="E3392" s="377" t="s">
        <v>233</v>
      </c>
      <c r="F3392" s="378" t="s">
        <v>234</v>
      </c>
      <c r="J3392" s="341"/>
      <c r="L3392" s="380"/>
      <c r="M3392" s="381"/>
      <c r="N3392" s="342"/>
      <c r="R3392" s="341"/>
      <c r="S3392" s="341"/>
    </row>
    <row r="3393" spans="1:19" ht="12.75" customHeight="1">
      <c r="A3393" s="393" t="str">
        <f>VII.A!$A$157</f>
        <v>2.15</v>
      </c>
      <c r="B3393" s="423" t="str">
        <f>VLOOKUP(A3393,VII.A!$A$10:$G$199,2,FALSE)</f>
        <v>GUINCHO ELÉTRICO DE COLUNA, CAPACIDADE 400 KG, COM MOTO FREIO, MOTOR TRIFÁSICO DE 1,25 CV - CHP</v>
      </c>
      <c r="C3393" s="20">
        <v>1.32E-2</v>
      </c>
      <c r="D3393" s="384" t="str">
        <f>VLOOKUP(A3393,VII.A!$A$10:$G$199,3,FALSE)</f>
        <v>CHP</v>
      </c>
      <c r="E3393" s="387">
        <f>VII.A!$D$157</f>
        <v>0</v>
      </c>
      <c r="F3393" s="388">
        <f t="shared" ref="F3393:F3402" si="883">ROUND(C3393*E3393,2)</f>
        <v>0</v>
      </c>
      <c r="H3393" s="341">
        <f>IF(A3393="","",VLOOKUP(A3393,VII.A!$A$10:$D$199,4,FALSE))</f>
        <v>0</v>
      </c>
      <c r="I3393" s="341" t="str">
        <f t="shared" ref="I3393:I3402" si="884">IF(A3393="","",IF(E3393=H3393,"SIM","NÃO"))</f>
        <v>SIM</v>
      </c>
      <c r="J3393" s="341" t="str">
        <f>IF(A3393="","",VLOOKUP(A3393,VII.A!$A$10:$D$199,3,FALSE))</f>
        <v>CHP</v>
      </c>
      <c r="K3393" s="342" t="str">
        <f t="shared" ref="K3393:K3402" si="885">IF(A3393="","",IF(J3393=D3393,"SIM","NÃO"))</f>
        <v>SIM</v>
      </c>
      <c r="L3393" s="380">
        <f>IF(C3393="","",G3371*C3393)</f>
        <v>0.33</v>
      </c>
      <c r="M3393" s="381" t="str">
        <f>IF(A3393="","",VLOOKUP(A3393,VII.A!$A$10:$B$199,2,FALSE))</f>
        <v>GUINCHO ELÉTRICO DE COLUNA, CAPACIDADE 400 KG, COM MOTO FREIO, MOTOR TRIFÁSICO DE 1,25 CV - CHP</v>
      </c>
      <c r="N3393" s="342" t="str">
        <f t="shared" ref="N3393:N3402" si="886">IF(B3393="","",IF(M3393=B3393,"si","no"))</f>
        <v>si</v>
      </c>
      <c r="R3393" s="341"/>
      <c r="S3393" s="341"/>
    </row>
    <row r="3394" spans="1:19" ht="12.75" customHeight="1">
      <c r="A3394" s="393" t="str">
        <f>VII.A!$A$158</f>
        <v>2.16</v>
      </c>
      <c r="B3394" s="394" t="str">
        <f>VLOOKUP(A3394,VII.A!$A$10:$G$199,2,FALSE)</f>
        <v>GUINCHO ELÉTRICO DE COLUNA, CAPACIDADE 400 KG, COM MOTO FREIO, MOTOR TRIFÁSICO DE 1,25 CV - CHI</v>
      </c>
      <c r="C3394" s="20">
        <v>1.83E-2</v>
      </c>
      <c r="D3394" s="384" t="str">
        <f>VLOOKUP(A3394,VII.A!$A$10:$G$199,3,FALSE)</f>
        <v>CHI</v>
      </c>
      <c r="E3394" s="387">
        <f>VII.A!$D$158</f>
        <v>0</v>
      </c>
      <c r="F3394" s="388">
        <f t="shared" si="883"/>
        <v>0</v>
      </c>
      <c r="H3394" s="341">
        <f>IF(A3394="","",VLOOKUP(A3394,VII.A!$A$10:$D$199,4,FALSE))</f>
        <v>0</v>
      </c>
      <c r="I3394" s="341" t="str">
        <f t="shared" si="884"/>
        <v>SIM</v>
      </c>
      <c r="J3394" s="341" t="str">
        <f>IF(A3394="","",VLOOKUP(A3394,VII.A!$A$10:$D$199,3,FALSE))</f>
        <v>CHI</v>
      </c>
      <c r="K3394" s="342" t="str">
        <f t="shared" si="885"/>
        <v>SIM</v>
      </c>
      <c r="L3394" s="380">
        <f>IF(C3394="","",G3371*C3394)</f>
        <v>0.45750000000000002</v>
      </c>
      <c r="M3394" s="381" t="str">
        <f>IF(A3394="","",VLOOKUP(A3394,VII.A!$A$10:$B$199,2,FALSE))</f>
        <v>GUINCHO ELÉTRICO DE COLUNA, CAPACIDADE 400 KG, COM MOTO FREIO, MOTOR TRIFÁSICO DE 1,25 CV - CHI</v>
      </c>
      <c r="N3394" s="342" t="str">
        <f t="shared" si="886"/>
        <v>si</v>
      </c>
      <c r="R3394" s="341"/>
      <c r="S3394" s="341"/>
    </row>
    <row r="3395" spans="1:19" ht="12.75" customHeight="1">
      <c r="A3395" s="393"/>
      <c r="C3395" s="20"/>
      <c r="E3395" s="387"/>
      <c r="F3395" s="388">
        <f t="shared" si="883"/>
        <v>0</v>
      </c>
      <c r="H3395" s="341" t="str">
        <f>IF(A3395="","",VLOOKUP(A3395,VII.A!$A$10:$D$199,4,FALSE))</f>
        <v/>
      </c>
      <c r="I3395" s="341" t="str">
        <f t="shared" si="884"/>
        <v/>
      </c>
      <c r="J3395" s="341" t="str">
        <f>IF(A3395="","",VLOOKUP(A3395,VII.A!$A$10:$D$199,3,FALSE))</f>
        <v/>
      </c>
      <c r="K3395" s="342" t="str">
        <f t="shared" si="885"/>
        <v/>
      </c>
      <c r="L3395" s="380" t="str">
        <f>IF(C3395="","",G3371*C3395)</f>
        <v/>
      </c>
      <c r="M3395" s="381" t="str">
        <f>IF(A3395="","",VLOOKUP(A3395,VII.A!$A$10:$B$199,2,FALSE))</f>
        <v/>
      </c>
      <c r="N3395" s="342" t="str">
        <f t="shared" si="886"/>
        <v/>
      </c>
      <c r="R3395" s="341"/>
      <c r="S3395" s="341"/>
    </row>
    <row r="3396" spans="1:19" ht="12.75" customHeight="1">
      <c r="A3396" s="393"/>
      <c r="C3396" s="20"/>
      <c r="E3396" s="387"/>
      <c r="F3396" s="388">
        <f t="shared" si="883"/>
        <v>0</v>
      </c>
      <c r="H3396" s="341" t="str">
        <f>IF(A3396="","",VLOOKUP(A3396,VII.A!$A$10:$D$199,4,FALSE))</f>
        <v/>
      </c>
      <c r="I3396" s="341" t="str">
        <f t="shared" si="884"/>
        <v/>
      </c>
      <c r="J3396" s="341" t="str">
        <f>IF(A3396="","",VLOOKUP(A3396,VII.A!$A$10:$D$199,3,FALSE))</f>
        <v/>
      </c>
      <c r="K3396" s="342" t="str">
        <f t="shared" si="885"/>
        <v/>
      </c>
      <c r="L3396" s="380" t="str">
        <f>IF(C3396="","",G3371*C3396)</f>
        <v/>
      </c>
      <c r="M3396" s="381" t="str">
        <f>IF(A3396="","",VLOOKUP(A3396,VII.A!$A$10:$B$199,2,FALSE))</f>
        <v/>
      </c>
      <c r="N3396" s="342" t="str">
        <f t="shared" si="886"/>
        <v/>
      </c>
      <c r="R3396" s="341"/>
      <c r="S3396" s="341"/>
    </row>
    <row r="3397" spans="1:19" ht="12.75" customHeight="1">
      <c r="A3397" s="393"/>
      <c r="C3397" s="20"/>
      <c r="E3397" s="387"/>
      <c r="F3397" s="388">
        <f t="shared" si="883"/>
        <v>0</v>
      </c>
      <c r="G3397" s="390"/>
      <c r="H3397" s="341" t="str">
        <f>IF(A3397="","",VLOOKUP(A3397,VII.A!$A$10:$D$199,4,FALSE))</f>
        <v/>
      </c>
      <c r="I3397" s="341" t="str">
        <f t="shared" si="884"/>
        <v/>
      </c>
      <c r="J3397" s="341" t="str">
        <f>IF(A3397="","",VLOOKUP(A3397,VII.A!$A$10:$D$199,3,FALSE))</f>
        <v/>
      </c>
      <c r="K3397" s="342" t="str">
        <f t="shared" si="885"/>
        <v/>
      </c>
      <c r="L3397" s="380" t="str">
        <f>IF(C3397="","",G3371*C3397)</f>
        <v/>
      </c>
      <c r="M3397" s="381" t="str">
        <f>IF(A3397="","",VLOOKUP(A3397,VII.A!$A$10:$B$199,2,FALSE))</f>
        <v/>
      </c>
      <c r="N3397" s="342" t="str">
        <f t="shared" si="886"/>
        <v/>
      </c>
      <c r="R3397" s="341"/>
      <c r="S3397" s="341"/>
    </row>
    <row r="3398" spans="1:19" ht="12.75" customHeight="1">
      <c r="A3398" s="393"/>
      <c r="C3398" s="20"/>
      <c r="E3398" s="387"/>
      <c r="F3398" s="388">
        <f t="shared" si="883"/>
        <v>0</v>
      </c>
      <c r="G3398" s="391"/>
      <c r="H3398" s="341" t="str">
        <f>IF(A3398="","",VLOOKUP(A3398,VII.A!$A$10:$D$199,4,FALSE))</f>
        <v/>
      </c>
      <c r="I3398" s="341" t="str">
        <f t="shared" si="884"/>
        <v/>
      </c>
      <c r="J3398" s="341" t="str">
        <f>IF(A3398="","",VLOOKUP(A3398,VII.A!$A$10:$D$199,3,FALSE))</f>
        <v/>
      </c>
      <c r="K3398" s="342" t="str">
        <f t="shared" si="885"/>
        <v/>
      </c>
      <c r="L3398" s="380" t="str">
        <f>IF(C3398="","",G3371*C3398)</f>
        <v/>
      </c>
      <c r="M3398" s="381" t="str">
        <f>IF(A3398="","",VLOOKUP(A3398,VII.A!$A$10:$B$199,2,FALSE))</f>
        <v/>
      </c>
      <c r="N3398" s="342" t="str">
        <f t="shared" si="886"/>
        <v/>
      </c>
      <c r="R3398" s="341"/>
      <c r="S3398" s="341"/>
    </row>
    <row r="3399" spans="1:19" ht="12.75" customHeight="1">
      <c r="A3399" s="393"/>
      <c r="C3399" s="20"/>
      <c r="E3399" s="387"/>
      <c r="F3399" s="388">
        <f t="shared" si="883"/>
        <v>0</v>
      </c>
      <c r="H3399" s="341" t="str">
        <f>IF(A3399="","",VLOOKUP(A3399,VII.A!$A$10:$D$199,4,FALSE))</f>
        <v/>
      </c>
      <c r="I3399" s="341" t="str">
        <f t="shared" si="884"/>
        <v/>
      </c>
      <c r="J3399" s="341" t="str">
        <f>IF(A3399="","",VLOOKUP(A3399,VII.A!$A$10:$D$199,3,FALSE))</f>
        <v/>
      </c>
      <c r="K3399" s="342" t="str">
        <f t="shared" si="885"/>
        <v/>
      </c>
      <c r="L3399" s="380" t="str">
        <f>IF(C3399="","",G3371*C3399)</f>
        <v/>
      </c>
      <c r="M3399" s="381" t="str">
        <f>IF(A3399="","",VLOOKUP(A3399,VII.A!$A$10:$B$199,2,FALSE))</f>
        <v/>
      </c>
      <c r="N3399" s="342" t="str">
        <f t="shared" si="886"/>
        <v/>
      </c>
      <c r="R3399" s="341"/>
      <c r="S3399" s="341"/>
    </row>
    <row r="3400" spans="1:19" ht="12.75" customHeight="1">
      <c r="A3400" s="393"/>
      <c r="C3400" s="20"/>
      <c r="E3400" s="387"/>
      <c r="F3400" s="388">
        <f t="shared" si="883"/>
        <v>0</v>
      </c>
      <c r="H3400" s="341" t="str">
        <f>IF(A3400="","",VLOOKUP(A3400,VII.A!$A$10:$D$199,4,FALSE))</f>
        <v/>
      </c>
      <c r="I3400" s="341" t="str">
        <f t="shared" si="884"/>
        <v/>
      </c>
      <c r="J3400" s="341" t="str">
        <f>IF(A3400="","",VLOOKUP(A3400,VII.A!$A$10:$D$199,3,FALSE))</f>
        <v/>
      </c>
      <c r="K3400" s="342" t="str">
        <f t="shared" si="885"/>
        <v/>
      </c>
      <c r="L3400" s="380" t="str">
        <f>IF(C3400="","",G3371*C3400)</f>
        <v/>
      </c>
      <c r="M3400" s="381" t="str">
        <f>IF(A3400="","",VLOOKUP(A3400,VII.A!$A$10:$B$199,2,FALSE))</f>
        <v/>
      </c>
      <c r="N3400" s="342" t="str">
        <f t="shared" si="886"/>
        <v/>
      </c>
      <c r="R3400" s="341"/>
      <c r="S3400" s="341"/>
    </row>
    <row r="3401" spans="1:19" ht="12.75" customHeight="1">
      <c r="A3401" s="393"/>
      <c r="C3401" s="20"/>
      <c r="E3401" s="387"/>
      <c r="F3401" s="388">
        <f t="shared" si="883"/>
        <v>0</v>
      </c>
      <c r="H3401" s="341" t="str">
        <f>IF(A3401="","",VLOOKUP(A3401,VII.A!$A$10:$D$199,4,FALSE))</f>
        <v/>
      </c>
      <c r="I3401" s="341" t="str">
        <f t="shared" si="884"/>
        <v/>
      </c>
      <c r="J3401" s="341" t="str">
        <f>IF(A3401="","",VLOOKUP(A3401,VII.A!$A$10:$D$199,3,FALSE))</f>
        <v/>
      </c>
      <c r="K3401" s="342" t="str">
        <f t="shared" si="885"/>
        <v/>
      </c>
      <c r="L3401" s="380" t="str">
        <f>IF(C3401="","",G3371*C3401)</f>
        <v/>
      </c>
      <c r="M3401" s="381" t="str">
        <f>IF(A3401="","",VLOOKUP(A3401,VII.A!$A$10:$B$199,2,FALSE))</f>
        <v/>
      </c>
      <c r="N3401" s="342" t="str">
        <f t="shared" si="886"/>
        <v/>
      </c>
      <c r="R3401" s="341"/>
      <c r="S3401" s="341"/>
    </row>
    <row r="3402" spans="1:19" ht="12.75" customHeight="1">
      <c r="A3402" s="393"/>
      <c r="C3402" s="20"/>
      <c r="E3402" s="387"/>
      <c r="F3402" s="388">
        <f t="shared" si="883"/>
        <v>0</v>
      </c>
      <c r="H3402" s="341" t="str">
        <f>IF(A3402="","",VLOOKUP(A3402,VII.A!$A$10:$D$199,4,FALSE))</f>
        <v/>
      </c>
      <c r="I3402" s="341" t="str">
        <f t="shared" si="884"/>
        <v/>
      </c>
      <c r="J3402" s="341" t="str">
        <f>IF(A3402="","",VLOOKUP(A3402,VII.A!$A$10:$D$199,3,FALSE))</f>
        <v/>
      </c>
      <c r="K3402" s="342" t="str">
        <f t="shared" si="885"/>
        <v/>
      </c>
      <c r="L3402" s="380" t="str">
        <f>IF(C3402="","",G3371*C3402)</f>
        <v/>
      </c>
      <c r="M3402" s="381" t="str">
        <f>IF(A3402="","",VLOOKUP(A3402,VII.A!$A$10:$B$199,2,FALSE))</f>
        <v/>
      </c>
      <c r="N3402" s="342" t="str">
        <f t="shared" si="886"/>
        <v/>
      </c>
      <c r="R3402" s="341"/>
      <c r="S3402" s="341"/>
    </row>
    <row r="3403" spans="1:19" ht="12.75" customHeight="1">
      <c r="A3403" s="393"/>
      <c r="B3403" s="395" t="s">
        <v>226</v>
      </c>
      <c r="C3403" s="396"/>
      <c r="D3403" s="397"/>
      <c r="E3403" s="398"/>
      <c r="F3403" s="399">
        <f>SUM(F3393:F3402)</f>
        <v>0</v>
      </c>
      <c r="J3403" s="341"/>
      <c r="L3403" s="380"/>
      <c r="M3403" s="381"/>
      <c r="N3403" s="342"/>
      <c r="R3403" s="341"/>
      <c r="S3403" s="341"/>
    </row>
    <row r="3404" spans="1:19" ht="12.75" customHeight="1">
      <c r="A3404" s="393"/>
      <c r="B3404" s="400" t="s">
        <v>53</v>
      </c>
      <c r="C3404" s="2">
        <f>$D$8</f>
        <v>0</v>
      </c>
      <c r="D3404" s="401"/>
      <c r="E3404" s="402"/>
      <c r="F3404" s="403">
        <f>ROUND(C3404*F3403,2)</f>
        <v>0</v>
      </c>
      <c r="J3404" s="341"/>
      <c r="L3404" s="380"/>
      <c r="M3404" s="381"/>
      <c r="N3404" s="342"/>
      <c r="R3404" s="341"/>
      <c r="S3404" s="341"/>
    </row>
    <row r="3405" spans="1:19" ht="12.75" customHeight="1">
      <c r="A3405" s="404"/>
      <c r="B3405" s="405" t="s">
        <v>228</v>
      </c>
      <c r="C3405" s="406"/>
      <c r="D3405" s="406"/>
      <c r="E3405" s="407"/>
      <c r="F3405" s="408">
        <f>F3403+F3404</f>
        <v>0</v>
      </c>
      <c r="J3405" s="341"/>
      <c r="L3405" s="380"/>
      <c r="M3405" s="381"/>
      <c r="N3405" s="342"/>
      <c r="R3405" s="341"/>
      <c r="S3405" s="341"/>
    </row>
    <row r="3406" spans="1:19" ht="12.75" customHeight="1">
      <c r="A3406" s="409" t="s">
        <v>47</v>
      </c>
      <c r="B3406" s="410" t="s">
        <v>236</v>
      </c>
      <c r="C3406" s="411" t="s">
        <v>231</v>
      </c>
      <c r="D3406" s="412" t="s">
        <v>232</v>
      </c>
      <c r="E3406" s="413" t="s">
        <v>233</v>
      </c>
      <c r="F3406" s="378" t="s">
        <v>234</v>
      </c>
      <c r="J3406" s="341"/>
      <c r="L3406" s="380"/>
      <c r="M3406" s="381"/>
      <c r="N3406" s="342"/>
      <c r="R3406" s="341"/>
      <c r="S3406" s="341"/>
    </row>
    <row r="3407" spans="1:19" ht="12.75" customHeight="1">
      <c r="A3407" s="393" t="str">
        <f>VII.A!$A$196</f>
        <v>3.16</v>
      </c>
      <c r="B3407" s="394" t="s">
        <v>157</v>
      </c>
      <c r="C3407" s="20">
        <f>0.371</f>
        <v>0.371</v>
      </c>
      <c r="D3407" s="384" t="str">
        <f>VLOOKUP(A3407,VII.A!$A$10:$G$199,3,FALSE)</f>
        <v>H</v>
      </c>
      <c r="E3407" s="387">
        <f>VII.A!D196</f>
        <v>0</v>
      </c>
      <c r="F3407" s="388">
        <f t="shared" ref="F3407:F3413" si="887">ROUND(C3407*E3407,2)</f>
        <v>0</v>
      </c>
      <c r="H3407" s="341">
        <f>IF(A3407="","",VLOOKUP(A3407,VII.A!$A$10:$D$199,4,FALSE))</f>
        <v>0</v>
      </c>
      <c r="I3407" s="341" t="str">
        <f t="shared" ref="I3407:I3413" si="888">IF(A3407="","",IF(E3407=H3407,"SIM","NÃO"))</f>
        <v>SIM</v>
      </c>
      <c r="J3407" s="341" t="str">
        <f>IF(A3407="","",VLOOKUP(A3407,VII.A!$A$10:$D$199,3,FALSE))</f>
        <v>H</v>
      </c>
      <c r="K3407" s="342" t="str">
        <f t="shared" ref="K3407:K3413" si="889">IF(A3407="","",IF(J3407=D3407,"SIM","NÃO"))</f>
        <v>SIM</v>
      </c>
      <c r="L3407" s="380">
        <f>IF(C3407="","",G3371*C3407)</f>
        <v>9.2750000000000004</v>
      </c>
      <c r="M3407" s="381" t="str">
        <f>IF(A3407="","",VLOOKUP(A3407,VII.A!$A$10:$B$199,2,FALSE))</f>
        <v>SERVENTE COM ENCARGOS COMPLEMENTARES</v>
      </c>
      <c r="N3407" s="342" t="str">
        <f t="shared" ref="N3407:N3413" si="890">IF(B3407="","",IF(M3407=B3407,"si","no"))</f>
        <v>si</v>
      </c>
      <c r="R3407" s="341"/>
      <c r="S3407" s="341"/>
    </row>
    <row r="3408" spans="1:19" ht="12.75" customHeight="1">
      <c r="A3408" s="393" t="str">
        <f>VII.A!$A$199</f>
        <v>3.19</v>
      </c>
      <c r="B3408" s="394" t="s">
        <v>160</v>
      </c>
      <c r="C3408" s="20">
        <v>0.27700000000000002</v>
      </c>
      <c r="D3408" s="384" t="str">
        <f>VLOOKUP(A3408,VII.A!$A$10:$G$199,3,FALSE)</f>
        <v>H</v>
      </c>
      <c r="E3408" s="387">
        <f>VII.A!D199</f>
        <v>0</v>
      </c>
      <c r="F3408" s="388">
        <f t="shared" si="887"/>
        <v>0</v>
      </c>
      <c r="H3408" s="341">
        <f>IF(A3408="","",VLOOKUP(A3408,VII.A!$A$10:$D$199,4,FALSE))</f>
        <v>0</v>
      </c>
      <c r="I3408" s="341" t="str">
        <f t="shared" si="888"/>
        <v>SIM</v>
      </c>
      <c r="J3408" s="341" t="str">
        <f>IF(A3408="","",VLOOKUP(A3408,VII.A!$A$10:$D$199,3,FALSE))</f>
        <v>H</v>
      </c>
      <c r="K3408" s="342" t="str">
        <f t="shared" si="889"/>
        <v>SIM</v>
      </c>
      <c r="L3408" s="380">
        <f>IF(C3408="","",G3371*C3408)</f>
        <v>6.9250000000000007</v>
      </c>
      <c r="M3408" s="381" t="str">
        <f>IF(A3408="","",VLOOKUP(A3408,VII.A!$A$10:$B$199,2,FALSE))</f>
        <v>TELHADISTA COM ENCARGOS COMPLEMENTARES</v>
      </c>
      <c r="N3408" s="342" t="str">
        <f t="shared" si="890"/>
        <v>si</v>
      </c>
      <c r="R3408" s="341"/>
      <c r="S3408" s="341"/>
    </row>
    <row r="3409" spans="1:25" ht="12.75" customHeight="1">
      <c r="A3409" s="393"/>
      <c r="C3409" s="20"/>
      <c r="E3409" s="387"/>
      <c r="F3409" s="388">
        <f t="shared" si="887"/>
        <v>0</v>
      </c>
      <c r="H3409" s="341" t="str">
        <f>IF(A3409="","",VLOOKUP(A3409,VII.A!$A$10:$D$199,4,FALSE))</f>
        <v/>
      </c>
      <c r="I3409" s="341" t="str">
        <f t="shared" si="888"/>
        <v/>
      </c>
      <c r="J3409" s="341" t="str">
        <f>IF(A3409="","",VLOOKUP(A3409,VII.A!$A$10:$D$199,3,FALSE))</f>
        <v/>
      </c>
      <c r="K3409" s="342" t="str">
        <f t="shared" si="889"/>
        <v/>
      </c>
      <c r="L3409" s="380" t="str">
        <f>IF(C3409="","",G3371*C3409)</f>
        <v/>
      </c>
      <c r="M3409" s="381" t="str">
        <f>IF(A3409="","",VLOOKUP(A3409,VII.A!$A$10:$B$199,2,FALSE))</f>
        <v/>
      </c>
      <c r="N3409" s="342" t="str">
        <f t="shared" si="890"/>
        <v/>
      </c>
      <c r="R3409" s="341"/>
      <c r="S3409" s="341"/>
    </row>
    <row r="3410" spans="1:25" ht="12.75" customHeight="1">
      <c r="A3410" s="393"/>
      <c r="C3410" s="20"/>
      <c r="E3410" s="387"/>
      <c r="F3410" s="388">
        <f t="shared" si="887"/>
        <v>0</v>
      </c>
      <c r="H3410" s="341" t="str">
        <f>IF(A3410="","",VLOOKUP(A3410,VII.A!$A$10:$D$199,4,FALSE))</f>
        <v/>
      </c>
      <c r="I3410" s="341" t="str">
        <f t="shared" si="888"/>
        <v/>
      </c>
      <c r="J3410" s="341" t="str">
        <f>IF(A3410="","",VLOOKUP(A3410,VII.A!$A$10:$D$199,3,FALSE))</f>
        <v/>
      </c>
      <c r="K3410" s="342" t="str">
        <f t="shared" si="889"/>
        <v/>
      </c>
      <c r="L3410" s="380" t="str">
        <f>IF(C3410="","",G3371*C3410)</f>
        <v/>
      </c>
      <c r="M3410" s="381" t="str">
        <f>IF(A3410="","",VLOOKUP(A3410,VII.A!$A$10:$B$199,2,FALSE))</f>
        <v/>
      </c>
      <c r="N3410" s="342" t="str">
        <f t="shared" si="890"/>
        <v/>
      </c>
      <c r="R3410" s="341"/>
      <c r="S3410" s="341"/>
    </row>
    <row r="3411" spans="1:25" ht="12.75" customHeight="1">
      <c r="A3411" s="393"/>
      <c r="C3411" s="20"/>
      <c r="E3411" s="387"/>
      <c r="F3411" s="388">
        <f t="shared" si="887"/>
        <v>0</v>
      </c>
      <c r="H3411" s="341" t="str">
        <f>IF(A3411="","",VLOOKUP(A3411,VII.A!$A$10:$D$199,4,FALSE))</f>
        <v/>
      </c>
      <c r="I3411" s="341" t="str">
        <f t="shared" si="888"/>
        <v/>
      </c>
      <c r="J3411" s="341" t="str">
        <f>IF(A3411="","",VLOOKUP(A3411,VII.A!$A$10:$D$199,3,FALSE))</f>
        <v/>
      </c>
      <c r="K3411" s="342" t="str">
        <f t="shared" si="889"/>
        <v/>
      </c>
      <c r="L3411" s="380" t="str">
        <f>IF(C3411="","",G3371*C3411)</f>
        <v/>
      </c>
      <c r="M3411" s="381" t="str">
        <f>IF(A3411="","",VLOOKUP(A3411,VII.A!$A$10:$B$199,2,FALSE))</f>
        <v/>
      </c>
      <c r="N3411" s="342" t="str">
        <f t="shared" si="890"/>
        <v/>
      </c>
      <c r="R3411" s="341"/>
      <c r="S3411" s="341"/>
    </row>
    <row r="3412" spans="1:25" ht="12.75" customHeight="1">
      <c r="A3412" s="393"/>
      <c r="C3412" s="20"/>
      <c r="E3412" s="387"/>
      <c r="F3412" s="388">
        <f t="shared" si="887"/>
        <v>0</v>
      </c>
      <c r="H3412" s="341" t="str">
        <f>IF(A3412="","",VLOOKUP(A3412,VII.A!$A$10:$D$199,4,FALSE))</f>
        <v/>
      </c>
      <c r="I3412" s="341" t="str">
        <f t="shared" si="888"/>
        <v/>
      </c>
      <c r="J3412" s="341" t="str">
        <f>IF(A3412="","",VLOOKUP(A3412,VII.A!$A$10:$D$199,3,FALSE))</f>
        <v/>
      </c>
      <c r="K3412" s="342" t="str">
        <f t="shared" si="889"/>
        <v/>
      </c>
      <c r="L3412" s="380" t="str">
        <f>IF(C3412="","",G3371*C3412)</f>
        <v/>
      </c>
      <c r="M3412" s="381" t="str">
        <f>IF(A3412="","",VLOOKUP(A3412,VII.A!$A$10:$B$199,2,FALSE))</f>
        <v/>
      </c>
      <c r="N3412" s="342" t="str">
        <f t="shared" si="890"/>
        <v/>
      </c>
      <c r="R3412" s="341"/>
      <c r="S3412" s="341"/>
    </row>
    <row r="3413" spans="1:25" ht="12.75" customHeight="1">
      <c r="A3413" s="393"/>
      <c r="C3413" s="20"/>
      <c r="E3413" s="387"/>
      <c r="F3413" s="388">
        <f t="shared" si="887"/>
        <v>0</v>
      </c>
      <c r="H3413" s="341" t="str">
        <f>IF(A3413="","",VLOOKUP(A3413,VII.A!$A$10:$D$199,4,FALSE))</f>
        <v/>
      </c>
      <c r="I3413" s="341" t="str">
        <f t="shared" si="888"/>
        <v/>
      </c>
      <c r="J3413" s="341" t="str">
        <f>IF(A3413="","",VLOOKUP(A3413,VII.A!$A$10:$D$199,3,FALSE))</f>
        <v/>
      </c>
      <c r="K3413" s="342" t="str">
        <f t="shared" si="889"/>
        <v/>
      </c>
      <c r="L3413" s="380" t="str">
        <f>IF(C3413="","",G3371*C3413)</f>
        <v/>
      </c>
      <c r="M3413" s="381" t="str">
        <f>IF(A3413="","",VLOOKUP(A3413,VII.A!$A$10:$B$199,2,FALSE))</f>
        <v/>
      </c>
      <c r="N3413" s="342" t="str">
        <f t="shared" si="890"/>
        <v/>
      </c>
      <c r="R3413" s="341"/>
      <c r="S3413" s="341"/>
    </row>
    <row r="3414" spans="1:25" ht="12.75" customHeight="1">
      <c r="A3414" s="393"/>
      <c r="B3414" s="395" t="s">
        <v>226</v>
      </c>
      <c r="C3414" s="396"/>
      <c r="D3414" s="397"/>
      <c r="E3414" s="398"/>
      <c r="F3414" s="399">
        <f>SUM(F3407:F3413)</f>
        <v>0</v>
      </c>
      <c r="J3414" s="341"/>
      <c r="L3414" s="380"/>
      <c r="M3414" s="381"/>
      <c r="N3414" s="342"/>
      <c r="R3414" s="341"/>
      <c r="S3414" s="341"/>
    </row>
    <row r="3415" spans="1:25" ht="12.75" customHeight="1">
      <c r="A3415" s="393"/>
      <c r="B3415" s="400" t="s">
        <v>229</v>
      </c>
      <c r="C3415" s="2">
        <f>IX.A!$C$45</f>
        <v>0</v>
      </c>
      <c r="D3415" s="401"/>
      <c r="E3415" s="402"/>
      <c r="F3415" s="403">
        <f>ROUND(F3414*C3415,2)</f>
        <v>0</v>
      </c>
      <c r="J3415" s="341"/>
      <c r="L3415" s="380"/>
      <c r="M3415" s="381"/>
      <c r="N3415" s="342"/>
      <c r="R3415" s="341"/>
      <c r="S3415" s="341"/>
    </row>
    <row r="3416" spans="1:25" ht="12.75" customHeight="1">
      <c r="A3416" s="393"/>
      <c r="B3416" s="400" t="s">
        <v>53</v>
      </c>
      <c r="C3416" s="2">
        <f>$D$8</f>
        <v>0</v>
      </c>
      <c r="D3416" s="401"/>
      <c r="E3416" s="402"/>
      <c r="F3416" s="403">
        <f>ROUND(SUM(F3414:F3415)*C3416,2)</f>
        <v>0</v>
      </c>
      <c r="J3416" s="341"/>
      <c r="L3416" s="380"/>
      <c r="M3416" s="381"/>
      <c r="N3416" s="342"/>
      <c r="R3416" s="341"/>
      <c r="S3416" s="341"/>
    </row>
    <row r="3417" spans="1:25" ht="12.75" customHeight="1" thickBot="1">
      <c r="A3417" s="414"/>
      <c r="B3417" s="415" t="s">
        <v>230</v>
      </c>
      <c r="C3417" s="416"/>
      <c r="D3417" s="416"/>
      <c r="E3417" s="417"/>
      <c r="F3417" s="418">
        <f>SUM(F3414:F3416)</f>
        <v>0</v>
      </c>
      <c r="J3417" s="341"/>
      <c r="L3417" s="380"/>
      <c r="M3417" s="381"/>
      <c r="N3417" s="342"/>
      <c r="R3417" s="341"/>
      <c r="S3417" s="341"/>
    </row>
    <row r="3418" spans="1:25" ht="12.75" customHeight="1" thickBot="1">
      <c r="A3418" s="357"/>
      <c r="B3418" s="358"/>
      <c r="C3418" s="359"/>
      <c r="D3418" s="359"/>
      <c r="E3418" s="360"/>
      <c r="F3418" s="419"/>
      <c r="J3418" s="341"/>
      <c r="L3418" s="380"/>
      <c r="M3418" s="381"/>
      <c r="N3418" s="342"/>
      <c r="R3418" s="341"/>
      <c r="S3418" s="341"/>
    </row>
    <row r="3419" spans="1:25" ht="30" customHeight="1">
      <c r="A3419" s="370" t="str">
        <f>IV.A!$A$106</f>
        <v>3.10.6</v>
      </c>
      <c r="B3419" s="371" t="str">
        <f>IV.A!B106</f>
        <v xml:space="preserve">RUFO / PINGADEIRA DE CHAPA GALVANIZADA Nº 26 </v>
      </c>
      <c r="C3419" s="871" t="s">
        <v>237</v>
      </c>
      <c r="D3419" s="872"/>
      <c r="E3419" s="372" t="str">
        <f>IV.A!$C$106</f>
        <v>M</v>
      </c>
      <c r="F3419" s="11">
        <f>ROUND(F3439+F3453+F3465,2)</f>
        <v>0</v>
      </c>
      <c r="G3419" s="1">
        <f>VLOOKUP(A3419,IV.A!$A$16:$L$172,4,FALSE)</f>
        <v>25</v>
      </c>
      <c r="H3419" s="361">
        <f>SUM(F3421:F3436)+F3438</f>
        <v>0</v>
      </c>
      <c r="I3419" s="361">
        <f>SUM(F3441:F3450)+F3452</f>
        <v>0</v>
      </c>
      <c r="J3419" s="361">
        <f>SUM(F3455:F3461)+F3463+F3464</f>
        <v>0</v>
      </c>
      <c r="K3419" s="361">
        <f>SUM(H3419:J3419)</f>
        <v>0</v>
      </c>
      <c r="L3419" s="362" t="str">
        <f>IF(K3419=F3419,"SIM","NÃO")</f>
        <v>SIM</v>
      </c>
      <c r="M3419" s="373">
        <f>ROUND(SUM(F3421:F3436),2)+ROUND(SUM(F3421:F3436)*C3438,2)+ROUND(SUM(F3441:F3450)*C3452,2)+ROUND(SUM(F3441:F3450),2)+ROUND(SUM(F3455:F3461)*C3463,2)+ROUND((SUM(F3455:F3461)+ROUND(SUM(F3455:F3461)*C3463,2))*C3464,2)+ROUND(SUM(F3455:F3461),2)</f>
        <v>0</v>
      </c>
      <c r="N3419" s="343" t="str">
        <f>IF(M3419=F3419,"SIM","NÃO")</f>
        <v>SIM</v>
      </c>
      <c r="O3419" s="364" t="str">
        <f>VLOOKUP(A3419,IV.A!$A$16:$E$172,3,FALSE)</f>
        <v>M</v>
      </c>
      <c r="P3419" s="344" t="str">
        <f>IF(O3419=E3419,"SIM","NÃO")</f>
        <v>SIM</v>
      </c>
      <c r="Q3419" s="365">
        <f>ROUND(G3419*F3439,2)+ROUND(G3419*F3453,2)+ROUND(G3419*F3465,2)</f>
        <v>0</v>
      </c>
      <c r="R3419" s="364">
        <f>VLOOKUP(A3419,IV.A!$A$16:$L$172,12,FALSE)</f>
        <v>0</v>
      </c>
      <c r="S3419" s="366" t="str">
        <f>IF(Q3419=R3419,"si","no")</f>
        <v>si</v>
      </c>
      <c r="T3419" s="367">
        <f>SUM(L3421:L3436)+SUM(L3441:L3450)+SUM(L3455:L3461)</f>
        <v>36.817500000000003</v>
      </c>
      <c r="U3419" s="341">
        <f>(SUM(C3421:C3436)+SUM(C3441:C3450)+SUM(C3455:C3461))*G3419</f>
        <v>36.817500000000003</v>
      </c>
      <c r="V3419" s="368" t="str">
        <f>IF(T3419=U3419,"si","no")</f>
        <v>si</v>
      </c>
      <c r="W3419" s="369">
        <f>SUM(F3421:F3436)</f>
        <v>0</v>
      </c>
      <c r="X3419" s="369">
        <f>SUM(F3441:F3450)</f>
        <v>0</v>
      </c>
      <c r="Y3419" s="369">
        <f>SUM(F3455:F3461)</f>
        <v>0</v>
      </c>
    </row>
    <row r="3420" spans="1:25" ht="12.75" customHeight="1">
      <c r="A3420" s="374" t="s">
        <v>14</v>
      </c>
      <c r="B3420" s="375" t="s">
        <v>132</v>
      </c>
      <c r="C3420" s="376" t="s">
        <v>231</v>
      </c>
      <c r="D3420" s="376" t="s">
        <v>232</v>
      </c>
      <c r="E3420" s="377" t="s">
        <v>233</v>
      </c>
      <c r="F3420" s="378" t="s">
        <v>234</v>
      </c>
      <c r="G3420" s="379"/>
      <c r="J3420" s="341"/>
      <c r="L3420" s="380"/>
      <c r="M3420" s="381"/>
      <c r="N3420" s="342"/>
      <c r="O3420" s="382"/>
      <c r="P3420" s="383"/>
      <c r="Q3420" s="383"/>
      <c r="R3420" s="383"/>
      <c r="S3420" s="383"/>
      <c r="T3420" s="382"/>
      <c r="U3420" s="341"/>
      <c r="V3420" s="384"/>
      <c r="W3420" s="384"/>
      <c r="X3420" s="384"/>
      <c r="Y3420" s="384"/>
    </row>
    <row r="3421" spans="1:25" ht="12.75" customHeight="1">
      <c r="A3421" s="385" t="str">
        <f>VII.A!$A$90</f>
        <v>1.80</v>
      </c>
      <c r="B3421" s="386" t="str">
        <f>VLOOKUP(A3421,VII.A!$A$10:$G$199,2,FALSE)</f>
        <v>PREGO EM AÇO POLIDO COM CABEÇA (MEDIA DAS BITOLAS)</v>
      </c>
      <c r="C3421" s="20">
        <v>6.0000000000000001E-3</v>
      </c>
      <c r="D3421" s="342" t="str">
        <f>VLOOKUP(A3421,VII.A!$A$10:$G$199,3,FALSE)</f>
        <v>KG</v>
      </c>
      <c r="E3421" s="387">
        <f>VII.A!D90</f>
        <v>0</v>
      </c>
      <c r="F3421" s="388">
        <f>ROUND(C3421*E3421,2)</f>
        <v>0</v>
      </c>
      <c r="H3421" s="341">
        <f>IF(A3421="","",VLOOKUP(A3421,VII.A!$A$10:$D$199,4,FALSE))</f>
        <v>0</v>
      </c>
      <c r="I3421" s="341" t="str">
        <f t="shared" ref="I3421:I3436" si="891">IF(A3421="","",IF(E3421=H3421,"SIM","NÃO"))</f>
        <v>SIM</v>
      </c>
      <c r="J3421" s="341" t="str">
        <f>IF(A3421="","",VLOOKUP(A3421,VII.A!$A$10:$D$199,3,FALSE))</f>
        <v>KG</v>
      </c>
      <c r="K3421" s="342" t="str">
        <f t="shared" ref="K3421:K3436" si="892">IF(A3421="","",IF(J3421=D3421,"SIM","NÃO"))</f>
        <v>SIM</v>
      </c>
      <c r="L3421" s="380">
        <f>IF(C3421="","",G3419*C3421)</f>
        <v>0.15</v>
      </c>
      <c r="M3421" s="381" t="str">
        <f>IF(A3421="","",VLOOKUP(A3421,VII.A!$A$10:$B$199,2,FALSE))</f>
        <v>PREGO EM AÇO POLIDO COM CABEÇA (MEDIA DAS BITOLAS)</v>
      </c>
      <c r="N3421" s="342" t="str">
        <f t="shared" ref="N3421:N3436" si="893">IF(B3421="","",IF(M3421=B3421,"si","no"))</f>
        <v>si</v>
      </c>
      <c r="R3421" s="341"/>
      <c r="S3421" s="341"/>
    </row>
    <row r="3422" spans="1:25" ht="12.75" customHeight="1">
      <c r="A3422" s="385" t="str">
        <f>VII.A!$A$95</f>
        <v>1.85</v>
      </c>
      <c r="B3422" s="386" t="str">
        <f>VLOOKUP(A3422,VII.A!$A$10:$G$199,2,FALSE)</f>
        <v>RUFO EXTERNO/INTERNO DE CHAPA DE ACO GALVANIZADA NUM 26</v>
      </c>
      <c r="C3422" s="20">
        <v>1.03</v>
      </c>
      <c r="D3422" s="342" t="str">
        <f>VLOOKUP(A3422,VII.A!$A$10:$G$199,3,FALSE)</f>
        <v>M</v>
      </c>
      <c r="E3422" s="387">
        <f>VII.A!D95</f>
        <v>0</v>
      </c>
      <c r="F3422" s="388">
        <f t="shared" ref="F3422:F3436" si="894">ROUND(C3422*E3422,2)</f>
        <v>0</v>
      </c>
      <c r="H3422" s="341">
        <f>IF(A3422="","",VLOOKUP(A3422,VII.A!$A$10:$D$199,4,FALSE))</f>
        <v>0</v>
      </c>
      <c r="I3422" s="341" t="str">
        <f t="shared" si="891"/>
        <v>SIM</v>
      </c>
      <c r="J3422" s="341" t="str">
        <f>IF(A3422="","",VLOOKUP(A3422,VII.A!$A$10:$D$199,3,FALSE))</f>
        <v>M</v>
      </c>
      <c r="K3422" s="342" t="str">
        <f t="shared" si="892"/>
        <v>SIM</v>
      </c>
      <c r="L3422" s="380">
        <f>IF(C3422="","",G3419*C3422)</f>
        <v>25.75</v>
      </c>
      <c r="M3422" s="381" t="str">
        <f>IF(A3422="","",VLOOKUP(A3422,VII.A!$A$10:$B$199,2,FALSE))</f>
        <v>RUFO EXTERNO/INTERNO DE CHAPA DE ACO GALVANIZADA NUM 26</v>
      </c>
      <c r="N3422" s="342" t="str">
        <f t="shared" si="893"/>
        <v>si</v>
      </c>
      <c r="R3422" s="341"/>
      <c r="S3422" s="341"/>
    </row>
    <row r="3423" spans="1:25" ht="12.75" customHeight="1">
      <c r="A3423" s="385" t="str">
        <f>VII.A!$A$51</f>
        <v>1.42</v>
      </c>
      <c r="B3423" s="386" t="str">
        <f>VII.A!B51</f>
        <v>ESTANHO PARA SOLDA</v>
      </c>
      <c r="C3423" s="20">
        <v>4.4999999999999998E-2</v>
      </c>
      <c r="D3423" s="342" t="str">
        <f>VII.A!C51</f>
        <v>KG</v>
      </c>
      <c r="E3423" s="387">
        <f>VII.A!D51</f>
        <v>0</v>
      </c>
      <c r="F3423" s="388">
        <f t="shared" si="894"/>
        <v>0</v>
      </c>
      <c r="H3423" s="341">
        <f>IF(A3423="","",VLOOKUP(A3423,VII.A!$A$10:$D$199,4,FALSE))</f>
        <v>0</v>
      </c>
      <c r="I3423" s="341" t="str">
        <f t="shared" si="891"/>
        <v>SIM</v>
      </c>
      <c r="J3423" s="341" t="str">
        <f>IF(A3423="","",VLOOKUP(A3423,VII.A!$A$10:$D$199,3,FALSE))</f>
        <v>KG</v>
      </c>
      <c r="K3423" s="342" t="str">
        <f t="shared" si="892"/>
        <v>SIM</v>
      </c>
      <c r="L3423" s="380">
        <f>IF(C3423="","",G3419*C3423)</f>
        <v>1.125</v>
      </c>
      <c r="M3423" s="381" t="str">
        <f>IF(A3423="","",VLOOKUP(A3423,VII.A!$A$10:$B$199,2,FALSE))</f>
        <v>ESTANHO PARA SOLDA</v>
      </c>
      <c r="N3423" s="342" t="str">
        <f t="shared" si="893"/>
        <v>si</v>
      </c>
      <c r="R3423" s="341"/>
      <c r="S3423" s="341"/>
    </row>
    <row r="3424" spans="1:25" ht="12.75" customHeight="1">
      <c r="A3424" s="385" t="str">
        <f>VII.A!$A$93</f>
        <v>1.83</v>
      </c>
      <c r="B3424" s="386" t="str">
        <f>VII.A!B93</f>
        <v>REBITE DE ALUMINIO VAZADO DE REPUXO, 3,2 X 8 MM (1KG = 1025 UNIDADES)</v>
      </c>
      <c r="C3424" s="20">
        <v>1.1999999999999999E-3</v>
      </c>
      <c r="D3424" s="342" t="str">
        <f>VII.A!C93</f>
        <v>KG</v>
      </c>
      <c r="E3424" s="387">
        <f>VII.A!D93</f>
        <v>0</v>
      </c>
      <c r="F3424" s="388">
        <f t="shared" si="894"/>
        <v>0</v>
      </c>
      <c r="H3424" s="341">
        <f>IF(A3424="","",VLOOKUP(A3424,VII.A!$A$10:$D$199,4,FALSE))</f>
        <v>0</v>
      </c>
      <c r="I3424" s="341" t="str">
        <f t="shared" si="891"/>
        <v>SIM</v>
      </c>
      <c r="J3424" s="341" t="str">
        <f>IF(A3424="","",VLOOKUP(A3424,VII.A!$A$10:$D$199,3,FALSE))</f>
        <v>KG</v>
      </c>
      <c r="K3424" s="342" t="str">
        <f t="shared" si="892"/>
        <v>SIM</v>
      </c>
      <c r="L3424" s="380">
        <f>IF(C3424="","",G3419*C3424)</f>
        <v>0.03</v>
      </c>
      <c r="M3424" s="381" t="str">
        <f>IF(A3424="","",VLOOKUP(A3424,VII.A!$A$10:$B$199,2,FALSE))</f>
        <v>REBITE DE ALUMINIO VAZADO DE REPUXO, 3,2 X 8 MM (1KG = 1025 UNIDADES)</v>
      </c>
      <c r="N3424" s="342" t="str">
        <f t="shared" si="893"/>
        <v>si</v>
      </c>
      <c r="R3424" s="341"/>
      <c r="S3424" s="341"/>
    </row>
    <row r="3425" spans="1:21" ht="12.75" customHeight="1">
      <c r="A3425" s="385" t="str">
        <f>VII.A!$A$99</f>
        <v>1.89</v>
      </c>
      <c r="B3425" s="386" t="str">
        <f>VII.A!B99</f>
        <v>SELANTE ELASTICO MONOCOMPONENTE A BASE DE POLIURETANO PARA JUNTAS DIVERSAS</v>
      </c>
      <c r="C3425" s="20">
        <v>0.04</v>
      </c>
      <c r="D3425" s="342" t="str">
        <f>VII.A!C99</f>
        <v>310 ML</v>
      </c>
      <c r="E3425" s="387">
        <f>VII.A!D99</f>
        <v>0</v>
      </c>
      <c r="F3425" s="388">
        <f t="shared" si="894"/>
        <v>0</v>
      </c>
      <c r="H3425" s="341">
        <f>IF(A3425="","",VLOOKUP(A3425,VII.A!$A$10:$D$199,4,FALSE))</f>
        <v>0</v>
      </c>
      <c r="I3425" s="341" t="str">
        <f t="shared" si="891"/>
        <v>SIM</v>
      </c>
      <c r="J3425" s="341" t="str">
        <f>IF(A3425="","",VLOOKUP(A3425,VII.A!$A$10:$D$199,3,FALSE))</f>
        <v>310 ML</v>
      </c>
      <c r="K3425" s="342" t="str">
        <f t="shared" si="892"/>
        <v>SIM</v>
      </c>
      <c r="L3425" s="380">
        <f>IF(C3425="","",G3419*C3425)</f>
        <v>1</v>
      </c>
      <c r="M3425" s="381" t="str">
        <f>IF(A3425="","",VLOOKUP(A3425,VII.A!$A$10:$B$199,2,FALSE))</f>
        <v>SELANTE ELASTICO MONOCOMPONENTE A BASE DE POLIURETANO PARA JUNTAS DIVERSAS</v>
      </c>
      <c r="N3425" s="342" t="str">
        <f t="shared" si="893"/>
        <v>si</v>
      </c>
      <c r="R3425" s="341"/>
      <c r="S3425" s="341"/>
    </row>
    <row r="3426" spans="1:21" ht="12.75" customHeight="1">
      <c r="A3426" s="385"/>
      <c r="B3426" s="386"/>
      <c r="C3426" s="20"/>
      <c r="D3426" s="342"/>
      <c r="E3426" s="387"/>
      <c r="F3426" s="388">
        <f t="shared" si="894"/>
        <v>0</v>
      </c>
      <c r="H3426" s="341" t="str">
        <f>IF(A3426="","",VLOOKUP(A3426,VII.A!$A$10:$D$199,4,FALSE))</f>
        <v/>
      </c>
      <c r="I3426" s="341" t="str">
        <f t="shared" si="891"/>
        <v/>
      </c>
      <c r="J3426" s="341" t="str">
        <f>IF(A3426="","",VLOOKUP(A3426,VII.A!$A$10:$D$199,3,FALSE))</f>
        <v/>
      </c>
      <c r="K3426" s="342" t="str">
        <f t="shared" si="892"/>
        <v/>
      </c>
      <c r="L3426" s="380" t="str">
        <f>IF(C3426="","",G3419*C3426)</f>
        <v/>
      </c>
      <c r="M3426" s="381" t="str">
        <f>IF(A3426="","",VLOOKUP(A3426,VII.A!$A$10:$B$199,2,FALSE))</f>
        <v/>
      </c>
      <c r="N3426" s="342" t="str">
        <f t="shared" si="893"/>
        <v/>
      </c>
      <c r="R3426" s="341"/>
      <c r="S3426" s="341"/>
      <c r="U3426" s="389"/>
    </row>
    <row r="3427" spans="1:21" ht="12.75" customHeight="1">
      <c r="A3427" s="385"/>
      <c r="B3427" s="386"/>
      <c r="C3427" s="20"/>
      <c r="D3427" s="342"/>
      <c r="E3427" s="387"/>
      <c r="F3427" s="388">
        <f t="shared" si="894"/>
        <v>0</v>
      </c>
      <c r="H3427" s="341" t="str">
        <f>IF(A3427="","",VLOOKUP(A3427,VII.A!$A$10:$D$199,4,FALSE))</f>
        <v/>
      </c>
      <c r="I3427" s="341" t="str">
        <f t="shared" si="891"/>
        <v/>
      </c>
      <c r="J3427" s="341" t="str">
        <f>IF(A3427="","",VLOOKUP(A3427,VII.A!$A$10:$D$199,3,FALSE))</f>
        <v/>
      </c>
      <c r="K3427" s="342" t="str">
        <f t="shared" si="892"/>
        <v/>
      </c>
      <c r="L3427" s="380" t="str">
        <f>IF(C3427="","",G3419*C3427)</f>
        <v/>
      </c>
      <c r="M3427" s="381" t="str">
        <f>IF(A3427="","",VLOOKUP(A3427,VII.A!$A$10:$B$199,2,FALSE))</f>
        <v/>
      </c>
      <c r="N3427" s="342" t="str">
        <f t="shared" si="893"/>
        <v/>
      </c>
      <c r="R3427" s="341"/>
      <c r="S3427" s="341"/>
    </row>
    <row r="3428" spans="1:21" ht="12.75" customHeight="1">
      <c r="A3428" s="385"/>
      <c r="B3428" s="386"/>
      <c r="C3428" s="20"/>
      <c r="D3428" s="342"/>
      <c r="E3428" s="387"/>
      <c r="F3428" s="388">
        <f t="shared" si="894"/>
        <v>0</v>
      </c>
      <c r="G3428" s="390"/>
      <c r="H3428" s="341" t="str">
        <f>IF(A3428="","",VLOOKUP(A3428,VII.A!$A$10:$D$199,4,FALSE))</f>
        <v/>
      </c>
      <c r="I3428" s="341" t="str">
        <f t="shared" si="891"/>
        <v/>
      </c>
      <c r="J3428" s="341" t="str">
        <f>IF(A3428="","",VLOOKUP(A3428,VII.A!$A$10:$D$199,3,FALSE))</f>
        <v/>
      </c>
      <c r="K3428" s="342" t="str">
        <f t="shared" si="892"/>
        <v/>
      </c>
      <c r="L3428" s="380" t="str">
        <f>IF(C3428="","",G3419*C3428)</f>
        <v/>
      </c>
      <c r="M3428" s="381" t="str">
        <f>IF(A3428="","",VLOOKUP(A3428,VII.A!$A$10:$B$199,2,FALSE))</f>
        <v/>
      </c>
      <c r="N3428" s="342" t="str">
        <f t="shared" si="893"/>
        <v/>
      </c>
      <c r="R3428" s="341"/>
      <c r="S3428" s="341"/>
    </row>
    <row r="3429" spans="1:21" ht="12.75" customHeight="1">
      <c r="A3429" s="385"/>
      <c r="B3429" s="386"/>
      <c r="C3429" s="20"/>
      <c r="D3429" s="342"/>
      <c r="E3429" s="387"/>
      <c r="F3429" s="388">
        <f t="shared" si="894"/>
        <v>0</v>
      </c>
      <c r="G3429" s="390"/>
      <c r="H3429" s="341" t="str">
        <f>IF(A3429="","",VLOOKUP(A3429,VII.A!$A$10:$D$199,4,FALSE))</f>
        <v/>
      </c>
      <c r="I3429" s="341" t="str">
        <f t="shared" si="891"/>
        <v/>
      </c>
      <c r="J3429" s="341" t="str">
        <f>IF(A3429="","",VLOOKUP(A3429,VII.A!$A$10:$D$199,3,FALSE))</f>
        <v/>
      </c>
      <c r="K3429" s="342" t="str">
        <f t="shared" si="892"/>
        <v/>
      </c>
      <c r="L3429" s="380" t="str">
        <f>IF(C3429="","",G3419*C3429)</f>
        <v/>
      </c>
      <c r="M3429" s="381" t="str">
        <f>IF(A3429="","",VLOOKUP(A3429,VII.A!$A$10:$B$199,2,FALSE))</f>
        <v/>
      </c>
      <c r="N3429" s="342" t="str">
        <f t="shared" si="893"/>
        <v/>
      </c>
      <c r="R3429" s="341"/>
      <c r="S3429" s="341"/>
    </row>
    <row r="3430" spans="1:21" ht="12.75" customHeight="1">
      <c r="A3430" s="385"/>
      <c r="B3430" s="386"/>
      <c r="C3430" s="20"/>
      <c r="D3430" s="342"/>
      <c r="E3430" s="387"/>
      <c r="F3430" s="388">
        <f t="shared" si="894"/>
        <v>0</v>
      </c>
      <c r="G3430" s="391"/>
      <c r="H3430" s="341" t="str">
        <f>IF(A3430="","",VLOOKUP(A3430,VII.A!$A$10:$D$199,4,FALSE))</f>
        <v/>
      </c>
      <c r="I3430" s="341" t="str">
        <f t="shared" si="891"/>
        <v/>
      </c>
      <c r="J3430" s="341" t="str">
        <f>IF(A3430="","",VLOOKUP(A3430,VII.A!$A$10:$D$199,3,FALSE))</f>
        <v/>
      </c>
      <c r="K3430" s="342" t="str">
        <f t="shared" si="892"/>
        <v/>
      </c>
      <c r="L3430" s="380" t="str">
        <f>IF(C3430="","",G3419*C3430)</f>
        <v/>
      </c>
      <c r="M3430" s="381" t="str">
        <f>IF(A3430="","",VLOOKUP(A3430,VII.A!$A$10:$B$199,2,FALSE))</f>
        <v/>
      </c>
      <c r="N3430" s="342" t="str">
        <f t="shared" si="893"/>
        <v/>
      </c>
      <c r="R3430" s="341"/>
      <c r="S3430" s="341"/>
    </row>
    <row r="3431" spans="1:21" ht="12.75" customHeight="1">
      <c r="A3431" s="385"/>
      <c r="B3431" s="386"/>
      <c r="C3431" s="20"/>
      <c r="D3431" s="342"/>
      <c r="E3431" s="387"/>
      <c r="F3431" s="388">
        <f t="shared" si="894"/>
        <v>0</v>
      </c>
      <c r="H3431" s="341" t="str">
        <f>IF(A3431="","",VLOOKUP(A3431,VII.A!$A$10:$D$199,4,FALSE))</f>
        <v/>
      </c>
      <c r="I3431" s="341" t="str">
        <f t="shared" si="891"/>
        <v/>
      </c>
      <c r="J3431" s="341" t="str">
        <f>IF(A3431="","",VLOOKUP(A3431,VII.A!$A$10:$D$199,3,FALSE))</f>
        <v/>
      </c>
      <c r="K3431" s="342" t="str">
        <f t="shared" si="892"/>
        <v/>
      </c>
      <c r="L3431" s="380" t="str">
        <f>IF(C3431="","",G3419*C3431)</f>
        <v/>
      </c>
      <c r="M3431" s="381" t="str">
        <f>IF(A3431="","",VLOOKUP(A3431,VII.A!$A$10:$B$199,2,FALSE))</f>
        <v/>
      </c>
      <c r="N3431" s="342" t="str">
        <f t="shared" si="893"/>
        <v/>
      </c>
      <c r="R3431" s="341"/>
      <c r="S3431" s="341"/>
    </row>
    <row r="3432" spans="1:21" ht="12.75" customHeight="1">
      <c r="A3432" s="385"/>
      <c r="B3432" s="386"/>
      <c r="C3432" s="20"/>
      <c r="D3432" s="392"/>
      <c r="E3432" s="387"/>
      <c r="F3432" s="388">
        <f t="shared" si="894"/>
        <v>0</v>
      </c>
      <c r="H3432" s="341" t="str">
        <f>IF(A3432="","",VLOOKUP(A3432,VII.A!$A$10:$D$199,4,FALSE))</f>
        <v/>
      </c>
      <c r="I3432" s="341" t="str">
        <f t="shared" si="891"/>
        <v/>
      </c>
      <c r="J3432" s="341" t="str">
        <f>IF(A3432="","",VLOOKUP(A3432,VII.A!$A$10:$D$199,3,FALSE))</f>
        <v/>
      </c>
      <c r="K3432" s="342" t="str">
        <f t="shared" si="892"/>
        <v/>
      </c>
      <c r="L3432" s="380" t="str">
        <f>IF(C3432="","",G3419*C3432)</f>
        <v/>
      </c>
      <c r="M3432" s="381" t="str">
        <f>IF(A3432="","",VLOOKUP(A3432,VII.A!$A$10:$B$199,2,FALSE))</f>
        <v/>
      </c>
      <c r="N3432" s="342" t="str">
        <f t="shared" si="893"/>
        <v/>
      </c>
      <c r="R3432" s="341"/>
      <c r="S3432" s="341"/>
    </row>
    <row r="3433" spans="1:21" ht="12.75" customHeight="1">
      <c r="A3433" s="385"/>
      <c r="B3433" s="386"/>
      <c r="C3433" s="20"/>
      <c r="D3433" s="392"/>
      <c r="E3433" s="387"/>
      <c r="F3433" s="388">
        <f t="shared" si="894"/>
        <v>0</v>
      </c>
      <c r="H3433" s="341" t="str">
        <f>IF(A3433="","",VLOOKUP(A3433,VII.A!$A$10:$D$199,4,FALSE))</f>
        <v/>
      </c>
      <c r="I3433" s="341" t="str">
        <f t="shared" si="891"/>
        <v/>
      </c>
      <c r="J3433" s="341" t="str">
        <f>IF(A3433="","",VLOOKUP(A3433,VII.A!$A$10:$D$199,3,FALSE))</f>
        <v/>
      </c>
      <c r="K3433" s="342" t="str">
        <f t="shared" si="892"/>
        <v/>
      </c>
      <c r="L3433" s="380" t="str">
        <f>IF(C3433="","",G3419*C3433)</f>
        <v/>
      </c>
      <c r="M3433" s="381" t="str">
        <f>IF(A3433="","",VLOOKUP(A3433,VII.A!$A$10:$B$199,2,FALSE))</f>
        <v/>
      </c>
      <c r="N3433" s="342" t="str">
        <f t="shared" si="893"/>
        <v/>
      </c>
      <c r="O3433" s="342"/>
      <c r="R3433" s="341"/>
      <c r="S3433" s="341"/>
    </row>
    <row r="3434" spans="1:21" ht="12.75" customHeight="1">
      <c r="A3434" s="385"/>
      <c r="B3434" s="386"/>
      <c r="C3434" s="20"/>
      <c r="D3434" s="392"/>
      <c r="E3434" s="387"/>
      <c r="F3434" s="388">
        <f t="shared" si="894"/>
        <v>0</v>
      </c>
      <c r="H3434" s="341" t="str">
        <f>IF(A3434="","",VLOOKUP(A3434,VII.A!$A$10:$D$199,4,FALSE))</f>
        <v/>
      </c>
      <c r="I3434" s="341" t="str">
        <f t="shared" si="891"/>
        <v/>
      </c>
      <c r="J3434" s="341" t="str">
        <f>IF(A3434="","",VLOOKUP(A3434,VII.A!$A$10:$D$199,3,FALSE))</f>
        <v/>
      </c>
      <c r="K3434" s="342" t="str">
        <f t="shared" si="892"/>
        <v/>
      </c>
      <c r="L3434" s="380" t="str">
        <f>IF(C3434="","",G3419*C3434)</f>
        <v/>
      </c>
      <c r="M3434" s="381" t="str">
        <f>IF(A3434="","",VLOOKUP(A3434,VII.A!$A$10:$B$199,2,FALSE))</f>
        <v/>
      </c>
      <c r="N3434" s="342" t="str">
        <f t="shared" si="893"/>
        <v/>
      </c>
      <c r="R3434" s="341"/>
      <c r="S3434" s="341"/>
    </row>
    <row r="3435" spans="1:21" ht="12.75" customHeight="1">
      <c r="A3435" s="393"/>
      <c r="C3435" s="20"/>
      <c r="E3435" s="387"/>
      <c r="F3435" s="388">
        <f t="shared" si="894"/>
        <v>0</v>
      </c>
      <c r="H3435" s="341" t="str">
        <f>IF(A3435="","",VLOOKUP(A3435,VII.A!$A$10:$D$199,4,FALSE))</f>
        <v/>
      </c>
      <c r="I3435" s="341" t="str">
        <f t="shared" si="891"/>
        <v/>
      </c>
      <c r="J3435" s="341" t="str">
        <f>IF(A3435="","",VLOOKUP(A3435,VII.A!$A$10:$D$199,3,FALSE))</f>
        <v/>
      </c>
      <c r="K3435" s="342" t="str">
        <f t="shared" si="892"/>
        <v/>
      </c>
      <c r="L3435" s="380" t="str">
        <f>IF(C3435="","",G3419*C3435)</f>
        <v/>
      </c>
      <c r="M3435" s="381" t="str">
        <f>IF(A3435="","",VLOOKUP(A3435,VII.A!$A$10:$B$199,2,FALSE))</f>
        <v/>
      </c>
      <c r="N3435" s="342" t="str">
        <f t="shared" si="893"/>
        <v/>
      </c>
      <c r="R3435" s="341"/>
      <c r="S3435" s="341"/>
    </row>
    <row r="3436" spans="1:21" ht="12.75" customHeight="1">
      <c r="A3436" s="393"/>
      <c r="C3436" s="20"/>
      <c r="E3436" s="387"/>
      <c r="F3436" s="388">
        <f t="shared" si="894"/>
        <v>0</v>
      </c>
      <c r="H3436" s="341" t="str">
        <f>IF(A3436="","",VLOOKUP(A3436,VII.A!$A$10:$D$199,4,FALSE))</f>
        <v/>
      </c>
      <c r="I3436" s="341" t="str">
        <f t="shared" si="891"/>
        <v/>
      </c>
      <c r="J3436" s="341" t="str">
        <f>IF(A3436="","",VLOOKUP(A3436,VII.A!$A$10:$D$199,3,FALSE))</f>
        <v/>
      </c>
      <c r="K3436" s="342" t="str">
        <f t="shared" si="892"/>
        <v/>
      </c>
      <c r="L3436" s="380" t="str">
        <f>IF(C3436="","",G3419*C3436)</f>
        <v/>
      </c>
      <c r="M3436" s="381" t="str">
        <f>IF(A3436="","",VLOOKUP(A3436,VII.A!$A$10:$B$199,2,FALSE))</f>
        <v/>
      </c>
      <c r="N3436" s="342" t="str">
        <f t="shared" si="893"/>
        <v/>
      </c>
      <c r="R3436" s="341"/>
      <c r="S3436" s="341"/>
    </row>
    <row r="3437" spans="1:21" ht="12.75" customHeight="1">
      <c r="A3437" s="393"/>
      <c r="B3437" s="395" t="s">
        <v>226</v>
      </c>
      <c r="C3437" s="396"/>
      <c r="D3437" s="397"/>
      <c r="E3437" s="398"/>
      <c r="F3437" s="399">
        <f>SUM(F3421:F3436)</f>
        <v>0</v>
      </c>
      <c r="H3437" s="433" t="s">
        <v>557</v>
      </c>
      <c r="J3437" s="341"/>
      <c r="L3437" s="380"/>
      <c r="M3437" s="381"/>
      <c r="N3437" s="342"/>
      <c r="R3437" s="341"/>
      <c r="S3437" s="341"/>
    </row>
    <row r="3438" spans="1:21" ht="12.75" customHeight="1">
      <c r="A3438" s="393"/>
      <c r="B3438" s="400" t="s">
        <v>53</v>
      </c>
      <c r="C3438" s="2">
        <f>$D$8</f>
        <v>0</v>
      </c>
      <c r="D3438" s="401"/>
      <c r="E3438" s="402"/>
      <c r="F3438" s="403">
        <f>ROUND(F3437*C3438,2)</f>
        <v>0</v>
      </c>
      <c r="J3438" s="341"/>
      <c r="L3438" s="380"/>
      <c r="M3438" s="381"/>
      <c r="N3438" s="342"/>
      <c r="R3438" s="341"/>
      <c r="S3438" s="341"/>
    </row>
    <row r="3439" spans="1:21" ht="12.75" customHeight="1">
      <c r="A3439" s="404"/>
      <c r="B3439" s="405" t="s">
        <v>227</v>
      </c>
      <c r="C3439" s="406"/>
      <c r="D3439" s="406"/>
      <c r="E3439" s="407"/>
      <c r="F3439" s="408">
        <f>F3437+F3438</f>
        <v>0</v>
      </c>
      <c r="J3439" s="341"/>
      <c r="L3439" s="380"/>
      <c r="M3439" s="381"/>
      <c r="N3439" s="342"/>
      <c r="R3439" s="341"/>
      <c r="S3439" s="341"/>
    </row>
    <row r="3440" spans="1:21" ht="12.75" customHeight="1">
      <c r="A3440" s="374" t="s">
        <v>2</v>
      </c>
      <c r="B3440" s="375" t="s">
        <v>235</v>
      </c>
      <c r="C3440" s="376" t="s">
        <v>231</v>
      </c>
      <c r="D3440" s="376" t="s">
        <v>232</v>
      </c>
      <c r="E3440" s="377" t="s">
        <v>233</v>
      </c>
      <c r="F3440" s="378" t="s">
        <v>234</v>
      </c>
      <c r="J3440" s="341"/>
      <c r="L3440" s="380"/>
      <c r="M3440" s="381"/>
      <c r="N3440" s="342"/>
      <c r="R3440" s="341"/>
      <c r="S3440" s="341"/>
    </row>
    <row r="3441" spans="1:19" ht="12.75" customHeight="1">
      <c r="A3441" s="393" t="str">
        <f>VII.A!$A$157</f>
        <v>2.15</v>
      </c>
      <c r="B3441" s="423" t="str">
        <f>VII.A!B157</f>
        <v>GUINCHO ELÉTRICO DE COLUNA, CAPACIDADE 400 KG, COM MOTO FREIO, MOTOR TRIFÁSICO DE 1,25 CV - CHP</v>
      </c>
      <c r="C3441" s="20">
        <v>1.32E-2</v>
      </c>
      <c r="D3441" s="384" t="str">
        <f>VII.A!C157</f>
        <v>CHP</v>
      </c>
      <c r="E3441" s="387">
        <f>VII.A!D157</f>
        <v>0</v>
      </c>
      <c r="F3441" s="388">
        <f t="shared" ref="F3441:F3450" si="895">ROUND(C3441*E3441,2)</f>
        <v>0</v>
      </c>
      <c r="H3441" s="341">
        <f>IF(A3441="","",VLOOKUP(A3441,VII.A!$A$10:$D$199,4,FALSE))</f>
        <v>0</v>
      </c>
      <c r="I3441" s="341" t="str">
        <f t="shared" ref="I3441:I3450" si="896">IF(A3441="","",IF(E3441=H3441,"SIM","NÃO"))</f>
        <v>SIM</v>
      </c>
      <c r="J3441" s="341" t="str">
        <f>IF(A3441="","",VLOOKUP(A3441,VII.A!$A$10:$D$199,3,FALSE))</f>
        <v>CHP</v>
      </c>
      <c r="K3441" s="342" t="str">
        <f t="shared" ref="K3441:K3450" si="897">IF(A3441="","",IF(J3441=D3441,"SIM","NÃO"))</f>
        <v>SIM</v>
      </c>
      <c r="L3441" s="380">
        <f>IF(C3441="","",G3419*C3441)</f>
        <v>0.33</v>
      </c>
      <c r="M3441" s="381" t="str">
        <f>IF(A3441="","",VLOOKUP(A3441,VII.A!$A$10:$B$199,2,FALSE))</f>
        <v>GUINCHO ELÉTRICO DE COLUNA, CAPACIDADE 400 KG, COM MOTO FREIO, MOTOR TRIFÁSICO DE 1,25 CV - CHP</v>
      </c>
      <c r="N3441" s="342" t="str">
        <f t="shared" ref="N3441:N3450" si="898">IF(B3441="","",IF(M3441=B3441,"si","no"))</f>
        <v>si</v>
      </c>
      <c r="R3441" s="341"/>
      <c r="S3441" s="341"/>
    </row>
    <row r="3442" spans="1:19" ht="12.75" customHeight="1">
      <c r="A3442" s="393" t="str">
        <f>VII.A!$A$158</f>
        <v>2.16</v>
      </c>
      <c r="B3442" s="423" t="str">
        <f>VII.A!B158</f>
        <v>GUINCHO ELÉTRICO DE COLUNA, CAPACIDADE 400 KG, COM MOTO FREIO, MOTOR TRIFÁSICO DE 1,25 CV - CHI</v>
      </c>
      <c r="C3442" s="20">
        <v>1.83E-2</v>
      </c>
      <c r="D3442" s="384" t="str">
        <f>VII.A!C158</f>
        <v>CHI</v>
      </c>
      <c r="E3442" s="387">
        <f>VII.A!D158</f>
        <v>0</v>
      </c>
      <c r="F3442" s="388">
        <f t="shared" si="895"/>
        <v>0</v>
      </c>
      <c r="H3442" s="341">
        <f>IF(A3442="","",VLOOKUP(A3442,VII.A!$A$10:$D$199,4,FALSE))</f>
        <v>0</v>
      </c>
      <c r="I3442" s="341" t="str">
        <f t="shared" si="896"/>
        <v>SIM</v>
      </c>
      <c r="J3442" s="341" t="str">
        <f>IF(A3442="","",VLOOKUP(A3442,VII.A!$A$10:$D$199,3,FALSE))</f>
        <v>CHI</v>
      </c>
      <c r="K3442" s="342" t="str">
        <f t="shared" si="897"/>
        <v>SIM</v>
      </c>
      <c r="L3442" s="380">
        <f>IF(C3442="","",G3419*C3442)</f>
        <v>0.45750000000000002</v>
      </c>
      <c r="M3442" s="381" t="str">
        <f>IF(A3442="","",VLOOKUP(A3442,VII.A!$A$10:$B$199,2,FALSE))</f>
        <v>GUINCHO ELÉTRICO DE COLUNA, CAPACIDADE 400 KG, COM MOTO FREIO, MOTOR TRIFÁSICO DE 1,25 CV - CHI</v>
      </c>
      <c r="N3442" s="342" t="str">
        <f t="shared" si="898"/>
        <v>si</v>
      </c>
      <c r="R3442" s="341"/>
      <c r="S3442" s="341"/>
    </row>
    <row r="3443" spans="1:19" ht="12.75" customHeight="1">
      <c r="A3443" s="393"/>
      <c r="C3443" s="20"/>
      <c r="E3443" s="387"/>
      <c r="F3443" s="388">
        <f t="shared" si="895"/>
        <v>0</v>
      </c>
      <c r="H3443" s="341" t="str">
        <f>IF(A3443="","",VLOOKUP(A3443,VII.A!$A$10:$D$199,4,FALSE))</f>
        <v/>
      </c>
      <c r="I3443" s="341" t="str">
        <f t="shared" si="896"/>
        <v/>
      </c>
      <c r="J3443" s="341" t="str">
        <f>IF(A3443="","",VLOOKUP(A3443,VII.A!$A$10:$D$199,3,FALSE))</f>
        <v/>
      </c>
      <c r="K3443" s="342" t="str">
        <f t="shared" si="897"/>
        <v/>
      </c>
      <c r="L3443" s="380" t="str">
        <f>IF(C3443="","",G3419*C3443)</f>
        <v/>
      </c>
      <c r="M3443" s="381" t="str">
        <f>IF(A3443="","",VLOOKUP(A3443,VII.A!$A$10:$B$199,2,FALSE))</f>
        <v/>
      </c>
      <c r="N3443" s="342" t="str">
        <f t="shared" si="898"/>
        <v/>
      </c>
      <c r="R3443" s="341"/>
      <c r="S3443" s="341"/>
    </row>
    <row r="3444" spans="1:19" ht="12.75" customHeight="1">
      <c r="A3444" s="393"/>
      <c r="C3444" s="20"/>
      <c r="E3444" s="387"/>
      <c r="F3444" s="388">
        <f t="shared" si="895"/>
        <v>0</v>
      </c>
      <c r="H3444" s="341" t="str">
        <f>IF(A3444="","",VLOOKUP(A3444,VII.A!$A$10:$D$199,4,FALSE))</f>
        <v/>
      </c>
      <c r="I3444" s="341" t="str">
        <f t="shared" si="896"/>
        <v/>
      </c>
      <c r="J3444" s="341" t="str">
        <f>IF(A3444="","",VLOOKUP(A3444,VII.A!$A$10:$D$199,3,FALSE))</f>
        <v/>
      </c>
      <c r="K3444" s="342" t="str">
        <f t="shared" si="897"/>
        <v/>
      </c>
      <c r="L3444" s="380" t="str">
        <f>IF(C3444="","",G3419*C3444)</f>
        <v/>
      </c>
      <c r="M3444" s="381" t="str">
        <f>IF(A3444="","",VLOOKUP(A3444,VII.A!$A$10:$B$199,2,FALSE))</f>
        <v/>
      </c>
      <c r="N3444" s="342" t="str">
        <f t="shared" si="898"/>
        <v/>
      </c>
      <c r="R3444" s="341"/>
      <c r="S3444" s="341"/>
    </row>
    <row r="3445" spans="1:19" ht="12.75" customHeight="1">
      <c r="A3445" s="393"/>
      <c r="C3445" s="20"/>
      <c r="E3445" s="387"/>
      <c r="F3445" s="388">
        <f t="shared" si="895"/>
        <v>0</v>
      </c>
      <c r="G3445" s="390"/>
      <c r="H3445" s="341" t="str">
        <f>IF(A3445="","",VLOOKUP(A3445,VII.A!$A$10:$D$199,4,FALSE))</f>
        <v/>
      </c>
      <c r="I3445" s="341" t="str">
        <f t="shared" si="896"/>
        <v/>
      </c>
      <c r="J3445" s="341" t="str">
        <f>IF(A3445="","",VLOOKUP(A3445,VII.A!$A$10:$D$199,3,FALSE))</f>
        <v/>
      </c>
      <c r="K3445" s="342" t="str">
        <f t="shared" si="897"/>
        <v/>
      </c>
      <c r="L3445" s="380" t="str">
        <f>IF(C3445="","",G3419*C3445)</f>
        <v/>
      </c>
      <c r="M3445" s="381" t="str">
        <f>IF(A3445="","",VLOOKUP(A3445,VII.A!$A$10:$B$199,2,FALSE))</f>
        <v/>
      </c>
      <c r="N3445" s="342" t="str">
        <f t="shared" si="898"/>
        <v/>
      </c>
      <c r="R3445" s="341"/>
      <c r="S3445" s="341"/>
    </row>
    <row r="3446" spans="1:19" ht="12.75" customHeight="1">
      <c r="A3446" s="393"/>
      <c r="C3446" s="20"/>
      <c r="E3446" s="387"/>
      <c r="F3446" s="388">
        <f t="shared" si="895"/>
        <v>0</v>
      </c>
      <c r="G3446" s="391"/>
      <c r="H3446" s="341" t="str">
        <f>IF(A3446="","",VLOOKUP(A3446,VII.A!$A$10:$D$199,4,FALSE))</f>
        <v/>
      </c>
      <c r="I3446" s="341" t="str">
        <f t="shared" si="896"/>
        <v/>
      </c>
      <c r="J3446" s="341" t="str">
        <f>IF(A3446="","",VLOOKUP(A3446,VII.A!$A$10:$D$199,3,FALSE))</f>
        <v/>
      </c>
      <c r="K3446" s="342" t="str">
        <f t="shared" si="897"/>
        <v/>
      </c>
      <c r="L3446" s="380" t="str">
        <f>IF(C3446="","",G3419*C3446)</f>
        <v/>
      </c>
      <c r="M3446" s="381" t="str">
        <f>IF(A3446="","",VLOOKUP(A3446,VII.A!$A$10:$B$199,2,FALSE))</f>
        <v/>
      </c>
      <c r="N3446" s="342" t="str">
        <f t="shared" si="898"/>
        <v/>
      </c>
      <c r="R3446" s="341"/>
      <c r="S3446" s="341"/>
    </row>
    <row r="3447" spans="1:19" ht="12.75" customHeight="1">
      <c r="A3447" s="393"/>
      <c r="C3447" s="20"/>
      <c r="E3447" s="387"/>
      <c r="F3447" s="388">
        <f t="shared" si="895"/>
        <v>0</v>
      </c>
      <c r="H3447" s="341" t="str">
        <f>IF(A3447="","",VLOOKUP(A3447,VII.A!$A$10:$D$199,4,FALSE))</f>
        <v/>
      </c>
      <c r="I3447" s="341" t="str">
        <f t="shared" si="896"/>
        <v/>
      </c>
      <c r="J3447" s="341" t="str">
        <f>IF(A3447="","",VLOOKUP(A3447,VII.A!$A$10:$D$199,3,FALSE))</f>
        <v/>
      </c>
      <c r="K3447" s="342" t="str">
        <f t="shared" si="897"/>
        <v/>
      </c>
      <c r="L3447" s="380" t="str">
        <f>IF(C3447="","",G3419*C3447)</f>
        <v/>
      </c>
      <c r="M3447" s="381" t="str">
        <f>IF(A3447="","",VLOOKUP(A3447,VII.A!$A$10:$B$199,2,FALSE))</f>
        <v/>
      </c>
      <c r="N3447" s="342" t="str">
        <f t="shared" si="898"/>
        <v/>
      </c>
      <c r="R3447" s="341"/>
      <c r="S3447" s="341"/>
    </row>
    <row r="3448" spans="1:19" ht="12.75" customHeight="1">
      <c r="A3448" s="393"/>
      <c r="C3448" s="20"/>
      <c r="E3448" s="387"/>
      <c r="F3448" s="388">
        <f t="shared" si="895"/>
        <v>0</v>
      </c>
      <c r="H3448" s="341" t="str">
        <f>IF(A3448="","",VLOOKUP(A3448,VII.A!$A$10:$D$199,4,FALSE))</f>
        <v/>
      </c>
      <c r="I3448" s="341" t="str">
        <f t="shared" si="896"/>
        <v/>
      </c>
      <c r="J3448" s="341" t="str">
        <f>IF(A3448="","",VLOOKUP(A3448,VII.A!$A$10:$D$199,3,FALSE))</f>
        <v/>
      </c>
      <c r="K3448" s="342" t="str">
        <f t="shared" si="897"/>
        <v/>
      </c>
      <c r="L3448" s="380" t="str">
        <f>IF(C3448="","",G3419*C3448)</f>
        <v/>
      </c>
      <c r="M3448" s="381" t="str">
        <f>IF(A3448="","",VLOOKUP(A3448,VII.A!$A$10:$B$199,2,FALSE))</f>
        <v/>
      </c>
      <c r="N3448" s="342" t="str">
        <f t="shared" si="898"/>
        <v/>
      </c>
      <c r="R3448" s="341"/>
      <c r="S3448" s="341"/>
    </row>
    <row r="3449" spans="1:19" ht="12.75" customHeight="1">
      <c r="A3449" s="393"/>
      <c r="C3449" s="20"/>
      <c r="E3449" s="387"/>
      <c r="F3449" s="388">
        <f t="shared" si="895"/>
        <v>0</v>
      </c>
      <c r="H3449" s="341" t="str">
        <f>IF(A3449="","",VLOOKUP(A3449,VII.A!$A$10:$D$199,4,FALSE))</f>
        <v/>
      </c>
      <c r="I3449" s="341" t="str">
        <f t="shared" si="896"/>
        <v/>
      </c>
      <c r="J3449" s="341" t="str">
        <f>IF(A3449="","",VLOOKUP(A3449,VII.A!$A$10:$D$199,3,FALSE))</f>
        <v/>
      </c>
      <c r="K3449" s="342" t="str">
        <f t="shared" si="897"/>
        <v/>
      </c>
      <c r="L3449" s="380" t="str">
        <f>IF(C3449="","",G3419*C3449)</f>
        <v/>
      </c>
      <c r="M3449" s="381" t="str">
        <f>IF(A3449="","",VLOOKUP(A3449,VII.A!$A$10:$B$199,2,FALSE))</f>
        <v/>
      </c>
      <c r="N3449" s="342" t="str">
        <f t="shared" si="898"/>
        <v/>
      </c>
      <c r="R3449" s="341"/>
      <c r="S3449" s="341"/>
    </row>
    <row r="3450" spans="1:19" ht="12.75" customHeight="1">
      <c r="A3450" s="393"/>
      <c r="C3450" s="20"/>
      <c r="E3450" s="387"/>
      <c r="F3450" s="388">
        <f t="shared" si="895"/>
        <v>0</v>
      </c>
      <c r="H3450" s="341" t="str">
        <f>IF(A3450="","",VLOOKUP(A3450,VII.A!$A$10:$D$199,4,FALSE))</f>
        <v/>
      </c>
      <c r="I3450" s="341" t="str">
        <f t="shared" si="896"/>
        <v/>
      </c>
      <c r="J3450" s="341" t="str">
        <f>IF(A3450="","",VLOOKUP(A3450,VII.A!$A$10:$D$199,3,FALSE))</f>
        <v/>
      </c>
      <c r="K3450" s="342" t="str">
        <f t="shared" si="897"/>
        <v/>
      </c>
      <c r="L3450" s="380" t="str">
        <f>IF(C3450="","",G3419*C3450)</f>
        <v/>
      </c>
      <c r="M3450" s="381" t="str">
        <f>IF(A3450="","",VLOOKUP(A3450,VII.A!$A$10:$B$199,2,FALSE))</f>
        <v/>
      </c>
      <c r="N3450" s="342" t="str">
        <f t="shared" si="898"/>
        <v/>
      </c>
      <c r="R3450" s="341"/>
      <c r="S3450" s="341"/>
    </row>
    <row r="3451" spans="1:19" ht="12.75" customHeight="1">
      <c r="A3451" s="393"/>
      <c r="B3451" s="395" t="s">
        <v>226</v>
      </c>
      <c r="C3451" s="396"/>
      <c r="D3451" s="397"/>
      <c r="E3451" s="398"/>
      <c r="F3451" s="399">
        <f>SUM(F3441:F3450)</f>
        <v>0</v>
      </c>
      <c r="J3451" s="341"/>
      <c r="L3451" s="380"/>
      <c r="M3451" s="381"/>
      <c r="N3451" s="342"/>
      <c r="R3451" s="341"/>
      <c r="S3451" s="341"/>
    </row>
    <row r="3452" spans="1:19" ht="12.75" customHeight="1">
      <c r="A3452" s="393"/>
      <c r="B3452" s="400" t="s">
        <v>53</v>
      </c>
      <c r="C3452" s="2">
        <f>$D$8</f>
        <v>0</v>
      </c>
      <c r="D3452" s="401"/>
      <c r="E3452" s="402"/>
      <c r="F3452" s="403">
        <f>ROUND(C3452*F3451,2)</f>
        <v>0</v>
      </c>
      <c r="J3452" s="341"/>
      <c r="L3452" s="380"/>
      <c r="M3452" s="381"/>
      <c r="N3452" s="342"/>
      <c r="R3452" s="341"/>
      <c r="S3452" s="341"/>
    </row>
    <row r="3453" spans="1:19" ht="12.75" customHeight="1">
      <c r="A3453" s="404"/>
      <c r="B3453" s="405" t="s">
        <v>228</v>
      </c>
      <c r="C3453" s="406"/>
      <c r="D3453" s="406"/>
      <c r="E3453" s="407"/>
      <c r="F3453" s="408">
        <f>F3451+F3452</f>
        <v>0</v>
      </c>
      <c r="J3453" s="341"/>
      <c r="L3453" s="380"/>
      <c r="M3453" s="381"/>
      <c r="N3453" s="342"/>
      <c r="R3453" s="341"/>
      <c r="S3453" s="341"/>
    </row>
    <row r="3454" spans="1:19" ht="12.75" customHeight="1">
      <c r="A3454" s="409" t="s">
        <v>47</v>
      </c>
      <c r="B3454" s="410" t="s">
        <v>236</v>
      </c>
      <c r="C3454" s="411" t="s">
        <v>231</v>
      </c>
      <c r="D3454" s="412" t="s">
        <v>232</v>
      </c>
      <c r="E3454" s="413" t="s">
        <v>233</v>
      </c>
      <c r="F3454" s="378" t="s">
        <v>234</v>
      </c>
      <c r="J3454" s="341"/>
      <c r="L3454" s="380"/>
      <c r="M3454" s="381"/>
      <c r="N3454" s="342"/>
      <c r="R3454" s="341"/>
      <c r="S3454" s="341"/>
    </row>
    <row r="3455" spans="1:19" ht="12.75" customHeight="1">
      <c r="A3455" s="393" t="str">
        <f>VII.A!$A$181</f>
        <v>3.1</v>
      </c>
      <c r="B3455" s="394" t="s">
        <v>142</v>
      </c>
      <c r="C3455" s="20">
        <v>0.20699999999999999</v>
      </c>
      <c r="D3455" s="384" t="str">
        <f>VLOOKUP(A3455,VII.A!$A$10:$G$199,3,FALSE)</f>
        <v>H</v>
      </c>
      <c r="E3455" s="387">
        <f>VII.A!D181</f>
        <v>0</v>
      </c>
      <c r="F3455" s="388">
        <f t="shared" ref="F3455:F3461" si="899">ROUND(C3455*E3455,2)</f>
        <v>0</v>
      </c>
      <c r="H3455" s="341">
        <f>IF(A3455="","",VLOOKUP(A3455,VII.A!$A$10:$D$199,4,FALSE))</f>
        <v>0</v>
      </c>
      <c r="I3455" s="341" t="str">
        <f t="shared" ref="I3455:I3461" si="900">IF(A3455="","",IF(E3455=H3455,"SIM","NÃO"))</f>
        <v>SIM</v>
      </c>
      <c r="J3455" s="341" t="str">
        <f>IF(A3455="","",VLOOKUP(A3455,VII.A!$A$10:$D$199,3,FALSE))</f>
        <v>H</v>
      </c>
      <c r="K3455" s="342" t="str">
        <f t="shared" ref="K3455:K3461" si="901">IF(A3455="","",IF(J3455=D3455,"SIM","NÃO"))</f>
        <v>SIM</v>
      </c>
      <c r="L3455" s="380">
        <f>IF(C3455="","",G3419*C3455)</f>
        <v>5.1749999999999998</v>
      </c>
      <c r="M3455" s="381" t="str">
        <f>IF(A3455="","",VLOOKUP(A3455,VII.A!$A$10:$B$199,2,FALSE))</f>
        <v>AJUDANTE COM ENCARGOS COMPLEMENTARES</v>
      </c>
      <c r="N3455" s="342" t="str">
        <f t="shared" ref="N3455:N3461" si="902">IF(B3455="","",IF(M3455=B3455,"si","no"))</f>
        <v>si</v>
      </c>
      <c r="R3455" s="341"/>
      <c r="S3455" s="341"/>
    </row>
    <row r="3456" spans="1:19" ht="12.75" customHeight="1">
      <c r="A3456" s="393" t="str">
        <f>VII.A!$A$199</f>
        <v>3.19</v>
      </c>
      <c r="B3456" s="394" t="s">
        <v>160</v>
      </c>
      <c r="C3456" s="20">
        <v>0.112</v>
      </c>
      <c r="D3456" s="384" t="str">
        <f>VLOOKUP(A3456,VII.A!$A$10:$G$199,3,FALSE)</f>
        <v>H</v>
      </c>
      <c r="E3456" s="387">
        <f>VII.A!D199</f>
        <v>0</v>
      </c>
      <c r="F3456" s="388">
        <f t="shared" si="899"/>
        <v>0</v>
      </c>
      <c r="H3456" s="341">
        <f>IF(A3456="","",VLOOKUP(A3456,VII.A!$A$10:$D$199,4,FALSE))</f>
        <v>0</v>
      </c>
      <c r="I3456" s="341" t="str">
        <f t="shared" si="900"/>
        <v>SIM</v>
      </c>
      <c r="J3456" s="341" t="str">
        <f>IF(A3456="","",VLOOKUP(A3456,VII.A!$A$10:$D$199,3,FALSE))</f>
        <v>H</v>
      </c>
      <c r="K3456" s="342" t="str">
        <f t="shared" si="901"/>
        <v>SIM</v>
      </c>
      <c r="L3456" s="380">
        <f>IF(C3456="","",G3419*C3456)</f>
        <v>2.8000000000000003</v>
      </c>
      <c r="M3456" s="381" t="str">
        <f>IF(A3456="","",VLOOKUP(A3456,VII.A!$A$10:$B$199,2,FALSE))</f>
        <v>TELHADISTA COM ENCARGOS COMPLEMENTARES</v>
      </c>
      <c r="N3456" s="342" t="str">
        <f t="shared" si="902"/>
        <v>si</v>
      </c>
      <c r="R3456" s="341"/>
      <c r="S3456" s="341"/>
    </row>
    <row r="3457" spans="1:25" ht="12.75" customHeight="1">
      <c r="A3457" s="393"/>
      <c r="C3457" s="20"/>
      <c r="E3457" s="387"/>
      <c r="F3457" s="388">
        <f t="shared" si="899"/>
        <v>0</v>
      </c>
      <c r="H3457" s="341" t="str">
        <f>IF(A3457="","",VLOOKUP(A3457,VII.A!$A$10:$D$199,4,FALSE))</f>
        <v/>
      </c>
      <c r="I3457" s="341" t="str">
        <f t="shared" si="900"/>
        <v/>
      </c>
      <c r="J3457" s="341" t="str">
        <f>IF(A3457="","",VLOOKUP(A3457,VII.A!$A$10:$D$199,3,FALSE))</f>
        <v/>
      </c>
      <c r="K3457" s="342" t="str">
        <f t="shared" si="901"/>
        <v/>
      </c>
      <c r="L3457" s="380" t="str">
        <f>IF(C3457="","",G3419*C3457)</f>
        <v/>
      </c>
      <c r="M3457" s="381" t="str">
        <f>IF(A3457="","",VLOOKUP(A3457,VII.A!$A$10:$B$199,2,FALSE))</f>
        <v/>
      </c>
      <c r="N3457" s="342" t="str">
        <f t="shared" si="902"/>
        <v/>
      </c>
      <c r="R3457" s="341"/>
      <c r="S3457" s="341"/>
    </row>
    <row r="3458" spans="1:25" ht="12.75" customHeight="1">
      <c r="A3458" s="393"/>
      <c r="C3458" s="20"/>
      <c r="E3458" s="387"/>
      <c r="F3458" s="388">
        <f t="shared" si="899"/>
        <v>0</v>
      </c>
      <c r="H3458" s="341" t="str">
        <f>IF(A3458="","",VLOOKUP(A3458,VII.A!$A$10:$D$199,4,FALSE))</f>
        <v/>
      </c>
      <c r="I3458" s="341" t="str">
        <f t="shared" si="900"/>
        <v/>
      </c>
      <c r="J3458" s="341" t="str">
        <f>IF(A3458="","",VLOOKUP(A3458,VII.A!$A$10:$D$199,3,FALSE))</f>
        <v/>
      </c>
      <c r="K3458" s="342" t="str">
        <f t="shared" si="901"/>
        <v/>
      </c>
      <c r="L3458" s="380" t="str">
        <f>IF(C3458="","",G3419*C3458)</f>
        <v/>
      </c>
      <c r="M3458" s="381" t="str">
        <f>IF(A3458="","",VLOOKUP(A3458,VII.A!$A$10:$B$199,2,FALSE))</f>
        <v/>
      </c>
      <c r="N3458" s="342" t="str">
        <f t="shared" si="902"/>
        <v/>
      </c>
      <c r="R3458" s="341"/>
      <c r="S3458" s="341"/>
    </row>
    <row r="3459" spans="1:25" ht="12.75" customHeight="1">
      <c r="A3459" s="393"/>
      <c r="C3459" s="20"/>
      <c r="E3459" s="387"/>
      <c r="F3459" s="388">
        <f t="shared" si="899"/>
        <v>0</v>
      </c>
      <c r="H3459" s="341" t="str">
        <f>IF(A3459="","",VLOOKUP(A3459,VII.A!$A$10:$D$199,4,FALSE))</f>
        <v/>
      </c>
      <c r="I3459" s="341" t="str">
        <f t="shared" si="900"/>
        <v/>
      </c>
      <c r="J3459" s="341" t="str">
        <f>IF(A3459="","",VLOOKUP(A3459,VII.A!$A$10:$D$199,3,FALSE))</f>
        <v/>
      </c>
      <c r="K3459" s="342" t="str">
        <f t="shared" si="901"/>
        <v/>
      </c>
      <c r="L3459" s="380" t="str">
        <f>IF(C3459="","",G3419*C3459)</f>
        <v/>
      </c>
      <c r="M3459" s="381" t="str">
        <f>IF(A3459="","",VLOOKUP(A3459,VII.A!$A$10:$B$199,2,FALSE))</f>
        <v/>
      </c>
      <c r="N3459" s="342" t="str">
        <f t="shared" si="902"/>
        <v/>
      </c>
      <c r="R3459" s="341"/>
      <c r="S3459" s="341"/>
    </row>
    <row r="3460" spans="1:25" ht="12.75" customHeight="1">
      <c r="A3460" s="393"/>
      <c r="C3460" s="20"/>
      <c r="E3460" s="387"/>
      <c r="F3460" s="388">
        <f t="shared" si="899"/>
        <v>0</v>
      </c>
      <c r="H3460" s="341" t="str">
        <f>IF(A3460="","",VLOOKUP(A3460,VII.A!$A$10:$D$199,4,FALSE))</f>
        <v/>
      </c>
      <c r="I3460" s="341" t="str">
        <f t="shared" si="900"/>
        <v/>
      </c>
      <c r="J3460" s="341" t="str">
        <f>IF(A3460="","",VLOOKUP(A3460,VII.A!$A$10:$D$199,3,FALSE))</f>
        <v/>
      </c>
      <c r="K3460" s="342" t="str">
        <f t="shared" si="901"/>
        <v/>
      </c>
      <c r="L3460" s="380" t="str">
        <f>IF(C3460="","",G3419*C3460)</f>
        <v/>
      </c>
      <c r="M3460" s="381" t="str">
        <f>IF(A3460="","",VLOOKUP(A3460,VII.A!$A$10:$B$199,2,FALSE))</f>
        <v/>
      </c>
      <c r="N3460" s="342" t="str">
        <f t="shared" si="902"/>
        <v/>
      </c>
      <c r="R3460" s="341"/>
      <c r="S3460" s="341"/>
    </row>
    <row r="3461" spans="1:25" ht="12.75" customHeight="1">
      <c r="A3461" s="393"/>
      <c r="C3461" s="20"/>
      <c r="E3461" s="387"/>
      <c r="F3461" s="388">
        <f t="shared" si="899"/>
        <v>0</v>
      </c>
      <c r="H3461" s="341" t="str">
        <f>IF(A3461="","",VLOOKUP(A3461,VII.A!$A$10:$D$199,4,FALSE))</f>
        <v/>
      </c>
      <c r="I3461" s="341" t="str">
        <f t="shared" si="900"/>
        <v/>
      </c>
      <c r="J3461" s="341" t="str">
        <f>IF(A3461="","",VLOOKUP(A3461,VII.A!$A$10:$D$199,3,FALSE))</f>
        <v/>
      </c>
      <c r="K3461" s="342" t="str">
        <f t="shared" si="901"/>
        <v/>
      </c>
      <c r="L3461" s="380" t="str">
        <f>IF(C3461="","",G3419*C3461)</f>
        <v/>
      </c>
      <c r="M3461" s="381" t="str">
        <f>IF(A3461="","",VLOOKUP(A3461,VII.A!$A$10:$B$199,2,FALSE))</f>
        <v/>
      </c>
      <c r="N3461" s="342" t="str">
        <f t="shared" si="902"/>
        <v/>
      </c>
      <c r="R3461" s="341"/>
      <c r="S3461" s="341"/>
    </row>
    <row r="3462" spans="1:25" ht="12.75" customHeight="1">
      <c r="A3462" s="393"/>
      <c r="B3462" s="395" t="s">
        <v>226</v>
      </c>
      <c r="C3462" s="396"/>
      <c r="D3462" s="397"/>
      <c r="E3462" s="398"/>
      <c r="F3462" s="399">
        <f>SUM(F3455:F3461)</f>
        <v>0</v>
      </c>
      <c r="J3462" s="341"/>
      <c r="L3462" s="380"/>
      <c r="M3462" s="381"/>
      <c r="N3462" s="342"/>
      <c r="R3462" s="341"/>
      <c r="S3462" s="341"/>
    </row>
    <row r="3463" spans="1:25" ht="12.75" customHeight="1">
      <c r="A3463" s="393"/>
      <c r="B3463" s="400" t="s">
        <v>229</v>
      </c>
      <c r="C3463" s="2">
        <f>IX.A!$C$45</f>
        <v>0</v>
      </c>
      <c r="D3463" s="401"/>
      <c r="E3463" s="402"/>
      <c r="F3463" s="403">
        <f>ROUND(F3462*C3463,2)</f>
        <v>0</v>
      </c>
      <c r="J3463" s="341"/>
      <c r="L3463" s="380"/>
      <c r="M3463" s="381"/>
      <c r="N3463" s="342"/>
      <c r="R3463" s="341"/>
      <c r="S3463" s="341"/>
    </row>
    <row r="3464" spans="1:25" ht="12.75" customHeight="1">
      <c r="A3464" s="393"/>
      <c r="B3464" s="400" t="s">
        <v>53</v>
      </c>
      <c r="C3464" s="2">
        <f>$D$8</f>
        <v>0</v>
      </c>
      <c r="D3464" s="401"/>
      <c r="E3464" s="402"/>
      <c r="F3464" s="403">
        <f>ROUND(SUM(F3462:F3463)*C3464,2)</f>
        <v>0</v>
      </c>
      <c r="J3464" s="341"/>
      <c r="L3464" s="380"/>
      <c r="M3464" s="381"/>
      <c r="N3464" s="342"/>
      <c r="R3464" s="341"/>
      <c r="S3464" s="341"/>
    </row>
    <row r="3465" spans="1:25" ht="12.75" customHeight="1" thickBot="1">
      <c r="A3465" s="414"/>
      <c r="B3465" s="415" t="s">
        <v>230</v>
      </c>
      <c r="C3465" s="416"/>
      <c r="D3465" s="416"/>
      <c r="E3465" s="417"/>
      <c r="F3465" s="418">
        <f>SUM(F3462:F3464)</f>
        <v>0</v>
      </c>
      <c r="J3465" s="341"/>
      <c r="L3465" s="380"/>
      <c r="M3465" s="381"/>
      <c r="N3465" s="342"/>
      <c r="R3465" s="341"/>
      <c r="S3465" s="341"/>
    </row>
    <row r="3466" spans="1:25" ht="12.75" customHeight="1" thickBot="1">
      <c r="A3466" s="357"/>
      <c r="B3466" s="358"/>
      <c r="C3466" s="359"/>
      <c r="D3466" s="359"/>
      <c r="E3466" s="360"/>
      <c r="F3466" s="419"/>
      <c r="J3466" s="341"/>
      <c r="L3466" s="380"/>
      <c r="M3466" s="381"/>
      <c r="N3466" s="342"/>
      <c r="R3466" s="341"/>
      <c r="S3466" s="341"/>
    </row>
    <row r="3467" spans="1:25" ht="30" customHeight="1">
      <c r="A3467" s="370" t="str">
        <f>IV.A!$A$108</f>
        <v>3.11.1</v>
      </c>
      <c r="B3467" s="371" t="str">
        <f>IV.A!B108</f>
        <v xml:space="preserve">VIDRO FANTASIA, COLOCADO EM CAIXILIO COM OU SEM BAGUETE, DUAS DEMÃOS DE MASSA E= 4 MM </v>
      </c>
      <c r="C3467" s="871" t="s">
        <v>237</v>
      </c>
      <c r="D3467" s="872"/>
      <c r="E3467" s="372" t="str">
        <f>IV.A!C108</f>
        <v>M2</v>
      </c>
      <c r="F3467" s="11">
        <f>ROUND(F3487+F3501+F3513,2)</f>
        <v>0</v>
      </c>
      <c r="G3467" s="1">
        <f>VLOOKUP(A3467,IV.A!$A$16:$L$172,4,FALSE)</f>
        <v>16</v>
      </c>
      <c r="H3467" s="361">
        <f>SUM(F3469:F3484)+F3486</f>
        <v>0</v>
      </c>
      <c r="I3467" s="361">
        <f>SUM(F3489:F3498)+F3500</f>
        <v>0</v>
      </c>
      <c r="J3467" s="361">
        <f>SUM(F3503:F3509)+F3511+F3512</f>
        <v>0</v>
      </c>
      <c r="K3467" s="361">
        <f>SUM(H3467:J3467)</f>
        <v>0</v>
      </c>
      <c r="L3467" s="362" t="str">
        <f>IF(K3467=F3467,"SIM","NÃO")</f>
        <v>SIM</v>
      </c>
      <c r="M3467" s="373">
        <f>ROUND(SUM(F3469:F3484),2)+ROUND(SUM(F3469:F3484)*C3486,2)+ROUND(SUM(F3489:F3498)*C3500,2)+ROUND(SUM(F3489:F3498),2)+ROUND(SUM(F3503:F3509)*C3511,2)+ROUND((SUM(F3503:F3509)+ROUND(SUM(F3503:F3509)*C3511,2))*C3512,2)+ROUND(SUM(F3503:F3509),2)</f>
        <v>0</v>
      </c>
      <c r="N3467" s="343" t="str">
        <f>IF(M3467=F3467,"SIM","NÃO")</f>
        <v>SIM</v>
      </c>
      <c r="O3467" s="364" t="str">
        <f>VLOOKUP(A3467,IV.A!$A$16:$E$172,3,FALSE)</f>
        <v>M2</v>
      </c>
      <c r="P3467" s="344" t="str">
        <f>IF(O3467=E3467,"SIM","NÃO")</f>
        <v>SIM</v>
      </c>
      <c r="Q3467" s="365">
        <f>ROUND(G3467*F3487,2)+ROUND(G3467*F3501,2)+ROUND(G3467*F3513,2)</f>
        <v>0</v>
      </c>
      <c r="R3467" s="364">
        <f>VLOOKUP(A3467,IV.A!$A$16:$L$172,12,FALSE)</f>
        <v>0</v>
      </c>
      <c r="S3467" s="366" t="str">
        <f>IF(Q3467=R3467,"si","no")</f>
        <v>si</v>
      </c>
      <c r="T3467" s="367">
        <f>SUM(L3469:L3484)+SUM(L3489:L3498)+SUM(L3503:L3509)</f>
        <v>54.4</v>
      </c>
      <c r="U3467" s="341">
        <f>(SUM(C3469:C3484)+SUM(C3489:C3498)+SUM(C3503:C3509))*G3467</f>
        <v>54.4</v>
      </c>
      <c r="V3467" s="368" t="str">
        <f>IF(T3467=U3467,"si","no")</f>
        <v>si</v>
      </c>
      <c r="W3467" s="369">
        <f>SUM(F3469:F3484)</f>
        <v>0</v>
      </c>
      <c r="X3467" s="369">
        <f>SUM(F3489:F3498)</f>
        <v>0</v>
      </c>
      <c r="Y3467" s="369">
        <f>SUM(F3503:F3509)</f>
        <v>0</v>
      </c>
    </row>
    <row r="3468" spans="1:25" ht="12.75" customHeight="1">
      <c r="A3468" s="374" t="s">
        <v>14</v>
      </c>
      <c r="B3468" s="375" t="s">
        <v>132</v>
      </c>
      <c r="C3468" s="376" t="s">
        <v>231</v>
      </c>
      <c r="D3468" s="376" t="s">
        <v>232</v>
      </c>
      <c r="E3468" s="377" t="s">
        <v>233</v>
      </c>
      <c r="F3468" s="378" t="s">
        <v>234</v>
      </c>
      <c r="G3468" s="379"/>
      <c r="J3468" s="341"/>
      <c r="L3468" s="380"/>
      <c r="M3468" s="381"/>
      <c r="N3468" s="342"/>
      <c r="O3468" s="382"/>
      <c r="P3468" s="383"/>
      <c r="Q3468" s="383"/>
      <c r="R3468" s="383"/>
      <c r="S3468" s="383"/>
      <c r="T3468" s="382"/>
      <c r="U3468" s="341"/>
      <c r="V3468" s="384"/>
      <c r="W3468" s="384"/>
      <c r="X3468" s="384"/>
      <c r="Y3468" s="384"/>
    </row>
    <row r="3469" spans="1:25" ht="12.75" customHeight="1">
      <c r="A3469" s="450" t="str">
        <f>VII.A!$A$73</f>
        <v>1.64</v>
      </c>
      <c r="B3469" s="386" t="str">
        <f>VLOOKUP(A3469,VII.A!$A$10:$G$199,2,FALSE)</f>
        <v>MASSA PARA VIDRO COMUM</v>
      </c>
      <c r="C3469" s="20">
        <v>1.5</v>
      </c>
      <c r="D3469" s="342" t="str">
        <f>VLOOKUP(A3469,VII.A!$A$10:$G$199,3,FALSE)</f>
        <v>KG</v>
      </c>
      <c r="E3469" s="387">
        <f>VII.A!$D$73</f>
        <v>0</v>
      </c>
      <c r="F3469" s="388">
        <f>ROUND(C3469*E3469,2)</f>
        <v>0</v>
      </c>
      <c r="H3469" s="341">
        <f>IF(A3469="","",VLOOKUP(A3469,VII.A!$A$10:$D$199,4,FALSE))</f>
        <v>0</v>
      </c>
      <c r="I3469" s="341" t="str">
        <f t="shared" ref="I3469:I3484" si="903">IF(A3469="","",IF(E3469=H3469,"SIM","NÃO"))</f>
        <v>SIM</v>
      </c>
      <c r="J3469" s="341" t="str">
        <f>IF(A3469="","",VLOOKUP(A3469,VII.A!$A$10:$D$199,3,FALSE))</f>
        <v>KG</v>
      </c>
      <c r="K3469" s="342" t="str">
        <f t="shared" ref="K3469:K3484" si="904">IF(A3469="","",IF(J3469=D3469,"SIM","NÃO"))</f>
        <v>SIM</v>
      </c>
      <c r="L3469" s="380">
        <f>IF(C3469="","",G3467*C3469)</f>
        <v>24</v>
      </c>
      <c r="M3469" s="381" t="str">
        <f>IF(A3469="","",VLOOKUP(A3469,VII.A!$A$10:$B$199,2,FALSE))</f>
        <v>MASSA PARA VIDRO COMUM</v>
      </c>
      <c r="N3469" s="342" t="str">
        <f t="shared" ref="N3469:N3484" si="905">IF(B3469="","",IF(M3469=B3469,"si","no"))</f>
        <v>si</v>
      </c>
      <c r="R3469" s="341"/>
      <c r="S3469" s="341"/>
    </row>
    <row r="3470" spans="1:25" ht="12.75" customHeight="1">
      <c r="A3470" s="385" t="str">
        <f>VII.A!$A$125</f>
        <v>1.115</v>
      </c>
      <c r="B3470" s="386" t="str">
        <f>VLOOKUP(A3470,VII.A!$A$10:$G$199,2,FALSE)</f>
        <v>VIDRO MARTELADO OU CANELADO, 4 MM</v>
      </c>
      <c r="C3470" s="20">
        <v>1</v>
      </c>
      <c r="D3470" s="342" t="str">
        <f>VLOOKUP(A3470,VII.A!$A$10:$G$199,3,FALSE)</f>
        <v>M2</v>
      </c>
      <c r="E3470" s="387">
        <f>VII.A!$D$125</f>
        <v>0</v>
      </c>
      <c r="F3470" s="388">
        <f t="shared" ref="F3470:F3484" si="906">ROUND(C3470*E3470,2)</f>
        <v>0</v>
      </c>
      <c r="H3470" s="341">
        <f>IF(A3470="","",VLOOKUP(A3470,VII.A!$A$10:$D$199,4,FALSE))</f>
        <v>0</v>
      </c>
      <c r="I3470" s="341" t="str">
        <f t="shared" si="903"/>
        <v>SIM</v>
      </c>
      <c r="J3470" s="341" t="str">
        <f>IF(A3470="","",VLOOKUP(A3470,VII.A!$A$10:$D$199,3,FALSE))</f>
        <v>M2</v>
      </c>
      <c r="K3470" s="342" t="str">
        <f t="shared" si="904"/>
        <v>SIM</v>
      </c>
      <c r="L3470" s="380">
        <f>IF(C3470="","",G3467*C3470)</f>
        <v>16</v>
      </c>
      <c r="M3470" s="381" t="str">
        <f>IF(A3470="","",VLOOKUP(A3470,VII.A!$A$10:$B$199,2,FALSE))</f>
        <v>VIDRO MARTELADO OU CANELADO, 4 MM</v>
      </c>
      <c r="N3470" s="342" t="str">
        <f t="shared" si="905"/>
        <v>si</v>
      </c>
      <c r="R3470" s="341"/>
      <c r="S3470" s="341"/>
    </row>
    <row r="3471" spans="1:25" ht="12.75" customHeight="1">
      <c r="A3471" s="385"/>
      <c r="B3471" s="386"/>
      <c r="C3471" s="20"/>
      <c r="D3471" s="342"/>
      <c r="E3471" s="387"/>
      <c r="F3471" s="388">
        <f t="shared" si="906"/>
        <v>0</v>
      </c>
      <c r="H3471" s="341" t="str">
        <f>IF(A3471="","",VLOOKUP(A3471,VII.A!$A$10:$D$199,4,FALSE))</f>
        <v/>
      </c>
      <c r="I3471" s="341" t="str">
        <f t="shared" si="903"/>
        <v/>
      </c>
      <c r="J3471" s="341" t="str">
        <f>IF(A3471="","",VLOOKUP(A3471,VII.A!$A$10:$D$199,3,FALSE))</f>
        <v/>
      </c>
      <c r="K3471" s="342" t="str">
        <f t="shared" si="904"/>
        <v/>
      </c>
      <c r="L3471" s="380" t="str">
        <f>IF(C3471="","",G3467*C3471)</f>
        <v/>
      </c>
      <c r="M3471" s="381" t="str">
        <f>IF(A3471="","",VLOOKUP(A3471,VII.A!$A$10:$B$199,2,FALSE))</f>
        <v/>
      </c>
      <c r="N3471" s="342" t="str">
        <f t="shared" si="905"/>
        <v/>
      </c>
      <c r="R3471" s="341"/>
      <c r="S3471" s="341"/>
    </row>
    <row r="3472" spans="1:25" ht="12.75" customHeight="1">
      <c r="A3472" s="385"/>
      <c r="B3472" s="386"/>
      <c r="C3472" s="20"/>
      <c r="D3472" s="342"/>
      <c r="E3472" s="387"/>
      <c r="F3472" s="388">
        <f t="shared" si="906"/>
        <v>0</v>
      </c>
      <c r="H3472" s="341" t="str">
        <f>IF(A3472="","",VLOOKUP(A3472,VII.A!$A$10:$D$199,4,FALSE))</f>
        <v/>
      </c>
      <c r="I3472" s="341" t="str">
        <f t="shared" si="903"/>
        <v/>
      </c>
      <c r="J3472" s="341" t="str">
        <f>IF(A3472="","",VLOOKUP(A3472,VII.A!$A$10:$D$199,3,FALSE))</f>
        <v/>
      </c>
      <c r="K3472" s="342" t="str">
        <f t="shared" si="904"/>
        <v/>
      </c>
      <c r="L3472" s="380" t="str">
        <f>IF(C3472="","",G3467*C3472)</f>
        <v/>
      </c>
      <c r="M3472" s="381" t="str">
        <f>IF(A3472="","",VLOOKUP(A3472,VII.A!$A$10:$B$199,2,FALSE))</f>
        <v/>
      </c>
      <c r="N3472" s="342" t="str">
        <f t="shared" si="905"/>
        <v/>
      </c>
      <c r="R3472" s="341"/>
      <c r="S3472" s="341"/>
    </row>
    <row r="3473" spans="1:21" ht="12.75" customHeight="1">
      <c r="A3473" s="385"/>
      <c r="B3473" s="386"/>
      <c r="C3473" s="20"/>
      <c r="D3473" s="342"/>
      <c r="E3473" s="387"/>
      <c r="F3473" s="388">
        <f t="shared" si="906"/>
        <v>0</v>
      </c>
      <c r="H3473" s="341" t="str">
        <f>IF(A3473="","",VLOOKUP(A3473,VII.A!$A$10:$D$199,4,FALSE))</f>
        <v/>
      </c>
      <c r="I3473" s="341" t="str">
        <f t="shared" si="903"/>
        <v/>
      </c>
      <c r="J3473" s="341" t="str">
        <f>IF(A3473="","",VLOOKUP(A3473,VII.A!$A$10:$D$199,3,FALSE))</f>
        <v/>
      </c>
      <c r="K3473" s="342" t="str">
        <f t="shared" si="904"/>
        <v/>
      </c>
      <c r="L3473" s="380" t="str">
        <f>IF(C3473="","",G3467*C3473)</f>
        <v/>
      </c>
      <c r="M3473" s="381" t="str">
        <f>IF(A3473="","",VLOOKUP(A3473,VII.A!$A$10:$B$199,2,FALSE))</f>
        <v/>
      </c>
      <c r="N3473" s="342" t="str">
        <f t="shared" si="905"/>
        <v/>
      </c>
      <c r="R3473" s="341"/>
      <c r="S3473" s="341"/>
    </row>
    <row r="3474" spans="1:21" ht="12.75" customHeight="1">
      <c r="A3474" s="385"/>
      <c r="B3474" s="386"/>
      <c r="C3474" s="20"/>
      <c r="D3474" s="342"/>
      <c r="E3474" s="387"/>
      <c r="F3474" s="388">
        <f t="shared" si="906"/>
        <v>0</v>
      </c>
      <c r="H3474" s="341" t="str">
        <f>IF(A3474="","",VLOOKUP(A3474,VII.A!$A$10:$D$199,4,FALSE))</f>
        <v/>
      </c>
      <c r="I3474" s="341" t="str">
        <f t="shared" si="903"/>
        <v/>
      </c>
      <c r="J3474" s="341" t="str">
        <f>IF(A3474="","",VLOOKUP(A3474,VII.A!$A$10:$D$199,3,FALSE))</f>
        <v/>
      </c>
      <c r="K3474" s="342" t="str">
        <f t="shared" si="904"/>
        <v/>
      </c>
      <c r="L3474" s="380" t="str">
        <f>IF(C3474="","",G3467*C3474)</f>
        <v/>
      </c>
      <c r="M3474" s="381" t="str">
        <f>IF(A3474="","",VLOOKUP(A3474,VII.A!$A$10:$B$199,2,FALSE))</f>
        <v/>
      </c>
      <c r="N3474" s="342" t="str">
        <f t="shared" si="905"/>
        <v/>
      </c>
      <c r="R3474" s="341"/>
      <c r="S3474" s="341"/>
      <c r="U3474" s="389"/>
    </row>
    <row r="3475" spans="1:21" ht="12.75" customHeight="1">
      <c r="A3475" s="385"/>
      <c r="B3475" s="386"/>
      <c r="C3475" s="20"/>
      <c r="D3475" s="342"/>
      <c r="E3475" s="387"/>
      <c r="F3475" s="388">
        <f t="shared" si="906"/>
        <v>0</v>
      </c>
      <c r="H3475" s="341" t="str">
        <f>IF(A3475="","",VLOOKUP(A3475,VII.A!$A$10:$D$199,4,FALSE))</f>
        <v/>
      </c>
      <c r="I3475" s="341" t="str">
        <f t="shared" si="903"/>
        <v/>
      </c>
      <c r="J3475" s="341" t="str">
        <f>IF(A3475="","",VLOOKUP(A3475,VII.A!$A$10:$D$199,3,FALSE))</f>
        <v/>
      </c>
      <c r="K3475" s="342" t="str">
        <f t="shared" si="904"/>
        <v/>
      </c>
      <c r="L3475" s="380" t="str">
        <f>IF(C3475="","",G3467*C3475)</f>
        <v/>
      </c>
      <c r="M3475" s="381" t="str">
        <f>IF(A3475="","",VLOOKUP(A3475,VII.A!$A$10:$B$199,2,FALSE))</f>
        <v/>
      </c>
      <c r="N3475" s="342" t="str">
        <f t="shared" si="905"/>
        <v/>
      </c>
      <c r="R3475" s="341"/>
      <c r="S3475" s="341"/>
    </row>
    <row r="3476" spans="1:21" ht="12.75" customHeight="1">
      <c r="A3476" s="385"/>
      <c r="B3476" s="386"/>
      <c r="C3476" s="20"/>
      <c r="D3476" s="342"/>
      <c r="E3476" s="387"/>
      <c r="F3476" s="388">
        <f t="shared" si="906"/>
        <v>0</v>
      </c>
      <c r="G3476" s="390"/>
      <c r="H3476" s="341" t="str">
        <f>IF(A3476="","",VLOOKUP(A3476,VII.A!$A$10:$D$199,4,FALSE))</f>
        <v/>
      </c>
      <c r="I3476" s="341" t="str">
        <f t="shared" si="903"/>
        <v/>
      </c>
      <c r="J3476" s="341" t="str">
        <f>IF(A3476="","",VLOOKUP(A3476,VII.A!$A$10:$D$199,3,FALSE))</f>
        <v/>
      </c>
      <c r="K3476" s="342" t="str">
        <f t="shared" si="904"/>
        <v/>
      </c>
      <c r="L3476" s="380" t="str">
        <f>IF(C3476="","",G3467*C3476)</f>
        <v/>
      </c>
      <c r="M3476" s="381" t="str">
        <f>IF(A3476="","",VLOOKUP(A3476,VII.A!$A$10:$B$199,2,FALSE))</f>
        <v/>
      </c>
      <c r="N3476" s="342" t="str">
        <f t="shared" si="905"/>
        <v/>
      </c>
      <c r="R3476" s="341"/>
      <c r="S3476" s="341"/>
    </row>
    <row r="3477" spans="1:21" ht="12.75" customHeight="1">
      <c r="A3477" s="385"/>
      <c r="B3477" s="386"/>
      <c r="C3477" s="20"/>
      <c r="D3477" s="342"/>
      <c r="E3477" s="387"/>
      <c r="F3477" s="388">
        <f t="shared" si="906"/>
        <v>0</v>
      </c>
      <c r="G3477" s="390"/>
      <c r="H3477" s="341" t="str">
        <f>IF(A3477="","",VLOOKUP(A3477,VII.A!$A$10:$D$199,4,FALSE))</f>
        <v/>
      </c>
      <c r="I3477" s="341" t="str">
        <f t="shared" si="903"/>
        <v/>
      </c>
      <c r="J3477" s="341" t="str">
        <f>IF(A3477="","",VLOOKUP(A3477,VII.A!$A$10:$D$199,3,FALSE))</f>
        <v/>
      </c>
      <c r="K3477" s="342" t="str">
        <f t="shared" si="904"/>
        <v/>
      </c>
      <c r="L3477" s="380" t="str">
        <f>IF(C3477="","",G3467*C3477)</f>
        <v/>
      </c>
      <c r="M3477" s="381" t="str">
        <f>IF(A3477="","",VLOOKUP(A3477,VII.A!$A$10:$B$199,2,FALSE))</f>
        <v/>
      </c>
      <c r="N3477" s="342" t="str">
        <f t="shared" si="905"/>
        <v/>
      </c>
      <c r="R3477" s="341"/>
      <c r="S3477" s="341"/>
    </row>
    <row r="3478" spans="1:21" ht="12.75" customHeight="1">
      <c r="A3478" s="385"/>
      <c r="B3478" s="386"/>
      <c r="C3478" s="20"/>
      <c r="D3478" s="342"/>
      <c r="E3478" s="387"/>
      <c r="F3478" s="388">
        <f t="shared" si="906"/>
        <v>0</v>
      </c>
      <c r="G3478" s="391"/>
      <c r="H3478" s="341" t="str">
        <f>IF(A3478="","",VLOOKUP(A3478,VII.A!$A$10:$D$199,4,FALSE))</f>
        <v/>
      </c>
      <c r="I3478" s="341" t="str">
        <f t="shared" si="903"/>
        <v/>
      </c>
      <c r="J3478" s="341" t="str">
        <f>IF(A3478="","",VLOOKUP(A3478,VII.A!$A$10:$D$199,3,FALSE))</f>
        <v/>
      </c>
      <c r="K3478" s="342" t="str">
        <f t="shared" si="904"/>
        <v/>
      </c>
      <c r="L3478" s="380" t="str">
        <f>IF(C3478="","",G3467*C3478)</f>
        <v/>
      </c>
      <c r="M3478" s="381" t="str">
        <f>IF(A3478="","",VLOOKUP(A3478,VII.A!$A$10:$B$199,2,FALSE))</f>
        <v/>
      </c>
      <c r="N3478" s="342" t="str">
        <f t="shared" si="905"/>
        <v/>
      </c>
      <c r="R3478" s="341"/>
      <c r="S3478" s="341"/>
    </row>
    <row r="3479" spans="1:21" ht="12.75" customHeight="1">
      <c r="A3479" s="385"/>
      <c r="B3479" s="386"/>
      <c r="C3479" s="20"/>
      <c r="D3479" s="342"/>
      <c r="E3479" s="387"/>
      <c r="F3479" s="388">
        <f t="shared" si="906"/>
        <v>0</v>
      </c>
      <c r="H3479" s="341" t="str">
        <f>IF(A3479="","",VLOOKUP(A3479,VII.A!$A$10:$D$199,4,FALSE))</f>
        <v/>
      </c>
      <c r="I3479" s="341" t="str">
        <f t="shared" si="903"/>
        <v/>
      </c>
      <c r="J3479" s="341" t="str">
        <f>IF(A3479="","",VLOOKUP(A3479,VII.A!$A$10:$D$199,3,FALSE))</f>
        <v/>
      </c>
      <c r="K3479" s="342" t="str">
        <f t="shared" si="904"/>
        <v/>
      </c>
      <c r="L3479" s="380" t="str">
        <f>IF(C3479="","",G3467*C3479)</f>
        <v/>
      </c>
      <c r="M3479" s="381" t="str">
        <f>IF(A3479="","",VLOOKUP(A3479,VII.A!$A$10:$B$199,2,FALSE))</f>
        <v/>
      </c>
      <c r="N3479" s="342" t="str">
        <f t="shared" si="905"/>
        <v/>
      </c>
      <c r="R3479" s="341"/>
      <c r="S3479" s="341"/>
    </row>
    <row r="3480" spans="1:21" ht="12.75" customHeight="1">
      <c r="A3480" s="385"/>
      <c r="B3480" s="386"/>
      <c r="C3480" s="20"/>
      <c r="D3480" s="392"/>
      <c r="E3480" s="387"/>
      <c r="F3480" s="388">
        <f t="shared" si="906"/>
        <v>0</v>
      </c>
      <c r="H3480" s="341" t="str">
        <f>IF(A3480="","",VLOOKUP(A3480,VII.A!$A$10:$D$199,4,FALSE))</f>
        <v/>
      </c>
      <c r="I3480" s="341" t="str">
        <f t="shared" si="903"/>
        <v/>
      </c>
      <c r="J3480" s="341" t="str">
        <f>IF(A3480="","",VLOOKUP(A3480,VII.A!$A$10:$D$199,3,FALSE))</f>
        <v/>
      </c>
      <c r="K3480" s="342" t="str">
        <f t="shared" si="904"/>
        <v/>
      </c>
      <c r="L3480" s="380" t="str">
        <f>IF(C3480="","",G3467*C3480)</f>
        <v/>
      </c>
      <c r="M3480" s="381" t="str">
        <f>IF(A3480="","",VLOOKUP(A3480,VII.A!$A$10:$B$199,2,FALSE))</f>
        <v/>
      </c>
      <c r="N3480" s="342" t="str">
        <f t="shared" si="905"/>
        <v/>
      </c>
      <c r="R3480" s="341"/>
      <c r="S3480" s="341"/>
    </row>
    <row r="3481" spans="1:21" ht="12.75" customHeight="1">
      <c r="A3481" s="385"/>
      <c r="B3481" s="386"/>
      <c r="C3481" s="20"/>
      <c r="D3481" s="392"/>
      <c r="E3481" s="387"/>
      <c r="F3481" s="388">
        <f t="shared" si="906"/>
        <v>0</v>
      </c>
      <c r="H3481" s="341" t="str">
        <f>IF(A3481="","",VLOOKUP(A3481,VII.A!$A$10:$D$199,4,FALSE))</f>
        <v/>
      </c>
      <c r="I3481" s="341" t="str">
        <f t="shared" si="903"/>
        <v/>
      </c>
      <c r="J3481" s="341" t="str">
        <f>IF(A3481="","",VLOOKUP(A3481,VII.A!$A$10:$D$199,3,FALSE))</f>
        <v/>
      </c>
      <c r="K3481" s="342" t="str">
        <f t="shared" si="904"/>
        <v/>
      </c>
      <c r="L3481" s="380" t="str">
        <f>IF(C3481="","",G3467*C3481)</f>
        <v/>
      </c>
      <c r="M3481" s="381" t="str">
        <f>IF(A3481="","",VLOOKUP(A3481,VII.A!$A$10:$B$199,2,FALSE))</f>
        <v/>
      </c>
      <c r="N3481" s="342" t="str">
        <f t="shared" si="905"/>
        <v/>
      </c>
      <c r="O3481" s="342"/>
      <c r="R3481" s="341"/>
      <c r="S3481" s="341"/>
    </row>
    <row r="3482" spans="1:21" ht="12.75" customHeight="1">
      <c r="A3482" s="385"/>
      <c r="B3482" s="386"/>
      <c r="C3482" s="20"/>
      <c r="D3482" s="392"/>
      <c r="E3482" s="387"/>
      <c r="F3482" s="388">
        <f t="shared" si="906"/>
        <v>0</v>
      </c>
      <c r="H3482" s="341" t="str">
        <f>IF(A3482="","",VLOOKUP(A3482,VII.A!$A$10:$D$199,4,FALSE))</f>
        <v/>
      </c>
      <c r="I3482" s="341" t="str">
        <f t="shared" si="903"/>
        <v/>
      </c>
      <c r="J3482" s="341" t="str">
        <f>IF(A3482="","",VLOOKUP(A3482,VII.A!$A$10:$D$199,3,FALSE))</f>
        <v/>
      </c>
      <c r="K3482" s="342" t="str">
        <f t="shared" si="904"/>
        <v/>
      </c>
      <c r="L3482" s="380" t="str">
        <f>IF(C3482="","",G3467*C3482)</f>
        <v/>
      </c>
      <c r="M3482" s="381" t="str">
        <f>IF(A3482="","",VLOOKUP(A3482,VII.A!$A$10:$B$199,2,FALSE))</f>
        <v/>
      </c>
      <c r="N3482" s="342" t="str">
        <f t="shared" si="905"/>
        <v/>
      </c>
      <c r="R3482" s="341"/>
      <c r="S3482" s="341"/>
    </row>
    <row r="3483" spans="1:21" ht="12.75" customHeight="1">
      <c r="A3483" s="393"/>
      <c r="C3483" s="20"/>
      <c r="E3483" s="387"/>
      <c r="F3483" s="388">
        <f t="shared" si="906"/>
        <v>0</v>
      </c>
      <c r="H3483" s="341" t="str">
        <f>IF(A3483="","",VLOOKUP(A3483,VII.A!$A$10:$D$199,4,FALSE))</f>
        <v/>
      </c>
      <c r="I3483" s="341" t="str">
        <f t="shared" si="903"/>
        <v/>
      </c>
      <c r="J3483" s="341" t="str">
        <f>IF(A3483="","",VLOOKUP(A3483,VII.A!$A$10:$D$199,3,FALSE))</f>
        <v/>
      </c>
      <c r="K3483" s="342" t="str">
        <f t="shared" si="904"/>
        <v/>
      </c>
      <c r="L3483" s="380" t="str">
        <f>IF(C3483="","",G3467*C3483)</f>
        <v/>
      </c>
      <c r="M3483" s="381" t="str">
        <f>IF(A3483="","",VLOOKUP(A3483,VII.A!$A$10:$B$199,2,FALSE))</f>
        <v/>
      </c>
      <c r="N3483" s="342" t="str">
        <f t="shared" si="905"/>
        <v/>
      </c>
      <c r="R3483" s="341"/>
      <c r="S3483" s="341"/>
    </row>
    <row r="3484" spans="1:21" ht="12.75" customHeight="1">
      <c r="A3484" s="393"/>
      <c r="C3484" s="20"/>
      <c r="E3484" s="387"/>
      <c r="F3484" s="388">
        <f t="shared" si="906"/>
        <v>0</v>
      </c>
      <c r="H3484" s="341" t="str">
        <f>IF(A3484="","",VLOOKUP(A3484,VII.A!$A$10:$D$199,4,FALSE))</f>
        <v/>
      </c>
      <c r="I3484" s="341" t="str">
        <f t="shared" si="903"/>
        <v/>
      </c>
      <c r="J3484" s="341" t="str">
        <f>IF(A3484="","",VLOOKUP(A3484,VII.A!$A$10:$D$199,3,FALSE))</f>
        <v/>
      </c>
      <c r="K3484" s="342" t="str">
        <f t="shared" si="904"/>
        <v/>
      </c>
      <c r="L3484" s="380" t="str">
        <f>IF(C3484="","",G3467*C3484)</f>
        <v/>
      </c>
      <c r="M3484" s="381" t="str">
        <f>IF(A3484="","",VLOOKUP(A3484,VII.A!$A$10:$B$199,2,FALSE))</f>
        <v/>
      </c>
      <c r="N3484" s="342" t="str">
        <f t="shared" si="905"/>
        <v/>
      </c>
      <c r="R3484" s="341"/>
      <c r="S3484" s="341"/>
    </row>
    <row r="3485" spans="1:21" ht="12.75" customHeight="1">
      <c r="A3485" s="393"/>
      <c r="B3485" s="395" t="s">
        <v>226</v>
      </c>
      <c r="C3485" s="396"/>
      <c r="D3485" s="397"/>
      <c r="E3485" s="398"/>
      <c r="F3485" s="399">
        <f>SUM(F3469:F3484)</f>
        <v>0</v>
      </c>
      <c r="H3485" s="426" t="s">
        <v>434</v>
      </c>
      <c r="J3485" s="341"/>
      <c r="L3485" s="380"/>
      <c r="M3485" s="381"/>
      <c r="N3485" s="342"/>
      <c r="R3485" s="341"/>
      <c r="S3485" s="341"/>
    </row>
    <row r="3486" spans="1:21" ht="12.75" customHeight="1">
      <c r="A3486" s="393"/>
      <c r="B3486" s="400" t="s">
        <v>53</v>
      </c>
      <c r="C3486" s="2">
        <f>$D$8</f>
        <v>0</v>
      </c>
      <c r="D3486" s="401"/>
      <c r="E3486" s="402"/>
      <c r="F3486" s="403">
        <f>ROUND(F3485*C3486,2)</f>
        <v>0</v>
      </c>
      <c r="H3486" s="426" t="s">
        <v>558</v>
      </c>
      <c r="J3486" s="341"/>
      <c r="L3486" s="380"/>
      <c r="M3486" s="381"/>
      <c r="N3486" s="342"/>
      <c r="R3486" s="341"/>
      <c r="S3486" s="341"/>
    </row>
    <row r="3487" spans="1:21" ht="12.75" customHeight="1">
      <c r="A3487" s="404"/>
      <c r="B3487" s="405" t="s">
        <v>227</v>
      </c>
      <c r="C3487" s="406"/>
      <c r="D3487" s="406"/>
      <c r="E3487" s="407"/>
      <c r="F3487" s="408">
        <f>F3485+F3486</f>
        <v>0</v>
      </c>
      <c r="J3487" s="341"/>
      <c r="L3487" s="380"/>
      <c r="M3487" s="381"/>
      <c r="N3487" s="342"/>
      <c r="R3487" s="341"/>
      <c r="S3487" s="341"/>
    </row>
    <row r="3488" spans="1:21" ht="12.75" customHeight="1">
      <c r="A3488" s="374" t="s">
        <v>2</v>
      </c>
      <c r="B3488" s="375" t="s">
        <v>235</v>
      </c>
      <c r="C3488" s="376" t="s">
        <v>231</v>
      </c>
      <c r="D3488" s="376" t="s">
        <v>232</v>
      </c>
      <c r="E3488" s="377" t="s">
        <v>233</v>
      </c>
      <c r="F3488" s="378" t="s">
        <v>234</v>
      </c>
      <c r="J3488" s="341"/>
      <c r="L3488" s="380"/>
      <c r="M3488" s="381"/>
      <c r="N3488" s="342"/>
      <c r="R3488" s="341"/>
      <c r="S3488" s="341"/>
    </row>
    <row r="3489" spans="1:19" ht="12.75" customHeight="1">
      <c r="A3489" s="393"/>
      <c r="B3489" s="423"/>
      <c r="C3489" s="20"/>
      <c r="E3489" s="387"/>
      <c r="F3489" s="388">
        <f t="shared" ref="F3489:F3498" si="907">ROUND(C3489*E3489,2)</f>
        <v>0</v>
      </c>
      <c r="H3489" s="341" t="str">
        <f>IF(A3489="","",VLOOKUP(A3489,VII.A!$A$10:$D$199,4,FALSE))</f>
        <v/>
      </c>
      <c r="I3489" s="341" t="str">
        <f t="shared" ref="I3489:I3498" si="908">IF(A3489="","",IF(E3489=H3489,"SIM","NÃO"))</f>
        <v/>
      </c>
      <c r="J3489" s="341" t="str">
        <f>IF(A3489="","",VLOOKUP(A3489,VII.A!$A$10:$D$199,3,FALSE))</f>
        <v/>
      </c>
      <c r="K3489" s="342" t="str">
        <f t="shared" ref="K3489:K3498" si="909">IF(A3489="","",IF(J3489=D3489,"SIM","NÃO"))</f>
        <v/>
      </c>
      <c r="L3489" s="380" t="str">
        <f>IF(C3489="","",G3467*C3489)</f>
        <v/>
      </c>
      <c r="M3489" s="381" t="str">
        <f>IF(A3489="","",VLOOKUP(A3489,VII.A!$A$10:$B$199,2,FALSE))</f>
        <v/>
      </c>
      <c r="N3489" s="342" t="str">
        <f t="shared" ref="N3489:N3498" si="910">IF(B3489="","",IF(M3489=B3489,"si","no"))</f>
        <v/>
      </c>
      <c r="R3489" s="341"/>
      <c r="S3489" s="341"/>
    </row>
    <row r="3490" spans="1:19" ht="12.75" customHeight="1">
      <c r="A3490" s="393"/>
      <c r="C3490" s="20"/>
      <c r="E3490" s="387"/>
      <c r="F3490" s="388">
        <f t="shared" si="907"/>
        <v>0</v>
      </c>
      <c r="H3490" s="341" t="str">
        <f>IF(A3490="","",VLOOKUP(A3490,VII.A!$A$10:$D$199,4,FALSE))</f>
        <v/>
      </c>
      <c r="I3490" s="341" t="str">
        <f t="shared" si="908"/>
        <v/>
      </c>
      <c r="J3490" s="341" t="str">
        <f>IF(A3490="","",VLOOKUP(A3490,VII.A!$A$10:$D$199,3,FALSE))</f>
        <v/>
      </c>
      <c r="K3490" s="342" t="str">
        <f t="shared" si="909"/>
        <v/>
      </c>
      <c r="L3490" s="380" t="str">
        <f>IF(C3490="","",G3467*C3490)</f>
        <v/>
      </c>
      <c r="M3490" s="381" t="str">
        <f>IF(A3490="","",VLOOKUP(A3490,VII.A!$A$10:$B$199,2,FALSE))</f>
        <v/>
      </c>
      <c r="N3490" s="342" t="str">
        <f t="shared" si="910"/>
        <v/>
      </c>
      <c r="R3490" s="341"/>
      <c r="S3490" s="341"/>
    </row>
    <row r="3491" spans="1:19" ht="12.75" customHeight="1">
      <c r="A3491" s="393"/>
      <c r="C3491" s="20"/>
      <c r="E3491" s="387"/>
      <c r="F3491" s="388">
        <f t="shared" si="907"/>
        <v>0</v>
      </c>
      <c r="H3491" s="341" t="str">
        <f>IF(A3491="","",VLOOKUP(A3491,VII.A!$A$10:$D$199,4,FALSE))</f>
        <v/>
      </c>
      <c r="I3491" s="341" t="str">
        <f t="shared" si="908"/>
        <v/>
      </c>
      <c r="J3491" s="341" t="str">
        <f>IF(A3491="","",VLOOKUP(A3491,VII.A!$A$10:$D$199,3,FALSE))</f>
        <v/>
      </c>
      <c r="K3491" s="342" t="str">
        <f t="shared" si="909"/>
        <v/>
      </c>
      <c r="L3491" s="380" t="str">
        <f>IF(C3491="","",G3467*C3491)</f>
        <v/>
      </c>
      <c r="M3491" s="381" t="str">
        <f>IF(A3491="","",VLOOKUP(A3491,VII.A!$A$10:$B$199,2,FALSE))</f>
        <v/>
      </c>
      <c r="N3491" s="342" t="str">
        <f t="shared" si="910"/>
        <v/>
      </c>
      <c r="R3491" s="341"/>
      <c r="S3491" s="341"/>
    </row>
    <row r="3492" spans="1:19" ht="12.75" customHeight="1">
      <c r="A3492" s="393"/>
      <c r="C3492" s="20"/>
      <c r="E3492" s="387"/>
      <c r="F3492" s="388">
        <f t="shared" si="907"/>
        <v>0</v>
      </c>
      <c r="H3492" s="341" t="str">
        <f>IF(A3492="","",VLOOKUP(A3492,VII.A!$A$10:$D$199,4,FALSE))</f>
        <v/>
      </c>
      <c r="I3492" s="341" t="str">
        <f t="shared" si="908"/>
        <v/>
      </c>
      <c r="J3492" s="341" t="str">
        <f>IF(A3492="","",VLOOKUP(A3492,VII.A!$A$10:$D$199,3,FALSE))</f>
        <v/>
      </c>
      <c r="K3492" s="342" t="str">
        <f t="shared" si="909"/>
        <v/>
      </c>
      <c r="L3492" s="380" t="str">
        <f>IF(C3492="","",G3467*C3492)</f>
        <v/>
      </c>
      <c r="M3492" s="381" t="str">
        <f>IF(A3492="","",VLOOKUP(A3492,VII.A!$A$10:$B$199,2,FALSE))</f>
        <v/>
      </c>
      <c r="N3492" s="342" t="str">
        <f t="shared" si="910"/>
        <v/>
      </c>
      <c r="R3492" s="341"/>
      <c r="S3492" s="341"/>
    </row>
    <row r="3493" spans="1:19" ht="12.75" customHeight="1">
      <c r="A3493" s="393"/>
      <c r="C3493" s="20"/>
      <c r="E3493" s="387"/>
      <c r="F3493" s="388">
        <f t="shared" si="907"/>
        <v>0</v>
      </c>
      <c r="G3493" s="390"/>
      <c r="H3493" s="341" t="str">
        <f>IF(A3493="","",VLOOKUP(A3493,VII.A!$A$10:$D$199,4,FALSE))</f>
        <v/>
      </c>
      <c r="I3493" s="341" t="str">
        <f t="shared" si="908"/>
        <v/>
      </c>
      <c r="J3493" s="341" t="str">
        <f>IF(A3493="","",VLOOKUP(A3493,VII.A!$A$10:$D$199,3,FALSE))</f>
        <v/>
      </c>
      <c r="K3493" s="342" t="str">
        <f t="shared" si="909"/>
        <v/>
      </c>
      <c r="L3493" s="380" t="str">
        <f>IF(C3493="","",G3467*C3493)</f>
        <v/>
      </c>
      <c r="M3493" s="381" t="str">
        <f>IF(A3493="","",VLOOKUP(A3493,VII.A!$A$10:$B$199,2,FALSE))</f>
        <v/>
      </c>
      <c r="N3493" s="342" t="str">
        <f t="shared" si="910"/>
        <v/>
      </c>
      <c r="R3493" s="341"/>
      <c r="S3493" s="341"/>
    </row>
    <row r="3494" spans="1:19" ht="12.75" customHeight="1">
      <c r="A3494" s="393"/>
      <c r="C3494" s="20"/>
      <c r="E3494" s="387"/>
      <c r="F3494" s="388">
        <f t="shared" si="907"/>
        <v>0</v>
      </c>
      <c r="G3494" s="391"/>
      <c r="H3494" s="341" t="str">
        <f>IF(A3494="","",VLOOKUP(A3494,VII.A!$A$10:$D$199,4,FALSE))</f>
        <v/>
      </c>
      <c r="I3494" s="341" t="str">
        <f t="shared" si="908"/>
        <v/>
      </c>
      <c r="J3494" s="341" t="str">
        <f>IF(A3494="","",VLOOKUP(A3494,VII.A!$A$10:$D$199,3,FALSE))</f>
        <v/>
      </c>
      <c r="K3494" s="342" t="str">
        <f t="shared" si="909"/>
        <v/>
      </c>
      <c r="L3494" s="380" t="str">
        <f>IF(C3494="","",G3467*C3494)</f>
        <v/>
      </c>
      <c r="M3494" s="381" t="str">
        <f>IF(A3494="","",VLOOKUP(A3494,VII.A!$A$10:$B$199,2,FALSE))</f>
        <v/>
      </c>
      <c r="N3494" s="342" t="str">
        <f t="shared" si="910"/>
        <v/>
      </c>
      <c r="R3494" s="341"/>
      <c r="S3494" s="341"/>
    </row>
    <row r="3495" spans="1:19" ht="12.75" customHeight="1">
      <c r="A3495" s="393"/>
      <c r="C3495" s="20"/>
      <c r="E3495" s="387"/>
      <c r="F3495" s="388">
        <f t="shared" si="907"/>
        <v>0</v>
      </c>
      <c r="H3495" s="341" t="str">
        <f>IF(A3495="","",VLOOKUP(A3495,VII.A!$A$10:$D$199,4,FALSE))</f>
        <v/>
      </c>
      <c r="I3495" s="341" t="str">
        <f t="shared" si="908"/>
        <v/>
      </c>
      <c r="J3495" s="341" t="str">
        <f>IF(A3495="","",VLOOKUP(A3495,VII.A!$A$10:$D$199,3,FALSE))</f>
        <v/>
      </c>
      <c r="K3495" s="342" t="str">
        <f t="shared" si="909"/>
        <v/>
      </c>
      <c r="L3495" s="380" t="str">
        <f>IF(C3495="","",G3467*C3495)</f>
        <v/>
      </c>
      <c r="M3495" s="381" t="str">
        <f>IF(A3495="","",VLOOKUP(A3495,VII.A!$A$10:$B$199,2,FALSE))</f>
        <v/>
      </c>
      <c r="N3495" s="342" t="str">
        <f t="shared" si="910"/>
        <v/>
      </c>
      <c r="R3495" s="341"/>
      <c r="S3495" s="341"/>
    </row>
    <row r="3496" spans="1:19" ht="12.75" customHeight="1">
      <c r="A3496" s="393"/>
      <c r="C3496" s="20"/>
      <c r="E3496" s="387"/>
      <c r="F3496" s="388">
        <f t="shared" si="907"/>
        <v>0</v>
      </c>
      <c r="H3496" s="341" t="str">
        <f>IF(A3496="","",VLOOKUP(A3496,VII.A!$A$10:$D$199,4,FALSE))</f>
        <v/>
      </c>
      <c r="I3496" s="341" t="str">
        <f t="shared" si="908"/>
        <v/>
      </c>
      <c r="J3496" s="341" t="str">
        <f>IF(A3496="","",VLOOKUP(A3496,VII.A!$A$10:$D$199,3,FALSE))</f>
        <v/>
      </c>
      <c r="K3496" s="342" t="str">
        <f t="shared" si="909"/>
        <v/>
      </c>
      <c r="L3496" s="380" t="str">
        <f>IF(C3496="","",G3467*C3496)</f>
        <v/>
      </c>
      <c r="M3496" s="381" t="str">
        <f>IF(A3496="","",VLOOKUP(A3496,VII.A!$A$10:$B$199,2,FALSE))</f>
        <v/>
      </c>
      <c r="N3496" s="342" t="str">
        <f t="shared" si="910"/>
        <v/>
      </c>
      <c r="R3496" s="341"/>
      <c r="S3496" s="341"/>
    </row>
    <row r="3497" spans="1:19" ht="12.75" customHeight="1">
      <c r="A3497" s="393"/>
      <c r="C3497" s="20"/>
      <c r="E3497" s="387"/>
      <c r="F3497" s="388">
        <f t="shared" si="907"/>
        <v>0</v>
      </c>
      <c r="H3497" s="341" t="str">
        <f>IF(A3497="","",VLOOKUP(A3497,VII.A!$A$10:$D$199,4,FALSE))</f>
        <v/>
      </c>
      <c r="I3497" s="341" t="str">
        <f t="shared" si="908"/>
        <v/>
      </c>
      <c r="J3497" s="341" t="str">
        <f>IF(A3497="","",VLOOKUP(A3497,VII.A!$A$10:$D$199,3,FALSE))</f>
        <v/>
      </c>
      <c r="K3497" s="342" t="str">
        <f t="shared" si="909"/>
        <v/>
      </c>
      <c r="L3497" s="380" t="str">
        <f>IF(C3497="","",G3467*C3497)</f>
        <v/>
      </c>
      <c r="M3497" s="381" t="str">
        <f>IF(A3497="","",VLOOKUP(A3497,VII.A!$A$10:$B$199,2,FALSE))</f>
        <v/>
      </c>
      <c r="N3497" s="342" t="str">
        <f t="shared" si="910"/>
        <v/>
      </c>
      <c r="R3497" s="341"/>
      <c r="S3497" s="341"/>
    </row>
    <row r="3498" spans="1:19" ht="12.75" customHeight="1">
      <c r="A3498" s="393"/>
      <c r="C3498" s="20"/>
      <c r="E3498" s="387"/>
      <c r="F3498" s="388">
        <f t="shared" si="907"/>
        <v>0</v>
      </c>
      <c r="H3498" s="341" t="str">
        <f>IF(A3498="","",VLOOKUP(A3498,VII.A!$A$10:$D$199,4,FALSE))</f>
        <v/>
      </c>
      <c r="I3498" s="341" t="str">
        <f t="shared" si="908"/>
        <v/>
      </c>
      <c r="J3498" s="341" t="str">
        <f>IF(A3498="","",VLOOKUP(A3498,VII.A!$A$10:$D$199,3,FALSE))</f>
        <v/>
      </c>
      <c r="K3498" s="342" t="str">
        <f t="shared" si="909"/>
        <v/>
      </c>
      <c r="L3498" s="380" t="str">
        <f>IF(C3498="","",G3467*C3498)</f>
        <v/>
      </c>
      <c r="M3498" s="381" t="str">
        <f>IF(A3498="","",VLOOKUP(A3498,VII.A!$A$10:$B$199,2,FALSE))</f>
        <v/>
      </c>
      <c r="N3498" s="342" t="str">
        <f t="shared" si="910"/>
        <v/>
      </c>
      <c r="R3498" s="341"/>
      <c r="S3498" s="341"/>
    </row>
    <row r="3499" spans="1:19" ht="12.75" customHeight="1">
      <c r="A3499" s="393"/>
      <c r="B3499" s="395" t="s">
        <v>226</v>
      </c>
      <c r="C3499" s="396"/>
      <c r="D3499" s="397"/>
      <c r="E3499" s="398"/>
      <c r="F3499" s="399">
        <f>SUM(F3489:F3498)</f>
        <v>0</v>
      </c>
      <c r="J3499" s="341"/>
      <c r="L3499" s="380"/>
      <c r="M3499" s="381"/>
      <c r="N3499" s="342"/>
      <c r="R3499" s="341"/>
      <c r="S3499" s="341"/>
    </row>
    <row r="3500" spans="1:19" ht="12.75" customHeight="1">
      <c r="A3500" s="393"/>
      <c r="B3500" s="400" t="s">
        <v>53</v>
      </c>
      <c r="C3500" s="2">
        <f>$D$8</f>
        <v>0</v>
      </c>
      <c r="D3500" s="401"/>
      <c r="E3500" s="402"/>
      <c r="F3500" s="403">
        <f>ROUND(C3500*F3499,2)</f>
        <v>0</v>
      </c>
      <c r="J3500" s="341"/>
      <c r="L3500" s="380"/>
      <c r="M3500" s="381"/>
      <c r="N3500" s="342"/>
      <c r="R3500" s="341"/>
      <c r="S3500" s="341"/>
    </row>
    <row r="3501" spans="1:19" ht="12.75" customHeight="1">
      <c r="A3501" s="404"/>
      <c r="B3501" s="405" t="s">
        <v>228</v>
      </c>
      <c r="C3501" s="406"/>
      <c r="D3501" s="406"/>
      <c r="E3501" s="407"/>
      <c r="F3501" s="408">
        <f>F3499+F3500</f>
        <v>0</v>
      </c>
      <c r="J3501" s="341"/>
      <c r="L3501" s="380"/>
      <c r="M3501" s="381"/>
      <c r="N3501" s="342"/>
      <c r="R3501" s="341"/>
      <c r="S3501" s="341"/>
    </row>
    <row r="3502" spans="1:19" ht="12.75" customHeight="1">
      <c r="A3502" s="409" t="s">
        <v>47</v>
      </c>
      <c r="B3502" s="410" t="s">
        <v>236</v>
      </c>
      <c r="C3502" s="411" t="s">
        <v>231</v>
      </c>
      <c r="D3502" s="412" t="s">
        <v>232</v>
      </c>
      <c r="E3502" s="413" t="s">
        <v>233</v>
      </c>
      <c r="F3502" s="378" t="s">
        <v>234</v>
      </c>
      <c r="J3502" s="341"/>
      <c r="L3502" s="380"/>
      <c r="M3502" s="381"/>
      <c r="N3502" s="342"/>
      <c r="R3502" s="341"/>
      <c r="S3502" s="341"/>
    </row>
    <row r="3503" spans="1:19" ht="12.75" customHeight="1">
      <c r="A3503" s="393" t="str">
        <f>VII.A!$A$198</f>
        <v>3.18</v>
      </c>
      <c r="B3503" s="394" t="s">
        <v>159</v>
      </c>
      <c r="C3503" s="20">
        <v>0.45</v>
      </c>
      <c r="D3503" s="384" t="str">
        <f>VLOOKUP(A3503,VII.A!$A$10:$G$199,3,FALSE)</f>
        <v>H</v>
      </c>
      <c r="E3503" s="387">
        <f>VII.A!$D$198</f>
        <v>0</v>
      </c>
      <c r="F3503" s="388">
        <f t="shared" ref="F3503:F3509" si="911">ROUND(C3503*E3503,2)</f>
        <v>0</v>
      </c>
      <c r="H3503" s="341">
        <f>IF(A3503="","",VLOOKUP(A3503,VII.A!$A$10:$D$199,4,FALSE))</f>
        <v>0</v>
      </c>
      <c r="I3503" s="341" t="str">
        <f t="shared" ref="I3503:I3509" si="912">IF(A3503="","",IF(E3503=H3503,"SIM","NÃO"))</f>
        <v>SIM</v>
      </c>
      <c r="J3503" s="341" t="str">
        <f>IF(A3503="","",VLOOKUP(A3503,VII.A!$A$10:$D$199,3,FALSE))</f>
        <v>H</v>
      </c>
      <c r="K3503" s="342" t="str">
        <f t="shared" ref="K3503:K3509" si="913">IF(A3503="","",IF(J3503=D3503,"SIM","NÃO"))</f>
        <v>SIM</v>
      </c>
      <c r="L3503" s="380">
        <f>IF(C3503="","",G3467*C3503)</f>
        <v>7.2</v>
      </c>
      <c r="M3503" s="381" t="str">
        <f>IF(A3503="","",VLOOKUP(A3503,VII.A!$A$10:$B$199,2,FALSE))</f>
        <v>VIDRACEIRO COM ENCARGOS COMPLEMENTARES</v>
      </c>
      <c r="N3503" s="342" t="str">
        <f t="shared" ref="N3503:N3509" si="914">IF(B3503="","",IF(M3503=B3503,"si","no"))</f>
        <v>si</v>
      </c>
      <c r="R3503" s="341"/>
      <c r="S3503" s="341"/>
    </row>
    <row r="3504" spans="1:19" ht="12.75" customHeight="1">
      <c r="A3504" s="393" t="str">
        <f>VII.A!$A$196</f>
        <v>3.16</v>
      </c>
      <c r="B3504" s="394" t="s">
        <v>157</v>
      </c>
      <c r="C3504" s="20">
        <v>0.45</v>
      </c>
      <c r="D3504" s="384" t="str">
        <f>VLOOKUP(A3504,VII.A!$A$10:$G$199,3,FALSE)</f>
        <v>H</v>
      </c>
      <c r="E3504" s="387">
        <f>VII.A!$D$196</f>
        <v>0</v>
      </c>
      <c r="F3504" s="388">
        <f t="shared" si="911"/>
        <v>0</v>
      </c>
      <c r="H3504" s="341">
        <f>IF(A3504="","",VLOOKUP(A3504,VII.A!$A$10:$D$199,4,FALSE))</f>
        <v>0</v>
      </c>
      <c r="I3504" s="341" t="str">
        <f t="shared" si="912"/>
        <v>SIM</v>
      </c>
      <c r="J3504" s="341" t="str">
        <f>IF(A3504="","",VLOOKUP(A3504,VII.A!$A$10:$D$199,3,FALSE))</f>
        <v>H</v>
      </c>
      <c r="K3504" s="342" t="str">
        <f t="shared" si="913"/>
        <v>SIM</v>
      </c>
      <c r="L3504" s="380">
        <f>IF(C3504="","",G3467*C3504)</f>
        <v>7.2</v>
      </c>
      <c r="M3504" s="381" t="str">
        <f>IF(A3504="","",VLOOKUP(A3504,VII.A!$A$10:$B$199,2,FALSE))</f>
        <v>SERVENTE COM ENCARGOS COMPLEMENTARES</v>
      </c>
      <c r="N3504" s="342" t="str">
        <f t="shared" si="914"/>
        <v>si</v>
      </c>
      <c r="R3504" s="341"/>
      <c r="S3504" s="341"/>
    </row>
    <row r="3505" spans="1:25" ht="12.75" customHeight="1">
      <c r="A3505" s="393"/>
      <c r="C3505" s="20"/>
      <c r="E3505" s="387"/>
      <c r="F3505" s="388">
        <f t="shared" si="911"/>
        <v>0</v>
      </c>
      <c r="H3505" s="341" t="str">
        <f>IF(A3505="","",VLOOKUP(A3505,VII.A!$A$10:$D$199,4,FALSE))</f>
        <v/>
      </c>
      <c r="I3505" s="341" t="str">
        <f t="shared" si="912"/>
        <v/>
      </c>
      <c r="J3505" s="341" t="str">
        <f>IF(A3505="","",VLOOKUP(A3505,VII.A!$A$10:$D$199,3,FALSE))</f>
        <v/>
      </c>
      <c r="K3505" s="342" t="str">
        <f t="shared" si="913"/>
        <v/>
      </c>
      <c r="L3505" s="380" t="str">
        <f>IF(C3505="","",G3467*C3505)</f>
        <v/>
      </c>
      <c r="M3505" s="381" t="str">
        <f>IF(A3505="","",VLOOKUP(A3505,VII.A!$A$10:$B$199,2,FALSE))</f>
        <v/>
      </c>
      <c r="N3505" s="342" t="str">
        <f t="shared" si="914"/>
        <v/>
      </c>
      <c r="R3505" s="341"/>
      <c r="S3505" s="341"/>
    </row>
    <row r="3506" spans="1:25" ht="12.75" customHeight="1">
      <c r="A3506" s="393"/>
      <c r="C3506" s="20"/>
      <c r="E3506" s="387"/>
      <c r="F3506" s="388">
        <f t="shared" si="911"/>
        <v>0</v>
      </c>
      <c r="H3506" s="341" t="str">
        <f>IF(A3506="","",VLOOKUP(A3506,VII.A!$A$10:$D$199,4,FALSE))</f>
        <v/>
      </c>
      <c r="I3506" s="341" t="str">
        <f t="shared" si="912"/>
        <v/>
      </c>
      <c r="J3506" s="341" t="str">
        <f>IF(A3506="","",VLOOKUP(A3506,VII.A!$A$10:$D$199,3,FALSE))</f>
        <v/>
      </c>
      <c r="K3506" s="342" t="str">
        <f t="shared" si="913"/>
        <v/>
      </c>
      <c r="L3506" s="380" t="str">
        <f>IF(C3506="","",G3467*C3506)</f>
        <v/>
      </c>
      <c r="M3506" s="381" t="str">
        <f>IF(A3506="","",VLOOKUP(A3506,VII.A!$A$10:$B$199,2,FALSE))</f>
        <v/>
      </c>
      <c r="N3506" s="342" t="str">
        <f t="shared" si="914"/>
        <v/>
      </c>
      <c r="R3506" s="341"/>
      <c r="S3506" s="341"/>
    </row>
    <row r="3507" spans="1:25" ht="12.75" customHeight="1">
      <c r="A3507" s="393"/>
      <c r="C3507" s="20"/>
      <c r="E3507" s="387"/>
      <c r="F3507" s="388">
        <f t="shared" si="911"/>
        <v>0</v>
      </c>
      <c r="H3507" s="341" t="str">
        <f>IF(A3507="","",VLOOKUP(A3507,VII.A!$A$10:$D$199,4,FALSE))</f>
        <v/>
      </c>
      <c r="I3507" s="341" t="str">
        <f t="shared" si="912"/>
        <v/>
      </c>
      <c r="J3507" s="341" t="str">
        <f>IF(A3507="","",VLOOKUP(A3507,VII.A!$A$10:$D$199,3,FALSE))</f>
        <v/>
      </c>
      <c r="K3507" s="342" t="str">
        <f t="shared" si="913"/>
        <v/>
      </c>
      <c r="L3507" s="380" t="str">
        <f>IF(C3507="","",G3467*C3507)</f>
        <v/>
      </c>
      <c r="M3507" s="381" t="str">
        <f>IF(A3507="","",VLOOKUP(A3507,VII.A!$A$10:$B$199,2,FALSE))</f>
        <v/>
      </c>
      <c r="N3507" s="342" t="str">
        <f t="shared" si="914"/>
        <v/>
      </c>
      <c r="R3507" s="341"/>
      <c r="S3507" s="341"/>
    </row>
    <row r="3508" spans="1:25" ht="12.75" customHeight="1">
      <c r="A3508" s="393"/>
      <c r="C3508" s="20"/>
      <c r="E3508" s="387"/>
      <c r="F3508" s="388">
        <f t="shared" si="911"/>
        <v>0</v>
      </c>
      <c r="H3508" s="341" t="str">
        <f>IF(A3508="","",VLOOKUP(A3508,VII.A!$A$10:$D$199,4,FALSE))</f>
        <v/>
      </c>
      <c r="I3508" s="341" t="str">
        <f t="shared" si="912"/>
        <v/>
      </c>
      <c r="J3508" s="341" t="str">
        <f>IF(A3508="","",VLOOKUP(A3508,VII.A!$A$10:$D$199,3,FALSE))</f>
        <v/>
      </c>
      <c r="K3508" s="342" t="str">
        <f t="shared" si="913"/>
        <v/>
      </c>
      <c r="L3508" s="380" t="str">
        <f>IF(C3508="","",G3467*C3508)</f>
        <v/>
      </c>
      <c r="M3508" s="381" t="str">
        <f>IF(A3508="","",VLOOKUP(A3508,VII.A!$A$10:$B$199,2,FALSE))</f>
        <v/>
      </c>
      <c r="N3508" s="342" t="str">
        <f t="shared" si="914"/>
        <v/>
      </c>
      <c r="R3508" s="341"/>
      <c r="S3508" s="341"/>
    </row>
    <row r="3509" spans="1:25" ht="12.75" customHeight="1">
      <c r="A3509" s="393"/>
      <c r="C3509" s="20"/>
      <c r="E3509" s="387"/>
      <c r="F3509" s="388">
        <f t="shared" si="911"/>
        <v>0</v>
      </c>
      <c r="H3509" s="341" t="str">
        <f>IF(A3509="","",VLOOKUP(A3509,VII.A!$A$10:$D$199,4,FALSE))</f>
        <v/>
      </c>
      <c r="I3509" s="341" t="str">
        <f t="shared" si="912"/>
        <v/>
      </c>
      <c r="J3509" s="341" t="str">
        <f>IF(A3509="","",VLOOKUP(A3509,VII.A!$A$10:$D$199,3,FALSE))</f>
        <v/>
      </c>
      <c r="K3509" s="342" t="str">
        <f t="shared" si="913"/>
        <v/>
      </c>
      <c r="L3509" s="380" t="str">
        <f>IF(C3509="","",G3467*C3509)</f>
        <v/>
      </c>
      <c r="M3509" s="381" t="str">
        <f>IF(A3509="","",VLOOKUP(A3509,VII.A!$A$10:$B$199,2,FALSE))</f>
        <v/>
      </c>
      <c r="N3509" s="342" t="str">
        <f t="shared" si="914"/>
        <v/>
      </c>
      <c r="R3509" s="341"/>
      <c r="S3509" s="341"/>
    </row>
    <row r="3510" spans="1:25" ht="12.75" customHeight="1">
      <c r="A3510" s="393"/>
      <c r="B3510" s="395" t="s">
        <v>226</v>
      </c>
      <c r="C3510" s="396"/>
      <c r="D3510" s="397"/>
      <c r="E3510" s="398"/>
      <c r="F3510" s="399">
        <f>SUM(F3503:F3509)</f>
        <v>0</v>
      </c>
      <c r="J3510" s="341"/>
      <c r="L3510" s="380"/>
      <c r="M3510" s="381"/>
      <c r="N3510" s="342"/>
      <c r="R3510" s="341"/>
      <c r="S3510" s="341"/>
    </row>
    <row r="3511" spans="1:25" ht="12.75" customHeight="1">
      <c r="A3511" s="393"/>
      <c r="B3511" s="400" t="s">
        <v>229</v>
      </c>
      <c r="C3511" s="2">
        <f>IX.A!$C$45</f>
        <v>0</v>
      </c>
      <c r="D3511" s="401"/>
      <c r="E3511" s="402"/>
      <c r="F3511" s="403">
        <f>ROUND(F3510*C3511,2)</f>
        <v>0</v>
      </c>
      <c r="J3511" s="341"/>
      <c r="L3511" s="380"/>
      <c r="M3511" s="381"/>
      <c r="N3511" s="342"/>
      <c r="R3511" s="341"/>
      <c r="S3511" s="341"/>
    </row>
    <row r="3512" spans="1:25" ht="12.75" customHeight="1">
      <c r="A3512" s="393"/>
      <c r="B3512" s="400" t="s">
        <v>53</v>
      </c>
      <c r="C3512" s="2">
        <f>$D$8</f>
        <v>0</v>
      </c>
      <c r="D3512" s="401"/>
      <c r="E3512" s="402"/>
      <c r="F3512" s="403">
        <f>ROUND(SUM(F3510:F3511)*C3512,2)</f>
        <v>0</v>
      </c>
      <c r="J3512" s="341"/>
      <c r="L3512" s="380"/>
      <c r="M3512" s="381"/>
      <c r="N3512" s="342"/>
      <c r="R3512" s="341"/>
      <c r="S3512" s="341"/>
    </row>
    <row r="3513" spans="1:25" ht="12.75" customHeight="1" thickBot="1">
      <c r="A3513" s="414"/>
      <c r="B3513" s="415" t="s">
        <v>230</v>
      </c>
      <c r="C3513" s="416"/>
      <c r="D3513" s="416"/>
      <c r="E3513" s="417"/>
      <c r="F3513" s="418">
        <f>SUM(F3510:F3512)</f>
        <v>0</v>
      </c>
      <c r="J3513" s="341"/>
      <c r="L3513" s="380"/>
      <c r="M3513" s="381"/>
      <c r="N3513" s="342"/>
      <c r="R3513" s="341"/>
      <c r="S3513" s="341"/>
    </row>
    <row r="3514" spans="1:25" ht="12.75" customHeight="1" thickBot="1">
      <c r="A3514" s="357"/>
      <c r="B3514" s="358"/>
      <c r="C3514" s="359"/>
      <c r="D3514" s="359"/>
      <c r="E3514" s="360"/>
      <c r="F3514" s="419"/>
      <c r="J3514" s="341"/>
      <c r="L3514" s="380"/>
      <c r="M3514" s="381"/>
      <c r="N3514" s="342"/>
      <c r="R3514" s="341"/>
      <c r="S3514" s="341"/>
    </row>
    <row r="3515" spans="1:25" ht="30" customHeight="1">
      <c r="A3515" s="370" t="str">
        <f>IV.A!$A$109</f>
        <v>3.11.2</v>
      </c>
      <c r="B3515" s="371" t="str">
        <f>IV.A!B109</f>
        <v xml:space="preserve">VIDRO COMUM LISO, COLOCADO EM CAIXILHO COM OU SEM BAGUETE, DUAS DEMÃOS DE MASSA E= 4 MM </v>
      </c>
      <c r="C3515" s="871" t="s">
        <v>237</v>
      </c>
      <c r="D3515" s="872"/>
      <c r="E3515" s="372" t="str">
        <f>IV.A!$C$109</f>
        <v>M2</v>
      </c>
      <c r="F3515" s="11">
        <f>ROUND(F3535+F3549+F3561,2)</f>
        <v>0</v>
      </c>
      <c r="G3515" s="1">
        <f>VLOOKUP(A3515,IV.A!$A$16:$L$172,4,FALSE)</f>
        <v>16</v>
      </c>
      <c r="H3515" s="361">
        <f>SUM(F3517:F3532)+F3534</f>
        <v>0</v>
      </c>
      <c r="I3515" s="361">
        <f>SUM(F3537:F3546)+F3548</f>
        <v>0</v>
      </c>
      <c r="J3515" s="361">
        <f>SUM(F3551:F3557)+F3559+F3560</f>
        <v>0</v>
      </c>
      <c r="K3515" s="361">
        <f>SUM(H3515:J3515)</f>
        <v>0</v>
      </c>
      <c r="L3515" s="362" t="str">
        <f>IF(K3515=F3515,"SIM","NÃO")</f>
        <v>SIM</v>
      </c>
      <c r="M3515" s="373">
        <f>ROUND(SUM(F3517:F3532),2)+ROUND(SUM(F3517:F3532)*C3534,2)+ROUND(SUM(F3537:F3546)*C3548,2)+ROUND(SUM(F3537:F3546),2)+ROUND(SUM(F3551:F3557)*C3559,2)+ROUND((SUM(F3551:F3557)+ROUND(SUM(F3551:F3557)*C3559,2))*C3560,2)+ROUND(SUM(F3551:F3557),2)</f>
        <v>0</v>
      </c>
      <c r="N3515" s="343" t="str">
        <f>IF(M3515=F3515,"SIM","NÃO")</f>
        <v>SIM</v>
      </c>
      <c r="O3515" s="364" t="str">
        <f>VLOOKUP(A3515,IV.A!$A$16:$E$172,3,FALSE)</f>
        <v>M2</v>
      </c>
      <c r="P3515" s="344" t="str">
        <f>IF(O3515=E3515,"SIM","NÃO")</f>
        <v>SIM</v>
      </c>
      <c r="Q3515" s="365">
        <f>ROUND(G3515*F3535,2)+ROUND(G3515*F3549,2)+ROUND(G3515*F3561,2)</f>
        <v>0</v>
      </c>
      <c r="R3515" s="364">
        <f>VLOOKUP(A3515,IV.A!$A$16:$L$172,12,FALSE)</f>
        <v>0</v>
      </c>
      <c r="S3515" s="366" t="str">
        <f>IF(Q3515=R3515,"si","no")</f>
        <v>si</v>
      </c>
      <c r="T3515" s="367">
        <f>SUM(L3517:L3532)+SUM(L3537:L3546)+SUM(L3551:L3557)</f>
        <v>52.8</v>
      </c>
      <c r="U3515" s="341">
        <f>(SUM(C3517:C3532)+SUM(C3537:C3546)+SUM(C3551:C3557))*G3515</f>
        <v>52.8</v>
      </c>
      <c r="V3515" s="368" t="str">
        <f>IF(T3515=U3515,"si","no")</f>
        <v>si</v>
      </c>
      <c r="W3515" s="369">
        <f>SUM(F3517:F3532)</f>
        <v>0</v>
      </c>
      <c r="X3515" s="369">
        <f>SUM(F3537:F3546)</f>
        <v>0</v>
      </c>
      <c r="Y3515" s="369">
        <f>SUM(F3551:F3557)</f>
        <v>0</v>
      </c>
    </row>
    <row r="3516" spans="1:25" ht="12.75" customHeight="1">
      <c r="A3516" s="374" t="s">
        <v>14</v>
      </c>
      <c r="B3516" s="375" t="s">
        <v>132</v>
      </c>
      <c r="C3516" s="376" t="s">
        <v>231</v>
      </c>
      <c r="D3516" s="376" t="s">
        <v>232</v>
      </c>
      <c r="E3516" s="377" t="s">
        <v>233</v>
      </c>
      <c r="F3516" s="378" t="s">
        <v>234</v>
      </c>
      <c r="G3516" s="379"/>
      <c r="J3516" s="341"/>
      <c r="L3516" s="380"/>
      <c r="M3516" s="381"/>
      <c r="N3516" s="342"/>
      <c r="O3516" s="382"/>
      <c r="P3516" s="383"/>
      <c r="Q3516" s="383"/>
      <c r="R3516" s="383"/>
      <c r="S3516" s="383"/>
      <c r="T3516" s="382"/>
      <c r="U3516" s="341"/>
      <c r="V3516" s="384"/>
      <c r="W3516" s="384"/>
      <c r="X3516" s="384"/>
      <c r="Y3516" s="384"/>
    </row>
    <row r="3517" spans="1:25" ht="12.75" customHeight="1">
      <c r="A3517" s="385" t="str">
        <f>VII.A!$A$73</f>
        <v>1.64</v>
      </c>
      <c r="B3517" s="386" t="str">
        <f>VLOOKUP(A3517,VII.A!$A$10:$G$199,2,FALSE)</f>
        <v>MASSA PARA VIDRO COMUM</v>
      </c>
      <c r="C3517" s="20">
        <v>1.5</v>
      </c>
      <c r="D3517" s="342" t="str">
        <f>VLOOKUP(A3517,VII.A!$A$10:$G$199,3,FALSE)</f>
        <v>KG</v>
      </c>
      <c r="E3517" s="387">
        <f>VII.A!D73</f>
        <v>0</v>
      </c>
      <c r="F3517" s="388">
        <f>ROUND(C3517*E3517,2)</f>
        <v>0</v>
      </c>
      <c r="H3517" s="341">
        <f>IF(A3517="","",VLOOKUP(A3517,VII.A!$A$10:$D$199,4,FALSE))</f>
        <v>0</v>
      </c>
      <c r="I3517" s="341" t="str">
        <f t="shared" ref="I3517:I3532" si="915">IF(A3517="","",IF(E3517=H3517,"SIM","NÃO"))</f>
        <v>SIM</v>
      </c>
      <c r="J3517" s="341" t="str">
        <f>IF(A3517="","",VLOOKUP(A3517,VII.A!$A$10:$D$199,3,FALSE))</f>
        <v>KG</v>
      </c>
      <c r="K3517" s="342" t="str">
        <f t="shared" ref="K3517:K3532" si="916">IF(A3517="","",IF(J3517=D3517,"SIM","NÃO"))</f>
        <v>SIM</v>
      </c>
      <c r="L3517" s="380">
        <f>IF(C3517="","",G3515*C3517)</f>
        <v>24</v>
      </c>
      <c r="M3517" s="381" t="str">
        <f>IF(A3517="","",VLOOKUP(A3517,VII.A!$A$10:$B$199,2,FALSE))</f>
        <v>MASSA PARA VIDRO COMUM</v>
      </c>
      <c r="N3517" s="342" t="str">
        <f t="shared" ref="N3517:N3532" si="917">IF(B3517="","",IF(M3517=B3517,"si","no"))</f>
        <v>si</v>
      </c>
      <c r="R3517" s="341"/>
      <c r="S3517" s="341"/>
    </row>
    <row r="3518" spans="1:25" ht="12.75" customHeight="1">
      <c r="A3518" s="385" t="str">
        <f>VII.A!$A$124</f>
        <v>1.114</v>
      </c>
      <c r="B3518" s="386" t="str">
        <f>VLOOKUP(A3518,VII.A!$A$10:$G$199,2,FALSE)</f>
        <v>VIDRO LISO INCOLOR 3MM</v>
      </c>
      <c r="C3518" s="20">
        <v>1</v>
      </c>
      <c r="D3518" s="342" t="str">
        <f>VLOOKUP(A3518,VII.A!$A$10:$G$199,3,FALSE)</f>
        <v>M2</v>
      </c>
      <c r="E3518" s="387">
        <f>VII.A!D124</f>
        <v>0</v>
      </c>
      <c r="F3518" s="388">
        <f t="shared" ref="F3518:F3532" si="918">ROUND(C3518*E3518,2)</f>
        <v>0</v>
      </c>
      <c r="H3518" s="341">
        <f>IF(A3518="","",VLOOKUP(A3518,VII.A!$A$10:$D$199,4,FALSE))</f>
        <v>0</v>
      </c>
      <c r="I3518" s="341" t="str">
        <f t="shared" si="915"/>
        <v>SIM</v>
      </c>
      <c r="J3518" s="341" t="str">
        <f>IF(A3518="","",VLOOKUP(A3518,VII.A!$A$10:$D$199,3,FALSE))</f>
        <v>M2</v>
      </c>
      <c r="K3518" s="342" t="str">
        <f t="shared" si="916"/>
        <v>SIM</v>
      </c>
      <c r="L3518" s="380">
        <f>IF(C3518="","",G3515*C3518)</f>
        <v>16</v>
      </c>
      <c r="M3518" s="381" t="str">
        <f>IF(A3518="","",VLOOKUP(A3518,VII.A!$A$10:$B$199,2,FALSE))</f>
        <v>VIDRO LISO INCOLOR 3MM</v>
      </c>
      <c r="N3518" s="342" t="str">
        <f t="shared" si="917"/>
        <v>si</v>
      </c>
      <c r="R3518" s="341"/>
      <c r="S3518" s="341"/>
    </row>
    <row r="3519" spans="1:25" ht="12.75" customHeight="1">
      <c r="A3519" s="385"/>
      <c r="B3519" s="386"/>
      <c r="C3519" s="20"/>
      <c r="D3519" s="342"/>
      <c r="E3519" s="387"/>
      <c r="F3519" s="388">
        <f t="shared" si="918"/>
        <v>0</v>
      </c>
      <c r="H3519" s="341" t="str">
        <f>IF(A3519="","",VLOOKUP(A3519,VII.A!$A$10:$D$199,4,FALSE))</f>
        <v/>
      </c>
      <c r="I3519" s="341" t="str">
        <f t="shared" si="915"/>
        <v/>
      </c>
      <c r="J3519" s="341" t="str">
        <f>IF(A3519="","",VLOOKUP(A3519,VII.A!$A$10:$D$199,3,FALSE))</f>
        <v/>
      </c>
      <c r="K3519" s="342" t="str">
        <f t="shared" si="916"/>
        <v/>
      </c>
      <c r="L3519" s="380" t="str">
        <f>IF(C3519="","",G3515*C3519)</f>
        <v/>
      </c>
      <c r="M3519" s="381" t="str">
        <f>IF(A3519="","",VLOOKUP(A3519,VII.A!$A$10:$B$199,2,FALSE))</f>
        <v/>
      </c>
      <c r="N3519" s="342" t="str">
        <f t="shared" si="917"/>
        <v/>
      </c>
      <c r="R3519" s="341"/>
      <c r="S3519" s="341"/>
    </row>
    <row r="3520" spans="1:25" ht="12.75" customHeight="1">
      <c r="A3520" s="385"/>
      <c r="B3520" s="386"/>
      <c r="C3520" s="20"/>
      <c r="D3520" s="342"/>
      <c r="E3520" s="387"/>
      <c r="F3520" s="388">
        <f t="shared" si="918"/>
        <v>0</v>
      </c>
      <c r="H3520" s="341" t="str">
        <f>IF(A3520="","",VLOOKUP(A3520,VII.A!$A$10:$D$199,4,FALSE))</f>
        <v/>
      </c>
      <c r="I3520" s="341" t="str">
        <f t="shared" si="915"/>
        <v/>
      </c>
      <c r="J3520" s="341" t="str">
        <f>IF(A3520="","",VLOOKUP(A3520,VII.A!$A$10:$D$199,3,FALSE))</f>
        <v/>
      </c>
      <c r="K3520" s="342" t="str">
        <f t="shared" si="916"/>
        <v/>
      </c>
      <c r="L3520" s="380" t="str">
        <f>IF(C3520="","",G3515*C3520)</f>
        <v/>
      </c>
      <c r="M3520" s="381" t="str">
        <f>IF(A3520="","",VLOOKUP(A3520,VII.A!$A$10:$B$199,2,FALSE))</f>
        <v/>
      </c>
      <c r="N3520" s="342" t="str">
        <f t="shared" si="917"/>
        <v/>
      </c>
      <c r="R3520" s="341"/>
      <c r="S3520" s="341"/>
    </row>
    <row r="3521" spans="1:21" ht="12.75" customHeight="1">
      <c r="A3521" s="385"/>
      <c r="B3521" s="386"/>
      <c r="C3521" s="20"/>
      <c r="D3521" s="342"/>
      <c r="E3521" s="387"/>
      <c r="F3521" s="388">
        <f t="shared" si="918"/>
        <v>0</v>
      </c>
      <c r="H3521" s="341" t="str">
        <f>IF(A3521="","",VLOOKUP(A3521,VII.A!$A$10:$D$199,4,FALSE))</f>
        <v/>
      </c>
      <c r="I3521" s="341" t="str">
        <f t="shared" si="915"/>
        <v/>
      </c>
      <c r="J3521" s="341" t="str">
        <f>IF(A3521="","",VLOOKUP(A3521,VII.A!$A$10:$D$199,3,FALSE))</f>
        <v/>
      </c>
      <c r="K3521" s="342" t="str">
        <f t="shared" si="916"/>
        <v/>
      </c>
      <c r="L3521" s="380" t="str">
        <f>IF(C3521="","",G3515*C3521)</f>
        <v/>
      </c>
      <c r="M3521" s="381" t="str">
        <f>IF(A3521="","",VLOOKUP(A3521,VII.A!$A$10:$B$199,2,FALSE))</f>
        <v/>
      </c>
      <c r="N3521" s="342" t="str">
        <f t="shared" si="917"/>
        <v/>
      </c>
      <c r="R3521" s="341"/>
      <c r="S3521" s="341"/>
    </row>
    <row r="3522" spans="1:21" ht="12.75" customHeight="1">
      <c r="A3522" s="385"/>
      <c r="B3522" s="386"/>
      <c r="C3522" s="20"/>
      <c r="D3522" s="342"/>
      <c r="E3522" s="387"/>
      <c r="F3522" s="388">
        <f t="shared" si="918"/>
        <v>0</v>
      </c>
      <c r="H3522" s="341" t="str">
        <f>IF(A3522="","",VLOOKUP(A3522,VII.A!$A$10:$D$199,4,FALSE))</f>
        <v/>
      </c>
      <c r="I3522" s="341" t="str">
        <f t="shared" si="915"/>
        <v/>
      </c>
      <c r="J3522" s="341" t="str">
        <f>IF(A3522="","",VLOOKUP(A3522,VII.A!$A$10:$D$199,3,FALSE))</f>
        <v/>
      </c>
      <c r="K3522" s="342" t="str">
        <f t="shared" si="916"/>
        <v/>
      </c>
      <c r="L3522" s="380" t="str">
        <f>IF(C3522="","",G3515*C3522)</f>
        <v/>
      </c>
      <c r="M3522" s="381" t="str">
        <f>IF(A3522="","",VLOOKUP(A3522,VII.A!$A$10:$B$199,2,FALSE))</f>
        <v/>
      </c>
      <c r="N3522" s="342" t="str">
        <f t="shared" si="917"/>
        <v/>
      </c>
      <c r="R3522" s="341"/>
      <c r="S3522" s="341"/>
      <c r="U3522" s="389"/>
    </row>
    <row r="3523" spans="1:21" ht="12.75" customHeight="1">
      <c r="A3523" s="385"/>
      <c r="B3523" s="386"/>
      <c r="C3523" s="20"/>
      <c r="D3523" s="342"/>
      <c r="E3523" s="387"/>
      <c r="F3523" s="388">
        <f t="shared" si="918"/>
        <v>0</v>
      </c>
      <c r="H3523" s="341" t="str">
        <f>IF(A3523="","",VLOOKUP(A3523,VII.A!$A$10:$D$199,4,FALSE))</f>
        <v/>
      </c>
      <c r="I3523" s="341" t="str">
        <f t="shared" si="915"/>
        <v/>
      </c>
      <c r="J3523" s="341" t="str">
        <f>IF(A3523="","",VLOOKUP(A3523,VII.A!$A$10:$D$199,3,FALSE))</f>
        <v/>
      </c>
      <c r="K3523" s="342" t="str">
        <f t="shared" si="916"/>
        <v/>
      </c>
      <c r="L3523" s="380" t="str">
        <f>IF(C3523="","",G3515*C3523)</f>
        <v/>
      </c>
      <c r="M3523" s="381" t="str">
        <f>IF(A3523="","",VLOOKUP(A3523,VII.A!$A$10:$B$199,2,FALSE))</f>
        <v/>
      </c>
      <c r="N3523" s="342" t="str">
        <f t="shared" si="917"/>
        <v/>
      </c>
      <c r="R3523" s="341"/>
      <c r="S3523" s="341"/>
    </row>
    <row r="3524" spans="1:21" ht="12.75" customHeight="1">
      <c r="A3524" s="385"/>
      <c r="B3524" s="386"/>
      <c r="C3524" s="20"/>
      <c r="D3524" s="342"/>
      <c r="E3524" s="387"/>
      <c r="F3524" s="388">
        <f t="shared" si="918"/>
        <v>0</v>
      </c>
      <c r="G3524" s="390"/>
      <c r="H3524" s="341" t="str">
        <f>IF(A3524="","",VLOOKUP(A3524,VII.A!$A$10:$D$199,4,FALSE))</f>
        <v/>
      </c>
      <c r="I3524" s="341" t="str">
        <f t="shared" si="915"/>
        <v/>
      </c>
      <c r="J3524" s="341" t="str">
        <f>IF(A3524="","",VLOOKUP(A3524,VII.A!$A$10:$D$199,3,FALSE))</f>
        <v/>
      </c>
      <c r="K3524" s="342" t="str">
        <f t="shared" si="916"/>
        <v/>
      </c>
      <c r="L3524" s="380" t="str">
        <f>IF(C3524="","",G3515*C3524)</f>
        <v/>
      </c>
      <c r="M3524" s="381" t="str">
        <f>IF(A3524="","",VLOOKUP(A3524,VII.A!$A$10:$B$199,2,FALSE))</f>
        <v/>
      </c>
      <c r="N3524" s="342" t="str">
        <f t="shared" si="917"/>
        <v/>
      </c>
      <c r="R3524" s="341"/>
      <c r="S3524" s="341"/>
    </row>
    <row r="3525" spans="1:21" ht="12.75" customHeight="1">
      <c r="A3525" s="385"/>
      <c r="B3525" s="386"/>
      <c r="C3525" s="20"/>
      <c r="D3525" s="342"/>
      <c r="E3525" s="387"/>
      <c r="F3525" s="388">
        <f t="shared" si="918"/>
        <v>0</v>
      </c>
      <c r="G3525" s="390"/>
      <c r="H3525" s="341" t="str">
        <f>IF(A3525="","",VLOOKUP(A3525,VII.A!$A$10:$D$199,4,FALSE))</f>
        <v/>
      </c>
      <c r="I3525" s="341" t="str">
        <f t="shared" si="915"/>
        <v/>
      </c>
      <c r="J3525" s="341" t="str">
        <f>IF(A3525="","",VLOOKUP(A3525,VII.A!$A$10:$D$199,3,FALSE))</f>
        <v/>
      </c>
      <c r="K3525" s="342" t="str">
        <f t="shared" si="916"/>
        <v/>
      </c>
      <c r="L3525" s="380" t="str">
        <f>IF(C3525="","",G3515*C3525)</f>
        <v/>
      </c>
      <c r="M3525" s="381" t="str">
        <f>IF(A3525="","",VLOOKUP(A3525,VII.A!$A$10:$B$199,2,FALSE))</f>
        <v/>
      </c>
      <c r="N3525" s="342" t="str">
        <f t="shared" si="917"/>
        <v/>
      </c>
      <c r="R3525" s="341"/>
      <c r="S3525" s="341"/>
    </row>
    <row r="3526" spans="1:21" ht="12.75" customHeight="1">
      <c r="A3526" s="385"/>
      <c r="B3526" s="386"/>
      <c r="C3526" s="20"/>
      <c r="D3526" s="342"/>
      <c r="E3526" s="387"/>
      <c r="F3526" s="388">
        <f t="shared" si="918"/>
        <v>0</v>
      </c>
      <c r="G3526" s="391"/>
      <c r="H3526" s="341" t="str">
        <f>IF(A3526="","",VLOOKUP(A3526,VII.A!$A$10:$D$199,4,FALSE))</f>
        <v/>
      </c>
      <c r="I3526" s="341" t="str">
        <f t="shared" si="915"/>
        <v/>
      </c>
      <c r="J3526" s="341" t="str">
        <f>IF(A3526="","",VLOOKUP(A3526,VII.A!$A$10:$D$199,3,FALSE))</f>
        <v/>
      </c>
      <c r="K3526" s="342" t="str">
        <f t="shared" si="916"/>
        <v/>
      </c>
      <c r="L3526" s="380" t="str">
        <f>IF(C3526="","",G3515*C3526)</f>
        <v/>
      </c>
      <c r="M3526" s="381" t="str">
        <f>IF(A3526="","",VLOOKUP(A3526,VII.A!$A$10:$B$199,2,FALSE))</f>
        <v/>
      </c>
      <c r="N3526" s="342" t="str">
        <f t="shared" si="917"/>
        <v/>
      </c>
      <c r="R3526" s="341"/>
      <c r="S3526" s="341"/>
    </row>
    <row r="3527" spans="1:21" ht="12.75" customHeight="1">
      <c r="A3527" s="385"/>
      <c r="B3527" s="386"/>
      <c r="C3527" s="20"/>
      <c r="D3527" s="342"/>
      <c r="E3527" s="387"/>
      <c r="F3527" s="388">
        <f t="shared" si="918"/>
        <v>0</v>
      </c>
      <c r="H3527" s="341" t="str">
        <f>IF(A3527="","",VLOOKUP(A3527,VII.A!$A$10:$D$199,4,FALSE))</f>
        <v/>
      </c>
      <c r="I3527" s="341" t="str">
        <f t="shared" si="915"/>
        <v/>
      </c>
      <c r="J3527" s="341" t="str">
        <f>IF(A3527="","",VLOOKUP(A3527,VII.A!$A$10:$D$199,3,FALSE))</f>
        <v/>
      </c>
      <c r="K3527" s="342" t="str">
        <f t="shared" si="916"/>
        <v/>
      </c>
      <c r="L3527" s="380" t="str">
        <f>IF(C3527="","",G3515*C3527)</f>
        <v/>
      </c>
      <c r="M3527" s="381" t="str">
        <f>IF(A3527="","",VLOOKUP(A3527,VII.A!$A$10:$B$199,2,FALSE))</f>
        <v/>
      </c>
      <c r="N3527" s="342" t="str">
        <f t="shared" si="917"/>
        <v/>
      </c>
      <c r="R3527" s="341"/>
      <c r="S3527" s="341"/>
    </row>
    <row r="3528" spans="1:21" ht="12.75" customHeight="1">
      <c r="A3528" s="385"/>
      <c r="B3528" s="386"/>
      <c r="C3528" s="20"/>
      <c r="D3528" s="392"/>
      <c r="E3528" s="387"/>
      <c r="F3528" s="388">
        <f t="shared" si="918"/>
        <v>0</v>
      </c>
      <c r="H3528" s="341" t="str">
        <f>IF(A3528="","",VLOOKUP(A3528,VII.A!$A$10:$D$199,4,FALSE))</f>
        <v/>
      </c>
      <c r="I3528" s="341" t="str">
        <f t="shared" si="915"/>
        <v/>
      </c>
      <c r="J3528" s="341" t="str">
        <f>IF(A3528="","",VLOOKUP(A3528,VII.A!$A$10:$D$199,3,FALSE))</f>
        <v/>
      </c>
      <c r="K3528" s="342" t="str">
        <f t="shared" si="916"/>
        <v/>
      </c>
      <c r="L3528" s="380" t="str">
        <f>IF(C3528="","",G3515*C3528)</f>
        <v/>
      </c>
      <c r="M3528" s="381" t="str">
        <f>IF(A3528="","",VLOOKUP(A3528,VII.A!$A$10:$B$199,2,FALSE))</f>
        <v/>
      </c>
      <c r="N3528" s="342" t="str">
        <f t="shared" si="917"/>
        <v/>
      </c>
      <c r="R3528" s="341"/>
      <c r="S3528" s="341"/>
    </row>
    <row r="3529" spans="1:21" ht="12.75" customHeight="1">
      <c r="A3529" s="385"/>
      <c r="B3529" s="386"/>
      <c r="C3529" s="20"/>
      <c r="D3529" s="392"/>
      <c r="E3529" s="387"/>
      <c r="F3529" s="388">
        <f t="shared" si="918"/>
        <v>0</v>
      </c>
      <c r="H3529" s="341" t="str">
        <f>IF(A3529="","",VLOOKUP(A3529,VII.A!$A$10:$D$199,4,FALSE))</f>
        <v/>
      </c>
      <c r="I3529" s="341" t="str">
        <f t="shared" si="915"/>
        <v/>
      </c>
      <c r="J3529" s="341" t="str">
        <f>IF(A3529="","",VLOOKUP(A3529,VII.A!$A$10:$D$199,3,FALSE))</f>
        <v/>
      </c>
      <c r="K3529" s="342" t="str">
        <f t="shared" si="916"/>
        <v/>
      </c>
      <c r="L3529" s="380" t="str">
        <f>IF(C3529="","",G3515*C3529)</f>
        <v/>
      </c>
      <c r="M3529" s="381" t="str">
        <f>IF(A3529="","",VLOOKUP(A3529,VII.A!$A$10:$B$199,2,FALSE))</f>
        <v/>
      </c>
      <c r="N3529" s="342" t="str">
        <f t="shared" si="917"/>
        <v/>
      </c>
      <c r="O3529" s="342"/>
      <c r="R3529" s="341"/>
      <c r="S3529" s="341"/>
    </row>
    <row r="3530" spans="1:21" ht="12.75" customHeight="1">
      <c r="A3530" s="385"/>
      <c r="B3530" s="386"/>
      <c r="C3530" s="20"/>
      <c r="D3530" s="392"/>
      <c r="E3530" s="387"/>
      <c r="F3530" s="388">
        <f t="shared" si="918"/>
        <v>0</v>
      </c>
      <c r="H3530" s="341" t="str">
        <f>IF(A3530="","",VLOOKUP(A3530,VII.A!$A$10:$D$199,4,FALSE))</f>
        <v/>
      </c>
      <c r="I3530" s="341" t="str">
        <f t="shared" si="915"/>
        <v/>
      </c>
      <c r="J3530" s="341" t="str">
        <f>IF(A3530="","",VLOOKUP(A3530,VII.A!$A$10:$D$199,3,FALSE))</f>
        <v/>
      </c>
      <c r="K3530" s="342" t="str">
        <f t="shared" si="916"/>
        <v/>
      </c>
      <c r="L3530" s="380" t="str">
        <f>IF(C3530="","",G3515*C3530)</f>
        <v/>
      </c>
      <c r="M3530" s="381" t="str">
        <f>IF(A3530="","",VLOOKUP(A3530,VII.A!$A$10:$B$199,2,FALSE))</f>
        <v/>
      </c>
      <c r="N3530" s="342" t="str">
        <f t="shared" si="917"/>
        <v/>
      </c>
      <c r="R3530" s="341"/>
      <c r="S3530" s="341"/>
    </row>
    <row r="3531" spans="1:21" ht="12.75" customHeight="1">
      <c r="A3531" s="393"/>
      <c r="C3531" s="20"/>
      <c r="E3531" s="387"/>
      <c r="F3531" s="388">
        <f t="shared" si="918"/>
        <v>0</v>
      </c>
      <c r="H3531" s="341" t="str">
        <f>IF(A3531="","",VLOOKUP(A3531,VII.A!$A$10:$D$199,4,FALSE))</f>
        <v/>
      </c>
      <c r="I3531" s="341" t="str">
        <f t="shared" si="915"/>
        <v/>
      </c>
      <c r="J3531" s="341" t="str">
        <f>IF(A3531="","",VLOOKUP(A3531,VII.A!$A$10:$D$199,3,FALSE))</f>
        <v/>
      </c>
      <c r="K3531" s="342" t="str">
        <f t="shared" si="916"/>
        <v/>
      </c>
      <c r="L3531" s="380" t="str">
        <f>IF(C3531="","",G3515*C3531)</f>
        <v/>
      </c>
      <c r="M3531" s="381" t="str">
        <f>IF(A3531="","",VLOOKUP(A3531,VII.A!$A$10:$B$199,2,FALSE))</f>
        <v/>
      </c>
      <c r="N3531" s="342" t="str">
        <f t="shared" si="917"/>
        <v/>
      </c>
      <c r="R3531" s="341"/>
      <c r="S3531" s="341"/>
    </row>
    <row r="3532" spans="1:21" ht="12.75" customHeight="1">
      <c r="A3532" s="393"/>
      <c r="C3532" s="20"/>
      <c r="E3532" s="387"/>
      <c r="F3532" s="388">
        <f t="shared" si="918"/>
        <v>0</v>
      </c>
      <c r="H3532" s="341" t="str">
        <f>IF(A3532="","",VLOOKUP(A3532,VII.A!$A$10:$D$199,4,FALSE))</f>
        <v/>
      </c>
      <c r="I3532" s="341" t="str">
        <f t="shared" si="915"/>
        <v/>
      </c>
      <c r="J3532" s="341" t="str">
        <f>IF(A3532="","",VLOOKUP(A3532,VII.A!$A$10:$D$199,3,FALSE))</f>
        <v/>
      </c>
      <c r="K3532" s="342" t="str">
        <f t="shared" si="916"/>
        <v/>
      </c>
      <c r="L3532" s="380" t="str">
        <f>IF(C3532="","",G3515*C3532)</f>
        <v/>
      </c>
      <c r="M3532" s="381" t="str">
        <f>IF(A3532="","",VLOOKUP(A3532,VII.A!$A$10:$B$199,2,FALSE))</f>
        <v/>
      </c>
      <c r="N3532" s="342" t="str">
        <f t="shared" si="917"/>
        <v/>
      </c>
      <c r="R3532" s="341"/>
      <c r="S3532" s="341"/>
    </row>
    <row r="3533" spans="1:21" ht="12.75" customHeight="1">
      <c r="A3533" s="393"/>
      <c r="B3533" s="395" t="s">
        <v>226</v>
      </c>
      <c r="C3533" s="396"/>
      <c r="D3533" s="397"/>
      <c r="E3533" s="398"/>
      <c r="F3533" s="399">
        <f>SUM(F3517:F3532)</f>
        <v>0</v>
      </c>
      <c r="H3533" s="426" t="s">
        <v>559</v>
      </c>
      <c r="J3533" s="341"/>
      <c r="L3533" s="380"/>
      <c r="M3533" s="381"/>
      <c r="N3533" s="342"/>
      <c r="R3533" s="341"/>
      <c r="S3533" s="341"/>
    </row>
    <row r="3534" spans="1:21" ht="12.75" customHeight="1">
      <c r="A3534" s="393"/>
      <c r="B3534" s="400" t="s">
        <v>53</v>
      </c>
      <c r="C3534" s="2">
        <f>$D$8</f>
        <v>0</v>
      </c>
      <c r="D3534" s="401"/>
      <c r="E3534" s="402"/>
      <c r="F3534" s="403">
        <f>ROUND(F3533*C3534,2)</f>
        <v>0</v>
      </c>
      <c r="J3534" s="341"/>
      <c r="L3534" s="380"/>
      <c r="M3534" s="381"/>
      <c r="N3534" s="342"/>
      <c r="R3534" s="341"/>
      <c r="S3534" s="341"/>
    </row>
    <row r="3535" spans="1:21" ht="12.75" customHeight="1">
      <c r="A3535" s="404"/>
      <c r="B3535" s="405" t="s">
        <v>227</v>
      </c>
      <c r="C3535" s="406"/>
      <c r="D3535" s="406"/>
      <c r="E3535" s="407"/>
      <c r="F3535" s="408">
        <f>F3533+F3534</f>
        <v>0</v>
      </c>
      <c r="J3535" s="341"/>
      <c r="L3535" s="380"/>
      <c r="M3535" s="381"/>
      <c r="N3535" s="342"/>
      <c r="R3535" s="341"/>
      <c r="S3535" s="341"/>
    </row>
    <row r="3536" spans="1:21" ht="12.75" customHeight="1">
      <c r="A3536" s="374" t="s">
        <v>2</v>
      </c>
      <c r="B3536" s="375" t="s">
        <v>235</v>
      </c>
      <c r="C3536" s="376" t="s">
        <v>231</v>
      </c>
      <c r="D3536" s="376" t="s">
        <v>232</v>
      </c>
      <c r="E3536" s="377" t="s">
        <v>233</v>
      </c>
      <c r="F3536" s="378" t="s">
        <v>234</v>
      </c>
      <c r="J3536" s="341"/>
      <c r="L3536" s="380"/>
      <c r="M3536" s="381"/>
      <c r="N3536" s="342"/>
      <c r="R3536" s="341"/>
      <c r="S3536" s="341"/>
    </row>
    <row r="3537" spans="1:19" ht="12.75" customHeight="1">
      <c r="A3537" s="393"/>
      <c r="B3537" s="423"/>
      <c r="C3537" s="20"/>
      <c r="E3537" s="387"/>
      <c r="F3537" s="388">
        <f t="shared" ref="F3537:F3546" si="919">ROUND(C3537*E3537,2)</f>
        <v>0</v>
      </c>
      <c r="H3537" s="341" t="str">
        <f>IF(A3537="","",VLOOKUP(A3537,VII.A!$A$10:$D$199,4,FALSE))</f>
        <v/>
      </c>
      <c r="I3537" s="341" t="str">
        <f t="shared" ref="I3537:I3546" si="920">IF(A3537="","",IF(E3537=H3537,"SIM","NÃO"))</f>
        <v/>
      </c>
      <c r="J3537" s="341" t="str">
        <f>IF(A3537="","",VLOOKUP(A3537,VII.A!$A$10:$D$199,3,FALSE))</f>
        <v/>
      </c>
      <c r="K3537" s="342" t="str">
        <f t="shared" ref="K3537:K3546" si="921">IF(A3537="","",IF(J3537=D3537,"SIM","NÃO"))</f>
        <v/>
      </c>
      <c r="L3537" s="380" t="str">
        <f>IF(C3537="","",G3515*C3537)</f>
        <v/>
      </c>
      <c r="M3537" s="381" t="str">
        <f>IF(A3537="","",VLOOKUP(A3537,VII.A!$A$10:$B$199,2,FALSE))</f>
        <v/>
      </c>
      <c r="N3537" s="342" t="str">
        <f t="shared" ref="N3537:N3546" si="922">IF(B3537="","",IF(M3537=B3537,"si","no"))</f>
        <v/>
      </c>
      <c r="R3537" s="341"/>
      <c r="S3537" s="341"/>
    </row>
    <row r="3538" spans="1:19" ht="12.75" customHeight="1">
      <c r="A3538" s="393"/>
      <c r="C3538" s="20"/>
      <c r="E3538" s="387"/>
      <c r="F3538" s="388">
        <f t="shared" si="919"/>
        <v>0</v>
      </c>
      <c r="H3538" s="341" t="str">
        <f>IF(A3538="","",VLOOKUP(A3538,VII.A!$A$10:$D$199,4,FALSE))</f>
        <v/>
      </c>
      <c r="I3538" s="341" t="str">
        <f t="shared" si="920"/>
        <v/>
      </c>
      <c r="J3538" s="341" t="str">
        <f>IF(A3538="","",VLOOKUP(A3538,VII.A!$A$10:$D$199,3,FALSE))</f>
        <v/>
      </c>
      <c r="K3538" s="342" t="str">
        <f t="shared" si="921"/>
        <v/>
      </c>
      <c r="L3538" s="380" t="str">
        <f>IF(C3538="","",G3515*C3538)</f>
        <v/>
      </c>
      <c r="M3538" s="381" t="str">
        <f>IF(A3538="","",VLOOKUP(A3538,VII.A!$A$10:$B$199,2,FALSE))</f>
        <v/>
      </c>
      <c r="N3538" s="342" t="str">
        <f t="shared" si="922"/>
        <v/>
      </c>
      <c r="R3538" s="341"/>
      <c r="S3538" s="341"/>
    </row>
    <row r="3539" spans="1:19" ht="12.75" customHeight="1">
      <c r="A3539" s="393"/>
      <c r="C3539" s="20"/>
      <c r="E3539" s="387"/>
      <c r="F3539" s="388">
        <f t="shared" si="919"/>
        <v>0</v>
      </c>
      <c r="H3539" s="341" t="str">
        <f>IF(A3539="","",VLOOKUP(A3539,VII.A!$A$10:$D$199,4,FALSE))</f>
        <v/>
      </c>
      <c r="I3539" s="341" t="str">
        <f t="shared" si="920"/>
        <v/>
      </c>
      <c r="J3539" s="341" t="str">
        <f>IF(A3539="","",VLOOKUP(A3539,VII.A!$A$10:$D$199,3,FALSE))</f>
        <v/>
      </c>
      <c r="K3539" s="342" t="str">
        <f t="shared" si="921"/>
        <v/>
      </c>
      <c r="L3539" s="380" t="str">
        <f>IF(C3539="","",G3515*C3539)</f>
        <v/>
      </c>
      <c r="M3539" s="381" t="str">
        <f>IF(A3539="","",VLOOKUP(A3539,VII.A!$A$10:$B$199,2,FALSE))</f>
        <v/>
      </c>
      <c r="N3539" s="342" t="str">
        <f t="shared" si="922"/>
        <v/>
      </c>
      <c r="R3539" s="341"/>
      <c r="S3539" s="341"/>
    </row>
    <row r="3540" spans="1:19" ht="12.75" customHeight="1">
      <c r="A3540" s="393"/>
      <c r="C3540" s="20"/>
      <c r="E3540" s="387"/>
      <c r="F3540" s="388">
        <f t="shared" si="919"/>
        <v>0</v>
      </c>
      <c r="H3540" s="341" t="str">
        <f>IF(A3540="","",VLOOKUP(A3540,VII.A!$A$10:$D$199,4,FALSE))</f>
        <v/>
      </c>
      <c r="I3540" s="341" t="str">
        <f t="shared" si="920"/>
        <v/>
      </c>
      <c r="J3540" s="341" t="str">
        <f>IF(A3540="","",VLOOKUP(A3540,VII.A!$A$10:$D$199,3,FALSE))</f>
        <v/>
      </c>
      <c r="K3540" s="342" t="str">
        <f t="shared" si="921"/>
        <v/>
      </c>
      <c r="L3540" s="380" t="str">
        <f>IF(C3540="","",G3515*C3540)</f>
        <v/>
      </c>
      <c r="M3540" s="381" t="str">
        <f>IF(A3540="","",VLOOKUP(A3540,VII.A!$A$10:$B$199,2,FALSE))</f>
        <v/>
      </c>
      <c r="N3540" s="342" t="str">
        <f t="shared" si="922"/>
        <v/>
      </c>
      <c r="R3540" s="341"/>
      <c r="S3540" s="341"/>
    </row>
    <row r="3541" spans="1:19" ht="12.75" customHeight="1">
      <c r="A3541" s="393"/>
      <c r="C3541" s="20"/>
      <c r="E3541" s="387"/>
      <c r="F3541" s="388">
        <f t="shared" si="919"/>
        <v>0</v>
      </c>
      <c r="G3541" s="390"/>
      <c r="H3541" s="341" t="str">
        <f>IF(A3541="","",VLOOKUP(A3541,VII.A!$A$10:$D$199,4,FALSE))</f>
        <v/>
      </c>
      <c r="I3541" s="341" t="str">
        <f t="shared" si="920"/>
        <v/>
      </c>
      <c r="J3541" s="341" t="str">
        <f>IF(A3541="","",VLOOKUP(A3541,VII.A!$A$10:$D$199,3,FALSE))</f>
        <v/>
      </c>
      <c r="K3541" s="342" t="str">
        <f t="shared" si="921"/>
        <v/>
      </c>
      <c r="L3541" s="380" t="str">
        <f>IF(C3541="","",G3515*C3541)</f>
        <v/>
      </c>
      <c r="M3541" s="381" t="str">
        <f>IF(A3541="","",VLOOKUP(A3541,VII.A!$A$10:$B$199,2,FALSE))</f>
        <v/>
      </c>
      <c r="N3541" s="342" t="str">
        <f t="shared" si="922"/>
        <v/>
      </c>
      <c r="R3541" s="341"/>
      <c r="S3541" s="341"/>
    </row>
    <row r="3542" spans="1:19" ht="12.75" customHeight="1">
      <c r="A3542" s="393"/>
      <c r="C3542" s="20"/>
      <c r="E3542" s="387"/>
      <c r="F3542" s="388">
        <f t="shared" si="919"/>
        <v>0</v>
      </c>
      <c r="G3542" s="391"/>
      <c r="H3542" s="341" t="str">
        <f>IF(A3542="","",VLOOKUP(A3542,VII.A!$A$10:$D$199,4,FALSE))</f>
        <v/>
      </c>
      <c r="I3542" s="341" t="str">
        <f t="shared" si="920"/>
        <v/>
      </c>
      <c r="J3542" s="341" t="str">
        <f>IF(A3542="","",VLOOKUP(A3542,VII.A!$A$10:$D$199,3,FALSE))</f>
        <v/>
      </c>
      <c r="K3542" s="342" t="str">
        <f t="shared" si="921"/>
        <v/>
      </c>
      <c r="L3542" s="380" t="str">
        <f>IF(C3542="","",G3515*C3542)</f>
        <v/>
      </c>
      <c r="M3542" s="381" t="str">
        <f>IF(A3542="","",VLOOKUP(A3542,VII.A!$A$10:$B$199,2,FALSE))</f>
        <v/>
      </c>
      <c r="N3542" s="342" t="str">
        <f t="shared" si="922"/>
        <v/>
      </c>
      <c r="R3542" s="341"/>
      <c r="S3542" s="341"/>
    </row>
    <row r="3543" spans="1:19" ht="12.75" customHeight="1">
      <c r="A3543" s="393"/>
      <c r="C3543" s="20"/>
      <c r="E3543" s="387"/>
      <c r="F3543" s="388">
        <f t="shared" si="919"/>
        <v>0</v>
      </c>
      <c r="H3543" s="341" t="str">
        <f>IF(A3543="","",VLOOKUP(A3543,VII.A!$A$10:$D$199,4,FALSE))</f>
        <v/>
      </c>
      <c r="I3543" s="341" t="str">
        <f t="shared" si="920"/>
        <v/>
      </c>
      <c r="J3543" s="341" t="str">
        <f>IF(A3543="","",VLOOKUP(A3543,VII.A!$A$10:$D$199,3,FALSE))</f>
        <v/>
      </c>
      <c r="K3543" s="342" t="str">
        <f t="shared" si="921"/>
        <v/>
      </c>
      <c r="L3543" s="380" t="str">
        <f>IF(C3543="","",G3515*C3543)</f>
        <v/>
      </c>
      <c r="M3543" s="381" t="str">
        <f>IF(A3543="","",VLOOKUP(A3543,VII.A!$A$10:$B$199,2,FALSE))</f>
        <v/>
      </c>
      <c r="N3543" s="342" t="str">
        <f t="shared" si="922"/>
        <v/>
      </c>
      <c r="R3543" s="341"/>
      <c r="S3543" s="341"/>
    </row>
    <row r="3544" spans="1:19" ht="12.75" customHeight="1">
      <c r="A3544" s="393"/>
      <c r="C3544" s="20"/>
      <c r="E3544" s="387"/>
      <c r="F3544" s="388">
        <f t="shared" si="919"/>
        <v>0</v>
      </c>
      <c r="H3544" s="341" t="str">
        <f>IF(A3544="","",VLOOKUP(A3544,VII.A!$A$10:$D$199,4,FALSE))</f>
        <v/>
      </c>
      <c r="I3544" s="341" t="str">
        <f t="shared" si="920"/>
        <v/>
      </c>
      <c r="J3544" s="341" t="str">
        <f>IF(A3544="","",VLOOKUP(A3544,VII.A!$A$10:$D$199,3,FALSE))</f>
        <v/>
      </c>
      <c r="K3544" s="342" t="str">
        <f t="shared" si="921"/>
        <v/>
      </c>
      <c r="L3544" s="380" t="str">
        <f>IF(C3544="","",G3515*C3544)</f>
        <v/>
      </c>
      <c r="M3544" s="381" t="str">
        <f>IF(A3544="","",VLOOKUP(A3544,VII.A!$A$10:$B$199,2,FALSE))</f>
        <v/>
      </c>
      <c r="N3544" s="342" t="str">
        <f t="shared" si="922"/>
        <v/>
      </c>
      <c r="R3544" s="341"/>
      <c r="S3544" s="341"/>
    </row>
    <row r="3545" spans="1:19" ht="12.75" customHeight="1">
      <c r="A3545" s="393"/>
      <c r="C3545" s="20"/>
      <c r="E3545" s="387"/>
      <c r="F3545" s="388">
        <f t="shared" si="919"/>
        <v>0</v>
      </c>
      <c r="H3545" s="341" t="str">
        <f>IF(A3545="","",VLOOKUP(A3545,VII.A!$A$10:$D$199,4,FALSE))</f>
        <v/>
      </c>
      <c r="I3545" s="341" t="str">
        <f t="shared" si="920"/>
        <v/>
      </c>
      <c r="J3545" s="341" t="str">
        <f>IF(A3545="","",VLOOKUP(A3545,VII.A!$A$10:$D$199,3,FALSE))</f>
        <v/>
      </c>
      <c r="K3545" s="342" t="str">
        <f t="shared" si="921"/>
        <v/>
      </c>
      <c r="L3545" s="380" t="str">
        <f>IF(C3545="","",G3515*C3545)</f>
        <v/>
      </c>
      <c r="M3545" s="381" t="str">
        <f>IF(A3545="","",VLOOKUP(A3545,VII.A!$A$10:$B$199,2,FALSE))</f>
        <v/>
      </c>
      <c r="N3545" s="342" t="str">
        <f t="shared" si="922"/>
        <v/>
      </c>
      <c r="R3545" s="341"/>
      <c r="S3545" s="341"/>
    </row>
    <row r="3546" spans="1:19" ht="12.75" customHeight="1">
      <c r="A3546" s="393"/>
      <c r="C3546" s="20"/>
      <c r="E3546" s="387"/>
      <c r="F3546" s="388">
        <f t="shared" si="919"/>
        <v>0</v>
      </c>
      <c r="H3546" s="341" t="str">
        <f>IF(A3546="","",VLOOKUP(A3546,VII.A!$A$10:$D$199,4,FALSE))</f>
        <v/>
      </c>
      <c r="I3546" s="341" t="str">
        <f t="shared" si="920"/>
        <v/>
      </c>
      <c r="J3546" s="341" t="str">
        <f>IF(A3546="","",VLOOKUP(A3546,VII.A!$A$10:$D$199,3,FALSE))</f>
        <v/>
      </c>
      <c r="K3546" s="342" t="str">
        <f t="shared" si="921"/>
        <v/>
      </c>
      <c r="L3546" s="380" t="str">
        <f>IF(C3546="","",G3515*C3546)</f>
        <v/>
      </c>
      <c r="M3546" s="381" t="str">
        <f>IF(A3546="","",VLOOKUP(A3546,VII.A!$A$10:$B$199,2,FALSE))</f>
        <v/>
      </c>
      <c r="N3546" s="342" t="str">
        <f t="shared" si="922"/>
        <v/>
      </c>
      <c r="R3546" s="341"/>
      <c r="S3546" s="341"/>
    </row>
    <row r="3547" spans="1:19" ht="12.75" customHeight="1">
      <c r="A3547" s="393"/>
      <c r="B3547" s="395" t="s">
        <v>226</v>
      </c>
      <c r="C3547" s="396"/>
      <c r="D3547" s="397"/>
      <c r="E3547" s="398"/>
      <c r="F3547" s="399">
        <f>SUM(F3537:F3546)</f>
        <v>0</v>
      </c>
      <c r="J3547" s="341"/>
      <c r="L3547" s="380"/>
      <c r="M3547" s="381"/>
      <c r="N3547" s="342"/>
      <c r="R3547" s="341"/>
      <c r="S3547" s="341"/>
    </row>
    <row r="3548" spans="1:19" ht="12.75" customHeight="1">
      <c r="A3548" s="393"/>
      <c r="B3548" s="400" t="s">
        <v>53</v>
      </c>
      <c r="C3548" s="2">
        <f>$D$8</f>
        <v>0</v>
      </c>
      <c r="D3548" s="401"/>
      <c r="E3548" s="402"/>
      <c r="F3548" s="403">
        <f>ROUND(C3548*F3547,2)</f>
        <v>0</v>
      </c>
      <c r="J3548" s="341"/>
      <c r="L3548" s="380"/>
      <c r="M3548" s="381"/>
      <c r="N3548" s="342"/>
      <c r="R3548" s="341"/>
      <c r="S3548" s="341"/>
    </row>
    <row r="3549" spans="1:19" ht="12.75" customHeight="1">
      <c r="A3549" s="404"/>
      <c r="B3549" s="405" t="s">
        <v>228</v>
      </c>
      <c r="C3549" s="406"/>
      <c r="D3549" s="406"/>
      <c r="E3549" s="407"/>
      <c r="F3549" s="408">
        <f>F3547+F3548</f>
        <v>0</v>
      </c>
      <c r="J3549" s="341"/>
      <c r="L3549" s="380"/>
      <c r="M3549" s="381"/>
      <c r="N3549" s="342"/>
      <c r="R3549" s="341"/>
      <c r="S3549" s="341"/>
    </row>
    <row r="3550" spans="1:19" ht="12.75" customHeight="1">
      <c r="A3550" s="409" t="s">
        <v>47</v>
      </c>
      <c r="B3550" s="410" t="s">
        <v>236</v>
      </c>
      <c r="C3550" s="411" t="s">
        <v>231</v>
      </c>
      <c r="D3550" s="412" t="s">
        <v>232</v>
      </c>
      <c r="E3550" s="413" t="s">
        <v>233</v>
      </c>
      <c r="F3550" s="378" t="s">
        <v>234</v>
      </c>
      <c r="J3550" s="341"/>
      <c r="L3550" s="380"/>
      <c r="M3550" s="381"/>
      <c r="N3550" s="342"/>
      <c r="R3550" s="341"/>
      <c r="S3550" s="341"/>
    </row>
    <row r="3551" spans="1:19" ht="12.75" customHeight="1">
      <c r="A3551" s="393" t="str">
        <f>VII.A!$A$198</f>
        <v>3.18</v>
      </c>
      <c r="B3551" s="394" t="s">
        <v>159</v>
      </c>
      <c r="C3551" s="20">
        <v>0.4</v>
      </c>
      <c r="D3551" s="384" t="str">
        <f>VLOOKUP(A3551,VII.A!$A$10:$G$199,3,FALSE)</f>
        <v>H</v>
      </c>
      <c r="E3551" s="387">
        <f>VII.A!$D$198</f>
        <v>0</v>
      </c>
      <c r="F3551" s="388">
        <f t="shared" ref="F3551:F3557" si="923">ROUND(C3551*E3551,2)</f>
        <v>0</v>
      </c>
      <c r="H3551" s="341">
        <f>IF(A3551="","",VLOOKUP(A3551,VII.A!$A$10:$D$199,4,FALSE))</f>
        <v>0</v>
      </c>
      <c r="I3551" s="341" t="str">
        <f t="shared" ref="I3551:I3557" si="924">IF(A3551="","",IF(E3551=H3551,"SIM","NÃO"))</f>
        <v>SIM</v>
      </c>
      <c r="J3551" s="341" t="str">
        <f>IF(A3551="","",VLOOKUP(A3551,VII.A!$A$10:$D$199,3,FALSE))</f>
        <v>H</v>
      </c>
      <c r="K3551" s="342" t="str">
        <f t="shared" ref="K3551:K3557" si="925">IF(A3551="","",IF(J3551=D3551,"SIM","NÃO"))</f>
        <v>SIM</v>
      </c>
      <c r="L3551" s="380">
        <f>IF(C3551="","",G3515*C3551)</f>
        <v>6.4</v>
      </c>
      <c r="M3551" s="381" t="str">
        <f>IF(A3551="","",VLOOKUP(A3551,VII.A!$A$10:$B$199,2,FALSE))</f>
        <v>VIDRACEIRO COM ENCARGOS COMPLEMENTARES</v>
      </c>
      <c r="N3551" s="342" t="str">
        <f t="shared" ref="N3551:N3557" si="926">IF(B3551="","",IF(M3551=B3551,"si","no"))</f>
        <v>si</v>
      </c>
      <c r="R3551" s="341"/>
      <c r="S3551" s="341"/>
    </row>
    <row r="3552" spans="1:19" ht="12.75" customHeight="1">
      <c r="A3552" s="393" t="str">
        <f>VII.A!$A$196</f>
        <v>3.16</v>
      </c>
      <c r="B3552" s="394" t="s">
        <v>157</v>
      </c>
      <c r="C3552" s="20">
        <v>0.4</v>
      </c>
      <c r="D3552" s="384" t="str">
        <f>VLOOKUP(A3552,VII.A!$A$10:$G$199,3,FALSE)</f>
        <v>H</v>
      </c>
      <c r="E3552" s="387">
        <f>VII.A!$D$196</f>
        <v>0</v>
      </c>
      <c r="F3552" s="388">
        <f t="shared" si="923"/>
        <v>0</v>
      </c>
      <c r="H3552" s="341">
        <f>IF(A3552="","",VLOOKUP(A3552,VII.A!$A$10:$D$199,4,FALSE))</f>
        <v>0</v>
      </c>
      <c r="I3552" s="341" t="str">
        <f t="shared" si="924"/>
        <v>SIM</v>
      </c>
      <c r="J3552" s="341" t="str">
        <f>IF(A3552="","",VLOOKUP(A3552,VII.A!$A$10:$D$199,3,FALSE))</f>
        <v>H</v>
      </c>
      <c r="K3552" s="342" t="str">
        <f t="shared" si="925"/>
        <v>SIM</v>
      </c>
      <c r="L3552" s="380">
        <f>IF(C3552="","",G3515*C3552)</f>
        <v>6.4</v>
      </c>
      <c r="M3552" s="381" t="str">
        <f>IF(A3552="","",VLOOKUP(A3552,VII.A!$A$10:$B$199,2,FALSE))</f>
        <v>SERVENTE COM ENCARGOS COMPLEMENTARES</v>
      </c>
      <c r="N3552" s="342" t="str">
        <f t="shared" si="926"/>
        <v>si</v>
      </c>
      <c r="R3552" s="341"/>
      <c r="S3552" s="341"/>
    </row>
    <row r="3553" spans="1:25" ht="12.75" customHeight="1">
      <c r="A3553" s="393"/>
      <c r="C3553" s="20"/>
      <c r="E3553" s="387"/>
      <c r="F3553" s="388">
        <f t="shared" si="923"/>
        <v>0</v>
      </c>
      <c r="H3553" s="341" t="str">
        <f>IF(A3553="","",VLOOKUP(A3553,VII.A!$A$10:$D$199,4,FALSE))</f>
        <v/>
      </c>
      <c r="I3553" s="341" t="str">
        <f t="shared" si="924"/>
        <v/>
      </c>
      <c r="J3553" s="341" t="str">
        <f>IF(A3553="","",VLOOKUP(A3553,VII.A!$A$10:$D$199,3,FALSE))</f>
        <v/>
      </c>
      <c r="K3553" s="342" t="str">
        <f t="shared" si="925"/>
        <v/>
      </c>
      <c r="L3553" s="380" t="str">
        <f>IF(C3553="","",G3515*C3553)</f>
        <v/>
      </c>
      <c r="M3553" s="381" t="str">
        <f>IF(A3553="","",VLOOKUP(A3553,VII.A!$A$10:$B$199,2,FALSE))</f>
        <v/>
      </c>
      <c r="N3553" s="342" t="str">
        <f t="shared" si="926"/>
        <v/>
      </c>
      <c r="R3553" s="341"/>
      <c r="S3553" s="341"/>
    </row>
    <row r="3554" spans="1:25" ht="12.75" customHeight="1">
      <c r="A3554" s="393"/>
      <c r="C3554" s="20"/>
      <c r="E3554" s="387"/>
      <c r="F3554" s="388">
        <f t="shared" si="923"/>
        <v>0</v>
      </c>
      <c r="H3554" s="341" t="str">
        <f>IF(A3554="","",VLOOKUP(A3554,VII.A!$A$10:$D$199,4,FALSE))</f>
        <v/>
      </c>
      <c r="I3554" s="341" t="str">
        <f t="shared" si="924"/>
        <v/>
      </c>
      <c r="J3554" s="341" t="str">
        <f>IF(A3554="","",VLOOKUP(A3554,VII.A!$A$10:$D$199,3,FALSE))</f>
        <v/>
      </c>
      <c r="K3554" s="342" t="str">
        <f t="shared" si="925"/>
        <v/>
      </c>
      <c r="L3554" s="380" t="str">
        <f>IF(C3554="","",G3515*C3554)</f>
        <v/>
      </c>
      <c r="M3554" s="381" t="str">
        <f>IF(A3554="","",VLOOKUP(A3554,VII.A!$A$10:$B$199,2,FALSE))</f>
        <v/>
      </c>
      <c r="N3554" s="342" t="str">
        <f t="shared" si="926"/>
        <v/>
      </c>
      <c r="R3554" s="341"/>
      <c r="S3554" s="341"/>
    </row>
    <row r="3555" spans="1:25" ht="12.75" customHeight="1">
      <c r="A3555" s="393"/>
      <c r="C3555" s="20"/>
      <c r="E3555" s="387"/>
      <c r="F3555" s="388">
        <f t="shared" si="923"/>
        <v>0</v>
      </c>
      <c r="H3555" s="341" t="str">
        <f>IF(A3555="","",VLOOKUP(A3555,VII.A!$A$10:$D$199,4,FALSE))</f>
        <v/>
      </c>
      <c r="I3555" s="341" t="str">
        <f t="shared" si="924"/>
        <v/>
      </c>
      <c r="J3555" s="341" t="str">
        <f>IF(A3555="","",VLOOKUP(A3555,VII.A!$A$10:$D$199,3,FALSE))</f>
        <v/>
      </c>
      <c r="K3555" s="342" t="str">
        <f t="shared" si="925"/>
        <v/>
      </c>
      <c r="L3555" s="380" t="str">
        <f>IF(C3555="","",G3515*C3555)</f>
        <v/>
      </c>
      <c r="M3555" s="381" t="str">
        <f>IF(A3555="","",VLOOKUP(A3555,VII.A!$A$10:$B$199,2,FALSE))</f>
        <v/>
      </c>
      <c r="N3555" s="342" t="str">
        <f t="shared" si="926"/>
        <v/>
      </c>
      <c r="R3555" s="341"/>
      <c r="S3555" s="341"/>
    </row>
    <row r="3556" spans="1:25" ht="12.75" customHeight="1">
      <c r="A3556" s="393"/>
      <c r="C3556" s="20"/>
      <c r="E3556" s="387"/>
      <c r="F3556" s="388">
        <f t="shared" si="923"/>
        <v>0</v>
      </c>
      <c r="H3556" s="341" t="str">
        <f>IF(A3556="","",VLOOKUP(A3556,VII.A!$A$10:$D$199,4,FALSE))</f>
        <v/>
      </c>
      <c r="I3556" s="341" t="str">
        <f t="shared" si="924"/>
        <v/>
      </c>
      <c r="J3556" s="341" t="str">
        <f>IF(A3556="","",VLOOKUP(A3556,VII.A!$A$10:$D$199,3,FALSE))</f>
        <v/>
      </c>
      <c r="K3556" s="342" t="str">
        <f t="shared" si="925"/>
        <v/>
      </c>
      <c r="L3556" s="380" t="str">
        <f>IF(C3556="","",G3515*C3556)</f>
        <v/>
      </c>
      <c r="M3556" s="381" t="str">
        <f>IF(A3556="","",VLOOKUP(A3556,VII.A!$A$10:$B$199,2,FALSE))</f>
        <v/>
      </c>
      <c r="N3556" s="342" t="str">
        <f t="shared" si="926"/>
        <v/>
      </c>
      <c r="R3556" s="341"/>
      <c r="S3556" s="341"/>
    </row>
    <row r="3557" spans="1:25" ht="12.75" customHeight="1">
      <c r="A3557" s="393"/>
      <c r="C3557" s="20"/>
      <c r="E3557" s="387"/>
      <c r="F3557" s="388">
        <f t="shared" si="923"/>
        <v>0</v>
      </c>
      <c r="H3557" s="341" t="str">
        <f>IF(A3557="","",VLOOKUP(A3557,VII.A!$A$10:$D$199,4,FALSE))</f>
        <v/>
      </c>
      <c r="I3557" s="341" t="str">
        <f t="shared" si="924"/>
        <v/>
      </c>
      <c r="J3557" s="341" t="str">
        <f>IF(A3557="","",VLOOKUP(A3557,VII.A!$A$10:$D$199,3,FALSE))</f>
        <v/>
      </c>
      <c r="K3557" s="342" t="str">
        <f t="shared" si="925"/>
        <v/>
      </c>
      <c r="L3557" s="380" t="str">
        <f>IF(C3557="","",G3515*C3557)</f>
        <v/>
      </c>
      <c r="M3557" s="381" t="str">
        <f>IF(A3557="","",VLOOKUP(A3557,VII.A!$A$10:$B$199,2,FALSE))</f>
        <v/>
      </c>
      <c r="N3557" s="342" t="str">
        <f t="shared" si="926"/>
        <v/>
      </c>
      <c r="R3557" s="341"/>
      <c r="S3557" s="341"/>
    </row>
    <row r="3558" spans="1:25" ht="12.75" customHeight="1">
      <c r="A3558" s="393"/>
      <c r="B3558" s="395" t="s">
        <v>226</v>
      </c>
      <c r="C3558" s="396"/>
      <c r="D3558" s="397"/>
      <c r="E3558" s="398"/>
      <c r="F3558" s="399">
        <f>SUM(F3551:F3557)</f>
        <v>0</v>
      </c>
      <c r="J3558" s="341"/>
      <c r="L3558" s="380"/>
      <c r="M3558" s="381"/>
      <c r="N3558" s="342"/>
      <c r="R3558" s="341"/>
      <c r="S3558" s="341"/>
    </row>
    <row r="3559" spans="1:25" ht="12.75" customHeight="1">
      <c r="A3559" s="393"/>
      <c r="B3559" s="400" t="s">
        <v>229</v>
      </c>
      <c r="C3559" s="2">
        <f>IX.A!$C$45</f>
        <v>0</v>
      </c>
      <c r="D3559" s="401"/>
      <c r="E3559" s="402"/>
      <c r="F3559" s="403">
        <f>ROUND(F3558*C3559,2)</f>
        <v>0</v>
      </c>
      <c r="J3559" s="341"/>
      <c r="L3559" s="380"/>
      <c r="M3559" s="381"/>
      <c r="N3559" s="342"/>
      <c r="R3559" s="341"/>
      <c r="S3559" s="341"/>
    </row>
    <row r="3560" spans="1:25" ht="12.75" customHeight="1">
      <c r="A3560" s="393"/>
      <c r="B3560" s="400" t="s">
        <v>53</v>
      </c>
      <c r="C3560" s="2">
        <f>$D$8</f>
        <v>0</v>
      </c>
      <c r="D3560" s="401"/>
      <c r="E3560" s="402"/>
      <c r="F3560" s="403">
        <f>ROUND(SUM(F3558:F3559)*C3560,2)</f>
        <v>0</v>
      </c>
      <c r="J3560" s="341"/>
      <c r="L3560" s="380"/>
      <c r="M3560" s="381"/>
      <c r="N3560" s="342"/>
      <c r="R3560" s="341"/>
      <c r="S3560" s="341"/>
    </row>
    <row r="3561" spans="1:25" ht="12.75" customHeight="1" thickBot="1">
      <c r="A3561" s="414"/>
      <c r="B3561" s="415" t="s">
        <v>230</v>
      </c>
      <c r="C3561" s="416"/>
      <c r="D3561" s="416"/>
      <c r="E3561" s="417"/>
      <c r="F3561" s="418">
        <f>SUM(F3558:F3560)</f>
        <v>0</v>
      </c>
      <c r="J3561" s="341"/>
      <c r="L3561" s="380"/>
      <c r="M3561" s="381"/>
      <c r="N3561" s="342"/>
      <c r="R3561" s="341"/>
      <c r="S3561" s="341"/>
    </row>
    <row r="3562" spans="1:25" ht="12.75" customHeight="1" thickBot="1">
      <c r="A3562" s="357"/>
      <c r="B3562" s="358"/>
      <c r="C3562" s="359"/>
      <c r="D3562" s="359"/>
      <c r="E3562" s="360"/>
      <c r="F3562" s="419"/>
      <c r="J3562" s="341"/>
      <c r="L3562" s="380"/>
      <c r="M3562" s="381"/>
      <c r="N3562" s="342"/>
      <c r="R3562" s="341"/>
      <c r="S3562" s="341"/>
    </row>
    <row r="3563" spans="1:25" ht="30" customHeight="1">
      <c r="A3563" s="370" t="str">
        <f>IV.A!$A$110</f>
        <v>3.11.3</v>
      </c>
      <c r="B3563" s="371" t="str">
        <f>IV.A!B110</f>
        <v xml:space="preserve">REMOÇÃO DE VIDRO COMUM </v>
      </c>
      <c r="C3563" s="871" t="s">
        <v>237</v>
      </c>
      <c r="D3563" s="872"/>
      <c r="E3563" s="372" t="str">
        <f>IV.A!$C$110</f>
        <v>M2</v>
      </c>
      <c r="F3563" s="11">
        <f>ROUND(F3583+F3597+F3609,2)</f>
        <v>0</v>
      </c>
      <c r="G3563" s="1">
        <f>VLOOKUP(A3563,IV.A!$A$16:$L$172,4,FALSE)</f>
        <v>32</v>
      </c>
      <c r="H3563" s="361">
        <f>SUM(F3565:F3580)+F3582</f>
        <v>0</v>
      </c>
      <c r="I3563" s="361">
        <f>SUM(F3585:F3594)+F3596</f>
        <v>0</v>
      </c>
      <c r="J3563" s="361">
        <f>SUM(F3599:F3605)+F3607+F3608</f>
        <v>0</v>
      </c>
      <c r="K3563" s="361">
        <f>SUM(H3563:J3563)</f>
        <v>0</v>
      </c>
      <c r="L3563" s="362" t="str">
        <f>IF(K3563=F3563,"SIM","NÃO")</f>
        <v>SIM</v>
      </c>
      <c r="M3563" s="373">
        <f>ROUND(SUM(F3565:F3580),2)+ROUND(SUM(F3565:F3580)*C3582,2)+ROUND(SUM(F3585:F3594)*C3596,2)+ROUND(SUM(F3585:F3594),2)+ROUND(SUM(F3599:F3605)*C3607,2)+ROUND((SUM(F3599:F3605)+ROUND(SUM(F3599:F3605)*C3607,2))*C3608,2)+ROUND(SUM(F3599:F3605),2)</f>
        <v>0</v>
      </c>
      <c r="N3563" s="343" t="str">
        <f>IF(M3563=F3563,"SIM","NÃO")</f>
        <v>SIM</v>
      </c>
      <c r="O3563" s="364" t="str">
        <f>VLOOKUP(A3563,IV.A!$A$16:$E$172,3,FALSE)</f>
        <v>M2</v>
      </c>
      <c r="P3563" s="344" t="str">
        <f>IF(O3563=E3563,"SIM","NÃO")</f>
        <v>SIM</v>
      </c>
      <c r="Q3563" s="365">
        <f>ROUND(G3563*F3583,2)+ROUND(G3563*F3597,2)+ROUND(G3563*F3609,2)</f>
        <v>0</v>
      </c>
      <c r="R3563" s="364">
        <f>VLOOKUP(A3563,IV.A!$A$16:$L$172,12,FALSE)</f>
        <v>0</v>
      </c>
      <c r="S3563" s="366" t="str">
        <f>IF(Q3563=R3563,"si","no")</f>
        <v>si</v>
      </c>
      <c r="T3563" s="367">
        <f>SUM(L3565:L3580)+SUM(L3585:L3594)+SUM(L3599:L3605)</f>
        <v>25.312000000000001</v>
      </c>
      <c r="U3563" s="341">
        <f>(SUM(C3565:C3580)+SUM(C3585:C3594)+SUM(C3599:C3605))*G3563</f>
        <v>25.312000000000001</v>
      </c>
      <c r="V3563" s="368" t="str">
        <f>IF(T3563=U3563,"si","no")</f>
        <v>si</v>
      </c>
      <c r="W3563" s="369">
        <f>SUM(F3565:F3580)</f>
        <v>0</v>
      </c>
      <c r="X3563" s="369">
        <f>SUM(F3585:F3594)</f>
        <v>0</v>
      </c>
      <c r="Y3563" s="369">
        <f>SUM(F3599:F3605)</f>
        <v>0</v>
      </c>
    </row>
    <row r="3564" spans="1:25" ht="12.75" customHeight="1">
      <c r="A3564" s="374" t="s">
        <v>14</v>
      </c>
      <c r="B3564" s="375" t="s">
        <v>132</v>
      </c>
      <c r="C3564" s="376" t="s">
        <v>231</v>
      </c>
      <c r="D3564" s="376" t="s">
        <v>232</v>
      </c>
      <c r="E3564" s="377" t="s">
        <v>233</v>
      </c>
      <c r="F3564" s="378" t="s">
        <v>234</v>
      </c>
      <c r="J3564" s="341"/>
      <c r="L3564" s="380"/>
      <c r="M3564" s="381"/>
      <c r="N3564" s="342"/>
      <c r="R3564" s="341"/>
      <c r="S3564" s="341"/>
    </row>
    <row r="3565" spans="1:25" ht="12.75" customHeight="1">
      <c r="A3565" s="385"/>
      <c r="B3565" s="386"/>
      <c r="C3565" s="20"/>
      <c r="D3565" s="342"/>
      <c r="E3565" s="387"/>
      <c r="F3565" s="388">
        <f>ROUND(C3565*E3565,2)</f>
        <v>0</v>
      </c>
      <c r="J3565" s="341"/>
      <c r="L3565" s="380"/>
      <c r="M3565" s="381"/>
      <c r="N3565" s="342"/>
      <c r="R3565" s="341"/>
      <c r="S3565" s="341"/>
    </row>
    <row r="3566" spans="1:25" ht="12.75" customHeight="1">
      <c r="A3566" s="385"/>
      <c r="B3566" s="386"/>
      <c r="C3566" s="20"/>
      <c r="D3566" s="342"/>
      <c r="E3566" s="387"/>
      <c r="F3566" s="388">
        <f t="shared" ref="F3566:F3580" si="927">ROUND(C3566*E3566,2)</f>
        <v>0</v>
      </c>
      <c r="J3566" s="341"/>
      <c r="L3566" s="380"/>
      <c r="M3566" s="381"/>
      <c r="N3566" s="342"/>
      <c r="R3566" s="341"/>
      <c r="S3566" s="341"/>
    </row>
    <row r="3567" spans="1:25" ht="12.75" customHeight="1">
      <c r="A3567" s="385"/>
      <c r="B3567" s="386"/>
      <c r="C3567" s="20"/>
      <c r="D3567" s="342"/>
      <c r="E3567" s="387"/>
      <c r="F3567" s="388">
        <f t="shared" si="927"/>
        <v>0</v>
      </c>
      <c r="J3567" s="341"/>
      <c r="L3567" s="380"/>
      <c r="M3567" s="381"/>
      <c r="N3567" s="342"/>
      <c r="R3567" s="341"/>
      <c r="S3567" s="341"/>
    </row>
    <row r="3568" spans="1:25" ht="12.75" customHeight="1">
      <c r="A3568" s="385"/>
      <c r="B3568" s="386"/>
      <c r="C3568" s="20"/>
      <c r="D3568" s="342"/>
      <c r="E3568" s="387"/>
      <c r="F3568" s="388">
        <f t="shared" si="927"/>
        <v>0</v>
      </c>
      <c r="J3568" s="341"/>
      <c r="L3568" s="380"/>
      <c r="M3568" s="381"/>
      <c r="N3568" s="342"/>
      <c r="R3568" s="341"/>
      <c r="S3568" s="341"/>
    </row>
    <row r="3569" spans="1:19" ht="12.75" customHeight="1">
      <c r="A3569" s="385"/>
      <c r="B3569" s="386"/>
      <c r="C3569" s="20"/>
      <c r="D3569" s="342"/>
      <c r="E3569" s="387"/>
      <c r="F3569" s="388">
        <f t="shared" si="927"/>
        <v>0</v>
      </c>
      <c r="J3569" s="341"/>
      <c r="L3569" s="380"/>
      <c r="M3569" s="381"/>
      <c r="N3569" s="342"/>
      <c r="R3569" s="341"/>
      <c r="S3569" s="341"/>
    </row>
    <row r="3570" spans="1:19" ht="12.75" customHeight="1">
      <c r="A3570" s="385"/>
      <c r="B3570" s="386"/>
      <c r="C3570" s="20"/>
      <c r="D3570" s="342"/>
      <c r="E3570" s="387"/>
      <c r="F3570" s="388">
        <f t="shared" si="927"/>
        <v>0</v>
      </c>
      <c r="J3570" s="341"/>
      <c r="L3570" s="380"/>
      <c r="M3570" s="381"/>
      <c r="N3570" s="342"/>
      <c r="R3570" s="341"/>
      <c r="S3570" s="341"/>
    </row>
    <row r="3571" spans="1:19" ht="12.75" customHeight="1">
      <c r="A3571" s="385"/>
      <c r="B3571" s="386"/>
      <c r="C3571" s="20"/>
      <c r="D3571" s="342"/>
      <c r="E3571" s="387"/>
      <c r="F3571" s="388">
        <f t="shared" si="927"/>
        <v>0</v>
      </c>
      <c r="J3571" s="341"/>
      <c r="L3571" s="380"/>
      <c r="M3571" s="381"/>
      <c r="N3571" s="342"/>
      <c r="R3571" s="341"/>
      <c r="S3571" s="341"/>
    </row>
    <row r="3572" spans="1:19" ht="12.75" customHeight="1">
      <c r="A3572" s="385"/>
      <c r="B3572" s="386"/>
      <c r="C3572" s="20"/>
      <c r="D3572" s="342"/>
      <c r="E3572" s="387"/>
      <c r="F3572" s="388">
        <f t="shared" si="927"/>
        <v>0</v>
      </c>
      <c r="J3572" s="341"/>
      <c r="L3572" s="380"/>
      <c r="M3572" s="381"/>
      <c r="N3572" s="342"/>
      <c r="R3572" s="341"/>
      <c r="S3572" s="341"/>
    </row>
    <row r="3573" spans="1:19" ht="12.75" customHeight="1">
      <c r="A3573" s="385"/>
      <c r="B3573" s="386"/>
      <c r="C3573" s="20"/>
      <c r="D3573" s="342"/>
      <c r="E3573" s="387"/>
      <c r="F3573" s="388">
        <f t="shared" si="927"/>
        <v>0</v>
      </c>
      <c r="J3573" s="341"/>
      <c r="L3573" s="380"/>
      <c r="M3573" s="381"/>
      <c r="N3573" s="342"/>
      <c r="R3573" s="341"/>
      <c r="S3573" s="341"/>
    </row>
    <row r="3574" spans="1:19" ht="12.75" customHeight="1">
      <c r="A3574" s="385"/>
      <c r="B3574" s="386"/>
      <c r="C3574" s="20"/>
      <c r="D3574" s="342"/>
      <c r="E3574" s="387"/>
      <c r="F3574" s="388">
        <f t="shared" si="927"/>
        <v>0</v>
      </c>
      <c r="J3574" s="341"/>
      <c r="L3574" s="380"/>
      <c r="M3574" s="381"/>
      <c r="N3574" s="342"/>
      <c r="R3574" s="341"/>
      <c r="S3574" s="341"/>
    </row>
    <row r="3575" spans="1:19" ht="12.75" customHeight="1">
      <c r="A3575" s="385"/>
      <c r="B3575" s="386"/>
      <c r="C3575" s="20"/>
      <c r="D3575" s="342"/>
      <c r="E3575" s="387"/>
      <c r="F3575" s="388">
        <f t="shared" si="927"/>
        <v>0</v>
      </c>
      <c r="J3575" s="341"/>
      <c r="L3575" s="380"/>
      <c r="M3575" s="381"/>
      <c r="N3575" s="342"/>
      <c r="R3575" s="341"/>
      <c r="S3575" s="341"/>
    </row>
    <row r="3576" spans="1:19" ht="12.75" customHeight="1">
      <c r="A3576" s="385"/>
      <c r="B3576" s="386"/>
      <c r="C3576" s="20"/>
      <c r="D3576" s="392"/>
      <c r="E3576" s="387"/>
      <c r="F3576" s="388">
        <f t="shared" si="927"/>
        <v>0</v>
      </c>
      <c r="J3576" s="341"/>
      <c r="L3576" s="380"/>
      <c r="M3576" s="381"/>
      <c r="N3576" s="342"/>
      <c r="R3576" s="341"/>
      <c r="S3576" s="341"/>
    </row>
    <row r="3577" spans="1:19" ht="12.75" customHeight="1">
      <c r="A3577" s="385"/>
      <c r="B3577" s="386"/>
      <c r="C3577" s="20"/>
      <c r="D3577" s="392"/>
      <c r="E3577" s="387"/>
      <c r="F3577" s="388">
        <f t="shared" si="927"/>
        <v>0</v>
      </c>
      <c r="J3577" s="341"/>
      <c r="L3577" s="380"/>
      <c r="M3577" s="381"/>
      <c r="N3577" s="342"/>
      <c r="R3577" s="341"/>
      <c r="S3577" s="341"/>
    </row>
    <row r="3578" spans="1:19" ht="12.75" customHeight="1">
      <c r="A3578" s="385"/>
      <c r="B3578" s="386"/>
      <c r="C3578" s="20"/>
      <c r="D3578" s="392"/>
      <c r="E3578" s="387"/>
      <c r="F3578" s="388">
        <f t="shared" si="927"/>
        <v>0</v>
      </c>
      <c r="J3578" s="341"/>
      <c r="L3578" s="380"/>
      <c r="M3578" s="381"/>
      <c r="N3578" s="342"/>
      <c r="R3578" s="341"/>
      <c r="S3578" s="341"/>
    </row>
    <row r="3579" spans="1:19" ht="12.75" customHeight="1">
      <c r="A3579" s="393"/>
      <c r="C3579" s="20"/>
      <c r="E3579" s="387"/>
      <c r="F3579" s="388">
        <f t="shared" si="927"/>
        <v>0</v>
      </c>
      <c r="J3579" s="341"/>
      <c r="L3579" s="380"/>
      <c r="M3579" s="381"/>
      <c r="N3579" s="342"/>
      <c r="R3579" s="341"/>
      <c r="S3579" s="341"/>
    </row>
    <row r="3580" spans="1:19" ht="12.75" customHeight="1">
      <c r="A3580" s="393"/>
      <c r="C3580" s="20"/>
      <c r="E3580" s="387"/>
      <c r="F3580" s="388">
        <f t="shared" si="927"/>
        <v>0</v>
      </c>
      <c r="J3580" s="341"/>
      <c r="L3580" s="380"/>
      <c r="M3580" s="381"/>
      <c r="N3580" s="342"/>
      <c r="R3580" s="341"/>
      <c r="S3580" s="341"/>
    </row>
    <row r="3581" spans="1:19" ht="12.75" customHeight="1">
      <c r="A3581" s="393"/>
      <c r="B3581" s="395" t="s">
        <v>226</v>
      </c>
      <c r="C3581" s="396"/>
      <c r="D3581" s="397"/>
      <c r="E3581" s="398"/>
      <c r="F3581" s="399">
        <f>SUM(F3565:F3580)</f>
        <v>0</v>
      </c>
      <c r="H3581" s="451" t="s">
        <v>768</v>
      </c>
      <c r="J3581" s="341"/>
      <c r="L3581" s="380"/>
      <c r="M3581" s="381"/>
      <c r="N3581" s="342"/>
      <c r="R3581" s="341"/>
      <c r="S3581" s="341"/>
    </row>
    <row r="3582" spans="1:19" ht="12.75" customHeight="1">
      <c r="A3582" s="393"/>
      <c r="B3582" s="400" t="s">
        <v>53</v>
      </c>
      <c r="C3582" s="2">
        <f>$D$8</f>
        <v>0</v>
      </c>
      <c r="D3582" s="401"/>
      <c r="E3582" s="402"/>
      <c r="F3582" s="403">
        <f>ROUND(F3581*C3582,2)</f>
        <v>0</v>
      </c>
      <c r="J3582" s="341"/>
      <c r="L3582" s="380"/>
      <c r="M3582" s="381"/>
      <c r="N3582" s="342"/>
      <c r="R3582" s="341"/>
      <c r="S3582" s="341"/>
    </row>
    <row r="3583" spans="1:19" ht="12.75" customHeight="1">
      <c r="A3583" s="404"/>
      <c r="B3583" s="405" t="s">
        <v>227</v>
      </c>
      <c r="C3583" s="406"/>
      <c r="D3583" s="406"/>
      <c r="E3583" s="407"/>
      <c r="F3583" s="408">
        <f>F3581+F3582</f>
        <v>0</v>
      </c>
      <c r="J3583" s="341"/>
      <c r="L3583" s="380"/>
      <c r="M3583" s="381"/>
      <c r="N3583" s="342"/>
      <c r="R3583" s="341"/>
      <c r="S3583" s="341"/>
    </row>
    <row r="3584" spans="1:19" ht="12.75" customHeight="1">
      <c r="A3584" s="374" t="s">
        <v>2</v>
      </c>
      <c r="B3584" s="375" t="s">
        <v>235</v>
      </c>
      <c r="C3584" s="376" t="s">
        <v>231</v>
      </c>
      <c r="D3584" s="376" t="s">
        <v>232</v>
      </c>
      <c r="E3584" s="377" t="s">
        <v>233</v>
      </c>
      <c r="F3584" s="378" t="s">
        <v>234</v>
      </c>
      <c r="J3584" s="341"/>
      <c r="L3584" s="380"/>
      <c r="M3584" s="381"/>
      <c r="N3584" s="342"/>
      <c r="R3584" s="341"/>
      <c r="S3584" s="341"/>
    </row>
    <row r="3585" spans="1:19" ht="12.75" customHeight="1">
      <c r="A3585" s="393"/>
      <c r="B3585" s="423"/>
      <c r="C3585" s="20"/>
      <c r="E3585" s="387"/>
      <c r="F3585" s="388">
        <f t="shared" ref="F3585:F3594" si="928">ROUND(C3585*E3585,2)</f>
        <v>0</v>
      </c>
      <c r="J3585" s="341"/>
      <c r="L3585" s="380"/>
      <c r="M3585" s="381"/>
      <c r="N3585" s="342"/>
      <c r="R3585" s="341"/>
      <c r="S3585" s="341"/>
    </row>
    <row r="3586" spans="1:19" ht="12.75" customHeight="1">
      <c r="A3586" s="393"/>
      <c r="C3586" s="20"/>
      <c r="E3586" s="387"/>
      <c r="F3586" s="388">
        <f t="shared" si="928"/>
        <v>0</v>
      </c>
      <c r="J3586" s="341"/>
      <c r="L3586" s="380"/>
      <c r="M3586" s="381"/>
      <c r="N3586" s="342"/>
      <c r="R3586" s="341"/>
      <c r="S3586" s="341"/>
    </row>
    <row r="3587" spans="1:19" ht="12.75" customHeight="1">
      <c r="A3587" s="393"/>
      <c r="C3587" s="20"/>
      <c r="E3587" s="387"/>
      <c r="F3587" s="388">
        <f t="shared" si="928"/>
        <v>0</v>
      </c>
      <c r="J3587" s="341"/>
      <c r="L3587" s="380"/>
      <c r="M3587" s="381"/>
      <c r="N3587" s="342"/>
      <c r="R3587" s="341"/>
      <c r="S3587" s="341"/>
    </row>
    <row r="3588" spans="1:19" ht="12.75" customHeight="1">
      <c r="A3588" s="393"/>
      <c r="C3588" s="20"/>
      <c r="E3588" s="387"/>
      <c r="F3588" s="388">
        <f t="shared" si="928"/>
        <v>0</v>
      </c>
      <c r="J3588" s="341"/>
      <c r="L3588" s="380"/>
      <c r="M3588" s="381"/>
      <c r="N3588" s="342"/>
      <c r="R3588" s="341"/>
      <c r="S3588" s="341"/>
    </row>
    <row r="3589" spans="1:19" ht="12.75" customHeight="1">
      <c r="A3589" s="393"/>
      <c r="C3589" s="20"/>
      <c r="E3589" s="387"/>
      <c r="F3589" s="388">
        <f t="shared" si="928"/>
        <v>0</v>
      </c>
      <c r="J3589" s="341"/>
      <c r="L3589" s="380"/>
      <c r="M3589" s="381"/>
      <c r="N3589" s="342"/>
      <c r="R3589" s="341"/>
      <c r="S3589" s="341"/>
    </row>
    <row r="3590" spans="1:19" ht="12.75" customHeight="1">
      <c r="A3590" s="393"/>
      <c r="C3590" s="20"/>
      <c r="E3590" s="387"/>
      <c r="F3590" s="388">
        <f t="shared" si="928"/>
        <v>0</v>
      </c>
      <c r="J3590" s="341"/>
      <c r="L3590" s="380"/>
      <c r="M3590" s="381"/>
      <c r="N3590" s="342"/>
      <c r="R3590" s="341"/>
      <c r="S3590" s="341"/>
    </row>
    <row r="3591" spans="1:19" ht="12.75" customHeight="1">
      <c r="A3591" s="393"/>
      <c r="C3591" s="20"/>
      <c r="E3591" s="387"/>
      <c r="F3591" s="388">
        <f t="shared" si="928"/>
        <v>0</v>
      </c>
      <c r="J3591" s="341"/>
      <c r="L3591" s="380"/>
      <c r="M3591" s="381"/>
      <c r="N3591" s="342"/>
      <c r="R3591" s="341"/>
      <c r="S3591" s="341"/>
    </row>
    <row r="3592" spans="1:19" ht="12.75" customHeight="1">
      <c r="A3592" s="393"/>
      <c r="C3592" s="20"/>
      <c r="E3592" s="387"/>
      <c r="F3592" s="388">
        <f t="shared" si="928"/>
        <v>0</v>
      </c>
      <c r="J3592" s="341"/>
      <c r="L3592" s="380"/>
      <c r="M3592" s="381"/>
      <c r="N3592" s="342"/>
      <c r="R3592" s="341"/>
      <c r="S3592" s="341"/>
    </row>
    <row r="3593" spans="1:19" ht="12.75" customHeight="1">
      <c r="A3593" s="393"/>
      <c r="C3593" s="20"/>
      <c r="E3593" s="387"/>
      <c r="F3593" s="388">
        <f t="shared" si="928"/>
        <v>0</v>
      </c>
      <c r="J3593" s="341"/>
      <c r="L3593" s="380"/>
      <c r="M3593" s="381"/>
      <c r="N3593" s="342"/>
      <c r="R3593" s="341"/>
      <c r="S3593" s="341"/>
    </row>
    <row r="3594" spans="1:19" ht="12.75" customHeight="1">
      <c r="A3594" s="393"/>
      <c r="C3594" s="20"/>
      <c r="E3594" s="387"/>
      <c r="F3594" s="388">
        <f t="shared" si="928"/>
        <v>0</v>
      </c>
      <c r="J3594" s="341"/>
      <c r="L3594" s="380"/>
      <c r="M3594" s="381"/>
      <c r="N3594" s="342"/>
      <c r="R3594" s="341"/>
      <c r="S3594" s="341"/>
    </row>
    <row r="3595" spans="1:19" ht="12.75" customHeight="1">
      <c r="A3595" s="393"/>
      <c r="B3595" s="395" t="s">
        <v>226</v>
      </c>
      <c r="C3595" s="396"/>
      <c r="D3595" s="397"/>
      <c r="E3595" s="398"/>
      <c r="F3595" s="399">
        <f>SUM(F3585:F3594)</f>
        <v>0</v>
      </c>
      <c r="J3595" s="341"/>
      <c r="L3595" s="380"/>
      <c r="M3595" s="381"/>
      <c r="N3595" s="342"/>
      <c r="R3595" s="341"/>
      <c r="S3595" s="341"/>
    </row>
    <row r="3596" spans="1:19" ht="12.75" customHeight="1">
      <c r="A3596" s="393"/>
      <c r="B3596" s="400" t="s">
        <v>53</v>
      </c>
      <c r="C3596" s="2">
        <f>$D$8</f>
        <v>0</v>
      </c>
      <c r="D3596" s="401"/>
      <c r="E3596" s="402"/>
      <c r="F3596" s="403">
        <f>ROUND(C3596*F3595,2)</f>
        <v>0</v>
      </c>
      <c r="J3596" s="341"/>
      <c r="L3596" s="380"/>
      <c r="M3596" s="381"/>
      <c r="N3596" s="342"/>
      <c r="R3596" s="341"/>
      <c r="S3596" s="341"/>
    </row>
    <row r="3597" spans="1:19" ht="12.75" customHeight="1">
      <c r="A3597" s="404"/>
      <c r="B3597" s="405" t="s">
        <v>228</v>
      </c>
      <c r="C3597" s="406"/>
      <c r="D3597" s="406"/>
      <c r="E3597" s="407"/>
      <c r="F3597" s="408">
        <f>F3595+F3596</f>
        <v>0</v>
      </c>
      <c r="J3597" s="341"/>
      <c r="L3597" s="380"/>
      <c r="M3597" s="381"/>
      <c r="N3597" s="342"/>
      <c r="R3597" s="341"/>
      <c r="S3597" s="341"/>
    </row>
    <row r="3598" spans="1:19" ht="12.75" customHeight="1">
      <c r="A3598" s="409" t="s">
        <v>47</v>
      </c>
      <c r="B3598" s="410" t="s">
        <v>236</v>
      </c>
      <c r="C3598" s="411" t="s">
        <v>231</v>
      </c>
      <c r="D3598" s="412" t="s">
        <v>232</v>
      </c>
      <c r="E3598" s="413" t="s">
        <v>233</v>
      </c>
      <c r="F3598" s="378" t="s">
        <v>234</v>
      </c>
      <c r="J3598" s="341"/>
      <c r="L3598" s="380"/>
      <c r="M3598" s="381"/>
      <c r="N3598" s="342"/>
      <c r="R3598" s="341"/>
      <c r="S3598" s="341"/>
    </row>
    <row r="3599" spans="1:19" ht="12.75" customHeight="1">
      <c r="A3599" s="393" t="str">
        <f>VII.A!$A$196</f>
        <v>3.16</v>
      </c>
      <c r="B3599" s="394" t="s">
        <v>157</v>
      </c>
      <c r="C3599" s="20">
        <v>0.39</v>
      </c>
      <c r="D3599" s="384" t="str">
        <f>VLOOKUP(A3599,VII.A!$A$10:$G$199,3,FALSE)</f>
        <v>H</v>
      </c>
      <c r="E3599" s="387">
        <f>VII.A!D196</f>
        <v>0</v>
      </c>
      <c r="F3599" s="388">
        <f t="shared" ref="F3599:F3605" si="929">ROUND(C3599*E3599,2)</f>
        <v>0</v>
      </c>
      <c r="H3599" s="341">
        <f>IF(A3599="","",VLOOKUP(A3599,VII.A!$A$10:$D$199,4,FALSE))</f>
        <v>0</v>
      </c>
      <c r="I3599" s="341" t="str">
        <f t="shared" ref="I3599:I3600" si="930">IF(A3599="","",IF(E3599=H3599,"SIM","NÃO"))</f>
        <v>SIM</v>
      </c>
      <c r="J3599" s="341" t="str">
        <f>IF(A3599="","",VLOOKUP(A3599,VII.A!$A$10:$D$199,3,FALSE))</f>
        <v>H</v>
      </c>
      <c r="K3599" s="342" t="str">
        <f t="shared" ref="K3599:K3600" si="931">IF(A3599="","",IF(J3599=D3599,"SIM","NÃO"))</f>
        <v>SIM</v>
      </c>
      <c r="L3599" s="380">
        <f>IF(C3599="","",G3563*C3599)</f>
        <v>12.48</v>
      </c>
      <c r="M3599" s="381" t="str">
        <f>IF(A3599="","",VLOOKUP(A3599,VII.A!$A$10:$B$199,2,FALSE))</f>
        <v>SERVENTE COM ENCARGOS COMPLEMENTARES</v>
      </c>
      <c r="N3599" s="342" t="str">
        <f t="shared" ref="N3599:N3600" si="932">IF(B3599="","",IF(M3599=B3599,"si","no"))</f>
        <v>si</v>
      </c>
      <c r="R3599" s="341"/>
      <c r="S3599" s="341"/>
    </row>
    <row r="3600" spans="1:19" ht="12.75" customHeight="1">
      <c r="A3600" s="393" t="str">
        <f>VII.A!$A$198</f>
        <v>3.18</v>
      </c>
      <c r="B3600" s="394" t="s">
        <v>159</v>
      </c>
      <c r="C3600" s="20">
        <v>0.40100000000000002</v>
      </c>
      <c r="D3600" s="384" t="str">
        <f>VLOOKUP(A3600,VII.A!$A$10:$G$199,3,FALSE)</f>
        <v>H</v>
      </c>
      <c r="E3600" s="387">
        <f>VII.A!D198</f>
        <v>0</v>
      </c>
      <c r="F3600" s="388">
        <f>ROUND(C3600*E3600,2)</f>
        <v>0</v>
      </c>
      <c r="H3600" s="341">
        <f>IF(A3600="","",VLOOKUP(A3600,VII.A!$A$10:$D$199,4,FALSE))</f>
        <v>0</v>
      </c>
      <c r="I3600" s="341" t="str">
        <f t="shared" si="930"/>
        <v>SIM</v>
      </c>
      <c r="J3600" s="341" t="str">
        <f>IF(A3600="","",VLOOKUP(A3600,VII.A!$A$10:$D$199,3,FALSE))</f>
        <v>H</v>
      </c>
      <c r="K3600" s="342" t="str">
        <f t="shared" si="931"/>
        <v>SIM</v>
      </c>
      <c r="L3600" s="380">
        <f>IF(C3600="","",G3563*C3600)</f>
        <v>12.832000000000001</v>
      </c>
      <c r="M3600" s="381" t="str">
        <f>IF(A3600="","",VLOOKUP(A3600,VII.A!$A$10:$B$199,2,FALSE))</f>
        <v>VIDRACEIRO COM ENCARGOS COMPLEMENTARES</v>
      </c>
      <c r="N3600" s="342" t="str">
        <f t="shared" si="932"/>
        <v>si</v>
      </c>
      <c r="R3600" s="341"/>
      <c r="S3600" s="341"/>
    </row>
    <row r="3601" spans="1:25" ht="12.75" customHeight="1">
      <c r="A3601" s="393"/>
      <c r="C3601" s="20"/>
      <c r="E3601" s="387"/>
      <c r="F3601" s="388">
        <f t="shared" si="929"/>
        <v>0</v>
      </c>
      <c r="J3601" s="341"/>
      <c r="L3601" s="380"/>
      <c r="M3601" s="381"/>
      <c r="N3601" s="342"/>
      <c r="R3601" s="341"/>
      <c r="S3601" s="341"/>
    </row>
    <row r="3602" spans="1:25" ht="12.75" customHeight="1">
      <c r="A3602" s="393"/>
      <c r="C3602" s="20"/>
      <c r="E3602" s="387"/>
      <c r="F3602" s="388">
        <f t="shared" si="929"/>
        <v>0</v>
      </c>
      <c r="J3602" s="341"/>
      <c r="L3602" s="380"/>
      <c r="M3602" s="381"/>
      <c r="N3602" s="342"/>
      <c r="R3602" s="341"/>
      <c r="S3602" s="341"/>
    </row>
    <row r="3603" spans="1:25" ht="12.75" customHeight="1">
      <c r="A3603" s="393"/>
      <c r="C3603" s="20"/>
      <c r="E3603" s="387"/>
      <c r="F3603" s="388">
        <f t="shared" si="929"/>
        <v>0</v>
      </c>
      <c r="J3603" s="341"/>
      <c r="L3603" s="380"/>
      <c r="M3603" s="381"/>
      <c r="N3603" s="342"/>
      <c r="R3603" s="341"/>
      <c r="S3603" s="341"/>
    </row>
    <row r="3604" spans="1:25" ht="12.75" customHeight="1">
      <c r="A3604" s="393"/>
      <c r="C3604" s="20"/>
      <c r="E3604" s="387"/>
      <c r="F3604" s="388">
        <f t="shared" si="929"/>
        <v>0</v>
      </c>
      <c r="J3604" s="341"/>
      <c r="L3604" s="380"/>
      <c r="M3604" s="381"/>
      <c r="N3604" s="342"/>
      <c r="R3604" s="341"/>
      <c r="S3604" s="341"/>
    </row>
    <row r="3605" spans="1:25" ht="12.75" customHeight="1">
      <c r="A3605" s="393"/>
      <c r="C3605" s="20"/>
      <c r="E3605" s="387"/>
      <c r="F3605" s="388">
        <f t="shared" si="929"/>
        <v>0</v>
      </c>
      <c r="J3605" s="341"/>
      <c r="L3605" s="380"/>
      <c r="M3605" s="381"/>
      <c r="N3605" s="342"/>
      <c r="R3605" s="341"/>
      <c r="S3605" s="341"/>
    </row>
    <row r="3606" spans="1:25" ht="12.75" customHeight="1">
      <c r="A3606" s="393"/>
      <c r="B3606" s="395" t="s">
        <v>226</v>
      </c>
      <c r="C3606" s="396"/>
      <c r="D3606" s="397"/>
      <c r="E3606" s="398"/>
      <c r="F3606" s="399">
        <f>SUM(F3599:F3605)</f>
        <v>0</v>
      </c>
      <c r="J3606" s="341"/>
      <c r="L3606" s="380"/>
      <c r="M3606" s="381"/>
      <c r="N3606" s="342"/>
      <c r="R3606" s="341"/>
      <c r="S3606" s="341"/>
    </row>
    <row r="3607" spans="1:25" ht="12.75" customHeight="1">
      <c r="A3607" s="393"/>
      <c r="B3607" s="400" t="s">
        <v>229</v>
      </c>
      <c r="C3607" s="2">
        <f>IX.A!$C$45</f>
        <v>0</v>
      </c>
      <c r="D3607" s="401"/>
      <c r="E3607" s="402"/>
      <c r="F3607" s="403">
        <f>ROUND(F3606*C3607,2)</f>
        <v>0</v>
      </c>
      <c r="J3607" s="341"/>
      <c r="L3607" s="380"/>
      <c r="M3607" s="381"/>
      <c r="N3607" s="342"/>
      <c r="R3607" s="341"/>
      <c r="S3607" s="341"/>
    </row>
    <row r="3608" spans="1:25" ht="12.75" customHeight="1">
      <c r="A3608" s="393"/>
      <c r="B3608" s="400" t="s">
        <v>53</v>
      </c>
      <c r="C3608" s="2">
        <f>$D$8</f>
        <v>0</v>
      </c>
      <c r="D3608" s="401"/>
      <c r="E3608" s="402"/>
      <c r="F3608" s="403">
        <f>ROUND(SUM(F3606:F3607)*C3608,2)</f>
        <v>0</v>
      </c>
      <c r="J3608" s="341"/>
      <c r="L3608" s="380"/>
      <c r="M3608" s="381"/>
      <c r="N3608" s="342"/>
      <c r="R3608" s="341"/>
      <c r="S3608" s="341"/>
    </row>
    <row r="3609" spans="1:25" ht="12.75" customHeight="1" thickBot="1">
      <c r="A3609" s="414"/>
      <c r="B3609" s="415" t="s">
        <v>230</v>
      </c>
      <c r="C3609" s="416"/>
      <c r="D3609" s="416"/>
      <c r="E3609" s="417"/>
      <c r="F3609" s="418">
        <f>SUM(F3606:F3608)</f>
        <v>0</v>
      </c>
      <c r="J3609" s="341"/>
      <c r="L3609" s="380"/>
      <c r="M3609" s="381"/>
      <c r="N3609" s="342"/>
      <c r="R3609" s="341"/>
      <c r="S3609" s="341"/>
    </row>
    <row r="3610" spans="1:25" ht="12.75" customHeight="1" thickBot="1">
      <c r="A3610" s="427"/>
      <c r="B3610" s="428"/>
      <c r="C3610" s="429"/>
      <c r="D3610" s="429"/>
      <c r="E3610" s="430"/>
      <c r="F3610" s="431"/>
      <c r="J3610" s="341"/>
      <c r="L3610" s="380"/>
      <c r="M3610" s="381"/>
      <c r="N3610" s="342"/>
      <c r="R3610" s="341"/>
      <c r="S3610" s="341"/>
    </row>
    <row r="3611" spans="1:25" ht="30" customHeight="1">
      <c r="A3611" s="370" t="str">
        <f>IV.A!A114</f>
        <v>4.1</v>
      </c>
      <c r="B3611" s="371" t="str">
        <f>IV.A!B114</f>
        <v>RALO SECO DE PVC RÍGIDO, ALTURA 50MM, DIÂMETRO DE ENTRADA 40MM, COM GRELHA QUADRADA DE PVC BRANCO, DIMENSÕES 100X100MM</v>
      </c>
      <c r="C3611" s="871" t="s">
        <v>237</v>
      </c>
      <c r="D3611" s="872"/>
      <c r="E3611" s="372" t="str">
        <f>IV.A!$C$114</f>
        <v>UN</v>
      </c>
      <c r="F3611" s="11">
        <f>ROUND(F3631+F3645+F3657,2)</f>
        <v>0</v>
      </c>
      <c r="G3611" s="1">
        <f>VLOOKUP(A3611,IV.A!$A$16:$L$172,4,FALSE)</f>
        <v>20</v>
      </c>
      <c r="H3611" s="361">
        <f>SUM(F3613:F3628)+F3630</f>
        <v>0</v>
      </c>
      <c r="I3611" s="361">
        <f>SUM(F3633:F3642)+F3644</f>
        <v>0</v>
      </c>
      <c r="J3611" s="361">
        <f>SUM(F3647:F3653)+F3655+F3656</f>
        <v>0</v>
      </c>
      <c r="K3611" s="361">
        <f>SUM(H3611:J3611)</f>
        <v>0</v>
      </c>
      <c r="L3611" s="362" t="str">
        <f>IF(K3611=F3611,"SIM","NÃO")</f>
        <v>SIM</v>
      </c>
      <c r="M3611" s="373">
        <f>ROUND(SUM(F3613:F3628),2)+ROUND(SUM(F3613:F3628)*C3630,2)+ROUND(SUM(F3633:F3642)*C3644,2)+ROUND(SUM(F3633:F3642),2)+ROUND(SUM(F3647:F3653)*C3655,2)+ROUND((SUM(F3647:F3653)+ROUND(SUM(F3647:F3653)*C3655,2))*C3656,2)+ROUND(SUM(F3647:F3653),2)</f>
        <v>0</v>
      </c>
      <c r="N3611" s="343" t="str">
        <f>IF(M3611=F3611,"SIM","NÃO")</f>
        <v>SIM</v>
      </c>
      <c r="O3611" s="364" t="str">
        <f>VLOOKUP(A3611,IV.A!$A$16:$E$172,3,FALSE)</f>
        <v>UN</v>
      </c>
      <c r="P3611" s="344" t="str">
        <f>IF(O3611=E3611,"SIM","NÃO")</f>
        <v>SIM</v>
      </c>
      <c r="Q3611" s="365">
        <f>ROUND(G3611*F3631,2)+ROUND(G3611*F3645,2)+ROUND(G3611*F3657,2)</f>
        <v>0</v>
      </c>
      <c r="R3611" s="364">
        <f>VLOOKUP(A3611,IV.A!$A$16:$L$172,12,FALSE)</f>
        <v>0</v>
      </c>
      <c r="S3611" s="366" t="str">
        <f>IF(Q3611=R3611,"si","no")</f>
        <v>si</v>
      </c>
      <c r="T3611" s="367">
        <f>SUM(L3613:L3628)+SUM(L3633:L3642)+SUM(L3647:L3653)</f>
        <v>23.387999999999998</v>
      </c>
      <c r="U3611" s="341">
        <f>(SUM(C3613:C3628)+SUM(C3633:C3642)+SUM(C3647:C3653))*G3611</f>
        <v>23.387999999999998</v>
      </c>
      <c r="V3611" s="368" t="str">
        <f>IF(T3611=U3611,"si","no")</f>
        <v>si</v>
      </c>
      <c r="W3611" s="369">
        <f>SUM(F3613:F3628)</f>
        <v>0</v>
      </c>
      <c r="X3611" s="369">
        <f>SUM(F3633:F3642)</f>
        <v>0</v>
      </c>
      <c r="Y3611" s="369">
        <f>SUM(F3647:F3653)</f>
        <v>0</v>
      </c>
    </row>
    <row r="3612" spans="1:25" ht="12.75" customHeight="1">
      <c r="A3612" s="374" t="s">
        <v>14</v>
      </c>
      <c r="B3612" s="375" t="s">
        <v>132</v>
      </c>
      <c r="C3612" s="376" t="s">
        <v>231</v>
      </c>
      <c r="D3612" s="376" t="s">
        <v>232</v>
      </c>
      <c r="E3612" s="377" t="s">
        <v>233</v>
      </c>
      <c r="F3612" s="378" t="s">
        <v>234</v>
      </c>
      <c r="G3612" s="379"/>
      <c r="J3612" s="341"/>
      <c r="L3612" s="380"/>
      <c r="M3612" s="381"/>
      <c r="N3612" s="342"/>
      <c r="O3612" s="382"/>
      <c r="P3612" s="383"/>
      <c r="Q3612" s="383"/>
      <c r="R3612" s="383"/>
      <c r="S3612" s="383"/>
      <c r="T3612" s="382"/>
      <c r="U3612" s="341"/>
      <c r="V3612" s="384"/>
      <c r="W3612" s="384"/>
      <c r="X3612" s="384"/>
      <c r="Y3612" s="384"/>
    </row>
    <row r="3613" spans="1:25" ht="12.75" customHeight="1">
      <c r="A3613" s="385" t="str">
        <f>VII.A!$A$92</f>
        <v>1.82</v>
      </c>
      <c r="B3613" s="386" t="str">
        <f>VLOOKUP(A3613,VII.A!$A$10:$G$199,2,FALSE)</f>
        <v>RALO SECO DE PVC COM GRELHA QUADRADA DE PVC (50MM / 40MM / 100MM)</v>
      </c>
      <c r="C3613" s="20">
        <v>1</v>
      </c>
      <c r="D3613" s="342" t="str">
        <f>VLOOKUP(A3613,VII.A!$A$10:$G$199,3,FALSE)</f>
        <v>UN</v>
      </c>
      <c r="E3613" s="387">
        <f>VII.A!D92</f>
        <v>0</v>
      </c>
      <c r="F3613" s="388">
        <f>ROUND(C3613*E3613,2)</f>
        <v>0</v>
      </c>
      <c r="H3613" s="341">
        <f>IF(A3613="","",VLOOKUP(A3613,VII.A!$A$10:$D$199,4,FALSE))</f>
        <v>0</v>
      </c>
      <c r="I3613" s="341" t="str">
        <f t="shared" ref="I3613:I3628" si="933">IF(A3613="","",IF(E3613=H3613,"SIM","NÃO"))</f>
        <v>SIM</v>
      </c>
      <c r="J3613" s="341" t="str">
        <f>IF(A3613="","",VLOOKUP(A3613,VII.A!$A$10:$D$199,3,FALSE))</f>
        <v>UN</v>
      </c>
      <c r="K3613" s="342" t="str">
        <f t="shared" ref="K3613:K3628" si="934">IF(A3613="","",IF(J3613=D3613,"SIM","NÃO"))</f>
        <v>SIM</v>
      </c>
      <c r="L3613" s="380">
        <f>IF(C3613="","",G3611*C3613)</f>
        <v>20</v>
      </c>
      <c r="M3613" s="381" t="str">
        <f>IF(A3613="","",VLOOKUP(A3613,VII.A!$A$10:$B$199,2,FALSE))</f>
        <v>RALO SECO DE PVC COM GRELHA QUADRADA DE PVC (50MM / 40MM / 100MM)</v>
      </c>
      <c r="N3613" s="342" t="str">
        <f t="shared" ref="N3613:N3628" si="935">IF(B3613="","",IF(M3613=B3613,"si","no"))</f>
        <v>si</v>
      </c>
      <c r="R3613" s="341"/>
      <c r="S3613" s="341"/>
    </row>
    <row r="3614" spans="1:25" ht="12.75" customHeight="1">
      <c r="A3614" s="385" t="str">
        <f>VII.A!$A$11</f>
        <v>1.2</v>
      </c>
      <c r="B3614" s="386" t="str">
        <f>VLOOKUP(A3614,VII.A!$A$10:$G$199,2,FALSE)</f>
        <v>ADESIVO PARA TUBO EM PVC - FRASCO 850 GR.</v>
      </c>
      <c r="C3614" s="20">
        <v>4.8999999999999998E-3</v>
      </c>
      <c r="D3614" s="342" t="str">
        <f>VLOOKUP(A3614,VII.A!$A$10:$G$199,3,FALSE)</f>
        <v>UN</v>
      </c>
      <c r="E3614" s="387">
        <f>VII.A!D11</f>
        <v>0</v>
      </c>
      <c r="F3614" s="388">
        <f t="shared" ref="F3614:F3628" si="936">ROUND(C3614*E3614,2)</f>
        <v>0</v>
      </c>
      <c r="H3614" s="341">
        <f>IF(A3614="","",VLOOKUP(A3614,VII.A!$A$10:$D$199,4,FALSE))</f>
        <v>0</v>
      </c>
      <c r="I3614" s="341" t="str">
        <f t="shared" si="933"/>
        <v>SIM</v>
      </c>
      <c r="J3614" s="341" t="str">
        <f>IF(A3614="","",VLOOKUP(A3614,VII.A!$A$10:$D$199,3,FALSE))</f>
        <v>UN</v>
      </c>
      <c r="K3614" s="342" t="str">
        <f t="shared" si="934"/>
        <v>SIM</v>
      </c>
      <c r="L3614" s="380">
        <f>IF(C3614="","",G3611*C3614)</f>
        <v>9.8000000000000004E-2</v>
      </c>
      <c r="M3614" s="381" t="str">
        <f>IF(A3614="","",VLOOKUP(A3614,VII.A!$A$10:$B$199,2,FALSE))</f>
        <v>ADESIVO PARA TUBO EM PVC - FRASCO 850 GR.</v>
      </c>
      <c r="N3614" s="342" t="str">
        <f t="shared" si="935"/>
        <v>si</v>
      </c>
      <c r="R3614" s="341"/>
      <c r="S3614" s="341"/>
    </row>
    <row r="3615" spans="1:25" ht="12.75" customHeight="1">
      <c r="A3615" s="385" t="str">
        <f>VII.A!$A$100</f>
        <v>1.90</v>
      </c>
      <c r="B3615" s="386" t="str">
        <f>VLOOKUP(A3615,VII.A!$A$10:$G$199,2,FALSE)</f>
        <v>SOLUCAO LIMPADORA PARA PVC, FRASCO COM 1000 CM3</v>
      </c>
      <c r="C3615" s="20">
        <v>7.4999999999999997E-3</v>
      </c>
      <c r="D3615" s="342" t="str">
        <f>VLOOKUP(A3615,VII.A!$A$10:$G$199,3,FALSE)</f>
        <v xml:space="preserve">UN </v>
      </c>
      <c r="E3615" s="387">
        <f>VII.A!D100</f>
        <v>0</v>
      </c>
      <c r="F3615" s="388">
        <f t="shared" si="936"/>
        <v>0</v>
      </c>
      <c r="H3615" s="341">
        <f>IF(A3615="","",VLOOKUP(A3615,VII.A!$A$10:$D$199,4,FALSE))</f>
        <v>0</v>
      </c>
      <c r="I3615" s="341" t="str">
        <f t="shared" si="933"/>
        <v>SIM</v>
      </c>
      <c r="J3615" s="341" t="str">
        <f>IF(A3615="","",VLOOKUP(A3615,VII.A!$A$10:$D$199,3,FALSE))</f>
        <v xml:space="preserve">UN </v>
      </c>
      <c r="K3615" s="342" t="str">
        <f t="shared" si="934"/>
        <v>SIM</v>
      </c>
      <c r="L3615" s="380">
        <f>IF(C3615="","",G3611*C3615)</f>
        <v>0.15</v>
      </c>
      <c r="M3615" s="381" t="str">
        <f>IF(A3615="","",VLOOKUP(A3615,VII.A!$A$10:$B$199,2,FALSE))</f>
        <v>SOLUCAO LIMPADORA PARA PVC, FRASCO COM 1000 CM3</v>
      </c>
      <c r="N3615" s="342" t="str">
        <f t="shared" si="935"/>
        <v>si</v>
      </c>
      <c r="R3615" s="341"/>
      <c r="S3615" s="341"/>
    </row>
    <row r="3616" spans="1:25" ht="12.75" customHeight="1">
      <c r="A3616" s="385" t="str">
        <f>VII.A!$A$67</f>
        <v>1.58</v>
      </c>
      <c r="B3616" s="386" t="str">
        <f>VLOOKUP(A3616,VII.A!$A$10:$G$199,2,FALSE)</f>
        <v>LIXA D'AGUA EM FOLHA, GRAO 100</v>
      </c>
      <c r="C3616" s="20">
        <v>1.7000000000000001E-2</v>
      </c>
      <c r="D3616" s="342" t="str">
        <f>VLOOKUP(A3616,VII.A!$A$10:$G$199,3,FALSE)</f>
        <v>UN</v>
      </c>
      <c r="E3616" s="387">
        <f>VII.A!$D$67</f>
        <v>0</v>
      </c>
      <c r="F3616" s="388">
        <f t="shared" si="936"/>
        <v>0</v>
      </c>
      <c r="H3616" s="341">
        <f>IF(A3616="","",VLOOKUP(A3616,VII.A!$A$10:$D$199,4,FALSE))</f>
        <v>0</v>
      </c>
      <c r="I3616" s="341" t="str">
        <f t="shared" si="933"/>
        <v>SIM</v>
      </c>
      <c r="J3616" s="341" t="str">
        <f>IF(A3616="","",VLOOKUP(A3616,VII.A!$A$10:$D$199,3,FALSE))</f>
        <v>UN</v>
      </c>
      <c r="K3616" s="342" t="str">
        <f t="shared" si="934"/>
        <v>SIM</v>
      </c>
      <c r="L3616" s="380">
        <f>IF(C3616="","",G3611*C3616)</f>
        <v>0.34</v>
      </c>
      <c r="M3616" s="381" t="str">
        <f>IF(A3616="","",VLOOKUP(A3616,VII.A!$A$10:$B$199,2,FALSE))</f>
        <v>LIXA D'AGUA EM FOLHA, GRAO 100</v>
      </c>
      <c r="N3616" s="342" t="str">
        <f t="shared" si="935"/>
        <v>si</v>
      </c>
      <c r="R3616" s="341"/>
      <c r="S3616" s="341"/>
    </row>
    <row r="3617" spans="1:21" ht="12.75" customHeight="1">
      <c r="A3617" s="385"/>
      <c r="B3617" s="386"/>
      <c r="C3617" s="20"/>
      <c r="D3617" s="342"/>
      <c r="E3617" s="387"/>
      <c r="F3617" s="388">
        <f t="shared" si="936"/>
        <v>0</v>
      </c>
      <c r="H3617" s="341" t="str">
        <f>IF(A3617="","",VLOOKUP(A3617,VII.A!$A$10:$D$199,4,FALSE))</f>
        <v/>
      </c>
      <c r="I3617" s="341" t="str">
        <f t="shared" si="933"/>
        <v/>
      </c>
      <c r="J3617" s="341" t="str">
        <f>IF(A3617="","",VLOOKUP(A3617,VII.A!$A$10:$D$199,3,FALSE))</f>
        <v/>
      </c>
      <c r="K3617" s="342" t="str">
        <f t="shared" si="934"/>
        <v/>
      </c>
      <c r="L3617" s="380" t="str">
        <f>IF(C3617="","",G3611*C3617)</f>
        <v/>
      </c>
      <c r="M3617" s="381" t="str">
        <f>IF(A3617="","",VLOOKUP(A3617,VII.A!$A$10:$B$199,2,FALSE))</f>
        <v/>
      </c>
      <c r="N3617" s="342" t="str">
        <f t="shared" si="935"/>
        <v/>
      </c>
      <c r="R3617" s="341"/>
      <c r="S3617" s="341"/>
    </row>
    <row r="3618" spans="1:21" ht="12.75" customHeight="1">
      <c r="A3618" s="385"/>
      <c r="B3618" s="386"/>
      <c r="C3618" s="20"/>
      <c r="D3618" s="342"/>
      <c r="E3618" s="387"/>
      <c r="F3618" s="388">
        <f t="shared" si="936"/>
        <v>0</v>
      </c>
      <c r="H3618" s="341" t="str">
        <f>IF(A3618="","",VLOOKUP(A3618,VII.A!$A$10:$D$199,4,FALSE))</f>
        <v/>
      </c>
      <c r="I3618" s="341" t="str">
        <f t="shared" si="933"/>
        <v/>
      </c>
      <c r="J3618" s="341" t="str">
        <f>IF(A3618="","",VLOOKUP(A3618,VII.A!$A$10:$D$199,3,FALSE))</f>
        <v/>
      </c>
      <c r="K3618" s="342" t="str">
        <f t="shared" si="934"/>
        <v/>
      </c>
      <c r="L3618" s="380" t="str">
        <f>IF(C3618="","",G3611*C3618)</f>
        <v/>
      </c>
      <c r="M3618" s="381" t="str">
        <f>IF(A3618="","",VLOOKUP(A3618,VII.A!$A$10:$B$199,2,FALSE))</f>
        <v/>
      </c>
      <c r="N3618" s="342" t="str">
        <f t="shared" si="935"/>
        <v/>
      </c>
      <c r="R3618" s="341"/>
      <c r="S3618" s="341"/>
      <c r="U3618" s="389"/>
    </row>
    <row r="3619" spans="1:21" ht="12.75" customHeight="1">
      <c r="A3619" s="385"/>
      <c r="B3619" s="386"/>
      <c r="C3619" s="20"/>
      <c r="D3619" s="342"/>
      <c r="E3619" s="387"/>
      <c r="F3619" s="388">
        <f t="shared" si="936"/>
        <v>0</v>
      </c>
      <c r="H3619" s="341" t="str">
        <f>IF(A3619="","",VLOOKUP(A3619,VII.A!$A$10:$D$199,4,FALSE))</f>
        <v/>
      </c>
      <c r="I3619" s="341" t="str">
        <f t="shared" si="933"/>
        <v/>
      </c>
      <c r="J3619" s="341" t="str">
        <f>IF(A3619="","",VLOOKUP(A3619,VII.A!$A$10:$D$199,3,FALSE))</f>
        <v/>
      </c>
      <c r="K3619" s="342" t="str">
        <f t="shared" si="934"/>
        <v/>
      </c>
      <c r="L3619" s="380" t="str">
        <f>IF(C3619="","",G3611*C3619)</f>
        <v/>
      </c>
      <c r="M3619" s="381" t="str">
        <f>IF(A3619="","",VLOOKUP(A3619,VII.A!$A$10:$B$199,2,FALSE))</f>
        <v/>
      </c>
      <c r="N3619" s="342" t="str">
        <f t="shared" si="935"/>
        <v/>
      </c>
      <c r="R3619" s="341"/>
      <c r="S3619" s="341"/>
    </row>
    <row r="3620" spans="1:21" ht="12.75" customHeight="1">
      <c r="A3620" s="385"/>
      <c r="B3620" s="386"/>
      <c r="C3620" s="20"/>
      <c r="D3620" s="342"/>
      <c r="E3620" s="387"/>
      <c r="F3620" s="388">
        <f t="shared" si="936"/>
        <v>0</v>
      </c>
      <c r="G3620" s="390"/>
      <c r="H3620" s="341" t="str">
        <f>IF(A3620="","",VLOOKUP(A3620,VII.A!$A$10:$D$199,4,FALSE))</f>
        <v/>
      </c>
      <c r="I3620" s="341" t="str">
        <f t="shared" si="933"/>
        <v/>
      </c>
      <c r="J3620" s="341" t="str">
        <f>IF(A3620="","",VLOOKUP(A3620,VII.A!$A$10:$D$199,3,FALSE))</f>
        <v/>
      </c>
      <c r="K3620" s="342" t="str">
        <f t="shared" si="934"/>
        <v/>
      </c>
      <c r="L3620" s="380" t="str">
        <f>IF(C3620="","",G3611*C3620)</f>
        <v/>
      </c>
      <c r="M3620" s="381" t="str">
        <f>IF(A3620="","",VLOOKUP(A3620,VII.A!$A$10:$B$199,2,FALSE))</f>
        <v/>
      </c>
      <c r="N3620" s="342" t="str">
        <f t="shared" si="935"/>
        <v/>
      </c>
      <c r="R3620" s="341"/>
      <c r="S3620" s="341"/>
    </row>
    <row r="3621" spans="1:21" ht="12.75" customHeight="1">
      <c r="A3621" s="385"/>
      <c r="B3621" s="386"/>
      <c r="C3621" s="20"/>
      <c r="D3621" s="342"/>
      <c r="E3621" s="387"/>
      <c r="F3621" s="388">
        <f t="shared" si="936"/>
        <v>0</v>
      </c>
      <c r="G3621" s="390"/>
      <c r="H3621" s="341" t="str">
        <f>IF(A3621="","",VLOOKUP(A3621,VII.A!$A$10:$D$199,4,FALSE))</f>
        <v/>
      </c>
      <c r="I3621" s="341" t="str">
        <f t="shared" si="933"/>
        <v/>
      </c>
      <c r="J3621" s="341" t="str">
        <f>IF(A3621="","",VLOOKUP(A3621,VII.A!$A$10:$D$199,3,FALSE))</f>
        <v/>
      </c>
      <c r="K3621" s="342" t="str">
        <f t="shared" si="934"/>
        <v/>
      </c>
      <c r="L3621" s="380" t="str">
        <f>IF(C3621="","",G3611*C3621)</f>
        <v/>
      </c>
      <c r="M3621" s="381" t="str">
        <f>IF(A3621="","",VLOOKUP(A3621,VII.A!$A$10:$B$199,2,FALSE))</f>
        <v/>
      </c>
      <c r="N3621" s="342" t="str">
        <f t="shared" si="935"/>
        <v/>
      </c>
      <c r="R3621" s="341"/>
      <c r="S3621" s="341"/>
    </row>
    <row r="3622" spans="1:21" ht="12.75" customHeight="1">
      <c r="A3622" s="385"/>
      <c r="B3622" s="386"/>
      <c r="C3622" s="20"/>
      <c r="D3622" s="342"/>
      <c r="E3622" s="387"/>
      <c r="F3622" s="388">
        <f t="shared" si="936"/>
        <v>0</v>
      </c>
      <c r="G3622" s="391"/>
      <c r="H3622" s="341" t="str">
        <f>IF(A3622="","",VLOOKUP(A3622,VII.A!$A$10:$D$199,4,FALSE))</f>
        <v/>
      </c>
      <c r="I3622" s="341" t="str">
        <f t="shared" si="933"/>
        <v/>
      </c>
      <c r="J3622" s="341" t="str">
        <f>IF(A3622="","",VLOOKUP(A3622,VII.A!$A$10:$D$199,3,FALSE))</f>
        <v/>
      </c>
      <c r="K3622" s="342" t="str">
        <f t="shared" si="934"/>
        <v/>
      </c>
      <c r="L3622" s="380" t="str">
        <f>IF(C3622="","",G3611*C3622)</f>
        <v/>
      </c>
      <c r="M3622" s="381" t="str">
        <f>IF(A3622="","",VLOOKUP(A3622,VII.A!$A$10:$B$199,2,FALSE))</f>
        <v/>
      </c>
      <c r="N3622" s="342" t="str">
        <f t="shared" si="935"/>
        <v/>
      </c>
      <c r="R3622" s="341"/>
      <c r="S3622" s="341"/>
    </row>
    <row r="3623" spans="1:21" ht="12.75" customHeight="1">
      <c r="A3623" s="385"/>
      <c r="B3623" s="386"/>
      <c r="C3623" s="20"/>
      <c r="D3623" s="342"/>
      <c r="E3623" s="387"/>
      <c r="F3623" s="388">
        <f t="shared" si="936"/>
        <v>0</v>
      </c>
      <c r="H3623" s="341" t="str">
        <f>IF(A3623="","",VLOOKUP(A3623,VII.A!$A$10:$D$199,4,FALSE))</f>
        <v/>
      </c>
      <c r="I3623" s="341" t="str">
        <f t="shared" si="933"/>
        <v/>
      </c>
      <c r="J3623" s="341" t="str">
        <f>IF(A3623="","",VLOOKUP(A3623,VII.A!$A$10:$D$199,3,FALSE))</f>
        <v/>
      </c>
      <c r="K3623" s="342" t="str">
        <f t="shared" si="934"/>
        <v/>
      </c>
      <c r="L3623" s="380" t="str">
        <f>IF(C3623="","",G3611*C3623)</f>
        <v/>
      </c>
      <c r="M3623" s="381" t="str">
        <f>IF(A3623="","",VLOOKUP(A3623,VII.A!$A$10:$B$199,2,FALSE))</f>
        <v/>
      </c>
      <c r="N3623" s="342" t="str">
        <f t="shared" si="935"/>
        <v/>
      </c>
      <c r="R3623" s="341"/>
      <c r="S3623" s="341"/>
    </row>
    <row r="3624" spans="1:21" ht="12.75" customHeight="1">
      <c r="A3624" s="385"/>
      <c r="B3624" s="386"/>
      <c r="C3624" s="20"/>
      <c r="D3624" s="392"/>
      <c r="E3624" s="387"/>
      <c r="F3624" s="388">
        <f t="shared" si="936"/>
        <v>0</v>
      </c>
      <c r="H3624" s="341" t="str">
        <f>IF(A3624="","",VLOOKUP(A3624,VII.A!$A$10:$D$199,4,FALSE))</f>
        <v/>
      </c>
      <c r="I3624" s="341" t="str">
        <f t="shared" si="933"/>
        <v/>
      </c>
      <c r="J3624" s="341" t="str">
        <f>IF(A3624="","",VLOOKUP(A3624,VII.A!$A$10:$D$199,3,FALSE))</f>
        <v/>
      </c>
      <c r="K3624" s="342" t="str">
        <f t="shared" si="934"/>
        <v/>
      </c>
      <c r="L3624" s="380" t="str">
        <f>IF(C3624="","",G3611*C3624)</f>
        <v/>
      </c>
      <c r="M3624" s="381" t="str">
        <f>IF(A3624="","",VLOOKUP(A3624,VII.A!$A$10:$B$199,2,FALSE))</f>
        <v/>
      </c>
      <c r="N3624" s="342" t="str">
        <f t="shared" si="935"/>
        <v/>
      </c>
      <c r="R3624" s="341"/>
      <c r="S3624" s="341"/>
    </row>
    <row r="3625" spans="1:21" ht="12.75" customHeight="1">
      <c r="A3625" s="385"/>
      <c r="B3625" s="386"/>
      <c r="C3625" s="20"/>
      <c r="D3625" s="392"/>
      <c r="E3625" s="387"/>
      <c r="F3625" s="388">
        <f t="shared" si="936"/>
        <v>0</v>
      </c>
      <c r="H3625" s="341" t="str">
        <f>IF(A3625="","",VLOOKUP(A3625,VII.A!$A$10:$D$199,4,FALSE))</f>
        <v/>
      </c>
      <c r="I3625" s="341" t="str">
        <f t="shared" si="933"/>
        <v/>
      </c>
      <c r="J3625" s="341" t="str">
        <f>IF(A3625="","",VLOOKUP(A3625,VII.A!$A$10:$D$199,3,FALSE))</f>
        <v/>
      </c>
      <c r="K3625" s="342" t="str">
        <f t="shared" si="934"/>
        <v/>
      </c>
      <c r="L3625" s="380" t="str">
        <f>IF(C3625="","",G3611*C3625)</f>
        <v/>
      </c>
      <c r="M3625" s="381" t="str">
        <f>IF(A3625="","",VLOOKUP(A3625,VII.A!$A$10:$B$199,2,FALSE))</f>
        <v/>
      </c>
      <c r="N3625" s="342" t="str">
        <f t="shared" si="935"/>
        <v/>
      </c>
      <c r="O3625" s="342"/>
      <c r="R3625" s="341"/>
      <c r="S3625" s="341"/>
    </row>
    <row r="3626" spans="1:21" ht="12.75" customHeight="1">
      <c r="A3626" s="385"/>
      <c r="B3626" s="386"/>
      <c r="C3626" s="20"/>
      <c r="D3626" s="392"/>
      <c r="E3626" s="387"/>
      <c r="F3626" s="388">
        <f t="shared" si="936"/>
        <v>0</v>
      </c>
      <c r="H3626" s="341" t="str">
        <f>IF(A3626="","",VLOOKUP(A3626,VII.A!$A$10:$D$199,4,FALSE))</f>
        <v/>
      </c>
      <c r="I3626" s="341" t="str">
        <f t="shared" si="933"/>
        <v/>
      </c>
      <c r="J3626" s="341" t="str">
        <f>IF(A3626="","",VLOOKUP(A3626,VII.A!$A$10:$D$199,3,FALSE))</f>
        <v/>
      </c>
      <c r="K3626" s="342" t="str">
        <f t="shared" si="934"/>
        <v/>
      </c>
      <c r="L3626" s="380" t="str">
        <f>IF(C3626="","",G3611*C3626)</f>
        <v/>
      </c>
      <c r="M3626" s="381" t="str">
        <f>IF(A3626="","",VLOOKUP(A3626,VII.A!$A$10:$B$199,2,FALSE))</f>
        <v/>
      </c>
      <c r="N3626" s="342" t="str">
        <f t="shared" si="935"/>
        <v/>
      </c>
      <c r="R3626" s="341"/>
      <c r="S3626" s="341"/>
    </row>
    <row r="3627" spans="1:21" ht="12.75" customHeight="1">
      <c r="A3627" s="393"/>
      <c r="C3627" s="20"/>
      <c r="E3627" s="387"/>
      <c r="F3627" s="388">
        <f t="shared" si="936"/>
        <v>0</v>
      </c>
      <c r="H3627" s="341" t="str">
        <f>IF(A3627="","",VLOOKUP(A3627,VII.A!$A$10:$D$199,4,FALSE))</f>
        <v/>
      </c>
      <c r="I3627" s="341" t="str">
        <f t="shared" si="933"/>
        <v/>
      </c>
      <c r="J3627" s="341" t="str">
        <f>IF(A3627="","",VLOOKUP(A3627,VII.A!$A$10:$D$199,3,FALSE))</f>
        <v/>
      </c>
      <c r="K3627" s="342" t="str">
        <f t="shared" si="934"/>
        <v/>
      </c>
      <c r="L3627" s="380" t="str">
        <f>IF(C3627="","",G3611*C3627)</f>
        <v/>
      </c>
      <c r="M3627" s="381" t="str">
        <f>IF(A3627="","",VLOOKUP(A3627,VII.A!$A$10:$B$199,2,FALSE))</f>
        <v/>
      </c>
      <c r="N3627" s="342" t="str">
        <f t="shared" si="935"/>
        <v/>
      </c>
      <c r="R3627" s="341"/>
      <c r="S3627" s="341"/>
    </row>
    <row r="3628" spans="1:21" ht="12.75" customHeight="1">
      <c r="A3628" s="393"/>
      <c r="C3628" s="20"/>
      <c r="E3628" s="387"/>
      <c r="F3628" s="388">
        <f t="shared" si="936"/>
        <v>0</v>
      </c>
      <c r="H3628" s="341" t="str">
        <f>IF(A3628="","",VLOOKUP(A3628,VII.A!$A$10:$D$199,4,FALSE))</f>
        <v/>
      </c>
      <c r="I3628" s="341" t="str">
        <f t="shared" si="933"/>
        <v/>
      </c>
      <c r="J3628" s="341" t="str">
        <f>IF(A3628="","",VLOOKUP(A3628,VII.A!$A$10:$D$199,3,FALSE))</f>
        <v/>
      </c>
      <c r="K3628" s="342" t="str">
        <f t="shared" si="934"/>
        <v/>
      </c>
      <c r="L3628" s="380" t="str">
        <f>IF(C3628="","",G3611*C3628)</f>
        <v/>
      </c>
      <c r="M3628" s="381" t="str">
        <f>IF(A3628="","",VLOOKUP(A3628,VII.A!$A$10:$B$199,2,FALSE))</f>
        <v/>
      </c>
      <c r="N3628" s="342" t="str">
        <f t="shared" si="935"/>
        <v/>
      </c>
      <c r="R3628" s="341"/>
      <c r="S3628" s="341"/>
    </row>
    <row r="3629" spans="1:21" ht="12.75" customHeight="1">
      <c r="A3629" s="393"/>
      <c r="B3629" s="395" t="s">
        <v>226</v>
      </c>
      <c r="C3629" s="396"/>
      <c r="D3629" s="397"/>
      <c r="E3629" s="398"/>
      <c r="F3629" s="399">
        <f>SUM(F3613:F3628)</f>
        <v>0</v>
      </c>
      <c r="H3629" s="426" t="s">
        <v>435</v>
      </c>
      <c r="J3629" s="341"/>
      <c r="L3629" s="380"/>
      <c r="M3629" s="381"/>
      <c r="N3629" s="342"/>
      <c r="R3629" s="341"/>
      <c r="S3629" s="341"/>
    </row>
    <row r="3630" spans="1:21" ht="12.75" customHeight="1">
      <c r="A3630" s="393"/>
      <c r="B3630" s="400" t="s">
        <v>53</v>
      </c>
      <c r="C3630" s="2">
        <f>$D$8</f>
        <v>0</v>
      </c>
      <c r="D3630" s="401"/>
      <c r="E3630" s="402"/>
      <c r="F3630" s="403">
        <f>ROUND(F3629*C3630,2)</f>
        <v>0</v>
      </c>
      <c r="H3630" s="426" t="s">
        <v>436</v>
      </c>
      <c r="J3630" s="341"/>
      <c r="L3630" s="380"/>
      <c r="M3630" s="381"/>
      <c r="N3630" s="342"/>
      <c r="R3630" s="341"/>
      <c r="S3630" s="341"/>
    </row>
    <row r="3631" spans="1:21" ht="12.75" customHeight="1">
      <c r="A3631" s="404"/>
      <c r="B3631" s="405" t="s">
        <v>227</v>
      </c>
      <c r="C3631" s="406"/>
      <c r="D3631" s="406"/>
      <c r="E3631" s="407"/>
      <c r="F3631" s="408">
        <f>F3629+F3630</f>
        <v>0</v>
      </c>
      <c r="J3631" s="341"/>
      <c r="L3631" s="380"/>
      <c r="M3631" s="381"/>
      <c r="N3631" s="342"/>
      <c r="R3631" s="341"/>
      <c r="S3631" s="341"/>
    </row>
    <row r="3632" spans="1:21" ht="12.75" customHeight="1">
      <c r="A3632" s="374" t="s">
        <v>2</v>
      </c>
      <c r="B3632" s="375" t="s">
        <v>235</v>
      </c>
      <c r="C3632" s="376" t="s">
        <v>231</v>
      </c>
      <c r="D3632" s="376" t="s">
        <v>232</v>
      </c>
      <c r="E3632" s="377" t="s">
        <v>233</v>
      </c>
      <c r="F3632" s="378" t="s">
        <v>234</v>
      </c>
      <c r="J3632" s="341"/>
      <c r="L3632" s="380"/>
      <c r="M3632" s="381"/>
      <c r="N3632" s="342"/>
      <c r="R3632" s="341"/>
      <c r="S3632" s="341"/>
    </row>
    <row r="3633" spans="1:19" ht="12.75" customHeight="1">
      <c r="A3633" s="393"/>
      <c r="B3633" s="423"/>
      <c r="C3633" s="20"/>
      <c r="E3633" s="387"/>
      <c r="F3633" s="388">
        <f t="shared" ref="F3633:F3642" si="937">ROUND(C3633*E3633,2)</f>
        <v>0</v>
      </c>
      <c r="H3633" s="341" t="str">
        <f>IF(A3633="","",VLOOKUP(A3633,VII.A!$A$10:$D$199,4,FALSE))</f>
        <v/>
      </c>
      <c r="I3633" s="341" t="str">
        <f t="shared" ref="I3633:I3642" si="938">IF(A3633="","",IF(E3633=H3633,"SIM","NÃO"))</f>
        <v/>
      </c>
      <c r="J3633" s="341" t="str">
        <f>IF(A3633="","",VLOOKUP(A3633,VII.A!$A$10:$D$199,3,FALSE))</f>
        <v/>
      </c>
      <c r="K3633" s="342" t="str">
        <f t="shared" ref="K3633:K3642" si="939">IF(A3633="","",IF(J3633=D3633,"SIM","NÃO"))</f>
        <v/>
      </c>
      <c r="L3633" s="380" t="str">
        <f>IF(C3633="","",G3611*C3633)</f>
        <v/>
      </c>
      <c r="M3633" s="381" t="str">
        <f>IF(A3633="","",VLOOKUP(A3633,VII.A!$A$10:$B$199,2,FALSE))</f>
        <v/>
      </c>
      <c r="N3633" s="342" t="str">
        <f t="shared" ref="N3633:N3642" si="940">IF(B3633="","",IF(M3633=B3633,"si","no"))</f>
        <v/>
      </c>
      <c r="R3633" s="341"/>
      <c r="S3633" s="341"/>
    </row>
    <row r="3634" spans="1:19" ht="12.75" customHeight="1">
      <c r="A3634" s="393"/>
      <c r="C3634" s="20"/>
      <c r="E3634" s="387"/>
      <c r="F3634" s="388">
        <f t="shared" si="937"/>
        <v>0</v>
      </c>
      <c r="H3634" s="341" t="str">
        <f>IF(A3634="","",VLOOKUP(A3634,VII.A!$A$10:$D$199,4,FALSE))</f>
        <v/>
      </c>
      <c r="I3634" s="341" t="str">
        <f t="shared" si="938"/>
        <v/>
      </c>
      <c r="J3634" s="341" t="str">
        <f>IF(A3634="","",VLOOKUP(A3634,VII.A!$A$10:$D$199,3,FALSE))</f>
        <v/>
      </c>
      <c r="K3634" s="342" t="str">
        <f t="shared" si="939"/>
        <v/>
      </c>
      <c r="L3634" s="380" t="str">
        <f>IF(C3634="","",G3611*C3634)</f>
        <v/>
      </c>
      <c r="M3634" s="381" t="str">
        <f>IF(A3634="","",VLOOKUP(A3634,VII.A!$A$10:$B$199,2,FALSE))</f>
        <v/>
      </c>
      <c r="N3634" s="342" t="str">
        <f t="shared" si="940"/>
        <v/>
      </c>
      <c r="R3634" s="341"/>
      <c r="S3634" s="341"/>
    </row>
    <row r="3635" spans="1:19" ht="12.75" customHeight="1">
      <c r="A3635" s="393"/>
      <c r="C3635" s="20"/>
      <c r="E3635" s="387"/>
      <c r="F3635" s="388">
        <f t="shared" si="937"/>
        <v>0</v>
      </c>
      <c r="H3635" s="341" t="str">
        <f>IF(A3635="","",VLOOKUP(A3635,VII.A!$A$10:$D$199,4,FALSE))</f>
        <v/>
      </c>
      <c r="I3635" s="341" t="str">
        <f t="shared" si="938"/>
        <v/>
      </c>
      <c r="J3635" s="341" t="str">
        <f>IF(A3635="","",VLOOKUP(A3635,VII.A!$A$10:$D$199,3,FALSE))</f>
        <v/>
      </c>
      <c r="K3635" s="342" t="str">
        <f t="shared" si="939"/>
        <v/>
      </c>
      <c r="L3635" s="380" t="str">
        <f>IF(C3635="","",G3611*C3635)</f>
        <v/>
      </c>
      <c r="M3635" s="381" t="str">
        <f>IF(A3635="","",VLOOKUP(A3635,VII.A!$A$10:$B$199,2,FALSE))</f>
        <v/>
      </c>
      <c r="N3635" s="342" t="str">
        <f t="shared" si="940"/>
        <v/>
      </c>
      <c r="R3635" s="341"/>
      <c r="S3635" s="341"/>
    </row>
    <row r="3636" spans="1:19" ht="12.75" customHeight="1">
      <c r="A3636" s="393"/>
      <c r="C3636" s="20"/>
      <c r="E3636" s="387"/>
      <c r="F3636" s="388">
        <f t="shared" si="937"/>
        <v>0</v>
      </c>
      <c r="H3636" s="341" t="str">
        <f>IF(A3636="","",VLOOKUP(A3636,VII.A!$A$10:$D$199,4,FALSE))</f>
        <v/>
      </c>
      <c r="I3636" s="341" t="str">
        <f t="shared" si="938"/>
        <v/>
      </c>
      <c r="J3636" s="341" t="str">
        <f>IF(A3636="","",VLOOKUP(A3636,VII.A!$A$10:$D$199,3,FALSE))</f>
        <v/>
      </c>
      <c r="K3636" s="342" t="str">
        <f t="shared" si="939"/>
        <v/>
      </c>
      <c r="L3636" s="380" t="str">
        <f>IF(C3636="","",G3611*C3636)</f>
        <v/>
      </c>
      <c r="M3636" s="381" t="str">
        <f>IF(A3636="","",VLOOKUP(A3636,VII.A!$A$10:$B$199,2,FALSE))</f>
        <v/>
      </c>
      <c r="N3636" s="342" t="str">
        <f t="shared" si="940"/>
        <v/>
      </c>
      <c r="R3636" s="341"/>
      <c r="S3636" s="341"/>
    </row>
    <row r="3637" spans="1:19" ht="12.75" customHeight="1">
      <c r="A3637" s="393"/>
      <c r="C3637" s="20"/>
      <c r="E3637" s="387"/>
      <c r="F3637" s="388">
        <f t="shared" si="937"/>
        <v>0</v>
      </c>
      <c r="G3637" s="390"/>
      <c r="H3637" s="341" t="str">
        <f>IF(A3637="","",VLOOKUP(A3637,VII.A!$A$10:$D$199,4,FALSE))</f>
        <v/>
      </c>
      <c r="I3637" s="341" t="str">
        <f t="shared" si="938"/>
        <v/>
      </c>
      <c r="J3637" s="341" t="str">
        <f>IF(A3637="","",VLOOKUP(A3637,VII.A!$A$10:$D$199,3,FALSE))</f>
        <v/>
      </c>
      <c r="K3637" s="342" t="str">
        <f t="shared" si="939"/>
        <v/>
      </c>
      <c r="L3637" s="380" t="str">
        <f>IF(C3637="","",G3611*C3637)</f>
        <v/>
      </c>
      <c r="M3637" s="381" t="str">
        <f>IF(A3637="","",VLOOKUP(A3637,VII.A!$A$10:$B$199,2,FALSE))</f>
        <v/>
      </c>
      <c r="N3637" s="342" t="str">
        <f t="shared" si="940"/>
        <v/>
      </c>
      <c r="R3637" s="341"/>
      <c r="S3637" s="341"/>
    </row>
    <row r="3638" spans="1:19" ht="12.75" customHeight="1">
      <c r="A3638" s="393"/>
      <c r="C3638" s="20"/>
      <c r="E3638" s="387"/>
      <c r="F3638" s="388">
        <f t="shared" si="937"/>
        <v>0</v>
      </c>
      <c r="G3638" s="391"/>
      <c r="H3638" s="341" t="str">
        <f>IF(A3638="","",VLOOKUP(A3638,VII.A!$A$10:$D$199,4,FALSE))</f>
        <v/>
      </c>
      <c r="I3638" s="341" t="str">
        <f t="shared" si="938"/>
        <v/>
      </c>
      <c r="J3638" s="341" t="str">
        <f>IF(A3638="","",VLOOKUP(A3638,VII.A!$A$10:$D$199,3,FALSE))</f>
        <v/>
      </c>
      <c r="K3638" s="342" t="str">
        <f t="shared" si="939"/>
        <v/>
      </c>
      <c r="L3638" s="380" t="str">
        <f>IF(C3638="","",G3611*C3638)</f>
        <v/>
      </c>
      <c r="M3638" s="381" t="str">
        <f>IF(A3638="","",VLOOKUP(A3638,VII.A!$A$10:$B$199,2,FALSE))</f>
        <v/>
      </c>
      <c r="N3638" s="342" t="str">
        <f t="shared" si="940"/>
        <v/>
      </c>
      <c r="R3638" s="341"/>
      <c r="S3638" s="341"/>
    </row>
    <row r="3639" spans="1:19" ht="12.75" customHeight="1">
      <c r="A3639" s="393"/>
      <c r="C3639" s="20"/>
      <c r="E3639" s="387"/>
      <c r="F3639" s="388">
        <f t="shared" si="937"/>
        <v>0</v>
      </c>
      <c r="H3639" s="341" t="str">
        <f>IF(A3639="","",VLOOKUP(A3639,VII.A!$A$10:$D$199,4,FALSE))</f>
        <v/>
      </c>
      <c r="I3639" s="341" t="str">
        <f t="shared" si="938"/>
        <v/>
      </c>
      <c r="J3639" s="341" t="str">
        <f>IF(A3639="","",VLOOKUP(A3639,VII.A!$A$10:$D$199,3,FALSE))</f>
        <v/>
      </c>
      <c r="K3639" s="342" t="str">
        <f t="shared" si="939"/>
        <v/>
      </c>
      <c r="L3639" s="380" t="str">
        <f>IF(C3639="","",G3611*C3639)</f>
        <v/>
      </c>
      <c r="M3639" s="381" t="str">
        <f>IF(A3639="","",VLOOKUP(A3639,VII.A!$A$10:$B$199,2,FALSE))</f>
        <v/>
      </c>
      <c r="N3639" s="342" t="str">
        <f t="shared" si="940"/>
        <v/>
      </c>
      <c r="R3639" s="341"/>
      <c r="S3639" s="341"/>
    </row>
    <row r="3640" spans="1:19" ht="12.75" customHeight="1">
      <c r="A3640" s="393"/>
      <c r="C3640" s="20"/>
      <c r="E3640" s="387"/>
      <c r="F3640" s="388">
        <f t="shared" si="937"/>
        <v>0</v>
      </c>
      <c r="H3640" s="341" t="str">
        <f>IF(A3640="","",VLOOKUP(A3640,VII.A!$A$10:$D$199,4,FALSE))</f>
        <v/>
      </c>
      <c r="I3640" s="341" t="str">
        <f t="shared" si="938"/>
        <v/>
      </c>
      <c r="J3640" s="341" t="str">
        <f>IF(A3640="","",VLOOKUP(A3640,VII.A!$A$10:$D$199,3,FALSE))</f>
        <v/>
      </c>
      <c r="K3640" s="342" t="str">
        <f t="shared" si="939"/>
        <v/>
      </c>
      <c r="L3640" s="380" t="str">
        <f>IF(C3640="","",G3611*C3640)</f>
        <v/>
      </c>
      <c r="M3640" s="381" t="str">
        <f>IF(A3640="","",VLOOKUP(A3640,VII.A!$A$10:$B$199,2,FALSE))</f>
        <v/>
      </c>
      <c r="N3640" s="342" t="str">
        <f t="shared" si="940"/>
        <v/>
      </c>
      <c r="R3640" s="341"/>
      <c r="S3640" s="341"/>
    </row>
    <row r="3641" spans="1:19" ht="12.75" customHeight="1">
      <c r="A3641" s="393"/>
      <c r="C3641" s="20"/>
      <c r="E3641" s="387"/>
      <c r="F3641" s="388">
        <f t="shared" si="937"/>
        <v>0</v>
      </c>
      <c r="H3641" s="341" t="str">
        <f>IF(A3641="","",VLOOKUP(A3641,VII.A!$A$10:$D$199,4,FALSE))</f>
        <v/>
      </c>
      <c r="I3641" s="341" t="str">
        <f t="shared" si="938"/>
        <v/>
      </c>
      <c r="J3641" s="341" t="str">
        <f>IF(A3641="","",VLOOKUP(A3641,VII.A!$A$10:$D$199,3,FALSE))</f>
        <v/>
      </c>
      <c r="K3641" s="342" t="str">
        <f t="shared" si="939"/>
        <v/>
      </c>
      <c r="L3641" s="380" t="str">
        <f>IF(C3641="","",G3611*C3641)</f>
        <v/>
      </c>
      <c r="M3641" s="381" t="str">
        <f>IF(A3641="","",VLOOKUP(A3641,VII.A!$A$10:$B$199,2,FALSE))</f>
        <v/>
      </c>
      <c r="N3641" s="342" t="str">
        <f t="shared" si="940"/>
        <v/>
      </c>
      <c r="R3641" s="341"/>
      <c r="S3641" s="341"/>
    </row>
    <row r="3642" spans="1:19" ht="12.75" customHeight="1">
      <c r="A3642" s="393"/>
      <c r="C3642" s="20"/>
      <c r="E3642" s="387"/>
      <c r="F3642" s="388">
        <f t="shared" si="937"/>
        <v>0</v>
      </c>
      <c r="H3642" s="341" t="str">
        <f>IF(A3642="","",VLOOKUP(A3642,VII.A!$A$10:$D$199,4,FALSE))</f>
        <v/>
      </c>
      <c r="I3642" s="341" t="str">
        <f t="shared" si="938"/>
        <v/>
      </c>
      <c r="J3642" s="341" t="str">
        <f>IF(A3642="","",VLOOKUP(A3642,VII.A!$A$10:$D$199,3,FALSE))</f>
        <v/>
      </c>
      <c r="K3642" s="342" t="str">
        <f t="shared" si="939"/>
        <v/>
      </c>
      <c r="L3642" s="380" t="str">
        <f>IF(C3642="","",G3611*C3642)</f>
        <v/>
      </c>
      <c r="M3642" s="381" t="str">
        <f>IF(A3642="","",VLOOKUP(A3642,VII.A!$A$10:$B$199,2,FALSE))</f>
        <v/>
      </c>
      <c r="N3642" s="342" t="str">
        <f t="shared" si="940"/>
        <v/>
      </c>
      <c r="R3642" s="341"/>
      <c r="S3642" s="341"/>
    </row>
    <row r="3643" spans="1:19" ht="12.75" customHeight="1">
      <c r="A3643" s="393"/>
      <c r="B3643" s="395" t="s">
        <v>226</v>
      </c>
      <c r="C3643" s="396"/>
      <c r="D3643" s="397"/>
      <c r="E3643" s="398"/>
      <c r="F3643" s="399">
        <f>SUM(F3633:F3642)</f>
        <v>0</v>
      </c>
      <c r="J3643" s="341"/>
      <c r="L3643" s="380"/>
      <c r="M3643" s="381"/>
      <c r="N3643" s="342"/>
      <c r="R3643" s="341"/>
      <c r="S3643" s="341"/>
    </row>
    <row r="3644" spans="1:19" ht="12.75" customHeight="1">
      <c r="A3644" s="393"/>
      <c r="B3644" s="400" t="s">
        <v>53</v>
      </c>
      <c r="C3644" s="2">
        <f>$D$8</f>
        <v>0</v>
      </c>
      <c r="D3644" s="401"/>
      <c r="E3644" s="402"/>
      <c r="F3644" s="403">
        <f>ROUND(C3644*F3643,2)</f>
        <v>0</v>
      </c>
      <c r="J3644" s="341"/>
      <c r="L3644" s="380"/>
      <c r="M3644" s="381"/>
      <c r="N3644" s="342"/>
      <c r="R3644" s="341"/>
      <c r="S3644" s="341"/>
    </row>
    <row r="3645" spans="1:19" ht="12.75" customHeight="1">
      <c r="A3645" s="404"/>
      <c r="B3645" s="405" t="s">
        <v>228</v>
      </c>
      <c r="C3645" s="406"/>
      <c r="D3645" s="406"/>
      <c r="E3645" s="407"/>
      <c r="F3645" s="408">
        <f>F3643+F3644</f>
        <v>0</v>
      </c>
      <c r="J3645" s="341"/>
      <c r="L3645" s="380"/>
      <c r="M3645" s="381"/>
      <c r="N3645" s="342"/>
      <c r="R3645" s="341"/>
      <c r="S3645" s="341"/>
    </row>
    <row r="3646" spans="1:19" ht="12.75" customHeight="1">
      <c r="A3646" s="409" t="s">
        <v>47</v>
      </c>
      <c r="B3646" s="410" t="s">
        <v>236</v>
      </c>
      <c r="C3646" s="411" t="s">
        <v>231</v>
      </c>
      <c r="D3646" s="412" t="s">
        <v>232</v>
      </c>
      <c r="E3646" s="413" t="s">
        <v>233</v>
      </c>
      <c r="F3646" s="378" t="s">
        <v>234</v>
      </c>
      <c r="J3646" s="341"/>
      <c r="L3646" s="380"/>
      <c r="M3646" s="381"/>
      <c r="N3646" s="342"/>
      <c r="R3646" s="341"/>
      <c r="S3646" s="341"/>
    </row>
    <row r="3647" spans="1:19" ht="12.75" customHeight="1">
      <c r="A3647" s="393" t="str">
        <f>VII.A!$A$181</f>
        <v>3.1</v>
      </c>
      <c r="B3647" s="394" t="s">
        <v>142</v>
      </c>
      <c r="C3647" s="20">
        <v>7.0000000000000007E-2</v>
      </c>
      <c r="D3647" s="384" t="str">
        <f>VLOOKUP(A3647,VII.A!$A$10:$G$199,3,FALSE)</f>
        <v>H</v>
      </c>
      <c r="E3647" s="387">
        <f>VII.A!D181</f>
        <v>0</v>
      </c>
      <c r="F3647" s="388">
        <f t="shared" ref="F3647:F3653" si="941">ROUND(C3647*E3647,2)</f>
        <v>0</v>
      </c>
      <c r="H3647" s="341">
        <f>IF(A3647="","",VLOOKUP(A3647,VII.A!$A$10:$D$199,4,FALSE))</f>
        <v>0</v>
      </c>
      <c r="I3647" s="341" t="str">
        <f t="shared" ref="I3647:I3653" si="942">IF(A3647="","",IF(E3647=H3647,"SIM","NÃO"))</f>
        <v>SIM</v>
      </c>
      <c r="J3647" s="341" t="str">
        <f>IF(A3647="","",VLOOKUP(A3647,VII.A!$A$10:$D$199,3,FALSE))</f>
        <v>H</v>
      </c>
      <c r="K3647" s="342" t="str">
        <f t="shared" ref="K3647:K3653" si="943">IF(A3647="","",IF(J3647=D3647,"SIM","NÃO"))</f>
        <v>SIM</v>
      </c>
      <c r="L3647" s="380">
        <f>IF(C3647="","",G3611*C3647)</f>
        <v>1.4000000000000001</v>
      </c>
      <c r="M3647" s="381" t="str">
        <f>IF(A3647="","",VLOOKUP(A3647,VII.A!$A$10:$B$199,2,FALSE))</f>
        <v>AJUDANTE COM ENCARGOS COMPLEMENTARES</v>
      </c>
      <c r="N3647" s="342" t="str">
        <f t="shared" ref="N3647:N3653" si="944">IF(B3647="","",IF(M3647=B3647,"si","no"))</f>
        <v>si</v>
      </c>
      <c r="R3647" s="341"/>
      <c r="S3647" s="341"/>
    </row>
    <row r="3648" spans="1:19" ht="12.75" customHeight="1">
      <c r="A3648" s="393" t="str">
        <f>VII.A!$A$187</f>
        <v>3.7</v>
      </c>
      <c r="B3648" s="394" t="s">
        <v>148</v>
      </c>
      <c r="C3648" s="20">
        <v>7.0000000000000007E-2</v>
      </c>
      <c r="D3648" s="384" t="str">
        <f>VLOOKUP(A3648,VII.A!$A$10:$G$199,3,FALSE)</f>
        <v>H</v>
      </c>
      <c r="E3648" s="387">
        <f>VII.A!D187</f>
        <v>0</v>
      </c>
      <c r="F3648" s="388">
        <f t="shared" si="941"/>
        <v>0</v>
      </c>
      <c r="H3648" s="341">
        <f>IF(A3648="","",VLOOKUP(A3648,VII.A!$A$10:$D$199,4,FALSE))</f>
        <v>0</v>
      </c>
      <c r="I3648" s="341" t="str">
        <f t="shared" si="942"/>
        <v>SIM</v>
      </c>
      <c r="J3648" s="341" t="str">
        <f>IF(A3648="","",VLOOKUP(A3648,VII.A!$A$10:$D$199,3,FALSE))</f>
        <v>H</v>
      </c>
      <c r="K3648" s="342" t="str">
        <f t="shared" si="943"/>
        <v>SIM</v>
      </c>
      <c r="L3648" s="380">
        <f>IF(C3648="","",G3611*C3648)</f>
        <v>1.4000000000000001</v>
      </c>
      <c r="M3648" s="381" t="str">
        <f>IF(A3648="","",VLOOKUP(A3648,VII.A!$A$10:$B$199,2,FALSE))</f>
        <v>ENCANADOR COM ENCARGOS COMPLEMENTARES</v>
      </c>
      <c r="N3648" s="342" t="str">
        <f t="shared" si="944"/>
        <v>si</v>
      </c>
      <c r="R3648" s="341"/>
      <c r="S3648" s="341"/>
    </row>
    <row r="3649" spans="1:25" ht="12.75" customHeight="1">
      <c r="A3649" s="393"/>
      <c r="C3649" s="20"/>
      <c r="E3649" s="387"/>
      <c r="F3649" s="388">
        <f t="shared" si="941"/>
        <v>0</v>
      </c>
      <c r="H3649" s="341" t="str">
        <f>IF(A3649="","",VLOOKUP(A3649,VII.A!$A$10:$D$199,4,FALSE))</f>
        <v/>
      </c>
      <c r="I3649" s="341" t="str">
        <f t="shared" si="942"/>
        <v/>
      </c>
      <c r="J3649" s="341" t="str">
        <f>IF(A3649="","",VLOOKUP(A3649,VII.A!$A$10:$D$199,3,FALSE))</f>
        <v/>
      </c>
      <c r="K3649" s="342" t="str">
        <f t="shared" si="943"/>
        <v/>
      </c>
      <c r="L3649" s="380" t="str">
        <f>IF(C3649="","",G3611*C3649)</f>
        <v/>
      </c>
      <c r="M3649" s="381" t="str">
        <f>IF(A3649="","",VLOOKUP(A3649,VII.A!$A$10:$B$199,2,FALSE))</f>
        <v/>
      </c>
      <c r="N3649" s="342" t="str">
        <f t="shared" si="944"/>
        <v/>
      </c>
      <c r="R3649" s="341"/>
      <c r="S3649" s="341"/>
    </row>
    <row r="3650" spans="1:25" ht="12.75" customHeight="1">
      <c r="A3650" s="393"/>
      <c r="C3650" s="20"/>
      <c r="E3650" s="387"/>
      <c r="F3650" s="388">
        <f t="shared" si="941"/>
        <v>0</v>
      </c>
      <c r="H3650" s="341" t="str">
        <f>IF(A3650="","",VLOOKUP(A3650,VII.A!$A$10:$D$199,4,FALSE))</f>
        <v/>
      </c>
      <c r="I3650" s="341" t="str">
        <f t="shared" si="942"/>
        <v/>
      </c>
      <c r="J3650" s="341" t="str">
        <f>IF(A3650="","",VLOOKUP(A3650,VII.A!$A$10:$D$199,3,FALSE))</f>
        <v/>
      </c>
      <c r="K3650" s="342" t="str">
        <f t="shared" si="943"/>
        <v/>
      </c>
      <c r="L3650" s="380" t="str">
        <f>IF(C3650="","",G3611*C3650)</f>
        <v/>
      </c>
      <c r="M3650" s="381" t="str">
        <f>IF(A3650="","",VLOOKUP(A3650,VII.A!$A$10:$B$199,2,FALSE))</f>
        <v/>
      </c>
      <c r="N3650" s="342" t="str">
        <f t="shared" si="944"/>
        <v/>
      </c>
      <c r="R3650" s="341"/>
      <c r="S3650" s="341"/>
    </row>
    <row r="3651" spans="1:25" ht="12.75" customHeight="1">
      <c r="A3651" s="393"/>
      <c r="C3651" s="20"/>
      <c r="E3651" s="387"/>
      <c r="F3651" s="388">
        <f t="shared" si="941"/>
        <v>0</v>
      </c>
      <c r="H3651" s="341" t="str">
        <f>IF(A3651="","",VLOOKUP(A3651,VII.A!$A$10:$D$199,4,FALSE))</f>
        <v/>
      </c>
      <c r="I3651" s="341" t="str">
        <f t="shared" si="942"/>
        <v/>
      </c>
      <c r="J3651" s="341" t="str">
        <f>IF(A3651="","",VLOOKUP(A3651,VII.A!$A$10:$D$199,3,FALSE))</f>
        <v/>
      </c>
      <c r="K3651" s="342" t="str">
        <f t="shared" si="943"/>
        <v/>
      </c>
      <c r="L3651" s="380" t="str">
        <f>IF(C3651="","",G3611*C3651)</f>
        <v/>
      </c>
      <c r="M3651" s="381" t="str">
        <f>IF(A3651="","",VLOOKUP(A3651,VII.A!$A$10:$B$199,2,FALSE))</f>
        <v/>
      </c>
      <c r="N3651" s="342" t="str">
        <f t="shared" si="944"/>
        <v/>
      </c>
      <c r="R3651" s="341"/>
      <c r="S3651" s="341"/>
    </row>
    <row r="3652" spans="1:25" ht="12.75" customHeight="1">
      <c r="A3652" s="393"/>
      <c r="C3652" s="20"/>
      <c r="E3652" s="387"/>
      <c r="F3652" s="388">
        <f t="shared" si="941"/>
        <v>0</v>
      </c>
      <c r="H3652" s="341" t="str">
        <f>IF(A3652="","",VLOOKUP(A3652,VII.A!$A$10:$D$199,4,FALSE))</f>
        <v/>
      </c>
      <c r="I3652" s="341" t="str">
        <f t="shared" si="942"/>
        <v/>
      </c>
      <c r="J3652" s="341" t="str">
        <f>IF(A3652="","",VLOOKUP(A3652,VII.A!$A$10:$D$199,3,FALSE))</f>
        <v/>
      </c>
      <c r="K3652" s="342" t="str">
        <f t="shared" si="943"/>
        <v/>
      </c>
      <c r="L3652" s="380" t="str">
        <f>IF(C3652="","",G3611*C3652)</f>
        <v/>
      </c>
      <c r="M3652" s="381" t="str">
        <f>IF(A3652="","",VLOOKUP(A3652,VII.A!$A$10:$B$199,2,FALSE))</f>
        <v/>
      </c>
      <c r="N3652" s="342" t="str">
        <f t="shared" si="944"/>
        <v/>
      </c>
      <c r="R3652" s="341"/>
      <c r="S3652" s="341"/>
    </row>
    <row r="3653" spans="1:25" ht="12.75" customHeight="1">
      <c r="A3653" s="393"/>
      <c r="C3653" s="20"/>
      <c r="E3653" s="387"/>
      <c r="F3653" s="388">
        <f t="shared" si="941"/>
        <v>0</v>
      </c>
      <c r="H3653" s="341" t="str">
        <f>IF(A3653="","",VLOOKUP(A3653,VII.A!$A$10:$D$199,4,FALSE))</f>
        <v/>
      </c>
      <c r="I3653" s="341" t="str">
        <f t="shared" si="942"/>
        <v/>
      </c>
      <c r="J3653" s="341" t="str">
        <f>IF(A3653="","",VLOOKUP(A3653,VII.A!$A$10:$D$199,3,FALSE))</f>
        <v/>
      </c>
      <c r="K3653" s="342" t="str">
        <f t="shared" si="943"/>
        <v/>
      </c>
      <c r="L3653" s="380" t="str">
        <f>IF(C3653="","",G3611*C3653)</f>
        <v/>
      </c>
      <c r="M3653" s="381" t="str">
        <f>IF(A3653="","",VLOOKUP(A3653,VII.A!$A$10:$B$199,2,FALSE))</f>
        <v/>
      </c>
      <c r="N3653" s="342" t="str">
        <f t="shared" si="944"/>
        <v/>
      </c>
      <c r="R3653" s="341"/>
      <c r="S3653" s="341"/>
    </row>
    <row r="3654" spans="1:25" ht="12.75" customHeight="1">
      <c r="A3654" s="393"/>
      <c r="B3654" s="395" t="s">
        <v>226</v>
      </c>
      <c r="C3654" s="396"/>
      <c r="D3654" s="397"/>
      <c r="E3654" s="398"/>
      <c r="F3654" s="399">
        <f>SUM(F3647:F3653)</f>
        <v>0</v>
      </c>
      <c r="J3654" s="341"/>
      <c r="L3654" s="380"/>
      <c r="M3654" s="381"/>
      <c r="N3654" s="342"/>
      <c r="R3654" s="341"/>
      <c r="S3654" s="341"/>
    </row>
    <row r="3655" spans="1:25" ht="12.75" customHeight="1">
      <c r="A3655" s="393"/>
      <c r="B3655" s="400" t="s">
        <v>229</v>
      </c>
      <c r="C3655" s="2">
        <f>IX.A!$C$45</f>
        <v>0</v>
      </c>
      <c r="D3655" s="401"/>
      <c r="E3655" s="402"/>
      <c r="F3655" s="403">
        <f>ROUND(F3654*C3655,2)</f>
        <v>0</v>
      </c>
      <c r="J3655" s="341"/>
      <c r="L3655" s="380"/>
      <c r="M3655" s="381"/>
      <c r="N3655" s="342"/>
      <c r="R3655" s="341"/>
      <c r="S3655" s="341"/>
    </row>
    <row r="3656" spans="1:25" ht="12.75" customHeight="1">
      <c r="A3656" s="393"/>
      <c r="B3656" s="400" t="s">
        <v>53</v>
      </c>
      <c r="C3656" s="2">
        <f>$D$8</f>
        <v>0</v>
      </c>
      <c r="D3656" s="401"/>
      <c r="E3656" s="402"/>
      <c r="F3656" s="403">
        <f>ROUND(SUM(F3654:F3655)*C3656,2)</f>
        <v>0</v>
      </c>
      <c r="J3656" s="341"/>
      <c r="L3656" s="380"/>
      <c r="M3656" s="381"/>
      <c r="N3656" s="342"/>
      <c r="R3656" s="341"/>
      <c r="S3656" s="341"/>
    </row>
    <row r="3657" spans="1:25" ht="12.75" customHeight="1" thickBot="1">
      <c r="A3657" s="414"/>
      <c r="B3657" s="415" t="s">
        <v>230</v>
      </c>
      <c r="C3657" s="416"/>
      <c r="D3657" s="416"/>
      <c r="E3657" s="417"/>
      <c r="F3657" s="418">
        <f>SUM(F3654:F3656)</f>
        <v>0</v>
      </c>
      <c r="J3657" s="341"/>
      <c r="L3657" s="380"/>
      <c r="M3657" s="381"/>
      <c r="N3657" s="342"/>
      <c r="R3657" s="341"/>
      <c r="S3657" s="341"/>
    </row>
    <row r="3658" spans="1:25" ht="12.75" customHeight="1" thickBot="1">
      <c r="A3658" s="357"/>
      <c r="B3658" s="358"/>
      <c r="C3658" s="359"/>
      <c r="D3658" s="359"/>
      <c r="E3658" s="360"/>
      <c r="F3658" s="419"/>
      <c r="J3658" s="341"/>
      <c r="L3658" s="380"/>
      <c r="M3658" s="381"/>
      <c r="N3658" s="342"/>
      <c r="R3658" s="341"/>
      <c r="S3658" s="341"/>
    </row>
    <row r="3659" spans="1:25" ht="30" customHeight="1">
      <c r="A3659" s="370" t="str">
        <f>IV.A!A115</f>
        <v>4.2</v>
      </c>
      <c r="B3659" s="371" t="str">
        <f>IV.A!B115</f>
        <v>RALO SECO DE PVC RÍGIDO, ALTURA 50MM, DIÂMETRO DE ENTRADA 40MM, COM GRELHA QUADRADA METÁLICA, DIMENSÕES 100X100MM</v>
      </c>
      <c r="C3659" s="871" t="s">
        <v>237</v>
      </c>
      <c r="D3659" s="872"/>
      <c r="E3659" s="372" t="str">
        <f>IV.A!C115</f>
        <v>UN</v>
      </c>
      <c r="F3659" s="11">
        <f>ROUND(F3679+F3693+F3705,2)</f>
        <v>0</v>
      </c>
      <c r="G3659" s="1">
        <f>VLOOKUP(A3659,IV.A!$A$16:$L$172,4,FALSE)</f>
        <v>20</v>
      </c>
      <c r="H3659" s="361">
        <f>SUM(F3661:F3676)+F3678</f>
        <v>0</v>
      </c>
      <c r="I3659" s="361">
        <f>SUM(F3681:F3690)+F3692</f>
        <v>0</v>
      </c>
      <c r="J3659" s="361">
        <f>SUM(F3695:F3701)+F3703+F3704</f>
        <v>0</v>
      </c>
      <c r="K3659" s="361">
        <f>SUM(H3659:J3659)</f>
        <v>0</v>
      </c>
      <c r="L3659" s="362" t="str">
        <f>IF(K3659=F3659,"SIM","NÃO")</f>
        <v>SIM</v>
      </c>
      <c r="M3659" s="373">
        <f>ROUND(SUM(F3661:F3676),2)+ROUND(SUM(F3661:F3676)*C3678,2)+ROUND(SUM(F3681:F3690)*C3692,2)+ROUND(SUM(F3681:F3690),2)+ROUND(SUM(F3695:F3701)*C3703,2)+ROUND((SUM(F3695:F3701)+ROUND(SUM(F3695:F3701)*C3703,2))*C3704,2)+ROUND(SUM(F3695:F3701),2)</f>
        <v>0</v>
      </c>
      <c r="N3659" s="343" t="str">
        <f>IF(M3659=F3659,"SIM","NÃO")</f>
        <v>SIM</v>
      </c>
      <c r="O3659" s="364" t="str">
        <f>VLOOKUP(A3659,IV.A!$A$16:$E$172,3,FALSE)</f>
        <v>UN</v>
      </c>
      <c r="P3659" s="344" t="str">
        <f>IF(O3659=E3659,"SIM","NÃO")</f>
        <v>SIM</v>
      </c>
      <c r="Q3659" s="365">
        <f>ROUND(G3659*F3679,2)+ROUND(G3659*F3693,2)+ROUND(G3659*F3705,2)</f>
        <v>0</v>
      </c>
      <c r="R3659" s="364">
        <f>VLOOKUP(A3659,IV.A!$A$16:$L$172,12,FALSE)</f>
        <v>0</v>
      </c>
      <c r="S3659" s="366" t="str">
        <f>IF(Q3659=R3659,"si","no")</f>
        <v>si</v>
      </c>
      <c r="T3659" s="367">
        <f>SUM(L3661:L3676)+SUM(L3681:L3690)+SUM(L3695:L3701)</f>
        <v>43.387999999999998</v>
      </c>
      <c r="U3659" s="341">
        <f>(SUM(C3661:C3676)+SUM(C3681:C3690)+SUM(C3695:C3701))*G3659</f>
        <v>43.387999999999998</v>
      </c>
      <c r="V3659" s="368" t="str">
        <f>IF(T3659=U3659,"si","no")</f>
        <v>si</v>
      </c>
      <c r="W3659" s="369">
        <f>SUM(F3661:F3676)</f>
        <v>0</v>
      </c>
      <c r="X3659" s="369">
        <f>SUM(F3681:F3690)</f>
        <v>0</v>
      </c>
      <c r="Y3659" s="369">
        <f>SUM(F3695:F3701)</f>
        <v>0</v>
      </c>
    </row>
    <row r="3660" spans="1:25" ht="12.75" customHeight="1">
      <c r="A3660" s="374" t="s">
        <v>14</v>
      </c>
      <c r="B3660" s="375" t="s">
        <v>132</v>
      </c>
      <c r="C3660" s="376" t="s">
        <v>231</v>
      </c>
      <c r="D3660" s="376" t="s">
        <v>232</v>
      </c>
      <c r="E3660" s="377" t="s">
        <v>233</v>
      </c>
      <c r="F3660" s="378" t="s">
        <v>234</v>
      </c>
      <c r="G3660" s="379"/>
      <c r="J3660" s="341"/>
      <c r="L3660" s="380"/>
      <c r="M3660" s="381"/>
      <c r="N3660" s="342"/>
      <c r="O3660" s="382"/>
      <c r="P3660" s="383"/>
      <c r="Q3660" s="383"/>
      <c r="R3660" s="383"/>
      <c r="S3660" s="383"/>
      <c r="T3660" s="382"/>
      <c r="U3660" s="341"/>
      <c r="V3660" s="384"/>
      <c r="W3660" s="384"/>
      <c r="X3660" s="384"/>
      <c r="Y3660" s="384"/>
    </row>
    <row r="3661" spans="1:25" ht="12.75" customHeight="1">
      <c r="A3661" s="385" t="str">
        <f>VII.A!$A$91</f>
        <v>1.81</v>
      </c>
      <c r="B3661" s="386" t="str">
        <f>VLOOKUP(A3661,VII.A!$A$10:$G$199,2,FALSE)</f>
        <v>RALO SECO DE PVC RÍGIDO, 100 X 40 MM</v>
      </c>
      <c r="C3661" s="20">
        <v>1</v>
      </c>
      <c r="D3661" s="342" t="str">
        <f>VLOOKUP(A3661,VII.A!$A$10:$G$199,3,FALSE)</f>
        <v>UN</v>
      </c>
      <c r="E3661" s="387">
        <f>VII.A!D91</f>
        <v>0</v>
      </c>
      <c r="F3661" s="388">
        <f>ROUND(C3661*E3661,2)</f>
        <v>0</v>
      </c>
      <c r="H3661" s="341">
        <f>IF(A3661="","",VLOOKUP(A3661,VII.A!$A$10:$D$199,4,FALSE))</f>
        <v>0</v>
      </c>
      <c r="I3661" s="341" t="str">
        <f t="shared" ref="I3661:I3676" si="945">IF(A3661="","",IF(E3661=H3661,"SIM","NÃO"))</f>
        <v>SIM</v>
      </c>
      <c r="J3661" s="341" t="str">
        <f>IF(A3661="","",VLOOKUP(A3661,VII.A!$A$10:$D$199,3,FALSE))</f>
        <v>UN</v>
      </c>
      <c r="K3661" s="342" t="str">
        <f t="shared" ref="K3661:K3676" si="946">IF(A3661="","",IF(J3661=D3661,"SIM","NÃO"))</f>
        <v>SIM</v>
      </c>
      <c r="L3661" s="380">
        <f>IF(C3661="","",G3659*C3661)</f>
        <v>20</v>
      </c>
      <c r="M3661" s="381" t="str">
        <f>IF(A3661="","",VLOOKUP(A3661,VII.A!$A$10:$B$199,2,FALSE))</f>
        <v>RALO SECO DE PVC RÍGIDO, 100 X 40 MM</v>
      </c>
      <c r="N3661" s="342" t="str">
        <f t="shared" ref="N3661:N3676" si="947">IF(B3661="","",IF(M3661=B3661,"si","no"))</f>
        <v>si</v>
      </c>
      <c r="R3661" s="341"/>
      <c r="S3661" s="341"/>
    </row>
    <row r="3662" spans="1:25" ht="12.75" customHeight="1">
      <c r="A3662" s="385" t="str">
        <f>VII.A!$A$60</f>
        <v>1.51</v>
      </c>
      <c r="B3662" s="386" t="str">
        <f>VII.A!B60</f>
        <v>GRELHA METÁLICA DE 100 X 100 MM, PARA CAIXA SIFONADA OU RALO</v>
      </c>
      <c r="C3662" s="20">
        <v>1</v>
      </c>
      <c r="D3662" s="342" t="str">
        <f>VII.A!C60</f>
        <v>UN</v>
      </c>
      <c r="E3662" s="387">
        <f>VII.A!D60</f>
        <v>0</v>
      </c>
      <c r="F3662" s="388">
        <f>ROUND(C3662*E3662,2)</f>
        <v>0</v>
      </c>
      <c r="H3662" s="341">
        <f>IF(A3662="","",VLOOKUP(A3662,VII.A!$A$10:$D$199,4,FALSE))</f>
        <v>0</v>
      </c>
      <c r="I3662" s="341" t="str">
        <f>IF(A3662="","",IF(E3662=H3662,"SIM","NÃO"))</f>
        <v>SIM</v>
      </c>
      <c r="J3662" s="341" t="str">
        <f>IF(A3662="","",VLOOKUP(A3662,VII.A!$A$10:$D$199,3,FALSE))</f>
        <v>UN</v>
      </c>
      <c r="K3662" s="342" t="str">
        <f>IF(A3662="","",IF(J3662=D3662,"SIM","NÃO"))</f>
        <v>SIM</v>
      </c>
      <c r="L3662" s="380">
        <f>IF(C3662="","",G3659*C3662)</f>
        <v>20</v>
      </c>
      <c r="M3662" s="381" t="str">
        <f>IF(A3662="","",VLOOKUP(A3662,VII.A!$A$10:$B$199,2,FALSE))</f>
        <v>GRELHA METÁLICA DE 100 X 100 MM, PARA CAIXA SIFONADA OU RALO</v>
      </c>
      <c r="N3662" s="342" t="str">
        <f>IF(B3662="","",IF(M3662=B3662,"si","no"))</f>
        <v>si</v>
      </c>
      <c r="R3662" s="341"/>
      <c r="S3662" s="341"/>
    </row>
    <row r="3663" spans="1:25" ht="12.75" customHeight="1">
      <c r="A3663" s="385" t="str">
        <f>VII.A!$A$11</f>
        <v>1.2</v>
      </c>
      <c r="B3663" s="386" t="str">
        <f>VLOOKUP(A3663,VII.A!$A$10:$G$199,2,FALSE)</f>
        <v>ADESIVO PARA TUBO EM PVC - FRASCO 850 GR.</v>
      </c>
      <c r="C3663" s="20">
        <v>4.8999999999999998E-3</v>
      </c>
      <c r="D3663" s="342" t="str">
        <f>VLOOKUP(A3663,VII.A!$A$10:$G$199,3,FALSE)</f>
        <v>UN</v>
      </c>
      <c r="E3663" s="387">
        <f>VII.A!D11</f>
        <v>0</v>
      </c>
      <c r="F3663" s="388">
        <f t="shared" ref="F3663:F3676" si="948">ROUND(C3663*E3663,2)</f>
        <v>0</v>
      </c>
      <c r="H3663" s="341">
        <f>IF(A3663="","",VLOOKUP(A3663,VII.A!$A$10:$D$199,4,FALSE))</f>
        <v>0</v>
      </c>
      <c r="I3663" s="341" t="str">
        <f t="shared" si="945"/>
        <v>SIM</v>
      </c>
      <c r="J3663" s="341" t="str">
        <f>IF(A3663="","",VLOOKUP(A3663,VII.A!$A$10:$D$199,3,FALSE))</f>
        <v>UN</v>
      </c>
      <c r="K3663" s="342" t="str">
        <f t="shared" si="946"/>
        <v>SIM</v>
      </c>
      <c r="L3663" s="380">
        <f>IF(C3663="","",G3659*C3663)</f>
        <v>9.8000000000000004E-2</v>
      </c>
      <c r="M3663" s="381" t="str">
        <f>IF(A3663="","",VLOOKUP(A3663,VII.A!$A$10:$B$199,2,FALSE))</f>
        <v>ADESIVO PARA TUBO EM PVC - FRASCO 850 GR.</v>
      </c>
      <c r="N3663" s="342" t="str">
        <f t="shared" si="947"/>
        <v>si</v>
      </c>
      <c r="R3663" s="341"/>
      <c r="S3663" s="341"/>
    </row>
    <row r="3664" spans="1:25" ht="12.75" customHeight="1">
      <c r="A3664" s="385" t="str">
        <f>VII.A!$A$100</f>
        <v>1.90</v>
      </c>
      <c r="B3664" s="386" t="str">
        <f>VLOOKUP(A3664,VII.A!$A$10:$G$199,2,FALSE)</f>
        <v>SOLUCAO LIMPADORA PARA PVC, FRASCO COM 1000 CM3</v>
      </c>
      <c r="C3664" s="20">
        <v>7.4999999999999997E-3</v>
      </c>
      <c r="D3664" s="342" t="str">
        <f>VLOOKUP(A3664,VII.A!$A$10:$G$199,3,FALSE)</f>
        <v xml:space="preserve">UN </v>
      </c>
      <c r="E3664" s="387">
        <f>VII.A!D100</f>
        <v>0</v>
      </c>
      <c r="F3664" s="388">
        <f t="shared" si="948"/>
        <v>0</v>
      </c>
      <c r="H3664" s="341">
        <f>IF(A3664="","",VLOOKUP(A3664,VII.A!$A$10:$D$199,4,FALSE))</f>
        <v>0</v>
      </c>
      <c r="I3664" s="341" t="str">
        <f t="shared" si="945"/>
        <v>SIM</v>
      </c>
      <c r="J3664" s="341" t="str">
        <f>IF(A3664="","",VLOOKUP(A3664,VII.A!$A$10:$D$199,3,FALSE))</f>
        <v xml:space="preserve">UN </v>
      </c>
      <c r="K3664" s="342" t="str">
        <f t="shared" si="946"/>
        <v>SIM</v>
      </c>
      <c r="L3664" s="380">
        <f>IF(C3664="","",G3659*C3664)</f>
        <v>0.15</v>
      </c>
      <c r="M3664" s="381" t="str">
        <f>IF(A3664="","",VLOOKUP(A3664,VII.A!$A$10:$B$199,2,FALSE))</f>
        <v>SOLUCAO LIMPADORA PARA PVC, FRASCO COM 1000 CM3</v>
      </c>
      <c r="N3664" s="342" t="str">
        <f t="shared" si="947"/>
        <v>si</v>
      </c>
      <c r="R3664" s="341"/>
      <c r="S3664" s="341"/>
    </row>
    <row r="3665" spans="1:21" ht="12.75" customHeight="1">
      <c r="A3665" s="385" t="str">
        <f>VII.A!$A$67</f>
        <v>1.58</v>
      </c>
      <c r="B3665" s="386" t="str">
        <f>VLOOKUP(A3665,VII.A!$A$10:$G$199,2,FALSE)</f>
        <v>LIXA D'AGUA EM FOLHA, GRAO 100</v>
      </c>
      <c r="C3665" s="20">
        <v>1.7000000000000001E-2</v>
      </c>
      <c r="D3665" s="342" t="str">
        <f>VLOOKUP(A3665,VII.A!$A$10:$G$199,3,FALSE)</f>
        <v>UN</v>
      </c>
      <c r="E3665" s="387">
        <f>VII.A!$D$67</f>
        <v>0</v>
      </c>
      <c r="F3665" s="388">
        <f t="shared" si="948"/>
        <v>0</v>
      </c>
      <c r="H3665" s="341">
        <f>IF(A3665="","",VLOOKUP(A3665,VII.A!$A$10:$D$199,4,FALSE))</f>
        <v>0</v>
      </c>
      <c r="I3665" s="341" t="str">
        <f t="shared" si="945"/>
        <v>SIM</v>
      </c>
      <c r="J3665" s="341" t="str">
        <f>IF(A3665="","",VLOOKUP(A3665,VII.A!$A$10:$D$199,3,FALSE))</f>
        <v>UN</v>
      </c>
      <c r="K3665" s="342" t="str">
        <f t="shared" si="946"/>
        <v>SIM</v>
      </c>
      <c r="L3665" s="380">
        <f>IF(C3665="","",G3659*C3665)</f>
        <v>0.34</v>
      </c>
      <c r="M3665" s="381" t="str">
        <f>IF(A3665="","",VLOOKUP(A3665,VII.A!$A$10:$B$199,2,FALSE))</f>
        <v>LIXA D'AGUA EM FOLHA, GRAO 100</v>
      </c>
      <c r="N3665" s="342" t="str">
        <f t="shared" si="947"/>
        <v>si</v>
      </c>
      <c r="R3665" s="341"/>
      <c r="S3665" s="341"/>
    </row>
    <row r="3666" spans="1:21" ht="12.75" customHeight="1">
      <c r="A3666" s="385"/>
      <c r="B3666" s="386"/>
      <c r="C3666" s="20"/>
      <c r="D3666" s="342"/>
      <c r="E3666" s="387"/>
      <c r="F3666" s="388">
        <f t="shared" si="948"/>
        <v>0</v>
      </c>
      <c r="H3666" s="341" t="str">
        <f>IF(A3666="","",VLOOKUP(A3666,VII.A!$A$10:$D$199,4,FALSE))</f>
        <v/>
      </c>
      <c r="I3666" s="341" t="str">
        <f t="shared" si="945"/>
        <v/>
      </c>
      <c r="J3666" s="341" t="str">
        <f>IF(A3666="","",VLOOKUP(A3666,VII.A!$A$10:$D$199,3,FALSE))</f>
        <v/>
      </c>
      <c r="K3666" s="342" t="str">
        <f t="shared" si="946"/>
        <v/>
      </c>
      <c r="L3666" s="380" t="str">
        <f>IF(C3666="","",G3659*C3666)</f>
        <v/>
      </c>
      <c r="M3666" s="381" t="str">
        <f>IF(A3666="","",VLOOKUP(A3666,VII.A!$A$10:$B$199,2,FALSE))</f>
        <v/>
      </c>
      <c r="N3666" s="342" t="str">
        <f t="shared" si="947"/>
        <v/>
      </c>
      <c r="R3666" s="341"/>
      <c r="S3666" s="341"/>
    </row>
    <row r="3667" spans="1:21" ht="12.75" customHeight="1">
      <c r="A3667" s="385"/>
      <c r="B3667" s="386"/>
      <c r="C3667" s="20"/>
      <c r="D3667" s="342"/>
      <c r="E3667" s="387"/>
      <c r="F3667" s="388">
        <f t="shared" si="948"/>
        <v>0</v>
      </c>
      <c r="H3667" s="341" t="str">
        <f>IF(A3667="","",VLOOKUP(A3667,VII.A!$A$10:$D$199,4,FALSE))</f>
        <v/>
      </c>
      <c r="I3667" s="341" t="str">
        <f t="shared" si="945"/>
        <v/>
      </c>
      <c r="J3667" s="341" t="str">
        <f>IF(A3667="","",VLOOKUP(A3667,VII.A!$A$10:$D$199,3,FALSE))</f>
        <v/>
      </c>
      <c r="K3667" s="342" t="str">
        <f t="shared" si="946"/>
        <v/>
      </c>
      <c r="L3667" s="380" t="str">
        <f>IF(C3667="","",G3659*C3667)</f>
        <v/>
      </c>
      <c r="M3667" s="381" t="str">
        <f>IF(A3667="","",VLOOKUP(A3667,VII.A!$A$10:$B$199,2,FALSE))</f>
        <v/>
      </c>
      <c r="N3667" s="342" t="str">
        <f t="shared" si="947"/>
        <v/>
      </c>
      <c r="R3667" s="341"/>
      <c r="S3667" s="341"/>
      <c r="U3667" s="389"/>
    </row>
    <row r="3668" spans="1:21" ht="12.75" customHeight="1">
      <c r="A3668" s="385"/>
      <c r="B3668" s="386"/>
      <c r="C3668" s="20"/>
      <c r="D3668" s="342"/>
      <c r="E3668" s="387"/>
      <c r="F3668" s="388">
        <f t="shared" si="948"/>
        <v>0</v>
      </c>
      <c r="H3668" s="341" t="str">
        <f>IF(A3668="","",VLOOKUP(A3668,VII.A!$A$10:$D$199,4,FALSE))</f>
        <v/>
      </c>
      <c r="I3668" s="341" t="str">
        <f t="shared" si="945"/>
        <v/>
      </c>
      <c r="J3668" s="341" t="str">
        <f>IF(A3668="","",VLOOKUP(A3668,VII.A!$A$10:$D$199,3,FALSE))</f>
        <v/>
      </c>
      <c r="K3668" s="342" t="str">
        <f t="shared" si="946"/>
        <v/>
      </c>
      <c r="L3668" s="380" t="str">
        <f>IF(C3668="","",G3659*C3668)</f>
        <v/>
      </c>
      <c r="M3668" s="381" t="str">
        <f>IF(A3668="","",VLOOKUP(A3668,VII.A!$A$10:$B$199,2,FALSE))</f>
        <v/>
      </c>
      <c r="N3668" s="342" t="str">
        <f t="shared" si="947"/>
        <v/>
      </c>
      <c r="R3668" s="341"/>
      <c r="S3668" s="341"/>
    </row>
    <row r="3669" spans="1:21" ht="12.75" customHeight="1">
      <c r="A3669" s="385"/>
      <c r="B3669" s="386"/>
      <c r="C3669" s="20"/>
      <c r="D3669" s="342"/>
      <c r="E3669" s="387"/>
      <c r="F3669" s="388">
        <f t="shared" si="948"/>
        <v>0</v>
      </c>
      <c r="G3669" s="390"/>
      <c r="H3669" s="341" t="str">
        <f>IF(A3669="","",VLOOKUP(A3669,VII.A!$A$10:$D$199,4,FALSE))</f>
        <v/>
      </c>
      <c r="I3669" s="341" t="str">
        <f t="shared" si="945"/>
        <v/>
      </c>
      <c r="J3669" s="341" t="str">
        <f>IF(A3669="","",VLOOKUP(A3669,VII.A!$A$10:$D$199,3,FALSE))</f>
        <v/>
      </c>
      <c r="K3669" s="342" t="str">
        <f t="shared" si="946"/>
        <v/>
      </c>
      <c r="L3669" s="380" t="str">
        <f>IF(C3669="","",G3659*C3669)</f>
        <v/>
      </c>
      <c r="M3669" s="381" t="str">
        <f>IF(A3669="","",VLOOKUP(A3669,VII.A!$A$10:$B$199,2,FALSE))</f>
        <v/>
      </c>
      <c r="N3669" s="342" t="str">
        <f t="shared" si="947"/>
        <v/>
      </c>
      <c r="R3669" s="341"/>
      <c r="S3669" s="341"/>
    </row>
    <row r="3670" spans="1:21" ht="12.75" customHeight="1">
      <c r="A3670" s="385"/>
      <c r="B3670" s="386"/>
      <c r="C3670" s="20"/>
      <c r="D3670" s="342"/>
      <c r="E3670" s="387"/>
      <c r="F3670" s="388">
        <f t="shared" si="948"/>
        <v>0</v>
      </c>
      <c r="G3670" s="391"/>
      <c r="H3670" s="341" t="str">
        <f>IF(A3670="","",VLOOKUP(A3670,VII.A!$A$10:$D$199,4,FALSE))</f>
        <v/>
      </c>
      <c r="I3670" s="341" t="str">
        <f t="shared" si="945"/>
        <v/>
      </c>
      <c r="J3670" s="341" t="str">
        <f>IF(A3670="","",VLOOKUP(A3670,VII.A!$A$10:$D$199,3,FALSE))</f>
        <v/>
      </c>
      <c r="K3670" s="342" t="str">
        <f t="shared" si="946"/>
        <v/>
      </c>
      <c r="L3670" s="380" t="str">
        <f>IF(C3670="","",G3659*C3670)</f>
        <v/>
      </c>
      <c r="M3670" s="381" t="str">
        <f>IF(A3670="","",VLOOKUP(A3670,VII.A!$A$10:$B$199,2,FALSE))</f>
        <v/>
      </c>
      <c r="N3670" s="342" t="str">
        <f t="shared" si="947"/>
        <v/>
      </c>
      <c r="R3670" s="341"/>
      <c r="S3670" s="341"/>
    </row>
    <row r="3671" spans="1:21" ht="12.75" customHeight="1">
      <c r="A3671" s="385"/>
      <c r="B3671" s="386"/>
      <c r="C3671" s="20"/>
      <c r="D3671" s="342"/>
      <c r="E3671" s="387"/>
      <c r="F3671" s="388">
        <f t="shared" si="948"/>
        <v>0</v>
      </c>
      <c r="H3671" s="341" t="str">
        <f>IF(A3671="","",VLOOKUP(A3671,VII.A!$A$10:$D$199,4,FALSE))</f>
        <v/>
      </c>
      <c r="I3671" s="341" t="str">
        <f t="shared" si="945"/>
        <v/>
      </c>
      <c r="J3671" s="341" t="str">
        <f>IF(A3671="","",VLOOKUP(A3671,VII.A!$A$10:$D$199,3,FALSE))</f>
        <v/>
      </c>
      <c r="K3671" s="342" t="str">
        <f t="shared" si="946"/>
        <v/>
      </c>
      <c r="L3671" s="380" t="str">
        <f>IF(C3671="","",G3659*C3671)</f>
        <v/>
      </c>
      <c r="M3671" s="381" t="str">
        <f>IF(A3671="","",VLOOKUP(A3671,VII.A!$A$10:$B$199,2,FALSE))</f>
        <v/>
      </c>
      <c r="N3671" s="342" t="str">
        <f t="shared" si="947"/>
        <v/>
      </c>
      <c r="R3671" s="341"/>
      <c r="S3671" s="341"/>
    </row>
    <row r="3672" spans="1:21" ht="12.75" customHeight="1">
      <c r="A3672" s="385"/>
      <c r="B3672" s="386"/>
      <c r="C3672" s="20"/>
      <c r="D3672" s="392"/>
      <c r="E3672" s="387"/>
      <c r="F3672" s="388">
        <f t="shared" si="948"/>
        <v>0</v>
      </c>
      <c r="H3672" s="341" t="str">
        <f>IF(A3672="","",VLOOKUP(A3672,VII.A!$A$10:$D$199,4,FALSE))</f>
        <v/>
      </c>
      <c r="I3672" s="341" t="str">
        <f t="shared" si="945"/>
        <v/>
      </c>
      <c r="J3672" s="341" t="str">
        <f>IF(A3672="","",VLOOKUP(A3672,VII.A!$A$10:$D$199,3,FALSE))</f>
        <v/>
      </c>
      <c r="K3672" s="342" t="str">
        <f t="shared" si="946"/>
        <v/>
      </c>
      <c r="L3672" s="380" t="str">
        <f>IF(C3672="","",G3659*C3672)</f>
        <v/>
      </c>
      <c r="M3672" s="381" t="str">
        <f>IF(A3672="","",VLOOKUP(A3672,VII.A!$A$10:$B$199,2,FALSE))</f>
        <v/>
      </c>
      <c r="N3672" s="342" t="str">
        <f t="shared" si="947"/>
        <v/>
      </c>
      <c r="R3672" s="341"/>
      <c r="S3672" s="341"/>
    </row>
    <row r="3673" spans="1:21" ht="12.75" customHeight="1">
      <c r="A3673" s="385"/>
      <c r="B3673" s="386"/>
      <c r="C3673" s="20"/>
      <c r="D3673" s="392"/>
      <c r="E3673" s="387"/>
      <c r="F3673" s="388">
        <f t="shared" si="948"/>
        <v>0</v>
      </c>
      <c r="H3673" s="341" t="str">
        <f>IF(A3673="","",VLOOKUP(A3673,VII.A!$A$10:$D$199,4,FALSE))</f>
        <v/>
      </c>
      <c r="I3673" s="341" t="str">
        <f t="shared" si="945"/>
        <v/>
      </c>
      <c r="J3673" s="341" t="str">
        <f>IF(A3673="","",VLOOKUP(A3673,VII.A!$A$10:$D$199,3,FALSE))</f>
        <v/>
      </c>
      <c r="K3673" s="342" t="str">
        <f t="shared" si="946"/>
        <v/>
      </c>
      <c r="L3673" s="380" t="str">
        <f>IF(C3673="","",G3659*C3673)</f>
        <v/>
      </c>
      <c r="M3673" s="381" t="str">
        <f>IF(A3673="","",VLOOKUP(A3673,VII.A!$A$10:$B$199,2,FALSE))</f>
        <v/>
      </c>
      <c r="N3673" s="342" t="str">
        <f t="shared" si="947"/>
        <v/>
      </c>
      <c r="O3673" s="342"/>
      <c r="R3673" s="341"/>
      <c r="S3673" s="341"/>
    </row>
    <row r="3674" spans="1:21" ht="12.75" customHeight="1">
      <c r="A3674" s="385"/>
      <c r="B3674" s="386"/>
      <c r="C3674" s="20"/>
      <c r="D3674" s="392"/>
      <c r="E3674" s="387"/>
      <c r="F3674" s="388">
        <f t="shared" si="948"/>
        <v>0</v>
      </c>
      <c r="H3674" s="341" t="str">
        <f>IF(A3674="","",VLOOKUP(A3674,VII.A!$A$10:$D$199,4,FALSE))</f>
        <v/>
      </c>
      <c r="I3674" s="341" t="str">
        <f t="shared" si="945"/>
        <v/>
      </c>
      <c r="J3674" s="341" t="str">
        <f>IF(A3674="","",VLOOKUP(A3674,VII.A!$A$10:$D$199,3,FALSE))</f>
        <v/>
      </c>
      <c r="K3674" s="342" t="str">
        <f t="shared" si="946"/>
        <v/>
      </c>
      <c r="L3674" s="380" t="str">
        <f>IF(C3674="","",G3659*C3674)</f>
        <v/>
      </c>
      <c r="M3674" s="381" t="str">
        <f>IF(A3674="","",VLOOKUP(A3674,VII.A!$A$10:$B$199,2,FALSE))</f>
        <v/>
      </c>
      <c r="N3674" s="342" t="str">
        <f t="shared" si="947"/>
        <v/>
      </c>
      <c r="R3674" s="341"/>
      <c r="S3674" s="341"/>
    </row>
    <row r="3675" spans="1:21" ht="12.75" customHeight="1">
      <c r="A3675" s="393"/>
      <c r="C3675" s="20"/>
      <c r="E3675" s="387"/>
      <c r="F3675" s="388">
        <f t="shared" si="948"/>
        <v>0</v>
      </c>
      <c r="H3675" s="341" t="str">
        <f>IF(A3675="","",VLOOKUP(A3675,VII.A!$A$10:$D$199,4,FALSE))</f>
        <v/>
      </c>
      <c r="I3675" s="341" t="str">
        <f t="shared" si="945"/>
        <v/>
      </c>
      <c r="J3675" s="341" t="str">
        <f>IF(A3675="","",VLOOKUP(A3675,VII.A!$A$10:$D$199,3,FALSE))</f>
        <v/>
      </c>
      <c r="K3675" s="342" t="str">
        <f t="shared" si="946"/>
        <v/>
      </c>
      <c r="L3675" s="380" t="str">
        <f>IF(C3675="","",G3659*C3675)</f>
        <v/>
      </c>
      <c r="M3675" s="381" t="str">
        <f>IF(A3675="","",VLOOKUP(A3675,VII.A!$A$10:$B$199,2,FALSE))</f>
        <v/>
      </c>
      <c r="N3675" s="342" t="str">
        <f t="shared" si="947"/>
        <v/>
      </c>
      <c r="R3675" s="341"/>
      <c r="S3675" s="341"/>
    </row>
    <row r="3676" spans="1:21" ht="12.75" customHeight="1">
      <c r="A3676" s="393"/>
      <c r="C3676" s="20"/>
      <c r="E3676" s="387"/>
      <c r="F3676" s="388">
        <f t="shared" si="948"/>
        <v>0</v>
      </c>
      <c r="H3676" s="341" t="str">
        <f>IF(A3676="","",VLOOKUP(A3676,VII.A!$A$10:$D$199,4,FALSE))</f>
        <v/>
      </c>
      <c r="I3676" s="341" t="str">
        <f t="shared" si="945"/>
        <v/>
      </c>
      <c r="J3676" s="341" t="str">
        <f>IF(A3676="","",VLOOKUP(A3676,VII.A!$A$10:$D$199,3,FALSE))</f>
        <v/>
      </c>
      <c r="K3676" s="342" t="str">
        <f t="shared" si="946"/>
        <v/>
      </c>
      <c r="L3676" s="380" t="str">
        <f>IF(C3676="","",G3659*C3676)</f>
        <v/>
      </c>
      <c r="M3676" s="381" t="str">
        <f>IF(A3676="","",VLOOKUP(A3676,VII.A!$A$10:$B$199,2,FALSE))</f>
        <v/>
      </c>
      <c r="N3676" s="342" t="str">
        <f t="shared" si="947"/>
        <v/>
      </c>
      <c r="R3676" s="341"/>
      <c r="S3676" s="341"/>
    </row>
    <row r="3677" spans="1:21" ht="12.75" customHeight="1">
      <c r="A3677" s="393"/>
      <c r="B3677" s="395" t="s">
        <v>226</v>
      </c>
      <c r="C3677" s="396"/>
      <c r="D3677" s="397"/>
      <c r="E3677" s="398"/>
      <c r="F3677" s="399">
        <f>SUM(F3661:F3676)</f>
        <v>0</v>
      </c>
      <c r="H3677" s="426" t="s">
        <v>435</v>
      </c>
      <c r="J3677" s="341"/>
      <c r="L3677" s="380"/>
      <c r="M3677" s="381"/>
      <c r="N3677" s="342"/>
      <c r="R3677" s="341"/>
      <c r="S3677" s="341"/>
    </row>
    <row r="3678" spans="1:21" ht="12.75" customHeight="1">
      <c r="A3678" s="393"/>
      <c r="B3678" s="400" t="s">
        <v>53</v>
      </c>
      <c r="C3678" s="2">
        <f>$D$8</f>
        <v>0</v>
      </c>
      <c r="D3678" s="401"/>
      <c r="E3678" s="402"/>
      <c r="F3678" s="403">
        <f>ROUND(F3677*C3678,2)</f>
        <v>0</v>
      </c>
      <c r="H3678" s="426" t="s">
        <v>436</v>
      </c>
      <c r="J3678" s="341"/>
      <c r="L3678" s="380"/>
      <c r="M3678" s="381"/>
      <c r="N3678" s="342"/>
      <c r="R3678" s="341"/>
      <c r="S3678" s="341"/>
    </row>
    <row r="3679" spans="1:21" ht="12.75" customHeight="1">
      <c r="A3679" s="404"/>
      <c r="B3679" s="405" t="s">
        <v>227</v>
      </c>
      <c r="C3679" s="406"/>
      <c r="D3679" s="406"/>
      <c r="E3679" s="407"/>
      <c r="F3679" s="408">
        <f>F3677+F3678</f>
        <v>0</v>
      </c>
      <c r="J3679" s="341"/>
      <c r="L3679" s="380"/>
      <c r="M3679" s="381"/>
      <c r="N3679" s="342"/>
      <c r="R3679" s="341"/>
      <c r="S3679" s="341"/>
    </row>
    <row r="3680" spans="1:21" ht="12.75" customHeight="1">
      <c r="A3680" s="374" t="s">
        <v>2</v>
      </c>
      <c r="B3680" s="375" t="s">
        <v>235</v>
      </c>
      <c r="C3680" s="376" t="s">
        <v>231</v>
      </c>
      <c r="D3680" s="376" t="s">
        <v>232</v>
      </c>
      <c r="E3680" s="377" t="s">
        <v>233</v>
      </c>
      <c r="F3680" s="378" t="s">
        <v>234</v>
      </c>
      <c r="J3680" s="341"/>
      <c r="L3680" s="380"/>
      <c r="M3680" s="381"/>
      <c r="N3680" s="342"/>
      <c r="R3680" s="341"/>
      <c r="S3680" s="341"/>
    </row>
    <row r="3681" spans="1:19" ht="12.75" customHeight="1">
      <c r="A3681" s="393"/>
      <c r="B3681" s="423"/>
      <c r="C3681" s="20"/>
      <c r="E3681" s="387"/>
      <c r="F3681" s="388">
        <f t="shared" ref="F3681:F3690" si="949">ROUND(C3681*E3681,2)</f>
        <v>0</v>
      </c>
      <c r="H3681" s="341" t="str">
        <f>IF(A3681="","",VLOOKUP(A3681,VII.A!$A$10:$D$199,4,FALSE))</f>
        <v/>
      </c>
      <c r="I3681" s="341" t="str">
        <f t="shared" ref="I3681:I3690" si="950">IF(A3681="","",IF(E3681=H3681,"SIM","NÃO"))</f>
        <v/>
      </c>
      <c r="J3681" s="341" t="str">
        <f>IF(A3681="","",VLOOKUP(A3681,VII.A!$A$10:$D$199,3,FALSE))</f>
        <v/>
      </c>
      <c r="K3681" s="342" t="str">
        <f t="shared" ref="K3681:K3690" si="951">IF(A3681="","",IF(J3681=D3681,"SIM","NÃO"))</f>
        <v/>
      </c>
      <c r="L3681" s="380" t="str">
        <f>IF(C3681="","",G3659*C3681)</f>
        <v/>
      </c>
      <c r="M3681" s="381" t="str">
        <f>IF(A3681="","",VLOOKUP(A3681,VII.A!$A$10:$B$199,2,FALSE))</f>
        <v/>
      </c>
      <c r="N3681" s="342" t="str">
        <f t="shared" ref="N3681:N3690" si="952">IF(B3681="","",IF(M3681=B3681,"si","no"))</f>
        <v/>
      </c>
      <c r="R3681" s="341"/>
      <c r="S3681" s="341"/>
    </row>
    <row r="3682" spans="1:19" ht="12.75" customHeight="1">
      <c r="A3682" s="393"/>
      <c r="C3682" s="20"/>
      <c r="E3682" s="387"/>
      <c r="F3682" s="388">
        <f t="shared" si="949"/>
        <v>0</v>
      </c>
      <c r="H3682" s="341" t="str">
        <f>IF(A3682="","",VLOOKUP(A3682,VII.A!$A$10:$D$199,4,FALSE))</f>
        <v/>
      </c>
      <c r="I3682" s="341" t="str">
        <f t="shared" si="950"/>
        <v/>
      </c>
      <c r="J3682" s="341" t="str">
        <f>IF(A3682="","",VLOOKUP(A3682,VII.A!$A$10:$D$199,3,FALSE))</f>
        <v/>
      </c>
      <c r="K3682" s="342" t="str">
        <f t="shared" si="951"/>
        <v/>
      </c>
      <c r="L3682" s="380" t="str">
        <f>IF(C3682="","",G3659*C3682)</f>
        <v/>
      </c>
      <c r="M3682" s="381" t="str">
        <f>IF(A3682="","",VLOOKUP(A3682,VII.A!$A$10:$B$199,2,FALSE))</f>
        <v/>
      </c>
      <c r="N3682" s="342" t="str">
        <f t="shared" si="952"/>
        <v/>
      </c>
      <c r="R3682" s="341"/>
      <c r="S3682" s="341"/>
    </row>
    <row r="3683" spans="1:19" ht="12.75" customHeight="1">
      <c r="A3683" s="393"/>
      <c r="C3683" s="20"/>
      <c r="E3683" s="387"/>
      <c r="F3683" s="388">
        <f t="shared" si="949"/>
        <v>0</v>
      </c>
      <c r="H3683" s="341" t="str">
        <f>IF(A3683="","",VLOOKUP(A3683,VII.A!$A$10:$D$199,4,FALSE))</f>
        <v/>
      </c>
      <c r="I3683" s="341" t="str">
        <f t="shared" si="950"/>
        <v/>
      </c>
      <c r="J3683" s="341" t="str">
        <f>IF(A3683="","",VLOOKUP(A3683,VII.A!$A$10:$D$199,3,FALSE))</f>
        <v/>
      </c>
      <c r="K3683" s="342" t="str">
        <f t="shared" si="951"/>
        <v/>
      </c>
      <c r="L3683" s="380" t="str">
        <f>IF(C3683="","",G3659*C3683)</f>
        <v/>
      </c>
      <c r="M3683" s="381" t="str">
        <f>IF(A3683="","",VLOOKUP(A3683,VII.A!$A$10:$B$199,2,FALSE))</f>
        <v/>
      </c>
      <c r="N3683" s="342" t="str">
        <f t="shared" si="952"/>
        <v/>
      </c>
      <c r="R3683" s="341"/>
      <c r="S3683" s="341"/>
    </row>
    <row r="3684" spans="1:19">
      <c r="A3684" s="393"/>
      <c r="C3684" s="20"/>
      <c r="E3684" s="387"/>
      <c r="F3684" s="388">
        <f>ROUND(C3684*E3684,2)</f>
        <v>0</v>
      </c>
      <c r="H3684" s="341" t="str">
        <f>IF(A3684="","",VLOOKUP(A3684,VII.A!$A$10:$D$199,4,FALSE))</f>
        <v/>
      </c>
      <c r="I3684" s="341" t="str">
        <f>IF(A3684="","",IF(E3684=H3684,"SIM","NÃO"))</f>
        <v/>
      </c>
      <c r="J3684" s="341" t="str">
        <f>IF(A3684="","",VLOOKUP(A3684,VII.A!$A$10:$D$199,3,FALSE))</f>
        <v/>
      </c>
      <c r="K3684" s="342" t="str">
        <f>IF(A3684="","",IF(J3684=D3684,"SIM","NÃO"))</f>
        <v/>
      </c>
      <c r="L3684" s="380" t="str">
        <f>IF(C3684="","",G3658*C3684)</f>
        <v/>
      </c>
      <c r="M3684" s="381" t="str">
        <f>IF(A3684="","",VLOOKUP(A3684,VII.A!$A$10:$B$199,2,FALSE))</f>
        <v/>
      </c>
      <c r="N3684" s="342" t="str">
        <f>IF(B3684="","",IF(M3684=B3684,"si","no"))</f>
        <v/>
      </c>
      <c r="R3684" s="341"/>
      <c r="S3684" s="341"/>
    </row>
    <row r="3685" spans="1:19">
      <c r="A3685" s="393"/>
      <c r="C3685" s="20"/>
      <c r="E3685" s="387"/>
      <c r="F3685" s="388">
        <f t="shared" si="949"/>
        <v>0</v>
      </c>
      <c r="H3685" s="341" t="str">
        <f>IF(A3685="","",VLOOKUP(A3685,VII.A!$A$10:$D$199,4,FALSE))</f>
        <v/>
      </c>
      <c r="I3685" s="341" t="str">
        <f t="shared" si="950"/>
        <v/>
      </c>
      <c r="J3685" s="341" t="str">
        <f>IF(A3685="","",VLOOKUP(A3685,VII.A!$A$10:$D$199,3,FALSE))</f>
        <v/>
      </c>
      <c r="K3685" s="342" t="str">
        <f t="shared" si="951"/>
        <v/>
      </c>
      <c r="L3685" s="380" t="str">
        <f>IF(C3685="","",G3659*C3685)</f>
        <v/>
      </c>
      <c r="M3685" s="381" t="str">
        <f>IF(A3685="","",VLOOKUP(A3685,VII.A!$A$10:$B$199,2,FALSE))</f>
        <v/>
      </c>
      <c r="N3685" s="342" t="str">
        <f t="shared" si="952"/>
        <v/>
      </c>
      <c r="R3685" s="341"/>
      <c r="S3685" s="341"/>
    </row>
    <row r="3686" spans="1:19" ht="12.75" customHeight="1">
      <c r="A3686" s="393"/>
      <c r="C3686" s="20"/>
      <c r="E3686" s="387"/>
      <c r="F3686" s="388">
        <f t="shared" si="949"/>
        <v>0</v>
      </c>
      <c r="G3686" s="390"/>
      <c r="H3686" s="341" t="str">
        <f>IF(A3686="","",VLOOKUP(A3686,VII.A!$A$10:$D$199,4,FALSE))</f>
        <v/>
      </c>
      <c r="I3686" s="341" t="str">
        <f t="shared" si="950"/>
        <v/>
      </c>
      <c r="J3686" s="341" t="str">
        <f>IF(A3686="","",VLOOKUP(A3686,VII.A!$A$10:$D$199,3,FALSE))</f>
        <v/>
      </c>
      <c r="K3686" s="342" t="str">
        <f t="shared" si="951"/>
        <v/>
      </c>
      <c r="L3686" s="380" t="str">
        <f>IF(C3686="","",G3659*C3686)</f>
        <v/>
      </c>
      <c r="M3686" s="381" t="str">
        <f>IF(A3686="","",VLOOKUP(A3686,VII.A!$A$10:$B$199,2,FALSE))</f>
        <v/>
      </c>
      <c r="N3686" s="342" t="str">
        <f t="shared" si="952"/>
        <v/>
      </c>
      <c r="R3686" s="341"/>
      <c r="S3686" s="341"/>
    </row>
    <row r="3687" spans="1:19" ht="12.75" customHeight="1">
      <c r="A3687" s="393"/>
      <c r="C3687" s="20"/>
      <c r="E3687" s="387"/>
      <c r="F3687" s="388">
        <f t="shared" si="949"/>
        <v>0</v>
      </c>
      <c r="G3687" s="391"/>
      <c r="H3687" s="341" t="str">
        <f>IF(A3687="","",VLOOKUP(A3687,VII.A!$A$10:$D$199,4,FALSE))</f>
        <v/>
      </c>
      <c r="I3687" s="341" t="str">
        <f t="shared" si="950"/>
        <v/>
      </c>
      <c r="J3687" s="341" t="str">
        <f>IF(A3687="","",VLOOKUP(A3687,VII.A!$A$10:$D$199,3,FALSE))</f>
        <v/>
      </c>
      <c r="K3687" s="342" t="str">
        <f t="shared" si="951"/>
        <v/>
      </c>
      <c r="L3687" s="380" t="str">
        <f>IF(C3687="","",G3659*C3687)</f>
        <v/>
      </c>
      <c r="M3687" s="381" t="str">
        <f>IF(A3687="","",VLOOKUP(A3687,VII.A!$A$10:$B$199,2,FALSE))</f>
        <v/>
      </c>
      <c r="N3687" s="342" t="str">
        <f t="shared" si="952"/>
        <v/>
      </c>
      <c r="R3687" s="341"/>
      <c r="S3687" s="341"/>
    </row>
    <row r="3688" spans="1:19" ht="12.75" customHeight="1">
      <c r="A3688" s="393"/>
      <c r="C3688" s="20"/>
      <c r="E3688" s="387"/>
      <c r="F3688" s="388">
        <f t="shared" si="949"/>
        <v>0</v>
      </c>
      <c r="H3688" s="341" t="str">
        <f>IF(A3688="","",VLOOKUP(A3688,VII.A!$A$10:$D$199,4,FALSE))</f>
        <v/>
      </c>
      <c r="I3688" s="341" t="str">
        <f t="shared" si="950"/>
        <v/>
      </c>
      <c r="J3688" s="341" t="str">
        <f>IF(A3688="","",VLOOKUP(A3688,VII.A!$A$10:$D$199,3,FALSE))</f>
        <v/>
      </c>
      <c r="K3688" s="342" t="str">
        <f t="shared" si="951"/>
        <v/>
      </c>
      <c r="L3688" s="380" t="str">
        <f>IF(C3688="","",G3659*C3688)</f>
        <v/>
      </c>
      <c r="M3688" s="381" t="str">
        <f>IF(A3688="","",VLOOKUP(A3688,VII.A!$A$10:$B$199,2,FALSE))</f>
        <v/>
      </c>
      <c r="N3688" s="342" t="str">
        <f t="shared" si="952"/>
        <v/>
      </c>
      <c r="R3688" s="341"/>
      <c r="S3688" s="341"/>
    </row>
    <row r="3689" spans="1:19" ht="12.75" customHeight="1">
      <c r="A3689" s="393"/>
      <c r="C3689" s="20"/>
      <c r="E3689" s="387"/>
      <c r="F3689" s="388">
        <f t="shared" si="949"/>
        <v>0</v>
      </c>
      <c r="H3689" s="341" t="str">
        <f>IF(A3689="","",VLOOKUP(A3689,VII.A!$A$10:$D$199,4,FALSE))</f>
        <v/>
      </c>
      <c r="I3689" s="341" t="str">
        <f t="shared" si="950"/>
        <v/>
      </c>
      <c r="J3689" s="341" t="str">
        <f>IF(A3689="","",VLOOKUP(A3689,VII.A!$A$10:$D$199,3,FALSE))</f>
        <v/>
      </c>
      <c r="K3689" s="342" t="str">
        <f t="shared" si="951"/>
        <v/>
      </c>
      <c r="L3689" s="380" t="str">
        <f>IF(C3689="","",G3659*C3689)</f>
        <v/>
      </c>
      <c r="M3689" s="381" t="str">
        <f>IF(A3689="","",VLOOKUP(A3689,VII.A!$A$10:$B$199,2,FALSE))</f>
        <v/>
      </c>
      <c r="N3689" s="342" t="str">
        <f t="shared" si="952"/>
        <v/>
      </c>
      <c r="R3689" s="341"/>
      <c r="S3689" s="341"/>
    </row>
    <row r="3690" spans="1:19" ht="12.75" customHeight="1">
      <c r="A3690" s="393"/>
      <c r="C3690" s="20"/>
      <c r="E3690" s="387"/>
      <c r="F3690" s="388">
        <f t="shared" si="949"/>
        <v>0</v>
      </c>
      <c r="H3690" s="341" t="str">
        <f>IF(A3690="","",VLOOKUP(A3690,VII.A!$A$10:$D$199,4,FALSE))</f>
        <v/>
      </c>
      <c r="I3690" s="341" t="str">
        <f t="shared" si="950"/>
        <v/>
      </c>
      <c r="J3690" s="341" t="str">
        <f>IF(A3690="","",VLOOKUP(A3690,VII.A!$A$10:$D$199,3,FALSE))</f>
        <v/>
      </c>
      <c r="K3690" s="342" t="str">
        <f t="shared" si="951"/>
        <v/>
      </c>
      <c r="L3690" s="380" t="str">
        <f>IF(C3690="","",G3659*C3690)</f>
        <v/>
      </c>
      <c r="M3690" s="381" t="str">
        <f>IF(A3690="","",VLOOKUP(A3690,VII.A!$A$10:$B$199,2,FALSE))</f>
        <v/>
      </c>
      <c r="N3690" s="342" t="str">
        <f t="shared" si="952"/>
        <v/>
      </c>
      <c r="R3690" s="341"/>
      <c r="S3690" s="341"/>
    </row>
    <row r="3691" spans="1:19" ht="12.75" customHeight="1">
      <c r="A3691" s="393"/>
      <c r="B3691" s="395" t="s">
        <v>226</v>
      </c>
      <c r="C3691" s="396"/>
      <c r="D3691" s="397"/>
      <c r="E3691" s="398"/>
      <c r="F3691" s="399">
        <f>SUM(F3681:F3690)</f>
        <v>0</v>
      </c>
      <c r="J3691" s="341"/>
      <c r="L3691" s="380"/>
      <c r="M3691" s="381"/>
      <c r="N3691" s="342"/>
      <c r="R3691" s="341"/>
      <c r="S3691" s="341"/>
    </row>
    <row r="3692" spans="1:19" ht="12.75" customHeight="1">
      <c r="A3692" s="393"/>
      <c r="B3692" s="400" t="s">
        <v>53</v>
      </c>
      <c r="C3692" s="2">
        <f>$D$8</f>
        <v>0</v>
      </c>
      <c r="D3692" s="401"/>
      <c r="E3692" s="402"/>
      <c r="F3692" s="403">
        <f>ROUND(C3692*F3691,2)</f>
        <v>0</v>
      </c>
      <c r="J3692" s="341"/>
      <c r="L3692" s="380"/>
      <c r="M3692" s="381"/>
      <c r="N3692" s="342"/>
      <c r="R3692" s="341"/>
      <c r="S3692" s="341"/>
    </row>
    <row r="3693" spans="1:19" ht="12.75" customHeight="1">
      <c r="A3693" s="404"/>
      <c r="B3693" s="405" t="s">
        <v>228</v>
      </c>
      <c r="C3693" s="406"/>
      <c r="D3693" s="406"/>
      <c r="E3693" s="407"/>
      <c r="F3693" s="408">
        <f>F3691+F3692</f>
        <v>0</v>
      </c>
      <c r="J3693" s="341"/>
      <c r="L3693" s="380"/>
      <c r="M3693" s="381"/>
      <c r="N3693" s="342"/>
      <c r="R3693" s="341"/>
      <c r="S3693" s="341"/>
    </row>
    <row r="3694" spans="1:19" ht="12.75" customHeight="1">
      <c r="A3694" s="409" t="s">
        <v>47</v>
      </c>
      <c r="B3694" s="410" t="s">
        <v>236</v>
      </c>
      <c r="C3694" s="411" t="s">
        <v>231</v>
      </c>
      <c r="D3694" s="412" t="s">
        <v>232</v>
      </c>
      <c r="E3694" s="413" t="s">
        <v>233</v>
      </c>
      <c r="F3694" s="378" t="s">
        <v>234</v>
      </c>
      <c r="J3694" s="341"/>
      <c r="L3694" s="380"/>
      <c r="M3694" s="381"/>
      <c r="N3694" s="342"/>
      <c r="R3694" s="341"/>
      <c r="S3694" s="341"/>
    </row>
    <row r="3695" spans="1:19" ht="12.75" customHeight="1">
      <c r="A3695" s="393" t="str">
        <f>VII.A!$A$181</f>
        <v>3.1</v>
      </c>
      <c r="B3695" s="394" t="s">
        <v>142</v>
      </c>
      <c r="C3695" s="20">
        <v>7.0000000000000007E-2</v>
      </c>
      <c r="D3695" s="384" t="str">
        <f>VLOOKUP(A3695,VII.A!$A$10:$G$199,3,FALSE)</f>
        <v>H</v>
      </c>
      <c r="E3695" s="387">
        <f>VII.A!D181</f>
        <v>0</v>
      </c>
      <c r="F3695" s="388">
        <f t="shared" ref="F3695:F3701" si="953">ROUND(C3695*E3695,2)</f>
        <v>0</v>
      </c>
      <c r="H3695" s="341">
        <f>IF(A3695="","",VLOOKUP(A3695,VII.A!$A$10:$D$199,4,FALSE))</f>
        <v>0</v>
      </c>
      <c r="I3695" s="341" t="str">
        <f t="shared" ref="I3695:I3701" si="954">IF(A3695="","",IF(E3695=H3695,"SIM","NÃO"))</f>
        <v>SIM</v>
      </c>
      <c r="J3695" s="341" t="str">
        <f>IF(A3695="","",VLOOKUP(A3695,VII.A!$A$10:$D$199,3,FALSE))</f>
        <v>H</v>
      </c>
      <c r="K3695" s="342" t="str">
        <f t="shared" ref="K3695:K3701" si="955">IF(A3695="","",IF(J3695=D3695,"SIM","NÃO"))</f>
        <v>SIM</v>
      </c>
      <c r="L3695" s="380">
        <f>IF(C3695="","",G3659*C3695)</f>
        <v>1.4000000000000001</v>
      </c>
      <c r="M3695" s="381" t="str">
        <f>IF(A3695="","",VLOOKUP(A3695,VII.A!$A$10:$B$199,2,FALSE))</f>
        <v>AJUDANTE COM ENCARGOS COMPLEMENTARES</v>
      </c>
      <c r="N3695" s="342" t="str">
        <f t="shared" ref="N3695:N3701" si="956">IF(B3695="","",IF(M3695=B3695,"si","no"))</f>
        <v>si</v>
      </c>
      <c r="R3695" s="341"/>
      <c r="S3695" s="341"/>
    </row>
    <row r="3696" spans="1:19" ht="12.75" customHeight="1">
      <c r="A3696" s="393" t="str">
        <f>VII.A!$A$187</f>
        <v>3.7</v>
      </c>
      <c r="B3696" s="394" t="s">
        <v>148</v>
      </c>
      <c r="C3696" s="20">
        <v>7.0000000000000007E-2</v>
      </c>
      <c r="D3696" s="384" t="str">
        <f>VLOOKUP(A3696,VII.A!$A$10:$G$199,3,FALSE)</f>
        <v>H</v>
      </c>
      <c r="E3696" s="387">
        <f>VII.A!D187</f>
        <v>0</v>
      </c>
      <c r="F3696" s="388">
        <f t="shared" si="953"/>
        <v>0</v>
      </c>
      <c r="H3696" s="341">
        <f>IF(A3696="","",VLOOKUP(A3696,VII.A!$A$10:$D$199,4,FALSE))</f>
        <v>0</v>
      </c>
      <c r="I3696" s="341" t="str">
        <f t="shared" si="954"/>
        <v>SIM</v>
      </c>
      <c r="J3696" s="341" t="str">
        <f>IF(A3696="","",VLOOKUP(A3696,VII.A!$A$10:$D$199,3,FALSE))</f>
        <v>H</v>
      </c>
      <c r="K3696" s="342" t="str">
        <f t="shared" si="955"/>
        <v>SIM</v>
      </c>
      <c r="L3696" s="380">
        <f>IF(C3696="","",G3659*C3696)</f>
        <v>1.4000000000000001</v>
      </c>
      <c r="M3696" s="381" t="str">
        <f>IF(A3696="","",VLOOKUP(A3696,VII.A!$A$10:$B$199,2,FALSE))</f>
        <v>ENCANADOR COM ENCARGOS COMPLEMENTARES</v>
      </c>
      <c r="N3696" s="342" t="str">
        <f t="shared" si="956"/>
        <v>si</v>
      </c>
      <c r="R3696" s="341"/>
      <c r="S3696" s="341"/>
    </row>
    <row r="3697" spans="1:25" ht="12.75" customHeight="1">
      <c r="A3697" s="393"/>
      <c r="C3697" s="20"/>
      <c r="E3697" s="387"/>
      <c r="F3697" s="388">
        <f t="shared" si="953"/>
        <v>0</v>
      </c>
      <c r="H3697" s="341" t="str">
        <f>IF(A3697="","",VLOOKUP(A3697,VII.A!$A$10:$D$199,4,FALSE))</f>
        <v/>
      </c>
      <c r="I3697" s="341" t="str">
        <f t="shared" si="954"/>
        <v/>
      </c>
      <c r="J3697" s="341" t="str">
        <f>IF(A3697="","",VLOOKUP(A3697,VII.A!$A$10:$D$199,3,FALSE))</f>
        <v/>
      </c>
      <c r="K3697" s="342" t="str">
        <f t="shared" si="955"/>
        <v/>
      </c>
      <c r="L3697" s="380" t="str">
        <f>IF(C3697="","",G3659*C3697)</f>
        <v/>
      </c>
      <c r="M3697" s="381" t="str">
        <f>IF(A3697="","",VLOOKUP(A3697,VII.A!$A$10:$B$199,2,FALSE))</f>
        <v/>
      </c>
      <c r="N3697" s="342" t="str">
        <f t="shared" si="956"/>
        <v/>
      </c>
      <c r="R3697" s="341"/>
      <c r="S3697" s="341"/>
    </row>
    <row r="3698" spans="1:25" ht="12.75" customHeight="1">
      <c r="A3698" s="393"/>
      <c r="C3698" s="20"/>
      <c r="E3698" s="387"/>
      <c r="F3698" s="388">
        <f t="shared" si="953"/>
        <v>0</v>
      </c>
      <c r="H3698" s="341" t="str">
        <f>IF(A3698="","",VLOOKUP(A3698,VII.A!$A$10:$D$199,4,FALSE))</f>
        <v/>
      </c>
      <c r="I3698" s="341" t="str">
        <f t="shared" si="954"/>
        <v/>
      </c>
      <c r="J3698" s="341" t="str">
        <f>IF(A3698="","",VLOOKUP(A3698,VII.A!$A$10:$D$199,3,FALSE))</f>
        <v/>
      </c>
      <c r="K3698" s="342" t="str">
        <f t="shared" si="955"/>
        <v/>
      </c>
      <c r="L3698" s="380" t="str">
        <f>IF(C3698="","",G3659*C3698)</f>
        <v/>
      </c>
      <c r="M3698" s="381" t="str">
        <f>IF(A3698="","",VLOOKUP(A3698,VII.A!$A$10:$B$199,2,FALSE))</f>
        <v/>
      </c>
      <c r="N3698" s="342" t="str">
        <f t="shared" si="956"/>
        <v/>
      </c>
      <c r="R3698" s="341"/>
      <c r="S3698" s="341"/>
    </row>
    <row r="3699" spans="1:25" ht="12.75" customHeight="1">
      <c r="A3699" s="393"/>
      <c r="C3699" s="20"/>
      <c r="E3699" s="387"/>
      <c r="F3699" s="388">
        <f t="shared" si="953"/>
        <v>0</v>
      </c>
      <c r="H3699" s="341" t="str">
        <f>IF(A3699="","",VLOOKUP(A3699,VII.A!$A$10:$D$199,4,FALSE))</f>
        <v/>
      </c>
      <c r="I3699" s="341" t="str">
        <f t="shared" si="954"/>
        <v/>
      </c>
      <c r="J3699" s="341" t="str">
        <f>IF(A3699="","",VLOOKUP(A3699,VII.A!$A$10:$D$199,3,FALSE))</f>
        <v/>
      </c>
      <c r="K3699" s="342" t="str">
        <f t="shared" si="955"/>
        <v/>
      </c>
      <c r="L3699" s="380" t="str">
        <f>IF(C3699="","",G3659*C3699)</f>
        <v/>
      </c>
      <c r="M3699" s="381" t="str">
        <f>IF(A3699="","",VLOOKUP(A3699,VII.A!$A$10:$B$199,2,FALSE))</f>
        <v/>
      </c>
      <c r="N3699" s="342" t="str">
        <f t="shared" si="956"/>
        <v/>
      </c>
      <c r="R3699" s="341"/>
      <c r="S3699" s="341"/>
    </row>
    <row r="3700" spans="1:25" ht="12.75" customHeight="1">
      <c r="A3700" s="393"/>
      <c r="C3700" s="20"/>
      <c r="E3700" s="387"/>
      <c r="F3700" s="388">
        <f t="shared" si="953"/>
        <v>0</v>
      </c>
      <c r="H3700" s="341" t="str">
        <f>IF(A3700="","",VLOOKUP(A3700,VII.A!$A$10:$D$199,4,FALSE))</f>
        <v/>
      </c>
      <c r="I3700" s="341" t="str">
        <f t="shared" si="954"/>
        <v/>
      </c>
      <c r="J3700" s="341" t="str">
        <f>IF(A3700="","",VLOOKUP(A3700,VII.A!$A$10:$D$199,3,FALSE))</f>
        <v/>
      </c>
      <c r="K3700" s="342" t="str">
        <f t="shared" si="955"/>
        <v/>
      </c>
      <c r="L3700" s="380" t="str">
        <f>IF(C3700="","",G3659*C3700)</f>
        <v/>
      </c>
      <c r="M3700" s="381" t="str">
        <f>IF(A3700="","",VLOOKUP(A3700,VII.A!$A$10:$B$199,2,FALSE))</f>
        <v/>
      </c>
      <c r="N3700" s="342" t="str">
        <f t="shared" si="956"/>
        <v/>
      </c>
      <c r="R3700" s="341"/>
      <c r="S3700" s="341"/>
    </row>
    <row r="3701" spans="1:25" ht="12.75" customHeight="1">
      <c r="A3701" s="393"/>
      <c r="C3701" s="20"/>
      <c r="E3701" s="387"/>
      <c r="F3701" s="388">
        <f t="shared" si="953"/>
        <v>0</v>
      </c>
      <c r="H3701" s="341" t="str">
        <f>IF(A3701="","",VLOOKUP(A3701,VII.A!$A$10:$D$199,4,FALSE))</f>
        <v/>
      </c>
      <c r="I3701" s="341" t="str">
        <f t="shared" si="954"/>
        <v/>
      </c>
      <c r="J3701" s="341" t="str">
        <f>IF(A3701="","",VLOOKUP(A3701,VII.A!$A$10:$D$199,3,FALSE))</f>
        <v/>
      </c>
      <c r="K3701" s="342" t="str">
        <f t="shared" si="955"/>
        <v/>
      </c>
      <c r="L3701" s="380" t="str">
        <f>IF(C3701="","",G3659*C3701)</f>
        <v/>
      </c>
      <c r="M3701" s="381" t="str">
        <f>IF(A3701="","",VLOOKUP(A3701,VII.A!$A$10:$B$199,2,FALSE))</f>
        <v/>
      </c>
      <c r="N3701" s="342" t="str">
        <f t="shared" si="956"/>
        <v/>
      </c>
      <c r="R3701" s="341"/>
      <c r="S3701" s="341"/>
    </row>
    <row r="3702" spans="1:25" ht="12.75" customHeight="1">
      <c r="A3702" s="393"/>
      <c r="B3702" s="395" t="s">
        <v>226</v>
      </c>
      <c r="C3702" s="396"/>
      <c r="D3702" s="397"/>
      <c r="E3702" s="398"/>
      <c r="F3702" s="399">
        <f>SUM(F3695:F3701)</f>
        <v>0</v>
      </c>
      <c r="J3702" s="341"/>
      <c r="L3702" s="380"/>
      <c r="M3702" s="381"/>
      <c r="N3702" s="342"/>
      <c r="R3702" s="341"/>
      <c r="S3702" s="341"/>
    </row>
    <row r="3703" spans="1:25" ht="12.75" customHeight="1">
      <c r="A3703" s="393"/>
      <c r="B3703" s="400" t="s">
        <v>229</v>
      </c>
      <c r="C3703" s="2">
        <f>IX.A!$C$45</f>
        <v>0</v>
      </c>
      <c r="D3703" s="401"/>
      <c r="E3703" s="402"/>
      <c r="F3703" s="403">
        <f>ROUND(F3702*C3703,2)</f>
        <v>0</v>
      </c>
      <c r="J3703" s="341"/>
      <c r="L3703" s="380"/>
      <c r="M3703" s="381"/>
      <c r="N3703" s="342"/>
      <c r="R3703" s="341"/>
      <c r="S3703" s="341"/>
    </row>
    <row r="3704" spans="1:25" ht="12.75" customHeight="1">
      <c r="A3704" s="393"/>
      <c r="B3704" s="400" t="s">
        <v>53</v>
      </c>
      <c r="C3704" s="2">
        <f>$D$8</f>
        <v>0</v>
      </c>
      <c r="D3704" s="401"/>
      <c r="E3704" s="402"/>
      <c r="F3704" s="403">
        <f>ROUND(SUM(F3702:F3703)*C3704,2)</f>
        <v>0</v>
      </c>
      <c r="J3704" s="341"/>
      <c r="L3704" s="380"/>
      <c r="M3704" s="381"/>
      <c r="N3704" s="342"/>
      <c r="R3704" s="341"/>
      <c r="S3704" s="341"/>
    </row>
    <row r="3705" spans="1:25" ht="12.75" customHeight="1" thickBot="1">
      <c r="A3705" s="414"/>
      <c r="B3705" s="415" t="s">
        <v>230</v>
      </c>
      <c r="C3705" s="416"/>
      <c r="D3705" s="416"/>
      <c r="E3705" s="417"/>
      <c r="F3705" s="418">
        <f>SUM(F3702:F3704)</f>
        <v>0</v>
      </c>
      <c r="J3705" s="341"/>
      <c r="L3705" s="380"/>
      <c r="M3705" s="381"/>
      <c r="N3705" s="342"/>
      <c r="R3705" s="341"/>
      <c r="S3705" s="341"/>
    </row>
    <row r="3706" spans="1:25" ht="12.75" customHeight="1" thickBot="1">
      <c r="A3706" s="357"/>
      <c r="B3706" s="358"/>
      <c r="C3706" s="359"/>
      <c r="D3706" s="359"/>
      <c r="E3706" s="360"/>
      <c r="F3706" s="419"/>
      <c r="J3706" s="341"/>
      <c r="L3706" s="380"/>
      <c r="M3706" s="381"/>
      <c r="N3706" s="342"/>
      <c r="R3706" s="341"/>
      <c r="S3706" s="341"/>
    </row>
    <row r="3707" spans="1:25" ht="30" customHeight="1">
      <c r="A3707" s="370" t="str">
        <f>IV.A!A116</f>
        <v>4.3</v>
      </c>
      <c r="B3707" s="371" t="str">
        <f>IV.A!B116</f>
        <v xml:space="preserve">CAIXA SIFONADA DE PVC RÍGIDO, ALTURA DE 50MM, COM GRELHA REDONDA DE PVC BRANCO, NAS DIMENSÕES DN = 150MM </v>
      </c>
      <c r="C3707" s="871" t="s">
        <v>237</v>
      </c>
      <c r="D3707" s="872"/>
      <c r="E3707" s="372" t="str">
        <f>IV.A!C116</f>
        <v>UN</v>
      </c>
      <c r="F3707" s="11">
        <f>ROUND(F3727+F3741+F3753,2)</f>
        <v>0</v>
      </c>
      <c r="G3707" s="1">
        <f>VLOOKUP(A3707,IV.A!$A$16:$L$172,4,FALSE)</f>
        <v>2</v>
      </c>
      <c r="H3707" s="361">
        <f>SUM(F3709:F3724)+F3726</f>
        <v>0</v>
      </c>
      <c r="I3707" s="361">
        <f>SUM(F3729:F3738)+F3740</f>
        <v>0</v>
      </c>
      <c r="J3707" s="361">
        <f>SUM(F3743:F3749)+F3751+F3752</f>
        <v>0</v>
      </c>
      <c r="K3707" s="361">
        <f>SUM(H3707:J3707)</f>
        <v>0</v>
      </c>
      <c r="L3707" s="362" t="str">
        <f>IF(K3707=F3707,"SIM","NÃO")</f>
        <v>SIM</v>
      </c>
      <c r="M3707" s="373">
        <f>ROUND(SUM(F3709:F3724),2)+ROUND(SUM(F3709:F3724)*C3726,2)+ROUND(SUM(F3729:F3738)*C3740,2)+ROUND(SUM(F3729:F3738),2)+ROUND(SUM(F3743:F3749)*C3751,2)+ROUND((SUM(F3743:F3749)+ROUND(SUM(F3743:F3749)*C3751,2))*C3752,2)+ROUND(SUM(F3743:F3749),2)</f>
        <v>0</v>
      </c>
      <c r="N3707" s="343" t="str">
        <f>IF(M3707=F3707,"SIM","NÃO")</f>
        <v>SIM</v>
      </c>
      <c r="O3707" s="364" t="str">
        <f>VLOOKUP(A3707,IV.A!$A$16:$E$172,3,FALSE)</f>
        <v>UN</v>
      </c>
      <c r="P3707" s="344" t="str">
        <f>IF(O3707=E3707,"SIM","NÃO")</f>
        <v>SIM</v>
      </c>
      <c r="Q3707" s="365">
        <f>ROUND(G3707*F3727,2)+ROUND(G3707*F3741,2)+ROUND(G3707*F3753,2)</f>
        <v>0</v>
      </c>
      <c r="R3707" s="364">
        <f>VLOOKUP(A3707,IV.A!$A$16:$L$172,12,FALSE)</f>
        <v>0</v>
      </c>
      <c r="S3707" s="366" t="str">
        <f>IF(Q3707=R3707,"si","no")</f>
        <v>si</v>
      </c>
      <c r="T3707" s="367">
        <f>SUM(L3709:L3724)+SUM(L3729:L3738)+SUM(L3743:L3749)</f>
        <v>3.7085999999999997</v>
      </c>
      <c r="U3707" s="341">
        <f>(SUM(C3709:C3724)+SUM(C3729:C3738)+SUM(C3743:C3749))*G3707</f>
        <v>3.7085999999999997</v>
      </c>
      <c r="V3707" s="368" t="str">
        <f>IF(T3707=U3707,"si","no")</f>
        <v>si</v>
      </c>
      <c r="W3707" s="369">
        <f>SUM(F3709:F3724)</f>
        <v>0</v>
      </c>
      <c r="X3707" s="369">
        <f>SUM(F3729:F3738)</f>
        <v>0</v>
      </c>
      <c r="Y3707" s="369">
        <f>SUM(F3743:F3749)</f>
        <v>0</v>
      </c>
    </row>
    <row r="3708" spans="1:25" ht="12.75" customHeight="1">
      <c r="A3708" s="374" t="s">
        <v>14</v>
      </c>
      <c r="B3708" s="375" t="s">
        <v>132</v>
      </c>
      <c r="C3708" s="376" t="s">
        <v>231</v>
      </c>
      <c r="D3708" s="376" t="s">
        <v>232</v>
      </c>
      <c r="E3708" s="377" t="s">
        <v>233</v>
      </c>
      <c r="F3708" s="378" t="s">
        <v>234</v>
      </c>
      <c r="G3708" s="379"/>
      <c r="J3708" s="341"/>
      <c r="L3708" s="380"/>
      <c r="M3708" s="381"/>
      <c r="N3708" s="342"/>
      <c r="O3708" s="382"/>
      <c r="P3708" s="383"/>
      <c r="Q3708" s="383"/>
      <c r="R3708" s="383"/>
      <c r="S3708" s="383"/>
      <c r="T3708" s="382"/>
      <c r="U3708" s="341"/>
      <c r="V3708" s="384"/>
      <c r="W3708" s="384"/>
      <c r="X3708" s="384"/>
      <c r="Y3708" s="384"/>
    </row>
    <row r="3709" spans="1:25" ht="12.75" customHeight="1">
      <c r="A3709" s="385" t="str">
        <f>VII.A!$A$11</f>
        <v>1.2</v>
      </c>
      <c r="B3709" s="386" t="str">
        <f>VII.A!B11</f>
        <v>ADESIVO PARA TUBO EM PVC - FRASCO 850 GR.</v>
      </c>
      <c r="C3709" s="20">
        <v>1.4800000000000001E-2</v>
      </c>
      <c r="D3709" s="342" t="str">
        <f>VII.A!C11</f>
        <v>UN</v>
      </c>
      <c r="E3709" s="387">
        <f>VII.A!D11</f>
        <v>0</v>
      </c>
      <c r="F3709" s="388">
        <f>ROUND(C3709*E3709,2)</f>
        <v>0</v>
      </c>
      <c r="H3709" s="341">
        <f>IF(A3709="","",VLOOKUP(A3709,VII.A!$A$10:$D$199,4,FALSE))</f>
        <v>0</v>
      </c>
      <c r="I3709" s="341" t="str">
        <f>IF(A3709="","",IF(E3709=H3709,"SIM","NÃO"))</f>
        <v>SIM</v>
      </c>
      <c r="J3709" s="341" t="str">
        <f>IF(A3709="","",VLOOKUP(A3709,VII.A!$A$10:$D$199,3,FALSE))</f>
        <v>UN</v>
      </c>
      <c r="K3709" s="342" t="str">
        <f>IF(A3709="","",IF(J3709=D3709,"SIM","NÃO"))</f>
        <v>SIM</v>
      </c>
      <c r="L3709" s="380">
        <f>IF(C3709="","",G3707*C3709)</f>
        <v>2.9600000000000001E-2</v>
      </c>
      <c r="M3709" s="381" t="str">
        <f>IF(A3709="","",VLOOKUP(A3709,VII.A!$A$10:$B$199,2,FALSE))</f>
        <v>ADESIVO PARA TUBO EM PVC - FRASCO 850 GR.</v>
      </c>
      <c r="N3709" s="342" t="str">
        <f>IF(B3709="","",IF(M3709=B3709,"si","no"))</f>
        <v>si</v>
      </c>
      <c r="R3709" s="341"/>
      <c r="S3709" s="341"/>
    </row>
    <row r="3710" spans="1:25" ht="12.75" customHeight="1">
      <c r="A3710" s="385" t="str">
        <f>VII.A!$A$28</f>
        <v>1.19</v>
      </c>
      <c r="B3710" s="386" t="str">
        <f>VII.A!B28</f>
        <v>CAIXA SIFONADA PVC, 150 X 150 X 50 MM, COM GRELHA REDONDA BRANCA</v>
      </c>
      <c r="C3710" s="20">
        <v>1</v>
      </c>
      <c r="D3710" s="342" t="str">
        <f>VII.A!C28</f>
        <v>UN</v>
      </c>
      <c r="E3710" s="387">
        <f>VII.A!D28</f>
        <v>0</v>
      </c>
      <c r="F3710" s="388">
        <f>ROUND(C3710*E3710,2)</f>
        <v>0</v>
      </c>
      <c r="H3710" s="341">
        <f>IF(A3710="","",VLOOKUP(A3710,VII.A!$A$10:$D$199,4,FALSE))</f>
        <v>0</v>
      </c>
      <c r="I3710" s="341" t="str">
        <f>IF(A3710="","",IF(E3710=H3710,"SIM","NÃO"))</f>
        <v>SIM</v>
      </c>
      <c r="J3710" s="341" t="str">
        <f>IF(A3710="","",VLOOKUP(A3710,VII.A!$A$10:$D$199,3,FALSE))</f>
        <v>UN</v>
      </c>
      <c r="K3710" s="342" t="str">
        <f>IF(A3710="","",IF(J3710=D3710,"SIM","NÃO"))</f>
        <v>SIM</v>
      </c>
      <c r="L3710" s="380">
        <f>IF(C3710="","",G3707*C3710)</f>
        <v>2</v>
      </c>
      <c r="M3710" s="381" t="str">
        <f>IF(A3710="","",VLOOKUP(A3710,VII.A!$A$10:$B$199,2,FALSE))</f>
        <v>CAIXA SIFONADA PVC, 150 X 150 X 50 MM, COM GRELHA REDONDA BRANCA</v>
      </c>
      <c r="N3710" s="342" t="str">
        <f>IF(B3710="","",IF(M3710=B3710,"si","no"))</f>
        <v>si</v>
      </c>
      <c r="R3710" s="341"/>
      <c r="S3710" s="341"/>
    </row>
    <row r="3711" spans="1:25" ht="12.75" customHeight="1">
      <c r="A3711" s="385" t="str">
        <f>VII.A!$A$67</f>
        <v>1.58</v>
      </c>
      <c r="B3711" s="386" t="str">
        <f>VII.A!B67</f>
        <v>LIXA D'AGUA EM FOLHA, GRAO 100</v>
      </c>
      <c r="C3711" s="20">
        <v>5.7000000000000002E-2</v>
      </c>
      <c r="D3711" s="342" t="str">
        <f>VII.A!C67</f>
        <v>UN</v>
      </c>
      <c r="E3711" s="387">
        <f>VII.A!D67</f>
        <v>0</v>
      </c>
      <c r="F3711" s="388">
        <f t="shared" ref="F3711:F3724" si="957">ROUND(C3711*E3711,2)</f>
        <v>0</v>
      </c>
      <c r="H3711" s="341">
        <f>IF(A3711="","",VLOOKUP(A3711,VII.A!$A$10:$D$199,4,FALSE))</f>
        <v>0</v>
      </c>
      <c r="I3711" s="341" t="str">
        <f t="shared" ref="I3711:I3724" si="958">IF(A3711="","",IF(E3711=H3711,"SIM","NÃO"))</f>
        <v>SIM</v>
      </c>
      <c r="J3711" s="341" t="str">
        <f>IF(A3711="","",VLOOKUP(A3711,VII.A!$A$10:$D$199,3,FALSE))</f>
        <v>UN</v>
      </c>
      <c r="K3711" s="342" t="str">
        <f t="shared" ref="K3711:K3724" si="959">IF(A3711="","",IF(J3711=D3711,"SIM","NÃO"))</f>
        <v>SIM</v>
      </c>
      <c r="L3711" s="380">
        <f>IF(C3711="","",G3707*C3711)</f>
        <v>0.114</v>
      </c>
      <c r="M3711" s="381" t="str">
        <f>IF(A3711="","",VLOOKUP(A3711,VII.A!$A$10:$B$199,2,FALSE))</f>
        <v>LIXA D'AGUA EM FOLHA, GRAO 100</v>
      </c>
      <c r="N3711" s="342" t="str">
        <f t="shared" ref="N3711:N3724" si="960">IF(B3711="","",IF(M3711=B3711,"si","no"))</f>
        <v>si</v>
      </c>
      <c r="R3711" s="341"/>
      <c r="S3711" s="341"/>
    </row>
    <row r="3712" spans="1:25" ht="12.75" customHeight="1">
      <c r="A3712" s="385" t="str">
        <f>VII.A!$A$100</f>
        <v>1.90</v>
      </c>
      <c r="B3712" s="386" t="str">
        <f>VII.A!B100</f>
        <v>SOLUCAO LIMPADORA PARA PVC, FRASCO COM 1000 CM3</v>
      </c>
      <c r="C3712" s="20">
        <v>2.2499999999999999E-2</v>
      </c>
      <c r="D3712" s="342" t="str">
        <f>VII.A!C100</f>
        <v xml:space="preserve">UN </v>
      </c>
      <c r="E3712" s="387">
        <f>VII.A!D100</f>
        <v>0</v>
      </c>
      <c r="F3712" s="388">
        <f t="shared" si="957"/>
        <v>0</v>
      </c>
      <c r="H3712" s="341">
        <f>IF(A3712="","",VLOOKUP(A3712,VII.A!$A$10:$D$199,4,FALSE))</f>
        <v>0</v>
      </c>
      <c r="I3712" s="341" t="str">
        <f t="shared" si="958"/>
        <v>SIM</v>
      </c>
      <c r="J3712" s="341" t="str">
        <f>IF(A3712="","",VLOOKUP(A3712,VII.A!$A$10:$D$199,3,FALSE))</f>
        <v xml:space="preserve">UN </v>
      </c>
      <c r="K3712" s="342" t="str">
        <f t="shared" si="959"/>
        <v>SIM</v>
      </c>
      <c r="L3712" s="380">
        <f>IF(C3712="","",G3707*C3712)</f>
        <v>4.4999999999999998E-2</v>
      </c>
      <c r="M3712" s="381" t="str">
        <f>IF(A3712="","",VLOOKUP(A3712,VII.A!$A$10:$B$199,2,FALSE))</f>
        <v>SOLUCAO LIMPADORA PARA PVC, FRASCO COM 1000 CM3</v>
      </c>
      <c r="N3712" s="342" t="str">
        <f t="shared" si="960"/>
        <v>si</v>
      </c>
      <c r="R3712" s="341"/>
      <c r="S3712" s="341"/>
    </row>
    <row r="3713" spans="1:21" ht="12.75" customHeight="1">
      <c r="A3713" s="385"/>
      <c r="B3713" s="386"/>
      <c r="C3713" s="20"/>
      <c r="D3713" s="342"/>
      <c r="E3713" s="387"/>
      <c r="F3713" s="388">
        <f t="shared" si="957"/>
        <v>0</v>
      </c>
      <c r="H3713" s="341" t="str">
        <f>IF(A3713="","",VLOOKUP(A3713,VII.A!$A$10:$D$199,4,FALSE))</f>
        <v/>
      </c>
      <c r="I3713" s="341" t="str">
        <f t="shared" si="958"/>
        <v/>
      </c>
      <c r="J3713" s="341" t="str">
        <f>IF(A3713="","",VLOOKUP(A3713,VII.A!$A$10:$D$199,3,FALSE))</f>
        <v/>
      </c>
      <c r="K3713" s="342" t="str">
        <f t="shared" si="959"/>
        <v/>
      </c>
      <c r="L3713" s="380" t="str">
        <f>IF(C3713="","",G3707*C3713)</f>
        <v/>
      </c>
      <c r="M3713" s="381" t="str">
        <f>IF(A3713="","",VLOOKUP(A3713,VII.A!$A$10:$B$199,2,FALSE))</f>
        <v/>
      </c>
      <c r="N3713" s="342" t="str">
        <f t="shared" si="960"/>
        <v/>
      </c>
      <c r="R3713" s="341"/>
      <c r="S3713" s="341"/>
    </row>
    <row r="3714" spans="1:21" ht="12.75" customHeight="1">
      <c r="A3714" s="385"/>
      <c r="B3714" s="386"/>
      <c r="C3714" s="20"/>
      <c r="D3714" s="342"/>
      <c r="E3714" s="387"/>
      <c r="F3714" s="388">
        <f t="shared" si="957"/>
        <v>0</v>
      </c>
      <c r="H3714" s="341" t="str">
        <f>IF(A3714="","",VLOOKUP(A3714,VII.A!$A$10:$D$199,4,FALSE))</f>
        <v/>
      </c>
      <c r="I3714" s="341" t="str">
        <f t="shared" si="958"/>
        <v/>
      </c>
      <c r="J3714" s="341" t="str">
        <f>IF(A3714="","",VLOOKUP(A3714,VII.A!$A$10:$D$199,3,FALSE))</f>
        <v/>
      </c>
      <c r="K3714" s="342" t="str">
        <f t="shared" si="959"/>
        <v/>
      </c>
      <c r="L3714" s="380" t="str">
        <f>IF(C3714="","",G3707*C3714)</f>
        <v/>
      </c>
      <c r="M3714" s="381" t="str">
        <f>IF(A3714="","",VLOOKUP(A3714,VII.A!$A$10:$B$199,2,FALSE))</f>
        <v/>
      </c>
      <c r="N3714" s="342" t="str">
        <f t="shared" si="960"/>
        <v/>
      </c>
      <c r="R3714" s="341"/>
      <c r="S3714" s="341"/>
    </row>
    <row r="3715" spans="1:21" ht="12.75" customHeight="1">
      <c r="A3715" s="385"/>
      <c r="B3715" s="386"/>
      <c r="C3715" s="20"/>
      <c r="D3715" s="342"/>
      <c r="E3715" s="387"/>
      <c r="F3715" s="388">
        <f t="shared" si="957"/>
        <v>0</v>
      </c>
      <c r="H3715" s="341" t="str">
        <f>IF(A3715="","",VLOOKUP(A3715,VII.A!$A$10:$D$199,4,FALSE))</f>
        <v/>
      </c>
      <c r="I3715" s="341" t="str">
        <f t="shared" si="958"/>
        <v/>
      </c>
      <c r="J3715" s="341" t="str">
        <f>IF(A3715="","",VLOOKUP(A3715,VII.A!$A$10:$D$199,3,FALSE))</f>
        <v/>
      </c>
      <c r="K3715" s="342" t="str">
        <f t="shared" si="959"/>
        <v/>
      </c>
      <c r="L3715" s="380" t="str">
        <f>IF(C3715="","",G3707*C3715)</f>
        <v/>
      </c>
      <c r="M3715" s="381" t="str">
        <f>IF(A3715="","",VLOOKUP(A3715,VII.A!$A$10:$B$199,2,FALSE))</f>
        <v/>
      </c>
      <c r="N3715" s="342" t="str">
        <f t="shared" si="960"/>
        <v/>
      </c>
      <c r="R3715" s="341"/>
      <c r="S3715" s="341"/>
      <c r="U3715" s="389"/>
    </row>
    <row r="3716" spans="1:21" ht="12.75" customHeight="1">
      <c r="A3716" s="385"/>
      <c r="B3716" s="386"/>
      <c r="C3716" s="20"/>
      <c r="D3716" s="342"/>
      <c r="E3716" s="387"/>
      <c r="F3716" s="388">
        <f t="shared" si="957"/>
        <v>0</v>
      </c>
      <c r="H3716" s="341" t="str">
        <f>IF(A3716="","",VLOOKUP(A3716,VII.A!$A$10:$D$199,4,FALSE))</f>
        <v/>
      </c>
      <c r="I3716" s="341" t="str">
        <f t="shared" si="958"/>
        <v/>
      </c>
      <c r="J3716" s="341" t="str">
        <f>IF(A3716="","",VLOOKUP(A3716,VII.A!$A$10:$D$199,3,FALSE))</f>
        <v/>
      </c>
      <c r="K3716" s="342" t="str">
        <f t="shared" si="959"/>
        <v/>
      </c>
      <c r="L3716" s="380" t="str">
        <f>IF(C3716="","",G3707*C3716)</f>
        <v/>
      </c>
      <c r="M3716" s="381" t="str">
        <f>IF(A3716="","",VLOOKUP(A3716,VII.A!$A$10:$B$199,2,FALSE))</f>
        <v/>
      </c>
      <c r="N3716" s="342" t="str">
        <f t="shared" si="960"/>
        <v/>
      </c>
      <c r="R3716" s="341"/>
      <c r="S3716" s="341"/>
    </row>
    <row r="3717" spans="1:21" ht="12.75" customHeight="1">
      <c r="A3717" s="385"/>
      <c r="B3717" s="386"/>
      <c r="C3717" s="20"/>
      <c r="D3717" s="342"/>
      <c r="E3717" s="387"/>
      <c r="F3717" s="388">
        <f t="shared" si="957"/>
        <v>0</v>
      </c>
      <c r="G3717" s="390"/>
      <c r="H3717" s="341" t="str">
        <f>IF(A3717="","",VLOOKUP(A3717,VII.A!$A$10:$D$199,4,FALSE))</f>
        <v/>
      </c>
      <c r="I3717" s="341" t="str">
        <f t="shared" si="958"/>
        <v/>
      </c>
      <c r="J3717" s="341" t="str">
        <f>IF(A3717="","",VLOOKUP(A3717,VII.A!$A$10:$D$199,3,FALSE))</f>
        <v/>
      </c>
      <c r="K3717" s="342" t="str">
        <f t="shared" si="959"/>
        <v/>
      </c>
      <c r="L3717" s="380" t="str">
        <f>IF(C3717="","",G3707*C3717)</f>
        <v/>
      </c>
      <c r="M3717" s="381" t="str">
        <f>IF(A3717="","",VLOOKUP(A3717,VII.A!$A$10:$B$199,2,FALSE))</f>
        <v/>
      </c>
      <c r="N3717" s="342" t="str">
        <f t="shared" si="960"/>
        <v/>
      </c>
      <c r="R3717" s="341"/>
      <c r="S3717" s="341"/>
    </row>
    <row r="3718" spans="1:21" ht="12.75" customHeight="1">
      <c r="A3718" s="385"/>
      <c r="B3718" s="386"/>
      <c r="C3718" s="20"/>
      <c r="D3718" s="342"/>
      <c r="E3718" s="387"/>
      <c r="F3718" s="388">
        <f t="shared" si="957"/>
        <v>0</v>
      </c>
      <c r="G3718" s="391"/>
      <c r="H3718" s="341" t="str">
        <f>IF(A3718="","",VLOOKUP(A3718,VII.A!$A$10:$D$199,4,FALSE))</f>
        <v/>
      </c>
      <c r="I3718" s="341" t="str">
        <f t="shared" si="958"/>
        <v/>
      </c>
      <c r="J3718" s="341" t="str">
        <f>IF(A3718="","",VLOOKUP(A3718,VII.A!$A$10:$D$199,3,FALSE))</f>
        <v/>
      </c>
      <c r="K3718" s="342" t="str">
        <f t="shared" si="959"/>
        <v/>
      </c>
      <c r="L3718" s="380" t="str">
        <f>IF(C3718="","",G3707*C3718)</f>
        <v/>
      </c>
      <c r="M3718" s="381" t="str">
        <f>IF(A3718="","",VLOOKUP(A3718,VII.A!$A$10:$B$199,2,FALSE))</f>
        <v/>
      </c>
      <c r="N3718" s="342" t="str">
        <f t="shared" si="960"/>
        <v/>
      </c>
      <c r="R3718" s="341"/>
      <c r="S3718" s="341"/>
    </row>
    <row r="3719" spans="1:21" ht="12.75" customHeight="1">
      <c r="A3719" s="385"/>
      <c r="B3719" s="386"/>
      <c r="C3719" s="20"/>
      <c r="D3719" s="342"/>
      <c r="E3719" s="387"/>
      <c r="F3719" s="388">
        <f t="shared" si="957"/>
        <v>0</v>
      </c>
      <c r="H3719" s="341" t="str">
        <f>IF(A3719="","",VLOOKUP(A3719,VII.A!$A$10:$D$199,4,FALSE))</f>
        <v/>
      </c>
      <c r="I3719" s="341" t="str">
        <f t="shared" si="958"/>
        <v/>
      </c>
      <c r="J3719" s="341" t="str">
        <f>IF(A3719="","",VLOOKUP(A3719,VII.A!$A$10:$D$199,3,FALSE))</f>
        <v/>
      </c>
      <c r="K3719" s="342" t="str">
        <f t="shared" si="959"/>
        <v/>
      </c>
      <c r="L3719" s="380" t="str">
        <f>IF(C3719="","",G3707*C3719)</f>
        <v/>
      </c>
      <c r="M3719" s="381" t="str">
        <f>IF(A3719="","",VLOOKUP(A3719,VII.A!$A$10:$B$199,2,FALSE))</f>
        <v/>
      </c>
      <c r="N3719" s="342" t="str">
        <f t="shared" si="960"/>
        <v/>
      </c>
      <c r="R3719" s="341"/>
      <c r="S3719" s="341"/>
    </row>
    <row r="3720" spans="1:21" ht="12.75" customHeight="1">
      <c r="A3720" s="385"/>
      <c r="B3720" s="386"/>
      <c r="C3720" s="20"/>
      <c r="D3720" s="392"/>
      <c r="E3720" s="387"/>
      <c r="F3720" s="388">
        <f t="shared" si="957"/>
        <v>0</v>
      </c>
      <c r="H3720" s="341" t="str">
        <f>IF(A3720="","",VLOOKUP(A3720,VII.A!$A$10:$D$199,4,FALSE))</f>
        <v/>
      </c>
      <c r="I3720" s="341" t="str">
        <f t="shared" si="958"/>
        <v/>
      </c>
      <c r="J3720" s="341" t="str">
        <f>IF(A3720="","",VLOOKUP(A3720,VII.A!$A$10:$D$199,3,FALSE))</f>
        <v/>
      </c>
      <c r="K3720" s="342" t="str">
        <f t="shared" si="959"/>
        <v/>
      </c>
      <c r="L3720" s="380" t="str">
        <f>IF(C3720="","",G3707*C3720)</f>
        <v/>
      </c>
      <c r="M3720" s="381" t="str">
        <f>IF(A3720="","",VLOOKUP(A3720,VII.A!$A$10:$B$199,2,FALSE))</f>
        <v/>
      </c>
      <c r="N3720" s="342" t="str">
        <f t="shared" si="960"/>
        <v/>
      </c>
      <c r="R3720" s="341"/>
      <c r="S3720" s="341"/>
    </row>
    <row r="3721" spans="1:21" ht="12.75" customHeight="1">
      <c r="A3721" s="385"/>
      <c r="B3721" s="386"/>
      <c r="C3721" s="20"/>
      <c r="D3721" s="392"/>
      <c r="E3721" s="387"/>
      <c r="F3721" s="388">
        <f t="shared" si="957"/>
        <v>0</v>
      </c>
      <c r="H3721" s="341" t="str">
        <f>IF(A3721="","",VLOOKUP(A3721,VII.A!$A$10:$D$199,4,FALSE))</f>
        <v/>
      </c>
      <c r="I3721" s="341" t="str">
        <f t="shared" si="958"/>
        <v/>
      </c>
      <c r="J3721" s="341" t="str">
        <f>IF(A3721="","",VLOOKUP(A3721,VII.A!$A$10:$D$199,3,FALSE))</f>
        <v/>
      </c>
      <c r="K3721" s="342" t="str">
        <f t="shared" si="959"/>
        <v/>
      </c>
      <c r="L3721" s="380" t="str">
        <f>IF(C3721="","",G3707*C3721)</f>
        <v/>
      </c>
      <c r="M3721" s="381" t="str">
        <f>IF(A3721="","",VLOOKUP(A3721,VII.A!$A$10:$B$199,2,FALSE))</f>
        <v/>
      </c>
      <c r="N3721" s="342" t="str">
        <f t="shared" si="960"/>
        <v/>
      </c>
      <c r="O3721" s="342"/>
      <c r="R3721" s="341"/>
      <c r="S3721" s="341"/>
    </row>
    <row r="3722" spans="1:21" ht="12.75" customHeight="1">
      <c r="A3722" s="385"/>
      <c r="B3722" s="386"/>
      <c r="C3722" s="20"/>
      <c r="D3722" s="392"/>
      <c r="E3722" s="387"/>
      <c r="F3722" s="388">
        <f t="shared" si="957"/>
        <v>0</v>
      </c>
      <c r="H3722" s="341" t="str">
        <f>IF(A3722="","",VLOOKUP(A3722,VII.A!$A$10:$D$199,4,FALSE))</f>
        <v/>
      </c>
      <c r="I3722" s="341" t="str">
        <f t="shared" si="958"/>
        <v/>
      </c>
      <c r="J3722" s="341" t="str">
        <f>IF(A3722="","",VLOOKUP(A3722,VII.A!$A$10:$D$199,3,FALSE))</f>
        <v/>
      </c>
      <c r="K3722" s="342" t="str">
        <f t="shared" si="959"/>
        <v/>
      </c>
      <c r="L3722" s="380" t="str">
        <f>IF(C3722="","",G3707*C3722)</f>
        <v/>
      </c>
      <c r="M3722" s="381" t="str">
        <f>IF(A3722="","",VLOOKUP(A3722,VII.A!$A$10:$B$199,2,FALSE))</f>
        <v/>
      </c>
      <c r="N3722" s="342" t="str">
        <f t="shared" si="960"/>
        <v/>
      </c>
      <c r="R3722" s="341"/>
      <c r="S3722" s="341"/>
    </row>
    <row r="3723" spans="1:21" ht="12.75" customHeight="1">
      <c r="A3723" s="393"/>
      <c r="C3723" s="20"/>
      <c r="E3723" s="387"/>
      <c r="F3723" s="388">
        <f t="shared" si="957"/>
        <v>0</v>
      </c>
      <c r="H3723" s="341" t="str">
        <f>IF(A3723="","",VLOOKUP(A3723,VII.A!$A$10:$D$199,4,FALSE))</f>
        <v/>
      </c>
      <c r="I3723" s="341" t="str">
        <f t="shared" si="958"/>
        <v/>
      </c>
      <c r="J3723" s="341" t="str">
        <f>IF(A3723="","",VLOOKUP(A3723,VII.A!$A$10:$D$199,3,FALSE))</f>
        <v/>
      </c>
      <c r="K3723" s="342" t="str">
        <f t="shared" si="959"/>
        <v/>
      </c>
      <c r="L3723" s="380" t="str">
        <f>IF(C3723="","",G3707*C3723)</f>
        <v/>
      </c>
      <c r="M3723" s="381" t="str">
        <f>IF(A3723="","",VLOOKUP(A3723,VII.A!$A$10:$B$199,2,FALSE))</f>
        <v/>
      </c>
      <c r="N3723" s="342" t="str">
        <f t="shared" si="960"/>
        <v/>
      </c>
      <c r="R3723" s="341"/>
      <c r="S3723" s="341"/>
    </row>
    <row r="3724" spans="1:21" ht="12.75" customHeight="1">
      <c r="A3724" s="393"/>
      <c r="C3724" s="20"/>
      <c r="E3724" s="387"/>
      <c r="F3724" s="388">
        <f t="shared" si="957"/>
        <v>0</v>
      </c>
      <c r="H3724" s="341" t="str">
        <f>IF(A3724="","",VLOOKUP(A3724,VII.A!$A$10:$D$199,4,FALSE))</f>
        <v/>
      </c>
      <c r="I3724" s="341" t="str">
        <f t="shared" si="958"/>
        <v/>
      </c>
      <c r="J3724" s="341" t="str">
        <f>IF(A3724="","",VLOOKUP(A3724,VII.A!$A$10:$D$199,3,FALSE))</f>
        <v/>
      </c>
      <c r="K3724" s="342" t="str">
        <f t="shared" si="959"/>
        <v/>
      </c>
      <c r="L3724" s="380" t="str">
        <f>IF(C3724="","",G3707*C3724)</f>
        <v/>
      </c>
      <c r="M3724" s="381" t="str">
        <f>IF(A3724="","",VLOOKUP(A3724,VII.A!$A$10:$B$199,2,FALSE))</f>
        <v/>
      </c>
      <c r="N3724" s="342" t="str">
        <f t="shared" si="960"/>
        <v/>
      </c>
      <c r="R3724" s="341"/>
      <c r="S3724" s="341"/>
    </row>
    <row r="3725" spans="1:21" ht="12.75" customHeight="1">
      <c r="A3725" s="393"/>
      <c r="B3725" s="395" t="s">
        <v>226</v>
      </c>
      <c r="C3725" s="396"/>
      <c r="D3725" s="397"/>
      <c r="E3725" s="398"/>
      <c r="F3725" s="399">
        <f>SUM(F3709:F3724)</f>
        <v>0</v>
      </c>
      <c r="H3725" s="426" t="s">
        <v>488</v>
      </c>
      <c r="J3725" s="341"/>
      <c r="L3725" s="380"/>
      <c r="M3725" s="381"/>
      <c r="N3725" s="342"/>
      <c r="R3725" s="341"/>
      <c r="S3725" s="341"/>
    </row>
    <row r="3726" spans="1:21" ht="12.75" customHeight="1">
      <c r="A3726" s="393"/>
      <c r="B3726" s="400" t="s">
        <v>53</v>
      </c>
      <c r="C3726" s="2">
        <f>$D$8</f>
        <v>0</v>
      </c>
      <c r="D3726" s="401"/>
      <c r="E3726" s="402"/>
      <c r="F3726" s="403">
        <f>ROUND(F3725*C3726,2)</f>
        <v>0</v>
      </c>
      <c r="H3726" s="426"/>
      <c r="J3726" s="341"/>
      <c r="L3726" s="380"/>
      <c r="M3726" s="381"/>
      <c r="N3726" s="342"/>
      <c r="R3726" s="341"/>
      <c r="S3726" s="341"/>
    </row>
    <row r="3727" spans="1:21" ht="12.75" customHeight="1">
      <c r="A3727" s="404"/>
      <c r="B3727" s="405" t="s">
        <v>227</v>
      </c>
      <c r="C3727" s="406"/>
      <c r="D3727" s="406"/>
      <c r="E3727" s="407"/>
      <c r="F3727" s="408">
        <f>F3725+F3726</f>
        <v>0</v>
      </c>
      <c r="J3727" s="341"/>
      <c r="L3727" s="380"/>
      <c r="M3727" s="381"/>
      <c r="N3727" s="342"/>
      <c r="R3727" s="341"/>
      <c r="S3727" s="341"/>
    </row>
    <row r="3728" spans="1:21" ht="12.75" customHeight="1">
      <c r="A3728" s="374" t="s">
        <v>2</v>
      </c>
      <c r="B3728" s="375" t="s">
        <v>235</v>
      </c>
      <c r="C3728" s="376" t="s">
        <v>231</v>
      </c>
      <c r="D3728" s="376" t="s">
        <v>232</v>
      </c>
      <c r="E3728" s="377" t="s">
        <v>233</v>
      </c>
      <c r="F3728" s="378" t="s">
        <v>234</v>
      </c>
      <c r="J3728" s="341"/>
      <c r="L3728" s="380"/>
      <c r="M3728" s="381"/>
      <c r="N3728" s="342"/>
      <c r="R3728" s="341"/>
      <c r="S3728" s="341"/>
    </row>
    <row r="3729" spans="1:19" ht="12.75" customHeight="1">
      <c r="A3729" s="393"/>
      <c r="B3729" s="423"/>
      <c r="C3729" s="20"/>
      <c r="E3729" s="387"/>
      <c r="F3729" s="388">
        <f t="shared" ref="F3729:F3738" si="961">ROUND(C3729*E3729,2)</f>
        <v>0</v>
      </c>
      <c r="H3729" s="341" t="str">
        <f>IF(A3729="","",VLOOKUP(A3729,VII.A!$A$10:$D$199,4,FALSE))</f>
        <v/>
      </c>
      <c r="I3729" s="341" t="str">
        <f t="shared" ref="I3729:I3738" si="962">IF(A3729="","",IF(E3729=H3729,"SIM","NÃO"))</f>
        <v/>
      </c>
      <c r="J3729" s="341" t="str">
        <f>IF(A3729="","",VLOOKUP(A3729,VII.A!$A$10:$D$199,3,FALSE))</f>
        <v/>
      </c>
      <c r="K3729" s="342" t="str">
        <f t="shared" ref="K3729:K3738" si="963">IF(A3729="","",IF(J3729=D3729,"SIM","NÃO"))</f>
        <v/>
      </c>
      <c r="L3729" s="380" t="str">
        <f>IF(C3729="","",G3707*C3729)</f>
        <v/>
      </c>
      <c r="M3729" s="381" t="str">
        <f>IF(A3729="","",VLOOKUP(A3729,VII.A!$A$10:$B$199,2,FALSE))</f>
        <v/>
      </c>
      <c r="N3729" s="342" t="str">
        <f t="shared" ref="N3729:N3738" si="964">IF(B3729="","",IF(M3729=B3729,"si","no"))</f>
        <v/>
      </c>
      <c r="R3729" s="341"/>
      <c r="S3729" s="341"/>
    </row>
    <row r="3730" spans="1:19" ht="12.75" customHeight="1">
      <c r="A3730" s="393"/>
      <c r="C3730" s="20"/>
      <c r="E3730" s="387"/>
      <c r="F3730" s="388">
        <f t="shared" si="961"/>
        <v>0</v>
      </c>
      <c r="H3730" s="341" t="str">
        <f>IF(A3730="","",VLOOKUP(A3730,VII.A!$A$10:$D$199,4,FALSE))</f>
        <v/>
      </c>
      <c r="I3730" s="341" t="str">
        <f t="shared" si="962"/>
        <v/>
      </c>
      <c r="J3730" s="341" t="str">
        <f>IF(A3730="","",VLOOKUP(A3730,VII.A!$A$10:$D$199,3,FALSE))</f>
        <v/>
      </c>
      <c r="K3730" s="342" t="str">
        <f t="shared" si="963"/>
        <v/>
      </c>
      <c r="L3730" s="380" t="str">
        <f>IF(C3730="","",G3707*C3730)</f>
        <v/>
      </c>
      <c r="M3730" s="381" t="str">
        <f>IF(A3730="","",VLOOKUP(A3730,VII.A!$A$10:$B$199,2,FALSE))</f>
        <v/>
      </c>
      <c r="N3730" s="342" t="str">
        <f t="shared" si="964"/>
        <v/>
      </c>
      <c r="R3730" s="341"/>
      <c r="S3730" s="341"/>
    </row>
    <row r="3731" spans="1:19" ht="12.75" customHeight="1">
      <c r="A3731" s="393"/>
      <c r="C3731" s="20"/>
      <c r="E3731" s="387"/>
      <c r="F3731" s="388">
        <f t="shared" si="961"/>
        <v>0</v>
      </c>
      <c r="H3731" s="341" t="str">
        <f>IF(A3731="","",VLOOKUP(A3731,VII.A!$A$10:$D$199,4,FALSE))</f>
        <v/>
      </c>
      <c r="I3731" s="341" t="str">
        <f t="shared" si="962"/>
        <v/>
      </c>
      <c r="J3731" s="341" t="str">
        <f>IF(A3731="","",VLOOKUP(A3731,VII.A!$A$10:$D$199,3,FALSE))</f>
        <v/>
      </c>
      <c r="K3731" s="342" t="str">
        <f t="shared" si="963"/>
        <v/>
      </c>
      <c r="L3731" s="380" t="str">
        <f>IF(C3731="","",G3707*C3731)</f>
        <v/>
      </c>
      <c r="M3731" s="381" t="str">
        <f>IF(A3731="","",VLOOKUP(A3731,VII.A!$A$10:$B$199,2,FALSE))</f>
        <v/>
      </c>
      <c r="N3731" s="342" t="str">
        <f t="shared" si="964"/>
        <v/>
      </c>
      <c r="R3731" s="341"/>
      <c r="S3731" s="341"/>
    </row>
    <row r="3732" spans="1:19" ht="12.75" customHeight="1">
      <c r="A3732" s="393"/>
      <c r="C3732" s="20"/>
      <c r="E3732" s="387"/>
      <c r="F3732" s="388">
        <f>ROUND(C3732*E3732,2)</f>
        <v>0</v>
      </c>
      <c r="H3732" s="341" t="str">
        <f>IF(A3732="","",VLOOKUP(A3732,VII.A!$A$10:$D$199,4,FALSE))</f>
        <v/>
      </c>
      <c r="I3732" s="341" t="str">
        <f>IF(A3732="","",IF(E3732=H3732,"SIM","NÃO"))</f>
        <v/>
      </c>
      <c r="J3732" s="341" t="str">
        <f>IF(A3732="","",VLOOKUP(A3732,VII.A!$A$10:$D$199,3,FALSE))</f>
        <v/>
      </c>
      <c r="K3732" s="342" t="str">
        <f>IF(A3732="","",IF(J3732=D3732,"SIM","NÃO"))</f>
        <v/>
      </c>
      <c r="L3732" s="380" t="str">
        <f>IF(C3732="","",G3706*C3732)</f>
        <v/>
      </c>
      <c r="M3732" s="381" t="str">
        <f>IF(A3732="","",VLOOKUP(A3732,VII.A!$A$10:$B$199,2,FALSE))</f>
        <v/>
      </c>
      <c r="N3732" s="342" t="str">
        <f>IF(B3732="","",IF(M3732=B3732,"si","no"))</f>
        <v/>
      </c>
      <c r="R3732" s="341"/>
      <c r="S3732" s="341"/>
    </row>
    <row r="3733" spans="1:19" ht="12.75" customHeight="1">
      <c r="A3733" s="393"/>
      <c r="C3733" s="20"/>
      <c r="E3733" s="387"/>
      <c r="F3733" s="388">
        <f t="shared" si="961"/>
        <v>0</v>
      </c>
      <c r="H3733" s="341" t="str">
        <f>IF(A3733="","",VLOOKUP(A3733,VII.A!$A$10:$D$199,4,FALSE))</f>
        <v/>
      </c>
      <c r="I3733" s="341" t="str">
        <f t="shared" si="962"/>
        <v/>
      </c>
      <c r="J3733" s="341" t="str">
        <f>IF(A3733="","",VLOOKUP(A3733,VII.A!$A$10:$D$199,3,FALSE))</f>
        <v/>
      </c>
      <c r="K3733" s="342" t="str">
        <f t="shared" si="963"/>
        <v/>
      </c>
      <c r="L3733" s="380" t="str">
        <f>IF(C3733="","",G3707*C3733)</f>
        <v/>
      </c>
      <c r="M3733" s="381" t="str">
        <f>IF(A3733="","",VLOOKUP(A3733,VII.A!$A$10:$B$199,2,FALSE))</f>
        <v/>
      </c>
      <c r="N3733" s="342" t="str">
        <f t="shared" si="964"/>
        <v/>
      </c>
      <c r="R3733" s="341"/>
      <c r="S3733" s="341"/>
    </row>
    <row r="3734" spans="1:19" ht="12.75" customHeight="1">
      <c r="A3734" s="393"/>
      <c r="C3734" s="20"/>
      <c r="E3734" s="387"/>
      <c r="F3734" s="388">
        <f t="shared" si="961"/>
        <v>0</v>
      </c>
      <c r="G3734" s="390"/>
      <c r="H3734" s="341" t="str">
        <f>IF(A3734="","",VLOOKUP(A3734,VII.A!$A$10:$D$199,4,FALSE))</f>
        <v/>
      </c>
      <c r="I3734" s="341" t="str">
        <f t="shared" si="962"/>
        <v/>
      </c>
      <c r="J3734" s="341" t="str">
        <f>IF(A3734="","",VLOOKUP(A3734,VII.A!$A$10:$D$199,3,FALSE))</f>
        <v/>
      </c>
      <c r="K3734" s="342" t="str">
        <f t="shared" si="963"/>
        <v/>
      </c>
      <c r="L3734" s="380" t="str">
        <f>IF(C3734="","",G3707*C3734)</f>
        <v/>
      </c>
      <c r="M3734" s="381" t="str">
        <f>IF(A3734="","",VLOOKUP(A3734,VII.A!$A$10:$B$199,2,FALSE))</f>
        <v/>
      </c>
      <c r="N3734" s="342" t="str">
        <f t="shared" si="964"/>
        <v/>
      </c>
      <c r="R3734" s="341"/>
      <c r="S3734" s="341"/>
    </row>
    <row r="3735" spans="1:19" ht="12.75" customHeight="1">
      <c r="A3735" s="393"/>
      <c r="C3735" s="20"/>
      <c r="E3735" s="387"/>
      <c r="F3735" s="388">
        <f t="shared" si="961"/>
        <v>0</v>
      </c>
      <c r="G3735" s="391"/>
      <c r="H3735" s="341" t="str">
        <f>IF(A3735="","",VLOOKUP(A3735,VII.A!$A$10:$D$199,4,FALSE))</f>
        <v/>
      </c>
      <c r="I3735" s="341" t="str">
        <f t="shared" si="962"/>
        <v/>
      </c>
      <c r="J3735" s="341" t="str">
        <f>IF(A3735="","",VLOOKUP(A3735,VII.A!$A$10:$D$199,3,FALSE))</f>
        <v/>
      </c>
      <c r="K3735" s="342" t="str">
        <f t="shared" si="963"/>
        <v/>
      </c>
      <c r="L3735" s="380" t="str">
        <f>IF(C3735="","",G3707*C3735)</f>
        <v/>
      </c>
      <c r="M3735" s="381" t="str">
        <f>IF(A3735="","",VLOOKUP(A3735,VII.A!$A$10:$B$199,2,FALSE))</f>
        <v/>
      </c>
      <c r="N3735" s="342" t="str">
        <f t="shared" si="964"/>
        <v/>
      </c>
      <c r="R3735" s="341"/>
      <c r="S3735" s="341"/>
    </row>
    <row r="3736" spans="1:19" ht="12.75" customHeight="1">
      <c r="A3736" s="393"/>
      <c r="C3736" s="20"/>
      <c r="E3736" s="387"/>
      <c r="F3736" s="388">
        <f t="shared" si="961"/>
        <v>0</v>
      </c>
      <c r="H3736" s="341" t="str">
        <f>IF(A3736="","",VLOOKUP(A3736,VII.A!$A$10:$D$199,4,FALSE))</f>
        <v/>
      </c>
      <c r="I3736" s="341" t="str">
        <f t="shared" si="962"/>
        <v/>
      </c>
      <c r="J3736" s="341" t="str">
        <f>IF(A3736="","",VLOOKUP(A3736,VII.A!$A$10:$D$199,3,FALSE))</f>
        <v/>
      </c>
      <c r="K3736" s="342" t="str">
        <f t="shared" si="963"/>
        <v/>
      </c>
      <c r="L3736" s="380" t="str">
        <f>IF(C3736="","",G3707*C3736)</f>
        <v/>
      </c>
      <c r="M3736" s="381" t="str">
        <f>IF(A3736="","",VLOOKUP(A3736,VII.A!$A$10:$B$199,2,FALSE))</f>
        <v/>
      </c>
      <c r="N3736" s="342" t="str">
        <f t="shared" si="964"/>
        <v/>
      </c>
      <c r="R3736" s="341"/>
      <c r="S3736" s="341"/>
    </row>
    <row r="3737" spans="1:19" ht="12.75" customHeight="1">
      <c r="A3737" s="393"/>
      <c r="C3737" s="20"/>
      <c r="E3737" s="387"/>
      <c r="F3737" s="388">
        <f t="shared" si="961"/>
        <v>0</v>
      </c>
      <c r="H3737" s="341" t="str">
        <f>IF(A3737="","",VLOOKUP(A3737,VII.A!$A$10:$D$199,4,FALSE))</f>
        <v/>
      </c>
      <c r="I3737" s="341" t="str">
        <f t="shared" si="962"/>
        <v/>
      </c>
      <c r="J3737" s="341" t="str">
        <f>IF(A3737="","",VLOOKUP(A3737,VII.A!$A$10:$D$199,3,FALSE))</f>
        <v/>
      </c>
      <c r="K3737" s="342" t="str">
        <f t="shared" si="963"/>
        <v/>
      </c>
      <c r="L3737" s="380" t="str">
        <f>IF(C3737="","",G3707*C3737)</f>
        <v/>
      </c>
      <c r="M3737" s="381" t="str">
        <f>IF(A3737="","",VLOOKUP(A3737,VII.A!$A$10:$B$199,2,FALSE))</f>
        <v/>
      </c>
      <c r="N3737" s="342" t="str">
        <f t="shared" si="964"/>
        <v/>
      </c>
      <c r="R3737" s="341"/>
      <c r="S3737" s="341"/>
    </row>
    <row r="3738" spans="1:19" ht="12.75" customHeight="1">
      <c r="A3738" s="393"/>
      <c r="C3738" s="20"/>
      <c r="E3738" s="387"/>
      <c r="F3738" s="388">
        <f t="shared" si="961"/>
        <v>0</v>
      </c>
      <c r="H3738" s="341" t="str">
        <f>IF(A3738="","",VLOOKUP(A3738,VII.A!$A$10:$D$199,4,FALSE))</f>
        <v/>
      </c>
      <c r="I3738" s="341" t="str">
        <f t="shared" si="962"/>
        <v/>
      </c>
      <c r="J3738" s="341" t="str">
        <f>IF(A3738="","",VLOOKUP(A3738,VII.A!$A$10:$D$199,3,FALSE))</f>
        <v/>
      </c>
      <c r="K3738" s="342" t="str">
        <f t="shared" si="963"/>
        <v/>
      </c>
      <c r="L3738" s="380" t="str">
        <f>IF(C3738="","",G3707*C3738)</f>
        <v/>
      </c>
      <c r="M3738" s="381" t="str">
        <f>IF(A3738="","",VLOOKUP(A3738,VII.A!$A$10:$B$199,2,FALSE))</f>
        <v/>
      </c>
      <c r="N3738" s="342" t="str">
        <f t="shared" si="964"/>
        <v/>
      </c>
      <c r="R3738" s="341"/>
      <c r="S3738" s="341"/>
    </row>
    <row r="3739" spans="1:19" ht="12.75" customHeight="1">
      <c r="A3739" s="393"/>
      <c r="B3739" s="395" t="s">
        <v>226</v>
      </c>
      <c r="C3739" s="396"/>
      <c r="D3739" s="397"/>
      <c r="E3739" s="398"/>
      <c r="F3739" s="399">
        <f>SUM(F3729:F3738)</f>
        <v>0</v>
      </c>
      <c r="J3739" s="341"/>
      <c r="L3739" s="380"/>
      <c r="M3739" s="381"/>
      <c r="N3739" s="342"/>
      <c r="R3739" s="341"/>
      <c r="S3739" s="341"/>
    </row>
    <row r="3740" spans="1:19" ht="12.75" customHeight="1">
      <c r="A3740" s="393"/>
      <c r="B3740" s="400" t="s">
        <v>53</v>
      </c>
      <c r="C3740" s="2">
        <f>$D$8</f>
        <v>0</v>
      </c>
      <c r="D3740" s="401"/>
      <c r="E3740" s="402"/>
      <c r="F3740" s="403">
        <f>ROUND(C3740*F3739,2)</f>
        <v>0</v>
      </c>
      <c r="J3740" s="341"/>
      <c r="L3740" s="380"/>
      <c r="M3740" s="381"/>
      <c r="N3740" s="342"/>
      <c r="R3740" s="341"/>
      <c r="S3740" s="341"/>
    </row>
    <row r="3741" spans="1:19" ht="12.75" customHeight="1">
      <c r="A3741" s="404"/>
      <c r="B3741" s="405" t="s">
        <v>228</v>
      </c>
      <c r="C3741" s="406"/>
      <c r="D3741" s="406"/>
      <c r="E3741" s="407"/>
      <c r="F3741" s="408">
        <f>F3739+F3740</f>
        <v>0</v>
      </c>
      <c r="J3741" s="341"/>
      <c r="L3741" s="380"/>
      <c r="M3741" s="381"/>
      <c r="N3741" s="342"/>
      <c r="R3741" s="341"/>
      <c r="S3741" s="341"/>
    </row>
    <row r="3742" spans="1:19" ht="12.75" customHeight="1">
      <c r="A3742" s="409" t="s">
        <v>47</v>
      </c>
      <c r="B3742" s="410" t="s">
        <v>236</v>
      </c>
      <c r="C3742" s="411" t="s">
        <v>231</v>
      </c>
      <c r="D3742" s="412" t="s">
        <v>232</v>
      </c>
      <c r="E3742" s="413" t="s">
        <v>233</v>
      </c>
      <c r="F3742" s="378" t="s">
        <v>234</v>
      </c>
      <c r="J3742" s="341"/>
      <c r="L3742" s="380"/>
      <c r="M3742" s="381"/>
      <c r="N3742" s="342"/>
      <c r="R3742" s="341"/>
      <c r="S3742" s="341"/>
    </row>
    <row r="3743" spans="1:19" ht="12.75" customHeight="1">
      <c r="A3743" s="393" t="str">
        <f>VII.A!$A$181</f>
        <v>3.1</v>
      </c>
      <c r="B3743" s="394" t="str">
        <f>VII.A!B181</f>
        <v>AJUDANTE COM ENCARGOS COMPLEMENTARES</v>
      </c>
      <c r="C3743" s="20">
        <v>0.38</v>
      </c>
      <c r="D3743" s="384" t="str">
        <f>VII.A!C181</f>
        <v>H</v>
      </c>
      <c r="E3743" s="387">
        <f>VII.A!D181</f>
        <v>0</v>
      </c>
      <c r="F3743" s="388">
        <f t="shared" ref="F3743:F3749" si="965">ROUND(C3743*E3743,2)</f>
        <v>0</v>
      </c>
      <c r="H3743" s="341">
        <f>IF(A3743="","",VLOOKUP(A3743,VII.A!$A$10:$D$199,4,FALSE))</f>
        <v>0</v>
      </c>
      <c r="I3743" s="341" t="str">
        <f t="shared" ref="I3743:I3749" si="966">IF(A3743="","",IF(E3743=H3743,"SIM","NÃO"))</f>
        <v>SIM</v>
      </c>
      <c r="J3743" s="341" t="str">
        <f>IF(A3743="","",VLOOKUP(A3743,VII.A!$A$10:$D$199,3,FALSE))</f>
        <v>H</v>
      </c>
      <c r="K3743" s="342" t="str">
        <f t="shared" ref="K3743:K3749" si="967">IF(A3743="","",IF(J3743=D3743,"SIM","NÃO"))</f>
        <v>SIM</v>
      </c>
      <c r="L3743" s="380">
        <f>IF(C3743="","",G3707*C3743)</f>
        <v>0.76</v>
      </c>
      <c r="M3743" s="381" t="str">
        <f>IF(A3743="","",VLOOKUP(A3743,VII.A!$A$10:$B$199,2,FALSE))</f>
        <v>AJUDANTE COM ENCARGOS COMPLEMENTARES</v>
      </c>
      <c r="N3743" s="342" t="str">
        <f t="shared" ref="N3743:N3749" si="968">IF(B3743="","",IF(M3743=B3743,"si","no"))</f>
        <v>si</v>
      </c>
      <c r="R3743" s="341"/>
      <c r="S3743" s="341"/>
    </row>
    <row r="3744" spans="1:19" ht="12.75" customHeight="1">
      <c r="A3744" s="393" t="str">
        <f>VII.A!$A$187</f>
        <v>3.7</v>
      </c>
      <c r="B3744" s="394" t="str">
        <f>VII.A!B187</f>
        <v>ENCANADOR COM ENCARGOS COMPLEMENTARES</v>
      </c>
      <c r="C3744" s="20">
        <v>0.38</v>
      </c>
      <c r="D3744" s="384" t="str">
        <f>VII.A!C187</f>
        <v>H</v>
      </c>
      <c r="E3744" s="387">
        <f>VII.A!D187</f>
        <v>0</v>
      </c>
      <c r="F3744" s="388">
        <f t="shared" si="965"/>
        <v>0</v>
      </c>
      <c r="H3744" s="341">
        <f>IF(A3744="","",VLOOKUP(A3744,VII.A!$A$10:$D$199,4,FALSE))</f>
        <v>0</v>
      </c>
      <c r="I3744" s="341" t="str">
        <f t="shared" si="966"/>
        <v>SIM</v>
      </c>
      <c r="J3744" s="341" t="str">
        <f>IF(A3744="","",VLOOKUP(A3744,VII.A!$A$10:$D$199,3,FALSE))</f>
        <v>H</v>
      </c>
      <c r="K3744" s="342" t="str">
        <f t="shared" si="967"/>
        <v>SIM</v>
      </c>
      <c r="L3744" s="380">
        <f>IF(C3744="","",G3707*C3744)</f>
        <v>0.76</v>
      </c>
      <c r="M3744" s="381" t="str">
        <f>IF(A3744="","",VLOOKUP(A3744,VII.A!$A$10:$B$199,2,FALSE))</f>
        <v>ENCANADOR COM ENCARGOS COMPLEMENTARES</v>
      </c>
      <c r="N3744" s="342" t="str">
        <f t="shared" si="968"/>
        <v>si</v>
      </c>
      <c r="R3744" s="341"/>
      <c r="S3744" s="341"/>
    </row>
    <row r="3745" spans="1:25" ht="12.75" customHeight="1">
      <c r="A3745" s="393"/>
      <c r="C3745" s="20"/>
      <c r="E3745" s="387"/>
      <c r="F3745" s="388">
        <f t="shared" si="965"/>
        <v>0</v>
      </c>
      <c r="H3745" s="341" t="str">
        <f>IF(A3745="","",VLOOKUP(A3745,VII.A!$A$10:$D$199,4,FALSE))</f>
        <v/>
      </c>
      <c r="I3745" s="341" t="str">
        <f t="shared" si="966"/>
        <v/>
      </c>
      <c r="J3745" s="341" t="str">
        <f>IF(A3745="","",VLOOKUP(A3745,VII.A!$A$10:$D$199,3,FALSE))</f>
        <v/>
      </c>
      <c r="K3745" s="342" t="str">
        <f t="shared" si="967"/>
        <v/>
      </c>
      <c r="L3745" s="380" t="str">
        <f>IF(C3745="","",G3707*C3745)</f>
        <v/>
      </c>
      <c r="M3745" s="381" t="str">
        <f>IF(A3745="","",VLOOKUP(A3745,VII.A!$A$10:$B$199,2,FALSE))</f>
        <v/>
      </c>
      <c r="N3745" s="342" t="str">
        <f t="shared" si="968"/>
        <v/>
      </c>
      <c r="R3745" s="341"/>
      <c r="S3745" s="341"/>
    </row>
    <row r="3746" spans="1:25" ht="12.75" customHeight="1">
      <c r="A3746" s="393"/>
      <c r="C3746" s="20"/>
      <c r="E3746" s="387"/>
      <c r="F3746" s="388">
        <f t="shared" si="965"/>
        <v>0</v>
      </c>
      <c r="H3746" s="341" t="str">
        <f>IF(A3746="","",VLOOKUP(A3746,VII.A!$A$10:$D$199,4,FALSE))</f>
        <v/>
      </c>
      <c r="I3746" s="341" t="str">
        <f t="shared" si="966"/>
        <v/>
      </c>
      <c r="J3746" s="341" t="str">
        <f>IF(A3746="","",VLOOKUP(A3746,VII.A!$A$10:$D$199,3,FALSE))</f>
        <v/>
      </c>
      <c r="K3746" s="342" t="str">
        <f t="shared" si="967"/>
        <v/>
      </c>
      <c r="L3746" s="380" t="str">
        <f>IF(C3746="","",G3707*C3746)</f>
        <v/>
      </c>
      <c r="M3746" s="381" t="str">
        <f>IF(A3746="","",VLOOKUP(A3746,VII.A!$A$10:$B$199,2,FALSE))</f>
        <v/>
      </c>
      <c r="N3746" s="342" t="str">
        <f t="shared" si="968"/>
        <v/>
      </c>
      <c r="R3746" s="341"/>
      <c r="S3746" s="341"/>
    </row>
    <row r="3747" spans="1:25" ht="12.75" customHeight="1">
      <c r="A3747" s="393"/>
      <c r="C3747" s="20"/>
      <c r="E3747" s="387"/>
      <c r="F3747" s="388">
        <f t="shared" si="965"/>
        <v>0</v>
      </c>
      <c r="H3747" s="341" t="str">
        <f>IF(A3747="","",VLOOKUP(A3747,VII.A!$A$10:$D$199,4,FALSE))</f>
        <v/>
      </c>
      <c r="I3747" s="341" t="str">
        <f t="shared" si="966"/>
        <v/>
      </c>
      <c r="J3747" s="341" t="str">
        <f>IF(A3747="","",VLOOKUP(A3747,VII.A!$A$10:$D$199,3,FALSE))</f>
        <v/>
      </c>
      <c r="K3747" s="342" t="str">
        <f t="shared" si="967"/>
        <v/>
      </c>
      <c r="L3747" s="380" t="str">
        <f>IF(C3747="","",G3707*C3747)</f>
        <v/>
      </c>
      <c r="M3747" s="381" t="str">
        <f>IF(A3747="","",VLOOKUP(A3747,VII.A!$A$10:$B$199,2,FALSE))</f>
        <v/>
      </c>
      <c r="N3747" s="342" t="str">
        <f t="shared" si="968"/>
        <v/>
      </c>
      <c r="R3747" s="341"/>
      <c r="S3747" s="341"/>
    </row>
    <row r="3748" spans="1:25" ht="12.75" customHeight="1">
      <c r="A3748" s="393"/>
      <c r="C3748" s="20"/>
      <c r="E3748" s="387"/>
      <c r="F3748" s="388">
        <f t="shared" si="965"/>
        <v>0</v>
      </c>
      <c r="H3748" s="341" t="str">
        <f>IF(A3748="","",VLOOKUP(A3748,VII.A!$A$10:$D$199,4,FALSE))</f>
        <v/>
      </c>
      <c r="I3748" s="341" t="str">
        <f t="shared" si="966"/>
        <v/>
      </c>
      <c r="J3748" s="341" t="str">
        <f>IF(A3748="","",VLOOKUP(A3748,VII.A!$A$10:$D$199,3,FALSE))</f>
        <v/>
      </c>
      <c r="K3748" s="342" t="str">
        <f t="shared" si="967"/>
        <v/>
      </c>
      <c r="L3748" s="380" t="str">
        <f>IF(C3748="","",G3707*C3748)</f>
        <v/>
      </c>
      <c r="M3748" s="381" t="str">
        <f>IF(A3748="","",VLOOKUP(A3748,VII.A!$A$10:$B$199,2,FALSE))</f>
        <v/>
      </c>
      <c r="N3748" s="342" t="str">
        <f t="shared" si="968"/>
        <v/>
      </c>
      <c r="R3748" s="341"/>
      <c r="S3748" s="341"/>
    </row>
    <row r="3749" spans="1:25" ht="12.75" customHeight="1">
      <c r="A3749" s="393"/>
      <c r="C3749" s="20"/>
      <c r="E3749" s="387"/>
      <c r="F3749" s="388">
        <f t="shared" si="965"/>
        <v>0</v>
      </c>
      <c r="H3749" s="341" t="str">
        <f>IF(A3749="","",VLOOKUP(A3749,VII.A!$A$10:$D$199,4,FALSE))</f>
        <v/>
      </c>
      <c r="I3749" s="341" t="str">
        <f t="shared" si="966"/>
        <v/>
      </c>
      <c r="J3749" s="341" t="str">
        <f>IF(A3749="","",VLOOKUP(A3749,VII.A!$A$10:$D$199,3,FALSE))</f>
        <v/>
      </c>
      <c r="K3749" s="342" t="str">
        <f t="shared" si="967"/>
        <v/>
      </c>
      <c r="L3749" s="380" t="str">
        <f>IF(C3749="","",G3707*C3749)</f>
        <v/>
      </c>
      <c r="M3749" s="381" t="str">
        <f>IF(A3749="","",VLOOKUP(A3749,VII.A!$A$10:$B$199,2,FALSE))</f>
        <v/>
      </c>
      <c r="N3749" s="342" t="str">
        <f t="shared" si="968"/>
        <v/>
      </c>
      <c r="R3749" s="341"/>
      <c r="S3749" s="341"/>
    </row>
    <row r="3750" spans="1:25" ht="12.75" customHeight="1">
      <c r="A3750" s="393"/>
      <c r="B3750" s="395" t="s">
        <v>226</v>
      </c>
      <c r="C3750" s="396"/>
      <c r="D3750" s="397"/>
      <c r="E3750" s="398"/>
      <c r="F3750" s="399">
        <f>SUM(F3743:F3749)</f>
        <v>0</v>
      </c>
      <c r="J3750" s="341"/>
      <c r="L3750" s="380"/>
      <c r="M3750" s="381"/>
      <c r="N3750" s="342"/>
      <c r="R3750" s="341"/>
      <c r="S3750" s="341"/>
    </row>
    <row r="3751" spans="1:25" ht="12.75" customHeight="1">
      <c r="A3751" s="393"/>
      <c r="B3751" s="400" t="s">
        <v>229</v>
      </c>
      <c r="C3751" s="2">
        <f>IX.A!$C$45</f>
        <v>0</v>
      </c>
      <c r="D3751" s="401"/>
      <c r="E3751" s="402"/>
      <c r="F3751" s="403">
        <f>ROUND(F3750*C3751,2)</f>
        <v>0</v>
      </c>
      <c r="J3751" s="341"/>
      <c r="L3751" s="380"/>
      <c r="M3751" s="381"/>
      <c r="N3751" s="342"/>
      <c r="R3751" s="341"/>
      <c r="S3751" s="341"/>
    </row>
    <row r="3752" spans="1:25" ht="12.75" customHeight="1">
      <c r="A3752" s="393"/>
      <c r="B3752" s="400" t="s">
        <v>53</v>
      </c>
      <c r="C3752" s="2">
        <f>$D$8</f>
        <v>0</v>
      </c>
      <c r="D3752" s="401"/>
      <c r="E3752" s="402"/>
      <c r="F3752" s="403">
        <f>ROUND(SUM(F3750:F3751)*C3752,2)</f>
        <v>0</v>
      </c>
      <c r="J3752" s="341"/>
      <c r="L3752" s="380"/>
      <c r="M3752" s="381"/>
      <c r="N3752" s="342"/>
      <c r="R3752" s="341"/>
      <c r="S3752" s="341"/>
    </row>
    <row r="3753" spans="1:25" ht="12.75" customHeight="1" thickBot="1">
      <c r="A3753" s="414"/>
      <c r="B3753" s="415" t="s">
        <v>230</v>
      </c>
      <c r="C3753" s="416"/>
      <c r="D3753" s="416"/>
      <c r="E3753" s="417"/>
      <c r="F3753" s="418">
        <f>SUM(F3750:F3752)</f>
        <v>0</v>
      </c>
      <c r="J3753" s="341"/>
      <c r="L3753" s="380"/>
      <c r="M3753" s="381"/>
      <c r="N3753" s="342"/>
      <c r="R3753" s="341"/>
      <c r="S3753" s="341"/>
    </row>
    <row r="3754" spans="1:25" ht="12.75" customHeight="1" thickBot="1">
      <c r="A3754" s="357"/>
      <c r="B3754" s="358"/>
      <c r="C3754" s="359"/>
      <c r="D3754" s="359"/>
      <c r="E3754" s="360"/>
      <c r="F3754" s="419"/>
      <c r="J3754" s="341"/>
      <c r="L3754" s="380"/>
      <c r="M3754" s="381"/>
      <c r="N3754" s="342"/>
      <c r="R3754" s="341"/>
      <c r="S3754" s="341"/>
    </row>
    <row r="3755" spans="1:25" ht="30" customHeight="1">
      <c r="A3755" s="370" t="str">
        <f>IV.A!A117</f>
        <v>4.4</v>
      </c>
      <c r="B3755" s="371" t="str">
        <f>IV.A!B117</f>
        <v>TUBO PVC RÍGIDO SOLDÁVEL MARROM, DN = 25 MM (3/4'), INCLUSE CONEXÕES</v>
      </c>
      <c r="C3755" s="871" t="s">
        <v>237</v>
      </c>
      <c r="D3755" s="872"/>
      <c r="E3755" s="372" t="str">
        <f>IV.A!C117</f>
        <v>M</v>
      </c>
      <c r="F3755" s="11">
        <f>ROUND(F3775+F3789+F3801,2)</f>
        <v>0</v>
      </c>
      <c r="G3755" s="1">
        <f>VLOOKUP(A3755,IV.A!$A$16:$L$172,4,FALSE)</f>
        <v>20</v>
      </c>
      <c r="H3755" s="361">
        <f>SUM(F3757:F3772)+F3774</f>
        <v>0</v>
      </c>
      <c r="I3755" s="361">
        <f>SUM(F3777:F3786)+F3788</f>
        <v>0</v>
      </c>
      <c r="J3755" s="361">
        <f>SUM(F3791:F3797)+F3799+F3800</f>
        <v>0</v>
      </c>
      <c r="K3755" s="361">
        <f>SUM(H3755:J3755)</f>
        <v>0</v>
      </c>
      <c r="L3755" s="362" t="str">
        <f>IF(K3755=F3755,"SIM","NÃO")</f>
        <v>SIM</v>
      </c>
      <c r="M3755" s="373">
        <f>ROUND(SUM(F3757:F3772),2)+ROUND(SUM(F3757:F3772)*C3774,2)+ROUND(SUM(F3777:F3786)*C3788,2)+ROUND(SUM(F3777:F3786),2)+ROUND(SUM(F3791:F3797)*C3799,2)+ROUND((SUM(F3791:F3797)+ROUND(SUM(F3791:F3797)*C3799,2))*C3800,2)+ROUND(SUM(F3791:F3797),2)</f>
        <v>0</v>
      </c>
      <c r="N3755" s="343" t="str">
        <f>IF(M3755=F3755,"SIM","NÃO")</f>
        <v>SIM</v>
      </c>
      <c r="O3755" s="364" t="str">
        <f>VLOOKUP(A3755,IV.A!$A$16:$E$172,3,FALSE)</f>
        <v>M</v>
      </c>
      <c r="P3755" s="344" t="str">
        <f>IF(O3755=E3755,"SIM","NÃO")</f>
        <v>SIM</v>
      </c>
      <c r="Q3755" s="365">
        <f>ROUND(G3755*F3775,2)+ROUND(G3755*F3789,2)+ROUND(G3755*F3801,2)</f>
        <v>0</v>
      </c>
      <c r="R3755" s="364">
        <f>VLOOKUP(A3755,IV.A!$A$16:$L$172,12,FALSE)</f>
        <v>0</v>
      </c>
      <c r="S3755" s="366" t="str">
        <f>IF(Q3755=R3755,"si","no")</f>
        <v>si</v>
      </c>
      <c r="T3755" s="367">
        <f>SUM(L3757:L3772)+SUM(L3777:L3786)+SUM(L3791:L3797)</f>
        <v>51.131</v>
      </c>
      <c r="U3755" s="341">
        <f>(SUM(C3757:C3772)+SUM(C3777:C3786)+SUM(C3791:C3797))*G3755</f>
        <v>51.131</v>
      </c>
      <c r="V3755" s="368" t="str">
        <f>IF(T3755=U3755,"si","no")</f>
        <v>si</v>
      </c>
      <c r="W3755" s="369">
        <f>SUM(F3757:F3772)</f>
        <v>0</v>
      </c>
      <c r="X3755" s="369">
        <f>SUM(F3777:F3786)</f>
        <v>0</v>
      </c>
      <c r="Y3755" s="369">
        <f>SUM(F3791:F3797)</f>
        <v>0</v>
      </c>
    </row>
    <row r="3756" spans="1:25" ht="12.75" customHeight="1">
      <c r="A3756" s="374" t="s">
        <v>14</v>
      </c>
      <c r="B3756" s="375" t="s">
        <v>132</v>
      </c>
      <c r="C3756" s="376" t="s">
        <v>231</v>
      </c>
      <c r="D3756" s="376" t="s">
        <v>232</v>
      </c>
      <c r="E3756" s="377" t="s">
        <v>233</v>
      </c>
      <c r="F3756" s="378" t="s">
        <v>234</v>
      </c>
      <c r="G3756" s="379"/>
      <c r="J3756" s="341"/>
      <c r="L3756" s="380"/>
      <c r="M3756" s="381"/>
      <c r="N3756" s="342"/>
      <c r="O3756" s="382"/>
      <c r="P3756" s="383"/>
      <c r="Q3756" s="383"/>
      <c r="R3756" s="383"/>
      <c r="S3756" s="383"/>
      <c r="T3756" s="382"/>
      <c r="U3756" s="341"/>
      <c r="V3756" s="384"/>
      <c r="W3756" s="384"/>
      <c r="X3756" s="384"/>
      <c r="Y3756" s="384"/>
    </row>
    <row r="3757" spans="1:25" ht="12.75" customHeight="1">
      <c r="A3757" s="385" t="str">
        <f>VII.A!$A$11</f>
        <v>1.2</v>
      </c>
      <c r="B3757" s="386" t="str">
        <f>VII.A!B11</f>
        <v>ADESIVO PARA TUBO EM PVC - FRASCO 850 GR.</v>
      </c>
      <c r="C3757" s="20">
        <f>0.003*0.85</f>
        <v>2.5500000000000002E-3</v>
      </c>
      <c r="D3757" s="342" t="str">
        <f>VII.A!C11</f>
        <v>UN</v>
      </c>
      <c r="E3757" s="387">
        <f>VII.A!D11</f>
        <v>0</v>
      </c>
      <c r="F3757" s="388">
        <f>ROUND(C3757*E3757,2)</f>
        <v>0</v>
      </c>
      <c r="H3757" s="341">
        <f>IF(A3757="","",VLOOKUP(A3757,VII.A!$A$10:$D$199,4,FALSE))</f>
        <v>0</v>
      </c>
      <c r="I3757" s="341" t="str">
        <f>IF(A3757="","",IF(E3757=H3757,"SIM","NÃO"))</f>
        <v>SIM</v>
      </c>
      <c r="J3757" s="341" t="str">
        <f>IF(A3757="","",VLOOKUP(A3757,VII.A!$A$10:$D$199,3,FALSE))</f>
        <v>UN</v>
      </c>
      <c r="K3757" s="342" t="str">
        <f>IF(A3757="","",IF(J3757=D3757,"SIM","NÃO"))</f>
        <v>SIM</v>
      </c>
      <c r="L3757" s="380">
        <f>IF(C3757="","",G3755*C3757)</f>
        <v>5.1000000000000004E-2</v>
      </c>
      <c r="M3757" s="381" t="str">
        <f>IF(A3757="","",VLOOKUP(A3757,VII.A!$A$10:$B$199,2,FALSE))</f>
        <v>ADESIVO PARA TUBO EM PVC - FRASCO 850 GR.</v>
      </c>
      <c r="N3757" s="342" t="str">
        <f>IF(B3757="","",IF(M3757=B3757,"si","no"))</f>
        <v>si</v>
      </c>
      <c r="R3757" s="341"/>
      <c r="S3757" s="341"/>
    </row>
    <row r="3758" spans="1:25" ht="12.75" customHeight="1">
      <c r="A3758" s="385" t="str">
        <f>VII.A!$A$67</f>
        <v>1.58</v>
      </c>
      <c r="B3758" s="386" t="str">
        <f>VII.A!B67</f>
        <v>LIXA D'AGUA EM FOLHA, GRAO 100</v>
      </c>
      <c r="C3758" s="20">
        <v>0.05</v>
      </c>
      <c r="D3758" s="342" t="str">
        <f>VII.A!C67</f>
        <v>UN</v>
      </c>
      <c r="E3758" s="387">
        <f>VII.A!D67</f>
        <v>0</v>
      </c>
      <c r="F3758" s="388">
        <f>ROUND(C3758*E3758,2)</f>
        <v>0</v>
      </c>
      <c r="H3758" s="341">
        <f>IF(A3758="","",VLOOKUP(A3758,VII.A!$A$10:$D$199,4,FALSE))</f>
        <v>0</v>
      </c>
      <c r="I3758" s="341" t="str">
        <f>IF(A3758="","",IF(E3758=H3758,"SIM","NÃO"))</f>
        <v>SIM</v>
      </c>
      <c r="J3758" s="341" t="str">
        <f>IF(A3758="","",VLOOKUP(A3758,VII.A!$A$10:$D$199,3,FALSE))</f>
        <v>UN</v>
      </c>
      <c r="K3758" s="342" t="str">
        <f>IF(A3758="","",IF(J3758=D3758,"SIM","NÃO"))</f>
        <v>SIM</v>
      </c>
      <c r="L3758" s="380">
        <f>IF(C3758="","",G3755*C3758)</f>
        <v>1</v>
      </c>
      <c r="M3758" s="381" t="str">
        <f>IF(A3758="","",VLOOKUP(A3758,VII.A!$A$10:$B$199,2,FALSE))</f>
        <v>LIXA D'AGUA EM FOLHA, GRAO 100</v>
      </c>
      <c r="N3758" s="342" t="str">
        <f>IF(B3758="","",IF(M3758=B3758,"si","no"))</f>
        <v>si</v>
      </c>
      <c r="R3758" s="341"/>
      <c r="S3758" s="341"/>
    </row>
    <row r="3759" spans="1:25" ht="12.75" customHeight="1">
      <c r="A3759" s="385" t="str">
        <f>VII.A!$A$100</f>
        <v>1.90</v>
      </c>
      <c r="B3759" s="386" t="str">
        <f>VII.A!B100</f>
        <v>SOLUCAO LIMPADORA PARA PVC, FRASCO COM 1000 CM3</v>
      </c>
      <c r="C3759" s="20">
        <v>4.0000000000000001E-3</v>
      </c>
      <c r="D3759" s="342" t="str">
        <f>VII.A!C100</f>
        <v xml:space="preserve">UN </v>
      </c>
      <c r="E3759" s="387">
        <f>VII.A!D100</f>
        <v>0</v>
      </c>
      <c r="F3759" s="388">
        <f t="shared" ref="F3759:F3772" si="969">ROUND(C3759*E3759,2)</f>
        <v>0</v>
      </c>
      <c r="H3759" s="341">
        <f>IF(A3759="","",VLOOKUP(A3759,VII.A!$A$10:$D$199,4,FALSE))</f>
        <v>0</v>
      </c>
      <c r="I3759" s="341" t="str">
        <f t="shared" ref="I3759:I3772" si="970">IF(A3759="","",IF(E3759=H3759,"SIM","NÃO"))</f>
        <v>SIM</v>
      </c>
      <c r="J3759" s="341" t="str">
        <f>IF(A3759="","",VLOOKUP(A3759,VII.A!$A$10:$D$199,3,FALSE))</f>
        <v xml:space="preserve">UN </v>
      </c>
      <c r="K3759" s="342" t="str">
        <f t="shared" ref="K3759:K3772" si="971">IF(A3759="","",IF(J3759=D3759,"SIM","NÃO"))</f>
        <v>SIM</v>
      </c>
      <c r="L3759" s="380">
        <f>IF(C3759="","",G3755*C3759)</f>
        <v>0.08</v>
      </c>
      <c r="M3759" s="381" t="str">
        <f>IF(A3759="","",VLOOKUP(A3759,VII.A!$A$10:$B$199,2,FALSE))</f>
        <v>SOLUCAO LIMPADORA PARA PVC, FRASCO COM 1000 CM3</v>
      </c>
      <c r="N3759" s="342" t="str">
        <f t="shared" ref="N3759:N3772" si="972">IF(B3759="","",IF(M3759=B3759,"si","no"))</f>
        <v>si</v>
      </c>
      <c r="R3759" s="341"/>
      <c r="S3759" s="341"/>
    </row>
    <row r="3760" spans="1:25" ht="12.75" customHeight="1">
      <c r="A3760" s="385" t="str">
        <f>VII.A!$A$115</f>
        <v>1.105</v>
      </c>
      <c r="B3760" s="386" t="str">
        <f>VII.A!B115</f>
        <v>TUBO DE PVC RÍGIDO SOLDÁVEL MARROM, DN = 25MM (3/4') - NBR 5648</v>
      </c>
      <c r="C3760" s="20">
        <v>1.5</v>
      </c>
      <c r="D3760" s="342" t="str">
        <f>VII.A!C115</f>
        <v>M</v>
      </c>
      <c r="E3760" s="387">
        <f>VII.A!D115</f>
        <v>0</v>
      </c>
      <c r="F3760" s="388">
        <f t="shared" si="969"/>
        <v>0</v>
      </c>
      <c r="H3760" s="341">
        <f>IF(A3760="","",VLOOKUP(A3760,VII.A!$A$10:$D$199,4,FALSE))</f>
        <v>0</v>
      </c>
      <c r="I3760" s="341" t="str">
        <f t="shared" si="970"/>
        <v>SIM</v>
      </c>
      <c r="J3760" s="341" t="str">
        <f>IF(A3760="","",VLOOKUP(A3760,VII.A!$A$10:$D$199,3,FALSE))</f>
        <v>M</v>
      </c>
      <c r="K3760" s="342" t="str">
        <f t="shared" si="971"/>
        <v>SIM</v>
      </c>
      <c r="L3760" s="380">
        <f>IF(C3760="","",G3755*C3760)</f>
        <v>30</v>
      </c>
      <c r="M3760" s="381" t="str">
        <f>IF(A3760="","",VLOOKUP(A3760,VII.A!$A$10:$B$199,2,FALSE))</f>
        <v>TUBO DE PVC RÍGIDO SOLDÁVEL MARROM, DN = 25MM (3/4') - NBR 5648</v>
      </c>
      <c r="N3760" s="342" t="str">
        <f t="shared" si="972"/>
        <v>si</v>
      </c>
      <c r="R3760" s="341"/>
      <c r="S3760" s="341"/>
    </row>
    <row r="3761" spans="1:21" ht="12.75" customHeight="1">
      <c r="A3761" s="385"/>
      <c r="B3761" s="386"/>
      <c r="C3761" s="20"/>
      <c r="D3761" s="342"/>
      <c r="E3761" s="387"/>
      <c r="F3761" s="388">
        <f t="shared" si="969"/>
        <v>0</v>
      </c>
      <c r="H3761" s="341" t="str">
        <f>IF(A3761="","",VLOOKUP(A3761,VII.A!$A$10:$D$199,4,FALSE))</f>
        <v/>
      </c>
      <c r="I3761" s="341" t="str">
        <f t="shared" si="970"/>
        <v/>
      </c>
      <c r="J3761" s="341" t="str">
        <f>IF(A3761="","",VLOOKUP(A3761,VII.A!$A$10:$D$199,3,FALSE))</f>
        <v/>
      </c>
      <c r="K3761" s="342" t="str">
        <f t="shared" si="971"/>
        <v/>
      </c>
      <c r="L3761" s="380" t="str">
        <f>IF(C3761="","",G3755*C3761)</f>
        <v/>
      </c>
      <c r="M3761" s="381" t="str">
        <f>IF(A3761="","",VLOOKUP(A3761,VII.A!$A$10:$B$199,2,FALSE))</f>
        <v/>
      </c>
      <c r="N3761" s="342" t="str">
        <f t="shared" si="972"/>
        <v/>
      </c>
      <c r="R3761" s="341"/>
      <c r="S3761" s="341"/>
    </row>
    <row r="3762" spans="1:21" ht="12.75" customHeight="1">
      <c r="A3762" s="385"/>
      <c r="B3762" s="386"/>
      <c r="C3762" s="20"/>
      <c r="D3762" s="342"/>
      <c r="E3762" s="387"/>
      <c r="F3762" s="388">
        <f t="shared" si="969"/>
        <v>0</v>
      </c>
      <c r="H3762" s="341" t="str">
        <f>IF(A3762="","",VLOOKUP(A3762,VII.A!$A$10:$D$199,4,FALSE))</f>
        <v/>
      </c>
      <c r="I3762" s="341" t="str">
        <f t="shared" si="970"/>
        <v/>
      </c>
      <c r="J3762" s="341" t="str">
        <f>IF(A3762="","",VLOOKUP(A3762,VII.A!$A$10:$D$199,3,FALSE))</f>
        <v/>
      </c>
      <c r="K3762" s="342" t="str">
        <f t="shared" si="971"/>
        <v/>
      </c>
      <c r="L3762" s="380" t="str">
        <f>IF(C3762="","",G3755*C3762)</f>
        <v/>
      </c>
      <c r="M3762" s="381" t="str">
        <f>IF(A3762="","",VLOOKUP(A3762,VII.A!$A$10:$B$199,2,FALSE))</f>
        <v/>
      </c>
      <c r="N3762" s="342" t="str">
        <f t="shared" si="972"/>
        <v/>
      </c>
      <c r="R3762" s="341"/>
      <c r="S3762" s="341"/>
    </row>
    <row r="3763" spans="1:21" ht="12.75" customHeight="1">
      <c r="A3763" s="385"/>
      <c r="B3763" s="386"/>
      <c r="C3763" s="20"/>
      <c r="D3763" s="342"/>
      <c r="E3763" s="387"/>
      <c r="F3763" s="388">
        <f t="shared" si="969"/>
        <v>0</v>
      </c>
      <c r="H3763" s="341" t="str">
        <f>IF(A3763="","",VLOOKUP(A3763,VII.A!$A$10:$D$199,4,FALSE))</f>
        <v/>
      </c>
      <c r="I3763" s="341" t="str">
        <f t="shared" si="970"/>
        <v/>
      </c>
      <c r="J3763" s="341" t="str">
        <f>IF(A3763="","",VLOOKUP(A3763,VII.A!$A$10:$D$199,3,FALSE))</f>
        <v/>
      </c>
      <c r="K3763" s="342" t="str">
        <f t="shared" si="971"/>
        <v/>
      </c>
      <c r="L3763" s="380" t="str">
        <f>IF(C3763="","",G3755*C3763)</f>
        <v/>
      </c>
      <c r="M3763" s="381" t="str">
        <f>IF(A3763="","",VLOOKUP(A3763,VII.A!$A$10:$B$199,2,FALSE))</f>
        <v/>
      </c>
      <c r="N3763" s="342" t="str">
        <f t="shared" si="972"/>
        <v/>
      </c>
      <c r="R3763" s="341"/>
      <c r="S3763" s="341"/>
      <c r="U3763" s="389"/>
    </row>
    <row r="3764" spans="1:21" ht="12.75" customHeight="1">
      <c r="A3764" s="385"/>
      <c r="B3764" s="386"/>
      <c r="C3764" s="20"/>
      <c r="D3764" s="342"/>
      <c r="E3764" s="387"/>
      <c r="F3764" s="388">
        <f t="shared" si="969"/>
        <v>0</v>
      </c>
      <c r="H3764" s="341" t="str">
        <f>IF(A3764="","",VLOOKUP(A3764,VII.A!$A$10:$D$199,4,FALSE))</f>
        <v/>
      </c>
      <c r="I3764" s="341" t="str">
        <f t="shared" si="970"/>
        <v/>
      </c>
      <c r="J3764" s="341" t="str">
        <f>IF(A3764="","",VLOOKUP(A3764,VII.A!$A$10:$D$199,3,FALSE))</f>
        <v/>
      </c>
      <c r="K3764" s="342" t="str">
        <f t="shared" si="971"/>
        <v/>
      </c>
      <c r="L3764" s="380" t="str">
        <f>IF(C3764="","",G3755*C3764)</f>
        <v/>
      </c>
      <c r="M3764" s="381" t="str">
        <f>IF(A3764="","",VLOOKUP(A3764,VII.A!$A$10:$B$199,2,FALSE))</f>
        <v/>
      </c>
      <c r="N3764" s="342" t="str">
        <f t="shared" si="972"/>
        <v/>
      </c>
      <c r="R3764" s="341"/>
      <c r="S3764" s="341"/>
    </row>
    <row r="3765" spans="1:21" ht="12.75" customHeight="1">
      <c r="A3765" s="385"/>
      <c r="B3765" s="386"/>
      <c r="C3765" s="20"/>
      <c r="D3765" s="342"/>
      <c r="E3765" s="387"/>
      <c r="F3765" s="388">
        <f t="shared" si="969"/>
        <v>0</v>
      </c>
      <c r="G3765" s="390"/>
      <c r="H3765" s="341" t="str">
        <f>IF(A3765="","",VLOOKUP(A3765,VII.A!$A$10:$D$199,4,FALSE))</f>
        <v/>
      </c>
      <c r="I3765" s="341" t="str">
        <f t="shared" si="970"/>
        <v/>
      </c>
      <c r="J3765" s="341" t="str">
        <f>IF(A3765="","",VLOOKUP(A3765,VII.A!$A$10:$D$199,3,FALSE))</f>
        <v/>
      </c>
      <c r="K3765" s="342" t="str">
        <f t="shared" si="971"/>
        <v/>
      </c>
      <c r="L3765" s="380" t="str">
        <f>IF(C3765="","",G3755*C3765)</f>
        <v/>
      </c>
      <c r="M3765" s="381" t="str">
        <f>IF(A3765="","",VLOOKUP(A3765,VII.A!$A$10:$B$199,2,FALSE))</f>
        <v/>
      </c>
      <c r="N3765" s="342" t="str">
        <f t="shared" si="972"/>
        <v/>
      </c>
      <c r="R3765" s="341"/>
      <c r="S3765" s="341"/>
    </row>
    <row r="3766" spans="1:21" ht="12.75" customHeight="1">
      <c r="A3766" s="385"/>
      <c r="B3766" s="386"/>
      <c r="C3766" s="20"/>
      <c r="D3766" s="342"/>
      <c r="E3766" s="387"/>
      <c r="F3766" s="388">
        <f t="shared" si="969"/>
        <v>0</v>
      </c>
      <c r="G3766" s="390"/>
      <c r="H3766" s="341" t="str">
        <f>IF(A3766="","",VLOOKUP(A3766,VII.A!$A$10:$D$199,4,FALSE))</f>
        <v/>
      </c>
      <c r="I3766" s="341" t="str">
        <f t="shared" si="970"/>
        <v/>
      </c>
      <c r="J3766" s="341" t="str">
        <f>IF(A3766="","",VLOOKUP(A3766,VII.A!$A$10:$D$199,3,FALSE))</f>
        <v/>
      </c>
      <c r="K3766" s="342" t="str">
        <f t="shared" si="971"/>
        <v/>
      </c>
      <c r="L3766" s="380" t="str">
        <f>IF(C3766="","",G3755*C3766)</f>
        <v/>
      </c>
      <c r="M3766" s="381" t="str">
        <f>IF(A3766="","",VLOOKUP(A3766,VII.A!$A$10:$B$199,2,FALSE))</f>
        <v/>
      </c>
      <c r="N3766" s="342" t="str">
        <f t="shared" si="972"/>
        <v/>
      </c>
      <c r="R3766" s="341"/>
      <c r="S3766" s="341"/>
    </row>
    <row r="3767" spans="1:21" ht="12.75" customHeight="1">
      <c r="A3767" s="385"/>
      <c r="B3767" s="386"/>
      <c r="C3767" s="20"/>
      <c r="D3767" s="342"/>
      <c r="E3767" s="387"/>
      <c r="F3767" s="388">
        <f t="shared" si="969"/>
        <v>0</v>
      </c>
      <c r="H3767" s="341" t="str">
        <f>IF(A3767="","",VLOOKUP(A3767,VII.A!$A$10:$D$199,4,FALSE))</f>
        <v/>
      </c>
      <c r="I3767" s="341" t="str">
        <f t="shared" si="970"/>
        <v/>
      </c>
      <c r="J3767" s="341" t="str">
        <f>IF(A3767="","",VLOOKUP(A3767,VII.A!$A$10:$D$199,3,FALSE))</f>
        <v/>
      </c>
      <c r="K3767" s="342" t="str">
        <f t="shared" si="971"/>
        <v/>
      </c>
      <c r="L3767" s="380" t="str">
        <f>IF(C3767="","",G3755*C3767)</f>
        <v/>
      </c>
      <c r="M3767" s="381" t="str">
        <f>IF(A3767="","",VLOOKUP(A3767,VII.A!$A$10:$B$199,2,FALSE))</f>
        <v/>
      </c>
      <c r="N3767" s="342" t="str">
        <f t="shared" si="972"/>
        <v/>
      </c>
      <c r="R3767" s="341"/>
      <c r="S3767" s="341"/>
    </row>
    <row r="3768" spans="1:21" ht="12.75" customHeight="1">
      <c r="A3768" s="385"/>
      <c r="B3768" s="386"/>
      <c r="C3768" s="20"/>
      <c r="D3768" s="392"/>
      <c r="E3768" s="387"/>
      <c r="F3768" s="388">
        <f t="shared" si="969"/>
        <v>0</v>
      </c>
      <c r="H3768" s="341" t="str">
        <f>IF(A3768="","",VLOOKUP(A3768,VII.A!$A$10:$D$199,4,FALSE))</f>
        <v/>
      </c>
      <c r="I3768" s="341" t="str">
        <f t="shared" si="970"/>
        <v/>
      </c>
      <c r="J3768" s="341" t="str">
        <f>IF(A3768="","",VLOOKUP(A3768,VII.A!$A$10:$D$199,3,FALSE))</f>
        <v/>
      </c>
      <c r="K3768" s="342" t="str">
        <f t="shared" si="971"/>
        <v/>
      </c>
      <c r="L3768" s="380" t="str">
        <f>IF(C3768="","",G3755*C3768)</f>
        <v/>
      </c>
      <c r="M3768" s="381" t="str">
        <f>IF(A3768="","",VLOOKUP(A3768,VII.A!$A$10:$B$199,2,FALSE))</f>
        <v/>
      </c>
      <c r="N3768" s="342" t="str">
        <f t="shared" si="972"/>
        <v/>
      </c>
      <c r="R3768" s="341"/>
      <c r="S3768" s="341"/>
    </row>
    <row r="3769" spans="1:21" ht="12.75" customHeight="1">
      <c r="A3769" s="385"/>
      <c r="B3769" s="386"/>
      <c r="C3769" s="20"/>
      <c r="D3769" s="392"/>
      <c r="E3769" s="387"/>
      <c r="F3769" s="388">
        <f t="shared" si="969"/>
        <v>0</v>
      </c>
      <c r="H3769" s="341" t="str">
        <f>IF(A3769="","",VLOOKUP(A3769,VII.A!$A$10:$D$199,4,FALSE))</f>
        <v/>
      </c>
      <c r="I3769" s="341" t="str">
        <f t="shared" si="970"/>
        <v/>
      </c>
      <c r="J3769" s="341" t="str">
        <f>IF(A3769="","",VLOOKUP(A3769,VII.A!$A$10:$D$199,3,FALSE))</f>
        <v/>
      </c>
      <c r="K3769" s="342" t="str">
        <f t="shared" si="971"/>
        <v/>
      </c>
      <c r="L3769" s="380" t="str">
        <f>IF(C3769="","",G3755*C3769)</f>
        <v/>
      </c>
      <c r="M3769" s="381" t="str">
        <f>IF(A3769="","",VLOOKUP(A3769,VII.A!$A$10:$B$199,2,FALSE))</f>
        <v/>
      </c>
      <c r="N3769" s="342" t="str">
        <f t="shared" si="972"/>
        <v/>
      </c>
      <c r="O3769" s="342"/>
      <c r="R3769" s="341"/>
      <c r="S3769" s="341"/>
    </row>
    <row r="3770" spans="1:21" ht="12.75" customHeight="1">
      <c r="A3770" s="385"/>
      <c r="B3770" s="386"/>
      <c r="C3770" s="20"/>
      <c r="D3770" s="392"/>
      <c r="E3770" s="387"/>
      <c r="F3770" s="388">
        <f t="shared" si="969"/>
        <v>0</v>
      </c>
      <c r="H3770" s="341" t="str">
        <f>IF(A3770="","",VLOOKUP(A3770,VII.A!$A$10:$D$199,4,FALSE))</f>
        <v/>
      </c>
      <c r="I3770" s="341" t="str">
        <f t="shared" si="970"/>
        <v/>
      </c>
      <c r="J3770" s="341" t="str">
        <f>IF(A3770="","",VLOOKUP(A3770,VII.A!$A$10:$D$199,3,FALSE))</f>
        <v/>
      </c>
      <c r="K3770" s="342" t="str">
        <f t="shared" si="971"/>
        <v/>
      </c>
      <c r="L3770" s="380" t="str">
        <f>IF(C3770="","",G3755*C3770)</f>
        <v/>
      </c>
      <c r="M3770" s="381" t="str">
        <f>IF(A3770="","",VLOOKUP(A3770,VII.A!$A$10:$B$199,2,FALSE))</f>
        <v/>
      </c>
      <c r="N3770" s="342" t="str">
        <f t="shared" si="972"/>
        <v/>
      </c>
      <c r="R3770" s="341"/>
      <c r="S3770" s="341"/>
    </row>
    <row r="3771" spans="1:21" ht="12.75" customHeight="1">
      <c r="A3771" s="393"/>
      <c r="C3771" s="20"/>
      <c r="E3771" s="387"/>
      <c r="F3771" s="388">
        <f t="shared" si="969"/>
        <v>0</v>
      </c>
      <c r="H3771" s="341" t="str">
        <f>IF(A3771="","",VLOOKUP(A3771,VII.A!$A$10:$D$199,4,FALSE))</f>
        <v/>
      </c>
      <c r="I3771" s="341" t="str">
        <f t="shared" si="970"/>
        <v/>
      </c>
      <c r="J3771" s="341" t="str">
        <f>IF(A3771="","",VLOOKUP(A3771,VII.A!$A$10:$D$199,3,FALSE))</f>
        <v/>
      </c>
      <c r="K3771" s="342" t="str">
        <f t="shared" si="971"/>
        <v/>
      </c>
      <c r="L3771" s="380" t="str">
        <f>IF(C3771="","",G3755*C3771)</f>
        <v/>
      </c>
      <c r="M3771" s="381" t="str">
        <f>IF(A3771="","",VLOOKUP(A3771,VII.A!$A$10:$B$199,2,FALSE))</f>
        <v/>
      </c>
      <c r="N3771" s="342" t="str">
        <f t="shared" si="972"/>
        <v/>
      </c>
      <c r="R3771" s="341"/>
      <c r="S3771" s="341"/>
    </row>
    <row r="3772" spans="1:21" ht="12.75" customHeight="1">
      <c r="A3772" s="393"/>
      <c r="C3772" s="20"/>
      <c r="E3772" s="387"/>
      <c r="F3772" s="388">
        <f t="shared" si="969"/>
        <v>0</v>
      </c>
      <c r="H3772" s="341" t="str">
        <f>IF(A3772="","",VLOOKUP(A3772,VII.A!$A$10:$D$199,4,FALSE))</f>
        <v/>
      </c>
      <c r="I3772" s="341" t="str">
        <f t="shared" si="970"/>
        <v/>
      </c>
      <c r="J3772" s="341" t="str">
        <f>IF(A3772="","",VLOOKUP(A3772,VII.A!$A$10:$D$199,3,FALSE))</f>
        <v/>
      </c>
      <c r="K3772" s="342" t="str">
        <f t="shared" si="971"/>
        <v/>
      </c>
      <c r="L3772" s="380" t="str">
        <f>IF(C3772="","",G3755*C3772)</f>
        <v/>
      </c>
      <c r="M3772" s="381" t="str">
        <f>IF(A3772="","",VLOOKUP(A3772,VII.A!$A$10:$B$199,2,FALSE))</f>
        <v/>
      </c>
      <c r="N3772" s="342" t="str">
        <f t="shared" si="972"/>
        <v/>
      </c>
      <c r="R3772" s="341"/>
      <c r="S3772" s="341"/>
    </row>
    <row r="3773" spans="1:21" ht="12.75" customHeight="1">
      <c r="A3773" s="393"/>
      <c r="B3773" s="395" t="s">
        <v>226</v>
      </c>
      <c r="C3773" s="396"/>
      <c r="D3773" s="397"/>
      <c r="E3773" s="398"/>
      <c r="F3773" s="399">
        <f>SUM(F3757:F3772)</f>
        <v>0</v>
      </c>
      <c r="H3773" s="426" t="s">
        <v>520</v>
      </c>
      <c r="J3773" s="341"/>
      <c r="L3773" s="380"/>
      <c r="M3773" s="381"/>
      <c r="N3773" s="342"/>
      <c r="R3773" s="341"/>
      <c r="S3773" s="341"/>
    </row>
    <row r="3774" spans="1:21" ht="12.75" customHeight="1">
      <c r="A3774" s="393"/>
      <c r="B3774" s="400" t="s">
        <v>53</v>
      </c>
      <c r="C3774" s="2">
        <f>$D$8</f>
        <v>0</v>
      </c>
      <c r="D3774" s="401"/>
      <c r="E3774" s="402"/>
      <c r="F3774" s="403">
        <f>ROUND(F3773*C3774,2)</f>
        <v>0</v>
      </c>
      <c r="H3774" s="426"/>
      <c r="J3774" s="341"/>
      <c r="L3774" s="380"/>
      <c r="M3774" s="381"/>
      <c r="N3774" s="342"/>
      <c r="R3774" s="341"/>
      <c r="S3774" s="341"/>
    </row>
    <row r="3775" spans="1:21" ht="12.75" customHeight="1">
      <c r="A3775" s="404"/>
      <c r="B3775" s="405" t="s">
        <v>227</v>
      </c>
      <c r="C3775" s="406"/>
      <c r="D3775" s="406"/>
      <c r="E3775" s="407"/>
      <c r="F3775" s="408">
        <f>F3773+F3774</f>
        <v>0</v>
      </c>
      <c r="J3775" s="341"/>
      <c r="L3775" s="380"/>
      <c r="M3775" s="381"/>
      <c r="N3775" s="342"/>
      <c r="R3775" s="341"/>
      <c r="S3775" s="341"/>
    </row>
    <row r="3776" spans="1:21" ht="12.75" customHeight="1">
      <c r="A3776" s="374" t="s">
        <v>2</v>
      </c>
      <c r="B3776" s="375" t="s">
        <v>235</v>
      </c>
      <c r="C3776" s="376" t="s">
        <v>231</v>
      </c>
      <c r="D3776" s="376" t="s">
        <v>232</v>
      </c>
      <c r="E3776" s="377" t="s">
        <v>233</v>
      </c>
      <c r="F3776" s="378" t="s">
        <v>234</v>
      </c>
      <c r="J3776" s="341"/>
      <c r="L3776" s="380"/>
      <c r="M3776" s="381"/>
      <c r="N3776" s="342"/>
      <c r="R3776" s="341"/>
      <c r="S3776" s="341"/>
    </row>
    <row r="3777" spans="1:19" ht="12.75" customHeight="1">
      <c r="A3777" s="393"/>
      <c r="B3777" s="423"/>
      <c r="C3777" s="20"/>
      <c r="E3777" s="387"/>
      <c r="F3777" s="388">
        <f t="shared" ref="F3777:F3786" si="973">ROUND(C3777*E3777,2)</f>
        <v>0</v>
      </c>
      <c r="H3777" s="341" t="str">
        <f>IF(A3777="","",VLOOKUP(A3777,VII.A!$A$10:$D$199,4,FALSE))</f>
        <v/>
      </c>
      <c r="I3777" s="341" t="str">
        <f t="shared" ref="I3777:I3786" si="974">IF(A3777="","",IF(E3777=H3777,"SIM","NÃO"))</f>
        <v/>
      </c>
      <c r="J3777" s="341" t="str">
        <f>IF(A3777="","",VLOOKUP(A3777,VII.A!$A$10:$D$199,3,FALSE))</f>
        <v/>
      </c>
      <c r="K3777" s="342" t="str">
        <f t="shared" ref="K3777:K3786" si="975">IF(A3777="","",IF(J3777=D3777,"SIM","NÃO"))</f>
        <v/>
      </c>
      <c r="L3777" s="380" t="str">
        <f>IF(C3777="","",G3755*C3777)</f>
        <v/>
      </c>
      <c r="M3777" s="381" t="str">
        <f>IF(A3777="","",VLOOKUP(A3777,VII.A!$A$10:$B$199,2,FALSE))</f>
        <v/>
      </c>
      <c r="N3777" s="342" t="str">
        <f t="shared" ref="N3777:N3786" si="976">IF(B3777="","",IF(M3777=B3777,"si","no"))</f>
        <v/>
      </c>
      <c r="R3777" s="341"/>
      <c r="S3777" s="341"/>
    </row>
    <row r="3778" spans="1:19" ht="12.75" customHeight="1">
      <c r="A3778" s="393"/>
      <c r="C3778" s="20"/>
      <c r="E3778" s="387"/>
      <c r="F3778" s="388">
        <f t="shared" si="973"/>
        <v>0</v>
      </c>
      <c r="H3778" s="341" t="str">
        <f>IF(A3778="","",VLOOKUP(A3778,VII.A!$A$10:$D$199,4,FALSE))</f>
        <v/>
      </c>
      <c r="I3778" s="341" t="str">
        <f t="shared" si="974"/>
        <v/>
      </c>
      <c r="J3778" s="341" t="str">
        <f>IF(A3778="","",VLOOKUP(A3778,VII.A!$A$10:$D$199,3,FALSE))</f>
        <v/>
      </c>
      <c r="K3778" s="342" t="str">
        <f t="shared" si="975"/>
        <v/>
      </c>
      <c r="L3778" s="380" t="str">
        <f>IF(C3778="","",G3755*C3778)</f>
        <v/>
      </c>
      <c r="M3778" s="381" t="str">
        <f>IF(A3778="","",VLOOKUP(A3778,VII.A!$A$10:$B$199,2,FALSE))</f>
        <v/>
      </c>
      <c r="N3778" s="342" t="str">
        <f t="shared" si="976"/>
        <v/>
      </c>
      <c r="R3778" s="341"/>
      <c r="S3778" s="341"/>
    </row>
    <row r="3779" spans="1:19" ht="12.75" customHeight="1">
      <c r="A3779" s="393"/>
      <c r="C3779" s="20"/>
      <c r="E3779" s="387"/>
      <c r="F3779" s="388">
        <f t="shared" si="973"/>
        <v>0</v>
      </c>
      <c r="H3779" s="341" t="str">
        <f>IF(A3779="","",VLOOKUP(A3779,VII.A!$A$10:$D$199,4,FALSE))</f>
        <v/>
      </c>
      <c r="I3779" s="341" t="str">
        <f t="shared" si="974"/>
        <v/>
      </c>
      <c r="J3779" s="341" t="str">
        <f>IF(A3779="","",VLOOKUP(A3779,VII.A!$A$10:$D$199,3,FALSE))</f>
        <v/>
      </c>
      <c r="K3779" s="342" t="str">
        <f t="shared" si="975"/>
        <v/>
      </c>
      <c r="L3779" s="380" t="str">
        <f>IF(C3779="","",G3755*C3779)</f>
        <v/>
      </c>
      <c r="M3779" s="381" t="str">
        <f>IF(A3779="","",VLOOKUP(A3779,VII.A!$A$10:$B$199,2,FALSE))</f>
        <v/>
      </c>
      <c r="N3779" s="342" t="str">
        <f t="shared" si="976"/>
        <v/>
      </c>
      <c r="R3779" s="341"/>
      <c r="S3779" s="341"/>
    </row>
    <row r="3780" spans="1:19" ht="12.75" customHeight="1">
      <c r="A3780" s="393"/>
      <c r="C3780" s="20"/>
      <c r="E3780" s="387"/>
      <c r="F3780" s="388">
        <f t="shared" si="973"/>
        <v>0</v>
      </c>
      <c r="H3780" s="341" t="str">
        <f>IF(A3780="","",VLOOKUP(A3780,VII.A!$A$10:$D$199,4,FALSE))</f>
        <v/>
      </c>
      <c r="I3780" s="341" t="str">
        <f t="shared" si="974"/>
        <v/>
      </c>
      <c r="J3780" s="341" t="str">
        <f>IF(A3780="","",VLOOKUP(A3780,VII.A!$A$10:$D$199,3,FALSE))</f>
        <v/>
      </c>
      <c r="K3780" s="342" t="str">
        <f t="shared" si="975"/>
        <v/>
      </c>
      <c r="L3780" s="380" t="str">
        <f>IF(C3780="","",G3755*C3780)</f>
        <v/>
      </c>
      <c r="M3780" s="381" t="str">
        <f>IF(A3780="","",VLOOKUP(A3780,VII.A!$A$10:$B$199,2,FALSE))</f>
        <v/>
      </c>
      <c r="N3780" s="342" t="str">
        <f t="shared" si="976"/>
        <v/>
      </c>
      <c r="R3780" s="341"/>
      <c r="S3780" s="341"/>
    </row>
    <row r="3781" spans="1:19" ht="12.75" customHeight="1">
      <c r="A3781" s="393"/>
      <c r="C3781" s="20"/>
      <c r="E3781" s="387"/>
      <c r="F3781" s="388">
        <f>ROUND(C3781*E3781,2)</f>
        <v>0</v>
      </c>
      <c r="G3781" s="390"/>
      <c r="H3781" s="341" t="str">
        <f>IF(A3781="","",VLOOKUP(A3781,VII.A!$A$10:$D$199,4,FALSE))</f>
        <v/>
      </c>
      <c r="I3781" s="341" t="str">
        <f>IF(A3781="","",IF(E3781=H3781,"SIM","NÃO"))</f>
        <v/>
      </c>
      <c r="J3781" s="341" t="str">
        <f>IF(A3781="","",VLOOKUP(A3781,VII.A!$A$10:$D$199,3,FALSE))</f>
        <v/>
      </c>
      <c r="K3781" s="342" t="str">
        <f>IF(A3781="","",IF(J3781=D3781,"SIM","NÃO"))</f>
        <v/>
      </c>
      <c r="L3781" s="380" t="str">
        <f>IF(C3781="","",G3754*C3781)</f>
        <v/>
      </c>
      <c r="M3781" s="381" t="str">
        <f>IF(A3781="","",VLOOKUP(A3781,VII.A!$A$10:$B$199,2,FALSE))</f>
        <v/>
      </c>
      <c r="N3781" s="342" t="str">
        <f>IF(B3781="","",IF(M3781=B3781,"si","no"))</f>
        <v/>
      </c>
      <c r="R3781" s="341"/>
      <c r="S3781" s="341"/>
    </row>
    <row r="3782" spans="1:19" ht="12.75" customHeight="1">
      <c r="A3782" s="393"/>
      <c r="C3782" s="20"/>
      <c r="E3782" s="387"/>
      <c r="F3782" s="388">
        <f t="shared" si="973"/>
        <v>0</v>
      </c>
      <c r="G3782" s="390"/>
      <c r="H3782" s="341" t="str">
        <f>IF(A3782="","",VLOOKUP(A3782,VII.A!$A$10:$D$199,4,FALSE))</f>
        <v/>
      </c>
      <c r="I3782" s="341" t="str">
        <f t="shared" si="974"/>
        <v/>
      </c>
      <c r="J3782" s="341" t="str">
        <f>IF(A3782="","",VLOOKUP(A3782,VII.A!$A$10:$D$199,3,FALSE))</f>
        <v/>
      </c>
      <c r="K3782" s="342" t="str">
        <f t="shared" si="975"/>
        <v/>
      </c>
      <c r="L3782" s="380" t="str">
        <f>IF(C3782="","",G3755*C3782)</f>
        <v/>
      </c>
      <c r="M3782" s="381" t="str">
        <f>IF(A3782="","",VLOOKUP(A3782,VII.A!$A$10:$B$199,2,FALSE))</f>
        <v/>
      </c>
      <c r="N3782" s="342" t="str">
        <f t="shared" si="976"/>
        <v/>
      </c>
      <c r="R3782" s="341"/>
      <c r="S3782" s="341"/>
    </row>
    <row r="3783" spans="1:19" ht="12.75" customHeight="1">
      <c r="A3783" s="393"/>
      <c r="C3783" s="20"/>
      <c r="E3783" s="387"/>
      <c r="F3783" s="388">
        <f t="shared" si="973"/>
        <v>0</v>
      </c>
      <c r="G3783" s="391"/>
      <c r="H3783" s="341" t="str">
        <f>IF(A3783="","",VLOOKUP(A3783,VII.A!$A$10:$D$199,4,FALSE))</f>
        <v/>
      </c>
      <c r="I3783" s="341" t="str">
        <f t="shared" si="974"/>
        <v/>
      </c>
      <c r="J3783" s="341" t="str">
        <f>IF(A3783="","",VLOOKUP(A3783,VII.A!$A$10:$D$199,3,FALSE))</f>
        <v/>
      </c>
      <c r="K3783" s="342" t="str">
        <f t="shared" si="975"/>
        <v/>
      </c>
      <c r="L3783" s="380" t="str">
        <f>IF(C3783="","",G3755*C3783)</f>
        <v/>
      </c>
      <c r="M3783" s="381" t="str">
        <f>IF(A3783="","",VLOOKUP(A3783,VII.A!$A$10:$B$199,2,FALSE))</f>
        <v/>
      </c>
      <c r="N3783" s="342" t="str">
        <f t="shared" si="976"/>
        <v/>
      </c>
      <c r="R3783" s="341"/>
      <c r="S3783" s="341"/>
    </row>
    <row r="3784" spans="1:19" ht="12.75" customHeight="1">
      <c r="A3784" s="393"/>
      <c r="C3784" s="20"/>
      <c r="E3784" s="387"/>
      <c r="F3784" s="388">
        <f t="shared" si="973"/>
        <v>0</v>
      </c>
      <c r="H3784" s="341" t="str">
        <f>IF(A3784="","",VLOOKUP(A3784,VII.A!$A$10:$D$199,4,FALSE))</f>
        <v/>
      </c>
      <c r="I3784" s="341" t="str">
        <f t="shared" si="974"/>
        <v/>
      </c>
      <c r="J3784" s="341" t="str">
        <f>IF(A3784="","",VLOOKUP(A3784,VII.A!$A$10:$D$199,3,FALSE))</f>
        <v/>
      </c>
      <c r="K3784" s="342" t="str">
        <f t="shared" si="975"/>
        <v/>
      </c>
      <c r="L3784" s="380" t="str">
        <f>IF(C3784="","",G3755*C3784)</f>
        <v/>
      </c>
      <c r="M3784" s="381" t="str">
        <f>IF(A3784="","",VLOOKUP(A3784,VII.A!$A$10:$B$199,2,FALSE))</f>
        <v/>
      </c>
      <c r="N3784" s="342" t="str">
        <f t="shared" si="976"/>
        <v/>
      </c>
      <c r="R3784" s="341"/>
      <c r="S3784" s="341"/>
    </row>
    <row r="3785" spans="1:19" ht="12.75" customHeight="1">
      <c r="A3785" s="393"/>
      <c r="C3785" s="20"/>
      <c r="E3785" s="387"/>
      <c r="F3785" s="388">
        <f t="shared" si="973"/>
        <v>0</v>
      </c>
      <c r="H3785" s="341" t="str">
        <f>IF(A3785="","",VLOOKUP(A3785,VII.A!$A$10:$D$199,4,FALSE))</f>
        <v/>
      </c>
      <c r="I3785" s="341" t="str">
        <f t="shared" si="974"/>
        <v/>
      </c>
      <c r="J3785" s="341" t="str">
        <f>IF(A3785="","",VLOOKUP(A3785,VII.A!$A$10:$D$199,3,FALSE))</f>
        <v/>
      </c>
      <c r="K3785" s="342" t="str">
        <f t="shared" si="975"/>
        <v/>
      </c>
      <c r="L3785" s="380" t="str">
        <f>IF(C3785="","",G3755*C3785)</f>
        <v/>
      </c>
      <c r="M3785" s="381" t="str">
        <f>IF(A3785="","",VLOOKUP(A3785,VII.A!$A$10:$B$199,2,FALSE))</f>
        <v/>
      </c>
      <c r="N3785" s="342" t="str">
        <f t="shared" si="976"/>
        <v/>
      </c>
      <c r="R3785" s="341"/>
      <c r="S3785" s="341"/>
    </row>
    <row r="3786" spans="1:19" ht="12.75" customHeight="1">
      <c r="A3786" s="393"/>
      <c r="C3786" s="20"/>
      <c r="E3786" s="387"/>
      <c r="F3786" s="388">
        <f t="shared" si="973"/>
        <v>0</v>
      </c>
      <c r="H3786" s="341" t="str">
        <f>IF(A3786="","",VLOOKUP(A3786,VII.A!$A$10:$D$199,4,FALSE))</f>
        <v/>
      </c>
      <c r="I3786" s="341" t="str">
        <f t="shared" si="974"/>
        <v/>
      </c>
      <c r="J3786" s="341" t="str">
        <f>IF(A3786="","",VLOOKUP(A3786,VII.A!$A$10:$D$199,3,FALSE))</f>
        <v/>
      </c>
      <c r="K3786" s="342" t="str">
        <f t="shared" si="975"/>
        <v/>
      </c>
      <c r="L3786" s="380" t="str">
        <f>IF(C3786="","",G3755*C3786)</f>
        <v/>
      </c>
      <c r="M3786" s="381" t="str">
        <f>IF(A3786="","",VLOOKUP(A3786,VII.A!$A$10:$B$199,2,FALSE))</f>
        <v/>
      </c>
      <c r="N3786" s="342" t="str">
        <f t="shared" si="976"/>
        <v/>
      </c>
      <c r="R3786" s="341"/>
      <c r="S3786" s="341"/>
    </row>
    <row r="3787" spans="1:19" ht="12.75" customHeight="1">
      <c r="A3787" s="393"/>
      <c r="B3787" s="395" t="s">
        <v>226</v>
      </c>
      <c r="C3787" s="396"/>
      <c r="D3787" s="397"/>
      <c r="E3787" s="398"/>
      <c r="F3787" s="399">
        <f>SUM(F3777:F3786)</f>
        <v>0</v>
      </c>
      <c r="J3787" s="341"/>
      <c r="L3787" s="380"/>
      <c r="M3787" s="381"/>
      <c r="N3787" s="342"/>
      <c r="R3787" s="341"/>
      <c r="S3787" s="341"/>
    </row>
    <row r="3788" spans="1:19" ht="12.75" customHeight="1">
      <c r="A3788" s="393"/>
      <c r="B3788" s="400" t="s">
        <v>53</v>
      </c>
      <c r="C3788" s="2">
        <f>$D$8</f>
        <v>0</v>
      </c>
      <c r="D3788" s="401"/>
      <c r="E3788" s="402"/>
      <c r="F3788" s="403">
        <f>ROUND(C3788*F3787,2)</f>
        <v>0</v>
      </c>
      <c r="J3788" s="341"/>
      <c r="L3788" s="380"/>
      <c r="M3788" s="381"/>
      <c r="N3788" s="342"/>
      <c r="R3788" s="341"/>
      <c r="S3788" s="341"/>
    </row>
    <row r="3789" spans="1:19" ht="12.75" customHeight="1">
      <c r="A3789" s="404"/>
      <c r="B3789" s="405" t="s">
        <v>228</v>
      </c>
      <c r="C3789" s="406"/>
      <c r="D3789" s="406"/>
      <c r="E3789" s="407"/>
      <c r="F3789" s="408">
        <f>F3787+F3788</f>
        <v>0</v>
      </c>
      <c r="J3789" s="341"/>
      <c r="L3789" s="380"/>
      <c r="M3789" s="381"/>
      <c r="N3789" s="342"/>
      <c r="R3789" s="341"/>
      <c r="S3789" s="341"/>
    </row>
    <row r="3790" spans="1:19" ht="12.75" customHeight="1">
      <c r="A3790" s="409" t="s">
        <v>47</v>
      </c>
      <c r="B3790" s="410" t="s">
        <v>236</v>
      </c>
      <c r="C3790" s="411" t="s">
        <v>231</v>
      </c>
      <c r="D3790" s="412" t="s">
        <v>232</v>
      </c>
      <c r="E3790" s="413" t="s">
        <v>233</v>
      </c>
      <c r="F3790" s="378" t="s">
        <v>234</v>
      </c>
      <c r="J3790" s="341"/>
      <c r="L3790" s="380"/>
      <c r="M3790" s="381"/>
      <c r="N3790" s="342"/>
      <c r="R3790" s="341"/>
      <c r="S3790" s="341"/>
    </row>
    <row r="3791" spans="1:19" ht="12.75" customHeight="1">
      <c r="A3791" s="393" t="str">
        <f>VII.A!$A$181</f>
        <v>3.1</v>
      </c>
      <c r="B3791" s="394" t="str">
        <f>VII.A!B181</f>
        <v>AJUDANTE COM ENCARGOS COMPLEMENTARES</v>
      </c>
      <c r="C3791" s="20">
        <v>0.5</v>
      </c>
      <c r="D3791" s="384" t="str">
        <f>VII.A!C181</f>
        <v>H</v>
      </c>
      <c r="E3791" s="387">
        <f>VII.A!D181</f>
        <v>0</v>
      </c>
      <c r="F3791" s="388">
        <f t="shared" ref="F3791:F3797" si="977">ROUND(C3791*E3791,2)</f>
        <v>0</v>
      </c>
      <c r="H3791" s="341">
        <f>IF(A3791="","",VLOOKUP(A3791,VII.A!$A$10:$D$199,4,FALSE))</f>
        <v>0</v>
      </c>
      <c r="I3791" s="341" t="str">
        <f t="shared" ref="I3791:I3797" si="978">IF(A3791="","",IF(E3791=H3791,"SIM","NÃO"))</f>
        <v>SIM</v>
      </c>
      <c r="J3791" s="341" t="str">
        <f>IF(A3791="","",VLOOKUP(A3791,VII.A!$A$10:$D$199,3,FALSE))</f>
        <v>H</v>
      </c>
      <c r="K3791" s="342" t="str">
        <f t="shared" ref="K3791:K3797" si="979">IF(A3791="","",IF(J3791=D3791,"SIM","NÃO"))</f>
        <v>SIM</v>
      </c>
      <c r="L3791" s="380">
        <f>IF(C3791="","",G3755*C3791)</f>
        <v>10</v>
      </c>
      <c r="M3791" s="381" t="str">
        <f>IF(A3791="","",VLOOKUP(A3791,VII.A!$A$10:$B$199,2,FALSE))</f>
        <v>AJUDANTE COM ENCARGOS COMPLEMENTARES</v>
      </c>
      <c r="N3791" s="342" t="str">
        <f t="shared" ref="N3791:N3797" si="980">IF(B3791="","",IF(M3791=B3791,"si","no"))</f>
        <v>si</v>
      </c>
      <c r="R3791" s="341"/>
      <c r="S3791" s="341"/>
    </row>
    <row r="3792" spans="1:19" ht="12.75" customHeight="1">
      <c r="A3792" s="393" t="str">
        <f>VII.A!$A$187</f>
        <v>3.7</v>
      </c>
      <c r="B3792" s="394" t="str">
        <f>VII.A!B187</f>
        <v>ENCANADOR COM ENCARGOS COMPLEMENTARES</v>
      </c>
      <c r="C3792" s="20">
        <v>0.5</v>
      </c>
      <c r="D3792" s="384" t="str">
        <f>VII.A!C187</f>
        <v>H</v>
      </c>
      <c r="E3792" s="387">
        <f>VII.A!D187</f>
        <v>0</v>
      </c>
      <c r="F3792" s="388">
        <f t="shared" si="977"/>
        <v>0</v>
      </c>
      <c r="H3792" s="341">
        <f>IF(A3792="","",VLOOKUP(A3792,VII.A!$A$10:$D$199,4,FALSE))</f>
        <v>0</v>
      </c>
      <c r="I3792" s="341" t="str">
        <f t="shared" si="978"/>
        <v>SIM</v>
      </c>
      <c r="J3792" s="341" t="str">
        <f>IF(A3792="","",VLOOKUP(A3792,VII.A!$A$10:$D$199,3,FALSE))</f>
        <v>H</v>
      </c>
      <c r="K3792" s="342" t="str">
        <f t="shared" si="979"/>
        <v>SIM</v>
      </c>
      <c r="L3792" s="380">
        <f>IF(C3792="","",G3755*C3792)</f>
        <v>10</v>
      </c>
      <c r="M3792" s="381" t="str">
        <f>IF(A3792="","",VLOOKUP(A3792,VII.A!$A$10:$B$199,2,FALSE))</f>
        <v>ENCANADOR COM ENCARGOS COMPLEMENTARES</v>
      </c>
      <c r="N3792" s="342" t="str">
        <f t="shared" si="980"/>
        <v>si</v>
      </c>
      <c r="R3792" s="341"/>
      <c r="S3792" s="341"/>
    </row>
    <row r="3793" spans="1:25" ht="12.75" customHeight="1">
      <c r="A3793" s="393"/>
      <c r="C3793" s="20"/>
      <c r="E3793" s="387"/>
      <c r="F3793" s="388">
        <f t="shared" si="977"/>
        <v>0</v>
      </c>
      <c r="H3793" s="341" t="str">
        <f>IF(A3793="","",VLOOKUP(A3793,VII.A!$A$10:$D$199,4,FALSE))</f>
        <v/>
      </c>
      <c r="I3793" s="341" t="str">
        <f t="shared" si="978"/>
        <v/>
      </c>
      <c r="J3793" s="341" t="str">
        <f>IF(A3793="","",VLOOKUP(A3793,VII.A!$A$10:$D$199,3,FALSE))</f>
        <v/>
      </c>
      <c r="K3793" s="342" t="str">
        <f t="shared" si="979"/>
        <v/>
      </c>
      <c r="L3793" s="380" t="str">
        <f>IF(C3793="","",G3755*C3793)</f>
        <v/>
      </c>
      <c r="M3793" s="381" t="str">
        <f>IF(A3793="","",VLOOKUP(A3793,VII.A!$A$10:$B$199,2,FALSE))</f>
        <v/>
      </c>
      <c r="N3793" s="342" t="str">
        <f t="shared" si="980"/>
        <v/>
      </c>
      <c r="R3793" s="341"/>
      <c r="S3793" s="341"/>
    </row>
    <row r="3794" spans="1:25" ht="12.75" customHeight="1">
      <c r="A3794" s="393"/>
      <c r="C3794" s="20"/>
      <c r="E3794" s="387"/>
      <c r="F3794" s="388">
        <f t="shared" si="977"/>
        <v>0</v>
      </c>
      <c r="H3794" s="341" t="str">
        <f>IF(A3794="","",VLOOKUP(A3794,VII.A!$A$10:$D$199,4,FALSE))</f>
        <v/>
      </c>
      <c r="I3794" s="341" t="str">
        <f t="shared" si="978"/>
        <v/>
      </c>
      <c r="J3794" s="341" t="str">
        <f>IF(A3794="","",VLOOKUP(A3794,VII.A!$A$10:$D$199,3,FALSE))</f>
        <v/>
      </c>
      <c r="K3794" s="342" t="str">
        <f t="shared" si="979"/>
        <v/>
      </c>
      <c r="L3794" s="380" t="str">
        <f>IF(C3794="","",G3755*C3794)</f>
        <v/>
      </c>
      <c r="M3794" s="381" t="str">
        <f>IF(A3794="","",VLOOKUP(A3794,VII.A!$A$10:$B$199,2,FALSE))</f>
        <v/>
      </c>
      <c r="N3794" s="342" t="str">
        <f t="shared" si="980"/>
        <v/>
      </c>
      <c r="R3794" s="341"/>
      <c r="S3794" s="341"/>
    </row>
    <row r="3795" spans="1:25" ht="12.75" customHeight="1">
      <c r="A3795" s="393"/>
      <c r="C3795" s="20"/>
      <c r="E3795" s="387"/>
      <c r="F3795" s="388">
        <f t="shared" si="977"/>
        <v>0</v>
      </c>
      <c r="H3795" s="341" t="str">
        <f>IF(A3795="","",VLOOKUP(A3795,VII.A!$A$10:$D$199,4,FALSE))</f>
        <v/>
      </c>
      <c r="I3795" s="341" t="str">
        <f t="shared" si="978"/>
        <v/>
      </c>
      <c r="J3795" s="341" t="str">
        <f>IF(A3795="","",VLOOKUP(A3795,VII.A!$A$10:$D$199,3,FALSE))</f>
        <v/>
      </c>
      <c r="K3795" s="342" t="str">
        <f t="shared" si="979"/>
        <v/>
      </c>
      <c r="L3795" s="380" t="str">
        <f>IF(C3795="","",G3755*C3795)</f>
        <v/>
      </c>
      <c r="M3795" s="381" t="str">
        <f>IF(A3795="","",VLOOKUP(A3795,VII.A!$A$10:$B$199,2,FALSE))</f>
        <v/>
      </c>
      <c r="N3795" s="342" t="str">
        <f t="shared" si="980"/>
        <v/>
      </c>
      <c r="R3795" s="341"/>
      <c r="S3795" s="341"/>
    </row>
    <row r="3796" spans="1:25" ht="12.75" customHeight="1">
      <c r="A3796" s="393"/>
      <c r="C3796" s="20"/>
      <c r="E3796" s="387"/>
      <c r="F3796" s="388">
        <f t="shared" si="977"/>
        <v>0</v>
      </c>
      <c r="H3796" s="341" t="str">
        <f>IF(A3796="","",VLOOKUP(A3796,VII.A!$A$10:$D$199,4,FALSE))</f>
        <v/>
      </c>
      <c r="I3796" s="341" t="str">
        <f t="shared" si="978"/>
        <v/>
      </c>
      <c r="J3796" s="341" t="str">
        <f>IF(A3796="","",VLOOKUP(A3796,VII.A!$A$10:$D$199,3,FALSE))</f>
        <v/>
      </c>
      <c r="K3796" s="342" t="str">
        <f t="shared" si="979"/>
        <v/>
      </c>
      <c r="L3796" s="380" t="str">
        <f>IF(C3796="","",G3755*C3796)</f>
        <v/>
      </c>
      <c r="M3796" s="381" t="str">
        <f>IF(A3796="","",VLOOKUP(A3796,VII.A!$A$10:$B$199,2,FALSE))</f>
        <v/>
      </c>
      <c r="N3796" s="342" t="str">
        <f t="shared" si="980"/>
        <v/>
      </c>
      <c r="R3796" s="341"/>
      <c r="S3796" s="341"/>
    </row>
    <row r="3797" spans="1:25" ht="12.75" customHeight="1">
      <c r="A3797" s="393"/>
      <c r="C3797" s="20"/>
      <c r="E3797" s="387"/>
      <c r="F3797" s="388">
        <f t="shared" si="977"/>
        <v>0</v>
      </c>
      <c r="H3797" s="341" t="str">
        <f>IF(A3797="","",VLOOKUP(A3797,VII.A!$A$10:$D$199,4,FALSE))</f>
        <v/>
      </c>
      <c r="I3797" s="341" t="str">
        <f t="shared" si="978"/>
        <v/>
      </c>
      <c r="J3797" s="341" t="str">
        <f>IF(A3797="","",VLOOKUP(A3797,VII.A!$A$10:$D$199,3,FALSE))</f>
        <v/>
      </c>
      <c r="K3797" s="342" t="str">
        <f t="shared" si="979"/>
        <v/>
      </c>
      <c r="L3797" s="380" t="str">
        <f>IF(C3797="","",G3755*C3797)</f>
        <v/>
      </c>
      <c r="M3797" s="381" t="str">
        <f>IF(A3797="","",VLOOKUP(A3797,VII.A!$A$10:$B$199,2,FALSE))</f>
        <v/>
      </c>
      <c r="N3797" s="342" t="str">
        <f t="shared" si="980"/>
        <v/>
      </c>
      <c r="R3797" s="341"/>
      <c r="S3797" s="341"/>
    </row>
    <row r="3798" spans="1:25" ht="12.75" customHeight="1">
      <c r="A3798" s="393"/>
      <c r="B3798" s="395" t="s">
        <v>226</v>
      </c>
      <c r="C3798" s="396"/>
      <c r="D3798" s="397"/>
      <c r="E3798" s="398"/>
      <c r="F3798" s="399">
        <f>SUM(F3791:F3797)</f>
        <v>0</v>
      </c>
      <c r="J3798" s="341"/>
      <c r="L3798" s="380"/>
      <c r="M3798" s="381"/>
      <c r="N3798" s="342"/>
      <c r="R3798" s="341"/>
      <c r="S3798" s="341"/>
    </row>
    <row r="3799" spans="1:25" ht="12.75" customHeight="1">
      <c r="A3799" s="393"/>
      <c r="B3799" s="400" t="s">
        <v>229</v>
      </c>
      <c r="C3799" s="2">
        <f>IX.A!$C$45</f>
        <v>0</v>
      </c>
      <c r="D3799" s="401"/>
      <c r="E3799" s="402"/>
      <c r="F3799" s="403">
        <f>ROUND(F3798*C3799,2)</f>
        <v>0</v>
      </c>
      <c r="J3799" s="341"/>
      <c r="L3799" s="380"/>
      <c r="M3799" s="381"/>
      <c r="N3799" s="342"/>
      <c r="R3799" s="341"/>
      <c r="S3799" s="341"/>
    </row>
    <row r="3800" spans="1:25" ht="12.75" customHeight="1">
      <c r="A3800" s="393"/>
      <c r="B3800" s="400" t="s">
        <v>53</v>
      </c>
      <c r="C3800" s="2">
        <f>$D$8</f>
        <v>0</v>
      </c>
      <c r="D3800" s="401"/>
      <c r="E3800" s="402"/>
      <c r="F3800" s="403">
        <f>ROUND(SUM(F3798:F3799)*C3800,2)</f>
        <v>0</v>
      </c>
      <c r="J3800" s="341"/>
      <c r="L3800" s="380"/>
      <c r="M3800" s="381"/>
      <c r="N3800" s="342"/>
      <c r="R3800" s="341"/>
      <c r="S3800" s="341"/>
    </row>
    <row r="3801" spans="1:25" ht="12.75" customHeight="1" thickBot="1">
      <c r="A3801" s="414"/>
      <c r="B3801" s="415" t="s">
        <v>230</v>
      </c>
      <c r="C3801" s="416"/>
      <c r="D3801" s="416"/>
      <c r="E3801" s="417"/>
      <c r="F3801" s="418">
        <f>SUM(F3798:F3800)</f>
        <v>0</v>
      </c>
      <c r="J3801" s="341"/>
      <c r="L3801" s="380"/>
      <c r="M3801" s="381"/>
      <c r="N3801" s="342"/>
      <c r="R3801" s="341"/>
      <c r="S3801" s="341"/>
    </row>
    <row r="3802" spans="1:25" ht="12.75" customHeight="1" thickBot="1">
      <c r="A3802" s="357"/>
      <c r="B3802" s="358"/>
      <c r="C3802" s="359"/>
      <c r="D3802" s="359"/>
      <c r="E3802" s="360"/>
      <c r="F3802" s="419"/>
      <c r="J3802" s="341"/>
      <c r="L3802" s="380"/>
      <c r="M3802" s="381"/>
      <c r="N3802" s="342"/>
      <c r="R3802" s="341"/>
      <c r="S3802" s="341"/>
    </row>
    <row r="3803" spans="1:25" ht="30" customHeight="1">
      <c r="A3803" s="370" t="str">
        <f>IV.A!A118</f>
        <v>4.5</v>
      </c>
      <c r="B3803" s="371" t="str">
        <f>IV.A!B118</f>
        <v>TUBO PVC RÍGIDO SOLDÁVEL MARROM, DN = 40 MM (1.1/4'), INCLUSE CONEXÕES</v>
      </c>
      <c r="C3803" s="871" t="s">
        <v>237</v>
      </c>
      <c r="D3803" s="872"/>
      <c r="E3803" s="372" t="str">
        <f>IV.A!C118</f>
        <v>M</v>
      </c>
      <c r="F3803" s="11">
        <f>ROUND(F3823+F3837+F3849,2)</f>
        <v>0</v>
      </c>
      <c r="G3803" s="1">
        <f>VLOOKUP(A3803,IV.A!$A$16:$L$172,4,FALSE)</f>
        <v>10</v>
      </c>
      <c r="H3803" s="361">
        <f>SUM(F3805:F3820)+F3822</f>
        <v>0</v>
      </c>
      <c r="I3803" s="361">
        <f>SUM(F3825:F3834)+F3836</f>
        <v>0</v>
      </c>
      <c r="J3803" s="361">
        <f>SUM(F3839:F3845)+F3847+F3848</f>
        <v>0</v>
      </c>
      <c r="K3803" s="361">
        <f>SUM(H3803:J3803)</f>
        <v>0</v>
      </c>
      <c r="L3803" s="362" t="str">
        <f>IF(K3803=F3803,"SIM","NÃO")</f>
        <v>SIM</v>
      </c>
      <c r="M3803" s="373">
        <f>ROUND(SUM(F3805:F3820),2)+ROUND(SUM(F3805:F3820)*C3822,2)+ROUND(SUM(F3825:F3834)*C3836,2)+ROUND(SUM(F3825:F3834),2)+ROUND(SUM(F3839:F3845)*C3847,2)+ROUND((SUM(F3839:F3845)+ROUND(SUM(F3839:F3845)*C3847,2))*C3848,2)+ROUND(SUM(F3839:F3845),2)</f>
        <v>0</v>
      </c>
      <c r="N3803" s="343" t="str">
        <f>IF(M3803=F3803,"SIM","NÃO")</f>
        <v>SIM</v>
      </c>
      <c r="O3803" s="364" t="str">
        <f>VLOOKUP(A3803,IV.A!$A$16:$E$172,3,FALSE)</f>
        <v>M</v>
      </c>
      <c r="P3803" s="344" t="str">
        <f>IF(O3803=E3803,"SIM","NÃO")</f>
        <v>SIM</v>
      </c>
      <c r="Q3803" s="365">
        <f>ROUND(G3803*F3823,2)+ROUND(G3803*F3837,2)+ROUND(G3803*F3849,2)</f>
        <v>0</v>
      </c>
      <c r="R3803" s="364">
        <f>VLOOKUP(A3803,IV.A!$A$16:$L$172,12,FALSE)</f>
        <v>0</v>
      </c>
      <c r="S3803" s="366" t="str">
        <f>IF(Q3803=R3803,"si","no")</f>
        <v>si</v>
      </c>
      <c r="T3803" s="367">
        <f>SUM(L3805:L3820)+SUM(L3825:L3834)+SUM(L3839:L3845)</f>
        <v>25.8125</v>
      </c>
      <c r="U3803" s="341">
        <f>(SUM(C3805:C3820)+SUM(C3825:C3834)+SUM(C3839:C3845))*G3803</f>
        <v>25.8125</v>
      </c>
      <c r="V3803" s="368" t="str">
        <f>IF(T3803=U3803,"si","no")</f>
        <v>si</v>
      </c>
      <c r="W3803" s="369">
        <f>SUM(F3805:F3820)</f>
        <v>0</v>
      </c>
      <c r="X3803" s="369">
        <f>SUM(F3825:F3834)</f>
        <v>0</v>
      </c>
      <c r="Y3803" s="369">
        <f>SUM(F3839:F3845)</f>
        <v>0</v>
      </c>
    </row>
    <row r="3804" spans="1:25" ht="12.75" customHeight="1">
      <c r="A3804" s="374" t="s">
        <v>14</v>
      </c>
      <c r="B3804" s="375" t="s">
        <v>132</v>
      </c>
      <c r="C3804" s="376" t="s">
        <v>231</v>
      </c>
      <c r="D3804" s="376" t="s">
        <v>232</v>
      </c>
      <c r="E3804" s="377" t="s">
        <v>233</v>
      </c>
      <c r="F3804" s="378" t="s">
        <v>234</v>
      </c>
      <c r="G3804" s="379"/>
      <c r="J3804" s="341"/>
      <c r="L3804" s="380"/>
      <c r="M3804" s="381"/>
      <c r="N3804" s="342"/>
      <c r="O3804" s="382"/>
      <c r="P3804" s="383"/>
      <c r="Q3804" s="383"/>
      <c r="R3804" s="383"/>
      <c r="S3804" s="383"/>
      <c r="T3804" s="382"/>
      <c r="U3804" s="341"/>
      <c r="V3804" s="384"/>
      <c r="W3804" s="384"/>
      <c r="X3804" s="384"/>
      <c r="Y3804" s="384"/>
    </row>
    <row r="3805" spans="1:25" ht="12.75" customHeight="1">
      <c r="A3805" s="385" t="str">
        <f>VII.A!$A$11</f>
        <v>1.2</v>
      </c>
      <c r="B3805" s="386" t="str">
        <f>VII.A!B11</f>
        <v>ADESIVO PARA TUBO EM PVC - FRASCO 850 GR.</v>
      </c>
      <c r="C3805" s="20">
        <f>0.005*0.85</f>
        <v>4.2500000000000003E-3</v>
      </c>
      <c r="D3805" s="342" t="str">
        <f>VII.A!C11</f>
        <v>UN</v>
      </c>
      <c r="E3805" s="387">
        <f>VII.A!D11</f>
        <v>0</v>
      </c>
      <c r="F3805" s="388">
        <f>ROUND(C3805*E3805,2)</f>
        <v>0</v>
      </c>
      <c r="H3805" s="341">
        <f>IF(A3805="","",VLOOKUP(A3805,VII.A!$A$10:$D$199,4,FALSE))</f>
        <v>0</v>
      </c>
      <c r="I3805" s="341" t="str">
        <f>IF(A3805="","",IF(E3805=H3805,"SIM","NÃO"))</f>
        <v>SIM</v>
      </c>
      <c r="J3805" s="341" t="str">
        <f>IF(A3805="","",VLOOKUP(A3805,VII.A!$A$10:$D$199,3,FALSE))</f>
        <v>UN</v>
      </c>
      <c r="K3805" s="342" t="str">
        <f>IF(A3805="","",IF(J3805=D3805,"SIM","NÃO"))</f>
        <v>SIM</v>
      </c>
      <c r="L3805" s="380">
        <f>IF(C3805="","",G3803*C3805)</f>
        <v>4.2500000000000003E-2</v>
      </c>
      <c r="M3805" s="381" t="str">
        <f>IF(A3805="","",VLOOKUP(A3805,VII.A!$A$10:$B$199,2,FALSE))</f>
        <v>ADESIVO PARA TUBO EM PVC - FRASCO 850 GR.</v>
      </c>
      <c r="N3805" s="342" t="str">
        <f>IF(B3805="","",IF(M3805=B3805,"si","no"))</f>
        <v>si</v>
      </c>
      <c r="R3805" s="341"/>
      <c r="S3805" s="341"/>
    </row>
    <row r="3806" spans="1:25" ht="12.75" customHeight="1">
      <c r="A3806" s="385" t="str">
        <f>VII.A!$A$67</f>
        <v>1.58</v>
      </c>
      <c r="B3806" s="386" t="str">
        <f>VII.A!B67</f>
        <v>LIXA D'AGUA EM FOLHA, GRAO 100</v>
      </c>
      <c r="C3806" s="20">
        <v>7.0000000000000007E-2</v>
      </c>
      <c r="D3806" s="342" t="str">
        <f>VII.A!C67</f>
        <v>UN</v>
      </c>
      <c r="E3806" s="387">
        <f>VII.A!D67</f>
        <v>0</v>
      </c>
      <c r="F3806" s="388">
        <f>ROUND(C3806*E3806,2)</f>
        <v>0</v>
      </c>
      <c r="H3806" s="341">
        <f>IF(A3806="","",VLOOKUP(A3806,VII.A!$A$10:$D$199,4,FALSE))</f>
        <v>0</v>
      </c>
      <c r="I3806" s="341" t="str">
        <f>IF(A3806="","",IF(E3806=H3806,"SIM","NÃO"))</f>
        <v>SIM</v>
      </c>
      <c r="J3806" s="341" t="str">
        <f>IF(A3806="","",VLOOKUP(A3806,VII.A!$A$10:$D$199,3,FALSE))</f>
        <v>UN</v>
      </c>
      <c r="K3806" s="342" t="str">
        <f>IF(A3806="","",IF(J3806=D3806,"SIM","NÃO"))</f>
        <v>SIM</v>
      </c>
      <c r="L3806" s="380">
        <f>IF(C3806="","",G3803*C3806)</f>
        <v>0.70000000000000007</v>
      </c>
      <c r="M3806" s="381" t="str">
        <f>IF(A3806="","",VLOOKUP(A3806,VII.A!$A$10:$B$199,2,FALSE))</f>
        <v>LIXA D'AGUA EM FOLHA, GRAO 100</v>
      </c>
      <c r="N3806" s="342" t="str">
        <f>IF(B3806="","",IF(M3806=B3806,"si","no"))</f>
        <v>si</v>
      </c>
      <c r="R3806" s="341"/>
      <c r="S3806" s="341"/>
    </row>
    <row r="3807" spans="1:25" ht="12.75" customHeight="1">
      <c r="A3807" s="385" t="str">
        <f>VII.A!$A$100</f>
        <v>1.90</v>
      </c>
      <c r="B3807" s="386" t="str">
        <f>VII.A!B100</f>
        <v>SOLUCAO LIMPADORA PARA PVC, FRASCO COM 1000 CM3</v>
      </c>
      <c r="C3807" s="20">
        <v>7.0000000000000001E-3</v>
      </c>
      <c r="D3807" s="342" t="str">
        <f>VII.A!C100</f>
        <v xml:space="preserve">UN </v>
      </c>
      <c r="E3807" s="387">
        <f>VII.A!D100</f>
        <v>0</v>
      </c>
      <c r="F3807" s="388">
        <f t="shared" ref="F3807:F3820" si="981">ROUND(C3807*E3807,2)</f>
        <v>0</v>
      </c>
      <c r="H3807" s="341">
        <f>IF(A3807="","",VLOOKUP(A3807,VII.A!$A$10:$D$199,4,FALSE))</f>
        <v>0</v>
      </c>
      <c r="I3807" s="341" t="str">
        <f t="shared" ref="I3807:I3820" si="982">IF(A3807="","",IF(E3807=H3807,"SIM","NÃO"))</f>
        <v>SIM</v>
      </c>
      <c r="J3807" s="341" t="str">
        <f>IF(A3807="","",VLOOKUP(A3807,VII.A!$A$10:$D$199,3,FALSE))</f>
        <v xml:space="preserve">UN </v>
      </c>
      <c r="K3807" s="342" t="str">
        <f t="shared" ref="K3807:K3820" si="983">IF(A3807="","",IF(J3807=D3807,"SIM","NÃO"))</f>
        <v>SIM</v>
      </c>
      <c r="L3807" s="380">
        <f>IF(C3807="","",G3803*C3807)</f>
        <v>7.0000000000000007E-2</v>
      </c>
      <c r="M3807" s="381" t="str">
        <f>IF(A3807="","",VLOOKUP(A3807,VII.A!$A$10:$B$199,2,FALSE))</f>
        <v>SOLUCAO LIMPADORA PARA PVC, FRASCO COM 1000 CM3</v>
      </c>
      <c r="N3807" s="342" t="str">
        <f t="shared" ref="N3807:N3820" si="984">IF(B3807="","",IF(M3807=B3807,"si","no"))</f>
        <v>si</v>
      </c>
      <c r="R3807" s="341"/>
      <c r="S3807" s="341"/>
    </row>
    <row r="3808" spans="1:25" ht="12.75" customHeight="1">
      <c r="A3808" s="385" t="str">
        <f>VII.A!$A$116</f>
        <v>1.106</v>
      </c>
      <c r="B3808" s="386" t="str">
        <f>VII.A!B116</f>
        <v>TUBO DE PVC RÍGIDO SOLDÁVEL MARROM, DN = 40MM (1.1/4') - NBR 5648</v>
      </c>
      <c r="C3808" s="20">
        <v>1.5</v>
      </c>
      <c r="D3808" s="342" t="str">
        <f>VII.A!C116</f>
        <v>M</v>
      </c>
      <c r="E3808" s="387">
        <f>VII.A!D116</f>
        <v>0</v>
      </c>
      <c r="F3808" s="388">
        <f t="shared" si="981"/>
        <v>0</v>
      </c>
      <c r="H3808" s="341">
        <f>IF(A3808="","",VLOOKUP(A3808,VII.A!$A$10:$D$199,4,FALSE))</f>
        <v>0</v>
      </c>
      <c r="I3808" s="341" t="str">
        <f t="shared" si="982"/>
        <v>SIM</v>
      </c>
      <c r="J3808" s="341" t="str">
        <f>IF(A3808="","",VLOOKUP(A3808,VII.A!$A$10:$D$199,3,FALSE))</f>
        <v>M</v>
      </c>
      <c r="K3808" s="342" t="str">
        <f t="shared" si="983"/>
        <v>SIM</v>
      </c>
      <c r="L3808" s="380">
        <f>IF(C3808="","",G3803*C3808)</f>
        <v>15</v>
      </c>
      <c r="M3808" s="381" t="str">
        <f>IF(A3808="","",VLOOKUP(A3808,VII.A!$A$10:$B$199,2,FALSE))</f>
        <v>TUBO DE PVC RÍGIDO SOLDÁVEL MARROM, DN = 40MM (1.1/4') - NBR 5648</v>
      </c>
      <c r="N3808" s="342" t="str">
        <f t="shared" si="984"/>
        <v>si</v>
      </c>
      <c r="R3808" s="341"/>
      <c r="S3808" s="341"/>
    </row>
    <row r="3809" spans="1:21" ht="12.75" customHeight="1">
      <c r="A3809" s="385"/>
      <c r="B3809" s="386"/>
      <c r="C3809" s="20"/>
      <c r="D3809" s="342"/>
      <c r="E3809" s="387"/>
      <c r="F3809" s="388">
        <f t="shared" si="981"/>
        <v>0</v>
      </c>
      <c r="H3809" s="341" t="str">
        <f>IF(A3809="","",VLOOKUP(A3809,VII.A!$A$10:$D$199,4,FALSE))</f>
        <v/>
      </c>
      <c r="I3809" s="341" t="str">
        <f t="shared" si="982"/>
        <v/>
      </c>
      <c r="J3809" s="341" t="str">
        <f>IF(A3809="","",VLOOKUP(A3809,VII.A!$A$10:$D$199,3,FALSE))</f>
        <v/>
      </c>
      <c r="K3809" s="342" t="str">
        <f t="shared" si="983"/>
        <v/>
      </c>
      <c r="L3809" s="380" t="str">
        <f>IF(C3809="","",G3803*C3809)</f>
        <v/>
      </c>
      <c r="M3809" s="381" t="str">
        <f>IF(A3809="","",VLOOKUP(A3809,VII.A!$A$10:$B$199,2,FALSE))</f>
        <v/>
      </c>
      <c r="N3809" s="342" t="str">
        <f t="shared" si="984"/>
        <v/>
      </c>
      <c r="R3809" s="341"/>
      <c r="S3809" s="341"/>
    </row>
    <row r="3810" spans="1:21" ht="12.75" customHeight="1">
      <c r="A3810" s="385"/>
      <c r="B3810" s="386"/>
      <c r="C3810" s="20"/>
      <c r="D3810" s="342"/>
      <c r="E3810" s="387"/>
      <c r="F3810" s="388">
        <f t="shared" si="981"/>
        <v>0</v>
      </c>
      <c r="H3810" s="341" t="str">
        <f>IF(A3810="","",VLOOKUP(A3810,VII.A!$A$10:$D$199,4,FALSE))</f>
        <v/>
      </c>
      <c r="I3810" s="341" t="str">
        <f t="shared" si="982"/>
        <v/>
      </c>
      <c r="J3810" s="341" t="str">
        <f>IF(A3810="","",VLOOKUP(A3810,VII.A!$A$10:$D$199,3,FALSE))</f>
        <v/>
      </c>
      <c r="K3810" s="342" t="str">
        <f t="shared" si="983"/>
        <v/>
      </c>
      <c r="L3810" s="380" t="str">
        <f>IF(C3810="","",G3803*C3810)</f>
        <v/>
      </c>
      <c r="M3810" s="381" t="str">
        <f>IF(A3810="","",VLOOKUP(A3810,VII.A!$A$10:$B$199,2,FALSE))</f>
        <v/>
      </c>
      <c r="N3810" s="342" t="str">
        <f t="shared" si="984"/>
        <v/>
      </c>
      <c r="R3810" s="341"/>
      <c r="S3810" s="341"/>
    </row>
    <row r="3811" spans="1:21" ht="12.75" customHeight="1">
      <c r="A3811" s="385"/>
      <c r="B3811" s="386"/>
      <c r="C3811" s="20"/>
      <c r="D3811" s="342"/>
      <c r="E3811" s="387"/>
      <c r="F3811" s="388">
        <f t="shared" si="981"/>
        <v>0</v>
      </c>
      <c r="H3811" s="341" t="str">
        <f>IF(A3811="","",VLOOKUP(A3811,VII.A!$A$10:$D$199,4,FALSE))</f>
        <v/>
      </c>
      <c r="I3811" s="341" t="str">
        <f t="shared" si="982"/>
        <v/>
      </c>
      <c r="J3811" s="341" t="str">
        <f>IF(A3811="","",VLOOKUP(A3811,VII.A!$A$10:$D$199,3,FALSE))</f>
        <v/>
      </c>
      <c r="K3811" s="342" t="str">
        <f t="shared" si="983"/>
        <v/>
      </c>
      <c r="L3811" s="380" t="str">
        <f>IF(C3811="","",G3803*C3811)</f>
        <v/>
      </c>
      <c r="M3811" s="381" t="str">
        <f>IF(A3811="","",VLOOKUP(A3811,VII.A!$A$10:$B$199,2,FALSE))</f>
        <v/>
      </c>
      <c r="N3811" s="342" t="str">
        <f t="shared" si="984"/>
        <v/>
      </c>
      <c r="R3811" s="341"/>
      <c r="S3811" s="341"/>
      <c r="U3811" s="389"/>
    </row>
    <row r="3812" spans="1:21" ht="12.75" customHeight="1">
      <c r="A3812" s="385"/>
      <c r="B3812" s="386"/>
      <c r="C3812" s="20"/>
      <c r="D3812" s="342"/>
      <c r="E3812" s="387"/>
      <c r="F3812" s="388">
        <f t="shared" si="981"/>
        <v>0</v>
      </c>
      <c r="H3812" s="341" t="str">
        <f>IF(A3812="","",VLOOKUP(A3812,VII.A!$A$10:$D$199,4,FALSE))</f>
        <v/>
      </c>
      <c r="I3812" s="341" t="str">
        <f t="shared" si="982"/>
        <v/>
      </c>
      <c r="J3812" s="341" t="str">
        <f>IF(A3812="","",VLOOKUP(A3812,VII.A!$A$10:$D$199,3,FALSE))</f>
        <v/>
      </c>
      <c r="K3812" s="342" t="str">
        <f t="shared" si="983"/>
        <v/>
      </c>
      <c r="L3812" s="380" t="str">
        <f>IF(C3812="","",G3803*C3812)</f>
        <v/>
      </c>
      <c r="M3812" s="381" t="str">
        <f>IF(A3812="","",VLOOKUP(A3812,VII.A!$A$10:$B$199,2,FALSE))</f>
        <v/>
      </c>
      <c r="N3812" s="342" t="str">
        <f t="shared" si="984"/>
        <v/>
      </c>
      <c r="R3812" s="341"/>
      <c r="S3812" s="341"/>
    </row>
    <row r="3813" spans="1:21" ht="12.75" customHeight="1">
      <c r="A3813" s="385"/>
      <c r="B3813" s="386"/>
      <c r="C3813" s="20"/>
      <c r="D3813" s="342"/>
      <c r="E3813" s="387"/>
      <c r="F3813" s="388">
        <f t="shared" si="981"/>
        <v>0</v>
      </c>
      <c r="G3813" s="390"/>
      <c r="H3813" s="341" t="str">
        <f>IF(A3813="","",VLOOKUP(A3813,VII.A!$A$10:$D$199,4,FALSE))</f>
        <v/>
      </c>
      <c r="I3813" s="341" t="str">
        <f t="shared" si="982"/>
        <v/>
      </c>
      <c r="J3813" s="341" t="str">
        <f>IF(A3813="","",VLOOKUP(A3813,VII.A!$A$10:$D$199,3,FALSE))</f>
        <v/>
      </c>
      <c r="K3813" s="342" t="str">
        <f t="shared" si="983"/>
        <v/>
      </c>
      <c r="L3813" s="380" t="str">
        <f>IF(C3813="","",G3803*C3813)</f>
        <v/>
      </c>
      <c r="M3813" s="381" t="str">
        <f>IF(A3813="","",VLOOKUP(A3813,VII.A!$A$10:$B$199,2,FALSE))</f>
        <v/>
      </c>
      <c r="N3813" s="342" t="str">
        <f t="shared" si="984"/>
        <v/>
      </c>
      <c r="R3813" s="341"/>
      <c r="S3813" s="341"/>
    </row>
    <row r="3814" spans="1:21" ht="12.75" customHeight="1">
      <c r="A3814" s="385"/>
      <c r="B3814" s="386"/>
      <c r="C3814" s="20"/>
      <c r="D3814" s="342"/>
      <c r="E3814" s="387"/>
      <c r="F3814" s="388">
        <f t="shared" si="981"/>
        <v>0</v>
      </c>
      <c r="G3814" s="390"/>
      <c r="H3814" s="341" t="str">
        <f>IF(A3814="","",VLOOKUP(A3814,VII.A!$A$10:$D$199,4,FALSE))</f>
        <v/>
      </c>
      <c r="I3814" s="341" t="str">
        <f t="shared" si="982"/>
        <v/>
      </c>
      <c r="J3814" s="341" t="str">
        <f>IF(A3814="","",VLOOKUP(A3814,VII.A!$A$10:$D$199,3,FALSE))</f>
        <v/>
      </c>
      <c r="K3814" s="342" t="str">
        <f t="shared" si="983"/>
        <v/>
      </c>
      <c r="L3814" s="380" t="str">
        <f>IF(C3814="","",G3803*C3814)</f>
        <v/>
      </c>
      <c r="M3814" s="381" t="str">
        <f>IF(A3814="","",VLOOKUP(A3814,VII.A!$A$10:$B$199,2,FALSE))</f>
        <v/>
      </c>
      <c r="N3814" s="342" t="str">
        <f t="shared" si="984"/>
        <v/>
      </c>
      <c r="R3814" s="341"/>
      <c r="S3814" s="341"/>
    </row>
    <row r="3815" spans="1:21" ht="12.75" customHeight="1">
      <c r="A3815" s="385"/>
      <c r="B3815" s="386"/>
      <c r="C3815" s="20"/>
      <c r="D3815" s="342"/>
      <c r="E3815" s="387"/>
      <c r="F3815" s="388">
        <f t="shared" si="981"/>
        <v>0</v>
      </c>
      <c r="H3815" s="341" t="str">
        <f>IF(A3815="","",VLOOKUP(A3815,VII.A!$A$10:$D$199,4,FALSE))</f>
        <v/>
      </c>
      <c r="I3815" s="341" t="str">
        <f t="shared" si="982"/>
        <v/>
      </c>
      <c r="J3815" s="341" t="str">
        <f>IF(A3815="","",VLOOKUP(A3815,VII.A!$A$10:$D$199,3,FALSE))</f>
        <v/>
      </c>
      <c r="K3815" s="342" t="str">
        <f t="shared" si="983"/>
        <v/>
      </c>
      <c r="L3815" s="380" t="str">
        <f>IF(C3815="","",G3803*C3815)</f>
        <v/>
      </c>
      <c r="M3815" s="381" t="str">
        <f>IF(A3815="","",VLOOKUP(A3815,VII.A!$A$10:$B$199,2,FALSE))</f>
        <v/>
      </c>
      <c r="N3815" s="342" t="str">
        <f t="shared" si="984"/>
        <v/>
      </c>
      <c r="R3815" s="341"/>
      <c r="S3815" s="341"/>
    </row>
    <row r="3816" spans="1:21" ht="12.75" customHeight="1">
      <c r="A3816" s="385"/>
      <c r="B3816" s="386"/>
      <c r="C3816" s="20"/>
      <c r="D3816" s="392"/>
      <c r="E3816" s="387"/>
      <c r="F3816" s="388">
        <f t="shared" si="981"/>
        <v>0</v>
      </c>
      <c r="H3816" s="341" t="str">
        <f>IF(A3816="","",VLOOKUP(A3816,VII.A!$A$10:$D$199,4,FALSE))</f>
        <v/>
      </c>
      <c r="I3816" s="341" t="str">
        <f t="shared" si="982"/>
        <v/>
      </c>
      <c r="J3816" s="341" t="str">
        <f>IF(A3816="","",VLOOKUP(A3816,VII.A!$A$10:$D$199,3,FALSE))</f>
        <v/>
      </c>
      <c r="K3816" s="342" t="str">
        <f t="shared" si="983"/>
        <v/>
      </c>
      <c r="L3816" s="380" t="str">
        <f>IF(C3816="","",G3803*C3816)</f>
        <v/>
      </c>
      <c r="M3816" s="381" t="str">
        <f>IF(A3816="","",VLOOKUP(A3816,VII.A!$A$10:$B$199,2,FALSE))</f>
        <v/>
      </c>
      <c r="N3816" s="342" t="str">
        <f t="shared" si="984"/>
        <v/>
      </c>
      <c r="R3816" s="341"/>
      <c r="S3816" s="341"/>
    </row>
    <row r="3817" spans="1:21" ht="12.75" customHeight="1">
      <c r="A3817" s="385"/>
      <c r="B3817" s="386"/>
      <c r="C3817" s="20"/>
      <c r="D3817" s="392"/>
      <c r="E3817" s="387"/>
      <c r="F3817" s="388">
        <f t="shared" si="981"/>
        <v>0</v>
      </c>
      <c r="H3817" s="341" t="str">
        <f>IF(A3817="","",VLOOKUP(A3817,VII.A!$A$10:$D$199,4,FALSE))</f>
        <v/>
      </c>
      <c r="I3817" s="341" t="str">
        <f t="shared" si="982"/>
        <v/>
      </c>
      <c r="J3817" s="341" t="str">
        <f>IF(A3817="","",VLOOKUP(A3817,VII.A!$A$10:$D$199,3,FALSE))</f>
        <v/>
      </c>
      <c r="K3817" s="342" t="str">
        <f t="shared" si="983"/>
        <v/>
      </c>
      <c r="L3817" s="380" t="str">
        <f>IF(C3817="","",G3803*C3817)</f>
        <v/>
      </c>
      <c r="M3817" s="381" t="str">
        <f>IF(A3817="","",VLOOKUP(A3817,VII.A!$A$10:$B$199,2,FALSE))</f>
        <v/>
      </c>
      <c r="N3817" s="342" t="str">
        <f t="shared" si="984"/>
        <v/>
      </c>
      <c r="O3817" s="342"/>
      <c r="R3817" s="341"/>
      <c r="S3817" s="341"/>
    </row>
    <row r="3818" spans="1:21" ht="12.75" customHeight="1">
      <c r="A3818" s="385"/>
      <c r="B3818" s="386"/>
      <c r="C3818" s="20"/>
      <c r="D3818" s="392"/>
      <c r="E3818" s="387"/>
      <c r="F3818" s="388">
        <f t="shared" si="981"/>
        <v>0</v>
      </c>
      <c r="H3818" s="341" t="str">
        <f>IF(A3818="","",VLOOKUP(A3818,VII.A!$A$10:$D$199,4,FALSE))</f>
        <v/>
      </c>
      <c r="I3818" s="341" t="str">
        <f t="shared" si="982"/>
        <v/>
      </c>
      <c r="J3818" s="341" t="str">
        <f>IF(A3818="","",VLOOKUP(A3818,VII.A!$A$10:$D$199,3,FALSE))</f>
        <v/>
      </c>
      <c r="K3818" s="342" t="str">
        <f t="shared" si="983"/>
        <v/>
      </c>
      <c r="L3818" s="380" t="str">
        <f>IF(C3818="","",G3803*C3818)</f>
        <v/>
      </c>
      <c r="M3818" s="381" t="str">
        <f>IF(A3818="","",VLOOKUP(A3818,VII.A!$A$10:$B$199,2,FALSE))</f>
        <v/>
      </c>
      <c r="N3818" s="342" t="str">
        <f t="shared" si="984"/>
        <v/>
      </c>
      <c r="R3818" s="341"/>
      <c r="S3818" s="341"/>
    </row>
    <row r="3819" spans="1:21" ht="12.75" customHeight="1">
      <c r="A3819" s="393"/>
      <c r="C3819" s="20"/>
      <c r="E3819" s="387"/>
      <c r="F3819" s="388">
        <f t="shared" si="981"/>
        <v>0</v>
      </c>
      <c r="H3819" s="341" t="str">
        <f>IF(A3819="","",VLOOKUP(A3819,VII.A!$A$10:$D$199,4,FALSE))</f>
        <v/>
      </c>
      <c r="I3819" s="341" t="str">
        <f t="shared" si="982"/>
        <v/>
      </c>
      <c r="J3819" s="341" t="str">
        <f>IF(A3819="","",VLOOKUP(A3819,VII.A!$A$10:$D$199,3,FALSE))</f>
        <v/>
      </c>
      <c r="K3819" s="342" t="str">
        <f t="shared" si="983"/>
        <v/>
      </c>
      <c r="L3819" s="380" t="str">
        <f>IF(C3819="","",G3803*C3819)</f>
        <v/>
      </c>
      <c r="M3819" s="381" t="str">
        <f>IF(A3819="","",VLOOKUP(A3819,VII.A!$A$10:$B$199,2,FALSE))</f>
        <v/>
      </c>
      <c r="N3819" s="342" t="str">
        <f t="shared" si="984"/>
        <v/>
      </c>
      <c r="R3819" s="341"/>
      <c r="S3819" s="341"/>
    </row>
    <row r="3820" spans="1:21" ht="12.75" customHeight="1">
      <c r="A3820" s="393"/>
      <c r="C3820" s="20"/>
      <c r="E3820" s="387"/>
      <c r="F3820" s="388">
        <f t="shared" si="981"/>
        <v>0</v>
      </c>
      <c r="H3820" s="341" t="str">
        <f>IF(A3820="","",VLOOKUP(A3820,VII.A!$A$10:$D$199,4,FALSE))</f>
        <v/>
      </c>
      <c r="I3820" s="341" t="str">
        <f t="shared" si="982"/>
        <v/>
      </c>
      <c r="J3820" s="341" t="str">
        <f>IF(A3820="","",VLOOKUP(A3820,VII.A!$A$10:$D$199,3,FALSE))</f>
        <v/>
      </c>
      <c r="K3820" s="342" t="str">
        <f t="shared" si="983"/>
        <v/>
      </c>
      <c r="L3820" s="380" t="str">
        <f>IF(C3820="","",G3803*C3820)</f>
        <v/>
      </c>
      <c r="M3820" s="381" t="str">
        <f>IF(A3820="","",VLOOKUP(A3820,VII.A!$A$10:$B$199,2,FALSE))</f>
        <v/>
      </c>
      <c r="N3820" s="342" t="str">
        <f t="shared" si="984"/>
        <v/>
      </c>
      <c r="R3820" s="341"/>
      <c r="S3820" s="341"/>
    </row>
    <row r="3821" spans="1:21" ht="12.75" customHeight="1">
      <c r="A3821" s="393"/>
      <c r="B3821" s="395" t="s">
        <v>226</v>
      </c>
      <c r="C3821" s="396"/>
      <c r="D3821" s="397"/>
      <c r="E3821" s="398"/>
      <c r="F3821" s="399">
        <f>SUM(F3805:F3820)</f>
        <v>0</v>
      </c>
      <c r="H3821" s="426" t="s">
        <v>521</v>
      </c>
      <c r="J3821" s="341"/>
      <c r="L3821" s="380"/>
      <c r="M3821" s="381"/>
      <c r="N3821" s="342"/>
      <c r="R3821" s="341"/>
      <c r="S3821" s="341"/>
    </row>
    <row r="3822" spans="1:21" ht="12.75" customHeight="1">
      <c r="A3822" s="393"/>
      <c r="B3822" s="400" t="s">
        <v>53</v>
      </c>
      <c r="C3822" s="2">
        <f>$D$8</f>
        <v>0</v>
      </c>
      <c r="D3822" s="401"/>
      <c r="E3822" s="402"/>
      <c r="F3822" s="403">
        <f>ROUND(F3821*C3822,2)</f>
        <v>0</v>
      </c>
      <c r="H3822" s="426"/>
      <c r="J3822" s="341"/>
      <c r="L3822" s="380"/>
      <c r="M3822" s="381"/>
      <c r="N3822" s="342"/>
      <c r="R3822" s="341"/>
      <c r="S3822" s="341"/>
    </row>
    <row r="3823" spans="1:21" ht="12.75" customHeight="1">
      <c r="A3823" s="404"/>
      <c r="B3823" s="405" t="s">
        <v>227</v>
      </c>
      <c r="C3823" s="406"/>
      <c r="D3823" s="406"/>
      <c r="E3823" s="407"/>
      <c r="F3823" s="408">
        <f>F3821+F3822</f>
        <v>0</v>
      </c>
      <c r="J3823" s="341"/>
      <c r="L3823" s="380"/>
      <c r="M3823" s="381"/>
      <c r="N3823" s="342"/>
      <c r="R3823" s="341"/>
      <c r="S3823" s="341"/>
    </row>
    <row r="3824" spans="1:21" ht="12.75" customHeight="1">
      <c r="A3824" s="374" t="s">
        <v>2</v>
      </c>
      <c r="B3824" s="375" t="s">
        <v>235</v>
      </c>
      <c r="C3824" s="376" t="s">
        <v>231</v>
      </c>
      <c r="D3824" s="376" t="s">
        <v>232</v>
      </c>
      <c r="E3824" s="377" t="s">
        <v>233</v>
      </c>
      <c r="F3824" s="378" t="s">
        <v>234</v>
      </c>
      <c r="J3824" s="341"/>
      <c r="L3824" s="380"/>
      <c r="M3824" s="381"/>
      <c r="N3824" s="342"/>
      <c r="R3824" s="341"/>
      <c r="S3824" s="341"/>
    </row>
    <row r="3825" spans="1:19" ht="12.75" customHeight="1">
      <c r="A3825" s="393"/>
      <c r="B3825" s="423"/>
      <c r="C3825" s="20"/>
      <c r="E3825" s="387"/>
      <c r="F3825" s="388">
        <f t="shared" ref="F3825:F3834" si="985">ROUND(C3825*E3825,2)</f>
        <v>0</v>
      </c>
      <c r="H3825" s="341" t="str">
        <f>IF(A3825="","",VLOOKUP(A3825,VII.A!$A$10:$D$199,4,FALSE))</f>
        <v/>
      </c>
      <c r="I3825" s="341" t="str">
        <f t="shared" ref="I3825:I3834" si="986">IF(A3825="","",IF(E3825=H3825,"SIM","NÃO"))</f>
        <v/>
      </c>
      <c r="J3825" s="341" t="str">
        <f>IF(A3825="","",VLOOKUP(A3825,VII.A!$A$10:$D$199,3,FALSE))</f>
        <v/>
      </c>
      <c r="K3825" s="342" t="str">
        <f t="shared" ref="K3825:K3834" si="987">IF(A3825="","",IF(J3825=D3825,"SIM","NÃO"))</f>
        <v/>
      </c>
      <c r="L3825" s="380" t="str">
        <f>IF(C3825="","",G3803*C3825)</f>
        <v/>
      </c>
      <c r="M3825" s="381" t="str">
        <f>IF(A3825="","",VLOOKUP(A3825,VII.A!$A$10:$B$199,2,FALSE))</f>
        <v/>
      </c>
      <c r="N3825" s="342" t="str">
        <f t="shared" ref="N3825:N3834" si="988">IF(B3825="","",IF(M3825=B3825,"si","no"))</f>
        <v/>
      </c>
      <c r="R3825" s="341"/>
      <c r="S3825" s="341"/>
    </row>
    <row r="3826" spans="1:19" ht="12.75" customHeight="1">
      <c r="A3826" s="393"/>
      <c r="C3826" s="20"/>
      <c r="E3826" s="387"/>
      <c r="F3826" s="388">
        <f t="shared" si="985"/>
        <v>0</v>
      </c>
      <c r="H3826" s="341" t="str">
        <f>IF(A3826="","",VLOOKUP(A3826,VII.A!$A$10:$D$199,4,FALSE))</f>
        <v/>
      </c>
      <c r="I3826" s="341" t="str">
        <f t="shared" si="986"/>
        <v/>
      </c>
      <c r="J3826" s="341" t="str">
        <f>IF(A3826="","",VLOOKUP(A3826,VII.A!$A$10:$D$199,3,FALSE))</f>
        <v/>
      </c>
      <c r="K3826" s="342" t="str">
        <f t="shared" si="987"/>
        <v/>
      </c>
      <c r="L3826" s="380" t="str">
        <f>IF(C3826="","",G3803*C3826)</f>
        <v/>
      </c>
      <c r="M3826" s="381" t="str">
        <f>IF(A3826="","",VLOOKUP(A3826,VII.A!$A$10:$B$199,2,FALSE))</f>
        <v/>
      </c>
      <c r="N3826" s="342" t="str">
        <f t="shared" si="988"/>
        <v/>
      </c>
      <c r="R3826" s="341"/>
      <c r="S3826" s="341"/>
    </row>
    <row r="3827" spans="1:19" ht="12.75" customHeight="1">
      <c r="A3827" s="393"/>
      <c r="C3827" s="20"/>
      <c r="E3827" s="387"/>
      <c r="F3827" s="388">
        <f t="shared" si="985"/>
        <v>0</v>
      </c>
      <c r="H3827" s="341" t="str">
        <f>IF(A3827="","",VLOOKUP(A3827,VII.A!$A$10:$D$199,4,FALSE))</f>
        <v/>
      </c>
      <c r="I3827" s="341" t="str">
        <f t="shared" si="986"/>
        <v/>
      </c>
      <c r="J3827" s="341" t="str">
        <f>IF(A3827="","",VLOOKUP(A3827,VII.A!$A$10:$D$199,3,FALSE))</f>
        <v/>
      </c>
      <c r="K3827" s="342" t="str">
        <f t="shared" si="987"/>
        <v/>
      </c>
      <c r="L3827" s="380" t="str">
        <f>IF(C3827="","",G3803*C3827)</f>
        <v/>
      </c>
      <c r="M3827" s="381" t="str">
        <f>IF(A3827="","",VLOOKUP(A3827,VII.A!$A$10:$B$199,2,FALSE))</f>
        <v/>
      </c>
      <c r="N3827" s="342" t="str">
        <f t="shared" si="988"/>
        <v/>
      </c>
      <c r="R3827" s="341"/>
      <c r="S3827" s="341"/>
    </row>
    <row r="3828" spans="1:19" ht="12.75" customHeight="1">
      <c r="A3828" s="393"/>
      <c r="C3828" s="20"/>
      <c r="E3828" s="387"/>
      <c r="F3828" s="388">
        <f t="shared" si="985"/>
        <v>0</v>
      </c>
      <c r="H3828" s="341" t="str">
        <f>IF(A3828="","",VLOOKUP(A3828,VII.A!$A$10:$D$199,4,FALSE))</f>
        <v/>
      </c>
      <c r="I3828" s="341" t="str">
        <f t="shared" si="986"/>
        <v/>
      </c>
      <c r="J3828" s="341" t="str">
        <f>IF(A3828="","",VLOOKUP(A3828,VII.A!$A$10:$D$199,3,FALSE))</f>
        <v/>
      </c>
      <c r="K3828" s="342" t="str">
        <f t="shared" si="987"/>
        <v/>
      </c>
      <c r="L3828" s="380" t="str">
        <f>IF(C3828="","",G3803*C3828)</f>
        <v/>
      </c>
      <c r="M3828" s="381" t="str">
        <f>IF(A3828="","",VLOOKUP(A3828,VII.A!$A$10:$B$199,2,FALSE))</f>
        <v/>
      </c>
      <c r="N3828" s="342" t="str">
        <f t="shared" si="988"/>
        <v/>
      </c>
      <c r="R3828" s="341"/>
      <c r="S3828" s="341"/>
    </row>
    <row r="3829" spans="1:19" ht="12.75" customHeight="1">
      <c r="A3829" s="393"/>
      <c r="C3829" s="20"/>
      <c r="E3829" s="387"/>
      <c r="F3829" s="388">
        <f t="shared" si="985"/>
        <v>0</v>
      </c>
      <c r="G3829" s="390"/>
      <c r="H3829" s="341" t="str">
        <f>IF(A3829="","",VLOOKUP(A3829,VII.A!$A$10:$D$199,4,FALSE))</f>
        <v/>
      </c>
      <c r="I3829" s="341" t="str">
        <f t="shared" si="986"/>
        <v/>
      </c>
      <c r="J3829" s="341" t="str">
        <f>IF(A3829="","",VLOOKUP(A3829,VII.A!$A$10:$D$199,3,FALSE))</f>
        <v/>
      </c>
      <c r="K3829" s="342" t="str">
        <f t="shared" si="987"/>
        <v/>
      </c>
      <c r="L3829" s="380" t="str">
        <f>IF(C3829="","",G3803*C3829)</f>
        <v/>
      </c>
      <c r="M3829" s="381" t="str">
        <f>IF(A3829="","",VLOOKUP(A3829,VII.A!$A$10:$B$199,2,FALSE))</f>
        <v/>
      </c>
      <c r="N3829" s="342" t="str">
        <f t="shared" si="988"/>
        <v/>
      </c>
      <c r="R3829" s="341"/>
      <c r="S3829" s="341"/>
    </row>
    <row r="3830" spans="1:19" ht="12.75" customHeight="1">
      <c r="A3830" s="393"/>
      <c r="C3830" s="20"/>
      <c r="E3830" s="387"/>
      <c r="F3830" s="388">
        <f>ROUND(C3830*E3830,2)</f>
        <v>0</v>
      </c>
      <c r="G3830" s="391"/>
      <c r="H3830" s="341" t="str">
        <f>IF(A3830="","",VLOOKUP(A3830,VII.A!$A$10:$D$199,4,FALSE))</f>
        <v/>
      </c>
      <c r="I3830" s="341" t="str">
        <f>IF(A3830="","",IF(E3830=H3830,"SIM","NÃO"))</f>
        <v/>
      </c>
      <c r="J3830" s="341" t="str">
        <f>IF(A3830="","",VLOOKUP(A3830,VII.A!$A$10:$D$199,3,FALSE))</f>
        <v/>
      </c>
      <c r="K3830" s="342" t="str">
        <f>IF(A3830="","",IF(J3830=D3830,"SIM","NÃO"))</f>
        <v/>
      </c>
      <c r="L3830" s="380" t="str">
        <f>IF(C3830="","",G3802*C3830)</f>
        <v/>
      </c>
      <c r="M3830" s="381" t="str">
        <f>IF(A3830="","",VLOOKUP(A3830,VII.A!$A$10:$B$199,2,FALSE))</f>
        <v/>
      </c>
      <c r="N3830" s="342" t="str">
        <f>IF(B3830="","",IF(M3830=B3830,"si","no"))</f>
        <v/>
      </c>
      <c r="R3830" s="341"/>
      <c r="S3830" s="341"/>
    </row>
    <row r="3831" spans="1:19" ht="12.75" customHeight="1">
      <c r="A3831" s="393"/>
      <c r="C3831" s="20"/>
      <c r="E3831" s="387"/>
      <c r="F3831" s="388">
        <f t="shared" si="985"/>
        <v>0</v>
      </c>
      <c r="G3831" s="391"/>
      <c r="H3831" s="341" t="str">
        <f>IF(A3831="","",VLOOKUP(A3831,VII.A!$A$10:$D$199,4,FALSE))</f>
        <v/>
      </c>
      <c r="I3831" s="341" t="str">
        <f t="shared" si="986"/>
        <v/>
      </c>
      <c r="J3831" s="341" t="str">
        <f>IF(A3831="","",VLOOKUP(A3831,VII.A!$A$10:$D$199,3,FALSE))</f>
        <v/>
      </c>
      <c r="K3831" s="342" t="str">
        <f t="shared" si="987"/>
        <v/>
      </c>
      <c r="L3831" s="380" t="str">
        <f>IF(C3831="","",G3803*C3831)</f>
        <v/>
      </c>
      <c r="M3831" s="381" t="str">
        <f>IF(A3831="","",VLOOKUP(A3831,VII.A!$A$10:$B$199,2,FALSE))</f>
        <v/>
      </c>
      <c r="N3831" s="342" t="str">
        <f t="shared" si="988"/>
        <v/>
      </c>
      <c r="R3831" s="341"/>
      <c r="S3831" s="341"/>
    </row>
    <row r="3832" spans="1:19" ht="12.75" customHeight="1">
      <c r="A3832" s="393"/>
      <c r="C3832" s="20"/>
      <c r="E3832" s="387"/>
      <c r="F3832" s="388">
        <f t="shared" si="985"/>
        <v>0</v>
      </c>
      <c r="H3832" s="341" t="str">
        <f>IF(A3832="","",VLOOKUP(A3832,VII.A!$A$10:$D$199,4,FALSE))</f>
        <v/>
      </c>
      <c r="I3832" s="341" t="str">
        <f t="shared" si="986"/>
        <v/>
      </c>
      <c r="J3832" s="341" t="str">
        <f>IF(A3832="","",VLOOKUP(A3832,VII.A!$A$10:$D$199,3,FALSE))</f>
        <v/>
      </c>
      <c r="K3832" s="342" t="str">
        <f t="shared" si="987"/>
        <v/>
      </c>
      <c r="L3832" s="380" t="str">
        <f>IF(C3832="","",G3803*C3832)</f>
        <v/>
      </c>
      <c r="M3832" s="381" t="str">
        <f>IF(A3832="","",VLOOKUP(A3832,VII.A!$A$10:$B$199,2,FALSE))</f>
        <v/>
      </c>
      <c r="N3832" s="342" t="str">
        <f t="shared" si="988"/>
        <v/>
      </c>
      <c r="R3832" s="341"/>
      <c r="S3832" s="341"/>
    </row>
    <row r="3833" spans="1:19" ht="12.75" customHeight="1">
      <c r="A3833" s="393"/>
      <c r="C3833" s="20"/>
      <c r="E3833" s="387"/>
      <c r="F3833" s="388">
        <f t="shared" si="985"/>
        <v>0</v>
      </c>
      <c r="H3833" s="341" t="str">
        <f>IF(A3833="","",VLOOKUP(A3833,VII.A!$A$10:$D$199,4,FALSE))</f>
        <v/>
      </c>
      <c r="I3833" s="341" t="str">
        <f t="shared" si="986"/>
        <v/>
      </c>
      <c r="J3833" s="341" t="str">
        <f>IF(A3833="","",VLOOKUP(A3833,VII.A!$A$10:$D$199,3,FALSE))</f>
        <v/>
      </c>
      <c r="K3833" s="342" t="str">
        <f t="shared" si="987"/>
        <v/>
      </c>
      <c r="L3833" s="380" t="str">
        <f>IF(C3833="","",G3803*C3833)</f>
        <v/>
      </c>
      <c r="M3833" s="381" t="str">
        <f>IF(A3833="","",VLOOKUP(A3833,VII.A!$A$10:$B$199,2,FALSE))</f>
        <v/>
      </c>
      <c r="N3833" s="342" t="str">
        <f t="shared" si="988"/>
        <v/>
      </c>
      <c r="R3833" s="341"/>
      <c r="S3833" s="341"/>
    </row>
    <row r="3834" spans="1:19" ht="12.75" customHeight="1">
      <c r="A3834" s="393"/>
      <c r="C3834" s="20"/>
      <c r="E3834" s="387"/>
      <c r="F3834" s="388">
        <f t="shared" si="985"/>
        <v>0</v>
      </c>
      <c r="H3834" s="341" t="str">
        <f>IF(A3834="","",VLOOKUP(A3834,VII.A!$A$10:$D$199,4,FALSE))</f>
        <v/>
      </c>
      <c r="I3834" s="341" t="str">
        <f t="shared" si="986"/>
        <v/>
      </c>
      <c r="J3834" s="341" t="str">
        <f>IF(A3834="","",VLOOKUP(A3834,VII.A!$A$10:$D$199,3,FALSE))</f>
        <v/>
      </c>
      <c r="K3834" s="342" t="str">
        <f t="shared" si="987"/>
        <v/>
      </c>
      <c r="L3834" s="380" t="str">
        <f>IF(C3834="","",G3803*C3834)</f>
        <v/>
      </c>
      <c r="M3834" s="381" t="str">
        <f>IF(A3834="","",VLOOKUP(A3834,VII.A!$A$10:$B$199,2,FALSE))</f>
        <v/>
      </c>
      <c r="N3834" s="342" t="str">
        <f t="shared" si="988"/>
        <v/>
      </c>
      <c r="R3834" s="341"/>
      <c r="S3834" s="341"/>
    </row>
    <row r="3835" spans="1:19" ht="12.75" customHeight="1">
      <c r="A3835" s="393"/>
      <c r="B3835" s="395" t="s">
        <v>226</v>
      </c>
      <c r="C3835" s="396"/>
      <c r="D3835" s="397"/>
      <c r="E3835" s="398"/>
      <c r="F3835" s="399">
        <f>SUM(F3825:F3834)</f>
        <v>0</v>
      </c>
      <c r="J3835" s="341"/>
      <c r="L3835" s="380"/>
      <c r="M3835" s="381"/>
      <c r="N3835" s="342"/>
      <c r="R3835" s="341"/>
      <c r="S3835" s="341"/>
    </row>
    <row r="3836" spans="1:19" ht="12.75" customHeight="1">
      <c r="A3836" s="393"/>
      <c r="B3836" s="400" t="s">
        <v>53</v>
      </c>
      <c r="C3836" s="2">
        <f>$D$8</f>
        <v>0</v>
      </c>
      <c r="D3836" s="401"/>
      <c r="E3836" s="402"/>
      <c r="F3836" s="403">
        <f>ROUND(C3836*F3835,2)</f>
        <v>0</v>
      </c>
      <c r="J3836" s="341"/>
      <c r="L3836" s="380"/>
      <c r="M3836" s="381"/>
      <c r="N3836" s="342"/>
      <c r="R3836" s="341"/>
      <c r="S3836" s="341"/>
    </row>
    <row r="3837" spans="1:19" ht="12.75" customHeight="1">
      <c r="A3837" s="404"/>
      <c r="B3837" s="405" t="s">
        <v>228</v>
      </c>
      <c r="C3837" s="406"/>
      <c r="D3837" s="406"/>
      <c r="E3837" s="407"/>
      <c r="F3837" s="408">
        <f>F3835+F3836</f>
        <v>0</v>
      </c>
      <c r="J3837" s="341"/>
      <c r="L3837" s="380"/>
      <c r="M3837" s="381"/>
      <c r="N3837" s="342"/>
      <c r="R3837" s="341"/>
      <c r="S3837" s="341"/>
    </row>
    <row r="3838" spans="1:19" ht="12.75" customHeight="1">
      <c r="A3838" s="409" t="s">
        <v>47</v>
      </c>
      <c r="B3838" s="410" t="s">
        <v>236</v>
      </c>
      <c r="C3838" s="411" t="s">
        <v>231</v>
      </c>
      <c r="D3838" s="412" t="s">
        <v>232</v>
      </c>
      <c r="E3838" s="413" t="s">
        <v>233</v>
      </c>
      <c r="F3838" s="378" t="s">
        <v>234</v>
      </c>
      <c r="J3838" s="341"/>
      <c r="L3838" s="380"/>
      <c r="M3838" s="381"/>
      <c r="N3838" s="342"/>
      <c r="R3838" s="341"/>
      <c r="S3838" s="341"/>
    </row>
    <row r="3839" spans="1:19" ht="12.75" customHeight="1">
      <c r="A3839" s="393" t="str">
        <f>VII.A!$A$181</f>
        <v>3.1</v>
      </c>
      <c r="B3839" s="394" t="str">
        <f>VII.A!B181</f>
        <v>AJUDANTE COM ENCARGOS COMPLEMENTARES</v>
      </c>
      <c r="C3839" s="20">
        <v>0.5</v>
      </c>
      <c r="D3839" s="384" t="str">
        <f>VII.A!C181</f>
        <v>H</v>
      </c>
      <c r="E3839" s="387">
        <f>VII.A!D181</f>
        <v>0</v>
      </c>
      <c r="F3839" s="388">
        <f t="shared" ref="F3839:F3845" si="989">ROUND(C3839*E3839,2)</f>
        <v>0</v>
      </c>
      <c r="H3839" s="341">
        <f>IF(A3839="","",VLOOKUP(A3839,VII.A!$A$10:$D$199,4,FALSE))</f>
        <v>0</v>
      </c>
      <c r="I3839" s="341" t="str">
        <f t="shared" ref="I3839:I3845" si="990">IF(A3839="","",IF(E3839=H3839,"SIM","NÃO"))</f>
        <v>SIM</v>
      </c>
      <c r="J3839" s="341" t="str">
        <f>IF(A3839="","",VLOOKUP(A3839,VII.A!$A$10:$D$199,3,FALSE))</f>
        <v>H</v>
      </c>
      <c r="K3839" s="342" t="str">
        <f t="shared" ref="K3839:K3845" si="991">IF(A3839="","",IF(J3839=D3839,"SIM","NÃO"))</f>
        <v>SIM</v>
      </c>
      <c r="L3839" s="380">
        <f>IF(C3839="","",G3803*C3839)</f>
        <v>5</v>
      </c>
      <c r="M3839" s="381" t="str">
        <f>IF(A3839="","",VLOOKUP(A3839,VII.A!$A$10:$B$199,2,FALSE))</f>
        <v>AJUDANTE COM ENCARGOS COMPLEMENTARES</v>
      </c>
      <c r="N3839" s="342" t="str">
        <f t="shared" ref="N3839:N3845" si="992">IF(B3839="","",IF(M3839=B3839,"si","no"))</f>
        <v>si</v>
      </c>
      <c r="R3839" s="341"/>
      <c r="S3839" s="341"/>
    </row>
    <row r="3840" spans="1:19" ht="12.75" customHeight="1">
      <c r="A3840" s="393" t="str">
        <f>VII.A!$A$187</f>
        <v>3.7</v>
      </c>
      <c r="B3840" s="394" t="str">
        <f>VII.A!B187</f>
        <v>ENCANADOR COM ENCARGOS COMPLEMENTARES</v>
      </c>
      <c r="C3840" s="20">
        <v>0.5</v>
      </c>
      <c r="D3840" s="384" t="str">
        <f>VII.A!C187</f>
        <v>H</v>
      </c>
      <c r="E3840" s="387">
        <f>VII.A!D187</f>
        <v>0</v>
      </c>
      <c r="F3840" s="388">
        <f t="shared" si="989"/>
        <v>0</v>
      </c>
      <c r="H3840" s="341">
        <f>IF(A3840="","",VLOOKUP(A3840,VII.A!$A$10:$D$199,4,FALSE))</f>
        <v>0</v>
      </c>
      <c r="I3840" s="341" t="str">
        <f t="shared" si="990"/>
        <v>SIM</v>
      </c>
      <c r="J3840" s="341" t="str">
        <f>IF(A3840="","",VLOOKUP(A3840,VII.A!$A$10:$D$199,3,FALSE))</f>
        <v>H</v>
      </c>
      <c r="K3840" s="342" t="str">
        <f t="shared" si="991"/>
        <v>SIM</v>
      </c>
      <c r="L3840" s="380">
        <f>IF(C3840="","",G3803*C3840)</f>
        <v>5</v>
      </c>
      <c r="M3840" s="381" t="str">
        <f>IF(A3840="","",VLOOKUP(A3840,VII.A!$A$10:$B$199,2,FALSE))</f>
        <v>ENCANADOR COM ENCARGOS COMPLEMENTARES</v>
      </c>
      <c r="N3840" s="342" t="str">
        <f t="shared" si="992"/>
        <v>si</v>
      </c>
      <c r="R3840" s="341"/>
      <c r="S3840" s="341"/>
    </row>
    <row r="3841" spans="1:25" ht="12.75" customHeight="1">
      <c r="A3841" s="393"/>
      <c r="C3841" s="20"/>
      <c r="E3841" s="387"/>
      <c r="F3841" s="388">
        <f t="shared" si="989"/>
        <v>0</v>
      </c>
      <c r="H3841" s="341" t="str">
        <f>IF(A3841="","",VLOOKUP(A3841,VII.A!$A$10:$D$199,4,FALSE))</f>
        <v/>
      </c>
      <c r="I3841" s="341" t="str">
        <f t="shared" si="990"/>
        <v/>
      </c>
      <c r="J3841" s="341" t="str">
        <f>IF(A3841="","",VLOOKUP(A3841,VII.A!$A$10:$D$199,3,FALSE))</f>
        <v/>
      </c>
      <c r="K3841" s="342" t="str">
        <f t="shared" si="991"/>
        <v/>
      </c>
      <c r="L3841" s="380" t="str">
        <f>IF(C3841="","",G3803*C3841)</f>
        <v/>
      </c>
      <c r="M3841" s="381" t="str">
        <f>IF(A3841="","",VLOOKUP(A3841,VII.A!$A$10:$B$199,2,FALSE))</f>
        <v/>
      </c>
      <c r="N3841" s="342" t="str">
        <f t="shared" si="992"/>
        <v/>
      </c>
      <c r="R3841" s="341"/>
      <c r="S3841" s="341"/>
    </row>
    <row r="3842" spans="1:25" ht="12.75" customHeight="1">
      <c r="A3842" s="393"/>
      <c r="C3842" s="20"/>
      <c r="E3842" s="387"/>
      <c r="F3842" s="388">
        <f t="shared" si="989"/>
        <v>0</v>
      </c>
      <c r="H3842" s="341" t="str">
        <f>IF(A3842="","",VLOOKUP(A3842,VII.A!$A$10:$D$199,4,FALSE))</f>
        <v/>
      </c>
      <c r="I3842" s="341" t="str">
        <f t="shared" si="990"/>
        <v/>
      </c>
      <c r="J3842" s="341" t="str">
        <f>IF(A3842="","",VLOOKUP(A3842,VII.A!$A$10:$D$199,3,FALSE))</f>
        <v/>
      </c>
      <c r="K3842" s="342" t="str">
        <f t="shared" si="991"/>
        <v/>
      </c>
      <c r="L3842" s="380" t="str">
        <f>IF(C3842="","",G3803*C3842)</f>
        <v/>
      </c>
      <c r="M3842" s="381" t="str">
        <f>IF(A3842="","",VLOOKUP(A3842,VII.A!$A$10:$B$199,2,FALSE))</f>
        <v/>
      </c>
      <c r="N3842" s="342" t="str">
        <f t="shared" si="992"/>
        <v/>
      </c>
      <c r="R3842" s="341"/>
      <c r="S3842" s="341"/>
    </row>
    <row r="3843" spans="1:25" ht="12.75" customHeight="1">
      <c r="A3843" s="393"/>
      <c r="C3843" s="20"/>
      <c r="E3843" s="387"/>
      <c r="F3843" s="388">
        <f t="shared" si="989"/>
        <v>0</v>
      </c>
      <c r="H3843" s="341" t="str">
        <f>IF(A3843="","",VLOOKUP(A3843,VII.A!$A$10:$D$199,4,FALSE))</f>
        <v/>
      </c>
      <c r="I3843" s="341" t="str">
        <f t="shared" si="990"/>
        <v/>
      </c>
      <c r="J3843" s="341" t="str">
        <f>IF(A3843="","",VLOOKUP(A3843,VII.A!$A$10:$D$199,3,FALSE))</f>
        <v/>
      </c>
      <c r="K3843" s="342" t="str">
        <f t="shared" si="991"/>
        <v/>
      </c>
      <c r="L3843" s="380" t="str">
        <f>IF(C3843="","",G3803*C3843)</f>
        <v/>
      </c>
      <c r="M3843" s="381" t="str">
        <f>IF(A3843="","",VLOOKUP(A3843,VII.A!$A$10:$B$199,2,FALSE))</f>
        <v/>
      </c>
      <c r="N3843" s="342" t="str">
        <f t="shared" si="992"/>
        <v/>
      </c>
      <c r="R3843" s="341"/>
      <c r="S3843" s="341"/>
    </row>
    <row r="3844" spans="1:25" ht="12.75" customHeight="1">
      <c r="A3844" s="393"/>
      <c r="C3844" s="20"/>
      <c r="E3844" s="387"/>
      <c r="F3844" s="388">
        <f t="shared" si="989"/>
        <v>0</v>
      </c>
      <c r="H3844" s="341" t="str">
        <f>IF(A3844="","",VLOOKUP(A3844,VII.A!$A$10:$D$199,4,FALSE))</f>
        <v/>
      </c>
      <c r="I3844" s="341" t="str">
        <f t="shared" si="990"/>
        <v/>
      </c>
      <c r="J3844" s="341" t="str">
        <f>IF(A3844="","",VLOOKUP(A3844,VII.A!$A$10:$D$199,3,FALSE))</f>
        <v/>
      </c>
      <c r="K3844" s="342" t="str">
        <f t="shared" si="991"/>
        <v/>
      </c>
      <c r="L3844" s="380" t="str">
        <f>IF(C3844="","",G3803*C3844)</f>
        <v/>
      </c>
      <c r="M3844" s="381" t="str">
        <f>IF(A3844="","",VLOOKUP(A3844,VII.A!$A$10:$B$199,2,FALSE))</f>
        <v/>
      </c>
      <c r="N3844" s="342" t="str">
        <f t="shared" si="992"/>
        <v/>
      </c>
      <c r="R3844" s="341"/>
      <c r="S3844" s="341"/>
    </row>
    <row r="3845" spans="1:25" ht="12.75" customHeight="1">
      <c r="A3845" s="393"/>
      <c r="C3845" s="20"/>
      <c r="E3845" s="387"/>
      <c r="F3845" s="388">
        <f t="shared" si="989"/>
        <v>0</v>
      </c>
      <c r="H3845" s="341" t="str">
        <f>IF(A3845="","",VLOOKUP(A3845,VII.A!$A$10:$D$199,4,FALSE))</f>
        <v/>
      </c>
      <c r="I3845" s="341" t="str">
        <f t="shared" si="990"/>
        <v/>
      </c>
      <c r="J3845" s="341" t="str">
        <f>IF(A3845="","",VLOOKUP(A3845,VII.A!$A$10:$D$199,3,FALSE))</f>
        <v/>
      </c>
      <c r="K3845" s="342" t="str">
        <f t="shared" si="991"/>
        <v/>
      </c>
      <c r="L3845" s="380" t="str">
        <f>IF(C3845="","",G3803*C3845)</f>
        <v/>
      </c>
      <c r="M3845" s="381" t="str">
        <f>IF(A3845="","",VLOOKUP(A3845,VII.A!$A$10:$B$199,2,FALSE))</f>
        <v/>
      </c>
      <c r="N3845" s="342" t="str">
        <f t="shared" si="992"/>
        <v/>
      </c>
      <c r="R3845" s="341"/>
      <c r="S3845" s="341"/>
    </row>
    <row r="3846" spans="1:25" ht="12.75" customHeight="1">
      <c r="A3846" s="393"/>
      <c r="B3846" s="395" t="s">
        <v>226</v>
      </c>
      <c r="C3846" s="396"/>
      <c r="D3846" s="397"/>
      <c r="E3846" s="398"/>
      <c r="F3846" s="399">
        <f>SUM(F3839:F3845)</f>
        <v>0</v>
      </c>
      <c r="J3846" s="341"/>
      <c r="L3846" s="380"/>
      <c r="M3846" s="381"/>
      <c r="N3846" s="342"/>
      <c r="R3846" s="341"/>
      <c r="S3846" s="341"/>
    </row>
    <row r="3847" spans="1:25" ht="12.75" customHeight="1">
      <c r="A3847" s="393"/>
      <c r="B3847" s="400" t="s">
        <v>229</v>
      </c>
      <c r="C3847" s="2">
        <f>IX.A!$C$45</f>
        <v>0</v>
      </c>
      <c r="D3847" s="401"/>
      <c r="E3847" s="402"/>
      <c r="F3847" s="403">
        <f>ROUND(F3846*C3847,2)</f>
        <v>0</v>
      </c>
      <c r="J3847" s="341"/>
      <c r="L3847" s="380"/>
      <c r="M3847" s="381"/>
      <c r="N3847" s="342"/>
      <c r="R3847" s="341"/>
      <c r="S3847" s="341"/>
    </row>
    <row r="3848" spans="1:25" ht="12.75" customHeight="1">
      <c r="A3848" s="393"/>
      <c r="B3848" s="400" t="s">
        <v>53</v>
      </c>
      <c r="C3848" s="2">
        <f>$D$8</f>
        <v>0</v>
      </c>
      <c r="D3848" s="401"/>
      <c r="E3848" s="402"/>
      <c r="F3848" s="403">
        <f>ROUND(SUM(F3846:F3847)*C3848,2)</f>
        <v>0</v>
      </c>
      <c r="J3848" s="341"/>
      <c r="L3848" s="380"/>
      <c r="M3848" s="381"/>
      <c r="N3848" s="342"/>
      <c r="R3848" s="341"/>
      <c r="S3848" s="341"/>
    </row>
    <row r="3849" spans="1:25" ht="12.75" customHeight="1" thickBot="1">
      <c r="A3849" s="414"/>
      <c r="B3849" s="415" t="s">
        <v>230</v>
      </c>
      <c r="C3849" s="416"/>
      <c r="D3849" s="416"/>
      <c r="E3849" s="417"/>
      <c r="F3849" s="418">
        <f>SUM(F3846:F3848)</f>
        <v>0</v>
      </c>
      <c r="J3849" s="341"/>
      <c r="L3849" s="380"/>
      <c r="M3849" s="381"/>
      <c r="N3849" s="342"/>
      <c r="R3849" s="341"/>
      <c r="S3849" s="341"/>
    </row>
    <row r="3850" spans="1:25" ht="12.75" customHeight="1" thickBot="1">
      <c r="A3850" s="357"/>
      <c r="B3850" s="358"/>
      <c r="C3850" s="359"/>
      <c r="D3850" s="359"/>
      <c r="E3850" s="360"/>
      <c r="F3850" s="419"/>
      <c r="J3850" s="341"/>
      <c r="L3850" s="380"/>
      <c r="M3850" s="381"/>
      <c r="N3850" s="342"/>
      <c r="R3850" s="341"/>
      <c r="S3850" s="341"/>
    </row>
    <row r="3851" spans="1:25" ht="30" customHeight="1">
      <c r="A3851" s="370" t="str">
        <f>IV.A!A119</f>
        <v>4.6</v>
      </c>
      <c r="B3851" s="371" t="str">
        <f>IV.A!B119</f>
        <v>TUBO PVC RÍGIDO SOLDÁVEL MARROM, DN = 50 MM (1.1/2'), INCLUSE CONEXÕES</v>
      </c>
      <c r="C3851" s="871" t="s">
        <v>237</v>
      </c>
      <c r="D3851" s="872"/>
      <c r="E3851" s="372" t="str">
        <f>IV.A!C119</f>
        <v>M</v>
      </c>
      <c r="F3851" s="11">
        <f>ROUND(F3871+F3885+F3897,2)</f>
        <v>0</v>
      </c>
      <c r="G3851" s="1">
        <f>VLOOKUP(A3851,IV.A!$A$16:$L$172,4,FALSE)</f>
        <v>40</v>
      </c>
      <c r="H3851" s="361">
        <f>SUM(F3853:F3868)+F3870</f>
        <v>0</v>
      </c>
      <c r="I3851" s="361">
        <f>SUM(F3873:F3882)+F3884</f>
        <v>0</v>
      </c>
      <c r="J3851" s="361">
        <f>SUM(F3887:F3893)+F3895+F3896</f>
        <v>0</v>
      </c>
      <c r="K3851" s="361">
        <f>SUM(H3851:J3851)</f>
        <v>0</v>
      </c>
      <c r="L3851" s="362" t="str">
        <f>IF(K3851=F3851,"SIM","NÃO")</f>
        <v>SIM</v>
      </c>
      <c r="M3851" s="373">
        <f>ROUND(SUM(F3853:F3868),2)+ROUND(SUM(F3853:F3868)*C3870,2)+ROUND(SUM(F3873:F3882)*C3884,2)+ROUND(SUM(F3873:F3882),2)+ROUND(SUM(F3887:F3893)*C3895,2)+ROUND((SUM(F3887:F3893)+ROUND(SUM(F3887:F3893)*C3895,2))*C3896,2)+ROUND(SUM(F3887:F3893),2)</f>
        <v>0</v>
      </c>
      <c r="N3851" s="343" t="str">
        <f>IF(M3851=F3851,"SIM","NÃO")</f>
        <v>SIM</v>
      </c>
      <c r="O3851" s="364" t="str">
        <f>VLOOKUP(A3851,IV.A!$A$16:$E$172,3,FALSE)</f>
        <v>M</v>
      </c>
      <c r="P3851" s="344" t="str">
        <f>IF(O3851=E3851,"SIM","NÃO")</f>
        <v>SIM</v>
      </c>
      <c r="Q3851" s="365">
        <f>ROUND(G3851*F3871,2)+ROUND(G3851*F3885,2)+ROUND(G3851*F3897,2)</f>
        <v>0</v>
      </c>
      <c r="R3851" s="364">
        <f>VLOOKUP(A3851,IV.A!$A$16:$L$172,12,FALSE)</f>
        <v>0</v>
      </c>
      <c r="S3851" s="366" t="str">
        <f>IF(Q3851=R3851,"si","no")</f>
        <v>si</v>
      </c>
      <c r="T3851" s="367">
        <f>SUM(L3853:L3868)+SUM(L3873:L3882)+SUM(L3887:L3893)</f>
        <v>107.89500000000001</v>
      </c>
      <c r="U3851" s="341">
        <f>(SUM(C3853:C3868)+SUM(C3873:C3882)+SUM(C3887:C3893))*G3851</f>
        <v>107.89500000000001</v>
      </c>
      <c r="V3851" s="368" t="str">
        <f>IF(T3851=U3851,"si","no")</f>
        <v>si</v>
      </c>
      <c r="W3851" s="369">
        <f>SUM(F3853:F3868)</f>
        <v>0</v>
      </c>
      <c r="X3851" s="369">
        <f>SUM(F3873:F3882)</f>
        <v>0</v>
      </c>
      <c r="Y3851" s="369">
        <f>SUM(F3887:F3893)</f>
        <v>0</v>
      </c>
    </row>
    <row r="3852" spans="1:25" ht="12.75" customHeight="1">
      <c r="A3852" s="374" t="s">
        <v>14</v>
      </c>
      <c r="B3852" s="375" t="s">
        <v>132</v>
      </c>
      <c r="C3852" s="376" t="s">
        <v>231</v>
      </c>
      <c r="D3852" s="376" t="s">
        <v>232</v>
      </c>
      <c r="E3852" s="377" t="s">
        <v>233</v>
      </c>
      <c r="F3852" s="378" t="s">
        <v>234</v>
      </c>
      <c r="G3852" s="379"/>
      <c r="J3852" s="341"/>
      <c r="L3852" s="380"/>
      <c r="M3852" s="381"/>
      <c r="N3852" s="342"/>
      <c r="O3852" s="382"/>
      <c r="P3852" s="383"/>
      <c r="Q3852" s="383"/>
      <c r="R3852" s="383"/>
      <c r="S3852" s="383"/>
      <c r="T3852" s="382"/>
      <c r="U3852" s="341"/>
      <c r="V3852" s="384"/>
      <c r="W3852" s="384"/>
      <c r="X3852" s="384"/>
      <c r="Y3852" s="384"/>
    </row>
    <row r="3853" spans="1:25" ht="12.75" customHeight="1">
      <c r="A3853" s="385" t="str">
        <f>VII.A!$A$11</f>
        <v>1.2</v>
      </c>
      <c r="B3853" s="386" t="str">
        <f>VII.A!B11</f>
        <v>ADESIVO PARA TUBO EM PVC - FRASCO 850 GR.</v>
      </c>
      <c r="C3853" s="20">
        <f>0.0075*0.85</f>
        <v>6.3749999999999996E-3</v>
      </c>
      <c r="D3853" s="342" t="str">
        <f>VII.A!C11</f>
        <v>UN</v>
      </c>
      <c r="E3853" s="387">
        <f>VII.A!D11</f>
        <v>0</v>
      </c>
      <c r="F3853" s="388">
        <f>ROUND(C3853*E3853,2)</f>
        <v>0</v>
      </c>
      <c r="H3853" s="341">
        <f>IF(A3853="","",VLOOKUP(A3853,VII.A!$A$10:$D$199,4,FALSE))</f>
        <v>0</v>
      </c>
      <c r="I3853" s="341" t="str">
        <f>IF(A3853="","",IF(E3853=H3853,"SIM","NÃO"))</f>
        <v>SIM</v>
      </c>
      <c r="J3853" s="341" t="str">
        <f>IF(A3853="","",VLOOKUP(A3853,VII.A!$A$10:$D$199,3,FALSE))</f>
        <v>UN</v>
      </c>
      <c r="K3853" s="342" t="str">
        <f>IF(A3853="","",IF(J3853=D3853,"SIM","NÃO"))</f>
        <v>SIM</v>
      </c>
      <c r="L3853" s="380">
        <f>IF(C3853="","",G3851*C3853)</f>
        <v>0.255</v>
      </c>
      <c r="M3853" s="381" t="str">
        <f>IF(A3853="","",VLOOKUP(A3853,VII.A!$A$10:$B$199,2,FALSE))</f>
        <v>ADESIVO PARA TUBO EM PVC - FRASCO 850 GR.</v>
      </c>
      <c r="N3853" s="342" t="str">
        <f>IF(B3853="","",IF(M3853=B3853,"si","no"))</f>
        <v>si</v>
      </c>
      <c r="R3853" s="341"/>
      <c r="S3853" s="341"/>
    </row>
    <row r="3854" spans="1:25" ht="12.75" customHeight="1">
      <c r="A3854" s="385" t="str">
        <f>VII.A!$A$67</f>
        <v>1.58</v>
      </c>
      <c r="B3854" s="386" t="str">
        <f>VII.A!B67</f>
        <v>LIXA D'AGUA EM FOLHA, GRAO 100</v>
      </c>
      <c r="C3854" s="20">
        <v>0.08</v>
      </c>
      <c r="D3854" s="342" t="str">
        <f>VII.A!C67</f>
        <v>UN</v>
      </c>
      <c r="E3854" s="387">
        <f>VII.A!D67</f>
        <v>0</v>
      </c>
      <c r="F3854" s="388">
        <f>ROUND(C3854*E3854,2)</f>
        <v>0</v>
      </c>
      <c r="H3854" s="341">
        <f>IF(A3854="","",VLOOKUP(A3854,VII.A!$A$10:$D$199,4,FALSE))</f>
        <v>0</v>
      </c>
      <c r="I3854" s="341" t="str">
        <f>IF(A3854="","",IF(E3854=H3854,"SIM","NÃO"))</f>
        <v>SIM</v>
      </c>
      <c r="J3854" s="341" t="str">
        <f>IF(A3854="","",VLOOKUP(A3854,VII.A!$A$10:$D$199,3,FALSE))</f>
        <v>UN</v>
      </c>
      <c r="K3854" s="342" t="str">
        <f>IF(A3854="","",IF(J3854=D3854,"SIM","NÃO"))</f>
        <v>SIM</v>
      </c>
      <c r="L3854" s="380">
        <f>IF(C3854="","",G3851*C3854)</f>
        <v>3.2</v>
      </c>
      <c r="M3854" s="381" t="str">
        <f>IF(A3854="","",VLOOKUP(A3854,VII.A!$A$10:$B$199,2,FALSE))</f>
        <v>LIXA D'AGUA EM FOLHA, GRAO 100</v>
      </c>
      <c r="N3854" s="342" t="str">
        <f>IF(B3854="","",IF(M3854=B3854,"si","no"))</f>
        <v>si</v>
      </c>
      <c r="R3854" s="341"/>
      <c r="S3854" s="341"/>
    </row>
    <row r="3855" spans="1:25" ht="12.75" customHeight="1">
      <c r="A3855" s="385" t="str">
        <f>VII.A!$A$100</f>
        <v>1.90</v>
      </c>
      <c r="B3855" s="386" t="str">
        <f>VII.A!B100</f>
        <v>SOLUCAO LIMPADORA PARA PVC, FRASCO COM 1000 CM3</v>
      </c>
      <c r="C3855" s="20">
        <v>1.0999999999999999E-2</v>
      </c>
      <c r="D3855" s="342" t="str">
        <f>VII.A!C100</f>
        <v xml:space="preserve">UN </v>
      </c>
      <c r="E3855" s="387">
        <f>VII.A!D100</f>
        <v>0</v>
      </c>
      <c r="F3855" s="388">
        <f t="shared" ref="F3855:F3868" si="993">ROUND(C3855*E3855,2)</f>
        <v>0</v>
      </c>
      <c r="H3855" s="341">
        <f>IF(A3855="","",VLOOKUP(A3855,VII.A!$A$10:$D$199,4,FALSE))</f>
        <v>0</v>
      </c>
      <c r="I3855" s="341" t="str">
        <f t="shared" ref="I3855:I3868" si="994">IF(A3855="","",IF(E3855=H3855,"SIM","NÃO"))</f>
        <v>SIM</v>
      </c>
      <c r="J3855" s="341" t="str">
        <f>IF(A3855="","",VLOOKUP(A3855,VII.A!$A$10:$D$199,3,FALSE))</f>
        <v xml:space="preserve">UN </v>
      </c>
      <c r="K3855" s="342" t="str">
        <f t="shared" ref="K3855:K3868" si="995">IF(A3855="","",IF(J3855=D3855,"SIM","NÃO"))</f>
        <v>SIM</v>
      </c>
      <c r="L3855" s="380">
        <f>IF(C3855="","",G3851*C3855)</f>
        <v>0.43999999999999995</v>
      </c>
      <c r="M3855" s="381" t="str">
        <f>IF(A3855="","",VLOOKUP(A3855,VII.A!$A$10:$B$199,2,FALSE))</f>
        <v>SOLUCAO LIMPADORA PARA PVC, FRASCO COM 1000 CM3</v>
      </c>
      <c r="N3855" s="342" t="str">
        <f t="shared" ref="N3855:N3868" si="996">IF(B3855="","",IF(M3855=B3855,"si","no"))</f>
        <v>si</v>
      </c>
      <c r="R3855" s="341"/>
      <c r="S3855" s="341"/>
    </row>
    <row r="3856" spans="1:25" ht="12.75" customHeight="1">
      <c r="A3856" s="385" t="str">
        <f>VII.A!$A$117</f>
        <v>1.107</v>
      </c>
      <c r="B3856" s="386" t="str">
        <f>VII.A!B117</f>
        <v>TUBO DE PVC RÍGIDO SOLDÁVEL MARROM, DN = 50MM (1.1/2') - NBR 5648</v>
      </c>
      <c r="C3856" s="20">
        <v>1.4</v>
      </c>
      <c r="D3856" s="342" t="str">
        <f>VII.A!C117</f>
        <v>M</v>
      </c>
      <c r="E3856" s="387">
        <f>VII.A!D117</f>
        <v>0</v>
      </c>
      <c r="F3856" s="388">
        <f t="shared" si="993"/>
        <v>0</v>
      </c>
      <c r="H3856" s="341">
        <f>IF(A3856="","",VLOOKUP(A3856,VII.A!$A$10:$D$199,4,FALSE))</f>
        <v>0</v>
      </c>
      <c r="I3856" s="341" t="str">
        <f t="shared" si="994"/>
        <v>SIM</v>
      </c>
      <c r="J3856" s="341" t="str">
        <f>IF(A3856="","",VLOOKUP(A3856,VII.A!$A$10:$D$199,3,FALSE))</f>
        <v>M</v>
      </c>
      <c r="K3856" s="342" t="str">
        <f t="shared" si="995"/>
        <v>SIM</v>
      </c>
      <c r="L3856" s="380">
        <f>IF(C3856="","",G3851*C3856)</f>
        <v>56</v>
      </c>
      <c r="M3856" s="381" t="str">
        <f>IF(A3856="","",VLOOKUP(A3856,VII.A!$A$10:$B$199,2,FALSE))</f>
        <v>TUBO DE PVC RÍGIDO SOLDÁVEL MARROM, DN = 50MM (1.1/2') - NBR 5648</v>
      </c>
      <c r="N3856" s="342" t="str">
        <f t="shared" si="996"/>
        <v>si</v>
      </c>
      <c r="R3856" s="341"/>
      <c r="S3856" s="341"/>
    </row>
    <row r="3857" spans="1:21" ht="12.75" customHeight="1">
      <c r="A3857" s="385"/>
      <c r="B3857" s="386"/>
      <c r="C3857" s="20"/>
      <c r="D3857" s="342"/>
      <c r="E3857" s="387"/>
      <c r="F3857" s="388">
        <f t="shared" si="993"/>
        <v>0</v>
      </c>
      <c r="H3857" s="341" t="str">
        <f>IF(A3857="","",VLOOKUP(A3857,VII.A!$A$10:$D$199,4,FALSE))</f>
        <v/>
      </c>
      <c r="I3857" s="341" t="str">
        <f t="shared" si="994"/>
        <v/>
      </c>
      <c r="J3857" s="341" t="str">
        <f>IF(A3857="","",VLOOKUP(A3857,VII.A!$A$10:$D$199,3,FALSE))</f>
        <v/>
      </c>
      <c r="K3857" s="342" t="str">
        <f t="shared" si="995"/>
        <v/>
      </c>
      <c r="L3857" s="380" t="str">
        <f>IF(C3857="","",G3851*C3857)</f>
        <v/>
      </c>
      <c r="M3857" s="381" t="str">
        <f>IF(A3857="","",VLOOKUP(A3857,VII.A!$A$10:$B$199,2,FALSE))</f>
        <v/>
      </c>
      <c r="N3857" s="342" t="str">
        <f t="shared" si="996"/>
        <v/>
      </c>
      <c r="R3857" s="341"/>
      <c r="S3857" s="341"/>
    </row>
    <row r="3858" spans="1:21" ht="12.75" customHeight="1">
      <c r="A3858" s="385"/>
      <c r="B3858" s="386"/>
      <c r="C3858" s="20"/>
      <c r="D3858" s="342"/>
      <c r="E3858" s="387"/>
      <c r="F3858" s="388">
        <f t="shared" si="993"/>
        <v>0</v>
      </c>
      <c r="H3858" s="341" t="str">
        <f>IF(A3858="","",VLOOKUP(A3858,VII.A!$A$10:$D$199,4,FALSE))</f>
        <v/>
      </c>
      <c r="I3858" s="341" t="str">
        <f t="shared" si="994"/>
        <v/>
      </c>
      <c r="J3858" s="341" t="str">
        <f>IF(A3858="","",VLOOKUP(A3858,VII.A!$A$10:$D$199,3,FALSE))</f>
        <v/>
      </c>
      <c r="K3858" s="342" t="str">
        <f t="shared" si="995"/>
        <v/>
      </c>
      <c r="L3858" s="380" t="str">
        <f>IF(C3858="","",G3851*C3858)</f>
        <v/>
      </c>
      <c r="M3858" s="381" t="str">
        <f>IF(A3858="","",VLOOKUP(A3858,VII.A!$A$10:$B$199,2,FALSE))</f>
        <v/>
      </c>
      <c r="N3858" s="342" t="str">
        <f t="shared" si="996"/>
        <v/>
      </c>
      <c r="R3858" s="341"/>
      <c r="S3858" s="341"/>
    </row>
    <row r="3859" spans="1:21" ht="12.75" customHeight="1">
      <c r="A3859" s="385"/>
      <c r="B3859" s="386"/>
      <c r="C3859" s="20"/>
      <c r="D3859" s="342"/>
      <c r="E3859" s="387"/>
      <c r="F3859" s="388">
        <f t="shared" si="993"/>
        <v>0</v>
      </c>
      <c r="H3859" s="341" t="str">
        <f>IF(A3859="","",VLOOKUP(A3859,VII.A!$A$10:$D$199,4,FALSE))</f>
        <v/>
      </c>
      <c r="I3859" s="341" t="str">
        <f t="shared" si="994"/>
        <v/>
      </c>
      <c r="J3859" s="341" t="str">
        <f>IF(A3859="","",VLOOKUP(A3859,VII.A!$A$10:$D$199,3,FALSE))</f>
        <v/>
      </c>
      <c r="K3859" s="342" t="str">
        <f t="shared" si="995"/>
        <v/>
      </c>
      <c r="L3859" s="380" t="str">
        <f>IF(C3859="","",G3851*C3859)</f>
        <v/>
      </c>
      <c r="M3859" s="381" t="str">
        <f>IF(A3859="","",VLOOKUP(A3859,VII.A!$A$10:$B$199,2,FALSE))</f>
        <v/>
      </c>
      <c r="N3859" s="342" t="str">
        <f t="shared" si="996"/>
        <v/>
      </c>
      <c r="R3859" s="341"/>
      <c r="S3859" s="341"/>
      <c r="U3859" s="389"/>
    </row>
    <row r="3860" spans="1:21" ht="12.75" customHeight="1">
      <c r="A3860" s="385"/>
      <c r="B3860" s="386"/>
      <c r="C3860" s="20"/>
      <c r="D3860" s="342"/>
      <c r="E3860" s="387"/>
      <c r="F3860" s="388">
        <f t="shared" si="993"/>
        <v>0</v>
      </c>
      <c r="H3860" s="341" t="str">
        <f>IF(A3860="","",VLOOKUP(A3860,VII.A!$A$10:$D$199,4,FALSE))</f>
        <v/>
      </c>
      <c r="I3860" s="341" t="str">
        <f t="shared" si="994"/>
        <v/>
      </c>
      <c r="J3860" s="341" t="str">
        <f>IF(A3860="","",VLOOKUP(A3860,VII.A!$A$10:$D$199,3,FALSE))</f>
        <v/>
      </c>
      <c r="K3860" s="342" t="str">
        <f t="shared" si="995"/>
        <v/>
      </c>
      <c r="L3860" s="380" t="str">
        <f>IF(C3860="","",G3851*C3860)</f>
        <v/>
      </c>
      <c r="M3860" s="381" t="str">
        <f>IF(A3860="","",VLOOKUP(A3860,VII.A!$A$10:$B$199,2,FALSE))</f>
        <v/>
      </c>
      <c r="N3860" s="342" t="str">
        <f t="shared" si="996"/>
        <v/>
      </c>
      <c r="R3860" s="341"/>
      <c r="S3860" s="341"/>
    </row>
    <row r="3861" spans="1:21" ht="12.75" customHeight="1">
      <c r="A3861" s="385"/>
      <c r="B3861" s="386"/>
      <c r="C3861" s="20"/>
      <c r="D3861" s="342"/>
      <c r="E3861" s="387"/>
      <c r="F3861" s="388">
        <f t="shared" si="993"/>
        <v>0</v>
      </c>
      <c r="G3861" s="390"/>
      <c r="H3861" s="341" t="str">
        <f>IF(A3861="","",VLOOKUP(A3861,VII.A!$A$10:$D$199,4,FALSE))</f>
        <v/>
      </c>
      <c r="I3861" s="341" t="str">
        <f t="shared" si="994"/>
        <v/>
      </c>
      <c r="J3861" s="341" t="str">
        <f>IF(A3861="","",VLOOKUP(A3861,VII.A!$A$10:$D$199,3,FALSE))</f>
        <v/>
      </c>
      <c r="K3861" s="342" t="str">
        <f t="shared" si="995"/>
        <v/>
      </c>
      <c r="L3861" s="380" t="str">
        <f>IF(C3861="","",G3851*C3861)</f>
        <v/>
      </c>
      <c r="M3861" s="381" t="str">
        <f>IF(A3861="","",VLOOKUP(A3861,VII.A!$A$10:$B$199,2,FALSE))</f>
        <v/>
      </c>
      <c r="N3861" s="342" t="str">
        <f t="shared" si="996"/>
        <v/>
      </c>
      <c r="R3861" s="341"/>
      <c r="S3861" s="341"/>
    </row>
    <row r="3862" spans="1:21" ht="12.75" customHeight="1">
      <c r="A3862" s="385"/>
      <c r="B3862" s="386"/>
      <c r="C3862" s="20"/>
      <c r="D3862" s="342"/>
      <c r="E3862" s="387"/>
      <c r="F3862" s="388">
        <f t="shared" si="993"/>
        <v>0</v>
      </c>
      <c r="G3862" s="390"/>
      <c r="H3862" s="341" t="str">
        <f>IF(A3862="","",VLOOKUP(A3862,VII.A!$A$10:$D$199,4,FALSE))</f>
        <v/>
      </c>
      <c r="I3862" s="341" t="str">
        <f t="shared" si="994"/>
        <v/>
      </c>
      <c r="J3862" s="341" t="str">
        <f>IF(A3862="","",VLOOKUP(A3862,VII.A!$A$10:$D$199,3,FALSE))</f>
        <v/>
      </c>
      <c r="K3862" s="342" t="str">
        <f t="shared" si="995"/>
        <v/>
      </c>
      <c r="L3862" s="380" t="str">
        <f>IF(C3862="","",G3851*C3862)</f>
        <v/>
      </c>
      <c r="M3862" s="381" t="str">
        <f>IF(A3862="","",VLOOKUP(A3862,VII.A!$A$10:$B$199,2,FALSE))</f>
        <v/>
      </c>
      <c r="N3862" s="342" t="str">
        <f t="shared" si="996"/>
        <v/>
      </c>
      <c r="R3862" s="341"/>
      <c r="S3862" s="341"/>
    </row>
    <row r="3863" spans="1:21" ht="12.75" customHeight="1">
      <c r="A3863" s="385"/>
      <c r="B3863" s="386"/>
      <c r="C3863" s="20"/>
      <c r="D3863" s="342"/>
      <c r="E3863" s="387"/>
      <c r="F3863" s="388">
        <f t="shared" si="993"/>
        <v>0</v>
      </c>
      <c r="H3863" s="341" t="str">
        <f>IF(A3863="","",VLOOKUP(A3863,VII.A!$A$10:$D$199,4,FALSE))</f>
        <v/>
      </c>
      <c r="I3863" s="341" t="str">
        <f t="shared" si="994"/>
        <v/>
      </c>
      <c r="J3863" s="341" t="str">
        <f>IF(A3863="","",VLOOKUP(A3863,VII.A!$A$10:$D$199,3,FALSE))</f>
        <v/>
      </c>
      <c r="K3863" s="342" t="str">
        <f t="shared" si="995"/>
        <v/>
      </c>
      <c r="L3863" s="380" t="str">
        <f>IF(C3863="","",G3851*C3863)</f>
        <v/>
      </c>
      <c r="M3863" s="381" t="str">
        <f>IF(A3863="","",VLOOKUP(A3863,VII.A!$A$10:$B$199,2,FALSE))</f>
        <v/>
      </c>
      <c r="N3863" s="342" t="str">
        <f t="shared" si="996"/>
        <v/>
      </c>
      <c r="R3863" s="341"/>
      <c r="S3863" s="341"/>
    </row>
    <row r="3864" spans="1:21" ht="12.75" customHeight="1">
      <c r="A3864" s="385"/>
      <c r="B3864" s="386"/>
      <c r="C3864" s="20"/>
      <c r="D3864" s="392"/>
      <c r="E3864" s="387"/>
      <c r="F3864" s="388">
        <f t="shared" si="993"/>
        <v>0</v>
      </c>
      <c r="H3864" s="341" t="str">
        <f>IF(A3864="","",VLOOKUP(A3864,VII.A!$A$10:$D$199,4,FALSE))</f>
        <v/>
      </c>
      <c r="I3864" s="341" t="str">
        <f t="shared" si="994"/>
        <v/>
      </c>
      <c r="J3864" s="341" t="str">
        <f>IF(A3864="","",VLOOKUP(A3864,VII.A!$A$10:$D$199,3,FALSE))</f>
        <v/>
      </c>
      <c r="K3864" s="342" t="str">
        <f t="shared" si="995"/>
        <v/>
      </c>
      <c r="L3864" s="380" t="str">
        <f>IF(C3864="","",G3851*C3864)</f>
        <v/>
      </c>
      <c r="M3864" s="381" t="str">
        <f>IF(A3864="","",VLOOKUP(A3864,VII.A!$A$10:$B$199,2,FALSE))</f>
        <v/>
      </c>
      <c r="N3864" s="342" t="str">
        <f t="shared" si="996"/>
        <v/>
      </c>
      <c r="R3864" s="341"/>
      <c r="S3864" s="341"/>
    </row>
    <row r="3865" spans="1:21" ht="12.75" customHeight="1">
      <c r="A3865" s="385"/>
      <c r="B3865" s="386"/>
      <c r="C3865" s="20"/>
      <c r="D3865" s="392"/>
      <c r="E3865" s="387"/>
      <c r="F3865" s="388">
        <f t="shared" si="993"/>
        <v>0</v>
      </c>
      <c r="H3865" s="341" t="str">
        <f>IF(A3865="","",VLOOKUP(A3865,VII.A!$A$10:$D$199,4,FALSE))</f>
        <v/>
      </c>
      <c r="I3865" s="341" t="str">
        <f t="shared" si="994"/>
        <v/>
      </c>
      <c r="J3865" s="341" t="str">
        <f>IF(A3865="","",VLOOKUP(A3865,VII.A!$A$10:$D$199,3,FALSE))</f>
        <v/>
      </c>
      <c r="K3865" s="342" t="str">
        <f t="shared" si="995"/>
        <v/>
      </c>
      <c r="L3865" s="380" t="str">
        <f>IF(C3865="","",G3851*C3865)</f>
        <v/>
      </c>
      <c r="M3865" s="381" t="str">
        <f>IF(A3865="","",VLOOKUP(A3865,VII.A!$A$10:$B$199,2,FALSE))</f>
        <v/>
      </c>
      <c r="N3865" s="342" t="str">
        <f t="shared" si="996"/>
        <v/>
      </c>
      <c r="O3865" s="342"/>
      <c r="R3865" s="341"/>
      <c r="S3865" s="341"/>
    </row>
    <row r="3866" spans="1:21" ht="12.75" customHeight="1">
      <c r="A3866" s="385"/>
      <c r="B3866" s="386"/>
      <c r="C3866" s="20"/>
      <c r="D3866" s="392"/>
      <c r="E3866" s="387"/>
      <c r="F3866" s="388">
        <f t="shared" si="993"/>
        <v>0</v>
      </c>
      <c r="H3866" s="341" t="str">
        <f>IF(A3866="","",VLOOKUP(A3866,VII.A!$A$10:$D$199,4,FALSE))</f>
        <v/>
      </c>
      <c r="I3866" s="341" t="str">
        <f t="shared" si="994"/>
        <v/>
      </c>
      <c r="J3866" s="341" t="str">
        <f>IF(A3866="","",VLOOKUP(A3866,VII.A!$A$10:$D$199,3,FALSE))</f>
        <v/>
      </c>
      <c r="K3866" s="342" t="str">
        <f t="shared" si="995"/>
        <v/>
      </c>
      <c r="L3866" s="380" t="str">
        <f>IF(C3866="","",G3851*C3866)</f>
        <v/>
      </c>
      <c r="M3866" s="381" t="str">
        <f>IF(A3866="","",VLOOKUP(A3866,VII.A!$A$10:$B$199,2,FALSE))</f>
        <v/>
      </c>
      <c r="N3866" s="342" t="str">
        <f t="shared" si="996"/>
        <v/>
      </c>
      <c r="R3866" s="341"/>
      <c r="S3866" s="341"/>
    </row>
    <row r="3867" spans="1:21" ht="12.75" customHeight="1">
      <c r="A3867" s="393"/>
      <c r="C3867" s="20"/>
      <c r="E3867" s="387"/>
      <c r="F3867" s="388">
        <f t="shared" si="993"/>
        <v>0</v>
      </c>
      <c r="H3867" s="341" t="str">
        <f>IF(A3867="","",VLOOKUP(A3867,VII.A!$A$10:$D$199,4,FALSE))</f>
        <v/>
      </c>
      <c r="I3867" s="341" t="str">
        <f t="shared" si="994"/>
        <v/>
      </c>
      <c r="J3867" s="341" t="str">
        <f>IF(A3867="","",VLOOKUP(A3867,VII.A!$A$10:$D$199,3,FALSE))</f>
        <v/>
      </c>
      <c r="K3867" s="342" t="str">
        <f t="shared" si="995"/>
        <v/>
      </c>
      <c r="L3867" s="380" t="str">
        <f>IF(C3867="","",G3851*C3867)</f>
        <v/>
      </c>
      <c r="M3867" s="381" t="str">
        <f>IF(A3867="","",VLOOKUP(A3867,VII.A!$A$10:$B$199,2,FALSE))</f>
        <v/>
      </c>
      <c r="N3867" s="342" t="str">
        <f t="shared" si="996"/>
        <v/>
      </c>
      <c r="R3867" s="341"/>
      <c r="S3867" s="341"/>
    </row>
    <row r="3868" spans="1:21" ht="12.75" customHeight="1">
      <c r="A3868" s="393"/>
      <c r="C3868" s="20"/>
      <c r="E3868" s="387"/>
      <c r="F3868" s="388">
        <f t="shared" si="993"/>
        <v>0</v>
      </c>
      <c r="H3868" s="341" t="str">
        <f>IF(A3868="","",VLOOKUP(A3868,VII.A!$A$10:$D$199,4,FALSE))</f>
        <v/>
      </c>
      <c r="I3868" s="341" t="str">
        <f t="shared" si="994"/>
        <v/>
      </c>
      <c r="J3868" s="341" t="str">
        <f>IF(A3868="","",VLOOKUP(A3868,VII.A!$A$10:$D$199,3,FALSE))</f>
        <v/>
      </c>
      <c r="K3868" s="342" t="str">
        <f t="shared" si="995"/>
        <v/>
      </c>
      <c r="L3868" s="380" t="str">
        <f>IF(C3868="","",G3851*C3868)</f>
        <v/>
      </c>
      <c r="M3868" s="381" t="str">
        <f>IF(A3868="","",VLOOKUP(A3868,VII.A!$A$10:$B$199,2,FALSE))</f>
        <v/>
      </c>
      <c r="N3868" s="342" t="str">
        <f t="shared" si="996"/>
        <v/>
      </c>
      <c r="R3868" s="341"/>
      <c r="S3868" s="341"/>
    </row>
    <row r="3869" spans="1:21" ht="12.75" customHeight="1">
      <c r="A3869" s="393"/>
      <c r="B3869" s="395" t="s">
        <v>226</v>
      </c>
      <c r="C3869" s="396"/>
      <c r="D3869" s="397"/>
      <c r="E3869" s="398"/>
      <c r="F3869" s="399">
        <f>SUM(F3853:F3868)</f>
        <v>0</v>
      </c>
      <c r="H3869" s="426" t="s">
        <v>522</v>
      </c>
      <c r="J3869" s="341"/>
      <c r="L3869" s="380"/>
      <c r="M3869" s="381"/>
      <c r="N3869" s="342"/>
      <c r="R3869" s="341"/>
      <c r="S3869" s="341"/>
    </row>
    <row r="3870" spans="1:21" ht="12.75" customHeight="1">
      <c r="A3870" s="393"/>
      <c r="B3870" s="400" t="s">
        <v>53</v>
      </c>
      <c r="C3870" s="2">
        <f>$D$8</f>
        <v>0</v>
      </c>
      <c r="D3870" s="401"/>
      <c r="E3870" s="402"/>
      <c r="F3870" s="403">
        <f>ROUND(F3869*C3870,2)</f>
        <v>0</v>
      </c>
      <c r="H3870" s="426"/>
      <c r="J3870" s="341"/>
      <c r="L3870" s="380"/>
      <c r="M3870" s="381"/>
      <c r="N3870" s="342"/>
      <c r="R3870" s="341"/>
      <c r="S3870" s="341"/>
    </row>
    <row r="3871" spans="1:21" ht="12.75" customHeight="1">
      <c r="A3871" s="404"/>
      <c r="B3871" s="405" t="s">
        <v>227</v>
      </c>
      <c r="C3871" s="406"/>
      <c r="D3871" s="406"/>
      <c r="E3871" s="407"/>
      <c r="F3871" s="408">
        <f>F3869+F3870</f>
        <v>0</v>
      </c>
      <c r="J3871" s="341"/>
      <c r="L3871" s="380"/>
      <c r="M3871" s="381"/>
      <c r="N3871" s="342"/>
      <c r="R3871" s="341"/>
      <c r="S3871" s="341"/>
    </row>
    <row r="3872" spans="1:21" ht="12.75" customHeight="1">
      <c r="A3872" s="374" t="s">
        <v>2</v>
      </c>
      <c r="B3872" s="375" t="s">
        <v>235</v>
      </c>
      <c r="C3872" s="376" t="s">
        <v>231</v>
      </c>
      <c r="D3872" s="376" t="s">
        <v>232</v>
      </c>
      <c r="E3872" s="377" t="s">
        <v>233</v>
      </c>
      <c r="F3872" s="378" t="s">
        <v>234</v>
      </c>
      <c r="J3872" s="341"/>
      <c r="L3872" s="380"/>
      <c r="M3872" s="381"/>
      <c r="N3872" s="342"/>
      <c r="R3872" s="341"/>
      <c r="S3872" s="341"/>
    </row>
    <row r="3873" spans="1:19" ht="12.75" customHeight="1">
      <c r="A3873" s="393"/>
      <c r="B3873" s="423"/>
      <c r="C3873" s="20"/>
      <c r="E3873" s="387"/>
      <c r="F3873" s="388">
        <f t="shared" ref="F3873:F3882" si="997">ROUND(C3873*E3873,2)</f>
        <v>0</v>
      </c>
      <c r="H3873" s="341" t="str">
        <f>IF(A3873="","",VLOOKUP(A3873,VII.A!$A$10:$D$199,4,FALSE))</f>
        <v/>
      </c>
      <c r="I3873" s="341" t="str">
        <f t="shared" ref="I3873:I3882" si="998">IF(A3873="","",IF(E3873=H3873,"SIM","NÃO"))</f>
        <v/>
      </c>
      <c r="J3873" s="341" t="str">
        <f>IF(A3873="","",VLOOKUP(A3873,VII.A!$A$10:$D$199,3,FALSE))</f>
        <v/>
      </c>
      <c r="K3873" s="342" t="str">
        <f t="shared" ref="K3873:K3882" si="999">IF(A3873="","",IF(J3873=D3873,"SIM","NÃO"))</f>
        <v/>
      </c>
      <c r="L3873" s="380" t="str">
        <f>IF(C3873="","",G3851*C3873)</f>
        <v/>
      </c>
      <c r="M3873" s="381" t="str">
        <f>IF(A3873="","",VLOOKUP(A3873,VII.A!$A$10:$B$199,2,FALSE))</f>
        <v/>
      </c>
      <c r="N3873" s="342" t="str">
        <f t="shared" ref="N3873:N3882" si="1000">IF(B3873="","",IF(M3873=B3873,"si","no"))</f>
        <v/>
      </c>
      <c r="R3873" s="341"/>
      <c r="S3873" s="341"/>
    </row>
    <row r="3874" spans="1:19" ht="12.75" customHeight="1">
      <c r="A3874" s="393"/>
      <c r="C3874" s="20"/>
      <c r="E3874" s="387"/>
      <c r="F3874" s="388">
        <f t="shared" si="997"/>
        <v>0</v>
      </c>
      <c r="H3874" s="341" t="str">
        <f>IF(A3874="","",VLOOKUP(A3874,VII.A!$A$10:$D$199,4,FALSE))</f>
        <v/>
      </c>
      <c r="I3874" s="341" t="str">
        <f t="shared" si="998"/>
        <v/>
      </c>
      <c r="J3874" s="341" t="str">
        <f>IF(A3874="","",VLOOKUP(A3874,VII.A!$A$10:$D$199,3,FALSE))</f>
        <v/>
      </c>
      <c r="K3874" s="342" t="str">
        <f t="shared" si="999"/>
        <v/>
      </c>
      <c r="L3874" s="380" t="str">
        <f>IF(C3874="","",G3851*C3874)</f>
        <v/>
      </c>
      <c r="M3874" s="381" t="str">
        <f>IF(A3874="","",VLOOKUP(A3874,VII.A!$A$10:$B$199,2,FALSE))</f>
        <v/>
      </c>
      <c r="N3874" s="342" t="str">
        <f t="shared" si="1000"/>
        <v/>
      </c>
      <c r="R3874" s="341"/>
      <c r="S3874" s="341"/>
    </row>
    <row r="3875" spans="1:19" ht="12.75" customHeight="1">
      <c r="A3875" s="393"/>
      <c r="C3875" s="20"/>
      <c r="E3875" s="387"/>
      <c r="F3875" s="388">
        <f t="shared" si="997"/>
        <v>0</v>
      </c>
      <c r="H3875" s="341" t="str">
        <f>IF(A3875="","",VLOOKUP(A3875,VII.A!$A$10:$D$199,4,FALSE))</f>
        <v/>
      </c>
      <c r="I3875" s="341" t="str">
        <f t="shared" si="998"/>
        <v/>
      </c>
      <c r="J3875" s="341" t="str">
        <f>IF(A3875="","",VLOOKUP(A3875,VII.A!$A$10:$D$199,3,FALSE))</f>
        <v/>
      </c>
      <c r="K3875" s="342" t="str">
        <f t="shared" si="999"/>
        <v/>
      </c>
      <c r="L3875" s="380" t="str">
        <f>IF(C3875="","",G3851*C3875)</f>
        <v/>
      </c>
      <c r="M3875" s="381" t="str">
        <f>IF(A3875="","",VLOOKUP(A3875,VII.A!$A$10:$B$199,2,FALSE))</f>
        <v/>
      </c>
      <c r="N3875" s="342" t="str">
        <f t="shared" si="1000"/>
        <v/>
      </c>
      <c r="R3875" s="341"/>
      <c r="S3875" s="341"/>
    </row>
    <row r="3876" spans="1:19" ht="12.75" customHeight="1">
      <c r="A3876" s="393"/>
      <c r="C3876" s="20"/>
      <c r="E3876" s="387"/>
      <c r="F3876" s="388">
        <f>ROUND(C3876*E3876,2)</f>
        <v>0</v>
      </c>
      <c r="H3876" s="341" t="str">
        <f>IF(A3876="","",VLOOKUP(A3876,VII.A!$A$10:$D$199,4,FALSE))</f>
        <v/>
      </c>
      <c r="I3876" s="341" t="str">
        <f>IF(A3876="","",IF(E3876=H3876,"SIM","NÃO"))</f>
        <v/>
      </c>
      <c r="J3876" s="341" t="str">
        <f>IF(A3876="","",VLOOKUP(A3876,VII.A!$A$10:$D$199,3,FALSE))</f>
        <v/>
      </c>
      <c r="K3876" s="342" t="str">
        <f>IF(A3876="","",IF(J3876=D3876,"SIM","NÃO"))</f>
        <v/>
      </c>
      <c r="L3876" s="380" t="str">
        <f>IF(C3876="","",G3850*C3876)</f>
        <v/>
      </c>
      <c r="M3876" s="381" t="str">
        <f>IF(A3876="","",VLOOKUP(A3876,VII.A!$A$10:$B$199,2,FALSE))</f>
        <v/>
      </c>
      <c r="N3876" s="342" t="str">
        <f>IF(B3876="","",IF(M3876=B3876,"si","no"))</f>
        <v/>
      </c>
      <c r="R3876" s="341"/>
      <c r="S3876" s="341"/>
    </row>
    <row r="3877" spans="1:19" ht="12.75" customHeight="1">
      <c r="A3877" s="393"/>
      <c r="C3877" s="20"/>
      <c r="E3877" s="387"/>
      <c r="F3877" s="388">
        <f t="shared" si="997"/>
        <v>0</v>
      </c>
      <c r="H3877" s="341" t="str">
        <f>IF(A3877="","",VLOOKUP(A3877,VII.A!$A$10:$D$199,4,FALSE))</f>
        <v/>
      </c>
      <c r="I3877" s="341" t="str">
        <f t="shared" si="998"/>
        <v/>
      </c>
      <c r="J3877" s="341" t="str">
        <f>IF(A3877="","",VLOOKUP(A3877,VII.A!$A$10:$D$199,3,FALSE))</f>
        <v/>
      </c>
      <c r="K3877" s="342" t="str">
        <f t="shared" si="999"/>
        <v/>
      </c>
      <c r="L3877" s="380" t="str">
        <f>IF(C3877="","",G3851*C3877)</f>
        <v/>
      </c>
      <c r="M3877" s="381" t="str">
        <f>IF(A3877="","",VLOOKUP(A3877,VII.A!$A$10:$B$199,2,FALSE))</f>
        <v/>
      </c>
      <c r="N3877" s="342" t="str">
        <f t="shared" si="1000"/>
        <v/>
      </c>
      <c r="R3877" s="341"/>
      <c r="S3877" s="341"/>
    </row>
    <row r="3878" spans="1:19" ht="12.75" customHeight="1">
      <c r="A3878" s="393"/>
      <c r="C3878" s="20"/>
      <c r="E3878" s="387"/>
      <c r="F3878" s="388">
        <f t="shared" si="997"/>
        <v>0</v>
      </c>
      <c r="G3878" s="390"/>
      <c r="H3878" s="341" t="str">
        <f>IF(A3878="","",VLOOKUP(A3878,VII.A!$A$10:$D$199,4,FALSE))</f>
        <v/>
      </c>
      <c r="I3878" s="341" t="str">
        <f t="shared" si="998"/>
        <v/>
      </c>
      <c r="J3878" s="341" t="str">
        <f>IF(A3878="","",VLOOKUP(A3878,VII.A!$A$10:$D$199,3,FALSE))</f>
        <v/>
      </c>
      <c r="K3878" s="342" t="str">
        <f t="shared" si="999"/>
        <v/>
      </c>
      <c r="L3878" s="380" t="str">
        <f>IF(C3878="","",G3851*C3878)</f>
        <v/>
      </c>
      <c r="M3878" s="381" t="str">
        <f>IF(A3878="","",VLOOKUP(A3878,VII.A!$A$10:$B$199,2,FALSE))</f>
        <v/>
      </c>
      <c r="N3878" s="342" t="str">
        <f t="shared" si="1000"/>
        <v/>
      </c>
      <c r="R3878" s="341"/>
      <c r="S3878" s="341"/>
    </row>
    <row r="3879" spans="1:19" ht="12.75" customHeight="1">
      <c r="A3879" s="393"/>
      <c r="C3879" s="20"/>
      <c r="E3879" s="387"/>
      <c r="F3879" s="388">
        <f t="shared" si="997"/>
        <v>0</v>
      </c>
      <c r="G3879" s="391"/>
      <c r="H3879" s="341" t="str">
        <f>IF(A3879="","",VLOOKUP(A3879,VII.A!$A$10:$D$199,4,FALSE))</f>
        <v/>
      </c>
      <c r="I3879" s="341" t="str">
        <f t="shared" si="998"/>
        <v/>
      </c>
      <c r="J3879" s="341" t="str">
        <f>IF(A3879="","",VLOOKUP(A3879,VII.A!$A$10:$D$199,3,FALSE))</f>
        <v/>
      </c>
      <c r="K3879" s="342" t="str">
        <f t="shared" si="999"/>
        <v/>
      </c>
      <c r="L3879" s="380" t="str">
        <f>IF(C3879="","",G3851*C3879)</f>
        <v/>
      </c>
      <c r="M3879" s="381" t="str">
        <f>IF(A3879="","",VLOOKUP(A3879,VII.A!$A$10:$B$199,2,FALSE))</f>
        <v/>
      </c>
      <c r="N3879" s="342" t="str">
        <f t="shared" si="1000"/>
        <v/>
      </c>
      <c r="R3879" s="341"/>
      <c r="S3879" s="341"/>
    </row>
    <row r="3880" spans="1:19" ht="12.75" customHeight="1">
      <c r="A3880" s="393"/>
      <c r="C3880" s="20"/>
      <c r="E3880" s="387"/>
      <c r="F3880" s="388">
        <f t="shared" si="997"/>
        <v>0</v>
      </c>
      <c r="H3880" s="341" t="str">
        <f>IF(A3880="","",VLOOKUP(A3880,VII.A!$A$10:$D$199,4,FALSE))</f>
        <v/>
      </c>
      <c r="I3880" s="341" t="str">
        <f t="shared" si="998"/>
        <v/>
      </c>
      <c r="J3880" s="341" t="str">
        <f>IF(A3880="","",VLOOKUP(A3880,VII.A!$A$10:$D$199,3,FALSE))</f>
        <v/>
      </c>
      <c r="K3880" s="342" t="str">
        <f t="shared" si="999"/>
        <v/>
      </c>
      <c r="L3880" s="380" t="str">
        <f>IF(C3880="","",G3851*C3880)</f>
        <v/>
      </c>
      <c r="M3880" s="381" t="str">
        <f>IF(A3880="","",VLOOKUP(A3880,VII.A!$A$10:$B$199,2,FALSE))</f>
        <v/>
      </c>
      <c r="N3880" s="342" t="str">
        <f t="shared" si="1000"/>
        <v/>
      </c>
      <c r="R3880" s="341"/>
      <c r="S3880" s="341"/>
    </row>
    <row r="3881" spans="1:19" ht="12.75" customHeight="1">
      <c r="A3881" s="393"/>
      <c r="C3881" s="20"/>
      <c r="E3881" s="387"/>
      <c r="F3881" s="388">
        <f t="shared" si="997"/>
        <v>0</v>
      </c>
      <c r="H3881" s="341" t="str">
        <f>IF(A3881="","",VLOOKUP(A3881,VII.A!$A$10:$D$199,4,FALSE))</f>
        <v/>
      </c>
      <c r="I3881" s="341" t="str">
        <f t="shared" si="998"/>
        <v/>
      </c>
      <c r="J3881" s="341" t="str">
        <f>IF(A3881="","",VLOOKUP(A3881,VII.A!$A$10:$D$199,3,FALSE))</f>
        <v/>
      </c>
      <c r="K3881" s="342" t="str">
        <f t="shared" si="999"/>
        <v/>
      </c>
      <c r="L3881" s="380" t="str">
        <f>IF(C3881="","",G3851*C3881)</f>
        <v/>
      </c>
      <c r="M3881" s="381" t="str">
        <f>IF(A3881="","",VLOOKUP(A3881,VII.A!$A$10:$B$199,2,FALSE))</f>
        <v/>
      </c>
      <c r="N3881" s="342" t="str">
        <f t="shared" si="1000"/>
        <v/>
      </c>
      <c r="R3881" s="341"/>
      <c r="S3881" s="341"/>
    </row>
    <row r="3882" spans="1:19" ht="12.75" customHeight="1">
      <c r="A3882" s="393"/>
      <c r="C3882" s="20"/>
      <c r="E3882" s="387"/>
      <c r="F3882" s="388">
        <f t="shared" si="997"/>
        <v>0</v>
      </c>
      <c r="H3882" s="341" t="str">
        <f>IF(A3882="","",VLOOKUP(A3882,VII.A!$A$10:$D$199,4,FALSE))</f>
        <v/>
      </c>
      <c r="I3882" s="341" t="str">
        <f t="shared" si="998"/>
        <v/>
      </c>
      <c r="J3882" s="341" t="str">
        <f>IF(A3882="","",VLOOKUP(A3882,VII.A!$A$10:$D$199,3,FALSE))</f>
        <v/>
      </c>
      <c r="K3882" s="342" t="str">
        <f t="shared" si="999"/>
        <v/>
      </c>
      <c r="L3882" s="380" t="str">
        <f>IF(C3882="","",G3851*C3882)</f>
        <v/>
      </c>
      <c r="M3882" s="381" t="str">
        <f>IF(A3882="","",VLOOKUP(A3882,VII.A!$A$10:$B$199,2,FALSE))</f>
        <v/>
      </c>
      <c r="N3882" s="342" t="str">
        <f t="shared" si="1000"/>
        <v/>
      </c>
      <c r="R3882" s="341"/>
      <c r="S3882" s="341"/>
    </row>
    <row r="3883" spans="1:19" ht="12.75" customHeight="1">
      <c r="A3883" s="393"/>
      <c r="B3883" s="395" t="s">
        <v>226</v>
      </c>
      <c r="C3883" s="396"/>
      <c r="D3883" s="397"/>
      <c r="E3883" s="398"/>
      <c r="F3883" s="399">
        <f>SUM(F3873:F3882)</f>
        <v>0</v>
      </c>
      <c r="J3883" s="341"/>
      <c r="L3883" s="380"/>
      <c r="M3883" s="381"/>
      <c r="N3883" s="342"/>
      <c r="R3883" s="341"/>
      <c r="S3883" s="341"/>
    </row>
    <row r="3884" spans="1:19" ht="12.75" customHeight="1">
      <c r="A3884" s="393"/>
      <c r="B3884" s="400" t="s">
        <v>53</v>
      </c>
      <c r="C3884" s="2">
        <f>$D$8</f>
        <v>0</v>
      </c>
      <c r="D3884" s="401"/>
      <c r="E3884" s="402"/>
      <c r="F3884" s="403">
        <f>ROUND(C3884*F3883,2)</f>
        <v>0</v>
      </c>
      <c r="J3884" s="341"/>
      <c r="L3884" s="380"/>
      <c r="M3884" s="381"/>
      <c r="N3884" s="342"/>
      <c r="R3884" s="341"/>
      <c r="S3884" s="341"/>
    </row>
    <row r="3885" spans="1:19" ht="12.75" customHeight="1">
      <c r="A3885" s="404"/>
      <c r="B3885" s="405" t="s">
        <v>228</v>
      </c>
      <c r="C3885" s="406"/>
      <c r="D3885" s="406"/>
      <c r="E3885" s="407"/>
      <c r="F3885" s="408">
        <f>F3883+F3884</f>
        <v>0</v>
      </c>
      <c r="J3885" s="341"/>
      <c r="L3885" s="380"/>
      <c r="M3885" s="381"/>
      <c r="N3885" s="342"/>
      <c r="R3885" s="341"/>
      <c r="S3885" s="341"/>
    </row>
    <row r="3886" spans="1:19" ht="12.75" customHeight="1">
      <c r="A3886" s="409" t="s">
        <v>47</v>
      </c>
      <c r="B3886" s="410" t="s">
        <v>236</v>
      </c>
      <c r="C3886" s="411" t="s">
        <v>231</v>
      </c>
      <c r="D3886" s="412" t="s">
        <v>232</v>
      </c>
      <c r="E3886" s="413" t="s">
        <v>233</v>
      </c>
      <c r="F3886" s="378" t="s">
        <v>234</v>
      </c>
      <c r="J3886" s="341"/>
      <c r="L3886" s="380"/>
      <c r="M3886" s="381"/>
      <c r="N3886" s="342"/>
      <c r="R3886" s="341"/>
      <c r="S3886" s="341"/>
    </row>
    <row r="3887" spans="1:19" ht="12.75" customHeight="1">
      <c r="A3887" s="393" t="str">
        <f>VII.A!$A$181</f>
        <v>3.1</v>
      </c>
      <c r="B3887" s="394" t="str">
        <f>VII.A!B181</f>
        <v>AJUDANTE COM ENCARGOS COMPLEMENTARES</v>
      </c>
      <c r="C3887" s="20">
        <v>0.6</v>
      </c>
      <c r="D3887" s="384" t="str">
        <f>VII.A!C181</f>
        <v>H</v>
      </c>
      <c r="E3887" s="387">
        <f>VII.A!D181</f>
        <v>0</v>
      </c>
      <c r="F3887" s="388">
        <f t="shared" ref="F3887:F3893" si="1001">ROUND(C3887*E3887,2)</f>
        <v>0</v>
      </c>
      <c r="H3887" s="341">
        <f>IF(A3887="","",VLOOKUP(A3887,VII.A!$A$10:$D$199,4,FALSE))</f>
        <v>0</v>
      </c>
      <c r="I3887" s="341" t="str">
        <f t="shared" ref="I3887:I3893" si="1002">IF(A3887="","",IF(E3887=H3887,"SIM","NÃO"))</f>
        <v>SIM</v>
      </c>
      <c r="J3887" s="341" t="str">
        <f>IF(A3887="","",VLOOKUP(A3887,VII.A!$A$10:$D$199,3,FALSE))</f>
        <v>H</v>
      </c>
      <c r="K3887" s="342" t="str">
        <f t="shared" ref="K3887:K3893" si="1003">IF(A3887="","",IF(J3887=D3887,"SIM","NÃO"))</f>
        <v>SIM</v>
      </c>
      <c r="L3887" s="380">
        <f>IF(C3887="","",G3851*C3887)</f>
        <v>24</v>
      </c>
      <c r="M3887" s="381" t="str">
        <f>IF(A3887="","",VLOOKUP(A3887,VII.A!$A$10:$B$199,2,FALSE))</f>
        <v>AJUDANTE COM ENCARGOS COMPLEMENTARES</v>
      </c>
      <c r="N3887" s="342" t="str">
        <f t="shared" ref="N3887:N3893" si="1004">IF(B3887="","",IF(M3887=B3887,"si","no"))</f>
        <v>si</v>
      </c>
      <c r="R3887" s="341"/>
      <c r="S3887" s="341"/>
    </row>
    <row r="3888" spans="1:19" ht="12.75" customHeight="1">
      <c r="A3888" s="393" t="str">
        <f>VII.A!$A$187</f>
        <v>3.7</v>
      </c>
      <c r="B3888" s="394" t="str">
        <f>VII.A!B187</f>
        <v>ENCANADOR COM ENCARGOS COMPLEMENTARES</v>
      </c>
      <c r="C3888" s="20">
        <v>0.6</v>
      </c>
      <c r="D3888" s="384" t="str">
        <f>VII.A!C187</f>
        <v>H</v>
      </c>
      <c r="E3888" s="387">
        <f>VII.A!D187</f>
        <v>0</v>
      </c>
      <c r="F3888" s="388">
        <f t="shared" si="1001"/>
        <v>0</v>
      </c>
      <c r="H3888" s="341">
        <f>IF(A3888="","",VLOOKUP(A3888,VII.A!$A$10:$D$199,4,FALSE))</f>
        <v>0</v>
      </c>
      <c r="I3888" s="341" t="str">
        <f t="shared" si="1002"/>
        <v>SIM</v>
      </c>
      <c r="J3888" s="341" t="str">
        <f>IF(A3888="","",VLOOKUP(A3888,VII.A!$A$10:$D$199,3,FALSE))</f>
        <v>H</v>
      </c>
      <c r="K3888" s="342" t="str">
        <f t="shared" si="1003"/>
        <v>SIM</v>
      </c>
      <c r="L3888" s="380">
        <f>IF(C3888="","",G3851*C3888)</f>
        <v>24</v>
      </c>
      <c r="M3888" s="381" t="str">
        <f>IF(A3888="","",VLOOKUP(A3888,VII.A!$A$10:$B$199,2,FALSE))</f>
        <v>ENCANADOR COM ENCARGOS COMPLEMENTARES</v>
      </c>
      <c r="N3888" s="342" t="str">
        <f t="shared" si="1004"/>
        <v>si</v>
      </c>
      <c r="R3888" s="341"/>
      <c r="S3888" s="341"/>
    </row>
    <row r="3889" spans="1:25" ht="12.75" customHeight="1">
      <c r="A3889" s="393"/>
      <c r="C3889" s="20"/>
      <c r="E3889" s="387"/>
      <c r="F3889" s="388">
        <f t="shared" si="1001"/>
        <v>0</v>
      </c>
      <c r="H3889" s="341" t="str">
        <f>IF(A3889="","",VLOOKUP(A3889,VII.A!$A$10:$D$199,4,FALSE))</f>
        <v/>
      </c>
      <c r="I3889" s="341" t="str">
        <f t="shared" si="1002"/>
        <v/>
      </c>
      <c r="J3889" s="341" t="str">
        <f>IF(A3889="","",VLOOKUP(A3889,VII.A!$A$10:$D$199,3,FALSE))</f>
        <v/>
      </c>
      <c r="K3889" s="342" t="str">
        <f t="shared" si="1003"/>
        <v/>
      </c>
      <c r="L3889" s="380" t="str">
        <f>IF(C3889="","",G3851*C3889)</f>
        <v/>
      </c>
      <c r="M3889" s="381" t="str">
        <f>IF(A3889="","",VLOOKUP(A3889,VII.A!$A$10:$B$199,2,FALSE))</f>
        <v/>
      </c>
      <c r="N3889" s="342" t="str">
        <f t="shared" si="1004"/>
        <v/>
      </c>
      <c r="R3889" s="341"/>
      <c r="S3889" s="341"/>
    </row>
    <row r="3890" spans="1:25" ht="12.75" customHeight="1">
      <c r="A3890" s="393"/>
      <c r="C3890" s="20"/>
      <c r="E3890" s="387"/>
      <c r="F3890" s="388">
        <f t="shared" si="1001"/>
        <v>0</v>
      </c>
      <c r="H3890" s="341" t="str">
        <f>IF(A3890="","",VLOOKUP(A3890,VII.A!$A$10:$D$199,4,FALSE))</f>
        <v/>
      </c>
      <c r="I3890" s="341" t="str">
        <f t="shared" si="1002"/>
        <v/>
      </c>
      <c r="J3890" s="341" t="str">
        <f>IF(A3890="","",VLOOKUP(A3890,VII.A!$A$10:$D$199,3,FALSE))</f>
        <v/>
      </c>
      <c r="K3890" s="342" t="str">
        <f t="shared" si="1003"/>
        <v/>
      </c>
      <c r="L3890" s="380" t="str">
        <f>IF(C3890="","",G3851*C3890)</f>
        <v/>
      </c>
      <c r="M3890" s="381" t="str">
        <f>IF(A3890="","",VLOOKUP(A3890,VII.A!$A$10:$B$199,2,FALSE))</f>
        <v/>
      </c>
      <c r="N3890" s="342" t="str">
        <f t="shared" si="1004"/>
        <v/>
      </c>
      <c r="R3890" s="341"/>
      <c r="S3890" s="341"/>
    </row>
    <row r="3891" spans="1:25" ht="12.75" customHeight="1">
      <c r="A3891" s="393"/>
      <c r="C3891" s="20"/>
      <c r="E3891" s="387"/>
      <c r="F3891" s="388">
        <f t="shared" si="1001"/>
        <v>0</v>
      </c>
      <c r="H3891" s="341" t="str">
        <f>IF(A3891="","",VLOOKUP(A3891,VII.A!$A$10:$D$199,4,FALSE))</f>
        <v/>
      </c>
      <c r="I3891" s="341" t="str">
        <f t="shared" si="1002"/>
        <v/>
      </c>
      <c r="J3891" s="341" t="str">
        <f>IF(A3891="","",VLOOKUP(A3891,VII.A!$A$10:$D$199,3,FALSE))</f>
        <v/>
      </c>
      <c r="K3891" s="342" t="str">
        <f t="shared" si="1003"/>
        <v/>
      </c>
      <c r="L3891" s="380" t="str">
        <f>IF(C3891="","",G3851*C3891)</f>
        <v/>
      </c>
      <c r="M3891" s="381" t="str">
        <f>IF(A3891="","",VLOOKUP(A3891,VII.A!$A$10:$B$199,2,FALSE))</f>
        <v/>
      </c>
      <c r="N3891" s="342" t="str">
        <f t="shared" si="1004"/>
        <v/>
      </c>
      <c r="R3891" s="341"/>
      <c r="S3891" s="341"/>
    </row>
    <row r="3892" spans="1:25" ht="12.75" customHeight="1">
      <c r="A3892" s="393"/>
      <c r="C3892" s="20"/>
      <c r="E3892" s="387"/>
      <c r="F3892" s="388">
        <f t="shared" si="1001"/>
        <v>0</v>
      </c>
      <c r="H3892" s="341" t="str">
        <f>IF(A3892="","",VLOOKUP(A3892,VII.A!$A$10:$D$199,4,FALSE))</f>
        <v/>
      </c>
      <c r="I3892" s="341" t="str">
        <f t="shared" si="1002"/>
        <v/>
      </c>
      <c r="J3892" s="341" t="str">
        <f>IF(A3892="","",VLOOKUP(A3892,VII.A!$A$10:$D$199,3,FALSE))</f>
        <v/>
      </c>
      <c r="K3892" s="342" t="str">
        <f t="shared" si="1003"/>
        <v/>
      </c>
      <c r="L3892" s="380" t="str">
        <f>IF(C3892="","",G3851*C3892)</f>
        <v/>
      </c>
      <c r="M3892" s="381" t="str">
        <f>IF(A3892="","",VLOOKUP(A3892,VII.A!$A$10:$B$199,2,FALSE))</f>
        <v/>
      </c>
      <c r="N3892" s="342" t="str">
        <f t="shared" si="1004"/>
        <v/>
      </c>
      <c r="R3892" s="341"/>
      <c r="S3892" s="341"/>
    </row>
    <row r="3893" spans="1:25" ht="12.75" customHeight="1">
      <c r="A3893" s="393"/>
      <c r="C3893" s="20"/>
      <c r="E3893" s="387"/>
      <c r="F3893" s="388">
        <f t="shared" si="1001"/>
        <v>0</v>
      </c>
      <c r="H3893" s="341" t="str">
        <f>IF(A3893="","",VLOOKUP(A3893,VII.A!$A$10:$D$199,4,FALSE))</f>
        <v/>
      </c>
      <c r="I3893" s="341" t="str">
        <f t="shared" si="1002"/>
        <v/>
      </c>
      <c r="J3893" s="341" t="str">
        <f>IF(A3893="","",VLOOKUP(A3893,VII.A!$A$10:$D$199,3,FALSE))</f>
        <v/>
      </c>
      <c r="K3893" s="342" t="str">
        <f t="shared" si="1003"/>
        <v/>
      </c>
      <c r="L3893" s="380" t="str">
        <f>IF(C3893="","",G3851*C3893)</f>
        <v/>
      </c>
      <c r="M3893" s="381" t="str">
        <f>IF(A3893="","",VLOOKUP(A3893,VII.A!$A$10:$B$199,2,FALSE))</f>
        <v/>
      </c>
      <c r="N3893" s="342" t="str">
        <f t="shared" si="1004"/>
        <v/>
      </c>
      <c r="R3893" s="341"/>
      <c r="S3893" s="341"/>
    </row>
    <row r="3894" spans="1:25" ht="12.75" customHeight="1">
      <c r="A3894" s="393"/>
      <c r="B3894" s="395" t="s">
        <v>226</v>
      </c>
      <c r="C3894" s="396"/>
      <c r="D3894" s="397"/>
      <c r="E3894" s="398"/>
      <c r="F3894" s="399">
        <f>SUM(F3887:F3893)</f>
        <v>0</v>
      </c>
      <c r="J3894" s="341"/>
      <c r="L3894" s="380"/>
      <c r="M3894" s="381"/>
      <c r="N3894" s="342"/>
      <c r="R3894" s="341"/>
      <c r="S3894" s="341"/>
    </row>
    <row r="3895" spans="1:25" ht="12.75" customHeight="1">
      <c r="A3895" s="393"/>
      <c r="B3895" s="400" t="s">
        <v>229</v>
      </c>
      <c r="C3895" s="2">
        <f>IX.A!$C$45</f>
        <v>0</v>
      </c>
      <c r="D3895" s="401"/>
      <c r="E3895" s="402"/>
      <c r="F3895" s="403">
        <f>ROUND(F3894*C3895,2)</f>
        <v>0</v>
      </c>
      <c r="J3895" s="341"/>
      <c r="L3895" s="380"/>
      <c r="M3895" s="381"/>
      <c r="N3895" s="342"/>
      <c r="R3895" s="341"/>
      <c r="S3895" s="341"/>
    </row>
    <row r="3896" spans="1:25" ht="12.75" customHeight="1">
      <c r="A3896" s="393"/>
      <c r="B3896" s="400" t="s">
        <v>53</v>
      </c>
      <c r="C3896" s="2">
        <f>$D$8</f>
        <v>0</v>
      </c>
      <c r="D3896" s="401"/>
      <c r="E3896" s="402"/>
      <c r="F3896" s="403">
        <f>ROUND(SUM(F3894:F3895)*C3896,2)</f>
        <v>0</v>
      </c>
      <c r="J3896" s="341"/>
      <c r="L3896" s="380"/>
      <c r="M3896" s="381"/>
      <c r="N3896" s="342"/>
      <c r="R3896" s="341"/>
      <c r="S3896" s="341"/>
    </row>
    <row r="3897" spans="1:25" ht="12.75" customHeight="1" thickBot="1">
      <c r="A3897" s="414"/>
      <c r="B3897" s="415" t="s">
        <v>230</v>
      </c>
      <c r="C3897" s="416"/>
      <c r="D3897" s="416"/>
      <c r="E3897" s="417"/>
      <c r="F3897" s="418">
        <f>SUM(F3894:F3896)</f>
        <v>0</v>
      </c>
      <c r="J3897" s="341"/>
      <c r="L3897" s="380"/>
      <c r="M3897" s="381"/>
      <c r="N3897" s="342"/>
      <c r="R3897" s="341"/>
      <c r="S3897" s="341"/>
    </row>
    <row r="3898" spans="1:25" ht="12.75" customHeight="1" thickBot="1">
      <c r="A3898" s="427"/>
      <c r="B3898" s="428"/>
      <c r="C3898" s="429"/>
      <c r="D3898" s="429"/>
      <c r="E3898" s="430"/>
      <c r="F3898" s="431"/>
      <c r="J3898" s="341"/>
      <c r="L3898" s="380"/>
      <c r="M3898" s="381"/>
      <c r="N3898" s="342"/>
      <c r="R3898" s="341"/>
      <c r="S3898" s="341"/>
    </row>
    <row r="3899" spans="1:25" ht="30" customHeight="1">
      <c r="A3899" s="370" t="str">
        <f>IV.A!A120</f>
        <v>4.7</v>
      </c>
      <c r="B3899" s="371" t="str">
        <f>IV.A!B120</f>
        <v>TUBO EM PVC RÍGIDO BRANCO, SÉRIE NORMAL, INCLUSIVE CONEXÕES, DN =  40 MM</v>
      </c>
      <c r="C3899" s="871" t="s">
        <v>237</v>
      </c>
      <c r="D3899" s="872"/>
      <c r="E3899" s="372" t="str">
        <f>IV.A!C120</f>
        <v>M</v>
      </c>
      <c r="F3899" s="11">
        <f>ROUND(F3919+F3933+F3945,2)</f>
        <v>0</v>
      </c>
      <c r="G3899" s="1">
        <f>VLOOKUP(A3899,IV.A!$A$16:$L$172,4,FALSE)</f>
        <v>25</v>
      </c>
      <c r="H3899" s="361">
        <f>SUM(F3901:F3916)+F3918</f>
        <v>0</v>
      </c>
      <c r="I3899" s="361">
        <f>SUM(F3921:F3930)+F3932</f>
        <v>0</v>
      </c>
      <c r="J3899" s="361">
        <f>SUM(F3935:F3941)+F3943+F3944</f>
        <v>0</v>
      </c>
      <c r="K3899" s="361">
        <f>SUM(H3899:J3899)</f>
        <v>0</v>
      </c>
      <c r="L3899" s="362" t="str">
        <f>IF(K3899=F3899,"SIM","NÃO")</f>
        <v>SIM</v>
      </c>
      <c r="M3899" s="373">
        <f>ROUND(SUM(F3901:F3916),2)+ROUND(SUM(F3901:F3916)*C3918,2)+ROUND(SUM(F3921:F3930)*C3932,2)+ROUND(SUM(F3921:F3930),2)+ROUND(SUM(F3935:F3941)*C3943,2)+ROUND((SUM(F3935:F3941)+ROUND(SUM(F3935:F3941)*C3943,2))*C3944,2)+ROUND(SUM(F3935:F3941),2)</f>
        <v>0</v>
      </c>
      <c r="N3899" s="343" t="str">
        <f>IF(M3899=F3899,"SIM","NÃO")</f>
        <v>SIM</v>
      </c>
      <c r="O3899" s="364" t="str">
        <f>VLOOKUP(A3899,IV.A!$A$16:$E$172,3,FALSE)</f>
        <v>M</v>
      </c>
      <c r="P3899" s="344" t="str">
        <f>IF(O3899=E3899,"SIM","NÃO")</f>
        <v>SIM</v>
      </c>
      <c r="Q3899" s="365">
        <f>ROUND(G3899*F3919,2)+ROUND(G3899*F3933,2)+ROUND(G3899*F3945,2)</f>
        <v>0</v>
      </c>
      <c r="R3899" s="364">
        <f>VLOOKUP(A3899,IV.A!$A$16:$L$172,12,FALSE)</f>
        <v>0</v>
      </c>
      <c r="S3899" s="366" t="str">
        <f>IF(Q3899=R3899,"si","no")</f>
        <v>si</v>
      </c>
      <c r="T3899" s="367">
        <f>SUM(L3901:L3916)+SUM(L3921:L3930)+SUM(L3935:L3941)</f>
        <v>46.25</v>
      </c>
      <c r="U3899" s="341">
        <f>(SUM(C3901:C3916)+SUM(C3921:C3930)+SUM(C3935:C3941))*G3899</f>
        <v>46.25</v>
      </c>
      <c r="V3899" s="368" t="str">
        <f>IF(T3899=U3899,"si","no")</f>
        <v>si</v>
      </c>
      <c r="W3899" s="369">
        <f>SUM(F3901:F3916)</f>
        <v>0</v>
      </c>
      <c r="X3899" s="369">
        <f>SUM(F3921:F3930)</f>
        <v>0</v>
      </c>
      <c r="Y3899" s="369">
        <f>SUM(F3935:F3941)</f>
        <v>0</v>
      </c>
    </row>
    <row r="3900" spans="1:25" ht="12.75" customHeight="1">
      <c r="A3900" s="374" t="s">
        <v>14</v>
      </c>
      <c r="B3900" s="375" t="s">
        <v>132</v>
      </c>
      <c r="C3900" s="376" t="s">
        <v>231</v>
      </c>
      <c r="D3900" s="376" t="s">
        <v>232</v>
      </c>
      <c r="E3900" s="377" t="s">
        <v>233</v>
      </c>
      <c r="F3900" s="378" t="s">
        <v>234</v>
      </c>
      <c r="G3900" s="379"/>
      <c r="J3900" s="341"/>
      <c r="L3900" s="380"/>
      <c r="M3900" s="381"/>
      <c r="N3900" s="342"/>
      <c r="O3900" s="382"/>
      <c r="P3900" s="383"/>
      <c r="Q3900" s="383"/>
      <c r="R3900" s="383"/>
      <c r="S3900" s="383"/>
      <c r="T3900" s="382"/>
      <c r="U3900" s="341"/>
      <c r="V3900" s="384"/>
      <c r="W3900" s="384"/>
      <c r="X3900" s="384"/>
      <c r="Y3900" s="384"/>
    </row>
    <row r="3901" spans="1:25" ht="12.75" customHeight="1">
      <c r="A3901" s="385" t="str">
        <f>VII.A!$A$67</f>
        <v>1.58</v>
      </c>
      <c r="B3901" s="386" t="str">
        <f>VLOOKUP(A3901,VII.A!$A$10:$G$199,2,FALSE)</f>
        <v>LIXA D'AGUA EM FOLHA, GRAO 100</v>
      </c>
      <c r="C3901" s="20">
        <v>0.1</v>
      </c>
      <c r="D3901" s="342" t="str">
        <f>VLOOKUP(A3901,VII.A!$A$10:$G$199,3,FALSE)</f>
        <v>UN</v>
      </c>
      <c r="E3901" s="387">
        <f>VII.A!$D$67</f>
        <v>0</v>
      </c>
      <c r="F3901" s="388">
        <f>ROUND(C3901*E3901,2)</f>
        <v>0</v>
      </c>
      <c r="H3901" s="341">
        <f>IF(A3901="","",VLOOKUP(A3901,VII.A!$A$10:$D$199,4,FALSE))</f>
        <v>0</v>
      </c>
      <c r="I3901" s="341" t="str">
        <f t="shared" ref="I3901:I3916" si="1005">IF(A3901="","",IF(E3901=H3901,"SIM","NÃO"))</f>
        <v>SIM</v>
      </c>
      <c r="J3901" s="341" t="str">
        <f>IF(A3901="","",VLOOKUP(A3901,VII.A!$A$10:$D$199,3,FALSE))</f>
        <v>UN</v>
      </c>
      <c r="K3901" s="342" t="str">
        <f t="shared" ref="K3901:K3916" si="1006">IF(A3901="","",IF(J3901=D3901,"SIM","NÃO"))</f>
        <v>SIM</v>
      </c>
      <c r="L3901" s="380">
        <f>IF(C3901="","",G3899*C3901)</f>
        <v>2.5</v>
      </c>
      <c r="M3901" s="381" t="str">
        <f>IF(A3901="","",VLOOKUP(A3901,VII.A!$A$10:$B$199,2,FALSE))</f>
        <v>LIXA D'AGUA EM FOLHA, GRAO 100</v>
      </c>
      <c r="N3901" s="342" t="str">
        <f t="shared" ref="N3901:N3916" si="1007">IF(B3901="","",IF(M3901=B3901,"si","no"))</f>
        <v>si</v>
      </c>
      <c r="R3901" s="341"/>
      <c r="S3901" s="341"/>
    </row>
    <row r="3902" spans="1:25" ht="12.75" customHeight="1">
      <c r="A3902" s="385" t="str">
        <f>VII.A!$A$119</f>
        <v>1.109</v>
      </c>
      <c r="B3902" s="386" t="str">
        <f>VLOOKUP(A3902,VII.A!$A$10:$G$199,2,FALSE)</f>
        <v>TUBO PVC SERIE NORMAL, DN 40 MM, PARA ESGOTO PREDIAL (NBR 5688)</v>
      </c>
      <c r="C3902" s="20">
        <v>1.1499999999999999</v>
      </c>
      <c r="D3902" s="342" t="str">
        <f>VLOOKUP(A3902,VII.A!$A$10:$G$199,3,FALSE)</f>
        <v>M</v>
      </c>
      <c r="E3902" s="387">
        <f>VII.A!D119</f>
        <v>0</v>
      </c>
      <c r="F3902" s="388">
        <f t="shared" ref="F3902:F3916" si="1008">ROUND(C3902*E3902,2)</f>
        <v>0</v>
      </c>
      <c r="H3902" s="341">
        <f>IF(A3902="","",VLOOKUP(A3902,VII.A!$A$10:$D$199,4,FALSE))</f>
        <v>0</v>
      </c>
      <c r="I3902" s="341" t="str">
        <f t="shared" si="1005"/>
        <v>SIM</v>
      </c>
      <c r="J3902" s="341" t="str">
        <f>IF(A3902="","",VLOOKUP(A3902,VII.A!$A$10:$D$199,3,FALSE))</f>
        <v>M</v>
      </c>
      <c r="K3902" s="342" t="str">
        <f t="shared" si="1006"/>
        <v>SIM</v>
      </c>
      <c r="L3902" s="380">
        <f>IF(C3902="","",G3899*C3902)</f>
        <v>28.749999999999996</v>
      </c>
      <c r="M3902" s="381" t="str">
        <f>IF(A3902="","",VLOOKUP(A3902,VII.A!$A$10:$B$199,2,FALSE))</f>
        <v>TUBO PVC SERIE NORMAL, DN 40 MM, PARA ESGOTO PREDIAL (NBR 5688)</v>
      </c>
      <c r="N3902" s="342" t="str">
        <f t="shared" si="1007"/>
        <v>si</v>
      </c>
      <c r="R3902" s="341"/>
      <c r="S3902" s="341"/>
    </row>
    <row r="3903" spans="1:25" ht="12.75" customHeight="1">
      <c r="A3903" s="385"/>
      <c r="B3903" s="386"/>
      <c r="C3903" s="20"/>
      <c r="D3903" s="342"/>
      <c r="E3903" s="387"/>
      <c r="F3903" s="388">
        <f t="shared" si="1008"/>
        <v>0</v>
      </c>
      <c r="H3903" s="341" t="str">
        <f>IF(A3903="","",VLOOKUP(A3903,VII.A!$A$10:$D$199,4,FALSE))</f>
        <v/>
      </c>
      <c r="I3903" s="341" t="str">
        <f t="shared" si="1005"/>
        <v/>
      </c>
      <c r="J3903" s="341" t="str">
        <f>IF(A3903="","",VLOOKUP(A3903,VII.A!$A$10:$D$199,3,FALSE))</f>
        <v/>
      </c>
      <c r="K3903" s="342" t="str">
        <f t="shared" si="1006"/>
        <v/>
      </c>
      <c r="L3903" s="380" t="str">
        <f>IF(C3903="","",G3899*C3903)</f>
        <v/>
      </c>
      <c r="M3903" s="381" t="str">
        <f>IF(A3903="","",VLOOKUP(A3903,VII.A!$A$10:$B$199,2,FALSE))</f>
        <v/>
      </c>
      <c r="N3903" s="342" t="str">
        <f t="shared" si="1007"/>
        <v/>
      </c>
      <c r="R3903" s="341"/>
      <c r="S3903" s="341"/>
    </row>
    <row r="3904" spans="1:25" ht="12.75" customHeight="1">
      <c r="A3904" s="385"/>
      <c r="B3904" s="386"/>
      <c r="C3904" s="20"/>
      <c r="D3904" s="342"/>
      <c r="E3904" s="387"/>
      <c r="F3904" s="388">
        <f t="shared" si="1008"/>
        <v>0</v>
      </c>
      <c r="H3904" s="341" t="str">
        <f>IF(A3904="","",VLOOKUP(A3904,VII.A!$A$10:$D$199,4,FALSE))</f>
        <v/>
      </c>
      <c r="I3904" s="341" t="str">
        <f t="shared" si="1005"/>
        <v/>
      </c>
      <c r="J3904" s="341" t="str">
        <f>IF(A3904="","",VLOOKUP(A3904,VII.A!$A$10:$D$199,3,FALSE))</f>
        <v/>
      </c>
      <c r="K3904" s="342" t="str">
        <f t="shared" si="1006"/>
        <v/>
      </c>
      <c r="L3904" s="380" t="str">
        <f>IF(C3904="","",G3899*C3904)</f>
        <v/>
      </c>
      <c r="M3904" s="381" t="str">
        <f>IF(A3904="","",VLOOKUP(A3904,VII.A!$A$10:$B$199,2,FALSE))</f>
        <v/>
      </c>
      <c r="N3904" s="342" t="str">
        <f t="shared" si="1007"/>
        <v/>
      </c>
      <c r="R3904" s="341"/>
      <c r="S3904" s="341"/>
    </row>
    <row r="3905" spans="1:21" ht="12.75" customHeight="1">
      <c r="A3905" s="385"/>
      <c r="B3905" s="386"/>
      <c r="C3905" s="20"/>
      <c r="D3905" s="342"/>
      <c r="E3905" s="387"/>
      <c r="F3905" s="388">
        <f t="shared" si="1008"/>
        <v>0</v>
      </c>
      <c r="H3905" s="341" t="str">
        <f>IF(A3905="","",VLOOKUP(A3905,VII.A!$A$10:$D$199,4,FALSE))</f>
        <v/>
      </c>
      <c r="I3905" s="341" t="str">
        <f t="shared" si="1005"/>
        <v/>
      </c>
      <c r="J3905" s="341" t="str">
        <f>IF(A3905="","",VLOOKUP(A3905,VII.A!$A$10:$D$199,3,FALSE))</f>
        <v/>
      </c>
      <c r="K3905" s="342" t="str">
        <f t="shared" si="1006"/>
        <v/>
      </c>
      <c r="L3905" s="380" t="str">
        <f>IF(C3905="","",G3899*C3905)</f>
        <v/>
      </c>
      <c r="M3905" s="381" t="str">
        <f>IF(A3905="","",VLOOKUP(A3905,VII.A!$A$10:$B$199,2,FALSE))</f>
        <v/>
      </c>
      <c r="N3905" s="342" t="str">
        <f t="shared" si="1007"/>
        <v/>
      </c>
      <c r="R3905" s="341"/>
      <c r="S3905" s="341"/>
    </row>
    <row r="3906" spans="1:21" ht="12.75" customHeight="1">
      <c r="A3906" s="385"/>
      <c r="B3906" s="386"/>
      <c r="C3906" s="20"/>
      <c r="D3906" s="342"/>
      <c r="E3906" s="387"/>
      <c r="F3906" s="388">
        <f t="shared" si="1008"/>
        <v>0</v>
      </c>
      <c r="H3906" s="341" t="str">
        <f>IF(A3906="","",VLOOKUP(A3906,VII.A!$A$10:$D$199,4,FALSE))</f>
        <v/>
      </c>
      <c r="I3906" s="341" t="str">
        <f t="shared" si="1005"/>
        <v/>
      </c>
      <c r="J3906" s="341" t="str">
        <f>IF(A3906="","",VLOOKUP(A3906,VII.A!$A$10:$D$199,3,FALSE))</f>
        <v/>
      </c>
      <c r="K3906" s="342" t="str">
        <f t="shared" si="1006"/>
        <v/>
      </c>
      <c r="L3906" s="380" t="str">
        <f>IF(C3906="","",G3899*C3906)</f>
        <v/>
      </c>
      <c r="M3906" s="381" t="str">
        <f>IF(A3906="","",VLOOKUP(A3906,VII.A!$A$10:$B$199,2,FALSE))</f>
        <v/>
      </c>
      <c r="N3906" s="342" t="str">
        <f t="shared" si="1007"/>
        <v/>
      </c>
      <c r="R3906" s="341"/>
      <c r="S3906" s="341"/>
      <c r="U3906" s="389"/>
    </row>
    <row r="3907" spans="1:21" ht="12.75" customHeight="1">
      <c r="A3907" s="385"/>
      <c r="B3907" s="386"/>
      <c r="C3907" s="20"/>
      <c r="D3907" s="342"/>
      <c r="E3907" s="387"/>
      <c r="F3907" s="388">
        <f t="shared" si="1008"/>
        <v>0</v>
      </c>
      <c r="H3907" s="341" t="str">
        <f>IF(A3907="","",VLOOKUP(A3907,VII.A!$A$10:$D$199,4,FALSE))</f>
        <v/>
      </c>
      <c r="I3907" s="341" t="str">
        <f t="shared" si="1005"/>
        <v/>
      </c>
      <c r="J3907" s="341" t="str">
        <f>IF(A3907="","",VLOOKUP(A3907,VII.A!$A$10:$D$199,3,FALSE))</f>
        <v/>
      </c>
      <c r="K3907" s="342" t="str">
        <f t="shared" si="1006"/>
        <v/>
      </c>
      <c r="L3907" s="380" t="str">
        <f>IF(C3907="","",G3899*C3907)</f>
        <v/>
      </c>
      <c r="M3907" s="381" t="str">
        <f>IF(A3907="","",VLOOKUP(A3907,VII.A!$A$10:$B$199,2,FALSE))</f>
        <v/>
      </c>
      <c r="N3907" s="342" t="str">
        <f t="shared" si="1007"/>
        <v/>
      </c>
      <c r="R3907" s="341"/>
      <c r="S3907" s="341"/>
    </row>
    <row r="3908" spans="1:21" ht="12.75" customHeight="1">
      <c r="A3908" s="385"/>
      <c r="B3908" s="386"/>
      <c r="C3908" s="20"/>
      <c r="D3908" s="342"/>
      <c r="E3908" s="387"/>
      <c r="F3908" s="388">
        <f t="shared" si="1008"/>
        <v>0</v>
      </c>
      <c r="G3908" s="390"/>
      <c r="H3908" s="341" t="str">
        <f>IF(A3908="","",VLOOKUP(A3908,VII.A!$A$10:$D$199,4,FALSE))</f>
        <v/>
      </c>
      <c r="I3908" s="341" t="str">
        <f t="shared" si="1005"/>
        <v/>
      </c>
      <c r="J3908" s="341" t="str">
        <f>IF(A3908="","",VLOOKUP(A3908,VII.A!$A$10:$D$199,3,FALSE))</f>
        <v/>
      </c>
      <c r="K3908" s="342" t="str">
        <f t="shared" si="1006"/>
        <v/>
      </c>
      <c r="L3908" s="380" t="str">
        <f>IF(C3908="","",G3899*C3908)</f>
        <v/>
      </c>
      <c r="M3908" s="381" t="str">
        <f>IF(A3908="","",VLOOKUP(A3908,VII.A!$A$10:$B$199,2,FALSE))</f>
        <v/>
      </c>
      <c r="N3908" s="342" t="str">
        <f t="shared" si="1007"/>
        <v/>
      </c>
      <c r="R3908" s="341"/>
      <c r="S3908" s="341"/>
    </row>
    <row r="3909" spans="1:21" ht="12.75" customHeight="1">
      <c r="A3909" s="385"/>
      <c r="B3909" s="386"/>
      <c r="C3909" s="20"/>
      <c r="D3909" s="342"/>
      <c r="E3909" s="387"/>
      <c r="F3909" s="388">
        <f t="shared" si="1008"/>
        <v>0</v>
      </c>
      <c r="G3909" s="390"/>
      <c r="H3909" s="341" t="str">
        <f>IF(A3909="","",VLOOKUP(A3909,VII.A!$A$10:$D$199,4,FALSE))</f>
        <v/>
      </c>
      <c r="I3909" s="341" t="str">
        <f t="shared" si="1005"/>
        <v/>
      </c>
      <c r="J3909" s="341" t="str">
        <f>IF(A3909="","",VLOOKUP(A3909,VII.A!$A$10:$D$199,3,FALSE))</f>
        <v/>
      </c>
      <c r="K3909" s="342" t="str">
        <f t="shared" si="1006"/>
        <v/>
      </c>
      <c r="L3909" s="380" t="str">
        <f>IF(C3909="","",G3899*C3909)</f>
        <v/>
      </c>
      <c r="M3909" s="381" t="str">
        <f>IF(A3909="","",VLOOKUP(A3909,VII.A!$A$10:$B$199,2,FALSE))</f>
        <v/>
      </c>
      <c r="N3909" s="342" t="str">
        <f t="shared" si="1007"/>
        <v/>
      </c>
      <c r="R3909" s="341"/>
      <c r="S3909" s="341"/>
    </row>
    <row r="3910" spans="1:21" ht="12.75" customHeight="1">
      <c r="A3910" s="385"/>
      <c r="B3910" s="386"/>
      <c r="C3910" s="20"/>
      <c r="D3910" s="342"/>
      <c r="E3910" s="387"/>
      <c r="F3910" s="388">
        <f t="shared" si="1008"/>
        <v>0</v>
      </c>
      <c r="G3910" s="391"/>
      <c r="H3910" s="341" t="str">
        <f>IF(A3910="","",VLOOKUP(A3910,VII.A!$A$10:$D$199,4,FALSE))</f>
        <v/>
      </c>
      <c r="I3910" s="341" t="str">
        <f t="shared" si="1005"/>
        <v/>
      </c>
      <c r="J3910" s="341" t="str">
        <f>IF(A3910="","",VLOOKUP(A3910,VII.A!$A$10:$D$199,3,FALSE))</f>
        <v/>
      </c>
      <c r="K3910" s="342" t="str">
        <f t="shared" si="1006"/>
        <v/>
      </c>
      <c r="L3910" s="380" t="str">
        <f>IF(C3910="","",G3899*C3910)</f>
        <v/>
      </c>
      <c r="M3910" s="381" t="str">
        <f>IF(A3910="","",VLOOKUP(A3910,VII.A!$A$10:$B$199,2,FALSE))</f>
        <v/>
      </c>
      <c r="N3910" s="342" t="str">
        <f t="shared" si="1007"/>
        <v/>
      </c>
      <c r="R3910" s="341"/>
      <c r="S3910" s="341"/>
    </row>
    <row r="3911" spans="1:21" ht="12.75" customHeight="1">
      <c r="A3911" s="385"/>
      <c r="B3911" s="386"/>
      <c r="C3911" s="20"/>
      <c r="D3911" s="342"/>
      <c r="E3911" s="387"/>
      <c r="F3911" s="388">
        <f t="shared" si="1008"/>
        <v>0</v>
      </c>
      <c r="H3911" s="341" t="str">
        <f>IF(A3911="","",VLOOKUP(A3911,VII.A!$A$10:$D$199,4,FALSE))</f>
        <v/>
      </c>
      <c r="I3911" s="341" t="str">
        <f t="shared" si="1005"/>
        <v/>
      </c>
      <c r="J3911" s="341" t="str">
        <f>IF(A3911="","",VLOOKUP(A3911,VII.A!$A$10:$D$199,3,FALSE))</f>
        <v/>
      </c>
      <c r="K3911" s="342" t="str">
        <f t="shared" si="1006"/>
        <v/>
      </c>
      <c r="L3911" s="380" t="str">
        <f>IF(C3911="","",G3899*C3911)</f>
        <v/>
      </c>
      <c r="M3911" s="381" t="str">
        <f>IF(A3911="","",VLOOKUP(A3911,VII.A!$A$10:$B$199,2,FALSE))</f>
        <v/>
      </c>
      <c r="N3911" s="342" t="str">
        <f t="shared" si="1007"/>
        <v/>
      </c>
      <c r="R3911" s="341"/>
      <c r="S3911" s="341"/>
    </row>
    <row r="3912" spans="1:21" ht="12.75" customHeight="1">
      <c r="A3912" s="385"/>
      <c r="B3912" s="386"/>
      <c r="C3912" s="20"/>
      <c r="D3912" s="392"/>
      <c r="E3912" s="387"/>
      <c r="F3912" s="388">
        <f t="shared" si="1008"/>
        <v>0</v>
      </c>
      <c r="H3912" s="341" t="str">
        <f>IF(A3912="","",VLOOKUP(A3912,VII.A!$A$10:$D$199,4,FALSE))</f>
        <v/>
      </c>
      <c r="I3912" s="341" t="str">
        <f t="shared" si="1005"/>
        <v/>
      </c>
      <c r="J3912" s="341" t="str">
        <f>IF(A3912="","",VLOOKUP(A3912,VII.A!$A$10:$D$199,3,FALSE))</f>
        <v/>
      </c>
      <c r="K3912" s="342" t="str">
        <f t="shared" si="1006"/>
        <v/>
      </c>
      <c r="L3912" s="380" t="str">
        <f>IF(C3912="","",G3899*C3912)</f>
        <v/>
      </c>
      <c r="M3912" s="381" t="str">
        <f>IF(A3912="","",VLOOKUP(A3912,VII.A!$A$10:$B$199,2,FALSE))</f>
        <v/>
      </c>
      <c r="N3912" s="342" t="str">
        <f t="shared" si="1007"/>
        <v/>
      </c>
      <c r="R3912" s="341"/>
      <c r="S3912" s="341"/>
    </row>
    <row r="3913" spans="1:21" ht="12.75" customHeight="1">
      <c r="A3913" s="385"/>
      <c r="B3913" s="386"/>
      <c r="C3913" s="20"/>
      <c r="D3913" s="392"/>
      <c r="E3913" s="387"/>
      <c r="F3913" s="388">
        <f t="shared" si="1008"/>
        <v>0</v>
      </c>
      <c r="H3913" s="341" t="str">
        <f>IF(A3913="","",VLOOKUP(A3913,VII.A!$A$10:$D$199,4,FALSE))</f>
        <v/>
      </c>
      <c r="I3913" s="341" t="str">
        <f t="shared" si="1005"/>
        <v/>
      </c>
      <c r="J3913" s="341" t="str">
        <f>IF(A3913="","",VLOOKUP(A3913,VII.A!$A$10:$D$199,3,FALSE))</f>
        <v/>
      </c>
      <c r="K3913" s="342" t="str">
        <f t="shared" si="1006"/>
        <v/>
      </c>
      <c r="L3913" s="380" t="str">
        <f>IF(C3913="","",G3899*C3913)</f>
        <v/>
      </c>
      <c r="M3913" s="381" t="str">
        <f>IF(A3913="","",VLOOKUP(A3913,VII.A!$A$10:$B$199,2,FALSE))</f>
        <v/>
      </c>
      <c r="N3913" s="342" t="str">
        <f t="shared" si="1007"/>
        <v/>
      </c>
      <c r="O3913" s="342"/>
      <c r="R3913" s="341"/>
      <c r="S3913" s="341"/>
    </row>
    <row r="3914" spans="1:21" ht="12.75" customHeight="1">
      <c r="A3914" s="385"/>
      <c r="B3914" s="386"/>
      <c r="C3914" s="20"/>
      <c r="D3914" s="392"/>
      <c r="E3914" s="387"/>
      <c r="F3914" s="388">
        <f t="shared" si="1008"/>
        <v>0</v>
      </c>
      <c r="H3914" s="341" t="str">
        <f>IF(A3914="","",VLOOKUP(A3914,VII.A!$A$10:$D$199,4,FALSE))</f>
        <v/>
      </c>
      <c r="I3914" s="341" t="str">
        <f t="shared" si="1005"/>
        <v/>
      </c>
      <c r="J3914" s="341" t="str">
        <f>IF(A3914="","",VLOOKUP(A3914,VII.A!$A$10:$D$199,3,FALSE))</f>
        <v/>
      </c>
      <c r="K3914" s="342" t="str">
        <f t="shared" si="1006"/>
        <v/>
      </c>
      <c r="L3914" s="380" t="str">
        <f>IF(C3914="","",G3899*C3914)</f>
        <v/>
      </c>
      <c r="M3914" s="381" t="str">
        <f>IF(A3914="","",VLOOKUP(A3914,VII.A!$A$10:$B$199,2,FALSE))</f>
        <v/>
      </c>
      <c r="N3914" s="342" t="str">
        <f t="shared" si="1007"/>
        <v/>
      </c>
      <c r="R3914" s="341"/>
      <c r="S3914" s="341"/>
    </row>
    <row r="3915" spans="1:21" ht="12.75" customHeight="1">
      <c r="A3915" s="393"/>
      <c r="C3915" s="20"/>
      <c r="E3915" s="387"/>
      <c r="F3915" s="388">
        <f t="shared" si="1008"/>
        <v>0</v>
      </c>
      <c r="H3915" s="341" t="str">
        <f>IF(A3915="","",VLOOKUP(A3915,VII.A!$A$10:$D$199,4,FALSE))</f>
        <v/>
      </c>
      <c r="I3915" s="341" t="str">
        <f t="shared" si="1005"/>
        <v/>
      </c>
      <c r="J3915" s="341" t="str">
        <f>IF(A3915="","",VLOOKUP(A3915,VII.A!$A$10:$D$199,3,FALSE))</f>
        <v/>
      </c>
      <c r="K3915" s="342" t="str">
        <f t="shared" si="1006"/>
        <v/>
      </c>
      <c r="L3915" s="380" t="str">
        <f>IF(C3915="","",G3899*C3915)</f>
        <v/>
      </c>
      <c r="M3915" s="381" t="str">
        <f>IF(A3915="","",VLOOKUP(A3915,VII.A!$A$10:$B$199,2,FALSE))</f>
        <v/>
      </c>
      <c r="N3915" s="342" t="str">
        <f t="shared" si="1007"/>
        <v/>
      </c>
      <c r="R3915" s="341"/>
      <c r="S3915" s="341"/>
    </row>
    <row r="3916" spans="1:21" ht="12.75" customHeight="1">
      <c r="A3916" s="393"/>
      <c r="C3916" s="20"/>
      <c r="E3916" s="387"/>
      <c r="F3916" s="388">
        <f t="shared" si="1008"/>
        <v>0</v>
      </c>
      <c r="H3916" s="341" t="str">
        <f>IF(A3916="","",VLOOKUP(A3916,VII.A!$A$10:$D$199,4,FALSE))</f>
        <v/>
      </c>
      <c r="I3916" s="341" t="str">
        <f t="shared" si="1005"/>
        <v/>
      </c>
      <c r="J3916" s="341" t="str">
        <f>IF(A3916="","",VLOOKUP(A3916,VII.A!$A$10:$D$199,3,FALSE))</f>
        <v/>
      </c>
      <c r="K3916" s="342" t="str">
        <f t="shared" si="1006"/>
        <v/>
      </c>
      <c r="L3916" s="380" t="str">
        <f>IF(C3916="","",G3899*C3916)</f>
        <v/>
      </c>
      <c r="M3916" s="381" t="str">
        <f>IF(A3916="","",VLOOKUP(A3916,VII.A!$A$10:$B$199,2,FALSE))</f>
        <v/>
      </c>
      <c r="N3916" s="342" t="str">
        <f t="shared" si="1007"/>
        <v/>
      </c>
      <c r="R3916" s="341"/>
      <c r="S3916" s="341"/>
    </row>
    <row r="3917" spans="1:21" ht="12.75" customHeight="1">
      <c r="A3917" s="393"/>
      <c r="B3917" s="395" t="s">
        <v>226</v>
      </c>
      <c r="C3917" s="396"/>
      <c r="D3917" s="397"/>
      <c r="E3917" s="398"/>
      <c r="F3917" s="399">
        <f>SUM(F3901:F3916)</f>
        <v>0</v>
      </c>
      <c r="H3917" s="426" t="s">
        <v>434</v>
      </c>
      <c r="J3917" s="341"/>
      <c r="L3917" s="380"/>
      <c r="M3917" s="381"/>
      <c r="N3917" s="342"/>
      <c r="R3917" s="341"/>
      <c r="S3917" s="341"/>
    </row>
    <row r="3918" spans="1:21" ht="12.75" customHeight="1">
      <c r="A3918" s="393"/>
      <c r="B3918" s="400" t="s">
        <v>53</v>
      </c>
      <c r="C3918" s="2">
        <f>$D$8</f>
        <v>0</v>
      </c>
      <c r="D3918" s="401"/>
      <c r="E3918" s="402"/>
      <c r="F3918" s="403">
        <f>ROUND(F3917*C3918,2)</f>
        <v>0</v>
      </c>
      <c r="H3918" s="426" t="s">
        <v>442</v>
      </c>
      <c r="J3918" s="341"/>
      <c r="L3918" s="380"/>
      <c r="M3918" s="381"/>
      <c r="N3918" s="342"/>
      <c r="R3918" s="341"/>
      <c r="S3918" s="341"/>
    </row>
    <row r="3919" spans="1:21" ht="12.75" customHeight="1">
      <c r="A3919" s="404"/>
      <c r="B3919" s="405" t="s">
        <v>227</v>
      </c>
      <c r="C3919" s="406"/>
      <c r="D3919" s="406"/>
      <c r="E3919" s="407"/>
      <c r="F3919" s="408">
        <f>F3917+F3918</f>
        <v>0</v>
      </c>
      <c r="J3919" s="341"/>
      <c r="L3919" s="380"/>
      <c r="M3919" s="381"/>
      <c r="N3919" s="342"/>
      <c r="R3919" s="341"/>
      <c r="S3919" s="341"/>
    </row>
    <row r="3920" spans="1:21" ht="12.75" customHeight="1">
      <c r="A3920" s="374" t="s">
        <v>2</v>
      </c>
      <c r="B3920" s="375" t="s">
        <v>235</v>
      </c>
      <c r="C3920" s="376" t="s">
        <v>231</v>
      </c>
      <c r="D3920" s="376" t="s">
        <v>232</v>
      </c>
      <c r="E3920" s="377" t="s">
        <v>233</v>
      </c>
      <c r="F3920" s="378" t="s">
        <v>234</v>
      </c>
      <c r="J3920" s="341"/>
      <c r="L3920" s="380"/>
      <c r="M3920" s="381"/>
      <c r="N3920" s="342"/>
      <c r="R3920" s="341"/>
      <c r="S3920" s="341"/>
    </row>
    <row r="3921" spans="1:19" ht="12.75" customHeight="1">
      <c r="A3921" s="393"/>
      <c r="B3921" s="423"/>
      <c r="C3921" s="20"/>
      <c r="E3921" s="387"/>
      <c r="F3921" s="388">
        <f t="shared" ref="F3921:F3930" si="1009">ROUND(C3921*E3921,2)</f>
        <v>0</v>
      </c>
      <c r="H3921" s="341" t="str">
        <f>IF(A3921="","",VLOOKUP(A3921,VII.A!$A$10:$D$199,4,FALSE))</f>
        <v/>
      </c>
      <c r="I3921" s="341" t="str">
        <f t="shared" ref="I3921:I3930" si="1010">IF(A3921="","",IF(E3921=H3921,"SIM","NÃO"))</f>
        <v/>
      </c>
      <c r="J3921" s="341" t="str">
        <f>IF(A3921="","",VLOOKUP(A3921,VII.A!$A$10:$D$199,3,FALSE))</f>
        <v/>
      </c>
      <c r="K3921" s="342" t="str">
        <f t="shared" ref="K3921:K3930" si="1011">IF(A3921="","",IF(J3921=D3921,"SIM","NÃO"))</f>
        <v/>
      </c>
      <c r="L3921" s="380" t="str">
        <f>IF(C3921="","",G3899*C3921)</f>
        <v/>
      </c>
      <c r="M3921" s="381" t="str">
        <f>IF(A3921="","",VLOOKUP(A3921,VII.A!$A$10:$B$199,2,FALSE))</f>
        <v/>
      </c>
      <c r="N3921" s="342" t="str">
        <f t="shared" ref="N3921:N3930" si="1012">IF(B3921="","",IF(M3921=B3921,"si","no"))</f>
        <v/>
      </c>
      <c r="R3921" s="341"/>
      <c r="S3921" s="341"/>
    </row>
    <row r="3922" spans="1:19" ht="12.75" customHeight="1">
      <c r="A3922" s="393"/>
      <c r="C3922" s="20"/>
      <c r="E3922" s="387"/>
      <c r="F3922" s="388">
        <f t="shared" si="1009"/>
        <v>0</v>
      </c>
      <c r="H3922" s="341" t="str">
        <f>IF(A3922="","",VLOOKUP(A3922,VII.A!$A$10:$D$199,4,FALSE))</f>
        <v/>
      </c>
      <c r="I3922" s="341" t="str">
        <f t="shared" si="1010"/>
        <v/>
      </c>
      <c r="J3922" s="341" t="str">
        <f>IF(A3922="","",VLOOKUP(A3922,VII.A!$A$10:$D$199,3,FALSE))</f>
        <v/>
      </c>
      <c r="K3922" s="342" t="str">
        <f t="shared" si="1011"/>
        <v/>
      </c>
      <c r="L3922" s="380" t="str">
        <f>IF(C3922="","",G3899*C3922)</f>
        <v/>
      </c>
      <c r="M3922" s="381" t="str">
        <f>IF(A3922="","",VLOOKUP(A3922,VII.A!$A$10:$B$199,2,FALSE))</f>
        <v/>
      </c>
      <c r="N3922" s="342" t="str">
        <f t="shared" si="1012"/>
        <v/>
      </c>
      <c r="R3922" s="341"/>
      <c r="S3922" s="341"/>
    </row>
    <row r="3923" spans="1:19" ht="12.75" customHeight="1">
      <c r="A3923" s="393"/>
      <c r="C3923" s="20"/>
      <c r="E3923" s="387"/>
      <c r="F3923" s="388">
        <f t="shared" si="1009"/>
        <v>0</v>
      </c>
      <c r="H3923" s="341" t="str">
        <f>IF(A3923="","",VLOOKUP(A3923,VII.A!$A$10:$D$199,4,FALSE))</f>
        <v/>
      </c>
      <c r="I3923" s="341" t="str">
        <f t="shared" si="1010"/>
        <v/>
      </c>
      <c r="J3923" s="341" t="str">
        <f>IF(A3923="","",VLOOKUP(A3923,VII.A!$A$10:$D$199,3,FALSE))</f>
        <v/>
      </c>
      <c r="K3923" s="342" t="str">
        <f t="shared" si="1011"/>
        <v/>
      </c>
      <c r="L3923" s="380" t="str">
        <f>IF(C3923="","",G3899*C3923)</f>
        <v/>
      </c>
      <c r="M3923" s="381" t="str">
        <f>IF(A3923="","",VLOOKUP(A3923,VII.A!$A$10:$B$199,2,FALSE))</f>
        <v/>
      </c>
      <c r="N3923" s="342" t="str">
        <f t="shared" si="1012"/>
        <v/>
      </c>
      <c r="R3923" s="341"/>
      <c r="S3923" s="341"/>
    </row>
    <row r="3924" spans="1:19" ht="12.75" customHeight="1">
      <c r="A3924" s="393"/>
      <c r="C3924" s="20"/>
      <c r="E3924" s="387"/>
      <c r="F3924" s="388">
        <f t="shared" si="1009"/>
        <v>0</v>
      </c>
      <c r="H3924" s="341" t="str">
        <f>IF(A3924="","",VLOOKUP(A3924,VII.A!$A$10:$D$199,4,FALSE))</f>
        <v/>
      </c>
      <c r="I3924" s="341" t="str">
        <f t="shared" si="1010"/>
        <v/>
      </c>
      <c r="J3924" s="341" t="str">
        <f>IF(A3924="","",VLOOKUP(A3924,VII.A!$A$10:$D$199,3,FALSE))</f>
        <v/>
      </c>
      <c r="K3924" s="342" t="str">
        <f t="shared" si="1011"/>
        <v/>
      </c>
      <c r="L3924" s="380" t="str">
        <f>IF(C3924="","",G3899*C3924)</f>
        <v/>
      </c>
      <c r="M3924" s="381" t="str">
        <f>IF(A3924="","",VLOOKUP(A3924,VII.A!$A$10:$B$199,2,FALSE))</f>
        <v/>
      </c>
      <c r="N3924" s="342" t="str">
        <f t="shared" si="1012"/>
        <v/>
      </c>
      <c r="R3924" s="341"/>
      <c r="S3924" s="341"/>
    </row>
    <row r="3925" spans="1:19" ht="12.75" customHeight="1">
      <c r="A3925" s="393"/>
      <c r="C3925" s="20"/>
      <c r="E3925" s="387"/>
      <c r="F3925" s="388">
        <f t="shared" si="1009"/>
        <v>0</v>
      </c>
      <c r="G3925" s="390"/>
      <c r="H3925" s="341" t="str">
        <f>IF(A3925="","",VLOOKUP(A3925,VII.A!$A$10:$D$199,4,FALSE))</f>
        <v/>
      </c>
      <c r="I3925" s="341" t="str">
        <f t="shared" si="1010"/>
        <v/>
      </c>
      <c r="J3925" s="341" t="str">
        <f>IF(A3925="","",VLOOKUP(A3925,VII.A!$A$10:$D$199,3,FALSE))</f>
        <v/>
      </c>
      <c r="K3925" s="342" t="str">
        <f t="shared" si="1011"/>
        <v/>
      </c>
      <c r="L3925" s="380" t="str">
        <f>IF(C3925="","",G3899*C3925)</f>
        <v/>
      </c>
      <c r="M3925" s="381" t="str">
        <f>IF(A3925="","",VLOOKUP(A3925,VII.A!$A$10:$B$199,2,FALSE))</f>
        <v/>
      </c>
      <c r="N3925" s="342" t="str">
        <f t="shared" si="1012"/>
        <v/>
      </c>
      <c r="R3925" s="341"/>
      <c r="S3925" s="341"/>
    </row>
    <row r="3926" spans="1:19" ht="12.75" customHeight="1">
      <c r="A3926" s="393"/>
      <c r="C3926" s="20"/>
      <c r="E3926" s="387"/>
      <c r="F3926" s="388">
        <f t="shared" si="1009"/>
        <v>0</v>
      </c>
      <c r="G3926" s="391"/>
      <c r="H3926" s="341" t="str">
        <f>IF(A3926="","",VLOOKUP(A3926,VII.A!$A$10:$D$199,4,FALSE))</f>
        <v/>
      </c>
      <c r="I3926" s="341" t="str">
        <f t="shared" si="1010"/>
        <v/>
      </c>
      <c r="J3926" s="341" t="str">
        <f>IF(A3926="","",VLOOKUP(A3926,VII.A!$A$10:$D$199,3,FALSE))</f>
        <v/>
      </c>
      <c r="K3926" s="342" t="str">
        <f t="shared" si="1011"/>
        <v/>
      </c>
      <c r="L3926" s="380" t="str">
        <f>IF(C3926="","",G3899*C3926)</f>
        <v/>
      </c>
      <c r="M3926" s="381" t="str">
        <f>IF(A3926="","",VLOOKUP(A3926,VII.A!$A$10:$B$199,2,FALSE))</f>
        <v/>
      </c>
      <c r="N3926" s="342" t="str">
        <f t="shared" si="1012"/>
        <v/>
      </c>
      <c r="R3926" s="341"/>
      <c r="S3926" s="341"/>
    </row>
    <row r="3927" spans="1:19" ht="12.75" customHeight="1">
      <c r="A3927" s="393"/>
      <c r="C3927" s="20"/>
      <c r="E3927" s="387"/>
      <c r="F3927" s="388">
        <f t="shared" si="1009"/>
        <v>0</v>
      </c>
      <c r="H3927" s="341" t="str">
        <f>IF(A3927="","",VLOOKUP(A3927,VII.A!$A$10:$D$199,4,FALSE))</f>
        <v/>
      </c>
      <c r="I3927" s="341" t="str">
        <f t="shared" si="1010"/>
        <v/>
      </c>
      <c r="J3927" s="341" t="str">
        <f>IF(A3927="","",VLOOKUP(A3927,VII.A!$A$10:$D$199,3,FALSE))</f>
        <v/>
      </c>
      <c r="K3927" s="342" t="str">
        <f t="shared" si="1011"/>
        <v/>
      </c>
      <c r="L3927" s="380" t="str">
        <f>IF(C3927="","",G3899*C3927)</f>
        <v/>
      </c>
      <c r="M3927" s="381" t="str">
        <f>IF(A3927="","",VLOOKUP(A3927,VII.A!$A$10:$B$199,2,FALSE))</f>
        <v/>
      </c>
      <c r="N3927" s="342" t="str">
        <f t="shared" si="1012"/>
        <v/>
      </c>
      <c r="R3927" s="341"/>
      <c r="S3927" s="341"/>
    </row>
    <row r="3928" spans="1:19" ht="12.75" customHeight="1">
      <c r="A3928" s="393"/>
      <c r="C3928" s="20"/>
      <c r="E3928" s="387"/>
      <c r="F3928" s="388">
        <f t="shared" si="1009"/>
        <v>0</v>
      </c>
      <c r="H3928" s="341" t="str">
        <f>IF(A3928="","",VLOOKUP(A3928,VII.A!$A$10:$D$199,4,FALSE))</f>
        <v/>
      </c>
      <c r="I3928" s="341" t="str">
        <f t="shared" si="1010"/>
        <v/>
      </c>
      <c r="J3928" s="341" t="str">
        <f>IF(A3928="","",VLOOKUP(A3928,VII.A!$A$10:$D$199,3,FALSE))</f>
        <v/>
      </c>
      <c r="K3928" s="342" t="str">
        <f t="shared" si="1011"/>
        <v/>
      </c>
      <c r="L3928" s="380" t="str">
        <f>IF(C3928="","",G3899*C3928)</f>
        <v/>
      </c>
      <c r="M3928" s="381" t="str">
        <f>IF(A3928="","",VLOOKUP(A3928,VII.A!$A$10:$B$199,2,FALSE))</f>
        <v/>
      </c>
      <c r="N3928" s="342" t="str">
        <f t="shared" si="1012"/>
        <v/>
      </c>
      <c r="R3928" s="341"/>
      <c r="S3928" s="341"/>
    </row>
    <row r="3929" spans="1:19" ht="12.75" customHeight="1">
      <c r="A3929" s="393"/>
      <c r="C3929" s="20"/>
      <c r="E3929" s="387"/>
      <c r="F3929" s="388">
        <f t="shared" si="1009"/>
        <v>0</v>
      </c>
      <c r="H3929" s="341" t="str">
        <f>IF(A3929="","",VLOOKUP(A3929,VII.A!$A$10:$D$199,4,FALSE))</f>
        <v/>
      </c>
      <c r="I3929" s="341" t="str">
        <f t="shared" si="1010"/>
        <v/>
      </c>
      <c r="J3929" s="341" t="str">
        <f>IF(A3929="","",VLOOKUP(A3929,VII.A!$A$10:$D$199,3,FALSE))</f>
        <v/>
      </c>
      <c r="K3929" s="342" t="str">
        <f t="shared" si="1011"/>
        <v/>
      </c>
      <c r="L3929" s="380" t="str">
        <f>IF(C3929="","",G3899*C3929)</f>
        <v/>
      </c>
      <c r="M3929" s="381" t="str">
        <f>IF(A3929="","",VLOOKUP(A3929,VII.A!$A$10:$B$199,2,FALSE))</f>
        <v/>
      </c>
      <c r="N3929" s="342" t="str">
        <f t="shared" si="1012"/>
        <v/>
      </c>
      <c r="R3929" s="341"/>
      <c r="S3929" s="341"/>
    </row>
    <row r="3930" spans="1:19" ht="12.75" customHeight="1">
      <c r="A3930" s="393"/>
      <c r="C3930" s="20"/>
      <c r="E3930" s="387"/>
      <c r="F3930" s="388">
        <f t="shared" si="1009"/>
        <v>0</v>
      </c>
      <c r="H3930" s="341" t="str">
        <f>IF(A3930="","",VLOOKUP(A3930,VII.A!$A$10:$D$199,4,FALSE))</f>
        <v/>
      </c>
      <c r="I3930" s="341" t="str">
        <f t="shared" si="1010"/>
        <v/>
      </c>
      <c r="J3930" s="341" t="str">
        <f>IF(A3930="","",VLOOKUP(A3930,VII.A!$A$10:$D$199,3,FALSE))</f>
        <v/>
      </c>
      <c r="K3930" s="342" t="str">
        <f t="shared" si="1011"/>
        <v/>
      </c>
      <c r="L3930" s="380" t="str">
        <f>IF(C3930="","",G3899*C3930)</f>
        <v/>
      </c>
      <c r="M3930" s="381" t="str">
        <f>IF(A3930="","",VLOOKUP(A3930,VII.A!$A$10:$B$199,2,FALSE))</f>
        <v/>
      </c>
      <c r="N3930" s="342" t="str">
        <f t="shared" si="1012"/>
        <v/>
      </c>
      <c r="R3930" s="341"/>
      <c r="S3930" s="341"/>
    </row>
    <row r="3931" spans="1:19" ht="12.75" customHeight="1">
      <c r="A3931" s="393"/>
      <c r="B3931" s="395" t="s">
        <v>226</v>
      </c>
      <c r="C3931" s="396"/>
      <c r="D3931" s="397"/>
      <c r="E3931" s="398"/>
      <c r="F3931" s="399">
        <f>SUM(F3921:F3930)</f>
        <v>0</v>
      </c>
      <c r="J3931" s="341"/>
      <c r="L3931" s="380"/>
      <c r="M3931" s="381"/>
      <c r="N3931" s="342"/>
      <c r="R3931" s="341"/>
      <c r="S3931" s="341"/>
    </row>
    <row r="3932" spans="1:19" ht="12.75" customHeight="1">
      <c r="A3932" s="393"/>
      <c r="B3932" s="400" t="s">
        <v>53</v>
      </c>
      <c r="C3932" s="2">
        <f>$D$8</f>
        <v>0</v>
      </c>
      <c r="D3932" s="401"/>
      <c r="E3932" s="402"/>
      <c r="F3932" s="403">
        <f>ROUND(C3932*F3931,2)</f>
        <v>0</v>
      </c>
      <c r="J3932" s="341"/>
      <c r="L3932" s="380"/>
      <c r="M3932" s="381"/>
      <c r="N3932" s="342"/>
      <c r="R3932" s="341"/>
      <c r="S3932" s="341"/>
    </row>
    <row r="3933" spans="1:19" ht="12.75" customHeight="1">
      <c r="A3933" s="404"/>
      <c r="B3933" s="405" t="s">
        <v>228</v>
      </c>
      <c r="C3933" s="406"/>
      <c r="D3933" s="406"/>
      <c r="E3933" s="407"/>
      <c r="F3933" s="408">
        <f>F3931+F3932</f>
        <v>0</v>
      </c>
      <c r="J3933" s="341"/>
      <c r="L3933" s="380"/>
      <c r="M3933" s="381"/>
      <c r="N3933" s="342"/>
      <c r="R3933" s="341"/>
      <c r="S3933" s="341"/>
    </row>
    <row r="3934" spans="1:19" ht="12.75" customHeight="1">
      <c r="A3934" s="409" t="s">
        <v>47</v>
      </c>
      <c r="B3934" s="410" t="s">
        <v>236</v>
      </c>
      <c r="C3934" s="411" t="s">
        <v>231</v>
      </c>
      <c r="D3934" s="412" t="s">
        <v>232</v>
      </c>
      <c r="E3934" s="413" t="s">
        <v>233</v>
      </c>
      <c r="F3934" s="378" t="s">
        <v>234</v>
      </c>
      <c r="J3934" s="341"/>
      <c r="L3934" s="380"/>
      <c r="M3934" s="381"/>
      <c r="N3934" s="342"/>
      <c r="R3934" s="341"/>
      <c r="S3934" s="341"/>
    </row>
    <row r="3935" spans="1:19" ht="12.75" customHeight="1">
      <c r="A3935" s="393" t="str">
        <f>VII.A!$A$181</f>
        <v>3.1</v>
      </c>
      <c r="B3935" s="394" t="s">
        <v>142</v>
      </c>
      <c r="C3935" s="20">
        <v>0.3</v>
      </c>
      <c r="D3935" s="384" t="str">
        <f>VLOOKUP(A3935,VII.A!$A$10:$G$199,3,FALSE)</f>
        <v>H</v>
      </c>
      <c r="E3935" s="387">
        <f>VII.A!D181</f>
        <v>0</v>
      </c>
      <c r="F3935" s="388">
        <f t="shared" ref="F3935:F3941" si="1013">ROUND(C3935*E3935,2)</f>
        <v>0</v>
      </c>
      <c r="H3935" s="341">
        <f>IF(A3935="","",VLOOKUP(A3935,VII.A!$A$10:$D$199,4,FALSE))</f>
        <v>0</v>
      </c>
      <c r="I3935" s="341" t="str">
        <f t="shared" ref="I3935:I3941" si="1014">IF(A3935="","",IF(E3935=H3935,"SIM","NÃO"))</f>
        <v>SIM</v>
      </c>
      <c r="J3935" s="341" t="str">
        <f>IF(A3935="","",VLOOKUP(A3935,VII.A!$A$10:$D$199,3,FALSE))</f>
        <v>H</v>
      </c>
      <c r="K3935" s="342" t="str">
        <f t="shared" ref="K3935:K3941" si="1015">IF(A3935="","",IF(J3935=D3935,"SIM","NÃO"))</f>
        <v>SIM</v>
      </c>
      <c r="L3935" s="380">
        <f>IF(C3935="","",G3899*C3935)</f>
        <v>7.5</v>
      </c>
      <c r="M3935" s="381" t="str">
        <f>IF(A3935="","",VLOOKUP(A3935,VII.A!$A$10:$B$199,2,FALSE))</f>
        <v>AJUDANTE COM ENCARGOS COMPLEMENTARES</v>
      </c>
      <c r="N3935" s="342" t="str">
        <f t="shared" ref="N3935:N3941" si="1016">IF(B3935="","",IF(M3935=B3935,"si","no"))</f>
        <v>si</v>
      </c>
      <c r="R3935" s="341"/>
      <c r="S3935" s="341"/>
    </row>
    <row r="3936" spans="1:19" ht="12.75" customHeight="1">
      <c r="A3936" s="393" t="str">
        <f>VII.A!$A$187</f>
        <v>3.7</v>
      </c>
      <c r="B3936" s="394" t="s">
        <v>148</v>
      </c>
      <c r="C3936" s="20">
        <v>0.3</v>
      </c>
      <c r="D3936" s="384" t="str">
        <f>VLOOKUP(A3936,VII.A!$A$10:$G$199,3,FALSE)</f>
        <v>H</v>
      </c>
      <c r="E3936" s="387">
        <f>VII.A!D187</f>
        <v>0</v>
      </c>
      <c r="F3936" s="388">
        <f t="shared" si="1013"/>
        <v>0</v>
      </c>
      <c r="H3936" s="341">
        <f>IF(A3936="","",VLOOKUP(A3936,VII.A!$A$10:$D$199,4,FALSE))</f>
        <v>0</v>
      </c>
      <c r="I3936" s="341" t="str">
        <f t="shared" si="1014"/>
        <v>SIM</v>
      </c>
      <c r="J3936" s="341" t="str">
        <f>IF(A3936="","",VLOOKUP(A3936,VII.A!$A$10:$D$199,3,FALSE))</f>
        <v>H</v>
      </c>
      <c r="K3936" s="342" t="str">
        <f t="shared" si="1015"/>
        <v>SIM</v>
      </c>
      <c r="L3936" s="380">
        <f>IF(C3936="","",G3899*C3936)</f>
        <v>7.5</v>
      </c>
      <c r="M3936" s="381" t="str">
        <f>IF(A3936="","",VLOOKUP(A3936,VII.A!$A$10:$B$199,2,FALSE))</f>
        <v>ENCANADOR COM ENCARGOS COMPLEMENTARES</v>
      </c>
      <c r="N3936" s="342" t="str">
        <f t="shared" si="1016"/>
        <v>si</v>
      </c>
      <c r="R3936" s="341"/>
      <c r="S3936" s="341"/>
    </row>
    <row r="3937" spans="1:25" ht="12.75" customHeight="1">
      <c r="A3937" s="393"/>
      <c r="C3937" s="20"/>
      <c r="E3937" s="387"/>
      <c r="F3937" s="388">
        <f t="shared" si="1013"/>
        <v>0</v>
      </c>
      <c r="H3937" s="341" t="str">
        <f>IF(A3937="","",VLOOKUP(A3937,VII.A!$A$10:$D$199,4,FALSE))</f>
        <v/>
      </c>
      <c r="I3937" s="341" t="str">
        <f t="shared" si="1014"/>
        <v/>
      </c>
      <c r="J3937" s="341" t="str">
        <f>IF(A3937="","",VLOOKUP(A3937,VII.A!$A$10:$D$199,3,FALSE))</f>
        <v/>
      </c>
      <c r="K3937" s="342" t="str">
        <f t="shared" si="1015"/>
        <v/>
      </c>
      <c r="L3937" s="380" t="str">
        <f>IF(C3937="","",G3899*C3937)</f>
        <v/>
      </c>
      <c r="M3937" s="381" t="str">
        <f>IF(A3937="","",VLOOKUP(A3937,VII.A!$A$10:$B$199,2,FALSE))</f>
        <v/>
      </c>
      <c r="N3937" s="342" t="str">
        <f t="shared" si="1016"/>
        <v/>
      </c>
      <c r="R3937" s="341"/>
      <c r="S3937" s="341"/>
    </row>
    <row r="3938" spans="1:25" ht="12.75" customHeight="1">
      <c r="A3938" s="393"/>
      <c r="C3938" s="20"/>
      <c r="E3938" s="387"/>
      <c r="F3938" s="388">
        <f t="shared" si="1013"/>
        <v>0</v>
      </c>
      <c r="H3938" s="341" t="str">
        <f>IF(A3938="","",VLOOKUP(A3938,VII.A!$A$10:$D$199,4,FALSE))</f>
        <v/>
      </c>
      <c r="I3938" s="341" t="str">
        <f t="shared" si="1014"/>
        <v/>
      </c>
      <c r="J3938" s="341" t="str">
        <f>IF(A3938="","",VLOOKUP(A3938,VII.A!$A$10:$D$199,3,FALSE))</f>
        <v/>
      </c>
      <c r="K3938" s="342" t="str">
        <f t="shared" si="1015"/>
        <v/>
      </c>
      <c r="L3938" s="380" t="str">
        <f>IF(C3938="","",G3899*C3938)</f>
        <v/>
      </c>
      <c r="M3938" s="381" t="str">
        <f>IF(A3938="","",VLOOKUP(A3938,VII.A!$A$10:$B$199,2,FALSE))</f>
        <v/>
      </c>
      <c r="N3938" s="342" t="str">
        <f t="shared" si="1016"/>
        <v/>
      </c>
      <c r="R3938" s="341"/>
      <c r="S3938" s="341"/>
    </row>
    <row r="3939" spans="1:25" ht="12.75" customHeight="1">
      <c r="A3939" s="393"/>
      <c r="C3939" s="20"/>
      <c r="E3939" s="387"/>
      <c r="F3939" s="388">
        <f t="shared" si="1013"/>
        <v>0</v>
      </c>
      <c r="H3939" s="341" t="str">
        <f>IF(A3939="","",VLOOKUP(A3939,VII.A!$A$10:$D$199,4,FALSE))</f>
        <v/>
      </c>
      <c r="I3939" s="341" t="str">
        <f t="shared" si="1014"/>
        <v/>
      </c>
      <c r="J3939" s="341" t="str">
        <f>IF(A3939="","",VLOOKUP(A3939,VII.A!$A$10:$D$199,3,FALSE))</f>
        <v/>
      </c>
      <c r="K3939" s="342" t="str">
        <f t="shared" si="1015"/>
        <v/>
      </c>
      <c r="L3939" s="380" t="str">
        <f>IF(C3939="","",G3899*C3939)</f>
        <v/>
      </c>
      <c r="M3939" s="381" t="str">
        <f>IF(A3939="","",VLOOKUP(A3939,VII.A!$A$10:$B$199,2,FALSE))</f>
        <v/>
      </c>
      <c r="N3939" s="342" t="str">
        <f t="shared" si="1016"/>
        <v/>
      </c>
      <c r="R3939" s="341"/>
      <c r="S3939" s="341"/>
    </row>
    <row r="3940" spans="1:25" ht="12.75" customHeight="1">
      <c r="A3940" s="393"/>
      <c r="C3940" s="20"/>
      <c r="E3940" s="387"/>
      <c r="F3940" s="388">
        <f t="shared" si="1013"/>
        <v>0</v>
      </c>
      <c r="H3940" s="341" t="str">
        <f>IF(A3940="","",VLOOKUP(A3940,VII.A!$A$10:$D$199,4,FALSE))</f>
        <v/>
      </c>
      <c r="I3940" s="341" t="str">
        <f t="shared" si="1014"/>
        <v/>
      </c>
      <c r="J3940" s="341" t="str">
        <f>IF(A3940="","",VLOOKUP(A3940,VII.A!$A$10:$D$199,3,FALSE))</f>
        <v/>
      </c>
      <c r="K3940" s="342" t="str">
        <f t="shared" si="1015"/>
        <v/>
      </c>
      <c r="L3940" s="380" t="str">
        <f>IF(C3940="","",G3899*C3940)</f>
        <v/>
      </c>
      <c r="M3940" s="381" t="str">
        <f>IF(A3940="","",VLOOKUP(A3940,VII.A!$A$10:$B$199,2,FALSE))</f>
        <v/>
      </c>
      <c r="N3940" s="342" t="str">
        <f t="shared" si="1016"/>
        <v/>
      </c>
      <c r="R3940" s="341"/>
      <c r="S3940" s="341"/>
    </row>
    <row r="3941" spans="1:25" ht="12.75" customHeight="1">
      <c r="A3941" s="393"/>
      <c r="C3941" s="20"/>
      <c r="E3941" s="387"/>
      <c r="F3941" s="388">
        <f t="shared" si="1013"/>
        <v>0</v>
      </c>
      <c r="H3941" s="341" t="str">
        <f>IF(A3941="","",VLOOKUP(A3941,VII.A!$A$10:$D$199,4,FALSE))</f>
        <v/>
      </c>
      <c r="I3941" s="341" t="str">
        <f t="shared" si="1014"/>
        <v/>
      </c>
      <c r="J3941" s="341" t="str">
        <f>IF(A3941="","",VLOOKUP(A3941,VII.A!$A$10:$D$199,3,FALSE))</f>
        <v/>
      </c>
      <c r="K3941" s="342" t="str">
        <f t="shared" si="1015"/>
        <v/>
      </c>
      <c r="L3941" s="380" t="str">
        <f>IF(C3941="","",G3899*C3941)</f>
        <v/>
      </c>
      <c r="M3941" s="381" t="str">
        <f>IF(A3941="","",VLOOKUP(A3941,VII.A!$A$10:$B$199,2,FALSE))</f>
        <v/>
      </c>
      <c r="N3941" s="342" t="str">
        <f t="shared" si="1016"/>
        <v/>
      </c>
      <c r="R3941" s="341"/>
      <c r="S3941" s="341"/>
    </row>
    <row r="3942" spans="1:25" ht="12.75" customHeight="1">
      <c r="A3942" s="393"/>
      <c r="B3942" s="395" t="s">
        <v>226</v>
      </c>
      <c r="C3942" s="396"/>
      <c r="D3942" s="397"/>
      <c r="E3942" s="398"/>
      <c r="F3942" s="399">
        <f>SUM(F3935:F3941)</f>
        <v>0</v>
      </c>
      <c r="J3942" s="341"/>
      <c r="L3942" s="380"/>
      <c r="M3942" s="381"/>
      <c r="N3942" s="342"/>
      <c r="R3942" s="341"/>
      <c r="S3942" s="341"/>
    </row>
    <row r="3943" spans="1:25" ht="12.75" customHeight="1">
      <c r="A3943" s="393"/>
      <c r="B3943" s="400" t="s">
        <v>229</v>
      </c>
      <c r="C3943" s="2">
        <f>IX.A!$C$45</f>
        <v>0</v>
      </c>
      <c r="D3943" s="401"/>
      <c r="E3943" s="402"/>
      <c r="F3943" s="403">
        <f>ROUND(F3942*C3943,2)</f>
        <v>0</v>
      </c>
      <c r="J3943" s="341"/>
      <c r="L3943" s="380"/>
      <c r="M3943" s="381"/>
      <c r="N3943" s="342"/>
      <c r="R3943" s="341"/>
      <c r="S3943" s="341"/>
    </row>
    <row r="3944" spans="1:25" ht="12.75" customHeight="1">
      <c r="A3944" s="393"/>
      <c r="B3944" s="400" t="s">
        <v>53</v>
      </c>
      <c r="C3944" s="2">
        <f>$D$8</f>
        <v>0</v>
      </c>
      <c r="D3944" s="401"/>
      <c r="E3944" s="402"/>
      <c r="F3944" s="403">
        <f>ROUND(SUM(F3942:F3943)*C3944,2)</f>
        <v>0</v>
      </c>
      <c r="J3944" s="341"/>
      <c r="L3944" s="380"/>
      <c r="M3944" s="381"/>
      <c r="N3944" s="342"/>
      <c r="R3944" s="341"/>
      <c r="S3944" s="341"/>
    </row>
    <row r="3945" spans="1:25" ht="12.75" customHeight="1" thickBot="1">
      <c r="A3945" s="414"/>
      <c r="B3945" s="415" t="s">
        <v>230</v>
      </c>
      <c r="C3945" s="416"/>
      <c r="D3945" s="416"/>
      <c r="E3945" s="417"/>
      <c r="F3945" s="418">
        <f>SUM(F3942:F3944)</f>
        <v>0</v>
      </c>
      <c r="J3945" s="341"/>
      <c r="L3945" s="380"/>
      <c r="M3945" s="381"/>
      <c r="N3945" s="342"/>
      <c r="R3945" s="341"/>
      <c r="S3945" s="341"/>
    </row>
    <row r="3946" spans="1:25" ht="12.75" customHeight="1" thickBot="1">
      <c r="A3946" s="427"/>
      <c r="B3946" s="428"/>
      <c r="C3946" s="429"/>
      <c r="D3946" s="429"/>
      <c r="E3946" s="430"/>
      <c r="F3946" s="431"/>
      <c r="J3946" s="341"/>
      <c r="L3946" s="380"/>
      <c r="M3946" s="381"/>
      <c r="N3946" s="342"/>
      <c r="R3946" s="341"/>
      <c r="S3946" s="341"/>
    </row>
    <row r="3947" spans="1:25" ht="30" customHeight="1">
      <c r="A3947" s="370" t="str">
        <f>IV.A!A121</f>
        <v>4.8</v>
      </c>
      <c r="B3947" s="371" t="str">
        <f>IV.A!B121</f>
        <v>TUBO EM PVC RÍGIDO BRANCO, SÉRIE NORMAL, INCLUSIVE CONEXÕES, DN =  50 MM</v>
      </c>
      <c r="C3947" s="871" t="s">
        <v>237</v>
      </c>
      <c r="D3947" s="872"/>
      <c r="E3947" s="372" t="str">
        <f>IV.A!C121</f>
        <v>M</v>
      </c>
      <c r="F3947" s="11">
        <f>ROUND(F3967+F3981+F3993,2)</f>
        <v>0</v>
      </c>
      <c r="G3947" s="1">
        <f>VLOOKUP(A3947,IV.A!$A$16:$L$172,4,FALSE)</f>
        <v>30</v>
      </c>
      <c r="H3947" s="361">
        <f>SUM(F3949:F3964)+F3966</f>
        <v>0</v>
      </c>
      <c r="I3947" s="361">
        <f>SUM(F3969:F3978)+F3980</f>
        <v>0</v>
      </c>
      <c r="J3947" s="361">
        <f>SUM(F3983:F3989)+F3991+F3992</f>
        <v>0</v>
      </c>
      <c r="K3947" s="361">
        <f>SUM(H3947:J3947)</f>
        <v>0</v>
      </c>
      <c r="L3947" s="362" t="str">
        <f>IF(K3947=F3947,"SIM","NÃO")</f>
        <v>SIM</v>
      </c>
      <c r="M3947" s="373">
        <f>ROUND(SUM(F3949:F3964),2)+ROUND(SUM(F3949:F3964)*C3966,2)+ROUND(SUM(F3969:F3978)*C3980,2)+ROUND(SUM(F3969:F3978),2)+ROUND(SUM(F3983:F3989)*C3991,2)+ROUND((SUM(F3983:F3989)+ROUND(SUM(F3983:F3989)*C3991,2))*C3992,2)+ROUND(SUM(F3983:F3989),2)</f>
        <v>0</v>
      </c>
      <c r="N3947" s="343" t="str">
        <f>IF(M3947=F3947,"SIM","NÃO")</f>
        <v>SIM</v>
      </c>
      <c r="O3947" s="364" t="str">
        <f>VLOOKUP(A3947,IV.A!$A$16:$E$172,3,FALSE)</f>
        <v>M</v>
      </c>
      <c r="P3947" s="344" t="str">
        <f>IF(O3947=E3947,"SIM","NÃO")</f>
        <v>SIM</v>
      </c>
      <c r="Q3947" s="365">
        <f>ROUND(G3947*F3967,2)+ROUND(G3947*F3981,2)+ROUND(G3947*F3993,2)</f>
        <v>0</v>
      </c>
      <c r="R3947" s="364">
        <f>VLOOKUP(A3947,IV.A!$A$16:$L$172,12,FALSE)</f>
        <v>0</v>
      </c>
      <c r="S3947" s="366" t="str">
        <f>IF(Q3947=R3947,"si","no")</f>
        <v>si</v>
      </c>
      <c r="T3947" s="367">
        <f>SUM(L3949:L3964)+SUM(L3969:L3978)+SUM(L3983:L3989)</f>
        <v>61.923000000000002</v>
      </c>
      <c r="U3947" s="341">
        <f>(SUM(C3949:C3964)+SUM(C3969:C3978)+SUM(C3983:C3989))*G3947</f>
        <v>61.922999999999995</v>
      </c>
      <c r="V3947" s="368" t="str">
        <f>IF(T3947=U3947,"si","no")</f>
        <v>si</v>
      </c>
      <c r="W3947" s="369">
        <f>SUM(F3949:F3964)</f>
        <v>0</v>
      </c>
      <c r="X3947" s="369">
        <f>SUM(F3969:F3978)</f>
        <v>0</v>
      </c>
      <c r="Y3947" s="369">
        <f>SUM(F3983:F3989)</f>
        <v>0</v>
      </c>
    </row>
    <row r="3948" spans="1:25" ht="12.75" customHeight="1">
      <c r="A3948" s="374" t="s">
        <v>14</v>
      </c>
      <c r="B3948" s="375" t="s">
        <v>132</v>
      </c>
      <c r="C3948" s="376" t="s">
        <v>231</v>
      </c>
      <c r="D3948" s="376" t="s">
        <v>232</v>
      </c>
      <c r="E3948" s="377" t="s">
        <v>233</v>
      </c>
      <c r="F3948" s="378" t="s">
        <v>234</v>
      </c>
      <c r="G3948" s="379"/>
      <c r="J3948" s="341"/>
      <c r="L3948" s="380"/>
      <c r="M3948" s="381"/>
      <c r="N3948" s="342"/>
      <c r="O3948" s="382"/>
      <c r="P3948" s="383"/>
      <c r="Q3948" s="383"/>
      <c r="R3948" s="383"/>
      <c r="S3948" s="383"/>
      <c r="T3948" s="382"/>
      <c r="U3948" s="341"/>
      <c r="V3948" s="384"/>
      <c r="W3948" s="384"/>
      <c r="X3948" s="384"/>
      <c r="Y3948" s="384"/>
    </row>
    <row r="3949" spans="1:25" ht="12.75" customHeight="1">
      <c r="A3949" s="385" t="str">
        <f>VII.A!$A$11</f>
        <v>1.2</v>
      </c>
      <c r="B3949" s="386" t="str">
        <f>VII.A!B11</f>
        <v>ADESIVO PARA TUBO EM PVC - FRASCO 850 GR.</v>
      </c>
      <c r="C3949" s="20">
        <v>1.0800000000000001E-2</v>
      </c>
      <c r="D3949" s="342" t="str">
        <f>VII.A!C11</f>
        <v>UN</v>
      </c>
      <c r="E3949" s="387">
        <f>VII.A!D11</f>
        <v>0</v>
      </c>
      <c r="F3949" s="388">
        <f>ROUND(C3949*E3949,2)</f>
        <v>0</v>
      </c>
      <c r="H3949" s="341">
        <f>IF(A3949="","",VLOOKUP(A3949,VII.A!$A$10:$D$199,4,FALSE))</f>
        <v>0</v>
      </c>
      <c r="I3949" s="341" t="str">
        <f t="shared" ref="I3949:I3964" si="1017">IF(A3949="","",IF(E3949=H3949,"SIM","NÃO"))</f>
        <v>SIM</v>
      </c>
      <c r="J3949" s="341" t="str">
        <f>IF(A3949="","",VLOOKUP(A3949,VII.A!$A$10:$D$199,3,FALSE))</f>
        <v>UN</v>
      </c>
      <c r="K3949" s="342" t="str">
        <f t="shared" ref="K3949:K3964" si="1018">IF(A3949="","",IF(J3949=D3949,"SIM","NÃO"))</f>
        <v>SIM</v>
      </c>
      <c r="L3949" s="380">
        <f>IF(C3949="","",G3947*C3949)</f>
        <v>0.32400000000000001</v>
      </c>
      <c r="M3949" s="381" t="str">
        <f>IF(A3949="","",VLOOKUP(A3949,VII.A!$A$10:$B$199,2,FALSE))</f>
        <v>ADESIVO PARA TUBO EM PVC - FRASCO 850 GR.</v>
      </c>
      <c r="N3949" s="342" t="str">
        <f t="shared" ref="N3949:N3964" si="1019">IF(B3949="","",IF(M3949=B3949,"si","no"))</f>
        <v>si</v>
      </c>
      <c r="R3949" s="341"/>
      <c r="S3949" s="341"/>
    </row>
    <row r="3950" spans="1:25" ht="12.75" customHeight="1">
      <c r="A3950" s="385" t="str">
        <f>VII.A!$A$67</f>
        <v>1.58</v>
      </c>
      <c r="B3950" s="386" t="str">
        <f>VII.A!B67</f>
        <v>LIXA D'AGUA EM FOLHA, GRAO 100</v>
      </c>
      <c r="C3950" s="20">
        <v>0.127</v>
      </c>
      <c r="D3950" s="342" t="str">
        <f>VII.A!C67</f>
        <v>UN</v>
      </c>
      <c r="E3950" s="387">
        <f>VII.A!D67</f>
        <v>0</v>
      </c>
      <c r="F3950" s="388">
        <f t="shared" ref="F3950:F3964" si="1020">ROUND(C3950*E3950,2)</f>
        <v>0</v>
      </c>
      <c r="H3950" s="341">
        <f>IF(A3950="","",VLOOKUP(A3950,VII.A!$A$10:$D$199,4,FALSE))</f>
        <v>0</v>
      </c>
      <c r="I3950" s="341" t="str">
        <f t="shared" si="1017"/>
        <v>SIM</v>
      </c>
      <c r="J3950" s="341" t="str">
        <f>IF(A3950="","",VLOOKUP(A3950,VII.A!$A$10:$D$199,3,FALSE))</f>
        <v>UN</v>
      </c>
      <c r="K3950" s="342" t="str">
        <f t="shared" si="1018"/>
        <v>SIM</v>
      </c>
      <c r="L3950" s="380">
        <f>IF(C3950="","",G3947*C3950)</f>
        <v>3.81</v>
      </c>
      <c r="M3950" s="381" t="str">
        <f>IF(A3950="","",VLOOKUP(A3950,VII.A!$A$10:$B$199,2,FALSE))</f>
        <v>LIXA D'AGUA EM FOLHA, GRAO 100</v>
      </c>
      <c r="N3950" s="342" t="str">
        <f t="shared" si="1019"/>
        <v>si</v>
      </c>
      <c r="R3950" s="341"/>
      <c r="S3950" s="341"/>
    </row>
    <row r="3951" spans="1:25" ht="12.75" customHeight="1">
      <c r="A3951" s="385" t="str">
        <f>VII.A!$A$100</f>
        <v>1.90</v>
      </c>
      <c r="B3951" s="386" t="str">
        <f>VII.A!B100</f>
        <v>SOLUCAO LIMPADORA PARA PVC, FRASCO COM 1000 CM3</v>
      </c>
      <c r="C3951" s="20">
        <v>1.6299999999999999E-2</v>
      </c>
      <c r="D3951" s="342" t="str">
        <f>VII.A!C100</f>
        <v xml:space="preserve">UN </v>
      </c>
      <c r="E3951" s="387">
        <f>VII.A!D100</f>
        <v>0</v>
      </c>
      <c r="F3951" s="388">
        <f t="shared" si="1020"/>
        <v>0</v>
      </c>
      <c r="H3951" s="341">
        <f>IF(A3951="","",VLOOKUP(A3951,VII.A!$A$10:$D$199,4,FALSE))</f>
        <v>0</v>
      </c>
      <c r="I3951" s="341" t="str">
        <f t="shared" si="1017"/>
        <v>SIM</v>
      </c>
      <c r="J3951" s="341" t="str">
        <f>IF(A3951="","",VLOOKUP(A3951,VII.A!$A$10:$D$199,3,FALSE))</f>
        <v xml:space="preserve">UN </v>
      </c>
      <c r="K3951" s="342" t="str">
        <f t="shared" si="1018"/>
        <v>SIM</v>
      </c>
      <c r="L3951" s="380">
        <f>IF(C3951="","",G3947*C3951)</f>
        <v>0.48899999999999993</v>
      </c>
      <c r="M3951" s="381" t="str">
        <f>IF(A3951="","",VLOOKUP(A3951,VII.A!$A$10:$B$199,2,FALSE))</f>
        <v>SOLUCAO LIMPADORA PARA PVC, FRASCO COM 1000 CM3</v>
      </c>
      <c r="N3951" s="342" t="str">
        <f t="shared" si="1019"/>
        <v>si</v>
      </c>
      <c r="R3951" s="341"/>
      <c r="S3951" s="341"/>
    </row>
    <row r="3952" spans="1:25" ht="12.75" customHeight="1">
      <c r="A3952" s="385" t="str">
        <f>VII.A!$A$120</f>
        <v>1.110</v>
      </c>
      <c r="B3952" s="386" t="str">
        <f>VII.A!B120</f>
        <v>TUBO PVC SERIE NORMAL, DN 50 MM, PARA ESGOTO PREDIAL (NBR 5688)</v>
      </c>
      <c r="C3952" s="20">
        <v>1.1499999999999999</v>
      </c>
      <c r="D3952" s="342" t="str">
        <f>VII.A!C120</f>
        <v>M</v>
      </c>
      <c r="E3952" s="387">
        <f>VII.A!D120</f>
        <v>0</v>
      </c>
      <c r="F3952" s="388">
        <f t="shared" si="1020"/>
        <v>0</v>
      </c>
      <c r="H3952" s="341">
        <f>IF(A3952="","",VLOOKUP(A3952,VII.A!$A$10:$D$199,4,FALSE))</f>
        <v>0</v>
      </c>
      <c r="I3952" s="341" t="str">
        <f t="shared" si="1017"/>
        <v>SIM</v>
      </c>
      <c r="J3952" s="341" t="str">
        <f>IF(A3952="","",VLOOKUP(A3952,VII.A!$A$10:$D$199,3,FALSE))</f>
        <v>M</v>
      </c>
      <c r="K3952" s="342" t="str">
        <f t="shared" si="1018"/>
        <v>SIM</v>
      </c>
      <c r="L3952" s="380">
        <f>IF(C3952="","",G3947*C3952)</f>
        <v>34.5</v>
      </c>
      <c r="M3952" s="381" t="str">
        <f>IF(A3952="","",VLOOKUP(A3952,VII.A!$A$10:$B$199,2,FALSE))</f>
        <v>TUBO PVC SERIE NORMAL, DN 50 MM, PARA ESGOTO PREDIAL (NBR 5688)</v>
      </c>
      <c r="N3952" s="342" t="str">
        <f t="shared" si="1019"/>
        <v>si</v>
      </c>
      <c r="R3952" s="341"/>
      <c r="S3952" s="341"/>
    </row>
    <row r="3953" spans="1:21" ht="12.75" customHeight="1">
      <c r="A3953" s="385"/>
      <c r="B3953" s="386"/>
      <c r="C3953" s="20"/>
      <c r="D3953" s="342"/>
      <c r="E3953" s="387"/>
      <c r="F3953" s="388">
        <f t="shared" si="1020"/>
        <v>0</v>
      </c>
      <c r="H3953" s="341" t="str">
        <f>IF(A3953="","",VLOOKUP(A3953,VII.A!$A$10:$D$199,4,FALSE))</f>
        <v/>
      </c>
      <c r="I3953" s="341" t="str">
        <f t="shared" si="1017"/>
        <v/>
      </c>
      <c r="J3953" s="341" t="str">
        <f>IF(A3953="","",VLOOKUP(A3953,VII.A!$A$10:$D$199,3,FALSE))</f>
        <v/>
      </c>
      <c r="K3953" s="342" t="str">
        <f t="shared" si="1018"/>
        <v/>
      </c>
      <c r="L3953" s="380" t="str">
        <f>IF(C3953="","",G3947*C3953)</f>
        <v/>
      </c>
      <c r="M3953" s="381" t="str">
        <f>IF(A3953="","",VLOOKUP(A3953,VII.A!$A$10:$B$199,2,FALSE))</f>
        <v/>
      </c>
      <c r="N3953" s="342" t="str">
        <f t="shared" si="1019"/>
        <v/>
      </c>
      <c r="R3953" s="341"/>
      <c r="S3953" s="341"/>
    </row>
    <row r="3954" spans="1:21" ht="12.75" customHeight="1">
      <c r="A3954" s="385"/>
      <c r="B3954" s="386"/>
      <c r="C3954" s="20"/>
      <c r="D3954" s="342"/>
      <c r="E3954" s="387"/>
      <c r="F3954" s="388">
        <f t="shared" si="1020"/>
        <v>0</v>
      </c>
      <c r="H3954" s="341" t="str">
        <f>IF(A3954="","",VLOOKUP(A3954,VII.A!$A$10:$D$199,4,FALSE))</f>
        <v/>
      </c>
      <c r="I3954" s="341" t="str">
        <f t="shared" si="1017"/>
        <v/>
      </c>
      <c r="J3954" s="341" t="str">
        <f>IF(A3954="","",VLOOKUP(A3954,VII.A!$A$10:$D$199,3,FALSE))</f>
        <v/>
      </c>
      <c r="K3954" s="342" t="str">
        <f t="shared" si="1018"/>
        <v/>
      </c>
      <c r="L3954" s="380" t="str">
        <f>IF(C3954="","",G3947*C3954)</f>
        <v/>
      </c>
      <c r="M3954" s="381" t="str">
        <f>IF(A3954="","",VLOOKUP(A3954,VII.A!$A$10:$B$199,2,FALSE))</f>
        <v/>
      </c>
      <c r="N3954" s="342" t="str">
        <f t="shared" si="1019"/>
        <v/>
      </c>
      <c r="R3954" s="341"/>
      <c r="S3954" s="341"/>
      <c r="U3954" s="389"/>
    </row>
    <row r="3955" spans="1:21" ht="12.75" customHeight="1">
      <c r="A3955" s="385"/>
      <c r="B3955" s="386"/>
      <c r="C3955" s="20"/>
      <c r="D3955" s="342"/>
      <c r="E3955" s="387"/>
      <c r="F3955" s="388">
        <f t="shared" si="1020"/>
        <v>0</v>
      </c>
      <c r="H3955" s="341" t="str">
        <f>IF(A3955="","",VLOOKUP(A3955,VII.A!$A$10:$D$199,4,FALSE))</f>
        <v/>
      </c>
      <c r="I3955" s="341" t="str">
        <f t="shared" si="1017"/>
        <v/>
      </c>
      <c r="J3955" s="341" t="str">
        <f>IF(A3955="","",VLOOKUP(A3955,VII.A!$A$10:$D$199,3,FALSE))</f>
        <v/>
      </c>
      <c r="K3955" s="342" t="str">
        <f t="shared" si="1018"/>
        <v/>
      </c>
      <c r="L3955" s="380" t="str">
        <f>IF(C3955="","",G3947*C3955)</f>
        <v/>
      </c>
      <c r="M3955" s="381" t="str">
        <f>IF(A3955="","",VLOOKUP(A3955,VII.A!$A$10:$B$199,2,FALSE))</f>
        <v/>
      </c>
      <c r="N3955" s="342" t="str">
        <f t="shared" si="1019"/>
        <v/>
      </c>
      <c r="R3955" s="341"/>
      <c r="S3955" s="341"/>
    </row>
    <row r="3956" spans="1:21" ht="12.75" customHeight="1">
      <c r="A3956" s="385"/>
      <c r="B3956" s="386"/>
      <c r="C3956" s="20"/>
      <c r="D3956" s="342"/>
      <c r="E3956" s="387"/>
      <c r="F3956" s="388">
        <f t="shared" si="1020"/>
        <v>0</v>
      </c>
      <c r="G3956" s="390"/>
      <c r="H3956" s="341" t="str">
        <f>IF(A3956="","",VLOOKUP(A3956,VII.A!$A$10:$D$199,4,FALSE))</f>
        <v/>
      </c>
      <c r="I3956" s="341" t="str">
        <f t="shared" si="1017"/>
        <v/>
      </c>
      <c r="J3956" s="341" t="str">
        <f>IF(A3956="","",VLOOKUP(A3956,VII.A!$A$10:$D$199,3,FALSE))</f>
        <v/>
      </c>
      <c r="K3956" s="342" t="str">
        <f t="shared" si="1018"/>
        <v/>
      </c>
      <c r="L3956" s="380" t="str">
        <f>IF(C3956="","",G3947*C3956)</f>
        <v/>
      </c>
      <c r="M3956" s="381" t="str">
        <f>IF(A3956="","",VLOOKUP(A3956,VII.A!$A$10:$B$199,2,FALSE))</f>
        <v/>
      </c>
      <c r="N3956" s="342" t="str">
        <f t="shared" si="1019"/>
        <v/>
      </c>
      <c r="R3956" s="341"/>
      <c r="S3956" s="341"/>
    </row>
    <row r="3957" spans="1:21" ht="12.75" customHeight="1">
      <c r="A3957" s="385"/>
      <c r="B3957" s="386"/>
      <c r="C3957" s="20"/>
      <c r="D3957" s="342"/>
      <c r="E3957" s="387"/>
      <c r="F3957" s="388">
        <f t="shared" si="1020"/>
        <v>0</v>
      </c>
      <c r="G3957" s="390"/>
      <c r="H3957" s="341" t="str">
        <f>IF(A3957="","",VLOOKUP(A3957,VII.A!$A$10:$D$199,4,FALSE))</f>
        <v/>
      </c>
      <c r="I3957" s="341" t="str">
        <f t="shared" si="1017"/>
        <v/>
      </c>
      <c r="J3957" s="341" t="str">
        <f>IF(A3957="","",VLOOKUP(A3957,VII.A!$A$10:$D$199,3,FALSE))</f>
        <v/>
      </c>
      <c r="K3957" s="342" t="str">
        <f t="shared" si="1018"/>
        <v/>
      </c>
      <c r="L3957" s="380" t="str">
        <f>IF(C3957="","",G3947*C3957)</f>
        <v/>
      </c>
      <c r="M3957" s="381" t="str">
        <f>IF(A3957="","",VLOOKUP(A3957,VII.A!$A$10:$B$199,2,FALSE))</f>
        <v/>
      </c>
      <c r="N3957" s="342" t="str">
        <f t="shared" si="1019"/>
        <v/>
      </c>
      <c r="R3957" s="341"/>
      <c r="S3957" s="341"/>
    </row>
    <row r="3958" spans="1:21" ht="12.75" customHeight="1">
      <c r="A3958" s="385"/>
      <c r="B3958" s="386"/>
      <c r="C3958" s="20"/>
      <c r="D3958" s="342"/>
      <c r="E3958" s="387"/>
      <c r="F3958" s="388">
        <f t="shared" si="1020"/>
        <v>0</v>
      </c>
      <c r="G3958" s="391"/>
      <c r="H3958" s="341" t="str">
        <f>IF(A3958="","",VLOOKUP(A3958,VII.A!$A$10:$D$199,4,FALSE))</f>
        <v/>
      </c>
      <c r="I3958" s="341" t="str">
        <f t="shared" si="1017"/>
        <v/>
      </c>
      <c r="J3958" s="341" t="str">
        <f>IF(A3958="","",VLOOKUP(A3958,VII.A!$A$10:$D$199,3,FALSE))</f>
        <v/>
      </c>
      <c r="K3958" s="342" t="str">
        <f t="shared" si="1018"/>
        <v/>
      </c>
      <c r="L3958" s="380" t="str">
        <f>IF(C3958="","",G3947*C3958)</f>
        <v/>
      </c>
      <c r="M3958" s="381" t="str">
        <f>IF(A3958="","",VLOOKUP(A3958,VII.A!$A$10:$B$199,2,FALSE))</f>
        <v/>
      </c>
      <c r="N3958" s="342" t="str">
        <f t="shared" si="1019"/>
        <v/>
      </c>
      <c r="R3958" s="341"/>
      <c r="S3958" s="341"/>
    </row>
    <row r="3959" spans="1:21" ht="12.75" customHeight="1">
      <c r="A3959" s="385"/>
      <c r="B3959" s="386"/>
      <c r="C3959" s="20"/>
      <c r="D3959" s="342"/>
      <c r="E3959" s="387"/>
      <c r="F3959" s="388">
        <f t="shared" si="1020"/>
        <v>0</v>
      </c>
      <c r="H3959" s="341" t="str">
        <f>IF(A3959="","",VLOOKUP(A3959,VII.A!$A$10:$D$199,4,FALSE))</f>
        <v/>
      </c>
      <c r="I3959" s="341" t="str">
        <f t="shared" si="1017"/>
        <v/>
      </c>
      <c r="J3959" s="341" t="str">
        <f>IF(A3959="","",VLOOKUP(A3959,VII.A!$A$10:$D$199,3,FALSE))</f>
        <v/>
      </c>
      <c r="K3959" s="342" t="str">
        <f t="shared" si="1018"/>
        <v/>
      </c>
      <c r="L3959" s="380" t="str">
        <f>IF(C3959="","",G3947*C3959)</f>
        <v/>
      </c>
      <c r="M3959" s="381" t="str">
        <f>IF(A3959="","",VLOOKUP(A3959,VII.A!$A$10:$B$199,2,FALSE))</f>
        <v/>
      </c>
      <c r="N3959" s="342" t="str">
        <f t="shared" si="1019"/>
        <v/>
      </c>
      <c r="R3959" s="341"/>
      <c r="S3959" s="341"/>
    </row>
    <row r="3960" spans="1:21" ht="12.75" customHeight="1">
      <c r="A3960" s="385"/>
      <c r="B3960" s="386"/>
      <c r="C3960" s="20"/>
      <c r="D3960" s="392"/>
      <c r="E3960" s="387"/>
      <c r="F3960" s="388">
        <f t="shared" si="1020"/>
        <v>0</v>
      </c>
      <c r="H3960" s="341" t="str">
        <f>IF(A3960="","",VLOOKUP(A3960,VII.A!$A$10:$D$199,4,FALSE))</f>
        <v/>
      </c>
      <c r="I3960" s="341" t="str">
        <f t="shared" si="1017"/>
        <v/>
      </c>
      <c r="J3960" s="341" t="str">
        <f>IF(A3960="","",VLOOKUP(A3960,VII.A!$A$10:$D$199,3,FALSE))</f>
        <v/>
      </c>
      <c r="K3960" s="342" t="str">
        <f t="shared" si="1018"/>
        <v/>
      </c>
      <c r="L3960" s="380" t="str">
        <f>IF(C3960="","",G3947*C3960)</f>
        <v/>
      </c>
      <c r="M3960" s="381" t="str">
        <f>IF(A3960="","",VLOOKUP(A3960,VII.A!$A$10:$B$199,2,FALSE))</f>
        <v/>
      </c>
      <c r="N3960" s="342" t="str">
        <f t="shared" si="1019"/>
        <v/>
      </c>
      <c r="R3960" s="341"/>
      <c r="S3960" s="341"/>
    </row>
    <row r="3961" spans="1:21" ht="12.75" customHeight="1">
      <c r="A3961" s="385"/>
      <c r="B3961" s="386"/>
      <c r="C3961" s="20"/>
      <c r="D3961" s="392"/>
      <c r="E3961" s="387"/>
      <c r="F3961" s="388">
        <f t="shared" si="1020"/>
        <v>0</v>
      </c>
      <c r="H3961" s="341" t="str">
        <f>IF(A3961="","",VLOOKUP(A3961,VII.A!$A$10:$D$199,4,FALSE))</f>
        <v/>
      </c>
      <c r="I3961" s="341" t="str">
        <f t="shared" si="1017"/>
        <v/>
      </c>
      <c r="J3961" s="341" t="str">
        <f>IF(A3961="","",VLOOKUP(A3961,VII.A!$A$10:$D$199,3,FALSE))</f>
        <v/>
      </c>
      <c r="K3961" s="342" t="str">
        <f t="shared" si="1018"/>
        <v/>
      </c>
      <c r="L3961" s="380" t="str">
        <f>IF(C3961="","",G3947*C3961)</f>
        <v/>
      </c>
      <c r="M3961" s="381" t="str">
        <f>IF(A3961="","",VLOOKUP(A3961,VII.A!$A$10:$B$199,2,FALSE))</f>
        <v/>
      </c>
      <c r="N3961" s="342" t="str">
        <f t="shared" si="1019"/>
        <v/>
      </c>
      <c r="O3961" s="342"/>
      <c r="R3961" s="341"/>
      <c r="S3961" s="341"/>
    </row>
    <row r="3962" spans="1:21" ht="12.75" customHeight="1">
      <c r="A3962" s="385"/>
      <c r="B3962" s="386"/>
      <c r="C3962" s="20"/>
      <c r="D3962" s="392"/>
      <c r="E3962" s="387"/>
      <c r="F3962" s="388">
        <f t="shared" si="1020"/>
        <v>0</v>
      </c>
      <c r="H3962" s="341" t="str">
        <f>IF(A3962="","",VLOOKUP(A3962,VII.A!$A$10:$D$199,4,FALSE))</f>
        <v/>
      </c>
      <c r="I3962" s="341" t="str">
        <f t="shared" si="1017"/>
        <v/>
      </c>
      <c r="J3962" s="341" t="str">
        <f>IF(A3962="","",VLOOKUP(A3962,VII.A!$A$10:$D$199,3,FALSE))</f>
        <v/>
      </c>
      <c r="K3962" s="342" t="str">
        <f t="shared" si="1018"/>
        <v/>
      </c>
      <c r="L3962" s="380" t="str">
        <f>IF(C3962="","",G3947*C3962)</f>
        <v/>
      </c>
      <c r="M3962" s="381" t="str">
        <f>IF(A3962="","",VLOOKUP(A3962,VII.A!$A$10:$B$199,2,FALSE))</f>
        <v/>
      </c>
      <c r="N3962" s="342" t="str">
        <f t="shared" si="1019"/>
        <v/>
      </c>
      <c r="R3962" s="341"/>
      <c r="S3962" s="341"/>
    </row>
    <row r="3963" spans="1:21" ht="12.75" customHeight="1">
      <c r="A3963" s="393"/>
      <c r="C3963" s="20"/>
      <c r="E3963" s="387"/>
      <c r="F3963" s="388">
        <f t="shared" si="1020"/>
        <v>0</v>
      </c>
      <c r="H3963" s="341" t="str">
        <f>IF(A3963="","",VLOOKUP(A3963,VII.A!$A$10:$D$199,4,FALSE))</f>
        <v/>
      </c>
      <c r="I3963" s="341" t="str">
        <f t="shared" si="1017"/>
        <v/>
      </c>
      <c r="J3963" s="341" t="str">
        <f>IF(A3963="","",VLOOKUP(A3963,VII.A!$A$10:$D$199,3,FALSE))</f>
        <v/>
      </c>
      <c r="K3963" s="342" t="str">
        <f t="shared" si="1018"/>
        <v/>
      </c>
      <c r="L3963" s="380" t="str">
        <f>IF(C3963="","",G3947*C3963)</f>
        <v/>
      </c>
      <c r="M3963" s="381" t="str">
        <f>IF(A3963="","",VLOOKUP(A3963,VII.A!$A$10:$B$199,2,FALSE))</f>
        <v/>
      </c>
      <c r="N3963" s="342" t="str">
        <f t="shared" si="1019"/>
        <v/>
      </c>
      <c r="R3963" s="341"/>
      <c r="S3963" s="341"/>
    </row>
    <row r="3964" spans="1:21" ht="12.75" customHeight="1">
      <c r="A3964" s="393"/>
      <c r="C3964" s="20"/>
      <c r="E3964" s="387"/>
      <c r="F3964" s="388">
        <f t="shared" si="1020"/>
        <v>0</v>
      </c>
      <c r="H3964" s="341" t="str">
        <f>IF(A3964="","",VLOOKUP(A3964,VII.A!$A$10:$D$199,4,FALSE))</f>
        <v/>
      </c>
      <c r="I3964" s="341" t="str">
        <f t="shared" si="1017"/>
        <v/>
      </c>
      <c r="J3964" s="341" t="str">
        <f>IF(A3964="","",VLOOKUP(A3964,VII.A!$A$10:$D$199,3,FALSE))</f>
        <v/>
      </c>
      <c r="K3964" s="342" t="str">
        <f t="shared" si="1018"/>
        <v/>
      </c>
      <c r="L3964" s="380" t="str">
        <f>IF(C3964="","",G3947*C3964)</f>
        <v/>
      </c>
      <c r="M3964" s="381" t="str">
        <f>IF(A3964="","",VLOOKUP(A3964,VII.A!$A$10:$B$199,2,FALSE))</f>
        <v/>
      </c>
      <c r="N3964" s="342" t="str">
        <f t="shared" si="1019"/>
        <v/>
      </c>
      <c r="R3964" s="341"/>
      <c r="S3964" s="341"/>
    </row>
    <row r="3965" spans="1:21" ht="12.75" customHeight="1">
      <c r="A3965" s="393"/>
      <c r="B3965" s="395" t="s">
        <v>226</v>
      </c>
      <c r="C3965" s="396"/>
      <c r="D3965" s="397"/>
      <c r="E3965" s="398"/>
      <c r="F3965" s="399">
        <f>SUM(F3949:F3964)</f>
        <v>0</v>
      </c>
      <c r="H3965" s="426" t="s">
        <v>526</v>
      </c>
      <c r="J3965" s="341"/>
      <c r="L3965" s="380"/>
      <c r="M3965" s="381"/>
      <c r="N3965" s="342"/>
      <c r="R3965" s="341"/>
      <c r="S3965" s="341"/>
    </row>
    <row r="3966" spans="1:21" ht="12.75" customHeight="1">
      <c r="A3966" s="393"/>
      <c r="B3966" s="400" t="s">
        <v>53</v>
      </c>
      <c r="C3966" s="2">
        <f>$D$8</f>
        <v>0</v>
      </c>
      <c r="D3966" s="401"/>
      <c r="E3966" s="402"/>
      <c r="F3966" s="403">
        <f>ROUND(F3965*C3966,2)</f>
        <v>0</v>
      </c>
      <c r="H3966" s="426"/>
      <c r="J3966" s="341"/>
      <c r="L3966" s="380"/>
      <c r="M3966" s="381"/>
      <c r="N3966" s="342"/>
      <c r="R3966" s="341"/>
      <c r="S3966" s="341"/>
    </row>
    <row r="3967" spans="1:21" ht="12.75" customHeight="1">
      <c r="A3967" s="404"/>
      <c r="B3967" s="405" t="s">
        <v>227</v>
      </c>
      <c r="C3967" s="406"/>
      <c r="D3967" s="406"/>
      <c r="E3967" s="407"/>
      <c r="F3967" s="408">
        <f>F3965+F3966</f>
        <v>0</v>
      </c>
      <c r="J3967" s="341"/>
      <c r="L3967" s="380"/>
      <c r="M3967" s="381"/>
      <c r="N3967" s="342"/>
      <c r="R3967" s="341"/>
      <c r="S3967" s="341"/>
    </row>
    <row r="3968" spans="1:21" ht="12.75" customHeight="1">
      <c r="A3968" s="374" t="s">
        <v>2</v>
      </c>
      <c r="B3968" s="375" t="s">
        <v>235</v>
      </c>
      <c r="C3968" s="376" t="s">
        <v>231</v>
      </c>
      <c r="D3968" s="376" t="s">
        <v>232</v>
      </c>
      <c r="E3968" s="377" t="s">
        <v>233</v>
      </c>
      <c r="F3968" s="378" t="s">
        <v>234</v>
      </c>
      <c r="J3968" s="341"/>
      <c r="L3968" s="380"/>
      <c r="M3968" s="381"/>
      <c r="N3968" s="342"/>
      <c r="R3968" s="341"/>
      <c r="S3968" s="341"/>
    </row>
    <row r="3969" spans="1:19" ht="12.75" customHeight="1">
      <c r="A3969" s="393"/>
      <c r="B3969" s="423"/>
      <c r="C3969" s="20"/>
      <c r="E3969" s="387"/>
      <c r="F3969" s="388">
        <f t="shared" ref="F3969:F3978" si="1021">ROUND(C3969*E3969,2)</f>
        <v>0</v>
      </c>
      <c r="H3969" s="341" t="str">
        <f>IF(A3969="","",VLOOKUP(A3969,VII.A!$A$10:$D$199,4,FALSE))</f>
        <v/>
      </c>
      <c r="I3969" s="341" t="str">
        <f t="shared" ref="I3969:I3978" si="1022">IF(A3969="","",IF(E3969=H3969,"SIM","NÃO"))</f>
        <v/>
      </c>
      <c r="J3969" s="341" t="str">
        <f>IF(A3969="","",VLOOKUP(A3969,VII.A!$A$10:$D$199,3,FALSE))</f>
        <v/>
      </c>
      <c r="K3969" s="342" t="str">
        <f t="shared" ref="K3969:K3978" si="1023">IF(A3969="","",IF(J3969=D3969,"SIM","NÃO"))</f>
        <v/>
      </c>
      <c r="L3969" s="380" t="str">
        <f>IF(C3969="","",G3947*C3969)</f>
        <v/>
      </c>
      <c r="M3969" s="381" t="str">
        <f>IF(A3969="","",VLOOKUP(A3969,VII.A!$A$10:$B$199,2,FALSE))</f>
        <v/>
      </c>
      <c r="N3969" s="342" t="str">
        <f t="shared" ref="N3969:N3978" si="1024">IF(B3969="","",IF(M3969=B3969,"si","no"))</f>
        <v/>
      </c>
      <c r="R3969" s="341"/>
      <c r="S3969" s="341"/>
    </row>
    <row r="3970" spans="1:19" ht="12.75" customHeight="1">
      <c r="A3970" s="393"/>
      <c r="C3970" s="20"/>
      <c r="E3970" s="387"/>
      <c r="F3970" s="388">
        <f t="shared" si="1021"/>
        <v>0</v>
      </c>
      <c r="H3970" s="341" t="str">
        <f>IF(A3970="","",VLOOKUP(A3970,VII.A!$A$10:$D$199,4,FALSE))</f>
        <v/>
      </c>
      <c r="I3970" s="341" t="str">
        <f t="shared" si="1022"/>
        <v/>
      </c>
      <c r="J3970" s="341" t="str">
        <f>IF(A3970="","",VLOOKUP(A3970,VII.A!$A$10:$D$199,3,FALSE))</f>
        <v/>
      </c>
      <c r="K3970" s="342" t="str">
        <f t="shared" si="1023"/>
        <v/>
      </c>
      <c r="L3970" s="380" t="str">
        <f>IF(C3970="","",G3947*C3970)</f>
        <v/>
      </c>
      <c r="M3970" s="381" t="str">
        <f>IF(A3970="","",VLOOKUP(A3970,VII.A!$A$10:$B$199,2,FALSE))</f>
        <v/>
      </c>
      <c r="N3970" s="342" t="str">
        <f t="shared" si="1024"/>
        <v/>
      </c>
      <c r="R3970" s="341"/>
      <c r="S3970" s="341"/>
    </row>
    <row r="3971" spans="1:19" ht="12.75" customHeight="1">
      <c r="A3971" s="393"/>
      <c r="C3971" s="20"/>
      <c r="E3971" s="387"/>
      <c r="F3971" s="388">
        <f t="shared" si="1021"/>
        <v>0</v>
      </c>
      <c r="H3971" s="341" t="str">
        <f>IF(A3971="","",VLOOKUP(A3971,VII.A!$A$10:$D$199,4,FALSE))</f>
        <v/>
      </c>
      <c r="I3971" s="341" t="str">
        <f t="shared" si="1022"/>
        <v/>
      </c>
      <c r="J3971" s="341" t="str">
        <f>IF(A3971="","",VLOOKUP(A3971,VII.A!$A$10:$D$199,3,FALSE))</f>
        <v/>
      </c>
      <c r="K3971" s="342" t="str">
        <f t="shared" si="1023"/>
        <v/>
      </c>
      <c r="L3971" s="380" t="str">
        <f>IF(C3971="","",G3947*C3971)</f>
        <v/>
      </c>
      <c r="M3971" s="381" t="str">
        <f>IF(A3971="","",VLOOKUP(A3971,VII.A!$A$10:$B$199,2,FALSE))</f>
        <v/>
      </c>
      <c r="N3971" s="342" t="str">
        <f t="shared" si="1024"/>
        <v/>
      </c>
      <c r="R3971" s="341"/>
      <c r="S3971" s="341"/>
    </row>
    <row r="3972" spans="1:19" ht="12.75" customHeight="1">
      <c r="A3972" s="393"/>
      <c r="C3972" s="20"/>
      <c r="E3972" s="387"/>
      <c r="F3972" s="388">
        <f t="shared" si="1021"/>
        <v>0</v>
      </c>
      <c r="H3972" s="341" t="str">
        <f>IF(A3972="","",VLOOKUP(A3972,VII.A!$A$10:$D$199,4,FALSE))</f>
        <v/>
      </c>
      <c r="I3972" s="341" t="str">
        <f t="shared" si="1022"/>
        <v/>
      </c>
      <c r="J3972" s="341" t="str">
        <f>IF(A3972="","",VLOOKUP(A3972,VII.A!$A$10:$D$199,3,FALSE))</f>
        <v/>
      </c>
      <c r="K3972" s="342" t="str">
        <f t="shared" si="1023"/>
        <v/>
      </c>
      <c r="L3972" s="380" t="str">
        <f>IF(C3972="","",G3947*C3972)</f>
        <v/>
      </c>
      <c r="M3972" s="381" t="str">
        <f>IF(A3972="","",VLOOKUP(A3972,VII.A!$A$10:$B$199,2,FALSE))</f>
        <v/>
      </c>
      <c r="N3972" s="342" t="str">
        <f t="shared" si="1024"/>
        <v/>
      </c>
      <c r="R3972" s="341"/>
      <c r="S3972" s="341"/>
    </row>
    <row r="3973" spans="1:19" ht="12.75" customHeight="1">
      <c r="A3973" s="393"/>
      <c r="C3973" s="20"/>
      <c r="E3973" s="387"/>
      <c r="F3973" s="388">
        <f t="shared" si="1021"/>
        <v>0</v>
      </c>
      <c r="G3973" s="390"/>
      <c r="H3973" s="341" t="str">
        <f>IF(A3973="","",VLOOKUP(A3973,VII.A!$A$10:$D$199,4,FALSE))</f>
        <v/>
      </c>
      <c r="I3973" s="341" t="str">
        <f t="shared" si="1022"/>
        <v/>
      </c>
      <c r="J3973" s="341" t="str">
        <f>IF(A3973="","",VLOOKUP(A3973,VII.A!$A$10:$D$199,3,FALSE))</f>
        <v/>
      </c>
      <c r="K3973" s="342" t="str">
        <f t="shared" si="1023"/>
        <v/>
      </c>
      <c r="L3973" s="380" t="str">
        <f>IF(C3973="","",G3947*C3973)</f>
        <v/>
      </c>
      <c r="M3973" s="381" t="str">
        <f>IF(A3973="","",VLOOKUP(A3973,VII.A!$A$10:$B$199,2,FALSE))</f>
        <v/>
      </c>
      <c r="N3973" s="342" t="str">
        <f t="shared" si="1024"/>
        <v/>
      </c>
      <c r="R3973" s="341"/>
      <c r="S3973" s="341"/>
    </row>
    <row r="3974" spans="1:19" ht="12.75" customHeight="1">
      <c r="A3974" s="393"/>
      <c r="C3974" s="20"/>
      <c r="E3974" s="387"/>
      <c r="F3974" s="388">
        <f t="shared" si="1021"/>
        <v>0</v>
      </c>
      <c r="G3974" s="391"/>
      <c r="H3974" s="341" t="str">
        <f>IF(A3974="","",VLOOKUP(A3974,VII.A!$A$10:$D$199,4,FALSE))</f>
        <v/>
      </c>
      <c r="I3974" s="341" t="str">
        <f t="shared" si="1022"/>
        <v/>
      </c>
      <c r="J3974" s="341" t="str">
        <f>IF(A3974="","",VLOOKUP(A3974,VII.A!$A$10:$D$199,3,FALSE))</f>
        <v/>
      </c>
      <c r="K3974" s="342" t="str">
        <f t="shared" si="1023"/>
        <v/>
      </c>
      <c r="L3974" s="380" t="str">
        <f>IF(C3974="","",G3947*C3974)</f>
        <v/>
      </c>
      <c r="M3974" s="381" t="str">
        <f>IF(A3974="","",VLOOKUP(A3974,VII.A!$A$10:$B$199,2,FALSE))</f>
        <v/>
      </c>
      <c r="N3974" s="342" t="str">
        <f t="shared" si="1024"/>
        <v/>
      </c>
      <c r="R3974" s="341"/>
      <c r="S3974" s="341"/>
    </row>
    <row r="3975" spans="1:19" ht="12.75" customHeight="1">
      <c r="A3975" s="393"/>
      <c r="C3975" s="20"/>
      <c r="E3975" s="387"/>
      <c r="F3975" s="388">
        <f t="shared" si="1021"/>
        <v>0</v>
      </c>
      <c r="H3975" s="341" t="str">
        <f>IF(A3975="","",VLOOKUP(A3975,VII.A!$A$10:$D$199,4,FALSE))</f>
        <v/>
      </c>
      <c r="I3975" s="341" t="str">
        <f t="shared" si="1022"/>
        <v/>
      </c>
      <c r="J3975" s="341" t="str">
        <f>IF(A3975="","",VLOOKUP(A3975,VII.A!$A$10:$D$199,3,FALSE))</f>
        <v/>
      </c>
      <c r="K3975" s="342" t="str">
        <f t="shared" si="1023"/>
        <v/>
      </c>
      <c r="L3975" s="380" t="str">
        <f>IF(C3975="","",G3947*C3975)</f>
        <v/>
      </c>
      <c r="M3975" s="381" t="str">
        <f>IF(A3975="","",VLOOKUP(A3975,VII.A!$A$10:$B$199,2,FALSE))</f>
        <v/>
      </c>
      <c r="N3975" s="342" t="str">
        <f t="shared" si="1024"/>
        <v/>
      </c>
      <c r="R3975" s="341"/>
      <c r="S3975" s="341"/>
    </row>
    <row r="3976" spans="1:19" ht="12.75" customHeight="1">
      <c r="A3976" s="393"/>
      <c r="C3976" s="20"/>
      <c r="E3976" s="387"/>
      <c r="F3976" s="388">
        <f t="shared" si="1021"/>
        <v>0</v>
      </c>
      <c r="H3976" s="341" t="str">
        <f>IF(A3976="","",VLOOKUP(A3976,VII.A!$A$10:$D$199,4,FALSE))</f>
        <v/>
      </c>
      <c r="I3976" s="341" t="str">
        <f t="shared" si="1022"/>
        <v/>
      </c>
      <c r="J3976" s="341" t="str">
        <f>IF(A3976="","",VLOOKUP(A3976,VII.A!$A$10:$D$199,3,FALSE))</f>
        <v/>
      </c>
      <c r="K3976" s="342" t="str">
        <f t="shared" si="1023"/>
        <v/>
      </c>
      <c r="L3976" s="380" t="str">
        <f>IF(C3976="","",G3947*C3976)</f>
        <v/>
      </c>
      <c r="M3976" s="381" t="str">
        <f>IF(A3976="","",VLOOKUP(A3976,VII.A!$A$10:$B$199,2,FALSE))</f>
        <v/>
      </c>
      <c r="N3976" s="342" t="str">
        <f t="shared" si="1024"/>
        <v/>
      </c>
      <c r="R3976" s="341"/>
      <c r="S3976" s="341"/>
    </row>
    <row r="3977" spans="1:19" ht="12.75" customHeight="1">
      <c r="A3977" s="393"/>
      <c r="C3977" s="20"/>
      <c r="E3977" s="387"/>
      <c r="F3977" s="388">
        <f t="shared" si="1021"/>
        <v>0</v>
      </c>
      <c r="H3977" s="341" t="str">
        <f>IF(A3977="","",VLOOKUP(A3977,VII.A!$A$10:$D$199,4,FALSE))</f>
        <v/>
      </c>
      <c r="I3977" s="341" t="str">
        <f t="shared" si="1022"/>
        <v/>
      </c>
      <c r="J3977" s="341" t="str">
        <f>IF(A3977="","",VLOOKUP(A3977,VII.A!$A$10:$D$199,3,FALSE))</f>
        <v/>
      </c>
      <c r="K3977" s="342" t="str">
        <f t="shared" si="1023"/>
        <v/>
      </c>
      <c r="L3977" s="380" t="str">
        <f>IF(C3977="","",G3947*C3977)</f>
        <v/>
      </c>
      <c r="M3977" s="381" t="str">
        <f>IF(A3977="","",VLOOKUP(A3977,VII.A!$A$10:$B$199,2,FALSE))</f>
        <v/>
      </c>
      <c r="N3977" s="342" t="str">
        <f t="shared" si="1024"/>
        <v/>
      </c>
      <c r="R3977" s="341"/>
      <c r="S3977" s="341"/>
    </row>
    <row r="3978" spans="1:19" ht="12.75" customHeight="1">
      <c r="A3978" s="393"/>
      <c r="C3978" s="20"/>
      <c r="E3978" s="387"/>
      <c r="F3978" s="388">
        <f t="shared" si="1021"/>
        <v>0</v>
      </c>
      <c r="H3978" s="341" t="str">
        <f>IF(A3978="","",VLOOKUP(A3978,VII.A!$A$10:$D$199,4,FALSE))</f>
        <v/>
      </c>
      <c r="I3978" s="341" t="str">
        <f t="shared" si="1022"/>
        <v/>
      </c>
      <c r="J3978" s="341" t="str">
        <f>IF(A3978="","",VLOOKUP(A3978,VII.A!$A$10:$D$199,3,FALSE))</f>
        <v/>
      </c>
      <c r="K3978" s="342" t="str">
        <f t="shared" si="1023"/>
        <v/>
      </c>
      <c r="L3978" s="380" t="str">
        <f>IF(C3978="","",G3947*C3978)</f>
        <v/>
      </c>
      <c r="M3978" s="381" t="str">
        <f>IF(A3978="","",VLOOKUP(A3978,VII.A!$A$10:$B$199,2,FALSE))</f>
        <v/>
      </c>
      <c r="N3978" s="342" t="str">
        <f t="shared" si="1024"/>
        <v/>
      </c>
      <c r="R3978" s="341"/>
      <c r="S3978" s="341"/>
    </row>
    <row r="3979" spans="1:19" ht="12.75" customHeight="1">
      <c r="A3979" s="393"/>
      <c r="B3979" s="395" t="s">
        <v>226</v>
      </c>
      <c r="C3979" s="396"/>
      <c r="D3979" s="397"/>
      <c r="E3979" s="398"/>
      <c r="F3979" s="399">
        <f>SUM(F3969:F3978)</f>
        <v>0</v>
      </c>
      <c r="J3979" s="341"/>
      <c r="L3979" s="380"/>
      <c r="M3979" s="381"/>
      <c r="N3979" s="342"/>
      <c r="R3979" s="341"/>
      <c r="S3979" s="341"/>
    </row>
    <row r="3980" spans="1:19" ht="12.75" customHeight="1">
      <c r="A3980" s="393"/>
      <c r="B3980" s="400" t="s">
        <v>53</v>
      </c>
      <c r="C3980" s="2">
        <f>$D$8</f>
        <v>0</v>
      </c>
      <c r="D3980" s="401"/>
      <c r="E3980" s="402"/>
      <c r="F3980" s="403">
        <f>ROUND(C3980*F3979,2)</f>
        <v>0</v>
      </c>
      <c r="J3980" s="341"/>
      <c r="L3980" s="380"/>
      <c r="M3980" s="381"/>
      <c r="N3980" s="342"/>
      <c r="R3980" s="341"/>
      <c r="S3980" s="341"/>
    </row>
    <row r="3981" spans="1:19" ht="12.75" customHeight="1">
      <c r="A3981" s="404"/>
      <c r="B3981" s="405" t="s">
        <v>228</v>
      </c>
      <c r="C3981" s="406"/>
      <c r="D3981" s="406"/>
      <c r="E3981" s="407"/>
      <c r="F3981" s="408">
        <f>F3979+F3980</f>
        <v>0</v>
      </c>
      <c r="J3981" s="341"/>
      <c r="L3981" s="380"/>
      <c r="M3981" s="381"/>
      <c r="N3981" s="342"/>
      <c r="R3981" s="341"/>
      <c r="S3981" s="341"/>
    </row>
    <row r="3982" spans="1:19" ht="12.75" customHeight="1">
      <c r="A3982" s="409" t="s">
        <v>47</v>
      </c>
      <c r="B3982" s="410" t="s">
        <v>236</v>
      </c>
      <c r="C3982" s="411" t="s">
        <v>231</v>
      </c>
      <c r="D3982" s="412" t="s">
        <v>232</v>
      </c>
      <c r="E3982" s="413" t="s">
        <v>233</v>
      </c>
      <c r="F3982" s="378" t="s">
        <v>234</v>
      </c>
      <c r="J3982" s="341"/>
      <c r="L3982" s="380"/>
      <c r="M3982" s="381"/>
      <c r="N3982" s="342"/>
      <c r="R3982" s="341"/>
      <c r="S3982" s="341"/>
    </row>
    <row r="3983" spans="1:19" ht="12.75" customHeight="1">
      <c r="A3983" s="393" t="str">
        <f>VII.A!$A$181</f>
        <v>3.1</v>
      </c>
      <c r="B3983" s="394" t="str">
        <f>VII.A!B181</f>
        <v>AJUDANTE COM ENCARGOS COMPLEMENTARES</v>
      </c>
      <c r="C3983" s="20">
        <v>0.38</v>
      </c>
      <c r="D3983" s="384" t="str">
        <f>VII.A!C181</f>
        <v>H</v>
      </c>
      <c r="E3983" s="387">
        <f>VII.A!D181</f>
        <v>0</v>
      </c>
      <c r="F3983" s="388">
        <f t="shared" ref="F3983:F3989" si="1025">ROUND(C3983*E3983,2)</f>
        <v>0</v>
      </c>
      <c r="H3983" s="341">
        <f>IF(A3983="","",VLOOKUP(A3983,VII.A!$A$10:$D$199,4,FALSE))</f>
        <v>0</v>
      </c>
      <c r="I3983" s="341" t="str">
        <f t="shared" ref="I3983:I3989" si="1026">IF(A3983="","",IF(E3983=H3983,"SIM","NÃO"))</f>
        <v>SIM</v>
      </c>
      <c r="J3983" s="341" t="str">
        <f>IF(A3983="","",VLOOKUP(A3983,VII.A!$A$10:$D$199,3,FALSE))</f>
        <v>H</v>
      </c>
      <c r="K3983" s="342" t="str">
        <f t="shared" ref="K3983:K3989" si="1027">IF(A3983="","",IF(J3983=D3983,"SIM","NÃO"))</f>
        <v>SIM</v>
      </c>
      <c r="L3983" s="380">
        <f>IF(C3983="","",G3947*C3983)</f>
        <v>11.4</v>
      </c>
      <c r="M3983" s="381" t="str">
        <f>IF(A3983="","",VLOOKUP(A3983,VII.A!$A$10:$B$199,2,FALSE))</f>
        <v>AJUDANTE COM ENCARGOS COMPLEMENTARES</v>
      </c>
      <c r="N3983" s="342" t="str">
        <f t="shared" ref="N3983:N3989" si="1028">IF(B3983="","",IF(M3983=B3983,"si","no"))</f>
        <v>si</v>
      </c>
      <c r="R3983" s="341"/>
      <c r="S3983" s="341"/>
    </row>
    <row r="3984" spans="1:19" ht="12.75" customHeight="1">
      <c r="A3984" s="393" t="str">
        <f>VII.A!$A$187</f>
        <v>3.7</v>
      </c>
      <c r="B3984" s="394" t="str">
        <f>VII.A!B187</f>
        <v>ENCANADOR COM ENCARGOS COMPLEMENTARES</v>
      </c>
      <c r="C3984" s="20">
        <v>0.38</v>
      </c>
      <c r="D3984" s="384" t="str">
        <f>VII.A!C187</f>
        <v>H</v>
      </c>
      <c r="E3984" s="387">
        <f>VII.A!D187</f>
        <v>0</v>
      </c>
      <c r="F3984" s="388">
        <f t="shared" si="1025"/>
        <v>0</v>
      </c>
      <c r="H3984" s="341">
        <f>IF(A3984="","",VLOOKUP(A3984,VII.A!$A$10:$D$199,4,FALSE))</f>
        <v>0</v>
      </c>
      <c r="I3984" s="341" t="str">
        <f t="shared" si="1026"/>
        <v>SIM</v>
      </c>
      <c r="J3984" s="341" t="str">
        <f>IF(A3984="","",VLOOKUP(A3984,VII.A!$A$10:$D$199,3,FALSE))</f>
        <v>H</v>
      </c>
      <c r="K3984" s="342" t="str">
        <f t="shared" si="1027"/>
        <v>SIM</v>
      </c>
      <c r="L3984" s="380">
        <f>IF(C3984="","",G3947*C3984)</f>
        <v>11.4</v>
      </c>
      <c r="M3984" s="381" t="str">
        <f>IF(A3984="","",VLOOKUP(A3984,VII.A!$A$10:$B$199,2,FALSE))</f>
        <v>ENCANADOR COM ENCARGOS COMPLEMENTARES</v>
      </c>
      <c r="N3984" s="342" t="str">
        <f t="shared" si="1028"/>
        <v>si</v>
      </c>
      <c r="R3984" s="341"/>
      <c r="S3984" s="341"/>
    </row>
    <row r="3985" spans="1:25" ht="12.75" customHeight="1">
      <c r="A3985" s="393"/>
      <c r="C3985" s="20"/>
      <c r="E3985" s="387"/>
      <c r="F3985" s="388">
        <f t="shared" si="1025"/>
        <v>0</v>
      </c>
      <c r="H3985" s="341" t="str">
        <f>IF(A3985="","",VLOOKUP(A3985,VII.A!$A$10:$D$199,4,FALSE))</f>
        <v/>
      </c>
      <c r="I3985" s="341" t="str">
        <f t="shared" si="1026"/>
        <v/>
      </c>
      <c r="J3985" s="341" t="str">
        <f>IF(A3985="","",VLOOKUP(A3985,VII.A!$A$10:$D$199,3,FALSE))</f>
        <v/>
      </c>
      <c r="K3985" s="342" t="str">
        <f t="shared" si="1027"/>
        <v/>
      </c>
      <c r="L3985" s="380" t="str">
        <f>IF(C3985="","",G3947*C3985)</f>
        <v/>
      </c>
      <c r="M3985" s="381" t="str">
        <f>IF(A3985="","",VLOOKUP(A3985,VII.A!$A$10:$B$199,2,FALSE))</f>
        <v/>
      </c>
      <c r="N3985" s="342" t="str">
        <f t="shared" si="1028"/>
        <v/>
      </c>
      <c r="R3985" s="341"/>
      <c r="S3985" s="341"/>
    </row>
    <row r="3986" spans="1:25" ht="12.75" customHeight="1">
      <c r="A3986" s="393"/>
      <c r="C3986" s="20"/>
      <c r="E3986" s="387"/>
      <c r="F3986" s="388">
        <f t="shared" si="1025"/>
        <v>0</v>
      </c>
      <c r="H3986" s="341" t="str">
        <f>IF(A3986="","",VLOOKUP(A3986,VII.A!$A$10:$D$199,4,FALSE))</f>
        <v/>
      </c>
      <c r="I3986" s="341" t="str">
        <f t="shared" si="1026"/>
        <v/>
      </c>
      <c r="J3986" s="341" t="str">
        <f>IF(A3986="","",VLOOKUP(A3986,VII.A!$A$10:$D$199,3,FALSE))</f>
        <v/>
      </c>
      <c r="K3986" s="342" t="str">
        <f t="shared" si="1027"/>
        <v/>
      </c>
      <c r="L3986" s="380" t="str">
        <f>IF(C3986="","",G3947*C3986)</f>
        <v/>
      </c>
      <c r="M3986" s="381" t="str">
        <f>IF(A3986="","",VLOOKUP(A3986,VII.A!$A$10:$B$199,2,FALSE))</f>
        <v/>
      </c>
      <c r="N3986" s="342" t="str">
        <f t="shared" si="1028"/>
        <v/>
      </c>
      <c r="R3986" s="341"/>
      <c r="S3986" s="341"/>
    </row>
    <row r="3987" spans="1:25" ht="12.75" customHeight="1">
      <c r="A3987" s="393"/>
      <c r="C3987" s="20"/>
      <c r="E3987" s="387"/>
      <c r="F3987" s="388">
        <f t="shared" si="1025"/>
        <v>0</v>
      </c>
      <c r="H3987" s="341" t="str">
        <f>IF(A3987="","",VLOOKUP(A3987,VII.A!$A$10:$D$199,4,FALSE))</f>
        <v/>
      </c>
      <c r="I3987" s="341" t="str">
        <f t="shared" si="1026"/>
        <v/>
      </c>
      <c r="J3987" s="341" t="str">
        <f>IF(A3987="","",VLOOKUP(A3987,VII.A!$A$10:$D$199,3,FALSE))</f>
        <v/>
      </c>
      <c r="K3987" s="342" t="str">
        <f t="shared" si="1027"/>
        <v/>
      </c>
      <c r="L3987" s="380" t="str">
        <f>IF(C3987="","",G3947*C3987)</f>
        <v/>
      </c>
      <c r="M3987" s="381" t="str">
        <f>IF(A3987="","",VLOOKUP(A3987,VII.A!$A$10:$B$199,2,FALSE))</f>
        <v/>
      </c>
      <c r="N3987" s="342" t="str">
        <f t="shared" si="1028"/>
        <v/>
      </c>
      <c r="R3987" s="341"/>
      <c r="S3987" s="341"/>
    </row>
    <row r="3988" spans="1:25" ht="12.75" customHeight="1">
      <c r="A3988" s="393"/>
      <c r="C3988" s="20"/>
      <c r="E3988" s="387"/>
      <c r="F3988" s="388">
        <f t="shared" si="1025"/>
        <v>0</v>
      </c>
      <c r="H3988" s="341" t="str">
        <f>IF(A3988="","",VLOOKUP(A3988,VII.A!$A$10:$D$199,4,FALSE))</f>
        <v/>
      </c>
      <c r="I3988" s="341" t="str">
        <f t="shared" si="1026"/>
        <v/>
      </c>
      <c r="J3988" s="341" t="str">
        <f>IF(A3988="","",VLOOKUP(A3988,VII.A!$A$10:$D$199,3,FALSE))</f>
        <v/>
      </c>
      <c r="K3988" s="342" t="str">
        <f t="shared" si="1027"/>
        <v/>
      </c>
      <c r="L3988" s="380" t="str">
        <f>IF(C3988="","",G3947*C3988)</f>
        <v/>
      </c>
      <c r="M3988" s="381" t="str">
        <f>IF(A3988="","",VLOOKUP(A3988,VII.A!$A$10:$B$199,2,FALSE))</f>
        <v/>
      </c>
      <c r="N3988" s="342" t="str">
        <f t="shared" si="1028"/>
        <v/>
      </c>
      <c r="R3988" s="341"/>
      <c r="S3988" s="341"/>
    </row>
    <row r="3989" spans="1:25" ht="12.75" customHeight="1">
      <c r="A3989" s="393"/>
      <c r="C3989" s="20"/>
      <c r="E3989" s="387"/>
      <c r="F3989" s="388">
        <f t="shared" si="1025"/>
        <v>0</v>
      </c>
      <c r="H3989" s="341" t="str">
        <f>IF(A3989="","",VLOOKUP(A3989,VII.A!$A$10:$D$199,4,FALSE))</f>
        <v/>
      </c>
      <c r="I3989" s="341" t="str">
        <f t="shared" si="1026"/>
        <v/>
      </c>
      <c r="J3989" s="341" t="str">
        <f>IF(A3989="","",VLOOKUP(A3989,VII.A!$A$10:$D$199,3,FALSE))</f>
        <v/>
      </c>
      <c r="K3989" s="342" t="str">
        <f t="shared" si="1027"/>
        <v/>
      </c>
      <c r="L3989" s="380" t="str">
        <f>IF(C3989="","",G3947*C3989)</f>
        <v/>
      </c>
      <c r="M3989" s="381" t="str">
        <f>IF(A3989="","",VLOOKUP(A3989,VII.A!$A$10:$B$199,2,FALSE))</f>
        <v/>
      </c>
      <c r="N3989" s="342" t="str">
        <f t="shared" si="1028"/>
        <v/>
      </c>
      <c r="R3989" s="341"/>
      <c r="S3989" s="341"/>
    </row>
    <row r="3990" spans="1:25" ht="12.75" customHeight="1">
      <c r="A3990" s="393"/>
      <c r="B3990" s="395" t="s">
        <v>226</v>
      </c>
      <c r="C3990" s="396"/>
      <c r="D3990" s="397"/>
      <c r="E3990" s="398"/>
      <c r="F3990" s="399">
        <f>SUM(F3983:F3989)</f>
        <v>0</v>
      </c>
      <c r="J3990" s="341"/>
      <c r="L3990" s="380"/>
      <c r="M3990" s="381"/>
      <c r="N3990" s="342"/>
      <c r="R3990" s="341"/>
      <c r="S3990" s="341"/>
    </row>
    <row r="3991" spans="1:25" ht="12.75" customHeight="1">
      <c r="A3991" s="393"/>
      <c r="B3991" s="400" t="s">
        <v>229</v>
      </c>
      <c r="C3991" s="2">
        <f>IX.A!$C$45</f>
        <v>0</v>
      </c>
      <c r="D3991" s="401"/>
      <c r="E3991" s="402"/>
      <c r="F3991" s="403">
        <f>ROUND(F3990*C3991,2)</f>
        <v>0</v>
      </c>
      <c r="J3991" s="341"/>
      <c r="L3991" s="380"/>
      <c r="M3991" s="381"/>
      <c r="N3991" s="342"/>
      <c r="R3991" s="341"/>
      <c r="S3991" s="341"/>
    </row>
    <row r="3992" spans="1:25" ht="12.75" customHeight="1">
      <c r="A3992" s="393"/>
      <c r="B3992" s="400" t="s">
        <v>53</v>
      </c>
      <c r="C3992" s="2">
        <f>$D$8</f>
        <v>0</v>
      </c>
      <c r="D3992" s="401"/>
      <c r="E3992" s="402"/>
      <c r="F3992" s="403">
        <f>ROUND(SUM(F3990:F3991)*C3992,2)</f>
        <v>0</v>
      </c>
      <c r="J3992" s="341"/>
      <c r="L3992" s="380"/>
      <c r="M3992" s="381"/>
      <c r="N3992" s="342"/>
      <c r="R3992" s="341"/>
      <c r="S3992" s="341"/>
    </row>
    <row r="3993" spans="1:25" ht="12.75" customHeight="1" thickBot="1">
      <c r="A3993" s="414"/>
      <c r="B3993" s="415" t="s">
        <v>230</v>
      </c>
      <c r="C3993" s="416"/>
      <c r="D3993" s="416"/>
      <c r="E3993" s="417"/>
      <c r="F3993" s="418">
        <f>SUM(F3990:F3992)</f>
        <v>0</v>
      </c>
      <c r="J3993" s="341"/>
      <c r="L3993" s="380"/>
      <c r="M3993" s="381"/>
      <c r="N3993" s="342"/>
      <c r="R3993" s="341"/>
      <c r="S3993" s="341"/>
    </row>
    <row r="3994" spans="1:25" ht="12.75" customHeight="1" thickBot="1">
      <c r="A3994" s="427"/>
      <c r="B3994" s="428"/>
      <c r="C3994" s="429"/>
      <c r="D3994" s="429"/>
      <c r="E3994" s="430"/>
      <c r="F3994" s="431"/>
      <c r="J3994" s="341"/>
      <c r="L3994" s="380"/>
      <c r="M3994" s="381"/>
      <c r="N3994" s="342"/>
      <c r="R3994" s="341"/>
      <c r="S3994" s="341"/>
    </row>
    <row r="3995" spans="1:25" ht="30" customHeight="1">
      <c r="A3995" s="370" t="str">
        <f>IV.A!A122</f>
        <v>4.9</v>
      </c>
      <c r="B3995" s="371" t="str">
        <f>IV.A!B122</f>
        <v>TUBO EM PVC RÍGIDO BRANCO, SÉRIE NORMAL, INCLUSIVE CONEXÕES, DN =  100 MM</v>
      </c>
      <c r="C3995" s="871" t="s">
        <v>237</v>
      </c>
      <c r="D3995" s="872"/>
      <c r="E3995" s="372" t="str">
        <f>IV.A!C122</f>
        <v>M</v>
      </c>
      <c r="F3995" s="11">
        <f>ROUND(F4015+F4029+F4041,2)</f>
        <v>0</v>
      </c>
      <c r="G3995" s="1">
        <f>VLOOKUP(A3995,IV.A!$A$16:$L$172,4,FALSE)</f>
        <v>150</v>
      </c>
      <c r="H3995" s="361">
        <f>SUM(F3997:F4012)+F4014</f>
        <v>0</v>
      </c>
      <c r="I3995" s="361">
        <f>SUM(F4017:F4026)+F4028</f>
        <v>0</v>
      </c>
      <c r="J3995" s="361">
        <f>SUM(F4031:F4037)+F4039+F4040</f>
        <v>0</v>
      </c>
      <c r="K3995" s="361">
        <f>SUM(H3995:J3995)</f>
        <v>0</v>
      </c>
      <c r="L3995" s="362" t="str">
        <f>IF(K3995=F3995,"SIM","NÃO")</f>
        <v>SIM</v>
      </c>
      <c r="M3995" s="373">
        <f>ROUND(SUM(F3997:F4012),2)+ROUND(SUM(F3997:F4012)*C4014,2)+ROUND(SUM(F4017:F4026)*C4028,2)+ROUND(SUM(F4017:F4026),2)+ROUND(SUM(F4031:F4037)*C4039,2)+ROUND((SUM(F4031:F4037)+ROUND(SUM(F4031:F4037)*C4039,2))*C4040,2)+ROUND(SUM(F4031:F4037),2)</f>
        <v>0</v>
      </c>
      <c r="N3995" s="343" t="str">
        <f>IF(M3995=F3995,"SIM","NÃO")</f>
        <v>SIM</v>
      </c>
      <c r="O3995" s="364" t="str">
        <f>VLOOKUP(A3995,IV.A!$A$16:$E$172,3,FALSE)</f>
        <v>M</v>
      </c>
      <c r="P3995" s="344" t="str">
        <f>IF(O3995=E3995,"SIM","NÃO")</f>
        <v>SIM</v>
      </c>
      <c r="Q3995" s="365">
        <f>ROUND(G3995*F4015,2)+ROUND(G3995*F4029,2)+ROUND(G3995*F4041,2)</f>
        <v>0</v>
      </c>
      <c r="R3995" s="364">
        <f>VLOOKUP(A3995,IV.A!$A$16:$L$172,12,FALSE)</f>
        <v>0</v>
      </c>
      <c r="S3995" s="366" t="str">
        <f>IF(Q3995=R3995,"si","no")</f>
        <v>si</v>
      </c>
      <c r="T3995" s="367">
        <f>SUM(L3997:L4012)+SUM(L4017:L4026)+SUM(L4031:L4037)</f>
        <v>445.89</v>
      </c>
      <c r="U3995" s="341">
        <f>(SUM(C3997:C4012)+SUM(C4017:C4026)+SUM(C4031:C4037))*G3995</f>
        <v>445.89</v>
      </c>
      <c r="V3995" s="368" t="str">
        <f>IF(T3995=U3995,"si","no")</f>
        <v>si</v>
      </c>
      <c r="W3995" s="369">
        <f>SUM(F3997:F4012)</f>
        <v>0</v>
      </c>
      <c r="X3995" s="369">
        <f>SUM(F4017:F4026)</f>
        <v>0</v>
      </c>
      <c r="Y3995" s="369">
        <f>SUM(F4031:F4037)</f>
        <v>0</v>
      </c>
    </row>
    <row r="3996" spans="1:25" ht="12.75" customHeight="1">
      <c r="A3996" s="374" t="s">
        <v>14</v>
      </c>
      <c r="B3996" s="375" t="s">
        <v>132</v>
      </c>
      <c r="C3996" s="376" t="s">
        <v>231</v>
      </c>
      <c r="D3996" s="376" t="s">
        <v>232</v>
      </c>
      <c r="E3996" s="377" t="s">
        <v>233</v>
      </c>
      <c r="F3996" s="378" t="s">
        <v>234</v>
      </c>
      <c r="G3996" s="379"/>
      <c r="J3996" s="341"/>
      <c r="L3996" s="380"/>
      <c r="M3996" s="381"/>
      <c r="N3996" s="342"/>
      <c r="O3996" s="382"/>
      <c r="P3996" s="383"/>
      <c r="Q3996" s="383"/>
      <c r="R3996" s="383"/>
      <c r="S3996" s="383"/>
      <c r="T3996" s="382"/>
      <c r="U3996" s="341"/>
      <c r="V3996" s="384"/>
      <c r="W3996" s="384"/>
      <c r="X3996" s="384"/>
      <c r="Y3996" s="384"/>
    </row>
    <row r="3997" spans="1:25" ht="12.75" customHeight="1">
      <c r="A3997" s="385" t="str">
        <f>VII.A!$A$11</f>
        <v>1.2</v>
      </c>
      <c r="B3997" s="386" t="str">
        <f>VII.A!B11</f>
        <v>ADESIVO PARA TUBO EM PVC - FRASCO 850 GR.</v>
      </c>
      <c r="C3997" s="20">
        <v>3.6299999999999999E-2</v>
      </c>
      <c r="D3997" s="342" t="str">
        <f>VII.A!C11</f>
        <v>UN</v>
      </c>
      <c r="E3997" s="387">
        <f>VII.A!D11</f>
        <v>0</v>
      </c>
      <c r="F3997" s="388">
        <f>ROUND(C3997*E3997,2)</f>
        <v>0</v>
      </c>
      <c r="H3997" s="341">
        <f>IF(A3997="","",VLOOKUP(A3997,VII.A!$A$10:$D$199,4,FALSE))</f>
        <v>0</v>
      </c>
      <c r="I3997" s="341" t="str">
        <f t="shared" ref="I3997:I4012" si="1029">IF(A3997="","",IF(E3997=H3997,"SIM","NÃO"))</f>
        <v>SIM</v>
      </c>
      <c r="J3997" s="341" t="str">
        <f>IF(A3997="","",VLOOKUP(A3997,VII.A!$A$10:$D$199,3,FALSE))</f>
        <v>UN</v>
      </c>
      <c r="K3997" s="342" t="str">
        <f t="shared" ref="K3997:K4012" si="1030">IF(A3997="","",IF(J3997=D3997,"SIM","NÃO"))</f>
        <v>SIM</v>
      </c>
      <c r="L3997" s="380">
        <f>IF(C3997="","",G3995*C3997)</f>
        <v>5.4450000000000003</v>
      </c>
      <c r="M3997" s="381" t="str">
        <f>IF(A3997="","",VLOOKUP(A3997,VII.A!$A$10:$B$199,2,FALSE))</f>
        <v>ADESIVO PARA TUBO EM PVC - FRASCO 850 GR.</v>
      </c>
      <c r="N3997" s="342" t="str">
        <f t="shared" ref="N3997:N4012" si="1031">IF(B3997="","",IF(M3997=B3997,"si","no"))</f>
        <v>si</v>
      </c>
      <c r="R3997" s="341"/>
      <c r="S3997" s="341"/>
    </row>
    <row r="3998" spans="1:25" ht="12.75" customHeight="1">
      <c r="A3998" s="385" t="str">
        <f>VII.A!$A$67</f>
        <v>1.58</v>
      </c>
      <c r="B3998" s="386" t="str">
        <f>VII.A!B67</f>
        <v>LIXA D'AGUA EM FOLHA, GRAO 100</v>
      </c>
      <c r="C3998" s="20">
        <v>0.247</v>
      </c>
      <c r="D3998" s="342" t="str">
        <f>VII.A!C67</f>
        <v>UN</v>
      </c>
      <c r="E3998" s="387">
        <f>VII.A!D67</f>
        <v>0</v>
      </c>
      <c r="F3998" s="388">
        <f t="shared" ref="F3998:F4012" si="1032">ROUND(C3998*E3998,2)</f>
        <v>0</v>
      </c>
      <c r="H3998" s="341">
        <f>IF(A3998="","",VLOOKUP(A3998,VII.A!$A$10:$D$199,4,FALSE))</f>
        <v>0</v>
      </c>
      <c r="I3998" s="341" t="str">
        <f t="shared" si="1029"/>
        <v>SIM</v>
      </c>
      <c r="J3998" s="341" t="str">
        <f>IF(A3998="","",VLOOKUP(A3998,VII.A!$A$10:$D$199,3,FALSE))</f>
        <v>UN</v>
      </c>
      <c r="K3998" s="342" t="str">
        <f t="shared" si="1030"/>
        <v>SIM</v>
      </c>
      <c r="L3998" s="380">
        <f>IF(C3998="","",G3995*C3998)</f>
        <v>37.049999999999997</v>
      </c>
      <c r="M3998" s="381" t="str">
        <f>IF(A3998="","",VLOOKUP(A3998,VII.A!$A$10:$B$199,2,FALSE))</f>
        <v>LIXA D'AGUA EM FOLHA, GRAO 100</v>
      </c>
      <c r="N3998" s="342" t="str">
        <f t="shared" si="1031"/>
        <v>si</v>
      </c>
      <c r="R3998" s="341"/>
      <c r="S3998" s="341"/>
    </row>
    <row r="3999" spans="1:25" ht="12.75" customHeight="1">
      <c r="A3999" s="385" t="str">
        <f>VII.A!$A$100</f>
        <v>1.90</v>
      </c>
      <c r="B3999" s="386" t="str">
        <f>VII.A!B100</f>
        <v>SOLUCAO LIMPADORA PARA PVC, FRASCO COM 1000 CM3</v>
      </c>
      <c r="C3999" s="20">
        <v>5.9299999999999999E-2</v>
      </c>
      <c r="D3999" s="342" t="str">
        <f>VII.A!C100</f>
        <v xml:space="preserve">UN </v>
      </c>
      <c r="E3999" s="387">
        <f>VII.A!D100</f>
        <v>0</v>
      </c>
      <c r="F3999" s="388">
        <f t="shared" si="1032"/>
        <v>0</v>
      </c>
      <c r="H3999" s="341">
        <f>IF(A3999="","",VLOOKUP(A3999,VII.A!$A$10:$D$199,4,FALSE))</f>
        <v>0</v>
      </c>
      <c r="I3999" s="341" t="str">
        <f t="shared" si="1029"/>
        <v>SIM</v>
      </c>
      <c r="J3999" s="341" t="str">
        <f>IF(A3999="","",VLOOKUP(A3999,VII.A!$A$10:$D$199,3,FALSE))</f>
        <v xml:space="preserve">UN </v>
      </c>
      <c r="K3999" s="342" t="str">
        <f t="shared" si="1030"/>
        <v>SIM</v>
      </c>
      <c r="L3999" s="380">
        <f>IF(C3999="","",G3995*C3999)</f>
        <v>8.8949999999999996</v>
      </c>
      <c r="M3999" s="381" t="str">
        <f>IF(A3999="","",VLOOKUP(A3999,VII.A!$A$10:$B$199,2,FALSE))</f>
        <v>SOLUCAO LIMPADORA PARA PVC, FRASCO COM 1000 CM3</v>
      </c>
      <c r="N3999" s="342" t="str">
        <f t="shared" si="1031"/>
        <v>si</v>
      </c>
      <c r="R3999" s="341"/>
      <c r="S3999" s="341"/>
    </row>
    <row r="4000" spans="1:25" ht="12.75" customHeight="1">
      <c r="A4000" s="385" t="str">
        <f>VII.A!$A$121</f>
        <v>1.111</v>
      </c>
      <c r="B4000" s="386" t="str">
        <f>VII.A!B121</f>
        <v>TUBO PVC SERIE NORMAL, DN 100 MM, PARA ESGOTO PREDIAL (NBR 5688)</v>
      </c>
      <c r="C4000" s="20">
        <v>1.1499999999999999</v>
      </c>
      <c r="D4000" s="342" t="str">
        <f>VII.A!C121</f>
        <v>M</v>
      </c>
      <c r="E4000" s="387">
        <f>VII.A!D121</f>
        <v>0</v>
      </c>
      <c r="F4000" s="388">
        <f t="shared" si="1032"/>
        <v>0</v>
      </c>
      <c r="H4000" s="341">
        <f>IF(A4000="","",VLOOKUP(A4000,VII.A!$A$10:$D$199,4,FALSE))</f>
        <v>0</v>
      </c>
      <c r="I4000" s="341" t="str">
        <f t="shared" si="1029"/>
        <v>SIM</v>
      </c>
      <c r="J4000" s="341" t="str">
        <f>IF(A4000="","",VLOOKUP(A4000,VII.A!$A$10:$D$199,3,FALSE))</f>
        <v>M</v>
      </c>
      <c r="K4000" s="342" t="str">
        <f t="shared" si="1030"/>
        <v>SIM</v>
      </c>
      <c r="L4000" s="380">
        <f>IF(C4000="","",G3995*C4000)</f>
        <v>172.5</v>
      </c>
      <c r="M4000" s="381" t="str">
        <f>IF(A4000="","",VLOOKUP(A4000,VII.A!$A$10:$B$199,2,FALSE))</f>
        <v>TUBO PVC SERIE NORMAL, DN 100 MM, PARA ESGOTO PREDIAL (NBR 5688)</v>
      </c>
      <c r="N4000" s="342" t="str">
        <f t="shared" si="1031"/>
        <v>si</v>
      </c>
      <c r="R4000" s="341"/>
      <c r="S4000" s="341"/>
    </row>
    <row r="4001" spans="1:21" ht="12.75" customHeight="1">
      <c r="A4001" s="385"/>
      <c r="B4001" s="386"/>
      <c r="C4001" s="20"/>
      <c r="D4001" s="342"/>
      <c r="E4001" s="387"/>
      <c r="F4001" s="388">
        <f t="shared" si="1032"/>
        <v>0</v>
      </c>
      <c r="H4001" s="341" t="str">
        <f>IF(A4001="","",VLOOKUP(A4001,VII.A!$A$10:$D$199,4,FALSE))</f>
        <v/>
      </c>
      <c r="I4001" s="341" t="str">
        <f t="shared" si="1029"/>
        <v/>
      </c>
      <c r="J4001" s="341" t="str">
        <f>IF(A4001="","",VLOOKUP(A4001,VII.A!$A$10:$D$199,3,FALSE))</f>
        <v/>
      </c>
      <c r="K4001" s="342" t="str">
        <f t="shared" si="1030"/>
        <v/>
      </c>
      <c r="L4001" s="380" t="str">
        <f>IF(C4001="","",G3995*C4001)</f>
        <v/>
      </c>
      <c r="M4001" s="381" t="str">
        <f>IF(A4001="","",VLOOKUP(A4001,VII.A!$A$10:$B$199,2,FALSE))</f>
        <v/>
      </c>
      <c r="N4001" s="342" t="str">
        <f t="shared" si="1031"/>
        <v/>
      </c>
      <c r="R4001" s="341"/>
      <c r="S4001" s="341"/>
    </row>
    <row r="4002" spans="1:21" ht="12.75" customHeight="1">
      <c r="A4002" s="385"/>
      <c r="B4002" s="386"/>
      <c r="C4002" s="20"/>
      <c r="D4002" s="342"/>
      <c r="E4002" s="387"/>
      <c r="F4002" s="388">
        <f t="shared" si="1032"/>
        <v>0</v>
      </c>
      <c r="H4002" s="341" t="str">
        <f>IF(A4002="","",VLOOKUP(A4002,VII.A!$A$10:$D$199,4,FALSE))</f>
        <v/>
      </c>
      <c r="I4002" s="341" t="str">
        <f t="shared" si="1029"/>
        <v/>
      </c>
      <c r="J4002" s="341" t="str">
        <f>IF(A4002="","",VLOOKUP(A4002,VII.A!$A$10:$D$199,3,FALSE))</f>
        <v/>
      </c>
      <c r="K4002" s="342" t="str">
        <f t="shared" si="1030"/>
        <v/>
      </c>
      <c r="L4002" s="380" t="str">
        <f>IF(C4002="","",G3995*C4002)</f>
        <v/>
      </c>
      <c r="M4002" s="381" t="str">
        <f>IF(A4002="","",VLOOKUP(A4002,VII.A!$A$10:$B$199,2,FALSE))</f>
        <v/>
      </c>
      <c r="N4002" s="342" t="str">
        <f t="shared" si="1031"/>
        <v/>
      </c>
      <c r="R4002" s="341"/>
      <c r="S4002" s="341"/>
      <c r="U4002" s="389"/>
    </row>
    <row r="4003" spans="1:21" ht="12.75" customHeight="1">
      <c r="A4003" s="385"/>
      <c r="B4003" s="386"/>
      <c r="C4003" s="20"/>
      <c r="D4003" s="342"/>
      <c r="E4003" s="387"/>
      <c r="F4003" s="388">
        <f t="shared" si="1032"/>
        <v>0</v>
      </c>
      <c r="H4003" s="341" t="str">
        <f>IF(A4003="","",VLOOKUP(A4003,VII.A!$A$10:$D$199,4,FALSE))</f>
        <v/>
      </c>
      <c r="I4003" s="341" t="str">
        <f t="shared" si="1029"/>
        <v/>
      </c>
      <c r="J4003" s="341" t="str">
        <f>IF(A4003="","",VLOOKUP(A4003,VII.A!$A$10:$D$199,3,FALSE))</f>
        <v/>
      </c>
      <c r="K4003" s="342" t="str">
        <f t="shared" si="1030"/>
        <v/>
      </c>
      <c r="L4003" s="380" t="str">
        <f>IF(C4003="","",G3995*C4003)</f>
        <v/>
      </c>
      <c r="M4003" s="381" t="str">
        <f>IF(A4003="","",VLOOKUP(A4003,VII.A!$A$10:$B$199,2,FALSE))</f>
        <v/>
      </c>
      <c r="N4003" s="342" t="str">
        <f t="shared" si="1031"/>
        <v/>
      </c>
      <c r="R4003" s="341"/>
      <c r="S4003" s="341"/>
    </row>
    <row r="4004" spans="1:21" ht="12.75" customHeight="1">
      <c r="A4004" s="385"/>
      <c r="B4004" s="386"/>
      <c r="C4004" s="20"/>
      <c r="D4004" s="342"/>
      <c r="E4004" s="387"/>
      <c r="F4004" s="388">
        <f t="shared" si="1032"/>
        <v>0</v>
      </c>
      <c r="G4004" s="390"/>
      <c r="H4004" s="341" t="str">
        <f>IF(A4004="","",VLOOKUP(A4004,VII.A!$A$10:$D$199,4,FALSE))</f>
        <v/>
      </c>
      <c r="I4004" s="341" t="str">
        <f t="shared" si="1029"/>
        <v/>
      </c>
      <c r="J4004" s="341" t="str">
        <f>IF(A4004="","",VLOOKUP(A4004,VII.A!$A$10:$D$199,3,FALSE))</f>
        <v/>
      </c>
      <c r="K4004" s="342" t="str">
        <f t="shared" si="1030"/>
        <v/>
      </c>
      <c r="L4004" s="380" t="str">
        <f>IF(C4004="","",G3995*C4004)</f>
        <v/>
      </c>
      <c r="M4004" s="381" t="str">
        <f>IF(A4004="","",VLOOKUP(A4004,VII.A!$A$10:$B$199,2,FALSE))</f>
        <v/>
      </c>
      <c r="N4004" s="342" t="str">
        <f t="shared" si="1031"/>
        <v/>
      </c>
      <c r="R4004" s="341"/>
      <c r="S4004" s="341"/>
    </row>
    <row r="4005" spans="1:21" ht="12.75" customHeight="1">
      <c r="A4005" s="385"/>
      <c r="B4005" s="386"/>
      <c r="C4005" s="20"/>
      <c r="D4005" s="342"/>
      <c r="E4005" s="387"/>
      <c r="F4005" s="388">
        <f t="shared" si="1032"/>
        <v>0</v>
      </c>
      <c r="G4005" s="390"/>
      <c r="H4005" s="341" t="str">
        <f>IF(A4005="","",VLOOKUP(A4005,VII.A!$A$10:$D$199,4,FALSE))</f>
        <v/>
      </c>
      <c r="I4005" s="341" t="str">
        <f t="shared" si="1029"/>
        <v/>
      </c>
      <c r="J4005" s="341" t="str">
        <f>IF(A4005="","",VLOOKUP(A4005,VII.A!$A$10:$D$199,3,FALSE))</f>
        <v/>
      </c>
      <c r="K4005" s="342" t="str">
        <f t="shared" si="1030"/>
        <v/>
      </c>
      <c r="L4005" s="380" t="str">
        <f>IF(C4005="","",G3995*C4005)</f>
        <v/>
      </c>
      <c r="M4005" s="381" t="str">
        <f>IF(A4005="","",VLOOKUP(A4005,VII.A!$A$10:$B$199,2,FALSE))</f>
        <v/>
      </c>
      <c r="N4005" s="342" t="str">
        <f t="shared" si="1031"/>
        <v/>
      </c>
      <c r="R4005" s="341"/>
      <c r="S4005" s="341"/>
    </row>
    <row r="4006" spans="1:21" ht="12.75" customHeight="1">
      <c r="A4006" s="385"/>
      <c r="B4006" s="386"/>
      <c r="C4006" s="20"/>
      <c r="D4006" s="342"/>
      <c r="E4006" s="387"/>
      <c r="F4006" s="388">
        <f t="shared" si="1032"/>
        <v>0</v>
      </c>
      <c r="G4006" s="391"/>
      <c r="H4006" s="341" t="str">
        <f>IF(A4006="","",VLOOKUP(A4006,VII.A!$A$10:$D$199,4,FALSE))</f>
        <v/>
      </c>
      <c r="I4006" s="341" t="str">
        <f t="shared" si="1029"/>
        <v/>
      </c>
      <c r="J4006" s="341" t="str">
        <f>IF(A4006="","",VLOOKUP(A4006,VII.A!$A$10:$D$199,3,FALSE))</f>
        <v/>
      </c>
      <c r="K4006" s="342" t="str">
        <f t="shared" si="1030"/>
        <v/>
      </c>
      <c r="L4006" s="380" t="str">
        <f>IF(C4006="","",G3995*C4006)</f>
        <v/>
      </c>
      <c r="M4006" s="381" t="str">
        <f>IF(A4006="","",VLOOKUP(A4006,VII.A!$A$10:$B$199,2,FALSE))</f>
        <v/>
      </c>
      <c r="N4006" s="342" t="str">
        <f t="shared" si="1031"/>
        <v/>
      </c>
      <c r="R4006" s="341"/>
      <c r="S4006" s="341"/>
    </row>
    <row r="4007" spans="1:21" ht="12.75" customHeight="1">
      <c r="A4007" s="385"/>
      <c r="B4007" s="386"/>
      <c r="C4007" s="20"/>
      <c r="D4007" s="342"/>
      <c r="E4007" s="387"/>
      <c r="F4007" s="388">
        <f t="shared" si="1032"/>
        <v>0</v>
      </c>
      <c r="H4007" s="341" t="str">
        <f>IF(A4007="","",VLOOKUP(A4007,VII.A!$A$10:$D$199,4,FALSE))</f>
        <v/>
      </c>
      <c r="I4007" s="341" t="str">
        <f t="shared" si="1029"/>
        <v/>
      </c>
      <c r="J4007" s="341" t="str">
        <f>IF(A4007="","",VLOOKUP(A4007,VII.A!$A$10:$D$199,3,FALSE))</f>
        <v/>
      </c>
      <c r="K4007" s="342" t="str">
        <f t="shared" si="1030"/>
        <v/>
      </c>
      <c r="L4007" s="380" t="str">
        <f>IF(C4007="","",G3995*C4007)</f>
        <v/>
      </c>
      <c r="M4007" s="381" t="str">
        <f>IF(A4007="","",VLOOKUP(A4007,VII.A!$A$10:$B$199,2,FALSE))</f>
        <v/>
      </c>
      <c r="N4007" s="342" t="str">
        <f t="shared" si="1031"/>
        <v/>
      </c>
      <c r="R4007" s="341"/>
      <c r="S4007" s="341"/>
    </row>
    <row r="4008" spans="1:21" ht="12.75" customHeight="1">
      <c r="A4008" s="385"/>
      <c r="B4008" s="386"/>
      <c r="C4008" s="20"/>
      <c r="D4008" s="392"/>
      <c r="E4008" s="387"/>
      <c r="F4008" s="388">
        <f t="shared" si="1032"/>
        <v>0</v>
      </c>
      <c r="H4008" s="341" t="str">
        <f>IF(A4008="","",VLOOKUP(A4008,VII.A!$A$10:$D$199,4,FALSE))</f>
        <v/>
      </c>
      <c r="I4008" s="341" t="str">
        <f t="shared" si="1029"/>
        <v/>
      </c>
      <c r="J4008" s="341" t="str">
        <f>IF(A4008="","",VLOOKUP(A4008,VII.A!$A$10:$D$199,3,FALSE))</f>
        <v/>
      </c>
      <c r="K4008" s="342" t="str">
        <f t="shared" si="1030"/>
        <v/>
      </c>
      <c r="L4008" s="380" t="str">
        <f>IF(C4008="","",G3995*C4008)</f>
        <v/>
      </c>
      <c r="M4008" s="381" t="str">
        <f>IF(A4008="","",VLOOKUP(A4008,VII.A!$A$10:$B$199,2,FALSE))</f>
        <v/>
      </c>
      <c r="N4008" s="342" t="str">
        <f t="shared" si="1031"/>
        <v/>
      </c>
      <c r="R4008" s="341"/>
      <c r="S4008" s="341"/>
    </row>
    <row r="4009" spans="1:21" ht="12.75" customHeight="1">
      <c r="A4009" s="385"/>
      <c r="B4009" s="386"/>
      <c r="C4009" s="20"/>
      <c r="D4009" s="392"/>
      <c r="E4009" s="387"/>
      <c r="F4009" s="388">
        <f t="shared" si="1032"/>
        <v>0</v>
      </c>
      <c r="H4009" s="341" t="str">
        <f>IF(A4009="","",VLOOKUP(A4009,VII.A!$A$10:$D$199,4,FALSE))</f>
        <v/>
      </c>
      <c r="I4009" s="341" t="str">
        <f t="shared" si="1029"/>
        <v/>
      </c>
      <c r="J4009" s="341" t="str">
        <f>IF(A4009="","",VLOOKUP(A4009,VII.A!$A$10:$D$199,3,FALSE))</f>
        <v/>
      </c>
      <c r="K4009" s="342" t="str">
        <f t="shared" si="1030"/>
        <v/>
      </c>
      <c r="L4009" s="380" t="str">
        <f>IF(C4009="","",G3995*C4009)</f>
        <v/>
      </c>
      <c r="M4009" s="381" t="str">
        <f>IF(A4009="","",VLOOKUP(A4009,VII.A!$A$10:$B$199,2,FALSE))</f>
        <v/>
      </c>
      <c r="N4009" s="342" t="str">
        <f t="shared" si="1031"/>
        <v/>
      </c>
      <c r="O4009" s="342"/>
      <c r="R4009" s="341"/>
      <c r="S4009" s="341"/>
    </row>
    <row r="4010" spans="1:21" ht="12.75" customHeight="1">
      <c r="A4010" s="385"/>
      <c r="B4010" s="386"/>
      <c r="C4010" s="20"/>
      <c r="D4010" s="392"/>
      <c r="E4010" s="387"/>
      <c r="F4010" s="388">
        <f t="shared" si="1032"/>
        <v>0</v>
      </c>
      <c r="H4010" s="341" t="str">
        <f>IF(A4010="","",VLOOKUP(A4010,VII.A!$A$10:$D$199,4,FALSE))</f>
        <v/>
      </c>
      <c r="I4010" s="341" t="str">
        <f t="shared" si="1029"/>
        <v/>
      </c>
      <c r="J4010" s="341" t="str">
        <f>IF(A4010="","",VLOOKUP(A4010,VII.A!$A$10:$D$199,3,FALSE))</f>
        <v/>
      </c>
      <c r="K4010" s="342" t="str">
        <f t="shared" si="1030"/>
        <v/>
      </c>
      <c r="L4010" s="380" t="str">
        <f>IF(C4010="","",G3995*C4010)</f>
        <v/>
      </c>
      <c r="M4010" s="381" t="str">
        <f>IF(A4010="","",VLOOKUP(A4010,VII.A!$A$10:$B$199,2,FALSE))</f>
        <v/>
      </c>
      <c r="N4010" s="342" t="str">
        <f t="shared" si="1031"/>
        <v/>
      </c>
      <c r="R4010" s="341"/>
      <c r="S4010" s="341"/>
    </row>
    <row r="4011" spans="1:21" ht="12.75" customHeight="1">
      <c r="A4011" s="393"/>
      <c r="C4011" s="20"/>
      <c r="E4011" s="387"/>
      <c r="F4011" s="388">
        <f t="shared" si="1032"/>
        <v>0</v>
      </c>
      <c r="H4011" s="341" t="str">
        <f>IF(A4011="","",VLOOKUP(A4011,VII.A!$A$10:$D$199,4,FALSE))</f>
        <v/>
      </c>
      <c r="I4011" s="341" t="str">
        <f t="shared" si="1029"/>
        <v/>
      </c>
      <c r="J4011" s="341" t="str">
        <f>IF(A4011="","",VLOOKUP(A4011,VII.A!$A$10:$D$199,3,FALSE))</f>
        <v/>
      </c>
      <c r="K4011" s="342" t="str">
        <f t="shared" si="1030"/>
        <v/>
      </c>
      <c r="L4011" s="380" t="str">
        <f>IF(C4011="","",G3995*C4011)</f>
        <v/>
      </c>
      <c r="M4011" s="381" t="str">
        <f>IF(A4011="","",VLOOKUP(A4011,VII.A!$A$10:$B$199,2,FALSE))</f>
        <v/>
      </c>
      <c r="N4011" s="342" t="str">
        <f t="shared" si="1031"/>
        <v/>
      </c>
      <c r="R4011" s="341"/>
      <c r="S4011" s="341"/>
    </row>
    <row r="4012" spans="1:21" ht="12.75" customHeight="1">
      <c r="A4012" s="393"/>
      <c r="C4012" s="20"/>
      <c r="E4012" s="387"/>
      <c r="F4012" s="388">
        <f t="shared" si="1032"/>
        <v>0</v>
      </c>
      <c r="H4012" s="341" t="str">
        <f>IF(A4012="","",VLOOKUP(A4012,VII.A!$A$10:$D$199,4,FALSE))</f>
        <v/>
      </c>
      <c r="I4012" s="341" t="str">
        <f t="shared" si="1029"/>
        <v/>
      </c>
      <c r="J4012" s="341" t="str">
        <f>IF(A4012="","",VLOOKUP(A4012,VII.A!$A$10:$D$199,3,FALSE))</f>
        <v/>
      </c>
      <c r="K4012" s="342" t="str">
        <f t="shared" si="1030"/>
        <v/>
      </c>
      <c r="L4012" s="380" t="str">
        <f>IF(C4012="","",G3995*C4012)</f>
        <v/>
      </c>
      <c r="M4012" s="381" t="str">
        <f>IF(A4012="","",VLOOKUP(A4012,VII.A!$A$10:$B$199,2,FALSE))</f>
        <v/>
      </c>
      <c r="N4012" s="342" t="str">
        <f t="shared" si="1031"/>
        <v/>
      </c>
      <c r="R4012" s="341"/>
      <c r="S4012" s="341"/>
    </row>
    <row r="4013" spans="1:21" ht="12.75" customHeight="1">
      <c r="A4013" s="393"/>
      <c r="B4013" s="395" t="s">
        <v>226</v>
      </c>
      <c r="C4013" s="396"/>
      <c r="D4013" s="397"/>
      <c r="E4013" s="398"/>
      <c r="F4013" s="399">
        <f>SUM(F3997:F4012)</f>
        <v>0</v>
      </c>
      <c r="H4013" s="426" t="s">
        <v>529</v>
      </c>
      <c r="J4013" s="341"/>
      <c r="L4013" s="380"/>
      <c r="M4013" s="381"/>
      <c r="N4013" s="342"/>
      <c r="R4013" s="341"/>
      <c r="S4013" s="341"/>
    </row>
    <row r="4014" spans="1:21" ht="12.75" customHeight="1">
      <c r="A4014" s="393"/>
      <c r="B4014" s="400" t="s">
        <v>53</v>
      </c>
      <c r="C4014" s="2">
        <f>$D$8</f>
        <v>0</v>
      </c>
      <c r="D4014" s="401"/>
      <c r="E4014" s="402"/>
      <c r="F4014" s="403">
        <f>ROUND(F4013*C4014,2)</f>
        <v>0</v>
      </c>
      <c r="H4014" s="426"/>
      <c r="J4014" s="341"/>
      <c r="L4014" s="380"/>
      <c r="M4014" s="381"/>
      <c r="N4014" s="342"/>
      <c r="R4014" s="341"/>
      <c r="S4014" s="341"/>
    </row>
    <row r="4015" spans="1:21" ht="12.75" customHeight="1">
      <c r="A4015" s="404"/>
      <c r="B4015" s="405" t="s">
        <v>227</v>
      </c>
      <c r="C4015" s="406"/>
      <c r="D4015" s="406"/>
      <c r="E4015" s="407"/>
      <c r="F4015" s="408">
        <f>F4013+F4014</f>
        <v>0</v>
      </c>
      <c r="J4015" s="341"/>
      <c r="L4015" s="380"/>
      <c r="M4015" s="381"/>
      <c r="N4015" s="342"/>
      <c r="R4015" s="341"/>
      <c r="S4015" s="341"/>
    </row>
    <row r="4016" spans="1:21" ht="12.75" customHeight="1">
      <c r="A4016" s="374" t="s">
        <v>2</v>
      </c>
      <c r="B4016" s="375" t="s">
        <v>235</v>
      </c>
      <c r="C4016" s="376" t="s">
        <v>231</v>
      </c>
      <c r="D4016" s="376" t="s">
        <v>232</v>
      </c>
      <c r="E4016" s="377" t="s">
        <v>233</v>
      </c>
      <c r="F4016" s="378" t="s">
        <v>234</v>
      </c>
      <c r="J4016" s="341"/>
      <c r="L4016" s="380"/>
      <c r="M4016" s="381"/>
      <c r="N4016" s="342"/>
      <c r="R4016" s="341"/>
      <c r="S4016" s="341"/>
    </row>
    <row r="4017" spans="1:19" ht="12.75" customHeight="1">
      <c r="A4017" s="393"/>
      <c r="B4017" s="423"/>
      <c r="C4017" s="20"/>
      <c r="E4017" s="387"/>
      <c r="F4017" s="388">
        <f t="shared" ref="F4017:F4026" si="1033">ROUND(C4017*E4017,2)</f>
        <v>0</v>
      </c>
      <c r="H4017" s="341" t="str">
        <f>IF(A4017="","",VLOOKUP(A4017,VII.A!$A$10:$D$199,4,FALSE))</f>
        <v/>
      </c>
      <c r="I4017" s="341" t="str">
        <f t="shared" ref="I4017:I4026" si="1034">IF(A4017="","",IF(E4017=H4017,"SIM","NÃO"))</f>
        <v/>
      </c>
      <c r="J4017" s="341" t="str">
        <f>IF(A4017="","",VLOOKUP(A4017,VII.A!$A$10:$D$199,3,FALSE))</f>
        <v/>
      </c>
      <c r="K4017" s="342" t="str">
        <f t="shared" ref="K4017:K4026" si="1035">IF(A4017="","",IF(J4017=D4017,"SIM","NÃO"))</f>
        <v/>
      </c>
      <c r="L4017" s="380" t="str">
        <f>IF(C4017="","",G3995*C4017)</f>
        <v/>
      </c>
      <c r="M4017" s="381" t="str">
        <f>IF(A4017="","",VLOOKUP(A4017,VII.A!$A$10:$B$199,2,FALSE))</f>
        <v/>
      </c>
      <c r="N4017" s="342" t="str">
        <f t="shared" ref="N4017:N4026" si="1036">IF(B4017="","",IF(M4017=B4017,"si","no"))</f>
        <v/>
      </c>
      <c r="R4017" s="341"/>
      <c r="S4017" s="341"/>
    </row>
    <row r="4018" spans="1:19" ht="12.75" customHeight="1">
      <c r="A4018" s="393"/>
      <c r="C4018" s="20"/>
      <c r="E4018" s="387"/>
      <c r="F4018" s="388">
        <f t="shared" si="1033"/>
        <v>0</v>
      </c>
      <c r="H4018" s="341" t="str">
        <f>IF(A4018="","",VLOOKUP(A4018,VII.A!$A$10:$D$199,4,FALSE))</f>
        <v/>
      </c>
      <c r="I4018" s="341" t="str">
        <f t="shared" si="1034"/>
        <v/>
      </c>
      <c r="J4018" s="341" t="str">
        <f>IF(A4018="","",VLOOKUP(A4018,VII.A!$A$10:$D$199,3,FALSE))</f>
        <v/>
      </c>
      <c r="K4018" s="342" t="str">
        <f t="shared" si="1035"/>
        <v/>
      </c>
      <c r="L4018" s="380" t="str">
        <f>IF(C4018="","",G3995*C4018)</f>
        <v/>
      </c>
      <c r="M4018" s="381" t="str">
        <f>IF(A4018="","",VLOOKUP(A4018,VII.A!$A$10:$B$199,2,FALSE))</f>
        <v/>
      </c>
      <c r="N4018" s="342" t="str">
        <f t="shared" si="1036"/>
        <v/>
      </c>
      <c r="R4018" s="341"/>
      <c r="S4018" s="341"/>
    </row>
    <row r="4019" spans="1:19" ht="12.75" customHeight="1">
      <c r="A4019" s="393"/>
      <c r="C4019" s="20"/>
      <c r="E4019" s="387"/>
      <c r="F4019" s="388">
        <f t="shared" si="1033"/>
        <v>0</v>
      </c>
      <c r="H4019" s="341" t="str">
        <f>IF(A4019="","",VLOOKUP(A4019,VII.A!$A$10:$D$199,4,FALSE))</f>
        <v/>
      </c>
      <c r="I4019" s="341" t="str">
        <f t="shared" si="1034"/>
        <v/>
      </c>
      <c r="J4019" s="341" t="str">
        <f>IF(A4019="","",VLOOKUP(A4019,VII.A!$A$10:$D$199,3,FALSE))</f>
        <v/>
      </c>
      <c r="K4019" s="342" t="str">
        <f t="shared" si="1035"/>
        <v/>
      </c>
      <c r="L4019" s="380" t="str">
        <f>IF(C4019="","",G3995*C4019)</f>
        <v/>
      </c>
      <c r="M4019" s="381" t="str">
        <f>IF(A4019="","",VLOOKUP(A4019,VII.A!$A$10:$B$199,2,FALSE))</f>
        <v/>
      </c>
      <c r="N4019" s="342" t="str">
        <f t="shared" si="1036"/>
        <v/>
      </c>
      <c r="R4019" s="341"/>
      <c r="S4019" s="341"/>
    </row>
    <row r="4020" spans="1:19" ht="12.75" customHeight="1">
      <c r="A4020" s="393"/>
      <c r="C4020" s="20"/>
      <c r="E4020" s="387"/>
      <c r="F4020" s="388">
        <f t="shared" si="1033"/>
        <v>0</v>
      </c>
      <c r="H4020" s="341" t="str">
        <f>IF(A4020="","",VLOOKUP(A4020,VII.A!$A$10:$D$199,4,FALSE))</f>
        <v/>
      </c>
      <c r="I4020" s="341" t="str">
        <f t="shared" si="1034"/>
        <v/>
      </c>
      <c r="J4020" s="341" t="str">
        <f>IF(A4020="","",VLOOKUP(A4020,VII.A!$A$10:$D$199,3,FALSE))</f>
        <v/>
      </c>
      <c r="K4020" s="342" t="str">
        <f t="shared" si="1035"/>
        <v/>
      </c>
      <c r="L4020" s="380" t="str">
        <f>IF(C4020="","",G3995*C4020)</f>
        <v/>
      </c>
      <c r="M4020" s="381" t="str">
        <f>IF(A4020="","",VLOOKUP(A4020,VII.A!$A$10:$B$199,2,FALSE))</f>
        <v/>
      </c>
      <c r="N4020" s="342" t="str">
        <f t="shared" si="1036"/>
        <v/>
      </c>
      <c r="R4020" s="341"/>
      <c r="S4020" s="341"/>
    </row>
    <row r="4021" spans="1:19" ht="12.75" customHeight="1">
      <c r="A4021" s="393"/>
      <c r="C4021" s="20"/>
      <c r="E4021" s="387"/>
      <c r="F4021" s="388">
        <f t="shared" si="1033"/>
        <v>0</v>
      </c>
      <c r="G4021" s="390"/>
      <c r="H4021" s="341" t="str">
        <f>IF(A4021="","",VLOOKUP(A4021,VII.A!$A$10:$D$199,4,FALSE))</f>
        <v/>
      </c>
      <c r="I4021" s="341" t="str">
        <f t="shared" si="1034"/>
        <v/>
      </c>
      <c r="J4021" s="341" t="str">
        <f>IF(A4021="","",VLOOKUP(A4021,VII.A!$A$10:$D$199,3,FALSE))</f>
        <v/>
      </c>
      <c r="K4021" s="342" t="str">
        <f t="shared" si="1035"/>
        <v/>
      </c>
      <c r="L4021" s="380" t="str">
        <f>IF(C4021="","",G3995*C4021)</f>
        <v/>
      </c>
      <c r="M4021" s="381" t="str">
        <f>IF(A4021="","",VLOOKUP(A4021,VII.A!$A$10:$B$199,2,FALSE))</f>
        <v/>
      </c>
      <c r="N4021" s="342" t="str">
        <f t="shared" si="1036"/>
        <v/>
      </c>
      <c r="R4021" s="341"/>
      <c r="S4021" s="341"/>
    </row>
    <row r="4022" spans="1:19" ht="12.75" customHeight="1">
      <c r="A4022" s="393"/>
      <c r="C4022" s="20"/>
      <c r="E4022" s="387"/>
      <c r="F4022" s="388">
        <f t="shared" si="1033"/>
        <v>0</v>
      </c>
      <c r="G4022" s="391"/>
      <c r="H4022" s="341" t="str">
        <f>IF(A4022="","",VLOOKUP(A4022,VII.A!$A$10:$D$199,4,FALSE))</f>
        <v/>
      </c>
      <c r="I4022" s="341" t="str">
        <f t="shared" si="1034"/>
        <v/>
      </c>
      <c r="J4022" s="341" t="str">
        <f>IF(A4022="","",VLOOKUP(A4022,VII.A!$A$10:$D$199,3,FALSE))</f>
        <v/>
      </c>
      <c r="K4022" s="342" t="str">
        <f t="shared" si="1035"/>
        <v/>
      </c>
      <c r="L4022" s="380" t="str">
        <f>IF(C4022="","",G3995*C4022)</f>
        <v/>
      </c>
      <c r="M4022" s="381" t="str">
        <f>IF(A4022="","",VLOOKUP(A4022,VII.A!$A$10:$B$199,2,FALSE))</f>
        <v/>
      </c>
      <c r="N4022" s="342" t="str">
        <f t="shared" si="1036"/>
        <v/>
      </c>
      <c r="R4022" s="341"/>
      <c r="S4022" s="341"/>
    </row>
    <row r="4023" spans="1:19" ht="12.75" customHeight="1">
      <c r="A4023" s="393"/>
      <c r="C4023" s="20"/>
      <c r="E4023" s="387"/>
      <c r="F4023" s="388">
        <f t="shared" si="1033"/>
        <v>0</v>
      </c>
      <c r="H4023" s="341" t="str">
        <f>IF(A4023="","",VLOOKUP(A4023,VII.A!$A$10:$D$199,4,FALSE))</f>
        <v/>
      </c>
      <c r="I4023" s="341" t="str">
        <f t="shared" si="1034"/>
        <v/>
      </c>
      <c r="J4023" s="341" t="str">
        <f>IF(A4023="","",VLOOKUP(A4023,VII.A!$A$10:$D$199,3,FALSE))</f>
        <v/>
      </c>
      <c r="K4023" s="342" t="str">
        <f t="shared" si="1035"/>
        <v/>
      </c>
      <c r="L4023" s="380" t="str">
        <f>IF(C4023="","",G3995*C4023)</f>
        <v/>
      </c>
      <c r="M4023" s="381" t="str">
        <f>IF(A4023="","",VLOOKUP(A4023,VII.A!$A$10:$B$199,2,FALSE))</f>
        <v/>
      </c>
      <c r="N4023" s="342" t="str">
        <f t="shared" si="1036"/>
        <v/>
      </c>
      <c r="R4023" s="341"/>
      <c r="S4023" s="341"/>
    </row>
    <row r="4024" spans="1:19" ht="12.75" customHeight="1">
      <c r="A4024" s="393"/>
      <c r="C4024" s="20"/>
      <c r="E4024" s="387"/>
      <c r="F4024" s="388">
        <f t="shared" si="1033"/>
        <v>0</v>
      </c>
      <c r="H4024" s="341" t="str">
        <f>IF(A4024="","",VLOOKUP(A4024,VII.A!$A$10:$D$199,4,FALSE))</f>
        <v/>
      </c>
      <c r="I4024" s="341" t="str">
        <f t="shared" si="1034"/>
        <v/>
      </c>
      <c r="J4024" s="341" t="str">
        <f>IF(A4024="","",VLOOKUP(A4024,VII.A!$A$10:$D$199,3,FALSE))</f>
        <v/>
      </c>
      <c r="K4024" s="342" t="str">
        <f t="shared" si="1035"/>
        <v/>
      </c>
      <c r="L4024" s="380" t="str">
        <f>IF(C4024="","",G3995*C4024)</f>
        <v/>
      </c>
      <c r="M4024" s="381" t="str">
        <f>IF(A4024="","",VLOOKUP(A4024,VII.A!$A$10:$B$199,2,FALSE))</f>
        <v/>
      </c>
      <c r="N4024" s="342" t="str">
        <f t="shared" si="1036"/>
        <v/>
      </c>
      <c r="R4024" s="341"/>
      <c r="S4024" s="341"/>
    </row>
    <row r="4025" spans="1:19" ht="12.75" customHeight="1">
      <c r="A4025" s="393"/>
      <c r="C4025" s="20"/>
      <c r="E4025" s="387"/>
      <c r="F4025" s="388">
        <f t="shared" si="1033"/>
        <v>0</v>
      </c>
      <c r="H4025" s="341" t="str">
        <f>IF(A4025="","",VLOOKUP(A4025,VII.A!$A$10:$D$199,4,FALSE))</f>
        <v/>
      </c>
      <c r="I4025" s="341" t="str">
        <f t="shared" si="1034"/>
        <v/>
      </c>
      <c r="J4025" s="341" t="str">
        <f>IF(A4025="","",VLOOKUP(A4025,VII.A!$A$10:$D$199,3,FALSE))</f>
        <v/>
      </c>
      <c r="K4025" s="342" t="str">
        <f t="shared" si="1035"/>
        <v/>
      </c>
      <c r="L4025" s="380" t="str">
        <f>IF(C4025="","",G3995*C4025)</f>
        <v/>
      </c>
      <c r="M4025" s="381" t="str">
        <f>IF(A4025="","",VLOOKUP(A4025,VII.A!$A$10:$B$199,2,FALSE))</f>
        <v/>
      </c>
      <c r="N4025" s="342" t="str">
        <f t="shared" si="1036"/>
        <v/>
      </c>
      <c r="R4025" s="341"/>
      <c r="S4025" s="341"/>
    </row>
    <row r="4026" spans="1:19" ht="12.75" customHeight="1">
      <c r="A4026" s="393"/>
      <c r="C4026" s="20"/>
      <c r="E4026" s="387"/>
      <c r="F4026" s="388">
        <f t="shared" si="1033"/>
        <v>0</v>
      </c>
      <c r="H4026" s="341" t="str">
        <f>IF(A4026="","",VLOOKUP(A4026,VII.A!$A$10:$D$199,4,FALSE))</f>
        <v/>
      </c>
      <c r="I4026" s="341" t="str">
        <f t="shared" si="1034"/>
        <v/>
      </c>
      <c r="J4026" s="341" t="str">
        <f>IF(A4026="","",VLOOKUP(A4026,VII.A!$A$10:$D$199,3,FALSE))</f>
        <v/>
      </c>
      <c r="K4026" s="342" t="str">
        <f t="shared" si="1035"/>
        <v/>
      </c>
      <c r="L4026" s="380" t="str">
        <f>IF(C4026="","",G3995*C4026)</f>
        <v/>
      </c>
      <c r="M4026" s="381" t="str">
        <f>IF(A4026="","",VLOOKUP(A4026,VII.A!$A$10:$B$199,2,FALSE))</f>
        <v/>
      </c>
      <c r="N4026" s="342" t="str">
        <f t="shared" si="1036"/>
        <v/>
      </c>
      <c r="R4026" s="341"/>
      <c r="S4026" s="341"/>
    </row>
    <row r="4027" spans="1:19" ht="12.75" customHeight="1">
      <c r="A4027" s="393"/>
      <c r="B4027" s="395" t="s">
        <v>226</v>
      </c>
      <c r="C4027" s="396"/>
      <c r="D4027" s="397"/>
      <c r="E4027" s="398"/>
      <c r="F4027" s="399">
        <f>SUM(F4017:F4026)</f>
        <v>0</v>
      </c>
      <c r="J4027" s="341"/>
      <c r="L4027" s="380"/>
      <c r="M4027" s="381"/>
      <c r="N4027" s="342"/>
      <c r="R4027" s="341"/>
      <c r="S4027" s="341"/>
    </row>
    <row r="4028" spans="1:19" ht="12.75" customHeight="1">
      <c r="A4028" s="393"/>
      <c r="B4028" s="400" t="s">
        <v>53</v>
      </c>
      <c r="C4028" s="2">
        <f>$D$8</f>
        <v>0</v>
      </c>
      <c r="D4028" s="401"/>
      <c r="E4028" s="402"/>
      <c r="F4028" s="403">
        <f>ROUND(C4028*F4027,2)</f>
        <v>0</v>
      </c>
      <c r="J4028" s="341"/>
      <c r="L4028" s="380"/>
      <c r="M4028" s="381"/>
      <c r="N4028" s="342"/>
      <c r="R4028" s="341"/>
      <c r="S4028" s="341"/>
    </row>
    <row r="4029" spans="1:19" ht="12.75" customHeight="1">
      <c r="A4029" s="404"/>
      <c r="B4029" s="405" t="s">
        <v>228</v>
      </c>
      <c r="C4029" s="406"/>
      <c r="D4029" s="406"/>
      <c r="E4029" s="407"/>
      <c r="F4029" s="408">
        <f>F4027+F4028</f>
        <v>0</v>
      </c>
      <c r="J4029" s="341"/>
      <c r="L4029" s="380"/>
      <c r="M4029" s="381"/>
      <c r="N4029" s="342"/>
      <c r="R4029" s="341"/>
      <c r="S4029" s="341"/>
    </row>
    <row r="4030" spans="1:19" ht="12.75" customHeight="1">
      <c r="A4030" s="409" t="s">
        <v>47</v>
      </c>
      <c r="B4030" s="410" t="s">
        <v>236</v>
      </c>
      <c r="C4030" s="411" t="s">
        <v>231</v>
      </c>
      <c r="D4030" s="412" t="s">
        <v>232</v>
      </c>
      <c r="E4030" s="413" t="s">
        <v>233</v>
      </c>
      <c r="F4030" s="378" t="s">
        <v>234</v>
      </c>
      <c r="J4030" s="341"/>
      <c r="L4030" s="380"/>
      <c r="M4030" s="381"/>
      <c r="N4030" s="342"/>
      <c r="R4030" s="341"/>
      <c r="S4030" s="341"/>
    </row>
    <row r="4031" spans="1:19" ht="12.75" customHeight="1">
      <c r="A4031" s="393" t="str">
        <f>VII.A!$A$181</f>
        <v>3.1</v>
      </c>
      <c r="B4031" s="394" t="str">
        <f>VII.A!B181</f>
        <v>AJUDANTE COM ENCARGOS COMPLEMENTARES</v>
      </c>
      <c r="C4031" s="20">
        <v>0.74</v>
      </c>
      <c r="D4031" s="384" t="str">
        <f>VII.A!C181</f>
        <v>H</v>
      </c>
      <c r="E4031" s="387">
        <f>VII.A!D181</f>
        <v>0</v>
      </c>
      <c r="F4031" s="388">
        <f t="shared" ref="F4031:F4037" si="1037">ROUND(C4031*E4031,2)</f>
        <v>0</v>
      </c>
      <c r="H4031" s="341">
        <f>IF(A4031="","",VLOOKUP(A4031,VII.A!$A$10:$D$199,4,FALSE))</f>
        <v>0</v>
      </c>
      <c r="I4031" s="341" t="str">
        <f t="shared" ref="I4031:I4037" si="1038">IF(A4031="","",IF(E4031=H4031,"SIM","NÃO"))</f>
        <v>SIM</v>
      </c>
      <c r="J4031" s="341" t="str">
        <f>IF(A4031="","",VLOOKUP(A4031,VII.A!$A$10:$D$199,3,FALSE))</f>
        <v>H</v>
      </c>
      <c r="K4031" s="342" t="str">
        <f t="shared" ref="K4031:K4037" si="1039">IF(A4031="","",IF(J4031=D4031,"SIM","NÃO"))</f>
        <v>SIM</v>
      </c>
      <c r="L4031" s="380">
        <f>IF(C4031="","",G3995*C4031)</f>
        <v>111</v>
      </c>
      <c r="M4031" s="381" t="str">
        <f>IF(A4031="","",VLOOKUP(A4031,VII.A!$A$10:$B$199,2,FALSE))</f>
        <v>AJUDANTE COM ENCARGOS COMPLEMENTARES</v>
      </c>
      <c r="N4031" s="342" t="str">
        <f t="shared" ref="N4031:N4037" si="1040">IF(B4031="","",IF(M4031=B4031,"si","no"))</f>
        <v>si</v>
      </c>
      <c r="R4031" s="341"/>
      <c r="S4031" s="341"/>
    </row>
    <row r="4032" spans="1:19" ht="12.75" customHeight="1">
      <c r="A4032" s="393" t="str">
        <f>VII.A!$A$187</f>
        <v>3.7</v>
      </c>
      <c r="B4032" s="394" t="str">
        <f>VII.A!B187</f>
        <v>ENCANADOR COM ENCARGOS COMPLEMENTARES</v>
      </c>
      <c r="C4032" s="20">
        <v>0.74</v>
      </c>
      <c r="D4032" s="384" t="str">
        <f>VII.A!C187</f>
        <v>H</v>
      </c>
      <c r="E4032" s="387">
        <f>VII.A!D187</f>
        <v>0</v>
      </c>
      <c r="F4032" s="388">
        <f t="shared" si="1037"/>
        <v>0</v>
      </c>
      <c r="H4032" s="341">
        <f>IF(A4032="","",VLOOKUP(A4032,VII.A!$A$10:$D$199,4,FALSE))</f>
        <v>0</v>
      </c>
      <c r="I4032" s="341" t="str">
        <f t="shared" si="1038"/>
        <v>SIM</v>
      </c>
      <c r="J4032" s="341" t="str">
        <f>IF(A4032="","",VLOOKUP(A4032,VII.A!$A$10:$D$199,3,FALSE))</f>
        <v>H</v>
      </c>
      <c r="K4032" s="342" t="str">
        <f t="shared" si="1039"/>
        <v>SIM</v>
      </c>
      <c r="L4032" s="380">
        <f>IF(C4032="","",G3995*C4032)</f>
        <v>111</v>
      </c>
      <c r="M4032" s="381" t="str">
        <f>IF(A4032="","",VLOOKUP(A4032,VII.A!$A$10:$B$199,2,FALSE))</f>
        <v>ENCANADOR COM ENCARGOS COMPLEMENTARES</v>
      </c>
      <c r="N4032" s="342" t="str">
        <f t="shared" si="1040"/>
        <v>si</v>
      </c>
      <c r="R4032" s="341"/>
      <c r="S4032" s="341"/>
    </row>
    <row r="4033" spans="1:25" ht="12.75" customHeight="1">
      <c r="A4033" s="393"/>
      <c r="C4033" s="20"/>
      <c r="E4033" s="387"/>
      <c r="F4033" s="388">
        <f t="shared" si="1037"/>
        <v>0</v>
      </c>
      <c r="H4033" s="341" t="str">
        <f>IF(A4033="","",VLOOKUP(A4033,VII.A!$A$10:$D$199,4,FALSE))</f>
        <v/>
      </c>
      <c r="I4033" s="341" t="str">
        <f t="shared" si="1038"/>
        <v/>
      </c>
      <c r="J4033" s="341" t="str">
        <f>IF(A4033="","",VLOOKUP(A4033,VII.A!$A$10:$D$199,3,FALSE))</f>
        <v/>
      </c>
      <c r="K4033" s="342" t="str">
        <f t="shared" si="1039"/>
        <v/>
      </c>
      <c r="L4033" s="380" t="str">
        <f>IF(C4033="","",G3995*C4033)</f>
        <v/>
      </c>
      <c r="M4033" s="381" t="str">
        <f>IF(A4033="","",VLOOKUP(A4033,VII.A!$A$10:$B$199,2,FALSE))</f>
        <v/>
      </c>
      <c r="N4033" s="342" t="str">
        <f t="shared" si="1040"/>
        <v/>
      </c>
      <c r="R4033" s="341"/>
      <c r="S4033" s="341"/>
    </row>
    <row r="4034" spans="1:25" ht="12.75" customHeight="1">
      <c r="A4034" s="393"/>
      <c r="C4034" s="20"/>
      <c r="E4034" s="387"/>
      <c r="F4034" s="388">
        <f t="shared" si="1037"/>
        <v>0</v>
      </c>
      <c r="H4034" s="341" t="str">
        <f>IF(A4034="","",VLOOKUP(A4034,VII.A!$A$10:$D$199,4,FALSE))</f>
        <v/>
      </c>
      <c r="I4034" s="341" t="str">
        <f t="shared" si="1038"/>
        <v/>
      </c>
      <c r="J4034" s="341" t="str">
        <f>IF(A4034="","",VLOOKUP(A4034,VII.A!$A$10:$D$199,3,FALSE))</f>
        <v/>
      </c>
      <c r="K4034" s="342" t="str">
        <f t="shared" si="1039"/>
        <v/>
      </c>
      <c r="L4034" s="380" t="str">
        <f>IF(C4034="","",G3995*C4034)</f>
        <v/>
      </c>
      <c r="M4034" s="381" t="str">
        <f>IF(A4034="","",VLOOKUP(A4034,VII.A!$A$10:$B$199,2,FALSE))</f>
        <v/>
      </c>
      <c r="N4034" s="342" t="str">
        <f t="shared" si="1040"/>
        <v/>
      </c>
      <c r="R4034" s="341"/>
      <c r="S4034" s="341"/>
    </row>
    <row r="4035" spans="1:25" ht="12.75" customHeight="1">
      <c r="A4035" s="393"/>
      <c r="C4035" s="20"/>
      <c r="E4035" s="387"/>
      <c r="F4035" s="388">
        <f t="shared" si="1037"/>
        <v>0</v>
      </c>
      <c r="H4035" s="341" t="str">
        <f>IF(A4035="","",VLOOKUP(A4035,VII.A!$A$10:$D$199,4,FALSE))</f>
        <v/>
      </c>
      <c r="I4035" s="341" t="str">
        <f t="shared" si="1038"/>
        <v/>
      </c>
      <c r="J4035" s="341" t="str">
        <f>IF(A4035="","",VLOOKUP(A4035,VII.A!$A$10:$D$199,3,FALSE))</f>
        <v/>
      </c>
      <c r="K4035" s="342" t="str">
        <f t="shared" si="1039"/>
        <v/>
      </c>
      <c r="L4035" s="380" t="str">
        <f>IF(C4035="","",G3995*C4035)</f>
        <v/>
      </c>
      <c r="M4035" s="381" t="str">
        <f>IF(A4035="","",VLOOKUP(A4035,VII.A!$A$10:$B$199,2,FALSE))</f>
        <v/>
      </c>
      <c r="N4035" s="342" t="str">
        <f t="shared" si="1040"/>
        <v/>
      </c>
      <c r="R4035" s="341"/>
      <c r="S4035" s="341"/>
    </row>
    <row r="4036" spans="1:25" ht="12.75" customHeight="1">
      <c r="A4036" s="393"/>
      <c r="C4036" s="20"/>
      <c r="E4036" s="387"/>
      <c r="F4036" s="388">
        <f t="shared" si="1037"/>
        <v>0</v>
      </c>
      <c r="H4036" s="341" t="str">
        <f>IF(A4036="","",VLOOKUP(A4036,VII.A!$A$10:$D$199,4,FALSE))</f>
        <v/>
      </c>
      <c r="I4036" s="341" t="str">
        <f t="shared" si="1038"/>
        <v/>
      </c>
      <c r="J4036" s="341" t="str">
        <f>IF(A4036="","",VLOOKUP(A4036,VII.A!$A$10:$D$199,3,FALSE))</f>
        <v/>
      </c>
      <c r="K4036" s="342" t="str">
        <f t="shared" si="1039"/>
        <v/>
      </c>
      <c r="L4036" s="380" t="str">
        <f>IF(C4036="","",G3995*C4036)</f>
        <v/>
      </c>
      <c r="M4036" s="381" t="str">
        <f>IF(A4036="","",VLOOKUP(A4036,VII.A!$A$10:$B$199,2,FALSE))</f>
        <v/>
      </c>
      <c r="N4036" s="342" t="str">
        <f t="shared" si="1040"/>
        <v/>
      </c>
      <c r="R4036" s="341"/>
      <c r="S4036" s="341"/>
    </row>
    <row r="4037" spans="1:25" ht="12.75" customHeight="1">
      <c r="A4037" s="393"/>
      <c r="C4037" s="20"/>
      <c r="E4037" s="387"/>
      <c r="F4037" s="388">
        <f t="shared" si="1037"/>
        <v>0</v>
      </c>
      <c r="H4037" s="341" t="str">
        <f>IF(A4037="","",VLOOKUP(A4037,VII.A!$A$10:$D$199,4,FALSE))</f>
        <v/>
      </c>
      <c r="I4037" s="341" t="str">
        <f t="shared" si="1038"/>
        <v/>
      </c>
      <c r="J4037" s="341" t="str">
        <f>IF(A4037="","",VLOOKUP(A4037,VII.A!$A$10:$D$199,3,FALSE))</f>
        <v/>
      </c>
      <c r="K4037" s="342" t="str">
        <f t="shared" si="1039"/>
        <v/>
      </c>
      <c r="L4037" s="380" t="str">
        <f>IF(C4037="","",G3995*C4037)</f>
        <v/>
      </c>
      <c r="M4037" s="381" t="str">
        <f>IF(A4037="","",VLOOKUP(A4037,VII.A!$A$10:$B$199,2,FALSE))</f>
        <v/>
      </c>
      <c r="N4037" s="342" t="str">
        <f t="shared" si="1040"/>
        <v/>
      </c>
      <c r="R4037" s="341"/>
      <c r="S4037" s="341"/>
    </row>
    <row r="4038" spans="1:25" ht="12.75" customHeight="1">
      <c r="A4038" s="393"/>
      <c r="B4038" s="395" t="s">
        <v>226</v>
      </c>
      <c r="C4038" s="396"/>
      <c r="D4038" s="397"/>
      <c r="E4038" s="398"/>
      <c r="F4038" s="399">
        <f>SUM(F4031:F4037)</f>
        <v>0</v>
      </c>
      <c r="J4038" s="341"/>
      <c r="L4038" s="380"/>
      <c r="M4038" s="381"/>
      <c r="N4038" s="342"/>
      <c r="R4038" s="341"/>
      <c r="S4038" s="341"/>
    </row>
    <row r="4039" spans="1:25" ht="12.75" customHeight="1">
      <c r="A4039" s="393"/>
      <c r="B4039" s="400" t="s">
        <v>229</v>
      </c>
      <c r="C4039" s="2">
        <f>IX.A!$C$45</f>
        <v>0</v>
      </c>
      <c r="D4039" s="401"/>
      <c r="E4039" s="402"/>
      <c r="F4039" s="403">
        <f>ROUND(F4038*C4039,2)</f>
        <v>0</v>
      </c>
      <c r="J4039" s="341"/>
      <c r="L4039" s="380"/>
      <c r="M4039" s="381"/>
      <c r="N4039" s="342"/>
      <c r="R4039" s="341"/>
      <c r="S4039" s="341"/>
    </row>
    <row r="4040" spans="1:25" ht="12.75" customHeight="1">
      <c r="A4040" s="393"/>
      <c r="B4040" s="400" t="s">
        <v>53</v>
      </c>
      <c r="C4040" s="2">
        <f>$D$8</f>
        <v>0</v>
      </c>
      <c r="D4040" s="401"/>
      <c r="E4040" s="402"/>
      <c r="F4040" s="403">
        <f>ROUND(SUM(F4038:F4039)*C4040,2)</f>
        <v>0</v>
      </c>
      <c r="J4040" s="341"/>
      <c r="L4040" s="380"/>
      <c r="M4040" s="381"/>
      <c r="N4040" s="342"/>
      <c r="R4040" s="341"/>
      <c r="S4040" s="341"/>
    </row>
    <row r="4041" spans="1:25" ht="12.75" customHeight="1" thickBot="1">
      <c r="A4041" s="414"/>
      <c r="B4041" s="415" t="s">
        <v>230</v>
      </c>
      <c r="C4041" s="416"/>
      <c r="D4041" s="416"/>
      <c r="E4041" s="417"/>
      <c r="F4041" s="418">
        <f>SUM(F4038:F4040)</f>
        <v>0</v>
      </c>
      <c r="J4041" s="341"/>
      <c r="L4041" s="380"/>
      <c r="M4041" s="381"/>
      <c r="N4041" s="342"/>
      <c r="R4041" s="341"/>
      <c r="S4041" s="341"/>
    </row>
    <row r="4042" spans="1:25" ht="12.75" customHeight="1" thickBot="1">
      <c r="A4042" s="427"/>
      <c r="B4042" s="428"/>
      <c r="C4042" s="429"/>
      <c r="D4042" s="429"/>
      <c r="E4042" s="430"/>
      <c r="F4042" s="431"/>
      <c r="J4042" s="341"/>
      <c r="L4042" s="380"/>
      <c r="M4042" s="381"/>
      <c r="N4042" s="342"/>
      <c r="R4042" s="341"/>
      <c r="S4042" s="341"/>
    </row>
    <row r="4043" spans="1:25" ht="30" customHeight="1">
      <c r="A4043" s="370" t="str">
        <f>IV.A!A123</f>
        <v>4.10</v>
      </c>
      <c r="B4043" s="371" t="str">
        <f>IV.A!B123</f>
        <v>REGISTRO DE ESFERA PVC, SOLDÁVEL, COM VOLANTE, Ø 40 MM</v>
      </c>
      <c r="C4043" s="871" t="s">
        <v>237</v>
      </c>
      <c r="D4043" s="872"/>
      <c r="E4043" s="372" t="str">
        <f>IV.A!C123</f>
        <v>UN</v>
      </c>
      <c r="F4043" s="11">
        <f>ROUND(F4063+F4077+F4089,2)</f>
        <v>0</v>
      </c>
      <c r="G4043" s="1">
        <f>VLOOKUP(A4043,IV.A!$A$16:$L$172,4,FALSE)</f>
        <v>25</v>
      </c>
      <c r="H4043" s="361">
        <f>SUM(F4045:F4060)+F4062</f>
        <v>0</v>
      </c>
      <c r="I4043" s="361">
        <f>SUM(F4065:F4074)+F4076</f>
        <v>0</v>
      </c>
      <c r="J4043" s="361">
        <f>SUM(F4079:F4085)+F4087+F4088</f>
        <v>0</v>
      </c>
      <c r="K4043" s="361">
        <f>SUM(H4043:J4043)</f>
        <v>0</v>
      </c>
      <c r="L4043" s="362" t="str">
        <f>IF(K4043=F4043,"SIM","NÃO")</f>
        <v>SIM</v>
      </c>
      <c r="M4043" s="373">
        <f>ROUND(SUM(F4045:F4060),2)+ROUND(SUM(F4045:F4060)*C4062,2)+ROUND(SUM(F4065:F4074)*C4076,2)+ROUND(SUM(F4065:F4074),2)+ROUND(SUM(F4079:F4085)*C4087,2)+ROUND((SUM(F4079:F4085)+ROUND(SUM(F4079:F4085)*C4087,2))*C4088,2)+ROUND(SUM(F4079:F4085),2)</f>
        <v>0</v>
      </c>
      <c r="N4043" s="343" t="str">
        <f>IF(M4043=F4043,"SIM","NÃO")</f>
        <v>SIM</v>
      </c>
      <c r="O4043" s="364" t="str">
        <f>VLOOKUP(A4043,IV.A!$A$16:$E$172,3,FALSE)</f>
        <v>UN</v>
      </c>
      <c r="P4043" s="344" t="str">
        <f>IF(O4043=E4043,"SIM","NÃO")</f>
        <v>SIM</v>
      </c>
      <c r="Q4043" s="365">
        <f>ROUND(G4043*F4063,2)+ROUND(G4043*F4077,2)+ROUND(G4043*F4089,2)</f>
        <v>0</v>
      </c>
      <c r="R4043" s="364">
        <f>VLOOKUP(A4043,IV.A!$A$16:$L$172,12,FALSE)</f>
        <v>0</v>
      </c>
      <c r="S4043" s="366" t="str">
        <f>IF(Q4043=R4043,"si","no")</f>
        <v>si</v>
      </c>
      <c r="T4043" s="367">
        <f>SUM(L4045:L4060)+SUM(L4065:L4074)+SUM(L4079:L4085)</f>
        <v>34.14411764705882</v>
      </c>
      <c r="U4043" s="341">
        <f>(SUM(C4045:C4060)+SUM(C4065:C4074)+SUM(C4079:C4085))*G4043</f>
        <v>34.144117647058827</v>
      </c>
      <c r="V4043" s="368" t="str">
        <f>IF(T4043=U4043,"si","no")</f>
        <v>si</v>
      </c>
      <c r="W4043" s="369">
        <f>SUM(F4045:F4060)</f>
        <v>0</v>
      </c>
      <c r="X4043" s="369">
        <f>SUM(F4065:F4074)</f>
        <v>0</v>
      </c>
      <c r="Y4043" s="369">
        <f>SUM(F4079:F4085)</f>
        <v>0</v>
      </c>
    </row>
    <row r="4044" spans="1:25" ht="12.75" customHeight="1">
      <c r="A4044" s="374" t="s">
        <v>14</v>
      </c>
      <c r="B4044" s="375" t="s">
        <v>132</v>
      </c>
      <c r="C4044" s="376" t="s">
        <v>231</v>
      </c>
      <c r="D4044" s="376" t="s">
        <v>232</v>
      </c>
      <c r="E4044" s="377" t="s">
        <v>233</v>
      </c>
      <c r="F4044" s="378" t="s">
        <v>234</v>
      </c>
      <c r="G4044" s="379"/>
      <c r="J4044" s="341"/>
      <c r="L4044" s="380"/>
      <c r="M4044" s="381"/>
      <c r="N4044" s="342"/>
      <c r="O4044" s="382"/>
      <c r="P4044" s="383"/>
      <c r="Q4044" s="383"/>
      <c r="R4044" s="383"/>
      <c r="S4044" s="383"/>
      <c r="T4044" s="382"/>
      <c r="U4044" s="341"/>
      <c r="V4044" s="384"/>
      <c r="W4044" s="384"/>
      <c r="X4044" s="384"/>
      <c r="Y4044" s="384"/>
    </row>
    <row r="4045" spans="1:25" ht="12.75" customHeight="1">
      <c r="A4045" s="385" t="str">
        <f>VII.A!$A$11</f>
        <v>1.2</v>
      </c>
      <c r="B4045" s="386" t="str">
        <f>VLOOKUP(A4045,VII.A!$A$10:$G$199,2,FALSE)</f>
        <v>ADESIVO PARA TUBO EM PVC - FRASCO 850 GR.</v>
      </c>
      <c r="C4045" s="20">
        <f>10/850</f>
        <v>1.1764705882352941E-2</v>
      </c>
      <c r="D4045" s="342" t="str">
        <f>VII.A!C11</f>
        <v>UN</v>
      </c>
      <c r="E4045" s="387">
        <f>VII.A!D11</f>
        <v>0</v>
      </c>
      <c r="F4045" s="388">
        <f>ROUND(C4045*E4045,2)</f>
        <v>0</v>
      </c>
      <c r="H4045" s="341">
        <f>IF(A4045="","",VLOOKUP(A4045,VII.A!$A$10:$D$199,4,FALSE))</f>
        <v>0</v>
      </c>
      <c r="I4045" s="341" t="str">
        <f t="shared" ref="I4045:I4060" si="1041">IF(A4045="","",IF(E4045=H4045,"SIM","NÃO"))</f>
        <v>SIM</v>
      </c>
      <c r="J4045" s="341" t="str">
        <f>IF(A4045="","",VLOOKUP(A4045,VII.A!$A$10:$D$199,3,FALSE))</f>
        <v>UN</v>
      </c>
      <c r="K4045" s="342" t="str">
        <f t="shared" ref="K4045:K4060" si="1042">IF(A4045="","",IF(J4045=D4045,"SIM","NÃO"))</f>
        <v>SIM</v>
      </c>
      <c r="L4045" s="380">
        <f>IF(C4045="","",G4043*C4045)</f>
        <v>0.29411764705882354</v>
      </c>
      <c r="M4045" s="381" t="str">
        <f>IF(A4045="","",VLOOKUP(A4045,VII.A!$A$10:$B$199,2,FALSE))</f>
        <v>ADESIVO PARA TUBO EM PVC - FRASCO 850 GR.</v>
      </c>
      <c r="N4045" s="342" t="str">
        <f t="shared" ref="N4045:N4060" si="1043">IF(B4045="","",IF(M4045=B4045,"si","no"))</f>
        <v>si</v>
      </c>
      <c r="R4045" s="341"/>
      <c r="S4045" s="341"/>
    </row>
    <row r="4046" spans="1:25" ht="12.75" customHeight="1">
      <c r="A4046" s="385" t="str">
        <f>VII.A!$A$94</f>
        <v>1.84</v>
      </c>
      <c r="B4046" s="386" t="str">
        <f>VLOOKUP(A4046,VII.A!$A$10:$G$199,2,FALSE)</f>
        <v>REGISTRO PVC DE ESFERA SOLDÁVEL, COM VOLANTE, Ø 40 MM</v>
      </c>
      <c r="C4046" s="20">
        <v>1</v>
      </c>
      <c r="D4046" s="342" t="str">
        <f>VLOOKUP(A4046,VII.A!$A$10:$G$199,3,FALSE)</f>
        <v xml:space="preserve">UN </v>
      </c>
      <c r="E4046" s="387">
        <f>VII.A!D94</f>
        <v>0</v>
      </c>
      <c r="F4046" s="388">
        <f t="shared" ref="F4046:F4060" si="1044">ROUND(C4046*E4046,2)</f>
        <v>0</v>
      </c>
      <c r="H4046" s="341">
        <f>IF(A4046="","",VLOOKUP(A4046,VII.A!$A$10:$D$199,4,FALSE))</f>
        <v>0</v>
      </c>
      <c r="I4046" s="341" t="str">
        <f t="shared" si="1041"/>
        <v>SIM</v>
      </c>
      <c r="J4046" s="341" t="str">
        <f>IF(A4046="","",VLOOKUP(A4046,VII.A!$A$10:$D$199,3,FALSE))</f>
        <v xml:space="preserve">UN </v>
      </c>
      <c r="K4046" s="342" t="str">
        <f t="shared" si="1042"/>
        <v>SIM</v>
      </c>
      <c r="L4046" s="380">
        <f>IF(C4046="","",G4043*C4046)</f>
        <v>25</v>
      </c>
      <c r="M4046" s="381" t="str">
        <f>IF(A4046="","",VLOOKUP(A4046,VII.A!$A$10:$B$199,2,FALSE))</f>
        <v>REGISTRO PVC DE ESFERA SOLDÁVEL, COM VOLANTE, Ø 40 MM</v>
      </c>
      <c r="N4046" s="342" t="str">
        <f t="shared" si="1043"/>
        <v>si</v>
      </c>
      <c r="R4046" s="341"/>
      <c r="S4046" s="341"/>
    </row>
    <row r="4047" spans="1:25" ht="12.75" customHeight="1">
      <c r="A4047" s="385" t="str">
        <f>VII.A!$A$100</f>
        <v>1.90</v>
      </c>
      <c r="B4047" s="386" t="str">
        <f>VII.A!B100</f>
        <v>SOLUCAO LIMPADORA PARA PVC, FRASCO COM 1000 CM3</v>
      </c>
      <c r="C4047" s="20">
        <v>1.4E-2</v>
      </c>
      <c r="D4047" s="342" t="str">
        <f>VII.A!C100</f>
        <v xml:space="preserve">UN </v>
      </c>
      <c r="E4047" s="387">
        <f>VII.A!D100</f>
        <v>0</v>
      </c>
      <c r="F4047" s="388">
        <f t="shared" si="1044"/>
        <v>0</v>
      </c>
      <c r="H4047" s="341">
        <f>IF(A4047="","",VLOOKUP(A4047,VII.A!$A$10:$D$199,4,FALSE))</f>
        <v>0</v>
      </c>
      <c r="I4047" s="341" t="str">
        <f t="shared" si="1041"/>
        <v>SIM</v>
      </c>
      <c r="J4047" s="341" t="str">
        <f>IF(A4047="","",VLOOKUP(A4047,VII.A!$A$10:$D$199,3,FALSE))</f>
        <v xml:space="preserve">UN </v>
      </c>
      <c r="K4047" s="342" t="str">
        <f t="shared" si="1042"/>
        <v>SIM</v>
      </c>
      <c r="L4047" s="380">
        <f>IF(C4047="","",G4043*C4047)</f>
        <v>0.35000000000000003</v>
      </c>
      <c r="M4047" s="381" t="str">
        <f>IF(A4047="","",VLOOKUP(A4047,VII.A!$A$10:$B$199,2,FALSE))</f>
        <v>SOLUCAO LIMPADORA PARA PVC, FRASCO COM 1000 CM3</v>
      </c>
      <c r="N4047" s="342" t="str">
        <f t="shared" si="1043"/>
        <v>si</v>
      </c>
      <c r="R4047" s="341"/>
      <c r="S4047" s="341"/>
    </row>
    <row r="4048" spans="1:25" ht="12.75" customHeight="1">
      <c r="A4048" s="385"/>
      <c r="B4048" s="386"/>
      <c r="C4048" s="20"/>
      <c r="D4048" s="342"/>
      <c r="E4048" s="387"/>
      <c r="F4048" s="388">
        <f t="shared" si="1044"/>
        <v>0</v>
      </c>
      <c r="H4048" s="341" t="str">
        <f>IF(A4048="","",VLOOKUP(A4048,VII.A!$A$10:$D$199,4,FALSE))</f>
        <v/>
      </c>
      <c r="I4048" s="341" t="str">
        <f t="shared" si="1041"/>
        <v/>
      </c>
      <c r="J4048" s="341" t="str">
        <f>IF(A4048="","",VLOOKUP(A4048,VII.A!$A$10:$D$199,3,FALSE))</f>
        <v/>
      </c>
      <c r="K4048" s="342" t="str">
        <f t="shared" si="1042"/>
        <v/>
      </c>
      <c r="L4048" s="380" t="str">
        <f>IF(C4048="","",G4043*C4048)</f>
        <v/>
      </c>
      <c r="M4048" s="381" t="str">
        <f>IF(A4048="","",VLOOKUP(A4048,VII.A!$A$10:$B$199,2,FALSE))</f>
        <v/>
      </c>
      <c r="N4048" s="342" t="str">
        <f t="shared" si="1043"/>
        <v/>
      </c>
      <c r="R4048" s="341"/>
      <c r="S4048" s="341"/>
    </row>
    <row r="4049" spans="1:21" ht="12.75" customHeight="1">
      <c r="A4049" s="385"/>
      <c r="B4049" s="386"/>
      <c r="C4049" s="20"/>
      <c r="D4049" s="342"/>
      <c r="E4049" s="387"/>
      <c r="F4049" s="388">
        <f t="shared" si="1044"/>
        <v>0</v>
      </c>
      <c r="H4049" s="341" t="str">
        <f>IF(A4049="","",VLOOKUP(A4049,VII.A!$A$10:$D$199,4,FALSE))</f>
        <v/>
      </c>
      <c r="I4049" s="341" t="str">
        <f t="shared" si="1041"/>
        <v/>
      </c>
      <c r="J4049" s="341" t="str">
        <f>IF(A4049="","",VLOOKUP(A4049,VII.A!$A$10:$D$199,3,FALSE))</f>
        <v/>
      </c>
      <c r="K4049" s="342" t="str">
        <f t="shared" si="1042"/>
        <v/>
      </c>
      <c r="L4049" s="380" t="str">
        <f>IF(C4049="","",G4043*C4049)</f>
        <v/>
      </c>
      <c r="M4049" s="381" t="str">
        <f>IF(A4049="","",VLOOKUP(A4049,VII.A!$A$10:$B$199,2,FALSE))</f>
        <v/>
      </c>
      <c r="N4049" s="342" t="str">
        <f t="shared" si="1043"/>
        <v/>
      </c>
      <c r="R4049" s="341"/>
      <c r="S4049" s="341"/>
    </row>
    <row r="4050" spans="1:21" ht="12.75" customHeight="1">
      <c r="A4050" s="385"/>
      <c r="B4050" s="386"/>
      <c r="C4050" s="20"/>
      <c r="D4050" s="342"/>
      <c r="E4050" s="387"/>
      <c r="F4050" s="388">
        <f t="shared" si="1044"/>
        <v>0</v>
      </c>
      <c r="H4050" s="341" t="str">
        <f>IF(A4050="","",VLOOKUP(A4050,VII.A!$A$10:$D$199,4,FALSE))</f>
        <v/>
      </c>
      <c r="I4050" s="341" t="str">
        <f t="shared" si="1041"/>
        <v/>
      </c>
      <c r="J4050" s="341" t="str">
        <f>IF(A4050="","",VLOOKUP(A4050,VII.A!$A$10:$D$199,3,FALSE))</f>
        <v/>
      </c>
      <c r="K4050" s="342" t="str">
        <f t="shared" si="1042"/>
        <v/>
      </c>
      <c r="L4050" s="380" t="str">
        <f>IF(C4050="","",G4043*C4050)</f>
        <v/>
      </c>
      <c r="M4050" s="381" t="str">
        <f>IF(A4050="","",VLOOKUP(A4050,VII.A!$A$10:$B$199,2,FALSE))</f>
        <v/>
      </c>
      <c r="N4050" s="342" t="str">
        <f t="shared" si="1043"/>
        <v/>
      </c>
      <c r="R4050" s="341"/>
      <c r="S4050" s="341"/>
      <c r="U4050" s="389"/>
    </row>
    <row r="4051" spans="1:21" ht="12.75" customHeight="1">
      <c r="A4051" s="385"/>
      <c r="B4051" s="386"/>
      <c r="C4051" s="20"/>
      <c r="D4051" s="342"/>
      <c r="E4051" s="387"/>
      <c r="F4051" s="388">
        <f t="shared" si="1044"/>
        <v>0</v>
      </c>
      <c r="H4051" s="341" t="str">
        <f>IF(A4051="","",VLOOKUP(A4051,VII.A!$A$10:$D$199,4,FALSE))</f>
        <v/>
      </c>
      <c r="I4051" s="341" t="str">
        <f t="shared" si="1041"/>
        <v/>
      </c>
      <c r="J4051" s="341" t="str">
        <f>IF(A4051="","",VLOOKUP(A4051,VII.A!$A$10:$D$199,3,FALSE))</f>
        <v/>
      </c>
      <c r="K4051" s="342" t="str">
        <f t="shared" si="1042"/>
        <v/>
      </c>
      <c r="L4051" s="380" t="str">
        <f>IF(C4051="","",G4043*C4051)</f>
        <v/>
      </c>
      <c r="M4051" s="381" t="str">
        <f>IF(A4051="","",VLOOKUP(A4051,VII.A!$A$10:$B$199,2,FALSE))</f>
        <v/>
      </c>
      <c r="N4051" s="342" t="str">
        <f t="shared" si="1043"/>
        <v/>
      </c>
      <c r="R4051" s="341"/>
      <c r="S4051" s="341"/>
    </row>
    <row r="4052" spans="1:21" ht="12.75" customHeight="1">
      <c r="A4052" s="385"/>
      <c r="B4052" s="386"/>
      <c r="C4052" s="20"/>
      <c r="D4052" s="342"/>
      <c r="E4052" s="387"/>
      <c r="F4052" s="388">
        <f t="shared" si="1044"/>
        <v>0</v>
      </c>
      <c r="G4052" s="390"/>
      <c r="H4052" s="341" t="str">
        <f>IF(A4052="","",VLOOKUP(A4052,VII.A!$A$10:$D$199,4,FALSE))</f>
        <v/>
      </c>
      <c r="I4052" s="341" t="str">
        <f t="shared" si="1041"/>
        <v/>
      </c>
      <c r="J4052" s="341" t="str">
        <f>IF(A4052="","",VLOOKUP(A4052,VII.A!$A$10:$D$199,3,FALSE))</f>
        <v/>
      </c>
      <c r="K4052" s="342" t="str">
        <f t="shared" si="1042"/>
        <v/>
      </c>
      <c r="L4052" s="380" t="str">
        <f>IF(C4052="","",G4043*C4052)</f>
        <v/>
      </c>
      <c r="M4052" s="381" t="str">
        <f>IF(A4052="","",VLOOKUP(A4052,VII.A!$A$10:$B$199,2,FALSE))</f>
        <v/>
      </c>
      <c r="N4052" s="342" t="str">
        <f t="shared" si="1043"/>
        <v/>
      </c>
      <c r="R4052" s="341"/>
      <c r="S4052" s="341"/>
    </row>
    <row r="4053" spans="1:21" ht="12.75" customHeight="1">
      <c r="A4053" s="385"/>
      <c r="B4053" s="386"/>
      <c r="C4053" s="20"/>
      <c r="D4053" s="342"/>
      <c r="E4053" s="387"/>
      <c r="F4053" s="388">
        <f t="shared" si="1044"/>
        <v>0</v>
      </c>
      <c r="G4053" s="390"/>
      <c r="H4053" s="341" t="str">
        <f>IF(A4053="","",VLOOKUP(A4053,VII.A!$A$10:$D$199,4,FALSE))</f>
        <v/>
      </c>
      <c r="I4053" s="341" t="str">
        <f t="shared" si="1041"/>
        <v/>
      </c>
      <c r="J4053" s="341" t="str">
        <f>IF(A4053="","",VLOOKUP(A4053,VII.A!$A$10:$D$199,3,FALSE))</f>
        <v/>
      </c>
      <c r="K4053" s="342" t="str">
        <f t="shared" si="1042"/>
        <v/>
      </c>
      <c r="L4053" s="380" t="str">
        <f>IF(C4053="","",G4043*C4053)</f>
        <v/>
      </c>
      <c r="M4053" s="381" t="str">
        <f>IF(A4053="","",VLOOKUP(A4053,VII.A!$A$10:$B$199,2,FALSE))</f>
        <v/>
      </c>
      <c r="N4053" s="342" t="str">
        <f t="shared" si="1043"/>
        <v/>
      </c>
      <c r="R4053" s="341"/>
      <c r="S4053" s="341"/>
    </row>
    <row r="4054" spans="1:21" ht="12.75" customHeight="1">
      <c r="A4054" s="385"/>
      <c r="B4054" s="386"/>
      <c r="C4054" s="20"/>
      <c r="D4054" s="342"/>
      <c r="E4054" s="387"/>
      <c r="F4054" s="388">
        <f t="shared" si="1044"/>
        <v>0</v>
      </c>
      <c r="G4054" s="391"/>
      <c r="H4054" s="341" t="str">
        <f>IF(A4054="","",VLOOKUP(A4054,VII.A!$A$10:$D$199,4,FALSE))</f>
        <v/>
      </c>
      <c r="I4054" s="341" t="str">
        <f t="shared" si="1041"/>
        <v/>
      </c>
      <c r="J4054" s="341" t="str">
        <f>IF(A4054="","",VLOOKUP(A4054,VII.A!$A$10:$D$199,3,FALSE))</f>
        <v/>
      </c>
      <c r="K4054" s="342" t="str">
        <f t="shared" si="1042"/>
        <v/>
      </c>
      <c r="L4054" s="380" t="str">
        <f>IF(C4054="","",G4043*C4054)</f>
        <v/>
      </c>
      <c r="M4054" s="381" t="str">
        <f>IF(A4054="","",VLOOKUP(A4054,VII.A!$A$10:$B$199,2,FALSE))</f>
        <v/>
      </c>
      <c r="N4054" s="342" t="str">
        <f t="shared" si="1043"/>
        <v/>
      </c>
      <c r="R4054" s="341"/>
      <c r="S4054" s="341"/>
    </row>
    <row r="4055" spans="1:21" ht="12.75" customHeight="1">
      <c r="A4055" s="385"/>
      <c r="B4055" s="386"/>
      <c r="C4055" s="20"/>
      <c r="D4055" s="342"/>
      <c r="E4055" s="387"/>
      <c r="F4055" s="388">
        <f t="shared" si="1044"/>
        <v>0</v>
      </c>
      <c r="H4055" s="341" t="str">
        <f>IF(A4055="","",VLOOKUP(A4055,VII.A!$A$10:$D$199,4,FALSE))</f>
        <v/>
      </c>
      <c r="I4055" s="341" t="str">
        <f t="shared" si="1041"/>
        <v/>
      </c>
      <c r="J4055" s="341" t="str">
        <f>IF(A4055="","",VLOOKUP(A4055,VII.A!$A$10:$D$199,3,FALSE))</f>
        <v/>
      </c>
      <c r="K4055" s="342" t="str">
        <f t="shared" si="1042"/>
        <v/>
      </c>
      <c r="L4055" s="380" t="str">
        <f>IF(C4055="","",G4043*C4055)</f>
        <v/>
      </c>
      <c r="M4055" s="381" t="str">
        <f>IF(A4055="","",VLOOKUP(A4055,VII.A!$A$10:$B$199,2,FALSE))</f>
        <v/>
      </c>
      <c r="N4055" s="342" t="str">
        <f t="shared" si="1043"/>
        <v/>
      </c>
      <c r="R4055" s="341"/>
      <c r="S4055" s="341"/>
    </row>
    <row r="4056" spans="1:21" ht="12.75" customHeight="1">
      <c r="A4056" s="385"/>
      <c r="B4056" s="386"/>
      <c r="C4056" s="20"/>
      <c r="D4056" s="392"/>
      <c r="E4056" s="387"/>
      <c r="F4056" s="388">
        <f t="shared" si="1044"/>
        <v>0</v>
      </c>
      <c r="H4056" s="341" t="str">
        <f>IF(A4056="","",VLOOKUP(A4056,VII.A!$A$10:$D$199,4,FALSE))</f>
        <v/>
      </c>
      <c r="I4056" s="341" t="str">
        <f t="shared" si="1041"/>
        <v/>
      </c>
      <c r="J4056" s="341" t="str">
        <f>IF(A4056="","",VLOOKUP(A4056,VII.A!$A$10:$D$199,3,FALSE))</f>
        <v/>
      </c>
      <c r="K4056" s="342" t="str">
        <f t="shared" si="1042"/>
        <v/>
      </c>
      <c r="L4056" s="380" t="str">
        <f>IF(C4056="","",G4043*C4056)</f>
        <v/>
      </c>
      <c r="M4056" s="381" t="str">
        <f>IF(A4056="","",VLOOKUP(A4056,VII.A!$A$10:$B$199,2,FALSE))</f>
        <v/>
      </c>
      <c r="N4056" s="342" t="str">
        <f t="shared" si="1043"/>
        <v/>
      </c>
      <c r="R4056" s="341"/>
      <c r="S4056" s="341"/>
    </row>
    <row r="4057" spans="1:21" ht="12.75" customHeight="1">
      <c r="A4057" s="385"/>
      <c r="B4057" s="386"/>
      <c r="C4057" s="20"/>
      <c r="D4057" s="392"/>
      <c r="E4057" s="387"/>
      <c r="F4057" s="388">
        <f t="shared" si="1044"/>
        <v>0</v>
      </c>
      <c r="H4057" s="341" t="str">
        <f>IF(A4057="","",VLOOKUP(A4057,VII.A!$A$10:$D$199,4,FALSE))</f>
        <v/>
      </c>
      <c r="I4057" s="341" t="str">
        <f t="shared" si="1041"/>
        <v/>
      </c>
      <c r="J4057" s="341" t="str">
        <f>IF(A4057="","",VLOOKUP(A4057,VII.A!$A$10:$D$199,3,FALSE))</f>
        <v/>
      </c>
      <c r="K4057" s="342" t="str">
        <f t="shared" si="1042"/>
        <v/>
      </c>
      <c r="L4057" s="380" t="str">
        <f>IF(C4057="","",G4043*C4057)</f>
        <v/>
      </c>
      <c r="M4057" s="381" t="str">
        <f>IF(A4057="","",VLOOKUP(A4057,VII.A!$A$10:$B$199,2,FALSE))</f>
        <v/>
      </c>
      <c r="N4057" s="342" t="str">
        <f t="shared" si="1043"/>
        <v/>
      </c>
      <c r="O4057" s="342"/>
      <c r="R4057" s="341"/>
      <c r="S4057" s="341"/>
    </row>
    <row r="4058" spans="1:21" ht="12.75" customHeight="1">
      <c r="A4058" s="385"/>
      <c r="B4058" s="386"/>
      <c r="C4058" s="20"/>
      <c r="D4058" s="392"/>
      <c r="E4058" s="387"/>
      <c r="F4058" s="388">
        <f t="shared" si="1044"/>
        <v>0</v>
      </c>
      <c r="H4058" s="341" t="str">
        <f>IF(A4058="","",VLOOKUP(A4058,VII.A!$A$10:$D$199,4,FALSE))</f>
        <v/>
      </c>
      <c r="I4058" s="341" t="str">
        <f t="shared" si="1041"/>
        <v/>
      </c>
      <c r="J4058" s="341" t="str">
        <f>IF(A4058="","",VLOOKUP(A4058,VII.A!$A$10:$D$199,3,FALSE))</f>
        <v/>
      </c>
      <c r="K4058" s="342" t="str">
        <f t="shared" si="1042"/>
        <v/>
      </c>
      <c r="L4058" s="380" t="str">
        <f>IF(C4058="","",G4043*C4058)</f>
        <v/>
      </c>
      <c r="M4058" s="381" t="str">
        <f>IF(A4058="","",VLOOKUP(A4058,VII.A!$A$10:$B$199,2,FALSE))</f>
        <v/>
      </c>
      <c r="N4058" s="342" t="str">
        <f t="shared" si="1043"/>
        <v/>
      </c>
      <c r="R4058" s="341"/>
      <c r="S4058" s="341"/>
    </row>
    <row r="4059" spans="1:21" ht="12.75" customHeight="1">
      <c r="A4059" s="393"/>
      <c r="C4059" s="20"/>
      <c r="E4059" s="387"/>
      <c r="F4059" s="388">
        <f t="shared" si="1044"/>
        <v>0</v>
      </c>
      <c r="H4059" s="341" t="str">
        <f>IF(A4059="","",VLOOKUP(A4059,VII.A!$A$10:$D$199,4,FALSE))</f>
        <v/>
      </c>
      <c r="I4059" s="341" t="str">
        <f t="shared" si="1041"/>
        <v/>
      </c>
      <c r="J4059" s="341" t="str">
        <f>IF(A4059="","",VLOOKUP(A4059,VII.A!$A$10:$D$199,3,FALSE))</f>
        <v/>
      </c>
      <c r="K4059" s="342" t="str">
        <f t="shared" si="1042"/>
        <v/>
      </c>
      <c r="L4059" s="380" t="str">
        <f>IF(C4059="","",G4043*C4059)</f>
        <v/>
      </c>
      <c r="M4059" s="381" t="str">
        <f>IF(A4059="","",VLOOKUP(A4059,VII.A!$A$10:$B$199,2,FALSE))</f>
        <v/>
      </c>
      <c r="N4059" s="342" t="str">
        <f t="shared" si="1043"/>
        <v/>
      </c>
      <c r="R4059" s="341"/>
      <c r="S4059" s="341"/>
    </row>
    <row r="4060" spans="1:21" ht="12.75" customHeight="1">
      <c r="A4060" s="393"/>
      <c r="C4060" s="20"/>
      <c r="E4060" s="387"/>
      <c r="F4060" s="388">
        <f t="shared" si="1044"/>
        <v>0</v>
      </c>
      <c r="H4060" s="341" t="str">
        <f>IF(A4060="","",VLOOKUP(A4060,VII.A!$A$10:$D$199,4,FALSE))</f>
        <v/>
      </c>
      <c r="I4060" s="341" t="str">
        <f t="shared" si="1041"/>
        <v/>
      </c>
      <c r="J4060" s="341" t="str">
        <f>IF(A4060="","",VLOOKUP(A4060,VII.A!$A$10:$D$199,3,FALSE))</f>
        <v/>
      </c>
      <c r="K4060" s="342" t="str">
        <f t="shared" si="1042"/>
        <v/>
      </c>
      <c r="L4060" s="380" t="str">
        <f>IF(C4060="","",G4043*C4060)</f>
        <v/>
      </c>
      <c r="M4060" s="381" t="str">
        <f>IF(A4060="","",VLOOKUP(A4060,VII.A!$A$10:$B$199,2,FALSE))</f>
        <v/>
      </c>
      <c r="N4060" s="342" t="str">
        <f t="shared" si="1043"/>
        <v/>
      </c>
      <c r="R4060" s="341"/>
      <c r="S4060" s="341"/>
    </row>
    <row r="4061" spans="1:21" ht="12.75" customHeight="1">
      <c r="A4061" s="393"/>
      <c r="B4061" s="395" t="s">
        <v>226</v>
      </c>
      <c r="C4061" s="396"/>
      <c r="D4061" s="397"/>
      <c r="E4061" s="398"/>
      <c r="F4061" s="399">
        <f>SUM(F4045:F4060)</f>
        <v>0</v>
      </c>
      <c r="H4061" s="426" t="s">
        <v>445</v>
      </c>
      <c r="J4061" s="341"/>
      <c r="L4061" s="380"/>
      <c r="M4061" s="381"/>
      <c r="N4061" s="342"/>
      <c r="R4061" s="341"/>
      <c r="S4061" s="341"/>
    </row>
    <row r="4062" spans="1:21" ht="12.75" customHeight="1">
      <c r="A4062" s="393"/>
      <c r="B4062" s="400" t="s">
        <v>53</v>
      </c>
      <c r="C4062" s="2">
        <f>$D$8</f>
        <v>0</v>
      </c>
      <c r="D4062" s="401"/>
      <c r="E4062" s="402"/>
      <c r="F4062" s="403">
        <f>ROUND(F4061*C4062,2)</f>
        <v>0</v>
      </c>
      <c r="J4062" s="341"/>
      <c r="L4062" s="380"/>
      <c r="M4062" s="381"/>
      <c r="N4062" s="342"/>
      <c r="R4062" s="341"/>
      <c r="S4062" s="341"/>
    </row>
    <row r="4063" spans="1:21" ht="12.75" customHeight="1">
      <c r="A4063" s="404"/>
      <c r="B4063" s="405" t="s">
        <v>227</v>
      </c>
      <c r="C4063" s="406"/>
      <c r="D4063" s="406"/>
      <c r="E4063" s="407"/>
      <c r="F4063" s="408">
        <f>F4061+F4062</f>
        <v>0</v>
      </c>
      <c r="J4063" s="341"/>
      <c r="L4063" s="380"/>
      <c r="M4063" s="381"/>
      <c r="N4063" s="342"/>
      <c r="R4063" s="341"/>
      <c r="S4063" s="341"/>
    </row>
    <row r="4064" spans="1:21" ht="12.75" customHeight="1">
      <c r="A4064" s="374" t="s">
        <v>2</v>
      </c>
      <c r="B4064" s="375" t="s">
        <v>235</v>
      </c>
      <c r="C4064" s="376" t="s">
        <v>231</v>
      </c>
      <c r="D4064" s="376" t="s">
        <v>232</v>
      </c>
      <c r="E4064" s="377" t="s">
        <v>233</v>
      </c>
      <c r="F4064" s="378" t="s">
        <v>234</v>
      </c>
      <c r="J4064" s="341"/>
      <c r="L4064" s="380"/>
      <c r="M4064" s="381"/>
      <c r="N4064" s="342"/>
      <c r="R4064" s="341"/>
      <c r="S4064" s="341"/>
    </row>
    <row r="4065" spans="1:19" ht="12.75" customHeight="1">
      <c r="A4065" s="393"/>
      <c r="B4065" s="423"/>
      <c r="C4065" s="20"/>
      <c r="E4065" s="387"/>
      <c r="F4065" s="388">
        <f t="shared" ref="F4065:F4074" si="1045">ROUND(C4065*E4065,2)</f>
        <v>0</v>
      </c>
      <c r="H4065" s="341" t="str">
        <f>IF(A4065="","",VLOOKUP(A4065,VII.A!$A$10:$D$199,4,FALSE))</f>
        <v/>
      </c>
      <c r="I4065" s="341" t="str">
        <f t="shared" ref="I4065:I4074" si="1046">IF(A4065="","",IF(E4065=H4065,"SIM","NÃO"))</f>
        <v/>
      </c>
      <c r="J4065" s="341" t="str">
        <f>IF(A4065="","",VLOOKUP(A4065,VII.A!$A$10:$D$199,3,FALSE))</f>
        <v/>
      </c>
      <c r="K4065" s="342" t="str">
        <f t="shared" ref="K4065:K4074" si="1047">IF(A4065="","",IF(J4065=D4065,"SIM","NÃO"))</f>
        <v/>
      </c>
      <c r="L4065" s="380" t="str">
        <f>IF(C4065="","",G4043*C4065)</f>
        <v/>
      </c>
      <c r="M4065" s="381" t="str">
        <f>IF(A4065="","",VLOOKUP(A4065,VII.A!$A$10:$B$199,2,FALSE))</f>
        <v/>
      </c>
      <c r="N4065" s="342" t="str">
        <f t="shared" ref="N4065:N4074" si="1048">IF(B4065="","",IF(M4065=B4065,"si","no"))</f>
        <v/>
      </c>
      <c r="R4065" s="341"/>
      <c r="S4065" s="341"/>
    </row>
    <row r="4066" spans="1:19" ht="12.75" customHeight="1">
      <c r="A4066" s="393"/>
      <c r="C4066" s="20"/>
      <c r="E4066" s="387"/>
      <c r="F4066" s="388">
        <f t="shared" si="1045"/>
        <v>0</v>
      </c>
      <c r="H4066" s="341" t="str">
        <f>IF(A4066="","",VLOOKUP(A4066,VII.A!$A$10:$D$199,4,FALSE))</f>
        <v/>
      </c>
      <c r="I4066" s="341" t="str">
        <f t="shared" si="1046"/>
        <v/>
      </c>
      <c r="J4066" s="341" t="str">
        <f>IF(A4066="","",VLOOKUP(A4066,VII.A!$A$10:$D$199,3,FALSE))</f>
        <v/>
      </c>
      <c r="K4066" s="342" t="str">
        <f t="shared" si="1047"/>
        <v/>
      </c>
      <c r="L4066" s="380" t="str">
        <f>IF(C4066="","",G4043*C4066)</f>
        <v/>
      </c>
      <c r="M4066" s="381" t="str">
        <f>IF(A4066="","",VLOOKUP(A4066,VII.A!$A$10:$B$199,2,FALSE))</f>
        <v/>
      </c>
      <c r="N4066" s="342" t="str">
        <f t="shared" si="1048"/>
        <v/>
      </c>
      <c r="R4066" s="341"/>
      <c r="S4066" s="341"/>
    </row>
    <row r="4067" spans="1:19" ht="12.75" customHeight="1">
      <c r="A4067" s="393"/>
      <c r="C4067" s="20"/>
      <c r="E4067" s="387"/>
      <c r="F4067" s="388">
        <f t="shared" si="1045"/>
        <v>0</v>
      </c>
      <c r="H4067" s="341" t="str">
        <f>IF(A4067="","",VLOOKUP(A4067,VII.A!$A$10:$D$199,4,FALSE))</f>
        <v/>
      </c>
      <c r="I4067" s="341" t="str">
        <f t="shared" si="1046"/>
        <v/>
      </c>
      <c r="J4067" s="341" t="str">
        <f>IF(A4067="","",VLOOKUP(A4067,VII.A!$A$10:$D$199,3,FALSE))</f>
        <v/>
      </c>
      <c r="K4067" s="342" t="str">
        <f t="shared" si="1047"/>
        <v/>
      </c>
      <c r="L4067" s="380" t="str">
        <f>IF(C4067="","",G4043*C4067)</f>
        <v/>
      </c>
      <c r="M4067" s="381" t="str">
        <f>IF(A4067="","",VLOOKUP(A4067,VII.A!$A$10:$B$199,2,FALSE))</f>
        <v/>
      </c>
      <c r="N4067" s="342" t="str">
        <f t="shared" si="1048"/>
        <v/>
      </c>
      <c r="R4067" s="341"/>
      <c r="S4067" s="341"/>
    </row>
    <row r="4068" spans="1:19" ht="12.75" customHeight="1">
      <c r="A4068" s="393"/>
      <c r="C4068" s="20"/>
      <c r="E4068" s="387"/>
      <c r="F4068" s="388">
        <f t="shared" si="1045"/>
        <v>0</v>
      </c>
      <c r="H4068" s="341" t="str">
        <f>IF(A4068="","",VLOOKUP(A4068,VII.A!$A$10:$D$199,4,FALSE))</f>
        <v/>
      </c>
      <c r="I4068" s="341" t="str">
        <f t="shared" si="1046"/>
        <v/>
      </c>
      <c r="J4068" s="341" t="str">
        <f>IF(A4068="","",VLOOKUP(A4068,VII.A!$A$10:$D$199,3,FALSE))</f>
        <v/>
      </c>
      <c r="K4068" s="342" t="str">
        <f t="shared" si="1047"/>
        <v/>
      </c>
      <c r="L4068" s="380" t="str">
        <f>IF(C4068="","",G4043*C4068)</f>
        <v/>
      </c>
      <c r="M4068" s="381" t="str">
        <f>IF(A4068="","",VLOOKUP(A4068,VII.A!$A$10:$B$199,2,FALSE))</f>
        <v/>
      </c>
      <c r="N4068" s="342" t="str">
        <f t="shared" si="1048"/>
        <v/>
      </c>
      <c r="R4068" s="341"/>
      <c r="S4068" s="341"/>
    </row>
    <row r="4069" spans="1:19" ht="12.75" customHeight="1">
      <c r="A4069" s="393"/>
      <c r="C4069" s="20"/>
      <c r="E4069" s="387"/>
      <c r="F4069" s="388">
        <f t="shared" si="1045"/>
        <v>0</v>
      </c>
      <c r="G4069" s="390"/>
      <c r="H4069" s="341" t="str">
        <f>IF(A4069="","",VLOOKUP(A4069,VII.A!$A$10:$D$199,4,FALSE))</f>
        <v/>
      </c>
      <c r="I4069" s="341" t="str">
        <f t="shared" si="1046"/>
        <v/>
      </c>
      <c r="J4069" s="341" t="str">
        <f>IF(A4069="","",VLOOKUP(A4069,VII.A!$A$10:$D$199,3,FALSE))</f>
        <v/>
      </c>
      <c r="K4069" s="342" t="str">
        <f t="shared" si="1047"/>
        <v/>
      </c>
      <c r="L4069" s="380" t="str">
        <f>IF(C4069="","",G4043*C4069)</f>
        <v/>
      </c>
      <c r="M4069" s="381" t="str">
        <f>IF(A4069="","",VLOOKUP(A4069,VII.A!$A$10:$B$199,2,FALSE))</f>
        <v/>
      </c>
      <c r="N4069" s="342" t="str">
        <f t="shared" si="1048"/>
        <v/>
      </c>
      <c r="R4069" s="341"/>
      <c r="S4069" s="341"/>
    </row>
    <row r="4070" spans="1:19" ht="12.75" customHeight="1">
      <c r="A4070" s="393"/>
      <c r="C4070" s="20"/>
      <c r="E4070" s="387"/>
      <c r="F4070" s="388">
        <f t="shared" si="1045"/>
        <v>0</v>
      </c>
      <c r="G4070" s="391"/>
      <c r="H4070" s="341" t="str">
        <f>IF(A4070="","",VLOOKUP(A4070,VII.A!$A$10:$D$199,4,FALSE))</f>
        <v/>
      </c>
      <c r="I4070" s="341" t="str">
        <f t="shared" si="1046"/>
        <v/>
      </c>
      <c r="J4070" s="341" t="str">
        <f>IF(A4070="","",VLOOKUP(A4070,VII.A!$A$10:$D$199,3,FALSE))</f>
        <v/>
      </c>
      <c r="K4070" s="342" t="str">
        <f t="shared" si="1047"/>
        <v/>
      </c>
      <c r="L4070" s="380" t="str">
        <f>IF(C4070="","",G4043*C4070)</f>
        <v/>
      </c>
      <c r="M4070" s="381" t="str">
        <f>IF(A4070="","",VLOOKUP(A4070,VII.A!$A$10:$B$199,2,FALSE))</f>
        <v/>
      </c>
      <c r="N4070" s="342" t="str">
        <f t="shared" si="1048"/>
        <v/>
      </c>
      <c r="R4070" s="341"/>
      <c r="S4070" s="341"/>
    </row>
    <row r="4071" spans="1:19" ht="12.75" customHeight="1">
      <c r="A4071" s="393"/>
      <c r="C4071" s="20"/>
      <c r="E4071" s="387"/>
      <c r="F4071" s="388">
        <f t="shared" si="1045"/>
        <v>0</v>
      </c>
      <c r="H4071" s="341" t="str">
        <f>IF(A4071="","",VLOOKUP(A4071,VII.A!$A$10:$D$199,4,FALSE))</f>
        <v/>
      </c>
      <c r="I4071" s="341" t="str">
        <f t="shared" si="1046"/>
        <v/>
      </c>
      <c r="J4071" s="341" t="str">
        <f>IF(A4071="","",VLOOKUP(A4071,VII.A!$A$10:$D$199,3,FALSE))</f>
        <v/>
      </c>
      <c r="K4071" s="342" t="str">
        <f t="shared" si="1047"/>
        <v/>
      </c>
      <c r="L4071" s="380" t="str">
        <f>IF(C4071="","",G4043*C4071)</f>
        <v/>
      </c>
      <c r="M4071" s="381" t="str">
        <f>IF(A4071="","",VLOOKUP(A4071,VII.A!$A$10:$B$199,2,FALSE))</f>
        <v/>
      </c>
      <c r="N4071" s="342" t="str">
        <f t="shared" si="1048"/>
        <v/>
      </c>
      <c r="R4071" s="341"/>
      <c r="S4071" s="341"/>
    </row>
    <row r="4072" spans="1:19" ht="12.75" customHeight="1">
      <c r="A4072" s="393"/>
      <c r="C4072" s="20"/>
      <c r="E4072" s="387"/>
      <c r="F4072" s="388">
        <f t="shared" si="1045"/>
        <v>0</v>
      </c>
      <c r="H4072" s="341" t="str">
        <f>IF(A4072="","",VLOOKUP(A4072,VII.A!$A$10:$D$199,4,FALSE))</f>
        <v/>
      </c>
      <c r="I4072" s="341" t="str">
        <f t="shared" si="1046"/>
        <v/>
      </c>
      <c r="J4072" s="341" t="str">
        <f>IF(A4072="","",VLOOKUP(A4072,VII.A!$A$10:$D$199,3,FALSE))</f>
        <v/>
      </c>
      <c r="K4072" s="342" t="str">
        <f t="shared" si="1047"/>
        <v/>
      </c>
      <c r="L4072" s="380" t="str">
        <f>IF(C4072="","",G4043*C4072)</f>
        <v/>
      </c>
      <c r="M4072" s="381" t="str">
        <f>IF(A4072="","",VLOOKUP(A4072,VII.A!$A$10:$B$199,2,FALSE))</f>
        <v/>
      </c>
      <c r="N4072" s="342" t="str">
        <f t="shared" si="1048"/>
        <v/>
      </c>
      <c r="R4072" s="341"/>
      <c r="S4072" s="341"/>
    </row>
    <row r="4073" spans="1:19" ht="12.75" customHeight="1">
      <c r="A4073" s="393"/>
      <c r="C4073" s="20"/>
      <c r="E4073" s="387"/>
      <c r="F4073" s="388">
        <f t="shared" si="1045"/>
        <v>0</v>
      </c>
      <c r="H4073" s="341" t="str">
        <f>IF(A4073="","",VLOOKUP(A4073,VII.A!$A$10:$D$199,4,FALSE))</f>
        <v/>
      </c>
      <c r="I4073" s="341" t="str">
        <f t="shared" si="1046"/>
        <v/>
      </c>
      <c r="J4073" s="341" t="str">
        <f>IF(A4073="","",VLOOKUP(A4073,VII.A!$A$10:$D$199,3,FALSE))</f>
        <v/>
      </c>
      <c r="K4073" s="342" t="str">
        <f t="shared" si="1047"/>
        <v/>
      </c>
      <c r="L4073" s="380" t="str">
        <f>IF(C4073="","",G4043*C4073)</f>
        <v/>
      </c>
      <c r="M4073" s="381" t="str">
        <f>IF(A4073="","",VLOOKUP(A4073,VII.A!$A$10:$B$199,2,FALSE))</f>
        <v/>
      </c>
      <c r="N4073" s="342" t="str">
        <f t="shared" si="1048"/>
        <v/>
      </c>
      <c r="R4073" s="341"/>
      <c r="S4073" s="341"/>
    </row>
    <row r="4074" spans="1:19" ht="12.75" customHeight="1">
      <c r="A4074" s="393"/>
      <c r="C4074" s="20"/>
      <c r="E4074" s="387"/>
      <c r="F4074" s="388">
        <f t="shared" si="1045"/>
        <v>0</v>
      </c>
      <c r="H4074" s="341" t="str">
        <f>IF(A4074="","",VLOOKUP(A4074,VII.A!$A$10:$D$199,4,FALSE))</f>
        <v/>
      </c>
      <c r="I4074" s="341" t="str">
        <f t="shared" si="1046"/>
        <v/>
      </c>
      <c r="J4074" s="341" t="str">
        <f>IF(A4074="","",VLOOKUP(A4074,VII.A!$A$10:$D$199,3,FALSE))</f>
        <v/>
      </c>
      <c r="K4074" s="342" t="str">
        <f t="shared" si="1047"/>
        <v/>
      </c>
      <c r="L4074" s="380" t="str">
        <f>IF(C4074="","",G4043*C4074)</f>
        <v/>
      </c>
      <c r="M4074" s="381" t="str">
        <f>IF(A4074="","",VLOOKUP(A4074,VII.A!$A$10:$B$199,2,FALSE))</f>
        <v/>
      </c>
      <c r="N4074" s="342" t="str">
        <f t="shared" si="1048"/>
        <v/>
      </c>
      <c r="R4074" s="341"/>
      <c r="S4074" s="341"/>
    </row>
    <row r="4075" spans="1:19" ht="12.75" customHeight="1">
      <c r="A4075" s="393"/>
      <c r="B4075" s="395" t="s">
        <v>226</v>
      </c>
      <c r="C4075" s="396"/>
      <c r="D4075" s="397"/>
      <c r="E4075" s="398"/>
      <c r="F4075" s="399">
        <f>SUM(F4065:F4074)</f>
        <v>0</v>
      </c>
      <c r="J4075" s="341"/>
      <c r="L4075" s="380"/>
      <c r="M4075" s="381"/>
      <c r="N4075" s="342"/>
      <c r="R4075" s="341"/>
      <c r="S4075" s="341"/>
    </row>
    <row r="4076" spans="1:19" ht="12.75" customHeight="1">
      <c r="A4076" s="393"/>
      <c r="B4076" s="400" t="s">
        <v>53</v>
      </c>
      <c r="C4076" s="2">
        <f>$D$8</f>
        <v>0</v>
      </c>
      <c r="D4076" s="401"/>
      <c r="E4076" s="402"/>
      <c r="F4076" s="403">
        <f>ROUND(C4076*F4075,2)</f>
        <v>0</v>
      </c>
      <c r="J4076" s="341"/>
      <c r="L4076" s="380"/>
      <c r="M4076" s="381"/>
      <c r="N4076" s="342"/>
      <c r="R4076" s="341"/>
      <c r="S4076" s="341"/>
    </row>
    <row r="4077" spans="1:19" ht="12.75" customHeight="1">
      <c r="A4077" s="404"/>
      <c r="B4077" s="405" t="s">
        <v>228</v>
      </c>
      <c r="C4077" s="406"/>
      <c r="D4077" s="406"/>
      <c r="E4077" s="407"/>
      <c r="F4077" s="408">
        <f>F4075+F4076</f>
        <v>0</v>
      </c>
      <c r="J4077" s="341"/>
      <c r="L4077" s="380"/>
      <c r="M4077" s="381"/>
      <c r="N4077" s="342"/>
      <c r="R4077" s="341"/>
      <c r="S4077" s="341"/>
    </row>
    <row r="4078" spans="1:19" ht="12.75" customHeight="1">
      <c r="A4078" s="409" t="s">
        <v>47</v>
      </c>
      <c r="B4078" s="410" t="s">
        <v>236</v>
      </c>
      <c r="C4078" s="411" t="s">
        <v>231</v>
      </c>
      <c r="D4078" s="412" t="s">
        <v>232</v>
      </c>
      <c r="E4078" s="413" t="s">
        <v>233</v>
      </c>
      <c r="F4078" s="378" t="s">
        <v>234</v>
      </c>
      <c r="J4078" s="341"/>
      <c r="L4078" s="380"/>
      <c r="M4078" s="381"/>
      <c r="N4078" s="342"/>
      <c r="R4078" s="341"/>
      <c r="S4078" s="341"/>
    </row>
    <row r="4079" spans="1:19" ht="12.75" customHeight="1">
      <c r="A4079" s="393" t="str">
        <f>VII.A!$A$181</f>
        <v>3.1</v>
      </c>
      <c r="B4079" s="394" t="s">
        <v>142</v>
      </c>
      <c r="C4079" s="20">
        <v>0.17</v>
      </c>
      <c r="D4079" s="384" t="str">
        <f>VII.A!C181</f>
        <v>H</v>
      </c>
      <c r="E4079" s="387">
        <f>VII.A!D181</f>
        <v>0</v>
      </c>
      <c r="F4079" s="388">
        <f t="shared" ref="F4079:F4085" si="1049">ROUND(C4079*E4079,2)</f>
        <v>0</v>
      </c>
      <c r="H4079" s="341">
        <f>IF(A4079="","",VLOOKUP(A4079,VII.A!$A$10:$D$199,4,FALSE))</f>
        <v>0</v>
      </c>
      <c r="I4079" s="341" t="str">
        <f t="shared" ref="I4079:I4085" si="1050">IF(A4079="","",IF(E4079=H4079,"SIM","NÃO"))</f>
        <v>SIM</v>
      </c>
      <c r="J4079" s="341" t="str">
        <f>IF(A4079="","",VLOOKUP(A4079,VII.A!$A$10:$D$199,3,FALSE))</f>
        <v>H</v>
      </c>
      <c r="K4079" s="342" t="str">
        <f t="shared" ref="K4079:K4085" si="1051">IF(A4079="","",IF(J4079=D4079,"SIM","NÃO"))</f>
        <v>SIM</v>
      </c>
      <c r="L4079" s="380">
        <f>IF(C4079="","",G4043*C4079)</f>
        <v>4.25</v>
      </c>
      <c r="M4079" s="381" t="str">
        <f>IF(A4079="","",VLOOKUP(A4079,VII.A!$A$10:$B$199,2,FALSE))</f>
        <v>AJUDANTE COM ENCARGOS COMPLEMENTARES</v>
      </c>
      <c r="N4079" s="342" t="str">
        <f t="shared" ref="N4079:N4085" si="1052">IF(B4079="","",IF(M4079=B4079,"si","no"))</f>
        <v>si</v>
      </c>
      <c r="R4079" s="341"/>
      <c r="S4079" s="341"/>
    </row>
    <row r="4080" spans="1:19" ht="12.75" customHeight="1">
      <c r="A4080" s="393" t="str">
        <f>VII.A!$A$187</f>
        <v>3.7</v>
      </c>
      <c r="B4080" s="394" t="s">
        <v>148</v>
      </c>
      <c r="C4080" s="20">
        <v>0.17</v>
      </c>
      <c r="D4080" s="384" t="str">
        <f>VII.A!C187</f>
        <v>H</v>
      </c>
      <c r="E4080" s="387">
        <f>VII.A!D187</f>
        <v>0</v>
      </c>
      <c r="F4080" s="388">
        <f t="shared" si="1049"/>
        <v>0</v>
      </c>
      <c r="H4080" s="341">
        <f>IF(A4080="","",VLOOKUP(A4080,VII.A!$A$10:$D$199,4,FALSE))</f>
        <v>0</v>
      </c>
      <c r="I4080" s="341" t="str">
        <f t="shared" si="1050"/>
        <v>SIM</v>
      </c>
      <c r="J4080" s="341" t="str">
        <f>IF(A4080="","",VLOOKUP(A4080,VII.A!$A$10:$D$199,3,FALSE))</f>
        <v>H</v>
      </c>
      <c r="K4080" s="342" t="str">
        <f t="shared" si="1051"/>
        <v>SIM</v>
      </c>
      <c r="L4080" s="380">
        <f>IF(C4080="","",G4043*C4080)</f>
        <v>4.25</v>
      </c>
      <c r="M4080" s="381" t="str">
        <f>IF(A4080="","",VLOOKUP(A4080,VII.A!$A$10:$B$199,2,FALSE))</f>
        <v>ENCANADOR COM ENCARGOS COMPLEMENTARES</v>
      </c>
      <c r="N4080" s="342" t="str">
        <f t="shared" si="1052"/>
        <v>si</v>
      </c>
      <c r="R4080" s="341"/>
      <c r="S4080" s="341"/>
    </row>
    <row r="4081" spans="1:25" ht="12.75" customHeight="1">
      <c r="A4081" s="393"/>
      <c r="C4081" s="20"/>
      <c r="E4081" s="387"/>
      <c r="F4081" s="388">
        <f t="shared" si="1049"/>
        <v>0</v>
      </c>
      <c r="H4081" s="341" t="str">
        <f>IF(A4081="","",VLOOKUP(A4081,VII.A!$A$10:$D$199,4,FALSE))</f>
        <v/>
      </c>
      <c r="I4081" s="341" t="str">
        <f t="shared" si="1050"/>
        <v/>
      </c>
      <c r="J4081" s="341" t="str">
        <f>IF(A4081="","",VLOOKUP(A4081,VII.A!$A$10:$D$199,3,FALSE))</f>
        <v/>
      </c>
      <c r="K4081" s="342" t="str">
        <f t="shared" si="1051"/>
        <v/>
      </c>
      <c r="L4081" s="380" t="str">
        <f>IF(C4081="","",G4043*C4081)</f>
        <v/>
      </c>
      <c r="M4081" s="381" t="str">
        <f>IF(A4081="","",VLOOKUP(A4081,VII.A!$A$10:$B$199,2,FALSE))</f>
        <v/>
      </c>
      <c r="N4081" s="342" t="str">
        <f t="shared" si="1052"/>
        <v/>
      </c>
      <c r="R4081" s="341"/>
      <c r="S4081" s="341"/>
    </row>
    <row r="4082" spans="1:25" ht="12.75" customHeight="1">
      <c r="A4082" s="393"/>
      <c r="C4082" s="20"/>
      <c r="E4082" s="387"/>
      <c r="F4082" s="388">
        <f t="shared" si="1049"/>
        <v>0</v>
      </c>
      <c r="H4082" s="341" t="str">
        <f>IF(A4082="","",VLOOKUP(A4082,VII.A!$A$10:$D$199,4,FALSE))</f>
        <v/>
      </c>
      <c r="I4082" s="341" t="str">
        <f t="shared" si="1050"/>
        <v/>
      </c>
      <c r="J4082" s="341" t="str">
        <f>IF(A4082="","",VLOOKUP(A4082,VII.A!$A$10:$D$199,3,FALSE))</f>
        <v/>
      </c>
      <c r="K4082" s="342" t="str">
        <f t="shared" si="1051"/>
        <v/>
      </c>
      <c r="L4082" s="380" t="str">
        <f>IF(C4082="","",G4043*C4082)</f>
        <v/>
      </c>
      <c r="M4082" s="381" t="str">
        <f>IF(A4082="","",VLOOKUP(A4082,VII.A!$A$10:$B$199,2,FALSE))</f>
        <v/>
      </c>
      <c r="N4082" s="342" t="str">
        <f t="shared" si="1052"/>
        <v/>
      </c>
      <c r="R4082" s="341"/>
      <c r="S4082" s="341"/>
    </row>
    <row r="4083" spans="1:25" ht="12.75" customHeight="1">
      <c r="A4083" s="393"/>
      <c r="C4083" s="20"/>
      <c r="E4083" s="387"/>
      <c r="F4083" s="388">
        <f t="shared" si="1049"/>
        <v>0</v>
      </c>
      <c r="H4083" s="341" t="str">
        <f>IF(A4083="","",VLOOKUP(A4083,VII.A!$A$10:$D$199,4,FALSE))</f>
        <v/>
      </c>
      <c r="I4083" s="341" t="str">
        <f t="shared" si="1050"/>
        <v/>
      </c>
      <c r="J4083" s="341" t="str">
        <f>IF(A4083="","",VLOOKUP(A4083,VII.A!$A$10:$D$199,3,FALSE))</f>
        <v/>
      </c>
      <c r="K4083" s="342" t="str">
        <f t="shared" si="1051"/>
        <v/>
      </c>
      <c r="L4083" s="380" t="str">
        <f>IF(C4083="","",G4043*C4083)</f>
        <v/>
      </c>
      <c r="M4083" s="381" t="str">
        <f>IF(A4083="","",VLOOKUP(A4083,VII.A!$A$10:$B$199,2,FALSE))</f>
        <v/>
      </c>
      <c r="N4083" s="342" t="str">
        <f t="shared" si="1052"/>
        <v/>
      </c>
      <c r="R4083" s="341"/>
      <c r="S4083" s="341"/>
    </row>
    <row r="4084" spans="1:25" ht="12.75" customHeight="1">
      <c r="A4084" s="393"/>
      <c r="C4084" s="20"/>
      <c r="E4084" s="387"/>
      <c r="F4084" s="388">
        <f t="shared" si="1049"/>
        <v>0</v>
      </c>
      <c r="H4084" s="341" t="str">
        <f>IF(A4084="","",VLOOKUP(A4084,VII.A!$A$10:$D$199,4,FALSE))</f>
        <v/>
      </c>
      <c r="I4084" s="341" t="str">
        <f t="shared" si="1050"/>
        <v/>
      </c>
      <c r="J4084" s="341" t="str">
        <f>IF(A4084="","",VLOOKUP(A4084,VII.A!$A$10:$D$199,3,FALSE))</f>
        <v/>
      </c>
      <c r="K4084" s="342" t="str">
        <f t="shared" si="1051"/>
        <v/>
      </c>
      <c r="L4084" s="380" t="str">
        <f>IF(C4084="","",G4043*C4084)</f>
        <v/>
      </c>
      <c r="M4084" s="381" t="str">
        <f>IF(A4084="","",VLOOKUP(A4084,VII.A!$A$10:$B$199,2,FALSE))</f>
        <v/>
      </c>
      <c r="N4084" s="342" t="str">
        <f t="shared" si="1052"/>
        <v/>
      </c>
      <c r="R4084" s="341"/>
      <c r="S4084" s="341"/>
    </row>
    <row r="4085" spans="1:25" ht="12.75" customHeight="1">
      <c r="A4085" s="393"/>
      <c r="C4085" s="20"/>
      <c r="E4085" s="387"/>
      <c r="F4085" s="388">
        <f t="shared" si="1049"/>
        <v>0</v>
      </c>
      <c r="H4085" s="341" t="str">
        <f>IF(A4085="","",VLOOKUP(A4085,VII.A!$A$10:$D$199,4,FALSE))</f>
        <v/>
      </c>
      <c r="I4085" s="341" t="str">
        <f t="shared" si="1050"/>
        <v/>
      </c>
      <c r="J4085" s="341" t="str">
        <f>IF(A4085="","",VLOOKUP(A4085,VII.A!$A$10:$D$199,3,FALSE))</f>
        <v/>
      </c>
      <c r="K4085" s="342" t="str">
        <f t="shared" si="1051"/>
        <v/>
      </c>
      <c r="L4085" s="380" t="str">
        <f>IF(C4085="","",G4043*C4085)</f>
        <v/>
      </c>
      <c r="M4085" s="381" t="str">
        <f>IF(A4085="","",VLOOKUP(A4085,VII.A!$A$10:$B$199,2,FALSE))</f>
        <v/>
      </c>
      <c r="N4085" s="342" t="str">
        <f t="shared" si="1052"/>
        <v/>
      </c>
      <c r="R4085" s="341"/>
      <c r="S4085" s="341"/>
    </row>
    <row r="4086" spans="1:25" ht="12.75" customHeight="1">
      <c r="A4086" s="393"/>
      <c r="B4086" s="395" t="s">
        <v>226</v>
      </c>
      <c r="C4086" s="396"/>
      <c r="D4086" s="397"/>
      <c r="E4086" s="398"/>
      <c r="F4086" s="399">
        <f>SUM(F4079:F4085)</f>
        <v>0</v>
      </c>
      <c r="J4086" s="341"/>
      <c r="L4086" s="380"/>
      <c r="M4086" s="381"/>
      <c r="N4086" s="342"/>
      <c r="R4086" s="341"/>
      <c r="S4086" s="341"/>
    </row>
    <row r="4087" spans="1:25" ht="12.75" customHeight="1">
      <c r="A4087" s="393"/>
      <c r="B4087" s="400" t="s">
        <v>229</v>
      </c>
      <c r="C4087" s="2">
        <f>IX.A!$C$45</f>
        <v>0</v>
      </c>
      <c r="D4087" s="401"/>
      <c r="E4087" s="402"/>
      <c r="F4087" s="403">
        <f>ROUND(F4086*C4087,2)</f>
        <v>0</v>
      </c>
      <c r="J4087" s="341"/>
      <c r="L4087" s="380"/>
      <c r="M4087" s="381"/>
      <c r="N4087" s="342"/>
      <c r="R4087" s="341"/>
      <c r="S4087" s="341"/>
    </row>
    <row r="4088" spans="1:25" ht="12.75" customHeight="1">
      <c r="A4088" s="393"/>
      <c r="B4088" s="400" t="s">
        <v>53</v>
      </c>
      <c r="C4088" s="2">
        <f>$D$8</f>
        <v>0</v>
      </c>
      <c r="D4088" s="401"/>
      <c r="E4088" s="402"/>
      <c r="F4088" s="403">
        <f>ROUND(SUM(F4086:F4087)*C4088,2)</f>
        <v>0</v>
      </c>
      <c r="J4088" s="341"/>
      <c r="L4088" s="380"/>
      <c r="M4088" s="381"/>
      <c r="N4088" s="342"/>
      <c r="R4088" s="341"/>
      <c r="S4088" s="341"/>
    </row>
    <row r="4089" spans="1:25" ht="12.75" customHeight="1" thickBot="1">
      <c r="A4089" s="414"/>
      <c r="B4089" s="415" t="s">
        <v>230</v>
      </c>
      <c r="C4089" s="416"/>
      <c r="D4089" s="416"/>
      <c r="E4089" s="417"/>
      <c r="F4089" s="418">
        <f>SUM(F4086:F4088)</f>
        <v>0</v>
      </c>
      <c r="J4089" s="341"/>
      <c r="L4089" s="380"/>
      <c r="M4089" s="381"/>
      <c r="N4089" s="342"/>
      <c r="R4089" s="341"/>
      <c r="S4089" s="341"/>
    </row>
    <row r="4090" spans="1:25" ht="12.75" customHeight="1" thickBot="1">
      <c r="A4090" s="427"/>
      <c r="B4090" s="428"/>
      <c r="C4090" s="429"/>
      <c r="D4090" s="429"/>
      <c r="E4090" s="430"/>
      <c r="F4090" s="431"/>
      <c r="J4090" s="341"/>
      <c r="L4090" s="380"/>
      <c r="M4090" s="381"/>
      <c r="N4090" s="342"/>
      <c r="R4090" s="341"/>
      <c r="S4090" s="341"/>
    </row>
    <row r="4091" spans="1:25" ht="30" customHeight="1">
      <c r="A4091" s="370" t="str">
        <f>IV.A!A124</f>
        <v>4.11</v>
      </c>
      <c r="B4091" s="371" t="str">
        <f>IV.A!B124</f>
        <v>CONDUTOR VERTICAL DE ÁGUAS PLUVIAIS EM TUBO PVC, SÉRIE R, ÁGUA PLUVIAL, DN 100 MM, INCLUSIVE CONEXÕES</v>
      </c>
      <c r="C4091" s="871" t="s">
        <v>237</v>
      </c>
      <c r="D4091" s="872"/>
      <c r="E4091" s="372" t="str">
        <f>IV.A!C124</f>
        <v>M</v>
      </c>
      <c r="F4091" s="11">
        <f>ROUND(F4111+F4125+F4137,2)</f>
        <v>0</v>
      </c>
      <c r="G4091" s="1">
        <f>VLOOKUP(A4091,IV.A!$A$16:$L$172,4,FALSE)</f>
        <v>60</v>
      </c>
      <c r="H4091" s="361">
        <f>SUM(F4093:F4108)+F4110</f>
        <v>0</v>
      </c>
      <c r="I4091" s="361">
        <f>SUM(F4113:F4122)+F4124</f>
        <v>0</v>
      </c>
      <c r="J4091" s="361">
        <f>SUM(F4127:F4133)+F4135+F4136</f>
        <v>0</v>
      </c>
      <c r="K4091" s="361">
        <f>SUM(H4091:J4091)</f>
        <v>0</v>
      </c>
      <c r="L4091" s="362" t="str">
        <f>IF(K4091=F4091,"SIM","NÃO")</f>
        <v>SIM</v>
      </c>
      <c r="M4091" s="373">
        <f>ROUND(SUM(F4093:F4108),2)+ROUND(SUM(F4093:F4108)*C4110,2)+ROUND(SUM(F4113:F4122)*C4124,2)+ROUND(SUM(F4113:F4122),2)+ROUND(SUM(F4127:F4133)*C4135,2)+ROUND((SUM(F4127:F4133)+ROUND(SUM(F4127:F4133)*C4135,2))*C4136,2)+ROUND(SUM(F4127:F4133),2)</f>
        <v>0</v>
      </c>
      <c r="N4091" s="343" t="str">
        <f>IF(M4091=F4091,"SIM","NÃO")</f>
        <v>SIM</v>
      </c>
      <c r="O4091" s="364" t="str">
        <f>VLOOKUP(A4091,IV.A!$A$16:$E$172,3,FALSE)</f>
        <v>M</v>
      </c>
      <c r="P4091" s="344" t="str">
        <f>IF(O4091=E4091,"SIM","NÃO")</f>
        <v>SIM</v>
      </c>
      <c r="Q4091" s="365">
        <f>ROUND(G4091*F4111,2)+ROUND(G4091*F4125,2)+ROUND(G4091*F4137,2)</f>
        <v>0</v>
      </c>
      <c r="R4091" s="364">
        <f>VLOOKUP(A4091,IV.A!$A$16:$L$172,12,FALSE)</f>
        <v>0</v>
      </c>
      <c r="S4091" s="366" t="str">
        <f>IF(Q4091=R4091,"si","no")</f>
        <v>si</v>
      </c>
      <c r="T4091" s="367">
        <f>SUM(L4093:L4108)+SUM(L4113:L4122)+SUM(L4127:L4133)</f>
        <v>107.77200000000001</v>
      </c>
      <c r="U4091" s="341">
        <f>(SUM(C4093:C4108)+SUM(C4113:C4122)+SUM(C4127:C4133))*G4091</f>
        <v>107.77199999999999</v>
      </c>
      <c r="V4091" s="368" t="str">
        <f>IF(T4091=U4091,"si","no")</f>
        <v>si</v>
      </c>
      <c r="W4091" s="369">
        <f>SUM(F4093:F4108)</f>
        <v>0</v>
      </c>
      <c r="X4091" s="369">
        <f>SUM(F4113:F4122)</f>
        <v>0</v>
      </c>
      <c r="Y4091" s="369">
        <f>SUM(F4127:F4133)</f>
        <v>0</v>
      </c>
    </row>
    <row r="4092" spans="1:25" ht="12.75" customHeight="1">
      <c r="A4092" s="374" t="s">
        <v>14</v>
      </c>
      <c r="B4092" s="375" t="s">
        <v>132</v>
      </c>
      <c r="C4092" s="376" t="s">
        <v>231</v>
      </c>
      <c r="D4092" s="376" t="s">
        <v>232</v>
      </c>
      <c r="E4092" s="377" t="s">
        <v>233</v>
      </c>
      <c r="F4092" s="378" t="s">
        <v>234</v>
      </c>
      <c r="G4092" s="379"/>
      <c r="J4092" s="341"/>
      <c r="L4092" s="380"/>
      <c r="M4092" s="381"/>
      <c r="N4092" s="342"/>
      <c r="O4092" s="382"/>
      <c r="P4092" s="383"/>
      <c r="Q4092" s="383"/>
      <c r="R4092" s="383"/>
      <c r="S4092" s="383"/>
      <c r="T4092" s="382"/>
      <c r="U4092" s="341"/>
      <c r="V4092" s="384"/>
      <c r="W4092" s="384"/>
      <c r="X4092" s="384"/>
      <c r="Y4092" s="384"/>
    </row>
    <row r="4093" spans="1:25" ht="12.75" customHeight="1">
      <c r="A4093" s="385" t="str">
        <f>VII.A!$A$11</f>
        <v>1.2</v>
      </c>
      <c r="B4093" s="386" t="str">
        <f>VLOOKUP(A4093,VII.A!$A$10:$G$199,2,FALSE)</f>
        <v>ADESIVO PARA TUBO EM PVC - FRASCO 850 GR.</v>
      </c>
      <c r="C4093" s="20">
        <v>5.0000000000000001E-3</v>
      </c>
      <c r="D4093" s="342" t="str">
        <f>VLOOKUP(A4093,VII.A!$A$10:$G$199,3,FALSE)</f>
        <v>UN</v>
      </c>
      <c r="E4093" s="387">
        <f>VII.A!D11</f>
        <v>0</v>
      </c>
      <c r="F4093" s="388">
        <f>ROUND(C4093*E4093,2)</f>
        <v>0</v>
      </c>
      <c r="H4093" s="341">
        <f>IF(A4093="","",VLOOKUP(A4093,VII.A!$A$10:$D$199,4,FALSE))</f>
        <v>0</v>
      </c>
      <c r="I4093" s="341" t="str">
        <f t="shared" ref="I4093:I4108" si="1053">IF(A4093="","",IF(E4093=H4093,"SIM","NÃO"))</f>
        <v>SIM</v>
      </c>
      <c r="J4093" s="341" t="str">
        <f>IF(A4093="","",VLOOKUP(A4093,VII.A!$A$10:$D$199,3,FALSE))</f>
        <v>UN</v>
      </c>
      <c r="K4093" s="342" t="str">
        <f t="shared" ref="K4093:K4108" si="1054">IF(A4093="","",IF(J4093=D4093,"SIM","NÃO"))</f>
        <v>SIM</v>
      </c>
      <c r="L4093" s="380">
        <f>IF(C4093="","",G4091*C4093)</f>
        <v>0.3</v>
      </c>
      <c r="M4093" s="381" t="str">
        <f>IF(A4093="","",VLOOKUP(A4093,VII.A!$A$10:$B$199,2,FALSE))</f>
        <v>ADESIVO PARA TUBO EM PVC - FRASCO 850 GR.</v>
      </c>
      <c r="N4093" s="342" t="str">
        <f t="shared" ref="N4093:N4108" si="1055">IF(B4093="","",IF(M4093=B4093,"si","no"))</f>
        <v>si</v>
      </c>
      <c r="R4093" s="341"/>
      <c r="S4093" s="341"/>
    </row>
    <row r="4094" spans="1:25" ht="12.75" customHeight="1">
      <c r="A4094" s="385" t="str">
        <f>VII.A!$A$118</f>
        <v>1.108</v>
      </c>
      <c r="B4094" s="386" t="str">
        <f>VLOOKUP(A4094,VII.A!$A$10:$G$199,2,FALSE)</f>
        <v>TUBO PVC, PL, SERIE R, DN 100 MM, PARA AGUAS PLUVIAIS PREDIAL (NBR 5688)</v>
      </c>
      <c r="C4094" s="20">
        <v>1.04</v>
      </c>
      <c r="D4094" s="342" t="str">
        <f>VLOOKUP(A4094,VII.A!$A$10:$G$199,3,FALSE)</f>
        <v>M</v>
      </c>
      <c r="E4094" s="387">
        <f>VII.A!D118</f>
        <v>0</v>
      </c>
      <c r="F4094" s="388">
        <f t="shared" ref="F4094:F4108" si="1056">ROUND(C4094*E4094,2)</f>
        <v>0</v>
      </c>
      <c r="H4094" s="341">
        <f>IF(A4094="","",VLOOKUP(A4094,VII.A!$A$10:$D$199,4,FALSE))</f>
        <v>0</v>
      </c>
      <c r="I4094" s="341" t="str">
        <f t="shared" si="1053"/>
        <v>SIM</v>
      </c>
      <c r="J4094" s="341" t="str">
        <f>IF(A4094="","",VLOOKUP(A4094,VII.A!$A$10:$D$199,3,FALSE))</f>
        <v>M</v>
      </c>
      <c r="K4094" s="342" t="str">
        <f t="shared" si="1054"/>
        <v>SIM</v>
      </c>
      <c r="L4094" s="380">
        <f>IF(C4094="","",G4091*C4094)</f>
        <v>62.400000000000006</v>
      </c>
      <c r="M4094" s="381" t="str">
        <f>IF(A4094="","",VLOOKUP(A4094,VII.A!$A$10:$B$199,2,FALSE))</f>
        <v>TUBO PVC, PL, SERIE R, DN 100 MM, PARA AGUAS PLUVIAIS PREDIAL (NBR 5688)</v>
      </c>
      <c r="N4094" s="342" t="str">
        <f t="shared" si="1055"/>
        <v>si</v>
      </c>
      <c r="R4094" s="341"/>
      <c r="S4094" s="341"/>
    </row>
    <row r="4095" spans="1:25" ht="12.75" customHeight="1">
      <c r="A4095" s="385" t="str">
        <f>VII.A!$A$100</f>
        <v>1.90</v>
      </c>
      <c r="B4095" s="386" t="str">
        <f>VLOOKUP(A4095,VII.A!$A$10:$G$199,2,FALSE)</f>
        <v>SOLUCAO LIMPADORA PARA PVC, FRASCO COM 1000 CM3</v>
      </c>
      <c r="C4095" s="20">
        <v>8.2000000000000007E-3</v>
      </c>
      <c r="D4095" s="342" t="str">
        <f>VLOOKUP(A4095,VII.A!$A$10:$G$199,3,FALSE)</f>
        <v xml:space="preserve">UN </v>
      </c>
      <c r="E4095" s="387">
        <f>VII.A!D100</f>
        <v>0</v>
      </c>
      <c r="F4095" s="388">
        <f t="shared" si="1056"/>
        <v>0</v>
      </c>
      <c r="H4095" s="341">
        <f>IF(A4095="","",VLOOKUP(A4095,VII.A!$A$10:$D$199,4,FALSE))</f>
        <v>0</v>
      </c>
      <c r="I4095" s="341" t="str">
        <f t="shared" si="1053"/>
        <v>SIM</v>
      </c>
      <c r="J4095" s="341" t="str">
        <f>IF(A4095="","",VLOOKUP(A4095,VII.A!$A$10:$D$199,3,FALSE))</f>
        <v xml:space="preserve">UN </v>
      </c>
      <c r="K4095" s="342" t="str">
        <f t="shared" si="1054"/>
        <v>SIM</v>
      </c>
      <c r="L4095" s="380">
        <f>IF(C4095="","",G4091*C4095)</f>
        <v>0.49200000000000005</v>
      </c>
      <c r="M4095" s="381" t="str">
        <f>IF(A4095="","",VLOOKUP(A4095,VII.A!$A$10:$B$199,2,FALSE))</f>
        <v>SOLUCAO LIMPADORA PARA PVC, FRASCO COM 1000 CM3</v>
      </c>
      <c r="N4095" s="342" t="str">
        <f t="shared" si="1055"/>
        <v>si</v>
      </c>
      <c r="R4095" s="341"/>
      <c r="S4095" s="341"/>
    </row>
    <row r="4096" spans="1:25" ht="12.75" customHeight="1">
      <c r="A4096" s="385" t="str">
        <f>VII.A!$A$67</f>
        <v>1.58</v>
      </c>
      <c r="B4096" s="386" t="str">
        <f>VLOOKUP(A4096,VII.A!$A$10:$G$199,2,FALSE)</f>
        <v>LIXA D'AGUA EM FOLHA, GRAO 100</v>
      </c>
      <c r="C4096" s="20">
        <v>2.3E-2</v>
      </c>
      <c r="D4096" s="342" t="str">
        <f>VLOOKUP(A4096,VII.A!$A$10:$G$199,3,FALSE)</f>
        <v>UN</v>
      </c>
      <c r="E4096" s="387">
        <f>VII.A!D67</f>
        <v>0</v>
      </c>
      <c r="F4096" s="388">
        <f t="shared" si="1056"/>
        <v>0</v>
      </c>
      <c r="H4096" s="341">
        <f>IF(A4096="","",VLOOKUP(A4096,VII.A!$A$10:$D$199,4,FALSE))</f>
        <v>0</v>
      </c>
      <c r="I4096" s="341" t="str">
        <f t="shared" si="1053"/>
        <v>SIM</v>
      </c>
      <c r="J4096" s="341" t="str">
        <f>IF(A4096="","",VLOOKUP(A4096,VII.A!$A$10:$D$199,3,FALSE))</f>
        <v>UN</v>
      </c>
      <c r="K4096" s="342" t="str">
        <f t="shared" si="1054"/>
        <v>SIM</v>
      </c>
      <c r="L4096" s="380">
        <f>IF(C4096="","",G4091*C4096)</f>
        <v>1.38</v>
      </c>
      <c r="M4096" s="381" t="str">
        <f>IF(A4096="","",VLOOKUP(A4096,VII.A!$A$10:$B$199,2,FALSE))</f>
        <v>LIXA D'AGUA EM FOLHA, GRAO 100</v>
      </c>
      <c r="N4096" s="342" t="str">
        <f t="shared" si="1055"/>
        <v>si</v>
      </c>
      <c r="R4096" s="341"/>
      <c r="S4096" s="341"/>
    </row>
    <row r="4097" spans="1:21" ht="12.75" customHeight="1">
      <c r="A4097" s="385" t="str">
        <f>VII.A!$A$64</f>
        <v>1.55</v>
      </c>
      <c r="B4097" s="386" t="str">
        <f>VLOOKUP(A4097,VII.A!$A$10:$G$199,2,FALSE)</f>
        <v>JOELHO, PVC SERIE R, 90 GRAUS, DN 100 MM, PARA ESGOTO PREDIAL</v>
      </c>
      <c r="C4097" s="20">
        <v>0.33</v>
      </c>
      <c r="D4097" s="342" t="str">
        <f>VLOOKUP(A4097,VII.A!$A$10:$G$199,3,FALSE)</f>
        <v>UN</v>
      </c>
      <c r="E4097" s="387">
        <f>VII.A!D64</f>
        <v>0</v>
      </c>
      <c r="F4097" s="388">
        <f t="shared" si="1056"/>
        <v>0</v>
      </c>
      <c r="H4097" s="341">
        <f>IF(A4097="","",VLOOKUP(A4097,VII.A!$A$10:$D$199,4,FALSE))</f>
        <v>0</v>
      </c>
      <c r="I4097" s="341" t="str">
        <f t="shared" si="1053"/>
        <v>SIM</v>
      </c>
      <c r="J4097" s="341" t="str">
        <f>IF(A4097="","",VLOOKUP(A4097,VII.A!$A$10:$D$199,3,FALSE))</f>
        <v>UN</v>
      </c>
      <c r="K4097" s="342" t="str">
        <f t="shared" si="1054"/>
        <v>SIM</v>
      </c>
      <c r="L4097" s="380">
        <f>IF(C4097="","",G4091*C4097)</f>
        <v>19.8</v>
      </c>
      <c r="M4097" s="381" t="str">
        <f>IF(A4097="","",VLOOKUP(A4097,VII.A!$A$10:$B$199,2,FALSE))</f>
        <v>JOELHO, PVC SERIE R, 90 GRAUS, DN 100 MM, PARA ESGOTO PREDIAL</v>
      </c>
      <c r="N4097" s="342" t="str">
        <f t="shared" si="1055"/>
        <v>si</v>
      </c>
      <c r="R4097" s="341"/>
      <c r="S4097" s="341"/>
    </row>
    <row r="4098" spans="1:21" ht="12.75" customHeight="1">
      <c r="A4098" s="385" t="str">
        <f>VII.A!$A$71</f>
        <v>1.62</v>
      </c>
      <c r="B4098" s="386" t="str">
        <f>VLOOKUP(A4098,VII.A!$A$10:$G$199,2,FALSE)</f>
        <v>LUVA SIMPLES, PVC SERIE REFORCADA - R, 100 MM, PARA ESGOTO PREDIAL</v>
      </c>
      <c r="C4098" s="20">
        <v>0.17</v>
      </c>
      <c r="D4098" s="342" t="str">
        <f>VLOOKUP(A4098,VII.A!$A$10:$G$199,3,FALSE)</f>
        <v>UN</v>
      </c>
      <c r="E4098" s="387">
        <f>VII.A!D71</f>
        <v>0</v>
      </c>
      <c r="F4098" s="388">
        <f t="shared" si="1056"/>
        <v>0</v>
      </c>
      <c r="H4098" s="341">
        <f>IF(A4098="","",VLOOKUP(A4098,VII.A!$A$10:$D$199,4,FALSE))</f>
        <v>0</v>
      </c>
      <c r="I4098" s="341" t="str">
        <f t="shared" si="1053"/>
        <v>SIM</v>
      </c>
      <c r="J4098" s="341" t="str">
        <f>IF(A4098="","",VLOOKUP(A4098,VII.A!$A$10:$D$199,3,FALSE))</f>
        <v>UN</v>
      </c>
      <c r="K4098" s="342" t="str">
        <f t="shared" si="1054"/>
        <v>SIM</v>
      </c>
      <c r="L4098" s="380">
        <f>IF(C4098="","",G4091*C4098)</f>
        <v>10.200000000000001</v>
      </c>
      <c r="M4098" s="381" t="str">
        <f>IF(A4098="","",VLOOKUP(A4098,VII.A!$A$10:$B$199,2,FALSE))</f>
        <v>LUVA SIMPLES, PVC SERIE REFORCADA - R, 100 MM, PARA ESGOTO PREDIAL</v>
      </c>
      <c r="N4098" s="342" t="str">
        <f t="shared" si="1055"/>
        <v>si</v>
      </c>
      <c r="R4098" s="341"/>
      <c r="S4098" s="341"/>
      <c r="U4098" s="389"/>
    </row>
    <row r="4099" spans="1:21" ht="12.75" customHeight="1">
      <c r="A4099" s="385"/>
      <c r="B4099" s="386"/>
      <c r="C4099" s="20"/>
      <c r="D4099" s="342"/>
      <c r="E4099" s="387"/>
      <c r="F4099" s="388">
        <f t="shared" si="1056"/>
        <v>0</v>
      </c>
      <c r="H4099" s="341" t="str">
        <f>IF(A4099="","",VLOOKUP(A4099,VII.A!$A$10:$D$199,4,FALSE))</f>
        <v/>
      </c>
      <c r="I4099" s="341" t="str">
        <f t="shared" si="1053"/>
        <v/>
      </c>
      <c r="J4099" s="341" t="str">
        <f>IF(A4099="","",VLOOKUP(A4099,VII.A!$A$10:$D$199,3,FALSE))</f>
        <v/>
      </c>
      <c r="K4099" s="342" t="str">
        <f t="shared" si="1054"/>
        <v/>
      </c>
      <c r="L4099" s="380" t="str">
        <f>IF(C4099="","",G4091*C4099)</f>
        <v/>
      </c>
      <c r="M4099" s="381" t="str">
        <f>IF(A4099="","",VLOOKUP(A4099,VII.A!$A$10:$B$199,2,FALSE))</f>
        <v/>
      </c>
      <c r="N4099" s="342" t="str">
        <f t="shared" si="1055"/>
        <v/>
      </c>
      <c r="R4099" s="341"/>
      <c r="S4099" s="341"/>
    </row>
    <row r="4100" spans="1:21" ht="12.75" customHeight="1">
      <c r="A4100" s="385"/>
      <c r="B4100" s="386"/>
      <c r="C4100" s="20"/>
      <c r="D4100" s="342"/>
      <c r="E4100" s="387"/>
      <c r="F4100" s="388">
        <f t="shared" si="1056"/>
        <v>0</v>
      </c>
      <c r="G4100" s="390"/>
      <c r="H4100" s="341" t="str">
        <f>IF(A4100="","",VLOOKUP(A4100,VII.A!$A$10:$D$199,4,FALSE))</f>
        <v/>
      </c>
      <c r="I4100" s="341" t="str">
        <f t="shared" si="1053"/>
        <v/>
      </c>
      <c r="J4100" s="341" t="str">
        <f>IF(A4100="","",VLOOKUP(A4100,VII.A!$A$10:$D$199,3,FALSE))</f>
        <v/>
      </c>
      <c r="K4100" s="342" t="str">
        <f t="shared" si="1054"/>
        <v/>
      </c>
      <c r="L4100" s="380" t="str">
        <f>IF(C4100="","",G4091*C4100)</f>
        <v/>
      </c>
      <c r="M4100" s="381" t="str">
        <f>IF(A4100="","",VLOOKUP(A4100,VII.A!$A$10:$B$199,2,FALSE))</f>
        <v/>
      </c>
      <c r="N4100" s="342" t="str">
        <f t="shared" si="1055"/>
        <v/>
      </c>
      <c r="R4100" s="341"/>
      <c r="S4100" s="341"/>
    </row>
    <row r="4101" spans="1:21" ht="12.75" customHeight="1">
      <c r="A4101" s="385"/>
      <c r="B4101" s="386"/>
      <c r="C4101" s="20"/>
      <c r="D4101" s="342"/>
      <c r="E4101" s="387"/>
      <c r="F4101" s="388">
        <f t="shared" si="1056"/>
        <v>0</v>
      </c>
      <c r="G4101" s="390"/>
      <c r="H4101" s="341" t="str">
        <f>IF(A4101="","",VLOOKUP(A4101,VII.A!$A$10:$D$199,4,FALSE))</f>
        <v/>
      </c>
      <c r="I4101" s="341" t="str">
        <f t="shared" si="1053"/>
        <v/>
      </c>
      <c r="J4101" s="341" t="str">
        <f>IF(A4101="","",VLOOKUP(A4101,VII.A!$A$10:$D$199,3,FALSE))</f>
        <v/>
      </c>
      <c r="K4101" s="342" t="str">
        <f t="shared" si="1054"/>
        <v/>
      </c>
      <c r="L4101" s="380" t="str">
        <f>IF(C4101="","",G4091*C4101)</f>
        <v/>
      </c>
      <c r="M4101" s="381" t="str">
        <f>IF(A4101="","",VLOOKUP(A4101,VII.A!$A$10:$B$199,2,FALSE))</f>
        <v/>
      </c>
      <c r="N4101" s="342" t="str">
        <f t="shared" si="1055"/>
        <v/>
      </c>
      <c r="R4101" s="341"/>
      <c r="S4101" s="341"/>
    </row>
    <row r="4102" spans="1:21" ht="12.75" customHeight="1">
      <c r="A4102" s="385"/>
      <c r="B4102" s="386"/>
      <c r="C4102" s="20"/>
      <c r="D4102" s="342"/>
      <c r="E4102" s="387"/>
      <c r="F4102" s="388">
        <f t="shared" si="1056"/>
        <v>0</v>
      </c>
      <c r="G4102" s="391"/>
      <c r="H4102" s="341" t="str">
        <f>IF(A4102="","",VLOOKUP(A4102,VII.A!$A$10:$D$199,4,FALSE))</f>
        <v/>
      </c>
      <c r="I4102" s="341" t="str">
        <f t="shared" si="1053"/>
        <v/>
      </c>
      <c r="J4102" s="341" t="str">
        <f>IF(A4102="","",VLOOKUP(A4102,VII.A!$A$10:$D$199,3,FALSE))</f>
        <v/>
      </c>
      <c r="K4102" s="342" t="str">
        <f t="shared" si="1054"/>
        <v/>
      </c>
      <c r="L4102" s="380" t="str">
        <f>IF(C4102="","",G4091*C4102)</f>
        <v/>
      </c>
      <c r="M4102" s="381" t="str">
        <f>IF(A4102="","",VLOOKUP(A4102,VII.A!$A$10:$B$199,2,FALSE))</f>
        <v/>
      </c>
      <c r="N4102" s="342" t="str">
        <f t="shared" si="1055"/>
        <v/>
      </c>
      <c r="R4102" s="341"/>
      <c r="S4102" s="341"/>
    </row>
    <row r="4103" spans="1:21" ht="12.75" customHeight="1">
      <c r="A4103" s="385"/>
      <c r="B4103" s="386"/>
      <c r="C4103" s="20"/>
      <c r="D4103" s="342"/>
      <c r="E4103" s="387"/>
      <c r="F4103" s="388">
        <f t="shared" si="1056"/>
        <v>0</v>
      </c>
      <c r="H4103" s="341" t="str">
        <f>IF(A4103="","",VLOOKUP(A4103,VII.A!$A$10:$D$199,4,FALSE))</f>
        <v/>
      </c>
      <c r="I4103" s="341" t="str">
        <f t="shared" si="1053"/>
        <v/>
      </c>
      <c r="J4103" s="341" t="str">
        <f>IF(A4103="","",VLOOKUP(A4103,VII.A!$A$10:$D$199,3,FALSE))</f>
        <v/>
      </c>
      <c r="K4103" s="342" t="str">
        <f t="shared" si="1054"/>
        <v/>
      </c>
      <c r="L4103" s="380" t="str">
        <f>IF(C4103="","",G4091*C4103)</f>
        <v/>
      </c>
      <c r="M4103" s="381" t="str">
        <f>IF(A4103="","",VLOOKUP(A4103,VII.A!$A$10:$B$199,2,FALSE))</f>
        <v/>
      </c>
      <c r="N4103" s="342" t="str">
        <f t="shared" si="1055"/>
        <v/>
      </c>
      <c r="R4103" s="341"/>
      <c r="S4103" s="341"/>
    </row>
    <row r="4104" spans="1:21" ht="12.75" customHeight="1">
      <c r="A4104" s="385"/>
      <c r="B4104" s="386"/>
      <c r="C4104" s="20"/>
      <c r="D4104" s="392"/>
      <c r="E4104" s="387"/>
      <c r="F4104" s="388">
        <f t="shared" si="1056"/>
        <v>0</v>
      </c>
      <c r="H4104" s="341" t="str">
        <f>IF(A4104="","",VLOOKUP(A4104,VII.A!$A$10:$D$199,4,FALSE))</f>
        <v/>
      </c>
      <c r="I4104" s="341" t="str">
        <f t="shared" si="1053"/>
        <v/>
      </c>
      <c r="J4104" s="341" t="str">
        <f>IF(A4104="","",VLOOKUP(A4104,VII.A!$A$10:$D$199,3,FALSE))</f>
        <v/>
      </c>
      <c r="K4104" s="342" t="str">
        <f t="shared" si="1054"/>
        <v/>
      </c>
      <c r="L4104" s="380" t="str">
        <f>IF(C4104="","",G4091*C4104)</f>
        <v/>
      </c>
      <c r="M4104" s="381" t="str">
        <f>IF(A4104="","",VLOOKUP(A4104,VII.A!$A$10:$B$199,2,FALSE))</f>
        <v/>
      </c>
      <c r="N4104" s="342" t="str">
        <f t="shared" si="1055"/>
        <v/>
      </c>
      <c r="R4104" s="341"/>
      <c r="S4104" s="341"/>
    </row>
    <row r="4105" spans="1:21" ht="12.75" customHeight="1">
      <c r="A4105" s="385"/>
      <c r="B4105" s="386" t="str">
        <f>LOWER(B4099)</f>
        <v/>
      </c>
      <c r="C4105" s="20"/>
      <c r="D4105" s="392"/>
      <c r="E4105" s="387"/>
      <c r="F4105" s="388">
        <f t="shared" si="1056"/>
        <v>0</v>
      </c>
      <c r="H4105" s="341" t="str">
        <f>IF(A4105="","",VLOOKUP(A4105,VII.A!$A$10:$D$199,4,FALSE))</f>
        <v/>
      </c>
      <c r="I4105" s="341" t="str">
        <f t="shared" si="1053"/>
        <v/>
      </c>
      <c r="J4105" s="341" t="str">
        <f>IF(A4105="","",VLOOKUP(A4105,VII.A!$A$10:$D$199,3,FALSE))</f>
        <v/>
      </c>
      <c r="K4105" s="342" t="str">
        <f t="shared" si="1054"/>
        <v/>
      </c>
      <c r="L4105" s="380" t="str">
        <f>IF(C4105="","",G4091*C4105)</f>
        <v/>
      </c>
      <c r="M4105" s="381" t="str">
        <f>IF(A4105="","",VLOOKUP(A4105,VII.A!$A$10:$B$199,2,FALSE))</f>
        <v/>
      </c>
      <c r="N4105" s="342" t="str">
        <f t="shared" si="1055"/>
        <v/>
      </c>
      <c r="O4105" s="342"/>
      <c r="R4105" s="341"/>
      <c r="S4105" s="341"/>
    </row>
    <row r="4106" spans="1:21" ht="12.75" customHeight="1">
      <c r="A4106" s="385"/>
      <c r="B4106" s="386"/>
      <c r="C4106" s="20"/>
      <c r="D4106" s="392"/>
      <c r="E4106" s="387"/>
      <c r="F4106" s="388">
        <f t="shared" si="1056"/>
        <v>0</v>
      </c>
      <c r="H4106" s="341" t="str">
        <f>IF(A4106="","",VLOOKUP(A4106,VII.A!$A$10:$D$199,4,FALSE))</f>
        <v/>
      </c>
      <c r="I4106" s="341" t="str">
        <f t="shared" si="1053"/>
        <v/>
      </c>
      <c r="J4106" s="341" t="str">
        <f>IF(A4106="","",VLOOKUP(A4106,VII.A!$A$10:$D$199,3,FALSE))</f>
        <v/>
      </c>
      <c r="K4106" s="342" t="str">
        <f t="shared" si="1054"/>
        <v/>
      </c>
      <c r="L4106" s="380" t="str">
        <f>IF(C4106="","",G4091*C4106)</f>
        <v/>
      </c>
      <c r="M4106" s="381" t="str">
        <f>IF(A4106="","",VLOOKUP(A4106,VII.A!$A$10:$B$199,2,FALSE))</f>
        <v/>
      </c>
      <c r="N4106" s="342" t="str">
        <f t="shared" si="1055"/>
        <v/>
      </c>
      <c r="R4106" s="341"/>
      <c r="S4106" s="341"/>
    </row>
    <row r="4107" spans="1:21" ht="12.75" customHeight="1">
      <c r="A4107" s="393"/>
      <c r="C4107" s="20"/>
      <c r="E4107" s="387"/>
      <c r="F4107" s="388">
        <f t="shared" si="1056"/>
        <v>0</v>
      </c>
      <c r="H4107" s="341" t="str">
        <f>IF(A4107="","",VLOOKUP(A4107,VII.A!$A$10:$D$199,4,FALSE))</f>
        <v/>
      </c>
      <c r="I4107" s="341" t="str">
        <f t="shared" si="1053"/>
        <v/>
      </c>
      <c r="J4107" s="341" t="str">
        <f>IF(A4107="","",VLOOKUP(A4107,VII.A!$A$10:$D$199,3,FALSE))</f>
        <v/>
      </c>
      <c r="K4107" s="342" t="str">
        <f t="shared" si="1054"/>
        <v/>
      </c>
      <c r="L4107" s="380" t="str">
        <f>IF(C4107="","",G4091*C4107)</f>
        <v/>
      </c>
      <c r="M4107" s="381" t="str">
        <f>IF(A4107="","",VLOOKUP(A4107,VII.A!$A$10:$B$199,2,FALSE))</f>
        <v/>
      </c>
      <c r="N4107" s="342" t="str">
        <f t="shared" si="1055"/>
        <v/>
      </c>
      <c r="R4107" s="341"/>
      <c r="S4107" s="341"/>
    </row>
    <row r="4108" spans="1:21" ht="12.75" customHeight="1">
      <c r="A4108" s="393"/>
      <c r="C4108" s="20"/>
      <c r="E4108" s="387"/>
      <c r="F4108" s="388">
        <f t="shared" si="1056"/>
        <v>0</v>
      </c>
      <c r="H4108" s="341" t="str">
        <f>IF(A4108="","",VLOOKUP(A4108,VII.A!$A$10:$D$199,4,FALSE))</f>
        <v/>
      </c>
      <c r="I4108" s="341" t="str">
        <f t="shared" si="1053"/>
        <v/>
      </c>
      <c r="J4108" s="341" t="str">
        <f>IF(A4108="","",VLOOKUP(A4108,VII.A!$A$10:$D$199,3,FALSE))</f>
        <v/>
      </c>
      <c r="K4108" s="342" t="str">
        <f t="shared" si="1054"/>
        <v/>
      </c>
      <c r="L4108" s="380" t="str">
        <f>IF(C4108="","",G4091*C4108)</f>
        <v/>
      </c>
      <c r="M4108" s="381" t="str">
        <f>IF(A4108="","",VLOOKUP(A4108,VII.A!$A$10:$B$199,2,FALSE))</f>
        <v/>
      </c>
      <c r="N4108" s="342" t="str">
        <f t="shared" si="1055"/>
        <v/>
      </c>
      <c r="R4108" s="341"/>
      <c r="S4108" s="341"/>
    </row>
    <row r="4109" spans="1:21" ht="12.75" customHeight="1">
      <c r="A4109" s="393"/>
      <c r="B4109" s="395" t="s">
        <v>226</v>
      </c>
      <c r="C4109" s="396"/>
      <c r="D4109" s="397"/>
      <c r="E4109" s="398"/>
      <c r="F4109" s="399">
        <f>SUM(F4093:F4108)</f>
        <v>0</v>
      </c>
      <c r="H4109" s="426" t="s">
        <v>434</v>
      </c>
      <c r="J4109" s="341"/>
      <c r="L4109" s="380"/>
      <c r="M4109" s="381"/>
      <c r="N4109" s="342"/>
      <c r="R4109" s="341"/>
      <c r="S4109" s="341"/>
    </row>
    <row r="4110" spans="1:21" ht="12.75" customHeight="1">
      <c r="A4110" s="393"/>
      <c r="B4110" s="400" t="s">
        <v>53</v>
      </c>
      <c r="C4110" s="2">
        <f>$D$8</f>
        <v>0</v>
      </c>
      <c r="D4110" s="401"/>
      <c r="E4110" s="402"/>
      <c r="F4110" s="403">
        <f>ROUND(F4109*C4110,2)</f>
        <v>0</v>
      </c>
      <c r="J4110" s="341"/>
      <c r="L4110" s="380"/>
      <c r="M4110" s="381"/>
      <c r="N4110" s="342"/>
      <c r="R4110" s="341"/>
      <c r="S4110" s="341"/>
    </row>
    <row r="4111" spans="1:21" ht="12.75" customHeight="1">
      <c r="A4111" s="404"/>
      <c r="B4111" s="405" t="s">
        <v>227</v>
      </c>
      <c r="C4111" s="406"/>
      <c r="D4111" s="406"/>
      <c r="E4111" s="407"/>
      <c r="F4111" s="408">
        <f>F4109+F4110</f>
        <v>0</v>
      </c>
      <c r="J4111" s="341"/>
      <c r="L4111" s="380"/>
      <c r="M4111" s="381"/>
      <c r="N4111" s="342"/>
      <c r="R4111" s="341"/>
      <c r="S4111" s="341"/>
    </row>
    <row r="4112" spans="1:21" ht="12.75" customHeight="1">
      <c r="A4112" s="374" t="s">
        <v>2</v>
      </c>
      <c r="B4112" s="375" t="s">
        <v>235</v>
      </c>
      <c r="C4112" s="376" t="s">
        <v>231</v>
      </c>
      <c r="D4112" s="376" t="s">
        <v>232</v>
      </c>
      <c r="E4112" s="377" t="s">
        <v>233</v>
      </c>
      <c r="F4112" s="378" t="s">
        <v>234</v>
      </c>
      <c r="J4112" s="341"/>
      <c r="L4112" s="380"/>
      <c r="M4112" s="381"/>
      <c r="N4112" s="342"/>
      <c r="R4112" s="341"/>
      <c r="S4112" s="341"/>
    </row>
    <row r="4113" spans="1:19" ht="12.75" customHeight="1">
      <c r="A4113" s="393"/>
      <c r="B4113" s="423"/>
      <c r="C4113" s="20"/>
      <c r="E4113" s="387"/>
      <c r="F4113" s="388">
        <f t="shared" ref="F4113:F4122" si="1057">ROUND(C4113*E4113,2)</f>
        <v>0</v>
      </c>
      <c r="H4113" s="341" t="str">
        <f>IF(A4113="","",VLOOKUP(A4113,VII.A!$A$10:$D$199,4,FALSE))</f>
        <v/>
      </c>
      <c r="I4113" s="341" t="str">
        <f t="shared" ref="I4113:I4122" si="1058">IF(A4113="","",IF(E4113=H4113,"SIM","NÃO"))</f>
        <v/>
      </c>
      <c r="J4113" s="341" t="str">
        <f>IF(A4113="","",VLOOKUP(A4113,VII.A!$A$10:$D$199,3,FALSE))</f>
        <v/>
      </c>
      <c r="K4113" s="342" t="str">
        <f t="shared" ref="K4113:K4122" si="1059">IF(A4113="","",IF(J4113=D4113,"SIM","NÃO"))</f>
        <v/>
      </c>
      <c r="L4113" s="380" t="str">
        <f>IF(C4113="","",G4091*C4113)</f>
        <v/>
      </c>
      <c r="M4113" s="381" t="str">
        <f>IF(A4113="","",VLOOKUP(A4113,VII.A!$A$10:$B$199,2,FALSE))</f>
        <v/>
      </c>
      <c r="N4113" s="342" t="str">
        <f t="shared" ref="N4113:N4122" si="1060">IF(B4113="","",IF(M4113=B4113,"si","no"))</f>
        <v/>
      </c>
      <c r="R4113" s="341"/>
      <c r="S4113" s="341"/>
    </row>
    <row r="4114" spans="1:19" ht="12.75" customHeight="1">
      <c r="A4114" s="393"/>
      <c r="C4114" s="20"/>
      <c r="E4114" s="387"/>
      <c r="F4114" s="388">
        <f t="shared" si="1057"/>
        <v>0</v>
      </c>
      <c r="H4114" s="341" t="str">
        <f>IF(A4114="","",VLOOKUP(A4114,VII.A!$A$10:$D$199,4,FALSE))</f>
        <v/>
      </c>
      <c r="I4114" s="341" t="str">
        <f t="shared" si="1058"/>
        <v/>
      </c>
      <c r="J4114" s="341" t="str">
        <f>IF(A4114="","",VLOOKUP(A4114,VII.A!$A$10:$D$199,3,FALSE))</f>
        <v/>
      </c>
      <c r="K4114" s="342" t="str">
        <f t="shared" si="1059"/>
        <v/>
      </c>
      <c r="L4114" s="380" t="str">
        <f>IF(C4114="","",G4091*C4114)</f>
        <v/>
      </c>
      <c r="M4114" s="381" t="str">
        <f>IF(A4114="","",VLOOKUP(A4114,VII.A!$A$10:$B$199,2,FALSE))</f>
        <v/>
      </c>
      <c r="N4114" s="342" t="str">
        <f t="shared" si="1060"/>
        <v/>
      </c>
      <c r="R4114" s="341"/>
      <c r="S4114" s="341"/>
    </row>
    <row r="4115" spans="1:19" ht="12.75" customHeight="1">
      <c r="A4115" s="393"/>
      <c r="C4115" s="20"/>
      <c r="E4115" s="387"/>
      <c r="F4115" s="388">
        <f t="shared" si="1057"/>
        <v>0</v>
      </c>
      <c r="H4115" s="341" t="str">
        <f>IF(A4115="","",VLOOKUP(A4115,VII.A!$A$10:$D$199,4,FALSE))</f>
        <v/>
      </c>
      <c r="I4115" s="341" t="str">
        <f t="shared" si="1058"/>
        <v/>
      </c>
      <c r="J4115" s="341" t="str">
        <f>IF(A4115="","",VLOOKUP(A4115,VII.A!$A$10:$D$199,3,FALSE))</f>
        <v/>
      </c>
      <c r="K4115" s="342" t="str">
        <f t="shared" si="1059"/>
        <v/>
      </c>
      <c r="L4115" s="380" t="str">
        <f>IF(C4115="","",G4091*C4115)</f>
        <v/>
      </c>
      <c r="M4115" s="381" t="str">
        <f>IF(A4115="","",VLOOKUP(A4115,VII.A!$A$10:$B$199,2,FALSE))</f>
        <v/>
      </c>
      <c r="N4115" s="342" t="str">
        <f t="shared" si="1060"/>
        <v/>
      </c>
      <c r="R4115" s="341"/>
      <c r="S4115" s="341"/>
    </row>
    <row r="4116" spans="1:19" ht="12.75" customHeight="1">
      <c r="A4116" s="393"/>
      <c r="C4116" s="20"/>
      <c r="E4116" s="387"/>
      <c r="F4116" s="388">
        <f t="shared" si="1057"/>
        <v>0</v>
      </c>
      <c r="H4116" s="341" t="str">
        <f>IF(A4116="","",VLOOKUP(A4116,VII.A!$A$10:$D$199,4,FALSE))</f>
        <v/>
      </c>
      <c r="I4116" s="341" t="str">
        <f t="shared" si="1058"/>
        <v/>
      </c>
      <c r="J4116" s="341" t="str">
        <f>IF(A4116="","",VLOOKUP(A4116,VII.A!$A$10:$D$199,3,FALSE))</f>
        <v/>
      </c>
      <c r="K4116" s="342" t="str">
        <f t="shared" si="1059"/>
        <v/>
      </c>
      <c r="L4116" s="380" t="str">
        <f>IF(C4116="","",G4091*C4116)</f>
        <v/>
      </c>
      <c r="M4116" s="381" t="str">
        <f>IF(A4116="","",VLOOKUP(A4116,VII.A!$A$10:$B$199,2,FALSE))</f>
        <v/>
      </c>
      <c r="N4116" s="342" t="str">
        <f t="shared" si="1060"/>
        <v/>
      </c>
      <c r="R4116" s="341"/>
      <c r="S4116" s="341"/>
    </row>
    <row r="4117" spans="1:19" ht="12.75" customHeight="1">
      <c r="A4117" s="393"/>
      <c r="C4117" s="20"/>
      <c r="E4117" s="387"/>
      <c r="F4117" s="388">
        <f t="shared" si="1057"/>
        <v>0</v>
      </c>
      <c r="G4117" s="390"/>
      <c r="H4117" s="341" t="str">
        <f>IF(A4117="","",VLOOKUP(A4117,VII.A!$A$10:$D$199,4,FALSE))</f>
        <v/>
      </c>
      <c r="I4117" s="341" t="str">
        <f t="shared" si="1058"/>
        <v/>
      </c>
      <c r="J4117" s="341" t="str">
        <f>IF(A4117="","",VLOOKUP(A4117,VII.A!$A$10:$D$199,3,FALSE))</f>
        <v/>
      </c>
      <c r="K4117" s="342" t="str">
        <f t="shared" si="1059"/>
        <v/>
      </c>
      <c r="L4117" s="380" t="str">
        <f>IF(C4117="","",G4091*C4117)</f>
        <v/>
      </c>
      <c r="M4117" s="381" t="str">
        <f>IF(A4117="","",VLOOKUP(A4117,VII.A!$A$10:$B$199,2,FALSE))</f>
        <v/>
      </c>
      <c r="N4117" s="342" t="str">
        <f t="shared" si="1060"/>
        <v/>
      </c>
      <c r="R4117" s="341"/>
      <c r="S4117" s="341"/>
    </row>
    <row r="4118" spans="1:19" ht="12.75" customHeight="1">
      <c r="A4118" s="393"/>
      <c r="C4118" s="20"/>
      <c r="E4118" s="387"/>
      <c r="F4118" s="388">
        <f t="shared" si="1057"/>
        <v>0</v>
      </c>
      <c r="G4118" s="391"/>
      <c r="H4118" s="341" t="str">
        <f>IF(A4118="","",VLOOKUP(A4118,VII.A!$A$10:$D$199,4,FALSE))</f>
        <v/>
      </c>
      <c r="I4118" s="341" t="str">
        <f t="shared" si="1058"/>
        <v/>
      </c>
      <c r="J4118" s="341" t="str">
        <f>IF(A4118="","",VLOOKUP(A4118,VII.A!$A$10:$D$199,3,FALSE))</f>
        <v/>
      </c>
      <c r="K4118" s="342" t="str">
        <f t="shared" si="1059"/>
        <v/>
      </c>
      <c r="L4118" s="380" t="str">
        <f>IF(C4118="","",G4091*C4118)</f>
        <v/>
      </c>
      <c r="M4118" s="381" t="str">
        <f>IF(A4118="","",VLOOKUP(A4118,VII.A!$A$10:$B$199,2,FALSE))</f>
        <v/>
      </c>
      <c r="N4118" s="342" t="str">
        <f t="shared" si="1060"/>
        <v/>
      </c>
      <c r="R4118" s="341"/>
      <c r="S4118" s="341"/>
    </row>
    <row r="4119" spans="1:19" ht="12.75" customHeight="1">
      <c r="A4119" s="393"/>
      <c r="C4119" s="20"/>
      <c r="E4119" s="387"/>
      <c r="F4119" s="388">
        <f t="shared" si="1057"/>
        <v>0</v>
      </c>
      <c r="H4119" s="341" t="str">
        <f>IF(A4119="","",VLOOKUP(A4119,VII.A!$A$10:$D$199,4,FALSE))</f>
        <v/>
      </c>
      <c r="I4119" s="341" t="str">
        <f t="shared" si="1058"/>
        <v/>
      </c>
      <c r="J4119" s="341" t="str">
        <f>IF(A4119="","",VLOOKUP(A4119,VII.A!$A$10:$D$199,3,FALSE))</f>
        <v/>
      </c>
      <c r="K4119" s="342" t="str">
        <f t="shared" si="1059"/>
        <v/>
      </c>
      <c r="L4119" s="380" t="str">
        <f>IF(C4119="","",G4091*C4119)</f>
        <v/>
      </c>
      <c r="M4119" s="381" t="str">
        <f>IF(A4119="","",VLOOKUP(A4119,VII.A!$A$10:$B$199,2,FALSE))</f>
        <v/>
      </c>
      <c r="N4119" s="342" t="str">
        <f t="shared" si="1060"/>
        <v/>
      </c>
      <c r="R4119" s="341"/>
      <c r="S4119" s="341"/>
    </row>
    <row r="4120" spans="1:19" ht="12.75" customHeight="1">
      <c r="A4120" s="393"/>
      <c r="C4120" s="20"/>
      <c r="E4120" s="387"/>
      <c r="F4120" s="388">
        <f t="shared" si="1057"/>
        <v>0</v>
      </c>
      <c r="H4120" s="341" t="str">
        <f>IF(A4120="","",VLOOKUP(A4120,VII.A!$A$10:$D$199,4,FALSE))</f>
        <v/>
      </c>
      <c r="I4120" s="341" t="str">
        <f t="shared" si="1058"/>
        <v/>
      </c>
      <c r="J4120" s="341" t="str">
        <f>IF(A4120="","",VLOOKUP(A4120,VII.A!$A$10:$D$199,3,FALSE))</f>
        <v/>
      </c>
      <c r="K4120" s="342" t="str">
        <f t="shared" si="1059"/>
        <v/>
      </c>
      <c r="L4120" s="380" t="str">
        <f>IF(C4120="","",G4091*C4120)</f>
        <v/>
      </c>
      <c r="M4120" s="381" t="str">
        <f>IF(A4120="","",VLOOKUP(A4120,VII.A!$A$10:$B$199,2,FALSE))</f>
        <v/>
      </c>
      <c r="N4120" s="342" t="str">
        <f t="shared" si="1060"/>
        <v/>
      </c>
      <c r="R4120" s="341"/>
      <c r="S4120" s="341"/>
    </row>
    <row r="4121" spans="1:19" ht="12.75" customHeight="1">
      <c r="A4121" s="393"/>
      <c r="C4121" s="20"/>
      <c r="E4121" s="387"/>
      <c r="F4121" s="388">
        <f t="shared" si="1057"/>
        <v>0</v>
      </c>
      <c r="H4121" s="341" t="str">
        <f>IF(A4121="","",VLOOKUP(A4121,VII.A!$A$10:$D$199,4,FALSE))</f>
        <v/>
      </c>
      <c r="I4121" s="341" t="str">
        <f t="shared" si="1058"/>
        <v/>
      </c>
      <c r="J4121" s="341" t="str">
        <f>IF(A4121="","",VLOOKUP(A4121,VII.A!$A$10:$D$199,3,FALSE))</f>
        <v/>
      </c>
      <c r="K4121" s="342" t="str">
        <f t="shared" si="1059"/>
        <v/>
      </c>
      <c r="L4121" s="380" t="str">
        <f>IF(C4121="","",G4091*C4121)</f>
        <v/>
      </c>
      <c r="M4121" s="381" t="str">
        <f>IF(A4121="","",VLOOKUP(A4121,VII.A!$A$10:$B$199,2,FALSE))</f>
        <v/>
      </c>
      <c r="N4121" s="342" t="str">
        <f t="shared" si="1060"/>
        <v/>
      </c>
      <c r="R4121" s="341"/>
      <c r="S4121" s="341"/>
    </row>
    <row r="4122" spans="1:19" ht="12.75" customHeight="1">
      <c r="A4122" s="393"/>
      <c r="C4122" s="20"/>
      <c r="E4122" s="387"/>
      <c r="F4122" s="388">
        <f t="shared" si="1057"/>
        <v>0</v>
      </c>
      <c r="H4122" s="341" t="str">
        <f>IF(A4122="","",VLOOKUP(A4122,VII.A!$A$10:$D$199,4,FALSE))</f>
        <v/>
      </c>
      <c r="I4122" s="341" t="str">
        <f t="shared" si="1058"/>
        <v/>
      </c>
      <c r="J4122" s="341" t="str">
        <f>IF(A4122="","",VLOOKUP(A4122,VII.A!$A$10:$D$199,3,FALSE))</f>
        <v/>
      </c>
      <c r="K4122" s="342" t="str">
        <f t="shared" si="1059"/>
        <v/>
      </c>
      <c r="L4122" s="380" t="str">
        <f>IF(C4122="","",G4091*C4122)</f>
        <v/>
      </c>
      <c r="M4122" s="381" t="str">
        <f>IF(A4122="","",VLOOKUP(A4122,VII.A!$A$10:$B$199,2,FALSE))</f>
        <v/>
      </c>
      <c r="N4122" s="342" t="str">
        <f t="shared" si="1060"/>
        <v/>
      </c>
      <c r="R4122" s="341"/>
      <c r="S4122" s="341"/>
    </row>
    <row r="4123" spans="1:19" ht="12.75" customHeight="1">
      <c r="A4123" s="393"/>
      <c r="B4123" s="395" t="s">
        <v>226</v>
      </c>
      <c r="C4123" s="396"/>
      <c r="D4123" s="397"/>
      <c r="E4123" s="398"/>
      <c r="F4123" s="399">
        <f>SUM(F4113:F4122)</f>
        <v>0</v>
      </c>
      <c r="J4123" s="341"/>
      <c r="L4123" s="380"/>
      <c r="M4123" s="381"/>
      <c r="N4123" s="342"/>
      <c r="R4123" s="341"/>
      <c r="S4123" s="341"/>
    </row>
    <row r="4124" spans="1:19" ht="12.75" customHeight="1">
      <c r="A4124" s="393"/>
      <c r="B4124" s="400" t="s">
        <v>53</v>
      </c>
      <c r="C4124" s="2">
        <f>$D$8</f>
        <v>0</v>
      </c>
      <c r="D4124" s="401"/>
      <c r="E4124" s="402"/>
      <c r="F4124" s="403">
        <f>ROUND(C4124*F4123,2)</f>
        <v>0</v>
      </c>
      <c r="J4124" s="341"/>
      <c r="L4124" s="380"/>
      <c r="M4124" s="381"/>
      <c r="N4124" s="342"/>
      <c r="R4124" s="341"/>
      <c r="S4124" s="341"/>
    </row>
    <row r="4125" spans="1:19" ht="12.75" customHeight="1">
      <c r="A4125" s="404"/>
      <c r="B4125" s="405" t="s">
        <v>228</v>
      </c>
      <c r="C4125" s="406"/>
      <c r="D4125" s="406"/>
      <c r="E4125" s="407"/>
      <c r="F4125" s="408">
        <f>F4123+F4124</f>
        <v>0</v>
      </c>
      <c r="J4125" s="341"/>
      <c r="L4125" s="380"/>
      <c r="M4125" s="381"/>
      <c r="N4125" s="342"/>
      <c r="R4125" s="341"/>
      <c r="S4125" s="341"/>
    </row>
    <row r="4126" spans="1:19" ht="12.75" customHeight="1">
      <c r="A4126" s="409" t="s">
        <v>47</v>
      </c>
      <c r="B4126" s="410" t="s">
        <v>236</v>
      </c>
      <c r="C4126" s="411" t="s">
        <v>231</v>
      </c>
      <c r="D4126" s="412" t="s">
        <v>232</v>
      </c>
      <c r="E4126" s="413" t="s">
        <v>233</v>
      </c>
      <c r="F4126" s="378" t="s">
        <v>234</v>
      </c>
      <c r="J4126" s="341"/>
      <c r="L4126" s="380"/>
      <c r="M4126" s="381"/>
      <c r="N4126" s="342"/>
      <c r="R4126" s="341"/>
      <c r="S4126" s="341"/>
    </row>
    <row r="4127" spans="1:19" ht="12.75" customHeight="1">
      <c r="A4127" s="393" t="str">
        <f>VII.A!$A$181</f>
        <v>3.1</v>
      </c>
      <c r="B4127" s="394" t="s">
        <v>142</v>
      </c>
      <c r="C4127" s="20">
        <v>0.11</v>
      </c>
      <c r="D4127" s="384" t="str">
        <f>VLOOKUP(A4127,VII.A!$A$10:$G$199,3,FALSE)</f>
        <v>H</v>
      </c>
      <c r="E4127" s="387">
        <f>VII.A!D181</f>
        <v>0</v>
      </c>
      <c r="F4127" s="388">
        <f t="shared" ref="F4127:F4133" si="1061">ROUND(C4127*E4127,2)</f>
        <v>0</v>
      </c>
      <c r="H4127" s="341">
        <f>IF(A4127="","",VLOOKUP(A4127,VII.A!$A$10:$D$199,4,FALSE))</f>
        <v>0</v>
      </c>
      <c r="I4127" s="341" t="str">
        <f t="shared" ref="I4127:I4133" si="1062">IF(A4127="","",IF(E4127=H4127,"SIM","NÃO"))</f>
        <v>SIM</v>
      </c>
      <c r="J4127" s="341" t="str">
        <f>IF(A4127="","",VLOOKUP(A4127,VII.A!$A$10:$D$199,3,FALSE))</f>
        <v>H</v>
      </c>
      <c r="K4127" s="342" t="str">
        <f t="shared" ref="K4127:K4133" si="1063">IF(A4127="","",IF(J4127=D4127,"SIM","NÃO"))</f>
        <v>SIM</v>
      </c>
      <c r="L4127" s="380">
        <f>IF(C4127="","",G4091*C4127)</f>
        <v>6.6</v>
      </c>
      <c r="M4127" s="381" t="str">
        <f>IF(A4127="","",VLOOKUP(A4127,VII.A!$A$10:$B$199,2,FALSE))</f>
        <v>AJUDANTE COM ENCARGOS COMPLEMENTARES</v>
      </c>
      <c r="N4127" s="342" t="str">
        <f t="shared" ref="N4127:N4133" si="1064">IF(B4127="","",IF(M4127=B4127,"si","no"))</f>
        <v>si</v>
      </c>
      <c r="R4127" s="341"/>
      <c r="S4127" s="341"/>
    </row>
    <row r="4128" spans="1:19" ht="12.75" customHeight="1">
      <c r="A4128" s="393" t="str">
        <f>VII.A!$A$187</f>
        <v>3.7</v>
      </c>
      <c r="B4128" s="394" t="s">
        <v>148</v>
      </c>
      <c r="C4128" s="20">
        <v>0.11</v>
      </c>
      <c r="D4128" s="384" t="str">
        <f>VLOOKUP(A4128,VII.A!$A$10:$G$199,3,FALSE)</f>
        <v>H</v>
      </c>
      <c r="E4128" s="387">
        <f>VII.A!D187</f>
        <v>0</v>
      </c>
      <c r="F4128" s="388">
        <f t="shared" si="1061"/>
        <v>0</v>
      </c>
      <c r="H4128" s="341">
        <f>IF(A4128="","",VLOOKUP(A4128,VII.A!$A$10:$D$199,4,FALSE))</f>
        <v>0</v>
      </c>
      <c r="I4128" s="341" t="str">
        <f t="shared" si="1062"/>
        <v>SIM</v>
      </c>
      <c r="J4128" s="341" t="str">
        <f>IF(A4128="","",VLOOKUP(A4128,VII.A!$A$10:$D$199,3,FALSE))</f>
        <v>H</v>
      </c>
      <c r="K4128" s="342" t="str">
        <f t="shared" si="1063"/>
        <v>SIM</v>
      </c>
      <c r="L4128" s="380">
        <f>IF(C4128="","",G4091*C4128)</f>
        <v>6.6</v>
      </c>
      <c r="M4128" s="381" t="str">
        <f>IF(A4128="","",VLOOKUP(A4128,VII.A!$A$10:$B$199,2,FALSE))</f>
        <v>ENCANADOR COM ENCARGOS COMPLEMENTARES</v>
      </c>
      <c r="N4128" s="342" t="str">
        <f t="shared" si="1064"/>
        <v>si</v>
      </c>
      <c r="R4128" s="341"/>
      <c r="S4128" s="341"/>
    </row>
    <row r="4129" spans="1:25" ht="12.75" customHeight="1">
      <c r="A4129" s="393"/>
      <c r="C4129" s="20"/>
      <c r="E4129" s="387"/>
      <c r="F4129" s="388">
        <f t="shared" si="1061"/>
        <v>0</v>
      </c>
      <c r="H4129" s="341" t="str">
        <f>IF(A4129="","",VLOOKUP(A4129,VII.A!$A$10:$D$199,4,FALSE))</f>
        <v/>
      </c>
      <c r="I4129" s="341" t="str">
        <f t="shared" si="1062"/>
        <v/>
      </c>
      <c r="J4129" s="341" t="str">
        <f>IF(A4129="","",VLOOKUP(A4129,VII.A!$A$10:$D$199,3,FALSE))</f>
        <v/>
      </c>
      <c r="K4129" s="342" t="str">
        <f t="shared" si="1063"/>
        <v/>
      </c>
      <c r="L4129" s="380" t="str">
        <f>IF(C4129="","",G4091*C4129)</f>
        <v/>
      </c>
      <c r="M4129" s="381" t="str">
        <f>IF(A4129="","",VLOOKUP(A4129,VII.A!$A$10:$B$199,2,FALSE))</f>
        <v/>
      </c>
      <c r="N4129" s="342" t="str">
        <f t="shared" si="1064"/>
        <v/>
      </c>
      <c r="R4129" s="341"/>
      <c r="S4129" s="341"/>
    </row>
    <row r="4130" spans="1:25" ht="12.75" customHeight="1">
      <c r="A4130" s="393"/>
      <c r="C4130" s="20"/>
      <c r="E4130" s="387"/>
      <c r="F4130" s="388">
        <f t="shared" si="1061"/>
        <v>0</v>
      </c>
      <c r="H4130" s="341" t="str">
        <f>IF(A4130="","",VLOOKUP(A4130,VII.A!$A$10:$D$199,4,FALSE))</f>
        <v/>
      </c>
      <c r="I4130" s="341" t="str">
        <f t="shared" si="1062"/>
        <v/>
      </c>
      <c r="J4130" s="341" t="str">
        <f>IF(A4130="","",VLOOKUP(A4130,VII.A!$A$10:$D$199,3,FALSE))</f>
        <v/>
      </c>
      <c r="K4130" s="342" t="str">
        <f t="shared" si="1063"/>
        <v/>
      </c>
      <c r="L4130" s="380" t="str">
        <f>IF(C4130="","",G4091*C4130)</f>
        <v/>
      </c>
      <c r="M4130" s="381" t="str">
        <f>IF(A4130="","",VLOOKUP(A4130,VII.A!$A$10:$B$199,2,FALSE))</f>
        <v/>
      </c>
      <c r="N4130" s="342" t="str">
        <f t="shared" si="1064"/>
        <v/>
      </c>
      <c r="R4130" s="341"/>
      <c r="S4130" s="341"/>
    </row>
    <row r="4131" spans="1:25" ht="12.75" customHeight="1">
      <c r="A4131" s="393"/>
      <c r="C4131" s="20"/>
      <c r="E4131" s="387"/>
      <c r="F4131" s="388">
        <f t="shared" si="1061"/>
        <v>0</v>
      </c>
      <c r="H4131" s="341" t="str">
        <f>IF(A4131="","",VLOOKUP(A4131,VII.A!$A$10:$D$199,4,FALSE))</f>
        <v/>
      </c>
      <c r="I4131" s="341" t="str">
        <f t="shared" si="1062"/>
        <v/>
      </c>
      <c r="J4131" s="341" t="str">
        <f>IF(A4131="","",VLOOKUP(A4131,VII.A!$A$10:$D$199,3,FALSE))</f>
        <v/>
      </c>
      <c r="K4131" s="342" t="str">
        <f t="shared" si="1063"/>
        <v/>
      </c>
      <c r="L4131" s="380" t="str">
        <f>IF(C4131="","",G4091*C4131)</f>
        <v/>
      </c>
      <c r="M4131" s="381" t="str">
        <f>IF(A4131="","",VLOOKUP(A4131,VII.A!$A$10:$B$199,2,FALSE))</f>
        <v/>
      </c>
      <c r="N4131" s="342" t="str">
        <f t="shared" si="1064"/>
        <v/>
      </c>
      <c r="R4131" s="341"/>
      <c r="S4131" s="341"/>
    </row>
    <row r="4132" spans="1:25" ht="12.75" customHeight="1">
      <c r="A4132" s="393"/>
      <c r="C4132" s="20"/>
      <c r="E4132" s="387"/>
      <c r="F4132" s="388">
        <f t="shared" si="1061"/>
        <v>0</v>
      </c>
      <c r="H4132" s="341" t="str">
        <f>IF(A4132="","",VLOOKUP(A4132,VII.A!$A$10:$D$199,4,FALSE))</f>
        <v/>
      </c>
      <c r="I4132" s="341" t="str">
        <f t="shared" si="1062"/>
        <v/>
      </c>
      <c r="J4132" s="341" t="str">
        <f>IF(A4132="","",VLOOKUP(A4132,VII.A!$A$10:$D$199,3,FALSE))</f>
        <v/>
      </c>
      <c r="K4132" s="342" t="str">
        <f t="shared" si="1063"/>
        <v/>
      </c>
      <c r="L4132" s="380" t="str">
        <f>IF(C4132="","",G4091*C4132)</f>
        <v/>
      </c>
      <c r="M4132" s="381" t="str">
        <f>IF(A4132="","",VLOOKUP(A4132,VII.A!$A$10:$B$199,2,FALSE))</f>
        <v/>
      </c>
      <c r="N4132" s="342" t="str">
        <f t="shared" si="1064"/>
        <v/>
      </c>
      <c r="R4132" s="341"/>
      <c r="S4132" s="341"/>
    </row>
    <row r="4133" spans="1:25" ht="12.75" customHeight="1">
      <c r="A4133" s="393"/>
      <c r="C4133" s="20"/>
      <c r="E4133" s="387"/>
      <c r="F4133" s="388">
        <f t="shared" si="1061"/>
        <v>0</v>
      </c>
      <c r="H4133" s="341" t="str">
        <f>IF(A4133="","",VLOOKUP(A4133,VII.A!$A$10:$D$199,4,FALSE))</f>
        <v/>
      </c>
      <c r="I4133" s="341" t="str">
        <f t="shared" si="1062"/>
        <v/>
      </c>
      <c r="J4133" s="341" t="str">
        <f>IF(A4133="","",VLOOKUP(A4133,VII.A!$A$10:$D$199,3,FALSE))</f>
        <v/>
      </c>
      <c r="K4133" s="342" t="str">
        <f t="shared" si="1063"/>
        <v/>
      </c>
      <c r="L4133" s="380" t="str">
        <f>IF(C4133="","",G4091*C4133)</f>
        <v/>
      </c>
      <c r="M4133" s="381" t="str">
        <f>IF(A4133="","",VLOOKUP(A4133,VII.A!$A$10:$B$199,2,FALSE))</f>
        <v/>
      </c>
      <c r="N4133" s="342" t="str">
        <f t="shared" si="1064"/>
        <v/>
      </c>
      <c r="R4133" s="341"/>
      <c r="S4133" s="341"/>
    </row>
    <row r="4134" spans="1:25" ht="12.75" customHeight="1">
      <c r="A4134" s="393"/>
      <c r="B4134" s="395" t="s">
        <v>226</v>
      </c>
      <c r="C4134" s="396"/>
      <c r="D4134" s="397"/>
      <c r="E4134" s="398"/>
      <c r="F4134" s="399">
        <f>SUM(F4127:F4133)</f>
        <v>0</v>
      </c>
      <c r="J4134" s="341"/>
      <c r="L4134" s="380"/>
      <c r="M4134" s="381"/>
      <c r="N4134" s="342"/>
      <c r="R4134" s="341"/>
      <c r="S4134" s="341"/>
    </row>
    <row r="4135" spans="1:25" ht="12.75" customHeight="1">
      <c r="A4135" s="393"/>
      <c r="B4135" s="400" t="s">
        <v>229</v>
      </c>
      <c r="C4135" s="2">
        <f>IX.A!$C$45</f>
        <v>0</v>
      </c>
      <c r="D4135" s="401"/>
      <c r="E4135" s="402"/>
      <c r="F4135" s="403">
        <f>ROUND(F4134*C4135,2)</f>
        <v>0</v>
      </c>
      <c r="J4135" s="341"/>
      <c r="L4135" s="380"/>
      <c r="M4135" s="381"/>
      <c r="N4135" s="342"/>
      <c r="R4135" s="341"/>
      <c r="S4135" s="341"/>
    </row>
    <row r="4136" spans="1:25" ht="12.75" customHeight="1">
      <c r="A4136" s="393"/>
      <c r="B4136" s="400" t="s">
        <v>53</v>
      </c>
      <c r="C4136" s="2">
        <f>$D$8</f>
        <v>0</v>
      </c>
      <c r="D4136" s="401"/>
      <c r="E4136" s="402"/>
      <c r="F4136" s="403">
        <f>ROUND(SUM(F4134:F4135)*C4136,2)</f>
        <v>0</v>
      </c>
      <c r="J4136" s="341"/>
      <c r="L4136" s="380"/>
      <c r="M4136" s="381"/>
      <c r="N4136" s="342"/>
      <c r="R4136" s="341"/>
      <c r="S4136" s="341"/>
    </row>
    <row r="4137" spans="1:25" ht="12.75" customHeight="1" thickBot="1">
      <c r="A4137" s="414"/>
      <c r="B4137" s="415" t="s">
        <v>230</v>
      </c>
      <c r="C4137" s="416"/>
      <c r="D4137" s="416"/>
      <c r="E4137" s="417"/>
      <c r="F4137" s="418">
        <f>SUM(F4134:F4136)</f>
        <v>0</v>
      </c>
      <c r="J4137" s="341"/>
      <c r="L4137" s="380"/>
      <c r="M4137" s="381"/>
      <c r="N4137" s="342"/>
      <c r="R4137" s="341"/>
      <c r="S4137" s="341"/>
    </row>
    <row r="4138" spans="1:25" ht="12.75" customHeight="1" thickBot="1">
      <c r="A4138" s="357"/>
      <c r="B4138" s="358"/>
      <c r="C4138" s="359"/>
      <c r="D4138" s="359"/>
      <c r="E4138" s="360"/>
      <c r="F4138" s="419"/>
      <c r="J4138" s="341"/>
      <c r="L4138" s="380"/>
      <c r="M4138" s="381"/>
      <c r="N4138" s="342"/>
      <c r="R4138" s="341"/>
      <c r="S4138" s="341"/>
    </row>
    <row r="4139" spans="1:25" ht="30" customHeight="1">
      <c r="A4139" s="370" t="str">
        <f>IV.A!$A$128</f>
        <v>5.1</v>
      </c>
      <c r="B4139" s="371" t="str">
        <f>IV.A!$B$128</f>
        <v xml:space="preserve">IDENTIFICAÇÃO DE TRINCAS, MAPEAMENTO, PREPARAÇÃO  E TRATAMENTO COM MASTIQUE </v>
      </c>
      <c r="C4139" s="871" t="s">
        <v>237</v>
      </c>
      <c r="D4139" s="872"/>
      <c r="E4139" s="372" t="str">
        <f>IV.A!C$128</f>
        <v>M</v>
      </c>
      <c r="F4139" s="11">
        <f>ROUND(F4159+F4173+F4185,2)</f>
        <v>0</v>
      </c>
      <c r="G4139" s="1">
        <f>VLOOKUP(A4139,IV.A!$A$16:$L$172,4,FALSE)</f>
        <v>100</v>
      </c>
      <c r="H4139" s="361">
        <f>SUM(F4141:F4156)+F4158</f>
        <v>0</v>
      </c>
      <c r="I4139" s="361">
        <f>SUM(F4161:F4170)+F4172</f>
        <v>0</v>
      </c>
      <c r="J4139" s="361">
        <f>SUM(F4175:F4181)+F4183+F4184</f>
        <v>0</v>
      </c>
      <c r="K4139" s="361">
        <f>SUM(H4139:J4139)</f>
        <v>0</v>
      </c>
      <c r="L4139" s="362" t="str">
        <f>IF(K4139=F4139,"SIM","NÃO")</f>
        <v>SIM</v>
      </c>
      <c r="M4139" s="373">
        <f>ROUND(SUM(F4141:F4156),2)+ROUND(SUM(F4141:F4156)*C4158,2)+ROUND(SUM(F4161:F4170)*C4172,2)+ROUND(SUM(F4161:F4170),2)+ROUND(SUM(F4175:F4181)*C4183,2)+ROUND((SUM(F4175:F4181)+ROUND(SUM(F4175:F4181)*C4183,2))*C4184,2)+ROUND(SUM(F4175:F4181),2)</f>
        <v>0</v>
      </c>
      <c r="N4139" s="343" t="str">
        <f>IF(M4139=F4139,"SIM","NÃO")</f>
        <v>SIM</v>
      </c>
      <c r="O4139" s="364" t="str">
        <f>VLOOKUP(A4139,IV.A!$A$16:$E$172,3,FALSE)</f>
        <v>M</v>
      </c>
      <c r="P4139" s="344" t="str">
        <f>IF(O4139=E4139,"SIM","NÃO")</f>
        <v>SIM</v>
      </c>
      <c r="Q4139" s="365">
        <f>ROUND(G4139*F4159,2)+ROUND(G4139*F4173,2)+ROUND(G4139*F4185,2)</f>
        <v>0</v>
      </c>
      <c r="R4139" s="364">
        <f>VLOOKUP(A4139,IV.A!$A$16:$L$172,12,FALSE)</f>
        <v>0</v>
      </c>
      <c r="S4139" s="366" t="str">
        <f>IF(Q4139=R4139,"si","no")</f>
        <v>si</v>
      </c>
      <c r="T4139" s="367">
        <f>SUM(L4141:L4156)+SUM(L4161:L4170)+SUM(L4175:L4181)</f>
        <v>140</v>
      </c>
      <c r="U4139" s="341">
        <f>(SUM(C4141:C4156)+SUM(C4161:C4170)+SUM(C4175:C4181))*G4139</f>
        <v>140</v>
      </c>
      <c r="V4139" s="368" t="str">
        <f>IF(T4139=U4139,"si","no")</f>
        <v>si</v>
      </c>
      <c r="W4139" s="369">
        <f>SUM(F4141:F4156)</f>
        <v>0</v>
      </c>
      <c r="X4139" s="369">
        <f>SUM(F4161:F4170)</f>
        <v>0</v>
      </c>
      <c r="Y4139" s="369">
        <f>SUM(F4175:F4181)</f>
        <v>0</v>
      </c>
    </row>
    <row r="4140" spans="1:25" ht="12.75" customHeight="1">
      <c r="A4140" s="374" t="s">
        <v>14</v>
      </c>
      <c r="B4140" s="375" t="s">
        <v>132</v>
      </c>
      <c r="C4140" s="376" t="s">
        <v>231</v>
      </c>
      <c r="D4140" s="376" t="s">
        <v>232</v>
      </c>
      <c r="E4140" s="377" t="s">
        <v>233</v>
      </c>
      <c r="F4140" s="378" t="s">
        <v>234</v>
      </c>
      <c r="G4140" s="379"/>
      <c r="J4140" s="341"/>
      <c r="L4140" s="380"/>
      <c r="M4140" s="381"/>
      <c r="N4140" s="342"/>
      <c r="O4140" s="382"/>
      <c r="P4140" s="383"/>
      <c r="Q4140" s="383"/>
      <c r="R4140" s="383"/>
      <c r="S4140" s="383"/>
      <c r="T4140" s="382"/>
      <c r="U4140" s="341"/>
      <c r="V4140" s="384"/>
      <c r="W4140" s="384"/>
      <c r="X4140" s="384"/>
      <c r="Y4140" s="384"/>
    </row>
    <row r="4141" spans="1:25" ht="12.75" customHeight="1">
      <c r="A4141" s="385" t="str">
        <f>VII.A!$A$99</f>
        <v>1.89</v>
      </c>
      <c r="B4141" s="386" t="str">
        <f>VLOOKUP(A4141,VII.A!$A$10:$G$199,2,FALSE)</f>
        <v>SELANTE ELASTICO MONOCOMPONENTE A BASE DE POLIURETANO PARA JUNTAS DIVERSAS</v>
      </c>
      <c r="C4141" s="20">
        <v>0.2</v>
      </c>
      <c r="D4141" s="342" t="str">
        <f>VLOOKUP(A4141,VII.A!$A$10:$G$199,3,FALSE)</f>
        <v>310 ML</v>
      </c>
      <c r="E4141" s="387">
        <f>VII.A!D99</f>
        <v>0</v>
      </c>
      <c r="F4141" s="388">
        <f>ROUND(C4141*E4141,2)</f>
        <v>0</v>
      </c>
      <c r="H4141" s="341">
        <f>IF(A4141="","",VLOOKUP(A4141,VII.A!$A$10:$D$199,4,FALSE))</f>
        <v>0</v>
      </c>
      <c r="I4141" s="341" t="str">
        <f t="shared" ref="I4141:I4156" si="1065">IF(A4141="","",IF(E4141=H4141,"SIM","NÃO"))</f>
        <v>SIM</v>
      </c>
      <c r="J4141" s="341" t="str">
        <f>IF(A4141="","",VLOOKUP(A4141,VII.A!$A$10:$D$199,3,FALSE))</f>
        <v>310 ML</v>
      </c>
      <c r="K4141" s="342" t="str">
        <f t="shared" ref="K4141:K4156" si="1066">IF(A4141="","",IF(J4141=D4141,"SIM","NÃO"))</f>
        <v>SIM</v>
      </c>
      <c r="L4141" s="380">
        <f>IF(C4141="","",G4139*C4141)</f>
        <v>20</v>
      </c>
      <c r="M4141" s="381" t="str">
        <f>IF(A4141="","",VLOOKUP(A4141,VII.A!$A$10:$B$199,2,FALSE))</f>
        <v>SELANTE ELASTICO MONOCOMPONENTE A BASE DE POLIURETANO PARA JUNTAS DIVERSAS</v>
      </c>
      <c r="N4141" s="342" t="str">
        <f t="shared" ref="N4141:N4156" si="1067">IF(B4141="","",IF(M4141=B4141,"si","no"))</f>
        <v>si</v>
      </c>
      <c r="R4141" s="341"/>
      <c r="S4141" s="341"/>
    </row>
    <row r="4142" spans="1:25" ht="12.75" customHeight="1">
      <c r="A4142" s="385"/>
      <c r="B4142" s="386"/>
      <c r="C4142" s="20"/>
      <c r="D4142" s="342"/>
      <c r="E4142" s="387"/>
      <c r="F4142" s="388">
        <f t="shared" ref="F4142:F4156" si="1068">ROUND(C4142*E4142,2)</f>
        <v>0</v>
      </c>
      <c r="H4142" s="341" t="str">
        <f>IF(A4142="","",VLOOKUP(A4142,VII.A!$A$10:$D$199,4,FALSE))</f>
        <v/>
      </c>
      <c r="I4142" s="341" t="str">
        <f t="shared" si="1065"/>
        <v/>
      </c>
      <c r="J4142" s="341" t="str">
        <f>IF(A4142="","",VLOOKUP(A4142,VII.A!$A$10:$D$199,3,FALSE))</f>
        <v/>
      </c>
      <c r="K4142" s="342" t="str">
        <f t="shared" si="1066"/>
        <v/>
      </c>
      <c r="L4142" s="380" t="str">
        <f>IF(C4142="","",G4139*C4142)</f>
        <v/>
      </c>
      <c r="M4142" s="381" t="str">
        <f>IF(A4142="","",VLOOKUP(A4142,VII.A!$A$10:$B$199,2,FALSE))</f>
        <v/>
      </c>
      <c r="N4142" s="342" t="str">
        <f t="shared" si="1067"/>
        <v/>
      </c>
      <c r="R4142" s="341"/>
      <c r="S4142" s="341"/>
    </row>
    <row r="4143" spans="1:25" ht="12.75" customHeight="1">
      <c r="A4143" s="385"/>
      <c r="B4143" s="386"/>
      <c r="C4143" s="20"/>
      <c r="D4143" s="342"/>
      <c r="E4143" s="387"/>
      <c r="F4143" s="388">
        <f t="shared" si="1068"/>
        <v>0</v>
      </c>
      <c r="H4143" s="341" t="str">
        <f>IF(A4143="","",VLOOKUP(A4143,VII.A!$A$10:$D$199,4,FALSE))</f>
        <v/>
      </c>
      <c r="I4143" s="341" t="str">
        <f t="shared" si="1065"/>
        <v/>
      </c>
      <c r="J4143" s="341" t="str">
        <f>IF(A4143="","",VLOOKUP(A4143,VII.A!$A$10:$D$199,3,FALSE))</f>
        <v/>
      </c>
      <c r="K4143" s="342" t="str">
        <f t="shared" si="1066"/>
        <v/>
      </c>
      <c r="L4143" s="380" t="str">
        <f>IF(C4143="","",G4139*C4143)</f>
        <v/>
      </c>
      <c r="M4143" s="381" t="str">
        <f>IF(A4143="","",VLOOKUP(A4143,VII.A!$A$10:$B$199,2,FALSE))</f>
        <v/>
      </c>
      <c r="N4143" s="342" t="str">
        <f t="shared" si="1067"/>
        <v/>
      </c>
      <c r="R4143" s="341"/>
      <c r="S4143" s="341"/>
    </row>
    <row r="4144" spans="1:25" ht="12.75" customHeight="1">
      <c r="A4144" s="385"/>
      <c r="B4144" s="386"/>
      <c r="C4144" s="20"/>
      <c r="D4144" s="342"/>
      <c r="E4144" s="387"/>
      <c r="F4144" s="388">
        <f t="shared" si="1068"/>
        <v>0</v>
      </c>
      <c r="H4144" s="341" t="str">
        <f>IF(A4144="","",VLOOKUP(A4144,VII.A!$A$10:$D$199,4,FALSE))</f>
        <v/>
      </c>
      <c r="I4144" s="341" t="str">
        <f t="shared" si="1065"/>
        <v/>
      </c>
      <c r="J4144" s="341" t="str">
        <f>IF(A4144="","",VLOOKUP(A4144,VII.A!$A$10:$D$199,3,FALSE))</f>
        <v/>
      </c>
      <c r="K4144" s="342" t="str">
        <f t="shared" si="1066"/>
        <v/>
      </c>
      <c r="L4144" s="380" t="str">
        <f>IF(C4144="","",G4139*C4144)</f>
        <v/>
      </c>
      <c r="M4144" s="381" t="str">
        <f>IF(A4144="","",VLOOKUP(A4144,VII.A!$A$10:$B$199,2,FALSE))</f>
        <v/>
      </c>
      <c r="N4144" s="342" t="str">
        <f t="shared" si="1067"/>
        <v/>
      </c>
      <c r="R4144" s="341"/>
      <c r="S4144" s="341"/>
    </row>
    <row r="4145" spans="1:21" ht="12.75" customHeight="1">
      <c r="A4145" s="385"/>
      <c r="B4145" s="386"/>
      <c r="C4145" s="20"/>
      <c r="D4145" s="342"/>
      <c r="E4145" s="387"/>
      <c r="F4145" s="388">
        <f t="shared" si="1068"/>
        <v>0</v>
      </c>
      <c r="H4145" s="341" t="str">
        <f>IF(A4145="","",VLOOKUP(A4145,VII.A!$A$10:$D$199,4,FALSE))</f>
        <v/>
      </c>
      <c r="I4145" s="341" t="str">
        <f t="shared" si="1065"/>
        <v/>
      </c>
      <c r="J4145" s="341" t="str">
        <f>IF(A4145="","",VLOOKUP(A4145,VII.A!$A$10:$D$199,3,FALSE))</f>
        <v/>
      </c>
      <c r="K4145" s="342" t="str">
        <f t="shared" si="1066"/>
        <v/>
      </c>
      <c r="L4145" s="380" t="str">
        <f>IF(C4145="","",G4139*C4145)</f>
        <v/>
      </c>
      <c r="M4145" s="381" t="str">
        <f>IF(A4145="","",VLOOKUP(A4145,VII.A!$A$10:$B$199,2,FALSE))</f>
        <v/>
      </c>
      <c r="N4145" s="342" t="str">
        <f t="shared" si="1067"/>
        <v/>
      </c>
      <c r="R4145" s="341"/>
      <c r="S4145" s="341"/>
    </row>
    <row r="4146" spans="1:21" ht="12.75" customHeight="1">
      <c r="A4146" s="385"/>
      <c r="B4146" s="386"/>
      <c r="C4146" s="20"/>
      <c r="D4146" s="342"/>
      <c r="E4146" s="387"/>
      <c r="F4146" s="388">
        <f t="shared" si="1068"/>
        <v>0</v>
      </c>
      <c r="H4146" s="341" t="str">
        <f>IF(A4146="","",VLOOKUP(A4146,VII.A!$A$10:$D$199,4,FALSE))</f>
        <v/>
      </c>
      <c r="I4146" s="341" t="str">
        <f t="shared" si="1065"/>
        <v/>
      </c>
      <c r="J4146" s="341" t="str">
        <f>IF(A4146="","",VLOOKUP(A4146,VII.A!$A$10:$D$199,3,FALSE))</f>
        <v/>
      </c>
      <c r="K4146" s="342" t="str">
        <f t="shared" si="1066"/>
        <v/>
      </c>
      <c r="L4146" s="380" t="str">
        <f>IF(C4146="","",G4139*C4146)</f>
        <v/>
      </c>
      <c r="M4146" s="381" t="str">
        <f>IF(A4146="","",VLOOKUP(A4146,VII.A!$A$10:$B$199,2,FALSE))</f>
        <v/>
      </c>
      <c r="N4146" s="342" t="str">
        <f t="shared" si="1067"/>
        <v/>
      </c>
      <c r="R4146" s="341"/>
      <c r="S4146" s="341"/>
      <c r="U4146" s="389"/>
    </row>
    <row r="4147" spans="1:21" ht="12.75" customHeight="1">
      <c r="A4147" s="385"/>
      <c r="B4147" s="386"/>
      <c r="C4147" s="20"/>
      <c r="D4147" s="342"/>
      <c r="E4147" s="387"/>
      <c r="F4147" s="388">
        <f t="shared" si="1068"/>
        <v>0</v>
      </c>
      <c r="H4147" s="341" t="str">
        <f>IF(A4147="","",VLOOKUP(A4147,VII.A!$A$10:$D$199,4,FALSE))</f>
        <v/>
      </c>
      <c r="I4147" s="341" t="str">
        <f t="shared" si="1065"/>
        <v/>
      </c>
      <c r="J4147" s="341" t="str">
        <f>IF(A4147="","",VLOOKUP(A4147,VII.A!$A$10:$D$199,3,FALSE))</f>
        <v/>
      </c>
      <c r="K4147" s="342" t="str">
        <f t="shared" si="1066"/>
        <v/>
      </c>
      <c r="L4147" s="380" t="str">
        <f>IF(C4147="","",G4139*C4147)</f>
        <v/>
      </c>
      <c r="M4147" s="381" t="str">
        <f>IF(A4147="","",VLOOKUP(A4147,VII.A!$A$10:$B$199,2,FALSE))</f>
        <v/>
      </c>
      <c r="N4147" s="342" t="str">
        <f t="shared" si="1067"/>
        <v/>
      </c>
      <c r="R4147" s="341"/>
      <c r="S4147" s="341"/>
    </row>
    <row r="4148" spans="1:21" ht="12.75" customHeight="1">
      <c r="A4148" s="385"/>
      <c r="B4148" s="386"/>
      <c r="C4148" s="20"/>
      <c r="D4148" s="342"/>
      <c r="E4148" s="387"/>
      <c r="F4148" s="388">
        <f t="shared" si="1068"/>
        <v>0</v>
      </c>
      <c r="G4148" s="390"/>
      <c r="H4148" s="341" t="str">
        <f>IF(A4148="","",VLOOKUP(A4148,VII.A!$A$10:$D$199,4,FALSE))</f>
        <v/>
      </c>
      <c r="I4148" s="341" t="str">
        <f t="shared" si="1065"/>
        <v/>
      </c>
      <c r="J4148" s="341" t="str">
        <f>IF(A4148="","",VLOOKUP(A4148,VII.A!$A$10:$D$199,3,FALSE))</f>
        <v/>
      </c>
      <c r="K4148" s="342" t="str">
        <f t="shared" si="1066"/>
        <v/>
      </c>
      <c r="L4148" s="380" t="str">
        <f>IF(C4148="","",G4139*C4148)</f>
        <v/>
      </c>
      <c r="M4148" s="381" t="str">
        <f>IF(A4148="","",VLOOKUP(A4148,VII.A!$A$10:$B$199,2,FALSE))</f>
        <v/>
      </c>
      <c r="N4148" s="342" t="str">
        <f t="shared" si="1067"/>
        <v/>
      </c>
      <c r="R4148" s="341"/>
      <c r="S4148" s="341"/>
    </row>
    <row r="4149" spans="1:21" ht="12.75" customHeight="1">
      <c r="A4149" s="385"/>
      <c r="B4149" s="386"/>
      <c r="C4149" s="20"/>
      <c r="D4149" s="342"/>
      <c r="E4149" s="387"/>
      <c r="F4149" s="388">
        <f t="shared" si="1068"/>
        <v>0</v>
      </c>
      <c r="G4149" s="390"/>
      <c r="H4149" s="341" t="str">
        <f>IF(A4149="","",VLOOKUP(A4149,VII.A!$A$10:$D$199,4,FALSE))</f>
        <v/>
      </c>
      <c r="I4149" s="341" t="str">
        <f t="shared" si="1065"/>
        <v/>
      </c>
      <c r="J4149" s="341" t="str">
        <f>IF(A4149="","",VLOOKUP(A4149,VII.A!$A$10:$D$199,3,FALSE))</f>
        <v/>
      </c>
      <c r="K4149" s="342" t="str">
        <f t="shared" si="1066"/>
        <v/>
      </c>
      <c r="L4149" s="380" t="str">
        <f>IF(C4149="","",G4139*C4149)</f>
        <v/>
      </c>
      <c r="M4149" s="381" t="str">
        <f>IF(A4149="","",VLOOKUP(A4149,VII.A!$A$10:$B$199,2,FALSE))</f>
        <v/>
      </c>
      <c r="N4149" s="342" t="str">
        <f t="shared" si="1067"/>
        <v/>
      </c>
      <c r="R4149" s="341"/>
      <c r="S4149" s="341"/>
    </row>
    <row r="4150" spans="1:21" ht="12.75" customHeight="1">
      <c r="A4150" s="385"/>
      <c r="B4150" s="386"/>
      <c r="C4150" s="20"/>
      <c r="D4150" s="342"/>
      <c r="E4150" s="387"/>
      <c r="F4150" s="388">
        <f t="shared" si="1068"/>
        <v>0</v>
      </c>
      <c r="G4150" s="391"/>
      <c r="H4150" s="341" t="str">
        <f>IF(A4150="","",VLOOKUP(A4150,VII.A!$A$10:$D$199,4,FALSE))</f>
        <v/>
      </c>
      <c r="I4150" s="341" t="str">
        <f t="shared" si="1065"/>
        <v/>
      </c>
      <c r="J4150" s="341" t="str">
        <f>IF(A4150="","",VLOOKUP(A4150,VII.A!$A$10:$D$199,3,FALSE))</f>
        <v/>
      </c>
      <c r="K4150" s="342" t="str">
        <f t="shared" si="1066"/>
        <v/>
      </c>
      <c r="L4150" s="380" t="str">
        <f>IF(C4150="","",G4139*C4150)</f>
        <v/>
      </c>
      <c r="M4150" s="381" t="str">
        <f>IF(A4150="","",VLOOKUP(A4150,VII.A!$A$10:$B$199,2,FALSE))</f>
        <v/>
      </c>
      <c r="N4150" s="342" t="str">
        <f t="shared" si="1067"/>
        <v/>
      </c>
      <c r="R4150" s="341"/>
      <c r="S4150" s="341"/>
    </row>
    <row r="4151" spans="1:21" ht="12.75" customHeight="1">
      <c r="A4151" s="385"/>
      <c r="B4151" s="386"/>
      <c r="C4151" s="20"/>
      <c r="D4151" s="342"/>
      <c r="E4151" s="387"/>
      <c r="F4151" s="388">
        <f t="shared" si="1068"/>
        <v>0</v>
      </c>
      <c r="H4151" s="341" t="str">
        <f>IF(A4151="","",VLOOKUP(A4151,VII.A!$A$10:$D$199,4,FALSE))</f>
        <v/>
      </c>
      <c r="I4151" s="341" t="str">
        <f t="shared" si="1065"/>
        <v/>
      </c>
      <c r="J4151" s="341" t="str">
        <f>IF(A4151="","",VLOOKUP(A4151,VII.A!$A$10:$D$199,3,FALSE))</f>
        <v/>
      </c>
      <c r="K4151" s="342" t="str">
        <f t="shared" si="1066"/>
        <v/>
      </c>
      <c r="L4151" s="380" t="str">
        <f>IF(C4151="","",G4139*C4151)</f>
        <v/>
      </c>
      <c r="M4151" s="381" t="str">
        <f>IF(A4151="","",VLOOKUP(A4151,VII.A!$A$10:$B$199,2,FALSE))</f>
        <v/>
      </c>
      <c r="N4151" s="342" t="str">
        <f t="shared" si="1067"/>
        <v/>
      </c>
      <c r="R4151" s="341"/>
      <c r="S4151" s="341"/>
    </row>
    <row r="4152" spans="1:21" ht="12.75" customHeight="1">
      <c r="A4152" s="385"/>
      <c r="B4152" s="386"/>
      <c r="C4152" s="20"/>
      <c r="D4152" s="392"/>
      <c r="E4152" s="387"/>
      <c r="F4152" s="388">
        <f t="shared" si="1068"/>
        <v>0</v>
      </c>
      <c r="H4152" s="341" t="str">
        <f>IF(A4152="","",VLOOKUP(A4152,VII.A!$A$10:$D$199,4,FALSE))</f>
        <v/>
      </c>
      <c r="I4152" s="341" t="str">
        <f t="shared" si="1065"/>
        <v/>
      </c>
      <c r="J4152" s="341" t="str">
        <f>IF(A4152="","",VLOOKUP(A4152,VII.A!$A$10:$D$199,3,FALSE))</f>
        <v/>
      </c>
      <c r="K4152" s="342" t="str">
        <f t="shared" si="1066"/>
        <v/>
      </c>
      <c r="L4152" s="380" t="str">
        <f>IF(C4152="","",G4139*C4152)</f>
        <v/>
      </c>
      <c r="M4152" s="381" t="str">
        <f>IF(A4152="","",VLOOKUP(A4152,VII.A!$A$10:$B$199,2,FALSE))</f>
        <v/>
      </c>
      <c r="N4152" s="342" t="str">
        <f t="shared" si="1067"/>
        <v/>
      </c>
      <c r="R4152" s="341"/>
      <c r="S4152" s="341"/>
    </row>
    <row r="4153" spans="1:21" ht="12.75" customHeight="1">
      <c r="A4153" s="385"/>
      <c r="B4153" s="386"/>
      <c r="C4153" s="20"/>
      <c r="D4153" s="392"/>
      <c r="E4153" s="387"/>
      <c r="F4153" s="388">
        <f t="shared" si="1068"/>
        <v>0</v>
      </c>
      <c r="H4153" s="341" t="str">
        <f>IF(A4153="","",VLOOKUP(A4153,VII.A!$A$10:$D$199,4,FALSE))</f>
        <v/>
      </c>
      <c r="I4153" s="341" t="str">
        <f t="shared" si="1065"/>
        <v/>
      </c>
      <c r="J4153" s="341" t="str">
        <f>IF(A4153="","",VLOOKUP(A4153,VII.A!$A$10:$D$199,3,FALSE))</f>
        <v/>
      </c>
      <c r="K4153" s="342" t="str">
        <f t="shared" si="1066"/>
        <v/>
      </c>
      <c r="L4153" s="380" t="str">
        <f>IF(C4153="","",G4139*C4153)</f>
        <v/>
      </c>
      <c r="M4153" s="381" t="str">
        <f>IF(A4153="","",VLOOKUP(A4153,VII.A!$A$10:$B$199,2,FALSE))</f>
        <v/>
      </c>
      <c r="N4153" s="342" t="str">
        <f t="shared" si="1067"/>
        <v/>
      </c>
      <c r="O4153" s="342"/>
      <c r="R4153" s="341"/>
      <c r="S4153" s="341"/>
    </row>
    <row r="4154" spans="1:21" ht="12.75" customHeight="1">
      <c r="A4154" s="385"/>
      <c r="B4154" s="386"/>
      <c r="C4154" s="20"/>
      <c r="D4154" s="392"/>
      <c r="E4154" s="387"/>
      <c r="F4154" s="388">
        <f t="shared" si="1068"/>
        <v>0</v>
      </c>
      <c r="H4154" s="341" t="str">
        <f>IF(A4154="","",VLOOKUP(A4154,VII.A!$A$10:$D$199,4,FALSE))</f>
        <v/>
      </c>
      <c r="I4154" s="341" t="str">
        <f t="shared" si="1065"/>
        <v/>
      </c>
      <c r="J4154" s="341" t="str">
        <f>IF(A4154="","",VLOOKUP(A4154,VII.A!$A$10:$D$199,3,FALSE))</f>
        <v/>
      </c>
      <c r="K4154" s="342" t="str">
        <f t="shared" si="1066"/>
        <v/>
      </c>
      <c r="L4154" s="380" t="str">
        <f>IF(C4154="","",G4139*C4154)</f>
        <v/>
      </c>
      <c r="M4154" s="381" t="str">
        <f>IF(A4154="","",VLOOKUP(A4154,VII.A!$A$10:$B$199,2,FALSE))</f>
        <v/>
      </c>
      <c r="N4154" s="342" t="str">
        <f t="shared" si="1067"/>
        <v/>
      </c>
      <c r="R4154" s="341"/>
      <c r="S4154" s="341"/>
    </row>
    <row r="4155" spans="1:21" ht="12.75" customHeight="1">
      <c r="A4155" s="393"/>
      <c r="C4155" s="20"/>
      <c r="E4155" s="387"/>
      <c r="F4155" s="388">
        <f t="shared" si="1068"/>
        <v>0</v>
      </c>
      <c r="H4155" s="341" t="str">
        <f>IF(A4155="","",VLOOKUP(A4155,VII.A!$A$10:$D$199,4,FALSE))</f>
        <v/>
      </c>
      <c r="I4155" s="341" t="str">
        <f t="shared" si="1065"/>
        <v/>
      </c>
      <c r="J4155" s="341" t="str">
        <f>IF(A4155="","",VLOOKUP(A4155,VII.A!$A$10:$D$199,3,FALSE))</f>
        <v/>
      </c>
      <c r="K4155" s="342" t="str">
        <f t="shared" si="1066"/>
        <v/>
      </c>
      <c r="L4155" s="380" t="str">
        <f>IF(C4155="","",G4139*C4155)</f>
        <v/>
      </c>
      <c r="M4155" s="381" t="str">
        <f>IF(A4155="","",VLOOKUP(A4155,VII.A!$A$10:$B$199,2,FALSE))</f>
        <v/>
      </c>
      <c r="N4155" s="342" t="str">
        <f t="shared" si="1067"/>
        <v/>
      </c>
      <c r="R4155" s="341"/>
      <c r="S4155" s="341"/>
    </row>
    <row r="4156" spans="1:21" ht="12.75" customHeight="1">
      <c r="A4156" s="393"/>
      <c r="C4156" s="20"/>
      <c r="E4156" s="387"/>
      <c r="F4156" s="388">
        <f t="shared" si="1068"/>
        <v>0</v>
      </c>
      <c r="H4156" s="341" t="str">
        <f>IF(A4156="","",VLOOKUP(A4156,VII.A!$A$10:$D$199,4,FALSE))</f>
        <v/>
      </c>
      <c r="I4156" s="341" t="str">
        <f t="shared" si="1065"/>
        <v/>
      </c>
      <c r="J4156" s="341" t="str">
        <f>IF(A4156="","",VLOOKUP(A4156,VII.A!$A$10:$D$199,3,FALSE))</f>
        <v/>
      </c>
      <c r="K4156" s="342" t="str">
        <f t="shared" si="1066"/>
        <v/>
      </c>
      <c r="L4156" s="380" t="str">
        <f>IF(C4156="","",G4139*C4156)</f>
        <v/>
      </c>
      <c r="M4156" s="381" t="str">
        <f>IF(A4156="","",VLOOKUP(A4156,VII.A!$A$10:$B$199,2,FALSE))</f>
        <v/>
      </c>
      <c r="N4156" s="342" t="str">
        <f t="shared" si="1067"/>
        <v/>
      </c>
      <c r="R4156" s="341"/>
      <c r="S4156" s="341"/>
    </row>
    <row r="4157" spans="1:21" ht="12.75" customHeight="1">
      <c r="A4157" s="393"/>
      <c r="B4157" s="395" t="s">
        <v>226</v>
      </c>
      <c r="C4157" s="396"/>
      <c r="D4157" s="397"/>
      <c r="E4157" s="398"/>
      <c r="F4157" s="399">
        <f>SUM(F4141:F4156)</f>
        <v>0</v>
      </c>
      <c r="J4157" s="341"/>
      <c r="L4157" s="380"/>
      <c r="M4157" s="381"/>
      <c r="N4157" s="342"/>
      <c r="R4157" s="341"/>
      <c r="S4157" s="341"/>
    </row>
    <row r="4158" spans="1:21" ht="12.75" customHeight="1">
      <c r="A4158" s="393"/>
      <c r="B4158" s="400" t="s">
        <v>53</v>
      </c>
      <c r="C4158" s="2">
        <f>$D$8</f>
        <v>0</v>
      </c>
      <c r="D4158" s="401"/>
      <c r="E4158" s="402"/>
      <c r="F4158" s="403">
        <f>ROUND(F4157*C4158,2)</f>
        <v>0</v>
      </c>
      <c r="H4158" s="426" t="s">
        <v>446</v>
      </c>
      <c r="J4158" s="341"/>
      <c r="L4158" s="380"/>
      <c r="M4158" s="381"/>
      <c r="N4158" s="342"/>
      <c r="R4158" s="341"/>
      <c r="S4158" s="341"/>
    </row>
    <row r="4159" spans="1:21" ht="12.75" customHeight="1">
      <c r="A4159" s="404"/>
      <c r="B4159" s="405" t="s">
        <v>227</v>
      </c>
      <c r="C4159" s="406"/>
      <c r="D4159" s="406"/>
      <c r="E4159" s="407"/>
      <c r="F4159" s="408">
        <f>F4157+F4158</f>
        <v>0</v>
      </c>
      <c r="J4159" s="341"/>
      <c r="L4159" s="380"/>
      <c r="M4159" s="381"/>
      <c r="N4159" s="342"/>
      <c r="R4159" s="341"/>
      <c r="S4159" s="341"/>
    </row>
    <row r="4160" spans="1:21" ht="12.75" customHeight="1">
      <c r="A4160" s="374" t="s">
        <v>2</v>
      </c>
      <c r="B4160" s="375" t="s">
        <v>235</v>
      </c>
      <c r="C4160" s="376" t="s">
        <v>231</v>
      </c>
      <c r="D4160" s="376" t="s">
        <v>232</v>
      </c>
      <c r="E4160" s="377" t="s">
        <v>233</v>
      </c>
      <c r="F4160" s="378" t="s">
        <v>234</v>
      </c>
      <c r="J4160" s="341"/>
      <c r="L4160" s="380"/>
      <c r="M4160" s="381"/>
      <c r="N4160" s="342"/>
      <c r="R4160" s="341"/>
      <c r="S4160" s="341"/>
    </row>
    <row r="4161" spans="1:19" ht="12.75" customHeight="1">
      <c r="A4161" s="393"/>
      <c r="B4161" s="423"/>
      <c r="C4161" s="20"/>
      <c r="E4161" s="387"/>
      <c r="F4161" s="388">
        <f t="shared" ref="F4161:F4170" si="1069">ROUND(C4161*E4161,2)</f>
        <v>0</v>
      </c>
      <c r="H4161" s="341" t="str">
        <f>IF(A4161="","",VLOOKUP(A4161,VII.A!$A$10:$D$199,4,FALSE))</f>
        <v/>
      </c>
      <c r="I4161" s="341" t="str">
        <f t="shared" ref="I4161:I4170" si="1070">IF(A4161="","",IF(E4161=H4161,"SIM","NÃO"))</f>
        <v/>
      </c>
      <c r="J4161" s="341" t="str">
        <f>IF(A4161="","",VLOOKUP(A4161,VII.A!$A$10:$D$199,3,FALSE))</f>
        <v/>
      </c>
      <c r="K4161" s="342" t="str">
        <f t="shared" ref="K4161:K4170" si="1071">IF(A4161="","",IF(J4161=D4161,"SIM","NÃO"))</f>
        <v/>
      </c>
      <c r="L4161" s="380" t="str">
        <f>IF(C4161="","",G4139*C4161)</f>
        <v/>
      </c>
      <c r="M4161" s="381" t="str">
        <f>IF(A4161="","",VLOOKUP(A4161,VII.A!$A$10:$B$199,2,FALSE))</f>
        <v/>
      </c>
      <c r="N4161" s="342" t="str">
        <f t="shared" ref="N4161:N4170" si="1072">IF(B4161="","",IF(M4161=B4161,"si","no"))</f>
        <v/>
      </c>
      <c r="R4161" s="341"/>
      <c r="S4161" s="341"/>
    </row>
    <row r="4162" spans="1:19" ht="12.75" customHeight="1">
      <c r="A4162" s="393"/>
      <c r="C4162" s="20"/>
      <c r="E4162" s="387"/>
      <c r="F4162" s="388">
        <f t="shared" si="1069"/>
        <v>0</v>
      </c>
      <c r="H4162" s="341" t="str">
        <f>IF(A4162="","",VLOOKUP(A4162,VII.A!$A$10:$D$199,4,FALSE))</f>
        <v/>
      </c>
      <c r="I4162" s="341" t="str">
        <f t="shared" si="1070"/>
        <v/>
      </c>
      <c r="J4162" s="341" t="str">
        <f>IF(A4162="","",VLOOKUP(A4162,VII.A!$A$10:$D$199,3,FALSE))</f>
        <v/>
      </c>
      <c r="K4162" s="342" t="str">
        <f t="shared" si="1071"/>
        <v/>
      </c>
      <c r="L4162" s="380" t="str">
        <f>IF(C4162="","",G4139*C4162)</f>
        <v/>
      </c>
      <c r="M4162" s="381" t="str">
        <f>IF(A4162="","",VLOOKUP(A4162,VII.A!$A$10:$B$199,2,FALSE))</f>
        <v/>
      </c>
      <c r="N4162" s="342" t="str">
        <f t="shared" si="1072"/>
        <v/>
      </c>
      <c r="R4162" s="341"/>
      <c r="S4162" s="341"/>
    </row>
    <row r="4163" spans="1:19" ht="12.75" customHeight="1">
      <c r="A4163" s="393"/>
      <c r="C4163" s="20"/>
      <c r="E4163" s="387"/>
      <c r="F4163" s="388">
        <f t="shared" si="1069"/>
        <v>0</v>
      </c>
      <c r="H4163" s="341" t="str">
        <f>IF(A4163="","",VLOOKUP(A4163,VII.A!$A$10:$D$199,4,FALSE))</f>
        <v/>
      </c>
      <c r="I4163" s="341" t="str">
        <f t="shared" si="1070"/>
        <v/>
      </c>
      <c r="J4163" s="341" t="str">
        <f>IF(A4163="","",VLOOKUP(A4163,VII.A!$A$10:$D$199,3,FALSE))</f>
        <v/>
      </c>
      <c r="K4163" s="342" t="str">
        <f t="shared" si="1071"/>
        <v/>
      </c>
      <c r="L4163" s="380" t="str">
        <f>IF(C4163="","",G4139*C4163)</f>
        <v/>
      </c>
      <c r="M4163" s="381" t="str">
        <f>IF(A4163="","",VLOOKUP(A4163,VII.A!$A$10:$B$199,2,FALSE))</f>
        <v/>
      </c>
      <c r="N4163" s="342" t="str">
        <f t="shared" si="1072"/>
        <v/>
      </c>
      <c r="R4163" s="341"/>
      <c r="S4163" s="341"/>
    </row>
    <row r="4164" spans="1:19" ht="12.75" customHeight="1">
      <c r="A4164" s="393"/>
      <c r="C4164" s="20"/>
      <c r="E4164" s="387"/>
      <c r="F4164" s="388">
        <f t="shared" si="1069"/>
        <v>0</v>
      </c>
      <c r="H4164" s="341" t="str">
        <f>IF(A4164="","",VLOOKUP(A4164,VII.A!$A$10:$D$199,4,FALSE))</f>
        <v/>
      </c>
      <c r="I4164" s="341" t="str">
        <f t="shared" si="1070"/>
        <v/>
      </c>
      <c r="J4164" s="341" t="str">
        <f>IF(A4164="","",VLOOKUP(A4164,VII.A!$A$10:$D$199,3,FALSE))</f>
        <v/>
      </c>
      <c r="K4164" s="342" t="str">
        <f t="shared" si="1071"/>
        <v/>
      </c>
      <c r="L4164" s="380" t="str">
        <f>IF(C4164="","",G4139*C4164)</f>
        <v/>
      </c>
      <c r="M4164" s="381" t="str">
        <f>IF(A4164="","",VLOOKUP(A4164,VII.A!$A$10:$B$199,2,FALSE))</f>
        <v/>
      </c>
      <c r="N4164" s="342" t="str">
        <f t="shared" si="1072"/>
        <v/>
      </c>
      <c r="R4164" s="341"/>
      <c r="S4164" s="341"/>
    </row>
    <row r="4165" spans="1:19" ht="12.75" customHeight="1">
      <c r="A4165" s="393"/>
      <c r="C4165" s="20"/>
      <c r="E4165" s="387"/>
      <c r="F4165" s="388">
        <f t="shared" si="1069"/>
        <v>0</v>
      </c>
      <c r="G4165" s="390"/>
      <c r="H4165" s="341" t="str">
        <f>IF(A4165="","",VLOOKUP(A4165,VII.A!$A$10:$D$199,4,FALSE))</f>
        <v/>
      </c>
      <c r="I4165" s="341" t="str">
        <f t="shared" si="1070"/>
        <v/>
      </c>
      <c r="J4165" s="341" t="str">
        <f>IF(A4165="","",VLOOKUP(A4165,VII.A!$A$10:$D$199,3,FALSE))</f>
        <v/>
      </c>
      <c r="K4165" s="342" t="str">
        <f t="shared" si="1071"/>
        <v/>
      </c>
      <c r="L4165" s="380" t="str">
        <f>IF(C4165="","",G4139*C4165)</f>
        <v/>
      </c>
      <c r="M4165" s="381" t="str">
        <f>IF(A4165="","",VLOOKUP(A4165,VII.A!$A$10:$B$199,2,FALSE))</f>
        <v/>
      </c>
      <c r="N4165" s="342" t="str">
        <f t="shared" si="1072"/>
        <v/>
      </c>
      <c r="R4165" s="341"/>
      <c r="S4165" s="341"/>
    </row>
    <row r="4166" spans="1:19" ht="12.75" customHeight="1">
      <c r="A4166" s="393"/>
      <c r="C4166" s="20"/>
      <c r="E4166" s="387"/>
      <c r="F4166" s="388">
        <f t="shared" si="1069"/>
        <v>0</v>
      </c>
      <c r="G4166" s="391"/>
      <c r="H4166" s="341" t="str">
        <f>IF(A4166="","",VLOOKUP(A4166,VII.A!$A$10:$D$199,4,FALSE))</f>
        <v/>
      </c>
      <c r="I4166" s="341" t="str">
        <f t="shared" si="1070"/>
        <v/>
      </c>
      <c r="J4166" s="341" t="str">
        <f>IF(A4166="","",VLOOKUP(A4166,VII.A!$A$10:$D$199,3,FALSE))</f>
        <v/>
      </c>
      <c r="K4166" s="342" t="str">
        <f t="shared" si="1071"/>
        <v/>
      </c>
      <c r="L4166" s="380" t="str">
        <f>IF(C4166="","",G4139*C4166)</f>
        <v/>
      </c>
      <c r="M4166" s="381" t="str">
        <f>IF(A4166="","",VLOOKUP(A4166,VII.A!$A$10:$B$199,2,FALSE))</f>
        <v/>
      </c>
      <c r="N4166" s="342" t="str">
        <f t="shared" si="1072"/>
        <v/>
      </c>
      <c r="R4166" s="341"/>
      <c r="S4166" s="341"/>
    </row>
    <row r="4167" spans="1:19" ht="12.75" customHeight="1">
      <c r="A4167" s="393"/>
      <c r="C4167" s="20"/>
      <c r="E4167" s="387"/>
      <c r="F4167" s="388">
        <f t="shared" si="1069"/>
        <v>0</v>
      </c>
      <c r="H4167" s="341" t="str">
        <f>IF(A4167="","",VLOOKUP(A4167,VII.A!$A$10:$D$199,4,FALSE))</f>
        <v/>
      </c>
      <c r="I4167" s="341" t="str">
        <f t="shared" si="1070"/>
        <v/>
      </c>
      <c r="J4167" s="341" t="str">
        <f>IF(A4167="","",VLOOKUP(A4167,VII.A!$A$10:$D$199,3,FALSE))</f>
        <v/>
      </c>
      <c r="K4167" s="342" t="str">
        <f t="shared" si="1071"/>
        <v/>
      </c>
      <c r="L4167" s="380" t="str">
        <f>IF(C4167="","",G4139*C4167)</f>
        <v/>
      </c>
      <c r="M4167" s="381" t="str">
        <f>IF(A4167="","",VLOOKUP(A4167,VII.A!$A$10:$B$199,2,FALSE))</f>
        <v/>
      </c>
      <c r="N4167" s="342" t="str">
        <f t="shared" si="1072"/>
        <v/>
      </c>
      <c r="R4167" s="341"/>
      <c r="S4167" s="341"/>
    </row>
    <row r="4168" spans="1:19" ht="12.75" customHeight="1">
      <c r="A4168" s="393"/>
      <c r="C4168" s="20"/>
      <c r="E4168" s="387"/>
      <c r="F4168" s="388">
        <f t="shared" si="1069"/>
        <v>0</v>
      </c>
      <c r="H4168" s="341" t="str">
        <f>IF(A4168="","",VLOOKUP(A4168,VII.A!$A$10:$D$199,4,FALSE))</f>
        <v/>
      </c>
      <c r="I4168" s="341" t="str">
        <f t="shared" si="1070"/>
        <v/>
      </c>
      <c r="J4168" s="341" t="str">
        <f>IF(A4168="","",VLOOKUP(A4168,VII.A!$A$10:$D$199,3,FALSE))</f>
        <v/>
      </c>
      <c r="K4168" s="342" t="str">
        <f t="shared" si="1071"/>
        <v/>
      </c>
      <c r="L4168" s="380" t="str">
        <f>IF(C4168="","",G4139*C4168)</f>
        <v/>
      </c>
      <c r="M4168" s="381" t="str">
        <f>IF(A4168="","",VLOOKUP(A4168,VII.A!$A$10:$B$199,2,FALSE))</f>
        <v/>
      </c>
      <c r="N4168" s="342" t="str">
        <f t="shared" si="1072"/>
        <v/>
      </c>
      <c r="R4168" s="341"/>
      <c r="S4168" s="341"/>
    </row>
    <row r="4169" spans="1:19" ht="12.75" customHeight="1">
      <c r="A4169" s="393"/>
      <c r="C4169" s="20"/>
      <c r="E4169" s="387"/>
      <c r="F4169" s="388">
        <f t="shared" si="1069"/>
        <v>0</v>
      </c>
      <c r="H4169" s="341" t="str">
        <f>IF(A4169="","",VLOOKUP(A4169,VII.A!$A$10:$D$199,4,FALSE))</f>
        <v/>
      </c>
      <c r="I4169" s="341" t="str">
        <f t="shared" si="1070"/>
        <v/>
      </c>
      <c r="J4169" s="341" t="str">
        <f>IF(A4169="","",VLOOKUP(A4169,VII.A!$A$10:$D$199,3,FALSE))</f>
        <v/>
      </c>
      <c r="K4169" s="342" t="str">
        <f t="shared" si="1071"/>
        <v/>
      </c>
      <c r="L4169" s="380" t="str">
        <f>IF(C4169="","",G4139*C4169)</f>
        <v/>
      </c>
      <c r="M4169" s="381" t="str">
        <f>IF(A4169="","",VLOOKUP(A4169,VII.A!$A$10:$B$199,2,FALSE))</f>
        <v/>
      </c>
      <c r="N4169" s="342" t="str">
        <f t="shared" si="1072"/>
        <v/>
      </c>
      <c r="R4169" s="341"/>
      <c r="S4169" s="341"/>
    </row>
    <row r="4170" spans="1:19" ht="12.75" customHeight="1">
      <c r="A4170" s="393"/>
      <c r="C4170" s="20"/>
      <c r="E4170" s="387"/>
      <c r="F4170" s="388">
        <f t="shared" si="1069"/>
        <v>0</v>
      </c>
      <c r="H4170" s="341" t="str">
        <f>IF(A4170="","",VLOOKUP(A4170,VII.A!$A$10:$D$199,4,FALSE))</f>
        <v/>
      </c>
      <c r="I4170" s="341" t="str">
        <f t="shared" si="1070"/>
        <v/>
      </c>
      <c r="J4170" s="341" t="str">
        <f>IF(A4170="","",VLOOKUP(A4170,VII.A!$A$10:$D$199,3,FALSE))</f>
        <v/>
      </c>
      <c r="K4170" s="342" t="str">
        <f t="shared" si="1071"/>
        <v/>
      </c>
      <c r="L4170" s="380" t="str">
        <f>IF(C4170="","",G4139*C4170)</f>
        <v/>
      </c>
      <c r="M4170" s="381" t="str">
        <f>IF(A4170="","",VLOOKUP(A4170,VII.A!$A$10:$B$199,2,FALSE))</f>
        <v/>
      </c>
      <c r="N4170" s="342" t="str">
        <f t="shared" si="1072"/>
        <v/>
      </c>
      <c r="R4170" s="341"/>
      <c r="S4170" s="341"/>
    </row>
    <row r="4171" spans="1:19" ht="12.75" customHeight="1">
      <c r="A4171" s="393"/>
      <c r="B4171" s="395" t="s">
        <v>226</v>
      </c>
      <c r="C4171" s="396"/>
      <c r="D4171" s="397"/>
      <c r="E4171" s="398"/>
      <c r="F4171" s="399">
        <f>SUM(F4161:F4170)</f>
        <v>0</v>
      </c>
      <c r="J4171" s="341"/>
      <c r="L4171" s="380"/>
      <c r="M4171" s="381"/>
      <c r="N4171" s="342"/>
      <c r="R4171" s="341"/>
      <c r="S4171" s="341"/>
    </row>
    <row r="4172" spans="1:19" ht="12.75" customHeight="1">
      <c r="A4172" s="393"/>
      <c r="B4172" s="400" t="s">
        <v>53</v>
      </c>
      <c r="C4172" s="2">
        <f>$D$8</f>
        <v>0</v>
      </c>
      <c r="D4172" s="401"/>
      <c r="E4172" s="402"/>
      <c r="F4172" s="403">
        <f>ROUND(C4172*F4171,2)</f>
        <v>0</v>
      </c>
      <c r="J4172" s="341"/>
      <c r="L4172" s="380"/>
      <c r="M4172" s="381"/>
      <c r="N4172" s="342"/>
      <c r="R4172" s="341"/>
      <c r="S4172" s="341"/>
    </row>
    <row r="4173" spans="1:19" ht="12.75" customHeight="1">
      <c r="A4173" s="404"/>
      <c r="B4173" s="405" t="s">
        <v>228</v>
      </c>
      <c r="C4173" s="406"/>
      <c r="D4173" s="406"/>
      <c r="E4173" s="407"/>
      <c r="F4173" s="408">
        <f>F4171+F4172</f>
        <v>0</v>
      </c>
      <c r="J4173" s="341"/>
      <c r="L4173" s="380"/>
      <c r="M4173" s="381"/>
      <c r="N4173" s="342"/>
      <c r="R4173" s="341"/>
      <c r="S4173" s="341"/>
    </row>
    <row r="4174" spans="1:19" ht="12.75" customHeight="1">
      <c r="A4174" s="409" t="s">
        <v>47</v>
      </c>
      <c r="B4174" s="410" t="s">
        <v>236</v>
      </c>
      <c r="C4174" s="411" t="s">
        <v>231</v>
      </c>
      <c r="D4174" s="412" t="s">
        <v>232</v>
      </c>
      <c r="E4174" s="413" t="s">
        <v>233</v>
      </c>
      <c r="F4174" s="378" t="s">
        <v>234</v>
      </c>
      <c r="J4174" s="341"/>
      <c r="L4174" s="380"/>
      <c r="M4174" s="381"/>
      <c r="N4174" s="342"/>
      <c r="R4174" s="341"/>
      <c r="S4174" s="341"/>
    </row>
    <row r="4175" spans="1:19" ht="12.75" customHeight="1">
      <c r="A4175" s="393" t="str">
        <f>VII.A!$A$196</f>
        <v>3.16</v>
      </c>
      <c r="B4175" s="394" t="s">
        <v>157</v>
      </c>
      <c r="C4175" s="20">
        <v>0.4</v>
      </c>
      <c r="D4175" s="384" t="str">
        <f>VLOOKUP(A4175,VII.A!$A$10:$G$199,3,FALSE)</f>
        <v>H</v>
      </c>
      <c r="E4175" s="387">
        <f>VII.A!$D$196</f>
        <v>0</v>
      </c>
      <c r="F4175" s="388">
        <f t="shared" ref="F4175:F4181" si="1073">ROUND(C4175*E4175,2)</f>
        <v>0</v>
      </c>
      <c r="H4175" s="341">
        <f>IF(A4175="","",VLOOKUP(A4175,VII.A!$A$10:$D$199,4,FALSE))</f>
        <v>0</v>
      </c>
      <c r="I4175" s="341" t="str">
        <f t="shared" ref="I4175:I4181" si="1074">IF(A4175="","",IF(E4175=H4175,"SIM","NÃO"))</f>
        <v>SIM</v>
      </c>
      <c r="J4175" s="341" t="str">
        <f>IF(A4175="","",VLOOKUP(A4175,VII.A!$A$10:$D$199,3,FALSE))</f>
        <v>H</v>
      </c>
      <c r="K4175" s="342" t="str">
        <f t="shared" ref="K4175:K4181" si="1075">IF(A4175="","",IF(J4175=D4175,"SIM","NÃO"))</f>
        <v>SIM</v>
      </c>
      <c r="L4175" s="380">
        <f>IF(C4175="","",G4139*C4175)</f>
        <v>40</v>
      </c>
      <c r="M4175" s="381" t="str">
        <f>IF(A4175="","",VLOOKUP(A4175,VII.A!$A$10:$B$199,2,FALSE))</f>
        <v>SERVENTE COM ENCARGOS COMPLEMENTARES</v>
      </c>
      <c r="N4175" s="342" t="str">
        <f t="shared" ref="N4175:N4181" si="1076">IF(B4175="","",IF(M4175=B4175,"si","no"))</f>
        <v>si</v>
      </c>
      <c r="R4175" s="341"/>
      <c r="S4175" s="341"/>
    </row>
    <row r="4176" spans="1:19" ht="12.75" customHeight="1">
      <c r="A4176" s="393" t="str">
        <f>VII.A!$A$192</f>
        <v>3.12</v>
      </c>
      <c r="B4176" s="394" t="s">
        <v>153</v>
      </c>
      <c r="C4176" s="20">
        <v>0.8</v>
      </c>
      <c r="D4176" s="384" t="str">
        <f>VLOOKUP(A4176,VII.A!$A$10:$G$199,3,FALSE)</f>
        <v>H</v>
      </c>
      <c r="E4176" s="387">
        <f>VII.A!$D$192</f>
        <v>0</v>
      </c>
      <c r="F4176" s="388">
        <f t="shared" si="1073"/>
        <v>0</v>
      </c>
      <c r="H4176" s="341">
        <f>IF(A4176="","",VLOOKUP(A4176,VII.A!$A$10:$D$199,4,FALSE))</f>
        <v>0</v>
      </c>
      <c r="I4176" s="341" t="str">
        <f t="shared" si="1074"/>
        <v>SIM</v>
      </c>
      <c r="J4176" s="341" t="str">
        <f>IF(A4176="","",VLOOKUP(A4176,VII.A!$A$10:$D$199,3,FALSE))</f>
        <v>H</v>
      </c>
      <c r="K4176" s="342" t="str">
        <f t="shared" si="1075"/>
        <v>SIM</v>
      </c>
      <c r="L4176" s="380">
        <f>IF(C4176="","",G4139*C4176)</f>
        <v>80</v>
      </c>
      <c r="M4176" s="381" t="str">
        <f>IF(A4176="","",VLOOKUP(A4176,VII.A!$A$10:$B$199,2,FALSE))</f>
        <v>PEDREIRO COM ENCARGOS COMPLEMENTARES</v>
      </c>
      <c r="N4176" s="342" t="str">
        <f t="shared" si="1076"/>
        <v>si</v>
      </c>
      <c r="R4176" s="341"/>
      <c r="S4176" s="341"/>
    </row>
    <row r="4177" spans="1:25" ht="12.75" customHeight="1">
      <c r="A4177" s="393"/>
      <c r="C4177" s="20"/>
      <c r="E4177" s="387"/>
      <c r="F4177" s="388">
        <f t="shared" si="1073"/>
        <v>0</v>
      </c>
      <c r="H4177" s="341" t="str">
        <f>IF(A4177="","",VLOOKUP(A4177,VII.A!$A$10:$D$199,4,FALSE))</f>
        <v/>
      </c>
      <c r="I4177" s="341" t="str">
        <f t="shared" si="1074"/>
        <v/>
      </c>
      <c r="J4177" s="341" t="str">
        <f>IF(A4177="","",VLOOKUP(A4177,VII.A!$A$10:$D$199,3,FALSE))</f>
        <v/>
      </c>
      <c r="K4177" s="342" t="str">
        <f t="shared" si="1075"/>
        <v/>
      </c>
      <c r="L4177" s="380" t="str">
        <f>IF(C4177="","",G4139*C4177)</f>
        <v/>
      </c>
      <c r="M4177" s="381" t="str">
        <f>IF(A4177="","",VLOOKUP(A4177,VII.A!$A$10:$B$199,2,FALSE))</f>
        <v/>
      </c>
      <c r="N4177" s="342" t="str">
        <f t="shared" si="1076"/>
        <v/>
      </c>
      <c r="R4177" s="341"/>
      <c r="S4177" s="341"/>
    </row>
    <row r="4178" spans="1:25" ht="12.75" customHeight="1">
      <c r="A4178" s="393"/>
      <c r="C4178" s="20"/>
      <c r="E4178" s="387"/>
      <c r="F4178" s="388">
        <f t="shared" si="1073"/>
        <v>0</v>
      </c>
      <c r="H4178" s="341" t="str">
        <f>IF(A4178="","",VLOOKUP(A4178,VII.A!$A$10:$D$199,4,FALSE))</f>
        <v/>
      </c>
      <c r="I4178" s="341" t="str">
        <f t="shared" si="1074"/>
        <v/>
      </c>
      <c r="J4178" s="341" t="str">
        <f>IF(A4178="","",VLOOKUP(A4178,VII.A!$A$10:$D$199,3,FALSE))</f>
        <v/>
      </c>
      <c r="K4178" s="342" t="str">
        <f t="shared" si="1075"/>
        <v/>
      </c>
      <c r="L4178" s="380" t="str">
        <f>IF(C4178="","",G4139*C4178)</f>
        <v/>
      </c>
      <c r="M4178" s="381" t="str">
        <f>IF(A4178="","",VLOOKUP(A4178,VII.A!$A$10:$B$199,2,FALSE))</f>
        <v/>
      </c>
      <c r="N4178" s="342" t="str">
        <f t="shared" si="1076"/>
        <v/>
      </c>
      <c r="R4178" s="341"/>
      <c r="S4178" s="341"/>
    </row>
    <row r="4179" spans="1:25" ht="12.75" customHeight="1">
      <c r="A4179" s="393"/>
      <c r="C4179" s="20"/>
      <c r="E4179" s="387"/>
      <c r="F4179" s="388">
        <f t="shared" si="1073"/>
        <v>0</v>
      </c>
      <c r="H4179" s="341" t="str">
        <f>IF(A4179="","",VLOOKUP(A4179,VII.A!$A$10:$D$199,4,FALSE))</f>
        <v/>
      </c>
      <c r="I4179" s="341" t="str">
        <f t="shared" si="1074"/>
        <v/>
      </c>
      <c r="J4179" s="341" t="str">
        <f>IF(A4179="","",VLOOKUP(A4179,VII.A!$A$10:$D$199,3,FALSE))</f>
        <v/>
      </c>
      <c r="K4179" s="342" t="str">
        <f t="shared" si="1075"/>
        <v/>
      </c>
      <c r="L4179" s="380" t="str">
        <f>IF(C4179="","",G4139*C4179)</f>
        <v/>
      </c>
      <c r="M4179" s="381" t="str">
        <f>IF(A4179="","",VLOOKUP(A4179,VII.A!$A$10:$B$199,2,FALSE))</f>
        <v/>
      </c>
      <c r="N4179" s="342" t="str">
        <f t="shared" si="1076"/>
        <v/>
      </c>
      <c r="R4179" s="341"/>
      <c r="S4179" s="341"/>
    </row>
    <row r="4180" spans="1:25" ht="12.75" customHeight="1">
      <c r="A4180" s="393"/>
      <c r="C4180" s="20"/>
      <c r="E4180" s="387"/>
      <c r="F4180" s="388">
        <f t="shared" si="1073"/>
        <v>0</v>
      </c>
      <c r="H4180" s="341" t="str">
        <f>IF(A4180="","",VLOOKUP(A4180,VII.A!$A$10:$D$199,4,FALSE))</f>
        <v/>
      </c>
      <c r="I4180" s="341" t="str">
        <f t="shared" si="1074"/>
        <v/>
      </c>
      <c r="J4180" s="341" t="str">
        <f>IF(A4180="","",VLOOKUP(A4180,VII.A!$A$10:$D$199,3,FALSE))</f>
        <v/>
      </c>
      <c r="K4180" s="342" t="str">
        <f t="shared" si="1075"/>
        <v/>
      </c>
      <c r="L4180" s="380" t="str">
        <f>IF(C4180="","",G4139*C4180)</f>
        <v/>
      </c>
      <c r="M4180" s="381" t="str">
        <f>IF(A4180="","",VLOOKUP(A4180,VII.A!$A$10:$B$199,2,FALSE))</f>
        <v/>
      </c>
      <c r="N4180" s="342" t="str">
        <f t="shared" si="1076"/>
        <v/>
      </c>
      <c r="R4180" s="341"/>
      <c r="S4180" s="341"/>
    </row>
    <row r="4181" spans="1:25" ht="12.75" customHeight="1">
      <c r="A4181" s="393"/>
      <c r="C4181" s="20"/>
      <c r="E4181" s="387"/>
      <c r="F4181" s="388">
        <f t="shared" si="1073"/>
        <v>0</v>
      </c>
      <c r="H4181" s="341" t="str">
        <f>IF(A4181="","",VLOOKUP(A4181,VII.A!$A$10:$D$199,4,FALSE))</f>
        <v/>
      </c>
      <c r="I4181" s="341" t="str">
        <f t="shared" si="1074"/>
        <v/>
      </c>
      <c r="J4181" s="341" t="str">
        <f>IF(A4181="","",VLOOKUP(A4181,VII.A!$A$10:$D$199,3,FALSE))</f>
        <v/>
      </c>
      <c r="K4181" s="342" t="str">
        <f t="shared" si="1075"/>
        <v/>
      </c>
      <c r="L4181" s="380" t="str">
        <f>IF(C4181="","",G4139*C4181)</f>
        <v/>
      </c>
      <c r="M4181" s="381" t="str">
        <f>IF(A4181="","",VLOOKUP(A4181,VII.A!$A$10:$B$199,2,FALSE))</f>
        <v/>
      </c>
      <c r="N4181" s="342" t="str">
        <f t="shared" si="1076"/>
        <v/>
      </c>
      <c r="R4181" s="341"/>
      <c r="S4181" s="341"/>
    </row>
    <row r="4182" spans="1:25" ht="12.75" customHeight="1">
      <c r="A4182" s="393"/>
      <c r="B4182" s="395" t="s">
        <v>226</v>
      </c>
      <c r="C4182" s="396"/>
      <c r="D4182" s="397"/>
      <c r="E4182" s="398"/>
      <c r="F4182" s="399">
        <f>SUM(F4175:F4181)</f>
        <v>0</v>
      </c>
      <c r="J4182" s="341"/>
      <c r="L4182" s="380"/>
      <c r="M4182" s="381"/>
      <c r="N4182" s="342"/>
      <c r="R4182" s="341"/>
      <c r="S4182" s="341"/>
    </row>
    <row r="4183" spans="1:25" ht="12.75" customHeight="1">
      <c r="A4183" s="393"/>
      <c r="B4183" s="400" t="s">
        <v>229</v>
      </c>
      <c r="C4183" s="2">
        <f>IX.A!$C$45</f>
        <v>0</v>
      </c>
      <c r="D4183" s="401"/>
      <c r="E4183" s="402"/>
      <c r="F4183" s="403">
        <f>ROUND(F4182*C4183,2)</f>
        <v>0</v>
      </c>
      <c r="J4183" s="341"/>
      <c r="L4183" s="380"/>
      <c r="M4183" s="381"/>
      <c r="N4183" s="342"/>
      <c r="R4183" s="341"/>
      <c r="S4183" s="341"/>
    </row>
    <row r="4184" spans="1:25" ht="12.75" customHeight="1">
      <c r="A4184" s="393"/>
      <c r="B4184" s="400" t="s">
        <v>53</v>
      </c>
      <c r="C4184" s="2">
        <f>$D$8</f>
        <v>0</v>
      </c>
      <c r="D4184" s="401"/>
      <c r="E4184" s="402"/>
      <c r="F4184" s="403">
        <f>ROUND(SUM(F4182:F4183)*C4184,2)</f>
        <v>0</v>
      </c>
      <c r="J4184" s="341"/>
      <c r="L4184" s="380"/>
      <c r="M4184" s="381"/>
      <c r="N4184" s="342"/>
      <c r="R4184" s="341"/>
      <c r="S4184" s="341"/>
    </row>
    <row r="4185" spans="1:25" ht="12.75" customHeight="1" thickBot="1">
      <c r="A4185" s="414"/>
      <c r="B4185" s="415" t="s">
        <v>230</v>
      </c>
      <c r="C4185" s="416"/>
      <c r="D4185" s="416"/>
      <c r="E4185" s="417"/>
      <c r="F4185" s="418">
        <f>SUM(F4182:F4184)</f>
        <v>0</v>
      </c>
      <c r="J4185" s="341"/>
      <c r="L4185" s="380"/>
      <c r="M4185" s="381"/>
      <c r="N4185" s="342"/>
      <c r="R4185" s="341"/>
      <c r="S4185" s="341"/>
    </row>
    <row r="4186" spans="1:25" ht="12.75" customHeight="1" thickBot="1">
      <c r="A4186" s="357"/>
      <c r="B4186" s="358"/>
      <c r="C4186" s="359"/>
      <c r="D4186" s="359"/>
      <c r="E4186" s="360"/>
      <c r="F4186" s="419"/>
      <c r="J4186" s="341"/>
      <c r="L4186" s="380"/>
      <c r="M4186" s="381"/>
      <c r="N4186" s="342"/>
      <c r="R4186" s="341"/>
      <c r="S4186" s="341"/>
    </row>
    <row r="4187" spans="1:25" ht="30" customHeight="1">
      <c r="A4187" s="370" t="str">
        <f>IV.A!A129</f>
        <v>5.2</v>
      </c>
      <c r="B4187" s="371" t="str">
        <f>IV.A!B129</f>
        <v xml:space="preserve">IMPERMEABILIZACAO DE SUPERFICIE COM CIMENTO IMPERMEABILIZANTE DE PEGA ULTRARRAPIDA </v>
      </c>
      <c r="C4187" s="871" t="s">
        <v>237</v>
      </c>
      <c r="D4187" s="872"/>
      <c r="E4187" s="372" t="str">
        <f>IV.A!C129</f>
        <v>M2</v>
      </c>
      <c r="F4187" s="11">
        <f>ROUND(F4207+F4221+F4233,2)</f>
        <v>0</v>
      </c>
      <c r="G4187" s="1">
        <f>VLOOKUP(A4187,IV.A!$A$16:$L$172,4,FALSE)</f>
        <v>150</v>
      </c>
      <c r="H4187" s="361">
        <f>SUM(F4189:F4204)+F4206</f>
        <v>0</v>
      </c>
      <c r="I4187" s="361">
        <f>SUM(F4209:F4218)+F4220</f>
        <v>0</v>
      </c>
      <c r="J4187" s="361">
        <f>SUM(F4223:F4229)+F4231+F4232</f>
        <v>0</v>
      </c>
      <c r="K4187" s="361">
        <f>SUM(H4187:J4187)</f>
        <v>0</v>
      </c>
      <c r="L4187" s="362" t="str">
        <f>IF(K4187=F4187,"SIM","NÃO")</f>
        <v>SIM</v>
      </c>
      <c r="M4187" s="373">
        <f>ROUND(SUM(F4189:F4204),2)+ROUND(SUM(F4189:F4204)*C4206,2)+ROUND(SUM(F4209:F4218)*C4220,2)+ROUND(SUM(F4209:F4218),2)+ROUND(SUM(F4223:F4229)*C4231,2)+ROUND((SUM(F4223:F4229)+ROUND(SUM(F4223:F4229)*C4231,2))*C4232,2)+ROUND(SUM(F4223:F4229),2)</f>
        <v>0</v>
      </c>
      <c r="N4187" s="343" t="str">
        <f>IF(M4187=F4187,"SIM","NÃO")</f>
        <v>SIM</v>
      </c>
      <c r="O4187" s="364" t="str">
        <f>VLOOKUP(A4187,IV.A!$A$16:$E$172,3,FALSE)</f>
        <v>M2</v>
      </c>
      <c r="P4187" s="344" t="str">
        <f>IF(O4187=E4187,"SIM","NÃO")</f>
        <v>SIM</v>
      </c>
      <c r="Q4187" s="365">
        <f>ROUND(G4187*F4207,2)+ROUND(G4187*F4221,2)+ROUND(G4187*F4233,2)</f>
        <v>0</v>
      </c>
      <c r="R4187" s="364">
        <f>VLOOKUP(A4187,IV.A!$A$16:$L$172,12,FALSE)</f>
        <v>0</v>
      </c>
      <c r="S4187" s="366" t="str">
        <f>IF(Q4187=R4187,"si","no")</f>
        <v>si</v>
      </c>
      <c r="T4187" s="367">
        <f>SUM(L4189:L4204)+SUM(L4209:L4218)+SUM(L4223:L4229)</f>
        <v>630</v>
      </c>
      <c r="U4187" s="341">
        <f>(SUM(C4189:C4204)+SUM(C4209:C4218)+SUM(C4223:C4229))*G4187</f>
        <v>630</v>
      </c>
      <c r="V4187" s="368" t="str">
        <f>IF(T4187=U4187,"si","no")</f>
        <v>si</v>
      </c>
      <c r="W4187" s="369">
        <f>SUM(F4189:F4204)</f>
        <v>0</v>
      </c>
      <c r="X4187" s="369">
        <f>SUM(F4209:F4218)</f>
        <v>0</v>
      </c>
      <c r="Y4187" s="369">
        <f>SUM(F4223:F4229)</f>
        <v>0</v>
      </c>
    </row>
    <row r="4188" spans="1:25" ht="12.75" customHeight="1">
      <c r="A4188" s="374" t="s">
        <v>14</v>
      </c>
      <c r="B4188" s="375" t="s">
        <v>132</v>
      </c>
      <c r="C4188" s="376" t="s">
        <v>231</v>
      </c>
      <c r="D4188" s="376" t="s">
        <v>232</v>
      </c>
      <c r="E4188" s="377" t="s">
        <v>233</v>
      </c>
      <c r="F4188" s="378" t="s">
        <v>234</v>
      </c>
      <c r="G4188" s="379"/>
      <c r="J4188" s="341"/>
      <c r="L4188" s="380"/>
      <c r="M4188" s="381"/>
      <c r="N4188" s="342"/>
      <c r="O4188" s="382"/>
      <c r="P4188" s="383"/>
      <c r="Q4188" s="383"/>
      <c r="R4188" s="383"/>
      <c r="S4188" s="383"/>
      <c r="T4188" s="382"/>
      <c r="U4188" s="341"/>
      <c r="V4188" s="384"/>
      <c r="W4188" s="384"/>
      <c r="X4188" s="384"/>
      <c r="Y4188" s="384"/>
    </row>
    <row r="4189" spans="1:25" ht="12.75" customHeight="1">
      <c r="A4189" s="385" t="str">
        <f>VII.A!$A$37</f>
        <v>1.28</v>
      </c>
      <c r="B4189" s="386" t="str">
        <f>VII.A!B37</f>
        <v>CIMENTO IMPERMEABILIZANTE DE PEGA ULTRARRAPIDA PARA TAMPONAMENTOS</v>
      </c>
      <c r="C4189" s="20">
        <v>3</v>
      </c>
      <c r="D4189" s="342" t="str">
        <f>VII.A!C37</f>
        <v>KG</v>
      </c>
      <c r="E4189" s="387">
        <f>VII.A!D37</f>
        <v>0</v>
      </c>
      <c r="F4189" s="388">
        <f t="shared" ref="F4189:F4204" si="1077">ROUND(C4189*E4189,2)</f>
        <v>0</v>
      </c>
      <c r="H4189" s="341">
        <f>IF(A4189="","",VLOOKUP(A4189,VII.A!$A$10:$D$199,4,FALSE))</f>
        <v>0</v>
      </c>
      <c r="I4189" s="341" t="str">
        <f t="shared" ref="I4189:I4204" si="1078">IF(A4189="","",IF(E4189=H4189,"SIM","NÃO"))</f>
        <v>SIM</v>
      </c>
      <c r="J4189" s="341" t="str">
        <f>IF(A4189="","",VLOOKUP(A4189,VII.A!$A$10:$D$199,3,FALSE))</f>
        <v>KG</v>
      </c>
      <c r="K4189" s="342" t="str">
        <f t="shared" ref="K4189:K4204" si="1079">IF(A4189="","",IF(J4189=D4189,"SIM","NÃO"))</f>
        <v>SIM</v>
      </c>
      <c r="L4189" s="380">
        <f>IF(C4189="","",G4187*C4189)</f>
        <v>450</v>
      </c>
      <c r="M4189" s="381" t="str">
        <f>IF(A4189="","",VLOOKUP(A4189,VII.A!$A$10:$B$199,2,FALSE))</f>
        <v>CIMENTO IMPERMEABILIZANTE DE PEGA ULTRARRAPIDA PARA TAMPONAMENTOS</v>
      </c>
      <c r="N4189" s="342" t="str">
        <f t="shared" ref="N4189:N4204" si="1080">IF(B4189="","",IF(M4189=B4189,"si","no"))</f>
        <v>si</v>
      </c>
      <c r="R4189" s="341"/>
      <c r="S4189" s="341"/>
    </row>
    <row r="4190" spans="1:25" ht="12.75" customHeight="1">
      <c r="A4190" s="385"/>
      <c r="B4190" s="386"/>
      <c r="C4190" s="20"/>
      <c r="D4190" s="342"/>
      <c r="E4190" s="387"/>
      <c r="F4190" s="388">
        <f t="shared" si="1077"/>
        <v>0</v>
      </c>
      <c r="H4190" s="341" t="str">
        <f>IF(A4190="","",VLOOKUP(A4190,VII.A!$A$10:$D$199,4,FALSE))</f>
        <v/>
      </c>
      <c r="I4190" s="341" t="str">
        <f t="shared" si="1078"/>
        <v/>
      </c>
      <c r="J4190" s="341" t="str">
        <f>IF(A4190="","",VLOOKUP(A4190,VII.A!$A$10:$D$199,3,FALSE))</f>
        <v/>
      </c>
      <c r="K4190" s="342" t="str">
        <f t="shared" si="1079"/>
        <v/>
      </c>
      <c r="L4190" s="380" t="str">
        <f>IF(C4190="","",G4187*C4190)</f>
        <v/>
      </c>
      <c r="M4190" s="381" t="str">
        <f>IF(A4190="","",VLOOKUP(A4190,VII.A!$A$10:$B$199,2,FALSE))</f>
        <v/>
      </c>
      <c r="N4190" s="342" t="str">
        <f t="shared" si="1080"/>
        <v/>
      </c>
      <c r="R4190" s="341"/>
      <c r="S4190" s="341"/>
    </row>
    <row r="4191" spans="1:25" ht="12.75" customHeight="1">
      <c r="A4191" s="385"/>
      <c r="B4191" s="386"/>
      <c r="C4191" s="20"/>
      <c r="D4191" s="342"/>
      <c r="E4191" s="387"/>
      <c r="F4191" s="388">
        <f t="shared" si="1077"/>
        <v>0</v>
      </c>
      <c r="H4191" s="341" t="str">
        <f>IF(A4191="","",VLOOKUP(A4191,VII.A!$A$10:$D$199,4,FALSE))</f>
        <v/>
      </c>
      <c r="I4191" s="341" t="str">
        <f t="shared" si="1078"/>
        <v/>
      </c>
      <c r="J4191" s="341" t="str">
        <f>IF(A4191="","",VLOOKUP(A4191,VII.A!$A$10:$D$199,3,FALSE))</f>
        <v/>
      </c>
      <c r="K4191" s="342" t="str">
        <f t="shared" si="1079"/>
        <v/>
      </c>
      <c r="L4191" s="380" t="str">
        <f>IF(C4191="","",G4187*C4191)</f>
        <v/>
      </c>
      <c r="M4191" s="381" t="str">
        <f>IF(A4191="","",VLOOKUP(A4191,VII.A!$A$10:$B$199,2,FALSE))</f>
        <v/>
      </c>
      <c r="N4191" s="342" t="str">
        <f t="shared" si="1080"/>
        <v/>
      </c>
      <c r="R4191" s="341"/>
      <c r="S4191" s="341"/>
    </row>
    <row r="4192" spans="1:25" ht="12.75" customHeight="1">
      <c r="A4192" s="385"/>
      <c r="B4192" s="386"/>
      <c r="C4192" s="20"/>
      <c r="D4192" s="342"/>
      <c r="E4192" s="387"/>
      <c r="F4192" s="388">
        <f t="shared" si="1077"/>
        <v>0</v>
      </c>
      <c r="H4192" s="341" t="str">
        <f>IF(A4192="","",VLOOKUP(A4192,VII.A!$A$10:$D$199,4,FALSE))</f>
        <v/>
      </c>
      <c r="I4192" s="341" t="str">
        <f t="shared" si="1078"/>
        <v/>
      </c>
      <c r="J4192" s="341" t="str">
        <f>IF(A4192="","",VLOOKUP(A4192,VII.A!$A$10:$D$199,3,FALSE))</f>
        <v/>
      </c>
      <c r="K4192" s="342" t="str">
        <f t="shared" si="1079"/>
        <v/>
      </c>
      <c r="L4192" s="380" t="str">
        <f>IF(C4192="","",G4187*C4192)</f>
        <v/>
      </c>
      <c r="M4192" s="381" t="str">
        <f>IF(A4192="","",VLOOKUP(A4192,VII.A!$A$10:$B$199,2,FALSE))</f>
        <v/>
      </c>
      <c r="N4192" s="342" t="str">
        <f t="shared" si="1080"/>
        <v/>
      </c>
      <c r="R4192" s="341"/>
      <c r="S4192" s="341"/>
    </row>
    <row r="4193" spans="1:21" ht="12.75" customHeight="1">
      <c r="A4193" s="385"/>
      <c r="B4193" s="386"/>
      <c r="C4193" s="20"/>
      <c r="D4193" s="342"/>
      <c r="E4193" s="387"/>
      <c r="F4193" s="388">
        <f t="shared" si="1077"/>
        <v>0</v>
      </c>
      <c r="H4193" s="341" t="str">
        <f>IF(A4193="","",VLOOKUP(A4193,VII.A!$A$10:$D$199,4,FALSE))</f>
        <v/>
      </c>
      <c r="I4193" s="341" t="str">
        <f t="shared" si="1078"/>
        <v/>
      </c>
      <c r="J4193" s="341" t="str">
        <f>IF(A4193="","",VLOOKUP(A4193,VII.A!$A$10:$D$199,3,FALSE))</f>
        <v/>
      </c>
      <c r="K4193" s="342" t="str">
        <f t="shared" si="1079"/>
        <v/>
      </c>
      <c r="L4193" s="380" t="str">
        <f>IF(C4193="","",G4187*C4193)</f>
        <v/>
      </c>
      <c r="M4193" s="381" t="str">
        <f>IF(A4193="","",VLOOKUP(A4193,VII.A!$A$10:$B$199,2,FALSE))</f>
        <v/>
      </c>
      <c r="N4193" s="342" t="str">
        <f t="shared" si="1080"/>
        <v/>
      </c>
      <c r="R4193" s="341"/>
      <c r="S4193" s="341"/>
      <c r="U4193" s="389"/>
    </row>
    <row r="4194" spans="1:21" ht="12.75" customHeight="1">
      <c r="A4194" s="385"/>
      <c r="B4194" s="386"/>
      <c r="C4194" s="20"/>
      <c r="D4194" s="342"/>
      <c r="E4194" s="387"/>
      <c r="F4194" s="388">
        <f t="shared" si="1077"/>
        <v>0</v>
      </c>
      <c r="H4194" s="341" t="str">
        <f>IF(A4194="","",VLOOKUP(A4194,VII.A!$A$10:$D$199,4,FALSE))</f>
        <v/>
      </c>
      <c r="I4194" s="341" t="str">
        <f t="shared" si="1078"/>
        <v/>
      </c>
      <c r="J4194" s="341" t="str">
        <f>IF(A4194="","",VLOOKUP(A4194,VII.A!$A$10:$D$199,3,FALSE))</f>
        <v/>
      </c>
      <c r="K4194" s="342" t="str">
        <f t="shared" si="1079"/>
        <v/>
      </c>
      <c r="L4194" s="380" t="str">
        <f>IF(C4194="","",G4187*C4194)</f>
        <v/>
      </c>
      <c r="M4194" s="381" t="str">
        <f>IF(A4194="","",VLOOKUP(A4194,VII.A!$A$10:$B$199,2,FALSE))</f>
        <v/>
      </c>
      <c r="N4194" s="342" t="str">
        <f t="shared" si="1080"/>
        <v/>
      </c>
      <c r="R4194" s="341"/>
      <c r="S4194" s="341"/>
    </row>
    <row r="4195" spans="1:21" ht="12.75" customHeight="1">
      <c r="A4195" s="385"/>
      <c r="B4195" s="386"/>
      <c r="C4195" s="20"/>
      <c r="D4195" s="342"/>
      <c r="E4195" s="387"/>
      <c r="F4195" s="388">
        <f t="shared" si="1077"/>
        <v>0</v>
      </c>
      <c r="G4195" s="390"/>
      <c r="H4195" s="341" t="str">
        <f>IF(A4195="","",VLOOKUP(A4195,VII.A!$A$10:$D$199,4,FALSE))</f>
        <v/>
      </c>
      <c r="I4195" s="341" t="str">
        <f t="shared" si="1078"/>
        <v/>
      </c>
      <c r="J4195" s="341" t="str">
        <f>IF(A4195="","",VLOOKUP(A4195,VII.A!$A$10:$D$199,3,FALSE))</f>
        <v/>
      </c>
      <c r="K4195" s="342" t="str">
        <f t="shared" si="1079"/>
        <v/>
      </c>
      <c r="L4195" s="380" t="str">
        <f>IF(C4195="","",G4187*C4195)</f>
        <v/>
      </c>
      <c r="M4195" s="381" t="str">
        <f>IF(A4195="","",VLOOKUP(A4195,VII.A!$A$10:$B$199,2,FALSE))</f>
        <v/>
      </c>
      <c r="N4195" s="342" t="str">
        <f t="shared" si="1080"/>
        <v/>
      </c>
      <c r="R4195" s="341"/>
      <c r="S4195" s="341"/>
    </row>
    <row r="4196" spans="1:21" ht="12.75" customHeight="1">
      <c r="A4196" s="385"/>
      <c r="B4196" s="386"/>
      <c r="C4196" s="20"/>
      <c r="D4196" s="342"/>
      <c r="E4196" s="387"/>
      <c r="F4196" s="388">
        <f t="shared" si="1077"/>
        <v>0</v>
      </c>
      <c r="G4196" s="390"/>
      <c r="H4196" s="341" t="str">
        <f>IF(A4196="","",VLOOKUP(A4196,VII.A!$A$10:$D$199,4,FALSE))</f>
        <v/>
      </c>
      <c r="I4196" s="341" t="str">
        <f t="shared" si="1078"/>
        <v/>
      </c>
      <c r="J4196" s="341" t="str">
        <f>IF(A4196="","",VLOOKUP(A4196,VII.A!$A$10:$D$199,3,FALSE))</f>
        <v/>
      </c>
      <c r="K4196" s="342" t="str">
        <f t="shared" si="1079"/>
        <v/>
      </c>
      <c r="L4196" s="380" t="str">
        <f>IF(C4196="","",G4187*C4196)</f>
        <v/>
      </c>
      <c r="M4196" s="381" t="str">
        <f>IF(A4196="","",VLOOKUP(A4196,VII.A!$A$10:$B$199,2,FALSE))</f>
        <v/>
      </c>
      <c r="N4196" s="342" t="str">
        <f t="shared" si="1080"/>
        <v/>
      </c>
      <c r="R4196" s="341"/>
      <c r="S4196" s="341"/>
    </row>
    <row r="4197" spans="1:21" ht="12.75" customHeight="1">
      <c r="A4197" s="385"/>
      <c r="B4197" s="386"/>
      <c r="C4197" s="20"/>
      <c r="D4197" s="342"/>
      <c r="E4197" s="387"/>
      <c r="F4197" s="388">
        <f t="shared" si="1077"/>
        <v>0</v>
      </c>
      <c r="G4197" s="391"/>
      <c r="H4197" s="341" t="str">
        <f>IF(A4197="","",VLOOKUP(A4197,VII.A!$A$10:$D$199,4,FALSE))</f>
        <v/>
      </c>
      <c r="I4197" s="341" t="str">
        <f t="shared" si="1078"/>
        <v/>
      </c>
      <c r="J4197" s="341" t="str">
        <f>IF(A4197="","",VLOOKUP(A4197,VII.A!$A$10:$D$199,3,FALSE))</f>
        <v/>
      </c>
      <c r="K4197" s="342" t="str">
        <f t="shared" si="1079"/>
        <v/>
      </c>
      <c r="L4197" s="380" t="str">
        <f>IF(C4197="","",G4187*C4197)</f>
        <v/>
      </c>
      <c r="M4197" s="381" t="str">
        <f>IF(A4197="","",VLOOKUP(A4197,VII.A!$A$10:$B$199,2,FALSE))</f>
        <v/>
      </c>
      <c r="N4197" s="342" t="str">
        <f t="shared" si="1080"/>
        <v/>
      </c>
      <c r="R4197" s="341"/>
      <c r="S4197" s="341"/>
    </row>
    <row r="4198" spans="1:21" ht="12.75" customHeight="1">
      <c r="A4198" s="385"/>
      <c r="B4198" s="386"/>
      <c r="C4198" s="20"/>
      <c r="D4198" s="342"/>
      <c r="E4198" s="387"/>
      <c r="F4198" s="388"/>
      <c r="G4198" s="391"/>
      <c r="J4198" s="341"/>
      <c r="L4198" s="380"/>
      <c r="M4198" s="381"/>
      <c r="N4198" s="342"/>
      <c r="R4198" s="341"/>
      <c r="S4198" s="341"/>
    </row>
    <row r="4199" spans="1:21" ht="12.75" customHeight="1">
      <c r="A4199" s="385"/>
      <c r="B4199" s="386"/>
      <c r="C4199" s="20"/>
      <c r="D4199" s="342"/>
      <c r="E4199" s="387"/>
      <c r="F4199" s="388">
        <f t="shared" si="1077"/>
        <v>0</v>
      </c>
      <c r="H4199" s="341" t="str">
        <f>IF(A4199="","",VLOOKUP(A4199,VII.A!$A$10:$D$199,4,FALSE))</f>
        <v/>
      </c>
      <c r="I4199" s="341" t="str">
        <f t="shared" si="1078"/>
        <v/>
      </c>
      <c r="J4199" s="341" t="str">
        <f>IF(A4199="","",VLOOKUP(A4199,VII.A!$A$10:$D$199,3,FALSE))</f>
        <v/>
      </c>
      <c r="K4199" s="342" t="str">
        <f t="shared" si="1079"/>
        <v/>
      </c>
      <c r="L4199" s="380" t="str">
        <f>IF(C4199="","",G4187*C4199)</f>
        <v/>
      </c>
      <c r="M4199" s="381" t="str">
        <f>IF(A4199="","",VLOOKUP(A4199,VII.A!$A$10:$B$199,2,FALSE))</f>
        <v/>
      </c>
      <c r="N4199" s="342" t="str">
        <f t="shared" si="1080"/>
        <v/>
      </c>
      <c r="R4199" s="341"/>
      <c r="S4199" s="341"/>
    </row>
    <row r="4200" spans="1:21" ht="12.75" customHeight="1">
      <c r="A4200" s="385"/>
      <c r="B4200" s="386"/>
      <c r="C4200" s="20"/>
      <c r="D4200" s="392"/>
      <c r="E4200" s="387"/>
      <c r="F4200" s="388">
        <f t="shared" si="1077"/>
        <v>0</v>
      </c>
      <c r="H4200" s="341" t="str">
        <f>IF(A4200="","",VLOOKUP(A4200,VII.A!$A$10:$D$199,4,FALSE))</f>
        <v/>
      </c>
      <c r="I4200" s="341" t="str">
        <f t="shared" si="1078"/>
        <v/>
      </c>
      <c r="J4200" s="341" t="str">
        <f>IF(A4200="","",VLOOKUP(A4200,VII.A!$A$10:$D$199,3,FALSE))</f>
        <v/>
      </c>
      <c r="K4200" s="342" t="str">
        <f t="shared" si="1079"/>
        <v/>
      </c>
      <c r="L4200" s="380" t="str">
        <f>IF(C4200="","",G4187*C4200)</f>
        <v/>
      </c>
      <c r="M4200" s="381" t="str">
        <f>IF(A4200="","",VLOOKUP(A4200,VII.A!$A$10:$B$199,2,FALSE))</f>
        <v/>
      </c>
      <c r="N4200" s="342" t="str">
        <f t="shared" si="1080"/>
        <v/>
      </c>
      <c r="R4200" s="341"/>
      <c r="S4200" s="341"/>
    </row>
    <row r="4201" spans="1:21" ht="12.75" customHeight="1">
      <c r="A4201" s="385"/>
      <c r="B4201" s="386"/>
      <c r="C4201" s="20"/>
      <c r="D4201" s="392"/>
      <c r="E4201" s="387"/>
      <c r="F4201" s="388">
        <f t="shared" si="1077"/>
        <v>0</v>
      </c>
      <c r="H4201" s="341" t="str">
        <f>IF(A4201="","",VLOOKUP(A4201,VII.A!$A$10:$D$199,4,FALSE))</f>
        <v/>
      </c>
      <c r="I4201" s="341" t="str">
        <f t="shared" si="1078"/>
        <v/>
      </c>
      <c r="J4201" s="341" t="str">
        <f>IF(A4201="","",VLOOKUP(A4201,VII.A!$A$10:$D$199,3,FALSE))</f>
        <v/>
      </c>
      <c r="K4201" s="342" t="str">
        <f t="shared" si="1079"/>
        <v/>
      </c>
      <c r="L4201" s="380" t="str">
        <f>IF(C4201="","",G4187*C4201)</f>
        <v/>
      </c>
      <c r="M4201" s="381" t="str">
        <f>IF(A4201="","",VLOOKUP(A4201,VII.A!$A$10:$B$199,2,FALSE))</f>
        <v/>
      </c>
      <c r="N4201" s="342" t="str">
        <f t="shared" si="1080"/>
        <v/>
      </c>
      <c r="O4201" s="342"/>
      <c r="R4201" s="341"/>
      <c r="S4201" s="341"/>
    </row>
    <row r="4202" spans="1:21" ht="12.75" customHeight="1">
      <c r="A4202" s="385"/>
      <c r="B4202" s="386"/>
      <c r="C4202" s="20"/>
      <c r="D4202" s="392"/>
      <c r="E4202" s="387"/>
      <c r="F4202" s="388">
        <f t="shared" si="1077"/>
        <v>0</v>
      </c>
      <c r="H4202" s="341" t="str">
        <f>IF(A4202="","",VLOOKUP(A4202,VII.A!$A$10:$D$199,4,FALSE))</f>
        <v/>
      </c>
      <c r="I4202" s="341" t="str">
        <f t="shared" si="1078"/>
        <v/>
      </c>
      <c r="J4202" s="341" t="str">
        <f>IF(A4202="","",VLOOKUP(A4202,VII.A!$A$10:$D$199,3,FALSE))</f>
        <v/>
      </c>
      <c r="K4202" s="342" t="str">
        <f t="shared" si="1079"/>
        <v/>
      </c>
      <c r="L4202" s="380" t="str">
        <f>IF(C4202="","",G4187*C4202)</f>
        <v/>
      </c>
      <c r="M4202" s="381" t="str">
        <f>IF(A4202="","",VLOOKUP(A4202,VII.A!$A$10:$B$199,2,FALSE))</f>
        <v/>
      </c>
      <c r="N4202" s="342" t="str">
        <f t="shared" si="1080"/>
        <v/>
      </c>
      <c r="R4202" s="341"/>
      <c r="S4202" s="341"/>
    </row>
    <row r="4203" spans="1:21" ht="12.75" customHeight="1">
      <c r="A4203" s="393"/>
      <c r="C4203" s="20"/>
      <c r="E4203" s="387"/>
      <c r="F4203" s="388">
        <f t="shared" si="1077"/>
        <v>0</v>
      </c>
      <c r="H4203" s="341" t="str">
        <f>IF(A4203="","",VLOOKUP(A4203,VII.A!$A$10:$D$199,4,FALSE))</f>
        <v/>
      </c>
      <c r="I4203" s="341" t="str">
        <f t="shared" si="1078"/>
        <v/>
      </c>
      <c r="J4203" s="341" t="str">
        <f>IF(A4203="","",VLOOKUP(A4203,VII.A!$A$10:$D$199,3,FALSE))</f>
        <v/>
      </c>
      <c r="K4203" s="342" t="str">
        <f t="shared" si="1079"/>
        <v/>
      </c>
      <c r="L4203" s="380" t="str">
        <f>IF(C4203="","",G4187*C4203)</f>
        <v/>
      </c>
      <c r="M4203" s="381" t="str">
        <f>IF(A4203="","",VLOOKUP(A4203,VII.A!$A$10:$B$199,2,FALSE))</f>
        <v/>
      </c>
      <c r="N4203" s="342" t="str">
        <f t="shared" si="1080"/>
        <v/>
      </c>
      <c r="R4203" s="341"/>
      <c r="S4203" s="341"/>
    </row>
    <row r="4204" spans="1:21" ht="12.75" customHeight="1">
      <c r="A4204" s="393"/>
      <c r="C4204" s="20"/>
      <c r="E4204" s="387"/>
      <c r="F4204" s="388">
        <f t="shared" si="1077"/>
        <v>0</v>
      </c>
      <c r="H4204" s="341" t="str">
        <f>IF(A4204="","",VLOOKUP(A4204,VII.A!$A$10:$D$199,4,FALSE))</f>
        <v/>
      </c>
      <c r="I4204" s="341" t="str">
        <f t="shared" si="1078"/>
        <v/>
      </c>
      <c r="J4204" s="341" t="str">
        <f>IF(A4204="","",VLOOKUP(A4204,VII.A!$A$10:$D$199,3,FALSE))</f>
        <v/>
      </c>
      <c r="K4204" s="342" t="str">
        <f t="shared" si="1079"/>
        <v/>
      </c>
      <c r="L4204" s="380" t="str">
        <f>IF(C4204="","",G4187*C4204)</f>
        <v/>
      </c>
      <c r="M4204" s="381" t="str">
        <f>IF(A4204="","",VLOOKUP(A4204,VII.A!$A$10:$B$199,2,FALSE))</f>
        <v/>
      </c>
      <c r="N4204" s="342" t="str">
        <f t="shared" si="1080"/>
        <v/>
      </c>
      <c r="R4204" s="341"/>
      <c r="S4204" s="341"/>
    </row>
    <row r="4205" spans="1:21" ht="12.75" customHeight="1">
      <c r="A4205" s="393"/>
      <c r="B4205" s="395" t="s">
        <v>226</v>
      </c>
      <c r="C4205" s="396"/>
      <c r="D4205" s="397"/>
      <c r="E4205" s="398"/>
      <c r="F4205" s="399">
        <f>SUM(F4189:F4204)</f>
        <v>0</v>
      </c>
      <c r="J4205" s="341"/>
      <c r="L4205" s="380"/>
      <c r="M4205" s="381"/>
      <c r="N4205" s="342"/>
      <c r="R4205" s="341"/>
      <c r="S4205" s="341"/>
    </row>
    <row r="4206" spans="1:21" ht="12.75" customHeight="1">
      <c r="A4206" s="393"/>
      <c r="B4206" s="400" t="s">
        <v>53</v>
      </c>
      <c r="C4206" s="2">
        <f>$D$8</f>
        <v>0</v>
      </c>
      <c r="D4206" s="401"/>
      <c r="E4206" s="402"/>
      <c r="F4206" s="403">
        <f>ROUND(F4205*C4206,2)</f>
        <v>0</v>
      </c>
      <c r="H4206" s="426" t="s">
        <v>447</v>
      </c>
      <c r="J4206" s="341"/>
      <c r="L4206" s="380"/>
      <c r="M4206" s="381"/>
      <c r="N4206" s="342"/>
      <c r="R4206" s="341"/>
      <c r="S4206" s="341"/>
    </row>
    <row r="4207" spans="1:21" ht="12.75" customHeight="1">
      <c r="A4207" s="404"/>
      <c r="B4207" s="405" t="s">
        <v>227</v>
      </c>
      <c r="C4207" s="406"/>
      <c r="D4207" s="406"/>
      <c r="E4207" s="407"/>
      <c r="F4207" s="408">
        <f>F4205+F4206</f>
        <v>0</v>
      </c>
      <c r="J4207" s="341"/>
      <c r="L4207" s="380"/>
      <c r="M4207" s="381"/>
      <c r="N4207" s="342"/>
      <c r="R4207" s="341"/>
      <c r="S4207" s="341"/>
    </row>
    <row r="4208" spans="1:21" ht="12.75" customHeight="1">
      <c r="A4208" s="374" t="s">
        <v>2</v>
      </c>
      <c r="B4208" s="375" t="s">
        <v>235</v>
      </c>
      <c r="C4208" s="376" t="s">
        <v>231</v>
      </c>
      <c r="D4208" s="376" t="s">
        <v>232</v>
      </c>
      <c r="E4208" s="377" t="s">
        <v>233</v>
      </c>
      <c r="F4208" s="378" t="s">
        <v>234</v>
      </c>
      <c r="J4208" s="341"/>
      <c r="L4208" s="380"/>
      <c r="M4208" s="381"/>
      <c r="N4208" s="342"/>
      <c r="R4208" s="341"/>
      <c r="S4208" s="341"/>
    </row>
    <row r="4209" spans="1:19" ht="12.75" customHeight="1">
      <c r="A4209" s="393"/>
      <c r="B4209" s="423"/>
      <c r="C4209" s="20"/>
      <c r="E4209" s="387"/>
      <c r="F4209" s="388">
        <f t="shared" ref="F4209:F4218" si="1081">ROUND(C4209*E4209,2)</f>
        <v>0</v>
      </c>
      <c r="H4209" s="341" t="str">
        <f>IF(A4209="","",VLOOKUP(A4209,VII.A!$A$10:$D$199,4,FALSE))</f>
        <v/>
      </c>
      <c r="I4209" s="341" t="str">
        <f t="shared" ref="I4209:I4218" si="1082">IF(A4209="","",IF(E4209=H4209,"SIM","NÃO"))</f>
        <v/>
      </c>
      <c r="J4209" s="341" t="str">
        <f>IF(A4209="","",VLOOKUP(A4209,VII.A!$A$10:$D$199,3,FALSE))</f>
        <v/>
      </c>
      <c r="K4209" s="342" t="str">
        <f t="shared" ref="K4209:K4218" si="1083">IF(A4209="","",IF(J4209=D4209,"SIM","NÃO"))</f>
        <v/>
      </c>
      <c r="L4209" s="380" t="str">
        <f>IF(C4209="","",G4187*C4209)</f>
        <v/>
      </c>
      <c r="M4209" s="381" t="str">
        <f>IF(A4209="","",VLOOKUP(A4209,VII.A!$A$10:$B$199,2,FALSE))</f>
        <v/>
      </c>
      <c r="N4209" s="342" t="str">
        <f t="shared" ref="N4209:N4218" si="1084">IF(B4209="","",IF(M4209=B4209,"si","no"))</f>
        <v/>
      </c>
      <c r="R4209" s="341"/>
      <c r="S4209" s="341"/>
    </row>
    <row r="4210" spans="1:19" ht="12.75" customHeight="1">
      <c r="A4210" s="393"/>
      <c r="C4210" s="20"/>
      <c r="E4210" s="387"/>
      <c r="F4210" s="388">
        <f t="shared" si="1081"/>
        <v>0</v>
      </c>
      <c r="H4210" s="341" t="str">
        <f>IF(A4210="","",VLOOKUP(A4210,VII.A!$A$10:$D$199,4,FALSE))</f>
        <v/>
      </c>
      <c r="I4210" s="341" t="str">
        <f t="shared" si="1082"/>
        <v/>
      </c>
      <c r="J4210" s="341" t="str">
        <f>IF(A4210="","",VLOOKUP(A4210,VII.A!$A$10:$D$199,3,FALSE))</f>
        <v/>
      </c>
      <c r="K4210" s="342" t="str">
        <f t="shared" si="1083"/>
        <v/>
      </c>
      <c r="L4210" s="380" t="str">
        <f>IF(C4210="","",G4187*C4210)</f>
        <v/>
      </c>
      <c r="M4210" s="381" t="str">
        <f>IF(A4210="","",VLOOKUP(A4210,VII.A!$A$10:$B$199,2,FALSE))</f>
        <v/>
      </c>
      <c r="N4210" s="342" t="str">
        <f t="shared" si="1084"/>
        <v/>
      </c>
      <c r="R4210" s="341"/>
      <c r="S4210" s="341"/>
    </row>
    <row r="4211" spans="1:19" ht="12.75" customHeight="1">
      <c r="A4211" s="393"/>
      <c r="C4211" s="20"/>
      <c r="E4211" s="387"/>
      <c r="F4211" s="388">
        <f t="shared" si="1081"/>
        <v>0</v>
      </c>
      <c r="H4211" s="341" t="str">
        <f>IF(A4211="","",VLOOKUP(A4211,VII.A!$A$10:$D$199,4,FALSE))</f>
        <v/>
      </c>
      <c r="I4211" s="341" t="str">
        <f t="shared" si="1082"/>
        <v/>
      </c>
      <c r="J4211" s="341" t="str">
        <f>IF(A4211="","",VLOOKUP(A4211,VII.A!$A$10:$D$199,3,FALSE))</f>
        <v/>
      </c>
      <c r="K4211" s="342" t="str">
        <f t="shared" si="1083"/>
        <v/>
      </c>
      <c r="L4211" s="380" t="str">
        <f>IF(C4211="","",G4187*C4211)</f>
        <v/>
      </c>
      <c r="M4211" s="381" t="str">
        <f>IF(A4211="","",VLOOKUP(A4211,VII.A!$A$10:$B$199,2,FALSE))</f>
        <v/>
      </c>
      <c r="N4211" s="342" t="str">
        <f t="shared" si="1084"/>
        <v/>
      </c>
      <c r="R4211" s="341"/>
      <c r="S4211" s="341"/>
    </row>
    <row r="4212" spans="1:19" ht="12.75" customHeight="1">
      <c r="A4212" s="393"/>
      <c r="C4212" s="20"/>
      <c r="E4212" s="387"/>
      <c r="F4212" s="388">
        <f t="shared" si="1081"/>
        <v>0</v>
      </c>
      <c r="H4212" s="341" t="str">
        <f>IF(A4212="","",VLOOKUP(A4212,VII.A!$A$10:$D$199,4,FALSE))</f>
        <v/>
      </c>
      <c r="I4212" s="341" t="str">
        <f t="shared" si="1082"/>
        <v/>
      </c>
      <c r="J4212" s="341" t="str">
        <f>IF(A4212="","",VLOOKUP(A4212,VII.A!$A$10:$D$199,3,FALSE))</f>
        <v/>
      </c>
      <c r="K4212" s="342" t="str">
        <f t="shared" si="1083"/>
        <v/>
      </c>
      <c r="L4212" s="380" t="str">
        <f>IF(C4212="","",G4187*C4212)</f>
        <v/>
      </c>
      <c r="M4212" s="381" t="str">
        <f>IF(A4212="","",VLOOKUP(A4212,VII.A!$A$10:$B$199,2,FALSE))</f>
        <v/>
      </c>
      <c r="N4212" s="342" t="str">
        <f t="shared" si="1084"/>
        <v/>
      </c>
      <c r="R4212" s="341"/>
      <c r="S4212" s="341"/>
    </row>
    <row r="4213" spans="1:19" ht="12.75" customHeight="1">
      <c r="A4213" s="393"/>
      <c r="C4213" s="20"/>
      <c r="E4213" s="387"/>
      <c r="F4213" s="388">
        <f t="shared" si="1081"/>
        <v>0</v>
      </c>
      <c r="G4213" s="390"/>
      <c r="H4213" s="341" t="str">
        <f>IF(A4213="","",VLOOKUP(A4213,VII.A!$A$10:$D$199,4,FALSE))</f>
        <v/>
      </c>
      <c r="I4213" s="341" t="str">
        <f t="shared" si="1082"/>
        <v/>
      </c>
      <c r="J4213" s="341" t="str">
        <f>IF(A4213="","",VLOOKUP(A4213,VII.A!$A$10:$D$199,3,FALSE))</f>
        <v/>
      </c>
      <c r="K4213" s="342" t="str">
        <f t="shared" si="1083"/>
        <v/>
      </c>
      <c r="L4213" s="380" t="str">
        <f>IF(C4213="","",G4187*C4213)</f>
        <v/>
      </c>
      <c r="M4213" s="381" t="str">
        <f>IF(A4213="","",VLOOKUP(A4213,VII.A!$A$10:$B$199,2,FALSE))</f>
        <v/>
      </c>
      <c r="N4213" s="342" t="str">
        <f t="shared" si="1084"/>
        <v/>
      </c>
      <c r="R4213" s="341"/>
      <c r="S4213" s="341"/>
    </row>
    <row r="4214" spans="1:19" ht="12.75" customHeight="1">
      <c r="A4214" s="393"/>
      <c r="C4214" s="20"/>
      <c r="E4214" s="387"/>
      <c r="F4214" s="388">
        <f t="shared" si="1081"/>
        <v>0</v>
      </c>
      <c r="G4214" s="391"/>
      <c r="H4214" s="341" t="str">
        <f>IF(A4214="","",VLOOKUP(A4214,VII.A!$A$10:$D$199,4,FALSE))</f>
        <v/>
      </c>
      <c r="I4214" s="341" t="str">
        <f t="shared" si="1082"/>
        <v/>
      </c>
      <c r="J4214" s="341" t="str">
        <f>IF(A4214="","",VLOOKUP(A4214,VII.A!$A$10:$D$199,3,FALSE))</f>
        <v/>
      </c>
      <c r="K4214" s="342" t="str">
        <f t="shared" si="1083"/>
        <v/>
      </c>
      <c r="L4214" s="380" t="str">
        <f>IF(C4214="","",G4187*C4214)</f>
        <v/>
      </c>
      <c r="M4214" s="381" t="str">
        <f>IF(A4214="","",VLOOKUP(A4214,VII.A!$A$10:$B$199,2,FALSE))</f>
        <v/>
      </c>
      <c r="N4214" s="342" t="str">
        <f t="shared" si="1084"/>
        <v/>
      </c>
      <c r="R4214" s="341"/>
      <c r="S4214" s="341"/>
    </row>
    <row r="4215" spans="1:19" ht="12.75" customHeight="1">
      <c r="A4215" s="393"/>
      <c r="C4215" s="20"/>
      <c r="E4215" s="387"/>
      <c r="F4215" s="388">
        <f t="shared" si="1081"/>
        <v>0</v>
      </c>
      <c r="H4215" s="341" t="str">
        <f>IF(A4215="","",VLOOKUP(A4215,VII.A!$A$10:$D$199,4,FALSE))</f>
        <v/>
      </c>
      <c r="I4215" s="341" t="str">
        <f t="shared" si="1082"/>
        <v/>
      </c>
      <c r="J4215" s="341" t="str">
        <f>IF(A4215="","",VLOOKUP(A4215,VII.A!$A$10:$D$199,3,FALSE))</f>
        <v/>
      </c>
      <c r="K4215" s="342" t="str">
        <f t="shared" si="1083"/>
        <v/>
      </c>
      <c r="L4215" s="380" t="str">
        <f>IF(C4215="","",G4187*C4215)</f>
        <v/>
      </c>
      <c r="M4215" s="381" t="str">
        <f>IF(A4215="","",VLOOKUP(A4215,VII.A!$A$10:$B$199,2,FALSE))</f>
        <v/>
      </c>
      <c r="N4215" s="342" t="str">
        <f t="shared" si="1084"/>
        <v/>
      </c>
      <c r="R4215" s="341"/>
      <c r="S4215" s="341"/>
    </row>
    <row r="4216" spans="1:19" ht="12.75" customHeight="1">
      <c r="A4216" s="393"/>
      <c r="C4216" s="20"/>
      <c r="E4216" s="387"/>
      <c r="F4216" s="388">
        <f t="shared" si="1081"/>
        <v>0</v>
      </c>
      <c r="H4216" s="341" t="str">
        <f>IF(A4216="","",VLOOKUP(A4216,VII.A!$A$10:$D$199,4,FALSE))</f>
        <v/>
      </c>
      <c r="I4216" s="341" t="str">
        <f t="shared" si="1082"/>
        <v/>
      </c>
      <c r="J4216" s="341" t="str">
        <f>IF(A4216="","",VLOOKUP(A4216,VII.A!$A$10:$D$199,3,FALSE))</f>
        <v/>
      </c>
      <c r="K4216" s="342" t="str">
        <f t="shared" si="1083"/>
        <v/>
      </c>
      <c r="L4216" s="380" t="str">
        <f>IF(C4216="","",G4187*C4216)</f>
        <v/>
      </c>
      <c r="M4216" s="381" t="str">
        <f>IF(A4216="","",VLOOKUP(A4216,VII.A!$A$10:$B$199,2,FALSE))</f>
        <v/>
      </c>
      <c r="N4216" s="342" t="str">
        <f t="shared" si="1084"/>
        <v/>
      </c>
      <c r="R4216" s="341"/>
      <c r="S4216" s="341"/>
    </row>
    <row r="4217" spans="1:19" ht="12.75" customHeight="1">
      <c r="A4217" s="393"/>
      <c r="C4217" s="20"/>
      <c r="E4217" s="387"/>
      <c r="F4217" s="388">
        <f t="shared" si="1081"/>
        <v>0</v>
      </c>
      <c r="H4217" s="341" t="str">
        <f>IF(A4217="","",VLOOKUP(A4217,VII.A!$A$10:$D$199,4,FALSE))</f>
        <v/>
      </c>
      <c r="I4217" s="341" t="str">
        <f t="shared" si="1082"/>
        <v/>
      </c>
      <c r="J4217" s="341" t="str">
        <f>IF(A4217="","",VLOOKUP(A4217,VII.A!$A$10:$D$199,3,FALSE))</f>
        <v/>
      </c>
      <c r="K4217" s="342" t="str">
        <f t="shared" si="1083"/>
        <v/>
      </c>
      <c r="L4217" s="380" t="str">
        <f>IF(C4217="","",G4187*C4217)</f>
        <v/>
      </c>
      <c r="M4217" s="381" t="str">
        <f>IF(A4217="","",VLOOKUP(A4217,VII.A!$A$10:$B$199,2,FALSE))</f>
        <v/>
      </c>
      <c r="N4217" s="342" t="str">
        <f t="shared" si="1084"/>
        <v/>
      </c>
      <c r="R4217" s="341"/>
      <c r="S4217" s="341"/>
    </row>
    <row r="4218" spans="1:19" ht="12.75" customHeight="1">
      <c r="A4218" s="393"/>
      <c r="C4218" s="20"/>
      <c r="E4218" s="387"/>
      <c r="F4218" s="388">
        <f t="shared" si="1081"/>
        <v>0</v>
      </c>
      <c r="H4218" s="341" t="str">
        <f>IF(A4218="","",VLOOKUP(A4218,VII.A!$A$10:$D$199,4,FALSE))</f>
        <v/>
      </c>
      <c r="I4218" s="341" t="str">
        <f t="shared" si="1082"/>
        <v/>
      </c>
      <c r="J4218" s="341" t="str">
        <f>IF(A4218="","",VLOOKUP(A4218,VII.A!$A$10:$D$199,3,FALSE))</f>
        <v/>
      </c>
      <c r="K4218" s="342" t="str">
        <f t="shared" si="1083"/>
        <v/>
      </c>
      <c r="L4218" s="380" t="str">
        <f>IF(C4218="","",G4187*C4218)</f>
        <v/>
      </c>
      <c r="M4218" s="381" t="str">
        <f>IF(A4218="","",VLOOKUP(A4218,VII.A!$A$10:$B$199,2,FALSE))</f>
        <v/>
      </c>
      <c r="N4218" s="342" t="str">
        <f t="shared" si="1084"/>
        <v/>
      </c>
      <c r="R4218" s="341"/>
      <c r="S4218" s="341"/>
    </row>
    <row r="4219" spans="1:19" ht="12.75" customHeight="1">
      <c r="A4219" s="393"/>
      <c r="B4219" s="395" t="s">
        <v>226</v>
      </c>
      <c r="C4219" s="396"/>
      <c r="D4219" s="397"/>
      <c r="E4219" s="398"/>
      <c r="F4219" s="399">
        <f>SUM(F4209:F4218)</f>
        <v>0</v>
      </c>
      <c r="J4219" s="341"/>
      <c r="L4219" s="380"/>
      <c r="M4219" s="381"/>
      <c r="N4219" s="342"/>
      <c r="R4219" s="341"/>
      <c r="S4219" s="341"/>
    </row>
    <row r="4220" spans="1:19" ht="12.75" customHeight="1">
      <c r="A4220" s="393"/>
      <c r="B4220" s="400" t="s">
        <v>53</v>
      </c>
      <c r="C4220" s="2">
        <f>$D$8</f>
        <v>0</v>
      </c>
      <c r="D4220" s="401"/>
      <c r="E4220" s="402"/>
      <c r="F4220" s="403">
        <f>ROUND(C4220*F4219,2)</f>
        <v>0</v>
      </c>
      <c r="J4220" s="341"/>
      <c r="L4220" s="380"/>
      <c r="M4220" s="381"/>
      <c r="N4220" s="342"/>
      <c r="R4220" s="341"/>
      <c r="S4220" s="341"/>
    </row>
    <row r="4221" spans="1:19" ht="12.75" customHeight="1">
      <c r="A4221" s="404"/>
      <c r="B4221" s="405" t="s">
        <v>228</v>
      </c>
      <c r="C4221" s="406"/>
      <c r="D4221" s="406"/>
      <c r="E4221" s="407"/>
      <c r="F4221" s="408">
        <f>F4219+F4220</f>
        <v>0</v>
      </c>
      <c r="J4221" s="341"/>
      <c r="L4221" s="380"/>
      <c r="M4221" s="381"/>
      <c r="N4221" s="342"/>
      <c r="R4221" s="341"/>
      <c r="S4221" s="341"/>
    </row>
    <row r="4222" spans="1:19" ht="12.75" customHeight="1">
      <c r="A4222" s="409" t="s">
        <v>47</v>
      </c>
      <c r="B4222" s="410" t="s">
        <v>236</v>
      </c>
      <c r="C4222" s="411" t="s">
        <v>231</v>
      </c>
      <c r="D4222" s="412" t="s">
        <v>232</v>
      </c>
      <c r="E4222" s="413" t="s">
        <v>233</v>
      </c>
      <c r="F4222" s="378" t="s">
        <v>234</v>
      </c>
      <c r="J4222" s="341"/>
      <c r="L4222" s="380"/>
      <c r="M4222" s="381"/>
      <c r="N4222" s="342"/>
      <c r="R4222" s="341"/>
      <c r="S4222" s="341"/>
    </row>
    <row r="4223" spans="1:19" ht="12.75" customHeight="1">
      <c r="A4223" s="393" t="str">
        <f>VII.A!$A$192</f>
        <v>3.12</v>
      </c>
      <c r="B4223" s="394" t="str">
        <f>VII.A!B192</f>
        <v>PEDREIRO COM ENCARGOS COMPLEMENTARES</v>
      </c>
      <c r="C4223" s="20">
        <v>0.6</v>
      </c>
      <c r="D4223" s="384" t="str">
        <f>VII.A!C192</f>
        <v>H</v>
      </c>
      <c r="E4223" s="387">
        <f>VII.A!D192</f>
        <v>0</v>
      </c>
      <c r="F4223" s="388">
        <f t="shared" ref="F4223:F4229" si="1085">ROUND(C4223*E4223,2)</f>
        <v>0</v>
      </c>
      <c r="H4223" s="341">
        <f>IF(A4223="","",VLOOKUP(A4223,VII.A!$A$10:$D$199,4,FALSE))</f>
        <v>0</v>
      </c>
      <c r="I4223" s="341" t="str">
        <f t="shared" ref="I4223:I4229" si="1086">IF(A4223="","",IF(E4223=H4223,"SIM","NÃO"))</f>
        <v>SIM</v>
      </c>
      <c r="J4223" s="341" t="str">
        <f>IF(A4223="","",VLOOKUP(A4223,VII.A!$A$10:$D$199,3,FALSE))</f>
        <v>H</v>
      </c>
      <c r="K4223" s="342" t="str">
        <f t="shared" ref="K4223:K4229" si="1087">IF(A4223="","",IF(J4223=D4223,"SIM","NÃO"))</f>
        <v>SIM</v>
      </c>
      <c r="L4223" s="380">
        <f>IF(C4223="","",G4187*C4223)</f>
        <v>90</v>
      </c>
      <c r="M4223" s="381" t="str">
        <f>IF(A4223="","",VLOOKUP(A4223,VII.A!$A$10:$B$199,2,FALSE))</f>
        <v>PEDREIRO COM ENCARGOS COMPLEMENTARES</v>
      </c>
      <c r="N4223" s="342" t="str">
        <f t="shared" ref="N4223:N4229" si="1088">IF(B4223="","",IF(M4223=B4223,"si","no"))</f>
        <v>si</v>
      </c>
      <c r="R4223" s="341"/>
      <c r="S4223" s="341"/>
    </row>
    <row r="4224" spans="1:19" ht="12.75" customHeight="1">
      <c r="A4224" s="393" t="str">
        <f>VII.A!$A$196</f>
        <v>3.16</v>
      </c>
      <c r="B4224" s="394" t="str">
        <f>VII.A!B196</f>
        <v>SERVENTE COM ENCARGOS COMPLEMENTARES</v>
      </c>
      <c r="C4224" s="20">
        <v>0.6</v>
      </c>
      <c r="D4224" s="384" t="str">
        <f>VII.A!C196</f>
        <v>H</v>
      </c>
      <c r="E4224" s="387">
        <f>VII.A!D196</f>
        <v>0</v>
      </c>
      <c r="F4224" s="388">
        <f t="shared" si="1085"/>
        <v>0</v>
      </c>
      <c r="H4224" s="341">
        <f>IF(A4224="","",VLOOKUP(A4224,VII.A!$A$10:$D$199,4,FALSE))</f>
        <v>0</v>
      </c>
      <c r="I4224" s="341" t="str">
        <f t="shared" si="1086"/>
        <v>SIM</v>
      </c>
      <c r="J4224" s="341" t="str">
        <f>IF(A4224="","",VLOOKUP(A4224,VII.A!$A$10:$D$199,3,FALSE))</f>
        <v>H</v>
      </c>
      <c r="K4224" s="342" t="str">
        <f t="shared" si="1087"/>
        <v>SIM</v>
      </c>
      <c r="L4224" s="380">
        <f>IF(C4224="","",G4187*C4224)</f>
        <v>90</v>
      </c>
      <c r="M4224" s="381" t="str">
        <f>IF(A4224="","",VLOOKUP(A4224,VII.A!$A$10:$B$199,2,FALSE))</f>
        <v>SERVENTE COM ENCARGOS COMPLEMENTARES</v>
      </c>
      <c r="N4224" s="342" t="str">
        <f t="shared" si="1088"/>
        <v>si</v>
      </c>
      <c r="R4224" s="341"/>
      <c r="S4224" s="341"/>
    </row>
    <row r="4225" spans="1:25" ht="12.75" customHeight="1">
      <c r="A4225" s="393"/>
      <c r="C4225" s="20"/>
      <c r="E4225" s="387"/>
      <c r="F4225" s="388">
        <f t="shared" si="1085"/>
        <v>0</v>
      </c>
      <c r="H4225" s="341" t="str">
        <f>IF(A4225="","",VLOOKUP(A4225,VII.A!$A$10:$D$199,4,FALSE))</f>
        <v/>
      </c>
      <c r="I4225" s="341" t="str">
        <f t="shared" si="1086"/>
        <v/>
      </c>
      <c r="J4225" s="341" t="str">
        <f>IF(A4225="","",VLOOKUP(A4225,VII.A!$A$10:$D$199,3,FALSE))</f>
        <v/>
      </c>
      <c r="K4225" s="342" t="str">
        <f t="shared" si="1087"/>
        <v/>
      </c>
      <c r="L4225" s="380" t="str">
        <f>IF(C4225="","",G4187*C4225)</f>
        <v/>
      </c>
      <c r="M4225" s="381" t="str">
        <f>IF(A4225="","",VLOOKUP(A4225,VII.A!$A$10:$B$199,2,FALSE))</f>
        <v/>
      </c>
      <c r="N4225" s="342" t="str">
        <f t="shared" si="1088"/>
        <v/>
      </c>
      <c r="R4225" s="341"/>
      <c r="S4225" s="341"/>
    </row>
    <row r="4226" spans="1:25" ht="12.75" customHeight="1">
      <c r="A4226" s="393"/>
      <c r="C4226" s="20"/>
      <c r="E4226" s="387"/>
      <c r="F4226" s="388">
        <f t="shared" si="1085"/>
        <v>0</v>
      </c>
      <c r="H4226" s="341" t="str">
        <f>IF(A4226="","",VLOOKUP(A4226,VII.A!$A$10:$D$199,4,FALSE))</f>
        <v/>
      </c>
      <c r="I4226" s="341" t="str">
        <f t="shared" si="1086"/>
        <v/>
      </c>
      <c r="J4226" s="341" t="str">
        <f>IF(A4226="","",VLOOKUP(A4226,VII.A!$A$10:$D$199,3,FALSE))</f>
        <v/>
      </c>
      <c r="K4226" s="342" t="str">
        <f t="shared" si="1087"/>
        <v/>
      </c>
      <c r="L4226" s="380" t="str">
        <f>IF(C4226="","",G4187*C4226)</f>
        <v/>
      </c>
      <c r="M4226" s="381" t="str">
        <f>IF(A4226="","",VLOOKUP(A4226,VII.A!$A$10:$B$199,2,FALSE))</f>
        <v/>
      </c>
      <c r="N4226" s="342" t="str">
        <f t="shared" si="1088"/>
        <v/>
      </c>
      <c r="R4226" s="341"/>
      <c r="S4226" s="341"/>
    </row>
    <row r="4227" spans="1:25" ht="12.75" customHeight="1">
      <c r="A4227" s="393"/>
      <c r="C4227" s="20"/>
      <c r="E4227" s="387"/>
      <c r="F4227" s="388">
        <f t="shared" si="1085"/>
        <v>0</v>
      </c>
      <c r="H4227" s="341" t="str">
        <f>IF(A4227="","",VLOOKUP(A4227,VII.A!$A$10:$D$199,4,FALSE))</f>
        <v/>
      </c>
      <c r="I4227" s="341" t="str">
        <f t="shared" si="1086"/>
        <v/>
      </c>
      <c r="J4227" s="341" t="str">
        <f>IF(A4227="","",VLOOKUP(A4227,VII.A!$A$10:$D$199,3,FALSE))</f>
        <v/>
      </c>
      <c r="K4227" s="342" t="str">
        <f t="shared" si="1087"/>
        <v/>
      </c>
      <c r="L4227" s="380" t="str">
        <f>IF(C4227="","",G4187*C4227)</f>
        <v/>
      </c>
      <c r="M4227" s="381" t="str">
        <f>IF(A4227="","",VLOOKUP(A4227,VII.A!$A$10:$B$199,2,FALSE))</f>
        <v/>
      </c>
      <c r="N4227" s="342" t="str">
        <f t="shared" si="1088"/>
        <v/>
      </c>
      <c r="R4227" s="341"/>
      <c r="S4227" s="341"/>
    </row>
    <row r="4228" spans="1:25" ht="12.75" customHeight="1">
      <c r="A4228" s="393"/>
      <c r="C4228" s="20"/>
      <c r="E4228" s="387"/>
      <c r="F4228" s="388">
        <f t="shared" si="1085"/>
        <v>0</v>
      </c>
      <c r="H4228" s="341" t="str">
        <f>IF(A4228="","",VLOOKUP(A4228,VII.A!$A$10:$D$199,4,FALSE))</f>
        <v/>
      </c>
      <c r="I4228" s="341" t="str">
        <f t="shared" si="1086"/>
        <v/>
      </c>
      <c r="J4228" s="341" t="str">
        <f>IF(A4228="","",VLOOKUP(A4228,VII.A!$A$10:$D$199,3,FALSE))</f>
        <v/>
      </c>
      <c r="K4228" s="342" t="str">
        <f t="shared" si="1087"/>
        <v/>
      </c>
      <c r="L4228" s="380" t="str">
        <f>IF(C4228="","",G4187*C4228)</f>
        <v/>
      </c>
      <c r="M4228" s="381" t="str">
        <f>IF(A4228="","",VLOOKUP(A4228,VII.A!$A$10:$B$199,2,FALSE))</f>
        <v/>
      </c>
      <c r="N4228" s="342" t="str">
        <f t="shared" si="1088"/>
        <v/>
      </c>
      <c r="R4228" s="341"/>
      <c r="S4228" s="341"/>
    </row>
    <row r="4229" spans="1:25" ht="12.75" customHeight="1">
      <c r="A4229" s="393"/>
      <c r="C4229" s="20"/>
      <c r="E4229" s="387"/>
      <c r="F4229" s="388">
        <f t="shared" si="1085"/>
        <v>0</v>
      </c>
      <c r="H4229" s="341" t="str">
        <f>IF(A4229="","",VLOOKUP(A4229,VII.A!$A$10:$D$199,4,FALSE))</f>
        <v/>
      </c>
      <c r="I4229" s="341" t="str">
        <f t="shared" si="1086"/>
        <v/>
      </c>
      <c r="J4229" s="341" t="str">
        <f>IF(A4229="","",VLOOKUP(A4229,VII.A!$A$10:$D$199,3,FALSE))</f>
        <v/>
      </c>
      <c r="K4229" s="342" t="str">
        <f t="shared" si="1087"/>
        <v/>
      </c>
      <c r="L4229" s="380" t="str">
        <f>IF(C4229="","",G4187*C4229)</f>
        <v/>
      </c>
      <c r="M4229" s="381" t="str">
        <f>IF(A4229="","",VLOOKUP(A4229,VII.A!$A$10:$B$199,2,FALSE))</f>
        <v/>
      </c>
      <c r="N4229" s="342" t="str">
        <f t="shared" si="1088"/>
        <v/>
      </c>
      <c r="R4229" s="341"/>
      <c r="S4229" s="341"/>
    </row>
    <row r="4230" spans="1:25" ht="12.75" customHeight="1">
      <c r="A4230" s="393"/>
      <c r="B4230" s="395" t="s">
        <v>226</v>
      </c>
      <c r="C4230" s="396"/>
      <c r="D4230" s="397"/>
      <c r="E4230" s="398"/>
      <c r="F4230" s="399">
        <f>SUM(F4223:F4229)</f>
        <v>0</v>
      </c>
      <c r="J4230" s="341"/>
      <c r="L4230" s="380"/>
      <c r="M4230" s="381"/>
      <c r="N4230" s="342"/>
      <c r="R4230" s="341"/>
      <c r="S4230" s="341"/>
    </row>
    <row r="4231" spans="1:25" ht="12.75" customHeight="1">
      <c r="A4231" s="393"/>
      <c r="B4231" s="400" t="s">
        <v>229</v>
      </c>
      <c r="C4231" s="2">
        <f>IX.A!$C$45</f>
        <v>0</v>
      </c>
      <c r="D4231" s="401"/>
      <c r="E4231" s="402"/>
      <c r="F4231" s="403">
        <f>ROUND(F4230*C4231,2)</f>
        <v>0</v>
      </c>
      <c r="J4231" s="341"/>
      <c r="L4231" s="380"/>
      <c r="M4231" s="381"/>
      <c r="N4231" s="342"/>
      <c r="R4231" s="341"/>
      <c r="S4231" s="341"/>
    </row>
    <row r="4232" spans="1:25" ht="12.75" customHeight="1">
      <c r="A4232" s="393"/>
      <c r="B4232" s="400" t="s">
        <v>53</v>
      </c>
      <c r="C4232" s="2">
        <f>$D$8</f>
        <v>0</v>
      </c>
      <c r="D4232" s="401"/>
      <c r="E4232" s="402"/>
      <c r="F4232" s="403">
        <f>ROUND(SUM(F4230:F4231)*C4232,2)</f>
        <v>0</v>
      </c>
      <c r="J4232" s="341"/>
      <c r="L4232" s="380"/>
      <c r="M4232" s="381"/>
      <c r="N4232" s="342"/>
      <c r="R4232" s="341"/>
      <c r="S4232" s="341"/>
    </row>
    <row r="4233" spans="1:25" ht="12.75" customHeight="1" thickBot="1">
      <c r="A4233" s="414"/>
      <c r="B4233" s="415" t="s">
        <v>230</v>
      </c>
      <c r="C4233" s="416"/>
      <c r="D4233" s="416"/>
      <c r="E4233" s="417"/>
      <c r="F4233" s="418">
        <f>SUM(F4230:F4232)</f>
        <v>0</v>
      </c>
      <c r="J4233" s="341"/>
      <c r="L4233" s="380"/>
      <c r="M4233" s="381"/>
      <c r="N4233" s="342"/>
      <c r="R4233" s="341"/>
      <c r="S4233" s="341"/>
    </row>
    <row r="4234" spans="1:25" ht="12.75" customHeight="1" thickBot="1">
      <c r="A4234" s="357"/>
      <c r="B4234" s="358"/>
      <c r="C4234" s="359"/>
      <c r="D4234" s="359"/>
      <c r="E4234" s="360"/>
      <c r="F4234" s="419"/>
      <c r="J4234" s="341"/>
      <c r="L4234" s="380"/>
      <c r="M4234" s="381"/>
      <c r="N4234" s="342"/>
      <c r="R4234" s="341"/>
      <c r="S4234" s="341"/>
    </row>
    <row r="4235" spans="1:25" ht="30" customHeight="1">
      <c r="A4235" s="370" t="str">
        <f>IV.A!A130</f>
        <v>5.3</v>
      </c>
      <c r="B4235" s="371" t="str">
        <f>IV.A!B130</f>
        <v>TRATAMENTO DE CONCRETO COM ARMADURAS OXIDADADAS E RECOMPOSIÇÃO COM ARGAMASSA POLIMÉRICA</v>
      </c>
      <c r="C4235" s="871" t="s">
        <v>237</v>
      </c>
      <c r="D4235" s="872"/>
      <c r="E4235" s="372" t="str">
        <f>IV.A!C130</f>
        <v>M2</v>
      </c>
      <c r="F4235" s="11">
        <f>ROUND(F4255+F4269+F4281,2)</f>
        <v>0</v>
      </c>
      <c r="G4235" s="1">
        <f>VLOOKUP(A4235,IV.A!$A$16:$L$172,4,FALSE)</f>
        <v>200</v>
      </c>
      <c r="H4235" s="361">
        <f>SUM(F4237:F4252)+F4254</f>
        <v>0</v>
      </c>
      <c r="I4235" s="361">
        <f>SUM(F4257:F4266)+F4268</f>
        <v>0</v>
      </c>
      <c r="J4235" s="361">
        <f>SUM(F4271:F4277)+F4279+F4280</f>
        <v>0</v>
      </c>
      <c r="K4235" s="361">
        <f>SUM(H4235:J4235)</f>
        <v>0</v>
      </c>
      <c r="L4235" s="362" t="str">
        <f>IF(K4235=F4235,"SIM","NÃO")</f>
        <v>SIM</v>
      </c>
      <c r="M4235" s="373">
        <f>ROUND(SUM(F4237:F4252),2)+ROUND(SUM(F4237:F4252)*C4254,2)+ROUND(SUM(F4257:F4266)*C4268,2)+ROUND(SUM(F4257:F4266),2)+ROUND(SUM(F4271:F4277)*C4279,2)+ROUND((SUM(F4271:F4277)+ROUND(SUM(F4271:F4277)*C4279,2))*C4280,2)+ROUND(SUM(F4271:F4277),2)</f>
        <v>0</v>
      </c>
      <c r="N4235" s="343" t="str">
        <f>IF(M4235=F4235,"SIM","NÃO")</f>
        <v>SIM</v>
      </c>
      <c r="O4235" s="364" t="str">
        <f>VLOOKUP(A4235,IV.A!$A$16:$E$172,3,FALSE)</f>
        <v>M2</v>
      </c>
      <c r="P4235" s="344" t="str">
        <f>IF(O4235=E4235,"SIM","NÃO")</f>
        <v>SIM</v>
      </c>
      <c r="Q4235" s="365">
        <f>ROUND(G4235*F4255,2)+ROUND(G4235*F4269,2)+ROUND(G4235*F4281,2)</f>
        <v>0</v>
      </c>
      <c r="R4235" s="364">
        <f>VLOOKUP(A4235,IV.A!$A$16:$L$172,12,FALSE)</f>
        <v>0</v>
      </c>
      <c r="S4235" s="366" t="str">
        <f>IF(Q4235=R4235,"si","no")</f>
        <v>si</v>
      </c>
      <c r="T4235" s="367">
        <f>SUM(L4237:L4252)+SUM(L4257:L4266)+SUM(L4271:L4277)</f>
        <v>200</v>
      </c>
      <c r="U4235" s="341">
        <f>(SUM(C4237:C4252)+SUM(C4257:C4266)+SUM(C4271:C4277))*G4235</f>
        <v>200</v>
      </c>
      <c r="V4235" s="368" t="str">
        <f>IF(T4235=U4235,"si","no")</f>
        <v>si</v>
      </c>
      <c r="W4235" s="369">
        <f>SUM(F4237:F4252)</f>
        <v>0</v>
      </c>
      <c r="X4235" s="369">
        <f>SUM(F4257:F4266)</f>
        <v>0</v>
      </c>
      <c r="Y4235" s="369">
        <f>SUM(F4271:F4277)</f>
        <v>0</v>
      </c>
    </row>
    <row r="4236" spans="1:25" ht="12.75" customHeight="1">
      <c r="A4236" s="374" t="s">
        <v>14</v>
      </c>
      <c r="B4236" s="375" t="s">
        <v>132</v>
      </c>
      <c r="C4236" s="376" t="s">
        <v>231</v>
      </c>
      <c r="D4236" s="376" t="s">
        <v>232</v>
      </c>
      <c r="E4236" s="377" t="s">
        <v>233</v>
      </c>
      <c r="F4236" s="378" t="s">
        <v>234</v>
      </c>
      <c r="G4236" s="379"/>
      <c r="J4236" s="341"/>
      <c r="L4236" s="380"/>
      <c r="M4236" s="381"/>
      <c r="N4236" s="342"/>
      <c r="O4236" s="382"/>
      <c r="P4236" s="383"/>
      <c r="Q4236" s="383"/>
      <c r="R4236" s="383"/>
      <c r="S4236" s="383"/>
      <c r="T4236" s="382"/>
      <c r="U4236" s="341"/>
      <c r="V4236" s="384"/>
      <c r="W4236" s="384"/>
      <c r="X4236" s="384"/>
      <c r="Y4236" s="384"/>
    </row>
    <row r="4237" spans="1:25" ht="12.75" customHeight="1">
      <c r="A4237" s="385"/>
      <c r="B4237" s="423" t="str">
        <f>IF(A4237="","",VLOOKUP(A4237,VII.A!$A$10:$G$199,2,FALSE))</f>
        <v/>
      </c>
      <c r="C4237" s="20"/>
      <c r="D4237" s="384" t="str">
        <f>IF(A4237="","",VLOOKUP(A4237,VII.A!$A$10:$G$199,3,FALSE))</f>
        <v/>
      </c>
      <c r="E4237" s="387" t="str">
        <f>IF(A4237="","",VLOOKUP(A4237,VII.A!$A$10:$G$199,4,FALSE))</f>
        <v/>
      </c>
      <c r="F4237" s="388" t="str">
        <f>IF(A4237="","",ROUND(C4237*E4237,2))</f>
        <v/>
      </c>
      <c r="H4237" s="341" t="str">
        <f>IF(A4237="","",VLOOKUP(A4237,VII.A!$A$10:$D$199,4,FALSE))</f>
        <v/>
      </c>
      <c r="I4237" s="341" t="str">
        <f t="shared" ref="I4237:I4245" si="1089">IF(A4237="","",IF(E4237=H4237,"SIM","NÃO"))</f>
        <v/>
      </c>
      <c r="J4237" s="341" t="str">
        <f>IF(A4237="","",VLOOKUP(A4237,VII.A!$A$10:$D$199,3,FALSE))</f>
        <v/>
      </c>
      <c r="K4237" s="342" t="str">
        <f t="shared" ref="K4237:K4245" si="1090">IF(A4237="","",IF(J4237=D4237,"SIM","NÃO"))</f>
        <v/>
      </c>
      <c r="L4237" s="380" t="str">
        <f>IF(C4237="","",G4235*C4237)</f>
        <v/>
      </c>
      <c r="M4237" s="381" t="str">
        <f>IF(A4237="","",VLOOKUP(A4237,VII.A!$A$10:$B$199,2,FALSE))</f>
        <v/>
      </c>
      <c r="N4237" s="342" t="str">
        <f t="shared" ref="N4237:N4245" si="1091">IF(B4237="","",IF(M4237=B4237,"si","no"))</f>
        <v/>
      </c>
      <c r="R4237" s="341"/>
      <c r="S4237" s="341"/>
    </row>
    <row r="4238" spans="1:25" ht="12.75" customHeight="1">
      <c r="A4238" s="385"/>
      <c r="B4238" s="423" t="str">
        <f>IF(A4238="","",VLOOKUP(A4238,VII.A!$A$10:$G$199,2,FALSE))</f>
        <v/>
      </c>
      <c r="C4238" s="20"/>
      <c r="D4238" s="384" t="str">
        <f>IF(A4238="","",VLOOKUP(A4238,VII.A!$A$10:$G$199,3,FALSE))</f>
        <v/>
      </c>
      <c r="E4238" s="387" t="str">
        <f>IF(A4238="","",VLOOKUP(A4238,VII.A!$A$10:$G$199,4,FALSE))</f>
        <v/>
      </c>
      <c r="F4238" s="388" t="str">
        <f t="shared" ref="F4238:F4252" si="1092">IF(A4238="","",ROUND(C4238*E4238,2))</f>
        <v/>
      </c>
      <c r="H4238" s="341" t="str">
        <f>IF(A4238="","",VLOOKUP(A4238,VII.A!$A$10:$D$199,4,FALSE))</f>
        <v/>
      </c>
      <c r="I4238" s="341" t="str">
        <f t="shared" si="1089"/>
        <v/>
      </c>
      <c r="J4238" s="341" t="str">
        <f>IF(A4238="","",VLOOKUP(A4238,VII.A!$A$10:$D$199,3,FALSE))</f>
        <v/>
      </c>
      <c r="K4238" s="342" t="str">
        <f t="shared" si="1090"/>
        <v/>
      </c>
      <c r="L4238" s="380" t="str">
        <f>IF(C4238="","",G4235*C4238)</f>
        <v/>
      </c>
      <c r="M4238" s="381" t="str">
        <f>IF(A4238="","",VLOOKUP(A4238,VII.A!$A$10:$B$199,2,FALSE))</f>
        <v/>
      </c>
      <c r="N4238" s="342" t="str">
        <f t="shared" si="1091"/>
        <v/>
      </c>
      <c r="R4238" s="341"/>
      <c r="S4238" s="341"/>
    </row>
    <row r="4239" spans="1:25" ht="12.75" customHeight="1">
      <c r="A4239" s="385"/>
      <c r="B4239" s="423" t="str">
        <f>IF(A4239="","",VLOOKUP(A4239,VII.A!$A$10:$G$199,2,FALSE))</f>
        <v/>
      </c>
      <c r="C4239" s="20"/>
      <c r="D4239" s="384" t="str">
        <f>IF(A4239="","",VLOOKUP(A4239,VII.A!$A$10:$G$199,3,FALSE))</f>
        <v/>
      </c>
      <c r="E4239" s="387" t="str">
        <f>IF(A4239="","",VLOOKUP(A4239,VII.A!$A$10:$G$199,4,FALSE))</f>
        <v/>
      </c>
      <c r="F4239" s="388" t="str">
        <f t="shared" si="1092"/>
        <v/>
      </c>
      <c r="H4239" s="341" t="str">
        <f>IF(A4239="","",VLOOKUP(A4239,VII.A!$A$10:$D$199,4,FALSE))</f>
        <v/>
      </c>
      <c r="I4239" s="341" t="str">
        <f t="shared" si="1089"/>
        <v/>
      </c>
      <c r="J4239" s="341" t="str">
        <f>IF(A4239="","",VLOOKUP(A4239,VII.A!$A$10:$D$199,3,FALSE))</f>
        <v/>
      </c>
      <c r="K4239" s="342" t="str">
        <f t="shared" si="1090"/>
        <v/>
      </c>
      <c r="L4239" s="380" t="str">
        <f>IF(C4239="","",G4235*C4239)</f>
        <v/>
      </c>
      <c r="M4239" s="381" t="str">
        <f>IF(A4239="","",VLOOKUP(A4239,VII.A!$A$10:$B$199,2,FALSE))</f>
        <v/>
      </c>
      <c r="N4239" s="342" t="str">
        <f t="shared" si="1091"/>
        <v/>
      </c>
      <c r="R4239" s="341"/>
      <c r="S4239" s="341"/>
    </row>
    <row r="4240" spans="1:25" ht="12.75" customHeight="1">
      <c r="A4240" s="385"/>
      <c r="B4240" s="423" t="str">
        <f>IF(A4240="","",VLOOKUP(A4240,VII.A!$A$10:$G$199,2,FALSE))</f>
        <v/>
      </c>
      <c r="C4240" s="20"/>
      <c r="D4240" s="384" t="str">
        <f>IF(A4240="","",VLOOKUP(A4240,VII.A!$A$10:$G$199,3,FALSE))</f>
        <v/>
      </c>
      <c r="E4240" s="387" t="str">
        <f>IF(A4240="","",VLOOKUP(A4240,VII.A!$A$10:$G$199,4,FALSE))</f>
        <v/>
      </c>
      <c r="F4240" s="388" t="str">
        <f t="shared" si="1092"/>
        <v/>
      </c>
      <c r="H4240" s="341" t="str">
        <f>IF(A4240="","",VLOOKUP(A4240,VII.A!$A$10:$D$199,4,FALSE))</f>
        <v/>
      </c>
      <c r="I4240" s="341" t="str">
        <f t="shared" si="1089"/>
        <v/>
      </c>
      <c r="J4240" s="341" t="str">
        <f>IF(A4240="","",VLOOKUP(A4240,VII.A!$A$10:$D$199,3,FALSE))</f>
        <v/>
      </c>
      <c r="K4240" s="342" t="str">
        <f t="shared" si="1090"/>
        <v/>
      </c>
      <c r="L4240" s="380" t="str">
        <f>IF(C4240="","",G4235*C4240)</f>
        <v/>
      </c>
      <c r="M4240" s="381" t="str">
        <f>IF(A4240="","",VLOOKUP(A4240,VII.A!$A$10:$B$199,2,FALSE))</f>
        <v/>
      </c>
      <c r="N4240" s="342" t="str">
        <f t="shared" si="1091"/>
        <v/>
      </c>
      <c r="R4240" s="341"/>
      <c r="S4240" s="341"/>
    </row>
    <row r="4241" spans="1:21" ht="12.75" customHeight="1">
      <c r="A4241" s="385"/>
      <c r="B4241" s="423" t="str">
        <f>IF(A4241="","",VLOOKUP(A4241,VII.A!$A$10:$G$199,2,FALSE))</f>
        <v/>
      </c>
      <c r="C4241" s="20"/>
      <c r="D4241" s="384" t="str">
        <f>IF(A4241="","",VLOOKUP(A4241,VII.A!$A$10:$G$199,3,FALSE))</f>
        <v/>
      </c>
      <c r="E4241" s="387" t="str">
        <f>IF(A4241="","",VLOOKUP(A4241,VII.A!$A$10:$G$199,4,FALSE))</f>
        <v/>
      </c>
      <c r="F4241" s="388" t="str">
        <f t="shared" si="1092"/>
        <v/>
      </c>
      <c r="H4241" s="341" t="str">
        <f>IF(A4241="","",VLOOKUP(A4241,VII.A!$A$10:$D$199,4,FALSE))</f>
        <v/>
      </c>
      <c r="I4241" s="341" t="str">
        <f t="shared" si="1089"/>
        <v/>
      </c>
      <c r="J4241" s="341" t="str">
        <f>IF(A4241="","",VLOOKUP(A4241,VII.A!$A$10:$D$199,3,FALSE))</f>
        <v/>
      </c>
      <c r="K4241" s="342" t="str">
        <f t="shared" si="1090"/>
        <v/>
      </c>
      <c r="L4241" s="380" t="str">
        <f>IF(C4241="","",G4235*C4241)</f>
        <v/>
      </c>
      <c r="M4241" s="381" t="str">
        <f>IF(A4241="","",VLOOKUP(A4241,VII.A!$A$10:$B$199,2,FALSE))</f>
        <v/>
      </c>
      <c r="N4241" s="342" t="str">
        <f t="shared" si="1091"/>
        <v/>
      </c>
      <c r="R4241" s="341"/>
      <c r="S4241" s="341"/>
      <c r="U4241" s="389"/>
    </row>
    <row r="4242" spans="1:21" ht="12.75" customHeight="1">
      <c r="A4242" s="385"/>
      <c r="B4242" s="423" t="str">
        <f>IF(A4242="","",VLOOKUP(A4242,VII.A!$A$10:$G$199,2,FALSE))</f>
        <v/>
      </c>
      <c r="C4242" s="20"/>
      <c r="D4242" s="384" t="str">
        <f>IF(A4242="","",VLOOKUP(A4242,VII.A!$A$10:$G$199,3,FALSE))</f>
        <v/>
      </c>
      <c r="E4242" s="387" t="str">
        <f>IF(A4242="","",VLOOKUP(A4242,VII.A!$A$10:$G$199,4,FALSE))</f>
        <v/>
      </c>
      <c r="F4242" s="388" t="str">
        <f t="shared" si="1092"/>
        <v/>
      </c>
      <c r="H4242" s="341" t="str">
        <f>IF(A4242="","",VLOOKUP(A4242,VII.A!$A$10:$D$199,4,FALSE))</f>
        <v/>
      </c>
      <c r="I4242" s="341" t="str">
        <f t="shared" si="1089"/>
        <v/>
      </c>
      <c r="J4242" s="341" t="str">
        <f>IF(A4242="","",VLOOKUP(A4242,VII.A!$A$10:$D$199,3,FALSE))</f>
        <v/>
      </c>
      <c r="K4242" s="342" t="str">
        <f t="shared" si="1090"/>
        <v/>
      </c>
      <c r="L4242" s="380" t="str">
        <f>IF(C4242="","",G4235*C4242)</f>
        <v/>
      </c>
      <c r="M4242" s="381" t="str">
        <f>IF(A4242="","",VLOOKUP(A4242,VII.A!$A$10:$B$199,2,FALSE))</f>
        <v/>
      </c>
      <c r="N4242" s="342" t="str">
        <f t="shared" si="1091"/>
        <v/>
      </c>
      <c r="R4242" s="341"/>
      <c r="S4242" s="341"/>
    </row>
    <row r="4243" spans="1:21" ht="12.75" customHeight="1">
      <c r="A4243" s="385"/>
      <c r="B4243" s="423" t="str">
        <f>IF(A4243="","",VLOOKUP(A4243,VII.A!$A$10:$G$199,2,FALSE))</f>
        <v/>
      </c>
      <c r="C4243" s="20"/>
      <c r="D4243" s="384" t="str">
        <f>IF(A4243="","",VLOOKUP(A4243,VII.A!$A$10:$G$199,3,FALSE))</f>
        <v/>
      </c>
      <c r="E4243" s="387" t="str">
        <f>IF(A4243="","",VLOOKUP(A4243,VII.A!$A$10:$G$199,4,FALSE))</f>
        <v/>
      </c>
      <c r="F4243" s="388" t="str">
        <f t="shared" si="1092"/>
        <v/>
      </c>
      <c r="G4243" s="390"/>
      <c r="H4243" s="341" t="str">
        <f>IF(A4243="","",VLOOKUP(A4243,VII.A!$A$10:$D$199,4,FALSE))</f>
        <v/>
      </c>
      <c r="I4243" s="341" t="str">
        <f t="shared" si="1089"/>
        <v/>
      </c>
      <c r="J4243" s="341" t="str">
        <f>IF(A4243="","",VLOOKUP(A4243,VII.A!$A$10:$D$199,3,FALSE))</f>
        <v/>
      </c>
      <c r="K4243" s="342" t="str">
        <f t="shared" si="1090"/>
        <v/>
      </c>
      <c r="L4243" s="380" t="str">
        <f>IF(C4243="","",G4235*C4243)</f>
        <v/>
      </c>
      <c r="M4243" s="381" t="str">
        <f>IF(A4243="","",VLOOKUP(A4243,VII.A!$A$10:$B$199,2,FALSE))</f>
        <v/>
      </c>
      <c r="N4243" s="342" t="str">
        <f t="shared" si="1091"/>
        <v/>
      </c>
      <c r="R4243" s="341"/>
      <c r="S4243" s="341"/>
    </row>
    <row r="4244" spans="1:21" ht="12.75" customHeight="1">
      <c r="A4244" s="385"/>
      <c r="B4244" s="423" t="str">
        <f>IF(A4244="","",VLOOKUP(A4244,VII.A!$A$10:$G$199,2,FALSE))</f>
        <v/>
      </c>
      <c r="C4244" s="20"/>
      <c r="D4244" s="384" t="str">
        <f>IF(A4244="","",VLOOKUP(A4244,VII.A!$A$10:$G$199,3,FALSE))</f>
        <v/>
      </c>
      <c r="E4244" s="387" t="str">
        <f>IF(A4244="","",VLOOKUP(A4244,VII.A!$A$10:$G$199,4,FALSE))</f>
        <v/>
      </c>
      <c r="F4244" s="388" t="str">
        <f t="shared" si="1092"/>
        <v/>
      </c>
      <c r="G4244" s="390"/>
      <c r="H4244" s="341" t="str">
        <f>IF(A4244="","",VLOOKUP(A4244,VII.A!$A$10:$D$199,4,FALSE))</f>
        <v/>
      </c>
      <c r="I4244" s="341" t="str">
        <f t="shared" si="1089"/>
        <v/>
      </c>
      <c r="J4244" s="341" t="str">
        <f>IF(A4244="","",VLOOKUP(A4244,VII.A!$A$10:$D$199,3,FALSE))</f>
        <v/>
      </c>
      <c r="K4244" s="342" t="str">
        <f t="shared" si="1090"/>
        <v/>
      </c>
      <c r="L4244" s="380" t="str">
        <f>IF(C4244="","",G4235*C4244)</f>
        <v/>
      </c>
      <c r="M4244" s="381" t="str">
        <f>IF(A4244="","",VLOOKUP(A4244,VII.A!$A$10:$B$199,2,FALSE))</f>
        <v/>
      </c>
      <c r="N4244" s="342" t="str">
        <f t="shared" si="1091"/>
        <v/>
      </c>
      <c r="R4244" s="341"/>
      <c r="S4244" s="341"/>
    </row>
    <row r="4245" spans="1:21" ht="12.75" customHeight="1">
      <c r="A4245" s="385"/>
      <c r="B4245" s="423" t="str">
        <f>IF(A4245="","",VLOOKUP(A4245,VII.A!$A$10:$G$199,2,FALSE))</f>
        <v/>
      </c>
      <c r="C4245" s="20"/>
      <c r="D4245" s="384" t="str">
        <f>IF(A4245="","",VLOOKUP(A4245,VII.A!$A$10:$G$199,3,FALSE))</f>
        <v/>
      </c>
      <c r="E4245" s="387" t="str">
        <f>IF(A4245="","",VLOOKUP(A4245,VII.A!$A$10:$G$199,4,FALSE))</f>
        <v/>
      </c>
      <c r="F4245" s="388" t="str">
        <f t="shared" si="1092"/>
        <v/>
      </c>
      <c r="G4245" s="391"/>
      <c r="H4245" s="341" t="str">
        <f>IF(A4245="","",VLOOKUP(A4245,VII.A!$A$10:$D$199,4,FALSE))</f>
        <v/>
      </c>
      <c r="I4245" s="341" t="str">
        <f t="shared" si="1089"/>
        <v/>
      </c>
      <c r="J4245" s="341" t="str">
        <f>IF(A4245="","",VLOOKUP(A4245,VII.A!$A$10:$D$199,3,FALSE))</f>
        <v/>
      </c>
      <c r="K4245" s="342" t="str">
        <f t="shared" si="1090"/>
        <v/>
      </c>
      <c r="L4245" s="380" t="str">
        <f>IF(C4245="","",G4235*C4245)</f>
        <v/>
      </c>
      <c r="M4245" s="381" t="str">
        <f>IF(A4245="","",VLOOKUP(A4245,VII.A!$A$10:$B$199,2,FALSE))</f>
        <v/>
      </c>
      <c r="N4245" s="342" t="str">
        <f t="shared" si="1091"/>
        <v/>
      </c>
      <c r="R4245" s="341"/>
      <c r="S4245" s="341"/>
    </row>
    <row r="4246" spans="1:21" ht="12.75" customHeight="1">
      <c r="A4246" s="385"/>
      <c r="B4246" s="423" t="str">
        <f>IF(A4246="","",VLOOKUP(A4246,VII.A!$A$10:$G$199,2,FALSE))</f>
        <v/>
      </c>
      <c r="C4246" s="20"/>
      <c r="D4246" s="384" t="str">
        <f>IF(A4246="","",VLOOKUP(A4246,VII.A!$A$10:$G$199,3,FALSE))</f>
        <v/>
      </c>
      <c r="E4246" s="387" t="str">
        <f>IF(A4246="","",VLOOKUP(A4246,VII.A!$A$10:$G$199,4,FALSE))</f>
        <v/>
      </c>
      <c r="F4246" s="388" t="str">
        <f t="shared" si="1092"/>
        <v/>
      </c>
      <c r="G4246" s="391"/>
      <c r="J4246" s="341"/>
      <c r="L4246" s="380"/>
      <c r="M4246" s="381"/>
      <c r="N4246" s="342"/>
      <c r="R4246" s="341"/>
      <c r="S4246" s="341"/>
    </row>
    <row r="4247" spans="1:21" ht="12.75" customHeight="1">
      <c r="A4247" s="385"/>
      <c r="B4247" s="423" t="str">
        <f>IF(A4247="","",VLOOKUP(A4247,VII.A!$A$10:$G$199,2,FALSE))</f>
        <v/>
      </c>
      <c r="C4247" s="20"/>
      <c r="D4247" s="384" t="str">
        <f>IF(A4247="","",VLOOKUP(A4247,VII.A!$A$10:$G$199,3,FALSE))</f>
        <v/>
      </c>
      <c r="E4247" s="387" t="str">
        <f>IF(A4247="","",VLOOKUP(A4247,VII.A!$A$10:$G$199,4,FALSE))</f>
        <v/>
      </c>
      <c r="F4247" s="388" t="str">
        <f t="shared" si="1092"/>
        <v/>
      </c>
      <c r="H4247" s="341" t="str">
        <f>IF(A4247="","",VLOOKUP(A4247,VII.A!$A$10:$D$199,4,FALSE))</f>
        <v/>
      </c>
      <c r="I4247" s="341" t="str">
        <f t="shared" ref="I4247:I4252" si="1093">IF(A4247="","",IF(E4247=H4247,"SIM","NÃO"))</f>
        <v/>
      </c>
      <c r="J4247" s="341" t="str">
        <f>IF(A4247="","",VLOOKUP(A4247,VII.A!$A$10:$D$199,3,FALSE))</f>
        <v/>
      </c>
      <c r="K4247" s="342" t="str">
        <f t="shared" ref="K4247:K4252" si="1094">IF(A4247="","",IF(J4247=D4247,"SIM","NÃO"))</f>
        <v/>
      </c>
      <c r="L4247" s="380" t="str">
        <f>IF(C4247="","",G4235*C4247)</f>
        <v/>
      </c>
      <c r="M4247" s="381" t="str">
        <f>IF(A4247="","",VLOOKUP(A4247,VII.A!$A$10:$B$199,2,FALSE))</f>
        <v/>
      </c>
      <c r="N4247" s="342" t="str">
        <f t="shared" ref="N4247:N4252" si="1095">IF(B4247="","",IF(M4247=B4247,"si","no"))</f>
        <v/>
      </c>
      <c r="R4247" s="341"/>
      <c r="S4247" s="341"/>
    </row>
    <row r="4248" spans="1:21" ht="12.75" customHeight="1">
      <c r="A4248" s="385"/>
      <c r="B4248" s="423" t="str">
        <f>IF(A4248="","",VLOOKUP(A4248,VII.A!$A$10:$G$199,2,FALSE))</f>
        <v/>
      </c>
      <c r="C4248" s="20"/>
      <c r="D4248" s="384" t="str">
        <f>IF(A4248="","",VLOOKUP(A4248,VII.A!$A$10:$G$199,3,FALSE))</f>
        <v/>
      </c>
      <c r="E4248" s="387" t="str">
        <f>IF(A4248="","",VLOOKUP(A4248,VII.A!$A$10:$G$199,4,FALSE))</f>
        <v/>
      </c>
      <c r="F4248" s="388" t="str">
        <f t="shared" si="1092"/>
        <v/>
      </c>
      <c r="H4248" s="341" t="str">
        <f>IF(A4248="","",VLOOKUP(A4248,VII.A!$A$10:$D$199,4,FALSE))</f>
        <v/>
      </c>
      <c r="I4248" s="341" t="str">
        <f t="shared" si="1093"/>
        <v/>
      </c>
      <c r="J4248" s="341" t="str">
        <f>IF(A4248="","",VLOOKUP(A4248,VII.A!$A$10:$D$199,3,FALSE))</f>
        <v/>
      </c>
      <c r="K4248" s="342" t="str">
        <f t="shared" si="1094"/>
        <v/>
      </c>
      <c r="L4248" s="380" t="str">
        <f>IF(C4248="","",G4235*C4248)</f>
        <v/>
      </c>
      <c r="M4248" s="381" t="str">
        <f>IF(A4248="","",VLOOKUP(A4248,VII.A!$A$10:$B$199,2,FALSE))</f>
        <v/>
      </c>
      <c r="N4248" s="342" t="str">
        <f t="shared" si="1095"/>
        <v/>
      </c>
      <c r="R4248" s="341"/>
      <c r="S4248" s="341"/>
    </row>
    <row r="4249" spans="1:21" ht="12.75" customHeight="1">
      <c r="A4249" s="385"/>
      <c r="B4249" s="423" t="str">
        <f>IF(A4249="","",VLOOKUP(A4249,VII.A!$A$10:$G$199,2,FALSE))</f>
        <v/>
      </c>
      <c r="C4249" s="20"/>
      <c r="D4249" s="384" t="str">
        <f>IF(A4249="","",VLOOKUP(A4249,VII.A!$A$10:$G$199,3,FALSE))</f>
        <v/>
      </c>
      <c r="E4249" s="387" t="str">
        <f>IF(A4249="","",VLOOKUP(A4249,VII.A!$A$10:$G$199,4,FALSE))</f>
        <v/>
      </c>
      <c r="F4249" s="388" t="str">
        <f t="shared" si="1092"/>
        <v/>
      </c>
      <c r="H4249" s="341" t="str">
        <f>IF(A4249="","",VLOOKUP(A4249,VII.A!$A$10:$D$199,4,FALSE))</f>
        <v/>
      </c>
      <c r="I4249" s="341" t="str">
        <f t="shared" si="1093"/>
        <v/>
      </c>
      <c r="J4249" s="341" t="str">
        <f>IF(A4249="","",VLOOKUP(A4249,VII.A!$A$10:$D$199,3,FALSE))</f>
        <v/>
      </c>
      <c r="K4249" s="342" t="str">
        <f t="shared" si="1094"/>
        <v/>
      </c>
      <c r="L4249" s="380" t="str">
        <f>IF(C4249="","",G4235*C4249)</f>
        <v/>
      </c>
      <c r="M4249" s="381" t="str">
        <f>IF(A4249="","",VLOOKUP(A4249,VII.A!$A$10:$B$199,2,FALSE))</f>
        <v/>
      </c>
      <c r="N4249" s="342" t="str">
        <f t="shared" si="1095"/>
        <v/>
      </c>
      <c r="O4249" s="342"/>
      <c r="R4249" s="341"/>
      <c r="S4249" s="341"/>
    </row>
    <row r="4250" spans="1:21" ht="12.75" customHeight="1">
      <c r="A4250" s="385"/>
      <c r="B4250" s="423" t="str">
        <f>IF(A4250="","",VLOOKUP(A4250,VII.A!$A$10:$G$199,2,FALSE))</f>
        <v/>
      </c>
      <c r="C4250" s="20"/>
      <c r="D4250" s="384" t="str">
        <f>IF(A4250="","",VLOOKUP(A4250,VII.A!$A$10:$G$199,3,FALSE))</f>
        <v/>
      </c>
      <c r="E4250" s="387" t="str">
        <f>IF(A4250="","",VLOOKUP(A4250,VII.A!$A$10:$G$199,4,FALSE))</f>
        <v/>
      </c>
      <c r="F4250" s="388" t="str">
        <f t="shared" si="1092"/>
        <v/>
      </c>
      <c r="H4250" s="341" t="str">
        <f>IF(A4250="","",VLOOKUP(A4250,VII.A!$A$10:$D$199,4,FALSE))</f>
        <v/>
      </c>
      <c r="I4250" s="341" t="str">
        <f t="shared" si="1093"/>
        <v/>
      </c>
      <c r="J4250" s="341" t="str">
        <f>IF(A4250="","",VLOOKUP(A4250,VII.A!$A$10:$D$199,3,FALSE))</f>
        <v/>
      </c>
      <c r="K4250" s="342" t="str">
        <f t="shared" si="1094"/>
        <v/>
      </c>
      <c r="L4250" s="380" t="str">
        <f>IF(C4250="","",G4235*C4250)</f>
        <v/>
      </c>
      <c r="M4250" s="381" t="str">
        <f>IF(A4250="","",VLOOKUP(A4250,VII.A!$A$10:$B$199,2,FALSE))</f>
        <v/>
      </c>
      <c r="N4250" s="342" t="str">
        <f t="shared" si="1095"/>
        <v/>
      </c>
      <c r="R4250" s="341"/>
      <c r="S4250" s="341"/>
    </row>
    <row r="4251" spans="1:21" ht="12.75" customHeight="1">
      <c r="A4251" s="393"/>
      <c r="B4251" s="423" t="str">
        <f>IF(A4251="","",VLOOKUP(A4251,VII.A!$A$10:$G$199,2,FALSE))</f>
        <v/>
      </c>
      <c r="C4251" s="20"/>
      <c r="D4251" s="384" t="str">
        <f>IF(A4251="","",VLOOKUP(A4251,VII.A!$A$10:$G$199,3,FALSE))</f>
        <v/>
      </c>
      <c r="E4251" s="387" t="str">
        <f>IF(A4251="","",VLOOKUP(A4251,VII.A!$A$10:$G$199,4,FALSE))</f>
        <v/>
      </c>
      <c r="F4251" s="388" t="str">
        <f t="shared" si="1092"/>
        <v/>
      </c>
      <c r="H4251" s="341" t="str">
        <f>IF(A4251="","",VLOOKUP(A4251,VII.A!$A$10:$D$199,4,FALSE))</f>
        <v/>
      </c>
      <c r="I4251" s="341" t="str">
        <f t="shared" si="1093"/>
        <v/>
      </c>
      <c r="J4251" s="341" t="str">
        <f>IF(A4251="","",VLOOKUP(A4251,VII.A!$A$10:$D$199,3,FALSE))</f>
        <v/>
      </c>
      <c r="K4251" s="342" t="str">
        <f t="shared" si="1094"/>
        <v/>
      </c>
      <c r="L4251" s="380" t="str">
        <f>IF(C4251="","",G4235*C4251)</f>
        <v/>
      </c>
      <c r="M4251" s="381" t="str">
        <f>IF(A4251="","",VLOOKUP(A4251,VII.A!$A$10:$B$199,2,FALSE))</f>
        <v/>
      </c>
      <c r="N4251" s="342" t="str">
        <f t="shared" si="1095"/>
        <v/>
      </c>
      <c r="R4251" s="341"/>
      <c r="S4251" s="341"/>
    </row>
    <row r="4252" spans="1:21" ht="12.75" customHeight="1">
      <c r="A4252" s="393"/>
      <c r="B4252" s="423" t="str">
        <f>IF(A4252="","",VLOOKUP(A4252,VII.A!$A$10:$G$199,2,FALSE))</f>
        <v/>
      </c>
      <c r="C4252" s="20"/>
      <c r="D4252" s="384" t="str">
        <f>IF(A4252="","",VLOOKUP(A4252,VII.A!$A$10:$G$199,3,FALSE))</f>
        <v/>
      </c>
      <c r="E4252" s="387" t="str">
        <f>IF(A4252="","",VLOOKUP(A4252,VII.A!$A$10:$G$199,4,FALSE))</f>
        <v/>
      </c>
      <c r="F4252" s="388" t="str">
        <f t="shared" si="1092"/>
        <v/>
      </c>
      <c r="H4252" s="341" t="str">
        <f>IF(A4252="","",VLOOKUP(A4252,VII.A!$A$10:$D$199,4,FALSE))</f>
        <v/>
      </c>
      <c r="I4252" s="341" t="str">
        <f t="shared" si="1093"/>
        <v/>
      </c>
      <c r="J4252" s="341" t="str">
        <f>IF(A4252="","",VLOOKUP(A4252,VII.A!$A$10:$D$199,3,FALSE))</f>
        <v/>
      </c>
      <c r="K4252" s="342" t="str">
        <f t="shared" si="1094"/>
        <v/>
      </c>
      <c r="L4252" s="380" t="str">
        <f>IF(C4252="","",G4235*C4252)</f>
        <v/>
      </c>
      <c r="M4252" s="381" t="str">
        <f>IF(A4252="","",VLOOKUP(A4252,VII.A!$A$10:$B$199,2,FALSE))</f>
        <v/>
      </c>
      <c r="N4252" s="342" t="str">
        <f t="shared" si="1095"/>
        <v/>
      </c>
      <c r="R4252" s="341"/>
      <c r="S4252" s="341"/>
    </row>
    <row r="4253" spans="1:21" ht="12.75" customHeight="1">
      <c r="A4253" s="393"/>
      <c r="B4253" s="395" t="s">
        <v>226</v>
      </c>
      <c r="C4253" s="396"/>
      <c r="D4253" s="397"/>
      <c r="E4253" s="398"/>
      <c r="F4253" s="399">
        <f>SUM(F4237:F4252)</f>
        <v>0</v>
      </c>
      <c r="J4253" s="341"/>
      <c r="L4253" s="380"/>
      <c r="M4253" s="381"/>
      <c r="N4253" s="342"/>
      <c r="R4253" s="341"/>
      <c r="S4253" s="341"/>
    </row>
    <row r="4254" spans="1:21" ht="12.75" customHeight="1">
      <c r="A4254" s="393"/>
      <c r="B4254" s="400" t="s">
        <v>53</v>
      </c>
      <c r="C4254" s="2">
        <f>$D$8</f>
        <v>0</v>
      </c>
      <c r="D4254" s="401"/>
      <c r="E4254" s="402"/>
      <c r="F4254" s="403">
        <f>ROUND(F4253*C4254,2)</f>
        <v>0</v>
      </c>
      <c r="H4254" s="426" t="s">
        <v>452</v>
      </c>
      <c r="J4254" s="341"/>
      <c r="L4254" s="380"/>
      <c r="M4254" s="381"/>
      <c r="N4254" s="342"/>
      <c r="R4254" s="341"/>
      <c r="S4254" s="341"/>
    </row>
    <row r="4255" spans="1:21" ht="12.75" customHeight="1">
      <c r="A4255" s="404"/>
      <c r="B4255" s="405" t="s">
        <v>227</v>
      </c>
      <c r="C4255" s="406"/>
      <c r="D4255" s="406"/>
      <c r="E4255" s="407"/>
      <c r="F4255" s="408">
        <f>F4253+F4254</f>
        <v>0</v>
      </c>
      <c r="J4255" s="341"/>
      <c r="L4255" s="380"/>
      <c r="M4255" s="381"/>
      <c r="N4255" s="342"/>
      <c r="R4255" s="341"/>
      <c r="S4255" s="341"/>
    </row>
    <row r="4256" spans="1:21" ht="12.75" customHeight="1">
      <c r="A4256" s="374" t="s">
        <v>2</v>
      </c>
      <c r="B4256" s="375" t="s">
        <v>235</v>
      </c>
      <c r="C4256" s="376" t="s">
        <v>231</v>
      </c>
      <c r="D4256" s="376" t="s">
        <v>232</v>
      </c>
      <c r="E4256" s="377" t="s">
        <v>233</v>
      </c>
      <c r="F4256" s="378" t="s">
        <v>234</v>
      </c>
      <c r="J4256" s="341"/>
      <c r="L4256" s="380"/>
      <c r="M4256" s="381"/>
      <c r="N4256" s="342"/>
      <c r="R4256" s="341"/>
      <c r="S4256" s="341"/>
    </row>
    <row r="4257" spans="1:19" ht="12.75" customHeight="1">
      <c r="A4257" s="393" t="str">
        <f>VII.A!$A$174</f>
        <v>2.32</v>
      </c>
      <c r="B4257" s="423" t="str">
        <f>IF(A4257="","",VLOOKUP(A4257,VII.A!$A$10:$G$199,2,FALSE))</f>
        <v>RECUPERAÇÃO DE CONCRETO ARMADO COM ARMADURAS OXIDADAS E RECOMPOSIÇÃO COM ARGAMASSA POLIMÉRICA</v>
      </c>
      <c r="C4257" s="20">
        <v>1</v>
      </c>
      <c r="D4257" s="384" t="str">
        <f>IF(A4257="","",VLOOKUP(A4257,VII.A!$A$10:$G$199,3,FALSE))</f>
        <v>M2</v>
      </c>
      <c r="E4257" s="387">
        <f>IF(A4257="","",VLOOKUP(A4257,VII.A!$A$10:$G$199,4,FALSE))</f>
        <v>0</v>
      </c>
      <c r="F4257" s="388">
        <f>IF(A4257="","",ROUND(C4257*E4257,2))</f>
        <v>0</v>
      </c>
      <c r="H4257" s="341">
        <f>IF(A4257="","",VLOOKUP(A4257,VII.A!$A$10:$D$199,4,FALSE))</f>
        <v>0</v>
      </c>
      <c r="I4257" s="341" t="str">
        <f t="shared" ref="I4257:I4266" si="1096">IF(A4257="","",IF(E4257=H4257,"SIM","NÃO"))</f>
        <v>SIM</v>
      </c>
      <c r="J4257" s="341" t="str">
        <f>IF(A4257="","",VLOOKUP(A4257,VII.A!$A$10:$D$199,3,FALSE))</f>
        <v>M2</v>
      </c>
      <c r="K4257" s="342" t="str">
        <f t="shared" ref="K4257:K4266" si="1097">IF(A4257="","",IF(J4257=D4257,"SIM","NÃO"))</f>
        <v>SIM</v>
      </c>
      <c r="L4257" s="380">
        <f>IF(C4257="","",G4235*C4257)</f>
        <v>200</v>
      </c>
      <c r="M4257" s="381" t="str">
        <f>IF(A4257="","",VLOOKUP(A4257,VII.A!$A$10:$B$199,2,FALSE))</f>
        <v>RECUPERAÇÃO DE CONCRETO ARMADO COM ARMADURAS OXIDADAS E RECOMPOSIÇÃO COM ARGAMASSA POLIMÉRICA</v>
      </c>
      <c r="N4257" s="342" t="str">
        <f t="shared" ref="N4257:N4266" si="1098">IF(B4257="","",IF(M4257=B4257,"si","no"))</f>
        <v>si</v>
      </c>
      <c r="R4257" s="341"/>
      <c r="S4257" s="341"/>
    </row>
    <row r="4258" spans="1:19" ht="12.75" customHeight="1">
      <c r="A4258" s="393"/>
      <c r="B4258" s="423" t="str">
        <f>IF(A4258="","",VLOOKUP(A4258,VII.A!$A$10:$G$199,2,FALSE))</f>
        <v/>
      </c>
      <c r="C4258" s="20"/>
      <c r="D4258" s="384" t="str">
        <f>IF(A4258="","",VLOOKUP(A4258,VII.A!$A$10:$G$199,3,FALSE))</f>
        <v/>
      </c>
      <c r="E4258" s="387" t="str">
        <f>IF(A4258="","",VLOOKUP(A4258,VII.A!$A$10:$G$199,4,FALSE))</f>
        <v/>
      </c>
      <c r="F4258" s="388" t="str">
        <f t="shared" ref="F4258:F4266" si="1099">IF(A4258="","",ROUND(C4258*E4258,2))</f>
        <v/>
      </c>
      <c r="H4258" s="341" t="str">
        <f>IF(A4258="","",VLOOKUP(A4258,VII.A!$A$10:$D$199,4,FALSE))</f>
        <v/>
      </c>
      <c r="I4258" s="341" t="str">
        <f t="shared" si="1096"/>
        <v/>
      </c>
      <c r="J4258" s="341" t="str">
        <f>IF(A4258="","",VLOOKUP(A4258,VII.A!$A$10:$D$199,3,FALSE))</f>
        <v/>
      </c>
      <c r="K4258" s="342" t="str">
        <f t="shared" si="1097"/>
        <v/>
      </c>
      <c r="L4258" s="380" t="str">
        <f>IF(C4258="","",G4235*C4258)</f>
        <v/>
      </c>
      <c r="M4258" s="381" t="str">
        <f>IF(A4258="","",VLOOKUP(A4258,VII.A!$A$10:$B$199,2,FALSE))</f>
        <v/>
      </c>
      <c r="N4258" s="342" t="str">
        <f t="shared" si="1098"/>
        <v/>
      </c>
      <c r="R4258" s="341"/>
      <c r="S4258" s="341"/>
    </row>
    <row r="4259" spans="1:19" ht="12.75" customHeight="1">
      <c r="A4259" s="393"/>
      <c r="B4259" s="423" t="str">
        <f>IF(A4259="","",VLOOKUP(A4259,VII.A!$A$10:$G$199,2,FALSE))</f>
        <v/>
      </c>
      <c r="C4259" s="20"/>
      <c r="D4259" s="384" t="str">
        <f>IF(A4259="","",VLOOKUP(A4259,VII.A!$A$10:$G$199,3,FALSE))</f>
        <v/>
      </c>
      <c r="E4259" s="387" t="str">
        <f>IF(A4259="","",VLOOKUP(A4259,VII.A!$A$10:$G$199,4,FALSE))</f>
        <v/>
      </c>
      <c r="F4259" s="388" t="str">
        <f t="shared" si="1099"/>
        <v/>
      </c>
      <c r="H4259" s="341" t="str">
        <f>IF(A4259="","",VLOOKUP(A4259,VII.A!$A$10:$D$199,4,FALSE))</f>
        <v/>
      </c>
      <c r="I4259" s="341" t="str">
        <f t="shared" si="1096"/>
        <v/>
      </c>
      <c r="J4259" s="341" t="str">
        <f>IF(A4259="","",VLOOKUP(A4259,VII.A!$A$10:$D$199,3,FALSE))</f>
        <v/>
      </c>
      <c r="K4259" s="342" t="str">
        <f t="shared" si="1097"/>
        <v/>
      </c>
      <c r="L4259" s="380" t="str">
        <f>IF(C4259="","",G4235*C4259)</f>
        <v/>
      </c>
      <c r="M4259" s="381" t="str">
        <f>IF(A4259="","",VLOOKUP(A4259,VII.A!$A$10:$B$199,2,FALSE))</f>
        <v/>
      </c>
      <c r="N4259" s="342" t="str">
        <f t="shared" si="1098"/>
        <v/>
      </c>
      <c r="R4259" s="341"/>
      <c r="S4259" s="341"/>
    </row>
    <row r="4260" spans="1:19" ht="12.75" customHeight="1">
      <c r="A4260" s="393"/>
      <c r="B4260" s="423" t="str">
        <f>IF(A4260="","",VLOOKUP(A4260,VII.A!$A$10:$G$199,2,FALSE))</f>
        <v/>
      </c>
      <c r="C4260" s="20"/>
      <c r="D4260" s="384" t="str">
        <f>IF(A4260="","",VLOOKUP(A4260,VII.A!$A$10:$G$199,3,FALSE))</f>
        <v/>
      </c>
      <c r="E4260" s="387" t="str">
        <f>IF(A4260="","",VLOOKUP(A4260,VII.A!$A$10:$G$199,4,FALSE))</f>
        <v/>
      </c>
      <c r="F4260" s="388" t="str">
        <f t="shared" si="1099"/>
        <v/>
      </c>
      <c r="H4260" s="341" t="str">
        <f>IF(A4260="","",VLOOKUP(A4260,VII.A!$A$10:$D$199,4,FALSE))</f>
        <v/>
      </c>
      <c r="I4260" s="341" t="str">
        <f t="shared" si="1096"/>
        <v/>
      </c>
      <c r="J4260" s="341" t="str">
        <f>IF(A4260="","",VLOOKUP(A4260,VII.A!$A$10:$D$199,3,FALSE))</f>
        <v/>
      </c>
      <c r="K4260" s="342" t="str">
        <f t="shared" si="1097"/>
        <v/>
      </c>
      <c r="L4260" s="380" t="str">
        <f>IF(C4260="","",G4235*C4260)</f>
        <v/>
      </c>
      <c r="M4260" s="381" t="str">
        <f>IF(A4260="","",VLOOKUP(A4260,VII.A!$A$10:$B$199,2,FALSE))</f>
        <v/>
      </c>
      <c r="N4260" s="342" t="str">
        <f t="shared" si="1098"/>
        <v/>
      </c>
      <c r="R4260" s="341"/>
      <c r="S4260" s="341"/>
    </row>
    <row r="4261" spans="1:19" ht="12.75" customHeight="1">
      <c r="A4261" s="393"/>
      <c r="B4261" s="423" t="str">
        <f>IF(A4261="","",VLOOKUP(A4261,VII.A!$A$10:$G$199,2,FALSE))</f>
        <v/>
      </c>
      <c r="C4261" s="20"/>
      <c r="D4261" s="384" t="str">
        <f>IF(A4261="","",VLOOKUP(A4261,VII.A!$A$10:$G$199,3,FALSE))</f>
        <v/>
      </c>
      <c r="E4261" s="387" t="str">
        <f>IF(A4261="","",VLOOKUP(A4261,VII.A!$A$10:$G$199,4,FALSE))</f>
        <v/>
      </c>
      <c r="F4261" s="388" t="str">
        <f t="shared" si="1099"/>
        <v/>
      </c>
      <c r="G4261" s="390"/>
      <c r="H4261" s="341" t="str">
        <f>IF(A4261="","",VLOOKUP(A4261,VII.A!$A$10:$D$199,4,FALSE))</f>
        <v/>
      </c>
      <c r="I4261" s="341" t="str">
        <f t="shared" si="1096"/>
        <v/>
      </c>
      <c r="J4261" s="341" t="str">
        <f>IF(A4261="","",VLOOKUP(A4261,VII.A!$A$10:$D$199,3,FALSE))</f>
        <v/>
      </c>
      <c r="K4261" s="342" t="str">
        <f t="shared" si="1097"/>
        <v/>
      </c>
      <c r="L4261" s="380" t="str">
        <f>IF(C4261="","",G4235*C4261)</f>
        <v/>
      </c>
      <c r="M4261" s="381" t="str">
        <f>IF(A4261="","",VLOOKUP(A4261,VII.A!$A$10:$B$199,2,FALSE))</f>
        <v/>
      </c>
      <c r="N4261" s="342" t="str">
        <f t="shared" si="1098"/>
        <v/>
      </c>
      <c r="R4261" s="341"/>
      <c r="S4261" s="341"/>
    </row>
    <row r="4262" spans="1:19" ht="12.75" customHeight="1">
      <c r="A4262" s="393"/>
      <c r="B4262" s="423" t="str">
        <f>IF(A4262="","",VLOOKUP(A4262,VII.A!$A$10:$G$199,2,FALSE))</f>
        <v/>
      </c>
      <c r="C4262" s="20"/>
      <c r="D4262" s="384" t="str">
        <f>IF(A4262="","",VLOOKUP(A4262,VII.A!$A$10:$G$199,3,FALSE))</f>
        <v/>
      </c>
      <c r="E4262" s="387" t="str">
        <f>IF(A4262="","",VLOOKUP(A4262,VII.A!$A$10:$G$199,4,FALSE))</f>
        <v/>
      </c>
      <c r="F4262" s="388" t="str">
        <f t="shared" si="1099"/>
        <v/>
      </c>
      <c r="G4262" s="391"/>
      <c r="H4262" s="341" t="str">
        <f>IF(A4262="","",VLOOKUP(A4262,VII.A!$A$10:$D$199,4,FALSE))</f>
        <v/>
      </c>
      <c r="I4262" s="341" t="str">
        <f t="shared" si="1096"/>
        <v/>
      </c>
      <c r="J4262" s="341" t="str">
        <f>IF(A4262="","",VLOOKUP(A4262,VII.A!$A$10:$D$199,3,FALSE))</f>
        <v/>
      </c>
      <c r="K4262" s="342" t="str">
        <f t="shared" si="1097"/>
        <v/>
      </c>
      <c r="L4262" s="380" t="str">
        <f>IF(C4262="","",G4235*C4262)</f>
        <v/>
      </c>
      <c r="M4262" s="381" t="str">
        <f>IF(A4262="","",VLOOKUP(A4262,VII.A!$A$10:$B$199,2,FALSE))</f>
        <v/>
      </c>
      <c r="N4262" s="342" t="str">
        <f t="shared" si="1098"/>
        <v/>
      </c>
      <c r="R4262" s="341"/>
      <c r="S4262" s="341"/>
    </row>
    <row r="4263" spans="1:19" ht="12.75" customHeight="1">
      <c r="A4263" s="393"/>
      <c r="B4263" s="423" t="str">
        <f>IF(A4263="","",VLOOKUP(A4263,VII.A!$A$10:$G$199,2,FALSE))</f>
        <v/>
      </c>
      <c r="C4263" s="20"/>
      <c r="D4263" s="384" t="str">
        <f>IF(A4263="","",VLOOKUP(A4263,VII.A!$A$10:$G$199,3,FALSE))</f>
        <v/>
      </c>
      <c r="E4263" s="387" t="str">
        <f>IF(A4263="","",VLOOKUP(A4263,VII.A!$A$10:$G$199,4,FALSE))</f>
        <v/>
      </c>
      <c r="F4263" s="388" t="str">
        <f t="shared" si="1099"/>
        <v/>
      </c>
      <c r="H4263" s="341" t="str">
        <f>IF(A4263="","",VLOOKUP(A4263,VII.A!$A$10:$D$199,4,FALSE))</f>
        <v/>
      </c>
      <c r="I4263" s="341" t="str">
        <f t="shared" si="1096"/>
        <v/>
      </c>
      <c r="J4263" s="341" t="str">
        <f>IF(A4263="","",VLOOKUP(A4263,VII.A!$A$10:$D$199,3,FALSE))</f>
        <v/>
      </c>
      <c r="K4263" s="342" t="str">
        <f t="shared" si="1097"/>
        <v/>
      </c>
      <c r="L4263" s="380" t="str">
        <f>IF(C4263="","",G4235*C4263)</f>
        <v/>
      </c>
      <c r="M4263" s="381" t="str">
        <f>IF(A4263="","",VLOOKUP(A4263,VII.A!$A$10:$B$199,2,FALSE))</f>
        <v/>
      </c>
      <c r="N4263" s="342" t="str">
        <f t="shared" si="1098"/>
        <v/>
      </c>
      <c r="R4263" s="341"/>
      <c r="S4263" s="341"/>
    </row>
    <row r="4264" spans="1:19" ht="12.75" customHeight="1">
      <c r="A4264" s="393"/>
      <c r="B4264" s="423" t="str">
        <f>IF(A4264="","",VLOOKUP(A4264,VII.A!$A$10:$G$199,2,FALSE))</f>
        <v/>
      </c>
      <c r="C4264" s="20"/>
      <c r="D4264" s="384" t="str">
        <f>IF(A4264="","",VLOOKUP(A4264,VII.A!$A$10:$G$199,3,FALSE))</f>
        <v/>
      </c>
      <c r="E4264" s="387" t="str">
        <f>IF(A4264="","",VLOOKUP(A4264,VII.A!$A$10:$G$199,4,FALSE))</f>
        <v/>
      </c>
      <c r="F4264" s="388" t="str">
        <f t="shared" si="1099"/>
        <v/>
      </c>
      <c r="H4264" s="341" t="str">
        <f>IF(A4264="","",VLOOKUP(A4264,VII.A!$A$10:$D$199,4,FALSE))</f>
        <v/>
      </c>
      <c r="I4264" s="341" t="str">
        <f t="shared" si="1096"/>
        <v/>
      </c>
      <c r="J4264" s="341" t="str">
        <f>IF(A4264="","",VLOOKUP(A4264,VII.A!$A$10:$D$199,3,FALSE))</f>
        <v/>
      </c>
      <c r="K4264" s="342" t="str">
        <f t="shared" si="1097"/>
        <v/>
      </c>
      <c r="L4264" s="380" t="str">
        <f>IF(C4264="","",G4235*C4264)</f>
        <v/>
      </c>
      <c r="M4264" s="381" t="str">
        <f>IF(A4264="","",VLOOKUP(A4264,VII.A!$A$10:$B$199,2,FALSE))</f>
        <v/>
      </c>
      <c r="N4264" s="342" t="str">
        <f t="shared" si="1098"/>
        <v/>
      </c>
      <c r="R4264" s="341"/>
      <c r="S4264" s="341"/>
    </row>
    <row r="4265" spans="1:19" ht="12.75" customHeight="1">
      <c r="A4265" s="393"/>
      <c r="B4265" s="423" t="str">
        <f>IF(A4265="","",VLOOKUP(A4265,VII.A!$A$10:$G$199,2,FALSE))</f>
        <v/>
      </c>
      <c r="C4265" s="20"/>
      <c r="D4265" s="384" t="str">
        <f>IF(A4265="","",VLOOKUP(A4265,VII.A!$A$10:$G$199,3,FALSE))</f>
        <v/>
      </c>
      <c r="E4265" s="387" t="str">
        <f>IF(A4265="","",VLOOKUP(A4265,VII.A!$A$10:$G$199,4,FALSE))</f>
        <v/>
      </c>
      <c r="F4265" s="388" t="str">
        <f t="shared" si="1099"/>
        <v/>
      </c>
      <c r="H4265" s="341" t="str">
        <f>IF(A4265="","",VLOOKUP(A4265,VII.A!$A$10:$D$199,4,FALSE))</f>
        <v/>
      </c>
      <c r="I4265" s="341" t="str">
        <f t="shared" si="1096"/>
        <v/>
      </c>
      <c r="J4265" s="341" t="str">
        <f>IF(A4265="","",VLOOKUP(A4265,VII.A!$A$10:$D$199,3,FALSE))</f>
        <v/>
      </c>
      <c r="K4265" s="342" t="str">
        <f t="shared" si="1097"/>
        <v/>
      </c>
      <c r="L4265" s="380" t="str">
        <f>IF(C4265="","",G4235*C4265)</f>
        <v/>
      </c>
      <c r="M4265" s="381" t="str">
        <f>IF(A4265="","",VLOOKUP(A4265,VII.A!$A$10:$B$199,2,FALSE))</f>
        <v/>
      </c>
      <c r="N4265" s="342" t="str">
        <f t="shared" si="1098"/>
        <v/>
      </c>
      <c r="R4265" s="341"/>
      <c r="S4265" s="341"/>
    </row>
    <row r="4266" spans="1:19" ht="12.75" customHeight="1">
      <c r="A4266" s="393"/>
      <c r="B4266" s="423" t="str">
        <f>IF(A4266="","",VLOOKUP(A4266,VII.A!$A$10:$G$199,2,FALSE))</f>
        <v/>
      </c>
      <c r="C4266" s="20"/>
      <c r="D4266" s="384" t="str">
        <f>IF(A4266="","",VLOOKUP(A4266,VII.A!$A$10:$G$199,3,FALSE))</f>
        <v/>
      </c>
      <c r="E4266" s="387" t="str">
        <f>IF(A4266="","",VLOOKUP(A4266,VII.A!$A$10:$G$199,4,FALSE))</f>
        <v/>
      </c>
      <c r="F4266" s="388" t="str">
        <f t="shared" si="1099"/>
        <v/>
      </c>
      <c r="H4266" s="341" t="str">
        <f>IF(A4266="","",VLOOKUP(A4266,VII.A!$A$10:$D$199,4,FALSE))</f>
        <v/>
      </c>
      <c r="I4266" s="341" t="str">
        <f t="shared" si="1096"/>
        <v/>
      </c>
      <c r="J4266" s="341" t="str">
        <f>IF(A4266="","",VLOOKUP(A4266,VII.A!$A$10:$D$199,3,FALSE))</f>
        <v/>
      </c>
      <c r="K4266" s="342" t="str">
        <f t="shared" si="1097"/>
        <v/>
      </c>
      <c r="L4266" s="380" t="str">
        <f>IF(C4266="","",G4235*C4266)</f>
        <v/>
      </c>
      <c r="M4266" s="381" t="str">
        <f>IF(A4266="","",VLOOKUP(A4266,VII.A!$A$10:$B$199,2,FALSE))</f>
        <v/>
      </c>
      <c r="N4266" s="342" t="str">
        <f t="shared" si="1098"/>
        <v/>
      </c>
      <c r="R4266" s="341"/>
      <c r="S4266" s="341"/>
    </row>
    <row r="4267" spans="1:19" ht="12.75" customHeight="1">
      <c r="A4267" s="393"/>
      <c r="B4267" s="395" t="s">
        <v>226</v>
      </c>
      <c r="C4267" s="396"/>
      <c r="D4267" s="397"/>
      <c r="E4267" s="398"/>
      <c r="F4267" s="399">
        <f>SUM(F4257:F4266)</f>
        <v>0</v>
      </c>
      <c r="J4267" s="341"/>
      <c r="L4267" s="380"/>
      <c r="M4267" s="381"/>
      <c r="N4267" s="342"/>
      <c r="R4267" s="341"/>
      <c r="S4267" s="341"/>
    </row>
    <row r="4268" spans="1:19" ht="12.75" customHeight="1">
      <c r="A4268" s="393"/>
      <c r="B4268" s="400" t="s">
        <v>53</v>
      </c>
      <c r="C4268" s="2">
        <f>$D$8</f>
        <v>0</v>
      </c>
      <c r="D4268" s="401"/>
      <c r="E4268" s="402"/>
      <c r="F4268" s="403">
        <f>ROUND(C4268*F4267,2)</f>
        <v>0</v>
      </c>
      <c r="J4268" s="341"/>
      <c r="L4268" s="380"/>
      <c r="M4268" s="381"/>
      <c r="N4268" s="342"/>
      <c r="R4268" s="341"/>
      <c r="S4268" s="341"/>
    </row>
    <row r="4269" spans="1:19" ht="12.75" customHeight="1">
      <c r="A4269" s="404"/>
      <c r="B4269" s="405" t="s">
        <v>228</v>
      </c>
      <c r="C4269" s="406"/>
      <c r="D4269" s="406"/>
      <c r="E4269" s="407"/>
      <c r="F4269" s="408">
        <f>F4267+F4268</f>
        <v>0</v>
      </c>
      <c r="J4269" s="341"/>
      <c r="L4269" s="380"/>
      <c r="M4269" s="381"/>
      <c r="N4269" s="342"/>
      <c r="R4269" s="341"/>
      <c r="S4269" s="341"/>
    </row>
    <row r="4270" spans="1:19" ht="12.75" customHeight="1">
      <c r="A4270" s="409" t="s">
        <v>47</v>
      </c>
      <c r="B4270" s="410" t="s">
        <v>236</v>
      </c>
      <c r="C4270" s="411" t="s">
        <v>231</v>
      </c>
      <c r="D4270" s="412" t="s">
        <v>232</v>
      </c>
      <c r="E4270" s="413" t="s">
        <v>233</v>
      </c>
      <c r="F4270" s="378" t="s">
        <v>234</v>
      </c>
      <c r="J4270" s="341"/>
      <c r="L4270" s="380"/>
      <c r="M4270" s="381"/>
      <c r="N4270" s="342"/>
      <c r="R4270" s="341"/>
      <c r="S4270" s="341"/>
    </row>
    <row r="4271" spans="1:19" ht="12.75" customHeight="1">
      <c r="A4271" s="393"/>
      <c r="B4271" s="423" t="str">
        <f>IF(A4271="","",VLOOKUP(A4271,VII.A!$A$10:$G$199,2,FALSE))</f>
        <v/>
      </c>
      <c r="C4271" s="20"/>
      <c r="D4271" s="384" t="str">
        <f>IF(A4271="","",VLOOKUP(A4271,VII.A!$A$10:$G$199,3,FALSE))</f>
        <v/>
      </c>
      <c r="E4271" s="387" t="str">
        <f>IF(A4271="","",VLOOKUP(A4271,VII.A!$A$10:$G$199,4,FALSE))</f>
        <v/>
      </c>
      <c r="F4271" s="388" t="str">
        <f>IF(A4271="","",ROUND(C4271*E4271,2))</f>
        <v/>
      </c>
      <c r="H4271" s="341" t="str">
        <f>IF(A4271="","",VLOOKUP(A4271,VII.A!$A$10:$D$199,4,FALSE))</f>
        <v/>
      </c>
      <c r="I4271" s="341" t="str">
        <f t="shared" ref="I4271:I4277" si="1100">IF(A4271="","",IF(E4271=H4271,"SIM","NÃO"))</f>
        <v/>
      </c>
      <c r="J4271" s="341" t="str">
        <f>IF(A4271="","",VLOOKUP(A4271,VII.A!$A$10:$D$199,3,FALSE))</f>
        <v/>
      </c>
      <c r="K4271" s="342" t="str">
        <f t="shared" ref="K4271:K4277" si="1101">IF(A4271="","",IF(J4271=D4271,"SIM","NÃO"))</f>
        <v/>
      </c>
      <c r="L4271" s="380" t="str">
        <f>IF(C4271="","",G4235*C4271)</f>
        <v/>
      </c>
      <c r="M4271" s="381" t="str">
        <f>IF(A4271="","",VLOOKUP(A4271,VII.A!$A$10:$B$199,2,FALSE))</f>
        <v/>
      </c>
      <c r="N4271" s="342" t="str">
        <f t="shared" ref="N4271:N4277" si="1102">IF(B4271="","",IF(M4271=B4271,"si","no"))</f>
        <v/>
      </c>
      <c r="R4271" s="341"/>
      <c r="S4271" s="341"/>
    </row>
    <row r="4272" spans="1:19" ht="12.75" customHeight="1">
      <c r="A4272" s="393"/>
      <c r="B4272" s="423" t="str">
        <f>IF(A4272="","",VLOOKUP(A4272,VII.A!$A$10:$G$199,2,FALSE))</f>
        <v/>
      </c>
      <c r="C4272" s="20"/>
      <c r="D4272" s="384" t="str">
        <f>IF(A4272="","",VLOOKUP(A4272,VII.A!$A$10:$G$199,3,FALSE))</f>
        <v/>
      </c>
      <c r="E4272" s="387" t="str">
        <f>IF(A4272="","",VLOOKUP(A4272,VII.A!$A$10:$G$199,4,FALSE))</f>
        <v/>
      </c>
      <c r="F4272" s="388" t="str">
        <f t="shared" ref="F4272:F4277" si="1103">IF(A4272="","",ROUND(C4272*E4272,2))</f>
        <v/>
      </c>
      <c r="H4272" s="341" t="str">
        <f>IF(A4272="","",VLOOKUP(A4272,VII.A!$A$10:$D$199,4,FALSE))</f>
        <v/>
      </c>
      <c r="I4272" s="341" t="str">
        <f t="shared" si="1100"/>
        <v/>
      </c>
      <c r="J4272" s="341" t="str">
        <f>IF(A4272="","",VLOOKUP(A4272,VII.A!$A$10:$D$199,3,FALSE))</f>
        <v/>
      </c>
      <c r="K4272" s="342" t="str">
        <f t="shared" si="1101"/>
        <v/>
      </c>
      <c r="L4272" s="380" t="str">
        <f>IF(C4272="","",G4235*C4272)</f>
        <v/>
      </c>
      <c r="M4272" s="381" t="str">
        <f>IF(A4272="","",VLOOKUP(A4272,VII.A!$A$10:$B$199,2,FALSE))</f>
        <v/>
      </c>
      <c r="N4272" s="342" t="str">
        <f t="shared" si="1102"/>
        <v/>
      </c>
      <c r="R4272" s="341"/>
      <c r="S4272" s="341"/>
    </row>
    <row r="4273" spans="1:25" ht="12.75" customHeight="1">
      <c r="A4273" s="393"/>
      <c r="B4273" s="423" t="str">
        <f>IF(A4273="","",VLOOKUP(A4273,VII.A!$A$10:$G$199,2,FALSE))</f>
        <v/>
      </c>
      <c r="C4273" s="20"/>
      <c r="D4273" s="384" t="str">
        <f>IF(A4273="","",VLOOKUP(A4273,VII.A!$A$10:$G$199,3,FALSE))</f>
        <v/>
      </c>
      <c r="E4273" s="387" t="str">
        <f>IF(A4273="","",VLOOKUP(A4273,VII.A!$A$10:$G$199,4,FALSE))</f>
        <v/>
      </c>
      <c r="F4273" s="388" t="str">
        <f t="shared" si="1103"/>
        <v/>
      </c>
      <c r="H4273" s="341" t="str">
        <f>IF(A4273="","",VLOOKUP(A4273,VII.A!$A$10:$D$199,4,FALSE))</f>
        <v/>
      </c>
      <c r="I4273" s="341" t="str">
        <f t="shared" si="1100"/>
        <v/>
      </c>
      <c r="J4273" s="341" t="str">
        <f>IF(A4273="","",VLOOKUP(A4273,VII.A!$A$10:$D$199,3,FALSE))</f>
        <v/>
      </c>
      <c r="K4273" s="342" t="str">
        <f t="shared" si="1101"/>
        <v/>
      </c>
      <c r="L4273" s="380" t="str">
        <f>IF(C4273="","",G4235*C4273)</f>
        <v/>
      </c>
      <c r="M4273" s="381" t="str">
        <f>IF(A4273="","",VLOOKUP(A4273,VII.A!$A$10:$B$199,2,FALSE))</f>
        <v/>
      </c>
      <c r="N4273" s="342" t="str">
        <f t="shared" si="1102"/>
        <v/>
      </c>
      <c r="R4273" s="341"/>
      <c r="S4273" s="341"/>
    </row>
    <row r="4274" spans="1:25" ht="12.75" customHeight="1">
      <c r="A4274" s="393"/>
      <c r="B4274" s="423" t="str">
        <f>IF(A4274="","",VLOOKUP(A4274,VII.A!$A$10:$G$199,2,FALSE))</f>
        <v/>
      </c>
      <c r="C4274" s="20"/>
      <c r="D4274" s="384" t="str">
        <f>IF(A4274="","",VLOOKUP(A4274,VII.A!$A$10:$G$199,3,FALSE))</f>
        <v/>
      </c>
      <c r="E4274" s="387" t="str">
        <f>IF(A4274="","",VLOOKUP(A4274,VII.A!$A$10:$G$199,4,FALSE))</f>
        <v/>
      </c>
      <c r="F4274" s="388" t="str">
        <f t="shared" si="1103"/>
        <v/>
      </c>
      <c r="H4274" s="341" t="str">
        <f>IF(A4274="","",VLOOKUP(A4274,VII.A!$A$10:$D$199,4,FALSE))</f>
        <v/>
      </c>
      <c r="I4274" s="341" t="str">
        <f t="shared" si="1100"/>
        <v/>
      </c>
      <c r="J4274" s="341" t="str">
        <f>IF(A4274="","",VLOOKUP(A4274,VII.A!$A$10:$D$199,3,FALSE))</f>
        <v/>
      </c>
      <c r="K4274" s="342" t="str">
        <f t="shared" si="1101"/>
        <v/>
      </c>
      <c r="L4274" s="380" t="str">
        <f>IF(C4274="","",G4235*C4274)</f>
        <v/>
      </c>
      <c r="M4274" s="381" t="str">
        <f>IF(A4274="","",VLOOKUP(A4274,VII.A!$A$10:$B$199,2,FALSE))</f>
        <v/>
      </c>
      <c r="N4274" s="342" t="str">
        <f t="shared" si="1102"/>
        <v/>
      </c>
      <c r="R4274" s="341"/>
      <c r="S4274" s="341"/>
    </row>
    <row r="4275" spans="1:25" ht="12.75" customHeight="1">
      <c r="A4275" s="393"/>
      <c r="B4275" s="423" t="str">
        <f>IF(A4275="","",VLOOKUP(A4275,VII.A!$A$10:$G$199,2,FALSE))</f>
        <v/>
      </c>
      <c r="C4275" s="20"/>
      <c r="D4275" s="384" t="str">
        <f>IF(A4275="","",VLOOKUP(A4275,VII.A!$A$10:$G$199,3,FALSE))</f>
        <v/>
      </c>
      <c r="E4275" s="387" t="str">
        <f>IF(A4275="","",VLOOKUP(A4275,VII.A!$A$10:$G$199,4,FALSE))</f>
        <v/>
      </c>
      <c r="F4275" s="388" t="str">
        <f t="shared" si="1103"/>
        <v/>
      </c>
      <c r="H4275" s="341" t="str">
        <f>IF(A4275="","",VLOOKUP(A4275,VII.A!$A$10:$D$199,4,FALSE))</f>
        <v/>
      </c>
      <c r="I4275" s="341" t="str">
        <f t="shared" si="1100"/>
        <v/>
      </c>
      <c r="J4275" s="341" t="str">
        <f>IF(A4275="","",VLOOKUP(A4275,VII.A!$A$10:$D$199,3,FALSE))</f>
        <v/>
      </c>
      <c r="K4275" s="342" t="str">
        <f t="shared" si="1101"/>
        <v/>
      </c>
      <c r="L4275" s="380" t="str">
        <f>IF(C4275="","",G4235*C4275)</f>
        <v/>
      </c>
      <c r="M4275" s="381" t="str">
        <f>IF(A4275="","",VLOOKUP(A4275,VII.A!$A$10:$B$199,2,FALSE))</f>
        <v/>
      </c>
      <c r="N4275" s="342" t="str">
        <f t="shared" si="1102"/>
        <v/>
      </c>
      <c r="R4275" s="341"/>
      <c r="S4275" s="341"/>
    </row>
    <row r="4276" spans="1:25" ht="12.75" customHeight="1">
      <c r="A4276" s="393"/>
      <c r="B4276" s="423" t="str">
        <f>IF(A4276="","",VLOOKUP(A4276,VII.A!$A$10:$G$199,2,FALSE))</f>
        <v/>
      </c>
      <c r="C4276" s="20"/>
      <c r="D4276" s="384" t="str">
        <f>IF(A4276="","",VLOOKUP(A4276,VII.A!$A$10:$G$199,3,FALSE))</f>
        <v/>
      </c>
      <c r="E4276" s="387" t="str">
        <f>IF(A4276="","",VLOOKUP(A4276,VII.A!$A$10:$G$199,4,FALSE))</f>
        <v/>
      </c>
      <c r="F4276" s="388" t="str">
        <f t="shared" si="1103"/>
        <v/>
      </c>
      <c r="H4276" s="341" t="str">
        <f>IF(A4276="","",VLOOKUP(A4276,VII.A!$A$10:$D$199,4,FALSE))</f>
        <v/>
      </c>
      <c r="I4276" s="341" t="str">
        <f t="shared" si="1100"/>
        <v/>
      </c>
      <c r="J4276" s="341" t="str">
        <f>IF(A4276="","",VLOOKUP(A4276,VII.A!$A$10:$D$199,3,FALSE))</f>
        <v/>
      </c>
      <c r="K4276" s="342" t="str">
        <f t="shared" si="1101"/>
        <v/>
      </c>
      <c r="L4276" s="380" t="str">
        <f>IF(C4276="","",G4235*C4276)</f>
        <v/>
      </c>
      <c r="M4276" s="381" t="str">
        <f>IF(A4276="","",VLOOKUP(A4276,VII.A!$A$10:$B$199,2,FALSE))</f>
        <v/>
      </c>
      <c r="N4276" s="342" t="str">
        <f t="shared" si="1102"/>
        <v/>
      </c>
      <c r="R4276" s="341"/>
      <c r="S4276" s="341"/>
    </row>
    <row r="4277" spans="1:25" ht="12.75" customHeight="1">
      <c r="A4277" s="393"/>
      <c r="B4277" s="423" t="str">
        <f>IF(A4277="","",VLOOKUP(A4277,VII.A!$A$10:$G$199,2,FALSE))</f>
        <v/>
      </c>
      <c r="C4277" s="20"/>
      <c r="D4277" s="384" t="str">
        <f>IF(A4277="","",VLOOKUP(A4277,VII.A!$A$10:$G$199,3,FALSE))</f>
        <v/>
      </c>
      <c r="E4277" s="387" t="str">
        <f>IF(A4277="","",VLOOKUP(A4277,VII.A!$A$10:$G$199,4,FALSE))</f>
        <v/>
      </c>
      <c r="F4277" s="388" t="str">
        <f t="shared" si="1103"/>
        <v/>
      </c>
      <c r="H4277" s="341" t="str">
        <f>IF(A4277="","",VLOOKUP(A4277,VII.A!$A$10:$D$199,4,FALSE))</f>
        <v/>
      </c>
      <c r="I4277" s="341" t="str">
        <f t="shared" si="1100"/>
        <v/>
      </c>
      <c r="J4277" s="341" t="str">
        <f>IF(A4277="","",VLOOKUP(A4277,VII.A!$A$10:$D$199,3,FALSE))</f>
        <v/>
      </c>
      <c r="K4277" s="342" t="str">
        <f t="shared" si="1101"/>
        <v/>
      </c>
      <c r="L4277" s="380" t="str">
        <f>IF(C4277="","",G4235*C4277)</f>
        <v/>
      </c>
      <c r="M4277" s="381" t="str">
        <f>IF(A4277="","",VLOOKUP(A4277,VII.A!$A$10:$B$199,2,FALSE))</f>
        <v/>
      </c>
      <c r="N4277" s="342" t="str">
        <f t="shared" si="1102"/>
        <v/>
      </c>
      <c r="R4277" s="341"/>
      <c r="S4277" s="341"/>
    </row>
    <row r="4278" spans="1:25" ht="12.75" customHeight="1">
      <c r="A4278" s="393"/>
      <c r="B4278" s="395" t="s">
        <v>226</v>
      </c>
      <c r="C4278" s="396"/>
      <c r="D4278" s="397"/>
      <c r="E4278" s="398"/>
      <c r="F4278" s="399">
        <f>SUM(F4271:F4277)</f>
        <v>0</v>
      </c>
      <c r="J4278" s="341"/>
      <c r="L4278" s="380"/>
      <c r="M4278" s="381"/>
      <c r="N4278" s="342"/>
      <c r="R4278" s="341"/>
      <c r="S4278" s="341"/>
    </row>
    <row r="4279" spans="1:25" ht="12.75" customHeight="1">
      <c r="A4279" s="393"/>
      <c r="B4279" s="400" t="s">
        <v>229</v>
      </c>
      <c r="C4279" s="2">
        <f>IX.A!$C$45</f>
        <v>0</v>
      </c>
      <c r="D4279" s="401"/>
      <c r="E4279" s="402"/>
      <c r="F4279" s="403">
        <f>ROUND(F4278*C4279,2)</f>
        <v>0</v>
      </c>
      <c r="J4279" s="341"/>
      <c r="L4279" s="380"/>
      <c r="M4279" s="381"/>
      <c r="N4279" s="342"/>
      <c r="R4279" s="341"/>
      <c r="S4279" s="341"/>
    </row>
    <row r="4280" spans="1:25" ht="12.75" customHeight="1">
      <c r="A4280" s="393"/>
      <c r="B4280" s="400" t="s">
        <v>53</v>
      </c>
      <c r="C4280" s="2">
        <f>$D$8</f>
        <v>0</v>
      </c>
      <c r="D4280" s="401"/>
      <c r="E4280" s="402"/>
      <c r="F4280" s="403">
        <f>ROUND(SUM(F4278:F4279)*C4280,2)</f>
        <v>0</v>
      </c>
      <c r="J4280" s="341"/>
      <c r="L4280" s="380"/>
      <c r="M4280" s="381"/>
      <c r="N4280" s="342"/>
      <c r="R4280" s="341"/>
      <c r="S4280" s="341"/>
    </row>
    <row r="4281" spans="1:25" ht="12.75" customHeight="1" thickBot="1">
      <c r="A4281" s="414"/>
      <c r="B4281" s="415" t="s">
        <v>230</v>
      </c>
      <c r="C4281" s="416"/>
      <c r="D4281" s="416"/>
      <c r="E4281" s="417"/>
      <c r="F4281" s="418">
        <f>SUM(F4278:F4280)</f>
        <v>0</v>
      </c>
      <c r="J4281" s="341"/>
      <c r="L4281" s="380"/>
      <c r="M4281" s="381"/>
      <c r="N4281" s="342"/>
      <c r="R4281" s="341"/>
      <c r="S4281" s="341"/>
    </row>
    <row r="4282" spans="1:25" ht="12.75" customHeight="1" thickBot="1">
      <c r="A4282" s="357"/>
      <c r="B4282" s="358"/>
      <c r="C4282" s="359"/>
      <c r="D4282" s="359"/>
      <c r="E4282" s="360"/>
      <c r="F4282" s="419"/>
      <c r="J4282" s="341"/>
      <c r="L4282" s="380"/>
      <c r="M4282" s="381"/>
      <c r="N4282" s="342"/>
      <c r="R4282" s="341"/>
      <c r="S4282" s="341"/>
    </row>
    <row r="4283" spans="1:25" ht="30" customHeight="1">
      <c r="A4283" s="370" t="str">
        <f>IV.A!A131</f>
        <v>5.4</v>
      </c>
      <c r="B4283" s="371" t="str">
        <f>IV.A!B131</f>
        <v xml:space="preserve">IMPERMEABILIZACAO DE SUPERFICIE COM IMPERMEABILIZANTE FLEXIVEL A BASE DE RESINA ACRÍLICA </v>
      </c>
      <c r="C4283" s="871" t="s">
        <v>237</v>
      </c>
      <c r="D4283" s="872"/>
      <c r="E4283" s="372" t="str">
        <f>IV.A!C131</f>
        <v>M2</v>
      </c>
      <c r="F4283" s="11">
        <f>ROUND(F4303+F4317+F4329,2)</f>
        <v>0</v>
      </c>
      <c r="G4283" s="1">
        <f>VLOOKUP(A4283,IV.A!$A$16:$L$172,4,FALSE)</f>
        <v>150</v>
      </c>
      <c r="H4283" s="361">
        <f>SUM(F4285:F4300)+F4302</f>
        <v>0</v>
      </c>
      <c r="I4283" s="361">
        <f>SUM(F4305:F4314)+F4316</f>
        <v>0</v>
      </c>
      <c r="J4283" s="361">
        <f>SUM(F4319:F4325)+F4327+F4328</f>
        <v>0</v>
      </c>
      <c r="K4283" s="361">
        <f>SUM(H4283:J4283)</f>
        <v>0</v>
      </c>
      <c r="L4283" s="362" t="str">
        <f>IF(K4283=F4283,"SIM","NÃO")</f>
        <v>SIM</v>
      </c>
      <c r="M4283" s="373">
        <f>ROUND(SUM(F4285:F4300),2)+ROUND(SUM(F4285:F4300)*C4302,2)+ROUND(SUM(F4305:F4314)*C4316,2)+ROUND(SUM(F4305:F4314),2)+ROUND(SUM(F4319:F4325)*C4327,2)+ROUND((SUM(F4319:F4325)+ROUND(SUM(F4319:F4325)*C4327,2))*C4328,2)+ROUND(SUM(F4319:F4325),2)</f>
        <v>0</v>
      </c>
      <c r="N4283" s="343" t="str">
        <f>IF(M4283=F4283,"SIM","NÃO")</f>
        <v>SIM</v>
      </c>
      <c r="O4283" s="364" t="str">
        <f>VLOOKUP(A4283,IV.A!$A$16:$E$172,3,FALSE)</f>
        <v>M2</v>
      </c>
      <c r="P4283" s="344" t="str">
        <f>IF(O4283=E4283,"SIM","NÃO")</f>
        <v>SIM</v>
      </c>
      <c r="Q4283" s="365">
        <f>ROUND(G4283*F4303,2)+ROUND(G4283*F4317,2)+ROUND(G4283*F4329,2)</f>
        <v>0</v>
      </c>
      <c r="R4283" s="364">
        <f>VLOOKUP(A4283,IV.A!$A$16:$L$172,12,FALSE)</f>
        <v>0</v>
      </c>
      <c r="S4283" s="366" t="str">
        <f>IF(Q4283=R4283,"si","no")</f>
        <v>si</v>
      </c>
      <c r="T4283" s="367">
        <f>SUM(L4285:L4300)+SUM(L4305:L4314)+SUM(L4319:L4325)</f>
        <v>690</v>
      </c>
      <c r="U4283" s="341">
        <f>(SUM(C4285:C4300)+SUM(C4305:C4314)+SUM(C4319:C4325))*G4283</f>
        <v>690</v>
      </c>
      <c r="V4283" s="368" t="str">
        <f>IF(T4283=U4283,"si","no")</f>
        <v>si</v>
      </c>
      <c r="W4283" s="369">
        <f>SUM(F4285:F4300)</f>
        <v>0</v>
      </c>
      <c r="X4283" s="369">
        <f>SUM(F4305:F4314)</f>
        <v>0</v>
      </c>
      <c r="Y4283" s="369">
        <f>SUM(F4319:F4325)</f>
        <v>0</v>
      </c>
    </row>
    <row r="4284" spans="1:25" ht="12.75" customHeight="1">
      <c r="A4284" s="374" t="s">
        <v>14</v>
      </c>
      <c r="B4284" s="375" t="s">
        <v>132</v>
      </c>
      <c r="C4284" s="376" t="s">
        <v>231</v>
      </c>
      <c r="D4284" s="376" t="s">
        <v>232</v>
      </c>
      <c r="E4284" s="377" t="s">
        <v>233</v>
      </c>
      <c r="F4284" s="378" t="s">
        <v>234</v>
      </c>
      <c r="G4284" s="379"/>
      <c r="J4284" s="341"/>
      <c r="L4284" s="380"/>
      <c r="M4284" s="381"/>
      <c r="N4284" s="342"/>
      <c r="O4284" s="382"/>
      <c r="P4284" s="383"/>
      <c r="Q4284" s="383"/>
      <c r="R4284" s="383"/>
      <c r="S4284" s="383"/>
      <c r="T4284" s="382"/>
      <c r="U4284" s="341"/>
      <c r="V4284" s="384"/>
      <c r="W4284" s="384"/>
      <c r="X4284" s="384"/>
      <c r="Y4284" s="384"/>
    </row>
    <row r="4285" spans="1:25" ht="12.75" customHeight="1">
      <c r="A4285" s="385" t="str">
        <f>VII.A!$A$61</f>
        <v>1.52</v>
      </c>
      <c r="B4285" s="386" t="str">
        <f>VII.A!B61</f>
        <v>IMPERMEABILIZANTE FLEXIVEL BRANCO DE BASE ACRILICA</v>
      </c>
      <c r="C4285" s="20">
        <v>2.5</v>
      </c>
      <c r="D4285" s="342" t="str">
        <f>VII.A!C61</f>
        <v>KG</v>
      </c>
      <c r="E4285" s="387">
        <f>VII.A!D61</f>
        <v>0</v>
      </c>
      <c r="F4285" s="388">
        <f t="shared" ref="F4285:F4293" si="1104">ROUND(C4285*E4285,2)</f>
        <v>0</v>
      </c>
      <c r="H4285" s="341">
        <f>IF(A4285="","",VLOOKUP(A4285,VII.A!$A$10:$D$199,4,FALSE))</f>
        <v>0</v>
      </c>
      <c r="I4285" s="341" t="str">
        <f t="shared" ref="I4285:I4293" si="1105">IF(A4285="","",IF(E4285=H4285,"SIM","NÃO"))</f>
        <v>SIM</v>
      </c>
      <c r="J4285" s="341" t="str">
        <f>IF(A4285="","",VLOOKUP(A4285,VII.A!$A$10:$D$199,3,FALSE))</f>
        <v>KG</v>
      </c>
      <c r="K4285" s="342" t="str">
        <f t="shared" ref="K4285:K4293" si="1106">IF(A4285="","",IF(J4285=D4285,"SIM","NÃO"))</f>
        <v>SIM</v>
      </c>
      <c r="L4285" s="380">
        <f>IF(C4285="","",G4283*C4285)</f>
        <v>375</v>
      </c>
      <c r="M4285" s="381" t="str">
        <f>IF(A4285="","",VLOOKUP(A4285,VII.A!$A$10:$B$199,2,FALSE))</f>
        <v>IMPERMEABILIZANTE FLEXIVEL BRANCO DE BASE ACRILICA</v>
      </c>
      <c r="N4285" s="342" t="str">
        <f t="shared" ref="N4285:N4293" si="1107">IF(B4285="","",IF(M4285=B4285,"si","no"))</f>
        <v>si</v>
      </c>
      <c r="R4285" s="341"/>
      <c r="S4285" s="341"/>
    </row>
    <row r="4286" spans="1:25" ht="12.75" customHeight="1">
      <c r="A4286" s="385"/>
      <c r="B4286" s="386"/>
      <c r="C4286" s="20"/>
      <c r="D4286" s="342"/>
      <c r="E4286" s="387"/>
      <c r="F4286" s="388">
        <f t="shared" si="1104"/>
        <v>0</v>
      </c>
      <c r="H4286" s="341" t="str">
        <f>IF(A4286="","",VLOOKUP(A4286,VII.A!$A$10:$D$199,4,FALSE))</f>
        <v/>
      </c>
      <c r="I4286" s="341" t="str">
        <f t="shared" si="1105"/>
        <v/>
      </c>
      <c r="J4286" s="341" t="str">
        <f>IF(A4286="","",VLOOKUP(A4286,VII.A!$A$10:$D$199,3,FALSE))</f>
        <v/>
      </c>
      <c r="K4286" s="342" t="str">
        <f t="shared" si="1106"/>
        <v/>
      </c>
      <c r="L4286" s="380" t="str">
        <f>IF(C4286="","",G4283*C4286)</f>
        <v/>
      </c>
      <c r="M4286" s="381" t="str">
        <f>IF(A4286="","",VLOOKUP(A4286,VII.A!$A$10:$B$199,2,FALSE))</f>
        <v/>
      </c>
      <c r="N4286" s="342" t="str">
        <f t="shared" si="1107"/>
        <v/>
      </c>
      <c r="R4286" s="341"/>
      <c r="S4286" s="341"/>
    </row>
    <row r="4287" spans="1:25" ht="12.75" customHeight="1">
      <c r="A4287" s="385"/>
      <c r="B4287" s="386"/>
      <c r="C4287" s="20"/>
      <c r="D4287" s="342"/>
      <c r="E4287" s="387"/>
      <c r="F4287" s="388">
        <f t="shared" si="1104"/>
        <v>0</v>
      </c>
      <c r="H4287" s="341" t="str">
        <f>IF(A4287="","",VLOOKUP(A4287,VII.A!$A$10:$D$199,4,FALSE))</f>
        <v/>
      </c>
      <c r="I4287" s="341" t="str">
        <f t="shared" si="1105"/>
        <v/>
      </c>
      <c r="J4287" s="341" t="str">
        <f>IF(A4287="","",VLOOKUP(A4287,VII.A!$A$10:$D$199,3,FALSE))</f>
        <v/>
      </c>
      <c r="K4287" s="342" t="str">
        <f t="shared" si="1106"/>
        <v/>
      </c>
      <c r="L4287" s="380" t="str">
        <f>IF(C4287="","",G4283*C4287)</f>
        <v/>
      </c>
      <c r="M4287" s="381" t="str">
        <f>IF(A4287="","",VLOOKUP(A4287,VII.A!$A$10:$B$199,2,FALSE))</f>
        <v/>
      </c>
      <c r="N4287" s="342" t="str">
        <f t="shared" si="1107"/>
        <v/>
      </c>
      <c r="R4287" s="341"/>
      <c r="S4287" s="341"/>
    </row>
    <row r="4288" spans="1:25" ht="12.75" customHeight="1">
      <c r="A4288" s="385"/>
      <c r="B4288" s="386"/>
      <c r="C4288" s="20"/>
      <c r="D4288" s="342"/>
      <c r="E4288" s="387"/>
      <c r="F4288" s="388">
        <f t="shared" si="1104"/>
        <v>0</v>
      </c>
      <c r="H4288" s="341" t="str">
        <f>IF(A4288="","",VLOOKUP(A4288,VII.A!$A$10:$D$199,4,FALSE))</f>
        <v/>
      </c>
      <c r="I4288" s="341" t="str">
        <f t="shared" si="1105"/>
        <v/>
      </c>
      <c r="J4288" s="341" t="str">
        <f>IF(A4288="","",VLOOKUP(A4288,VII.A!$A$10:$D$199,3,FALSE))</f>
        <v/>
      </c>
      <c r="K4288" s="342" t="str">
        <f t="shared" si="1106"/>
        <v/>
      </c>
      <c r="L4288" s="380" t="str">
        <f>IF(C4288="","",G4283*C4288)</f>
        <v/>
      </c>
      <c r="M4288" s="381" t="str">
        <f>IF(A4288="","",VLOOKUP(A4288,VII.A!$A$10:$B$199,2,FALSE))</f>
        <v/>
      </c>
      <c r="N4288" s="342" t="str">
        <f t="shared" si="1107"/>
        <v/>
      </c>
      <c r="R4288" s="341"/>
      <c r="S4288" s="341"/>
    </row>
    <row r="4289" spans="1:21" ht="12.75" customHeight="1">
      <c r="A4289" s="385"/>
      <c r="B4289" s="386"/>
      <c r="C4289" s="20"/>
      <c r="D4289" s="342"/>
      <c r="E4289" s="387"/>
      <c r="F4289" s="388">
        <f t="shared" si="1104"/>
        <v>0</v>
      </c>
      <c r="H4289" s="341" t="str">
        <f>IF(A4289="","",VLOOKUP(A4289,VII.A!$A$10:$D$199,4,FALSE))</f>
        <v/>
      </c>
      <c r="I4289" s="341" t="str">
        <f t="shared" si="1105"/>
        <v/>
      </c>
      <c r="J4289" s="341" t="str">
        <f>IF(A4289="","",VLOOKUP(A4289,VII.A!$A$10:$D$199,3,FALSE))</f>
        <v/>
      </c>
      <c r="K4289" s="342" t="str">
        <f t="shared" si="1106"/>
        <v/>
      </c>
      <c r="L4289" s="380" t="str">
        <f>IF(C4289="","",G4283*C4289)</f>
        <v/>
      </c>
      <c r="M4289" s="381" t="str">
        <f>IF(A4289="","",VLOOKUP(A4289,VII.A!$A$10:$B$199,2,FALSE))</f>
        <v/>
      </c>
      <c r="N4289" s="342" t="str">
        <f t="shared" si="1107"/>
        <v/>
      </c>
      <c r="R4289" s="341"/>
      <c r="S4289" s="341"/>
      <c r="U4289" s="389"/>
    </row>
    <row r="4290" spans="1:21" ht="12.75" customHeight="1">
      <c r="A4290" s="385"/>
      <c r="B4290" s="386"/>
      <c r="C4290" s="20"/>
      <c r="D4290" s="342"/>
      <c r="E4290" s="387"/>
      <c r="F4290" s="388">
        <f t="shared" si="1104"/>
        <v>0</v>
      </c>
      <c r="H4290" s="341" t="str">
        <f>IF(A4290="","",VLOOKUP(A4290,VII.A!$A$10:$D$199,4,FALSE))</f>
        <v/>
      </c>
      <c r="I4290" s="341" t="str">
        <f t="shared" si="1105"/>
        <v/>
      </c>
      <c r="J4290" s="341" t="str">
        <f>IF(A4290="","",VLOOKUP(A4290,VII.A!$A$10:$D$199,3,FALSE))</f>
        <v/>
      </c>
      <c r="K4290" s="342" t="str">
        <f t="shared" si="1106"/>
        <v/>
      </c>
      <c r="L4290" s="380" t="str">
        <f>IF(C4290="","",G4283*C4290)</f>
        <v/>
      </c>
      <c r="M4290" s="381" t="str">
        <f>IF(A4290="","",VLOOKUP(A4290,VII.A!$A$10:$B$199,2,FALSE))</f>
        <v/>
      </c>
      <c r="N4290" s="342" t="str">
        <f t="shared" si="1107"/>
        <v/>
      </c>
      <c r="R4290" s="341"/>
      <c r="S4290" s="341"/>
    </row>
    <row r="4291" spans="1:21" ht="12.75" customHeight="1">
      <c r="A4291" s="385"/>
      <c r="B4291" s="386"/>
      <c r="C4291" s="20"/>
      <c r="D4291" s="342"/>
      <c r="E4291" s="387"/>
      <c r="F4291" s="388">
        <f t="shared" si="1104"/>
        <v>0</v>
      </c>
      <c r="G4291" s="390"/>
      <c r="H4291" s="341" t="str">
        <f>IF(A4291="","",VLOOKUP(A4291,VII.A!$A$10:$D$199,4,FALSE))</f>
        <v/>
      </c>
      <c r="I4291" s="341" t="str">
        <f t="shared" si="1105"/>
        <v/>
      </c>
      <c r="J4291" s="341" t="str">
        <f>IF(A4291="","",VLOOKUP(A4291,VII.A!$A$10:$D$199,3,FALSE))</f>
        <v/>
      </c>
      <c r="K4291" s="342" t="str">
        <f t="shared" si="1106"/>
        <v/>
      </c>
      <c r="L4291" s="380" t="str">
        <f>IF(C4291="","",G4283*C4291)</f>
        <v/>
      </c>
      <c r="M4291" s="381" t="str">
        <f>IF(A4291="","",VLOOKUP(A4291,VII.A!$A$10:$B$199,2,FALSE))</f>
        <v/>
      </c>
      <c r="N4291" s="342" t="str">
        <f t="shared" si="1107"/>
        <v/>
      </c>
      <c r="R4291" s="341"/>
      <c r="S4291" s="341"/>
    </row>
    <row r="4292" spans="1:21" ht="12.75" customHeight="1">
      <c r="A4292" s="385"/>
      <c r="B4292" s="386"/>
      <c r="C4292" s="20"/>
      <c r="D4292" s="342"/>
      <c r="E4292" s="387"/>
      <c r="F4292" s="388">
        <f t="shared" si="1104"/>
        <v>0</v>
      </c>
      <c r="G4292" s="390"/>
      <c r="H4292" s="341" t="str">
        <f>IF(A4292="","",VLOOKUP(A4292,VII.A!$A$10:$D$199,4,FALSE))</f>
        <v/>
      </c>
      <c r="I4292" s="341" t="str">
        <f t="shared" si="1105"/>
        <v/>
      </c>
      <c r="J4292" s="341" t="str">
        <f>IF(A4292="","",VLOOKUP(A4292,VII.A!$A$10:$D$199,3,FALSE))</f>
        <v/>
      </c>
      <c r="K4292" s="342" t="str">
        <f t="shared" si="1106"/>
        <v/>
      </c>
      <c r="L4292" s="380" t="str">
        <f>IF(C4292="","",G4283*C4292)</f>
        <v/>
      </c>
      <c r="M4292" s="381" t="str">
        <f>IF(A4292="","",VLOOKUP(A4292,VII.A!$A$10:$B$199,2,FALSE))</f>
        <v/>
      </c>
      <c r="N4292" s="342" t="str">
        <f t="shared" si="1107"/>
        <v/>
      </c>
      <c r="R4292" s="341"/>
      <c r="S4292" s="341"/>
    </row>
    <row r="4293" spans="1:21" ht="12.75" customHeight="1">
      <c r="A4293" s="385"/>
      <c r="B4293" s="386"/>
      <c r="C4293" s="20"/>
      <c r="D4293" s="342"/>
      <c r="E4293" s="387"/>
      <c r="F4293" s="388">
        <f t="shared" si="1104"/>
        <v>0</v>
      </c>
      <c r="G4293" s="391"/>
      <c r="H4293" s="341" t="str">
        <f>IF(A4293="","",VLOOKUP(A4293,VII.A!$A$10:$D$199,4,FALSE))</f>
        <v/>
      </c>
      <c r="I4293" s="341" t="str">
        <f t="shared" si="1105"/>
        <v/>
      </c>
      <c r="J4293" s="341" t="str">
        <f>IF(A4293="","",VLOOKUP(A4293,VII.A!$A$10:$D$199,3,FALSE))</f>
        <v/>
      </c>
      <c r="K4293" s="342" t="str">
        <f t="shared" si="1106"/>
        <v/>
      </c>
      <c r="L4293" s="380" t="str">
        <f>IF(C4293="","",G4283*C4293)</f>
        <v/>
      </c>
      <c r="M4293" s="381" t="str">
        <f>IF(A4293="","",VLOOKUP(A4293,VII.A!$A$10:$B$199,2,FALSE))</f>
        <v/>
      </c>
      <c r="N4293" s="342" t="str">
        <f t="shared" si="1107"/>
        <v/>
      </c>
      <c r="R4293" s="341"/>
      <c r="S4293" s="341"/>
    </row>
    <row r="4294" spans="1:21" ht="12.75" customHeight="1">
      <c r="A4294" s="385"/>
      <c r="B4294" s="386"/>
      <c r="C4294" s="20"/>
      <c r="D4294" s="342"/>
      <c r="E4294" s="387"/>
      <c r="F4294" s="388"/>
      <c r="G4294" s="391"/>
      <c r="J4294" s="341"/>
      <c r="L4294" s="380"/>
      <c r="M4294" s="381"/>
      <c r="N4294" s="342"/>
      <c r="R4294" s="341"/>
      <c r="S4294" s="341"/>
    </row>
    <row r="4295" spans="1:21" ht="12.75" customHeight="1">
      <c r="A4295" s="385"/>
      <c r="B4295" s="386"/>
      <c r="C4295" s="20"/>
      <c r="D4295" s="342"/>
      <c r="E4295" s="387"/>
      <c r="F4295" s="388">
        <f t="shared" ref="F4295:F4300" si="1108">ROUND(C4295*E4295,2)</f>
        <v>0</v>
      </c>
      <c r="H4295" s="341" t="str">
        <f>IF(A4295="","",VLOOKUP(A4295,VII.A!$A$10:$D$199,4,FALSE))</f>
        <v/>
      </c>
      <c r="I4295" s="341" t="str">
        <f t="shared" ref="I4295:I4300" si="1109">IF(A4295="","",IF(E4295=H4295,"SIM","NÃO"))</f>
        <v/>
      </c>
      <c r="J4295" s="341" t="str">
        <f>IF(A4295="","",VLOOKUP(A4295,VII.A!$A$10:$D$199,3,FALSE))</f>
        <v/>
      </c>
      <c r="K4295" s="342" t="str">
        <f t="shared" ref="K4295:K4300" si="1110">IF(A4295="","",IF(J4295=D4295,"SIM","NÃO"))</f>
        <v/>
      </c>
      <c r="L4295" s="380" t="str">
        <f>IF(C4295="","",G4283*C4295)</f>
        <v/>
      </c>
      <c r="M4295" s="381" t="str">
        <f>IF(A4295="","",VLOOKUP(A4295,VII.A!$A$10:$B$199,2,FALSE))</f>
        <v/>
      </c>
      <c r="N4295" s="342" t="str">
        <f t="shared" ref="N4295:N4300" si="1111">IF(B4295="","",IF(M4295=B4295,"si","no"))</f>
        <v/>
      </c>
      <c r="R4295" s="341"/>
      <c r="S4295" s="341"/>
    </row>
    <row r="4296" spans="1:21" ht="12.75" customHeight="1">
      <c r="A4296" s="385"/>
      <c r="B4296" s="386"/>
      <c r="C4296" s="20"/>
      <c r="D4296" s="392"/>
      <c r="E4296" s="387"/>
      <c r="F4296" s="388">
        <f t="shared" si="1108"/>
        <v>0</v>
      </c>
      <c r="H4296" s="341" t="str">
        <f>IF(A4296="","",VLOOKUP(A4296,VII.A!$A$10:$D$199,4,FALSE))</f>
        <v/>
      </c>
      <c r="I4296" s="341" t="str">
        <f t="shared" si="1109"/>
        <v/>
      </c>
      <c r="J4296" s="341" t="str">
        <f>IF(A4296="","",VLOOKUP(A4296,VII.A!$A$10:$D$199,3,FALSE))</f>
        <v/>
      </c>
      <c r="K4296" s="342" t="str">
        <f t="shared" si="1110"/>
        <v/>
      </c>
      <c r="L4296" s="380" t="str">
        <f>IF(C4296="","",G4283*C4296)</f>
        <v/>
      </c>
      <c r="M4296" s="381" t="str">
        <f>IF(A4296="","",VLOOKUP(A4296,VII.A!$A$10:$B$199,2,FALSE))</f>
        <v/>
      </c>
      <c r="N4296" s="342" t="str">
        <f t="shared" si="1111"/>
        <v/>
      </c>
      <c r="R4296" s="341"/>
      <c r="S4296" s="341"/>
    </row>
    <row r="4297" spans="1:21" ht="12.75" customHeight="1">
      <c r="A4297" s="385"/>
      <c r="B4297" s="386"/>
      <c r="C4297" s="20"/>
      <c r="D4297" s="392"/>
      <c r="E4297" s="387"/>
      <c r="F4297" s="388">
        <f t="shared" si="1108"/>
        <v>0</v>
      </c>
      <c r="H4297" s="341" t="str">
        <f>IF(A4297="","",VLOOKUP(A4297,VII.A!$A$10:$D$199,4,FALSE))</f>
        <v/>
      </c>
      <c r="I4297" s="341" t="str">
        <f t="shared" si="1109"/>
        <v/>
      </c>
      <c r="J4297" s="341" t="str">
        <f>IF(A4297="","",VLOOKUP(A4297,VII.A!$A$10:$D$199,3,FALSE))</f>
        <v/>
      </c>
      <c r="K4297" s="342" t="str">
        <f t="shared" si="1110"/>
        <v/>
      </c>
      <c r="L4297" s="380" t="str">
        <f>IF(C4297="","",G4283*C4297)</f>
        <v/>
      </c>
      <c r="M4297" s="381" t="str">
        <f>IF(A4297="","",VLOOKUP(A4297,VII.A!$A$10:$B$199,2,FALSE))</f>
        <v/>
      </c>
      <c r="N4297" s="342" t="str">
        <f t="shared" si="1111"/>
        <v/>
      </c>
      <c r="O4297" s="342"/>
      <c r="R4297" s="341"/>
      <c r="S4297" s="341"/>
    </row>
    <row r="4298" spans="1:21" ht="12.75" customHeight="1">
      <c r="A4298" s="385"/>
      <c r="B4298" s="386"/>
      <c r="C4298" s="20"/>
      <c r="D4298" s="392"/>
      <c r="E4298" s="387"/>
      <c r="F4298" s="388">
        <f t="shared" si="1108"/>
        <v>0</v>
      </c>
      <c r="H4298" s="341" t="str">
        <f>IF(A4298="","",VLOOKUP(A4298,VII.A!$A$10:$D$199,4,FALSE))</f>
        <v/>
      </c>
      <c r="I4298" s="341" t="str">
        <f t="shared" si="1109"/>
        <v/>
      </c>
      <c r="J4298" s="341" t="str">
        <f>IF(A4298="","",VLOOKUP(A4298,VII.A!$A$10:$D$199,3,FALSE))</f>
        <v/>
      </c>
      <c r="K4298" s="342" t="str">
        <f t="shared" si="1110"/>
        <v/>
      </c>
      <c r="L4298" s="380" t="str">
        <f>IF(C4298="","",G4283*C4298)</f>
        <v/>
      </c>
      <c r="M4298" s="381" t="str">
        <f>IF(A4298="","",VLOOKUP(A4298,VII.A!$A$10:$B$199,2,FALSE))</f>
        <v/>
      </c>
      <c r="N4298" s="342" t="str">
        <f t="shared" si="1111"/>
        <v/>
      </c>
      <c r="R4298" s="341"/>
      <c r="S4298" s="341"/>
    </row>
    <row r="4299" spans="1:21" ht="12.75" customHeight="1">
      <c r="A4299" s="393"/>
      <c r="C4299" s="20"/>
      <c r="E4299" s="387"/>
      <c r="F4299" s="388">
        <f t="shared" si="1108"/>
        <v>0</v>
      </c>
      <c r="H4299" s="341" t="str">
        <f>IF(A4299="","",VLOOKUP(A4299,VII.A!$A$10:$D$199,4,FALSE))</f>
        <v/>
      </c>
      <c r="I4299" s="341" t="str">
        <f t="shared" si="1109"/>
        <v/>
      </c>
      <c r="J4299" s="341" t="str">
        <f>IF(A4299="","",VLOOKUP(A4299,VII.A!$A$10:$D$199,3,FALSE))</f>
        <v/>
      </c>
      <c r="K4299" s="342" t="str">
        <f t="shared" si="1110"/>
        <v/>
      </c>
      <c r="L4299" s="380" t="str">
        <f>IF(C4299="","",G4283*C4299)</f>
        <v/>
      </c>
      <c r="M4299" s="381" t="str">
        <f>IF(A4299="","",VLOOKUP(A4299,VII.A!$A$10:$B$199,2,FALSE))</f>
        <v/>
      </c>
      <c r="N4299" s="342" t="str">
        <f t="shared" si="1111"/>
        <v/>
      </c>
      <c r="R4299" s="341"/>
      <c r="S4299" s="341"/>
    </row>
    <row r="4300" spans="1:21" ht="12.75" customHeight="1">
      <c r="A4300" s="393"/>
      <c r="C4300" s="20"/>
      <c r="E4300" s="387"/>
      <c r="F4300" s="388">
        <f t="shared" si="1108"/>
        <v>0</v>
      </c>
      <c r="H4300" s="341" t="str">
        <f>IF(A4300="","",VLOOKUP(A4300,VII.A!$A$10:$D$199,4,FALSE))</f>
        <v/>
      </c>
      <c r="I4300" s="341" t="str">
        <f t="shared" si="1109"/>
        <v/>
      </c>
      <c r="J4300" s="341" t="str">
        <f>IF(A4300="","",VLOOKUP(A4300,VII.A!$A$10:$D$199,3,FALSE))</f>
        <v/>
      </c>
      <c r="K4300" s="342" t="str">
        <f t="shared" si="1110"/>
        <v/>
      </c>
      <c r="L4300" s="380" t="str">
        <f>IF(C4300="","",G4283*C4300)</f>
        <v/>
      </c>
      <c r="M4300" s="381" t="str">
        <f>IF(A4300="","",VLOOKUP(A4300,VII.A!$A$10:$B$199,2,FALSE))</f>
        <v/>
      </c>
      <c r="N4300" s="342" t="str">
        <f t="shared" si="1111"/>
        <v/>
      </c>
      <c r="R4300" s="341"/>
      <c r="S4300" s="341"/>
    </row>
    <row r="4301" spans="1:21" ht="12.75" customHeight="1">
      <c r="A4301" s="393"/>
      <c r="B4301" s="395" t="s">
        <v>226</v>
      </c>
      <c r="C4301" s="396"/>
      <c r="D4301" s="397"/>
      <c r="E4301" s="398"/>
      <c r="F4301" s="399">
        <f>SUM(F4285:F4300)</f>
        <v>0</v>
      </c>
      <c r="J4301" s="341"/>
      <c r="L4301" s="380"/>
      <c r="M4301" s="381"/>
      <c r="N4301" s="342"/>
      <c r="R4301" s="341"/>
      <c r="S4301" s="341"/>
    </row>
    <row r="4302" spans="1:21" ht="12.75" customHeight="1">
      <c r="A4302" s="393"/>
      <c r="B4302" s="400" t="s">
        <v>53</v>
      </c>
      <c r="C4302" s="2">
        <f>$D$8</f>
        <v>0</v>
      </c>
      <c r="D4302" s="401"/>
      <c r="E4302" s="402"/>
      <c r="F4302" s="403">
        <f>ROUND(F4301*C4302,2)</f>
        <v>0</v>
      </c>
      <c r="H4302" s="426" t="s">
        <v>452</v>
      </c>
      <c r="J4302" s="341"/>
      <c r="L4302" s="380"/>
      <c r="M4302" s="381"/>
      <c r="N4302" s="342"/>
      <c r="R4302" s="341"/>
      <c r="S4302" s="341"/>
    </row>
    <row r="4303" spans="1:21" ht="12.75" customHeight="1">
      <c r="A4303" s="404"/>
      <c r="B4303" s="405" t="s">
        <v>227</v>
      </c>
      <c r="C4303" s="406"/>
      <c r="D4303" s="406"/>
      <c r="E4303" s="407"/>
      <c r="F4303" s="408">
        <f>F4301+F4302</f>
        <v>0</v>
      </c>
      <c r="J4303" s="341"/>
      <c r="L4303" s="380"/>
      <c r="M4303" s="381"/>
      <c r="N4303" s="342"/>
      <c r="R4303" s="341"/>
      <c r="S4303" s="341"/>
    </row>
    <row r="4304" spans="1:21" ht="12.75" customHeight="1">
      <c r="A4304" s="374" t="s">
        <v>2</v>
      </c>
      <c r="B4304" s="375" t="s">
        <v>235</v>
      </c>
      <c r="C4304" s="376" t="s">
        <v>231</v>
      </c>
      <c r="D4304" s="376" t="s">
        <v>232</v>
      </c>
      <c r="E4304" s="377" t="s">
        <v>233</v>
      </c>
      <c r="F4304" s="378" t="s">
        <v>234</v>
      </c>
      <c r="J4304" s="341"/>
      <c r="L4304" s="380"/>
      <c r="M4304" s="381"/>
      <c r="N4304" s="342"/>
      <c r="R4304" s="341"/>
      <c r="S4304" s="341"/>
    </row>
    <row r="4305" spans="1:19" ht="12.75" customHeight="1">
      <c r="A4305" s="393"/>
      <c r="B4305" s="423"/>
      <c r="C4305" s="20"/>
      <c r="E4305" s="387"/>
      <c r="F4305" s="388">
        <f t="shared" ref="F4305:F4314" si="1112">ROUND(C4305*E4305,2)</f>
        <v>0</v>
      </c>
      <c r="H4305" s="341" t="str">
        <f>IF(A4305="","",VLOOKUP(A4305,VII.A!$A$10:$D$199,4,FALSE))</f>
        <v/>
      </c>
      <c r="I4305" s="341" t="str">
        <f t="shared" ref="I4305:I4314" si="1113">IF(A4305="","",IF(E4305=H4305,"SIM","NÃO"))</f>
        <v/>
      </c>
      <c r="J4305" s="341" t="str">
        <f>IF(A4305="","",VLOOKUP(A4305,VII.A!$A$10:$D$199,3,FALSE))</f>
        <v/>
      </c>
      <c r="K4305" s="342" t="str">
        <f t="shared" ref="K4305:K4314" si="1114">IF(A4305="","",IF(J4305=D4305,"SIM","NÃO"))</f>
        <v/>
      </c>
      <c r="L4305" s="380" t="str">
        <f>IF(C4305="","",G4283*C4305)</f>
        <v/>
      </c>
      <c r="M4305" s="381" t="str">
        <f>IF(A4305="","",VLOOKUP(A4305,VII.A!$A$10:$B$199,2,FALSE))</f>
        <v/>
      </c>
      <c r="N4305" s="342" t="str">
        <f t="shared" ref="N4305:N4314" si="1115">IF(B4305="","",IF(M4305=B4305,"si","no"))</f>
        <v/>
      </c>
      <c r="R4305" s="341"/>
      <c r="S4305" s="341"/>
    </row>
    <row r="4306" spans="1:19" ht="12.75" customHeight="1">
      <c r="A4306" s="393"/>
      <c r="C4306" s="20"/>
      <c r="E4306" s="387"/>
      <c r="F4306" s="388">
        <f t="shared" si="1112"/>
        <v>0</v>
      </c>
      <c r="H4306" s="341" t="str">
        <f>IF(A4306="","",VLOOKUP(A4306,VII.A!$A$10:$D$199,4,FALSE))</f>
        <v/>
      </c>
      <c r="I4306" s="341" t="str">
        <f t="shared" si="1113"/>
        <v/>
      </c>
      <c r="J4306" s="341" t="str">
        <f>IF(A4306="","",VLOOKUP(A4306,VII.A!$A$10:$D$199,3,FALSE))</f>
        <v/>
      </c>
      <c r="K4306" s="342" t="str">
        <f t="shared" si="1114"/>
        <v/>
      </c>
      <c r="L4306" s="380" t="str">
        <f>IF(C4306="","",G4283*C4306)</f>
        <v/>
      </c>
      <c r="M4306" s="381" t="str">
        <f>IF(A4306="","",VLOOKUP(A4306,VII.A!$A$10:$B$199,2,FALSE))</f>
        <v/>
      </c>
      <c r="N4306" s="342" t="str">
        <f t="shared" si="1115"/>
        <v/>
      </c>
      <c r="R4306" s="341"/>
      <c r="S4306" s="341"/>
    </row>
    <row r="4307" spans="1:19" ht="12.75" customHeight="1">
      <c r="A4307" s="393"/>
      <c r="C4307" s="20"/>
      <c r="E4307" s="387"/>
      <c r="F4307" s="388">
        <f t="shared" si="1112"/>
        <v>0</v>
      </c>
      <c r="H4307" s="341" t="str">
        <f>IF(A4307="","",VLOOKUP(A4307,VII.A!$A$10:$D$199,4,FALSE))</f>
        <v/>
      </c>
      <c r="I4307" s="341" t="str">
        <f t="shared" si="1113"/>
        <v/>
      </c>
      <c r="J4307" s="341" t="str">
        <f>IF(A4307="","",VLOOKUP(A4307,VII.A!$A$10:$D$199,3,FALSE))</f>
        <v/>
      </c>
      <c r="K4307" s="342" t="str">
        <f t="shared" si="1114"/>
        <v/>
      </c>
      <c r="L4307" s="380" t="str">
        <f>IF(C4307="","",G4283*C4307)</f>
        <v/>
      </c>
      <c r="M4307" s="381" t="str">
        <f>IF(A4307="","",VLOOKUP(A4307,VII.A!$A$10:$B$199,2,FALSE))</f>
        <v/>
      </c>
      <c r="N4307" s="342" t="str">
        <f t="shared" si="1115"/>
        <v/>
      </c>
      <c r="R4307" s="341"/>
      <c r="S4307" s="341"/>
    </row>
    <row r="4308" spans="1:19" ht="12.75" customHeight="1">
      <c r="A4308" s="393"/>
      <c r="C4308" s="20"/>
      <c r="E4308" s="387"/>
      <c r="F4308" s="388">
        <f t="shared" si="1112"/>
        <v>0</v>
      </c>
      <c r="H4308" s="341" t="str">
        <f>IF(A4308="","",VLOOKUP(A4308,VII.A!$A$10:$D$199,4,FALSE))</f>
        <v/>
      </c>
      <c r="I4308" s="341" t="str">
        <f t="shared" si="1113"/>
        <v/>
      </c>
      <c r="J4308" s="341" t="str">
        <f>IF(A4308="","",VLOOKUP(A4308,VII.A!$A$10:$D$199,3,FALSE))</f>
        <v/>
      </c>
      <c r="K4308" s="342" t="str">
        <f t="shared" si="1114"/>
        <v/>
      </c>
      <c r="L4308" s="380" t="str">
        <f>IF(C4308="","",G4283*C4308)</f>
        <v/>
      </c>
      <c r="M4308" s="381" t="str">
        <f>IF(A4308="","",VLOOKUP(A4308,VII.A!$A$10:$B$199,2,FALSE))</f>
        <v/>
      </c>
      <c r="N4308" s="342" t="str">
        <f t="shared" si="1115"/>
        <v/>
      </c>
      <c r="R4308" s="341"/>
      <c r="S4308" s="341"/>
    </row>
    <row r="4309" spans="1:19" ht="12.75" customHeight="1">
      <c r="A4309" s="393"/>
      <c r="C4309" s="20"/>
      <c r="E4309" s="387"/>
      <c r="F4309" s="388">
        <f t="shared" si="1112"/>
        <v>0</v>
      </c>
      <c r="G4309" s="390"/>
      <c r="H4309" s="341" t="str">
        <f>IF(A4309="","",VLOOKUP(A4309,VII.A!$A$10:$D$199,4,FALSE))</f>
        <v/>
      </c>
      <c r="I4309" s="341" t="str">
        <f t="shared" si="1113"/>
        <v/>
      </c>
      <c r="J4309" s="341" t="str">
        <f>IF(A4309="","",VLOOKUP(A4309,VII.A!$A$10:$D$199,3,FALSE))</f>
        <v/>
      </c>
      <c r="K4309" s="342" t="str">
        <f t="shared" si="1114"/>
        <v/>
      </c>
      <c r="L4309" s="380" t="str">
        <f>IF(C4309="","",G4283*C4309)</f>
        <v/>
      </c>
      <c r="M4309" s="381" t="str">
        <f>IF(A4309="","",VLOOKUP(A4309,VII.A!$A$10:$B$199,2,FALSE))</f>
        <v/>
      </c>
      <c r="N4309" s="342" t="str">
        <f t="shared" si="1115"/>
        <v/>
      </c>
      <c r="R4309" s="341"/>
      <c r="S4309" s="341"/>
    </row>
    <row r="4310" spans="1:19" ht="12.75" customHeight="1">
      <c r="A4310" s="393"/>
      <c r="C4310" s="20"/>
      <c r="E4310" s="387"/>
      <c r="F4310" s="388">
        <f t="shared" si="1112"/>
        <v>0</v>
      </c>
      <c r="G4310" s="391"/>
      <c r="H4310" s="341" t="str">
        <f>IF(A4310="","",VLOOKUP(A4310,VII.A!$A$10:$D$199,4,FALSE))</f>
        <v/>
      </c>
      <c r="I4310" s="341" t="str">
        <f t="shared" si="1113"/>
        <v/>
      </c>
      <c r="J4310" s="341" t="str">
        <f>IF(A4310="","",VLOOKUP(A4310,VII.A!$A$10:$D$199,3,FALSE))</f>
        <v/>
      </c>
      <c r="K4310" s="342" t="str">
        <f t="shared" si="1114"/>
        <v/>
      </c>
      <c r="L4310" s="380" t="str">
        <f>IF(C4310="","",G4283*C4310)</f>
        <v/>
      </c>
      <c r="M4310" s="381" t="str">
        <f>IF(A4310="","",VLOOKUP(A4310,VII.A!$A$10:$B$199,2,FALSE))</f>
        <v/>
      </c>
      <c r="N4310" s="342" t="str">
        <f t="shared" si="1115"/>
        <v/>
      </c>
      <c r="R4310" s="341"/>
      <c r="S4310" s="341"/>
    </row>
    <row r="4311" spans="1:19" ht="12.75" customHeight="1">
      <c r="A4311" s="393"/>
      <c r="C4311" s="20"/>
      <c r="E4311" s="387"/>
      <c r="F4311" s="388">
        <f t="shared" si="1112"/>
        <v>0</v>
      </c>
      <c r="H4311" s="341" t="str">
        <f>IF(A4311="","",VLOOKUP(A4311,VII.A!$A$10:$D$199,4,FALSE))</f>
        <v/>
      </c>
      <c r="I4311" s="341" t="str">
        <f t="shared" si="1113"/>
        <v/>
      </c>
      <c r="J4311" s="341" t="str">
        <f>IF(A4311="","",VLOOKUP(A4311,VII.A!$A$10:$D$199,3,FALSE))</f>
        <v/>
      </c>
      <c r="K4311" s="342" t="str">
        <f t="shared" si="1114"/>
        <v/>
      </c>
      <c r="L4311" s="380" t="str">
        <f>IF(C4311="","",G4283*C4311)</f>
        <v/>
      </c>
      <c r="M4311" s="381" t="str">
        <f>IF(A4311="","",VLOOKUP(A4311,VII.A!$A$10:$B$199,2,FALSE))</f>
        <v/>
      </c>
      <c r="N4311" s="342" t="str">
        <f t="shared" si="1115"/>
        <v/>
      </c>
      <c r="R4311" s="341"/>
      <c r="S4311" s="341"/>
    </row>
    <row r="4312" spans="1:19" ht="12.75" customHeight="1">
      <c r="A4312" s="393"/>
      <c r="C4312" s="20"/>
      <c r="E4312" s="387"/>
      <c r="F4312" s="388">
        <f t="shared" si="1112"/>
        <v>0</v>
      </c>
      <c r="H4312" s="341" t="str">
        <f>IF(A4312="","",VLOOKUP(A4312,VII.A!$A$10:$D$199,4,FALSE))</f>
        <v/>
      </c>
      <c r="I4312" s="341" t="str">
        <f t="shared" si="1113"/>
        <v/>
      </c>
      <c r="J4312" s="341" t="str">
        <f>IF(A4312="","",VLOOKUP(A4312,VII.A!$A$10:$D$199,3,FALSE))</f>
        <v/>
      </c>
      <c r="K4312" s="342" t="str">
        <f t="shared" si="1114"/>
        <v/>
      </c>
      <c r="L4312" s="380" t="str">
        <f>IF(C4312="","",G4283*C4312)</f>
        <v/>
      </c>
      <c r="M4312" s="381" t="str">
        <f>IF(A4312="","",VLOOKUP(A4312,VII.A!$A$10:$B$199,2,FALSE))</f>
        <v/>
      </c>
      <c r="N4312" s="342" t="str">
        <f t="shared" si="1115"/>
        <v/>
      </c>
      <c r="R4312" s="341"/>
      <c r="S4312" s="341"/>
    </row>
    <row r="4313" spans="1:19" ht="12.75" customHeight="1">
      <c r="A4313" s="393"/>
      <c r="C4313" s="20"/>
      <c r="E4313" s="387"/>
      <c r="F4313" s="388">
        <f t="shared" si="1112"/>
        <v>0</v>
      </c>
      <c r="H4313" s="341" t="str">
        <f>IF(A4313="","",VLOOKUP(A4313,VII.A!$A$10:$D$199,4,FALSE))</f>
        <v/>
      </c>
      <c r="I4313" s="341" t="str">
        <f t="shared" si="1113"/>
        <v/>
      </c>
      <c r="J4313" s="341" t="str">
        <f>IF(A4313="","",VLOOKUP(A4313,VII.A!$A$10:$D$199,3,FALSE))</f>
        <v/>
      </c>
      <c r="K4313" s="342" t="str">
        <f t="shared" si="1114"/>
        <v/>
      </c>
      <c r="L4313" s="380" t="str">
        <f>IF(C4313="","",G4283*C4313)</f>
        <v/>
      </c>
      <c r="M4313" s="381" t="str">
        <f>IF(A4313="","",VLOOKUP(A4313,VII.A!$A$10:$B$199,2,FALSE))</f>
        <v/>
      </c>
      <c r="N4313" s="342" t="str">
        <f t="shared" si="1115"/>
        <v/>
      </c>
      <c r="R4313" s="341"/>
      <c r="S4313" s="341"/>
    </row>
    <row r="4314" spans="1:19" ht="12.75" customHeight="1">
      <c r="A4314" s="393"/>
      <c r="C4314" s="20"/>
      <c r="E4314" s="387"/>
      <c r="F4314" s="388">
        <f t="shared" si="1112"/>
        <v>0</v>
      </c>
      <c r="H4314" s="341" t="str">
        <f>IF(A4314="","",VLOOKUP(A4314,VII.A!$A$10:$D$199,4,FALSE))</f>
        <v/>
      </c>
      <c r="I4314" s="341" t="str">
        <f t="shared" si="1113"/>
        <v/>
      </c>
      <c r="J4314" s="341" t="str">
        <f>IF(A4314="","",VLOOKUP(A4314,VII.A!$A$10:$D$199,3,FALSE))</f>
        <v/>
      </c>
      <c r="K4314" s="342" t="str">
        <f t="shared" si="1114"/>
        <v/>
      </c>
      <c r="L4314" s="380" t="str">
        <f>IF(C4314="","",G4283*C4314)</f>
        <v/>
      </c>
      <c r="M4314" s="381" t="str">
        <f>IF(A4314="","",VLOOKUP(A4314,VII.A!$A$10:$B$199,2,FALSE))</f>
        <v/>
      </c>
      <c r="N4314" s="342" t="str">
        <f t="shared" si="1115"/>
        <v/>
      </c>
      <c r="R4314" s="341"/>
      <c r="S4314" s="341"/>
    </row>
    <row r="4315" spans="1:19" ht="12.75" customHeight="1">
      <c r="A4315" s="393"/>
      <c r="B4315" s="395" t="s">
        <v>226</v>
      </c>
      <c r="C4315" s="396"/>
      <c r="D4315" s="397"/>
      <c r="E4315" s="398"/>
      <c r="F4315" s="399">
        <f>SUM(F4305:F4314)</f>
        <v>0</v>
      </c>
      <c r="J4315" s="341"/>
      <c r="L4315" s="380"/>
      <c r="M4315" s="381"/>
      <c r="N4315" s="342"/>
      <c r="R4315" s="341"/>
      <c r="S4315" s="341"/>
    </row>
    <row r="4316" spans="1:19" ht="12.75" customHeight="1">
      <c r="A4316" s="393"/>
      <c r="B4316" s="400" t="s">
        <v>53</v>
      </c>
      <c r="C4316" s="2">
        <f>$D$8</f>
        <v>0</v>
      </c>
      <c r="D4316" s="401"/>
      <c r="E4316" s="402"/>
      <c r="F4316" s="403">
        <f>ROUND(C4316*F4315,2)</f>
        <v>0</v>
      </c>
      <c r="J4316" s="341"/>
      <c r="L4316" s="380"/>
      <c r="M4316" s="381"/>
      <c r="N4316" s="342"/>
      <c r="R4316" s="341"/>
      <c r="S4316" s="341"/>
    </row>
    <row r="4317" spans="1:19" ht="12.75" customHeight="1">
      <c r="A4317" s="404"/>
      <c r="B4317" s="405" t="s">
        <v>228</v>
      </c>
      <c r="C4317" s="406"/>
      <c r="D4317" s="406"/>
      <c r="E4317" s="407"/>
      <c r="F4317" s="408">
        <f>F4315+F4316</f>
        <v>0</v>
      </c>
      <c r="J4317" s="341"/>
      <c r="L4317" s="380"/>
      <c r="M4317" s="381"/>
      <c r="N4317" s="342"/>
      <c r="R4317" s="341"/>
      <c r="S4317" s="341"/>
    </row>
    <row r="4318" spans="1:19" ht="12.75" customHeight="1">
      <c r="A4318" s="409" t="s">
        <v>47</v>
      </c>
      <c r="B4318" s="410" t="s">
        <v>236</v>
      </c>
      <c r="C4318" s="411" t="s">
        <v>231</v>
      </c>
      <c r="D4318" s="412" t="s">
        <v>232</v>
      </c>
      <c r="E4318" s="413" t="s">
        <v>233</v>
      </c>
      <c r="F4318" s="378" t="s">
        <v>234</v>
      </c>
      <c r="J4318" s="341"/>
      <c r="L4318" s="380"/>
      <c r="M4318" s="381"/>
      <c r="N4318" s="342"/>
      <c r="R4318" s="341"/>
      <c r="S4318" s="341"/>
    </row>
    <row r="4319" spans="1:19" ht="12.75" customHeight="1">
      <c r="A4319" s="393" t="str">
        <f>VII.A!$A$191</f>
        <v>3.11</v>
      </c>
      <c r="B4319" s="394" t="str">
        <f>VII.A!B191</f>
        <v>IMPERMEABILIZADOR COM ENCARGOS COMPLEMENTARES</v>
      </c>
      <c r="C4319" s="20">
        <v>1.4</v>
      </c>
      <c r="D4319" s="384" t="str">
        <f>VII.A!C191</f>
        <v>H</v>
      </c>
      <c r="E4319" s="387">
        <f>VII.A!D191</f>
        <v>0</v>
      </c>
      <c r="F4319" s="388">
        <f t="shared" ref="F4319:F4325" si="1116">ROUND(C4319*E4319,2)</f>
        <v>0</v>
      </c>
      <c r="H4319" s="341">
        <f>IF(A4319="","",VLOOKUP(A4319,VII.A!$A$10:$D$199,4,FALSE))</f>
        <v>0</v>
      </c>
      <c r="I4319" s="341" t="str">
        <f t="shared" ref="I4319:I4325" si="1117">IF(A4319="","",IF(E4319=H4319,"SIM","NÃO"))</f>
        <v>SIM</v>
      </c>
      <c r="J4319" s="341" t="str">
        <f>IF(A4319="","",VLOOKUP(A4319,VII.A!$A$10:$D$199,3,FALSE))</f>
        <v>H</v>
      </c>
      <c r="K4319" s="342" t="str">
        <f t="shared" ref="K4319:K4325" si="1118">IF(A4319="","",IF(J4319=D4319,"SIM","NÃO"))</f>
        <v>SIM</v>
      </c>
      <c r="L4319" s="380">
        <f>IF(C4319="","",G4283*C4319)</f>
        <v>210</v>
      </c>
      <c r="M4319" s="381" t="str">
        <f>IF(A4319="","",VLOOKUP(A4319,VII.A!$A$10:$B$199,2,FALSE))</f>
        <v>IMPERMEABILIZADOR COM ENCARGOS COMPLEMENTARES</v>
      </c>
      <c r="N4319" s="342" t="str">
        <f t="shared" ref="N4319:N4325" si="1119">IF(B4319="","",IF(M4319=B4319,"si","no"))</f>
        <v>si</v>
      </c>
      <c r="R4319" s="341"/>
      <c r="S4319" s="341"/>
    </row>
    <row r="4320" spans="1:19" ht="12.75" customHeight="1">
      <c r="A4320" s="393" t="str">
        <f>VII.A!$A$196</f>
        <v>3.16</v>
      </c>
      <c r="B4320" s="394" t="str">
        <f>VII.A!B196</f>
        <v>SERVENTE COM ENCARGOS COMPLEMENTARES</v>
      </c>
      <c r="C4320" s="20">
        <v>0.7</v>
      </c>
      <c r="D4320" s="384" t="str">
        <f>VII.A!C196</f>
        <v>H</v>
      </c>
      <c r="E4320" s="387">
        <f>VII.A!D196</f>
        <v>0</v>
      </c>
      <c r="F4320" s="388">
        <f t="shared" si="1116"/>
        <v>0</v>
      </c>
      <c r="H4320" s="341">
        <f>IF(A4320="","",VLOOKUP(A4320,VII.A!$A$10:$D$199,4,FALSE))</f>
        <v>0</v>
      </c>
      <c r="I4320" s="341" t="str">
        <f t="shared" si="1117"/>
        <v>SIM</v>
      </c>
      <c r="J4320" s="341" t="str">
        <f>IF(A4320="","",VLOOKUP(A4320,VII.A!$A$10:$D$199,3,FALSE))</f>
        <v>H</v>
      </c>
      <c r="K4320" s="342" t="str">
        <f t="shared" si="1118"/>
        <v>SIM</v>
      </c>
      <c r="L4320" s="380">
        <f>IF(C4320="","",G4283*C4320)</f>
        <v>105</v>
      </c>
      <c r="M4320" s="381" t="str">
        <f>IF(A4320="","",VLOOKUP(A4320,VII.A!$A$10:$B$199,2,FALSE))</f>
        <v>SERVENTE COM ENCARGOS COMPLEMENTARES</v>
      </c>
      <c r="N4320" s="342" t="str">
        <f t="shared" si="1119"/>
        <v>si</v>
      </c>
      <c r="R4320" s="341"/>
      <c r="S4320" s="341"/>
    </row>
    <row r="4321" spans="1:25" ht="12.75" customHeight="1">
      <c r="A4321" s="393"/>
      <c r="C4321" s="20"/>
      <c r="E4321" s="387"/>
      <c r="F4321" s="388">
        <f t="shared" si="1116"/>
        <v>0</v>
      </c>
      <c r="H4321" s="341" t="str">
        <f>IF(A4321="","",VLOOKUP(A4321,VII.A!$A$10:$D$199,4,FALSE))</f>
        <v/>
      </c>
      <c r="I4321" s="341" t="str">
        <f t="shared" si="1117"/>
        <v/>
      </c>
      <c r="J4321" s="341" t="str">
        <f>IF(A4321="","",VLOOKUP(A4321,VII.A!$A$10:$D$199,3,FALSE))</f>
        <v/>
      </c>
      <c r="K4321" s="342" t="str">
        <f t="shared" si="1118"/>
        <v/>
      </c>
      <c r="L4321" s="380" t="str">
        <f>IF(C4321="","",G4283*C4321)</f>
        <v/>
      </c>
      <c r="M4321" s="381" t="str">
        <f>IF(A4321="","",VLOOKUP(A4321,VII.A!$A$10:$B$199,2,FALSE))</f>
        <v/>
      </c>
      <c r="N4321" s="342" t="str">
        <f t="shared" si="1119"/>
        <v/>
      </c>
      <c r="R4321" s="341"/>
      <c r="S4321" s="341"/>
    </row>
    <row r="4322" spans="1:25" ht="12.75" customHeight="1">
      <c r="A4322" s="393"/>
      <c r="C4322" s="20"/>
      <c r="E4322" s="387"/>
      <c r="F4322" s="388">
        <f t="shared" si="1116"/>
        <v>0</v>
      </c>
      <c r="H4322" s="341" t="str">
        <f>IF(A4322="","",VLOOKUP(A4322,VII.A!$A$10:$D$199,4,FALSE))</f>
        <v/>
      </c>
      <c r="I4322" s="341" t="str">
        <f t="shared" si="1117"/>
        <v/>
      </c>
      <c r="J4322" s="341" t="str">
        <f>IF(A4322="","",VLOOKUP(A4322,VII.A!$A$10:$D$199,3,FALSE))</f>
        <v/>
      </c>
      <c r="K4322" s="342" t="str">
        <f t="shared" si="1118"/>
        <v/>
      </c>
      <c r="L4322" s="380" t="str">
        <f>IF(C4322="","",G4283*C4322)</f>
        <v/>
      </c>
      <c r="M4322" s="381" t="str">
        <f>IF(A4322="","",VLOOKUP(A4322,VII.A!$A$10:$B$199,2,FALSE))</f>
        <v/>
      </c>
      <c r="N4322" s="342" t="str">
        <f t="shared" si="1119"/>
        <v/>
      </c>
      <c r="R4322" s="341"/>
      <c r="S4322" s="341"/>
    </row>
    <row r="4323" spans="1:25" ht="12.75" customHeight="1">
      <c r="A4323" s="393"/>
      <c r="C4323" s="20"/>
      <c r="E4323" s="387"/>
      <c r="F4323" s="388">
        <f t="shared" si="1116"/>
        <v>0</v>
      </c>
      <c r="H4323" s="341" t="str">
        <f>IF(A4323="","",VLOOKUP(A4323,VII.A!$A$10:$D$199,4,FALSE))</f>
        <v/>
      </c>
      <c r="I4323" s="341" t="str">
        <f t="shared" si="1117"/>
        <v/>
      </c>
      <c r="J4323" s="341" t="str">
        <f>IF(A4323="","",VLOOKUP(A4323,VII.A!$A$10:$D$199,3,FALSE))</f>
        <v/>
      </c>
      <c r="K4323" s="342" t="str">
        <f t="shared" si="1118"/>
        <v/>
      </c>
      <c r="L4323" s="380" t="str">
        <f>IF(C4323="","",G4283*C4323)</f>
        <v/>
      </c>
      <c r="M4323" s="381" t="str">
        <f>IF(A4323="","",VLOOKUP(A4323,VII.A!$A$10:$B$199,2,FALSE))</f>
        <v/>
      </c>
      <c r="N4323" s="342" t="str">
        <f t="shared" si="1119"/>
        <v/>
      </c>
      <c r="R4323" s="341"/>
      <c r="S4323" s="341"/>
    </row>
    <row r="4324" spans="1:25" ht="12.75" customHeight="1">
      <c r="A4324" s="393"/>
      <c r="C4324" s="20"/>
      <c r="E4324" s="387"/>
      <c r="F4324" s="388">
        <f t="shared" si="1116"/>
        <v>0</v>
      </c>
      <c r="H4324" s="341" t="str">
        <f>IF(A4324="","",VLOOKUP(A4324,VII.A!$A$10:$D$199,4,FALSE))</f>
        <v/>
      </c>
      <c r="I4324" s="341" t="str">
        <f t="shared" si="1117"/>
        <v/>
      </c>
      <c r="J4324" s="341" t="str">
        <f>IF(A4324="","",VLOOKUP(A4324,VII.A!$A$10:$D$199,3,FALSE))</f>
        <v/>
      </c>
      <c r="K4324" s="342" t="str">
        <f t="shared" si="1118"/>
        <v/>
      </c>
      <c r="L4324" s="380" t="str">
        <f>IF(C4324="","",G4283*C4324)</f>
        <v/>
      </c>
      <c r="M4324" s="381" t="str">
        <f>IF(A4324="","",VLOOKUP(A4324,VII.A!$A$10:$B$199,2,FALSE))</f>
        <v/>
      </c>
      <c r="N4324" s="342" t="str">
        <f t="shared" si="1119"/>
        <v/>
      </c>
      <c r="R4324" s="341"/>
      <c r="S4324" s="341"/>
    </row>
    <row r="4325" spans="1:25" ht="12.75" customHeight="1">
      <c r="A4325" s="393"/>
      <c r="C4325" s="20"/>
      <c r="E4325" s="387"/>
      <c r="F4325" s="388">
        <f t="shared" si="1116"/>
        <v>0</v>
      </c>
      <c r="H4325" s="341" t="str">
        <f>IF(A4325="","",VLOOKUP(A4325,VII.A!$A$10:$D$199,4,FALSE))</f>
        <v/>
      </c>
      <c r="I4325" s="341" t="str">
        <f t="shared" si="1117"/>
        <v/>
      </c>
      <c r="J4325" s="341" t="str">
        <f>IF(A4325="","",VLOOKUP(A4325,VII.A!$A$10:$D$199,3,FALSE))</f>
        <v/>
      </c>
      <c r="K4325" s="342" t="str">
        <f t="shared" si="1118"/>
        <v/>
      </c>
      <c r="L4325" s="380" t="str">
        <f>IF(C4325="","",G4283*C4325)</f>
        <v/>
      </c>
      <c r="M4325" s="381" t="str">
        <f>IF(A4325="","",VLOOKUP(A4325,VII.A!$A$10:$B$199,2,FALSE))</f>
        <v/>
      </c>
      <c r="N4325" s="342" t="str">
        <f t="shared" si="1119"/>
        <v/>
      </c>
      <c r="R4325" s="341"/>
      <c r="S4325" s="341"/>
    </row>
    <row r="4326" spans="1:25" ht="12.75" customHeight="1">
      <c r="A4326" s="393"/>
      <c r="B4326" s="395" t="s">
        <v>226</v>
      </c>
      <c r="C4326" s="396"/>
      <c r="D4326" s="397"/>
      <c r="E4326" s="398"/>
      <c r="F4326" s="399">
        <f>SUM(F4319:F4325)</f>
        <v>0</v>
      </c>
      <c r="J4326" s="341"/>
      <c r="L4326" s="380"/>
      <c r="M4326" s="381"/>
      <c r="N4326" s="342"/>
      <c r="R4326" s="341"/>
      <c r="S4326" s="341"/>
    </row>
    <row r="4327" spans="1:25" ht="12.75" customHeight="1">
      <c r="A4327" s="393"/>
      <c r="B4327" s="400" t="s">
        <v>229</v>
      </c>
      <c r="C4327" s="2">
        <f>IX.A!$C$45</f>
        <v>0</v>
      </c>
      <c r="D4327" s="401"/>
      <c r="E4327" s="402"/>
      <c r="F4327" s="403">
        <f>ROUND(F4326*C4327,2)</f>
        <v>0</v>
      </c>
      <c r="J4327" s="341"/>
      <c r="L4327" s="380"/>
      <c r="M4327" s="381"/>
      <c r="N4327" s="342"/>
      <c r="R4327" s="341"/>
      <c r="S4327" s="341"/>
    </row>
    <row r="4328" spans="1:25" ht="12.75" customHeight="1">
      <c r="A4328" s="393"/>
      <c r="B4328" s="400" t="s">
        <v>53</v>
      </c>
      <c r="C4328" s="2">
        <f>$D$8</f>
        <v>0</v>
      </c>
      <c r="D4328" s="401"/>
      <c r="E4328" s="402"/>
      <c r="F4328" s="403">
        <f>ROUND(SUM(F4326:F4327)*C4328,2)</f>
        <v>0</v>
      </c>
      <c r="J4328" s="341"/>
      <c r="L4328" s="380"/>
      <c r="M4328" s="381"/>
      <c r="N4328" s="342"/>
      <c r="R4328" s="341"/>
      <c r="S4328" s="341"/>
    </row>
    <row r="4329" spans="1:25" ht="12.75" customHeight="1" thickBot="1">
      <c r="A4329" s="414"/>
      <c r="B4329" s="415" t="s">
        <v>230</v>
      </c>
      <c r="C4329" s="416"/>
      <c r="D4329" s="416"/>
      <c r="E4329" s="417"/>
      <c r="F4329" s="418">
        <f>SUM(F4326:F4328)</f>
        <v>0</v>
      </c>
      <c r="J4329" s="341"/>
      <c r="L4329" s="380"/>
      <c r="M4329" s="381"/>
      <c r="N4329" s="342"/>
      <c r="R4329" s="341"/>
      <c r="S4329" s="341"/>
    </row>
    <row r="4330" spans="1:25" ht="12.75" customHeight="1" thickBot="1">
      <c r="A4330" s="427"/>
      <c r="B4330" s="428"/>
      <c r="C4330" s="429"/>
      <c r="D4330" s="429"/>
      <c r="E4330" s="430"/>
      <c r="F4330" s="431"/>
      <c r="J4330" s="341"/>
      <c r="L4330" s="380"/>
      <c r="M4330" s="381"/>
      <c r="N4330" s="342"/>
      <c r="R4330" s="341"/>
      <c r="S4330" s="341"/>
    </row>
    <row r="4331" spans="1:25" ht="30" customHeight="1">
      <c r="A4331" s="370" t="str">
        <f>IV.A!$A$132</f>
        <v>5.5</v>
      </c>
      <c r="B4331" s="371" t="str">
        <f>IV.A!$B$132</f>
        <v xml:space="preserve">TRATAMENTO FLEXÍVEL C/INJEÇÃO DE SELANTE À BASE DE POLIURETANO HIDROATIVADO E GEL </v>
      </c>
      <c r="C4331" s="871" t="s">
        <v>237</v>
      </c>
      <c r="D4331" s="872"/>
      <c r="E4331" s="372" t="str">
        <f>IV.A!C$132</f>
        <v>M</v>
      </c>
      <c r="F4331" s="11">
        <f>ROUND(F4351+F4365+F4377,2)</f>
        <v>0</v>
      </c>
      <c r="G4331" s="1">
        <f>VLOOKUP(A4331,IV.A!$A$16:$L$172,4,FALSE)</f>
        <v>150</v>
      </c>
      <c r="H4331" s="361">
        <f>SUM(F4333:F4348)+F4350</f>
        <v>0</v>
      </c>
      <c r="I4331" s="361">
        <f>SUM(F4353:F4362)+F4364</f>
        <v>0</v>
      </c>
      <c r="J4331" s="361">
        <f>SUM(F4367:F4373)+F4375+F4376</f>
        <v>0</v>
      </c>
      <c r="K4331" s="361">
        <f>SUM(H4331:J4331)</f>
        <v>0</v>
      </c>
      <c r="L4331" s="362" t="str">
        <f>IF(K4331=F4331,"SIM","NÃO")</f>
        <v>SIM</v>
      </c>
      <c r="M4331" s="373">
        <f>ROUND(SUM(F4333:F4348),2)+ROUND(SUM(F4333:F4348)*C4350,2)+ROUND(SUM(F4353:F4362)*C4364,2)+ROUND(SUM(F4353:F4362),2)+ROUND(SUM(F4367:F4373)*C4375,2)+ROUND((SUM(F4367:F4373)+ROUND(SUM(F4367:F4373)*C4375,2))*C4376,2)+ROUND(SUM(F4367:F4373),2)</f>
        <v>0</v>
      </c>
      <c r="N4331" s="343" t="str">
        <f>IF(M4331=F4331,"SIM","NÃO")</f>
        <v>SIM</v>
      </c>
      <c r="O4331" s="364" t="str">
        <f>VLOOKUP(A4331,IV.A!$A$16:$E$172,3,FALSE)</f>
        <v>M</v>
      </c>
      <c r="P4331" s="344" t="str">
        <f>IF(O4331=E4331,"SIM","NÃO")</f>
        <v>SIM</v>
      </c>
      <c r="Q4331" s="365">
        <f>ROUND(G4331*F4351,2)+ROUND(G4331*F4365,2)+ROUND(G4331*F4377,2)</f>
        <v>0</v>
      </c>
      <c r="R4331" s="364">
        <f>VLOOKUP(A4331,IV.A!$A$16:$L$172,12,FALSE)</f>
        <v>0</v>
      </c>
      <c r="S4331" s="366" t="str">
        <f>IF(Q4331=R4331,"si","no")</f>
        <v>si</v>
      </c>
      <c r="T4331" s="367">
        <f>SUM(L4333:L4348)+SUM(L4353:L4362)+SUM(L4367:L4373)</f>
        <v>150</v>
      </c>
      <c r="U4331" s="341">
        <f>(SUM(C4333:C4348)+SUM(C4353:C4362)+SUM(C4367:C4373))*G4331</f>
        <v>150</v>
      </c>
      <c r="V4331" s="368" t="str">
        <f>IF(T4331=U4331,"si","no")</f>
        <v>si</v>
      </c>
      <c r="W4331" s="369">
        <f>SUM(F4333:F4348)</f>
        <v>0</v>
      </c>
      <c r="X4331" s="369">
        <f>SUM(F4353:F4362)</f>
        <v>0</v>
      </c>
      <c r="Y4331" s="369">
        <f>SUM(F4367:F4373)</f>
        <v>0</v>
      </c>
    </row>
    <row r="4332" spans="1:25" ht="12.75" customHeight="1">
      <c r="A4332" s="374" t="s">
        <v>14</v>
      </c>
      <c r="B4332" s="375" t="s">
        <v>132</v>
      </c>
      <c r="C4332" s="376" t="s">
        <v>231</v>
      </c>
      <c r="D4332" s="376" t="s">
        <v>232</v>
      </c>
      <c r="E4332" s="377" t="s">
        <v>233</v>
      </c>
      <c r="F4332" s="378" t="s">
        <v>234</v>
      </c>
      <c r="G4332" s="379"/>
      <c r="J4332" s="341"/>
      <c r="L4332" s="380"/>
      <c r="M4332" s="381"/>
      <c r="N4332" s="342"/>
      <c r="O4332" s="382"/>
      <c r="P4332" s="383"/>
      <c r="Q4332" s="383"/>
      <c r="R4332" s="383"/>
      <c r="S4332" s="383"/>
      <c r="T4332" s="382"/>
      <c r="U4332" s="341"/>
      <c r="V4332" s="384"/>
      <c r="W4332" s="384"/>
      <c r="X4332" s="384"/>
      <c r="Y4332" s="384"/>
    </row>
    <row r="4333" spans="1:25" ht="12.75" customHeight="1">
      <c r="A4333" s="385"/>
      <c r="B4333" s="386"/>
      <c r="C4333" s="20"/>
      <c r="D4333" s="342"/>
      <c r="E4333" s="387"/>
      <c r="F4333" s="388">
        <f>ROUND(C4333*E4333,2)</f>
        <v>0</v>
      </c>
      <c r="H4333" s="341" t="str">
        <f>IF(A4333="","",VLOOKUP(A4333,VII.A!$A$10:$D$199,4,FALSE))</f>
        <v/>
      </c>
      <c r="I4333" s="341" t="str">
        <f t="shared" ref="I4333:I4348" si="1120">IF(A4333="","",IF(E4333=H4333,"SIM","NÃO"))</f>
        <v/>
      </c>
      <c r="J4333" s="341" t="str">
        <f>IF(A4333="","",VLOOKUP(A4333,VII.A!$A$10:$D$199,3,FALSE))</f>
        <v/>
      </c>
      <c r="K4333" s="342" t="str">
        <f t="shared" ref="K4333:K4348" si="1121">IF(A4333="","",IF(J4333=D4333,"SIM","NÃO"))</f>
        <v/>
      </c>
      <c r="L4333" s="380" t="str">
        <f>IF(C4333="","",G4331*C4333)</f>
        <v/>
      </c>
      <c r="M4333" s="381" t="str">
        <f>IF(A4333="","",VLOOKUP(A4333,VII.A!$A$10:$B$199,2,FALSE))</f>
        <v/>
      </c>
      <c r="N4333" s="342" t="str">
        <f t="shared" ref="N4333:N4348" si="1122">IF(B4333="","",IF(M4333=B4333,"si","no"))</f>
        <v/>
      </c>
      <c r="R4333" s="341"/>
      <c r="S4333" s="341"/>
    </row>
    <row r="4334" spans="1:25" ht="12.75" customHeight="1">
      <c r="A4334" s="385"/>
      <c r="B4334" s="386"/>
      <c r="C4334" s="20"/>
      <c r="D4334" s="342"/>
      <c r="E4334" s="387"/>
      <c r="F4334" s="388">
        <f t="shared" ref="F4334:F4348" si="1123">ROUND(C4334*E4334,2)</f>
        <v>0</v>
      </c>
      <c r="H4334" s="341" t="str">
        <f>IF(A4334="","",VLOOKUP(A4334,VII.A!$A$10:$D$199,4,FALSE))</f>
        <v/>
      </c>
      <c r="I4334" s="341" t="str">
        <f t="shared" si="1120"/>
        <v/>
      </c>
      <c r="J4334" s="341" t="str">
        <f>IF(A4334="","",VLOOKUP(A4334,VII.A!$A$10:$D$199,3,FALSE))</f>
        <v/>
      </c>
      <c r="K4334" s="342" t="str">
        <f t="shared" si="1121"/>
        <v/>
      </c>
      <c r="L4334" s="380" t="str">
        <f>IF(C4334="","",G4331*C4334)</f>
        <v/>
      </c>
      <c r="M4334" s="381" t="str">
        <f>IF(A4334="","",VLOOKUP(A4334,VII.A!$A$10:$B$199,2,FALSE))</f>
        <v/>
      </c>
      <c r="N4334" s="342" t="str">
        <f t="shared" si="1122"/>
        <v/>
      </c>
      <c r="R4334" s="341"/>
      <c r="S4334" s="341"/>
    </row>
    <row r="4335" spans="1:25" ht="12.75" customHeight="1">
      <c r="A4335" s="385"/>
      <c r="B4335" s="386"/>
      <c r="C4335" s="20"/>
      <c r="D4335" s="342"/>
      <c r="E4335" s="387"/>
      <c r="F4335" s="388">
        <f t="shared" si="1123"/>
        <v>0</v>
      </c>
      <c r="H4335" s="341" t="str">
        <f>IF(A4335="","",VLOOKUP(A4335,VII.A!$A$10:$D$199,4,FALSE))</f>
        <v/>
      </c>
      <c r="I4335" s="341" t="str">
        <f t="shared" si="1120"/>
        <v/>
      </c>
      <c r="J4335" s="341" t="str">
        <f>IF(A4335="","",VLOOKUP(A4335,VII.A!$A$10:$D$199,3,FALSE))</f>
        <v/>
      </c>
      <c r="K4335" s="342" t="str">
        <f t="shared" si="1121"/>
        <v/>
      </c>
      <c r="L4335" s="380" t="str">
        <f>IF(C4335="","",G4331*C4335)</f>
        <v/>
      </c>
      <c r="M4335" s="381" t="str">
        <f>IF(A4335="","",VLOOKUP(A4335,VII.A!$A$10:$B$199,2,FALSE))</f>
        <v/>
      </c>
      <c r="N4335" s="342" t="str">
        <f t="shared" si="1122"/>
        <v/>
      </c>
      <c r="R4335" s="341"/>
      <c r="S4335" s="341"/>
    </row>
    <row r="4336" spans="1:25" ht="12.75" customHeight="1">
      <c r="A4336" s="385"/>
      <c r="B4336" s="386"/>
      <c r="C4336" s="20"/>
      <c r="D4336" s="342"/>
      <c r="E4336" s="387"/>
      <c r="F4336" s="388">
        <f t="shared" si="1123"/>
        <v>0</v>
      </c>
      <c r="H4336" s="341" t="str">
        <f>IF(A4336="","",VLOOKUP(A4336,VII.A!$A$10:$D$199,4,FALSE))</f>
        <v/>
      </c>
      <c r="I4336" s="341" t="str">
        <f t="shared" si="1120"/>
        <v/>
      </c>
      <c r="J4336" s="341" t="str">
        <f>IF(A4336="","",VLOOKUP(A4336,VII.A!$A$10:$D$199,3,FALSE))</f>
        <v/>
      </c>
      <c r="K4336" s="342" t="str">
        <f t="shared" si="1121"/>
        <v/>
      </c>
      <c r="L4336" s="380" t="str">
        <f>IF(C4336="","",G4331*C4336)</f>
        <v/>
      </c>
      <c r="M4336" s="381" t="str">
        <f>IF(A4336="","",VLOOKUP(A4336,VII.A!$A$10:$B$199,2,FALSE))</f>
        <v/>
      </c>
      <c r="N4336" s="342" t="str">
        <f t="shared" si="1122"/>
        <v/>
      </c>
      <c r="R4336" s="341"/>
      <c r="S4336" s="341"/>
    </row>
    <row r="4337" spans="1:21" ht="12.75" customHeight="1">
      <c r="A4337" s="385"/>
      <c r="B4337" s="386"/>
      <c r="C4337" s="20"/>
      <c r="D4337" s="342"/>
      <c r="E4337" s="387"/>
      <c r="F4337" s="388">
        <f t="shared" si="1123"/>
        <v>0</v>
      </c>
      <c r="H4337" s="341" t="str">
        <f>IF(A4337="","",VLOOKUP(A4337,VII.A!$A$10:$D$199,4,FALSE))</f>
        <v/>
      </c>
      <c r="I4337" s="341" t="str">
        <f t="shared" si="1120"/>
        <v/>
      </c>
      <c r="J4337" s="341" t="str">
        <f>IF(A4337="","",VLOOKUP(A4337,VII.A!$A$10:$D$199,3,FALSE))</f>
        <v/>
      </c>
      <c r="K4337" s="342" t="str">
        <f t="shared" si="1121"/>
        <v/>
      </c>
      <c r="L4337" s="380" t="str">
        <f>IF(C4337="","",G4331*C4337)</f>
        <v/>
      </c>
      <c r="M4337" s="381" t="str">
        <f>IF(A4337="","",VLOOKUP(A4337,VII.A!$A$10:$B$199,2,FALSE))</f>
        <v/>
      </c>
      <c r="N4337" s="342" t="str">
        <f t="shared" si="1122"/>
        <v/>
      </c>
      <c r="R4337" s="341"/>
      <c r="S4337" s="341"/>
    </row>
    <row r="4338" spans="1:21" ht="12.75" customHeight="1">
      <c r="A4338" s="385"/>
      <c r="B4338" s="386"/>
      <c r="C4338" s="20"/>
      <c r="D4338" s="342"/>
      <c r="E4338" s="387"/>
      <c r="F4338" s="388">
        <f t="shared" si="1123"/>
        <v>0</v>
      </c>
      <c r="H4338" s="341" t="str">
        <f>IF(A4338="","",VLOOKUP(A4338,VII.A!$A$10:$D$199,4,FALSE))</f>
        <v/>
      </c>
      <c r="I4338" s="341" t="str">
        <f t="shared" si="1120"/>
        <v/>
      </c>
      <c r="J4338" s="341" t="str">
        <f>IF(A4338="","",VLOOKUP(A4338,VII.A!$A$10:$D$199,3,FALSE))</f>
        <v/>
      </c>
      <c r="K4338" s="342" t="str">
        <f t="shared" si="1121"/>
        <v/>
      </c>
      <c r="L4338" s="380" t="str">
        <f>IF(C4338="","",G4331*C4338)</f>
        <v/>
      </c>
      <c r="M4338" s="381" t="str">
        <f>IF(A4338="","",VLOOKUP(A4338,VII.A!$A$10:$B$199,2,FALSE))</f>
        <v/>
      </c>
      <c r="N4338" s="342" t="str">
        <f t="shared" si="1122"/>
        <v/>
      </c>
      <c r="R4338" s="341"/>
      <c r="S4338" s="341"/>
      <c r="U4338" s="389"/>
    </row>
    <row r="4339" spans="1:21" ht="12.75" customHeight="1">
      <c r="A4339" s="385"/>
      <c r="B4339" s="386"/>
      <c r="C4339" s="20"/>
      <c r="D4339" s="342"/>
      <c r="E4339" s="387"/>
      <c r="F4339" s="388">
        <f t="shared" si="1123"/>
        <v>0</v>
      </c>
      <c r="H4339" s="341" t="str">
        <f>IF(A4339="","",VLOOKUP(A4339,VII.A!$A$10:$D$199,4,FALSE))</f>
        <v/>
      </c>
      <c r="I4339" s="341" t="str">
        <f t="shared" si="1120"/>
        <v/>
      </c>
      <c r="J4339" s="341" t="str">
        <f>IF(A4339="","",VLOOKUP(A4339,VII.A!$A$10:$D$199,3,FALSE))</f>
        <v/>
      </c>
      <c r="K4339" s="342" t="str">
        <f t="shared" si="1121"/>
        <v/>
      </c>
      <c r="L4339" s="380" t="str">
        <f>IF(C4339="","",G4331*C4339)</f>
        <v/>
      </c>
      <c r="M4339" s="381" t="str">
        <f>IF(A4339="","",VLOOKUP(A4339,VII.A!$A$10:$B$199,2,FALSE))</f>
        <v/>
      </c>
      <c r="N4339" s="342" t="str">
        <f t="shared" si="1122"/>
        <v/>
      </c>
      <c r="R4339" s="341"/>
      <c r="S4339" s="341"/>
    </row>
    <row r="4340" spans="1:21" ht="12.75" customHeight="1">
      <c r="A4340" s="385"/>
      <c r="B4340" s="386"/>
      <c r="C4340" s="20"/>
      <c r="D4340" s="342"/>
      <c r="E4340" s="387"/>
      <c r="F4340" s="388">
        <f t="shared" si="1123"/>
        <v>0</v>
      </c>
      <c r="G4340" s="390"/>
      <c r="H4340" s="341" t="str">
        <f>IF(A4340="","",VLOOKUP(A4340,VII.A!$A$10:$D$199,4,FALSE))</f>
        <v/>
      </c>
      <c r="I4340" s="341" t="str">
        <f t="shared" si="1120"/>
        <v/>
      </c>
      <c r="J4340" s="341" t="str">
        <f>IF(A4340="","",VLOOKUP(A4340,VII.A!$A$10:$D$199,3,FALSE))</f>
        <v/>
      </c>
      <c r="K4340" s="342" t="str">
        <f t="shared" si="1121"/>
        <v/>
      </c>
      <c r="L4340" s="380" t="str">
        <f>IF(C4340="","",G4331*C4340)</f>
        <v/>
      </c>
      <c r="M4340" s="381" t="str">
        <f>IF(A4340="","",VLOOKUP(A4340,VII.A!$A$10:$B$199,2,FALSE))</f>
        <v/>
      </c>
      <c r="N4340" s="342" t="str">
        <f t="shared" si="1122"/>
        <v/>
      </c>
      <c r="R4340" s="341"/>
      <c r="S4340" s="341"/>
    </row>
    <row r="4341" spans="1:21" ht="12.75" customHeight="1">
      <c r="A4341" s="385"/>
      <c r="B4341" s="386"/>
      <c r="C4341" s="20"/>
      <c r="D4341" s="342"/>
      <c r="E4341" s="387"/>
      <c r="F4341" s="388">
        <f t="shared" si="1123"/>
        <v>0</v>
      </c>
      <c r="G4341" s="390"/>
      <c r="H4341" s="341" t="str">
        <f>IF(A4341="","",VLOOKUP(A4341,VII.A!$A$10:$D$199,4,FALSE))</f>
        <v/>
      </c>
      <c r="I4341" s="341" t="str">
        <f t="shared" si="1120"/>
        <v/>
      </c>
      <c r="J4341" s="341" t="str">
        <f>IF(A4341="","",VLOOKUP(A4341,VII.A!$A$10:$D$199,3,FALSE))</f>
        <v/>
      </c>
      <c r="K4341" s="342" t="str">
        <f t="shared" si="1121"/>
        <v/>
      </c>
      <c r="L4341" s="380" t="str">
        <f>IF(C4341="","",G4331*C4341)</f>
        <v/>
      </c>
      <c r="M4341" s="381" t="str">
        <f>IF(A4341="","",VLOOKUP(A4341,VII.A!$A$10:$B$199,2,FALSE))</f>
        <v/>
      </c>
      <c r="N4341" s="342" t="str">
        <f t="shared" si="1122"/>
        <v/>
      </c>
      <c r="R4341" s="341"/>
      <c r="S4341" s="341"/>
    </row>
    <row r="4342" spans="1:21" ht="12.75" customHeight="1">
      <c r="A4342" s="385"/>
      <c r="B4342" s="386"/>
      <c r="C4342" s="20"/>
      <c r="D4342" s="342"/>
      <c r="E4342" s="387"/>
      <c r="F4342" s="388">
        <f t="shared" si="1123"/>
        <v>0</v>
      </c>
      <c r="G4342" s="391"/>
      <c r="H4342" s="341" t="str">
        <f>IF(A4342="","",VLOOKUP(A4342,VII.A!$A$10:$D$199,4,FALSE))</f>
        <v/>
      </c>
      <c r="I4342" s="341" t="str">
        <f t="shared" si="1120"/>
        <v/>
      </c>
      <c r="J4342" s="341" t="str">
        <f>IF(A4342="","",VLOOKUP(A4342,VII.A!$A$10:$D$199,3,FALSE))</f>
        <v/>
      </c>
      <c r="K4342" s="342" t="str">
        <f t="shared" si="1121"/>
        <v/>
      </c>
      <c r="L4342" s="380" t="str">
        <f>IF(C4342="","",G4331*C4342)</f>
        <v/>
      </c>
      <c r="M4342" s="381" t="str">
        <f>IF(A4342="","",VLOOKUP(A4342,VII.A!$A$10:$B$199,2,FALSE))</f>
        <v/>
      </c>
      <c r="N4342" s="342" t="str">
        <f t="shared" si="1122"/>
        <v/>
      </c>
      <c r="R4342" s="341"/>
      <c r="S4342" s="341"/>
    </row>
    <row r="4343" spans="1:21" ht="12.75" customHeight="1">
      <c r="A4343" s="385"/>
      <c r="B4343" s="386"/>
      <c r="C4343" s="20"/>
      <c r="D4343" s="342"/>
      <c r="E4343" s="387"/>
      <c r="F4343" s="388">
        <f t="shared" si="1123"/>
        <v>0</v>
      </c>
      <c r="H4343" s="341" t="str">
        <f>IF(A4343="","",VLOOKUP(A4343,VII.A!$A$10:$D$199,4,FALSE))</f>
        <v/>
      </c>
      <c r="I4343" s="341" t="str">
        <f t="shared" si="1120"/>
        <v/>
      </c>
      <c r="J4343" s="341" t="str">
        <f>IF(A4343="","",VLOOKUP(A4343,VII.A!$A$10:$D$199,3,FALSE))</f>
        <v/>
      </c>
      <c r="K4343" s="342" t="str">
        <f t="shared" si="1121"/>
        <v/>
      </c>
      <c r="L4343" s="380" t="str">
        <f>IF(C4343="","",G4331*C4343)</f>
        <v/>
      </c>
      <c r="M4343" s="381" t="str">
        <f>IF(A4343="","",VLOOKUP(A4343,VII.A!$A$10:$B$199,2,FALSE))</f>
        <v/>
      </c>
      <c r="N4343" s="342" t="str">
        <f t="shared" si="1122"/>
        <v/>
      </c>
      <c r="R4343" s="341"/>
      <c r="S4343" s="341"/>
    </row>
    <row r="4344" spans="1:21" ht="12.75" customHeight="1">
      <c r="A4344" s="385"/>
      <c r="B4344" s="386"/>
      <c r="C4344" s="20"/>
      <c r="D4344" s="392"/>
      <c r="E4344" s="387"/>
      <c r="F4344" s="388">
        <f t="shared" si="1123"/>
        <v>0</v>
      </c>
      <c r="H4344" s="341" t="str">
        <f>IF(A4344="","",VLOOKUP(A4344,VII.A!$A$10:$D$199,4,FALSE))</f>
        <v/>
      </c>
      <c r="I4344" s="341" t="str">
        <f t="shared" si="1120"/>
        <v/>
      </c>
      <c r="J4344" s="341" t="str">
        <f>IF(A4344="","",VLOOKUP(A4344,VII.A!$A$10:$D$199,3,FALSE))</f>
        <v/>
      </c>
      <c r="K4344" s="342" t="str">
        <f t="shared" si="1121"/>
        <v/>
      </c>
      <c r="L4344" s="380" t="str">
        <f>IF(C4344="","",G4331*C4344)</f>
        <v/>
      </c>
      <c r="M4344" s="381" t="str">
        <f>IF(A4344="","",VLOOKUP(A4344,VII.A!$A$10:$B$199,2,FALSE))</f>
        <v/>
      </c>
      <c r="N4344" s="342" t="str">
        <f t="shared" si="1122"/>
        <v/>
      </c>
      <c r="R4344" s="341"/>
      <c r="S4344" s="341"/>
    </row>
    <row r="4345" spans="1:21" ht="12.75" customHeight="1">
      <c r="A4345" s="385"/>
      <c r="B4345" s="386"/>
      <c r="C4345" s="20"/>
      <c r="D4345" s="392"/>
      <c r="E4345" s="387"/>
      <c r="F4345" s="388">
        <f t="shared" si="1123"/>
        <v>0</v>
      </c>
      <c r="H4345" s="341" t="str">
        <f>IF(A4345="","",VLOOKUP(A4345,VII.A!$A$10:$D$199,4,FALSE))</f>
        <v/>
      </c>
      <c r="I4345" s="341" t="str">
        <f t="shared" si="1120"/>
        <v/>
      </c>
      <c r="J4345" s="341" t="str">
        <f>IF(A4345="","",VLOOKUP(A4345,VII.A!$A$10:$D$199,3,FALSE))</f>
        <v/>
      </c>
      <c r="K4345" s="342" t="str">
        <f t="shared" si="1121"/>
        <v/>
      </c>
      <c r="L4345" s="380" t="str">
        <f>IF(C4345="","",G4331*C4345)</f>
        <v/>
      </c>
      <c r="M4345" s="381" t="str">
        <f>IF(A4345="","",VLOOKUP(A4345,VII.A!$A$10:$B$199,2,FALSE))</f>
        <v/>
      </c>
      <c r="N4345" s="342" t="str">
        <f t="shared" si="1122"/>
        <v/>
      </c>
      <c r="O4345" s="342"/>
      <c r="R4345" s="341"/>
      <c r="S4345" s="341"/>
    </row>
    <row r="4346" spans="1:21" ht="12.75" customHeight="1">
      <c r="A4346" s="385"/>
      <c r="B4346" s="386"/>
      <c r="C4346" s="20"/>
      <c r="D4346" s="392"/>
      <c r="E4346" s="387"/>
      <c r="F4346" s="388">
        <f t="shared" si="1123"/>
        <v>0</v>
      </c>
      <c r="H4346" s="341" t="str">
        <f>IF(A4346="","",VLOOKUP(A4346,VII.A!$A$10:$D$199,4,FALSE))</f>
        <v/>
      </c>
      <c r="I4346" s="341" t="str">
        <f t="shared" si="1120"/>
        <v/>
      </c>
      <c r="J4346" s="341" t="str">
        <f>IF(A4346="","",VLOOKUP(A4346,VII.A!$A$10:$D$199,3,FALSE))</f>
        <v/>
      </c>
      <c r="K4346" s="342" t="str">
        <f t="shared" si="1121"/>
        <v/>
      </c>
      <c r="L4346" s="380" t="str">
        <f>IF(C4346="","",G4331*C4346)</f>
        <v/>
      </c>
      <c r="M4346" s="381" t="str">
        <f>IF(A4346="","",VLOOKUP(A4346,VII.A!$A$10:$B$199,2,FALSE))</f>
        <v/>
      </c>
      <c r="N4346" s="342" t="str">
        <f t="shared" si="1122"/>
        <v/>
      </c>
      <c r="R4346" s="341"/>
      <c r="S4346" s="341"/>
    </row>
    <row r="4347" spans="1:21" ht="12.75" customHeight="1">
      <c r="A4347" s="393"/>
      <c r="C4347" s="20"/>
      <c r="E4347" s="387"/>
      <c r="F4347" s="388">
        <f t="shared" si="1123"/>
        <v>0</v>
      </c>
      <c r="H4347" s="341" t="str">
        <f>IF(A4347="","",VLOOKUP(A4347,VII.A!$A$10:$D$199,4,FALSE))</f>
        <v/>
      </c>
      <c r="I4347" s="341" t="str">
        <f t="shared" si="1120"/>
        <v/>
      </c>
      <c r="J4347" s="341" t="str">
        <f>IF(A4347="","",VLOOKUP(A4347,VII.A!$A$10:$D$199,3,FALSE))</f>
        <v/>
      </c>
      <c r="K4347" s="342" t="str">
        <f t="shared" si="1121"/>
        <v/>
      </c>
      <c r="L4347" s="380" t="str">
        <f>IF(C4347="","",G4331*C4347)</f>
        <v/>
      </c>
      <c r="M4347" s="381" t="str">
        <f>IF(A4347="","",VLOOKUP(A4347,VII.A!$A$10:$B$199,2,FALSE))</f>
        <v/>
      </c>
      <c r="N4347" s="342" t="str">
        <f t="shared" si="1122"/>
        <v/>
      </c>
      <c r="R4347" s="341"/>
      <c r="S4347" s="341"/>
    </row>
    <row r="4348" spans="1:21" ht="12.75" customHeight="1">
      <c r="A4348" s="393"/>
      <c r="C4348" s="20"/>
      <c r="E4348" s="387"/>
      <c r="F4348" s="388">
        <f t="shared" si="1123"/>
        <v>0</v>
      </c>
      <c r="H4348" s="341" t="str">
        <f>IF(A4348="","",VLOOKUP(A4348,VII.A!$A$10:$D$199,4,FALSE))</f>
        <v/>
      </c>
      <c r="I4348" s="341" t="str">
        <f t="shared" si="1120"/>
        <v/>
      </c>
      <c r="J4348" s="341" t="str">
        <f>IF(A4348="","",VLOOKUP(A4348,VII.A!$A$10:$D$199,3,FALSE))</f>
        <v/>
      </c>
      <c r="K4348" s="342" t="str">
        <f t="shared" si="1121"/>
        <v/>
      </c>
      <c r="L4348" s="380" t="str">
        <f>IF(C4348="","",G4331*C4348)</f>
        <v/>
      </c>
      <c r="M4348" s="381" t="str">
        <f>IF(A4348="","",VLOOKUP(A4348,VII.A!$A$10:$B$199,2,FALSE))</f>
        <v/>
      </c>
      <c r="N4348" s="342" t="str">
        <f t="shared" si="1122"/>
        <v/>
      </c>
      <c r="R4348" s="341"/>
      <c r="S4348" s="341"/>
    </row>
    <row r="4349" spans="1:21" ht="12.75" customHeight="1">
      <c r="A4349" s="393"/>
      <c r="B4349" s="395" t="s">
        <v>226</v>
      </c>
      <c r="C4349" s="396"/>
      <c r="D4349" s="397"/>
      <c r="E4349" s="398"/>
      <c r="F4349" s="399">
        <f>SUM(F4333:F4348)</f>
        <v>0</v>
      </c>
      <c r="H4349" s="426" t="s">
        <v>397</v>
      </c>
      <c r="J4349" s="341"/>
      <c r="L4349" s="380"/>
      <c r="M4349" s="381"/>
      <c r="N4349" s="342"/>
      <c r="R4349" s="341"/>
      <c r="S4349" s="341"/>
    </row>
    <row r="4350" spans="1:21" ht="12.75" customHeight="1">
      <c r="A4350" s="393"/>
      <c r="B4350" s="400" t="s">
        <v>53</v>
      </c>
      <c r="C4350" s="2">
        <f>$D$8</f>
        <v>0</v>
      </c>
      <c r="D4350" s="401"/>
      <c r="E4350" s="402"/>
      <c r="F4350" s="403">
        <f>ROUND(F4349*C4350,2)</f>
        <v>0</v>
      </c>
      <c r="J4350" s="341"/>
      <c r="L4350" s="380"/>
      <c r="M4350" s="381"/>
      <c r="N4350" s="342"/>
      <c r="R4350" s="341"/>
      <c r="S4350" s="341"/>
    </row>
    <row r="4351" spans="1:21" ht="12.75" customHeight="1">
      <c r="A4351" s="404"/>
      <c r="B4351" s="405" t="s">
        <v>227</v>
      </c>
      <c r="C4351" s="406"/>
      <c r="D4351" s="406"/>
      <c r="E4351" s="407"/>
      <c r="F4351" s="408">
        <f>F4349+F4350</f>
        <v>0</v>
      </c>
      <c r="J4351" s="341"/>
      <c r="L4351" s="380"/>
      <c r="M4351" s="381"/>
      <c r="N4351" s="342"/>
      <c r="R4351" s="341"/>
      <c r="S4351" s="341"/>
    </row>
    <row r="4352" spans="1:21" ht="12.75" customHeight="1">
      <c r="A4352" s="374" t="s">
        <v>2</v>
      </c>
      <c r="B4352" s="375" t="s">
        <v>235</v>
      </c>
      <c r="C4352" s="376" t="s">
        <v>231</v>
      </c>
      <c r="D4352" s="376" t="s">
        <v>232</v>
      </c>
      <c r="E4352" s="377" t="s">
        <v>233</v>
      </c>
      <c r="F4352" s="378" t="s">
        <v>234</v>
      </c>
      <c r="J4352" s="341"/>
      <c r="L4352" s="380"/>
      <c r="M4352" s="381"/>
      <c r="N4352" s="342"/>
      <c r="R4352" s="341"/>
      <c r="S4352" s="341"/>
    </row>
    <row r="4353" spans="1:19" ht="12.75" customHeight="1">
      <c r="A4353" s="385" t="str">
        <f>VII.A!$A$161</f>
        <v>2.19</v>
      </c>
      <c r="B4353" s="386" t="str">
        <f>VLOOKUP(A4353,VII.A!$A$10:$G$199,2,FALSE)</f>
        <v>TRATAMENTO FLEXÍVEL C/INJEÇÃO DE SELANTE À BASE DE POLIURETANO HIDROATIVADO E GEL</v>
      </c>
      <c r="C4353" s="20">
        <v>1</v>
      </c>
      <c r="D4353" s="384" t="str">
        <f>VLOOKUP(A4353,VII.A!$A$10:$G$199,3,FALSE)</f>
        <v>M</v>
      </c>
      <c r="E4353" s="387">
        <f>VII.A!D161</f>
        <v>0</v>
      </c>
      <c r="F4353" s="388">
        <f t="shared" ref="F4353:F4362" si="1124">ROUND(C4353*E4353,2)</f>
        <v>0</v>
      </c>
      <c r="H4353" s="341">
        <f>IF(A4353="","",VLOOKUP(A4353,VII.A!$A$10:$D$199,4,FALSE))</f>
        <v>0</v>
      </c>
      <c r="I4353" s="341" t="str">
        <f t="shared" ref="I4353:I4362" si="1125">IF(A4353="","",IF(E4353=H4353,"SIM","NÃO"))</f>
        <v>SIM</v>
      </c>
      <c r="J4353" s="341" t="str">
        <f>IF(A4353="","",VLOOKUP(A4353,VII.A!$A$10:$D$199,3,FALSE))</f>
        <v>M</v>
      </c>
      <c r="K4353" s="342" t="str">
        <f t="shared" ref="K4353:K4362" si="1126">IF(A4353="","",IF(J4353=D4353,"SIM","NÃO"))</f>
        <v>SIM</v>
      </c>
      <c r="L4353" s="380">
        <f>IF(C4353="","",G4331*C4353)</f>
        <v>150</v>
      </c>
      <c r="M4353" s="381" t="str">
        <f>IF(A4353="","",VLOOKUP(A4353,VII.A!$A$10:$B$199,2,FALSE))</f>
        <v>TRATAMENTO FLEXÍVEL C/INJEÇÃO DE SELANTE À BASE DE POLIURETANO HIDROATIVADO E GEL</v>
      </c>
      <c r="N4353" s="342" t="str">
        <f t="shared" ref="N4353:N4362" si="1127">IF(B4353="","",IF(M4353=B4353,"si","no"))</f>
        <v>si</v>
      </c>
      <c r="R4353" s="341"/>
      <c r="S4353" s="341"/>
    </row>
    <row r="4354" spans="1:19" ht="12.75" customHeight="1">
      <c r="A4354" s="393"/>
      <c r="C4354" s="20"/>
      <c r="E4354" s="387"/>
      <c r="F4354" s="388">
        <f t="shared" si="1124"/>
        <v>0</v>
      </c>
      <c r="H4354" s="341" t="str">
        <f>IF(A4354="","",VLOOKUP(A4354,VII.A!$A$10:$D$199,4,FALSE))</f>
        <v/>
      </c>
      <c r="I4354" s="341" t="str">
        <f t="shared" si="1125"/>
        <v/>
      </c>
      <c r="J4354" s="341" t="str">
        <f>IF(A4354="","",VLOOKUP(A4354,VII.A!$A$10:$D$199,3,FALSE))</f>
        <v/>
      </c>
      <c r="K4354" s="342" t="str">
        <f t="shared" si="1126"/>
        <v/>
      </c>
      <c r="L4354" s="380" t="str">
        <f>IF(C4354="","",G4331*C4354)</f>
        <v/>
      </c>
      <c r="M4354" s="381" t="str">
        <f>IF(A4354="","",VLOOKUP(A4354,VII.A!$A$10:$B$199,2,FALSE))</f>
        <v/>
      </c>
      <c r="N4354" s="342" t="str">
        <f t="shared" si="1127"/>
        <v/>
      </c>
      <c r="R4354" s="341"/>
      <c r="S4354" s="341"/>
    </row>
    <row r="4355" spans="1:19" ht="12.75" customHeight="1">
      <c r="A4355" s="393"/>
      <c r="C4355" s="20"/>
      <c r="E4355" s="387"/>
      <c r="F4355" s="388">
        <f t="shared" si="1124"/>
        <v>0</v>
      </c>
      <c r="H4355" s="341" t="str">
        <f>IF(A4355="","",VLOOKUP(A4355,VII.A!$A$10:$D$199,4,FALSE))</f>
        <v/>
      </c>
      <c r="I4355" s="341" t="str">
        <f t="shared" si="1125"/>
        <v/>
      </c>
      <c r="J4355" s="341" t="str">
        <f>IF(A4355="","",VLOOKUP(A4355,VII.A!$A$10:$D$199,3,FALSE))</f>
        <v/>
      </c>
      <c r="K4355" s="342" t="str">
        <f t="shared" si="1126"/>
        <v/>
      </c>
      <c r="L4355" s="380" t="str">
        <f>IF(C4355="","",G4331*C4355)</f>
        <v/>
      </c>
      <c r="M4355" s="381" t="str">
        <f>IF(A4355="","",VLOOKUP(A4355,VII.A!$A$10:$B$199,2,FALSE))</f>
        <v/>
      </c>
      <c r="N4355" s="342" t="str">
        <f t="shared" si="1127"/>
        <v/>
      </c>
      <c r="R4355" s="341"/>
      <c r="S4355" s="341"/>
    </row>
    <row r="4356" spans="1:19" ht="12.75" customHeight="1">
      <c r="A4356" s="393"/>
      <c r="C4356" s="20"/>
      <c r="E4356" s="387"/>
      <c r="F4356" s="388">
        <f t="shared" si="1124"/>
        <v>0</v>
      </c>
      <c r="H4356" s="341" t="str">
        <f>IF(A4356="","",VLOOKUP(A4356,VII.A!$A$10:$D$199,4,FALSE))</f>
        <v/>
      </c>
      <c r="I4356" s="341" t="str">
        <f t="shared" si="1125"/>
        <v/>
      </c>
      <c r="J4356" s="341" t="str">
        <f>IF(A4356="","",VLOOKUP(A4356,VII.A!$A$10:$D$199,3,FALSE))</f>
        <v/>
      </c>
      <c r="K4356" s="342" t="str">
        <f t="shared" si="1126"/>
        <v/>
      </c>
      <c r="L4356" s="380" t="str">
        <f>IF(C4356="","",G4331*C4356)</f>
        <v/>
      </c>
      <c r="M4356" s="381" t="str">
        <f>IF(A4356="","",VLOOKUP(A4356,VII.A!$A$10:$B$199,2,FALSE))</f>
        <v/>
      </c>
      <c r="N4356" s="342" t="str">
        <f t="shared" si="1127"/>
        <v/>
      </c>
      <c r="R4356" s="341"/>
      <c r="S4356" s="341"/>
    </row>
    <row r="4357" spans="1:19" ht="12.75" customHeight="1">
      <c r="A4357" s="393"/>
      <c r="C4357" s="20"/>
      <c r="E4357" s="387"/>
      <c r="F4357" s="388">
        <f t="shared" si="1124"/>
        <v>0</v>
      </c>
      <c r="G4357" s="390"/>
      <c r="H4357" s="341" t="str">
        <f>IF(A4357="","",VLOOKUP(A4357,VII.A!$A$10:$D$199,4,FALSE))</f>
        <v/>
      </c>
      <c r="I4357" s="341" t="str">
        <f t="shared" si="1125"/>
        <v/>
      </c>
      <c r="J4357" s="341" t="str">
        <f>IF(A4357="","",VLOOKUP(A4357,VII.A!$A$10:$D$199,3,FALSE))</f>
        <v/>
      </c>
      <c r="K4357" s="342" t="str">
        <f t="shared" si="1126"/>
        <v/>
      </c>
      <c r="L4357" s="380" t="str">
        <f>IF(C4357="","",G4331*C4357)</f>
        <v/>
      </c>
      <c r="M4357" s="381" t="str">
        <f>IF(A4357="","",VLOOKUP(A4357,VII.A!$A$10:$B$199,2,FALSE))</f>
        <v/>
      </c>
      <c r="N4357" s="342" t="str">
        <f t="shared" si="1127"/>
        <v/>
      </c>
      <c r="R4357" s="341"/>
      <c r="S4357" s="341"/>
    </row>
    <row r="4358" spans="1:19" ht="12.75" customHeight="1">
      <c r="A4358" s="393"/>
      <c r="C4358" s="20"/>
      <c r="E4358" s="387"/>
      <c r="F4358" s="388">
        <f t="shared" si="1124"/>
        <v>0</v>
      </c>
      <c r="G4358" s="391"/>
      <c r="H4358" s="341" t="str">
        <f>IF(A4358="","",VLOOKUP(A4358,VII.A!$A$10:$D$199,4,FALSE))</f>
        <v/>
      </c>
      <c r="I4358" s="341" t="str">
        <f t="shared" si="1125"/>
        <v/>
      </c>
      <c r="J4358" s="341" t="str">
        <f>IF(A4358="","",VLOOKUP(A4358,VII.A!$A$10:$D$199,3,FALSE))</f>
        <v/>
      </c>
      <c r="K4358" s="342" t="str">
        <f t="shared" si="1126"/>
        <v/>
      </c>
      <c r="L4358" s="380" t="str">
        <f>IF(C4358="","",G4331*C4358)</f>
        <v/>
      </c>
      <c r="M4358" s="381" t="str">
        <f>IF(A4358="","",VLOOKUP(A4358,VII.A!$A$10:$B$199,2,FALSE))</f>
        <v/>
      </c>
      <c r="N4358" s="342" t="str">
        <f t="shared" si="1127"/>
        <v/>
      </c>
      <c r="R4358" s="341"/>
      <c r="S4358" s="341"/>
    </row>
    <row r="4359" spans="1:19" ht="12.75" customHeight="1">
      <c r="A4359" s="393"/>
      <c r="C4359" s="20"/>
      <c r="E4359" s="387"/>
      <c r="F4359" s="388">
        <f t="shared" si="1124"/>
        <v>0</v>
      </c>
      <c r="H4359" s="341" t="str">
        <f>IF(A4359="","",VLOOKUP(A4359,VII.A!$A$10:$D$199,4,FALSE))</f>
        <v/>
      </c>
      <c r="I4359" s="341" t="str">
        <f t="shared" si="1125"/>
        <v/>
      </c>
      <c r="J4359" s="341" t="str">
        <f>IF(A4359="","",VLOOKUP(A4359,VII.A!$A$10:$D$199,3,FALSE))</f>
        <v/>
      </c>
      <c r="K4359" s="342" t="str">
        <f t="shared" si="1126"/>
        <v/>
      </c>
      <c r="L4359" s="380" t="str">
        <f>IF(C4359="","",G4331*C4359)</f>
        <v/>
      </c>
      <c r="M4359" s="381" t="str">
        <f>IF(A4359="","",VLOOKUP(A4359,VII.A!$A$10:$B$199,2,FALSE))</f>
        <v/>
      </c>
      <c r="N4359" s="342" t="str">
        <f t="shared" si="1127"/>
        <v/>
      </c>
      <c r="R4359" s="341"/>
      <c r="S4359" s="341"/>
    </row>
    <row r="4360" spans="1:19" ht="12.75" customHeight="1">
      <c r="A4360" s="393"/>
      <c r="C4360" s="20"/>
      <c r="E4360" s="387"/>
      <c r="F4360" s="388">
        <f t="shared" si="1124"/>
        <v>0</v>
      </c>
      <c r="H4360" s="341" t="str">
        <f>IF(A4360="","",VLOOKUP(A4360,VII.A!$A$10:$D$199,4,FALSE))</f>
        <v/>
      </c>
      <c r="I4360" s="341" t="str">
        <f t="shared" si="1125"/>
        <v/>
      </c>
      <c r="J4360" s="341" t="str">
        <f>IF(A4360="","",VLOOKUP(A4360,VII.A!$A$10:$D$199,3,FALSE))</f>
        <v/>
      </c>
      <c r="K4360" s="342" t="str">
        <f t="shared" si="1126"/>
        <v/>
      </c>
      <c r="L4360" s="380" t="str">
        <f>IF(C4360="","",G4331*C4360)</f>
        <v/>
      </c>
      <c r="M4360" s="381" t="str">
        <f>IF(A4360="","",VLOOKUP(A4360,VII.A!$A$10:$B$199,2,FALSE))</f>
        <v/>
      </c>
      <c r="N4360" s="342" t="str">
        <f t="shared" si="1127"/>
        <v/>
      </c>
      <c r="R4360" s="341"/>
      <c r="S4360" s="341"/>
    </row>
    <row r="4361" spans="1:19" ht="12.75" customHeight="1">
      <c r="A4361" s="393"/>
      <c r="C4361" s="20"/>
      <c r="E4361" s="387"/>
      <c r="F4361" s="388">
        <f t="shared" si="1124"/>
        <v>0</v>
      </c>
      <c r="H4361" s="341" t="str">
        <f>IF(A4361="","",VLOOKUP(A4361,VII.A!$A$10:$D$199,4,FALSE))</f>
        <v/>
      </c>
      <c r="I4361" s="341" t="str">
        <f t="shared" si="1125"/>
        <v/>
      </c>
      <c r="J4361" s="341" t="str">
        <f>IF(A4361="","",VLOOKUP(A4361,VII.A!$A$10:$D$199,3,FALSE))</f>
        <v/>
      </c>
      <c r="K4361" s="342" t="str">
        <f t="shared" si="1126"/>
        <v/>
      </c>
      <c r="L4361" s="380" t="str">
        <f>IF(C4361="","",G4331*C4361)</f>
        <v/>
      </c>
      <c r="M4361" s="381" t="str">
        <f>IF(A4361="","",VLOOKUP(A4361,VII.A!$A$10:$B$199,2,FALSE))</f>
        <v/>
      </c>
      <c r="N4361" s="342" t="str">
        <f t="shared" si="1127"/>
        <v/>
      </c>
      <c r="R4361" s="341"/>
      <c r="S4361" s="341"/>
    </row>
    <row r="4362" spans="1:19" ht="12.75" customHeight="1">
      <c r="A4362" s="393"/>
      <c r="C4362" s="20"/>
      <c r="E4362" s="387"/>
      <c r="F4362" s="388">
        <f t="shared" si="1124"/>
        <v>0</v>
      </c>
      <c r="H4362" s="341" t="str">
        <f>IF(A4362="","",VLOOKUP(A4362,VII.A!$A$10:$D$199,4,FALSE))</f>
        <v/>
      </c>
      <c r="I4362" s="341" t="str">
        <f t="shared" si="1125"/>
        <v/>
      </c>
      <c r="J4362" s="341" t="str">
        <f>IF(A4362="","",VLOOKUP(A4362,VII.A!$A$10:$D$199,3,FALSE))</f>
        <v/>
      </c>
      <c r="K4362" s="342" t="str">
        <f t="shared" si="1126"/>
        <v/>
      </c>
      <c r="L4362" s="380" t="str">
        <f>IF(C4362="","",G4331*C4362)</f>
        <v/>
      </c>
      <c r="M4362" s="381" t="str">
        <f>IF(A4362="","",VLOOKUP(A4362,VII.A!$A$10:$B$199,2,FALSE))</f>
        <v/>
      </c>
      <c r="N4362" s="342" t="str">
        <f t="shared" si="1127"/>
        <v/>
      </c>
      <c r="R4362" s="341"/>
      <c r="S4362" s="341"/>
    </row>
    <row r="4363" spans="1:19" ht="12.75" customHeight="1">
      <c r="A4363" s="393"/>
      <c r="B4363" s="395" t="s">
        <v>226</v>
      </c>
      <c r="C4363" s="396"/>
      <c r="D4363" s="397"/>
      <c r="E4363" s="398"/>
      <c r="F4363" s="399">
        <f>SUM(F4353:F4362)</f>
        <v>0</v>
      </c>
      <c r="J4363" s="341"/>
      <c r="L4363" s="380"/>
      <c r="M4363" s="381"/>
      <c r="N4363" s="342"/>
      <c r="R4363" s="341"/>
      <c r="S4363" s="341"/>
    </row>
    <row r="4364" spans="1:19" ht="12.75" customHeight="1">
      <c r="A4364" s="393"/>
      <c r="B4364" s="400" t="s">
        <v>53</v>
      </c>
      <c r="C4364" s="2">
        <f>$D$8</f>
        <v>0</v>
      </c>
      <c r="D4364" s="401"/>
      <c r="E4364" s="402"/>
      <c r="F4364" s="403">
        <f>ROUND(C4364*F4363,2)</f>
        <v>0</v>
      </c>
      <c r="J4364" s="341"/>
      <c r="L4364" s="380"/>
      <c r="M4364" s="381"/>
      <c r="N4364" s="342"/>
      <c r="R4364" s="341"/>
      <c r="S4364" s="341"/>
    </row>
    <row r="4365" spans="1:19" ht="12.75" customHeight="1">
      <c r="A4365" s="404"/>
      <c r="B4365" s="405" t="s">
        <v>228</v>
      </c>
      <c r="C4365" s="406"/>
      <c r="D4365" s="406"/>
      <c r="E4365" s="407"/>
      <c r="F4365" s="408">
        <f>F4363+F4364</f>
        <v>0</v>
      </c>
      <c r="J4365" s="341"/>
      <c r="L4365" s="380"/>
      <c r="M4365" s="381"/>
      <c r="N4365" s="342"/>
      <c r="R4365" s="341"/>
      <c r="S4365" s="341"/>
    </row>
    <row r="4366" spans="1:19" ht="12.75" customHeight="1">
      <c r="A4366" s="409" t="s">
        <v>47</v>
      </c>
      <c r="B4366" s="410" t="s">
        <v>236</v>
      </c>
      <c r="C4366" s="411" t="s">
        <v>231</v>
      </c>
      <c r="D4366" s="412" t="s">
        <v>232</v>
      </c>
      <c r="E4366" s="413" t="s">
        <v>233</v>
      </c>
      <c r="F4366" s="378" t="s">
        <v>234</v>
      </c>
      <c r="J4366" s="341"/>
      <c r="L4366" s="380"/>
      <c r="M4366" s="381"/>
      <c r="N4366" s="342"/>
      <c r="R4366" s="341"/>
      <c r="S4366" s="341"/>
    </row>
    <row r="4367" spans="1:19" ht="12.75" customHeight="1">
      <c r="A4367" s="393"/>
      <c r="C4367" s="20"/>
      <c r="E4367" s="387"/>
      <c r="F4367" s="388">
        <f t="shared" ref="F4367:F4373" si="1128">ROUND(C4367*E4367,2)</f>
        <v>0</v>
      </c>
      <c r="H4367" s="341" t="str">
        <f>IF(A4367="","",VLOOKUP(A4367,VII.A!$A$10:$D$199,4,FALSE))</f>
        <v/>
      </c>
      <c r="I4367" s="341" t="str">
        <f t="shared" ref="I4367:I4373" si="1129">IF(A4367="","",IF(E4367=H4367,"SIM","NÃO"))</f>
        <v/>
      </c>
      <c r="J4367" s="341" t="str">
        <f>IF(A4367="","",VLOOKUP(A4367,VII.A!$A$10:$D$199,3,FALSE))</f>
        <v/>
      </c>
      <c r="K4367" s="342" t="str">
        <f t="shared" ref="K4367:K4373" si="1130">IF(A4367="","",IF(J4367=D4367,"SIM","NÃO"))</f>
        <v/>
      </c>
      <c r="L4367" s="380" t="str">
        <f>IF(C4367="","",G4331*C4367)</f>
        <v/>
      </c>
      <c r="M4367" s="381" t="str">
        <f>IF(A4367="","",VLOOKUP(A4367,VII.A!$A$10:$B$199,2,FALSE))</f>
        <v/>
      </c>
      <c r="N4367" s="342" t="str">
        <f t="shared" ref="N4367:N4373" si="1131">IF(B4367="","",IF(M4367=B4367,"si","no"))</f>
        <v/>
      </c>
      <c r="R4367" s="341"/>
      <c r="S4367" s="341"/>
    </row>
    <row r="4368" spans="1:19" ht="12.75" customHeight="1">
      <c r="A4368" s="393"/>
      <c r="C4368" s="20"/>
      <c r="E4368" s="387"/>
      <c r="F4368" s="388">
        <f t="shared" si="1128"/>
        <v>0</v>
      </c>
      <c r="H4368" s="341" t="str">
        <f>IF(A4368="","",VLOOKUP(A4368,VII.A!$A$10:$D$199,4,FALSE))</f>
        <v/>
      </c>
      <c r="I4368" s="341" t="str">
        <f t="shared" si="1129"/>
        <v/>
      </c>
      <c r="J4368" s="341" t="str">
        <f>IF(A4368="","",VLOOKUP(A4368,VII.A!$A$10:$D$199,3,FALSE))</f>
        <v/>
      </c>
      <c r="K4368" s="342" t="str">
        <f t="shared" si="1130"/>
        <v/>
      </c>
      <c r="L4368" s="380" t="str">
        <f>IF(C4368="","",G4331*C4368)</f>
        <v/>
      </c>
      <c r="M4368" s="381" t="str">
        <f>IF(A4368="","",VLOOKUP(A4368,VII.A!$A$10:$B$199,2,FALSE))</f>
        <v/>
      </c>
      <c r="N4368" s="342" t="str">
        <f t="shared" si="1131"/>
        <v/>
      </c>
      <c r="R4368" s="341"/>
      <c r="S4368" s="341"/>
    </row>
    <row r="4369" spans="1:25" ht="12.75" customHeight="1">
      <c r="A4369" s="393"/>
      <c r="C4369" s="20"/>
      <c r="E4369" s="387"/>
      <c r="F4369" s="388">
        <f t="shared" si="1128"/>
        <v>0</v>
      </c>
      <c r="H4369" s="341" t="str">
        <f>IF(A4369="","",VLOOKUP(A4369,VII.A!$A$10:$D$199,4,FALSE))</f>
        <v/>
      </c>
      <c r="I4369" s="341" t="str">
        <f t="shared" si="1129"/>
        <v/>
      </c>
      <c r="J4369" s="341" t="str">
        <f>IF(A4369="","",VLOOKUP(A4369,VII.A!$A$10:$D$199,3,FALSE))</f>
        <v/>
      </c>
      <c r="K4369" s="342" t="str">
        <f t="shared" si="1130"/>
        <v/>
      </c>
      <c r="L4369" s="380" t="str">
        <f>IF(C4369="","",G4331*C4369)</f>
        <v/>
      </c>
      <c r="M4369" s="381" t="str">
        <f>IF(A4369="","",VLOOKUP(A4369,VII.A!$A$10:$B$199,2,FALSE))</f>
        <v/>
      </c>
      <c r="N4369" s="342" t="str">
        <f t="shared" si="1131"/>
        <v/>
      </c>
      <c r="R4369" s="341"/>
      <c r="S4369" s="341"/>
    </row>
    <row r="4370" spans="1:25" ht="12.75" customHeight="1">
      <c r="A4370" s="393"/>
      <c r="C4370" s="20"/>
      <c r="E4370" s="387"/>
      <c r="F4370" s="388">
        <f t="shared" si="1128"/>
        <v>0</v>
      </c>
      <c r="H4370" s="341" t="str">
        <f>IF(A4370="","",VLOOKUP(A4370,VII.A!$A$10:$D$199,4,FALSE))</f>
        <v/>
      </c>
      <c r="I4370" s="341" t="str">
        <f t="shared" si="1129"/>
        <v/>
      </c>
      <c r="J4370" s="341" t="str">
        <f>IF(A4370="","",VLOOKUP(A4370,VII.A!$A$10:$D$199,3,FALSE))</f>
        <v/>
      </c>
      <c r="K4370" s="342" t="str">
        <f t="shared" si="1130"/>
        <v/>
      </c>
      <c r="L4370" s="380" t="str">
        <f>IF(C4370="","",G4331*C4370)</f>
        <v/>
      </c>
      <c r="M4370" s="381" t="str">
        <f>IF(A4370="","",VLOOKUP(A4370,VII.A!$A$10:$B$199,2,FALSE))</f>
        <v/>
      </c>
      <c r="N4370" s="342" t="str">
        <f t="shared" si="1131"/>
        <v/>
      </c>
      <c r="R4370" s="341"/>
      <c r="S4370" s="341"/>
    </row>
    <row r="4371" spans="1:25" ht="12.75" customHeight="1">
      <c r="A4371" s="393"/>
      <c r="C4371" s="20"/>
      <c r="E4371" s="387"/>
      <c r="F4371" s="388">
        <f t="shared" si="1128"/>
        <v>0</v>
      </c>
      <c r="H4371" s="341" t="str">
        <f>IF(A4371="","",VLOOKUP(A4371,VII.A!$A$10:$D$199,4,FALSE))</f>
        <v/>
      </c>
      <c r="I4371" s="341" t="str">
        <f t="shared" si="1129"/>
        <v/>
      </c>
      <c r="J4371" s="341" t="str">
        <f>IF(A4371="","",VLOOKUP(A4371,VII.A!$A$10:$D$199,3,FALSE))</f>
        <v/>
      </c>
      <c r="K4371" s="342" t="str">
        <f t="shared" si="1130"/>
        <v/>
      </c>
      <c r="L4371" s="380" t="str">
        <f>IF(C4371="","",G4331*C4371)</f>
        <v/>
      </c>
      <c r="M4371" s="381" t="str">
        <f>IF(A4371="","",VLOOKUP(A4371,VII.A!$A$10:$B$199,2,FALSE))</f>
        <v/>
      </c>
      <c r="N4371" s="342" t="str">
        <f t="shared" si="1131"/>
        <v/>
      </c>
      <c r="R4371" s="341"/>
      <c r="S4371" s="341"/>
    </row>
    <row r="4372" spans="1:25" ht="12.75" customHeight="1">
      <c r="A4372" s="393"/>
      <c r="C4372" s="20"/>
      <c r="E4372" s="387"/>
      <c r="F4372" s="388">
        <f t="shared" si="1128"/>
        <v>0</v>
      </c>
      <c r="H4372" s="341" t="str">
        <f>IF(A4372="","",VLOOKUP(A4372,VII.A!$A$10:$D$199,4,FALSE))</f>
        <v/>
      </c>
      <c r="I4372" s="341" t="str">
        <f t="shared" si="1129"/>
        <v/>
      </c>
      <c r="J4372" s="341" t="str">
        <f>IF(A4372="","",VLOOKUP(A4372,VII.A!$A$10:$D$199,3,FALSE))</f>
        <v/>
      </c>
      <c r="K4372" s="342" t="str">
        <f t="shared" si="1130"/>
        <v/>
      </c>
      <c r="L4372" s="380" t="str">
        <f>IF(C4372="","",G4331*C4372)</f>
        <v/>
      </c>
      <c r="M4372" s="381" t="str">
        <f>IF(A4372="","",VLOOKUP(A4372,VII.A!$A$10:$B$199,2,FALSE))</f>
        <v/>
      </c>
      <c r="N4372" s="342" t="str">
        <f t="shared" si="1131"/>
        <v/>
      </c>
      <c r="R4372" s="341"/>
      <c r="S4372" s="341"/>
    </row>
    <row r="4373" spans="1:25" ht="12.75" customHeight="1">
      <c r="A4373" s="393"/>
      <c r="C4373" s="20"/>
      <c r="E4373" s="387"/>
      <c r="F4373" s="388">
        <f t="shared" si="1128"/>
        <v>0</v>
      </c>
      <c r="H4373" s="341" t="str">
        <f>IF(A4373="","",VLOOKUP(A4373,VII.A!$A$10:$D$199,4,FALSE))</f>
        <v/>
      </c>
      <c r="I4373" s="341" t="str">
        <f t="shared" si="1129"/>
        <v/>
      </c>
      <c r="J4373" s="341" t="str">
        <f>IF(A4373="","",VLOOKUP(A4373,VII.A!$A$10:$D$199,3,FALSE))</f>
        <v/>
      </c>
      <c r="K4373" s="342" t="str">
        <f t="shared" si="1130"/>
        <v/>
      </c>
      <c r="L4373" s="380" t="str">
        <f>IF(C4373="","",G4331*C4373)</f>
        <v/>
      </c>
      <c r="M4373" s="381" t="str">
        <f>IF(A4373="","",VLOOKUP(A4373,VII.A!$A$10:$B$199,2,FALSE))</f>
        <v/>
      </c>
      <c r="N4373" s="342" t="str">
        <f t="shared" si="1131"/>
        <v/>
      </c>
      <c r="R4373" s="341"/>
      <c r="S4373" s="341"/>
    </row>
    <row r="4374" spans="1:25" ht="12.75" customHeight="1">
      <c r="A4374" s="393"/>
      <c r="B4374" s="395" t="s">
        <v>226</v>
      </c>
      <c r="C4374" s="396"/>
      <c r="D4374" s="397"/>
      <c r="E4374" s="398"/>
      <c r="F4374" s="399">
        <f>SUM(F4367:F4373)</f>
        <v>0</v>
      </c>
      <c r="J4374" s="341"/>
      <c r="L4374" s="380"/>
      <c r="M4374" s="381"/>
      <c r="N4374" s="342"/>
      <c r="R4374" s="341"/>
      <c r="S4374" s="341"/>
    </row>
    <row r="4375" spans="1:25" ht="12.75" customHeight="1">
      <c r="A4375" s="393"/>
      <c r="B4375" s="400" t="s">
        <v>229</v>
      </c>
      <c r="C4375" s="2">
        <f>IX.A!$C$45</f>
        <v>0</v>
      </c>
      <c r="D4375" s="401"/>
      <c r="E4375" s="402"/>
      <c r="F4375" s="403">
        <f>ROUND(F4374*C4375,2)</f>
        <v>0</v>
      </c>
      <c r="J4375" s="341"/>
      <c r="L4375" s="380"/>
      <c r="M4375" s="381"/>
      <c r="N4375" s="342"/>
      <c r="R4375" s="341"/>
      <c r="S4375" s="341"/>
    </row>
    <row r="4376" spans="1:25" ht="12.75" customHeight="1">
      <c r="A4376" s="393"/>
      <c r="B4376" s="400" t="s">
        <v>53</v>
      </c>
      <c r="C4376" s="2">
        <f>$D$8</f>
        <v>0</v>
      </c>
      <c r="D4376" s="401"/>
      <c r="E4376" s="402"/>
      <c r="F4376" s="403">
        <f>ROUND(SUM(F4374:F4375)*C4376,2)</f>
        <v>0</v>
      </c>
      <c r="J4376" s="341"/>
      <c r="L4376" s="380"/>
      <c r="M4376" s="381"/>
      <c r="N4376" s="342"/>
      <c r="R4376" s="341"/>
      <c r="S4376" s="341"/>
    </row>
    <row r="4377" spans="1:25" ht="12.75" customHeight="1" thickBot="1">
      <c r="A4377" s="414"/>
      <c r="B4377" s="415" t="s">
        <v>230</v>
      </c>
      <c r="C4377" s="416"/>
      <c r="D4377" s="416"/>
      <c r="E4377" s="417"/>
      <c r="F4377" s="418">
        <f>SUM(F4374:F4376)</f>
        <v>0</v>
      </c>
      <c r="J4377" s="341"/>
      <c r="L4377" s="380"/>
      <c r="M4377" s="381"/>
      <c r="N4377" s="342"/>
      <c r="R4377" s="341"/>
      <c r="S4377" s="341"/>
    </row>
    <row r="4378" spans="1:25" ht="12.75" customHeight="1" thickBot="1">
      <c r="A4378" s="357"/>
      <c r="B4378" s="358"/>
      <c r="C4378" s="359"/>
      <c r="D4378" s="359"/>
      <c r="E4378" s="360"/>
      <c r="F4378" s="419"/>
      <c r="J4378" s="341"/>
      <c r="L4378" s="380"/>
      <c r="M4378" s="381"/>
      <c r="N4378" s="342"/>
      <c r="R4378" s="341"/>
      <c r="S4378" s="341"/>
    </row>
    <row r="4379" spans="1:25" ht="30" customHeight="1">
      <c r="A4379" s="370" t="str">
        <f>IV.A!$A$137</f>
        <v>6.1.1</v>
      </c>
      <c r="B4379" s="371" t="str">
        <f>IV.A!$B$137</f>
        <v>HIDROJATEAMENTO  DE RESERVATÓRIO ELEVADO</v>
      </c>
      <c r="C4379" s="871" t="s">
        <v>237</v>
      </c>
      <c r="D4379" s="872"/>
      <c r="E4379" s="372" t="str">
        <f>IV.A!$C$137</f>
        <v>M2</v>
      </c>
      <c r="F4379" s="11">
        <f>ROUND(F4399+F4413+F4425,2)</f>
        <v>0</v>
      </c>
      <c r="G4379" s="1">
        <f>VLOOKUP(A4379,IV.A!$A$16:$L$172,4,FALSE)</f>
        <v>51300</v>
      </c>
      <c r="H4379" s="361">
        <f>SUM(F4381:F4396)+F4398</f>
        <v>0</v>
      </c>
      <c r="I4379" s="361">
        <f>SUM(F4401:F4410)+F4412</f>
        <v>0</v>
      </c>
      <c r="J4379" s="361">
        <f>SUM(F4415:F4421)+F4423+F4424</f>
        <v>0</v>
      </c>
      <c r="K4379" s="361">
        <f>SUM(H4379:J4379)</f>
        <v>0</v>
      </c>
      <c r="L4379" s="362" t="str">
        <f>IF(K4379=F4379,"SIM","NÃO")</f>
        <v>SIM</v>
      </c>
      <c r="M4379" s="373">
        <f>ROUND(SUM(F4381:F4396),2)+ROUND(SUM(F4381:F4396)*C4398,2)+ROUND(SUM(F4401:F4410)*C4412,2)+ROUND(SUM(F4401:F4410),2)+ROUND(SUM(F4415:F4421)*C4423,2)+ROUND((SUM(F4415:F4421)+ROUND(SUM(F4415:F4421)*C4423,2))*C4424,2)+ROUND(SUM(F4415:F4421),2)</f>
        <v>0</v>
      </c>
      <c r="N4379" s="343" t="str">
        <f>IF(M4379=F4379,"SIM","NÃO")</f>
        <v>SIM</v>
      </c>
      <c r="O4379" s="364" t="str">
        <f>VLOOKUP(A4379,IV.A!$A$16:$E$172,3,FALSE)</f>
        <v>M2</v>
      </c>
      <c r="P4379" s="344" t="str">
        <f>IF(O4379=E4379,"SIM","NÃO")</f>
        <v>SIM</v>
      </c>
      <c r="Q4379" s="365">
        <f>ROUND(G4379*F4399,2)+ROUND(G4379*F4413,2)+ROUND(G4379*F4425,2)</f>
        <v>0</v>
      </c>
      <c r="R4379" s="364">
        <f>VLOOKUP(A4379,IV.A!$A$16:$L$172,12,FALSE)</f>
        <v>0</v>
      </c>
      <c r="S4379" s="366" t="str">
        <f>IF(Q4379=R4379,"si","no")</f>
        <v>si</v>
      </c>
      <c r="T4379" s="367">
        <f>SUM(L4381:L4396)+SUM(L4401:L4410)+SUM(L4415:L4421)</f>
        <v>51300</v>
      </c>
      <c r="U4379" s="341">
        <f>(SUM(C4381:C4396)+SUM(C4401:C4410)+SUM(C4415:C4421))*G4379</f>
        <v>51300</v>
      </c>
      <c r="V4379" s="368" t="str">
        <f>IF(T4379=U4379,"si","no")</f>
        <v>si</v>
      </c>
      <c r="W4379" s="369">
        <f>SUM(F4381:F4396)</f>
        <v>0</v>
      </c>
      <c r="X4379" s="369">
        <f>SUM(F4401:F4410)</f>
        <v>0</v>
      </c>
      <c r="Y4379" s="369">
        <f>SUM(F4415:F4421)</f>
        <v>0</v>
      </c>
    </row>
    <row r="4380" spans="1:25" ht="12.75" customHeight="1">
      <c r="A4380" s="374" t="s">
        <v>14</v>
      </c>
      <c r="B4380" s="375" t="s">
        <v>132</v>
      </c>
      <c r="C4380" s="376" t="s">
        <v>231</v>
      </c>
      <c r="D4380" s="376" t="s">
        <v>232</v>
      </c>
      <c r="E4380" s="377" t="s">
        <v>233</v>
      </c>
      <c r="F4380" s="378" t="s">
        <v>234</v>
      </c>
      <c r="G4380" s="379"/>
      <c r="J4380" s="341"/>
      <c r="L4380" s="380"/>
      <c r="M4380" s="381"/>
      <c r="N4380" s="342"/>
      <c r="O4380" s="382"/>
      <c r="P4380" s="383"/>
      <c r="Q4380" s="383"/>
      <c r="R4380" s="383"/>
      <c r="S4380" s="383"/>
      <c r="T4380" s="382"/>
      <c r="U4380" s="341"/>
      <c r="V4380" s="384"/>
      <c r="W4380" s="384"/>
      <c r="X4380" s="384"/>
      <c r="Y4380" s="384"/>
    </row>
    <row r="4381" spans="1:25" ht="12.75" customHeight="1">
      <c r="A4381" s="385"/>
      <c r="B4381" s="386"/>
      <c r="C4381" s="20"/>
      <c r="D4381" s="342"/>
      <c r="E4381" s="387"/>
      <c r="F4381" s="388">
        <f>ROUND(C4381*E4381,2)</f>
        <v>0</v>
      </c>
      <c r="H4381" s="341" t="str">
        <f>IF(A4381="","",VLOOKUP(A4381,VII.A!$A$10:$D$199,4,FALSE))</f>
        <v/>
      </c>
      <c r="I4381" s="341" t="str">
        <f t="shared" ref="I4381:I4396" si="1132">IF(A4381="","",IF(E4381=H4381,"SIM","NÃO"))</f>
        <v/>
      </c>
      <c r="J4381" s="341" t="str">
        <f>IF(A4381="","",VLOOKUP(A4381,VII.A!$A$10:$D$199,3,FALSE))</f>
        <v/>
      </c>
      <c r="K4381" s="342" t="str">
        <f t="shared" ref="K4381:K4396" si="1133">IF(A4381="","",IF(J4381=D4381,"SIM","NÃO"))</f>
        <v/>
      </c>
      <c r="L4381" s="380" t="str">
        <f>IF(C4381="","",G4379*C4381)</f>
        <v/>
      </c>
      <c r="M4381" s="381" t="str">
        <f>IF(A4381="","",VLOOKUP(A4381,VII.A!$A$10:$B$199,2,FALSE))</f>
        <v/>
      </c>
      <c r="N4381" s="342" t="str">
        <f t="shared" ref="N4381:N4396" si="1134">IF(B4381="","",IF(M4381=B4381,"si","no"))</f>
        <v/>
      </c>
      <c r="R4381" s="341"/>
      <c r="S4381" s="341"/>
    </row>
    <row r="4382" spans="1:25" ht="12.75" customHeight="1">
      <c r="A4382" s="385"/>
      <c r="B4382" s="386"/>
      <c r="C4382" s="20"/>
      <c r="D4382" s="342"/>
      <c r="E4382" s="387"/>
      <c r="F4382" s="388">
        <f t="shared" ref="F4382:F4396" si="1135">ROUND(C4382*E4382,2)</f>
        <v>0</v>
      </c>
      <c r="H4382" s="341" t="str">
        <f>IF(A4382="","",VLOOKUP(A4382,VII.A!$A$10:$D$199,4,FALSE))</f>
        <v/>
      </c>
      <c r="I4382" s="341" t="str">
        <f t="shared" si="1132"/>
        <v/>
      </c>
      <c r="J4382" s="341" t="str">
        <f>IF(A4382="","",VLOOKUP(A4382,VII.A!$A$10:$D$199,3,FALSE))</f>
        <v/>
      </c>
      <c r="K4382" s="342" t="str">
        <f t="shared" si="1133"/>
        <v/>
      </c>
      <c r="L4382" s="380" t="str">
        <f>IF(C4382="","",G4379*C4382)</f>
        <v/>
      </c>
      <c r="M4382" s="381" t="str">
        <f>IF(A4382="","",VLOOKUP(A4382,VII.A!$A$10:$B$199,2,FALSE))</f>
        <v/>
      </c>
      <c r="N4382" s="342" t="str">
        <f t="shared" si="1134"/>
        <v/>
      </c>
      <c r="R4382" s="341"/>
      <c r="S4382" s="341"/>
    </row>
    <row r="4383" spans="1:25" ht="12.75" customHeight="1">
      <c r="A4383" s="385"/>
      <c r="B4383" s="386"/>
      <c r="C4383" s="20"/>
      <c r="D4383" s="342"/>
      <c r="E4383" s="387"/>
      <c r="F4383" s="388">
        <f t="shared" si="1135"/>
        <v>0</v>
      </c>
      <c r="H4383" s="341" t="str">
        <f>IF(A4383="","",VLOOKUP(A4383,VII.A!$A$10:$D$199,4,FALSE))</f>
        <v/>
      </c>
      <c r="I4383" s="341" t="str">
        <f t="shared" si="1132"/>
        <v/>
      </c>
      <c r="J4383" s="341" t="str">
        <f>IF(A4383="","",VLOOKUP(A4383,VII.A!$A$10:$D$199,3,FALSE))</f>
        <v/>
      </c>
      <c r="K4383" s="342" t="str">
        <f t="shared" si="1133"/>
        <v/>
      </c>
      <c r="L4383" s="380" t="str">
        <f>IF(C4383="","",G4379*C4383)</f>
        <v/>
      </c>
      <c r="M4383" s="381" t="str">
        <f>IF(A4383="","",VLOOKUP(A4383,VII.A!$A$10:$B$199,2,FALSE))</f>
        <v/>
      </c>
      <c r="N4383" s="342" t="str">
        <f t="shared" si="1134"/>
        <v/>
      </c>
      <c r="R4383" s="341"/>
      <c r="S4383" s="341"/>
    </row>
    <row r="4384" spans="1:25" ht="12.75" customHeight="1">
      <c r="A4384" s="385"/>
      <c r="B4384" s="386"/>
      <c r="C4384" s="20"/>
      <c r="D4384" s="342"/>
      <c r="E4384" s="387"/>
      <c r="F4384" s="388">
        <f t="shared" si="1135"/>
        <v>0</v>
      </c>
      <c r="H4384" s="341" t="str">
        <f>IF(A4384="","",VLOOKUP(A4384,VII.A!$A$10:$D$199,4,FALSE))</f>
        <v/>
      </c>
      <c r="I4384" s="341" t="str">
        <f t="shared" si="1132"/>
        <v/>
      </c>
      <c r="J4384" s="341" t="str">
        <f>IF(A4384="","",VLOOKUP(A4384,VII.A!$A$10:$D$199,3,FALSE))</f>
        <v/>
      </c>
      <c r="K4384" s="342" t="str">
        <f t="shared" si="1133"/>
        <v/>
      </c>
      <c r="L4384" s="380" t="str">
        <f>IF(C4384="","",G4379*C4384)</f>
        <v/>
      </c>
      <c r="M4384" s="381" t="str">
        <f>IF(A4384="","",VLOOKUP(A4384,VII.A!$A$10:$B$199,2,FALSE))</f>
        <v/>
      </c>
      <c r="N4384" s="342" t="str">
        <f t="shared" si="1134"/>
        <v/>
      </c>
      <c r="R4384" s="341"/>
      <c r="S4384" s="341"/>
    </row>
    <row r="4385" spans="1:21" ht="12.75" customHeight="1">
      <c r="A4385" s="385"/>
      <c r="B4385" s="386"/>
      <c r="C4385" s="20"/>
      <c r="D4385" s="342"/>
      <c r="E4385" s="387"/>
      <c r="F4385" s="388">
        <f t="shared" si="1135"/>
        <v>0</v>
      </c>
      <c r="H4385" s="341" t="str">
        <f>IF(A4385="","",VLOOKUP(A4385,VII.A!$A$10:$D$199,4,FALSE))</f>
        <v/>
      </c>
      <c r="I4385" s="341" t="str">
        <f t="shared" si="1132"/>
        <v/>
      </c>
      <c r="J4385" s="341" t="str">
        <f>IF(A4385="","",VLOOKUP(A4385,VII.A!$A$10:$D$199,3,FALSE))</f>
        <v/>
      </c>
      <c r="K4385" s="342" t="str">
        <f t="shared" si="1133"/>
        <v/>
      </c>
      <c r="L4385" s="380" t="str">
        <f>IF(C4385="","",G4379*C4385)</f>
        <v/>
      </c>
      <c r="M4385" s="381" t="str">
        <f>IF(A4385="","",VLOOKUP(A4385,VII.A!$A$10:$B$199,2,FALSE))</f>
        <v/>
      </c>
      <c r="N4385" s="342" t="str">
        <f t="shared" si="1134"/>
        <v/>
      </c>
      <c r="R4385" s="341"/>
      <c r="S4385" s="341"/>
    </row>
    <row r="4386" spans="1:21" ht="12.75" customHeight="1">
      <c r="A4386" s="385"/>
      <c r="B4386" s="386"/>
      <c r="C4386" s="20"/>
      <c r="D4386" s="342"/>
      <c r="E4386" s="387"/>
      <c r="F4386" s="388">
        <f t="shared" si="1135"/>
        <v>0</v>
      </c>
      <c r="H4386" s="341" t="str">
        <f>IF(A4386="","",VLOOKUP(A4386,VII.A!$A$10:$D$199,4,FALSE))</f>
        <v/>
      </c>
      <c r="I4386" s="341" t="str">
        <f t="shared" si="1132"/>
        <v/>
      </c>
      <c r="J4386" s="341" t="str">
        <f>IF(A4386="","",VLOOKUP(A4386,VII.A!$A$10:$D$199,3,FALSE))</f>
        <v/>
      </c>
      <c r="K4386" s="342" t="str">
        <f t="shared" si="1133"/>
        <v/>
      </c>
      <c r="L4386" s="380" t="str">
        <f>IF(C4386="","",G4379*C4386)</f>
        <v/>
      </c>
      <c r="M4386" s="381" t="str">
        <f>IF(A4386="","",VLOOKUP(A4386,VII.A!$A$10:$B$199,2,FALSE))</f>
        <v/>
      </c>
      <c r="N4386" s="342" t="str">
        <f t="shared" si="1134"/>
        <v/>
      </c>
      <c r="R4386" s="341"/>
      <c r="S4386" s="341"/>
      <c r="U4386" s="389"/>
    </row>
    <row r="4387" spans="1:21" ht="12.75" customHeight="1">
      <c r="A4387" s="385"/>
      <c r="B4387" s="386"/>
      <c r="C4387" s="20"/>
      <c r="D4387" s="342"/>
      <c r="E4387" s="387"/>
      <c r="F4387" s="388">
        <f t="shared" si="1135"/>
        <v>0</v>
      </c>
      <c r="H4387" s="341" t="str">
        <f>IF(A4387="","",VLOOKUP(A4387,VII.A!$A$10:$D$199,4,FALSE))</f>
        <v/>
      </c>
      <c r="I4387" s="341" t="str">
        <f t="shared" si="1132"/>
        <v/>
      </c>
      <c r="J4387" s="341" t="str">
        <f>IF(A4387="","",VLOOKUP(A4387,VII.A!$A$10:$D$199,3,FALSE))</f>
        <v/>
      </c>
      <c r="K4387" s="342" t="str">
        <f t="shared" si="1133"/>
        <v/>
      </c>
      <c r="L4387" s="380" t="str">
        <f>IF(C4387="","",G4379*C4387)</f>
        <v/>
      </c>
      <c r="M4387" s="381" t="str">
        <f>IF(A4387="","",VLOOKUP(A4387,VII.A!$A$10:$B$199,2,FALSE))</f>
        <v/>
      </c>
      <c r="N4387" s="342" t="str">
        <f t="shared" si="1134"/>
        <v/>
      </c>
      <c r="R4387" s="341"/>
      <c r="S4387" s="341"/>
    </row>
    <row r="4388" spans="1:21" ht="12.75" customHeight="1">
      <c r="A4388" s="385"/>
      <c r="B4388" s="386"/>
      <c r="C4388" s="20"/>
      <c r="D4388" s="342"/>
      <c r="E4388" s="387"/>
      <c r="F4388" s="388">
        <f t="shared" si="1135"/>
        <v>0</v>
      </c>
      <c r="G4388" s="390"/>
      <c r="H4388" s="341" t="str">
        <f>IF(A4388="","",VLOOKUP(A4388,VII.A!$A$10:$D$199,4,FALSE))</f>
        <v/>
      </c>
      <c r="I4388" s="341" t="str">
        <f t="shared" si="1132"/>
        <v/>
      </c>
      <c r="J4388" s="341" t="str">
        <f>IF(A4388="","",VLOOKUP(A4388,VII.A!$A$10:$D$199,3,FALSE))</f>
        <v/>
      </c>
      <c r="K4388" s="342" t="str">
        <f t="shared" si="1133"/>
        <v/>
      </c>
      <c r="L4388" s="380" t="str">
        <f>IF(C4388="","",G4379*C4388)</f>
        <v/>
      </c>
      <c r="M4388" s="381" t="str">
        <f>IF(A4388="","",VLOOKUP(A4388,VII.A!$A$10:$B$199,2,FALSE))</f>
        <v/>
      </c>
      <c r="N4388" s="342" t="str">
        <f t="shared" si="1134"/>
        <v/>
      </c>
      <c r="R4388" s="341"/>
      <c r="S4388" s="341"/>
    </row>
    <row r="4389" spans="1:21" ht="12.75" customHeight="1">
      <c r="A4389" s="385"/>
      <c r="B4389" s="386"/>
      <c r="C4389" s="20"/>
      <c r="D4389" s="342"/>
      <c r="E4389" s="387"/>
      <c r="F4389" s="388">
        <f t="shared" si="1135"/>
        <v>0</v>
      </c>
      <c r="G4389" s="390"/>
      <c r="H4389" s="341" t="str">
        <f>IF(A4389="","",VLOOKUP(A4389,VII.A!$A$10:$D$199,4,FALSE))</f>
        <v/>
      </c>
      <c r="I4389" s="341" t="str">
        <f t="shared" si="1132"/>
        <v/>
      </c>
      <c r="J4389" s="341" t="str">
        <f>IF(A4389="","",VLOOKUP(A4389,VII.A!$A$10:$D$199,3,FALSE))</f>
        <v/>
      </c>
      <c r="K4389" s="342" t="str">
        <f t="shared" si="1133"/>
        <v/>
      </c>
      <c r="L4389" s="380" t="str">
        <f>IF(C4389="","",G4379*C4389)</f>
        <v/>
      </c>
      <c r="M4389" s="381" t="str">
        <f>IF(A4389="","",VLOOKUP(A4389,VII.A!$A$10:$B$199,2,FALSE))</f>
        <v/>
      </c>
      <c r="N4389" s="342" t="str">
        <f t="shared" si="1134"/>
        <v/>
      </c>
      <c r="R4389" s="341"/>
      <c r="S4389" s="341"/>
    </row>
    <row r="4390" spans="1:21" ht="12.75" customHeight="1">
      <c r="A4390" s="385"/>
      <c r="B4390" s="386"/>
      <c r="C4390" s="20"/>
      <c r="D4390" s="342"/>
      <c r="E4390" s="387"/>
      <c r="F4390" s="388">
        <f t="shared" si="1135"/>
        <v>0</v>
      </c>
      <c r="G4390" s="391"/>
      <c r="H4390" s="341" t="str">
        <f>IF(A4390="","",VLOOKUP(A4390,VII.A!$A$10:$D$199,4,FALSE))</f>
        <v/>
      </c>
      <c r="I4390" s="341" t="str">
        <f t="shared" si="1132"/>
        <v/>
      </c>
      <c r="J4390" s="341" t="str">
        <f>IF(A4390="","",VLOOKUP(A4390,VII.A!$A$10:$D$199,3,FALSE))</f>
        <v/>
      </c>
      <c r="K4390" s="342" t="str">
        <f t="shared" si="1133"/>
        <v/>
      </c>
      <c r="L4390" s="380" t="str">
        <f>IF(C4390="","",G4379*C4390)</f>
        <v/>
      </c>
      <c r="M4390" s="381" t="str">
        <f>IF(A4390="","",VLOOKUP(A4390,VII.A!$A$10:$B$199,2,FALSE))</f>
        <v/>
      </c>
      <c r="N4390" s="342" t="str">
        <f t="shared" si="1134"/>
        <v/>
      </c>
      <c r="R4390" s="341"/>
      <c r="S4390" s="341"/>
    </row>
    <row r="4391" spans="1:21" ht="12.75" customHeight="1">
      <c r="A4391" s="385"/>
      <c r="B4391" s="386"/>
      <c r="C4391" s="20"/>
      <c r="D4391" s="342"/>
      <c r="E4391" s="387"/>
      <c r="F4391" s="388">
        <f t="shared" si="1135"/>
        <v>0</v>
      </c>
      <c r="H4391" s="341" t="str">
        <f>IF(A4391="","",VLOOKUP(A4391,VII.A!$A$10:$D$199,4,FALSE))</f>
        <v/>
      </c>
      <c r="I4391" s="341" t="str">
        <f t="shared" si="1132"/>
        <v/>
      </c>
      <c r="J4391" s="341" t="str">
        <f>IF(A4391="","",VLOOKUP(A4391,VII.A!$A$10:$D$199,3,FALSE))</f>
        <v/>
      </c>
      <c r="K4391" s="342" t="str">
        <f t="shared" si="1133"/>
        <v/>
      </c>
      <c r="L4391" s="380" t="str">
        <f>IF(C4391="","",G4379*C4391)</f>
        <v/>
      </c>
      <c r="M4391" s="381" t="str">
        <f>IF(A4391="","",VLOOKUP(A4391,VII.A!$A$10:$B$199,2,FALSE))</f>
        <v/>
      </c>
      <c r="N4391" s="342" t="str">
        <f t="shared" si="1134"/>
        <v/>
      </c>
      <c r="R4391" s="341"/>
      <c r="S4391" s="341"/>
    </row>
    <row r="4392" spans="1:21" ht="12.75" customHeight="1">
      <c r="A4392" s="385"/>
      <c r="B4392" s="386"/>
      <c r="C4392" s="20"/>
      <c r="D4392" s="392"/>
      <c r="E4392" s="387"/>
      <c r="F4392" s="388">
        <f t="shared" si="1135"/>
        <v>0</v>
      </c>
      <c r="H4392" s="341" t="str">
        <f>IF(A4392="","",VLOOKUP(A4392,VII.A!$A$10:$D$199,4,FALSE))</f>
        <v/>
      </c>
      <c r="I4392" s="341" t="str">
        <f t="shared" si="1132"/>
        <v/>
      </c>
      <c r="J4392" s="341" t="str">
        <f>IF(A4392="","",VLOOKUP(A4392,VII.A!$A$10:$D$199,3,FALSE))</f>
        <v/>
      </c>
      <c r="K4392" s="342" t="str">
        <f t="shared" si="1133"/>
        <v/>
      </c>
      <c r="L4392" s="380" t="str">
        <f>IF(C4392="","",G4379*C4392)</f>
        <v/>
      </c>
      <c r="M4392" s="381" t="str">
        <f>IF(A4392="","",VLOOKUP(A4392,VII.A!$A$10:$B$199,2,FALSE))</f>
        <v/>
      </c>
      <c r="N4392" s="342" t="str">
        <f t="shared" si="1134"/>
        <v/>
      </c>
      <c r="R4392" s="341"/>
      <c r="S4392" s="341"/>
    </row>
    <row r="4393" spans="1:21" ht="12.75" customHeight="1">
      <c r="A4393" s="385"/>
      <c r="B4393" s="386"/>
      <c r="C4393" s="20"/>
      <c r="D4393" s="392"/>
      <c r="E4393" s="387"/>
      <c r="F4393" s="388">
        <f t="shared" si="1135"/>
        <v>0</v>
      </c>
      <c r="H4393" s="341" t="str">
        <f>IF(A4393="","",VLOOKUP(A4393,VII.A!$A$10:$D$199,4,FALSE))</f>
        <v/>
      </c>
      <c r="I4393" s="341" t="str">
        <f t="shared" si="1132"/>
        <v/>
      </c>
      <c r="J4393" s="341" t="str">
        <f>IF(A4393="","",VLOOKUP(A4393,VII.A!$A$10:$D$199,3,FALSE))</f>
        <v/>
      </c>
      <c r="K4393" s="342" t="str">
        <f t="shared" si="1133"/>
        <v/>
      </c>
      <c r="L4393" s="380" t="str">
        <f>IF(C4393="","",G4379*C4393)</f>
        <v/>
      </c>
      <c r="M4393" s="381" t="str">
        <f>IF(A4393="","",VLOOKUP(A4393,VII.A!$A$10:$B$199,2,FALSE))</f>
        <v/>
      </c>
      <c r="N4393" s="342" t="str">
        <f t="shared" si="1134"/>
        <v/>
      </c>
      <c r="O4393" s="342"/>
      <c r="R4393" s="341"/>
      <c r="S4393" s="341"/>
    </row>
    <row r="4394" spans="1:21" ht="12.75" customHeight="1">
      <c r="A4394" s="385"/>
      <c r="B4394" s="386"/>
      <c r="C4394" s="20"/>
      <c r="D4394" s="392"/>
      <c r="E4394" s="387"/>
      <c r="F4394" s="388">
        <f t="shared" si="1135"/>
        <v>0</v>
      </c>
      <c r="H4394" s="341" t="str">
        <f>IF(A4394="","",VLOOKUP(A4394,VII.A!$A$10:$D$199,4,FALSE))</f>
        <v/>
      </c>
      <c r="I4394" s="341" t="str">
        <f t="shared" si="1132"/>
        <v/>
      </c>
      <c r="J4394" s="341" t="str">
        <f>IF(A4394="","",VLOOKUP(A4394,VII.A!$A$10:$D$199,3,FALSE))</f>
        <v/>
      </c>
      <c r="K4394" s="342" t="str">
        <f t="shared" si="1133"/>
        <v/>
      </c>
      <c r="L4394" s="380" t="str">
        <f>IF(C4394="","",G4379*C4394)</f>
        <v/>
      </c>
      <c r="M4394" s="381" t="str">
        <f>IF(A4394="","",VLOOKUP(A4394,VII.A!$A$10:$B$199,2,FALSE))</f>
        <v/>
      </c>
      <c r="N4394" s="342" t="str">
        <f t="shared" si="1134"/>
        <v/>
      </c>
      <c r="R4394" s="341"/>
      <c r="S4394" s="341"/>
    </row>
    <row r="4395" spans="1:21" ht="12.75" customHeight="1">
      <c r="A4395" s="393"/>
      <c r="C4395" s="20"/>
      <c r="E4395" s="387"/>
      <c r="F4395" s="388">
        <f t="shared" si="1135"/>
        <v>0</v>
      </c>
      <c r="H4395" s="341" t="str">
        <f>IF(A4395="","",VLOOKUP(A4395,VII.A!$A$10:$D$199,4,FALSE))</f>
        <v/>
      </c>
      <c r="I4395" s="341" t="str">
        <f t="shared" si="1132"/>
        <v/>
      </c>
      <c r="J4395" s="341" t="str">
        <f>IF(A4395="","",VLOOKUP(A4395,VII.A!$A$10:$D$199,3,FALSE))</f>
        <v/>
      </c>
      <c r="K4395" s="342" t="str">
        <f t="shared" si="1133"/>
        <v/>
      </c>
      <c r="L4395" s="380" t="str">
        <f>IF(C4395="","",G4379*C4395)</f>
        <v/>
      </c>
      <c r="M4395" s="381" t="str">
        <f>IF(A4395="","",VLOOKUP(A4395,VII.A!$A$10:$B$199,2,FALSE))</f>
        <v/>
      </c>
      <c r="N4395" s="342" t="str">
        <f t="shared" si="1134"/>
        <v/>
      </c>
      <c r="R4395" s="341"/>
      <c r="S4395" s="341"/>
    </row>
    <row r="4396" spans="1:21" ht="12.75" customHeight="1">
      <c r="A4396" s="393"/>
      <c r="C4396" s="20"/>
      <c r="E4396" s="387"/>
      <c r="F4396" s="388">
        <f t="shared" si="1135"/>
        <v>0</v>
      </c>
      <c r="H4396" s="341" t="str">
        <f>IF(A4396="","",VLOOKUP(A4396,VII.A!$A$10:$D$199,4,FALSE))</f>
        <v/>
      </c>
      <c r="I4396" s="341" t="str">
        <f t="shared" si="1132"/>
        <v/>
      </c>
      <c r="J4396" s="341" t="str">
        <f>IF(A4396="","",VLOOKUP(A4396,VII.A!$A$10:$D$199,3,FALSE))</f>
        <v/>
      </c>
      <c r="K4396" s="342" t="str">
        <f t="shared" si="1133"/>
        <v/>
      </c>
      <c r="L4396" s="380" t="str">
        <f>IF(C4396="","",G4379*C4396)</f>
        <v/>
      </c>
      <c r="M4396" s="381" t="str">
        <f>IF(A4396="","",VLOOKUP(A4396,VII.A!$A$10:$B$199,2,FALSE))</f>
        <v/>
      </c>
      <c r="N4396" s="342" t="str">
        <f t="shared" si="1134"/>
        <v/>
      </c>
      <c r="R4396" s="341"/>
      <c r="S4396" s="341"/>
    </row>
    <row r="4397" spans="1:21" ht="12.75" customHeight="1">
      <c r="A4397" s="393"/>
      <c r="B4397" s="395" t="s">
        <v>226</v>
      </c>
      <c r="C4397" s="396"/>
      <c r="D4397" s="397"/>
      <c r="E4397" s="398"/>
      <c r="F4397" s="399">
        <f>SUM(F4381:F4396)</f>
        <v>0</v>
      </c>
      <c r="J4397" s="341"/>
      <c r="L4397" s="380"/>
      <c r="M4397" s="381"/>
      <c r="N4397" s="342"/>
      <c r="R4397" s="341"/>
      <c r="S4397" s="341"/>
    </row>
    <row r="4398" spans="1:21" ht="12.75" customHeight="1">
      <c r="A4398" s="393"/>
      <c r="B4398" s="400" t="s">
        <v>53</v>
      </c>
      <c r="C4398" s="2">
        <f>$D$8</f>
        <v>0</v>
      </c>
      <c r="D4398" s="401"/>
      <c r="E4398" s="402"/>
      <c r="F4398" s="403">
        <f>ROUND(F4397*C4398,2)</f>
        <v>0</v>
      </c>
      <c r="H4398" s="426" t="s">
        <v>403</v>
      </c>
      <c r="J4398" s="341"/>
      <c r="L4398" s="380"/>
      <c r="M4398" s="381"/>
      <c r="N4398" s="342"/>
      <c r="R4398" s="341"/>
      <c r="S4398" s="341"/>
    </row>
    <row r="4399" spans="1:21" ht="12.75" customHeight="1">
      <c r="A4399" s="404"/>
      <c r="B4399" s="405" t="s">
        <v>227</v>
      </c>
      <c r="C4399" s="406"/>
      <c r="D4399" s="406"/>
      <c r="E4399" s="407"/>
      <c r="F4399" s="408">
        <f>F4397+F4398</f>
        <v>0</v>
      </c>
      <c r="J4399" s="341"/>
      <c r="L4399" s="380"/>
      <c r="M4399" s="381"/>
      <c r="N4399" s="342"/>
      <c r="R4399" s="341"/>
      <c r="S4399" s="341"/>
    </row>
    <row r="4400" spans="1:21" ht="12.75" customHeight="1">
      <c r="A4400" s="374" t="s">
        <v>2</v>
      </c>
      <c r="B4400" s="375" t="s">
        <v>235</v>
      </c>
      <c r="C4400" s="376" t="s">
        <v>231</v>
      </c>
      <c r="D4400" s="376" t="s">
        <v>232</v>
      </c>
      <c r="E4400" s="377" t="s">
        <v>233</v>
      </c>
      <c r="F4400" s="378" t="s">
        <v>234</v>
      </c>
      <c r="J4400" s="341"/>
      <c r="L4400" s="380"/>
      <c r="M4400" s="381"/>
      <c r="N4400" s="342"/>
      <c r="R4400" s="341"/>
      <c r="S4400" s="341"/>
    </row>
    <row r="4401" spans="1:19" ht="12.75" customHeight="1">
      <c r="A4401" s="393" t="str">
        <f>VII.A!$A$160</f>
        <v>2.18</v>
      </c>
      <c r="B4401" s="423" t="str">
        <f>VLOOKUP(A4401,VII.A!$A$10:$G$199,2,FALSE)</f>
        <v>HIDROJATEAMENTO DE ALTA PRESSÃO C/ÁGUA QUENTE OU FRIA E SOLUÇÃO LIMPADORA ATÉ DE 17 MPA</v>
      </c>
      <c r="C4401" s="20">
        <v>1</v>
      </c>
      <c r="D4401" s="384" t="str">
        <f>VLOOKUP(A4401,VII.A!$A$10:$G$199,3,FALSE)</f>
        <v>M2</v>
      </c>
      <c r="E4401" s="387">
        <f>VII.A!D160</f>
        <v>0</v>
      </c>
      <c r="F4401" s="388">
        <f t="shared" ref="F4401:F4410" si="1136">ROUND(C4401*E4401,2)</f>
        <v>0</v>
      </c>
      <c r="H4401" s="341">
        <f>IF(A4401="","",VLOOKUP(A4401,VII.A!$A$10:$D$199,4,FALSE))</f>
        <v>0</v>
      </c>
      <c r="I4401" s="341" t="str">
        <f t="shared" ref="I4401:I4410" si="1137">IF(A4401="","",IF(E4401=H4401,"SIM","NÃO"))</f>
        <v>SIM</v>
      </c>
      <c r="J4401" s="341" t="str">
        <f>IF(A4401="","",VLOOKUP(A4401,VII.A!$A$10:$D$199,3,FALSE))</f>
        <v>M2</v>
      </c>
      <c r="K4401" s="342" t="str">
        <f t="shared" ref="K4401:K4410" si="1138">IF(A4401="","",IF(J4401=D4401,"SIM","NÃO"))</f>
        <v>SIM</v>
      </c>
      <c r="L4401" s="380">
        <f>IF(C4401="","",G4379*C4401)</f>
        <v>51300</v>
      </c>
      <c r="M4401" s="381" t="str">
        <f>IF(A4401="","",VLOOKUP(A4401,VII.A!$A$10:$B$199,2,FALSE))</f>
        <v>HIDROJATEAMENTO DE ALTA PRESSÃO C/ÁGUA QUENTE OU FRIA E SOLUÇÃO LIMPADORA ATÉ DE 17 MPA</v>
      </c>
      <c r="N4401" s="342" t="str">
        <f t="shared" ref="N4401:N4410" si="1139">IF(B4401="","",IF(M4401=B4401,"si","no"))</f>
        <v>si</v>
      </c>
      <c r="R4401" s="341"/>
      <c r="S4401" s="341"/>
    </row>
    <row r="4402" spans="1:19" ht="12.75" customHeight="1">
      <c r="A4402" s="393"/>
      <c r="C4402" s="20"/>
      <c r="E4402" s="387"/>
      <c r="F4402" s="388">
        <f t="shared" si="1136"/>
        <v>0</v>
      </c>
      <c r="H4402" s="341" t="str">
        <f>IF(A4402="","",VLOOKUP(A4402,VII.A!$A$10:$D$199,4,FALSE))</f>
        <v/>
      </c>
      <c r="I4402" s="341" t="str">
        <f t="shared" si="1137"/>
        <v/>
      </c>
      <c r="J4402" s="341" t="str">
        <f>IF(A4402="","",VLOOKUP(A4402,VII.A!$A$10:$D$199,3,FALSE))</f>
        <v/>
      </c>
      <c r="K4402" s="342" t="str">
        <f t="shared" si="1138"/>
        <v/>
      </c>
      <c r="L4402" s="380" t="str">
        <f>IF(C4402="","",G4379*C4402)</f>
        <v/>
      </c>
      <c r="M4402" s="381" t="str">
        <f>IF(A4402="","",VLOOKUP(A4402,VII.A!$A$10:$B$199,2,FALSE))</f>
        <v/>
      </c>
      <c r="N4402" s="342" t="str">
        <f t="shared" si="1139"/>
        <v/>
      </c>
      <c r="R4402" s="341"/>
      <c r="S4402" s="341"/>
    </row>
    <row r="4403" spans="1:19" ht="12.75" customHeight="1">
      <c r="A4403" s="393"/>
      <c r="C4403" s="20"/>
      <c r="E4403" s="387"/>
      <c r="F4403" s="388">
        <f t="shared" si="1136"/>
        <v>0</v>
      </c>
      <c r="H4403" s="341" t="str">
        <f>IF(A4403="","",VLOOKUP(A4403,VII.A!$A$10:$D$199,4,FALSE))</f>
        <v/>
      </c>
      <c r="I4403" s="341" t="str">
        <f t="shared" si="1137"/>
        <v/>
      </c>
      <c r="J4403" s="341" t="str">
        <f>IF(A4403="","",VLOOKUP(A4403,VII.A!$A$10:$D$199,3,FALSE))</f>
        <v/>
      </c>
      <c r="K4403" s="342" t="str">
        <f t="shared" si="1138"/>
        <v/>
      </c>
      <c r="L4403" s="380" t="str">
        <f>IF(C4403="","",G4379*C4403)</f>
        <v/>
      </c>
      <c r="M4403" s="381" t="str">
        <f>IF(A4403="","",VLOOKUP(A4403,VII.A!$A$10:$B$199,2,FALSE))</f>
        <v/>
      </c>
      <c r="N4403" s="342" t="str">
        <f t="shared" si="1139"/>
        <v/>
      </c>
      <c r="R4403" s="341"/>
      <c r="S4403" s="341"/>
    </row>
    <row r="4404" spans="1:19" ht="12.75" customHeight="1">
      <c r="A4404" s="393"/>
      <c r="C4404" s="20"/>
      <c r="E4404" s="387"/>
      <c r="F4404" s="388">
        <f t="shared" si="1136"/>
        <v>0</v>
      </c>
      <c r="H4404" s="341" t="str">
        <f>IF(A4404="","",VLOOKUP(A4404,VII.A!$A$10:$D$199,4,FALSE))</f>
        <v/>
      </c>
      <c r="I4404" s="341" t="str">
        <f t="shared" si="1137"/>
        <v/>
      </c>
      <c r="J4404" s="341" t="str">
        <f>IF(A4404="","",VLOOKUP(A4404,VII.A!$A$10:$D$199,3,FALSE))</f>
        <v/>
      </c>
      <c r="K4404" s="342" t="str">
        <f t="shared" si="1138"/>
        <v/>
      </c>
      <c r="L4404" s="380" t="str">
        <f>IF(C4404="","",G4379*C4404)</f>
        <v/>
      </c>
      <c r="M4404" s="381" t="str">
        <f>IF(A4404="","",VLOOKUP(A4404,VII.A!$A$10:$B$199,2,FALSE))</f>
        <v/>
      </c>
      <c r="N4404" s="342" t="str">
        <f t="shared" si="1139"/>
        <v/>
      </c>
      <c r="R4404" s="341"/>
      <c r="S4404" s="341"/>
    </row>
    <row r="4405" spans="1:19" ht="12.75" customHeight="1">
      <c r="A4405" s="393"/>
      <c r="C4405" s="20"/>
      <c r="E4405" s="387"/>
      <c r="F4405" s="388">
        <f t="shared" si="1136"/>
        <v>0</v>
      </c>
      <c r="G4405" s="390"/>
      <c r="H4405" s="341" t="str">
        <f>IF(A4405="","",VLOOKUP(A4405,VII.A!$A$10:$D$199,4,FALSE))</f>
        <v/>
      </c>
      <c r="I4405" s="341" t="str">
        <f t="shared" si="1137"/>
        <v/>
      </c>
      <c r="J4405" s="341" t="str">
        <f>IF(A4405="","",VLOOKUP(A4405,VII.A!$A$10:$D$199,3,FALSE))</f>
        <v/>
      </c>
      <c r="K4405" s="342" t="str">
        <f t="shared" si="1138"/>
        <v/>
      </c>
      <c r="L4405" s="380" t="str">
        <f>IF(C4405="","",G4379*C4405)</f>
        <v/>
      </c>
      <c r="M4405" s="381" t="str">
        <f>IF(A4405="","",VLOOKUP(A4405,VII.A!$A$10:$B$199,2,FALSE))</f>
        <v/>
      </c>
      <c r="N4405" s="342" t="str">
        <f t="shared" si="1139"/>
        <v/>
      </c>
      <c r="R4405" s="341"/>
      <c r="S4405" s="341"/>
    </row>
    <row r="4406" spans="1:19" ht="12.75" customHeight="1">
      <c r="A4406" s="393"/>
      <c r="C4406" s="20"/>
      <c r="E4406" s="387"/>
      <c r="F4406" s="388">
        <f t="shared" si="1136"/>
        <v>0</v>
      </c>
      <c r="G4406" s="391"/>
      <c r="H4406" s="341" t="str">
        <f>IF(A4406="","",VLOOKUP(A4406,VII.A!$A$10:$D$199,4,FALSE))</f>
        <v/>
      </c>
      <c r="I4406" s="341" t="str">
        <f t="shared" si="1137"/>
        <v/>
      </c>
      <c r="J4406" s="341" t="str">
        <f>IF(A4406="","",VLOOKUP(A4406,VII.A!$A$10:$D$199,3,FALSE))</f>
        <v/>
      </c>
      <c r="K4406" s="342" t="str">
        <f t="shared" si="1138"/>
        <v/>
      </c>
      <c r="L4406" s="380" t="str">
        <f>IF(C4406="","",G4379*C4406)</f>
        <v/>
      </c>
      <c r="M4406" s="381" t="str">
        <f>IF(A4406="","",VLOOKUP(A4406,VII.A!$A$10:$B$199,2,FALSE))</f>
        <v/>
      </c>
      <c r="N4406" s="342" t="str">
        <f t="shared" si="1139"/>
        <v/>
      </c>
      <c r="R4406" s="341"/>
      <c r="S4406" s="341"/>
    </row>
    <row r="4407" spans="1:19" ht="12.75" customHeight="1">
      <c r="A4407" s="393"/>
      <c r="C4407" s="20"/>
      <c r="E4407" s="387"/>
      <c r="F4407" s="388">
        <f t="shared" si="1136"/>
        <v>0</v>
      </c>
      <c r="H4407" s="341" t="str">
        <f>IF(A4407="","",VLOOKUP(A4407,VII.A!$A$10:$D$199,4,FALSE))</f>
        <v/>
      </c>
      <c r="I4407" s="341" t="str">
        <f t="shared" si="1137"/>
        <v/>
      </c>
      <c r="J4407" s="341" t="str">
        <f>IF(A4407="","",VLOOKUP(A4407,VII.A!$A$10:$D$199,3,FALSE))</f>
        <v/>
      </c>
      <c r="K4407" s="342" t="str">
        <f t="shared" si="1138"/>
        <v/>
      </c>
      <c r="L4407" s="380" t="str">
        <f>IF(C4407="","",G4379*C4407)</f>
        <v/>
      </c>
      <c r="M4407" s="381" t="str">
        <f>IF(A4407="","",VLOOKUP(A4407,VII.A!$A$10:$B$199,2,FALSE))</f>
        <v/>
      </c>
      <c r="N4407" s="342" t="str">
        <f t="shared" si="1139"/>
        <v/>
      </c>
      <c r="R4407" s="341"/>
      <c r="S4407" s="341"/>
    </row>
    <row r="4408" spans="1:19" ht="12.75" customHeight="1">
      <c r="A4408" s="393"/>
      <c r="C4408" s="20"/>
      <c r="E4408" s="387"/>
      <c r="F4408" s="388">
        <f t="shared" si="1136"/>
        <v>0</v>
      </c>
      <c r="H4408" s="341" t="str">
        <f>IF(A4408="","",VLOOKUP(A4408,VII.A!$A$10:$D$199,4,FALSE))</f>
        <v/>
      </c>
      <c r="I4408" s="341" t="str">
        <f t="shared" si="1137"/>
        <v/>
      </c>
      <c r="J4408" s="341" t="str">
        <f>IF(A4408="","",VLOOKUP(A4408,VII.A!$A$10:$D$199,3,FALSE))</f>
        <v/>
      </c>
      <c r="K4408" s="342" t="str">
        <f t="shared" si="1138"/>
        <v/>
      </c>
      <c r="L4408" s="380" t="str">
        <f>IF(C4408="","",G4379*C4408)</f>
        <v/>
      </c>
      <c r="M4408" s="381" t="str">
        <f>IF(A4408="","",VLOOKUP(A4408,VII.A!$A$10:$B$199,2,FALSE))</f>
        <v/>
      </c>
      <c r="N4408" s="342" t="str">
        <f t="shared" si="1139"/>
        <v/>
      </c>
      <c r="R4408" s="341"/>
      <c r="S4408" s="341"/>
    </row>
    <row r="4409" spans="1:19" ht="12.75" customHeight="1">
      <c r="A4409" s="393"/>
      <c r="C4409" s="20"/>
      <c r="E4409" s="387"/>
      <c r="F4409" s="388">
        <f t="shared" si="1136"/>
        <v>0</v>
      </c>
      <c r="H4409" s="341" t="str">
        <f>IF(A4409="","",VLOOKUP(A4409,VII.A!$A$10:$D$199,4,FALSE))</f>
        <v/>
      </c>
      <c r="I4409" s="341" t="str">
        <f t="shared" si="1137"/>
        <v/>
      </c>
      <c r="J4409" s="341" t="str">
        <f>IF(A4409="","",VLOOKUP(A4409,VII.A!$A$10:$D$199,3,FALSE))</f>
        <v/>
      </c>
      <c r="K4409" s="342" t="str">
        <f t="shared" si="1138"/>
        <v/>
      </c>
      <c r="L4409" s="380" t="str">
        <f>IF(C4409="","",G4379*C4409)</f>
        <v/>
      </c>
      <c r="M4409" s="381" t="str">
        <f>IF(A4409="","",VLOOKUP(A4409,VII.A!$A$10:$B$199,2,FALSE))</f>
        <v/>
      </c>
      <c r="N4409" s="342" t="str">
        <f t="shared" si="1139"/>
        <v/>
      </c>
      <c r="R4409" s="341"/>
      <c r="S4409" s="341"/>
    </row>
    <row r="4410" spans="1:19" ht="12.75" customHeight="1">
      <c r="A4410" s="393"/>
      <c r="C4410" s="20"/>
      <c r="E4410" s="387"/>
      <c r="F4410" s="388">
        <f t="shared" si="1136"/>
        <v>0</v>
      </c>
      <c r="H4410" s="341" t="str">
        <f>IF(A4410="","",VLOOKUP(A4410,VII.A!$A$10:$D$199,4,FALSE))</f>
        <v/>
      </c>
      <c r="I4410" s="341" t="str">
        <f t="shared" si="1137"/>
        <v/>
      </c>
      <c r="J4410" s="341" t="str">
        <f>IF(A4410="","",VLOOKUP(A4410,VII.A!$A$10:$D$199,3,FALSE))</f>
        <v/>
      </c>
      <c r="K4410" s="342" t="str">
        <f t="shared" si="1138"/>
        <v/>
      </c>
      <c r="L4410" s="380" t="str">
        <f>IF(C4410="","",G4379*C4410)</f>
        <v/>
      </c>
      <c r="M4410" s="381" t="str">
        <f>IF(A4410="","",VLOOKUP(A4410,VII.A!$A$10:$B$199,2,FALSE))</f>
        <v/>
      </c>
      <c r="N4410" s="342" t="str">
        <f t="shared" si="1139"/>
        <v/>
      </c>
      <c r="R4410" s="341"/>
      <c r="S4410" s="341"/>
    </row>
    <row r="4411" spans="1:19" ht="12.75" customHeight="1">
      <c r="A4411" s="393"/>
      <c r="B4411" s="395" t="s">
        <v>226</v>
      </c>
      <c r="C4411" s="396"/>
      <c r="D4411" s="397"/>
      <c r="E4411" s="398"/>
      <c r="F4411" s="399">
        <f>SUM(F4401:F4410)</f>
        <v>0</v>
      </c>
      <c r="J4411" s="341"/>
      <c r="L4411" s="380"/>
      <c r="M4411" s="381"/>
      <c r="N4411" s="342"/>
      <c r="R4411" s="341"/>
      <c r="S4411" s="341"/>
    </row>
    <row r="4412" spans="1:19" ht="12.75" customHeight="1">
      <c r="A4412" s="393"/>
      <c r="B4412" s="400" t="s">
        <v>53</v>
      </c>
      <c r="C4412" s="2">
        <f>$D$8</f>
        <v>0</v>
      </c>
      <c r="D4412" s="401"/>
      <c r="E4412" s="402"/>
      <c r="F4412" s="403">
        <f>ROUND(C4412*F4411,2)</f>
        <v>0</v>
      </c>
      <c r="J4412" s="341"/>
      <c r="L4412" s="380"/>
      <c r="M4412" s="381"/>
      <c r="N4412" s="342"/>
      <c r="R4412" s="341"/>
      <c r="S4412" s="341"/>
    </row>
    <row r="4413" spans="1:19" ht="12.75" customHeight="1">
      <c r="A4413" s="404"/>
      <c r="B4413" s="405" t="s">
        <v>228</v>
      </c>
      <c r="C4413" s="406"/>
      <c r="D4413" s="406"/>
      <c r="E4413" s="407"/>
      <c r="F4413" s="408">
        <f>F4411+F4412</f>
        <v>0</v>
      </c>
      <c r="J4413" s="341"/>
      <c r="L4413" s="380"/>
      <c r="M4413" s="381"/>
      <c r="N4413" s="342"/>
      <c r="R4413" s="341"/>
      <c r="S4413" s="341"/>
    </row>
    <row r="4414" spans="1:19" ht="12.75" customHeight="1">
      <c r="A4414" s="409" t="s">
        <v>47</v>
      </c>
      <c r="B4414" s="410" t="s">
        <v>236</v>
      </c>
      <c r="C4414" s="411" t="s">
        <v>231</v>
      </c>
      <c r="D4414" s="412" t="s">
        <v>232</v>
      </c>
      <c r="E4414" s="413" t="s">
        <v>233</v>
      </c>
      <c r="F4414" s="378" t="s">
        <v>234</v>
      </c>
      <c r="J4414" s="341"/>
      <c r="L4414" s="380"/>
      <c r="M4414" s="381"/>
      <c r="N4414" s="342"/>
      <c r="R4414" s="341"/>
      <c r="S4414" s="341"/>
    </row>
    <row r="4415" spans="1:19" ht="12.75" customHeight="1">
      <c r="A4415" s="393"/>
      <c r="C4415" s="20"/>
      <c r="E4415" s="387"/>
      <c r="F4415" s="388">
        <f t="shared" ref="F4415:F4421" si="1140">ROUND(C4415*E4415,2)</f>
        <v>0</v>
      </c>
      <c r="H4415" s="341" t="str">
        <f>IF(A4415="","",VLOOKUP(A4415,VII.A!$A$10:$D$199,4,FALSE))</f>
        <v/>
      </c>
      <c r="I4415" s="341" t="str">
        <f t="shared" ref="I4415:I4421" si="1141">IF(A4415="","",IF(E4415=H4415,"SIM","NÃO"))</f>
        <v/>
      </c>
      <c r="J4415" s="341" t="str">
        <f>IF(A4415="","",VLOOKUP(A4415,VII.A!$A$10:$D$199,3,FALSE))</f>
        <v/>
      </c>
      <c r="K4415" s="342" t="str">
        <f t="shared" ref="K4415:K4421" si="1142">IF(A4415="","",IF(J4415=D4415,"SIM","NÃO"))</f>
        <v/>
      </c>
      <c r="L4415" s="380" t="str">
        <f>IF(C4415="","",G4379*C4415)</f>
        <v/>
      </c>
      <c r="M4415" s="381" t="str">
        <f>IF(A4415="","",VLOOKUP(A4415,VII.A!$A$10:$B$199,2,FALSE))</f>
        <v/>
      </c>
      <c r="N4415" s="342" t="str">
        <f t="shared" ref="N4415:N4421" si="1143">IF(B4415="","",IF(M4415=B4415,"si","no"))</f>
        <v/>
      </c>
      <c r="R4415" s="341"/>
      <c r="S4415" s="341"/>
    </row>
    <row r="4416" spans="1:19" ht="12.75" customHeight="1">
      <c r="A4416" s="393"/>
      <c r="C4416" s="20"/>
      <c r="E4416" s="387"/>
      <c r="F4416" s="388">
        <f t="shared" si="1140"/>
        <v>0</v>
      </c>
      <c r="H4416" s="341" t="str">
        <f>IF(A4416="","",VLOOKUP(A4416,VII.A!$A$10:$D$199,4,FALSE))</f>
        <v/>
      </c>
      <c r="I4416" s="341" t="str">
        <f t="shared" si="1141"/>
        <v/>
      </c>
      <c r="J4416" s="341" t="str">
        <f>IF(A4416="","",VLOOKUP(A4416,VII.A!$A$10:$D$199,3,FALSE))</f>
        <v/>
      </c>
      <c r="K4416" s="342" t="str">
        <f t="shared" si="1142"/>
        <v/>
      </c>
      <c r="L4416" s="380" t="str">
        <f>IF(C4416="","",G4379*C4416)</f>
        <v/>
      </c>
      <c r="M4416" s="381" t="str">
        <f>IF(A4416="","",VLOOKUP(A4416,VII.A!$A$10:$B$199,2,FALSE))</f>
        <v/>
      </c>
      <c r="N4416" s="342" t="str">
        <f t="shared" si="1143"/>
        <v/>
      </c>
      <c r="R4416" s="341"/>
      <c r="S4416" s="341"/>
    </row>
    <row r="4417" spans="1:25" ht="12.75" customHeight="1">
      <c r="A4417" s="393"/>
      <c r="C4417" s="20"/>
      <c r="E4417" s="387"/>
      <c r="F4417" s="388">
        <f t="shared" si="1140"/>
        <v>0</v>
      </c>
      <c r="H4417" s="341" t="str">
        <f>IF(A4417="","",VLOOKUP(A4417,VII.A!$A$10:$D$199,4,FALSE))</f>
        <v/>
      </c>
      <c r="I4417" s="341" t="str">
        <f t="shared" si="1141"/>
        <v/>
      </c>
      <c r="J4417" s="341" t="str">
        <f>IF(A4417="","",VLOOKUP(A4417,VII.A!$A$10:$D$199,3,FALSE))</f>
        <v/>
      </c>
      <c r="K4417" s="342" t="str">
        <f t="shared" si="1142"/>
        <v/>
      </c>
      <c r="L4417" s="380" t="str">
        <f>IF(C4417="","",G4379*C4417)</f>
        <v/>
      </c>
      <c r="M4417" s="381" t="str">
        <f>IF(A4417="","",VLOOKUP(A4417,VII.A!$A$10:$B$199,2,FALSE))</f>
        <v/>
      </c>
      <c r="N4417" s="342" t="str">
        <f t="shared" si="1143"/>
        <v/>
      </c>
      <c r="R4417" s="341"/>
      <c r="S4417" s="341"/>
    </row>
    <row r="4418" spans="1:25" ht="12.75" customHeight="1">
      <c r="A4418" s="393"/>
      <c r="C4418" s="20"/>
      <c r="E4418" s="387"/>
      <c r="F4418" s="388">
        <f t="shared" si="1140"/>
        <v>0</v>
      </c>
      <c r="H4418" s="341" t="str">
        <f>IF(A4418="","",VLOOKUP(A4418,VII.A!$A$10:$D$199,4,FALSE))</f>
        <v/>
      </c>
      <c r="I4418" s="341" t="str">
        <f t="shared" si="1141"/>
        <v/>
      </c>
      <c r="J4418" s="341" t="str">
        <f>IF(A4418="","",VLOOKUP(A4418,VII.A!$A$10:$D$199,3,FALSE))</f>
        <v/>
      </c>
      <c r="K4418" s="342" t="str">
        <f t="shared" si="1142"/>
        <v/>
      </c>
      <c r="L4418" s="380" t="str">
        <f>IF(C4418="","",G4379*C4418)</f>
        <v/>
      </c>
      <c r="M4418" s="381" t="str">
        <f>IF(A4418="","",VLOOKUP(A4418,VII.A!$A$10:$B$199,2,FALSE))</f>
        <v/>
      </c>
      <c r="N4418" s="342" t="str">
        <f t="shared" si="1143"/>
        <v/>
      </c>
      <c r="R4418" s="341"/>
      <c r="S4418" s="341"/>
    </row>
    <row r="4419" spans="1:25" ht="12.75" customHeight="1">
      <c r="A4419" s="393"/>
      <c r="C4419" s="20"/>
      <c r="E4419" s="387"/>
      <c r="F4419" s="388">
        <f t="shared" si="1140"/>
        <v>0</v>
      </c>
      <c r="H4419" s="341" t="str">
        <f>IF(A4419="","",VLOOKUP(A4419,VII.A!$A$10:$D$199,4,FALSE))</f>
        <v/>
      </c>
      <c r="I4419" s="341" t="str">
        <f t="shared" si="1141"/>
        <v/>
      </c>
      <c r="J4419" s="341" t="str">
        <f>IF(A4419="","",VLOOKUP(A4419,VII.A!$A$10:$D$199,3,FALSE))</f>
        <v/>
      </c>
      <c r="K4419" s="342" t="str">
        <f t="shared" si="1142"/>
        <v/>
      </c>
      <c r="L4419" s="380" t="str">
        <f>IF(C4419="","",G4379*C4419)</f>
        <v/>
      </c>
      <c r="M4419" s="381" t="str">
        <f>IF(A4419="","",VLOOKUP(A4419,VII.A!$A$10:$B$199,2,FALSE))</f>
        <v/>
      </c>
      <c r="N4419" s="342" t="str">
        <f t="shared" si="1143"/>
        <v/>
      </c>
      <c r="R4419" s="341"/>
      <c r="S4419" s="341"/>
    </row>
    <row r="4420" spans="1:25" ht="12.75" customHeight="1">
      <c r="A4420" s="393"/>
      <c r="C4420" s="20"/>
      <c r="E4420" s="387"/>
      <c r="F4420" s="388">
        <f t="shared" si="1140"/>
        <v>0</v>
      </c>
      <c r="H4420" s="341" t="str">
        <f>IF(A4420="","",VLOOKUP(A4420,VII.A!$A$10:$D$199,4,FALSE))</f>
        <v/>
      </c>
      <c r="I4420" s="341" t="str">
        <f t="shared" si="1141"/>
        <v/>
      </c>
      <c r="J4420" s="341" t="str">
        <f>IF(A4420="","",VLOOKUP(A4420,VII.A!$A$10:$D$199,3,FALSE))</f>
        <v/>
      </c>
      <c r="K4420" s="342" t="str">
        <f t="shared" si="1142"/>
        <v/>
      </c>
      <c r="L4420" s="380" t="str">
        <f>IF(C4420="","",G4379*C4420)</f>
        <v/>
      </c>
      <c r="M4420" s="381" t="str">
        <f>IF(A4420="","",VLOOKUP(A4420,VII.A!$A$10:$B$199,2,FALSE))</f>
        <v/>
      </c>
      <c r="N4420" s="342" t="str">
        <f t="shared" si="1143"/>
        <v/>
      </c>
      <c r="R4420" s="341"/>
      <c r="S4420" s="341"/>
    </row>
    <row r="4421" spans="1:25" ht="12.75" customHeight="1">
      <c r="A4421" s="393"/>
      <c r="C4421" s="20"/>
      <c r="E4421" s="387"/>
      <c r="F4421" s="388">
        <f t="shared" si="1140"/>
        <v>0</v>
      </c>
      <c r="H4421" s="341" t="str">
        <f>IF(A4421="","",VLOOKUP(A4421,VII.A!$A$10:$D$199,4,FALSE))</f>
        <v/>
      </c>
      <c r="I4421" s="341" t="str">
        <f t="shared" si="1141"/>
        <v/>
      </c>
      <c r="J4421" s="341" t="str">
        <f>IF(A4421="","",VLOOKUP(A4421,VII.A!$A$10:$D$199,3,FALSE))</f>
        <v/>
      </c>
      <c r="K4421" s="342" t="str">
        <f t="shared" si="1142"/>
        <v/>
      </c>
      <c r="L4421" s="380" t="str">
        <f>IF(C4421="","",G4379*C4421)</f>
        <v/>
      </c>
      <c r="M4421" s="381" t="str">
        <f>IF(A4421="","",VLOOKUP(A4421,VII.A!$A$10:$B$199,2,FALSE))</f>
        <v/>
      </c>
      <c r="N4421" s="342" t="str">
        <f t="shared" si="1143"/>
        <v/>
      </c>
      <c r="R4421" s="341"/>
      <c r="S4421" s="341"/>
    </row>
    <row r="4422" spans="1:25" ht="12.75" customHeight="1">
      <c r="A4422" s="393"/>
      <c r="B4422" s="395" t="s">
        <v>226</v>
      </c>
      <c r="C4422" s="396"/>
      <c r="D4422" s="397"/>
      <c r="E4422" s="398"/>
      <c r="F4422" s="399">
        <f>SUM(F4415:F4421)</f>
        <v>0</v>
      </c>
      <c r="J4422" s="341"/>
      <c r="L4422" s="380"/>
      <c r="M4422" s="381"/>
      <c r="N4422" s="342"/>
      <c r="R4422" s="341"/>
      <c r="S4422" s="341"/>
    </row>
    <row r="4423" spans="1:25" ht="12.75" customHeight="1">
      <c r="A4423" s="393"/>
      <c r="B4423" s="400" t="s">
        <v>229</v>
      </c>
      <c r="C4423" s="2">
        <f>IX.A!$C$45</f>
        <v>0</v>
      </c>
      <c r="D4423" s="401"/>
      <c r="E4423" s="402"/>
      <c r="F4423" s="403">
        <f>ROUND(F4422*C4423,2)</f>
        <v>0</v>
      </c>
      <c r="J4423" s="341"/>
      <c r="L4423" s="380"/>
      <c r="M4423" s="381"/>
      <c r="N4423" s="342"/>
      <c r="R4423" s="341"/>
      <c r="S4423" s="341"/>
    </row>
    <row r="4424" spans="1:25" ht="12.75" customHeight="1">
      <c r="A4424" s="393"/>
      <c r="B4424" s="400" t="s">
        <v>53</v>
      </c>
      <c r="C4424" s="2">
        <f>$D$8</f>
        <v>0</v>
      </c>
      <c r="D4424" s="401"/>
      <c r="E4424" s="402"/>
      <c r="F4424" s="403">
        <f>ROUND(SUM(F4422:F4423)*C4424,2)</f>
        <v>0</v>
      </c>
      <c r="J4424" s="341"/>
      <c r="L4424" s="380"/>
      <c r="M4424" s="381"/>
      <c r="N4424" s="342"/>
      <c r="R4424" s="341"/>
      <c r="S4424" s="341"/>
    </row>
    <row r="4425" spans="1:25" ht="12.75" customHeight="1" thickBot="1">
      <c r="A4425" s="414"/>
      <c r="B4425" s="415" t="s">
        <v>230</v>
      </c>
      <c r="C4425" s="416"/>
      <c r="D4425" s="416"/>
      <c r="E4425" s="417"/>
      <c r="F4425" s="418">
        <f>SUM(F4422:F4424)</f>
        <v>0</v>
      </c>
      <c r="J4425" s="341"/>
      <c r="L4425" s="380"/>
      <c r="M4425" s="381"/>
      <c r="N4425" s="342"/>
      <c r="R4425" s="341"/>
      <c r="S4425" s="341"/>
    </row>
    <row r="4426" spans="1:25" ht="12.75" customHeight="1" thickBot="1">
      <c r="A4426" s="357"/>
      <c r="B4426" s="358"/>
      <c r="C4426" s="359"/>
      <c r="D4426" s="359"/>
      <c r="E4426" s="360"/>
      <c r="F4426" s="419"/>
      <c r="J4426" s="341"/>
      <c r="L4426" s="380"/>
      <c r="M4426" s="381"/>
      <c r="N4426" s="342"/>
      <c r="R4426" s="341"/>
      <c r="S4426" s="341"/>
    </row>
    <row r="4427" spans="1:25" ht="30" customHeight="1">
      <c r="A4427" s="370" t="str">
        <f>IV.A!$A$138</f>
        <v>6.1.2</v>
      </c>
      <c r="B4427" s="371" t="str">
        <f>IV.A!$B$138</f>
        <v>HIDROJATEAMENTO SIMPLES</v>
      </c>
      <c r="C4427" s="871" t="s">
        <v>237</v>
      </c>
      <c r="D4427" s="872"/>
      <c r="E4427" s="372" t="str">
        <f>IV.A!$C$138</f>
        <v>M2</v>
      </c>
      <c r="F4427" s="11">
        <f>ROUND(F4447+F4461+F4473,2)</f>
        <v>0</v>
      </c>
      <c r="G4427" s="1">
        <f>VLOOKUP(A4427,IV.A!$A$16:$L$172,4,FALSE)</f>
        <v>118000</v>
      </c>
      <c r="H4427" s="361">
        <f>SUM(F4429:F4444)+F4446</f>
        <v>0</v>
      </c>
      <c r="I4427" s="361">
        <f>SUM(F4449:F4458)+F4460</f>
        <v>0</v>
      </c>
      <c r="J4427" s="361">
        <f>SUM(F4463:F4469)+F4471+F4472</f>
        <v>0</v>
      </c>
      <c r="K4427" s="361">
        <f>SUM(H4427:J4427)</f>
        <v>0</v>
      </c>
      <c r="L4427" s="362" t="str">
        <f>IF(K4427=F4427,"SIM","NÃO")</f>
        <v>SIM</v>
      </c>
      <c r="M4427" s="373">
        <f>ROUND(SUM(F4429:F4444),2)+ROUND(SUM(F4429:F4444)*C4446,2)+ROUND(SUM(F4449:F4458)*C4460,2)+ROUND(SUM(F4449:F4458),2)+ROUND(SUM(F4463:F4469)*C4471,2)+ROUND((SUM(F4463:F4469)+ROUND(SUM(F4463:F4469)*C4471,2))*C4472,2)+ROUND(SUM(F4463:F4469),2)</f>
        <v>0</v>
      </c>
      <c r="N4427" s="343" t="str">
        <f>IF(M4427=F4427,"SIM","NÃO")</f>
        <v>SIM</v>
      </c>
      <c r="O4427" s="364" t="str">
        <f>VLOOKUP(A4427,IV.A!$A$16:$E$172,3,FALSE)</f>
        <v>M2</v>
      </c>
      <c r="P4427" s="344" t="str">
        <f>IF(O4427=E4427,"SIM","NÃO")</f>
        <v>SIM</v>
      </c>
      <c r="Q4427" s="365">
        <f>ROUND(G4427*F4447,2)+ROUND(G4427*F4461,2)+ROUND(G4427*F4473,2)</f>
        <v>0</v>
      </c>
      <c r="R4427" s="364">
        <f>VLOOKUP(A4427,IV.A!$A$16:$L$172,12,FALSE)</f>
        <v>0</v>
      </c>
      <c r="S4427" s="366" t="str">
        <f>IF(Q4427=R4427,"si","no")</f>
        <v>si</v>
      </c>
      <c r="T4427" s="367">
        <f>SUM(L4429:L4444)+SUM(L4449:L4458)+SUM(L4463:L4469)</f>
        <v>29500</v>
      </c>
      <c r="U4427" s="341">
        <f>(SUM(C4429:C4444)+SUM(C4449:C4458)+SUM(C4463:C4469))*G4427</f>
        <v>29500</v>
      </c>
      <c r="V4427" s="368" t="str">
        <f>IF(T4427=U4427,"si","no")</f>
        <v>si</v>
      </c>
      <c r="W4427" s="369">
        <f>SUM(F4429:F4444)</f>
        <v>0</v>
      </c>
      <c r="X4427" s="369">
        <f>SUM(F4449:F4458)</f>
        <v>0</v>
      </c>
      <c r="Y4427" s="369">
        <f>SUM(F4463:F4469)</f>
        <v>0</v>
      </c>
    </row>
    <row r="4428" spans="1:25" ht="12.75" customHeight="1">
      <c r="A4428" s="374" t="s">
        <v>14</v>
      </c>
      <c r="B4428" s="375" t="s">
        <v>132</v>
      </c>
      <c r="C4428" s="376" t="s">
        <v>231</v>
      </c>
      <c r="D4428" s="376" t="s">
        <v>232</v>
      </c>
      <c r="E4428" s="377" t="s">
        <v>233</v>
      </c>
      <c r="F4428" s="378" t="s">
        <v>234</v>
      </c>
      <c r="G4428" s="379"/>
      <c r="J4428" s="341"/>
      <c r="L4428" s="380"/>
      <c r="M4428" s="381"/>
      <c r="N4428" s="342"/>
      <c r="O4428" s="382"/>
      <c r="P4428" s="383"/>
      <c r="Q4428" s="383"/>
      <c r="R4428" s="383"/>
      <c r="S4428" s="383"/>
      <c r="T4428" s="382"/>
      <c r="U4428" s="341"/>
      <c r="V4428" s="384"/>
      <c r="W4428" s="384"/>
      <c r="X4428" s="384"/>
      <c r="Y4428" s="384"/>
    </row>
    <row r="4429" spans="1:25" ht="12.75" customHeight="1">
      <c r="A4429" s="385"/>
      <c r="B4429" s="386"/>
      <c r="C4429" s="20"/>
      <c r="D4429" s="342"/>
      <c r="E4429" s="387"/>
      <c r="F4429" s="388">
        <f>ROUND(C4429*E4429,2)</f>
        <v>0</v>
      </c>
      <c r="H4429" s="341" t="str">
        <f>IF(A4429="","",VLOOKUP(A4429,VII.A!$A$10:$D$199,4,FALSE))</f>
        <v/>
      </c>
      <c r="I4429" s="341" t="str">
        <f t="shared" ref="I4429:I4444" si="1144">IF(A4429="","",IF(E4429=H4429,"SIM","NÃO"))</f>
        <v/>
      </c>
      <c r="J4429" s="341" t="str">
        <f>IF(A4429="","",VLOOKUP(A4429,VII.A!$A$10:$D$199,3,FALSE))</f>
        <v/>
      </c>
      <c r="K4429" s="342" t="str">
        <f t="shared" ref="K4429:K4444" si="1145">IF(A4429="","",IF(J4429=D4429,"SIM","NÃO"))</f>
        <v/>
      </c>
      <c r="L4429" s="380" t="str">
        <f>IF(C4429="","",G4427*C4429)</f>
        <v/>
      </c>
      <c r="M4429" s="381" t="str">
        <f>IF(A4429="","",VLOOKUP(A4429,VII.A!$A$10:$B$199,2,FALSE))</f>
        <v/>
      </c>
      <c r="N4429" s="342" t="str">
        <f t="shared" ref="N4429:N4444" si="1146">IF(B4429="","",IF(M4429=B4429,"si","no"))</f>
        <v/>
      </c>
      <c r="R4429" s="341"/>
      <c r="S4429" s="341"/>
    </row>
    <row r="4430" spans="1:25" ht="12.75" customHeight="1">
      <c r="A4430" s="385"/>
      <c r="B4430" s="386"/>
      <c r="C4430" s="20"/>
      <c r="D4430" s="342"/>
      <c r="E4430" s="387"/>
      <c r="F4430" s="388">
        <f t="shared" ref="F4430:F4444" si="1147">ROUND(C4430*E4430,2)</f>
        <v>0</v>
      </c>
      <c r="H4430" s="341" t="str">
        <f>IF(A4430="","",VLOOKUP(A4430,VII.A!$A$10:$D$199,4,FALSE))</f>
        <v/>
      </c>
      <c r="I4430" s="341" t="str">
        <f t="shared" si="1144"/>
        <v/>
      </c>
      <c r="J4430" s="341" t="str">
        <f>IF(A4430="","",VLOOKUP(A4430,VII.A!$A$10:$D$199,3,FALSE))</f>
        <v/>
      </c>
      <c r="K4430" s="342" t="str">
        <f t="shared" si="1145"/>
        <v/>
      </c>
      <c r="L4430" s="380" t="str">
        <f>IF(C4430="","",G4427*C4430)</f>
        <v/>
      </c>
      <c r="M4430" s="381" t="str">
        <f>IF(A4430="","",VLOOKUP(A4430,VII.A!$A$10:$B$199,2,FALSE))</f>
        <v/>
      </c>
      <c r="N4430" s="342" t="str">
        <f t="shared" si="1146"/>
        <v/>
      </c>
      <c r="R4430" s="341"/>
      <c r="S4430" s="341"/>
    </row>
    <row r="4431" spans="1:25" ht="12.75" customHeight="1">
      <c r="A4431" s="385"/>
      <c r="B4431" s="386"/>
      <c r="C4431" s="20"/>
      <c r="D4431" s="342"/>
      <c r="E4431" s="387"/>
      <c r="F4431" s="388">
        <f t="shared" si="1147"/>
        <v>0</v>
      </c>
      <c r="H4431" s="341" t="str">
        <f>IF(A4431="","",VLOOKUP(A4431,VII.A!$A$10:$D$199,4,FALSE))</f>
        <v/>
      </c>
      <c r="I4431" s="341" t="str">
        <f t="shared" si="1144"/>
        <v/>
      </c>
      <c r="J4431" s="341" t="str">
        <f>IF(A4431="","",VLOOKUP(A4431,VII.A!$A$10:$D$199,3,FALSE))</f>
        <v/>
      </c>
      <c r="K4431" s="342" t="str">
        <f t="shared" si="1145"/>
        <v/>
      </c>
      <c r="L4431" s="380" t="str">
        <f>IF(C4431="","",G4427*C4431)</f>
        <v/>
      </c>
      <c r="M4431" s="381" t="str">
        <f>IF(A4431="","",VLOOKUP(A4431,VII.A!$A$10:$B$199,2,FALSE))</f>
        <v/>
      </c>
      <c r="N4431" s="342" t="str">
        <f t="shared" si="1146"/>
        <v/>
      </c>
      <c r="R4431" s="341"/>
      <c r="S4431" s="341"/>
    </row>
    <row r="4432" spans="1:25" ht="12.75" customHeight="1">
      <c r="A4432" s="385"/>
      <c r="B4432" s="386"/>
      <c r="C4432" s="20"/>
      <c r="D4432" s="342"/>
      <c r="E4432" s="387"/>
      <c r="F4432" s="388">
        <f t="shared" si="1147"/>
        <v>0</v>
      </c>
      <c r="H4432" s="341" t="str">
        <f>IF(A4432="","",VLOOKUP(A4432,VII.A!$A$10:$D$199,4,FALSE))</f>
        <v/>
      </c>
      <c r="I4432" s="341" t="str">
        <f t="shared" si="1144"/>
        <v/>
      </c>
      <c r="J4432" s="341" t="str">
        <f>IF(A4432="","",VLOOKUP(A4432,VII.A!$A$10:$D$199,3,FALSE))</f>
        <v/>
      </c>
      <c r="K4432" s="342" t="str">
        <f t="shared" si="1145"/>
        <v/>
      </c>
      <c r="L4432" s="380" t="str">
        <f>IF(C4432="","",G4427*C4432)</f>
        <v/>
      </c>
      <c r="M4432" s="381" t="str">
        <f>IF(A4432="","",VLOOKUP(A4432,VII.A!$A$10:$B$199,2,FALSE))</f>
        <v/>
      </c>
      <c r="N4432" s="342" t="str">
        <f t="shared" si="1146"/>
        <v/>
      </c>
      <c r="R4432" s="341"/>
      <c r="S4432" s="341"/>
    </row>
    <row r="4433" spans="1:21" ht="12.75" customHeight="1">
      <c r="A4433" s="385"/>
      <c r="B4433" s="386"/>
      <c r="C4433" s="20"/>
      <c r="D4433" s="342"/>
      <c r="E4433" s="387"/>
      <c r="F4433" s="388">
        <f t="shared" si="1147"/>
        <v>0</v>
      </c>
      <c r="H4433" s="341" t="str">
        <f>IF(A4433="","",VLOOKUP(A4433,VII.A!$A$10:$D$199,4,FALSE))</f>
        <v/>
      </c>
      <c r="I4433" s="341" t="str">
        <f t="shared" si="1144"/>
        <v/>
      </c>
      <c r="J4433" s="341" t="str">
        <f>IF(A4433="","",VLOOKUP(A4433,VII.A!$A$10:$D$199,3,FALSE))</f>
        <v/>
      </c>
      <c r="K4433" s="342" t="str">
        <f t="shared" si="1145"/>
        <v/>
      </c>
      <c r="L4433" s="380" t="str">
        <f>IF(C4433="","",G4427*C4433)</f>
        <v/>
      </c>
      <c r="M4433" s="381" t="str">
        <f>IF(A4433="","",VLOOKUP(A4433,VII.A!$A$10:$B$199,2,FALSE))</f>
        <v/>
      </c>
      <c r="N4433" s="342" t="str">
        <f t="shared" si="1146"/>
        <v/>
      </c>
      <c r="R4433" s="341"/>
      <c r="S4433" s="341"/>
    </row>
    <row r="4434" spans="1:21" ht="12.75" customHeight="1">
      <c r="A4434" s="385"/>
      <c r="B4434" s="386"/>
      <c r="C4434" s="20"/>
      <c r="D4434" s="342"/>
      <c r="E4434" s="387"/>
      <c r="F4434" s="388">
        <f t="shared" si="1147"/>
        <v>0</v>
      </c>
      <c r="H4434" s="341" t="str">
        <f>IF(A4434="","",VLOOKUP(A4434,VII.A!$A$10:$D$199,4,FALSE))</f>
        <v/>
      </c>
      <c r="I4434" s="341" t="str">
        <f t="shared" si="1144"/>
        <v/>
      </c>
      <c r="J4434" s="341" t="str">
        <f>IF(A4434="","",VLOOKUP(A4434,VII.A!$A$10:$D$199,3,FALSE))</f>
        <v/>
      </c>
      <c r="K4434" s="342" t="str">
        <f t="shared" si="1145"/>
        <v/>
      </c>
      <c r="L4434" s="380" t="str">
        <f>IF(C4434="","",G4427*C4434)</f>
        <v/>
      </c>
      <c r="M4434" s="381" t="str">
        <f>IF(A4434="","",VLOOKUP(A4434,VII.A!$A$10:$B$199,2,FALSE))</f>
        <v/>
      </c>
      <c r="N4434" s="342" t="str">
        <f t="shared" si="1146"/>
        <v/>
      </c>
      <c r="R4434" s="341"/>
      <c r="S4434" s="341"/>
      <c r="U4434" s="389"/>
    </row>
    <row r="4435" spans="1:21" ht="12.75" customHeight="1">
      <c r="A4435" s="385"/>
      <c r="B4435" s="386"/>
      <c r="C4435" s="20"/>
      <c r="D4435" s="342"/>
      <c r="E4435" s="387"/>
      <c r="F4435" s="388">
        <f t="shared" si="1147"/>
        <v>0</v>
      </c>
      <c r="H4435" s="341" t="str">
        <f>IF(A4435="","",VLOOKUP(A4435,VII.A!$A$10:$D$199,4,FALSE))</f>
        <v/>
      </c>
      <c r="I4435" s="341" t="str">
        <f t="shared" si="1144"/>
        <v/>
      </c>
      <c r="J4435" s="341" t="str">
        <f>IF(A4435="","",VLOOKUP(A4435,VII.A!$A$10:$D$199,3,FALSE))</f>
        <v/>
      </c>
      <c r="K4435" s="342" t="str">
        <f t="shared" si="1145"/>
        <v/>
      </c>
      <c r="L4435" s="380" t="str">
        <f>IF(C4435="","",G4427*C4435)</f>
        <v/>
      </c>
      <c r="M4435" s="381" t="str">
        <f>IF(A4435="","",VLOOKUP(A4435,VII.A!$A$10:$B$199,2,FALSE))</f>
        <v/>
      </c>
      <c r="N4435" s="342" t="str">
        <f t="shared" si="1146"/>
        <v/>
      </c>
      <c r="R4435" s="341"/>
      <c r="S4435" s="341"/>
    </row>
    <row r="4436" spans="1:21" ht="12.75" customHeight="1">
      <c r="A4436" s="385"/>
      <c r="B4436" s="386"/>
      <c r="C4436" s="20"/>
      <c r="D4436" s="342"/>
      <c r="E4436" s="387"/>
      <c r="F4436" s="388">
        <f t="shared" si="1147"/>
        <v>0</v>
      </c>
      <c r="G4436" s="390"/>
      <c r="H4436" s="341" t="str">
        <f>IF(A4436="","",VLOOKUP(A4436,VII.A!$A$10:$D$199,4,FALSE))</f>
        <v/>
      </c>
      <c r="I4436" s="341" t="str">
        <f t="shared" si="1144"/>
        <v/>
      </c>
      <c r="J4436" s="341" t="str">
        <f>IF(A4436="","",VLOOKUP(A4436,VII.A!$A$10:$D$199,3,FALSE))</f>
        <v/>
      </c>
      <c r="K4436" s="342" t="str">
        <f t="shared" si="1145"/>
        <v/>
      </c>
      <c r="L4436" s="380" t="str">
        <f>IF(C4436="","",G4427*C4436)</f>
        <v/>
      </c>
      <c r="M4436" s="381" t="str">
        <f>IF(A4436="","",VLOOKUP(A4436,VII.A!$A$10:$B$199,2,FALSE))</f>
        <v/>
      </c>
      <c r="N4436" s="342" t="str">
        <f t="shared" si="1146"/>
        <v/>
      </c>
      <c r="R4436" s="341"/>
      <c r="S4436" s="341"/>
    </row>
    <row r="4437" spans="1:21" ht="12.75" customHeight="1">
      <c r="A4437" s="385"/>
      <c r="B4437" s="386"/>
      <c r="C4437" s="20"/>
      <c r="D4437" s="342"/>
      <c r="E4437" s="387"/>
      <c r="F4437" s="388">
        <f t="shared" si="1147"/>
        <v>0</v>
      </c>
      <c r="G4437" s="390"/>
      <c r="H4437" s="341" t="str">
        <f>IF(A4437="","",VLOOKUP(A4437,VII.A!$A$10:$D$199,4,FALSE))</f>
        <v/>
      </c>
      <c r="I4437" s="341" t="str">
        <f t="shared" si="1144"/>
        <v/>
      </c>
      <c r="J4437" s="341" t="str">
        <f>IF(A4437="","",VLOOKUP(A4437,VII.A!$A$10:$D$199,3,FALSE))</f>
        <v/>
      </c>
      <c r="K4437" s="342" t="str">
        <f t="shared" si="1145"/>
        <v/>
      </c>
      <c r="L4437" s="380" t="str">
        <f>IF(C4437="","",G4427*C4437)</f>
        <v/>
      </c>
      <c r="M4437" s="381" t="str">
        <f>IF(A4437="","",VLOOKUP(A4437,VII.A!$A$10:$B$199,2,FALSE))</f>
        <v/>
      </c>
      <c r="N4437" s="342" t="str">
        <f t="shared" si="1146"/>
        <v/>
      </c>
      <c r="R4437" s="341"/>
      <c r="S4437" s="341"/>
    </row>
    <row r="4438" spans="1:21" ht="12.75" customHeight="1">
      <c r="A4438" s="385"/>
      <c r="B4438" s="386"/>
      <c r="C4438" s="20"/>
      <c r="D4438" s="342"/>
      <c r="E4438" s="387"/>
      <c r="F4438" s="388">
        <f t="shared" si="1147"/>
        <v>0</v>
      </c>
      <c r="G4438" s="391"/>
      <c r="H4438" s="341" t="str">
        <f>IF(A4438="","",VLOOKUP(A4438,VII.A!$A$10:$D$199,4,FALSE))</f>
        <v/>
      </c>
      <c r="I4438" s="341" t="str">
        <f t="shared" si="1144"/>
        <v/>
      </c>
      <c r="J4438" s="341" t="str">
        <f>IF(A4438="","",VLOOKUP(A4438,VII.A!$A$10:$D$199,3,FALSE))</f>
        <v/>
      </c>
      <c r="K4438" s="342" t="str">
        <f t="shared" si="1145"/>
        <v/>
      </c>
      <c r="L4438" s="380" t="str">
        <f>IF(C4438="","",G4427*C4438)</f>
        <v/>
      </c>
      <c r="M4438" s="381" t="str">
        <f>IF(A4438="","",VLOOKUP(A4438,VII.A!$A$10:$B$199,2,FALSE))</f>
        <v/>
      </c>
      <c r="N4438" s="342" t="str">
        <f t="shared" si="1146"/>
        <v/>
      </c>
      <c r="R4438" s="341"/>
      <c r="S4438" s="341"/>
    </row>
    <row r="4439" spans="1:21" ht="12.75" customHeight="1">
      <c r="A4439" s="385"/>
      <c r="B4439" s="386"/>
      <c r="C4439" s="20"/>
      <c r="D4439" s="342"/>
      <c r="E4439" s="387"/>
      <c r="F4439" s="388">
        <f t="shared" si="1147"/>
        <v>0</v>
      </c>
      <c r="H4439" s="341" t="str">
        <f>IF(A4439="","",VLOOKUP(A4439,VII.A!$A$10:$D$199,4,FALSE))</f>
        <v/>
      </c>
      <c r="I4439" s="341" t="str">
        <f t="shared" si="1144"/>
        <v/>
      </c>
      <c r="J4439" s="341" t="str">
        <f>IF(A4439="","",VLOOKUP(A4439,VII.A!$A$10:$D$199,3,FALSE))</f>
        <v/>
      </c>
      <c r="K4439" s="342" t="str">
        <f t="shared" si="1145"/>
        <v/>
      </c>
      <c r="L4439" s="380" t="str">
        <f>IF(C4439="","",G4427*C4439)</f>
        <v/>
      </c>
      <c r="M4439" s="381" t="str">
        <f>IF(A4439="","",VLOOKUP(A4439,VII.A!$A$10:$B$199,2,FALSE))</f>
        <v/>
      </c>
      <c r="N4439" s="342" t="str">
        <f t="shared" si="1146"/>
        <v/>
      </c>
      <c r="R4439" s="341"/>
      <c r="S4439" s="341"/>
    </row>
    <row r="4440" spans="1:21" ht="12.75" customHeight="1">
      <c r="A4440" s="385"/>
      <c r="B4440" s="386"/>
      <c r="C4440" s="20"/>
      <c r="D4440" s="392"/>
      <c r="E4440" s="387"/>
      <c r="F4440" s="388">
        <f t="shared" si="1147"/>
        <v>0</v>
      </c>
      <c r="H4440" s="341" t="str">
        <f>IF(A4440="","",VLOOKUP(A4440,VII.A!$A$10:$D$199,4,FALSE))</f>
        <v/>
      </c>
      <c r="I4440" s="341" t="str">
        <f t="shared" si="1144"/>
        <v/>
      </c>
      <c r="J4440" s="341" t="str">
        <f>IF(A4440="","",VLOOKUP(A4440,VII.A!$A$10:$D$199,3,FALSE))</f>
        <v/>
      </c>
      <c r="K4440" s="342" t="str">
        <f t="shared" si="1145"/>
        <v/>
      </c>
      <c r="L4440" s="380" t="str">
        <f>IF(C4440="","",G4427*C4440)</f>
        <v/>
      </c>
      <c r="M4440" s="381" t="str">
        <f>IF(A4440="","",VLOOKUP(A4440,VII.A!$A$10:$B$199,2,FALSE))</f>
        <v/>
      </c>
      <c r="N4440" s="342" t="str">
        <f t="shared" si="1146"/>
        <v/>
      </c>
      <c r="R4440" s="341"/>
      <c r="S4440" s="341"/>
    </row>
    <row r="4441" spans="1:21" ht="12.75" customHeight="1">
      <c r="A4441" s="385"/>
      <c r="B4441" s="386"/>
      <c r="C4441" s="20"/>
      <c r="D4441" s="392"/>
      <c r="E4441" s="387"/>
      <c r="F4441" s="388">
        <f t="shared" si="1147"/>
        <v>0</v>
      </c>
      <c r="H4441" s="341" t="str">
        <f>IF(A4441="","",VLOOKUP(A4441,VII.A!$A$10:$D$199,4,FALSE))</f>
        <v/>
      </c>
      <c r="I4441" s="341" t="str">
        <f t="shared" si="1144"/>
        <v/>
      </c>
      <c r="J4441" s="341" t="str">
        <f>IF(A4441="","",VLOOKUP(A4441,VII.A!$A$10:$D$199,3,FALSE))</f>
        <v/>
      </c>
      <c r="K4441" s="342" t="str">
        <f t="shared" si="1145"/>
        <v/>
      </c>
      <c r="L4441" s="380" t="str">
        <f>IF(C4441="","",G4427*C4441)</f>
        <v/>
      </c>
      <c r="M4441" s="381" t="str">
        <f>IF(A4441="","",VLOOKUP(A4441,VII.A!$A$10:$B$199,2,FALSE))</f>
        <v/>
      </c>
      <c r="N4441" s="342" t="str">
        <f t="shared" si="1146"/>
        <v/>
      </c>
      <c r="O4441" s="342"/>
      <c r="R4441" s="341"/>
      <c r="S4441" s="341"/>
    </row>
    <row r="4442" spans="1:21" ht="12.75" customHeight="1">
      <c r="A4442" s="385"/>
      <c r="B4442" s="386"/>
      <c r="C4442" s="20"/>
      <c r="D4442" s="392"/>
      <c r="E4442" s="387"/>
      <c r="F4442" s="388">
        <f t="shared" si="1147"/>
        <v>0</v>
      </c>
      <c r="H4442" s="341" t="str">
        <f>IF(A4442="","",VLOOKUP(A4442,VII.A!$A$10:$D$199,4,FALSE))</f>
        <v/>
      </c>
      <c r="I4442" s="341" t="str">
        <f t="shared" si="1144"/>
        <v/>
      </c>
      <c r="J4442" s="341" t="str">
        <f>IF(A4442="","",VLOOKUP(A4442,VII.A!$A$10:$D$199,3,FALSE))</f>
        <v/>
      </c>
      <c r="K4442" s="342" t="str">
        <f t="shared" si="1145"/>
        <v/>
      </c>
      <c r="L4442" s="380" t="str">
        <f>IF(C4442="","",G4427*C4442)</f>
        <v/>
      </c>
      <c r="M4442" s="381" t="str">
        <f>IF(A4442="","",VLOOKUP(A4442,VII.A!$A$10:$B$199,2,FALSE))</f>
        <v/>
      </c>
      <c r="N4442" s="342" t="str">
        <f t="shared" si="1146"/>
        <v/>
      </c>
      <c r="R4442" s="341"/>
      <c r="S4442" s="341"/>
    </row>
    <row r="4443" spans="1:21" ht="12.75" customHeight="1">
      <c r="A4443" s="393"/>
      <c r="C4443" s="20"/>
      <c r="E4443" s="387"/>
      <c r="F4443" s="388">
        <f t="shared" si="1147"/>
        <v>0</v>
      </c>
      <c r="H4443" s="341" t="str">
        <f>IF(A4443="","",VLOOKUP(A4443,VII.A!$A$10:$D$199,4,FALSE))</f>
        <v/>
      </c>
      <c r="I4443" s="341" t="str">
        <f t="shared" si="1144"/>
        <v/>
      </c>
      <c r="J4443" s="341" t="str">
        <f>IF(A4443="","",VLOOKUP(A4443,VII.A!$A$10:$D$199,3,FALSE))</f>
        <v/>
      </c>
      <c r="K4443" s="342" t="str">
        <f t="shared" si="1145"/>
        <v/>
      </c>
      <c r="L4443" s="380" t="str">
        <f>IF(C4443="","",G4427*C4443)</f>
        <v/>
      </c>
      <c r="M4443" s="381" t="str">
        <f>IF(A4443="","",VLOOKUP(A4443,VII.A!$A$10:$B$199,2,FALSE))</f>
        <v/>
      </c>
      <c r="N4443" s="342" t="str">
        <f t="shared" si="1146"/>
        <v/>
      </c>
      <c r="R4443" s="341"/>
      <c r="S4443" s="341"/>
    </row>
    <row r="4444" spans="1:21" ht="12.75" customHeight="1">
      <c r="A4444" s="393"/>
      <c r="C4444" s="20"/>
      <c r="E4444" s="387"/>
      <c r="F4444" s="388">
        <f t="shared" si="1147"/>
        <v>0</v>
      </c>
      <c r="H4444" s="341" t="str">
        <f>IF(A4444="","",VLOOKUP(A4444,VII.A!$A$10:$D$199,4,FALSE))</f>
        <v/>
      </c>
      <c r="I4444" s="341" t="str">
        <f t="shared" si="1144"/>
        <v/>
      </c>
      <c r="J4444" s="341" t="str">
        <f>IF(A4444="","",VLOOKUP(A4444,VII.A!$A$10:$D$199,3,FALSE))</f>
        <v/>
      </c>
      <c r="K4444" s="342" t="str">
        <f t="shared" si="1145"/>
        <v/>
      </c>
      <c r="L4444" s="380" t="str">
        <f>IF(C4444="","",G4427*C4444)</f>
        <v/>
      </c>
      <c r="M4444" s="381" t="str">
        <f>IF(A4444="","",VLOOKUP(A4444,VII.A!$A$10:$B$199,2,FALSE))</f>
        <v/>
      </c>
      <c r="N4444" s="342" t="str">
        <f t="shared" si="1146"/>
        <v/>
      </c>
      <c r="R4444" s="341"/>
      <c r="S4444" s="341"/>
    </row>
    <row r="4445" spans="1:21" ht="12.75" customHeight="1">
      <c r="A4445" s="393"/>
      <c r="B4445" s="395" t="s">
        <v>226</v>
      </c>
      <c r="C4445" s="396"/>
      <c r="D4445" s="397"/>
      <c r="E4445" s="398"/>
      <c r="F4445" s="399">
        <f>SUM(F4429:F4444)</f>
        <v>0</v>
      </c>
      <c r="J4445" s="341"/>
      <c r="L4445" s="380"/>
      <c r="M4445" s="381"/>
      <c r="N4445" s="342"/>
      <c r="R4445" s="341"/>
      <c r="S4445" s="341"/>
    </row>
    <row r="4446" spans="1:21" ht="12.75" customHeight="1">
      <c r="A4446" s="393"/>
      <c r="B4446" s="400" t="s">
        <v>53</v>
      </c>
      <c r="C4446" s="2">
        <f>$D$8</f>
        <v>0</v>
      </c>
      <c r="D4446" s="401"/>
      <c r="E4446" s="402"/>
      <c r="F4446" s="403">
        <f>ROUND(F4445*C4446,2)</f>
        <v>0</v>
      </c>
      <c r="H4446" s="426" t="s">
        <v>841</v>
      </c>
      <c r="J4446" s="341"/>
      <c r="L4446" s="380"/>
      <c r="M4446" s="381"/>
      <c r="N4446" s="342"/>
      <c r="R4446" s="341"/>
      <c r="S4446" s="341"/>
    </row>
    <row r="4447" spans="1:21" ht="12.75" customHeight="1">
      <c r="A4447" s="404"/>
      <c r="B4447" s="405" t="s">
        <v>227</v>
      </c>
      <c r="C4447" s="406"/>
      <c r="D4447" s="406"/>
      <c r="E4447" s="407"/>
      <c r="F4447" s="408">
        <f>F4445+F4446</f>
        <v>0</v>
      </c>
      <c r="J4447" s="341"/>
      <c r="L4447" s="380"/>
      <c r="M4447" s="381"/>
      <c r="N4447" s="342"/>
      <c r="R4447" s="341"/>
      <c r="S4447" s="341"/>
    </row>
    <row r="4448" spans="1:21" ht="12.75" customHeight="1">
      <c r="A4448" s="374" t="s">
        <v>2</v>
      </c>
      <c r="B4448" s="375" t="s">
        <v>235</v>
      </c>
      <c r="C4448" s="376" t="s">
        <v>231</v>
      </c>
      <c r="D4448" s="376" t="s">
        <v>232</v>
      </c>
      <c r="E4448" s="377" t="s">
        <v>233</v>
      </c>
      <c r="F4448" s="378" t="s">
        <v>234</v>
      </c>
      <c r="J4448" s="341"/>
      <c r="L4448" s="380"/>
      <c r="M4448" s="381"/>
      <c r="N4448" s="342"/>
      <c r="R4448" s="341"/>
      <c r="S4448" s="341"/>
    </row>
    <row r="4449" spans="1:19" ht="12.75" customHeight="1">
      <c r="A4449" s="393" t="str">
        <f>VII.A!$A$173</f>
        <v>2.31</v>
      </c>
      <c r="B4449" s="423" t="str">
        <f>VLOOKUP(A4449,VII.A!$A$10:$G$199,2,FALSE)</f>
        <v>MAQUINA DE LAVAGEM DE PRESSÃO IPO VAP (ÁGUA FRIA, PRESSÃO 1700PSI)</v>
      </c>
      <c r="C4449" s="20">
        <v>0.1</v>
      </c>
      <c r="D4449" s="384" t="str">
        <f>VLOOKUP(A4449,VII.A!$A$10:$G$199,3,FALSE)</f>
        <v>H</v>
      </c>
      <c r="E4449" s="387">
        <f>VLOOKUP(A4449,VII.A!$A$10:$G$200,4,FALSE)</f>
        <v>0</v>
      </c>
      <c r="F4449" s="388">
        <f t="shared" ref="F4449:F4458" si="1148">ROUND(C4449*E4449,2)</f>
        <v>0</v>
      </c>
      <c r="H4449" s="341">
        <f>IF(A4449="","",VLOOKUP(A4449,VII.A!$A$10:$D$199,4,FALSE))</f>
        <v>0</v>
      </c>
      <c r="I4449" s="341" t="str">
        <f t="shared" ref="I4449:I4458" si="1149">IF(A4449="","",IF(E4449=H4449,"SIM","NÃO"))</f>
        <v>SIM</v>
      </c>
      <c r="J4449" s="341" t="str">
        <f>IF(A4449="","",VLOOKUP(A4449,VII.A!$A$10:$D$199,3,FALSE))</f>
        <v>H</v>
      </c>
      <c r="K4449" s="342" t="str">
        <f t="shared" ref="K4449:K4458" si="1150">IF(A4449="","",IF(J4449=D4449,"SIM","NÃO"))</f>
        <v>SIM</v>
      </c>
      <c r="L4449" s="380">
        <f>IF(C4449="","",G4427*C4449)</f>
        <v>11800</v>
      </c>
      <c r="M4449" s="381" t="str">
        <f>IF(A4449="","",VLOOKUP(A4449,VII.A!$A$10:$B$199,2,FALSE))</f>
        <v>MAQUINA DE LAVAGEM DE PRESSÃO IPO VAP (ÁGUA FRIA, PRESSÃO 1700PSI)</v>
      </c>
      <c r="N4449" s="342" t="str">
        <f t="shared" ref="N4449:N4458" si="1151">IF(B4449="","",IF(M4449=B4449,"si","no"))</f>
        <v>si</v>
      </c>
      <c r="R4449" s="341"/>
      <c r="S4449" s="341"/>
    </row>
    <row r="4450" spans="1:19" ht="12.75" customHeight="1">
      <c r="A4450" s="393"/>
      <c r="C4450" s="20"/>
      <c r="E4450" s="387"/>
      <c r="F4450" s="388">
        <f t="shared" si="1148"/>
        <v>0</v>
      </c>
      <c r="H4450" s="341" t="str">
        <f>IF(A4450="","",VLOOKUP(A4450,VII.A!$A$10:$D$199,4,FALSE))</f>
        <v/>
      </c>
      <c r="I4450" s="341" t="str">
        <f t="shared" si="1149"/>
        <v/>
      </c>
      <c r="J4450" s="341" t="str">
        <f>IF(A4450="","",VLOOKUP(A4450,VII.A!$A$10:$D$199,3,FALSE))</f>
        <v/>
      </c>
      <c r="K4450" s="342" t="str">
        <f t="shared" si="1150"/>
        <v/>
      </c>
      <c r="L4450" s="380" t="str">
        <f>IF(C4450="","",G4427*C4450)</f>
        <v/>
      </c>
      <c r="M4450" s="381" t="str">
        <f>IF(A4450="","",VLOOKUP(A4450,VII.A!$A$10:$B$199,2,FALSE))</f>
        <v/>
      </c>
      <c r="N4450" s="342" t="str">
        <f t="shared" si="1151"/>
        <v/>
      </c>
      <c r="R4450" s="341"/>
      <c r="S4450" s="341"/>
    </row>
    <row r="4451" spans="1:19" ht="12.75" customHeight="1">
      <c r="A4451" s="393"/>
      <c r="C4451" s="20"/>
      <c r="E4451" s="387"/>
      <c r="F4451" s="388">
        <f t="shared" si="1148"/>
        <v>0</v>
      </c>
      <c r="H4451" s="341" t="str">
        <f>IF(A4451="","",VLOOKUP(A4451,VII.A!$A$10:$D$199,4,FALSE))</f>
        <v/>
      </c>
      <c r="I4451" s="341" t="str">
        <f t="shared" si="1149"/>
        <v/>
      </c>
      <c r="J4451" s="341" t="str">
        <f>IF(A4451="","",VLOOKUP(A4451,VII.A!$A$10:$D$199,3,FALSE))</f>
        <v/>
      </c>
      <c r="K4451" s="342" t="str">
        <f t="shared" si="1150"/>
        <v/>
      </c>
      <c r="L4451" s="380" t="str">
        <f>IF(C4451="","",G4427*C4451)</f>
        <v/>
      </c>
      <c r="M4451" s="381" t="str">
        <f>IF(A4451="","",VLOOKUP(A4451,VII.A!$A$10:$B$199,2,FALSE))</f>
        <v/>
      </c>
      <c r="N4451" s="342" t="str">
        <f t="shared" si="1151"/>
        <v/>
      </c>
      <c r="R4451" s="341"/>
      <c r="S4451" s="341"/>
    </row>
    <row r="4452" spans="1:19" ht="12.75" customHeight="1">
      <c r="A4452" s="393"/>
      <c r="C4452" s="20"/>
      <c r="E4452" s="387"/>
      <c r="F4452" s="388">
        <f t="shared" si="1148"/>
        <v>0</v>
      </c>
      <c r="H4452" s="341" t="str">
        <f>IF(A4452="","",VLOOKUP(A4452,VII.A!$A$10:$D$199,4,FALSE))</f>
        <v/>
      </c>
      <c r="I4452" s="341" t="str">
        <f t="shared" si="1149"/>
        <v/>
      </c>
      <c r="J4452" s="341" t="str">
        <f>IF(A4452="","",VLOOKUP(A4452,VII.A!$A$10:$D$199,3,FALSE))</f>
        <v/>
      </c>
      <c r="K4452" s="342" t="str">
        <f t="shared" si="1150"/>
        <v/>
      </c>
      <c r="L4452" s="380" t="str">
        <f>IF(C4452="","",G4427*C4452)</f>
        <v/>
      </c>
      <c r="M4452" s="381" t="str">
        <f>IF(A4452="","",VLOOKUP(A4452,VII.A!$A$10:$B$199,2,FALSE))</f>
        <v/>
      </c>
      <c r="N4452" s="342" t="str">
        <f t="shared" si="1151"/>
        <v/>
      </c>
      <c r="R4452" s="341"/>
      <c r="S4452" s="341"/>
    </row>
    <row r="4453" spans="1:19" ht="12.75" customHeight="1">
      <c r="A4453" s="393"/>
      <c r="C4453" s="20"/>
      <c r="E4453" s="387"/>
      <c r="F4453" s="388">
        <f t="shared" si="1148"/>
        <v>0</v>
      </c>
      <c r="G4453" s="390"/>
      <c r="H4453" s="341" t="str">
        <f>IF(A4453="","",VLOOKUP(A4453,VII.A!$A$10:$D$199,4,FALSE))</f>
        <v/>
      </c>
      <c r="I4453" s="341" t="str">
        <f t="shared" si="1149"/>
        <v/>
      </c>
      <c r="J4453" s="341" t="str">
        <f>IF(A4453="","",VLOOKUP(A4453,VII.A!$A$10:$D$199,3,FALSE))</f>
        <v/>
      </c>
      <c r="K4453" s="342" t="str">
        <f t="shared" si="1150"/>
        <v/>
      </c>
      <c r="L4453" s="380" t="str">
        <f>IF(C4453="","",G4427*C4453)</f>
        <v/>
      </c>
      <c r="M4453" s="381" t="str">
        <f>IF(A4453="","",VLOOKUP(A4453,VII.A!$A$10:$B$199,2,FALSE))</f>
        <v/>
      </c>
      <c r="N4453" s="342" t="str">
        <f t="shared" si="1151"/>
        <v/>
      </c>
      <c r="R4453" s="341"/>
      <c r="S4453" s="341"/>
    </row>
    <row r="4454" spans="1:19" ht="12.75" customHeight="1">
      <c r="A4454" s="393"/>
      <c r="C4454" s="20"/>
      <c r="E4454" s="387"/>
      <c r="F4454" s="388">
        <f t="shared" si="1148"/>
        <v>0</v>
      </c>
      <c r="G4454" s="391"/>
      <c r="H4454" s="341" t="str">
        <f>IF(A4454="","",VLOOKUP(A4454,VII.A!$A$10:$D$199,4,FALSE))</f>
        <v/>
      </c>
      <c r="I4454" s="341" t="str">
        <f t="shared" si="1149"/>
        <v/>
      </c>
      <c r="J4454" s="341" t="str">
        <f>IF(A4454="","",VLOOKUP(A4454,VII.A!$A$10:$D$199,3,FALSE))</f>
        <v/>
      </c>
      <c r="K4454" s="342" t="str">
        <f t="shared" si="1150"/>
        <v/>
      </c>
      <c r="L4454" s="380" t="str">
        <f>IF(C4454="","",G4427*C4454)</f>
        <v/>
      </c>
      <c r="M4454" s="381" t="str">
        <f>IF(A4454="","",VLOOKUP(A4454,VII.A!$A$10:$B$199,2,FALSE))</f>
        <v/>
      </c>
      <c r="N4454" s="342" t="str">
        <f t="shared" si="1151"/>
        <v/>
      </c>
      <c r="R4454" s="341"/>
      <c r="S4454" s="341"/>
    </row>
    <row r="4455" spans="1:19" ht="12.75" customHeight="1">
      <c r="A4455" s="393"/>
      <c r="C4455" s="20"/>
      <c r="E4455" s="387"/>
      <c r="F4455" s="388">
        <f t="shared" si="1148"/>
        <v>0</v>
      </c>
      <c r="H4455" s="341" t="str">
        <f>IF(A4455="","",VLOOKUP(A4455,VII.A!$A$10:$D$199,4,FALSE))</f>
        <v/>
      </c>
      <c r="I4455" s="341" t="str">
        <f t="shared" si="1149"/>
        <v/>
      </c>
      <c r="J4455" s="341" t="str">
        <f>IF(A4455="","",VLOOKUP(A4455,VII.A!$A$10:$D$199,3,FALSE))</f>
        <v/>
      </c>
      <c r="K4455" s="342" t="str">
        <f t="shared" si="1150"/>
        <v/>
      </c>
      <c r="L4455" s="380" t="str">
        <f>IF(C4455="","",G4427*C4455)</f>
        <v/>
      </c>
      <c r="M4455" s="381" t="str">
        <f>IF(A4455="","",VLOOKUP(A4455,VII.A!$A$10:$B$199,2,FALSE))</f>
        <v/>
      </c>
      <c r="N4455" s="342" t="str">
        <f t="shared" si="1151"/>
        <v/>
      </c>
      <c r="R4455" s="341"/>
      <c r="S4455" s="341"/>
    </row>
    <row r="4456" spans="1:19" ht="12.75" customHeight="1">
      <c r="A4456" s="393"/>
      <c r="C4456" s="20"/>
      <c r="E4456" s="387"/>
      <c r="F4456" s="388">
        <f t="shared" si="1148"/>
        <v>0</v>
      </c>
      <c r="H4456" s="341" t="str">
        <f>IF(A4456="","",VLOOKUP(A4456,VII.A!$A$10:$D$199,4,FALSE))</f>
        <v/>
      </c>
      <c r="I4456" s="341" t="str">
        <f t="shared" si="1149"/>
        <v/>
      </c>
      <c r="J4456" s="341" t="str">
        <f>IF(A4456="","",VLOOKUP(A4456,VII.A!$A$10:$D$199,3,FALSE))</f>
        <v/>
      </c>
      <c r="K4456" s="342" t="str">
        <f t="shared" si="1150"/>
        <v/>
      </c>
      <c r="L4456" s="380" t="str">
        <f>IF(C4456="","",G4427*C4456)</f>
        <v/>
      </c>
      <c r="M4456" s="381" t="str">
        <f>IF(A4456="","",VLOOKUP(A4456,VII.A!$A$10:$B$199,2,FALSE))</f>
        <v/>
      </c>
      <c r="N4456" s="342" t="str">
        <f t="shared" si="1151"/>
        <v/>
      </c>
      <c r="R4456" s="341"/>
      <c r="S4456" s="341"/>
    </row>
    <row r="4457" spans="1:19" ht="12.75" customHeight="1">
      <c r="A4457" s="393"/>
      <c r="C4457" s="20"/>
      <c r="E4457" s="387"/>
      <c r="F4457" s="388">
        <f t="shared" si="1148"/>
        <v>0</v>
      </c>
      <c r="H4457" s="341" t="str">
        <f>IF(A4457="","",VLOOKUP(A4457,VII.A!$A$10:$D$199,4,FALSE))</f>
        <v/>
      </c>
      <c r="I4457" s="341" t="str">
        <f t="shared" si="1149"/>
        <v/>
      </c>
      <c r="J4457" s="341" t="str">
        <f>IF(A4457="","",VLOOKUP(A4457,VII.A!$A$10:$D$199,3,FALSE))</f>
        <v/>
      </c>
      <c r="K4457" s="342" t="str">
        <f t="shared" si="1150"/>
        <v/>
      </c>
      <c r="L4457" s="380" t="str">
        <f>IF(C4457="","",G4427*C4457)</f>
        <v/>
      </c>
      <c r="M4457" s="381" t="str">
        <f>IF(A4457="","",VLOOKUP(A4457,VII.A!$A$10:$B$199,2,FALSE))</f>
        <v/>
      </c>
      <c r="N4457" s="342" t="str">
        <f t="shared" si="1151"/>
        <v/>
      </c>
      <c r="R4457" s="341"/>
      <c r="S4457" s="341"/>
    </row>
    <row r="4458" spans="1:19" ht="12.75" customHeight="1">
      <c r="A4458" s="393"/>
      <c r="C4458" s="20"/>
      <c r="E4458" s="387"/>
      <c r="F4458" s="388">
        <f t="shared" si="1148"/>
        <v>0</v>
      </c>
      <c r="H4458" s="341" t="str">
        <f>IF(A4458="","",VLOOKUP(A4458,VII.A!$A$10:$D$199,4,FALSE))</f>
        <v/>
      </c>
      <c r="I4458" s="341" t="str">
        <f t="shared" si="1149"/>
        <v/>
      </c>
      <c r="J4458" s="341" t="str">
        <f>IF(A4458="","",VLOOKUP(A4458,VII.A!$A$10:$D$199,3,FALSE))</f>
        <v/>
      </c>
      <c r="K4458" s="342" t="str">
        <f t="shared" si="1150"/>
        <v/>
      </c>
      <c r="L4458" s="380" t="str">
        <f>IF(C4458="","",G4427*C4458)</f>
        <v/>
      </c>
      <c r="M4458" s="381" t="str">
        <f>IF(A4458="","",VLOOKUP(A4458,VII.A!$A$10:$B$199,2,FALSE))</f>
        <v/>
      </c>
      <c r="N4458" s="342" t="str">
        <f t="shared" si="1151"/>
        <v/>
      </c>
      <c r="R4458" s="341"/>
      <c r="S4458" s="341"/>
    </row>
    <row r="4459" spans="1:19" ht="12.75" customHeight="1">
      <c r="A4459" s="393"/>
      <c r="B4459" s="395" t="s">
        <v>226</v>
      </c>
      <c r="C4459" s="396"/>
      <c r="D4459" s="397"/>
      <c r="E4459" s="398"/>
      <c r="F4459" s="399">
        <f>SUM(F4449:F4458)</f>
        <v>0</v>
      </c>
      <c r="J4459" s="341"/>
      <c r="L4459" s="380"/>
      <c r="M4459" s="381"/>
      <c r="N4459" s="342"/>
      <c r="R4459" s="341"/>
      <c r="S4459" s="341"/>
    </row>
    <row r="4460" spans="1:19" ht="12.75" customHeight="1">
      <c r="A4460" s="393"/>
      <c r="B4460" s="400" t="s">
        <v>53</v>
      </c>
      <c r="C4460" s="2">
        <f>$D$8</f>
        <v>0</v>
      </c>
      <c r="D4460" s="401"/>
      <c r="E4460" s="402"/>
      <c r="F4460" s="403">
        <f>ROUND(C4460*F4459,2)</f>
        <v>0</v>
      </c>
      <c r="J4460" s="341"/>
      <c r="L4460" s="380"/>
      <c r="M4460" s="381"/>
      <c r="N4460" s="342"/>
      <c r="R4460" s="341"/>
      <c r="S4460" s="341"/>
    </row>
    <row r="4461" spans="1:19" ht="12.75" customHeight="1">
      <c r="A4461" s="404"/>
      <c r="B4461" s="405" t="s">
        <v>228</v>
      </c>
      <c r="C4461" s="406"/>
      <c r="D4461" s="406"/>
      <c r="E4461" s="407"/>
      <c r="F4461" s="408">
        <f>F4459+F4460</f>
        <v>0</v>
      </c>
      <c r="J4461" s="341"/>
      <c r="L4461" s="380"/>
      <c r="M4461" s="381"/>
      <c r="N4461" s="342"/>
      <c r="R4461" s="341"/>
      <c r="S4461" s="341"/>
    </row>
    <row r="4462" spans="1:19" ht="12.75" customHeight="1">
      <c r="A4462" s="409" t="s">
        <v>47</v>
      </c>
      <c r="B4462" s="410" t="s">
        <v>236</v>
      </c>
      <c r="C4462" s="411" t="s">
        <v>231</v>
      </c>
      <c r="D4462" s="412" t="s">
        <v>232</v>
      </c>
      <c r="E4462" s="413" t="s">
        <v>233</v>
      </c>
      <c r="F4462" s="378" t="s">
        <v>234</v>
      </c>
      <c r="J4462" s="341"/>
      <c r="L4462" s="380"/>
      <c r="M4462" s="381"/>
      <c r="N4462" s="342"/>
      <c r="R4462" s="341"/>
      <c r="S4462" s="341"/>
    </row>
    <row r="4463" spans="1:19" ht="12.75" customHeight="1">
      <c r="A4463" s="393" t="str">
        <f>VII.A!$A$193</f>
        <v>3.13</v>
      </c>
      <c r="B4463" s="423" t="str">
        <f>VLOOKUP(A4463,VII.A!$A$10:$G$199,2,FALSE)</f>
        <v>PINTOR COM ENCARGOS COMPLEMENTARES</v>
      </c>
      <c r="C4463" s="20">
        <v>0</v>
      </c>
      <c r="D4463" s="384" t="str">
        <f>VLOOKUP(A4463,VII.A!$A$10:$G$199,3,FALSE)</f>
        <v>H</v>
      </c>
      <c r="E4463" s="387">
        <f>VLOOKUP(A4463,VII.A!$A$10:$G$200,4,FALSE)</f>
        <v>0</v>
      </c>
      <c r="F4463" s="388">
        <f t="shared" ref="F4463:F4469" si="1152">ROUND(C4463*E4463,2)</f>
        <v>0</v>
      </c>
      <c r="H4463" s="341">
        <f>IF(A4463="","",VLOOKUP(A4463,VII.A!$A$10:$D$199,4,FALSE))</f>
        <v>0</v>
      </c>
      <c r="I4463" s="341" t="str">
        <f t="shared" ref="I4463:I4469" si="1153">IF(A4463="","",IF(E4463=H4463,"SIM","NÃO"))</f>
        <v>SIM</v>
      </c>
      <c r="J4463" s="341" t="str">
        <f>IF(A4463="","",VLOOKUP(A4463,VII.A!$A$10:$D$199,3,FALSE))</f>
        <v>H</v>
      </c>
      <c r="K4463" s="342" t="str">
        <f t="shared" ref="K4463:K4469" si="1154">IF(A4463="","",IF(J4463=D4463,"SIM","NÃO"))</f>
        <v>SIM</v>
      </c>
      <c r="L4463" s="380">
        <f>IF(C4463="","",G4427*C4463)</f>
        <v>0</v>
      </c>
      <c r="M4463" s="381" t="str">
        <f>IF(A4463="","",VLOOKUP(A4463,VII.A!$A$10:$B$199,2,FALSE))</f>
        <v>PINTOR COM ENCARGOS COMPLEMENTARES</v>
      </c>
      <c r="N4463" s="342" t="str">
        <f t="shared" ref="N4463:N4469" si="1155">IF(B4463="","",IF(M4463=B4463,"si","no"))</f>
        <v>si</v>
      </c>
      <c r="R4463" s="341"/>
      <c r="S4463" s="341"/>
    </row>
    <row r="4464" spans="1:19" ht="12.75" customHeight="1">
      <c r="A4464" s="393" t="str">
        <f>VII.A!$A$196</f>
        <v>3.16</v>
      </c>
      <c r="B4464" s="423" t="str">
        <f>VLOOKUP(A4464,VII.A!$A$10:$G$199,2,FALSE)</f>
        <v>SERVENTE COM ENCARGOS COMPLEMENTARES</v>
      </c>
      <c r="C4464" s="20">
        <v>0.15</v>
      </c>
      <c r="D4464" s="384" t="str">
        <f>VLOOKUP(A4464,VII.A!$A$10:$G$199,3,FALSE)</f>
        <v>H</v>
      </c>
      <c r="E4464" s="387">
        <f>VLOOKUP(A4464,VII.A!$A$10:$G$200,4,FALSE)</f>
        <v>0</v>
      </c>
      <c r="F4464" s="388">
        <f t="shared" si="1152"/>
        <v>0</v>
      </c>
      <c r="H4464" s="341">
        <f>IF(A4464="","",VLOOKUP(A4464,VII.A!$A$10:$D$199,4,FALSE))</f>
        <v>0</v>
      </c>
      <c r="I4464" s="341" t="str">
        <f t="shared" si="1153"/>
        <v>SIM</v>
      </c>
      <c r="J4464" s="341" t="str">
        <f>IF(A4464="","",VLOOKUP(A4464,VII.A!$A$10:$D$199,3,FALSE))</f>
        <v>H</v>
      </c>
      <c r="K4464" s="342" t="str">
        <f t="shared" si="1154"/>
        <v>SIM</v>
      </c>
      <c r="L4464" s="380">
        <f>IF(C4464="","",G4427*C4464)</f>
        <v>17700</v>
      </c>
      <c r="M4464" s="381" t="str">
        <f>IF(A4464="","",VLOOKUP(A4464,VII.A!$A$10:$B$199,2,FALSE))</f>
        <v>SERVENTE COM ENCARGOS COMPLEMENTARES</v>
      </c>
      <c r="N4464" s="342" t="str">
        <f t="shared" si="1155"/>
        <v>si</v>
      </c>
      <c r="R4464" s="341"/>
      <c r="S4464" s="341"/>
    </row>
    <row r="4465" spans="1:25" ht="12.75" customHeight="1">
      <c r="A4465" s="393"/>
      <c r="C4465" s="20"/>
      <c r="E4465" s="387"/>
      <c r="F4465" s="388">
        <f t="shared" si="1152"/>
        <v>0</v>
      </c>
      <c r="H4465" s="341" t="str">
        <f>IF(A4465="","",VLOOKUP(A4465,VII.A!$A$10:$D$199,4,FALSE))</f>
        <v/>
      </c>
      <c r="I4465" s="341" t="str">
        <f t="shared" si="1153"/>
        <v/>
      </c>
      <c r="J4465" s="341" t="str">
        <f>IF(A4465="","",VLOOKUP(A4465,VII.A!$A$10:$D$199,3,FALSE))</f>
        <v/>
      </c>
      <c r="K4465" s="342" t="str">
        <f t="shared" si="1154"/>
        <v/>
      </c>
      <c r="L4465" s="380" t="str">
        <f>IF(C4465="","",G4427*C4465)</f>
        <v/>
      </c>
      <c r="M4465" s="381" t="str">
        <f>IF(A4465="","",VLOOKUP(A4465,VII.A!$A$10:$B$199,2,FALSE))</f>
        <v/>
      </c>
      <c r="N4465" s="342" t="str">
        <f t="shared" si="1155"/>
        <v/>
      </c>
      <c r="R4465" s="341"/>
      <c r="S4465" s="341"/>
    </row>
    <row r="4466" spans="1:25" ht="12.75" customHeight="1">
      <c r="A4466" s="393"/>
      <c r="C4466" s="20"/>
      <c r="E4466" s="387"/>
      <c r="F4466" s="388">
        <f t="shared" si="1152"/>
        <v>0</v>
      </c>
      <c r="H4466" s="341" t="str">
        <f>IF(A4466="","",VLOOKUP(A4466,VII.A!$A$10:$D$199,4,FALSE))</f>
        <v/>
      </c>
      <c r="I4466" s="341" t="str">
        <f t="shared" si="1153"/>
        <v/>
      </c>
      <c r="J4466" s="341" t="str">
        <f>IF(A4466="","",VLOOKUP(A4466,VII.A!$A$10:$D$199,3,FALSE))</f>
        <v/>
      </c>
      <c r="K4466" s="342" t="str">
        <f t="shared" si="1154"/>
        <v/>
      </c>
      <c r="L4466" s="380" t="str">
        <f>IF(C4466="","",G4427*C4466)</f>
        <v/>
      </c>
      <c r="M4466" s="381" t="str">
        <f>IF(A4466="","",VLOOKUP(A4466,VII.A!$A$10:$B$199,2,FALSE))</f>
        <v/>
      </c>
      <c r="N4466" s="342" t="str">
        <f t="shared" si="1155"/>
        <v/>
      </c>
      <c r="R4466" s="341"/>
      <c r="S4466" s="341"/>
    </row>
    <row r="4467" spans="1:25" ht="12.75" customHeight="1">
      <c r="A4467" s="393"/>
      <c r="C4467" s="20"/>
      <c r="E4467" s="387"/>
      <c r="F4467" s="388">
        <f t="shared" si="1152"/>
        <v>0</v>
      </c>
      <c r="H4467" s="341" t="str">
        <f>IF(A4467="","",VLOOKUP(A4467,VII.A!$A$10:$D$199,4,FALSE))</f>
        <v/>
      </c>
      <c r="I4467" s="341" t="str">
        <f t="shared" si="1153"/>
        <v/>
      </c>
      <c r="J4467" s="341" t="str">
        <f>IF(A4467="","",VLOOKUP(A4467,VII.A!$A$10:$D$199,3,FALSE))</f>
        <v/>
      </c>
      <c r="K4467" s="342" t="str">
        <f t="shared" si="1154"/>
        <v/>
      </c>
      <c r="L4467" s="380" t="str">
        <f>IF(C4467="","",G4427*C4467)</f>
        <v/>
      </c>
      <c r="M4467" s="381" t="str">
        <f>IF(A4467="","",VLOOKUP(A4467,VII.A!$A$10:$B$199,2,FALSE))</f>
        <v/>
      </c>
      <c r="N4467" s="342" t="str">
        <f t="shared" si="1155"/>
        <v/>
      </c>
      <c r="R4467" s="341"/>
      <c r="S4467" s="341"/>
    </row>
    <row r="4468" spans="1:25" ht="12.75" customHeight="1">
      <c r="A4468" s="393"/>
      <c r="C4468" s="20"/>
      <c r="E4468" s="387"/>
      <c r="F4468" s="388">
        <f t="shared" si="1152"/>
        <v>0</v>
      </c>
      <c r="H4468" s="341" t="str">
        <f>IF(A4468="","",VLOOKUP(A4468,VII.A!$A$10:$D$199,4,FALSE))</f>
        <v/>
      </c>
      <c r="I4468" s="341" t="str">
        <f t="shared" si="1153"/>
        <v/>
      </c>
      <c r="J4468" s="341" t="str">
        <f>IF(A4468="","",VLOOKUP(A4468,VII.A!$A$10:$D$199,3,FALSE))</f>
        <v/>
      </c>
      <c r="K4468" s="342" t="str">
        <f t="shared" si="1154"/>
        <v/>
      </c>
      <c r="L4468" s="380" t="str">
        <f>IF(C4468="","",G4427*C4468)</f>
        <v/>
      </c>
      <c r="M4468" s="381" t="str">
        <f>IF(A4468="","",VLOOKUP(A4468,VII.A!$A$10:$B$199,2,FALSE))</f>
        <v/>
      </c>
      <c r="N4468" s="342" t="str">
        <f t="shared" si="1155"/>
        <v/>
      </c>
      <c r="R4468" s="341"/>
      <c r="S4468" s="341"/>
    </row>
    <row r="4469" spans="1:25" ht="12.75" customHeight="1">
      <c r="A4469" s="393"/>
      <c r="C4469" s="20"/>
      <c r="E4469" s="387"/>
      <c r="F4469" s="388">
        <f t="shared" si="1152"/>
        <v>0</v>
      </c>
      <c r="H4469" s="341" t="str">
        <f>IF(A4469="","",VLOOKUP(A4469,VII.A!$A$10:$D$199,4,FALSE))</f>
        <v/>
      </c>
      <c r="I4469" s="341" t="str">
        <f t="shared" si="1153"/>
        <v/>
      </c>
      <c r="J4469" s="341" t="str">
        <f>IF(A4469="","",VLOOKUP(A4469,VII.A!$A$10:$D$199,3,FALSE))</f>
        <v/>
      </c>
      <c r="K4469" s="342" t="str">
        <f t="shared" si="1154"/>
        <v/>
      </c>
      <c r="L4469" s="380" t="str">
        <f>IF(C4469="","",G4427*C4469)</f>
        <v/>
      </c>
      <c r="M4469" s="381" t="str">
        <f>IF(A4469="","",VLOOKUP(A4469,VII.A!$A$10:$B$199,2,FALSE))</f>
        <v/>
      </c>
      <c r="N4469" s="342" t="str">
        <f t="shared" si="1155"/>
        <v/>
      </c>
      <c r="R4469" s="341"/>
      <c r="S4469" s="341"/>
    </row>
    <row r="4470" spans="1:25" ht="12.75" customHeight="1">
      <c r="A4470" s="393"/>
      <c r="B4470" s="395" t="s">
        <v>226</v>
      </c>
      <c r="C4470" s="396"/>
      <c r="D4470" s="397"/>
      <c r="E4470" s="398"/>
      <c r="F4470" s="399">
        <f>SUM(F4463:F4469)</f>
        <v>0</v>
      </c>
      <c r="J4470" s="341"/>
      <c r="L4470" s="380"/>
      <c r="M4470" s="381"/>
      <c r="N4470" s="342"/>
      <c r="R4470" s="341"/>
      <c r="S4470" s="341"/>
    </row>
    <row r="4471" spans="1:25" ht="12.75" customHeight="1">
      <c r="A4471" s="393"/>
      <c r="B4471" s="400" t="s">
        <v>229</v>
      </c>
      <c r="C4471" s="2">
        <f>IX.A!$C$45</f>
        <v>0</v>
      </c>
      <c r="D4471" s="401"/>
      <c r="E4471" s="402"/>
      <c r="F4471" s="403">
        <f>ROUND(F4470*C4471,2)</f>
        <v>0</v>
      </c>
      <c r="J4471" s="341"/>
      <c r="L4471" s="380"/>
      <c r="M4471" s="381"/>
      <c r="N4471" s="342"/>
      <c r="R4471" s="341"/>
      <c r="S4471" s="341"/>
    </row>
    <row r="4472" spans="1:25" ht="12.75" customHeight="1">
      <c r="A4472" s="393"/>
      <c r="B4472" s="400" t="s">
        <v>53</v>
      </c>
      <c r="C4472" s="2">
        <f>$D$8</f>
        <v>0</v>
      </c>
      <c r="D4472" s="401"/>
      <c r="E4472" s="402"/>
      <c r="F4472" s="403">
        <f>ROUND(SUM(F4470:F4471)*C4472,2)</f>
        <v>0</v>
      </c>
      <c r="J4472" s="341"/>
      <c r="L4472" s="380"/>
      <c r="M4472" s="381"/>
      <c r="N4472" s="342"/>
      <c r="R4472" s="341"/>
      <c r="S4472" s="341"/>
    </row>
    <row r="4473" spans="1:25" ht="12.75" customHeight="1" thickBot="1">
      <c r="A4473" s="414"/>
      <c r="B4473" s="415" t="s">
        <v>230</v>
      </c>
      <c r="C4473" s="416"/>
      <c r="D4473" s="416"/>
      <c r="E4473" s="417"/>
      <c r="F4473" s="418">
        <f>SUM(F4470:F4472)</f>
        <v>0</v>
      </c>
      <c r="J4473" s="341"/>
      <c r="L4473" s="380"/>
      <c r="M4473" s="381"/>
      <c r="N4473" s="342"/>
      <c r="R4473" s="341"/>
      <c r="S4473" s="341"/>
    </row>
    <row r="4474" spans="1:25" ht="12.75" customHeight="1" thickBot="1">
      <c r="A4474" s="357"/>
      <c r="B4474" s="358"/>
      <c r="C4474" s="359"/>
      <c r="D4474" s="359"/>
      <c r="E4474" s="360"/>
      <c r="F4474" s="419"/>
      <c r="J4474" s="341"/>
      <c r="L4474" s="380"/>
      <c r="M4474" s="381"/>
      <c r="N4474" s="342"/>
      <c r="R4474" s="341"/>
      <c r="S4474" s="341"/>
    </row>
    <row r="4475" spans="1:25" ht="30" customHeight="1">
      <c r="A4475" s="370" t="str">
        <f>IV.A!A139</f>
        <v>6.2</v>
      </c>
      <c r="B4475" s="371" t="str">
        <f>IV.A!B139</f>
        <v>EMASSAMENTO DE PAREDE COM MASSA PVA PARA PINTURA LÁTEX</v>
      </c>
      <c r="C4475" s="871" t="s">
        <v>237</v>
      </c>
      <c r="D4475" s="872"/>
      <c r="E4475" s="372" t="str">
        <f>IV.A!C139</f>
        <v>M2</v>
      </c>
      <c r="F4475" s="11">
        <f>ROUND(F4495+F4509+F4521,2)</f>
        <v>0</v>
      </c>
      <c r="G4475" s="1">
        <f>VLOOKUP(A4475,IV.A!$A$16:$L$172,4,FALSE)</f>
        <v>50</v>
      </c>
      <c r="H4475" s="361">
        <f>SUM(F4477:F4492)+F4494</f>
        <v>0</v>
      </c>
      <c r="I4475" s="361">
        <f>SUM(F4497:F4506)+F4508</f>
        <v>0</v>
      </c>
      <c r="J4475" s="361">
        <f>SUM(F4511:F4517)+F4519+F4520</f>
        <v>0</v>
      </c>
      <c r="K4475" s="361">
        <f>SUM(H4475:J4475)</f>
        <v>0</v>
      </c>
      <c r="L4475" s="362" t="str">
        <f>IF(K4475=F4475,"SIM","NÃO")</f>
        <v>SIM</v>
      </c>
      <c r="M4475" s="373">
        <f>ROUND(SUM(F4477:F4492),2)+ROUND(SUM(F4477:F4492)*C4494,2)+ROUND(SUM(F4497:F4506)*C4508,2)+ROUND(SUM(F4497:F4506),2)+ROUND(SUM(F4511:F4517)*C4519,2)+ROUND((SUM(F4511:F4517)+ROUND(SUM(F4511:F4517)*C4519,2))*C4520,2)+ROUND(SUM(F4511:F4517),2)</f>
        <v>0</v>
      </c>
      <c r="N4475" s="343" t="str">
        <f>IF(M4475=F4475,"SIM","NÃO")</f>
        <v>SIM</v>
      </c>
      <c r="O4475" s="364" t="str">
        <f>VLOOKUP(A4475,IV.A!$A$16:$E$172,3,FALSE)</f>
        <v>M2</v>
      </c>
      <c r="P4475" s="344" t="str">
        <f>IF(O4475=E4475,"SIM","NÃO")</f>
        <v>SIM</v>
      </c>
      <c r="Q4475" s="365">
        <f>ROUND(G4475*F4495,2)+ROUND(G4475*F4509,2)+ROUND(G4475*F4521,2)</f>
        <v>0</v>
      </c>
      <c r="R4475" s="364">
        <f>VLOOKUP(A4475,IV.A!$A$16:$L$172,12,FALSE)</f>
        <v>0</v>
      </c>
      <c r="S4475" s="366" t="str">
        <f>IF(Q4475=R4475,"si","no")</f>
        <v>si</v>
      </c>
      <c r="T4475" s="367">
        <f>SUM(L4477:L4492)+SUM(L4497:L4506)+SUM(L4511:L4517)</f>
        <v>70.31</v>
      </c>
      <c r="U4475" s="341">
        <f>(SUM(C4477:C4492)+SUM(C4497:C4506)+SUM(C4511:C4517))*G4475</f>
        <v>70.309999999999988</v>
      </c>
      <c r="V4475" s="368" t="str">
        <f>IF(T4475=U4475,"si","no")</f>
        <v>si</v>
      </c>
      <c r="W4475" s="369">
        <f>SUM(F4477:F4492)</f>
        <v>0</v>
      </c>
      <c r="X4475" s="369">
        <f>SUM(F4497:F4506)</f>
        <v>0</v>
      </c>
      <c r="Y4475" s="369">
        <f>SUM(F4511:F4517)</f>
        <v>0</v>
      </c>
    </row>
    <row r="4476" spans="1:25" ht="12.75" customHeight="1">
      <c r="A4476" s="374" t="s">
        <v>14</v>
      </c>
      <c r="B4476" s="375" t="s">
        <v>132</v>
      </c>
      <c r="C4476" s="376" t="s">
        <v>231</v>
      </c>
      <c r="D4476" s="376" t="s">
        <v>232</v>
      </c>
      <c r="E4476" s="377" t="s">
        <v>233</v>
      </c>
      <c r="F4476" s="378" t="s">
        <v>234</v>
      </c>
      <c r="G4476" s="379"/>
      <c r="J4476" s="341"/>
      <c r="L4476" s="380"/>
      <c r="M4476" s="381"/>
      <c r="N4476" s="342"/>
      <c r="O4476" s="382"/>
      <c r="P4476" s="383"/>
      <c r="Q4476" s="383"/>
      <c r="R4476" s="383"/>
      <c r="S4476" s="383"/>
      <c r="T4476" s="382"/>
      <c r="U4476" s="341"/>
      <c r="V4476" s="384"/>
      <c r="W4476" s="384"/>
      <c r="X4476" s="384"/>
      <c r="Y4476" s="384"/>
    </row>
    <row r="4477" spans="1:25" ht="12.75" customHeight="1">
      <c r="A4477" s="385" t="str">
        <f>VII.A!$A$68</f>
        <v>1.59</v>
      </c>
      <c r="B4477" s="386" t="str">
        <f>VII.A!B68</f>
        <v>LIXA PARA SUPERFÍCIE/MASSA, GRANA 120</v>
      </c>
      <c r="C4477" s="20">
        <v>0.1</v>
      </c>
      <c r="D4477" s="342" t="str">
        <f>VII.A!C68</f>
        <v>UN</v>
      </c>
      <c r="E4477" s="387">
        <f>VII.A!D68</f>
        <v>0</v>
      </c>
      <c r="F4477" s="388">
        <f>ROUND(C4477*E4477,2)</f>
        <v>0</v>
      </c>
      <c r="H4477" s="341">
        <f>IF(A4477="","",VLOOKUP(A4477,VII.A!$A$10:$D$199,4,FALSE))</f>
        <v>0</v>
      </c>
      <c r="I4477" s="341" t="str">
        <f t="shared" ref="I4477:I4492" si="1156">IF(A4477="","",IF(E4477=H4477,"SIM","NÃO"))</f>
        <v>SIM</v>
      </c>
      <c r="J4477" s="341" t="str">
        <f>IF(A4477="","",VLOOKUP(A4477,VII.A!$A$10:$D$199,3,FALSE))</f>
        <v>UN</v>
      </c>
      <c r="K4477" s="342" t="str">
        <f t="shared" ref="K4477:K4492" si="1157">IF(A4477="","",IF(J4477=D4477,"SIM","NÃO"))</f>
        <v>SIM</v>
      </c>
      <c r="L4477" s="380">
        <f>IF(C4477="","",G4475*C4477)</f>
        <v>5</v>
      </c>
      <c r="M4477" s="381" t="str">
        <f>IF(A4477="","",VLOOKUP(A4477,VII.A!$A$10:$B$199,2,FALSE))</f>
        <v>LIXA PARA SUPERFÍCIE/MASSA, GRANA 120</v>
      </c>
      <c r="N4477" s="342" t="str">
        <f t="shared" ref="N4477:N4492" si="1158">IF(B4477="","",IF(M4477=B4477,"si","no"))</f>
        <v>si</v>
      </c>
      <c r="R4477" s="341"/>
      <c r="S4477" s="341"/>
    </row>
    <row r="4478" spans="1:25" ht="12.75" customHeight="1">
      <c r="A4478" s="385" t="str">
        <f>VII.A!$A$72</f>
        <v>1.63</v>
      </c>
      <c r="B4478" s="386" t="str">
        <f>VII.A!B72</f>
        <v>MASSA CORRIDA PVA PARA PAREDES INTERNAS</v>
      </c>
      <c r="C4478" s="20">
        <f>18*0.0489</f>
        <v>0.88019999999999998</v>
      </c>
      <c r="D4478" s="342" t="str">
        <f>VII.A!C72</f>
        <v>KG</v>
      </c>
      <c r="E4478" s="387">
        <f>VII.A!D72</f>
        <v>0</v>
      </c>
      <c r="F4478" s="388">
        <f t="shared" ref="F4478:F4492" si="1159">ROUND(C4478*E4478,2)</f>
        <v>0</v>
      </c>
      <c r="H4478" s="341">
        <f>IF(A4478="","",VLOOKUP(A4478,VII.A!$A$10:$D$199,4,FALSE))</f>
        <v>0</v>
      </c>
      <c r="I4478" s="341" t="str">
        <f t="shared" si="1156"/>
        <v>SIM</v>
      </c>
      <c r="J4478" s="341" t="str">
        <f>IF(A4478="","",VLOOKUP(A4478,VII.A!$A$10:$D$199,3,FALSE))</f>
        <v>KG</v>
      </c>
      <c r="K4478" s="342" t="str">
        <f t="shared" si="1157"/>
        <v>SIM</v>
      </c>
      <c r="L4478" s="380">
        <f>IF(C4478="","",G4475*C4478)</f>
        <v>44.01</v>
      </c>
      <c r="M4478" s="381" t="str">
        <f>IF(A4478="","",VLOOKUP(A4478,VII.A!$A$10:$B$199,2,FALSE))</f>
        <v>MASSA CORRIDA PVA PARA PAREDES INTERNAS</v>
      </c>
      <c r="N4478" s="342" t="str">
        <f t="shared" si="1158"/>
        <v>si</v>
      </c>
      <c r="R4478" s="341"/>
      <c r="S4478" s="341"/>
    </row>
    <row r="4479" spans="1:25" ht="12.75" customHeight="1">
      <c r="A4479" s="385"/>
      <c r="B4479" s="386"/>
      <c r="C4479" s="20"/>
      <c r="D4479" s="342"/>
      <c r="E4479" s="387"/>
      <c r="F4479" s="388">
        <f t="shared" si="1159"/>
        <v>0</v>
      </c>
      <c r="H4479" s="341" t="str">
        <f>IF(A4479="","",VLOOKUP(A4479,VII.A!$A$10:$D$199,4,FALSE))</f>
        <v/>
      </c>
      <c r="I4479" s="341" t="str">
        <f t="shared" si="1156"/>
        <v/>
      </c>
      <c r="J4479" s="341" t="str">
        <f>IF(A4479="","",VLOOKUP(A4479,VII.A!$A$10:$D$199,3,FALSE))</f>
        <v/>
      </c>
      <c r="K4479" s="342" t="str">
        <f t="shared" si="1157"/>
        <v/>
      </c>
      <c r="L4479" s="380" t="str">
        <f>IF(C4479="","",G4475*C4479)</f>
        <v/>
      </c>
      <c r="M4479" s="381" t="str">
        <f>IF(A4479="","",VLOOKUP(A4479,VII.A!$A$10:$B$199,2,FALSE))</f>
        <v/>
      </c>
      <c r="N4479" s="342" t="str">
        <f t="shared" si="1158"/>
        <v/>
      </c>
      <c r="R4479" s="341"/>
      <c r="S4479" s="341"/>
    </row>
    <row r="4480" spans="1:25" ht="12.75" customHeight="1">
      <c r="A4480" s="385"/>
      <c r="B4480" s="386"/>
      <c r="C4480" s="20"/>
      <c r="D4480" s="342"/>
      <c r="E4480" s="387"/>
      <c r="F4480" s="388">
        <f t="shared" si="1159"/>
        <v>0</v>
      </c>
      <c r="H4480" s="341" t="str">
        <f>IF(A4480="","",VLOOKUP(A4480,VII.A!$A$10:$D$199,4,FALSE))</f>
        <v/>
      </c>
      <c r="I4480" s="341" t="str">
        <f t="shared" si="1156"/>
        <v/>
      </c>
      <c r="J4480" s="341" t="str">
        <f>IF(A4480="","",VLOOKUP(A4480,VII.A!$A$10:$D$199,3,FALSE))</f>
        <v/>
      </c>
      <c r="K4480" s="342" t="str">
        <f t="shared" si="1157"/>
        <v/>
      </c>
      <c r="L4480" s="380" t="str">
        <f>IF(C4480="","",G4475*C4480)</f>
        <v/>
      </c>
      <c r="M4480" s="381" t="str">
        <f>IF(A4480="","",VLOOKUP(A4480,VII.A!$A$10:$B$199,2,FALSE))</f>
        <v/>
      </c>
      <c r="N4480" s="342" t="str">
        <f t="shared" si="1158"/>
        <v/>
      </c>
      <c r="R4480" s="341"/>
      <c r="S4480" s="341"/>
    </row>
    <row r="4481" spans="1:21" ht="12.75" customHeight="1">
      <c r="A4481" s="385"/>
      <c r="B4481" s="386"/>
      <c r="C4481" s="20"/>
      <c r="D4481" s="342"/>
      <c r="E4481" s="387"/>
      <c r="F4481" s="388">
        <f t="shared" si="1159"/>
        <v>0</v>
      </c>
      <c r="H4481" s="341" t="str">
        <f>IF(A4481="","",VLOOKUP(A4481,VII.A!$A$10:$D$199,4,FALSE))</f>
        <v/>
      </c>
      <c r="I4481" s="341" t="str">
        <f t="shared" si="1156"/>
        <v/>
      </c>
      <c r="J4481" s="341" t="str">
        <f>IF(A4481="","",VLOOKUP(A4481,VII.A!$A$10:$D$199,3,FALSE))</f>
        <v/>
      </c>
      <c r="K4481" s="342" t="str">
        <f t="shared" si="1157"/>
        <v/>
      </c>
      <c r="L4481" s="380" t="str">
        <f>IF(C4481="","",G4475*C4481)</f>
        <v/>
      </c>
      <c r="M4481" s="381" t="str">
        <f>IF(A4481="","",VLOOKUP(A4481,VII.A!$A$10:$B$199,2,FALSE))</f>
        <v/>
      </c>
      <c r="N4481" s="342" t="str">
        <f t="shared" si="1158"/>
        <v/>
      </c>
      <c r="R4481" s="341"/>
      <c r="S4481" s="341"/>
    </row>
    <row r="4482" spans="1:21" ht="12.75" customHeight="1">
      <c r="A4482" s="385"/>
      <c r="B4482" s="386"/>
      <c r="C4482" s="20"/>
      <c r="D4482" s="342"/>
      <c r="E4482" s="387"/>
      <c r="F4482" s="388">
        <f t="shared" si="1159"/>
        <v>0</v>
      </c>
      <c r="H4482" s="341" t="str">
        <f>IF(A4482="","",VLOOKUP(A4482,VII.A!$A$10:$D$199,4,FALSE))</f>
        <v/>
      </c>
      <c r="I4482" s="341" t="str">
        <f t="shared" si="1156"/>
        <v/>
      </c>
      <c r="J4482" s="341" t="str">
        <f>IF(A4482="","",VLOOKUP(A4482,VII.A!$A$10:$D$199,3,FALSE))</f>
        <v/>
      </c>
      <c r="K4482" s="342" t="str">
        <f t="shared" si="1157"/>
        <v/>
      </c>
      <c r="L4482" s="380" t="str">
        <f>IF(C4482="","",G4475*C4482)</f>
        <v/>
      </c>
      <c r="M4482" s="381" t="str">
        <f>IF(A4482="","",VLOOKUP(A4482,VII.A!$A$10:$B$199,2,FALSE))</f>
        <v/>
      </c>
      <c r="N4482" s="342" t="str">
        <f t="shared" si="1158"/>
        <v/>
      </c>
      <c r="R4482" s="341"/>
      <c r="S4482" s="341"/>
      <c r="U4482" s="389"/>
    </row>
    <row r="4483" spans="1:21" ht="12.75" customHeight="1">
      <c r="A4483" s="385"/>
      <c r="B4483" s="386"/>
      <c r="C4483" s="20"/>
      <c r="D4483" s="342"/>
      <c r="E4483" s="387"/>
      <c r="F4483" s="388">
        <f t="shared" si="1159"/>
        <v>0</v>
      </c>
      <c r="H4483" s="341" t="str">
        <f>IF(A4483="","",VLOOKUP(A4483,VII.A!$A$10:$D$199,4,FALSE))</f>
        <v/>
      </c>
      <c r="I4483" s="341" t="str">
        <f t="shared" si="1156"/>
        <v/>
      </c>
      <c r="J4483" s="341" t="str">
        <f>IF(A4483="","",VLOOKUP(A4483,VII.A!$A$10:$D$199,3,FALSE))</f>
        <v/>
      </c>
      <c r="K4483" s="342" t="str">
        <f t="shared" si="1157"/>
        <v/>
      </c>
      <c r="L4483" s="380" t="str">
        <f>IF(C4483="","",G4475*C4483)</f>
        <v/>
      </c>
      <c r="M4483" s="381" t="str">
        <f>IF(A4483="","",VLOOKUP(A4483,VII.A!$A$10:$B$199,2,FALSE))</f>
        <v/>
      </c>
      <c r="N4483" s="342" t="str">
        <f t="shared" si="1158"/>
        <v/>
      </c>
      <c r="R4483" s="341"/>
      <c r="S4483" s="341"/>
    </row>
    <row r="4484" spans="1:21" ht="12.75" customHeight="1">
      <c r="A4484" s="385"/>
      <c r="B4484" s="386"/>
      <c r="C4484" s="20"/>
      <c r="D4484" s="342"/>
      <c r="E4484" s="387"/>
      <c r="F4484" s="388">
        <f t="shared" si="1159"/>
        <v>0</v>
      </c>
      <c r="G4484" s="390"/>
      <c r="H4484" s="341" t="str">
        <f>IF(A4484="","",VLOOKUP(A4484,VII.A!$A$10:$D$199,4,FALSE))</f>
        <v/>
      </c>
      <c r="I4484" s="341" t="str">
        <f t="shared" si="1156"/>
        <v/>
      </c>
      <c r="J4484" s="341" t="str">
        <f>IF(A4484="","",VLOOKUP(A4484,VII.A!$A$10:$D$199,3,FALSE))</f>
        <v/>
      </c>
      <c r="K4484" s="342" t="str">
        <f t="shared" si="1157"/>
        <v/>
      </c>
      <c r="L4484" s="380" t="str">
        <f>IF(C4484="","",G4475*C4484)</f>
        <v/>
      </c>
      <c r="M4484" s="381" t="str">
        <f>IF(A4484="","",VLOOKUP(A4484,VII.A!$A$10:$B$199,2,FALSE))</f>
        <v/>
      </c>
      <c r="N4484" s="342" t="str">
        <f t="shared" si="1158"/>
        <v/>
      </c>
      <c r="R4484" s="341"/>
      <c r="S4484" s="341"/>
    </row>
    <row r="4485" spans="1:21" ht="12.75" customHeight="1">
      <c r="A4485" s="385"/>
      <c r="B4485" s="386"/>
      <c r="C4485" s="20"/>
      <c r="D4485" s="342"/>
      <c r="E4485" s="387"/>
      <c r="F4485" s="388">
        <f t="shared" si="1159"/>
        <v>0</v>
      </c>
      <c r="G4485" s="390"/>
      <c r="H4485" s="341" t="str">
        <f>IF(A4485="","",VLOOKUP(A4485,VII.A!$A$10:$D$199,4,FALSE))</f>
        <v/>
      </c>
      <c r="I4485" s="341" t="str">
        <f t="shared" si="1156"/>
        <v/>
      </c>
      <c r="J4485" s="341" t="str">
        <f>IF(A4485="","",VLOOKUP(A4485,VII.A!$A$10:$D$199,3,FALSE))</f>
        <v/>
      </c>
      <c r="K4485" s="342" t="str">
        <f t="shared" si="1157"/>
        <v/>
      </c>
      <c r="L4485" s="380" t="str">
        <f>IF(C4485="","",G4475*C4485)</f>
        <v/>
      </c>
      <c r="M4485" s="381" t="str">
        <f>IF(A4485="","",VLOOKUP(A4485,VII.A!$A$10:$B$199,2,FALSE))</f>
        <v/>
      </c>
      <c r="N4485" s="342" t="str">
        <f t="shared" si="1158"/>
        <v/>
      </c>
      <c r="R4485" s="341"/>
      <c r="S4485" s="341"/>
    </row>
    <row r="4486" spans="1:21" ht="12.75" customHeight="1">
      <c r="A4486" s="385"/>
      <c r="B4486" s="386"/>
      <c r="C4486" s="20"/>
      <c r="D4486" s="342"/>
      <c r="E4486" s="387"/>
      <c r="F4486" s="388">
        <f t="shared" si="1159"/>
        <v>0</v>
      </c>
      <c r="G4486" s="391"/>
      <c r="H4486" s="341" t="str">
        <f>IF(A4486="","",VLOOKUP(A4486,VII.A!$A$10:$D$199,4,FALSE))</f>
        <v/>
      </c>
      <c r="I4486" s="341" t="str">
        <f t="shared" si="1156"/>
        <v/>
      </c>
      <c r="J4486" s="341" t="str">
        <f>IF(A4486="","",VLOOKUP(A4486,VII.A!$A$10:$D$199,3,FALSE))</f>
        <v/>
      </c>
      <c r="K4486" s="342" t="str">
        <f t="shared" si="1157"/>
        <v/>
      </c>
      <c r="L4486" s="380" t="str">
        <f>IF(C4486="","",G4475*C4486)</f>
        <v/>
      </c>
      <c r="M4486" s="381" t="str">
        <f>IF(A4486="","",VLOOKUP(A4486,VII.A!$A$10:$B$199,2,FALSE))</f>
        <v/>
      </c>
      <c r="N4486" s="342" t="str">
        <f t="shared" si="1158"/>
        <v/>
      </c>
      <c r="R4486" s="341"/>
      <c r="S4486" s="341"/>
    </row>
    <row r="4487" spans="1:21" ht="12.75" customHeight="1">
      <c r="A4487" s="385"/>
      <c r="B4487" s="386"/>
      <c r="C4487" s="20"/>
      <c r="D4487" s="342"/>
      <c r="E4487" s="387"/>
      <c r="F4487" s="388">
        <f t="shared" si="1159"/>
        <v>0</v>
      </c>
      <c r="H4487" s="341" t="str">
        <f>IF(A4487="","",VLOOKUP(A4487,VII.A!$A$10:$D$199,4,FALSE))</f>
        <v/>
      </c>
      <c r="I4487" s="341" t="str">
        <f t="shared" si="1156"/>
        <v/>
      </c>
      <c r="J4487" s="341" t="str">
        <f>IF(A4487="","",VLOOKUP(A4487,VII.A!$A$10:$D$199,3,FALSE))</f>
        <v/>
      </c>
      <c r="K4487" s="342" t="str">
        <f t="shared" si="1157"/>
        <v/>
      </c>
      <c r="L4487" s="380" t="str">
        <f>IF(C4487="","",G4475*C4487)</f>
        <v/>
      </c>
      <c r="M4487" s="381" t="str">
        <f>IF(A4487="","",VLOOKUP(A4487,VII.A!$A$10:$B$199,2,FALSE))</f>
        <v/>
      </c>
      <c r="N4487" s="342" t="str">
        <f t="shared" si="1158"/>
        <v/>
      </c>
      <c r="R4487" s="341"/>
      <c r="S4487" s="341"/>
    </row>
    <row r="4488" spans="1:21" ht="12.75" customHeight="1">
      <c r="A4488" s="385"/>
      <c r="B4488" s="386"/>
      <c r="C4488" s="20"/>
      <c r="D4488" s="392"/>
      <c r="E4488" s="387"/>
      <c r="F4488" s="388">
        <f t="shared" si="1159"/>
        <v>0</v>
      </c>
      <c r="H4488" s="341" t="str">
        <f>IF(A4488="","",VLOOKUP(A4488,VII.A!$A$10:$D$199,4,FALSE))</f>
        <v/>
      </c>
      <c r="I4488" s="341" t="str">
        <f t="shared" si="1156"/>
        <v/>
      </c>
      <c r="J4488" s="341" t="str">
        <f>IF(A4488="","",VLOOKUP(A4488,VII.A!$A$10:$D$199,3,FALSE))</f>
        <v/>
      </c>
      <c r="K4488" s="342" t="str">
        <f t="shared" si="1157"/>
        <v/>
      </c>
      <c r="L4488" s="380" t="str">
        <f>IF(C4488="","",G4475*C4488)</f>
        <v/>
      </c>
      <c r="M4488" s="381" t="str">
        <f>IF(A4488="","",VLOOKUP(A4488,VII.A!$A$10:$B$199,2,FALSE))</f>
        <v/>
      </c>
      <c r="N4488" s="342" t="str">
        <f t="shared" si="1158"/>
        <v/>
      </c>
      <c r="R4488" s="341"/>
      <c r="S4488" s="341"/>
    </row>
    <row r="4489" spans="1:21" ht="12.75" customHeight="1">
      <c r="A4489" s="385"/>
      <c r="B4489" s="386"/>
      <c r="C4489" s="20"/>
      <c r="D4489" s="392"/>
      <c r="E4489" s="387"/>
      <c r="F4489" s="388">
        <f t="shared" si="1159"/>
        <v>0</v>
      </c>
      <c r="H4489" s="341" t="str">
        <f>IF(A4489="","",VLOOKUP(A4489,VII.A!$A$10:$D$199,4,FALSE))</f>
        <v/>
      </c>
      <c r="I4489" s="341" t="str">
        <f t="shared" si="1156"/>
        <v/>
      </c>
      <c r="J4489" s="341" t="str">
        <f>IF(A4489="","",VLOOKUP(A4489,VII.A!$A$10:$D$199,3,FALSE))</f>
        <v/>
      </c>
      <c r="K4489" s="342" t="str">
        <f t="shared" si="1157"/>
        <v/>
      </c>
      <c r="L4489" s="380" t="str">
        <f>IF(C4489="","",G4475*C4489)</f>
        <v/>
      </c>
      <c r="M4489" s="381" t="str">
        <f>IF(A4489="","",VLOOKUP(A4489,VII.A!$A$10:$B$199,2,FALSE))</f>
        <v/>
      </c>
      <c r="N4489" s="342" t="str">
        <f t="shared" si="1158"/>
        <v/>
      </c>
      <c r="O4489" s="342"/>
      <c r="R4489" s="341"/>
      <c r="S4489" s="341"/>
    </row>
    <row r="4490" spans="1:21" ht="12.75" customHeight="1">
      <c r="A4490" s="385"/>
      <c r="B4490" s="386"/>
      <c r="C4490" s="20"/>
      <c r="D4490" s="392"/>
      <c r="E4490" s="387"/>
      <c r="F4490" s="388">
        <f t="shared" si="1159"/>
        <v>0</v>
      </c>
      <c r="H4490" s="341" t="str">
        <f>IF(A4490="","",VLOOKUP(A4490,VII.A!$A$10:$D$199,4,FALSE))</f>
        <v/>
      </c>
      <c r="I4490" s="341" t="str">
        <f t="shared" si="1156"/>
        <v/>
      </c>
      <c r="J4490" s="341" t="str">
        <f>IF(A4490="","",VLOOKUP(A4490,VII.A!$A$10:$D$199,3,FALSE))</f>
        <v/>
      </c>
      <c r="K4490" s="342" t="str">
        <f t="shared" si="1157"/>
        <v/>
      </c>
      <c r="L4490" s="380" t="str">
        <f>IF(C4490="","",G4475*C4490)</f>
        <v/>
      </c>
      <c r="M4490" s="381" t="str">
        <f>IF(A4490="","",VLOOKUP(A4490,VII.A!$A$10:$B$199,2,FALSE))</f>
        <v/>
      </c>
      <c r="N4490" s="342" t="str">
        <f t="shared" si="1158"/>
        <v/>
      </c>
      <c r="R4490" s="341"/>
      <c r="S4490" s="341"/>
    </row>
    <row r="4491" spans="1:21" ht="12.75" customHeight="1">
      <c r="A4491" s="393"/>
      <c r="C4491" s="20"/>
      <c r="E4491" s="387"/>
      <c r="F4491" s="388">
        <f t="shared" si="1159"/>
        <v>0</v>
      </c>
      <c r="H4491" s="341" t="str">
        <f>IF(A4491="","",VLOOKUP(A4491,VII.A!$A$10:$D$199,4,FALSE))</f>
        <v/>
      </c>
      <c r="I4491" s="341" t="str">
        <f t="shared" si="1156"/>
        <v/>
      </c>
      <c r="J4491" s="341" t="str">
        <f>IF(A4491="","",VLOOKUP(A4491,VII.A!$A$10:$D$199,3,FALSE))</f>
        <v/>
      </c>
      <c r="K4491" s="342" t="str">
        <f t="shared" si="1157"/>
        <v/>
      </c>
      <c r="L4491" s="380" t="str">
        <f>IF(C4491="","",G4475*C4491)</f>
        <v/>
      </c>
      <c r="M4491" s="381" t="str">
        <f>IF(A4491="","",VLOOKUP(A4491,VII.A!$A$10:$B$199,2,FALSE))</f>
        <v/>
      </c>
      <c r="N4491" s="342" t="str">
        <f t="shared" si="1158"/>
        <v/>
      </c>
      <c r="R4491" s="341"/>
      <c r="S4491" s="341"/>
    </row>
    <row r="4492" spans="1:21" ht="12.75" customHeight="1">
      <c r="A4492" s="393"/>
      <c r="C4492" s="20"/>
      <c r="E4492" s="387"/>
      <c r="F4492" s="388">
        <f t="shared" si="1159"/>
        <v>0</v>
      </c>
      <c r="H4492" s="341" t="str">
        <f>IF(A4492="","",VLOOKUP(A4492,VII.A!$A$10:$D$199,4,FALSE))</f>
        <v/>
      </c>
      <c r="I4492" s="341" t="str">
        <f t="shared" si="1156"/>
        <v/>
      </c>
      <c r="J4492" s="341" t="str">
        <f>IF(A4492="","",VLOOKUP(A4492,VII.A!$A$10:$D$199,3,FALSE))</f>
        <v/>
      </c>
      <c r="K4492" s="342" t="str">
        <f t="shared" si="1157"/>
        <v/>
      </c>
      <c r="L4492" s="380" t="str">
        <f>IF(C4492="","",G4475*C4492)</f>
        <v/>
      </c>
      <c r="M4492" s="381" t="str">
        <f>IF(A4492="","",VLOOKUP(A4492,VII.A!$A$10:$B$199,2,FALSE))</f>
        <v/>
      </c>
      <c r="N4492" s="342" t="str">
        <f t="shared" si="1158"/>
        <v/>
      </c>
      <c r="R4492" s="341"/>
      <c r="S4492" s="341"/>
    </row>
    <row r="4493" spans="1:21" ht="12.75" customHeight="1">
      <c r="A4493" s="393"/>
      <c r="B4493" s="395" t="s">
        <v>226</v>
      </c>
      <c r="C4493" s="396"/>
      <c r="D4493" s="397"/>
      <c r="E4493" s="398"/>
      <c r="F4493" s="399">
        <f>SUM(F4477:F4492)</f>
        <v>0</v>
      </c>
      <c r="J4493" s="341"/>
      <c r="L4493" s="380"/>
      <c r="M4493" s="381"/>
      <c r="N4493" s="342"/>
      <c r="R4493" s="341"/>
      <c r="S4493" s="341"/>
    </row>
    <row r="4494" spans="1:21" ht="12.75" customHeight="1">
      <c r="A4494" s="393"/>
      <c r="B4494" s="400" t="s">
        <v>53</v>
      </c>
      <c r="C4494" s="2">
        <f>$D$8</f>
        <v>0</v>
      </c>
      <c r="D4494" s="401"/>
      <c r="E4494" s="402"/>
      <c r="F4494" s="403">
        <f>ROUND(F4493*C4494,2)</f>
        <v>0</v>
      </c>
      <c r="H4494" s="426" t="s">
        <v>505</v>
      </c>
      <c r="J4494" s="341"/>
      <c r="L4494" s="380"/>
      <c r="M4494" s="381"/>
      <c r="N4494" s="342"/>
      <c r="R4494" s="341"/>
      <c r="S4494" s="341"/>
    </row>
    <row r="4495" spans="1:21" ht="12.75" customHeight="1">
      <c r="A4495" s="404"/>
      <c r="B4495" s="405" t="s">
        <v>227</v>
      </c>
      <c r="C4495" s="406"/>
      <c r="D4495" s="406"/>
      <c r="E4495" s="407"/>
      <c r="F4495" s="408">
        <f>F4493+F4494</f>
        <v>0</v>
      </c>
      <c r="J4495" s="341"/>
      <c r="L4495" s="380"/>
      <c r="M4495" s="381"/>
      <c r="N4495" s="342"/>
      <c r="R4495" s="341"/>
      <c r="S4495" s="341"/>
    </row>
    <row r="4496" spans="1:21" ht="12.75" customHeight="1">
      <c r="A4496" s="374" t="s">
        <v>2</v>
      </c>
      <c r="B4496" s="375" t="s">
        <v>235</v>
      </c>
      <c r="C4496" s="376" t="s">
        <v>231</v>
      </c>
      <c r="D4496" s="376" t="s">
        <v>232</v>
      </c>
      <c r="E4496" s="377" t="s">
        <v>233</v>
      </c>
      <c r="F4496" s="378" t="s">
        <v>234</v>
      </c>
      <c r="J4496" s="341"/>
      <c r="L4496" s="380"/>
      <c r="M4496" s="381"/>
      <c r="N4496" s="342"/>
      <c r="R4496" s="341"/>
      <c r="S4496" s="341"/>
    </row>
    <row r="4497" spans="1:19" ht="12.75" customHeight="1">
      <c r="A4497" s="393"/>
      <c r="B4497" s="423"/>
      <c r="C4497" s="20"/>
      <c r="E4497" s="387"/>
      <c r="F4497" s="388">
        <f t="shared" ref="F4497:F4506" si="1160">ROUND(C4497*E4497,2)</f>
        <v>0</v>
      </c>
      <c r="H4497" s="341" t="str">
        <f>IF(A4497="","",VLOOKUP(A4497,VII.A!$A$10:$D$199,4,FALSE))</f>
        <v/>
      </c>
      <c r="I4497" s="341" t="str">
        <f t="shared" ref="I4497:I4506" si="1161">IF(A4497="","",IF(E4497=H4497,"SIM","NÃO"))</f>
        <v/>
      </c>
      <c r="J4497" s="341" t="str">
        <f>IF(A4497="","",VLOOKUP(A4497,VII.A!$A$10:$D$199,3,FALSE))</f>
        <v/>
      </c>
      <c r="K4497" s="342" t="str">
        <f t="shared" ref="K4497:K4506" si="1162">IF(A4497="","",IF(J4497=D4497,"SIM","NÃO"))</f>
        <v/>
      </c>
      <c r="L4497" s="380" t="str">
        <f>IF(C4497="","",G4475*C4497)</f>
        <v/>
      </c>
      <c r="M4497" s="381" t="str">
        <f>IF(A4497="","",VLOOKUP(A4497,VII.A!$A$10:$B$199,2,FALSE))</f>
        <v/>
      </c>
      <c r="N4497" s="342" t="str">
        <f t="shared" ref="N4497:N4506" si="1163">IF(B4497="","",IF(M4497=B4497,"si","no"))</f>
        <v/>
      </c>
      <c r="R4497" s="341"/>
      <c r="S4497" s="341"/>
    </row>
    <row r="4498" spans="1:19" ht="12.75" customHeight="1">
      <c r="A4498" s="393"/>
      <c r="C4498" s="20"/>
      <c r="E4498" s="387"/>
      <c r="F4498" s="388">
        <f t="shared" si="1160"/>
        <v>0</v>
      </c>
      <c r="H4498" s="341" t="str">
        <f>IF(A4498="","",VLOOKUP(A4498,VII.A!$A$10:$D$199,4,FALSE))</f>
        <v/>
      </c>
      <c r="I4498" s="341" t="str">
        <f t="shared" si="1161"/>
        <v/>
      </c>
      <c r="J4498" s="341" t="str">
        <f>IF(A4498="","",VLOOKUP(A4498,VII.A!$A$10:$D$199,3,FALSE))</f>
        <v/>
      </c>
      <c r="K4498" s="342" t="str">
        <f t="shared" si="1162"/>
        <v/>
      </c>
      <c r="L4498" s="380" t="str">
        <f>IF(C4498="","",G4475*C4498)</f>
        <v/>
      </c>
      <c r="M4498" s="381" t="str">
        <f>IF(A4498="","",VLOOKUP(A4498,VII.A!$A$10:$B$199,2,FALSE))</f>
        <v/>
      </c>
      <c r="N4498" s="342" t="str">
        <f t="shared" si="1163"/>
        <v/>
      </c>
      <c r="R4498" s="341"/>
      <c r="S4498" s="341"/>
    </row>
    <row r="4499" spans="1:19" ht="12.75" customHeight="1">
      <c r="A4499" s="393"/>
      <c r="C4499" s="20"/>
      <c r="E4499" s="387"/>
      <c r="F4499" s="388">
        <f t="shared" si="1160"/>
        <v>0</v>
      </c>
      <c r="H4499" s="341" t="str">
        <f>IF(A4499="","",VLOOKUP(A4499,VII.A!$A$10:$D$199,4,FALSE))</f>
        <v/>
      </c>
      <c r="I4499" s="341" t="str">
        <f t="shared" si="1161"/>
        <v/>
      </c>
      <c r="J4499" s="341" t="str">
        <f>IF(A4499="","",VLOOKUP(A4499,VII.A!$A$10:$D$199,3,FALSE))</f>
        <v/>
      </c>
      <c r="K4499" s="342" t="str">
        <f t="shared" si="1162"/>
        <v/>
      </c>
      <c r="L4499" s="380" t="str">
        <f>IF(C4499="","",G4475*C4499)</f>
        <v/>
      </c>
      <c r="M4499" s="381" t="str">
        <f>IF(A4499="","",VLOOKUP(A4499,VII.A!$A$10:$B$199,2,FALSE))</f>
        <v/>
      </c>
      <c r="N4499" s="342" t="str">
        <f t="shared" si="1163"/>
        <v/>
      </c>
      <c r="R4499" s="341"/>
      <c r="S4499" s="341"/>
    </row>
    <row r="4500" spans="1:19" ht="12.75" customHeight="1">
      <c r="A4500" s="393"/>
      <c r="C4500" s="20"/>
      <c r="E4500" s="387"/>
      <c r="F4500" s="388">
        <f t="shared" si="1160"/>
        <v>0</v>
      </c>
      <c r="H4500" s="341" t="str">
        <f>IF(A4500="","",VLOOKUP(A4500,VII.A!$A$10:$D$199,4,FALSE))</f>
        <v/>
      </c>
      <c r="I4500" s="341" t="str">
        <f t="shared" si="1161"/>
        <v/>
      </c>
      <c r="J4500" s="341" t="str">
        <f>IF(A4500="","",VLOOKUP(A4500,VII.A!$A$10:$D$199,3,FALSE))</f>
        <v/>
      </c>
      <c r="K4500" s="342" t="str">
        <f t="shared" si="1162"/>
        <v/>
      </c>
      <c r="L4500" s="380" t="str">
        <f>IF(C4500="","",G4475*C4500)</f>
        <v/>
      </c>
      <c r="M4500" s="381" t="str">
        <f>IF(A4500="","",VLOOKUP(A4500,VII.A!$A$10:$B$199,2,FALSE))</f>
        <v/>
      </c>
      <c r="N4500" s="342" t="str">
        <f t="shared" si="1163"/>
        <v/>
      </c>
      <c r="R4500" s="341"/>
      <c r="S4500" s="341"/>
    </row>
    <row r="4501" spans="1:19" ht="12.75" customHeight="1">
      <c r="A4501" s="393"/>
      <c r="C4501" s="20"/>
      <c r="E4501" s="387"/>
      <c r="F4501" s="388">
        <f t="shared" si="1160"/>
        <v>0</v>
      </c>
      <c r="G4501" s="390"/>
      <c r="H4501" s="341" t="str">
        <f>IF(A4501="","",VLOOKUP(A4501,VII.A!$A$10:$D$199,4,FALSE))</f>
        <v/>
      </c>
      <c r="I4501" s="341" t="str">
        <f t="shared" si="1161"/>
        <v/>
      </c>
      <c r="J4501" s="341" t="str">
        <f>IF(A4501="","",VLOOKUP(A4501,VII.A!$A$10:$D$199,3,FALSE))</f>
        <v/>
      </c>
      <c r="K4501" s="342" t="str">
        <f t="shared" si="1162"/>
        <v/>
      </c>
      <c r="L4501" s="380" t="str">
        <f>IF(C4501="","",G4475*C4501)</f>
        <v/>
      </c>
      <c r="M4501" s="381" t="str">
        <f>IF(A4501="","",VLOOKUP(A4501,VII.A!$A$10:$B$199,2,FALSE))</f>
        <v/>
      </c>
      <c r="N4501" s="342" t="str">
        <f t="shared" si="1163"/>
        <v/>
      </c>
      <c r="R4501" s="341"/>
      <c r="S4501" s="341"/>
    </row>
    <row r="4502" spans="1:19" ht="12.75" customHeight="1">
      <c r="A4502" s="393"/>
      <c r="C4502" s="20"/>
      <c r="E4502" s="387"/>
      <c r="F4502" s="388">
        <f t="shared" si="1160"/>
        <v>0</v>
      </c>
      <c r="G4502" s="391"/>
      <c r="H4502" s="341" t="str">
        <f>IF(A4502="","",VLOOKUP(A4502,VII.A!$A$10:$D$199,4,FALSE))</f>
        <v/>
      </c>
      <c r="I4502" s="341" t="str">
        <f t="shared" si="1161"/>
        <v/>
      </c>
      <c r="J4502" s="341" t="str">
        <f>IF(A4502="","",VLOOKUP(A4502,VII.A!$A$10:$D$199,3,FALSE))</f>
        <v/>
      </c>
      <c r="K4502" s="342" t="str">
        <f t="shared" si="1162"/>
        <v/>
      </c>
      <c r="L4502" s="380" t="str">
        <f>IF(C4502="","",G4475*C4502)</f>
        <v/>
      </c>
      <c r="M4502" s="381" t="str">
        <f>IF(A4502="","",VLOOKUP(A4502,VII.A!$A$10:$B$199,2,FALSE))</f>
        <v/>
      </c>
      <c r="N4502" s="342" t="str">
        <f t="shared" si="1163"/>
        <v/>
      </c>
      <c r="R4502" s="341"/>
      <c r="S4502" s="341"/>
    </row>
    <row r="4503" spans="1:19" ht="12.75" customHeight="1">
      <c r="A4503" s="393"/>
      <c r="C4503" s="20"/>
      <c r="E4503" s="387"/>
      <c r="F4503" s="388">
        <f t="shared" si="1160"/>
        <v>0</v>
      </c>
      <c r="H4503" s="341" t="str">
        <f>IF(A4503="","",VLOOKUP(A4503,VII.A!$A$10:$D$199,4,FALSE))</f>
        <v/>
      </c>
      <c r="I4503" s="341" t="str">
        <f t="shared" si="1161"/>
        <v/>
      </c>
      <c r="J4503" s="341" t="str">
        <f>IF(A4503="","",VLOOKUP(A4503,VII.A!$A$10:$D$199,3,FALSE))</f>
        <v/>
      </c>
      <c r="K4503" s="342" t="str">
        <f t="shared" si="1162"/>
        <v/>
      </c>
      <c r="L4503" s="380" t="str">
        <f>IF(C4503="","",G4475*C4503)</f>
        <v/>
      </c>
      <c r="M4503" s="381" t="str">
        <f>IF(A4503="","",VLOOKUP(A4503,VII.A!$A$10:$B$199,2,FALSE))</f>
        <v/>
      </c>
      <c r="N4503" s="342" t="str">
        <f t="shared" si="1163"/>
        <v/>
      </c>
      <c r="R4503" s="341"/>
      <c r="S4503" s="341"/>
    </row>
    <row r="4504" spans="1:19" ht="12.75" customHeight="1">
      <c r="A4504" s="393"/>
      <c r="C4504" s="20"/>
      <c r="E4504" s="387"/>
      <c r="F4504" s="388">
        <f t="shared" si="1160"/>
        <v>0</v>
      </c>
      <c r="H4504" s="341" t="str">
        <f>IF(A4504="","",VLOOKUP(A4504,VII.A!$A$10:$D$199,4,FALSE))</f>
        <v/>
      </c>
      <c r="I4504" s="341" t="str">
        <f t="shared" si="1161"/>
        <v/>
      </c>
      <c r="J4504" s="341" t="str">
        <f>IF(A4504="","",VLOOKUP(A4504,VII.A!$A$10:$D$199,3,FALSE))</f>
        <v/>
      </c>
      <c r="K4504" s="342" t="str">
        <f t="shared" si="1162"/>
        <v/>
      </c>
      <c r="L4504" s="380" t="str">
        <f>IF(C4504="","",G4475*C4504)</f>
        <v/>
      </c>
      <c r="M4504" s="381" t="str">
        <f>IF(A4504="","",VLOOKUP(A4504,VII.A!$A$10:$B$199,2,FALSE))</f>
        <v/>
      </c>
      <c r="N4504" s="342" t="str">
        <f t="shared" si="1163"/>
        <v/>
      </c>
      <c r="R4504" s="341"/>
      <c r="S4504" s="341"/>
    </row>
    <row r="4505" spans="1:19" ht="12.75" customHeight="1">
      <c r="A4505" s="393"/>
      <c r="C4505" s="20"/>
      <c r="E4505" s="387"/>
      <c r="F4505" s="388">
        <f t="shared" si="1160"/>
        <v>0</v>
      </c>
      <c r="H4505" s="341" t="str">
        <f>IF(A4505="","",VLOOKUP(A4505,VII.A!$A$10:$D$199,4,FALSE))</f>
        <v/>
      </c>
      <c r="I4505" s="341" t="str">
        <f t="shared" si="1161"/>
        <v/>
      </c>
      <c r="J4505" s="341" t="str">
        <f>IF(A4505="","",VLOOKUP(A4505,VII.A!$A$10:$D$199,3,FALSE))</f>
        <v/>
      </c>
      <c r="K4505" s="342" t="str">
        <f t="shared" si="1162"/>
        <v/>
      </c>
      <c r="L4505" s="380" t="str">
        <f>IF(C4505="","",G4475*C4505)</f>
        <v/>
      </c>
      <c r="M4505" s="381" t="str">
        <f>IF(A4505="","",VLOOKUP(A4505,VII.A!$A$10:$B$199,2,FALSE))</f>
        <v/>
      </c>
      <c r="N4505" s="342" t="str">
        <f t="shared" si="1163"/>
        <v/>
      </c>
      <c r="R4505" s="341"/>
      <c r="S4505" s="341"/>
    </row>
    <row r="4506" spans="1:19" ht="12.75" customHeight="1">
      <c r="A4506" s="393"/>
      <c r="C4506" s="20"/>
      <c r="E4506" s="387"/>
      <c r="F4506" s="388">
        <f t="shared" si="1160"/>
        <v>0</v>
      </c>
      <c r="H4506" s="341" t="str">
        <f>IF(A4506="","",VLOOKUP(A4506,VII.A!$A$10:$D$199,4,FALSE))</f>
        <v/>
      </c>
      <c r="I4506" s="341" t="str">
        <f t="shared" si="1161"/>
        <v/>
      </c>
      <c r="J4506" s="341" t="str">
        <f>IF(A4506="","",VLOOKUP(A4506,VII.A!$A$10:$D$199,3,FALSE))</f>
        <v/>
      </c>
      <c r="K4506" s="342" t="str">
        <f t="shared" si="1162"/>
        <v/>
      </c>
      <c r="L4506" s="380" t="str">
        <f>IF(C4506="","",G4475*C4506)</f>
        <v/>
      </c>
      <c r="M4506" s="381" t="str">
        <f>IF(A4506="","",VLOOKUP(A4506,VII.A!$A$10:$B$199,2,FALSE))</f>
        <v/>
      </c>
      <c r="N4506" s="342" t="str">
        <f t="shared" si="1163"/>
        <v/>
      </c>
      <c r="R4506" s="341"/>
      <c r="S4506" s="341"/>
    </row>
    <row r="4507" spans="1:19" ht="12.75" customHeight="1">
      <c r="A4507" s="393"/>
      <c r="B4507" s="395" t="s">
        <v>226</v>
      </c>
      <c r="C4507" s="396"/>
      <c r="D4507" s="397"/>
      <c r="E4507" s="398"/>
      <c r="F4507" s="399">
        <f>SUM(F4497:F4506)</f>
        <v>0</v>
      </c>
      <c r="J4507" s="341"/>
      <c r="L4507" s="380"/>
      <c r="M4507" s="381"/>
      <c r="N4507" s="342"/>
      <c r="R4507" s="341"/>
      <c r="S4507" s="341"/>
    </row>
    <row r="4508" spans="1:19" ht="12.75" customHeight="1">
      <c r="A4508" s="393"/>
      <c r="B4508" s="400" t="s">
        <v>53</v>
      </c>
      <c r="C4508" s="2">
        <f>$D$8</f>
        <v>0</v>
      </c>
      <c r="D4508" s="401"/>
      <c r="E4508" s="402"/>
      <c r="F4508" s="403">
        <f>ROUND(C4508*F4507,2)</f>
        <v>0</v>
      </c>
      <c r="J4508" s="341"/>
      <c r="L4508" s="380"/>
      <c r="M4508" s="381"/>
      <c r="N4508" s="342"/>
      <c r="R4508" s="341"/>
      <c r="S4508" s="341"/>
    </row>
    <row r="4509" spans="1:19" ht="12.75" customHeight="1">
      <c r="A4509" s="404"/>
      <c r="B4509" s="405" t="s">
        <v>228</v>
      </c>
      <c r="C4509" s="406"/>
      <c r="D4509" s="406"/>
      <c r="E4509" s="407"/>
      <c r="F4509" s="408">
        <f>F4507+F4508</f>
        <v>0</v>
      </c>
      <c r="J4509" s="341"/>
      <c r="L4509" s="380"/>
      <c r="M4509" s="381"/>
      <c r="N4509" s="342"/>
      <c r="R4509" s="341"/>
      <c r="S4509" s="341"/>
    </row>
    <row r="4510" spans="1:19" ht="12.75" customHeight="1">
      <c r="A4510" s="409" t="s">
        <v>47</v>
      </c>
      <c r="B4510" s="410" t="s">
        <v>236</v>
      </c>
      <c r="C4510" s="411" t="s">
        <v>231</v>
      </c>
      <c r="D4510" s="412" t="s">
        <v>232</v>
      </c>
      <c r="E4510" s="413" t="s">
        <v>233</v>
      </c>
      <c r="F4510" s="378" t="s">
        <v>234</v>
      </c>
      <c r="J4510" s="341"/>
      <c r="L4510" s="380"/>
      <c r="M4510" s="381"/>
      <c r="N4510" s="342"/>
      <c r="R4510" s="341"/>
      <c r="S4510" s="341"/>
    </row>
    <row r="4511" spans="1:19" ht="12.75" customHeight="1">
      <c r="A4511" s="393" t="str">
        <f>VII.A!$A$193</f>
        <v>3.13</v>
      </c>
      <c r="B4511" s="394" t="str">
        <f>VII.A!B193</f>
        <v>PINTOR COM ENCARGOS COMPLEMENTARES</v>
      </c>
      <c r="C4511" s="20">
        <v>0.312</v>
      </c>
      <c r="D4511" s="384" t="str">
        <f>VII.A!C193</f>
        <v>H</v>
      </c>
      <c r="E4511" s="387">
        <f>VII.A!D193</f>
        <v>0</v>
      </c>
      <c r="F4511" s="388">
        <f t="shared" ref="F4511:F4517" si="1164">ROUND(C4511*E4511,2)</f>
        <v>0</v>
      </c>
      <c r="H4511" s="341">
        <f>IF(A4511="","",VLOOKUP(A4511,VII.A!$A$10:$D$199,4,FALSE))</f>
        <v>0</v>
      </c>
      <c r="I4511" s="341" t="str">
        <f t="shared" ref="I4511:I4517" si="1165">IF(A4511="","",IF(E4511=H4511,"SIM","NÃO"))</f>
        <v>SIM</v>
      </c>
      <c r="J4511" s="341" t="str">
        <f>IF(A4511="","",VLOOKUP(A4511,VII.A!$A$10:$D$199,3,FALSE))</f>
        <v>H</v>
      </c>
      <c r="K4511" s="342" t="str">
        <f t="shared" ref="K4511:K4517" si="1166">IF(A4511="","",IF(J4511=D4511,"SIM","NÃO"))</f>
        <v>SIM</v>
      </c>
      <c r="L4511" s="380">
        <f>IF(C4511="","",G4475*C4511)</f>
        <v>15.6</v>
      </c>
      <c r="M4511" s="381" t="str">
        <f>IF(A4511="","",VLOOKUP(A4511,VII.A!$A$10:$B$199,2,FALSE))</f>
        <v>PINTOR COM ENCARGOS COMPLEMENTARES</v>
      </c>
      <c r="N4511" s="342" t="str">
        <f t="shared" ref="N4511:N4517" si="1167">IF(B4511="","",IF(M4511=B4511,"si","no"))</f>
        <v>si</v>
      </c>
      <c r="R4511" s="341"/>
      <c r="S4511" s="341"/>
    </row>
    <row r="4512" spans="1:19" ht="12.75" customHeight="1">
      <c r="A4512" s="393" t="str">
        <f>VII.A!$A$196</f>
        <v>3.16</v>
      </c>
      <c r="B4512" s="394" t="str">
        <f>VII.A!B196</f>
        <v>SERVENTE COM ENCARGOS COMPLEMENTARES</v>
      </c>
      <c r="C4512" s="20">
        <v>0.114</v>
      </c>
      <c r="D4512" s="384" t="str">
        <f>VII.A!C196</f>
        <v>H</v>
      </c>
      <c r="E4512" s="387">
        <f>VII.A!D196</f>
        <v>0</v>
      </c>
      <c r="F4512" s="388">
        <f t="shared" si="1164"/>
        <v>0</v>
      </c>
      <c r="H4512" s="341">
        <f>IF(A4512="","",VLOOKUP(A4512,VII.A!$A$10:$D$199,4,FALSE))</f>
        <v>0</v>
      </c>
      <c r="I4512" s="341" t="str">
        <f t="shared" si="1165"/>
        <v>SIM</v>
      </c>
      <c r="J4512" s="341" t="str">
        <f>IF(A4512="","",VLOOKUP(A4512,VII.A!$A$10:$D$199,3,FALSE))</f>
        <v>H</v>
      </c>
      <c r="K4512" s="342" t="str">
        <f t="shared" si="1166"/>
        <v>SIM</v>
      </c>
      <c r="L4512" s="380">
        <f>IF(C4512="","",G4475*C4512)</f>
        <v>5.7</v>
      </c>
      <c r="M4512" s="381" t="str">
        <f>IF(A4512="","",VLOOKUP(A4512,VII.A!$A$10:$B$199,2,FALSE))</f>
        <v>SERVENTE COM ENCARGOS COMPLEMENTARES</v>
      </c>
      <c r="N4512" s="342" t="str">
        <f t="shared" si="1167"/>
        <v>si</v>
      </c>
      <c r="R4512" s="341"/>
      <c r="S4512" s="341"/>
    </row>
    <row r="4513" spans="1:25" ht="12.75" customHeight="1">
      <c r="A4513" s="393"/>
      <c r="C4513" s="20"/>
      <c r="E4513" s="387"/>
      <c r="F4513" s="388">
        <f t="shared" si="1164"/>
        <v>0</v>
      </c>
      <c r="H4513" s="341" t="str">
        <f>IF(A4513="","",VLOOKUP(A4513,VII.A!$A$10:$D$199,4,FALSE))</f>
        <v/>
      </c>
      <c r="I4513" s="341" t="str">
        <f t="shared" si="1165"/>
        <v/>
      </c>
      <c r="J4513" s="341" t="str">
        <f>IF(A4513="","",VLOOKUP(A4513,VII.A!$A$10:$D$199,3,FALSE))</f>
        <v/>
      </c>
      <c r="K4513" s="342" t="str">
        <f t="shared" si="1166"/>
        <v/>
      </c>
      <c r="L4513" s="380" t="str">
        <f>IF(C4513="","",G4475*C4513)</f>
        <v/>
      </c>
      <c r="M4513" s="381" t="str">
        <f>IF(A4513="","",VLOOKUP(A4513,VII.A!$A$10:$B$199,2,FALSE))</f>
        <v/>
      </c>
      <c r="N4513" s="342" t="str">
        <f t="shared" si="1167"/>
        <v/>
      </c>
      <c r="R4513" s="341"/>
      <c r="S4513" s="341"/>
    </row>
    <row r="4514" spans="1:25" ht="12.75" customHeight="1">
      <c r="A4514" s="393"/>
      <c r="C4514" s="20"/>
      <c r="E4514" s="387"/>
      <c r="F4514" s="388">
        <f t="shared" si="1164"/>
        <v>0</v>
      </c>
      <c r="H4514" s="341" t="str">
        <f>IF(A4514="","",VLOOKUP(A4514,VII.A!$A$10:$D$199,4,FALSE))</f>
        <v/>
      </c>
      <c r="I4514" s="341" t="str">
        <f t="shared" si="1165"/>
        <v/>
      </c>
      <c r="J4514" s="341" t="str">
        <f>IF(A4514="","",VLOOKUP(A4514,VII.A!$A$10:$D$199,3,FALSE))</f>
        <v/>
      </c>
      <c r="K4514" s="342" t="str">
        <f t="shared" si="1166"/>
        <v/>
      </c>
      <c r="L4514" s="380" t="str">
        <f>IF(C4514="","",G4475*C4514)</f>
        <v/>
      </c>
      <c r="M4514" s="381" t="str">
        <f>IF(A4514="","",VLOOKUP(A4514,VII.A!$A$10:$B$199,2,FALSE))</f>
        <v/>
      </c>
      <c r="N4514" s="342" t="str">
        <f t="shared" si="1167"/>
        <v/>
      </c>
      <c r="R4514" s="341"/>
      <c r="S4514" s="341"/>
    </row>
    <row r="4515" spans="1:25" ht="12.75" customHeight="1">
      <c r="A4515" s="393"/>
      <c r="C4515" s="20"/>
      <c r="E4515" s="387"/>
      <c r="F4515" s="388">
        <f t="shared" si="1164"/>
        <v>0</v>
      </c>
      <c r="H4515" s="341" t="str">
        <f>IF(A4515="","",VLOOKUP(A4515,VII.A!$A$10:$D$199,4,FALSE))</f>
        <v/>
      </c>
      <c r="I4515" s="341" t="str">
        <f t="shared" si="1165"/>
        <v/>
      </c>
      <c r="J4515" s="341" t="str">
        <f>IF(A4515="","",VLOOKUP(A4515,VII.A!$A$10:$D$199,3,FALSE))</f>
        <v/>
      </c>
      <c r="K4515" s="342" t="str">
        <f t="shared" si="1166"/>
        <v/>
      </c>
      <c r="L4515" s="380" t="str">
        <f>IF(C4515="","",G4475*C4515)</f>
        <v/>
      </c>
      <c r="M4515" s="381" t="str">
        <f>IF(A4515="","",VLOOKUP(A4515,VII.A!$A$10:$B$199,2,FALSE))</f>
        <v/>
      </c>
      <c r="N4515" s="342" t="str">
        <f t="shared" si="1167"/>
        <v/>
      </c>
      <c r="R4515" s="341"/>
      <c r="S4515" s="341"/>
    </row>
    <row r="4516" spans="1:25" ht="12.75" customHeight="1">
      <c r="A4516" s="393"/>
      <c r="C4516" s="20"/>
      <c r="E4516" s="387"/>
      <c r="F4516" s="388">
        <f t="shared" si="1164"/>
        <v>0</v>
      </c>
      <c r="H4516" s="341" t="str">
        <f>IF(A4516="","",VLOOKUP(A4516,VII.A!$A$10:$D$199,4,FALSE))</f>
        <v/>
      </c>
      <c r="I4516" s="341" t="str">
        <f t="shared" si="1165"/>
        <v/>
      </c>
      <c r="J4516" s="341" t="str">
        <f>IF(A4516="","",VLOOKUP(A4516,VII.A!$A$10:$D$199,3,FALSE))</f>
        <v/>
      </c>
      <c r="K4516" s="342" t="str">
        <f t="shared" si="1166"/>
        <v/>
      </c>
      <c r="L4516" s="380" t="str">
        <f>IF(C4516="","",G4475*C4516)</f>
        <v/>
      </c>
      <c r="M4516" s="381" t="str">
        <f>IF(A4516="","",VLOOKUP(A4516,VII.A!$A$10:$B$199,2,FALSE))</f>
        <v/>
      </c>
      <c r="N4516" s="342" t="str">
        <f t="shared" si="1167"/>
        <v/>
      </c>
      <c r="R4516" s="341"/>
      <c r="S4516" s="341"/>
    </row>
    <row r="4517" spans="1:25" ht="12.75" customHeight="1">
      <c r="A4517" s="393"/>
      <c r="C4517" s="20"/>
      <c r="E4517" s="387"/>
      <c r="F4517" s="388">
        <f t="shared" si="1164"/>
        <v>0</v>
      </c>
      <c r="H4517" s="341" t="str">
        <f>IF(A4517="","",VLOOKUP(A4517,VII.A!$A$10:$D$199,4,FALSE))</f>
        <v/>
      </c>
      <c r="I4517" s="341" t="str">
        <f t="shared" si="1165"/>
        <v/>
      </c>
      <c r="J4517" s="341" t="str">
        <f>IF(A4517="","",VLOOKUP(A4517,VII.A!$A$10:$D$199,3,FALSE))</f>
        <v/>
      </c>
      <c r="K4517" s="342" t="str">
        <f t="shared" si="1166"/>
        <v/>
      </c>
      <c r="L4517" s="380" t="str">
        <f>IF(C4517="","",G4475*C4517)</f>
        <v/>
      </c>
      <c r="M4517" s="381" t="str">
        <f>IF(A4517="","",VLOOKUP(A4517,VII.A!$A$10:$B$199,2,FALSE))</f>
        <v/>
      </c>
      <c r="N4517" s="342" t="str">
        <f t="shared" si="1167"/>
        <v/>
      </c>
      <c r="R4517" s="341"/>
      <c r="S4517" s="341"/>
    </row>
    <row r="4518" spans="1:25" ht="12.75" customHeight="1">
      <c r="A4518" s="393"/>
      <c r="B4518" s="395" t="s">
        <v>226</v>
      </c>
      <c r="C4518" s="396"/>
      <c r="D4518" s="397"/>
      <c r="E4518" s="398"/>
      <c r="F4518" s="399">
        <f>SUM(F4511:F4517)</f>
        <v>0</v>
      </c>
      <c r="J4518" s="341"/>
      <c r="L4518" s="380"/>
      <c r="M4518" s="381"/>
      <c r="N4518" s="342"/>
      <c r="R4518" s="341"/>
      <c r="S4518" s="341"/>
    </row>
    <row r="4519" spans="1:25" ht="12.75" customHeight="1">
      <c r="A4519" s="393"/>
      <c r="B4519" s="400" t="s">
        <v>229</v>
      </c>
      <c r="C4519" s="2">
        <f>IX.A!$C$45</f>
        <v>0</v>
      </c>
      <c r="D4519" s="401"/>
      <c r="E4519" s="402"/>
      <c r="F4519" s="403">
        <f>ROUND(F4518*C4519,2)</f>
        <v>0</v>
      </c>
      <c r="J4519" s="341"/>
      <c r="L4519" s="380"/>
      <c r="M4519" s="381"/>
      <c r="N4519" s="342"/>
      <c r="R4519" s="341"/>
      <c r="S4519" s="341"/>
    </row>
    <row r="4520" spans="1:25" ht="12.75" customHeight="1">
      <c r="A4520" s="393"/>
      <c r="B4520" s="400" t="s">
        <v>53</v>
      </c>
      <c r="C4520" s="2">
        <f>$D$8</f>
        <v>0</v>
      </c>
      <c r="D4520" s="401"/>
      <c r="E4520" s="402"/>
      <c r="F4520" s="403">
        <f>ROUND(SUM(F4518:F4519)*C4520,2)</f>
        <v>0</v>
      </c>
      <c r="J4520" s="341"/>
      <c r="L4520" s="380"/>
      <c r="M4520" s="381"/>
      <c r="N4520" s="342"/>
      <c r="R4520" s="341"/>
      <c r="S4520" s="341"/>
    </row>
    <row r="4521" spans="1:25" ht="12.75" customHeight="1" thickBot="1">
      <c r="A4521" s="414"/>
      <c r="B4521" s="415" t="s">
        <v>230</v>
      </c>
      <c r="C4521" s="416"/>
      <c r="D4521" s="416"/>
      <c r="E4521" s="417"/>
      <c r="F4521" s="418">
        <f>SUM(F4518:F4520)</f>
        <v>0</v>
      </c>
      <c r="J4521" s="341"/>
      <c r="L4521" s="380"/>
      <c r="M4521" s="381"/>
      <c r="N4521" s="342"/>
      <c r="R4521" s="341"/>
      <c r="S4521" s="341"/>
    </row>
    <row r="4522" spans="1:25" ht="12.75" customHeight="1" thickBot="1">
      <c r="A4522" s="427"/>
      <c r="B4522" s="428"/>
      <c r="C4522" s="429"/>
      <c r="D4522" s="429"/>
      <c r="E4522" s="430"/>
      <c r="F4522" s="431"/>
      <c r="J4522" s="341"/>
      <c r="L4522" s="380"/>
      <c r="M4522" s="381"/>
      <c r="N4522" s="342"/>
      <c r="R4522" s="341"/>
      <c r="S4522" s="341"/>
    </row>
    <row r="4523" spans="1:25" ht="30" customHeight="1">
      <c r="A4523" s="370" t="str">
        <f>IV.A!A140</f>
        <v>6.3</v>
      </c>
      <c r="B4523" s="371" t="str">
        <f>IV.A!B140</f>
        <v>PINTURA LÁTEX ACRÍLICA EM ALVENARIA OU CONCRETO EM GERAL</v>
      </c>
      <c r="C4523" s="871" t="s">
        <v>237</v>
      </c>
      <c r="D4523" s="872"/>
      <c r="E4523" s="372" t="str">
        <f>IV.A!C140</f>
        <v>M2</v>
      </c>
      <c r="F4523" s="11">
        <f>ROUND(F4543+F4557+F4569,2)</f>
        <v>0</v>
      </c>
      <c r="G4523" s="1">
        <f>VLOOKUP(A4523,IV.A!$A$16:$L$172,4,FALSE)</f>
        <v>61100</v>
      </c>
      <c r="H4523" s="361">
        <f>SUM(F4525:F4540)+F4542</f>
        <v>0</v>
      </c>
      <c r="I4523" s="361">
        <f>SUM(F4545:F4554)+F4556</f>
        <v>0</v>
      </c>
      <c r="J4523" s="361">
        <f>SUM(F4559:F4565)+F4567+F4568</f>
        <v>0</v>
      </c>
      <c r="K4523" s="361">
        <f>SUM(H4523:J4523)</f>
        <v>0</v>
      </c>
      <c r="L4523" s="362" t="str">
        <f>IF(K4523=F4523,"SIM","NÃO")</f>
        <v>SIM</v>
      </c>
      <c r="M4523" s="373">
        <f>ROUND(SUM(F4525:F4540),2)+ROUND(SUM(F4525:F4540)*C4542,2)+ROUND(SUM(F4545:F4554)*C4556,2)+ROUND(SUM(F4545:F4554),2)+ROUND(SUM(F4559:F4565)*C4567,2)+ROUND((SUM(F4559:F4565)+ROUND(SUM(F4559:F4565)*C4567,2))*C4568,2)+ROUND(SUM(F4559:F4565),2)</f>
        <v>0</v>
      </c>
      <c r="N4523" s="343" t="str">
        <f>IF(M4523=F4523,"SIM","NÃO")</f>
        <v>SIM</v>
      </c>
      <c r="O4523" s="364" t="str">
        <f>VLOOKUP(A4523,IV.A!$A$16:$E$172,3,FALSE)</f>
        <v>M2</v>
      </c>
      <c r="P4523" s="344" t="str">
        <f>IF(O4523=E4523,"SIM","NÃO")</f>
        <v>SIM</v>
      </c>
      <c r="Q4523" s="365">
        <f>ROUND(G4523*F4543,2)+ROUND(G4523*F4557,2)+ROUND(G4523*F4569,2)</f>
        <v>0</v>
      </c>
      <c r="R4523" s="364">
        <f>VLOOKUP(A4523,IV.A!$A$16:$L$172,12,FALSE)</f>
        <v>0</v>
      </c>
      <c r="S4523" s="366" t="str">
        <f>IF(Q4523=R4523,"si","no")</f>
        <v>si</v>
      </c>
      <c r="T4523" s="367">
        <f>SUM(L4525:L4540)+SUM(L4545:L4554)+SUM(L4559:L4565)</f>
        <v>115221.61625000001</v>
      </c>
      <c r="U4523" s="341">
        <f>(SUM(C4525:C4540)+SUM(C4545:C4554)+SUM(C4559:C4565))*G4523</f>
        <v>115221.61625000001</v>
      </c>
      <c r="V4523" s="368" t="str">
        <f>IF(T4523=U4523,"si","no")</f>
        <v>si</v>
      </c>
      <c r="W4523" s="369">
        <f>SUM(F4525:F4540)</f>
        <v>0</v>
      </c>
      <c r="X4523" s="369">
        <f>SUM(F4545:F4554)</f>
        <v>0</v>
      </c>
      <c r="Y4523" s="369">
        <f>SUM(F4559:F4565)</f>
        <v>0</v>
      </c>
    </row>
    <row r="4524" spans="1:25" ht="12.75" customHeight="1">
      <c r="A4524" s="374" t="s">
        <v>14</v>
      </c>
      <c r="B4524" s="375" t="s">
        <v>132</v>
      </c>
      <c r="C4524" s="376" t="s">
        <v>231</v>
      </c>
      <c r="D4524" s="376" t="s">
        <v>232</v>
      </c>
      <c r="E4524" s="377" t="s">
        <v>233</v>
      </c>
      <c r="F4524" s="378" t="s">
        <v>234</v>
      </c>
      <c r="G4524" s="379"/>
      <c r="J4524" s="341"/>
      <c r="L4524" s="380"/>
      <c r="M4524" s="381"/>
      <c r="N4524" s="342"/>
      <c r="O4524" s="382"/>
      <c r="P4524" s="383"/>
      <c r="Q4524" s="383"/>
      <c r="R4524" s="383"/>
      <c r="S4524" s="383"/>
      <c r="T4524" s="382"/>
      <c r="U4524" s="341"/>
      <c r="V4524" s="384"/>
      <c r="W4524" s="384"/>
      <c r="X4524" s="384"/>
      <c r="Y4524" s="384"/>
    </row>
    <row r="4525" spans="1:25" ht="12.75" customHeight="1">
      <c r="A4525" s="385" t="str">
        <f>VII.A!$A$55</f>
        <v>1.46</v>
      </c>
      <c r="B4525" s="386" t="str">
        <f>VII.A!B55</f>
        <v xml:space="preserve">FUNDO PREPARADOR </v>
      </c>
      <c r="C4525" s="20">
        <v>7.0000000000000007E-2</v>
      </c>
      <c r="D4525" s="342" t="str">
        <f>VII.A!C55</f>
        <v>L</v>
      </c>
      <c r="E4525" s="387">
        <f>VII.A!D55</f>
        <v>0</v>
      </c>
      <c r="F4525" s="388">
        <f>ROUND(C4525*E4525,2)</f>
        <v>0</v>
      </c>
      <c r="H4525" s="341">
        <f>IF(A4525="","",VLOOKUP(A4525,VII.A!$A$10:$D$199,4,FALSE))</f>
        <v>0</v>
      </c>
      <c r="I4525" s="341" t="str">
        <f t="shared" ref="I4525:I4540" si="1168">IF(A4525="","",IF(E4525=H4525,"SIM","NÃO"))</f>
        <v>SIM</v>
      </c>
      <c r="J4525" s="341" t="str">
        <f>IF(A4525="","",VLOOKUP(A4525,VII.A!$A$10:$D$199,3,FALSE))</f>
        <v>L</v>
      </c>
      <c r="K4525" s="342" t="str">
        <f t="shared" ref="K4525:K4540" si="1169">IF(A4525="","",IF(J4525=D4525,"SIM","NÃO"))</f>
        <v>SIM</v>
      </c>
      <c r="L4525" s="380">
        <f>IF(C4525="","",G4523*C4525)</f>
        <v>4277</v>
      </c>
      <c r="M4525" s="381" t="str">
        <f>IF(A4525="","",VLOOKUP(A4525,VII.A!$A$10:$B$199,2,FALSE))</f>
        <v xml:space="preserve">FUNDO PREPARADOR </v>
      </c>
      <c r="N4525" s="342" t="str">
        <f t="shared" ref="N4525:N4540" si="1170">IF(B4525="","",IF(M4525=B4525,"si","no"))</f>
        <v>si</v>
      </c>
      <c r="R4525" s="341"/>
      <c r="S4525" s="341"/>
    </row>
    <row r="4526" spans="1:25" ht="12.75" customHeight="1">
      <c r="A4526" s="385" t="str">
        <f>VII.A!$A$68</f>
        <v>1.59</v>
      </c>
      <c r="B4526" s="386" t="str">
        <f>VII.A!B68</f>
        <v>LIXA PARA SUPERFÍCIE/MASSA, GRANA 120</v>
      </c>
      <c r="C4526" s="20">
        <v>0.5</v>
      </c>
      <c r="D4526" s="342" t="str">
        <f>VII.A!C68</f>
        <v>UN</v>
      </c>
      <c r="E4526" s="387">
        <f>VII.A!D68</f>
        <v>0</v>
      </c>
      <c r="F4526" s="388">
        <f t="shared" ref="F4526:F4540" si="1171">ROUND(C4526*E4526,2)</f>
        <v>0</v>
      </c>
      <c r="H4526" s="341">
        <f>IF(A4526="","",VLOOKUP(A4526,VII.A!$A$10:$D$199,4,FALSE))</f>
        <v>0</v>
      </c>
      <c r="I4526" s="341" t="str">
        <f t="shared" si="1168"/>
        <v>SIM</v>
      </c>
      <c r="J4526" s="341" t="str">
        <f>IF(A4526="","",VLOOKUP(A4526,VII.A!$A$10:$D$199,3,FALSE))</f>
        <v>UN</v>
      </c>
      <c r="K4526" s="342" t="str">
        <f t="shared" si="1169"/>
        <v>SIM</v>
      </c>
      <c r="L4526" s="380">
        <f>IF(C4526="","",G4523*C4526)</f>
        <v>30550</v>
      </c>
      <c r="M4526" s="381" t="str">
        <f>IF(A4526="","",VLOOKUP(A4526,VII.A!$A$10:$B$199,2,FALSE))</f>
        <v>LIXA PARA SUPERFÍCIE/MASSA, GRANA 120</v>
      </c>
      <c r="N4526" s="342" t="str">
        <f t="shared" si="1170"/>
        <v>si</v>
      </c>
      <c r="R4526" s="341"/>
      <c r="S4526" s="341"/>
    </row>
    <row r="4527" spans="1:25" ht="12.75" customHeight="1">
      <c r="A4527" s="385" t="str">
        <f>VII.A!$A$112</f>
        <v>1.102</v>
      </c>
      <c r="B4527" s="386" t="str">
        <f>VII.A!B112</f>
        <v>TINTA LÁTEX ACRÍLICA - 1ª LINHA</v>
      </c>
      <c r="C4527" s="20">
        <v>0.33</v>
      </c>
      <c r="D4527" s="342" t="str">
        <f>VII.A!C112</f>
        <v>L</v>
      </c>
      <c r="E4527" s="387">
        <f>VII.A!D112</f>
        <v>0</v>
      </c>
      <c r="F4527" s="388">
        <f t="shared" si="1171"/>
        <v>0</v>
      </c>
      <c r="H4527" s="341">
        <f>IF(A4527="","",VLOOKUP(A4527,VII.A!$A$10:$D$199,4,FALSE))</f>
        <v>0</v>
      </c>
      <c r="I4527" s="341" t="str">
        <f t="shared" si="1168"/>
        <v>SIM</v>
      </c>
      <c r="J4527" s="341" t="str">
        <f>IF(A4527="","",VLOOKUP(A4527,VII.A!$A$10:$D$199,3,FALSE))</f>
        <v>L</v>
      </c>
      <c r="K4527" s="342" t="str">
        <f t="shared" si="1169"/>
        <v>SIM</v>
      </c>
      <c r="L4527" s="380">
        <f>IF(C4527="","",G4523*C4527)</f>
        <v>20163</v>
      </c>
      <c r="M4527" s="381" t="str">
        <f>IF(A4527="","",VLOOKUP(A4527,VII.A!$A$10:$B$199,2,FALSE))</f>
        <v>TINTA LÁTEX ACRÍLICA - 1ª LINHA</v>
      </c>
      <c r="N4527" s="342" t="str">
        <f t="shared" si="1170"/>
        <v>si</v>
      </c>
      <c r="R4527" s="341"/>
      <c r="S4527" s="341"/>
    </row>
    <row r="4528" spans="1:25" ht="12.75" customHeight="1">
      <c r="A4528" s="385"/>
      <c r="B4528" s="386"/>
      <c r="C4528" s="20"/>
      <c r="D4528" s="342"/>
      <c r="E4528" s="387"/>
      <c r="F4528" s="388">
        <f t="shared" si="1171"/>
        <v>0</v>
      </c>
      <c r="H4528" s="341" t="str">
        <f>IF(A4528="","",VLOOKUP(A4528,VII.A!$A$10:$D$199,4,FALSE))</f>
        <v/>
      </c>
      <c r="I4528" s="341" t="str">
        <f t="shared" si="1168"/>
        <v/>
      </c>
      <c r="J4528" s="341" t="str">
        <f>IF(A4528="","",VLOOKUP(A4528,VII.A!$A$10:$D$199,3,FALSE))</f>
        <v/>
      </c>
      <c r="K4528" s="342" t="str">
        <f t="shared" si="1169"/>
        <v/>
      </c>
      <c r="L4528" s="380" t="str">
        <f>IF(C4528="","",G4523*C4528)</f>
        <v/>
      </c>
      <c r="M4528" s="381" t="str">
        <f>IF(A4528="","",VLOOKUP(A4528,VII.A!$A$10:$B$199,2,FALSE))</f>
        <v/>
      </c>
      <c r="N4528" s="342" t="str">
        <f t="shared" si="1170"/>
        <v/>
      </c>
      <c r="R4528" s="341"/>
      <c r="S4528" s="341"/>
    </row>
    <row r="4529" spans="1:21" ht="12.75" customHeight="1">
      <c r="A4529" s="385"/>
      <c r="B4529" s="386"/>
      <c r="C4529" s="20"/>
      <c r="D4529" s="342"/>
      <c r="E4529" s="387"/>
      <c r="F4529" s="388">
        <f t="shared" si="1171"/>
        <v>0</v>
      </c>
      <c r="H4529" s="341" t="str">
        <f>IF(A4529="","",VLOOKUP(A4529,VII.A!$A$10:$D$199,4,FALSE))</f>
        <v/>
      </c>
      <c r="I4529" s="341" t="str">
        <f t="shared" si="1168"/>
        <v/>
      </c>
      <c r="J4529" s="341" t="str">
        <f>IF(A4529="","",VLOOKUP(A4529,VII.A!$A$10:$D$199,3,FALSE))</f>
        <v/>
      </c>
      <c r="K4529" s="342" t="str">
        <f t="shared" si="1169"/>
        <v/>
      </c>
      <c r="L4529" s="380" t="str">
        <f>IF(C4529="","",G4523*C4529)</f>
        <v/>
      </c>
      <c r="M4529" s="381" t="str">
        <f>IF(A4529="","",VLOOKUP(A4529,VII.A!$A$10:$B$199,2,FALSE))</f>
        <v/>
      </c>
      <c r="N4529" s="342" t="str">
        <f t="shared" si="1170"/>
        <v/>
      </c>
      <c r="R4529" s="341"/>
      <c r="S4529" s="341"/>
    </row>
    <row r="4530" spans="1:21" ht="12.75" customHeight="1">
      <c r="A4530" s="385"/>
      <c r="B4530" s="386"/>
      <c r="C4530" s="20"/>
      <c r="D4530" s="342"/>
      <c r="E4530" s="387"/>
      <c r="F4530" s="388">
        <f t="shared" si="1171"/>
        <v>0</v>
      </c>
      <c r="H4530" s="341" t="str">
        <f>IF(A4530="","",VLOOKUP(A4530,VII.A!$A$10:$D$199,4,FALSE))</f>
        <v/>
      </c>
      <c r="I4530" s="341" t="str">
        <f t="shared" si="1168"/>
        <v/>
      </c>
      <c r="J4530" s="341" t="str">
        <f>IF(A4530="","",VLOOKUP(A4530,VII.A!$A$10:$D$199,3,FALSE))</f>
        <v/>
      </c>
      <c r="K4530" s="342" t="str">
        <f t="shared" si="1169"/>
        <v/>
      </c>
      <c r="L4530" s="380" t="str">
        <f>IF(C4530="","",G4523*C4530)</f>
        <v/>
      </c>
      <c r="M4530" s="381" t="str">
        <f>IF(A4530="","",VLOOKUP(A4530,VII.A!$A$10:$B$199,2,FALSE))</f>
        <v/>
      </c>
      <c r="N4530" s="342" t="str">
        <f t="shared" si="1170"/>
        <v/>
      </c>
      <c r="R4530" s="341"/>
      <c r="S4530" s="341"/>
      <c r="U4530" s="389"/>
    </row>
    <row r="4531" spans="1:21" ht="12.75" customHeight="1">
      <c r="A4531" s="385"/>
      <c r="B4531" s="386"/>
      <c r="C4531" s="20"/>
      <c r="D4531" s="342"/>
      <c r="E4531" s="387"/>
      <c r="F4531" s="388">
        <f t="shared" si="1171"/>
        <v>0</v>
      </c>
      <c r="H4531" s="341" t="str">
        <f>IF(A4531="","",VLOOKUP(A4531,VII.A!$A$10:$D$199,4,FALSE))</f>
        <v/>
      </c>
      <c r="I4531" s="341" t="str">
        <f t="shared" si="1168"/>
        <v/>
      </c>
      <c r="J4531" s="341" t="str">
        <f>IF(A4531="","",VLOOKUP(A4531,VII.A!$A$10:$D$199,3,FALSE))</f>
        <v/>
      </c>
      <c r="K4531" s="342" t="str">
        <f t="shared" si="1169"/>
        <v/>
      </c>
      <c r="L4531" s="380" t="str">
        <f>IF(C4531="","",G4523*C4531)</f>
        <v/>
      </c>
      <c r="M4531" s="381" t="str">
        <f>IF(A4531="","",VLOOKUP(A4531,VII.A!$A$10:$B$199,2,FALSE))</f>
        <v/>
      </c>
      <c r="N4531" s="342" t="str">
        <f t="shared" si="1170"/>
        <v/>
      </c>
      <c r="R4531" s="341"/>
      <c r="S4531" s="341"/>
    </row>
    <row r="4532" spans="1:21" ht="12.75" customHeight="1">
      <c r="A4532" s="385"/>
      <c r="B4532" s="386"/>
      <c r="C4532" s="20"/>
      <c r="D4532" s="342"/>
      <c r="E4532" s="387"/>
      <c r="F4532" s="388">
        <f t="shared" si="1171"/>
        <v>0</v>
      </c>
      <c r="G4532" s="390"/>
      <c r="H4532" s="341" t="str">
        <f>IF(A4532="","",VLOOKUP(A4532,VII.A!$A$10:$D$199,4,FALSE))</f>
        <v/>
      </c>
      <c r="I4532" s="341" t="str">
        <f t="shared" si="1168"/>
        <v/>
      </c>
      <c r="J4532" s="341" t="str">
        <f>IF(A4532="","",VLOOKUP(A4532,VII.A!$A$10:$D$199,3,FALSE))</f>
        <v/>
      </c>
      <c r="K4532" s="342" t="str">
        <f t="shared" si="1169"/>
        <v/>
      </c>
      <c r="L4532" s="380" t="str">
        <f>IF(C4532="","",G4523*C4532)</f>
        <v/>
      </c>
      <c r="M4532" s="381" t="str">
        <f>IF(A4532="","",VLOOKUP(A4532,VII.A!$A$10:$B$199,2,FALSE))</f>
        <v/>
      </c>
      <c r="N4532" s="342" t="str">
        <f t="shared" si="1170"/>
        <v/>
      </c>
      <c r="R4532" s="341"/>
      <c r="S4532" s="341"/>
    </row>
    <row r="4533" spans="1:21" ht="12.75" customHeight="1">
      <c r="A4533" s="385"/>
      <c r="B4533" s="386"/>
      <c r="C4533" s="20"/>
      <c r="D4533" s="342"/>
      <c r="E4533" s="387"/>
      <c r="F4533" s="388">
        <f t="shared" si="1171"/>
        <v>0</v>
      </c>
      <c r="G4533" s="390"/>
      <c r="H4533" s="341" t="str">
        <f>IF(A4533="","",VLOOKUP(A4533,VII.A!$A$10:$D$199,4,FALSE))</f>
        <v/>
      </c>
      <c r="I4533" s="341" t="str">
        <f t="shared" si="1168"/>
        <v/>
      </c>
      <c r="J4533" s="341" t="str">
        <f>IF(A4533="","",VLOOKUP(A4533,VII.A!$A$10:$D$199,3,FALSE))</f>
        <v/>
      </c>
      <c r="K4533" s="342" t="str">
        <f t="shared" si="1169"/>
        <v/>
      </c>
      <c r="L4533" s="380" t="str">
        <f>IF(C4533="","",G4523*C4533)</f>
        <v/>
      </c>
      <c r="M4533" s="381" t="str">
        <f>IF(A4533="","",VLOOKUP(A4533,VII.A!$A$10:$B$199,2,FALSE))</f>
        <v/>
      </c>
      <c r="N4533" s="342" t="str">
        <f t="shared" si="1170"/>
        <v/>
      </c>
      <c r="R4533" s="341"/>
      <c r="S4533" s="341"/>
    </row>
    <row r="4534" spans="1:21" ht="12.75" customHeight="1">
      <c r="A4534" s="385"/>
      <c r="B4534" s="386"/>
      <c r="C4534" s="20"/>
      <c r="D4534" s="342"/>
      <c r="E4534" s="387"/>
      <c r="F4534" s="388">
        <f t="shared" si="1171"/>
        <v>0</v>
      </c>
      <c r="G4534" s="391"/>
      <c r="H4534" s="341" t="str">
        <f>IF(A4534="","",VLOOKUP(A4534,VII.A!$A$10:$D$199,4,FALSE))</f>
        <v/>
      </c>
      <c r="I4534" s="341" t="str">
        <f t="shared" si="1168"/>
        <v/>
      </c>
      <c r="J4534" s="341" t="str">
        <f>IF(A4534="","",VLOOKUP(A4534,VII.A!$A$10:$D$199,3,FALSE))</f>
        <v/>
      </c>
      <c r="K4534" s="342" t="str">
        <f t="shared" si="1169"/>
        <v/>
      </c>
      <c r="L4534" s="380" t="str">
        <f>IF(C4534="","",G4523*C4534)</f>
        <v/>
      </c>
      <c r="M4534" s="381" t="str">
        <f>IF(A4534="","",VLOOKUP(A4534,VII.A!$A$10:$B$199,2,FALSE))</f>
        <v/>
      </c>
      <c r="N4534" s="342" t="str">
        <f t="shared" si="1170"/>
        <v/>
      </c>
      <c r="R4534" s="341"/>
      <c r="S4534" s="341"/>
    </row>
    <row r="4535" spans="1:21" ht="12.75" customHeight="1">
      <c r="A4535" s="385"/>
      <c r="B4535" s="386"/>
      <c r="C4535" s="20"/>
      <c r="D4535" s="342"/>
      <c r="E4535" s="387"/>
      <c r="F4535" s="388">
        <f t="shared" si="1171"/>
        <v>0</v>
      </c>
      <c r="H4535" s="341" t="str">
        <f>IF(A4535="","",VLOOKUP(A4535,VII.A!$A$10:$D$199,4,FALSE))</f>
        <v/>
      </c>
      <c r="I4535" s="341" t="str">
        <f t="shared" si="1168"/>
        <v/>
      </c>
      <c r="J4535" s="341" t="str">
        <f>IF(A4535="","",VLOOKUP(A4535,VII.A!$A$10:$D$199,3,FALSE))</f>
        <v/>
      </c>
      <c r="K4535" s="342" t="str">
        <f t="shared" si="1169"/>
        <v/>
      </c>
      <c r="L4535" s="380" t="str">
        <f>IF(C4535="","",G4523*C4535)</f>
        <v/>
      </c>
      <c r="M4535" s="381" t="str">
        <f>IF(A4535="","",VLOOKUP(A4535,VII.A!$A$10:$B$199,2,FALSE))</f>
        <v/>
      </c>
      <c r="N4535" s="342" t="str">
        <f t="shared" si="1170"/>
        <v/>
      </c>
      <c r="R4535" s="341"/>
      <c r="S4535" s="341"/>
    </row>
    <row r="4536" spans="1:21" ht="12.75" customHeight="1">
      <c r="A4536" s="385"/>
      <c r="B4536" s="386"/>
      <c r="C4536" s="20"/>
      <c r="D4536" s="392"/>
      <c r="E4536" s="387"/>
      <c r="F4536" s="388">
        <f t="shared" si="1171"/>
        <v>0</v>
      </c>
      <c r="H4536" s="341" t="str">
        <f>IF(A4536="","",VLOOKUP(A4536,VII.A!$A$10:$D$199,4,FALSE))</f>
        <v/>
      </c>
      <c r="I4536" s="341" t="str">
        <f t="shared" si="1168"/>
        <v/>
      </c>
      <c r="J4536" s="341" t="str">
        <f>IF(A4536="","",VLOOKUP(A4536,VII.A!$A$10:$D$199,3,FALSE))</f>
        <v/>
      </c>
      <c r="K4536" s="342" t="str">
        <f t="shared" si="1169"/>
        <v/>
      </c>
      <c r="L4536" s="380" t="str">
        <f>IF(C4536="","",G4523*C4536)</f>
        <v/>
      </c>
      <c r="M4536" s="381" t="str">
        <f>IF(A4536="","",VLOOKUP(A4536,VII.A!$A$10:$B$199,2,FALSE))</f>
        <v/>
      </c>
      <c r="N4536" s="342" t="str">
        <f t="shared" si="1170"/>
        <v/>
      </c>
      <c r="R4536" s="341"/>
      <c r="S4536" s="341"/>
    </row>
    <row r="4537" spans="1:21" ht="12.75" customHeight="1">
      <c r="A4537" s="385"/>
      <c r="B4537" s="386"/>
      <c r="C4537" s="20"/>
      <c r="D4537" s="392"/>
      <c r="E4537" s="387"/>
      <c r="F4537" s="388">
        <f t="shared" si="1171"/>
        <v>0</v>
      </c>
      <c r="H4537" s="341" t="str">
        <f>IF(A4537="","",VLOOKUP(A4537,VII.A!$A$10:$D$199,4,FALSE))</f>
        <v/>
      </c>
      <c r="I4537" s="341" t="str">
        <f t="shared" si="1168"/>
        <v/>
      </c>
      <c r="J4537" s="341" t="str">
        <f>IF(A4537="","",VLOOKUP(A4537,VII.A!$A$10:$D$199,3,FALSE))</f>
        <v/>
      </c>
      <c r="K4537" s="342" t="str">
        <f t="shared" si="1169"/>
        <v/>
      </c>
      <c r="L4537" s="380" t="str">
        <f>IF(C4537="","",G4523*C4537)</f>
        <v/>
      </c>
      <c r="M4537" s="381" t="str">
        <f>IF(A4537="","",VLOOKUP(A4537,VII.A!$A$10:$B$199,2,FALSE))</f>
        <v/>
      </c>
      <c r="N4537" s="342" t="str">
        <f t="shared" si="1170"/>
        <v/>
      </c>
      <c r="O4537" s="342"/>
      <c r="R4537" s="341"/>
      <c r="S4537" s="341"/>
    </row>
    <row r="4538" spans="1:21" ht="12.75" customHeight="1">
      <c r="A4538" s="385"/>
      <c r="B4538" s="386"/>
      <c r="C4538" s="20"/>
      <c r="D4538" s="392"/>
      <c r="E4538" s="387"/>
      <c r="F4538" s="388">
        <f t="shared" si="1171"/>
        <v>0</v>
      </c>
      <c r="H4538" s="341" t="str">
        <f>IF(A4538="","",VLOOKUP(A4538,VII.A!$A$10:$D$199,4,FALSE))</f>
        <v/>
      </c>
      <c r="I4538" s="341" t="str">
        <f t="shared" si="1168"/>
        <v/>
      </c>
      <c r="J4538" s="341" t="str">
        <f>IF(A4538="","",VLOOKUP(A4538,VII.A!$A$10:$D$199,3,FALSE))</f>
        <v/>
      </c>
      <c r="K4538" s="342" t="str">
        <f t="shared" si="1169"/>
        <v/>
      </c>
      <c r="L4538" s="380" t="str">
        <f>IF(C4538="","",G4523*C4538)</f>
        <v/>
      </c>
      <c r="M4538" s="381" t="str">
        <f>IF(A4538="","",VLOOKUP(A4538,VII.A!$A$10:$B$199,2,FALSE))</f>
        <v/>
      </c>
      <c r="N4538" s="342" t="str">
        <f t="shared" si="1170"/>
        <v/>
      </c>
      <c r="R4538" s="341"/>
      <c r="S4538" s="341"/>
    </row>
    <row r="4539" spans="1:21" ht="12.75" customHeight="1">
      <c r="A4539" s="393"/>
      <c r="C4539" s="20"/>
      <c r="E4539" s="387"/>
      <c r="F4539" s="388">
        <f t="shared" si="1171"/>
        <v>0</v>
      </c>
      <c r="H4539" s="341" t="str">
        <f>IF(A4539="","",VLOOKUP(A4539,VII.A!$A$10:$D$199,4,FALSE))</f>
        <v/>
      </c>
      <c r="I4539" s="341" t="str">
        <f t="shared" si="1168"/>
        <v/>
      </c>
      <c r="J4539" s="341" t="str">
        <f>IF(A4539="","",VLOOKUP(A4539,VII.A!$A$10:$D$199,3,FALSE))</f>
        <v/>
      </c>
      <c r="K4539" s="342" t="str">
        <f t="shared" si="1169"/>
        <v/>
      </c>
      <c r="L4539" s="380" t="str">
        <f>IF(C4539="","",G4523*C4539)</f>
        <v/>
      </c>
      <c r="M4539" s="381" t="str">
        <f>IF(A4539="","",VLOOKUP(A4539,VII.A!$A$10:$B$199,2,FALSE))</f>
        <v/>
      </c>
      <c r="N4539" s="342" t="str">
        <f t="shared" si="1170"/>
        <v/>
      </c>
      <c r="R4539" s="341"/>
      <c r="S4539" s="341"/>
    </row>
    <row r="4540" spans="1:21" ht="12.75" customHeight="1">
      <c r="A4540" s="393"/>
      <c r="C4540" s="20"/>
      <c r="E4540" s="387"/>
      <c r="F4540" s="388">
        <f t="shared" si="1171"/>
        <v>0</v>
      </c>
      <c r="H4540" s="341" t="str">
        <f>IF(A4540="","",VLOOKUP(A4540,VII.A!$A$10:$D$199,4,FALSE))</f>
        <v/>
      </c>
      <c r="I4540" s="341" t="str">
        <f t="shared" si="1168"/>
        <v/>
      </c>
      <c r="J4540" s="341" t="str">
        <f>IF(A4540="","",VLOOKUP(A4540,VII.A!$A$10:$D$199,3,FALSE))</f>
        <v/>
      </c>
      <c r="K4540" s="342" t="str">
        <f t="shared" si="1169"/>
        <v/>
      </c>
      <c r="L4540" s="380" t="str">
        <f>IF(C4540="","",G4523*C4540)</f>
        <v/>
      </c>
      <c r="M4540" s="381" t="str">
        <f>IF(A4540="","",VLOOKUP(A4540,VII.A!$A$10:$B$199,2,FALSE))</f>
        <v/>
      </c>
      <c r="N4540" s="342" t="str">
        <f t="shared" si="1170"/>
        <v/>
      </c>
      <c r="R4540" s="341"/>
      <c r="S4540" s="341"/>
    </row>
    <row r="4541" spans="1:21" ht="12.75" customHeight="1">
      <c r="A4541" s="393"/>
      <c r="B4541" s="395" t="s">
        <v>226</v>
      </c>
      <c r="C4541" s="396"/>
      <c r="D4541" s="397"/>
      <c r="E4541" s="398"/>
      <c r="F4541" s="399">
        <f>SUM(F4525:F4540)</f>
        <v>0</v>
      </c>
      <c r="J4541" s="341"/>
      <c r="L4541" s="380"/>
      <c r="M4541" s="381"/>
      <c r="N4541" s="342"/>
      <c r="R4541" s="341"/>
      <c r="S4541" s="341"/>
    </row>
    <row r="4542" spans="1:21" ht="12.75" customHeight="1">
      <c r="A4542" s="393"/>
      <c r="B4542" s="400" t="s">
        <v>53</v>
      </c>
      <c r="C4542" s="2">
        <f>$D$8</f>
        <v>0</v>
      </c>
      <c r="D4542" s="401"/>
      <c r="E4542" s="402"/>
      <c r="F4542" s="403">
        <f>ROUND(F4541*C4542,2)</f>
        <v>0</v>
      </c>
      <c r="H4542" s="426"/>
      <c r="I4542" s="426" t="s">
        <v>506</v>
      </c>
      <c r="J4542" s="341"/>
      <c r="L4542" s="380"/>
      <c r="M4542" s="381"/>
      <c r="N4542" s="342"/>
      <c r="R4542" s="341"/>
      <c r="S4542" s="341"/>
    </row>
    <row r="4543" spans="1:21" ht="12.75" customHeight="1">
      <c r="A4543" s="404"/>
      <c r="B4543" s="405" t="s">
        <v>227</v>
      </c>
      <c r="C4543" s="406"/>
      <c r="D4543" s="406"/>
      <c r="E4543" s="407"/>
      <c r="F4543" s="408">
        <f>F4541+F4542</f>
        <v>0</v>
      </c>
      <c r="J4543" s="341"/>
      <c r="L4543" s="380"/>
      <c r="M4543" s="381"/>
      <c r="N4543" s="342"/>
      <c r="R4543" s="341"/>
      <c r="S4543" s="341"/>
    </row>
    <row r="4544" spans="1:21" ht="12.75" customHeight="1">
      <c r="A4544" s="374" t="s">
        <v>2</v>
      </c>
      <c r="B4544" s="375" t="s">
        <v>235</v>
      </c>
      <c r="C4544" s="376" t="s">
        <v>231</v>
      </c>
      <c r="D4544" s="376" t="s">
        <v>232</v>
      </c>
      <c r="E4544" s="377" t="s">
        <v>233</v>
      </c>
      <c r="F4544" s="378" t="s">
        <v>234</v>
      </c>
      <c r="J4544" s="341"/>
      <c r="L4544" s="380"/>
      <c r="M4544" s="381"/>
      <c r="N4544" s="342"/>
      <c r="R4544" s="341"/>
      <c r="S4544" s="341"/>
    </row>
    <row r="4545" spans="1:19" ht="12.75" customHeight="1">
      <c r="A4545" s="393"/>
      <c r="B4545" s="423"/>
      <c r="C4545" s="20"/>
      <c r="E4545" s="387"/>
      <c r="F4545" s="388">
        <f t="shared" ref="F4545:F4554" si="1172">ROUND(C4545*E4545,2)</f>
        <v>0</v>
      </c>
      <c r="H4545" s="341" t="str">
        <f>IF(A4545="","",VLOOKUP(A4545,VII.A!$A$10:$D$199,4,FALSE))</f>
        <v/>
      </c>
      <c r="I4545" s="341" t="str">
        <f t="shared" ref="I4545:I4554" si="1173">IF(A4545="","",IF(E4545=H4545,"SIM","NÃO"))</f>
        <v/>
      </c>
      <c r="J4545" s="341" t="str">
        <f>IF(A4545="","",VLOOKUP(A4545,VII.A!$A$10:$D$199,3,FALSE))</f>
        <v/>
      </c>
      <c r="K4545" s="342" t="str">
        <f t="shared" ref="K4545:K4554" si="1174">IF(A4545="","",IF(J4545=D4545,"SIM","NÃO"))</f>
        <v/>
      </c>
      <c r="L4545" s="380" t="str">
        <f>IF(C4545="","",G4523*C4545)</f>
        <v/>
      </c>
      <c r="M4545" s="381" t="str">
        <f>IF(A4545="","",VLOOKUP(A4545,VII.A!$A$10:$B$199,2,FALSE))</f>
        <v/>
      </c>
      <c r="N4545" s="342" t="str">
        <f t="shared" ref="N4545:N4554" si="1175">IF(B4545="","",IF(M4545=B4545,"si","no"))</f>
        <v/>
      </c>
      <c r="R4545" s="341"/>
      <c r="S4545" s="341"/>
    </row>
    <row r="4546" spans="1:19" ht="12.75" customHeight="1">
      <c r="A4546" s="393"/>
      <c r="C4546" s="20"/>
      <c r="E4546" s="387"/>
      <c r="F4546" s="388">
        <f t="shared" si="1172"/>
        <v>0</v>
      </c>
      <c r="H4546" s="341" t="str">
        <f>IF(A4546="","",VLOOKUP(A4546,VII.A!$A$10:$D$199,4,FALSE))</f>
        <v/>
      </c>
      <c r="I4546" s="341" t="str">
        <f t="shared" si="1173"/>
        <v/>
      </c>
      <c r="J4546" s="341" t="str">
        <f>IF(A4546="","",VLOOKUP(A4546,VII.A!$A$10:$D$199,3,FALSE))</f>
        <v/>
      </c>
      <c r="K4546" s="342" t="str">
        <f t="shared" si="1174"/>
        <v/>
      </c>
      <c r="L4546" s="380" t="str">
        <f>IF(C4546="","",G4523*C4546)</f>
        <v/>
      </c>
      <c r="M4546" s="381" t="str">
        <f>IF(A4546="","",VLOOKUP(A4546,VII.A!$A$10:$B$199,2,FALSE))</f>
        <v/>
      </c>
      <c r="N4546" s="342" t="str">
        <f t="shared" si="1175"/>
        <v/>
      </c>
      <c r="R4546" s="341"/>
      <c r="S4546" s="341"/>
    </row>
    <row r="4547" spans="1:19" ht="12.75" customHeight="1">
      <c r="A4547" s="393"/>
      <c r="C4547" s="20"/>
      <c r="E4547" s="387"/>
      <c r="F4547" s="388">
        <f t="shared" si="1172"/>
        <v>0</v>
      </c>
      <c r="H4547" s="341" t="str">
        <f>IF(A4547="","",VLOOKUP(A4547,VII.A!$A$10:$D$199,4,FALSE))</f>
        <v/>
      </c>
      <c r="I4547" s="341" t="str">
        <f t="shared" si="1173"/>
        <v/>
      </c>
      <c r="J4547" s="341" t="str">
        <f>IF(A4547="","",VLOOKUP(A4547,VII.A!$A$10:$D$199,3,FALSE))</f>
        <v/>
      </c>
      <c r="K4547" s="342" t="str">
        <f t="shared" si="1174"/>
        <v/>
      </c>
      <c r="L4547" s="380" t="str">
        <f>IF(C4547="","",G4523*C4547)</f>
        <v/>
      </c>
      <c r="M4547" s="381" t="str">
        <f>IF(A4547="","",VLOOKUP(A4547,VII.A!$A$10:$B$199,2,FALSE))</f>
        <v/>
      </c>
      <c r="N4547" s="342" t="str">
        <f t="shared" si="1175"/>
        <v/>
      </c>
      <c r="R4547" s="341"/>
      <c r="S4547" s="341"/>
    </row>
    <row r="4548" spans="1:19" ht="12.75" customHeight="1">
      <c r="A4548" s="393"/>
      <c r="C4548" s="20"/>
      <c r="E4548" s="387"/>
      <c r="F4548" s="388">
        <f t="shared" si="1172"/>
        <v>0</v>
      </c>
      <c r="H4548" s="341" t="str">
        <f>IF(A4548="","",VLOOKUP(A4548,VII.A!$A$10:$D$199,4,FALSE))</f>
        <v/>
      </c>
      <c r="I4548" s="341" t="str">
        <f t="shared" si="1173"/>
        <v/>
      </c>
      <c r="J4548" s="341" t="str">
        <f>IF(A4548="","",VLOOKUP(A4548,VII.A!$A$10:$D$199,3,FALSE))</f>
        <v/>
      </c>
      <c r="K4548" s="342" t="str">
        <f t="shared" si="1174"/>
        <v/>
      </c>
      <c r="L4548" s="380" t="str">
        <f>IF(C4548="","",G4523*C4548)</f>
        <v/>
      </c>
      <c r="M4548" s="381" t="str">
        <f>IF(A4548="","",VLOOKUP(A4548,VII.A!$A$10:$B$199,2,FALSE))</f>
        <v/>
      </c>
      <c r="N4548" s="342" t="str">
        <f t="shared" si="1175"/>
        <v/>
      </c>
      <c r="R4548" s="341"/>
      <c r="S4548" s="341"/>
    </row>
    <row r="4549" spans="1:19" ht="12.75" customHeight="1">
      <c r="A4549" s="393"/>
      <c r="C4549" s="20"/>
      <c r="E4549" s="387"/>
      <c r="F4549" s="388">
        <f t="shared" si="1172"/>
        <v>0</v>
      </c>
      <c r="G4549" s="390"/>
      <c r="H4549" s="341" t="str">
        <f>IF(A4549="","",VLOOKUP(A4549,VII.A!$A$10:$D$199,4,FALSE))</f>
        <v/>
      </c>
      <c r="I4549" s="341" t="str">
        <f t="shared" si="1173"/>
        <v/>
      </c>
      <c r="J4549" s="341" t="str">
        <f>IF(A4549="","",VLOOKUP(A4549,VII.A!$A$10:$D$199,3,FALSE))</f>
        <v/>
      </c>
      <c r="K4549" s="342" t="str">
        <f t="shared" si="1174"/>
        <v/>
      </c>
      <c r="L4549" s="380" t="str">
        <f>IF(C4549="","",G4523*C4549)</f>
        <v/>
      </c>
      <c r="M4549" s="381" t="str">
        <f>IF(A4549="","",VLOOKUP(A4549,VII.A!$A$10:$B$199,2,FALSE))</f>
        <v/>
      </c>
      <c r="N4549" s="342" t="str">
        <f t="shared" si="1175"/>
        <v/>
      </c>
      <c r="R4549" s="341"/>
      <c r="S4549" s="341"/>
    </row>
    <row r="4550" spans="1:19" ht="12.75" customHeight="1">
      <c r="A4550" s="393"/>
      <c r="C4550" s="20"/>
      <c r="E4550" s="387"/>
      <c r="F4550" s="388">
        <f t="shared" si="1172"/>
        <v>0</v>
      </c>
      <c r="G4550" s="391"/>
      <c r="H4550" s="341" t="str">
        <f>IF(A4550="","",VLOOKUP(A4550,VII.A!$A$10:$D$199,4,FALSE))</f>
        <v/>
      </c>
      <c r="I4550" s="341" t="str">
        <f t="shared" si="1173"/>
        <v/>
      </c>
      <c r="J4550" s="341" t="str">
        <f>IF(A4550="","",VLOOKUP(A4550,VII.A!$A$10:$D$199,3,FALSE))</f>
        <v/>
      </c>
      <c r="K4550" s="342" t="str">
        <f t="shared" si="1174"/>
        <v/>
      </c>
      <c r="L4550" s="380" t="str">
        <f>IF(C4550="","",G4523*C4550)</f>
        <v/>
      </c>
      <c r="M4550" s="381" t="str">
        <f>IF(A4550="","",VLOOKUP(A4550,VII.A!$A$10:$B$199,2,FALSE))</f>
        <v/>
      </c>
      <c r="N4550" s="342" t="str">
        <f t="shared" si="1175"/>
        <v/>
      </c>
      <c r="R4550" s="341"/>
      <c r="S4550" s="341"/>
    </row>
    <row r="4551" spans="1:19" ht="12.75" customHeight="1">
      <c r="A4551" s="393"/>
      <c r="C4551" s="20"/>
      <c r="E4551" s="387"/>
      <c r="F4551" s="388">
        <f t="shared" si="1172"/>
        <v>0</v>
      </c>
      <c r="H4551" s="341" t="str">
        <f>IF(A4551="","",VLOOKUP(A4551,VII.A!$A$10:$D$199,4,FALSE))</f>
        <v/>
      </c>
      <c r="I4551" s="341" t="str">
        <f t="shared" si="1173"/>
        <v/>
      </c>
      <c r="J4551" s="341" t="str">
        <f>IF(A4551="","",VLOOKUP(A4551,VII.A!$A$10:$D$199,3,FALSE))</f>
        <v/>
      </c>
      <c r="K4551" s="342" t="str">
        <f t="shared" si="1174"/>
        <v/>
      </c>
      <c r="L4551" s="380" t="str">
        <f>IF(C4551="","",G4523*C4551)</f>
        <v/>
      </c>
      <c r="M4551" s="381" t="str">
        <f>IF(A4551="","",VLOOKUP(A4551,VII.A!$A$10:$B$199,2,FALSE))</f>
        <v/>
      </c>
      <c r="N4551" s="342" t="str">
        <f t="shared" si="1175"/>
        <v/>
      </c>
      <c r="R4551" s="341"/>
      <c r="S4551" s="341"/>
    </row>
    <row r="4552" spans="1:19" ht="12.75" customHeight="1">
      <c r="A4552" s="393"/>
      <c r="C4552" s="20"/>
      <c r="E4552" s="387"/>
      <c r="F4552" s="388">
        <f t="shared" si="1172"/>
        <v>0</v>
      </c>
      <c r="H4552" s="341" t="str">
        <f>IF(A4552="","",VLOOKUP(A4552,VII.A!$A$10:$D$199,4,FALSE))</f>
        <v/>
      </c>
      <c r="I4552" s="341" t="str">
        <f t="shared" si="1173"/>
        <v/>
      </c>
      <c r="J4552" s="341" t="str">
        <f>IF(A4552="","",VLOOKUP(A4552,VII.A!$A$10:$D$199,3,FALSE))</f>
        <v/>
      </c>
      <c r="K4552" s="342" t="str">
        <f t="shared" si="1174"/>
        <v/>
      </c>
      <c r="L4552" s="380" t="str">
        <f>IF(C4552="","",G4523*C4552)</f>
        <v/>
      </c>
      <c r="M4552" s="381" t="str">
        <f>IF(A4552="","",VLOOKUP(A4552,VII.A!$A$10:$B$199,2,FALSE))</f>
        <v/>
      </c>
      <c r="N4552" s="342" t="str">
        <f t="shared" si="1175"/>
        <v/>
      </c>
      <c r="R4552" s="341"/>
      <c r="S4552" s="341"/>
    </row>
    <row r="4553" spans="1:19" ht="12.75" customHeight="1">
      <c r="A4553" s="393"/>
      <c r="C4553" s="20"/>
      <c r="E4553" s="387"/>
      <c r="F4553" s="388">
        <f t="shared" si="1172"/>
        <v>0</v>
      </c>
      <c r="H4553" s="341" t="str">
        <f>IF(A4553="","",VLOOKUP(A4553,VII.A!$A$10:$D$199,4,FALSE))</f>
        <v/>
      </c>
      <c r="I4553" s="341" t="str">
        <f t="shared" si="1173"/>
        <v/>
      </c>
      <c r="J4553" s="341" t="str">
        <f>IF(A4553="","",VLOOKUP(A4553,VII.A!$A$10:$D$199,3,FALSE))</f>
        <v/>
      </c>
      <c r="K4553" s="342" t="str">
        <f t="shared" si="1174"/>
        <v/>
      </c>
      <c r="L4553" s="380" t="str">
        <f>IF(C4553="","",G4523*C4553)</f>
        <v/>
      </c>
      <c r="M4553" s="381" t="str">
        <f>IF(A4553="","",VLOOKUP(A4553,VII.A!$A$10:$B$199,2,FALSE))</f>
        <v/>
      </c>
      <c r="N4553" s="342" t="str">
        <f t="shared" si="1175"/>
        <v/>
      </c>
      <c r="R4553" s="341"/>
      <c r="S4553" s="341"/>
    </row>
    <row r="4554" spans="1:19" ht="12.75" customHeight="1">
      <c r="A4554" s="393"/>
      <c r="C4554" s="20"/>
      <c r="E4554" s="387"/>
      <c r="F4554" s="388">
        <f t="shared" si="1172"/>
        <v>0</v>
      </c>
      <c r="H4554" s="341" t="str">
        <f>IF(A4554="","",VLOOKUP(A4554,VII.A!$A$10:$D$199,4,FALSE))</f>
        <v/>
      </c>
      <c r="I4554" s="341" t="str">
        <f t="shared" si="1173"/>
        <v/>
      </c>
      <c r="J4554" s="341" t="str">
        <f>IF(A4554="","",VLOOKUP(A4554,VII.A!$A$10:$D$199,3,FALSE))</f>
        <v/>
      </c>
      <c r="K4554" s="342" t="str">
        <f t="shared" si="1174"/>
        <v/>
      </c>
      <c r="L4554" s="380" t="str">
        <f>IF(C4554="","",G4523*C4554)</f>
        <v/>
      </c>
      <c r="M4554" s="381" t="str">
        <f>IF(A4554="","",VLOOKUP(A4554,VII.A!$A$10:$B$199,2,FALSE))</f>
        <v/>
      </c>
      <c r="N4554" s="342" t="str">
        <f t="shared" si="1175"/>
        <v/>
      </c>
      <c r="R4554" s="341"/>
      <c r="S4554" s="341"/>
    </row>
    <row r="4555" spans="1:19" ht="12.75" customHeight="1">
      <c r="A4555" s="393"/>
      <c r="B4555" s="395" t="s">
        <v>226</v>
      </c>
      <c r="C4555" s="396"/>
      <c r="D4555" s="397"/>
      <c r="E4555" s="398"/>
      <c r="F4555" s="399">
        <f>SUM(F4545:F4554)</f>
        <v>0</v>
      </c>
      <c r="J4555" s="341"/>
      <c r="L4555" s="380"/>
      <c r="M4555" s="381"/>
      <c r="N4555" s="342"/>
      <c r="R4555" s="341"/>
      <c r="S4555" s="341"/>
    </row>
    <row r="4556" spans="1:19" ht="12.75" customHeight="1">
      <c r="A4556" s="393"/>
      <c r="B4556" s="400" t="s">
        <v>53</v>
      </c>
      <c r="C4556" s="2">
        <f>$D$8</f>
        <v>0</v>
      </c>
      <c r="D4556" s="401"/>
      <c r="E4556" s="402"/>
      <c r="F4556" s="403">
        <f>ROUND(C4556*F4555,2)</f>
        <v>0</v>
      </c>
      <c r="J4556" s="341"/>
      <c r="L4556" s="380"/>
      <c r="M4556" s="381"/>
      <c r="N4556" s="342"/>
      <c r="R4556" s="341"/>
      <c r="S4556" s="341"/>
    </row>
    <row r="4557" spans="1:19" ht="12.75" customHeight="1">
      <c r="A4557" s="404"/>
      <c r="B4557" s="405" t="s">
        <v>228</v>
      </c>
      <c r="C4557" s="406"/>
      <c r="D4557" s="406"/>
      <c r="E4557" s="407"/>
      <c r="F4557" s="408">
        <f>F4555+F4556</f>
        <v>0</v>
      </c>
      <c r="J4557" s="341"/>
      <c r="L4557" s="380"/>
      <c r="M4557" s="381"/>
      <c r="N4557" s="342"/>
      <c r="R4557" s="341"/>
      <c r="S4557" s="341"/>
    </row>
    <row r="4558" spans="1:19" ht="12.75" customHeight="1">
      <c r="A4558" s="409" t="s">
        <v>47</v>
      </c>
      <c r="B4558" s="410" t="s">
        <v>236</v>
      </c>
      <c r="C4558" s="411" t="s">
        <v>231</v>
      </c>
      <c r="D4558" s="412" t="s">
        <v>232</v>
      </c>
      <c r="E4558" s="413" t="s">
        <v>233</v>
      </c>
      <c r="F4558" s="378" t="s">
        <v>234</v>
      </c>
      <c r="J4558" s="341"/>
      <c r="L4558" s="380"/>
      <c r="M4558" s="381"/>
      <c r="N4558" s="342"/>
      <c r="R4558" s="341"/>
      <c r="S4558" s="341"/>
    </row>
    <row r="4559" spans="1:19" ht="12.75" customHeight="1">
      <c r="A4559" s="393" t="str">
        <f>VII.A!$A$193</f>
        <v>3.13</v>
      </c>
      <c r="B4559" s="394" t="str">
        <f>VII.A!B193</f>
        <v>PINTOR COM ENCARGOS COMPLEMENTARES</v>
      </c>
      <c r="C4559" s="20">
        <f>0.187+0.2+((0.039*0.07)/0.16)</f>
        <v>0.40406249999999999</v>
      </c>
      <c r="D4559" s="384" t="str">
        <f>VII.A!C193</f>
        <v>H</v>
      </c>
      <c r="E4559" s="387">
        <f>VII.A!D193</f>
        <v>0</v>
      </c>
      <c r="F4559" s="388">
        <f t="shared" ref="F4559:F4565" si="1176">ROUND(C4559*E4559,2)</f>
        <v>0</v>
      </c>
      <c r="H4559" s="341">
        <f>IF(A4559="","",VLOOKUP(A4559,VII.A!$A$10:$D$199,4,FALSE))</f>
        <v>0</v>
      </c>
      <c r="I4559" s="341" t="str">
        <f t="shared" ref="I4559:I4565" si="1177">IF(A4559="","",IF(E4559=H4559,"SIM","NÃO"))</f>
        <v>SIM</v>
      </c>
      <c r="J4559" s="341" t="str">
        <f>IF(A4559="","",VLOOKUP(A4559,VII.A!$A$10:$D$199,3,FALSE))</f>
        <v>H</v>
      </c>
      <c r="K4559" s="342" t="str">
        <f t="shared" ref="K4559:K4565" si="1178">IF(A4559="","",IF(J4559=D4559,"SIM","NÃO"))</f>
        <v>SIM</v>
      </c>
      <c r="L4559" s="380">
        <f>IF(C4559="","",G4523*C4559)</f>
        <v>24688.21875</v>
      </c>
      <c r="M4559" s="381" t="str">
        <f>IF(A4559="","",VLOOKUP(A4559,VII.A!$A$10:$B$199,2,FALSE))</f>
        <v>PINTOR COM ENCARGOS COMPLEMENTARES</v>
      </c>
      <c r="N4559" s="342" t="str">
        <f t="shared" ref="N4559:N4565" si="1179">IF(B4559="","",IF(M4559=B4559,"si","no"))</f>
        <v>si</v>
      </c>
      <c r="R4559" s="341"/>
      <c r="S4559" s="341"/>
    </row>
    <row r="4560" spans="1:19" ht="12.75" customHeight="1">
      <c r="A4560" s="393" t="str">
        <f>VII.A!$A$196</f>
        <v>3.16</v>
      </c>
      <c r="B4560" s="394" t="str">
        <f>VII.A!B196</f>
        <v>SERVENTE COM ENCARGOS COMPLEMENTARES</v>
      </c>
      <c r="C4560" s="20">
        <f>0.069+((0.014*0.07)/0.16)</f>
        <v>7.5125000000000011E-2</v>
      </c>
      <c r="D4560" s="384" t="str">
        <f>VII.A!C196</f>
        <v>H</v>
      </c>
      <c r="E4560" s="387">
        <f>VII.A!D196</f>
        <v>0</v>
      </c>
      <c r="F4560" s="388">
        <f t="shared" si="1176"/>
        <v>0</v>
      </c>
      <c r="H4560" s="341">
        <f>IF(A4560="","",VLOOKUP(A4560,VII.A!$A$10:$D$199,4,FALSE))</f>
        <v>0</v>
      </c>
      <c r="I4560" s="341" t="str">
        <f t="shared" si="1177"/>
        <v>SIM</v>
      </c>
      <c r="J4560" s="341" t="str">
        <f>IF(A4560="","",VLOOKUP(A4560,VII.A!$A$10:$D$199,3,FALSE))</f>
        <v>H</v>
      </c>
      <c r="K4560" s="342" t="str">
        <f t="shared" si="1178"/>
        <v>SIM</v>
      </c>
      <c r="L4560" s="380">
        <f>IF(C4560="","",G4523*C4560)</f>
        <v>4590.1375000000007</v>
      </c>
      <c r="M4560" s="381" t="str">
        <f>IF(A4560="","",VLOOKUP(A4560,VII.A!$A$10:$B$199,2,FALSE))</f>
        <v>SERVENTE COM ENCARGOS COMPLEMENTARES</v>
      </c>
      <c r="N4560" s="342" t="str">
        <f t="shared" si="1179"/>
        <v>si</v>
      </c>
      <c r="R4560" s="341"/>
      <c r="S4560" s="341"/>
    </row>
    <row r="4561" spans="1:25" ht="12.75" customHeight="1">
      <c r="A4561" s="393"/>
      <c r="C4561" s="20">
        <f>0.067+0.163+0.2</f>
        <v>0.43000000000000005</v>
      </c>
      <c r="E4561" s="387"/>
      <c r="F4561" s="388">
        <f t="shared" si="1176"/>
        <v>0</v>
      </c>
      <c r="H4561" s="341" t="str">
        <f>IF(A4561="","",VLOOKUP(A4561,VII.A!$A$10:$D$199,4,FALSE))</f>
        <v/>
      </c>
      <c r="I4561" s="341" t="str">
        <f t="shared" si="1177"/>
        <v/>
      </c>
      <c r="J4561" s="341" t="str">
        <f>IF(A4561="","",VLOOKUP(A4561,VII.A!$A$10:$D$199,3,FALSE))</f>
        <v/>
      </c>
      <c r="K4561" s="342" t="str">
        <f t="shared" si="1178"/>
        <v/>
      </c>
      <c r="L4561" s="380">
        <f>IF(C4561="","",G4523*C4561)</f>
        <v>26273.000000000004</v>
      </c>
      <c r="M4561" s="381" t="str">
        <f>IF(A4561="","",VLOOKUP(A4561,VII.A!$A$10:$B$199,2,FALSE))</f>
        <v/>
      </c>
      <c r="N4561" s="342" t="str">
        <f t="shared" si="1179"/>
        <v/>
      </c>
      <c r="R4561" s="341"/>
      <c r="S4561" s="341"/>
    </row>
    <row r="4562" spans="1:25" ht="12.75" customHeight="1">
      <c r="A4562" s="393"/>
      <c r="C4562" s="20">
        <f>0.0222+0.0544</f>
        <v>7.6600000000000001E-2</v>
      </c>
      <c r="E4562" s="387"/>
      <c r="F4562" s="388">
        <f t="shared" si="1176"/>
        <v>0</v>
      </c>
      <c r="H4562" s="341" t="str">
        <f>IF(A4562="","",VLOOKUP(A4562,VII.A!$A$10:$D$199,4,FALSE))</f>
        <v/>
      </c>
      <c r="I4562" s="341" t="str">
        <f t="shared" si="1177"/>
        <v/>
      </c>
      <c r="J4562" s="341" t="str">
        <f>IF(A4562="","",VLOOKUP(A4562,VII.A!$A$10:$D$199,3,FALSE))</f>
        <v/>
      </c>
      <c r="K4562" s="342" t="str">
        <f t="shared" si="1178"/>
        <v/>
      </c>
      <c r="L4562" s="380">
        <f>IF(C4562="","",G4523*C4562)</f>
        <v>4680.26</v>
      </c>
      <c r="M4562" s="381" t="str">
        <f>IF(A4562="","",VLOOKUP(A4562,VII.A!$A$10:$B$199,2,FALSE))</f>
        <v/>
      </c>
      <c r="N4562" s="342" t="str">
        <f t="shared" si="1179"/>
        <v/>
      </c>
      <c r="R4562" s="341"/>
      <c r="S4562" s="341"/>
    </row>
    <row r="4563" spans="1:25" ht="12.75" customHeight="1">
      <c r="A4563" s="393"/>
      <c r="C4563" s="20"/>
      <c r="E4563" s="387"/>
      <c r="F4563" s="388">
        <f t="shared" si="1176"/>
        <v>0</v>
      </c>
      <c r="H4563" s="341" t="str">
        <f>IF(A4563="","",VLOOKUP(A4563,VII.A!$A$10:$D$199,4,FALSE))</f>
        <v/>
      </c>
      <c r="I4563" s="341" t="str">
        <f t="shared" si="1177"/>
        <v/>
      </c>
      <c r="J4563" s="341" t="str">
        <f>IF(A4563="","",VLOOKUP(A4563,VII.A!$A$10:$D$199,3,FALSE))</f>
        <v/>
      </c>
      <c r="K4563" s="342" t="str">
        <f t="shared" si="1178"/>
        <v/>
      </c>
      <c r="L4563" s="380" t="str">
        <f>IF(C4563="","",G4523*C4563)</f>
        <v/>
      </c>
      <c r="M4563" s="381" t="str">
        <f>IF(A4563="","",VLOOKUP(A4563,VII.A!$A$10:$B$199,2,FALSE))</f>
        <v/>
      </c>
      <c r="N4563" s="342" t="str">
        <f t="shared" si="1179"/>
        <v/>
      </c>
      <c r="R4563" s="341"/>
      <c r="S4563" s="341"/>
    </row>
    <row r="4564" spans="1:25" ht="12.75" customHeight="1">
      <c r="A4564" s="393"/>
      <c r="C4564" s="20"/>
      <c r="E4564" s="387"/>
      <c r="F4564" s="388">
        <f t="shared" si="1176"/>
        <v>0</v>
      </c>
      <c r="H4564" s="341" t="str">
        <f>IF(A4564="","",VLOOKUP(A4564,VII.A!$A$10:$D$199,4,FALSE))</f>
        <v/>
      </c>
      <c r="I4564" s="341" t="str">
        <f t="shared" si="1177"/>
        <v/>
      </c>
      <c r="J4564" s="341" t="str">
        <f>IF(A4564="","",VLOOKUP(A4564,VII.A!$A$10:$D$199,3,FALSE))</f>
        <v/>
      </c>
      <c r="K4564" s="342" t="str">
        <f t="shared" si="1178"/>
        <v/>
      </c>
      <c r="L4564" s="380" t="str">
        <f>IF(C4564="","",G4523*C4564)</f>
        <v/>
      </c>
      <c r="M4564" s="381" t="str">
        <f>IF(A4564="","",VLOOKUP(A4564,VII.A!$A$10:$B$199,2,FALSE))</f>
        <v/>
      </c>
      <c r="N4564" s="342" t="str">
        <f t="shared" si="1179"/>
        <v/>
      </c>
      <c r="R4564" s="341"/>
      <c r="S4564" s="341"/>
    </row>
    <row r="4565" spans="1:25" ht="12.75" customHeight="1">
      <c r="A4565" s="393"/>
      <c r="C4565" s="20"/>
      <c r="E4565" s="387"/>
      <c r="F4565" s="388">
        <f t="shared" si="1176"/>
        <v>0</v>
      </c>
      <c r="H4565" s="341" t="str">
        <f>IF(A4565="","",VLOOKUP(A4565,VII.A!$A$10:$D$199,4,FALSE))</f>
        <v/>
      </c>
      <c r="I4565" s="341" t="str">
        <f t="shared" si="1177"/>
        <v/>
      </c>
      <c r="J4565" s="341" t="str">
        <f>IF(A4565="","",VLOOKUP(A4565,VII.A!$A$10:$D$199,3,FALSE))</f>
        <v/>
      </c>
      <c r="K4565" s="342" t="str">
        <f t="shared" si="1178"/>
        <v/>
      </c>
      <c r="L4565" s="380" t="str">
        <f>IF(C4565="","",G4523*C4565)</f>
        <v/>
      </c>
      <c r="M4565" s="381" t="str">
        <f>IF(A4565="","",VLOOKUP(A4565,VII.A!$A$10:$B$199,2,FALSE))</f>
        <v/>
      </c>
      <c r="N4565" s="342" t="str">
        <f t="shared" si="1179"/>
        <v/>
      </c>
      <c r="R4565" s="341"/>
      <c r="S4565" s="341"/>
    </row>
    <row r="4566" spans="1:25" ht="12.75" customHeight="1">
      <c r="A4566" s="393"/>
      <c r="B4566" s="395" t="s">
        <v>226</v>
      </c>
      <c r="C4566" s="396"/>
      <c r="D4566" s="397"/>
      <c r="E4566" s="398"/>
      <c r="F4566" s="399">
        <f>SUM(F4559:F4565)</f>
        <v>0</v>
      </c>
      <c r="J4566" s="341"/>
      <c r="L4566" s="380"/>
      <c r="M4566" s="381"/>
      <c r="N4566" s="342"/>
      <c r="R4566" s="341"/>
      <c r="S4566" s="341"/>
    </row>
    <row r="4567" spans="1:25" ht="12.75" customHeight="1">
      <c r="A4567" s="393"/>
      <c r="B4567" s="400" t="s">
        <v>229</v>
      </c>
      <c r="C4567" s="2">
        <f>IX.A!$C$45</f>
        <v>0</v>
      </c>
      <c r="D4567" s="401"/>
      <c r="E4567" s="402"/>
      <c r="F4567" s="403">
        <f>ROUND(F4566*C4567,2)</f>
        <v>0</v>
      </c>
      <c r="J4567" s="341"/>
      <c r="L4567" s="380"/>
      <c r="M4567" s="381"/>
      <c r="N4567" s="342"/>
      <c r="R4567" s="341"/>
      <c r="S4567" s="341"/>
    </row>
    <row r="4568" spans="1:25" ht="12.75" customHeight="1">
      <c r="A4568" s="393"/>
      <c r="B4568" s="400" t="s">
        <v>53</v>
      </c>
      <c r="C4568" s="2">
        <f>$D$8</f>
        <v>0</v>
      </c>
      <c r="D4568" s="401"/>
      <c r="E4568" s="402"/>
      <c r="F4568" s="403">
        <f>ROUND(SUM(F4566:F4567)*C4568,2)</f>
        <v>0</v>
      </c>
      <c r="J4568" s="341"/>
      <c r="L4568" s="380"/>
      <c r="M4568" s="381"/>
      <c r="N4568" s="342"/>
      <c r="R4568" s="341"/>
      <c r="S4568" s="341"/>
    </row>
    <row r="4569" spans="1:25" ht="12.75" customHeight="1" thickBot="1">
      <c r="A4569" s="414"/>
      <c r="B4569" s="415" t="s">
        <v>230</v>
      </c>
      <c r="C4569" s="416"/>
      <c r="D4569" s="416"/>
      <c r="E4569" s="417"/>
      <c r="F4569" s="418">
        <f>SUM(F4566:F4568)</f>
        <v>0</v>
      </c>
      <c r="J4569" s="341"/>
      <c r="L4569" s="380"/>
      <c r="M4569" s="381"/>
      <c r="N4569" s="342"/>
      <c r="R4569" s="341"/>
      <c r="S4569" s="341"/>
    </row>
    <row r="4570" spans="1:25" ht="12.75" customHeight="1" thickBot="1">
      <c r="A4570" s="427"/>
      <c r="B4570" s="428"/>
      <c r="C4570" s="429"/>
      <c r="D4570" s="429"/>
      <c r="E4570" s="430"/>
      <c r="F4570" s="431"/>
      <c r="J4570" s="341"/>
      <c r="L4570" s="380"/>
      <c r="M4570" s="381"/>
      <c r="N4570" s="342"/>
      <c r="R4570" s="341"/>
      <c r="S4570" s="341"/>
    </row>
    <row r="4571" spans="1:25" ht="30" customHeight="1">
      <c r="A4571" s="370" t="str">
        <f>IV.A!A141</f>
        <v>6.4</v>
      </c>
      <c r="B4571" s="371" t="str">
        <f>IV.A!B141</f>
        <v>PINTURA LÁTEX ACRÍLICA NA COR BRANCA EM PILARETES E MURETAS</v>
      </c>
      <c r="C4571" s="871" t="s">
        <v>237</v>
      </c>
      <c r="D4571" s="872"/>
      <c r="E4571" s="372" t="str">
        <f>IV.A!$C$141</f>
        <v>M2</v>
      </c>
      <c r="F4571" s="11">
        <f>ROUND(F4591+F4605+F4617,2)</f>
        <v>0</v>
      </c>
      <c r="G4571" s="1">
        <f>VLOOKUP(A4571,IV.A!$A$16:$L$172,4,FALSE)</f>
        <v>10700</v>
      </c>
      <c r="H4571" s="361">
        <f>SUM(F4573:F4588)+F4590</f>
        <v>0</v>
      </c>
      <c r="I4571" s="361">
        <f>SUM(F4593:F4602)+F4604</f>
        <v>0</v>
      </c>
      <c r="J4571" s="361">
        <f>SUM(F4607:F4613)+F4615+F4616</f>
        <v>0</v>
      </c>
      <c r="K4571" s="361">
        <f>SUM(H4571:J4571)</f>
        <v>0</v>
      </c>
      <c r="L4571" s="362" t="str">
        <f>IF(K4571=F4571,"SIM","NÃO")</f>
        <v>SIM</v>
      </c>
      <c r="M4571" s="373">
        <f>ROUND(SUM(F4573:F4588),2)+ROUND(SUM(F4573:F4588)*C4590,2)+ROUND(SUM(F4593:F4602)*C4604,2)+ROUND(SUM(F4593:F4602),2)+ROUND(SUM(F4607:F4613)*C4615,2)+ROUND((SUM(F4607:F4613)+ROUND(SUM(F4607:F4613)*C4615,2))*C4616,2)+ROUND(SUM(F4607:F4613),2)</f>
        <v>0</v>
      </c>
      <c r="N4571" s="343" t="str">
        <f>IF(M4571=F4571,"SIM","NÃO")</f>
        <v>SIM</v>
      </c>
      <c r="O4571" s="364" t="str">
        <f>VLOOKUP(A4571,IV.A!$A$16:$E$172,3,FALSE)</f>
        <v>M2</v>
      </c>
      <c r="P4571" s="344" t="str">
        <f>IF(O4571=E4571,"SIM","NÃO")</f>
        <v>SIM</v>
      </c>
      <c r="Q4571" s="365">
        <f>ROUND(G4571*F4591,2)+ROUND(G4571*F4605,2)+ROUND(G4571*F4617,2)</f>
        <v>0</v>
      </c>
      <c r="R4571" s="364">
        <f>VLOOKUP(A4571,IV.A!$A$16:$L$172,12,FALSE)</f>
        <v>0</v>
      </c>
      <c r="S4571" s="366" t="str">
        <f>IF(Q4571=R4571,"si","no")</f>
        <v>si</v>
      </c>
      <c r="T4571" s="367">
        <f>SUM(L4573:L4588)+SUM(L4593:L4602)+SUM(L4607:L4613)</f>
        <v>14757.30625</v>
      </c>
      <c r="U4571" s="341">
        <f>(SUM(C4573:C4588)+SUM(C4593:C4602)+SUM(C4607:C4613))*G4571</f>
        <v>14757.30625</v>
      </c>
      <c r="V4571" s="368" t="str">
        <f>IF(T4571=U4571,"si","no")</f>
        <v>si</v>
      </c>
      <c r="W4571" s="369">
        <f>SUM(F4573:F4588)</f>
        <v>0</v>
      </c>
      <c r="X4571" s="369">
        <f>SUM(F4593:F4602)</f>
        <v>0</v>
      </c>
      <c r="Y4571" s="369">
        <f>SUM(F4607:F4613)</f>
        <v>0</v>
      </c>
    </row>
    <row r="4572" spans="1:25" ht="12.75" customHeight="1">
      <c r="A4572" s="374" t="s">
        <v>14</v>
      </c>
      <c r="B4572" s="375" t="s">
        <v>132</v>
      </c>
      <c r="C4572" s="376" t="s">
        <v>231</v>
      </c>
      <c r="D4572" s="376" t="s">
        <v>232</v>
      </c>
      <c r="E4572" s="377" t="s">
        <v>233</v>
      </c>
      <c r="F4572" s="378" t="s">
        <v>234</v>
      </c>
      <c r="G4572" s="379"/>
      <c r="J4572" s="341"/>
      <c r="L4572" s="380"/>
      <c r="M4572" s="381"/>
      <c r="N4572" s="342"/>
      <c r="O4572" s="382"/>
      <c r="P4572" s="383"/>
      <c r="Q4572" s="383"/>
      <c r="R4572" s="383"/>
      <c r="S4572" s="383"/>
      <c r="T4572" s="382"/>
      <c r="U4572" s="341"/>
      <c r="V4572" s="384"/>
      <c r="W4572" s="384"/>
      <c r="X4572" s="384"/>
      <c r="Y4572" s="384"/>
    </row>
    <row r="4573" spans="1:25" ht="12.75" customHeight="1">
      <c r="A4573" s="385" t="str">
        <f>VII.A!$A$68</f>
        <v>1.59</v>
      </c>
      <c r="B4573" s="386" t="str">
        <f>VLOOKUP(A4573,VII.A!$A$10:$G$199,2,FALSE)</f>
        <v>LIXA PARA SUPERFÍCIE/MASSA, GRANA 120</v>
      </c>
      <c r="C4573" s="20">
        <v>0.5</v>
      </c>
      <c r="D4573" s="342" t="str">
        <f>VLOOKUP(A4573,VII.A!$A$10:$G$199,3,FALSE)</f>
        <v>UN</v>
      </c>
      <c r="E4573" s="387">
        <f>VII.A!$D$68</f>
        <v>0</v>
      </c>
      <c r="F4573" s="388">
        <f>ROUND(C4573*E4573,2)</f>
        <v>0</v>
      </c>
      <c r="H4573" s="341">
        <f>IF(A4573="","",VLOOKUP(A4573,VII.A!$A$10:$D$199,4,FALSE))</f>
        <v>0</v>
      </c>
      <c r="I4573" s="341" t="str">
        <f t="shared" ref="I4573:I4588" si="1180">IF(A4573="","",IF(E4573=H4573,"SIM","NÃO"))</f>
        <v>SIM</v>
      </c>
      <c r="J4573" s="341" t="str">
        <f>IF(A4573="","",VLOOKUP(A4573,VII.A!$A$10:$D$199,3,FALSE))</f>
        <v>UN</v>
      </c>
      <c r="K4573" s="342" t="str">
        <f t="shared" ref="K4573:K4588" si="1181">IF(A4573="","",IF(J4573=D4573,"SIM","NÃO"))</f>
        <v>SIM</v>
      </c>
      <c r="L4573" s="380">
        <f>IF(C4573="","",G4571*C4573)</f>
        <v>5350</v>
      </c>
      <c r="M4573" s="381" t="str">
        <f>IF(A4573="","",VLOOKUP(A4573,VII.A!$A$10:$B$199,2,FALSE))</f>
        <v>LIXA PARA SUPERFÍCIE/MASSA, GRANA 120</v>
      </c>
      <c r="N4573" s="342" t="str">
        <f t="shared" ref="N4573:N4588" si="1182">IF(B4573="","",IF(M4573=B4573,"si","no"))</f>
        <v>si</v>
      </c>
      <c r="R4573" s="341"/>
      <c r="S4573" s="341"/>
    </row>
    <row r="4574" spans="1:25" ht="12.75" customHeight="1">
      <c r="A4574" s="385" t="str">
        <f>VII.A!$A$55</f>
        <v>1.46</v>
      </c>
      <c r="B4574" s="386" t="str">
        <f>VLOOKUP(A4574,VII.A!$A$10:$G$199,2,FALSE)</f>
        <v xml:space="preserve">FUNDO PREPARADOR </v>
      </c>
      <c r="C4574" s="20">
        <v>7.0000000000000007E-2</v>
      </c>
      <c r="D4574" s="342" t="str">
        <f>VLOOKUP(A4574,VII.A!$A$10:$G$199,3,FALSE)</f>
        <v>L</v>
      </c>
      <c r="E4574" s="387">
        <f>VII.A!D55</f>
        <v>0</v>
      </c>
      <c r="F4574" s="388">
        <f t="shared" ref="F4574:F4588" si="1183">ROUND(C4574*E4574,2)</f>
        <v>0</v>
      </c>
      <c r="H4574" s="341">
        <f>IF(A4574="","",VLOOKUP(A4574,VII.A!$A$10:$D$199,4,FALSE))</f>
        <v>0</v>
      </c>
      <c r="I4574" s="341" t="str">
        <f t="shared" si="1180"/>
        <v>SIM</v>
      </c>
      <c r="J4574" s="341" t="str">
        <f>IF(A4574="","",VLOOKUP(A4574,VII.A!$A$10:$D$199,3,FALSE))</f>
        <v>L</v>
      </c>
      <c r="K4574" s="342" t="str">
        <f t="shared" si="1181"/>
        <v>SIM</v>
      </c>
      <c r="L4574" s="380">
        <f>IF(C4574="","",G4571*C4574)</f>
        <v>749.00000000000011</v>
      </c>
      <c r="M4574" s="381" t="str">
        <f>IF(A4574="","",VLOOKUP(A4574,VII.A!$A$10:$B$199,2,FALSE))</f>
        <v xml:space="preserve">FUNDO PREPARADOR </v>
      </c>
      <c r="N4574" s="342" t="str">
        <f t="shared" si="1182"/>
        <v>si</v>
      </c>
      <c r="R4574" s="341"/>
      <c r="S4574" s="341"/>
    </row>
    <row r="4575" spans="1:25" ht="12.75" customHeight="1">
      <c r="A4575" s="385" t="str">
        <f>VII.A!$A$112</f>
        <v>1.102</v>
      </c>
      <c r="B4575" s="386" t="str">
        <f>VLOOKUP(A4575,VII.A!$A$10:$G$199,2,FALSE)</f>
        <v>TINTA LÁTEX ACRÍLICA - 1ª LINHA</v>
      </c>
      <c r="C4575" s="20">
        <v>0.33</v>
      </c>
      <c r="D4575" s="342" t="str">
        <f>VLOOKUP(A4575,VII.A!$A$10:$G$199,3,FALSE)</f>
        <v>L</v>
      </c>
      <c r="E4575" s="387">
        <f>VII.A!$D$112</f>
        <v>0</v>
      </c>
      <c r="F4575" s="388">
        <f t="shared" si="1183"/>
        <v>0</v>
      </c>
      <c r="H4575" s="341">
        <f>IF(A4575="","",VLOOKUP(A4575,VII.A!$A$10:$D$199,4,FALSE))</f>
        <v>0</v>
      </c>
      <c r="I4575" s="341" t="str">
        <f t="shared" si="1180"/>
        <v>SIM</v>
      </c>
      <c r="J4575" s="341" t="str">
        <f>IF(A4575="","",VLOOKUP(A4575,VII.A!$A$10:$D$199,3,FALSE))</f>
        <v>L</v>
      </c>
      <c r="K4575" s="342" t="str">
        <f t="shared" si="1181"/>
        <v>SIM</v>
      </c>
      <c r="L4575" s="380">
        <f>IF(C4575="","",G4571*C4575)</f>
        <v>3531</v>
      </c>
      <c r="M4575" s="381" t="str">
        <f>IF(A4575="","",VLOOKUP(A4575,VII.A!$A$10:$B$199,2,FALSE))</f>
        <v>TINTA LÁTEX ACRÍLICA - 1ª LINHA</v>
      </c>
      <c r="N4575" s="342" t="str">
        <f t="shared" si="1182"/>
        <v>si</v>
      </c>
      <c r="R4575" s="341"/>
      <c r="S4575" s="341"/>
    </row>
    <row r="4576" spans="1:25" ht="12.75" customHeight="1">
      <c r="A4576" s="385"/>
      <c r="B4576" s="386"/>
      <c r="C4576" s="20"/>
      <c r="D4576" s="342"/>
      <c r="E4576" s="387"/>
      <c r="F4576" s="388">
        <f t="shared" si="1183"/>
        <v>0</v>
      </c>
      <c r="H4576" s="341" t="str">
        <f>IF(A4576="","",VLOOKUP(A4576,VII.A!$A$10:$D$199,4,FALSE))</f>
        <v/>
      </c>
      <c r="I4576" s="341" t="str">
        <f t="shared" si="1180"/>
        <v/>
      </c>
      <c r="J4576" s="341" t="str">
        <f>IF(A4576="","",VLOOKUP(A4576,VII.A!$A$10:$D$199,3,FALSE))</f>
        <v/>
      </c>
      <c r="K4576" s="342" t="str">
        <f t="shared" si="1181"/>
        <v/>
      </c>
      <c r="L4576" s="380" t="str">
        <f>IF(C4576="","",G4571*C4576)</f>
        <v/>
      </c>
      <c r="M4576" s="381" t="str">
        <f>IF(A4576="","",VLOOKUP(A4576,VII.A!$A$10:$B$199,2,FALSE))</f>
        <v/>
      </c>
      <c r="N4576" s="342" t="str">
        <f t="shared" si="1182"/>
        <v/>
      </c>
      <c r="R4576" s="341"/>
      <c r="S4576" s="341"/>
    </row>
    <row r="4577" spans="1:21" ht="12.75" customHeight="1">
      <c r="A4577" s="385"/>
      <c r="B4577" s="386"/>
      <c r="C4577" s="20"/>
      <c r="D4577" s="342"/>
      <c r="E4577" s="387"/>
      <c r="F4577" s="388">
        <f t="shared" si="1183"/>
        <v>0</v>
      </c>
      <c r="H4577" s="341" t="str">
        <f>IF(A4577="","",VLOOKUP(A4577,VII.A!$A$10:$D$199,4,FALSE))</f>
        <v/>
      </c>
      <c r="I4577" s="341" t="str">
        <f t="shared" si="1180"/>
        <v/>
      </c>
      <c r="J4577" s="341" t="str">
        <f>IF(A4577="","",VLOOKUP(A4577,VII.A!$A$10:$D$199,3,FALSE))</f>
        <v/>
      </c>
      <c r="K4577" s="342" t="str">
        <f t="shared" si="1181"/>
        <v/>
      </c>
      <c r="L4577" s="380" t="str">
        <f>IF(C4577="","",G4571*C4577)</f>
        <v/>
      </c>
      <c r="M4577" s="381" t="str">
        <f>IF(A4577="","",VLOOKUP(A4577,VII.A!$A$10:$B$199,2,FALSE))</f>
        <v/>
      </c>
      <c r="N4577" s="342" t="str">
        <f t="shared" si="1182"/>
        <v/>
      </c>
      <c r="R4577" s="341"/>
      <c r="S4577" s="341"/>
    </row>
    <row r="4578" spans="1:21" ht="12.75" customHeight="1">
      <c r="A4578" s="385"/>
      <c r="B4578" s="386"/>
      <c r="C4578" s="20"/>
      <c r="D4578" s="342"/>
      <c r="E4578" s="387"/>
      <c r="F4578" s="388">
        <f t="shared" si="1183"/>
        <v>0</v>
      </c>
      <c r="H4578" s="341" t="str">
        <f>IF(A4578="","",VLOOKUP(A4578,VII.A!$A$10:$D$199,4,FALSE))</f>
        <v/>
      </c>
      <c r="I4578" s="341" t="str">
        <f t="shared" si="1180"/>
        <v/>
      </c>
      <c r="J4578" s="341" t="str">
        <f>IF(A4578="","",VLOOKUP(A4578,VII.A!$A$10:$D$199,3,FALSE))</f>
        <v/>
      </c>
      <c r="K4578" s="342" t="str">
        <f t="shared" si="1181"/>
        <v/>
      </c>
      <c r="L4578" s="380" t="str">
        <f>IF(C4578="","",G4571*C4578)</f>
        <v/>
      </c>
      <c r="M4578" s="381" t="str">
        <f>IF(A4578="","",VLOOKUP(A4578,VII.A!$A$10:$B$199,2,FALSE))</f>
        <v/>
      </c>
      <c r="N4578" s="342" t="str">
        <f t="shared" si="1182"/>
        <v/>
      </c>
      <c r="R4578" s="341"/>
      <c r="S4578" s="341"/>
      <c r="U4578" s="389"/>
    </row>
    <row r="4579" spans="1:21" ht="12.75" customHeight="1">
      <c r="A4579" s="385"/>
      <c r="B4579" s="386"/>
      <c r="C4579" s="20"/>
      <c r="D4579" s="342"/>
      <c r="E4579" s="387"/>
      <c r="F4579" s="388">
        <f t="shared" si="1183"/>
        <v>0</v>
      </c>
      <c r="H4579" s="341" t="str">
        <f>IF(A4579="","",VLOOKUP(A4579,VII.A!$A$10:$D$199,4,FALSE))</f>
        <v/>
      </c>
      <c r="I4579" s="341" t="str">
        <f t="shared" si="1180"/>
        <v/>
      </c>
      <c r="J4579" s="341" t="str">
        <f>IF(A4579="","",VLOOKUP(A4579,VII.A!$A$10:$D$199,3,FALSE))</f>
        <v/>
      </c>
      <c r="K4579" s="342" t="str">
        <f t="shared" si="1181"/>
        <v/>
      </c>
      <c r="L4579" s="380" t="str">
        <f>IF(C4579="","",G4571*C4579)</f>
        <v/>
      </c>
      <c r="M4579" s="381" t="str">
        <f>IF(A4579="","",VLOOKUP(A4579,VII.A!$A$10:$B$199,2,FALSE))</f>
        <v/>
      </c>
      <c r="N4579" s="342" t="str">
        <f t="shared" si="1182"/>
        <v/>
      </c>
      <c r="R4579" s="341"/>
      <c r="S4579" s="341"/>
    </row>
    <row r="4580" spans="1:21" ht="12.75" customHeight="1">
      <c r="A4580" s="385"/>
      <c r="B4580" s="386"/>
      <c r="C4580" s="20"/>
      <c r="D4580" s="342"/>
      <c r="E4580" s="387"/>
      <c r="F4580" s="388">
        <f t="shared" si="1183"/>
        <v>0</v>
      </c>
      <c r="G4580" s="390"/>
      <c r="H4580" s="341" t="str">
        <f>IF(A4580="","",VLOOKUP(A4580,VII.A!$A$10:$D$199,4,FALSE))</f>
        <v/>
      </c>
      <c r="I4580" s="341" t="str">
        <f t="shared" si="1180"/>
        <v/>
      </c>
      <c r="J4580" s="341" t="str">
        <f>IF(A4580="","",VLOOKUP(A4580,VII.A!$A$10:$D$199,3,FALSE))</f>
        <v/>
      </c>
      <c r="K4580" s="342" t="str">
        <f t="shared" si="1181"/>
        <v/>
      </c>
      <c r="L4580" s="380" t="str">
        <f>IF(C4580="","",G4571*C4580)</f>
        <v/>
      </c>
      <c r="M4580" s="381" t="str">
        <f>IF(A4580="","",VLOOKUP(A4580,VII.A!$A$10:$B$199,2,FALSE))</f>
        <v/>
      </c>
      <c r="N4580" s="342" t="str">
        <f t="shared" si="1182"/>
        <v/>
      </c>
      <c r="R4580" s="341"/>
      <c r="S4580" s="341"/>
    </row>
    <row r="4581" spans="1:21" ht="12.75" customHeight="1">
      <c r="A4581" s="385"/>
      <c r="B4581" s="386"/>
      <c r="C4581" s="20"/>
      <c r="D4581" s="342"/>
      <c r="E4581" s="387"/>
      <c r="F4581" s="388">
        <f t="shared" si="1183"/>
        <v>0</v>
      </c>
      <c r="G4581" s="390"/>
      <c r="H4581" s="341" t="str">
        <f>IF(A4581="","",VLOOKUP(A4581,VII.A!$A$10:$D$199,4,FALSE))</f>
        <v/>
      </c>
      <c r="I4581" s="341" t="str">
        <f t="shared" si="1180"/>
        <v/>
      </c>
      <c r="J4581" s="341" t="str">
        <f>IF(A4581="","",VLOOKUP(A4581,VII.A!$A$10:$D$199,3,FALSE))</f>
        <v/>
      </c>
      <c r="K4581" s="342" t="str">
        <f t="shared" si="1181"/>
        <v/>
      </c>
      <c r="L4581" s="380" t="str">
        <f>IF(C4581="","",G4571*C4581)</f>
        <v/>
      </c>
      <c r="M4581" s="381" t="str">
        <f>IF(A4581="","",VLOOKUP(A4581,VII.A!$A$10:$B$199,2,FALSE))</f>
        <v/>
      </c>
      <c r="N4581" s="342" t="str">
        <f t="shared" si="1182"/>
        <v/>
      </c>
      <c r="R4581" s="341"/>
      <c r="S4581" s="341"/>
    </row>
    <row r="4582" spans="1:21" ht="12.75" customHeight="1">
      <c r="A4582" s="385"/>
      <c r="B4582" s="386"/>
      <c r="C4582" s="20"/>
      <c r="D4582" s="342"/>
      <c r="E4582" s="387"/>
      <c r="F4582" s="388">
        <f t="shared" si="1183"/>
        <v>0</v>
      </c>
      <c r="G4582" s="391"/>
      <c r="H4582" s="341" t="str">
        <f>IF(A4582="","",VLOOKUP(A4582,VII.A!$A$10:$D$199,4,FALSE))</f>
        <v/>
      </c>
      <c r="I4582" s="341" t="str">
        <f t="shared" si="1180"/>
        <v/>
      </c>
      <c r="J4582" s="341" t="str">
        <f>IF(A4582="","",VLOOKUP(A4582,VII.A!$A$10:$D$199,3,FALSE))</f>
        <v/>
      </c>
      <c r="K4582" s="342" t="str">
        <f t="shared" si="1181"/>
        <v/>
      </c>
      <c r="L4582" s="380" t="str">
        <f>IF(C4582="","",G4571*C4582)</f>
        <v/>
      </c>
      <c r="M4582" s="381" t="str">
        <f>IF(A4582="","",VLOOKUP(A4582,VII.A!$A$10:$B$199,2,FALSE))</f>
        <v/>
      </c>
      <c r="N4582" s="342" t="str">
        <f t="shared" si="1182"/>
        <v/>
      </c>
      <c r="R4582" s="341"/>
      <c r="S4582" s="341"/>
    </row>
    <row r="4583" spans="1:21" ht="12.75" customHeight="1">
      <c r="A4583" s="385"/>
      <c r="B4583" s="386"/>
      <c r="C4583" s="20"/>
      <c r="D4583" s="342"/>
      <c r="E4583" s="387"/>
      <c r="F4583" s="388">
        <f t="shared" si="1183"/>
        <v>0</v>
      </c>
      <c r="H4583" s="341" t="str">
        <f>IF(A4583="","",VLOOKUP(A4583,VII.A!$A$10:$D$199,4,FALSE))</f>
        <v/>
      </c>
      <c r="I4583" s="341" t="str">
        <f t="shared" si="1180"/>
        <v/>
      </c>
      <c r="J4583" s="341" t="str">
        <f>IF(A4583="","",VLOOKUP(A4583,VII.A!$A$10:$D$199,3,FALSE))</f>
        <v/>
      </c>
      <c r="K4583" s="342" t="str">
        <f t="shared" si="1181"/>
        <v/>
      </c>
      <c r="L4583" s="380" t="str">
        <f>IF(C4583="","",G4571*C4583)</f>
        <v/>
      </c>
      <c r="M4583" s="381" t="str">
        <f>IF(A4583="","",VLOOKUP(A4583,VII.A!$A$10:$B$199,2,FALSE))</f>
        <v/>
      </c>
      <c r="N4583" s="342" t="str">
        <f t="shared" si="1182"/>
        <v/>
      </c>
      <c r="R4583" s="341"/>
      <c r="S4583" s="341"/>
    </row>
    <row r="4584" spans="1:21" ht="12.75" customHeight="1">
      <c r="A4584" s="385"/>
      <c r="B4584" s="386"/>
      <c r="C4584" s="20"/>
      <c r="D4584" s="392"/>
      <c r="E4584" s="387"/>
      <c r="F4584" s="388">
        <f t="shared" si="1183"/>
        <v>0</v>
      </c>
      <c r="H4584" s="341" t="str">
        <f>IF(A4584="","",VLOOKUP(A4584,VII.A!$A$10:$D$199,4,FALSE))</f>
        <v/>
      </c>
      <c r="I4584" s="341" t="str">
        <f t="shared" si="1180"/>
        <v/>
      </c>
      <c r="J4584" s="341" t="str">
        <f>IF(A4584="","",VLOOKUP(A4584,VII.A!$A$10:$D$199,3,FALSE))</f>
        <v/>
      </c>
      <c r="K4584" s="342" t="str">
        <f t="shared" si="1181"/>
        <v/>
      </c>
      <c r="L4584" s="380" t="str">
        <f>IF(C4584="","",G4571*C4584)</f>
        <v/>
      </c>
      <c r="M4584" s="381" t="str">
        <f>IF(A4584="","",VLOOKUP(A4584,VII.A!$A$10:$B$199,2,FALSE))</f>
        <v/>
      </c>
      <c r="N4584" s="342" t="str">
        <f t="shared" si="1182"/>
        <v/>
      </c>
      <c r="R4584" s="341"/>
      <c r="S4584" s="341"/>
    </row>
    <row r="4585" spans="1:21" ht="12.75" customHeight="1">
      <c r="A4585" s="385"/>
      <c r="B4585" s="386"/>
      <c r="C4585" s="20"/>
      <c r="D4585" s="392"/>
      <c r="E4585" s="387"/>
      <c r="F4585" s="388">
        <f t="shared" si="1183"/>
        <v>0</v>
      </c>
      <c r="H4585" s="341" t="str">
        <f>IF(A4585="","",VLOOKUP(A4585,VII.A!$A$10:$D$199,4,FALSE))</f>
        <v/>
      </c>
      <c r="I4585" s="341" t="str">
        <f t="shared" si="1180"/>
        <v/>
      </c>
      <c r="J4585" s="341" t="str">
        <f>IF(A4585="","",VLOOKUP(A4585,VII.A!$A$10:$D$199,3,FALSE))</f>
        <v/>
      </c>
      <c r="K4585" s="342" t="str">
        <f t="shared" si="1181"/>
        <v/>
      </c>
      <c r="L4585" s="380" t="str">
        <f>IF(C4585="","",G4571*C4585)</f>
        <v/>
      </c>
      <c r="M4585" s="381" t="str">
        <f>IF(A4585="","",VLOOKUP(A4585,VII.A!$A$10:$B$199,2,FALSE))</f>
        <v/>
      </c>
      <c r="N4585" s="342" t="str">
        <f t="shared" si="1182"/>
        <v/>
      </c>
      <c r="O4585" s="342"/>
      <c r="R4585" s="341"/>
      <c r="S4585" s="341"/>
    </row>
    <row r="4586" spans="1:21" ht="12.75" customHeight="1">
      <c r="A4586" s="385"/>
      <c r="B4586" s="386"/>
      <c r="C4586" s="20"/>
      <c r="D4586" s="392"/>
      <c r="E4586" s="387"/>
      <c r="F4586" s="388">
        <f t="shared" si="1183"/>
        <v>0</v>
      </c>
      <c r="H4586" s="341" t="str">
        <f>IF(A4586="","",VLOOKUP(A4586,VII.A!$A$10:$D$199,4,FALSE))</f>
        <v/>
      </c>
      <c r="I4586" s="341" t="str">
        <f t="shared" si="1180"/>
        <v/>
      </c>
      <c r="J4586" s="341" t="str">
        <f>IF(A4586="","",VLOOKUP(A4586,VII.A!$A$10:$D$199,3,FALSE))</f>
        <v/>
      </c>
      <c r="K4586" s="342" t="str">
        <f t="shared" si="1181"/>
        <v/>
      </c>
      <c r="L4586" s="380" t="str">
        <f>IF(C4586="","",G4571*C4586)</f>
        <v/>
      </c>
      <c r="M4586" s="381" t="str">
        <f>IF(A4586="","",VLOOKUP(A4586,VII.A!$A$10:$B$199,2,FALSE))</f>
        <v/>
      </c>
      <c r="N4586" s="342" t="str">
        <f t="shared" si="1182"/>
        <v/>
      </c>
      <c r="R4586" s="341"/>
      <c r="S4586" s="341"/>
    </row>
    <row r="4587" spans="1:21" ht="12.75" customHeight="1">
      <c r="A4587" s="393"/>
      <c r="C4587" s="20"/>
      <c r="E4587" s="387"/>
      <c r="F4587" s="388">
        <f t="shared" si="1183"/>
        <v>0</v>
      </c>
      <c r="H4587" s="341" t="str">
        <f>IF(A4587="","",VLOOKUP(A4587,VII.A!$A$10:$D$199,4,FALSE))</f>
        <v/>
      </c>
      <c r="I4587" s="341" t="str">
        <f t="shared" si="1180"/>
        <v/>
      </c>
      <c r="J4587" s="341" t="str">
        <f>IF(A4587="","",VLOOKUP(A4587,VII.A!$A$10:$D$199,3,FALSE))</f>
        <v/>
      </c>
      <c r="K4587" s="342" t="str">
        <f t="shared" si="1181"/>
        <v/>
      </c>
      <c r="L4587" s="380" t="str">
        <f>IF(C4587="","",G4571*C4587)</f>
        <v/>
      </c>
      <c r="M4587" s="381" t="str">
        <f>IF(A4587="","",VLOOKUP(A4587,VII.A!$A$10:$B$199,2,FALSE))</f>
        <v/>
      </c>
      <c r="N4587" s="342" t="str">
        <f t="shared" si="1182"/>
        <v/>
      </c>
      <c r="R4587" s="341"/>
      <c r="S4587" s="341"/>
    </row>
    <row r="4588" spans="1:21" ht="12.75" customHeight="1">
      <c r="A4588" s="393"/>
      <c r="C4588" s="20"/>
      <c r="E4588" s="387"/>
      <c r="F4588" s="388">
        <f t="shared" si="1183"/>
        <v>0</v>
      </c>
      <c r="H4588" s="341" t="str">
        <f>IF(A4588="","",VLOOKUP(A4588,VII.A!$A$10:$D$199,4,FALSE))</f>
        <v/>
      </c>
      <c r="I4588" s="341" t="str">
        <f t="shared" si="1180"/>
        <v/>
      </c>
      <c r="J4588" s="341" t="str">
        <f>IF(A4588="","",VLOOKUP(A4588,VII.A!$A$10:$D$199,3,FALSE))</f>
        <v/>
      </c>
      <c r="K4588" s="342" t="str">
        <f t="shared" si="1181"/>
        <v/>
      </c>
      <c r="L4588" s="380" t="str">
        <f>IF(C4588="","",G4571*C4588)</f>
        <v/>
      </c>
      <c r="M4588" s="381" t="str">
        <f>IF(A4588="","",VLOOKUP(A4588,VII.A!$A$10:$B$199,2,FALSE))</f>
        <v/>
      </c>
      <c r="N4588" s="342" t="str">
        <f t="shared" si="1182"/>
        <v/>
      </c>
      <c r="R4588" s="341"/>
      <c r="S4588" s="341"/>
    </row>
    <row r="4589" spans="1:21" ht="12.75" customHeight="1">
      <c r="A4589" s="393"/>
      <c r="B4589" s="395" t="s">
        <v>226</v>
      </c>
      <c r="C4589" s="396"/>
      <c r="D4589" s="397"/>
      <c r="E4589" s="398"/>
      <c r="F4589" s="399">
        <f>SUM(F4573:F4588)</f>
        <v>0</v>
      </c>
      <c r="H4589" s="426" t="s">
        <v>507</v>
      </c>
      <c r="J4589" s="341"/>
      <c r="L4589" s="380"/>
      <c r="M4589" s="381"/>
      <c r="N4589" s="342"/>
      <c r="R4589" s="341"/>
      <c r="S4589" s="341"/>
    </row>
    <row r="4590" spans="1:21" ht="12.75" customHeight="1">
      <c r="A4590" s="393"/>
      <c r="B4590" s="400" t="s">
        <v>53</v>
      </c>
      <c r="C4590" s="2">
        <f>$D$8</f>
        <v>0</v>
      </c>
      <c r="D4590" s="401"/>
      <c r="E4590" s="402"/>
      <c r="F4590" s="403">
        <f>ROUND(F4589*C4590,2)</f>
        <v>0</v>
      </c>
      <c r="J4590" s="341"/>
      <c r="L4590" s="380"/>
      <c r="M4590" s="381"/>
      <c r="N4590" s="342"/>
      <c r="R4590" s="341"/>
      <c r="S4590" s="341"/>
    </row>
    <row r="4591" spans="1:21" ht="12.75" customHeight="1">
      <c r="A4591" s="404"/>
      <c r="B4591" s="405" t="s">
        <v>227</v>
      </c>
      <c r="C4591" s="406"/>
      <c r="D4591" s="406"/>
      <c r="E4591" s="407"/>
      <c r="F4591" s="408">
        <f>F4589+F4590</f>
        <v>0</v>
      </c>
      <c r="J4591" s="341"/>
      <c r="L4591" s="380"/>
      <c r="M4591" s="381"/>
      <c r="N4591" s="342"/>
      <c r="R4591" s="341"/>
      <c r="S4591" s="341"/>
    </row>
    <row r="4592" spans="1:21" ht="12.75" customHeight="1">
      <c r="A4592" s="374" t="s">
        <v>2</v>
      </c>
      <c r="B4592" s="375" t="s">
        <v>235</v>
      </c>
      <c r="C4592" s="376" t="s">
        <v>231</v>
      </c>
      <c r="D4592" s="376" t="s">
        <v>232</v>
      </c>
      <c r="E4592" s="377" t="s">
        <v>233</v>
      </c>
      <c r="F4592" s="378" t="s">
        <v>234</v>
      </c>
      <c r="J4592" s="341"/>
      <c r="L4592" s="380"/>
      <c r="M4592" s="381"/>
      <c r="N4592" s="342"/>
      <c r="R4592" s="341"/>
      <c r="S4592" s="341"/>
    </row>
    <row r="4593" spans="1:19">
      <c r="A4593" s="393"/>
      <c r="B4593" s="423"/>
      <c r="C4593" s="20"/>
      <c r="E4593" s="387"/>
      <c r="F4593" s="388">
        <f t="shared" ref="F4593:F4602" si="1184">ROUND(C4593*E4593,2)</f>
        <v>0</v>
      </c>
      <c r="H4593" s="341" t="str">
        <f>IF(A4593="","",VLOOKUP(A4593,VII.A!$A$10:$D$199,4,FALSE))</f>
        <v/>
      </c>
      <c r="I4593" s="341" t="str">
        <f t="shared" ref="I4593:I4602" si="1185">IF(A4593="","",IF(E4593=H4593,"SIM","NÃO"))</f>
        <v/>
      </c>
      <c r="J4593" s="341" t="str">
        <f>IF(A4593="","",VLOOKUP(A4593,VII.A!$A$10:$D$199,3,FALSE))</f>
        <v/>
      </c>
      <c r="K4593" s="342" t="str">
        <f t="shared" ref="K4593:K4602" si="1186">IF(A4593="","",IF(J4593=D4593,"SIM","NÃO"))</f>
        <v/>
      </c>
      <c r="L4593" s="380" t="str">
        <f>IF(C4593="","",G4571*C4593)</f>
        <v/>
      </c>
      <c r="M4593" s="381" t="str">
        <f>IF(A4593="","",VLOOKUP(A4593,VII.A!$A$10:$B$199,2,FALSE))</f>
        <v/>
      </c>
      <c r="N4593" s="342" t="str">
        <f t="shared" ref="N4593:N4602" si="1187">IF(B4593="","",IF(M4593=B4593,"si","no"))</f>
        <v/>
      </c>
      <c r="R4593" s="341"/>
      <c r="S4593" s="341"/>
    </row>
    <row r="4594" spans="1:19" ht="12.75" customHeight="1">
      <c r="A4594" s="393"/>
      <c r="C4594" s="20"/>
      <c r="E4594" s="387"/>
      <c r="F4594" s="388">
        <f t="shared" si="1184"/>
        <v>0</v>
      </c>
      <c r="H4594" s="341" t="str">
        <f>IF(A4594="","",VLOOKUP(A4594,VII.A!$A$10:$D$199,4,FALSE))</f>
        <v/>
      </c>
      <c r="I4594" s="341" t="str">
        <f t="shared" si="1185"/>
        <v/>
      </c>
      <c r="J4594" s="341" t="str">
        <f>IF(A4594="","",VLOOKUP(A4594,VII.A!$A$10:$D$199,3,FALSE))</f>
        <v/>
      </c>
      <c r="K4594" s="342" t="str">
        <f t="shared" si="1186"/>
        <v/>
      </c>
      <c r="L4594" s="380" t="str">
        <f>IF(C4594="","",G4571*C4594)</f>
        <v/>
      </c>
      <c r="M4594" s="381" t="str">
        <f>IF(A4594="","",VLOOKUP(A4594,VII.A!$A$10:$B$199,2,FALSE))</f>
        <v/>
      </c>
      <c r="N4594" s="342" t="str">
        <f t="shared" si="1187"/>
        <v/>
      </c>
      <c r="R4594" s="341"/>
      <c r="S4594" s="341"/>
    </row>
    <row r="4595" spans="1:19" ht="12.75" customHeight="1">
      <c r="A4595" s="393"/>
      <c r="C4595" s="20"/>
      <c r="E4595" s="387"/>
      <c r="F4595" s="388">
        <f t="shared" si="1184"/>
        <v>0</v>
      </c>
      <c r="H4595" s="341" t="str">
        <f>IF(A4595="","",VLOOKUP(A4595,VII.A!$A$10:$D$199,4,FALSE))</f>
        <v/>
      </c>
      <c r="I4595" s="341" t="str">
        <f t="shared" si="1185"/>
        <v/>
      </c>
      <c r="J4595" s="341" t="str">
        <f>IF(A4595="","",VLOOKUP(A4595,VII.A!$A$10:$D$199,3,FALSE))</f>
        <v/>
      </c>
      <c r="K4595" s="342" t="str">
        <f t="shared" si="1186"/>
        <v/>
      </c>
      <c r="L4595" s="380" t="str">
        <f>IF(C4595="","",G4571*C4595)</f>
        <v/>
      </c>
      <c r="M4595" s="381" t="str">
        <f>IF(A4595="","",VLOOKUP(A4595,VII.A!$A$10:$B$199,2,FALSE))</f>
        <v/>
      </c>
      <c r="N4595" s="342" t="str">
        <f t="shared" si="1187"/>
        <v/>
      </c>
      <c r="R4595" s="341"/>
      <c r="S4595" s="341"/>
    </row>
    <row r="4596" spans="1:19" ht="12.75" customHeight="1">
      <c r="A4596" s="393"/>
      <c r="C4596" s="20"/>
      <c r="E4596" s="387"/>
      <c r="F4596" s="388">
        <f t="shared" si="1184"/>
        <v>0</v>
      </c>
      <c r="H4596" s="341" t="str">
        <f>IF(A4596="","",VLOOKUP(A4596,VII.A!$A$10:$D$199,4,FALSE))</f>
        <v/>
      </c>
      <c r="I4596" s="341" t="str">
        <f t="shared" si="1185"/>
        <v/>
      </c>
      <c r="J4596" s="341" t="str">
        <f>IF(A4596="","",VLOOKUP(A4596,VII.A!$A$10:$D$199,3,FALSE))</f>
        <v/>
      </c>
      <c r="K4596" s="342" t="str">
        <f t="shared" si="1186"/>
        <v/>
      </c>
      <c r="L4596" s="380" t="str">
        <f>IF(C4596="","",G4571*C4596)</f>
        <v/>
      </c>
      <c r="M4596" s="381" t="str">
        <f>IF(A4596="","",VLOOKUP(A4596,VII.A!$A$10:$B$199,2,FALSE))</f>
        <v/>
      </c>
      <c r="N4596" s="342" t="str">
        <f t="shared" si="1187"/>
        <v/>
      </c>
      <c r="R4596" s="341"/>
      <c r="S4596" s="341"/>
    </row>
    <row r="4597" spans="1:19" ht="12.75" customHeight="1">
      <c r="A4597" s="393"/>
      <c r="C4597" s="20"/>
      <c r="E4597" s="387"/>
      <c r="F4597" s="388">
        <f t="shared" si="1184"/>
        <v>0</v>
      </c>
      <c r="G4597" s="390"/>
      <c r="H4597" s="341" t="str">
        <f>IF(A4597="","",VLOOKUP(A4597,VII.A!$A$10:$D$199,4,FALSE))</f>
        <v/>
      </c>
      <c r="I4597" s="341" t="str">
        <f t="shared" si="1185"/>
        <v/>
      </c>
      <c r="J4597" s="341" t="str">
        <f>IF(A4597="","",VLOOKUP(A4597,VII.A!$A$10:$D$199,3,FALSE))</f>
        <v/>
      </c>
      <c r="K4597" s="342" t="str">
        <f t="shared" si="1186"/>
        <v/>
      </c>
      <c r="L4597" s="380" t="str">
        <f>IF(C4597="","",G4571*C4597)</f>
        <v/>
      </c>
      <c r="M4597" s="381" t="str">
        <f>IF(A4597="","",VLOOKUP(A4597,VII.A!$A$10:$B$199,2,FALSE))</f>
        <v/>
      </c>
      <c r="N4597" s="342" t="str">
        <f t="shared" si="1187"/>
        <v/>
      </c>
      <c r="R4597" s="341"/>
      <c r="S4597" s="341"/>
    </row>
    <row r="4598" spans="1:19" ht="12.75" customHeight="1">
      <c r="A4598" s="393"/>
      <c r="C4598" s="20"/>
      <c r="E4598" s="387"/>
      <c r="F4598" s="388">
        <f t="shared" si="1184"/>
        <v>0</v>
      </c>
      <c r="G4598" s="391"/>
      <c r="H4598" s="341" t="str">
        <f>IF(A4598="","",VLOOKUP(A4598,VII.A!$A$10:$D$199,4,FALSE))</f>
        <v/>
      </c>
      <c r="I4598" s="341" t="str">
        <f t="shared" si="1185"/>
        <v/>
      </c>
      <c r="J4598" s="341" t="str">
        <f>IF(A4598="","",VLOOKUP(A4598,VII.A!$A$10:$D$199,3,FALSE))</f>
        <v/>
      </c>
      <c r="K4598" s="342" t="str">
        <f t="shared" si="1186"/>
        <v/>
      </c>
      <c r="L4598" s="380" t="str">
        <f>IF(C4598="","",G4571*C4598)</f>
        <v/>
      </c>
      <c r="M4598" s="381" t="str">
        <f>IF(A4598="","",VLOOKUP(A4598,VII.A!$A$10:$B$199,2,FALSE))</f>
        <v/>
      </c>
      <c r="N4598" s="342" t="str">
        <f t="shared" si="1187"/>
        <v/>
      </c>
      <c r="R4598" s="341"/>
      <c r="S4598" s="341"/>
    </row>
    <row r="4599" spans="1:19" ht="12.75" customHeight="1">
      <c r="A4599" s="393"/>
      <c r="C4599" s="20"/>
      <c r="E4599" s="387"/>
      <c r="F4599" s="388">
        <f t="shared" si="1184"/>
        <v>0</v>
      </c>
      <c r="H4599" s="341" t="str">
        <f>IF(A4599="","",VLOOKUP(A4599,VII.A!$A$10:$D$199,4,FALSE))</f>
        <v/>
      </c>
      <c r="I4599" s="341" t="str">
        <f t="shared" si="1185"/>
        <v/>
      </c>
      <c r="J4599" s="341" t="str">
        <f>IF(A4599="","",VLOOKUP(A4599,VII.A!$A$10:$D$199,3,FALSE))</f>
        <v/>
      </c>
      <c r="K4599" s="342" t="str">
        <f t="shared" si="1186"/>
        <v/>
      </c>
      <c r="L4599" s="380" t="str">
        <f>IF(C4599="","",G4571*C4599)</f>
        <v/>
      </c>
      <c r="M4599" s="381" t="str">
        <f>IF(A4599="","",VLOOKUP(A4599,VII.A!$A$10:$B$199,2,FALSE))</f>
        <v/>
      </c>
      <c r="N4599" s="342" t="str">
        <f t="shared" si="1187"/>
        <v/>
      </c>
      <c r="R4599" s="341"/>
      <c r="S4599" s="341"/>
    </row>
    <row r="4600" spans="1:19" ht="12.75" customHeight="1">
      <c r="A4600" s="393"/>
      <c r="C4600" s="20"/>
      <c r="E4600" s="387"/>
      <c r="F4600" s="388">
        <f t="shared" si="1184"/>
        <v>0</v>
      </c>
      <c r="H4600" s="341" t="str">
        <f>IF(A4600="","",VLOOKUP(A4600,VII.A!$A$10:$D$199,4,FALSE))</f>
        <v/>
      </c>
      <c r="I4600" s="341" t="str">
        <f t="shared" si="1185"/>
        <v/>
      </c>
      <c r="J4600" s="341" t="str">
        <f>IF(A4600="","",VLOOKUP(A4600,VII.A!$A$10:$D$199,3,FALSE))</f>
        <v/>
      </c>
      <c r="K4600" s="342" t="str">
        <f t="shared" si="1186"/>
        <v/>
      </c>
      <c r="L4600" s="380" t="str">
        <f>IF(C4600="","",G4571*C4600)</f>
        <v/>
      </c>
      <c r="M4600" s="381" t="str">
        <f>IF(A4600="","",VLOOKUP(A4600,VII.A!$A$10:$B$199,2,FALSE))</f>
        <v/>
      </c>
      <c r="N4600" s="342" t="str">
        <f t="shared" si="1187"/>
        <v/>
      </c>
      <c r="R4600" s="341"/>
      <c r="S4600" s="341"/>
    </row>
    <row r="4601" spans="1:19" ht="12.75" customHeight="1">
      <c r="A4601" s="393"/>
      <c r="C4601" s="20"/>
      <c r="E4601" s="387"/>
      <c r="F4601" s="388">
        <f t="shared" si="1184"/>
        <v>0</v>
      </c>
      <c r="H4601" s="341" t="str">
        <f>IF(A4601="","",VLOOKUP(A4601,VII.A!$A$10:$D$199,4,FALSE))</f>
        <v/>
      </c>
      <c r="I4601" s="341" t="str">
        <f t="shared" si="1185"/>
        <v/>
      </c>
      <c r="J4601" s="341" t="str">
        <f>IF(A4601="","",VLOOKUP(A4601,VII.A!$A$10:$D$199,3,FALSE))</f>
        <v/>
      </c>
      <c r="K4601" s="342" t="str">
        <f t="shared" si="1186"/>
        <v/>
      </c>
      <c r="L4601" s="380" t="str">
        <f>IF(C4601="","",G4571*C4601)</f>
        <v/>
      </c>
      <c r="M4601" s="381" t="str">
        <f>IF(A4601="","",VLOOKUP(A4601,VII.A!$A$10:$B$199,2,FALSE))</f>
        <v/>
      </c>
      <c r="N4601" s="342" t="str">
        <f t="shared" si="1187"/>
        <v/>
      </c>
      <c r="R4601" s="341"/>
      <c r="S4601" s="341"/>
    </row>
    <row r="4602" spans="1:19" ht="12.75" customHeight="1">
      <c r="A4602" s="393"/>
      <c r="C4602" s="20"/>
      <c r="E4602" s="387"/>
      <c r="F4602" s="388">
        <f t="shared" si="1184"/>
        <v>0</v>
      </c>
      <c r="H4602" s="341" t="str">
        <f>IF(A4602="","",VLOOKUP(A4602,VII.A!$A$10:$D$199,4,FALSE))</f>
        <v/>
      </c>
      <c r="I4602" s="341" t="str">
        <f t="shared" si="1185"/>
        <v/>
      </c>
      <c r="J4602" s="341" t="str">
        <f>IF(A4602="","",VLOOKUP(A4602,VII.A!$A$10:$D$199,3,FALSE))</f>
        <v/>
      </c>
      <c r="K4602" s="342" t="str">
        <f t="shared" si="1186"/>
        <v/>
      </c>
      <c r="L4602" s="380" t="str">
        <f>IF(C4602="","",G4571*C4602)</f>
        <v/>
      </c>
      <c r="M4602" s="381" t="str">
        <f>IF(A4602="","",VLOOKUP(A4602,VII.A!$A$10:$B$199,2,FALSE))</f>
        <v/>
      </c>
      <c r="N4602" s="342" t="str">
        <f t="shared" si="1187"/>
        <v/>
      </c>
      <c r="R4602" s="341"/>
      <c r="S4602" s="341"/>
    </row>
    <row r="4603" spans="1:19" ht="12.75" customHeight="1">
      <c r="A4603" s="393"/>
      <c r="B4603" s="395" t="s">
        <v>226</v>
      </c>
      <c r="C4603" s="396"/>
      <c r="D4603" s="397"/>
      <c r="E4603" s="398"/>
      <c r="F4603" s="399">
        <f>SUM(F4593:F4602)</f>
        <v>0</v>
      </c>
      <c r="J4603" s="341"/>
      <c r="L4603" s="380"/>
      <c r="M4603" s="381"/>
      <c r="N4603" s="342"/>
      <c r="R4603" s="341"/>
      <c r="S4603" s="341"/>
    </row>
    <row r="4604" spans="1:19" ht="12.75" customHeight="1">
      <c r="A4604" s="393"/>
      <c r="B4604" s="400" t="s">
        <v>53</v>
      </c>
      <c r="C4604" s="2">
        <f>$D$8</f>
        <v>0</v>
      </c>
      <c r="D4604" s="401"/>
      <c r="E4604" s="402"/>
      <c r="F4604" s="403">
        <f>ROUND(C4604*F4603,2)</f>
        <v>0</v>
      </c>
      <c r="J4604" s="341"/>
      <c r="L4604" s="380"/>
      <c r="M4604" s="381"/>
      <c r="N4604" s="342"/>
      <c r="R4604" s="341"/>
      <c r="S4604" s="341"/>
    </row>
    <row r="4605" spans="1:19" ht="12.75" customHeight="1">
      <c r="A4605" s="404"/>
      <c r="B4605" s="405" t="s">
        <v>228</v>
      </c>
      <c r="C4605" s="406"/>
      <c r="D4605" s="406"/>
      <c r="E4605" s="407"/>
      <c r="F4605" s="408">
        <f>F4603+F4604</f>
        <v>0</v>
      </c>
      <c r="J4605" s="341"/>
      <c r="L4605" s="380"/>
      <c r="M4605" s="381"/>
      <c r="N4605" s="342"/>
      <c r="R4605" s="341"/>
      <c r="S4605" s="341"/>
    </row>
    <row r="4606" spans="1:19" ht="12.75" customHeight="1">
      <c r="A4606" s="409" t="s">
        <v>47</v>
      </c>
      <c r="B4606" s="410" t="s">
        <v>236</v>
      </c>
      <c r="C4606" s="411" t="s">
        <v>231</v>
      </c>
      <c r="D4606" s="412" t="s">
        <v>232</v>
      </c>
      <c r="E4606" s="413" t="s">
        <v>233</v>
      </c>
      <c r="F4606" s="378" t="s">
        <v>234</v>
      </c>
      <c r="J4606" s="341"/>
      <c r="L4606" s="380"/>
      <c r="M4606" s="381"/>
      <c r="N4606" s="342"/>
      <c r="R4606" s="341"/>
      <c r="S4606" s="341"/>
    </row>
    <row r="4607" spans="1:19" ht="12.75" customHeight="1">
      <c r="A4607" s="393" t="str">
        <f>VII.A!$A$196</f>
        <v>3.16</v>
      </c>
      <c r="B4607" s="394" t="s">
        <v>157</v>
      </c>
      <c r="C4607" s="20">
        <f>0.069+((0.014*0.07)/0.16)</f>
        <v>7.5125000000000011E-2</v>
      </c>
      <c r="D4607" s="384" t="str">
        <f>VLOOKUP(A4607,VII.A!$A$10:$G$199,3,FALSE)</f>
        <v>H</v>
      </c>
      <c r="E4607" s="387">
        <f>VII.A!$D$196</f>
        <v>0</v>
      </c>
      <c r="F4607" s="388">
        <f t="shared" ref="F4607:F4613" si="1188">ROUND(C4607*E4607,2)</f>
        <v>0</v>
      </c>
      <c r="H4607" s="341">
        <f>IF(A4607="","",VLOOKUP(A4607,VII.A!$A$10:$D$199,4,FALSE))</f>
        <v>0</v>
      </c>
      <c r="I4607" s="341" t="str">
        <f t="shared" ref="I4607:I4613" si="1189">IF(A4607="","",IF(E4607=H4607,"SIM","NÃO"))</f>
        <v>SIM</v>
      </c>
      <c r="J4607" s="341" t="str">
        <f>IF(A4607="","",VLOOKUP(A4607,VII.A!$A$10:$D$199,3,FALSE))</f>
        <v>H</v>
      </c>
      <c r="K4607" s="342" t="str">
        <f t="shared" ref="K4607:K4613" si="1190">IF(A4607="","",IF(J4607=D4607,"SIM","NÃO"))</f>
        <v>SIM</v>
      </c>
      <c r="L4607" s="380">
        <f>IF(C4607="","",G4571*C4607)</f>
        <v>803.83750000000009</v>
      </c>
      <c r="M4607" s="381" t="str">
        <f>IF(A4607="","",VLOOKUP(A4607,VII.A!$A$10:$B$199,2,FALSE))</f>
        <v>SERVENTE COM ENCARGOS COMPLEMENTARES</v>
      </c>
      <c r="N4607" s="342" t="str">
        <f t="shared" ref="N4607:N4613" si="1191">IF(B4607="","",IF(M4607=B4607,"si","no"))</f>
        <v>si</v>
      </c>
      <c r="R4607" s="341"/>
      <c r="S4607" s="341"/>
    </row>
    <row r="4608" spans="1:19" ht="12.75" customHeight="1">
      <c r="A4608" s="393" t="str">
        <f>VII.A!$A$193</f>
        <v>3.13</v>
      </c>
      <c r="B4608" s="394" t="s">
        <v>154</v>
      </c>
      <c r="C4608" s="20">
        <f>0.187+0.2+((0.039*0.07)/0.16)</f>
        <v>0.40406249999999999</v>
      </c>
      <c r="D4608" s="384" t="str">
        <f>VLOOKUP(A4608,VII.A!$A$10:$G$199,3,FALSE)</f>
        <v>H</v>
      </c>
      <c r="E4608" s="387">
        <f>VII.A!$D$193</f>
        <v>0</v>
      </c>
      <c r="F4608" s="388">
        <f t="shared" si="1188"/>
        <v>0</v>
      </c>
      <c r="H4608" s="341">
        <f>IF(A4608="","",VLOOKUP(A4608,VII.A!$A$10:$D$199,4,FALSE))</f>
        <v>0</v>
      </c>
      <c r="I4608" s="341" t="str">
        <f t="shared" si="1189"/>
        <v>SIM</v>
      </c>
      <c r="J4608" s="341" t="str">
        <f>IF(A4608="","",VLOOKUP(A4608,VII.A!$A$10:$D$199,3,FALSE))</f>
        <v>H</v>
      </c>
      <c r="K4608" s="342" t="str">
        <f t="shared" si="1190"/>
        <v>SIM</v>
      </c>
      <c r="L4608" s="380">
        <f>IF(C4608="","",G4571*C4608)</f>
        <v>4323.46875</v>
      </c>
      <c r="M4608" s="381" t="str">
        <f>IF(A4608="","",VLOOKUP(A4608,VII.A!$A$10:$B$199,2,FALSE))</f>
        <v>PINTOR COM ENCARGOS COMPLEMENTARES</v>
      </c>
      <c r="N4608" s="342" t="str">
        <f t="shared" si="1191"/>
        <v>si</v>
      </c>
      <c r="R4608" s="341"/>
      <c r="S4608" s="341"/>
    </row>
    <row r="4609" spans="1:25" ht="12.75" customHeight="1">
      <c r="A4609" s="393"/>
      <c r="C4609" s="20"/>
      <c r="E4609" s="387"/>
      <c r="F4609" s="388">
        <f t="shared" si="1188"/>
        <v>0</v>
      </c>
      <c r="H4609" s="341" t="str">
        <f>IF(A4609="","",VLOOKUP(A4609,VII.A!$A$10:$D$199,4,FALSE))</f>
        <v/>
      </c>
      <c r="I4609" s="341" t="str">
        <f t="shared" si="1189"/>
        <v/>
      </c>
      <c r="J4609" s="341" t="str">
        <f>IF(A4609="","",VLOOKUP(A4609,VII.A!$A$10:$D$199,3,FALSE))</f>
        <v/>
      </c>
      <c r="K4609" s="342" t="str">
        <f t="shared" si="1190"/>
        <v/>
      </c>
      <c r="L4609" s="380" t="str">
        <f>IF(C4609="","",G4571*C4609)</f>
        <v/>
      </c>
      <c r="M4609" s="381" t="str">
        <f>IF(A4609="","",VLOOKUP(A4609,VII.A!$A$10:$B$199,2,FALSE))</f>
        <v/>
      </c>
      <c r="N4609" s="342" t="str">
        <f t="shared" si="1191"/>
        <v/>
      </c>
      <c r="R4609" s="341"/>
      <c r="S4609" s="341"/>
    </row>
    <row r="4610" spans="1:25" ht="12.75" customHeight="1">
      <c r="A4610" s="393"/>
      <c r="C4610" s="20"/>
      <c r="E4610" s="387"/>
      <c r="F4610" s="388">
        <f t="shared" si="1188"/>
        <v>0</v>
      </c>
      <c r="H4610" s="341" t="str">
        <f>IF(A4610="","",VLOOKUP(A4610,VII.A!$A$10:$D$199,4,FALSE))</f>
        <v/>
      </c>
      <c r="I4610" s="341" t="str">
        <f t="shared" si="1189"/>
        <v/>
      </c>
      <c r="J4610" s="341" t="str">
        <f>IF(A4610="","",VLOOKUP(A4610,VII.A!$A$10:$D$199,3,FALSE))</f>
        <v/>
      </c>
      <c r="K4610" s="342" t="str">
        <f t="shared" si="1190"/>
        <v/>
      </c>
      <c r="L4610" s="380" t="str">
        <f>IF(C4610="","",G4571*C4610)</f>
        <v/>
      </c>
      <c r="M4610" s="381" t="str">
        <f>IF(A4610="","",VLOOKUP(A4610,VII.A!$A$10:$B$199,2,FALSE))</f>
        <v/>
      </c>
      <c r="N4610" s="342" t="str">
        <f t="shared" si="1191"/>
        <v/>
      </c>
      <c r="R4610" s="341"/>
      <c r="S4610" s="341"/>
    </row>
    <row r="4611" spans="1:25" ht="12.75" customHeight="1">
      <c r="A4611" s="393"/>
      <c r="C4611" s="20"/>
      <c r="E4611" s="387"/>
      <c r="F4611" s="388">
        <f t="shared" si="1188"/>
        <v>0</v>
      </c>
      <c r="H4611" s="341" t="str">
        <f>IF(A4611="","",VLOOKUP(A4611,VII.A!$A$10:$D$199,4,FALSE))</f>
        <v/>
      </c>
      <c r="I4611" s="341" t="str">
        <f t="shared" si="1189"/>
        <v/>
      </c>
      <c r="J4611" s="341" t="str">
        <f>IF(A4611="","",VLOOKUP(A4611,VII.A!$A$10:$D$199,3,FALSE))</f>
        <v/>
      </c>
      <c r="K4611" s="342" t="str">
        <f t="shared" si="1190"/>
        <v/>
      </c>
      <c r="L4611" s="380" t="str">
        <f>IF(C4611="","",G4571*C4611)</f>
        <v/>
      </c>
      <c r="M4611" s="381" t="str">
        <f>IF(A4611="","",VLOOKUP(A4611,VII.A!$A$10:$B$199,2,FALSE))</f>
        <v/>
      </c>
      <c r="N4611" s="342" t="str">
        <f t="shared" si="1191"/>
        <v/>
      </c>
      <c r="R4611" s="341"/>
      <c r="S4611" s="341"/>
    </row>
    <row r="4612" spans="1:25" ht="12.75" customHeight="1">
      <c r="A4612" s="393"/>
      <c r="C4612" s="20"/>
      <c r="E4612" s="387"/>
      <c r="F4612" s="388">
        <f t="shared" si="1188"/>
        <v>0</v>
      </c>
      <c r="H4612" s="341" t="str">
        <f>IF(A4612="","",VLOOKUP(A4612,VII.A!$A$10:$D$199,4,FALSE))</f>
        <v/>
      </c>
      <c r="I4612" s="341" t="str">
        <f t="shared" si="1189"/>
        <v/>
      </c>
      <c r="J4612" s="341" t="str">
        <f>IF(A4612="","",VLOOKUP(A4612,VII.A!$A$10:$D$199,3,FALSE))</f>
        <v/>
      </c>
      <c r="K4612" s="342" t="str">
        <f t="shared" si="1190"/>
        <v/>
      </c>
      <c r="L4612" s="380" t="str">
        <f>IF(C4612="","",G4571*C4612)</f>
        <v/>
      </c>
      <c r="M4612" s="381" t="str">
        <f>IF(A4612="","",VLOOKUP(A4612,VII.A!$A$10:$B$199,2,FALSE))</f>
        <v/>
      </c>
      <c r="N4612" s="342" t="str">
        <f t="shared" si="1191"/>
        <v/>
      </c>
      <c r="R4612" s="341"/>
      <c r="S4612" s="341"/>
    </row>
    <row r="4613" spans="1:25" ht="12.75" customHeight="1">
      <c r="A4613" s="393"/>
      <c r="C4613" s="20"/>
      <c r="E4613" s="387"/>
      <c r="F4613" s="388">
        <f t="shared" si="1188"/>
        <v>0</v>
      </c>
      <c r="H4613" s="341" t="str">
        <f>IF(A4613="","",VLOOKUP(A4613,VII.A!$A$10:$D$199,4,FALSE))</f>
        <v/>
      </c>
      <c r="I4613" s="341" t="str">
        <f t="shared" si="1189"/>
        <v/>
      </c>
      <c r="J4613" s="341" t="str">
        <f>IF(A4613="","",VLOOKUP(A4613,VII.A!$A$10:$D$199,3,FALSE))</f>
        <v/>
      </c>
      <c r="K4613" s="342" t="str">
        <f t="shared" si="1190"/>
        <v/>
      </c>
      <c r="L4613" s="380" t="str">
        <f>IF(C4613="","",G4571*C4613)</f>
        <v/>
      </c>
      <c r="M4613" s="381" t="str">
        <f>IF(A4613="","",VLOOKUP(A4613,VII.A!$A$10:$B$199,2,FALSE))</f>
        <v/>
      </c>
      <c r="N4613" s="342" t="str">
        <f t="shared" si="1191"/>
        <v/>
      </c>
      <c r="R4613" s="341"/>
      <c r="S4613" s="341"/>
    </row>
    <row r="4614" spans="1:25" ht="12.75" customHeight="1">
      <c r="A4614" s="393"/>
      <c r="B4614" s="395" t="s">
        <v>226</v>
      </c>
      <c r="C4614" s="396"/>
      <c r="D4614" s="397"/>
      <c r="E4614" s="398"/>
      <c r="F4614" s="399">
        <f>SUM(F4607:F4613)</f>
        <v>0</v>
      </c>
      <c r="J4614" s="341"/>
      <c r="L4614" s="380"/>
      <c r="M4614" s="381"/>
      <c r="N4614" s="342"/>
      <c r="R4614" s="341"/>
      <c r="S4614" s="341"/>
    </row>
    <row r="4615" spans="1:25" ht="12.75" customHeight="1">
      <c r="A4615" s="393"/>
      <c r="B4615" s="400" t="s">
        <v>229</v>
      </c>
      <c r="C4615" s="2">
        <f>IX.A!$C$45</f>
        <v>0</v>
      </c>
      <c r="D4615" s="401"/>
      <c r="E4615" s="402"/>
      <c r="F4615" s="403">
        <f>ROUND(F4614*C4615,2)</f>
        <v>0</v>
      </c>
      <c r="J4615" s="341"/>
      <c r="L4615" s="380"/>
      <c r="M4615" s="381"/>
      <c r="N4615" s="342"/>
      <c r="R4615" s="341"/>
      <c r="S4615" s="341"/>
    </row>
    <row r="4616" spans="1:25" ht="12.75" customHeight="1">
      <c r="A4616" s="393"/>
      <c r="B4616" s="400" t="s">
        <v>53</v>
      </c>
      <c r="C4616" s="2">
        <f>$D$8</f>
        <v>0</v>
      </c>
      <c r="D4616" s="401"/>
      <c r="E4616" s="402"/>
      <c r="F4616" s="403">
        <f>ROUND(SUM(F4614:F4615)*C4616,2)</f>
        <v>0</v>
      </c>
      <c r="J4616" s="341"/>
      <c r="L4616" s="380"/>
      <c r="M4616" s="381"/>
      <c r="N4616" s="342"/>
      <c r="R4616" s="341"/>
      <c r="S4616" s="341"/>
    </row>
    <row r="4617" spans="1:25" ht="12.75" customHeight="1" thickBot="1">
      <c r="A4617" s="414"/>
      <c r="B4617" s="415" t="s">
        <v>230</v>
      </c>
      <c r="C4617" s="416"/>
      <c r="D4617" s="416"/>
      <c r="E4617" s="417"/>
      <c r="F4617" s="418">
        <f>SUM(F4614:F4616)</f>
        <v>0</v>
      </c>
      <c r="J4617" s="341"/>
      <c r="L4617" s="380"/>
      <c r="M4617" s="381"/>
      <c r="N4617" s="342"/>
      <c r="R4617" s="341"/>
      <c r="S4617" s="341"/>
    </row>
    <row r="4618" spans="1:25" ht="12.75" customHeight="1" thickBot="1">
      <c r="A4618" s="427"/>
      <c r="B4618" s="428"/>
      <c r="C4618" s="429"/>
      <c r="D4618" s="429"/>
      <c r="E4618" s="430"/>
      <c r="F4618" s="431"/>
      <c r="J4618" s="341"/>
      <c r="L4618" s="380"/>
      <c r="M4618" s="381"/>
      <c r="N4618" s="342"/>
      <c r="R4618" s="341"/>
      <c r="S4618" s="341"/>
    </row>
    <row r="4619" spans="1:25" ht="30" customHeight="1">
      <c r="A4619" s="370" t="str">
        <f>IV.A!A142</f>
        <v>6.5</v>
      </c>
      <c r="B4619" s="371" t="str">
        <f>IV.A!B142</f>
        <v>PINTURA DE SINALIZAÇÃO HORIZONTAL COM TINTA RETRORREFLETIVA A BASE DE RESINA ACRÍLICA COM MICROESFERAS DE VIDRO</v>
      </c>
      <c r="C4619" s="871" t="s">
        <v>237</v>
      </c>
      <c r="D4619" s="872"/>
      <c r="E4619" s="372" t="str">
        <f>IV.A!C142</f>
        <v>M2</v>
      </c>
      <c r="F4619" s="11">
        <f>ROUND(F4639+F4653+F4665,2)</f>
        <v>0</v>
      </c>
      <c r="G4619" s="1">
        <f>VLOOKUP(A4619,IV.A!$A$16:$L$172,4,FALSE)</f>
        <v>500</v>
      </c>
      <c r="H4619" s="361">
        <f>SUM(F4621:F4636)+F4638</f>
        <v>0</v>
      </c>
      <c r="I4619" s="361">
        <f>SUM(F4641:F4650)+F4652</f>
        <v>0</v>
      </c>
      <c r="J4619" s="361">
        <f>SUM(F4655:F4661)+F4663+F4664</f>
        <v>0</v>
      </c>
      <c r="K4619" s="361">
        <f>SUM(H4619:J4619)</f>
        <v>0</v>
      </c>
      <c r="L4619" s="362" t="str">
        <f>IF(K4619=F4619,"SIM","NÃO")</f>
        <v>SIM</v>
      </c>
      <c r="M4619" s="373">
        <f>ROUND(SUM(F4621:F4636),2)+ROUND(SUM(F4621:F4636)*C4638,2)+ROUND(SUM(F4641:F4650)*C4652,2)+ROUND(SUM(F4641:F4650),2)+ROUND(SUM(F4655:F4661)*C4663,2)+ROUND((SUM(F4655:F4661)+ROUND(SUM(F4655:F4661)*C4663,2))*C4664,2)+ROUND(SUM(F4655:F4661),2)</f>
        <v>0</v>
      </c>
      <c r="N4619" s="343" t="str">
        <f>IF(M4619=F4619,"SIM","NÃO")</f>
        <v>SIM</v>
      </c>
      <c r="O4619" s="364" t="str">
        <f>VLOOKUP(A4619,IV.A!$A$16:$E$172,3,FALSE)</f>
        <v>M2</v>
      </c>
      <c r="P4619" s="344" t="str">
        <f>IF(O4619=E4619,"SIM","NÃO")</f>
        <v>SIM</v>
      </c>
      <c r="Q4619" s="365">
        <f>ROUND(G4619*F4639,2)+ROUND(G4619*F4653,2)+ROUND(G4619*F4665,2)</f>
        <v>0</v>
      </c>
      <c r="R4619" s="364">
        <f>VLOOKUP(A4619,IV.A!$A$16:$L$172,12,FALSE)</f>
        <v>0</v>
      </c>
      <c r="S4619" s="366" t="str">
        <f>IF(Q4619=R4619,"si","no")</f>
        <v>si</v>
      </c>
      <c r="T4619" s="367">
        <f>SUM(L4621:L4636)+SUM(L4641:L4650)+SUM(L4655:L4661)</f>
        <v>614.99799999999993</v>
      </c>
      <c r="U4619" s="341">
        <f>(SUM(C4621:C4636)+SUM(C4641:C4650)+SUM(C4655:C4661))*G4619</f>
        <v>614.99800000000005</v>
      </c>
      <c r="V4619" s="368" t="str">
        <f>IF(T4619=U4619,"si","no")</f>
        <v>si</v>
      </c>
      <c r="W4619" s="369">
        <f>SUM(F4621:F4636)</f>
        <v>0</v>
      </c>
      <c r="X4619" s="369">
        <f>SUM(F4641:F4650)</f>
        <v>0</v>
      </c>
      <c r="Y4619" s="369">
        <f>SUM(F4655:F4661)</f>
        <v>0</v>
      </c>
    </row>
    <row r="4620" spans="1:25" ht="12.75" customHeight="1">
      <c r="A4620" s="374" t="s">
        <v>14</v>
      </c>
      <c r="B4620" s="375" t="s">
        <v>132</v>
      </c>
      <c r="C4620" s="376" t="s">
        <v>231</v>
      </c>
      <c r="D4620" s="376" t="s">
        <v>232</v>
      </c>
      <c r="E4620" s="377" t="s">
        <v>233</v>
      </c>
      <c r="F4620" s="378" t="s">
        <v>234</v>
      </c>
      <c r="G4620" s="379"/>
      <c r="J4620" s="341"/>
      <c r="L4620" s="380"/>
      <c r="M4620" s="381"/>
      <c r="N4620" s="342"/>
      <c r="O4620" s="382"/>
      <c r="P4620" s="383"/>
      <c r="Q4620" s="383"/>
      <c r="R4620" s="383"/>
      <c r="S4620" s="383"/>
      <c r="T4620" s="382"/>
      <c r="U4620" s="341"/>
      <c r="V4620" s="384"/>
      <c r="W4620" s="384"/>
      <c r="X4620" s="384"/>
      <c r="Y4620" s="384"/>
    </row>
    <row r="4621" spans="1:25" ht="12.75" customHeight="1">
      <c r="A4621" s="385" t="str">
        <f>VII.A!$A$14</f>
        <v>1.5</v>
      </c>
      <c r="B4621" s="386" t="str">
        <f>VII.A!B14</f>
        <v>SOLVENTE DILUENTE A BASE DE AGUARRÁS</v>
      </c>
      <c r="C4621" s="20">
        <v>0.13</v>
      </c>
      <c r="D4621" s="342" t="str">
        <f>VII.A!C14</f>
        <v>L</v>
      </c>
      <c r="E4621" s="387">
        <f>VII.A!D14</f>
        <v>0</v>
      </c>
      <c r="F4621" s="388">
        <f>ROUND(C4621*E4621,2)</f>
        <v>0</v>
      </c>
      <c r="H4621" s="341">
        <f>IF(A4621="","",VLOOKUP(A4621,VII.A!$A$10:$D$199,4,FALSE))</f>
        <v>0</v>
      </c>
      <c r="I4621" s="341" t="str">
        <f t="shared" ref="I4621:I4636" si="1192">IF(A4621="","",IF(E4621=H4621,"SIM","NÃO"))</f>
        <v>SIM</v>
      </c>
      <c r="J4621" s="341" t="str">
        <f>IF(A4621="","",VLOOKUP(A4621,VII.A!$A$10:$D$199,3,FALSE))</f>
        <v>L</v>
      </c>
      <c r="K4621" s="342" t="str">
        <f t="shared" ref="K4621:K4636" si="1193">IF(A4621="","",IF(J4621=D4621,"SIM","NÃO"))</f>
        <v>SIM</v>
      </c>
      <c r="L4621" s="380">
        <f>IF(C4621="","",G4619*C4621)</f>
        <v>65</v>
      </c>
      <c r="M4621" s="381" t="str">
        <f>IF(A4621="","",VLOOKUP(A4621,VII.A!$A$10:$B$199,2,FALSE))</f>
        <v>SOLVENTE DILUENTE A BASE DE AGUARRÁS</v>
      </c>
      <c r="N4621" s="342" t="str">
        <f t="shared" ref="N4621:N4636" si="1194">IF(B4621="","",IF(M4621=B4621,"si","no"))</f>
        <v>si</v>
      </c>
      <c r="R4621" s="341"/>
      <c r="S4621" s="341"/>
    </row>
    <row r="4622" spans="1:25" ht="12.75" customHeight="1">
      <c r="A4622" s="385" t="str">
        <f>VII.A!$A$109</f>
        <v>1.99</v>
      </c>
      <c r="B4622" s="386" t="str">
        <f>VII.A!B109</f>
        <v>TINTA ACRILICA PREMIUM PARA PISO  NA COR GRAFITE</v>
      </c>
      <c r="C4622" s="20">
        <v>0.06</v>
      </c>
      <c r="D4622" s="342" t="str">
        <f>VII.A!C109</f>
        <v>L</v>
      </c>
      <c r="E4622" s="387">
        <f>VII.A!D109</f>
        <v>0</v>
      </c>
      <c r="F4622" s="388">
        <f t="shared" ref="F4622:F4636" si="1195">ROUND(C4622*E4622,2)</f>
        <v>0</v>
      </c>
      <c r="H4622" s="341">
        <f>IF(A4622="","",VLOOKUP(A4622,VII.A!$A$10:$D$199,4,FALSE))</f>
        <v>0</v>
      </c>
      <c r="I4622" s="341" t="str">
        <f t="shared" si="1192"/>
        <v>SIM</v>
      </c>
      <c r="J4622" s="341" t="str">
        <f>IF(A4622="","",VLOOKUP(A4622,VII.A!$A$10:$D$199,3,FALSE))</f>
        <v>L</v>
      </c>
      <c r="K4622" s="342" t="str">
        <f t="shared" si="1193"/>
        <v>SIM</v>
      </c>
      <c r="L4622" s="380">
        <f>IF(C4622="","",G4619*C4622)</f>
        <v>30</v>
      </c>
      <c r="M4622" s="381" t="str">
        <f>IF(A4622="","",VLOOKUP(A4622,VII.A!$A$10:$B$199,2,FALSE))</f>
        <v>TINTA ACRILICA PREMIUM PARA PISO  NA COR GRAFITE</v>
      </c>
      <c r="N4622" s="342" t="str">
        <f t="shared" si="1194"/>
        <v>si</v>
      </c>
      <c r="R4622" s="341"/>
      <c r="S4622" s="341"/>
    </row>
    <row r="4623" spans="1:25" ht="12.75" customHeight="1">
      <c r="A4623" s="385" t="str">
        <f>VII.A!$A$113</f>
        <v>1.103</v>
      </c>
      <c r="B4623" s="386" t="str">
        <f>VII.A!B113</f>
        <v>TINTA A BASE DE RESINA ACRILICA, PARA SINALIZACAO HORIZONTAL VIARIA (NBR 11862)</v>
      </c>
      <c r="C4623" s="20">
        <v>0.6</v>
      </c>
      <c r="D4623" s="342" t="str">
        <f>VII.A!C113</f>
        <v>L</v>
      </c>
      <c r="E4623" s="387">
        <f>VII.A!D113</f>
        <v>0</v>
      </c>
      <c r="F4623" s="388">
        <f t="shared" si="1195"/>
        <v>0</v>
      </c>
      <c r="H4623" s="341">
        <f>IF(A4623="","",VLOOKUP(A4623,VII.A!$A$10:$D$199,4,FALSE))</f>
        <v>0</v>
      </c>
      <c r="I4623" s="341" t="str">
        <f t="shared" si="1192"/>
        <v>SIM</v>
      </c>
      <c r="J4623" s="341" t="str">
        <f>IF(A4623="","",VLOOKUP(A4623,VII.A!$A$10:$D$199,3,FALSE))</f>
        <v>L</v>
      </c>
      <c r="K4623" s="342" t="str">
        <f t="shared" si="1193"/>
        <v>SIM</v>
      </c>
      <c r="L4623" s="380">
        <f>IF(C4623="","",G4619*C4623)</f>
        <v>300</v>
      </c>
      <c r="M4623" s="381" t="str">
        <f>IF(A4623="","",VLOOKUP(A4623,VII.A!$A$10:$B$199,2,FALSE))</f>
        <v>TINTA A BASE DE RESINA ACRILICA, PARA SINALIZACAO HORIZONTAL VIARIA (NBR 11862)</v>
      </c>
      <c r="N4623" s="342" t="str">
        <f t="shared" si="1194"/>
        <v>si</v>
      </c>
      <c r="R4623" s="341"/>
      <c r="S4623" s="341"/>
    </row>
    <row r="4624" spans="1:25" ht="12.75" customHeight="1">
      <c r="A4624" s="385" t="str">
        <f>VII.A!$A$74</f>
        <v>1.65</v>
      </c>
      <c r="B4624" s="386" t="str">
        <f>VII.A!B74</f>
        <v>MICROESFERAS DE VIDRO PARA SINALIZACAO HORIZONTAL VIARIA, TIPO I-B (PREMIX) - NBR 16184</v>
      </c>
      <c r="C4624" s="20">
        <v>0.4</v>
      </c>
      <c r="D4624" s="342" t="str">
        <f>VII.A!C74</f>
        <v>KG</v>
      </c>
      <c r="E4624" s="387">
        <f>VII.A!D74</f>
        <v>0</v>
      </c>
      <c r="F4624" s="388">
        <f t="shared" si="1195"/>
        <v>0</v>
      </c>
      <c r="H4624" s="341">
        <f>IF(A4624="","",VLOOKUP(A4624,VII.A!$A$10:$D$199,4,FALSE))</f>
        <v>0</v>
      </c>
      <c r="I4624" s="341" t="str">
        <f t="shared" si="1192"/>
        <v>SIM</v>
      </c>
      <c r="J4624" s="341" t="str">
        <f>IF(A4624="","",VLOOKUP(A4624,VII.A!$A$10:$D$199,3,FALSE))</f>
        <v>KG</v>
      </c>
      <c r="K4624" s="342" t="str">
        <f t="shared" si="1193"/>
        <v>SIM</v>
      </c>
      <c r="L4624" s="380">
        <f>IF(C4624="","",G4619*C4624)</f>
        <v>200</v>
      </c>
      <c r="M4624" s="381" t="str">
        <f>IF(A4624="","",VLOOKUP(A4624,VII.A!$A$10:$B$199,2,FALSE))</f>
        <v>MICROESFERAS DE VIDRO PARA SINALIZACAO HORIZONTAL VIARIA, TIPO I-B (PREMIX) - NBR 16184</v>
      </c>
      <c r="N4624" s="342" t="str">
        <f t="shared" si="1194"/>
        <v>si</v>
      </c>
      <c r="R4624" s="341"/>
      <c r="S4624" s="341"/>
    </row>
    <row r="4625" spans="1:21" ht="12.75" customHeight="1">
      <c r="A4625" s="385"/>
      <c r="B4625" s="386"/>
      <c r="C4625" s="20"/>
      <c r="D4625" s="342"/>
      <c r="E4625" s="387"/>
      <c r="F4625" s="388">
        <f t="shared" si="1195"/>
        <v>0</v>
      </c>
      <c r="H4625" s="341" t="str">
        <f>IF(A4625="","",VLOOKUP(A4625,VII.A!$A$10:$D$199,4,FALSE))</f>
        <v/>
      </c>
      <c r="I4625" s="341" t="str">
        <f t="shared" si="1192"/>
        <v/>
      </c>
      <c r="J4625" s="341" t="str">
        <f>IF(A4625="","",VLOOKUP(A4625,VII.A!$A$10:$D$199,3,FALSE))</f>
        <v/>
      </c>
      <c r="K4625" s="342" t="str">
        <f t="shared" si="1193"/>
        <v/>
      </c>
      <c r="L4625" s="380" t="str">
        <f>IF(C4625="","",G4619*C4625)</f>
        <v/>
      </c>
      <c r="M4625" s="381" t="str">
        <f>IF(A4625="","",VLOOKUP(A4625,VII.A!$A$10:$B$199,2,FALSE))</f>
        <v/>
      </c>
      <c r="N4625" s="342" t="str">
        <f t="shared" si="1194"/>
        <v/>
      </c>
      <c r="R4625" s="341"/>
      <c r="S4625" s="341"/>
    </row>
    <row r="4626" spans="1:21" ht="12.75" customHeight="1">
      <c r="A4626" s="385"/>
      <c r="B4626" s="386"/>
      <c r="C4626" s="20"/>
      <c r="D4626" s="342"/>
      <c r="E4626" s="387"/>
      <c r="F4626" s="388">
        <f t="shared" si="1195"/>
        <v>0</v>
      </c>
      <c r="H4626" s="341" t="str">
        <f>IF(A4626="","",VLOOKUP(A4626,VII.A!$A$10:$D$199,4,FALSE))</f>
        <v/>
      </c>
      <c r="I4626" s="341" t="str">
        <f t="shared" si="1192"/>
        <v/>
      </c>
      <c r="J4626" s="341" t="str">
        <f>IF(A4626="","",VLOOKUP(A4626,VII.A!$A$10:$D$199,3,FALSE))</f>
        <v/>
      </c>
      <c r="K4626" s="342" t="str">
        <f t="shared" si="1193"/>
        <v/>
      </c>
      <c r="L4626" s="380" t="str">
        <f>IF(C4626="","",G4619*C4626)</f>
        <v/>
      </c>
      <c r="M4626" s="381" t="str">
        <f>IF(A4626="","",VLOOKUP(A4626,VII.A!$A$10:$B$199,2,FALSE))</f>
        <v/>
      </c>
      <c r="N4626" s="342" t="str">
        <f t="shared" si="1194"/>
        <v/>
      </c>
      <c r="R4626" s="341"/>
      <c r="S4626" s="341"/>
      <c r="U4626" s="389"/>
    </row>
    <row r="4627" spans="1:21" ht="12.75" customHeight="1">
      <c r="A4627" s="385"/>
      <c r="B4627" s="386"/>
      <c r="C4627" s="20"/>
      <c r="D4627" s="342"/>
      <c r="E4627" s="387"/>
      <c r="F4627" s="388">
        <f t="shared" si="1195"/>
        <v>0</v>
      </c>
      <c r="H4627" s="341" t="str">
        <f>IF(A4627="","",VLOOKUP(A4627,VII.A!$A$10:$D$199,4,FALSE))</f>
        <v/>
      </c>
      <c r="I4627" s="341" t="str">
        <f t="shared" si="1192"/>
        <v/>
      </c>
      <c r="J4627" s="341" t="str">
        <f>IF(A4627="","",VLOOKUP(A4627,VII.A!$A$10:$D$199,3,FALSE))</f>
        <v/>
      </c>
      <c r="K4627" s="342" t="str">
        <f t="shared" si="1193"/>
        <v/>
      </c>
      <c r="L4627" s="380" t="str">
        <f>IF(C4627="","",G4619*C4627)</f>
        <v/>
      </c>
      <c r="M4627" s="381" t="str">
        <f>IF(A4627="","",VLOOKUP(A4627,VII.A!$A$10:$B$199,2,FALSE))</f>
        <v/>
      </c>
      <c r="N4627" s="342" t="str">
        <f t="shared" si="1194"/>
        <v/>
      </c>
      <c r="R4627" s="341"/>
      <c r="S4627" s="341"/>
    </row>
    <row r="4628" spans="1:21" ht="12.75" customHeight="1">
      <c r="A4628" s="385"/>
      <c r="B4628" s="386"/>
      <c r="C4628" s="20"/>
      <c r="D4628" s="342"/>
      <c r="E4628" s="387"/>
      <c r="F4628" s="388">
        <f t="shared" si="1195"/>
        <v>0</v>
      </c>
      <c r="G4628" s="390"/>
      <c r="H4628" s="341" t="str">
        <f>IF(A4628="","",VLOOKUP(A4628,VII.A!$A$10:$D$199,4,FALSE))</f>
        <v/>
      </c>
      <c r="I4628" s="341" t="str">
        <f t="shared" si="1192"/>
        <v/>
      </c>
      <c r="J4628" s="341" t="str">
        <f>IF(A4628="","",VLOOKUP(A4628,VII.A!$A$10:$D$199,3,FALSE))</f>
        <v/>
      </c>
      <c r="K4628" s="342" t="str">
        <f t="shared" si="1193"/>
        <v/>
      </c>
      <c r="L4628" s="380" t="str">
        <f>IF(C4628="","",G4619*C4628)</f>
        <v/>
      </c>
      <c r="M4628" s="381" t="str">
        <f>IF(A4628="","",VLOOKUP(A4628,VII.A!$A$10:$B$199,2,FALSE))</f>
        <v/>
      </c>
      <c r="N4628" s="342" t="str">
        <f t="shared" si="1194"/>
        <v/>
      </c>
      <c r="R4628" s="341"/>
      <c r="S4628" s="341"/>
    </row>
    <row r="4629" spans="1:21" ht="12.75" customHeight="1">
      <c r="A4629" s="385"/>
      <c r="B4629" s="386"/>
      <c r="C4629" s="20"/>
      <c r="D4629" s="342"/>
      <c r="E4629" s="387"/>
      <c r="F4629" s="388">
        <f t="shared" si="1195"/>
        <v>0</v>
      </c>
      <c r="G4629" s="390"/>
      <c r="H4629" s="341" t="str">
        <f>IF(A4629="","",VLOOKUP(A4629,VII.A!$A$10:$D$199,4,FALSE))</f>
        <v/>
      </c>
      <c r="I4629" s="341" t="str">
        <f t="shared" si="1192"/>
        <v/>
      </c>
      <c r="J4629" s="341" t="str">
        <f>IF(A4629="","",VLOOKUP(A4629,VII.A!$A$10:$D$199,3,FALSE))</f>
        <v/>
      </c>
      <c r="K4629" s="342" t="str">
        <f t="shared" si="1193"/>
        <v/>
      </c>
      <c r="L4629" s="380" t="str">
        <f>IF(C4629="","",G4619*C4629)</f>
        <v/>
      </c>
      <c r="M4629" s="381" t="str">
        <f>IF(A4629="","",VLOOKUP(A4629,VII.A!$A$10:$B$199,2,FALSE))</f>
        <v/>
      </c>
      <c r="N4629" s="342" t="str">
        <f t="shared" si="1194"/>
        <v/>
      </c>
      <c r="R4629" s="341"/>
      <c r="S4629" s="341"/>
    </row>
    <row r="4630" spans="1:21" ht="12.75" customHeight="1">
      <c r="A4630" s="385"/>
      <c r="B4630" s="386"/>
      <c r="C4630" s="20"/>
      <c r="D4630" s="342"/>
      <c r="E4630" s="387"/>
      <c r="F4630" s="388">
        <f t="shared" si="1195"/>
        <v>0</v>
      </c>
      <c r="G4630" s="391"/>
      <c r="H4630" s="341" t="str">
        <f>IF(A4630="","",VLOOKUP(A4630,VII.A!$A$10:$D$199,4,FALSE))</f>
        <v/>
      </c>
      <c r="I4630" s="341" t="str">
        <f t="shared" si="1192"/>
        <v/>
      </c>
      <c r="J4630" s="341" t="str">
        <f>IF(A4630="","",VLOOKUP(A4630,VII.A!$A$10:$D$199,3,FALSE))</f>
        <v/>
      </c>
      <c r="K4630" s="342" t="str">
        <f t="shared" si="1193"/>
        <v/>
      </c>
      <c r="L4630" s="380" t="str">
        <f>IF(C4630="","",G4619*C4630)</f>
        <v/>
      </c>
      <c r="M4630" s="381" t="str">
        <f>IF(A4630="","",VLOOKUP(A4630,VII.A!$A$10:$B$199,2,FALSE))</f>
        <v/>
      </c>
      <c r="N4630" s="342" t="str">
        <f t="shared" si="1194"/>
        <v/>
      </c>
      <c r="R4630" s="341"/>
      <c r="S4630" s="341"/>
    </row>
    <row r="4631" spans="1:21" ht="12.75" customHeight="1">
      <c r="A4631" s="385"/>
      <c r="B4631" s="386"/>
      <c r="C4631" s="20"/>
      <c r="D4631" s="342"/>
      <c r="E4631" s="387"/>
      <c r="F4631" s="388">
        <f t="shared" si="1195"/>
        <v>0</v>
      </c>
      <c r="H4631" s="341" t="str">
        <f>IF(A4631="","",VLOOKUP(A4631,VII.A!$A$10:$D$199,4,FALSE))</f>
        <v/>
      </c>
      <c r="I4631" s="341" t="str">
        <f t="shared" si="1192"/>
        <v/>
      </c>
      <c r="J4631" s="341" t="str">
        <f>IF(A4631="","",VLOOKUP(A4631,VII.A!$A$10:$D$199,3,FALSE))</f>
        <v/>
      </c>
      <c r="K4631" s="342" t="str">
        <f t="shared" si="1193"/>
        <v/>
      </c>
      <c r="L4631" s="380" t="str">
        <f>IF(C4631="","",G4619*C4631)</f>
        <v/>
      </c>
      <c r="M4631" s="381" t="str">
        <f>IF(A4631="","",VLOOKUP(A4631,VII.A!$A$10:$B$199,2,FALSE))</f>
        <v/>
      </c>
      <c r="N4631" s="342" t="str">
        <f t="shared" si="1194"/>
        <v/>
      </c>
      <c r="R4631" s="341"/>
      <c r="S4631" s="341"/>
    </row>
    <row r="4632" spans="1:21" ht="12.75" customHeight="1">
      <c r="A4632" s="385"/>
      <c r="B4632" s="386"/>
      <c r="C4632" s="20"/>
      <c r="D4632" s="392"/>
      <c r="E4632" s="387"/>
      <c r="F4632" s="388">
        <f t="shared" si="1195"/>
        <v>0</v>
      </c>
      <c r="H4632" s="341" t="str">
        <f>IF(A4632="","",VLOOKUP(A4632,VII.A!$A$10:$D$199,4,FALSE))</f>
        <v/>
      </c>
      <c r="I4632" s="341" t="str">
        <f t="shared" si="1192"/>
        <v/>
      </c>
      <c r="J4632" s="341" t="str">
        <f>IF(A4632="","",VLOOKUP(A4632,VII.A!$A$10:$D$199,3,FALSE))</f>
        <v/>
      </c>
      <c r="K4632" s="342" t="str">
        <f t="shared" si="1193"/>
        <v/>
      </c>
      <c r="L4632" s="380" t="str">
        <f>IF(C4632="","",G4619*C4632)</f>
        <v/>
      </c>
      <c r="M4632" s="381" t="str">
        <f>IF(A4632="","",VLOOKUP(A4632,VII.A!$A$10:$B$199,2,FALSE))</f>
        <v/>
      </c>
      <c r="N4632" s="342" t="str">
        <f t="shared" si="1194"/>
        <v/>
      </c>
      <c r="R4632" s="341"/>
      <c r="S4632" s="341"/>
    </row>
    <row r="4633" spans="1:21" ht="12.75" customHeight="1">
      <c r="A4633" s="385"/>
      <c r="B4633" s="386"/>
      <c r="C4633" s="20"/>
      <c r="D4633" s="392"/>
      <c r="E4633" s="387"/>
      <c r="F4633" s="388">
        <f t="shared" si="1195"/>
        <v>0</v>
      </c>
      <c r="H4633" s="341" t="str">
        <f>IF(A4633="","",VLOOKUP(A4633,VII.A!$A$10:$D$199,4,FALSE))</f>
        <v/>
      </c>
      <c r="I4633" s="341" t="str">
        <f t="shared" si="1192"/>
        <v/>
      </c>
      <c r="J4633" s="341" t="str">
        <f>IF(A4633="","",VLOOKUP(A4633,VII.A!$A$10:$D$199,3,FALSE))</f>
        <v/>
      </c>
      <c r="K4633" s="342" t="str">
        <f t="shared" si="1193"/>
        <v/>
      </c>
      <c r="L4633" s="380" t="str">
        <f>IF(C4633="","",G4619*C4633)</f>
        <v/>
      </c>
      <c r="M4633" s="381" t="str">
        <f>IF(A4633="","",VLOOKUP(A4633,VII.A!$A$10:$B$199,2,FALSE))</f>
        <v/>
      </c>
      <c r="N4633" s="342" t="str">
        <f t="shared" si="1194"/>
        <v/>
      </c>
      <c r="O4633" s="342"/>
      <c r="R4633" s="341"/>
      <c r="S4633" s="341"/>
    </row>
    <row r="4634" spans="1:21" ht="12.75" customHeight="1">
      <c r="A4634" s="385"/>
      <c r="B4634" s="386"/>
      <c r="C4634" s="20"/>
      <c r="D4634" s="392"/>
      <c r="E4634" s="387"/>
      <c r="F4634" s="388">
        <f t="shared" si="1195"/>
        <v>0</v>
      </c>
      <c r="H4634" s="341" t="str">
        <f>IF(A4634="","",VLOOKUP(A4634,VII.A!$A$10:$D$199,4,FALSE))</f>
        <v/>
      </c>
      <c r="I4634" s="341" t="str">
        <f t="shared" si="1192"/>
        <v/>
      </c>
      <c r="J4634" s="341" t="str">
        <f>IF(A4634="","",VLOOKUP(A4634,VII.A!$A$10:$D$199,3,FALSE))</f>
        <v/>
      </c>
      <c r="K4634" s="342" t="str">
        <f t="shared" si="1193"/>
        <v/>
      </c>
      <c r="L4634" s="380" t="str">
        <f>IF(C4634="","",G4619*C4634)</f>
        <v/>
      </c>
      <c r="M4634" s="381" t="str">
        <f>IF(A4634="","",VLOOKUP(A4634,VII.A!$A$10:$B$199,2,FALSE))</f>
        <v/>
      </c>
      <c r="N4634" s="342" t="str">
        <f t="shared" si="1194"/>
        <v/>
      </c>
      <c r="R4634" s="341"/>
      <c r="S4634" s="341"/>
    </row>
    <row r="4635" spans="1:21" ht="12.75" customHeight="1">
      <c r="A4635" s="393"/>
      <c r="C4635" s="20"/>
      <c r="E4635" s="387"/>
      <c r="F4635" s="388">
        <f t="shared" si="1195"/>
        <v>0</v>
      </c>
      <c r="H4635" s="341" t="str">
        <f>IF(A4635="","",VLOOKUP(A4635,VII.A!$A$10:$D$199,4,FALSE))</f>
        <v/>
      </c>
      <c r="I4635" s="341" t="str">
        <f t="shared" si="1192"/>
        <v/>
      </c>
      <c r="J4635" s="341" t="str">
        <f>IF(A4635="","",VLOOKUP(A4635,VII.A!$A$10:$D$199,3,FALSE))</f>
        <v/>
      </c>
      <c r="K4635" s="342" t="str">
        <f t="shared" si="1193"/>
        <v/>
      </c>
      <c r="L4635" s="380" t="str">
        <f>IF(C4635="","",G4619*C4635)</f>
        <v/>
      </c>
      <c r="M4635" s="381" t="str">
        <f>IF(A4635="","",VLOOKUP(A4635,VII.A!$A$10:$B$199,2,FALSE))</f>
        <v/>
      </c>
      <c r="N4635" s="342" t="str">
        <f t="shared" si="1194"/>
        <v/>
      </c>
      <c r="R4635" s="341"/>
      <c r="S4635" s="341"/>
    </row>
    <row r="4636" spans="1:21" ht="12.75" customHeight="1">
      <c r="A4636" s="393"/>
      <c r="C4636" s="20"/>
      <c r="E4636" s="387"/>
      <c r="F4636" s="388">
        <f t="shared" si="1195"/>
        <v>0</v>
      </c>
      <c r="H4636" s="341" t="str">
        <f>IF(A4636="","",VLOOKUP(A4636,VII.A!$A$10:$D$199,4,FALSE))</f>
        <v/>
      </c>
      <c r="I4636" s="341" t="str">
        <f t="shared" si="1192"/>
        <v/>
      </c>
      <c r="J4636" s="341" t="str">
        <f>IF(A4636="","",VLOOKUP(A4636,VII.A!$A$10:$D$199,3,FALSE))</f>
        <v/>
      </c>
      <c r="K4636" s="342" t="str">
        <f t="shared" si="1193"/>
        <v/>
      </c>
      <c r="L4636" s="380" t="str">
        <f>IF(C4636="","",G4619*C4636)</f>
        <v/>
      </c>
      <c r="M4636" s="381" t="str">
        <f>IF(A4636="","",VLOOKUP(A4636,VII.A!$A$10:$B$199,2,FALSE))</f>
        <v/>
      </c>
      <c r="N4636" s="342" t="str">
        <f t="shared" si="1194"/>
        <v/>
      </c>
      <c r="R4636" s="341"/>
      <c r="S4636" s="341"/>
    </row>
    <row r="4637" spans="1:21" ht="12.75" customHeight="1">
      <c r="A4637" s="393"/>
      <c r="B4637" s="395" t="s">
        <v>226</v>
      </c>
      <c r="C4637" s="396"/>
      <c r="D4637" s="397"/>
      <c r="E4637" s="398"/>
      <c r="F4637" s="399">
        <f>SUM(F4621:F4636)</f>
        <v>0</v>
      </c>
      <c r="H4637" s="426" t="s">
        <v>412</v>
      </c>
      <c r="J4637" s="341"/>
      <c r="L4637" s="380"/>
      <c r="M4637" s="381"/>
      <c r="N4637" s="342"/>
      <c r="R4637" s="341"/>
      <c r="S4637" s="341"/>
    </row>
    <row r="4638" spans="1:21" ht="12.75" customHeight="1">
      <c r="A4638" s="393"/>
      <c r="B4638" s="400" t="s">
        <v>53</v>
      </c>
      <c r="C4638" s="2">
        <f>$D$8</f>
        <v>0</v>
      </c>
      <c r="D4638" s="401"/>
      <c r="E4638" s="402"/>
      <c r="F4638" s="403">
        <f>ROUND(F4637*C4638,2)</f>
        <v>0</v>
      </c>
      <c r="J4638" s="341"/>
      <c r="L4638" s="380"/>
      <c r="M4638" s="381"/>
      <c r="N4638" s="342"/>
      <c r="R4638" s="341"/>
      <c r="S4638" s="341"/>
    </row>
    <row r="4639" spans="1:21" ht="12.75" customHeight="1">
      <c r="A4639" s="404"/>
      <c r="B4639" s="405" t="s">
        <v>227</v>
      </c>
      <c r="C4639" s="406"/>
      <c r="D4639" s="406"/>
      <c r="E4639" s="407"/>
      <c r="F4639" s="408">
        <f>F4637+F4638</f>
        <v>0</v>
      </c>
      <c r="J4639" s="341"/>
      <c r="L4639" s="380"/>
      <c r="M4639" s="381"/>
      <c r="N4639" s="342"/>
      <c r="R4639" s="341"/>
      <c r="S4639" s="341"/>
    </row>
    <row r="4640" spans="1:21" ht="12.75" customHeight="1">
      <c r="A4640" s="374" t="s">
        <v>2</v>
      </c>
      <c r="B4640" s="375" t="s">
        <v>235</v>
      </c>
      <c r="C4640" s="376" t="s">
        <v>231</v>
      </c>
      <c r="D4640" s="376" t="s">
        <v>232</v>
      </c>
      <c r="E4640" s="377" t="s">
        <v>233</v>
      </c>
      <c r="F4640" s="378" t="s">
        <v>234</v>
      </c>
      <c r="J4640" s="341"/>
      <c r="L4640" s="380"/>
      <c r="M4640" s="381"/>
      <c r="N4640" s="342"/>
      <c r="R4640" s="341"/>
      <c r="S4640" s="341"/>
    </row>
    <row r="4641" spans="1:19" ht="12.75" customHeight="1">
      <c r="A4641" s="393" t="str">
        <f>VII.A!$A$153</f>
        <v>2.11</v>
      </c>
      <c r="B4641" s="423" t="str">
        <f>VII.A!B153</f>
        <v>CAMINHÃO - CARROCERIA FIXA ABERTA DE MADEIRA COM CAPACIDADE 5 T *160CV - CHI</v>
      </c>
      <c r="C4641" s="20">
        <v>3.333E-3</v>
      </c>
      <c r="D4641" s="384" t="str">
        <f>VII.A!C153</f>
        <v>CHI</v>
      </c>
      <c r="E4641" s="387">
        <f>VII.A!D153</f>
        <v>0</v>
      </c>
      <c r="F4641" s="388">
        <f t="shared" ref="F4641:F4650" si="1196">ROUND(C4641*E4641,2)</f>
        <v>0</v>
      </c>
      <c r="H4641" s="341">
        <f>IF(A4641="","",VLOOKUP(A4641,VII.A!$A$10:$D$199,4,FALSE))</f>
        <v>0</v>
      </c>
      <c r="I4641" s="341" t="str">
        <f t="shared" ref="I4641:I4650" si="1197">IF(A4641="","",IF(E4641=H4641,"SIM","NÃO"))</f>
        <v>SIM</v>
      </c>
      <c r="J4641" s="341" t="str">
        <f>IF(A4641="","",VLOOKUP(A4641,VII.A!$A$10:$D$199,3,FALSE))</f>
        <v>CHI</v>
      </c>
      <c r="K4641" s="342" t="str">
        <f t="shared" ref="K4641:K4650" si="1198">IF(A4641="","",IF(J4641=D4641,"SIM","NÃO"))</f>
        <v>SIM</v>
      </c>
      <c r="L4641" s="380">
        <f>IF(C4641="","",G4619*C4641)</f>
        <v>1.6665000000000001</v>
      </c>
      <c r="M4641" s="381" t="str">
        <f>IF(A4641="","",VLOOKUP(A4641,VII.A!$A$10:$B$199,2,FALSE))</f>
        <v>CAMINHÃO - CARROCERIA FIXA ABERTA DE MADEIRA COM CAPACIDADE 5 T *160CV - CHI</v>
      </c>
      <c r="N4641" s="342" t="str">
        <f t="shared" ref="N4641:N4650" si="1199">IF(B4641="","",IF(M4641=B4641,"si","no"))</f>
        <v>si</v>
      </c>
      <c r="R4641" s="341"/>
      <c r="S4641" s="341"/>
    </row>
    <row r="4642" spans="1:19" ht="12.75" customHeight="1">
      <c r="A4642" s="393" t="str">
        <f>VII.A!$A$163</f>
        <v>2.21</v>
      </c>
      <c r="B4642" s="394" t="str">
        <f>VII.A!B163</f>
        <v>MÁQUINA DEMARCADORA DE FAIXA DE TRÁFEGO À FRIO, AUTOPROPELIDA, POTÊNCIA 38 HP</v>
      </c>
      <c r="C4642" s="20">
        <v>3.333E-3</v>
      </c>
      <c r="D4642" s="384" t="str">
        <f>VII.A!C163</f>
        <v>CHP</v>
      </c>
      <c r="E4642" s="387">
        <f>VII.A!D163</f>
        <v>0</v>
      </c>
      <c r="F4642" s="388">
        <f t="shared" si="1196"/>
        <v>0</v>
      </c>
      <c r="H4642" s="341">
        <f>IF(A4642="","",VLOOKUP(A4642,VII.A!$A$10:$D$199,4,FALSE))</f>
        <v>0</v>
      </c>
      <c r="I4642" s="341" t="str">
        <f t="shared" si="1197"/>
        <v>SIM</v>
      </c>
      <c r="J4642" s="341" t="str">
        <f>IF(A4642="","",VLOOKUP(A4642,VII.A!$A$10:$D$199,3,FALSE))</f>
        <v>CHP</v>
      </c>
      <c r="K4642" s="342" t="str">
        <f t="shared" si="1198"/>
        <v>SIM</v>
      </c>
      <c r="L4642" s="380">
        <f>IF(C4642="","",G4619*C4642)</f>
        <v>1.6665000000000001</v>
      </c>
      <c r="M4642" s="381" t="str">
        <f>IF(A4642="","",VLOOKUP(A4642,VII.A!$A$10:$B$199,2,FALSE))</f>
        <v>MÁQUINA DEMARCADORA DE FAIXA DE TRÁFEGO À FRIO, AUTOPROPELIDA, POTÊNCIA 38 HP</v>
      </c>
      <c r="N4642" s="342" t="str">
        <f t="shared" si="1199"/>
        <v>si</v>
      </c>
      <c r="R4642" s="341"/>
      <c r="S4642" s="341"/>
    </row>
    <row r="4643" spans="1:19" ht="12.75" customHeight="1">
      <c r="A4643" s="393"/>
      <c r="C4643" s="20"/>
      <c r="E4643" s="387"/>
      <c r="F4643" s="388">
        <f t="shared" si="1196"/>
        <v>0</v>
      </c>
      <c r="H4643" s="341" t="str">
        <f>IF(A4643="","",VLOOKUP(A4643,VII.A!$A$10:$D$199,4,FALSE))</f>
        <v/>
      </c>
      <c r="I4643" s="341" t="str">
        <f t="shared" si="1197"/>
        <v/>
      </c>
      <c r="J4643" s="341" t="str">
        <f>IF(A4643="","",VLOOKUP(A4643,VII.A!$A$10:$D$199,3,FALSE))</f>
        <v/>
      </c>
      <c r="K4643" s="342" t="str">
        <f t="shared" si="1198"/>
        <v/>
      </c>
      <c r="L4643" s="380" t="str">
        <f>IF(C4643="","",G4619*C4643)</f>
        <v/>
      </c>
      <c r="M4643" s="381" t="str">
        <f>IF(A4643="","",VLOOKUP(A4643,VII.A!$A$10:$B$199,2,FALSE))</f>
        <v/>
      </c>
      <c r="N4643" s="342" t="str">
        <f t="shared" si="1199"/>
        <v/>
      </c>
      <c r="R4643" s="341"/>
      <c r="S4643" s="341"/>
    </row>
    <row r="4644" spans="1:19" ht="12.75" customHeight="1">
      <c r="A4644" s="393"/>
      <c r="C4644" s="20"/>
      <c r="E4644" s="387"/>
      <c r="F4644" s="388">
        <f t="shared" si="1196"/>
        <v>0</v>
      </c>
      <c r="H4644" s="341" t="str">
        <f>IF(A4644="","",VLOOKUP(A4644,VII.A!$A$10:$D$199,4,FALSE))</f>
        <v/>
      </c>
      <c r="I4644" s="341" t="str">
        <f t="shared" si="1197"/>
        <v/>
      </c>
      <c r="J4644" s="341" t="str">
        <f>IF(A4644="","",VLOOKUP(A4644,VII.A!$A$10:$D$199,3,FALSE))</f>
        <v/>
      </c>
      <c r="K4644" s="342" t="str">
        <f t="shared" si="1198"/>
        <v/>
      </c>
      <c r="L4644" s="380" t="str">
        <f>IF(C4644="","",G4619*C4644)</f>
        <v/>
      </c>
      <c r="M4644" s="381" t="str">
        <f>IF(A4644="","",VLOOKUP(A4644,VII.A!$A$10:$B$199,2,FALSE))</f>
        <v/>
      </c>
      <c r="N4644" s="342" t="str">
        <f t="shared" si="1199"/>
        <v/>
      </c>
      <c r="R4644" s="341"/>
      <c r="S4644" s="341"/>
    </row>
    <row r="4645" spans="1:19" ht="12.75" customHeight="1">
      <c r="A4645" s="393"/>
      <c r="C4645" s="20"/>
      <c r="E4645" s="387"/>
      <c r="F4645" s="388">
        <f t="shared" si="1196"/>
        <v>0</v>
      </c>
      <c r="G4645" s="390"/>
      <c r="H4645" s="341" t="str">
        <f>IF(A4645="","",VLOOKUP(A4645,VII.A!$A$10:$D$199,4,FALSE))</f>
        <v/>
      </c>
      <c r="I4645" s="341" t="str">
        <f t="shared" si="1197"/>
        <v/>
      </c>
      <c r="J4645" s="341" t="str">
        <f>IF(A4645="","",VLOOKUP(A4645,VII.A!$A$10:$D$199,3,FALSE))</f>
        <v/>
      </c>
      <c r="K4645" s="342" t="str">
        <f t="shared" si="1198"/>
        <v/>
      </c>
      <c r="L4645" s="380" t="str">
        <f>IF(C4645="","",G4619*C4645)</f>
        <v/>
      </c>
      <c r="M4645" s="381" t="str">
        <f>IF(A4645="","",VLOOKUP(A4645,VII.A!$A$10:$B$199,2,FALSE))</f>
        <v/>
      </c>
      <c r="N4645" s="342" t="str">
        <f t="shared" si="1199"/>
        <v/>
      </c>
      <c r="R4645" s="341"/>
      <c r="S4645" s="341"/>
    </row>
    <row r="4646" spans="1:19" ht="12.75" customHeight="1">
      <c r="A4646" s="393"/>
      <c r="C4646" s="20"/>
      <c r="E4646" s="387"/>
      <c r="F4646" s="388">
        <f t="shared" si="1196"/>
        <v>0</v>
      </c>
      <c r="G4646" s="391"/>
      <c r="H4646" s="341" t="str">
        <f>IF(A4646="","",VLOOKUP(A4646,VII.A!$A$10:$D$199,4,FALSE))</f>
        <v/>
      </c>
      <c r="I4646" s="341" t="str">
        <f t="shared" si="1197"/>
        <v/>
      </c>
      <c r="J4646" s="341" t="str">
        <f>IF(A4646="","",VLOOKUP(A4646,VII.A!$A$10:$D$199,3,FALSE))</f>
        <v/>
      </c>
      <c r="K4646" s="342" t="str">
        <f t="shared" si="1198"/>
        <v/>
      </c>
      <c r="L4646" s="380" t="str">
        <f>IF(C4646="","",G4619*C4646)</f>
        <v/>
      </c>
      <c r="M4646" s="381" t="str">
        <f>IF(A4646="","",VLOOKUP(A4646,VII.A!$A$10:$B$199,2,FALSE))</f>
        <v/>
      </c>
      <c r="N4646" s="342" t="str">
        <f t="shared" si="1199"/>
        <v/>
      </c>
      <c r="R4646" s="341"/>
      <c r="S4646" s="341"/>
    </row>
    <row r="4647" spans="1:19" ht="12.75" customHeight="1">
      <c r="A4647" s="393"/>
      <c r="C4647" s="20"/>
      <c r="E4647" s="387"/>
      <c r="F4647" s="388">
        <f t="shared" si="1196"/>
        <v>0</v>
      </c>
      <c r="H4647" s="341" t="str">
        <f>IF(A4647="","",VLOOKUP(A4647,VII.A!$A$10:$D$199,4,FALSE))</f>
        <v/>
      </c>
      <c r="I4647" s="341" t="str">
        <f t="shared" si="1197"/>
        <v/>
      </c>
      <c r="J4647" s="341" t="str">
        <f>IF(A4647="","",VLOOKUP(A4647,VII.A!$A$10:$D$199,3,FALSE))</f>
        <v/>
      </c>
      <c r="K4647" s="342" t="str">
        <f t="shared" si="1198"/>
        <v/>
      </c>
      <c r="L4647" s="380" t="str">
        <f>IF(C4647="","",G4619*C4647)</f>
        <v/>
      </c>
      <c r="M4647" s="381" t="str">
        <f>IF(A4647="","",VLOOKUP(A4647,VII.A!$A$10:$B$199,2,FALSE))</f>
        <v/>
      </c>
      <c r="N4647" s="342" t="str">
        <f t="shared" si="1199"/>
        <v/>
      </c>
      <c r="R4647" s="341"/>
      <c r="S4647" s="341"/>
    </row>
    <row r="4648" spans="1:19" ht="12.75" customHeight="1">
      <c r="A4648" s="393"/>
      <c r="C4648" s="20"/>
      <c r="E4648" s="387"/>
      <c r="F4648" s="388">
        <f t="shared" si="1196"/>
        <v>0</v>
      </c>
      <c r="H4648" s="341" t="str">
        <f>IF(A4648="","",VLOOKUP(A4648,VII.A!$A$10:$D$199,4,FALSE))</f>
        <v/>
      </c>
      <c r="I4648" s="341" t="str">
        <f t="shared" si="1197"/>
        <v/>
      </c>
      <c r="J4648" s="341" t="str">
        <f>IF(A4648="","",VLOOKUP(A4648,VII.A!$A$10:$D$199,3,FALSE))</f>
        <v/>
      </c>
      <c r="K4648" s="342" t="str">
        <f t="shared" si="1198"/>
        <v/>
      </c>
      <c r="L4648" s="380" t="str">
        <f>IF(C4648="","",G4619*C4648)</f>
        <v/>
      </c>
      <c r="M4648" s="381" t="str">
        <f>IF(A4648="","",VLOOKUP(A4648,VII.A!$A$10:$B$199,2,FALSE))</f>
        <v/>
      </c>
      <c r="N4648" s="342" t="str">
        <f t="shared" si="1199"/>
        <v/>
      </c>
      <c r="R4648" s="341"/>
      <c r="S4648" s="341"/>
    </row>
    <row r="4649" spans="1:19" ht="12.75" customHeight="1">
      <c r="A4649" s="393"/>
      <c r="C4649" s="20"/>
      <c r="E4649" s="387"/>
      <c r="F4649" s="388">
        <f t="shared" si="1196"/>
        <v>0</v>
      </c>
      <c r="H4649" s="341" t="str">
        <f>IF(A4649="","",VLOOKUP(A4649,VII.A!$A$10:$D$199,4,FALSE))</f>
        <v/>
      </c>
      <c r="I4649" s="341" t="str">
        <f t="shared" si="1197"/>
        <v/>
      </c>
      <c r="J4649" s="341" t="str">
        <f>IF(A4649="","",VLOOKUP(A4649,VII.A!$A$10:$D$199,3,FALSE))</f>
        <v/>
      </c>
      <c r="K4649" s="342" t="str">
        <f t="shared" si="1198"/>
        <v/>
      </c>
      <c r="L4649" s="380" t="str">
        <f>IF(C4649="","",G4619*C4649)</f>
        <v/>
      </c>
      <c r="M4649" s="381" t="str">
        <f>IF(A4649="","",VLOOKUP(A4649,VII.A!$A$10:$B$199,2,FALSE))</f>
        <v/>
      </c>
      <c r="N4649" s="342" t="str">
        <f t="shared" si="1199"/>
        <v/>
      </c>
      <c r="R4649" s="341"/>
      <c r="S4649" s="341"/>
    </row>
    <row r="4650" spans="1:19" ht="12.75" customHeight="1">
      <c r="A4650" s="393"/>
      <c r="C4650" s="20"/>
      <c r="E4650" s="387"/>
      <c r="F4650" s="388">
        <f t="shared" si="1196"/>
        <v>0</v>
      </c>
      <c r="H4650" s="341" t="str">
        <f>IF(A4650="","",VLOOKUP(A4650,VII.A!$A$10:$D$199,4,FALSE))</f>
        <v/>
      </c>
      <c r="I4650" s="341" t="str">
        <f t="shared" si="1197"/>
        <v/>
      </c>
      <c r="J4650" s="341" t="str">
        <f>IF(A4650="","",VLOOKUP(A4650,VII.A!$A$10:$D$199,3,FALSE))</f>
        <v/>
      </c>
      <c r="K4650" s="342" t="str">
        <f t="shared" si="1198"/>
        <v/>
      </c>
      <c r="L4650" s="380" t="str">
        <f>IF(C4650="","",G4619*C4650)</f>
        <v/>
      </c>
      <c r="M4650" s="381" t="str">
        <f>IF(A4650="","",VLOOKUP(A4650,VII.A!$A$10:$B$199,2,FALSE))</f>
        <v/>
      </c>
      <c r="N4650" s="342" t="str">
        <f t="shared" si="1199"/>
        <v/>
      </c>
      <c r="R4650" s="341"/>
      <c r="S4650" s="341"/>
    </row>
    <row r="4651" spans="1:19" ht="12.75" customHeight="1">
      <c r="A4651" s="393"/>
      <c r="B4651" s="395" t="s">
        <v>226</v>
      </c>
      <c r="C4651" s="396"/>
      <c r="D4651" s="397"/>
      <c r="E4651" s="398"/>
      <c r="F4651" s="399">
        <f>SUM(F4641:F4650)</f>
        <v>0</v>
      </c>
      <c r="J4651" s="341"/>
      <c r="L4651" s="380"/>
      <c r="M4651" s="381"/>
      <c r="N4651" s="342"/>
      <c r="R4651" s="341"/>
      <c r="S4651" s="341"/>
    </row>
    <row r="4652" spans="1:19" ht="12.75" customHeight="1">
      <c r="A4652" s="393"/>
      <c r="B4652" s="400" t="s">
        <v>53</v>
      </c>
      <c r="C4652" s="2">
        <f>$D$8</f>
        <v>0</v>
      </c>
      <c r="D4652" s="401"/>
      <c r="E4652" s="402"/>
      <c r="F4652" s="403">
        <f>ROUND(C4652*F4651,2)</f>
        <v>0</v>
      </c>
      <c r="J4652" s="341"/>
      <c r="L4652" s="380"/>
      <c r="M4652" s="381"/>
      <c r="N4652" s="342"/>
      <c r="R4652" s="341"/>
      <c r="S4652" s="341"/>
    </row>
    <row r="4653" spans="1:19" ht="12.75" customHeight="1">
      <c r="A4653" s="404"/>
      <c r="B4653" s="405" t="s">
        <v>228</v>
      </c>
      <c r="C4653" s="406"/>
      <c r="D4653" s="406"/>
      <c r="E4653" s="407"/>
      <c r="F4653" s="408">
        <f>F4651+F4652</f>
        <v>0</v>
      </c>
      <c r="J4653" s="341"/>
      <c r="L4653" s="380"/>
      <c r="M4653" s="381"/>
      <c r="N4653" s="342"/>
      <c r="R4653" s="341"/>
      <c r="S4653" s="341"/>
    </row>
    <row r="4654" spans="1:19" ht="12.75" customHeight="1">
      <c r="A4654" s="409" t="s">
        <v>47</v>
      </c>
      <c r="B4654" s="410" t="s">
        <v>236</v>
      </c>
      <c r="C4654" s="411" t="s">
        <v>231</v>
      </c>
      <c r="D4654" s="412" t="s">
        <v>232</v>
      </c>
      <c r="E4654" s="413" t="s">
        <v>233</v>
      </c>
      <c r="F4654" s="378" t="s">
        <v>234</v>
      </c>
      <c r="J4654" s="341"/>
      <c r="L4654" s="380"/>
      <c r="M4654" s="381"/>
      <c r="N4654" s="342"/>
      <c r="R4654" s="341"/>
      <c r="S4654" s="341"/>
    </row>
    <row r="4655" spans="1:19" ht="12.75" customHeight="1">
      <c r="A4655" s="393" t="str">
        <f>VII.A!$A$196</f>
        <v>3.16</v>
      </c>
      <c r="B4655" s="394" t="str">
        <f>VII.A!B196</f>
        <v>SERVENTE COM ENCARGOS COMPLEMENTARES</v>
      </c>
      <c r="C4655" s="20">
        <v>3.3329999999999999E-2</v>
      </c>
      <c r="D4655" s="384" t="str">
        <f>VII.A!C196</f>
        <v>H</v>
      </c>
      <c r="E4655" s="387">
        <f>VII.A!D196</f>
        <v>0</v>
      </c>
      <c r="F4655" s="388">
        <f t="shared" ref="F4655:F4661" si="1200">ROUND(C4655*E4655,2)</f>
        <v>0</v>
      </c>
      <c r="H4655" s="341">
        <f>IF(A4655="","",VLOOKUP(A4655,VII.A!$A$10:$D$199,4,FALSE))</f>
        <v>0</v>
      </c>
      <c r="I4655" s="341" t="str">
        <f t="shared" ref="I4655:I4661" si="1201">IF(A4655="","",IF(E4655=H4655,"SIM","NÃO"))</f>
        <v>SIM</v>
      </c>
      <c r="J4655" s="341" t="str">
        <f>IF(A4655="","",VLOOKUP(A4655,VII.A!$A$10:$D$199,3,FALSE))</f>
        <v>H</v>
      </c>
      <c r="K4655" s="342" t="str">
        <f t="shared" ref="K4655:K4661" si="1202">IF(A4655="","",IF(J4655=D4655,"SIM","NÃO"))</f>
        <v>SIM</v>
      </c>
      <c r="L4655" s="380">
        <f>IF(C4655="","",G4619*C4655)</f>
        <v>16.664999999999999</v>
      </c>
      <c r="M4655" s="381" t="str">
        <f>IF(A4655="","",VLOOKUP(A4655,VII.A!$A$10:$B$199,2,FALSE))</f>
        <v>SERVENTE COM ENCARGOS COMPLEMENTARES</v>
      </c>
      <c r="N4655" s="342" t="str">
        <f t="shared" ref="N4655:N4661" si="1203">IF(B4655="","",IF(M4655=B4655,"si","no"))</f>
        <v>si</v>
      </c>
      <c r="R4655" s="341"/>
      <c r="S4655" s="341"/>
    </row>
    <row r="4656" spans="1:19" ht="12.75" customHeight="1">
      <c r="A4656" s="393"/>
      <c r="C4656" s="20"/>
      <c r="E4656" s="387"/>
      <c r="F4656" s="388">
        <f t="shared" si="1200"/>
        <v>0</v>
      </c>
      <c r="H4656" s="341" t="str">
        <f>IF(A4656="","",VLOOKUP(A4656,VII.A!$A$10:$D$199,4,FALSE))</f>
        <v/>
      </c>
      <c r="I4656" s="341" t="str">
        <f t="shared" si="1201"/>
        <v/>
      </c>
      <c r="J4656" s="341" t="str">
        <f>IF(A4656="","",VLOOKUP(A4656,VII.A!$A$10:$D$199,3,FALSE))</f>
        <v/>
      </c>
      <c r="K4656" s="342" t="str">
        <f t="shared" si="1202"/>
        <v/>
      </c>
      <c r="L4656" s="380" t="str">
        <f>IF(C4656="","",G4619*C4656)</f>
        <v/>
      </c>
      <c r="M4656" s="381" t="str">
        <f>IF(A4656="","",VLOOKUP(A4656,VII.A!$A$10:$B$199,2,FALSE))</f>
        <v/>
      </c>
      <c r="N4656" s="342" t="str">
        <f t="shared" si="1203"/>
        <v/>
      </c>
      <c r="R4656" s="341"/>
      <c r="S4656" s="341"/>
    </row>
    <row r="4657" spans="1:31" ht="12.75" customHeight="1">
      <c r="A4657" s="393"/>
      <c r="C4657" s="20"/>
      <c r="E4657" s="387"/>
      <c r="F4657" s="388">
        <f t="shared" si="1200"/>
        <v>0</v>
      </c>
      <c r="H4657" s="341" t="str">
        <f>IF(A4657="","",VLOOKUP(A4657,VII.A!$A$10:$D$199,4,FALSE))</f>
        <v/>
      </c>
      <c r="I4657" s="341" t="str">
        <f t="shared" si="1201"/>
        <v/>
      </c>
      <c r="J4657" s="341" t="str">
        <f>IF(A4657="","",VLOOKUP(A4657,VII.A!$A$10:$D$199,3,FALSE))</f>
        <v/>
      </c>
      <c r="K4657" s="342" t="str">
        <f t="shared" si="1202"/>
        <v/>
      </c>
      <c r="L4657" s="380" t="str">
        <f>IF(C4657="","",G4619*C4657)</f>
        <v/>
      </c>
      <c r="M4657" s="381" t="str">
        <f>IF(A4657="","",VLOOKUP(A4657,VII.A!$A$10:$B$199,2,FALSE))</f>
        <v/>
      </c>
      <c r="N4657" s="342" t="str">
        <f t="shared" si="1203"/>
        <v/>
      </c>
      <c r="R4657" s="341"/>
      <c r="S4657" s="341"/>
    </row>
    <row r="4658" spans="1:31" ht="12.75" customHeight="1">
      <c r="A4658" s="393"/>
      <c r="C4658" s="20"/>
      <c r="E4658" s="387"/>
      <c r="F4658" s="388">
        <f t="shared" si="1200"/>
        <v>0</v>
      </c>
      <c r="H4658" s="341" t="str">
        <f>IF(A4658="","",VLOOKUP(A4658,VII.A!$A$10:$D$199,4,FALSE))</f>
        <v/>
      </c>
      <c r="I4658" s="341" t="str">
        <f t="shared" si="1201"/>
        <v/>
      </c>
      <c r="J4658" s="341" t="str">
        <f>IF(A4658="","",VLOOKUP(A4658,VII.A!$A$10:$D$199,3,FALSE))</f>
        <v/>
      </c>
      <c r="K4658" s="342" t="str">
        <f t="shared" si="1202"/>
        <v/>
      </c>
      <c r="L4658" s="380" t="str">
        <f>IF(C4658="","",G4619*C4658)</f>
        <v/>
      </c>
      <c r="M4658" s="381" t="str">
        <f>IF(A4658="","",VLOOKUP(A4658,VII.A!$A$10:$B$199,2,FALSE))</f>
        <v/>
      </c>
      <c r="N4658" s="342" t="str">
        <f t="shared" si="1203"/>
        <v/>
      </c>
      <c r="R4658" s="341"/>
      <c r="S4658" s="341"/>
    </row>
    <row r="4659" spans="1:31" ht="12.75" customHeight="1">
      <c r="A4659" s="393"/>
      <c r="C4659" s="20"/>
      <c r="E4659" s="387"/>
      <c r="F4659" s="388">
        <f t="shared" si="1200"/>
        <v>0</v>
      </c>
      <c r="H4659" s="341" t="str">
        <f>IF(A4659="","",VLOOKUP(A4659,VII.A!$A$10:$D$199,4,FALSE))</f>
        <v/>
      </c>
      <c r="I4659" s="341" t="str">
        <f t="shared" si="1201"/>
        <v/>
      </c>
      <c r="J4659" s="341" t="str">
        <f>IF(A4659="","",VLOOKUP(A4659,VII.A!$A$10:$D$199,3,FALSE))</f>
        <v/>
      </c>
      <c r="K4659" s="342" t="str">
        <f t="shared" si="1202"/>
        <v/>
      </c>
      <c r="L4659" s="380" t="str">
        <f>IF(C4659="","",G4619*C4659)</f>
        <v/>
      </c>
      <c r="M4659" s="381" t="str">
        <f>IF(A4659="","",VLOOKUP(A4659,VII.A!$A$10:$B$199,2,FALSE))</f>
        <v/>
      </c>
      <c r="N4659" s="342" t="str">
        <f t="shared" si="1203"/>
        <v/>
      </c>
      <c r="R4659" s="341"/>
      <c r="S4659" s="341"/>
    </row>
    <row r="4660" spans="1:31" ht="12.75" customHeight="1">
      <c r="A4660" s="393"/>
      <c r="C4660" s="20"/>
      <c r="E4660" s="387"/>
      <c r="F4660" s="388">
        <f t="shared" si="1200"/>
        <v>0</v>
      </c>
      <c r="H4660" s="341" t="str">
        <f>IF(A4660="","",VLOOKUP(A4660,VII.A!$A$10:$D$199,4,FALSE))</f>
        <v/>
      </c>
      <c r="I4660" s="341" t="str">
        <f t="shared" si="1201"/>
        <v/>
      </c>
      <c r="J4660" s="341" t="str">
        <f>IF(A4660="","",VLOOKUP(A4660,VII.A!$A$10:$D$199,3,FALSE))</f>
        <v/>
      </c>
      <c r="K4660" s="342" t="str">
        <f t="shared" si="1202"/>
        <v/>
      </c>
      <c r="L4660" s="380" t="str">
        <f>IF(C4660="","",G4619*C4660)</f>
        <v/>
      </c>
      <c r="M4660" s="381" t="str">
        <f>IF(A4660="","",VLOOKUP(A4660,VII.A!$A$10:$B$199,2,FALSE))</f>
        <v/>
      </c>
      <c r="N4660" s="342" t="str">
        <f t="shared" si="1203"/>
        <v/>
      </c>
      <c r="R4660" s="341"/>
      <c r="S4660" s="341"/>
    </row>
    <row r="4661" spans="1:31" ht="12.75" customHeight="1">
      <c r="A4661" s="393"/>
      <c r="C4661" s="20"/>
      <c r="E4661" s="387"/>
      <c r="F4661" s="388">
        <f t="shared" si="1200"/>
        <v>0</v>
      </c>
      <c r="H4661" s="341" t="str">
        <f>IF(A4661="","",VLOOKUP(A4661,VII.A!$A$10:$D$199,4,FALSE))</f>
        <v/>
      </c>
      <c r="I4661" s="341" t="str">
        <f t="shared" si="1201"/>
        <v/>
      </c>
      <c r="J4661" s="341" t="str">
        <f>IF(A4661="","",VLOOKUP(A4661,VII.A!$A$10:$D$199,3,FALSE))</f>
        <v/>
      </c>
      <c r="K4661" s="342" t="str">
        <f t="shared" si="1202"/>
        <v/>
      </c>
      <c r="L4661" s="380" t="str">
        <f>IF(C4661="","",G4619*C4661)</f>
        <v/>
      </c>
      <c r="M4661" s="381" t="str">
        <f>IF(A4661="","",VLOOKUP(A4661,VII.A!$A$10:$B$199,2,FALSE))</f>
        <v/>
      </c>
      <c r="N4661" s="342" t="str">
        <f t="shared" si="1203"/>
        <v/>
      </c>
      <c r="R4661" s="341"/>
      <c r="S4661" s="341"/>
    </row>
    <row r="4662" spans="1:31" ht="12.75" customHeight="1">
      <c r="A4662" s="393"/>
      <c r="B4662" s="395" t="s">
        <v>226</v>
      </c>
      <c r="C4662" s="396"/>
      <c r="D4662" s="397"/>
      <c r="E4662" s="398"/>
      <c r="F4662" s="399">
        <f>SUM(F4655:F4661)</f>
        <v>0</v>
      </c>
      <c r="J4662" s="341"/>
      <c r="L4662" s="380"/>
      <c r="M4662" s="381"/>
      <c r="N4662" s="342"/>
      <c r="R4662" s="341"/>
      <c r="S4662" s="341"/>
    </row>
    <row r="4663" spans="1:31" ht="12.75" customHeight="1">
      <c r="A4663" s="393"/>
      <c r="B4663" s="400" t="s">
        <v>229</v>
      </c>
      <c r="C4663" s="2">
        <f>IX.A!$C$45</f>
        <v>0</v>
      </c>
      <c r="D4663" s="401"/>
      <c r="E4663" s="402"/>
      <c r="F4663" s="403">
        <f>ROUND(F4662*C4663,2)</f>
        <v>0</v>
      </c>
      <c r="J4663" s="341"/>
      <c r="L4663" s="380"/>
      <c r="M4663" s="381"/>
      <c r="N4663" s="342"/>
      <c r="R4663" s="341"/>
      <c r="S4663" s="341"/>
    </row>
    <row r="4664" spans="1:31" ht="12.75" customHeight="1">
      <c r="A4664" s="393"/>
      <c r="B4664" s="400" t="s">
        <v>53</v>
      </c>
      <c r="C4664" s="2">
        <f>$D$8</f>
        <v>0</v>
      </c>
      <c r="D4664" s="401"/>
      <c r="E4664" s="402"/>
      <c r="F4664" s="403">
        <f>ROUND(SUM(F4662:F4663)*C4664,2)</f>
        <v>0</v>
      </c>
      <c r="J4664" s="341"/>
      <c r="L4664" s="380"/>
      <c r="M4664" s="381"/>
      <c r="N4664" s="342"/>
      <c r="R4664" s="341"/>
      <c r="S4664" s="341"/>
    </row>
    <row r="4665" spans="1:31" ht="12.75" customHeight="1" thickBot="1">
      <c r="A4665" s="414"/>
      <c r="B4665" s="415" t="s">
        <v>230</v>
      </c>
      <c r="C4665" s="416"/>
      <c r="D4665" s="416"/>
      <c r="E4665" s="417"/>
      <c r="F4665" s="418">
        <f>SUM(F4662:F4664)</f>
        <v>0</v>
      </c>
      <c r="J4665" s="341"/>
      <c r="L4665" s="380"/>
      <c r="M4665" s="381"/>
      <c r="N4665" s="342"/>
      <c r="R4665" s="341"/>
      <c r="S4665" s="341"/>
    </row>
    <row r="4666" spans="1:31" ht="12.75" customHeight="1" thickBot="1">
      <c r="A4666" s="427"/>
      <c r="B4666" s="428"/>
      <c r="C4666" s="429"/>
      <c r="D4666" s="429"/>
      <c r="E4666" s="430"/>
      <c r="F4666" s="431"/>
      <c r="J4666" s="341"/>
      <c r="L4666" s="380"/>
      <c r="M4666" s="381"/>
      <c r="N4666" s="342"/>
      <c r="R4666" s="341"/>
      <c r="S4666" s="341"/>
    </row>
    <row r="4667" spans="1:31" ht="30" customHeight="1">
      <c r="A4667" s="370" t="str">
        <f>IV.A!A143</f>
        <v>6.6</v>
      </c>
      <c r="B4667" s="371" t="str">
        <f>IV.A!B143</f>
        <v>PINTURA DE RESERV. ELEVADO DE CONCRETO - LÁTEX ACRÍLICO FOSCO COR BRANCA 2 DEMÃOS E FAIXAS AZUIS CONFORME PADRÃO SEMAE</v>
      </c>
      <c r="C4667" s="871" t="s">
        <v>237</v>
      </c>
      <c r="D4667" s="872"/>
      <c r="E4667" s="372" t="str">
        <f>IV.A!$C$143</f>
        <v>M2</v>
      </c>
      <c r="F4667" s="11">
        <f>ROUND(F4687+F4701+F4713,2)</f>
        <v>0</v>
      </c>
      <c r="G4667" s="1">
        <f>VLOOKUP(A4667,IV.A!$A$16:$L$172,4,FALSE)</f>
        <v>51300</v>
      </c>
      <c r="H4667" s="361">
        <f>SUM(F4669:F4684)+F4686</f>
        <v>0</v>
      </c>
      <c r="I4667" s="361">
        <f>SUM(F4689:F4698)+F4700</f>
        <v>0</v>
      </c>
      <c r="J4667" s="361">
        <f>SUM(F4703:F4709)+F4711+F4712</f>
        <v>0</v>
      </c>
      <c r="K4667" s="361">
        <f>SUM(H4667:J4667)</f>
        <v>0</v>
      </c>
      <c r="L4667" s="362" t="str">
        <f>IF(K4667=F4667,"SIM","NÃO")</f>
        <v>SIM</v>
      </c>
      <c r="M4667" s="373">
        <f>ROUND(SUM(F4669:F4684),2)+ROUND(SUM(F4669:F4684)*C4686,2)+ROUND(SUM(F4689:F4698)*C4700,2)+ROUND(SUM(F4689:F4698),2)+ROUND(SUM(F4703:F4709)*C4711,2)+ROUND((SUM(F4703:F4709)+ROUND(SUM(F4703:F4709)*C4711,2))*C4712,2)+ROUND(SUM(F4703:F4709),2)</f>
        <v>0</v>
      </c>
      <c r="N4667" s="343" t="str">
        <f>IF(M4667=F4667,"SIM","NÃO")</f>
        <v>SIM</v>
      </c>
      <c r="O4667" s="364" t="str">
        <f>VLOOKUP(A4667,IV.A!$A$16:$E$172,3,FALSE)</f>
        <v>M2</v>
      </c>
      <c r="P4667" s="344" t="str">
        <f>IF(O4667=E4667,"SIM","NÃO")</f>
        <v>SIM</v>
      </c>
      <c r="Q4667" s="365">
        <f>ROUND(G4667*F4687,2)+ROUND(G4667*F4701,2)+ROUND(G4667*F4713,2)</f>
        <v>0</v>
      </c>
      <c r="R4667" s="364">
        <f>VLOOKUP(A4667,IV.A!$A$16:$L$172,12,FALSE)</f>
        <v>0</v>
      </c>
      <c r="S4667" s="366" t="str">
        <f>IF(Q4667=R4667,"si","no")</f>
        <v>si</v>
      </c>
      <c r="T4667" s="367">
        <f>SUM(L4669:L4684)+SUM(L4689:L4698)+SUM(L4703:L4709)</f>
        <v>81140.568750000006</v>
      </c>
      <c r="U4667" s="341">
        <f>(SUM(C4669:C4684)+SUM(C4689:C4698)+SUM(C4703:C4709))*G4667</f>
        <v>81140.568750000006</v>
      </c>
      <c r="V4667" s="368" t="str">
        <f>IF(T4667=U4667,"si","no")</f>
        <v>si</v>
      </c>
      <c r="W4667" s="369">
        <f>SUM(F4669:F4684)</f>
        <v>0</v>
      </c>
      <c r="X4667" s="369">
        <f>SUM(F4689:F4698)</f>
        <v>0</v>
      </c>
      <c r="Y4667" s="369">
        <f>SUM(F4703:F4709)</f>
        <v>0</v>
      </c>
      <c r="Z4667" s="367"/>
      <c r="AA4667" s="341"/>
      <c r="AB4667" s="368"/>
      <c r="AC4667" s="369"/>
      <c r="AD4667" s="369"/>
      <c r="AE4667" s="369"/>
    </row>
    <row r="4668" spans="1:31" ht="12.75" customHeight="1">
      <c r="A4668" s="374" t="s">
        <v>14</v>
      </c>
      <c r="B4668" s="375" t="s">
        <v>132</v>
      </c>
      <c r="C4668" s="376" t="s">
        <v>231</v>
      </c>
      <c r="D4668" s="376" t="s">
        <v>232</v>
      </c>
      <c r="E4668" s="377" t="s">
        <v>233</v>
      </c>
      <c r="F4668" s="378" t="s">
        <v>234</v>
      </c>
      <c r="G4668" s="379"/>
      <c r="J4668" s="341"/>
      <c r="L4668" s="380"/>
      <c r="M4668" s="381"/>
      <c r="N4668" s="342"/>
      <c r="O4668" s="382"/>
      <c r="P4668" s="383"/>
      <c r="Q4668" s="383"/>
      <c r="R4668" s="383"/>
      <c r="S4668" s="383"/>
      <c r="T4668" s="382"/>
      <c r="U4668" s="341"/>
      <c r="V4668" s="384"/>
      <c r="W4668" s="384"/>
      <c r="X4668" s="384"/>
      <c r="Y4668" s="384"/>
      <c r="Z4668" s="382"/>
      <c r="AA4668" s="341"/>
      <c r="AB4668" s="384"/>
      <c r="AC4668" s="384"/>
      <c r="AD4668" s="384"/>
      <c r="AE4668" s="384"/>
    </row>
    <row r="4669" spans="1:31" ht="12.75" customHeight="1">
      <c r="A4669" s="385" t="str">
        <f>VII.A!$A$68</f>
        <v>1.59</v>
      </c>
      <c r="B4669" s="386" t="str">
        <f>VLOOKUP(A4669,VII.A!$A$10:$G$199,2,FALSE)</f>
        <v>LIXA PARA SUPERFÍCIE/MASSA, GRANA 120</v>
      </c>
      <c r="C4669" s="20">
        <v>0.5</v>
      </c>
      <c r="D4669" s="342" t="str">
        <f>VLOOKUP(A4669,VII.A!$A$10:$G$199,3,FALSE)</f>
        <v>UN</v>
      </c>
      <c r="E4669" s="387">
        <f>VII.A!$D$68</f>
        <v>0</v>
      </c>
      <c r="F4669" s="388">
        <f>ROUND(C4669*E4669,2)</f>
        <v>0</v>
      </c>
      <c r="H4669" s="341">
        <f>IF(A4669="","",VLOOKUP(A4669,VII.A!$A$10:$D$199,4,FALSE))</f>
        <v>0</v>
      </c>
      <c r="I4669" s="341" t="str">
        <f t="shared" ref="I4669:I4684" si="1204">IF(A4669="","",IF(E4669=H4669,"SIM","NÃO"))</f>
        <v>SIM</v>
      </c>
      <c r="J4669" s="341" t="str">
        <f>IF(A4669="","",VLOOKUP(A4669,VII.A!$A$10:$D$199,3,FALSE))</f>
        <v>UN</v>
      </c>
      <c r="K4669" s="342" t="str">
        <f t="shared" ref="K4669:K4684" si="1205">IF(A4669="","",IF(J4669=D4669,"SIM","NÃO"))</f>
        <v>SIM</v>
      </c>
      <c r="L4669" s="380">
        <f>IF(C4669="","",G4667*C4669)</f>
        <v>25650</v>
      </c>
      <c r="M4669" s="381" t="str">
        <f>IF(A4669="","",VLOOKUP(A4669,VII.A!$A$10:$B$199,2,FALSE))</f>
        <v>LIXA PARA SUPERFÍCIE/MASSA, GRANA 120</v>
      </c>
      <c r="N4669" s="342" t="str">
        <f t="shared" ref="N4669:N4684" si="1206">IF(B4669="","",IF(M4669=B4669,"si","no"))</f>
        <v>si</v>
      </c>
      <c r="R4669" s="341"/>
      <c r="S4669" s="341"/>
      <c r="Z4669" s="342"/>
      <c r="AA4669" s="342"/>
      <c r="AB4669" s="342"/>
    </row>
    <row r="4670" spans="1:31" ht="12.75" customHeight="1">
      <c r="A4670" s="385" t="str">
        <f>VII.A!$A$55</f>
        <v>1.46</v>
      </c>
      <c r="B4670" s="386" t="str">
        <f>VLOOKUP(A4670,VII.A!$A$10:$G$199,2,FALSE)</f>
        <v xml:space="preserve">FUNDO PREPARADOR </v>
      </c>
      <c r="C4670" s="20">
        <v>7.0000000000000007E-2</v>
      </c>
      <c r="D4670" s="342" t="str">
        <f>VLOOKUP(A4670,VII.A!$A$10:$G$199,3,FALSE)</f>
        <v>L</v>
      </c>
      <c r="E4670" s="387">
        <f>VII.A!D55</f>
        <v>0</v>
      </c>
      <c r="F4670" s="388">
        <f t="shared" ref="F4670:F4684" si="1207">ROUND(C4670*E4670,2)</f>
        <v>0</v>
      </c>
      <c r="H4670" s="341">
        <f>IF(A4670="","",VLOOKUP(A4670,VII.A!$A$10:$D$199,4,FALSE))</f>
        <v>0</v>
      </c>
      <c r="I4670" s="341" t="str">
        <f t="shared" si="1204"/>
        <v>SIM</v>
      </c>
      <c r="J4670" s="341" t="str">
        <f>IF(A4670="","",VLOOKUP(A4670,VII.A!$A$10:$D$199,3,FALSE))</f>
        <v>L</v>
      </c>
      <c r="K4670" s="342" t="str">
        <f t="shared" si="1205"/>
        <v>SIM</v>
      </c>
      <c r="L4670" s="380">
        <f>IF(C4670="","",G4667*C4670)</f>
        <v>3591.0000000000005</v>
      </c>
      <c r="M4670" s="381" t="str">
        <f>IF(A4670="","",VLOOKUP(A4670,VII.A!$A$10:$B$199,2,FALSE))</f>
        <v xml:space="preserve">FUNDO PREPARADOR </v>
      </c>
      <c r="N4670" s="342" t="str">
        <f t="shared" si="1206"/>
        <v>si</v>
      </c>
      <c r="R4670" s="341"/>
      <c r="S4670" s="341"/>
      <c r="Z4670" s="342"/>
      <c r="AA4670" s="342"/>
      <c r="AB4670" s="342"/>
    </row>
    <row r="4671" spans="1:31" ht="12.75" customHeight="1">
      <c r="A4671" s="385" t="str">
        <f>VII.A!$A$112</f>
        <v>1.102</v>
      </c>
      <c r="B4671" s="386" t="str">
        <f>VLOOKUP(A4671,VII.A!$A$10:$G$199,2,FALSE)</f>
        <v>TINTA LÁTEX ACRÍLICA - 1ª LINHA</v>
      </c>
      <c r="C4671" s="20">
        <v>0.33</v>
      </c>
      <c r="D4671" s="342" t="str">
        <f>VLOOKUP(A4671,VII.A!$A$10:$G$199,3,FALSE)</f>
        <v>L</v>
      </c>
      <c r="E4671" s="387">
        <f>VII.A!$D$112</f>
        <v>0</v>
      </c>
      <c r="F4671" s="388">
        <f t="shared" si="1207"/>
        <v>0</v>
      </c>
      <c r="H4671" s="341">
        <f>IF(A4671="","",VLOOKUP(A4671,VII.A!$A$10:$D$199,4,FALSE))</f>
        <v>0</v>
      </c>
      <c r="I4671" s="341" t="str">
        <f t="shared" si="1204"/>
        <v>SIM</v>
      </c>
      <c r="J4671" s="341" t="str">
        <f>IF(A4671="","",VLOOKUP(A4671,VII.A!$A$10:$D$199,3,FALSE))</f>
        <v>L</v>
      </c>
      <c r="K4671" s="342" t="str">
        <f t="shared" si="1205"/>
        <v>SIM</v>
      </c>
      <c r="L4671" s="380">
        <f>IF(C4671="","",G4667*C4671)</f>
        <v>16929</v>
      </c>
      <c r="M4671" s="381" t="str">
        <f>IF(A4671="","",VLOOKUP(A4671,VII.A!$A$10:$B$199,2,FALSE))</f>
        <v>TINTA LÁTEX ACRÍLICA - 1ª LINHA</v>
      </c>
      <c r="N4671" s="342" t="str">
        <f t="shared" si="1206"/>
        <v>si</v>
      </c>
      <c r="R4671" s="341"/>
      <c r="S4671" s="341"/>
      <c r="Z4671" s="342"/>
      <c r="AA4671" s="342"/>
      <c r="AB4671" s="342"/>
    </row>
    <row r="4672" spans="1:31" ht="12.75" customHeight="1">
      <c r="A4672" s="385"/>
      <c r="B4672" s="386"/>
      <c r="C4672" s="20"/>
      <c r="D4672" s="342"/>
      <c r="E4672" s="387"/>
      <c r="F4672" s="388">
        <f t="shared" si="1207"/>
        <v>0</v>
      </c>
      <c r="H4672" s="341" t="str">
        <f>IF(A4672="","",VLOOKUP(A4672,VII.A!$A$10:$D$199,4,FALSE))</f>
        <v/>
      </c>
      <c r="I4672" s="341" t="str">
        <f t="shared" si="1204"/>
        <v/>
      </c>
      <c r="J4672" s="341" t="str">
        <f>IF(A4672="","",VLOOKUP(A4672,VII.A!$A$10:$D$199,3,FALSE))</f>
        <v/>
      </c>
      <c r="K4672" s="342" t="str">
        <f t="shared" si="1205"/>
        <v/>
      </c>
      <c r="L4672" s="380" t="str">
        <f>IF(C4672="","",G4667*C4672)</f>
        <v/>
      </c>
      <c r="M4672" s="381" t="str">
        <f>IF(A4672="","",VLOOKUP(A4672,VII.A!$A$10:$B$199,2,FALSE))</f>
        <v/>
      </c>
      <c r="N4672" s="342" t="str">
        <f t="shared" si="1206"/>
        <v/>
      </c>
      <c r="R4672" s="341"/>
      <c r="S4672" s="341"/>
      <c r="Z4672" s="342"/>
      <c r="AA4672" s="342"/>
      <c r="AB4672" s="342"/>
    </row>
    <row r="4673" spans="1:28" ht="12.75" customHeight="1">
      <c r="A4673" s="385"/>
      <c r="B4673" s="386"/>
      <c r="C4673" s="20"/>
      <c r="D4673" s="342"/>
      <c r="E4673" s="387"/>
      <c r="F4673" s="388">
        <f t="shared" si="1207"/>
        <v>0</v>
      </c>
      <c r="H4673" s="341" t="str">
        <f>IF(A4673="","",VLOOKUP(A4673,VII.A!$A$10:$D$199,4,FALSE))</f>
        <v/>
      </c>
      <c r="I4673" s="341" t="str">
        <f t="shared" si="1204"/>
        <v/>
      </c>
      <c r="J4673" s="341" t="str">
        <f>IF(A4673="","",VLOOKUP(A4673,VII.A!$A$10:$D$199,3,FALSE))</f>
        <v/>
      </c>
      <c r="K4673" s="342" t="str">
        <f t="shared" si="1205"/>
        <v/>
      </c>
      <c r="L4673" s="380" t="str">
        <f>IF(C4673="","",G4667*C4673)</f>
        <v/>
      </c>
      <c r="M4673" s="381" t="str">
        <f>IF(A4673="","",VLOOKUP(A4673,VII.A!$A$10:$B$199,2,FALSE))</f>
        <v/>
      </c>
      <c r="N4673" s="342" t="str">
        <f t="shared" si="1206"/>
        <v/>
      </c>
      <c r="R4673" s="341"/>
      <c r="S4673" s="341"/>
      <c r="Z4673" s="342"/>
      <c r="AA4673" s="342"/>
      <c r="AB4673" s="342"/>
    </row>
    <row r="4674" spans="1:28" ht="12.75" customHeight="1">
      <c r="A4674" s="385"/>
      <c r="B4674" s="386"/>
      <c r="C4674" s="20"/>
      <c r="D4674" s="342"/>
      <c r="E4674" s="387"/>
      <c r="F4674" s="388">
        <f t="shared" si="1207"/>
        <v>0</v>
      </c>
      <c r="H4674" s="341" t="str">
        <f>IF(A4674="","",VLOOKUP(A4674,VII.A!$A$10:$D$199,4,FALSE))</f>
        <v/>
      </c>
      <c r="I4674" s="341" t="str">
        <f t="shared" si="1204"/>
        <v/>
      </c>
      <c r="J4674" s="341" t="str">
        <f>IF(A4674="","",VLOOKUP(A4674,VII.A!$A$10:$D$199,3,FALSE))</f>
        <v/>
      </c>
      <c r="K4674" s="342" t="str">
        <f t="shared" si="1205"/>
        <v/>
      </c>
      <c r="L4674" s="380" t="str">
        <f>IF(C4674="","",G4667*C4674)</f>
        <v/>
      </c>
      <c r="M4674" s="381" t="str">
        <f>IF(A4674="","",VLOOKUP(A4674,VII.A!$A$10:$B$199,2,FALSE))</f>
        <v/>
      </c>
      <c r="N4674" s="342" t="str">
        <f t="shared" si="1206"/>
        <v/>
      </c>
      <c r="R4674" s="341"/>
      <c r="S4674" s="341"/>
      <c r="U4674" s="389"/>
      <c r="Z4674" s="342"/>
      <c r="AA4674" s="389"/>
      <c r="AB4674" s="342"/>
    </row>
    <row r="4675" spans="1:28" ht="12.75" customHeight="1">
      <c r="A4675" s="385"/>
      <c r="B4675" s="386"/>
      <c r="C4675" s="20"/>
      <c r="D4675" s="342"/>
      <c r="E4675" s="387"/>
      <c r="F4675" s="388">
        <f t="shared" si="1207"/>
        <v>0</v>
      </c>
      <c r="H4675" s="341" t="str">
        <f>IF(A4675="","",VLOOKUP(A4675,VII.A!$A$10:$D$199,4,FALSE))</f>
        <v/>
      </c>
      <c r="I4675" s="341" t="str">
        <f t="shared" si="1204"/>
        <v/>
      </c>
      <c r="J4675" s="341" t="str">
        <f>IF(A4675="","",VLOOKUP(A4675,VII.A!$A$10:$D$199,3,FALSE))</f>
        <v/>
      </c>
      <c r="K4675" s="342" t="str">
        <f t="shared" si="1205"/>
        <v/>
      </c>
      <c r="L4675" s="380" t="str">
        <f>IF(C4675="","",G4667*C4675)</f>
        <v/>
      </c>
      <c r="M4675" s="381" t="str">
        <f>IF(A4675="","",VLOOKUP(A4675,VII.A!$A$10:$B$199,2,FALSE))</f>
        <v/>
      </c>
      <c r="N4675" s="342" t="str">
        <f t="shared" si="1206"/>
        <v/>
      </c>
      <c r="R4675" s="341"/>
      <c r="S4675" s="341"/>
      <c r="Z4675" s="342"/>
      <c r="AA4675" s="342"/>
      <c r="AB4675" s="342"/>
    </row>
    <row r="4676" spans="1:28" ht="12.75" customHeight="1">
      <c r="A4676" s="385"/>
      <c r="B4676" s="386"/>
      <c r="C4676" s="20"/>
      <c r="D4676" s="342"/>
      <c r="E4676" s="387"/>
      <c r="F4676" s="388">
        <f t="shared" si="1207"/>
        <v>0</v>
      </c>
      <c r="G4676" s="390"/>
      <c r="H4676" s="341" t="str">
        <f>IF(A4676="","",VLOOKUP(A4676,VII.A!$A$10:$D$199,4,FALSE))</f>
        <v/>
      </c>
      <c r="I4676" s="341" t="str">
        <f t="shared" si="1204"/>
        <v/>
      </c>
      <c r="J4676" s="341" t="str">
        <f>IF(A4676="","",VLOOKUP(A4676,VII.A!$A$10:$D$199,3,FALSE))</f>
        <v/>
      </c>
      <c r="K4676" s="342" t="str">
        <f t="shared" si="1205"/>
        <v/>
      </c>
      <c r="L4676" s="380" t="str">
        <f>IF(C4676="","",G4667*C4676)</f>
        <v/>
      </c>
      <c r="M4676" s="381" t="str">
        <f>IF(A4676="","",VLOOKUP(A4676,VII.A!$A$10:$B$199,2,FALSE))</f>
        <v/>
      </c>
      <c r="N4676" s="342" t="str">
        <f t="shared" si="1206"/>
        <v/>
      </c>
      <c r="R4676" s="341"/>
      <c r="S4676" s="341"/>
      <c r="Z4676" s="342"/>
      <c r="AA4676" s="342"/>
      <c r="AB4676" s="342"/>
    </row>
    <row r="4677" spans="1:28" ht="12.75" customHeight="1">
      <c r="A4677" s="385"/>
      <c r="B4677" s="386"/>
      <c r="C4677" s="20"/>
      <c r="D4677" s="342"/>
      <c r="E4677" s="387"/>
      <c r="F4677" s="388">
        <f t="shared" si="1207"/>
        <v>0</v>
      </c>
      <c r="G4677" s="390"/>
      <c r="H4677" s="341" t="str">
        <f>IF(A4677="","",VLOOKUP(A4677,VII.A!$A$10:$D$199,4,FALSE))</f>
        <v/>
      </c>
      <c r="I4677" s="341" t="str">
        <f t="shared" si="1204"/>
        <v/>
      </c>
      <c r="J4677" s="341" t="str">
        <f>IF(A4677="","",VLOOKUP(A4677,VII.A!$A$10:$D$199,3,FALSE))</f>
        <v/>
      </c>
      <c r="K4677" s="342" t="str">
        <f t="shared" si="1205"/>
        <v/>
      </c>
      <c r="L4677" s="380" t="str">
        <f>IF(C4677="","",G4667*C4677)</f>
        <v/>
      </c>
      <c r="M4677" s="381" t="str">
        <f>IF(A4677="","",VLOOKUP(A4677,VII.A!$A$10:$B$199,2,FALSE))</f>
        <v/>
      </c>
      <c r="N4677" s="342" t="str">
        <f t="shared" si="1206"/>
        <v/>
      </c>
      <c r="R4677" s="341"/>
      <c r="S4677" s="341"/>
      <c r="Z4677" s="342"/>
      <c r="AA4677" s="342"/>
      <c r="AB4677" s="342"/>
    </row>
    <row r="4678" spans="1:28" ht="12.75" customHeight="1">
      <c r="A4678" s="385"/>
      <c r="B4678" s="386"/>
      <c r="C4678" s="20"/>
      <c r="D4678" s="342"/>
      <c r="E4678" s="387"/>
      <c r="F4678" s="388">
        <f t="shared" si="1207"/>
        <v>0</v>
      </c>
      <c r="G4678" s="391"/>
      <c r="H4678" s="341" t="str">
        <f>IF(A4678="","",VLOOKUP(A4678,VII.A!$A$10:$D$199,4,FALSE))</f>
        <v/>
      </c>
      <c r="I4678" s="341" t="str">
        <f t="shared" si="1204"/>
        <v/>
      </c>
      <c r="J4678" s="341" t="str">
        <f>IF(A4678="","",VLOOKUP(A4678,VII.A!$A$10:$D$199,3,FALSE))</f>
        <v/>
      </c>
      <c r="K4678" s="342" t="str">
        <f t="shared" si="1205"/>
        <v/>
      </c>
      <c r="L4678" s="380" t="str">
        <f>IF(C4678="","",G4667*C4678)</f>
        <v/>
      </c>
      <c r="M4678" s="381" t="str">
        <f>IF(A4678="","",VLOOKUP(A4678,VII.A!$A$10:$B$199,2,FALSE))</f>
        <v/>
      </c>
      <c r="N4678" s="342" t="str">
        <f t="shared" si="1206"/>
        <v/>
      </c>
      <c r="R4678" s="341"/>
      <c r="S4678" s="341"/>
      <c r="Z4678" s="342"/>
      <c r="AA4678" s="342"/>
      <c r="AB4678" s="342"/>
    </row>
    <row r="4679" spans="1:28" ht="12.75" customHeight="1">
      <c r="A4679" s="385"/>
      <c r="B4679" s="386"/>
      <c r="C4679" s="20"/>
      <c r="D4679" s="342"/>
      <c r="E4679" s="387"/>
      <c r="F4679" s="388">
        <f t="shared" si="1207"/>
        <v>0</v>
      </c>
      <c r="H4679" s="341" t="str">
        <f>IF(A4679="","",VLOOKUP(A4679,VII.A!$A$10:$D$199,4,FALSE))</f>
        <v/>
      </c>
      <c r="I4679" s="341" t="str">
        <f t="shared" si="1204"/>
        <v/>
      </c>
      <c r="J4679" s="341" t="str">
        <f>IF(A4679="","",VLOOKUP(A4679,VII.A!$A$10:$D$199,3,FALSE))</f>
        <v/>
      </c>
      <c r="K4679" s="342" t="str">
        <f t="shared" si="1205"/>
        <v/>
      </c>
      <c r="L4679" s="380" t="str">
        <f>IF(C4679="","",G4667*C4679)</f>
        <v/>
      </c>
      <c r="M4679" s="381" t="str">
        <f>IF(A4679="","",VLOOKUP(A4679,VII.A!$A$10:$B$199,2,FALSE))</f>
        <v/>
      </c>
      <c r="N4679" s="342" t="str">
        <f t="shared" si="1206"/>
        <v/>
      </c>
      <c r="R4679" s="341"/>
      <c r="S4679" s="341"/>
      <c r="Z4679" s="342"/>
      <c r="AA4679" s="342"/>
      <c r="AB4679" s="342"/>
    </row>
    <row r="4680" spans="1:28" ht="12.75" customHeight="1">
      <c r="A4680" s="385"/>
      <c r="B4680" s="386"/>
      <c r="C4680" s="20"/>
      <c r="D4680" s="392"/>
      <c r="E4680" s="387"/>
      <c r="F4680" s="388">
        <f t="shared" si="1207"/>
        <v>0</v>
      </c>
      <c r="H4680" s="341" t="str">
        <f>IF(A4680="","",VLOOKUP(A4680,VII.A!$A$10:$D$199,4,FALSE))</f>
        <v/>
      </c>
      <c r="I4680" s="341" t="str">
        <f t="shared" si="1204"/>
        <v/>
      </c>
      <c r="J4680" s="341" t="str">
        <f>IF(A4680="","",VLOOKUP(A4680,VII.A!$A$10:$D$199,3,FALSE))</f>
        <v/>
      </c>
      <c r="K4680" s="342" t="str">
        <f t="shared" si="1205"/>
        <v/>
      </c>
      <c r="L4680" s="380" t="str">
        <f>IF(C4680="","",G4667*C4680)</f>
        <v/>
      </c>
      <c r="M4680" s="381" t="str">
        <f>IF(A4680="","",VLOOKUP(A4680,VII.A!$A$10:$B$199,2,FALSE))</f>
        <v/>
      </c>
      <c r="N4680" s="342" t="str">
        <f t="shared" si="1206"/>
        <v/>
      </c>
      <c r="R4680" s="341"/>
      <c r="S4680" s="341"/>
      <c r="Z4680" s="342"/>
      <c r="AA4680" s="342"/>
      <c r="AB4680" s="342"/>
    </row>
    <row r="4681" spans="1:28" ht="12.75" customHeight="1">
      <c r="A4681" s="385"/>
      <c r="B4681" s="386"/>
      <c r="C4681" s="20"/>
      <c r="D4681" s="392"/>
      <c r="E4681" s="387"/>
      <c r="F4681" s="388">
        <f t="shared" si="1207"/>
        <v>0</v>
      </c>
      <c r="H4681" s="341" t="str">
        <f>IF(A4681="","",VLOOKUP(A4681,VII.A!$A$10:$D$199,4,FALSE))</f>
        <v/>
      </c>
      <c r="I4681" s="341" t="str">
        <f t="shared" si="1204"/>
        <v/>
      </c>
      <c r="J4681" s="341" t="str">
        <f>IF(A4681="","",VLOOKUP(A4681,VII.A!$A$10:$D$199,3,FALSE))</f>
        <v/>
      </c>
      <c r="K4681" s="342" t="str">
        <f t="shared" si="1205"/>
        <v/>
      </c>
      <c r="L4681" s="380" t="str">
        <f>IF(C4681="","",G4667*C4681)</f>
        <v/>
      </c>
      <c r="M4681" s="381" t="str">
        <f>IF(A4681="","",VLOOKUP(A4681,VII.A!$A$10:$B$199,2,FALSE))</f>
        <v/>
      </c>
      <c r="N4681" s="342" t="str">
        <f t="shared" si="1206"/>
        <v/>
      </c>
      <c r="O4681" s="342"/>
      <c r="R4681" s="341"/>
      <c r="S4681" s="341"/>
      <c r="Z4681" s="342"/>
      <c r="AA4681" s="342"/>
      <c r="AB4681" s="342"/>
    </row>
    <row r="4682" spans="1:28" ht="12.75" customHeight="1">
      <c r="A4682" s="385"/>
      <c r="B4682" s="386"/>
      <c r="C4682" s="20"/>
      <c r="D4682" s="392"/>
      <c r="E4682" s="387"/>
      <c r="F4682" s="388">
        <f t="shared" si="1207"/>
        <v>0</v>
      </c>
      <c r="H4682" s="341" t="str">
        <f>IF(A4682="","",VLOOKUP(A4682,VII.A!$A$10:$D$199,4,FALSE))</f>
        <v/>
      </c>
      <c r="I4682" s="341" t="str">
        <f t="shared" si="1204"/>
        <v/>
      </c>
      <c r="J4682" s="341" t="str">
        <f>IF(A4682="","",VLOOKUP(A4682,VII.A!$A$10:$D$199,3,FALSE))</f>
        <v/>
      </c>
      <c r="K4682" s="342" t="str">
        <f t="shared" si="1205"/>
        <v/>
      </c>
      <c r="L4682" s="380" t="str">
        <f>IF(C4682="","",G4667*C4682)</f>
        <v/>
      </c>
      <c r="M4682" s="381" t="str">
        <f>IF(A4682="","",VLOOKUP(A4682,VII.A!$A$10:$B$199,2,FALSE))</f>
        <v/>
      </c>
      <c r="N4682" s="342" t="str">
        <f t="shared" si="1206"/>
        <v/>
      </c>
      <c r="R4682" s="341"/>
      <c r="S4682" s="341"/>
      <c r="Z4682" s="342"/>
      <c r="AA4682" s="342"/>
      <c r="AB4682" s="342"/>
    </row>
    <row r="4683" spans="1:28" ht="12.75" customHeight="1">
      <c r="A4683" s="393"/>
      <c r="C4683" s="20"/>
      <c r="E4683" s="387"/>
      <c r="F4683" s="388">
        <f t="shared" si="1207"/>
        <v>0</v>
      </c>
      <c r="H4683" s="341" t="str">
        <f>IF(A4683="","",VLOOKUP(A4683,VII.A!$A$10:$D$199,4,FALSE))</f>
        <v/>
      </c>
      <c r="I4683" s="341" t="str">
        <f t="shared" si="1204"/>
        <v/>
      </c>
      <c r="J4683" s="341" t="str">
        <f>IF(A4683="","",VLOOKUP(A4683,VII.A!$A$10:$D$199,3,FALSE))</f>
        <v/>
      </c>
      <c r="K4683" s="342" t="str">
        <f t="shared" si="1205"/>
        <v/>
      </c>
      <c r="L4683" s="380" t="str">
        <f>IF(C4683="","",G4667*C4683)</f>
        <v/>
      </c>
      <c r="M4683" s="381" t="str">
        <f>IF(A4683="","",VLOOKUP(A4683,VII.A!$A$10:$B$199,2,FALSE))</f>
        <v/>
      </c>
      <c r="N4683" s="342" t="str">
        <f t="shared" si="1206"/>
        <v/>
      </c>
      <c r="R4683" s="341"/>
      <c r="S4683" s="341"/>
      <c r="Z4683" s="342"/>
      <c r="AA4683" s="342"/>
      <c r="AB4683" s="342"/>
    </row>
    <row r="4684" spans="1:28" ht="12.75" customHeight="1">
      <c r="A4684" s="393"/>
      <c r="C4684" s="20"/>
      <c r="E4684" s="387"/>
      <c r="F4684" s="388">
        <f t="shared" si="1207"/>
        <v>0</v>
      </c>
      <c r="H4684" s="341" t="str">
        <f>IF(A4684="","",VLOOKUP(A4684,VII.A!$A$10:$D$199,4,FALSE))</f>
        <v/>
      </c>
      <c r="I4684" s="341" t="str">
        <f t="shared" si="1204"/>
        <v/>
      </c>
      <c r="J4684" s="341" t="str">
        <f>IF(A4684="","",VLOOKUP(A4684,VII.A!$A$10:$D$199,3,FALSE))</f>
        <v/>
      </c>
      <c r="K4684" s="342" t="str">
        <f t="shared" si="1205"/>
        <v/>
      </c>
      <c r="L4684" s="380" t="str">
        <f>IF(C4684="","",G4667*C4684)</f>
        <v/>
      </c>
      <c r="M4684" s="381" t="str">
        <f>IF(A4684="","",VLOOKUP(A4684,VII.A!$A$10:$B$199,2,FALSE))</f>
        <v/>
      </c>
      <c r="N4684" s="342" t="str">
        <f t="shared" si="1206"/>
        <v/>
      </c>
      <c r="R4684" s="341"/>
      <c r="S4684" s="341"/>
      <c r="Z4684" s="342"/>
      <c r="AA4684" s="342"/>
      <c r="AB4684" s="342"/>
    </row>
    <row r="4685" spans="1:28" ht="12.75" customHeight="1">
      <c r="A4685" s="393"/>
      <c r="B4685" s="395" t="s">
        <v>226</v>
      </c>
      <c r="C4685" s="396"/>
      <c r="D4685" s="397"/>
      <c r="E4685" s="398"/>
      <c r="F4685" s="399">
        <f>SUM(F4669:F4684)</f>
        <v>0</v>
      </c>
      <c r="I4685" s="426" t="s">
        <v>416</v>
      </c>
      <c r="J4685" s="341"/>
      <c r="L4685" s="380"/>
      <c r="M4685" s="381"/>
      <c r="N4685" s="342"/>
      <c r="R4685" s="341"/>
      <c r="S4685" s="341"/>
      <c r="Z4685" s="342"/>
      <c r="AA4685" s="342"/>
      <c r="AB4685" s="342"/>
    </row>
    <row r="4686" spans="1:28" ht="12.75" customHeight="1">
      <c r="A4686" s="393"/>
      <c r="B4686" s="400" t="s">
        <v>53</v>
      </c>
      <c r="C4686" s="2">
        <f>$D$8</f>
        <v>0</v>
      </c>
      <c r="D4686" s="401"/>
      <c r="E4686" s="402"/>
      <c r="F4686" s="403">
        <f>ROUND(F4685*C4686,2)</f>
        <v>0</v>
      </c>
      <c r="I4686" s="426" t="s">
        <v>414</v>
      </c>
      <c r="J4686" s="341"/>
      <c r="L4686" s="380"/>
      <c r="M4686" s="381"/>
      <c r="N4686" s="342"/>
      <c r="R4686" s="341"/>
      <c r="S4686" s="341"/>
      <c r="Z4686" s="342"/>
      <c r="AA4686" s="342"/>
      <c r="AB4686" s="342"/>
    </row>
    <row r="4687" spans="1:28" ht="12.75" customHeight="1">
      <c r="A4687" s="404"/>
      <c r="B4687" s="405" t="s">
        <v>227</v>
      </c>
      <c r="C4687" s="406"/>
      <c r="D4687" s="406"/>
      <c r="E4687" s="407"/>
      <c r="F4687" s="408">
        <f>F4685+F4686</f>
        <v>0</v>
      </c>
      <c r="I4687" s="426" t="s">
        <v>415</v>
      </c>
      <c r="J4687" s="341"/>
      <c r="L4687" s="380"/>
      <c r="M4687" s="381"/>
      <c r="N4687" s="342"/>
      <c r="R4687" s="341"/>
      <c r="S4687" s="341"/>
      <c r="Z4687" s="342"/>
      <c r="AA4687" s="342"/>
      <c r="AB4687" s="342"/>
    </row>
    <row r="4688" spans="1:28" ht="12.75" customHeight="1">
      <c r="A4688" s="374" t="s">
        <v>2</v>
      </c>
      <c r="B4688" s="375" t="s">
        <v>235</v>
      </c>
      <c r="C4688" s="376" t="s">
        <v>231</v>
      </c>
      <c r="D4688" s="376" t="s">
        <v>232</v>
      </c>
      <c r="E4688" s="377" t="s">
        <v>233</v>
      </c>
      <c r="F4688" s="378" t="s">
        <v>234</v>
      </c>
      <c r="J4688" s="341"/>
      <c r="L4688" s="380"/>
      <c r="M4688" s="381"/>
      <c r="N4688" s="342"/>
      <c r="R4688" s="341"/>
      <c r="S4688" s="341"/>
      <c r="Z4688" s="342"/>
      <c r="AA4688" s="342"/>
      <c r="AB4688" s="342"/>
    </row>
    <row r="4689" spans="1:28" ht="12.75" customHeight="1">
      <c r="A4689" s="393" t="str">
        <f>VII.A!$A$147</f>
        <v>2.5</v>
      </c>
      <c r="B4689" s="423" t="str">
        <f>VII.A!B147</f>
        <v>BALANCIM LEVE TRADICIONAL - PLATAFORMA 3,00 M COM GUINCHO MANUAL, NR 18 (LOCAÇÃO MENSAL + TRANSPORTE)</v>
      </c>
      <c r="C4689" s="20">
        <v>2.5000000000000001E-3</v>
      </c>
      <c r="D4689" s="384" t="str">
        <f>VLOOKUP(A4689,VII.A!$A$10:$G$199,3,FALSE)</f>
        <v>LOC/MÊS</v>
      </c>
      <c r="E4689" s="387">
        <f>VII.A!$D$147</f>
        <v>0</v>
      </c>
      <c r="F4689" s="388">
        <f t="shared" ref="F4689:F4698" si="1208">ROUND(C4689*E4689,2)</f>
        <v>0</v>
      </c>
      <c r="H4689" s="341">
        <f>IF(A4689="","",VLOOKUP(A4689,VII.A!$A$10:$D$199,4,FALSE))</f>
        <v>0</v>
      </c>
      <c r="I4689" s="341" t="str">
        <f t="shared" ref="I4689:I4698" si="1209">IF(A4689="","",IF(E4689=H4689,"SIM","NÃO"))</f>
        <v>SIM</v>
      </c>
      <c r="J4689" s="341" t="str">
        <f>IF(A4689="","",VLOOKUP(A4689,VII.A!$A$10:$D$199,3,FALSE))</f>
        <v>LOC/MÊS</v>
      </c>
      <c r="K4689" s="342" t="str">
        <f t="shared" ref="K4689:K4698" si="1210">IF(A4689="","",IF(J4689=D4689,"SIM","NÃO"))</f>
        <v>SIM</v>
      </c>
      <c r="L4689" s="380">
        <f>IF(C4689="","",G4667*C4689)</f>
        <v>128.25</v>
      </c>
      <c r="M4689" s="381" t="str">
        <f>IF(A4689="","",VLOOKUP(A4689,VII.A!$A$10:$B$199,2,FALSE))</f>
        <v>BALANCIM LEVE TRADICIONAL - PLATAFORMA 3,00 M COM GUINCHO MANUAL, NR 18 (LOCAÇÃO MENSAL + TRANSPORTE)</v>
      </c>
      <c r="N4689" s="342" t="str">
        <f t="shared" ref="N4689:N4698" si="1211">IF(B4689="","",IF(M4689=B4689,"si","no"))</f>
        <v>si</v>
      </c>
      <c r="R4689" s="341"/>
      <c r="S4689" s="341"/>
      <c r="Z4689" s="342"/>
      <c r="AA4689" s="342"/>
      <c r="AB4689" s="342"/>
    </row>
    <row r="4690" spans="1:28" ht="12.75" customHeight="1">
      <c r="A4690" s="393" t="str">
        <f>VII.A!$A$162</f>
        <v>2.20</v>
      </c>
      <c r="B4690" s="394" t="str">
        <f>VII.A!B162</f>
        <v>MÁQUINA DE LAVAGEM A PRESSÃO, TIPO VAP (ÁGUA FRIA, PRESSÃO 1700PSI) - CHP</v>
      </c>
      <c r="C4690" s="20">
        <v>0.1</v>
      </c>
      <c r="D4690" s="384" t="str">
        <f>VII.A!C162</f>
        <v>CHP</v>
      </c>
      <c r="E4690" s="387">
        <f>VII.A!D162</f>
        <v>0</v>
      </c>
      <c r="F4690" s="388">
        <f t="shared" si="1208"/>
        <v>0</v>
      </c>
      <c r="H4690" s="341">
        <f>IF(A4690="","",VLOOKUP(A4690,VII.A!$A$10:$D$199,4,FALSE))</f>
        <v>0</v>
      </c>
      <c r="I4690" s="341" t="str">
        <f t="shared" si="1209"/>
        <v>SIM</v>
      </c>
      <c r="J4690" s="341" t="str">
        <f>IF(A4690="","",VLOOKUP(A4690,VII.A!$A$10:$D$199,3,FALSE))</f>
        <v>CHP</v>
      </c>
      <c r="K4690" s="342" t="str">
        <f t="shared" si="1210"/>
        <v>SIM</v>
      </c>
      <c r="L4690" s="380">
        <f>IF(C4690="","",G4667*C4690)</f>
        <v>5130</v>
      </c>
      <c r="M4690" s="381" t="str">
        <f>IF(A4690="","",VLOOKUP(A4690,VII.A!$A$10:$B$199,2,FALSE))</f>
        <v>MÁQUINA DE LAVAGEM A PRESSÃO, TIPO VAP (ÁGUA FRIA, PRESSÃO 1700PSI) - CHP</v>
      </c>
      <c r="N4690" s="342" t="str">
        <f t="shared" si="1211"/>
        <v>si</v>
      </c>
      <c r="R4690" s="341"/>
      <c r="S4690" s="341"/>
      <c r="Z4690" s="342"/>
      <c r="AA4690" s="342"/>
      <c r="AB4690" s="342"/>
    </row>
    <row r="4691" spans="1:28" ht="12.75" customHeight="1">
      <c r="A4691" s="393"/>
      <c r="C4691" s="20"/>
      <c r="E4691" s="387"/>
      <c r="F4691" s="388">
        <f t="shared" si="1208"/>
        <v>0</v>
      </c>
      <c r="H4691" s="341" t="str">
        <f>IF(A4691="","",VLOOKUP(A4691,VII.A!$A$10:$D$199,4,FALSE))</f>
        <v/>
      </c>
      <c r="I4691" s="341" t="str">
        <f t="shared" si="1209"/>
        <v/>
      </c>
      <c r="J4691" s="341" t="str">
        <f>IF(A4691="","",VLOOKUP(A4691,VII.A!$A$10:$D$199,3,FALSE))</f>
        <v/>
      </c>
      <c r="K4691" s="342" t="str">
        <f t="shared" si="1210"/>
        <v/>
      </c>
      <c r="L4691" s="380" t="str">
        <f>IF(C4691="","",G4667*C4691)</f>
        <v/>
      </c>
      <c r="M4691" s="381" t="str">
        <f>IF(A4691="","",VLOOKUP(A4691,VII.A!$A$10:$B$199,2,FALSE))</f>
        <v/>
      </c>
      <c r="N4691" s="342" t="str">
        <f t="shared" si="1211"/>
        <v/>
      </c>
      <c r="R4691" s="341"/>
      <c r="S4691" s="341"/>
      <c r="Z4691" s="342"/>
      <c r="AA4691" s="342"/>
      <c r="AB4691" s="342"/>
    </row>
    <row r="4692" spans="1:28" ht="12.75" customHeight="1">
      <c r="A4692" s="393"/>
      <c r="C4692" s="20"/>
      <c r="E4692" s="387"/>
      <c r="F4692" s="388">
        <f t="shared" si="1208"/>
        <v>0</v>
      </c>
      <c r="H4692" s="341" t="str">
        <f>IF(A4692="","",VLOOKUP(A4692,VII.A!$A$10:$D$199,4,FALSE))</f>
        <v/>
      </c>
      <c r="I4692" s="341" t="str">
        <f t="shared" si="1209"/>
        <v/>
      </c>
      <c r="J4692" s="341" t="str">
        <f>IF(A4692="","",VLOOKUP(A4692,VII.A!$A$10:$D$199,3,FALSE))</f>
        <v/>
      </c>
      <c r="K4692" s="342" t="str">
        <f t="shared" si="1210"/>
        <v/>
      </c>
      <c r="L4692" s="380" t="str">
        <f>IF(C4692="","",G4667*C4692)</f>
        <v/>
      </c>
      <c r="M4692" s="381" t="str">
        <f>IF(A4692="","",VLOOKUP(A4692,VII.A!$A$10:$B$199,2,FALSE))</f>
        <v/>
      </c>
      <c r="N4692" s="342" t="str">
        <f t="shared" si="1211"/>
        <v/>
      </c>
      <c r="R4692" s="341"/>
      <c r="S4692" s="341"/>
      <c r="Z4692" s="342"/>
      <c r="AA4692" s="342"/>
      <c r="AB4692" s="342"/>
    </row>
    <row r="4693" spans="1:28" ht="12.75" customHeight="1">
      <c r="A4693" s="393"/>
      <c r="C4693" s="20"/>
      <c r="E4693" s="387"/>
      <c r="F4693" s="388">
        <f t="shared" si="1208"/>
        <v>0</v>
      </c>
      <c r="G4693" s="390"/>
      <c r="H4693" s="341" t="str">
        <f>IF(A4693="","",VLOOKUP(A4693,VII.A!$A$10:$D$199,4,FALSE))</f>
        <v/>
      </c>
      <c r="I4693" s="341" t="str">
        <f t="shared" si="1209"/>
        <v/>
      </c>
      <c r="J4693" s="341" t="str">
        <f>IF(A4693="","",VLOOKUP(A4693,VII.A!$A$10:$D$199,3,FALSE))</f>
        <v/>
      </c>
      <c r="K4693" s="342" t="str">
        <f t="shared" si="1210"/>
        <v/>
      </c>
      <c r="L4693" s="380" t="str">
        <f>IF(C4693="","",G4667*C4693)</f>
        <v/>
      </c>
      <c r="M4693" s="381" t="str">
        <f>IF(A4693="","",VLOOKUP(A4693,VII.A!$A$10:$B$199,2,FALSE))</f>
        <v/>
      </c>
      <c r="N4693" s="342" t="str">
        <f t="shared" si="1211"/>
        <v/>
      </c>
      <c r="R4693" s="341"/>
      <c r="S4693" s="341"/>
      <c r="Z4693" s="342"/>
      <c r="AA4693" s="342"/>
      <c r="AB4693" s="342"/>
    </row>
    <row r="4694" spans="1:28" ht="12.75" customHeight="1">
      <c r="A4694" s="393"/>
      <c r="C4694" s="20"/>
      <c r="E4694" s="387"/>
      <c r="F4694" s="388">
        <f t="shared" si="1208"/>
        <v>0</v>
      </c>
      <c r="G4694" s="391"/>
      <c r="H4694" s="341" t="str">
        <f>IF(A4694="","",VLOOKUP(A4694,VII.A!$A$10:$D$199,4,FALSE))</f>
        <v/>
      </c>
      <c r="I4694" s="341" t="str">
        <f t="shared" si="1209"/>
        <v/>
      </c>
      <c r="J4694" s="341" t="str">
        <f>IF(A4694="","",VLOOKUP(A4694,VII.A!$A$10:$D$199,3,FALSE))</f>
        <v/>
      </c>
      <c r="K4694" s="342" t="str">
        <f t="shared" si="1210"/>
        <v/>
      </c>
      <c r="L4694" s="380" t="str">
        <f>IF(C4694="","",G4667*C4694)</f>
        <v/>
      </c>
      <c r="M4694" s="381" t="str">
        <f>IF(A4694="","",VLOOKUP(A4694,VII.A!$A$10:$B$199,2,FALSE))</f>
        <v/>
      </c>
      <c r="N4694" s="342" t="str">
        <f t="shared" si="1211"/>
        <v/>
      </c>
      <c r="R4694" s="341"/>
      <c r="S4694" s="341"/>
      <c r="Z4694" s="342"/>
      <c r="AA4694" s="342"/>
      <c r="AB4694" s="342"/>
    </row>
    <row r="4695" spans="1:28" ht="12.75" customHeight="1">
      <c r="A4695" s="393"/>
      <c r="C4695" s="20"/>
      <c r="E4695" s="387"/>
      <c r="F4695" s="388">
        <f t="shared" si="1208"/>
        <v>0</v>
      </c>
      <c r="H4695" s="341" t="str">
        <f>IF(A4695="","",VLOOKUP(A4695,VII.A!$A$10:$D$199,4,FALSE))</f>
        <v/>
      </c>
      <c r="I4695" s="341" t="str">
        <f t="shared" si="1209"/>
        <v/>
      </c>
      <c r="J4695" s="341" t="str">
        <f>IF(A4695="","",VLOOKUP(A4695,VII.A!$A$10:$D$199,3,FALSE))</f>
        <v/>
      </c>
      <c r="K4695" s="342" t="str">
        <f t="shared" si="1210"/>
        <v/>
      </c>
      <c r="L4695" s="380" t="str">
        <f>IF(C4695="","",G4667*C4695)</f>
        <v/>
      </c>
      <c r="M4695" s="381" t="str">
        <f>IF(A4695="","",VLOOKUP(A4695,VII.A!$A$10:$B$199,2,FALSE))</f>
        <v/>
      </c>
      <c r="N4695" s="342" t="str">
        <f t="shared" si="1211"/>
        <v/>
      </c>
      <c r="R4695" s="341"/>
      <c r="S4695" s="341"/>
      <c r="Z4695" s="342"/>
      <c r="AA4695" s="342"/>
      <c r="AB4695" s="342"/>
    </row>
    <row r="4696" spans="1:28" ht="12.75" customHeight="1">
      <c r="A4696" s="393"/>
      <c r="C4696" s="20"/>
      <c r="E4696" s="387"/>
      <c r="F4696" s="388">
        <f t="shared" si="1208"/>
        <v>0</v>
      </c>
      <c r="H4696" s="341" t="str">
        <f>IF(A4696="","",VLOOKUP(A4696,VII.A!$A$10:$D$199,4,FALSE))</f>
        <v/>
      </c>
      <c r="I4696" s="341" t="str">
        <f t="shared" si="1209"/>
        <v/>
      </c>
      <c r="J4696" s="341" t="str">
        <f>IF(A4696="","",VLOOKUP(A4696,VII.A!$A$10:$D$199,3,FALSE))</f>
        <v/>
      </c>
      <c r="K4696" s="342" t="str">
        <f t="shared" si="1210"/>
        <v/>
      </c>
      <c r="L4696" s="380" t="str">
        <f>IF(C4696="","",G4667*C4696)</f>
        <v/>
      </c>
      <c r="M4696" s="381" t="str">
        <f>IF(A4696="","",VLOOKUP(A4696,VII.A!$A$10:$B$199,2,FALSE))</f>
        <v/>
      </c>
      <c r="N4696" s="342" t="str">
        <f t="shared" si="1211"/>
        <v/>
      </c>
      <c r="R4696" s="341"/>
      <c r="S4696" s="341"/>
      <c r="Z4696" s="342"/>
      <c r="AA4696" s="342"/>
      <c r="AB4696" s="342"/>
    </row>
    <row r="4697" spans="1:28" ht="12.75" customHeight="1">
      <c r="A4697" s="393"/>
      <c r="C4697" s="20"/>
      <c r="E4697" s="387"/>
      <c r="F4697" s="388">
        <f t="shared" si="1208"/>
        <v>0</v>
      </c>
      <c r="H4697" s="341" t="str">
        <f>IF(A4697="","",VLOOKUP(A4697,VII.A!$A$10:$D$199,4,FALSE))</f>
        <v/>
      </c>
      <c r="I4697" s="341" t="str">
        <f t="shared" si="1209"/>
        <v/>
      </c>
      <c r="J4697" s="341" t="str">
        <f>IF(A4697="","",VLOOKUP(A4697,VII.A!$A$10:$D$199,3,FALSE))</f>
        <v/>
      </c>
      <c r="K4697" s="342" t="str">
        <f t="shared" si="1210"/>
        <v/>
      </c>
      <c r="L4697" s="380" t="str">
        <f>IF(C4697="","",G4667*C4697)</f>
        <v/>
      </c>
      <c r="M4697" s="381" t="str">
        <f>IF(A4697="","",VLOOKUP(A4697,VII.A!$A$10:$B$199,2,FALSE))</f>
        <v/>
      </c>
      <c r="N4697" s="342" t="str">
        <f t="shared" si="1211"/>
        <v/>
      </c>
      <c r="R4697" s="341"/>
      <c r="S4697" s="341"/>
      <c r="Z4697" s="342"/>
      <c r="AA4697" s="342"/>
      <c r="AB4697" s="342"/>
    </row>
    <row r="4698" spans="1:28" ht="12.75" customHeight="1">
      <c r="A4698" s="393"/>
      <c r="C4698" s="20"/>
      <c r="E4698" s="387"/>
      <c r="F4698" s="388">
        <f t="shared" si="1208"/>
        <v>0</v>
      </c>
      <c r="H4698" s="341" t="str">
        <f>IF(A4698="","",VLOOKUP(A4698,VII.A!$A$10:$D$199,4,FALSE))</f>
        <v/>
      </c>
      <c r="I4698" s="341" t="str">
        <f t="shared" si="1209"/>
        <v/>
      </c>
      <c r="J4698" s="341" t="str">
        <f>IF(A4698="","",VLOOKUP(A4698,VII.A!$A$10:$D$199,3,FALSE))</f>
        <v/>
      </c>
      <c r="K4698" s="342" t="str">
        <f t="shared" si="1210"/>
        <v/>
      </c>
      <c r="L4698" s="380" t="str">
        <f>IF(C4698="","",G4667*C4698)</f>
        <v/>
      </c>
      <c r="M4698" s="381" t="str">
        <f>IF(A4698="","",VLOOKUP(A4698,VII.A!$A$10:$B$199,2,FALSE))</f>
        <v/>
      </c>
      <c r="N4698" s="342" t="str">
        <f t="shared" si="1211"/>
        <v/>
      </c>
      <c r="R4698" s="341"/>
      <c r="S4698" s="341"/>
      <c r="Z4698" s="342"/>
      <c r="AA4698" s="342"/>
      <c r="AB4698" s="342"/>
    </row>
    <row r="4699" spans="1:28" ht="12.75" customHeight="1">
      <c r="A4699" s="393"/>
      <c r="B4699" s="395" t="s">
        <v>226</v>
      </c>
      <c r="C4699" s="396"/>
      <c r="D4699" s="397"/>
      <c r="E4699" s="398"/>
      <c r="F4699" s="399">
        <f>SUM(F4689:F4698)</f>
        <v>0</v>
      </c>
      <c r="J4699" s="341"/>
      <c r="L4699" s="380"/>
      <c r="M4699" s="381"/>
      <c r="N4699" s="342"/>
      <c r="R4699" s="341"/>
      <c r="S4699" s="341"/>
      <c r="Z4699" s="342"/>
      <c r="AA4699" s="342"/>
      <c r="AB4699" s="342"/>
    </row>
    <row r="4700" spans="1:28" ht="12.75" customHeight="1">
      <c r="A4700" s="393"/>
      <c r="B4700" s="400" t="s">
        <v>53</v>
      </c>
      <c r="C4700" s="2">
        <f>$D$8</f>
        <v>0</v>
      </c>
      <c r="D4700" s="401"/>
      <c r="E4700" s="402"/>
      <c r="F4700" s="403">
        <f>ROUND(C4700*F4699,2)</f>
        <v>0</v>
      </c>
      <c r="J4700" s="341"/>
      <c r="L4700" s="380"/>
      <c r="M4700" s="381"/>
      <c r="N4700" s="342"/>
      <c r="R4700" s="341"/>
      <c r="S4700" s="341"/>
      <c r="Z4700" s="342"/>
      <c r="AA4700" s="342"/>
      <c r="AB4700" s="342"/>
    </row>
    <row r="4701" spans="1:28" ht="12.75" customHeight="1">
      <c r="A4701" s="404"/>
      <c r="B4701" s="405" t="s">
        <v>228</v>
      </c>
      <c r="C4701" s="406"/>
      <c r="D4701" s="406"/>
      <c r="E4701" s="407"/>
      <c r="F4701" s="408">
        <f>F4699+F4700</f>
        <v>0</v>
      </c>
      <c r="J4701" s="341"/>
      <c r="L4701" s="380"/>
      <c r="M4701" s="381"/>
      <c r="N4701" s="342"/>
      <c r="R4701" s="341"/>
      <c r="S4701" s="341"/>
      <c r="Z4701" s="342"/>
      <c r="AA4701" s="342"/>
      <c r="AB4701" s="342"/>
    </row>
    <row r="4702" spans="1:28" ht="12.75" customHeight="1">
      <c r="A4702" s="409" t="s">
        <v>47</v>
      </c>
      <c r="B4702" s="410" t="s">
        <v>236</v>
      </c>
      <c r="C4702" s="411" t="s">
        <v>231</v>
      </c>
      <c r="D4702" s="412" t="s">
        <v>232</v>
      </c>
      <c r="E4702" s="413" t="s">
        <v>233</v>
      </c>
      <c r="F4702" s="378" t="s">
        <v>234</v>
      </c>
      <c r="J4702" s="341"/>
      <c r="L4702" s="380"/>
      <c r="M4702" s="381"/>
      <c r="N4702" s="342"/>
      <c r="R4702" s="341"/>
      <c r="S4702" s="341"/>
      <c r="Z4702" s="342"/>
      <c r="AA4702" s="342"/>
      <c r="AB4702" s="342"/>
    </row>
    <row r="4703" spans="1:28" ht="12.75" customHeight="1">
      <c r="A4703" s="393" t="str">
        <f>VII.A!$A$193</f>
        <v>3.13</v>
      </c>
      <c r="B4703" s="394" t="str">
        <f>VII.A!B193</f>
        <v>PINTOR COM ENCARGOS COMPLEMENTARES</v>
      </c>
      <c r="C4703" s="20">
        <f>0.187+((0.039*0.07)/0.16)+0.2</f>
        <v>0.40406249999999999</v>
      </c>
      <c r="D4703" s="384" t="str">
        <f>VII.A!C193</f>
        <v>H</v>
      </c>
      <c r="E4703" s="387">
        <f>VII.A!D193</f>
        <v>0</v>
      </c>
      <c r="F4703" s="388">
        <f t="shared" ref="F4703:F4709" si="1212">ROUND(C4703*E4703,2)</f>
        <v>0</v>
      </c>
      <c r="H4703" s="341">
        <f>IF(A4703="","",VLOOKUP(A4703,VII.A!$A$10:$D$199,4,FALSE))</f>
        <v>0</v>
      </c>
      <c r="I4703" s="341" t="str">
        <f t="shared" ref="I4703:I4709" si="1213">IF(A4703="","",IF(E4703=H4703,"SIM","NÃO"))</f>
        <v>SIM</v>
      </c>
      <c r="J4703" s="341" t="str">
        <f>IF(A4703="","",VLOOKUP(A4703,VII.A!$A$10:$D$199,3,FALSE))</f>
        <v>H</v>
      </c>
      <c r="K4703" s="342" t="str">
        <f t="shared" ref="K4703:K4709" si="1214">IF(A4703="","",IF(J4703=D4703,"SIM","NÃO"))</f>
        <v>SIM</v>
      </c>
      <c r="L4703" s="380">
        <f>IF(C4703="","",G4667*C4703)</f>
        <v>20728.40625</v>
      </c>
      <c r="M4703" s="381" t="str">
        <f>IF(A4703="","",VLOOKUP(A4703,VII.A!$A$10:$B$199,2,FALSE))</f>
        <v>PINTOR COM ENCARGOS COMPLEMENTARES</v>
      </c>
      <c r="N4703" s="342" t="str">
        <f t="shared" ref="N4703:N4709" si="1215">IF(B4703="","",IF(M4703=B4703,"si","no"))</f>
        <v>si</v>
      </c>
      <c r="R4703" s="341"/>
      <c r="S4703" s="341"/>
      <c r="Z4703" s="342"/>
      <c r="AA4703" s="342"/>
      <c r="AB4703" s="342"/>
    </row>
    <row r="4704" spans="1:28" ht="12.75" customHeight="1">
      <c r="A4704" s="393" t="str">
        <f>VII.A!$A$196</f>
        <v>3.16</v>
      </c>
      <c r="B4704" s="394" t="str">
        <f>VII.A!B196</f>
        <v>SERVENTE COM ENCARGOS COMPLEMENTARES</v>
      </c>
      <c r="C4704" s="20">
        <f>0.069+((0.014*0.07)/0.16)+0.1</f>
        <v>0.17512500000000003</v>
      </c>
      <c r="D4704" s="384" t="str">
        <f>VII.A!C196</f>
        <v>H</v>
      </c>
      <c r="E4704" s="387">
        <f>VII.A!D196</f>
        <v>0</v>
      </c>
      <c r="F4704" s="388">
        <f t="shared" si="1212"/>
        <v>0</v>
      </c>
      <c r="H4704" s="341">
        <f>IF(A4704="","",VLOOKUP(A4704,VII.A!$A$10:$D$199,4,FALSE))</f>
        <v>0</v>
      </c>
      <c r="I4704" s="341" t="str">
        <f t="shared" si="1213"/>
        <v>SIM</v>
      </c>
      <c r="J4704" s="341" t="str">
        <f>IF(A4704="","",VLOOKUP(A4704,VII.A!$A$10:$D$199,3,FALSE))</f>
        <v>H</v>
      </c>
      <c r="K4704" s="342" t="str">
        <f t="shared" si="1214"/>
        <v>SIM</v>
      </c>
      <c r="L4704" s="380">
        <f>IF(C4704="","",G4667*C4704)</f>
        <v>8983.9125000000022</v>
      </c>
      <c r="M4704" s="381" t="str">
        <f>IF(A4704="","",VLOOKUP(A4704,VII.A!$A$10:$B$199,2,FALSE))</f>
        <v>SERVENTE COM ENCARGOS COMPLEMENTARES</v>
      </c>
      <c r="N4704" s="342" t="str">
        <f t="shared" si="1215"/>
        <v>si</v>
      </c>
      <c r="R4704" s="341"/>
      <c r="S4704" s="341"/>
      <c r="Z4704" s="342"/>
      <c r="AA4704" s="342"/>
      <c r="AB4704" s="342"/>
    </row>
    <row r="4705" spans="1:28" ht="12.75" customHeight="1">
      <c r="A4705" s="393"/>
      <c r="C4705" s="20"/>
      <c r="E4705" s="387"/>
      <c r="F4705" s="388">
        <f t="shared" si="1212"/>
        <v>0</v>
      </c>
      <c r="H4705" s="341" t="str">
        <f>IF(A4705="","",VLOOKUP(A4705,VII.A!$A$10:$D$199,4,FALSE))</f>
        <v/>
      </c>
      <c r="I4705" s="341" t="str">
        <f t="shared" si="1213"/>
        <v/>
      </c>
      <c r="J4705" s="341" t="str">
        <f>IF(A4705="","",VLOOKUP(A4705,VII.A!$A$10:$D$199,3,FALSE))</f>
        <v/>
      </c>
      <c r="K4705" s="342" t="str">
        <f t="shared" si="1214"/>
        <v/>
      </c>
      <c r="L4705" s="380" t="str">
        <f>IF(C4705="","",G4667*C4705)</f>
        <v/>
      </c>
      <c r="M4705" s="381" t="str">
        <f>IF(A4705="","",VLOOKUP(A4705,VII.A!$A$10:$B$199,2,FALSE))</f>
        <v/>
      </c>
      <c r="N4705" s="342" t="str">
        <f t="shared" si="1215"/>
        <v/>
      </c>
      <c r="R4705" s="341"/>
      <c r="S4705" s="341"/>
      <c r="Z4705" s="342"/>
      <c r="AA4705" s="342"/>
      <c r="AB4705" s="342"/>
    </row>
    <row r="4706" spans="1:28" ht="12.75" customHeight="1">
      <c r="A4706" s="393"/>
      <c r="C4706" s="20"/>
      <c r="E4706" s="387"/>
      <c r="F4706" s="388">
        <f t="shared" si="1212"/>
        <v>0</v>
      </c>
      <c r="H4706" s="341" t="str">
        <f>IF(A4706="","",VLOOKUP(A4706,VII.A!$A$10:$D$199,4,FALSE))</f>
        <v/>
      </c>
      <c r="I4706" s="341" t="str">
        <f t="shared" si="1213"/>
        <v/>
      </c>
      <c r="J4706" s="341" t="str">
        <f>IF(A4706="","",VLOOKUP(A4706,VII.A!$A$10:$D$199,3,FALSE))</f>
        <v/>
      </c>
      <c r="K4706" s="342" t="str">
        <f t="shared" si="1214"/>
        <v/>
      </c>
      <c r="L4706" s="380" t="str">
        <f>IF(C4706="","",G4667*C4706)</f>
        <v/>
      </c>
      <c r="M4706" s="381" t="str">
        <f>IF(A4706="","",VLOOKUP(A4706,VII.A!$A$10:$B$199,2,FALSE))</f>
        <v/>
      </c>
      <c r="N4706" s="342" t="str">
        <f t="shared" si="1215"/>
        <v/>
      </c>
      <c r="R4706" s="341"/>
      <c r="S4706" s="341"/>
      <c r="Z4706" s="342"/>
      <c r="AA4706" s="342"/>
      <c r="AB4706" s="342"/>
    </row>
    <row r="4707" spans="1:28" ht="12.75" customHeight="1">
      <c r="A4707" s="393"/>
      <c r="C4707" s="20"/>
      <c r="E4707" s="387"/>
      <c r="F4707" s="388">
        <f t="shared" si="1212"/>
        <v>0</v>
      </c>
      <c r="H4707" s="341" t="str">
        <f>IF(A4707="","",VLOOKUP(A4707,VII.A!$A$10:$D$199,4,FALSE))</f>
        <v/>
      </c>
      <c r="I4707" s="341" t="str">
        <f t="shared" si="1213"/>
        <v/>
      </c>
      <c r="J4707" s="341" t="str">
        <f>IF(A4707="","",VLOOKUP(A4707,VII.A!$A$10:$D$199,3,FALSE))</f>
        <v/>
      </c>
      <c r="K4707" s="342" t="str">
        <f t="shared" si="1214"/>
        <v/>
      </c>
      <c r="L4707" s="380" t="str">
        <f>IF(C4707="","",G4667*C4707)</f>
        <v/>
      </c>
      <c r="M4707" s="381" t="str">
        <f>IF(A4707="","",VLOOKUP(A4707,VII.A!$A$10:$B$199,2,FALSE))</f>
        <v/>
      </c>
      <c r="N4707" s="342" t="str">
        <f t="shared" si="1215"/>
        <v/>
      </c>
      <c r="R4707" s="341"/>
      <c r="S4707" s="341"/>
      <c r="Z4707" s="342"/>
      <c r="AA4707" s="342"/>
      <c r="AB4707" s="342"/>
    </row>
    <row r="4708" spans="1:28" ht="12.75" customHeight="1">
      <c r="A4708" s="393"/>
      <c r="C4708" s="20"/>
      <c r="E4708" s="387"/>
      <c r="F4708" s="388">
        <f t="shared" si="1212"/>
        <v>0</v>
      </c>
      <c r="H4708" s="341" t="str">
        <f>IF(A4708="","",VLOOKUP(A4708,VII.A!$A$10:$D$199,4,FALSE))</f>
        <v/>
      </c>
      <c r="I4708" s="341" t="str">
        <f t="shared" si="1213"/>
        <v/>
      </c>
      <c r="J4708" s="341" t="str">
        <f>IF(A4708="","",VLOOKUP(A4708,VII.A!$A$10:$D$199,3,FALSE))</f>
        <v/>
      </c>
      <c r="K4708" s="342" t="str">
        <f t="shared" si="1214"/>
        <v/>
      </c>
      <c r="L4708" s="380" t="str">
        <f>IF(C4708="","",G4667*C4708)</f>
        <v/>
      </c>
      <c r="M4708" s="381" t="str">
        <f>IF(A4708="","",VLOOKUP(A4708,VII.A!$A$10:$B$199,2,FALSE))</f>
        <v/>
      </c>
      <c r="N4708" s="342" t="str">
        <f t="shared" si="1215"/>
        <v/>
      </c>
      <c r="R4708" s="341"/>
      <c r="S4708" s="341"/>
      <c r="Z4708" s="342"/>
      <c r="AA4708" s="342"/>
      <c r="AB4708" s="342"/>
    </row>
    <row r="4709" spans="1:28" ht="12.75" customHeight="1">
      <c r="A4709" s="393"/>
      <c r="C4709" s="20"/>
      <c r="E4709" s="387"/>
      <c r="F4709" s="388">
        <f t="shared" si="1212"/>
        <v>0</v>
      </c>
      <c r="H4709" s="341" t="str">
        <f>IF(A4709="","",VLOOKUP(A4709,VII.A!$A$10:$D$199,4,FALSE))</f>
        <v/>
      </c>
      <c r="I4709" s="341" t="str">
        <f t="shared" si="1213"/>
        <v/>
      </c>
      <c r="J4709" s="341" t="str">
        <f>IF(A4709="","",VLOOKUP(A4709,VII.A!$A$10:$D$199,3,FALSE))</f>
        <v/>
      </c>
      <c r="K4709" s="342" t="str">
        <f t="shared" si="1214"/>
        <v/>
      </c>
      <c r="L4709" s="380" t="str">
        <f>IF(C4709="","",G4667*C4709)</f>
        <v/>
      </c>
      <c r="M4709" s="381" t="str">
        <f>IF(A4709="","",VLOOKUP(A4709,VII.A!$A$10:$B$199,2,FALSE))</f>
        <v/>
      </c>
      <c r="N4709" s="342" t="str">
        <f t="shared" si="1215"/>
        <v/>
      </c>
      <c r="R4709" s="341"/>
      <c r="S4709" s="341"/>
      <c r="Z4709" s="342"/>
      <c r="AA4709" s="342"/>
      <c r="AB4709" s="342"/>
    </row>
    <row r="4710" spans="1:28" ht="12.75" customHeight="1">
      <c r="A4710" s="393"/>
      <c r="B4710" s="395" t="s">
        <v>226</v>
      </c>
      <c r="C4710" s="396"/>
      <c r="D4710" s="397"/>
      <c r="E4710" s="398"/>
      <c r="F4710" s="399">
        <f>SUM(F4703:F4709)</f>
        <v>0</v>
      </c>
      <c r="J4710" s="341"/>
      <c r="L4710" s="380"/>
      <c r="M4710" s="381"/>
      <c r="N4710" s="342"/>
      <c r="R4710" s="341"/>
      <c r="S4710" s="341"/>
      <c r="Z4710" s="342"/>
      <c r="AA4710" s="342"/>
      <c r="AB4710" s="342"/>
    </row>
    <row r="4711" spans="1:28" ht="12.75" customHeight="1">
      <c r="A4711" s="393"/>
      <c r="B4711" s="400" t="s">
        <v>229</v>
      </c>
      <c r="C4711" s="2">
        <f>IX.A!$C$45</f>
        <v>0</v>
      </c>
      <c r="D4711" s="401"/>
      <c r="E4711" s="402"/>
      <c r="F4711" s="403">
        <f>ROUND(F4710*C4711,2)</f>
        <v>0</v>
      </c>
      <c r="J4711" s="341"/>
      <c r="L4711" s="380"/>
      <c r="M4711" s="381"/>
      <c r="N4711" s="342"/>
      <c r="R4711" s="341"/>
      <c r="S4711" s="341"/>
      <c r="Z4711" s="342"/>
      <c r="AA4711" s="342"/>
      <c r="AB4711" s="342"/>
    </row>
    <row r="4712" spans="1:28" ht="12.75" customHeight="1">
      <c r="A4712" s="393"/>
      <c r="B4712" s="400" t="s">
        <v>53</v>
      </c>
      <c r="C4712" s="2">
        <f>$D$8</f>
        <v>0</v>
      </c>
      <c r="D4712" s="401"/>
      <c r="E4712" s="402"/>
      <c r="F4712" s="403">
        <f>ROUND(SUM(F4710:F4711)*C4712,2)</f>
        <v>0</v>
      </c>
      <c r="J4712" s="341"/>
      <c r="L4712" s="380"/>
      <c r="M4712" s="381"/>
      <c r="N4712" s="342"/>
      <c r="R4712" s="341"/>
      <c r="S4712" s="341"/>
      <c r="Z4712" s="342"/>
      <c r="AA4712" s="342"/>
      <c r="AB4712" s="342"/>
    </row>
    <row r="4713" spans="1:28" ht="12.75" customHeight="1" thickBot="1">
      <c r="A4713" s="414"/>
      <c r="B4713" s="415" t="s">
        <v>230</v>
      </c>
      <c r="C4713" s="416"/>
      <c r="D4713" s="416"/>
      <c r="E4713" s="417"/>
      <c r="F4713" s="418">
        <f>SUM(F4710:F4712)</f>
        <v>0</v>
      </c>
      <c r="J4713" s="341"/>
      <c r="L4713" s="380"/>
      <c r="M4713" s="381"/>
      <c r="N4713" s="342"/>
      <c r="R4713" s="341"/>
      <c r="S4713" s="341"/>
      <c r="Z4713" s="342"/>
      <c r="AA4713" s="342"/>
      <c r="AB4713" s="342"/>
    </row>
    <row r="4714" spans="1:28" ht="12.75" customHeight="1" thickBot="1">
      <c r="A4714" s="357"/>
      <c r="B4714" s="358"/>
      <c r="C4714" s="359"/>
      <c r="D4714" s="359"/>
      <c r="E4714" s="360"/>
      <c r="F4714" s="419"/>
      <c r="G4714" s="452"/>
      <c r="H4714" s="453"/>
      <c r="I4714" s="454"/>
      <c r="J4714" s="454"/>
      <c r="K4714" s="455"/>
      <c r="L4714" s="456"/>
      <c r="M4714" s="356"/>
      <c r="N4714" s="341"/>
      <c r="O4714" s="341"/>
      <c r="P4714" s="341"/>
      <c r="Q4714" s="342"/>
      <c r="R4714" s="380"/>
      <c r="S4714" s="381"/>
      <c r="U4714" s="343"/>
      <c r="V4714" s="344"/>
      <c r="W4714" s="344"/>
      <c r="X4714" s="341"/>
      <c r="Y4714" s="341"/>
      <c r="Z4714" s="342"/>
      <c r="AA4714" s="342"/>
      <c r="AB4714" s="342"/>
    </row>
    <row r="4715" spans="1:28" ht="30" customHeight="1">
      <c r="A4715" s="370" t="str">
        <f>IV.A!A144</f>
        <v>6.7</v>
      </c>
      <c r="B4715" s="371" t="str">
        <f>IV.A!B144</f>
        <v>PINTURA DE RESERV. APOIADO DE CONCRETO - LÁTEX ACRÍLICO FOSCO COR BRANCA 2 DEMÃOS E FAIXAS AZUIS CONFORME PADRÃO SEMAE</v>
      </c>
      <c r="C4715" s="871" t="s">
        <v>237</v>
      </c>
      <c r="D4715" s="872"/>
      <c r="E4715" s="372" t="str">
        <f>IV.A!$C$144</f>
        <v>M2</v>
      </c>
      <c r="F4715" s="11">
        <f>ROUND(F4735+F4749+F4761,2)</f>
        <v>0</v>
      </c>
      <c r="G4715" s="1">
        <f>VLOOKUP(A4715,IV.A!$A$16:$L$172,4,FALSE)</f>
        <v>6500</v>
      </c>
      <c r="H4715" s="361">
        <f>SUM(F4717:F4732)+F4734</f>
        <v>0</v>
      </c>
      <c r="I4715" s="361">
        <f>SUM(F4737:F4746)+F4748</f>
        <v>0</v>
      </c>
      <c r="J4715" s="361">
        <f>SUM(F4751:F4757)+F4759+F4760</f>
        <v>0</v>
      </c>
      <c r="K4715" s="361">
        <f>SUM(H4715:J4715)</f>
        <v>0</v>
      </c>
      <c r="L4715" s="362" t="str">
        <f>IF(K4715=F4715,"SIM","NÃO")</f>
        <v>SIM</v>
      </c>
      <c r="M4715" s="373">
        <f>ROUND(SUM(F4717:F4732),2)+ROUND(SUM(F4717:F4732)*C4734,2)+ROUND(SUM(F4737:F4746)*C4748,2)+ROUND(SUM(F4737:F4746),2)+ROUND(SUM(F4751:F4757)*C4759,2)+ROUND((SUM(F4751:F4757)+ROUND(SUM(F4751:F4757)*C4759,2))*C4760,2)+ROUND(SUM(F4751:F4757),2)</f>
        <v>0</v>
      </c>
      <c r="N4715" s="343" t="str">
        <f>IF(M4715=F4715,"SIM","NÃO")</f>
        <v>SIM</v>
      </c>
      <c r="O4715" s="364" t="str">
        <f>VLOOKUP(A4715,IV.A!$A$16:$E$172,3,FALSE)</f>
        <v>M2</v>
      </c>
      <c r="P4715" s="344" t="str">
        <f>IF(O4715=E4715,"SIM","NÃO")</f>
        <v>SIM</v>
      </c>
      <c r="Q4715" s="365">
        <f>ROUND(G4715*F4735,2)+ROUND(G4715*F4749,2)+ROUND(G4715*F4761,2)</f>
        <v>0</v>
      </c>
      <c r="R4715" s="364">
        <f>VLOOKUP(A4715,IV.A!$A$16:$L$172,12,FALSE)</f>
        <v>0</v>
      </c>
      <c r="S4715" s="366" t="str">
        <f>IF(Q4715=R4715,"si","no")</f>
        <v>si</v>
      </c>
      <c r="T4715" s="367">
        <f>SUM(L4717:L4732)+SUM(L4737:L4746)+SUM(L4751:L4757)</f>
        <v>10264.71875</v>
      </c>
      <c r="U4715" s="341">
        <f>(SUM(C4717:C4732)+SUM(C4737:C4746)+SUM(C4751:C4757))*G4715</f>
        <v>10264.718750000002</v>
      </c>
      <c r="V4715" s="368" t="str">
        <f>IF(T4715=U4715,"si","no")</f>
        <v>si</v>
      </c>
      <c r="W4715" s="369">
        <f>SUM(F4717:F4732)</f>
        <v>0</v>
      </c>
      <c r="X4715" s="369">
        <f>SUM(F4737:F4746)</f>
        <v>0</v>
      </c>
      <c r="Y4715" s="369">
        <f>SUM(F4751:F4757)</f>
        <v>0</v>
      </c>
    </row>
    <row r="4716" spans="1:28" ht="12.75" customHeight="1">
      <c r="A4716" s="374" t="s">
        <v>14</v>
      </c>
      <c r="B4716" s="375" t="s">
        <v>132</v>
      </c>
      <c r="C4716" s="376" t="s">
        <v>231</v>
      </c>
      <c r="D4716" s="376" t="s">
        <v>232</v>
      </c>
      <c r="E4716" s="377" t="s">
        <v>233</v>
      </c>
      <c r="F4716" s="378" t="s">
        <v>234</v>
      </c>
      <c r="G4716" s="379"/>
      <c r="J4716" s="341"/>
      <c r="L4716" s="380"/>
      <c r="M4716" s="381"/>
      <c r="N4716" s="342"/>
      <c r="O4716" s="382"/>
      <c r="P4716" s="383"/>
      <c r="Q4716" s="383"/>
      <c r="R4716" s="383"/>
      <c r="S4716" s="383"/>
      <c r="T4716" s="382"/>
      <c r="U4716" s="341"/>
      <c r="V4716" s="384"/>
      <c r="W4716" s="384"/>
      <c r="X4716" s="384"/>
      <c r="Y4716" s="384"/>
    </row>
    <row r="4717" spans="1:28" ht="12.75" customHeight="1">
      <c r="A4717" s="385" t="str">
        <f>VII.A!$A$68</f>
        <v>1.59</v>
      </c>
      <c r="B4717" s="386" t="str">
        <f>VLOOKUP(A4717,VII.A!$A$10:$G$199,2,FALSE)</f>
        <v>LIXA PARA SUPERFÍCIE/MASSA, GRANA 120</v>
      </c>
      <c r="C4717" s="20">
        <v>0.5</v>
      </c>
      <c r="D4717" s="342" t="str">
        <f>VLOOKUP(A4717,VII.A!$A$10:$G$199,3,FALSE)</f>
        <v>UN</v>
      </c>
      <c r="E4717" s="387">
        <f>VII.A!$D$68</f>
        <v>0</v>
      </c>
      <c r="F4717" s="388">
        <f>ROUND(C4717*E4717,2)</f>
        <v>0</v>
      </c>
      <c r="H4717" s="341">
        <f>IF(A4717="","",VLOOKUP(A4717,VII.A!$A$10:$D$199,4,FALSE))</f>
        <v>0</v>
      </c>
      <c r="I4717" s="341" t="str">
        <f t="shared" ref="I4717:I4721" si="1216">IF(A4717="","",IF(E4717=H4717,"SIM","NÃO"))</f>
        <v>SIM</v>
      </c>
      <c r="J4717" s="341" t="str">
        <f>IF(A4717="","",VLOOKUP(A4717,VII.A!$A$10:$D$199,3,FALSE))</f>
        <v>UN</v>
      </c>
      <c r="K4717" s="342" t="str">
        <f t="shared" ref="K4717:K4721" si="1217">IF(A4717="","",IF(J4717=D4717,"SIM","NÃO"))</f>
        <v>SIM</v>
      </c>
      <c r="L4717" s="380">
        <f>IF(C4717="","",G4715*C4717)</f>
        <v>3250</v>
      </c>
      <c r="M4717" s="381" t="str">
        <f>IF(A4717="","",VLOOKUP(A4717,VII.A!$A$10:$B$199,2,FALSE))</f>
        <v>LIXA PARA SUPERFÍCIE/MASSA, GRANA 120</v>
      </c>
      <c r="N4717" s="342" t="str">
        <f t="shared" ref="N4717:N4721" si="1218">IF(B4717="","",IF(M4717=B4717,"si","no"))</f>
        <v>si</v>
      </c>
      <c r="R4717" s="341"/>
      <c r="S4717" s="341"/>
    </row>
    <row r="4718" spans="1:28" ht="12.75" customHeight="1">
      <c r="A4718" s="385" t="str">
        <f>VII.A!$A$55</f>
        <v>1.46</v>
      </c>
      <c r="B4718" s="386" t="str">
        <f>VLOOKUP(A4718,VII.A!$A$10:$G$199,2,FALSE)</f>
        <v xml:space="preserve">FUNDO PREPARADOR </v>
      </c>
      <c r="C4718" s="20">
        <v>7.0000000000000007E-2</v>
      </c>
      <c r="D4718" s="342" t="str">
        <f>VLOOKUP(A4718,VII.A!$A$10:$G$199,3,FALSE)</f>
        <v>L</v>
      </c>
      <c r="E4718" s="387">
        <f>VLOOKUP(A4718,VII.A!$A$10:$G$199,4,FALSE)</f>
        <v>0</v>
      </c>
      <c r="F4718" s="388">
        <f t="shared" ref="F4718:F4732" si="1219">ROUND(C4718*E4718,2)</f>
        <v>0</v>
      </c>
      <c r="H4718" s="341">
        <f>IF(A4718="","",VLOOKUP(A4718,VII.A!$A$10:$D$199,4,FALSE))</f>
        <v>0</v>
      </c>
      <c r="I4718" s="341" t="str">
        <f t="shared" si="1216"/>
        <v>SIM</v>
      </c>
      <c r="J4718" s="341" t="str">
        <f>IF(A4718="","",VLOOKUP(A4718,VII.A!$A$10:$D$199,3,FALSE))</f>
        <v>L</v>
      </c>
      <c r="K4718" s="342" t="str">
        <f t="shared" si="1217"/>
        <v>SIM</v>
      </c>
      <c r="L4718" s="380">
        <f>IF(C4718="","",G4715*C4718)</f>
        <v>455.00000000000006</v>
      </c>
      <c r="M4718" s="381" t="str">
        <f>IF(A4718="","",VLOOKUP(A4718,VII.A!$A$10:$B$199,2,FALSE))</f>
        <v xml:space="preserve">FUNDO PREPARADOR </v>
      </c>
      <c r="N4718" s="342" t="str">
        <f t="shared" si="1218"/>
        <v>si</v>
      </c>
      <c r="R4718" s="341"/>
      <c r="S4718" s="341"/>
    </row>
    <row r="4719" spans="1:28" ht="12.75" customHeight="1">
      <c r="A4719" s="385" t="str">
        <f>VII.A!$A$112</f>
        <v>1.102</v>
      </c>
      <c r="B4719" s="386" t="str">
        <f>VLOOKUP(A4719,VII.A!$A$10:$G$199,2,FALSE)</f>
        <v>TINTA LÁTEX ACRÍLICA - 1ª LINHA</v>
      </c>
      <c r="C4719" s="20">
        <v>0.33</v>
      </c>
      <c r="D4719" s="342" t="str">
        <f>VLOOKUP(A4719,VII.A!$A$10:$G$199,3,FALSE)</f>
        <v>L</v>
      </c>
      <c r="E4719" s="387">
        <f>VII.A!$D$112</f>
        <v>0</v>
      </c>
      <c r="F4719" s="388">
        <f t="shared" si="1219"/>
        <v>0</v>
      </c>
      <c r="H4719" s="341">
        <f>IF(A4719="","",VLOOKUP(A4719,VII.A!$A$10:$D$199,4,FALSE))</f>
        <v>0</v>
      </c>
      <c r="I4719" s="341" t="str">
        <f t="shared" si="1216"/>
        <v>SIM</v>
      </c>
      <c r="J4719" s="341" t="str">
        <f>IF(A4719="","",VLOOKUP(A4719,VII.A!$A$10:$D$199,3,FALSE))</f>
        <v>L</v>
      </c>
      <c r="K4719" s="342" t="str">
        <f t="shared" si="1217"/>
        <v>SIM</v>
      </c>
      <c r="L4719" s="380">
        <f>IF(C4719="","",G4715*C4719)</f>
        <v>2145</v>
      </c>
      <c r="M4719" s="381" t="str">
        <f>IF(A4719="","",VLOOKUP(A4719,VII.A!$A$10:$B$199,2,FALSE))</f>
        <v>TINTA LÁTEX ACRÍLICA - 1ª LINHA</v>
      </c>
      <c r="N4719" s="342" t="str">
        <f t="shared" si="1218"/>
        <v>si</v>
      </c>
      <c r="R4719" s="341"/>
      <c r="S4719" s="341"/>
    </row>
    <row r="4720" spans="1:28" ht="12.75" customHeight="1">
      <c r="A4720" s="385"/>
      <c r="B4720" s="386"/>
      <c r="C4720" s="20"/>
      <c r="D4720" s="342"/>
      <c r="E4720" s="387"/>
      <c r="F4720" s="388">
        <f t="shared" si="1219"/>
        <v>0</v>
      </c>
      <c r="H4720" s="341" t="str">
        <f>IF(A4720="","",VLOOKUP(A4720,VII.A!$A$10:$D$199,4,FALSE))</f>
        <v/>
      </c>
      <c r="I4720" s="341" t="str">
        <f t="shared" si="1216"/>
        <v/>
      </c>
      <c r="J4720" s="341" t="str">
        <f>IF(A4720="","",VLOOKUP(A4720,VII.A!$A$10:$D$199,3,FALSE))</f>
        <v/>
      </c>
      <c r="K4720" s="342" t="str">
        <f t="shared" si="1217"/>
        <v/>
      </c>
      <c r="L4720" s="380" t="str">
        <f>IF(C4720="","",G4715*C4720)</f>
        <v/>
      </c>
      <c r="M4720" s="381" t="str">
        <f>IF(A4720="","",VLOOKUP(A4720,VII.A!$A$10:$B$199,2,FALSE))</f>
        <v/>
      </c>
      <c r="N4720" s="342" t="str">
        <f t="shared" si="1218"/>
        <v/>
      </c>
      <c r="R4720" s="341"/>
      <c r="S4720" s="341"/>
    </row>
    <row r="4721" spans="1:25" ht="12.75" customHeight="1">
      <c r="A4721" s="385"/>
      <c r="B4721" s="386"/>
      <c r="C4721" s="20"/>
      <c r="D4721" s="342"/>
      <c r="E4721" s="387"/>
      <c r="F4721" s="388">
        <f t="shared" si="1219"/>
        <v>0</v>
      </c>
      <c r="H4721" s="341" t="str">
        <f>IF(A4721="","",VLOOKUP(A4721,VII.A!$A$10:$D$199,4,FALSE))</f>
        <v/>
      </c>
      <c r="I4721" s="341" t="str">
        <f t="shared" si="1216"/>
        <v/>
      </c>
      <c r="J4721" s="341" t="str">
        <f>IF(A4721="","",VLOOKUP(A4721,VII.A!$A$10:$D$199,3,FALSE))</f>
        <v/>
      </c>
      <c r="K4721" s="342" t="str">
        <f t="shared" si="1217"/>
        <v/>
      </c>
      <c r="L4721" s="380" t="str">
        <f>IF(C4721="","",G4715*C4721)</f>
        <v/>
      </c>
      <c r="M4721" s="381" t="str">
        <f>IF(A4721="","",VLOOKUP(A4721,VII.A!$A$10:$B$199,2,FALSE))</f>
        <v/>
      </c>
      <c r="N4721" s="342" t="str">
        <f t="shared" si="1218"/>
        <v/>
      </c>
      <c r="R4721" s="341"/>
      <c r="S4721" s="341"/>
    </row>
    <row r="4722" spans="1:25" ht="12.75" customHeight="1">
      <c r="A4722" s="385"/>
      <c r="B4722" s="386"/>
      <c r="C4722" s="20"/>
      <c r="D4722" s="342"/>
      <c r="E4722" s="387"/>
      <c r="F4722" s="388">
        <f t="shared" si="1219"/>
        <v>0</v>
      </c>
      <c r="G4722" s="452"/>
      <c r="H4722" s="453"/>
      <c r="I4722" s="454"/>
      <c r="J4722" s="454"/>
      <c r="K4722" s="455"/>
      <c r="L4722" s="456"/>
      <c r="M4722" s="356"/>
      <c r="N4722" s="341"/>
      <c r="O4722" s="341"/>
      <c r="P4722" s="341"/>
      <c r="Q4722" s="342"/>
      <c r="R4722" s="380"/>
      <c r="S4722" s="381"/>
      <c r="U4722" s="343"/>
      <c r="V4722" s="344"/>
      <c r="W4722" s="344"/>
      <c r="X4722" s="341"/>
      <c r="Y4722" s="341"/>
    </row>
    <row r="4723" spans="1:25" ht="12.75" customHeight="1">
      <c r="A4723" s="385"/>
      <c r="B4723" s="386"/>
      <c r="C4723" s="20"/>
      <c r="D4723" s="342"/>
      <c r="E4723" s="387"/>
      <c r="F4723" s="388">
        <f t="shared" si="1219"/>
        <v>0</v>
      </c>
      <c r="G4723" s="452"/>
      <c r="H4723" s="453"/>
      <c r="I4723" s="454"/>
      <c r="J4723" s="454"/>
      <c r="K4723" s="455"/>
      <c r="L4723" s="456"/>
      <c r="M4723" s="356"/>
      <c r="N4723" s="341"/>
      <c r="O4723" s="341"/>
      <c r="P4723" s="341"/>
      <c r="Q4723" s="342"/>
      <c r="R4723" s="380"/>
      <c r="S4723" s="381"/>
      <c r="U4723" s="343"/>
      <c r="V4723" s="344"/>
      <c r="W4723" s="344"/>
      <c r="X4723" s="341"/>
      <c r="Y4723" s="341"/>
    </row>
    <row r="4724" spans="1:25" ht="12.75" customHeight="1">
      <c r="A4724" s="385"/>
      <c r="B4724" s="386"/>
      <c r="C4724" s="20"/>
      <c r="D4724" s="342"/>
      <c r="E4724" s="387"/>
      <c r="F4724" s="388">
        <f t="shared" si="1219"/>
        <v>0</v>
      </c>
      <c r="G4724" s="452"/>
      <c r="H4724" s="453"/>
      <c r="I4724" s="454"/>
      <c r="J4724" s="454"/>
      <c r="K4724" s="455"/>
      <c r="L4724" s="456"/>
      <c r="M4724" s="356"/>
      <c r="N4724" s="341"/>
      <c r="O4724" s="341"/>
      <c r="P4724" s="341"/>
      <c r="Q4724" s="342"/>
      <c r="R4724" s="380"/>
      <c r="S4724" s="381"/>
      <c r="U4724" s="343"/>
      <c r="V4724" s="344"/>
      <c r="W4724" s="344"/>
      <c r="X4724" s="341"/>
      <c r="Y4724" s="341"/>
    </row>
    <row r="4725" spans="1:25" ht="12.75" customHeight="1">
      <c r="A4725" s="385"/>
      <c r="B4725" s="386"/>
      <c r="C4725" s="20"/>
      <c r="D4725" s="342"/>
      <c r="E4725" s="387"/>
      <c r="F4725" s="388">
        <f t="shared" si="1219"/>
        <v>0</v>
      </c>
      <c r="G4725" s="452"/>
      <c r="H4725" s="453"/>
      <c r="I4725" s="454"/>
      <c r="J4725" s="454"/>
      <c r="K4725" s="455"/>
      <c r="L4725" s="456"/>
      <c r="M4725" s="356"/>
      <c r="N4725" s="341"/>
      <c r="O4725" s="341"/>
      <c r="P4725" s="341"/>
      <c r="Q4725" s="342"/>
      <c r="R4725" s="380"/>
      <c r="S4725" s="381"/>
      <c r="U4725" s="343"/>
      <c r="V4725" s="344"/>
      <c r="W4725" s="344"/>
      <c r="X4725" s="341"/>
      <c r="Y4725" s="341"/>
    </row>
    <row r="4726" spans="1:25" ht="12.75" customHeight="1">
      <c r="A4726" s="385"/>
      <c r="B4726" s="386"/>
      <c r="C4726" s="20"/>
      <c r="D4726" s="342"/>
      <c r="E4726" s="387"/>
      <c r="F4726" s="388">
        <f t="shared" si="1219"/>
        <v>0</v>
      </c>
      <c r="G4726" s="452"/>
      <c r="H4726" s="453"/>
      <c r="I4726" s="454"/>
      <c r="J4726" s="454"/>
      <c r="K4726" s="455"/>
      <c r="L4726" s="456"/>
      <c r="M4726" s="356"/>
      <c r="N4726" s="341"/>
      <c r="O4726" s="341"/>
      <c r="P4726" s="341"/>
      <c r="Q4726" s="342"/>
      <c r="R4726" s="380"/>
      <c r="S4726" s="381"/>
      <c r="U4726" s="343"/>
      <c r="V4726" s="344"/>
      <c r="W4726" s="344"/>
      <c r="X4726" s="341"/>
      <c r="Y4726" s="341"/>
    </row>
    <row r="4727" spans="1:25" ht="12.75" customHeight="1">
      <c r="A4727" s="385"/>
      <c r="B4727" s="386"/>
      <c r="C4727" s="20"/>
      <c r="D4727" s="342"/>
      <c r="E4727" s="387"/>
      <c r="F4727" s="388">
        <f t="shared" si="1219"/>
        <v>0</v>
      </c>
      <c r="G4727" s="452"/>
      <c r="H4727" s="453"/>
      <c r="I4727" s="454"/>
      <c r="J4727" s="454"/>
      <c r="K4727" s="455"/>
      <c r="L4727" s="456"/>
      <c r="M4727" s="356"/>
      <c r="N4727" s="341"/>
      <c r="O4727" s="341"/>
      <c r="P4727" s="341"/>
      <c r="Q4727" s="342"/>
      <c r="R4727" s="380"/>
      <c r="S4727" s="381"/>
      <c r="U4727" s="343"/>
      <c r="V4727" s="344"/>
      <c r="W4727" s="344"/>
      <c r="X4727" s="341"/>
      <c r="Y4727" s="341"/>
    </row>
    <row r="4728" spans="1:25" ht="12.75" customHeight="1">
      <c r="A4728" s="385"/>
      <c r="B4728" s="386"/>
      <c r="C4728" s="20"/>
      <c r="D4728" s="392"/>
      <c r="E4728" s="387"/>
      <c r="F4728" s="388">
        <f t="shared" si="1219"/>
        <v>0</v>
      </c>
      <c r="G4728" s="452"/>
      <c r="H4728" s="453"/>
      <c r="I4728" s="454"/>
      <c r="J4728" s="454"/>
      <c r="K4728" s="455"/>
      <c r="L4728" s="456"/>
      <c r="M4728" s="356"/>
      <c r="N4728" s="341"/>
      <c r="O4728" s="341"/>
      <c r="P4728" s="341"/>
      <c r="Q4728" s="342"/>
      <c r="R4728" s="380"/>
      <c r="S4728" s="381"/>
      <c r="U4728" s="343"/>
      <c r="V4728" s="344"/>
      <c r="W4728" s="344"/>
      <c r="X4728" s="341"/>
      <c r="Y4728" s="341"/>
    </row>
    <row r="4729" spans="1:25" ht="12.75" customHeight="1">
      <c r="A4729" s="385"/>
      <c r="B4729" s="386"/>
      <c r="C4729" s="20"/>
      <c r="D4729" s="392"/>
      <c r="E4729" s="387"/>
      <c r="F4729" s="388">
        <f t="shared" si="1219"/>
        <v>0</v>
      </c>
      <c r="G4729" s="452"/>
      <c r="H4729" s="453"/>
      <c r="I4729" s="454"/>
      <c r="J4729" s="454"/>
      <c r="K4729" s="455"/>
      <c r="L4729" s="456"/>
      <c r="M4729" s="356"/>
      <c r="N4729" s="341"/>
      <c r="O4729" s="341"/>
      <c r="P4729" s="341"/>
      <c r="Q4729" s="342"/>
      <c r="R4729" s="380"/>
      <c r="S4729" s="381"/>
      <c r="U4729" s="343"/>
      <c r="V4729" s="344"/>
      <c r="W4729" s="344"/>
      <c r="X4729" s="341"/>
      <c r="Y4729" s="341"/>
    </row>
    <row r="4730" spans="1:25" ht="12.75" customHeight="1">
      <c r="A4730" s="385"/>
      <c r="B4730" s="386"/>
      <c r="C4730" s="20"/>
      <c r="D4730" s="392"/>
      <c r="E4730" s="387"/>
      <c r="F4730" s="388">
        <f t="shared" si="1219"/>
        <v>0</v>
      </c>
      <c r="G4730" s="452"/>
      <c r="H4730" s="453"/>
      <c r="I4730" s="454"/>
      <c r="J4730" s="454"/>
      <c r="K4730" s="455"/>
      <c r="L4730" s="456"/>
      <c r="M4730" s="356"/>
      <c r="N4730" s="341"/>
      <c r="O4730" s="341"/>
      <c r="P4730" s="341"/>
      <c r="Q4730" s="342"/>
      <c r="R4730" s="380"/>
      <c r="S4730" s="381"/>
      <c r="U4730" s="343"/>
      <c r="V4730" s="344"/>
      <c r="W4730" s="344"/>
      <c r="X4730" s="341"/>
      <c r="Y4730" s="341"/>
    </row>
    <row r="4731" spans="1:25" ht="12.75" customHeight="1">
      <c r="A4731" s="393"/>
      <c r="C4731" s="20"/>
      <c r="E4731" s="387"/>
      <c r="F4731" s="388">
        <f t="shared" si="1219"/>
        <v>0</v>
      </c>
      <c r="G4731" s="452"/>
      <c r="H4731" s="453"/>
      <c r="I4731" s="454"/>
      <c r="J4731" s="454"/>
      <c r="K4731" s="455"/>
      <c r="L4731" s="456"/>
      <c r="M4731" s="356"/>
      <c r="N4731" s="341"/>
      <c r="O4731" s="341"/>
      <c r="P4731" s="341"/>
      <c r="Q4731" s="342"/>
      <c r="R4731" s="380"/>
      <c r="S4731" s="381"/>
      <c r="U4731" s="343"/>
      <c r="V4731" s="344"/>
      <c r="W4731" s="344"/>
      <c r="X4731" s="341"/>
      <c r="Y4731" s="341"/>
    </row>
    <row r="4732" spans="1:25" ht="12.75" customHeight="1">
      <c r="A4732" s="393"/>
      <c r="C4732" s="20"/>
      <c r="E4732" s="387"/>
      <c r="F4732" s="388">
        <f t="shared" si="1219"/>
        <v>0</v>
      </c>
      <c r="G4732" s="452"/>
      <c r="H4732" s="453"/>
      <c r="I4732" s="454"/>
      <c r="J4732" s="454"/>
      <c r="K4732" s="455"/>
      <c r="L4732" s="456"/>
      <c r="M4732" s="356"/>
      <c r="N4732" s="341"/>
      <c r="O4732" s="341"/>
      <c r="P4732" s="341"/>
      <c r="Q4732" s="342"/>
      <c r="R4732" s="380"/>
      <c r="S4732" s="381"/>
      <c r="U4732" s="343"/>
      <c r="V4732" s="344"/>
      <c r="W4732" s="344"/>
      <c r="X4732" s="341"/>
      <c r="Y4732" s="341"/>
    </row>
    <row r="4733" spans="1:25" ht="12.75" customHeight="1">
      <c r="A4733" s="393"/>
      <c r="B4733" s="395" t="s">
        <v>226</v>
      </c>
      <c r="C4733" s="396"/>
      <c r="D4733" s="397"/>
      <c r="E4733" s="398"/>
      <c r="F4733" s="399">
        <f>SUM(F4717:F4732)</f>
        <v>0</v>
      </c>
      <c r="G4733" s="452"/>
      <c r="H4733" s="453"/>
      <c r="I4733" s="454"/>
      <c r="J4733" s="454"/>
      <c r="K4733" s="455"/>
      <c r="L4733" s="456"/>
      <c r="M4733" s="356"/>
      <c r="N4733" s="341"/>
      <c r="O4733" s="341"/>
      <c r="P4733" s="341"/>
      <c r="Q4733" s="342"/>
      <c r="R4733" s="380"/>
      <c r="S4733" s="381"/>
      <c r="U4733" s="343"/>
      <c r="V4733" s="344"/>
      <c r="W4733" s="344"/>
      <c r="X4733" s="341"/>
      <c r="Y4733" s="341"/>
    </row>
    <row r="4734" spans="1:25" ht="12.75" customHeight="1">
      <c r="A4734" s="393"/>
      <c r="B4734" s="400" t="s">
        <v>53</v>
      </c>
      <c r="C4734" s="2">
        <f>$D$8</f>
        <v>0</v>
      </c>
      <c r="D4734" s="401"/>
      <c r="E4734" s="402"/>
      <c r="F4734" s="403">
        <f>ROUND(F4733*C4734,2)</f>
        <v>0</v>
      </c>
      <c r="G4734" s="452"/>
      <c r="H4734" s="453"/>
      <c r="I4734" s="454"/>
      <c r="J4734" s="454"/>
      <c r="K4734" s="455"/>
      <c r="L4734" s="456"/>
      <c r="M4734" s="356"/>
      <c r="N4734" s="341"/>
      <c r="O4734" s="341"/>
      <c r="P4734" s="341"/>
      <c r="Q4734" s="342"/>
      <c r="R4734" s="380"/>
      <c r="S4734" s="381"/>
      <c r="U4734" s="343"/>
      <c r="V4734" s="344"/>
      <c r="W4734" s="344"/>
      <c r="X4734" s="341"/>
      <c r="Y4734" s="341"/>
    </row>
    <row r="4735" spans="1:25" ht="12.75" customHeight="1">
      <c r="A4735" s="404"/>
      <c r="B4735" s="405" t="s">
        <v>227</v>
      </c>
      <c r="C4735" s="406"/>
      <c r="D4735" s="406"/>
      <c r="E4735" s="407"/>
      <c r="F4735" s="408">
        <f>F4733+F4734</f>
        <v>0</v>
      </c>
      <c r="G4735" s="452"/>
      <c r="H4735" s="453"/>
      <c r="I4735" s="454"/>
      <c r="J4735" s="454"/>
      <c r="K4735" s="455"/>
      <c r="L4735" s="456"/>
      <c r="M4735" s="356"/>
      <c r="N4735" s="341"/>
      <c r="O4735" s="341"/>
      <c r="P4735" s="341"/>
      <c r="Q4735" s="342"/>
      <c r="R4735" s="380"/>
      <c r="S4735" s="381"/>
      <c r="U4735" s="343"/>
      <c r="V4735" s="344"/>
      <c r="W4735" s="344"/>
      <c r="X4735" s="341"/>
      <c r="Y4735" s="341"/>
    </row>
    <row r="4736" spans="1:25" ht="12.75" customHeight="1">
      <c r="A4736" s="374" t="s">
        <v>2</v>
      </c>
      <c r="B4736" s="375" t="s">
        <v>235</v>
      </c>
      <c r="C4736" s="376" t="s">
        <v>231</v>
      </c>
      <c r="D4736" s="376" t="s">
        <v>232</v>
      </c>
      <c r="E4736" s="377" t="s">
        <v>233</v>
      </c>
      <c r="F4736" s="378" t="s">
        <v>234</v>
      </c>
      <c r="G4736" s="452"/>
      <c r="H4736" s="453"/>
      <c r="I4736" s="454"/>
      <c r="J4736" s="454"/>
      <c r="K4736" s="455"/>
      <c r="L4736" s="456"/>
      <c r="M4736" s="356"/>
      <c r="N4736" s="341"/>
      <c r="O4736" s="341"/>
      <c r="P4736" s="341"/>
      <c r="Q4736" s="342"/>
      <c r="R4736" s="380"/>
      <c r="S4736" s="381"/>
      <c r="U4736" s="343"/>
      <c r="V4736" s="344"/>
      <c r="W4736" s="344"/>
      <c r="X4736" s="341"/>
      <c r="Y4736" s="341"/>
    </row>
    <row r="4737" spans="1:25" ht="12.75" customHeight="1">
      <c r="A4737" s="393" t="str">
        <f>VII.A!$A$162</f>
        <v>2.20</v>
      </c>
      <c r="B4737" s="386" t="str">
        <f>VLOOKUP(A4737,VII.A!$A$10:$G$199,2,FALSE)</f>
        <v>MÁQUINA DE LAVAGEM A PRESSÃO, TIPO VAP (ÁGUA FRIA, PRESSÃO 1700PSI) - CHP</v>
      </c>
      <c r="C4737" s="20">
        <v>0.1</v>
      </c>
      <c r="D4737" s="342" t="str">
        <f>VLOOKUP(A4737,VII.A!$A$10:$G$199,3,FALSE)</f>
        <v>CHP</v>
      </c>
      <c r="E4737" s="387">
        <f>VII.A!$D$162</f>
        <v>0</v>
      </c>
      <c r="F4737" s="388">
        <f t="shared" ref="F4737:F4746" si="1220">ROUND(C4737*E4737,2)</f>
        <v>0</v>
      </c>
      <c r="G4737" s="452"/>
      <c r="H4737" s="341">
        <f>IF(A4737="","",VLOOKUP(A4737,VII.A!$A$10:$D$199,4,FALSE))</f>
        <v>0</v>
      </c>
      <c r="I4737" s="341" t="str">
        <f>IF(A4737="","",IF(E4737=H4737,"SIM","NÃO"))</f>
        <v>SIM</v>
      </c>
      <c r="J4737" s="341" t="str">
        <f>IF(A4737="","",VLOOKUP(A4737,VII.A!$A$10:$D$199,3,FALSE))</f>
        <v>CHP</v>
      </c>
      <c r="K4737" s="342" t="str">
        <f t="shared" ref="K4737" si="1221">IF(A4737="","",IF(J4737=D4737,"SIM","NÃO"))</f>
        <v>SIM</v>
      </c>
      <c r="L4737" s="380">
        <f>IF(C4737="","",$G$4715*C4737)</f>
        <v>650</v>
      </c>
      <c r="M4737" s="381" t="str">
        <f>IF(A4737="","",VLOOKUP(A4737,VII.A!$A$10:$B$199,2,FALSE))</f>
        <v>MÁQUINA DE LAVAGEM A PRESSÃO, TIPO VAP (ÁGUA FRIA, PRESSÃO 1700PSI) - CHP</v>
      </c>
      <c r="N4737" s="342" t="str">
        <f t="shared" ref="N4737" si="1222">IF(B4737="","",IF(M4737=B4737,"si","no"))</f>
        <v>si</v>
      </c>
      <c r="O4737" s="341"/>
      <c r="P4737" s="341"/>
      <c r="Q4737" s="342"/>
      <c r="R4737" s="380"/>
      <c r="S4737" s="381"/>
      <c r="U4737" s="343"/>
      <c r="V4737" s="344"/>
      <c r="W4737" s="344"/>
      <c r="X4737" s="341"/>
      <c r="Y4737" s="341"/>
    </row>
    <row r="4738" spans="1:25" ht="12.75" customHeight="1">
      <c r="A4738" s="393"/>
      <c r="C4738" s="20"/>
      <c r="E4738" s="387"/>
      <c r="F4738" s="388">
        <f t="shared" si="1220"/>
        <v>0</v>
      </c>
      <c r="G4738" s="452"/>
      <c r="H4738" s="453"/>
      <c r="I4738" s="454"/>
      <c r="J4738" s="454"/>
      <c r="K4738" s="455"/>
      <c r="L4738" s="456"/>
      <c r="M4738" s="356"/>
      <c r="N4738" s="341"/>
      <c r="O4738" s="341"/>
      <c r="P4738" s="341"/>
      <c r="Q4738" s="342"/>
      <c r="R4738" s="380"/>
      <c r="S4738" s="381"/>
      <c r="U4738" s="343"/>
      <c r="V4738" s="344"/>
      <c r="W4738" s="344"/>
      <c r="X4738" s="341"/>
      <c r="Y4738" s="341"/>
    </row>
    <row r="4739" spans="1:25" ht="12.75" customHeight="1">
      <c r="A4739" s="393"/>
      <c r="C4739" s="20"/>
      <c r="E4739" s="387"/>
      <c r="F4739" s="388">
        <f t="shared" si="1220"/>
        <v>0</v>
      </c>
      <c r="G4739" s="452"/>
      <c r="H4739" s="453"/>
      <c r="I4739" s="454"/>
      <c r="J4739" s="454"/>
      <c r="K4739" s="455"/>
      <c r="L4739" s="456"/>
      <c r="M4739" s="356"/>
      <c r="N4739" s="341"/>
      <c r="O4739" s="341"/>
      <c r="P4739" s="341"/>
      <c r="Q4739" s="342"/>
      <c r="R4739" s="380"/>
      <c r="S4739" s="381"/>
      <c r="U4739" s="343"/>
      <c r="V4739" s="344"/>
      <c r="W4739" s="344"/>
      <c r="X4739" s="341"/>
      <c r="Y4739" s="341"/>
    </row>
    <row r="4740" spans="1:25" ht="12.75" customHeight="1">
      <c r="A4740" s="393"/>
      <c r="C4740" s="20"/>
      <c r="E4740" s="387"/>
      <c r="F4740" s="388">
        <f t="shared" si="1220"/>
        <v>0</v>
      </c>
      <c r="G4740" s="452"/>
      <c r="H4740" s="453"/>
      <c r="I4740" s="454"/>
      <c r="J4740" s="454"/>
      <c r="K4740" s="455"/>
      <c r="L4740" s="456"/>
      <c r="M4740" s="356"/>
      <c r="N4740" s="341"/>
      <c r="O4740" s="341"/>
      <c r="P4740" s="341"/>
      <c r="Q4740" s="342"/>
      <c r="R4740" s="380"/>
      <c r="S4740" s="381"/>
      <c r="U4740" s="343"/>
      <c r="V4740" s="344"/>
      <c r="W4740" s="344"/>
      <c r="X4740" s="341"/>
      <c r="Y4740" s="341"/>
    </row>
    <row r="4741" spans="1:25" ht="12.75" customHeight="1">
      <c r="A4741" s="393"/>
      <c r="C4741" s="20"/>
      <c r="E4741" s="387"/>
      <c r="F4741" s="388">
        <f t="shared" si="1220"/>
        <v>0</v>
      </c>
      <c r="G4741" s="452"/>
      <c r="H4741" s="453"/>
      <c r="I4741" s="454"/>
      <c r="J4741" s="454"/>
      <c r="K4741" s="455"/>
      <c r="L4741" s="456"/>
      <c r="M4741" s="356"/>
      <c r="N4741" s="341"/>
      <c r="O4741" s="341"/>
      <c r="P4741" s="341"/>
      <c r="Q4741" s="342"/>
      <c r="R4741" s="380"/>
      <c r="S4741" s="381"/>
      <c r="U4741" s="343"/>
      <c r="V4741" s="344"/>
      <c r="W4741" s="344"/>
      <c r="X4741" s="341"/>
      <c r="Y4741" s="341"/>
    </row>
    <row r="4742" spans="1:25" ht="12.75" customHeight="1">
      <c r="A4742" s="393"/>
      <c r="C4742" s="20"/>
      <c r="E4742" s="387"/>
      <c r="F4742" s="388">
        <f t="shared" si="1220"/>
        <v>0</v>
      </c>
      <c r="G4742" s="452"/>
      <c r="H4742" s="453"/>
      <c r="I4742" s="454"/>
      <c r="J4742" s="454"/>
      <c r="K4742" s="455"/>
      <c r="L4742" s="456"/>
      <c r="M4742" s="356"/>
      <c r="N4742" s="341"/>
      <c r="O4742" s="341"/>
      <c r="P4742" s="341"/>
      <c r="Q4742" s="342"/>
      <c r="R4742" s="380"/>
      <c r="S4742" s="381"/>
      <c r="U4742" s="343"/>
      <c r="V4742" s="344"/>
      <c r="W4742" s="344"/>
      <c r="X4742" s="341"/>
      <c r="Y4742" s="341"/>
    </row>
    <row r="4743" spans="1:25" ht="12.75" customHeight="1">
      <c r="A4743" s="393"/>
      <c r="C4743" s="20"/>
      <c r="E4743" s="387"/>
      <c r="F4743" s="388">
        <f t="shared" si="1220"/>
        <v>0</v>
      </c>
      <c r="G4743" s="452"/>
      <c r="H4743" s="453"/>
      <c r="I4743" s="454"/>
      <c r="J4743" s="454"/>
      <c r="K4743" s="455"/>
      <c r="L4743" s="456"/>
      <c r="M4743" s="356"/>
      <c r="N4743" s="341"/>
      <c r="O4743" s="341"/>
      <c r="P4743" s="341"/>
      <c r="Q4743" s="342"/>
      <c r="R4743" s="380"/>
      <c r="S4743" s="381"/>
      <c r="U4743" s="343"/>
      <c r="V4743" s="344"/>
      <c r="W4743" s="344"/>
      <c r="X4743" s="341"/>
      <c r="Y4743" s="341"/>
    </row>
    <row r="4744" spans="1:25" ht="12.75" customHeight="1">
      <c r="A4744" s="393"/>
      <c r="C4744" s="20"/>
      <c r="E4744" s="387"/>
      <c r="F4744" s="388">
        <f t="shared" si="1220"/>
        <v>0</v>
      </c>
      <c r="G4744" s="452"/>
      <c r="H4744" s="453"/>
      <c r="I4744" s="454"/>
      <c r="J4744" s="454"/>
      <c r="K4744" s="455"/>
      <c r="L4744" s="456"/>
      <c r="M4744" s="356"/>
      <c r="N4744" s="341"/>
      <c r="O4744" s="341"/>
      <c r="P4744" s="341"/>
      <c r="Q4744" s="342"/>
      <c r="R4744" s="380"/>
      <c r="S4744" s="381"/>
      <c r="U4744" s="343"/>
      <c r="V4744" s="344"/>
      <c r="W4744" s="344"/>
      <c r="X4744" s="341"/>
      <c r="Y4744" s="341"/>
    </row>
    <row r="4745" spans="1:25" ht="12.75" customHeight="1">
      <c r="A4745" s="393"/>
      <c r="C4745" s="20"/>
      <c r="E4745" s="387"/>
      <c r="F4745" s="388">
        <f t="shared" si="1220"/>
        <v>0</v>
      </c>
      <c r="G4745" s="452"/>
      <c r="H4745" s="453"/>
      <c r="I4745" s="454"/>
      <c r="J4745" s="454"/>
      <c r="K4745" s="455"/>
      <c r="L4745" s="456"/>
      <c r="M4745" s="356"/>
      <c r="N4745" s="341"/>
      <c r="O4745" s="341"/>
      <c r="P4745" s="341"/>
      <c r="Q4745" s="342"/>
      <c r="R4745" s="380"/>
      <c r="S4745" s="381"/>
      <c r="U4745" s="343"/>
      <c r="V4745" s="344"/>
      <c r="W4745" s="344"/>
      <c r="X4745" s="341"/>
      <c r="Y4745" s="341"/>
    </row>
    <row r="4746" spans="1:25" ht="12.75" customHeight="1">
      <c r="A4746" s="393"/>
      <c r="C4746" s="20"/>
      <c r="E4746" s="387"/>
      <c r="F4746" s="388">
        <f t="shared" si="1220"/>
        <v>0</v>
      </c>
      <c r="G4746" s="452"/>
      <c r="H4746" s="453"/>
      <c r="I4746" s="454"/>
      <c r="J4746" s="454"/>
      <c r="K4746" s="455"/>
      <c r="L4746" s="456"/>
      <c r="M4746" s="356"/>
      <c r="N4746" s="341"/>
      <c r="O4746" s="341"/>
      <c r="P4746" s="341"/>
      <c r="Q4746" s="342"/>
      <c r="R4746" s="380"/>
      <c r="S4746" s="381"/>
      <c r="U4746" s="343"/>
      <c r="V4746" s="344"/>
      <c r="W4746" s="344"/>
      <c r="X4746" s="341"/>
      <c r="Y4746" s="341"/>
    </row>
    <row r="4747" spans="1:25" ht="12.75" customHeight="1">
      <c r="A4747" s="393"/>
      <c r="B4747" s="395" t="s">
        <v>226</v>
      </c>
      <c r="C4747" s="396"/>
      <c r="D4747" s="397"/>
      <c r="E4747" s="398"/>
      <c r="F4747" s="399">
        <f>SUM(F4737:F4746)</f>
        <v>0</v>
      </c>
      <c r="G4747" s="452"/>
      <c r="J4747" s="341"/>
      <c r="L4747" s="380"/>
      <c r="M4747" s="381"/>
      <c r="N4747" s="342"/>
      <c r="O4747" s="341"/>
      <c r="P4747" s="341"/>
      <c r="Q4747" s="342"/>
      <c r="R4747" s="380"/>
      <c r="S4747" s="381"/>
      <c r="U4747" s="343"/>
      <c r="V4747" s="344"/>
      <c r="W4747" s="344"/>
      <c r="X4747" s="341"/>
      <c r="Y4747" s="341"/>
    </row>
    <row r="4748" spans="1:25" ht="12.75" customHeight="1">
      <c r="A4748" s="393"/>
      <c r="B4748" s="400" t="s">
        <v>53</v>
      </c>
      <c r="C4748" s="2">
        <f>$D$8</f>
        <v>0</v>
      </c>
      <c r="D4748" s="401"/>
      <c r="E4748" s="402"/>
      <c r="F4748" s="403">
        <f>ROUND(C4748*F4747,2)</f>
        <v>0</v>
      </c>
      <c r="G4748" s="452"/>
      <c r="J4748" s="341"/>
      <c r="L4748" s="380"/>
      <c r="M4748" s="381"/>
      <c r="N4748" s="342"/>
      <c r="O4748" s="341"/>
      <c r="P4748" s="341"/>
      <c r="Q4748" s="342"/>
      <c r="R4748" s="380"/>
      <c r="S4748" s="381"/>
      <c r="U4748" s="343"/>
      <c r="V4748" s="344"/>
      <c r="W4748" s="344"/>
      <c r="X4748" s="341"/>
      <c r="Y4748" s="341"/>
    </row>
    <row r="4749" spans="1:25" ht="12.75" customHeight="1">
      <c r="A4749" s="404"/>
      <c r="B4749" s="405" t="s">
        <v>228</v>
      </c>
      <c r="C4749" s="406"/>
      <c r="D4749" s="406"/>
      <c r="E4749" s="407"/>
      <c r="F4749" s="408">
        <f>F4747+F4748</f>
        <v>0</v>
      </c>
      <c r="G4749" s="452"/>
      <c r="H4749" s="453"/>
      <c r="I4749" s="454"/>
      <c r="J4749" s="454"/>
      <c r="K4749" s="455"/>
      <c r="L4749" s="456"/>
      <c r="M4749" s="356"/>
      <c r="N4749" s="341"/>
      <c r="O4749" s="341"/>
      <c r="P4749" s="341"/>
      <c r="Q4749" s="342"/>
      <c r="R4749" s="380"/>
      <c r="S4749" s="381"/>
      <c r="U4749" s="343"/>
      <c r="V4749" s="344"/>
      <c r="W4749" s="344"/>
      <c r="X4749" s="341"/>
      <c r="Y4749" s="341"/>
    </row>
    <row r="4750" spans="1:25" ht="12.75" customHeight="1">
      <c r="A4750" s="409" t="s">
        <v>47</v>
      </c>
      <c r="B4750" s="410" t="s">
        <v>236</v>
      </c>
      <c r="C4750" s="411" t="s">
        <v>231</v>
      </c>
      <c r="D4750" s="412" t="s">
        <v>232</v>
      </c>
      <c r="E4750" s="413" t="s">
        <v>233</v>
      </c>
      <c r="F4750" s="378" t="s">
        <v>234</v>
      </c>
      <c r="G4750" s="452"/>
      <c r="H4750" s="453"/>
      <c r="I4750" s="454"/>
      <c r="J4750" s="454"/>
      <c r="K4750" s="455"/>
      <c r="L4750" s="456"/>
      <c r="M4750" s="356"/>
      <c r="N4750" s="341"/>
      <c r="O4750" s="341"/>
      <c r="P4750" s="341"/>
      <c r="Q4750" s="342"/>
      <c r="R4750" s="380"/>
      <c r="S4750" s="381"/>
      <c r="U4750" s="343"/>
      <c r="V4750" s="344"/>
      <c r="W4750" s="344"/>
      <c r="X4750" s="341"/>
      <c r="Y4750" s="341"/>
    </row>
    <row r="4751" spans="1:25" ht="12.75" customHeight="1">
      <c r="A4751" s="393" t="str">
        <f>VII.A!$A$193</f>
        <v>3.13</v>
      </c>
      <c r="B4751" s="386" t="str">
        <f>VLOOKUP(A4751,VII.A!$A$10:$G$199,2,FALSE)</f>
        <v>PINTOR COM ENCARGOS COMPLEMENTARES</v>
      </c>
      <c r="C4751" s="20">
        <f>0.187+((0.039*0.07)/0.16)+0.2</f>
        <v>0.40406249999999999</v>
      </c>
      <c r="D4751" s="342" t="str">
        <f>VLOOKUP(A4751,VII.A!$A$10:$G$199,3,FALSE)</f>
        <v>H</v>
      </c>
      <c r="E4751" s="387">
        <f>VII.A!$D$193</f>
        <v>0</v>
      </c>
      <c r="F4751" s="388">
        <f t="shared" ref="F4751:F4757" si="1223">ROUND(C4751*E4751,2)</f>
        <v>0</v>
      </c>
      <c r="G4751" s="452"/>
      <c r="H4751" s="341">
        <f>IF(A4751="","",VLOOKUP(A4751,VII.A!$A$10:$D$199,4,FALSE))</f>
        <v>0</v>
      </c>
      <c r="I4751" s="341" t="str">
        <f t="shared" ref="I4751:I4752" si="1224">IF(A4751="","",IF(E4751=H4751,"SIM","NÃO"))</f>
        <v>SIM</v>
      </c>
      <c r="J4751" s="341" t="str">
        <f>IF(A4751="","",VLOOKUP(A4751,VII.A!$A$10:$D$199,3,FALSE))</f>
        <v>H</v>
      </c>
      <c r="K4751" s="342" t="str">
        <f t="shared" ref="K4751:K4752" si="1225">IF(A4751="","",IF(J4751=D4751,"SIM","NÃO"))</f>
        <v>SIM</v>
      </c>
      <c r="L4751" s="380">
        <f>IF(C4751="","",$G$4715*C4751)</f>
        <v>2626.40625</v>
      </c>
      <c r="M4751" s="381" t="str">
        <f>IF(A4751="","",VLOOKUP(A4751,VII.A!$A$10:$B$199,2,FALSE))</f>
        <v>PINTOR COM ENCARGOS COMPLEMENTARES</v>
      </c>
      <c r="N4751" s="342" t="str">
        <f t="shared" ref="N4751:N4752" si="1226">IF(B4751="","",IF(M4751=B4751,"si","no"))</f>
        <v>si</v>
      </c>
      <c r="O4751" s="341"/>
      <c r="P4751" s="341"/>
      <c r="Q4751" s="342"/>
      <c r="R4751" s="380"/>
      <c r="S4751" s="381"/>
      <c r="U4751" s="343"/>
      <c r="V4751" s="344"/>
      <c r="W4751" s="344"/>
      <c r="X4751" s="341"/>
      <c r="Y4751" s="341"/>
    </row>
    <row r="4752" spans="1:25" ht="12.75" customHeight="1">
      <c r="A4752" s="393" t="str">
        <f>VII.A!$A$196</f>
        <v>3.16</v>
      </c>
      <c r="B4752" s="386" t="str">
        <f>VLOOKUP(A4752,VII.A!$A$10:$G$199,2,FALSE)</f>
        <v>SERVENTE COM ENCARGOS COMPLEMENTARES</v>
      </c>
      <c r="C4752" s="20">
        <f>0.069+((0.014*0.07)/0.16)+0.1</f>
        <v>0.17512500000000003</v>
      </c>
      <c r="D4752" s="342" t="str">
        <f>VLOOKUP(A4752,VII.A!$A$10:$G$199,3,FALSE)</f>
        <v>H</v>
      </c>
      <c r="E4752" s="387">
        <f>VII.A!$D$196</f>
        <v>0</v>
      </c>
      <c r="F4752" s="388">
        <f t="shared" si="1223"/>
        <v>0</v>
      </c>
      <c r="G4752" s="452"/>
      <c r="H4752" s="341">
        <f>IF(A4752="","",VLOOKUP(A4752,VII.A!$A$10:$D$199,4,FALSE))</f>
        <v>0</v>
      </c>
      <c r="I4752" s="341" t="str">
        <f t="shared" si="1224"/>
        <v>SIM</v>
      </c>
      <c r="J4752" s="341" t="str">
        <f>IF(A4752="","",VLOOKUP(A4752,VII.A!$A$10:$D$199,3,FALSE))</f>
        <v>H</v>
      </c>
      <c r="K4752" s="342" t="str">
        <f t="shared" si="1225"/>
        <v>SIM</v>
      </c>
      <c r="L4752" s="380">
        <f>IF(C4752="","",$G$4715*C4752)</f>
        <v>1138.3125000000002</v>
      </c>
      <c r="M4752" s="381" t="str">
        <f>IF(A4752="","",VLOOKUP(A4752,VII.A!$A$10:$B$199,2,FALSE))</f>
        <v>SERVENTE COM ENCARGOS COMPLEMENTARES</v>
      </c>
      <c r="N4752" s="342" t="str">
        <f t="shared" si="1226"/>
        <v>si</v>
      </c>
      <c r="O4752" s="341"/>
      <c r="P4752" s="341"/>
      <c r="Q4752" s="342"/>
      <c r="R4752" s="380"/>
      <c r="S4752" s="381"/>
      <c r="U4752" s="343"/>
      <c r="V4752" s="344"/>
      <c r="W4752" s="344"/>
      <c r="X4752" s="341"/>
      <c r="Y4752" s="341"/>
    </row>
    <row r="4753" spans="1:25" ht="12.75" customHeight="1">
      <c r="A4753" s="393"/>
      <c r="C4753" s="20"/>
      <c r="E4753" s="387"/>
      <c r="F4753" s="388">
        <f t="shared" si="1223"/>
        <v>0</v>
      </c>
      <c r="G4753" s="452"/>
      <c r="H4753" s="453"/>
      <c r="I4753" s="454"/>
      <c r="J4753" s="454"/>
      <c r="K4753" s="455"/>
      <c r="L4753" s="456"/>
      <c r="M4753" s="356"/>
      <c r="N4753" s="341"/>
      <c r="O4753" s="341"/>
      <c r="P4753" s="341"/>
      <c r="Q4753" s="342"/>
      <c r="R4753" s="380"/>
      <c r="S4753" s="381"/>
      <c r="U4753" s="343"/>
      <c r="V4753" s="344"/>
      <c r="W4753" s="344"/>
      <c r="X4753" s="341"/>
      <c r="Y4753" s="341"/>
    </row>
    <row r="4754" spans="1:25" ht="12.75" customHeight="1">
      <c r="A4754" s="393"/>
      <c r="C4754" s="20"/>
      <c r="E4754" s="387"/>
      <c r="F4754" s="388">
        <f t="shared" si="1223"/>
        <v>0</v>
      </c>
      <c r="G4754" s="452"/>
      <c r="H4754" s="453"/>
      <c r="I4754" s="454"/>
      <c r="J4754" s="454"/>
      <c r="K4754" s="455"/>
      <c r="L4754" s="456"/>
      <c r="M4754" s="356"/>
      <c r="N4754" s="341"/>
      <c r="O4754" s="341"/>
      <c r="P4754" s="341"/>
      <c r="Q4754" s="342"/>
      <c r="R4754" s="380"/>
      <c r="S4754" s="381"/>
      <c r="U4754" s="343"/>
      <c r="V4754" s="344"/>
      <c r="W4754" s="344"/>
      <c r="X4754" s="341"/>
      <c r="Y4754" s="341"/>
    </row>
    <row r="4755" spans="1:25" ht="12.75" customHeight="1">
      <c r="A4755" s="393"/>
      <c r="C4755" s="20"/>
      <c r="E4755" s="387"/>
      <c r="F4755" s="388">
        <f t="shared" si="1223"/>
        <v>0</v>
      </c>
      <c r="G4755" s="452"/>
      <c r="H4755" s="453"/>
      <c r="I4755" s="454"/>
      <c r="J4755" s="454"/>
      <c r="K4755" s="455"/>
      <c r="L4755" s="456"/>
      <c r="M4755" s="356"/>
      <c r="N4755" s="341"/>
      <c r="O4755" s="341"/>
      <c r="P4755" s="341"/>
      <c r="Q4755" s="342"/>
      <c r="R4755" s="380"/>
      <c r="S4755" s="381"/>
      <c r="U4755" s="343"/>
      <c r="V4755" s="344"/>
      <c r="W4755" s="344"/>
      <c r="X4755" s="341"/>
      <c r="Y4755" s="341"/>
    </row>
    <row r="4756" spans="1:25" ht="12.75" customHeight="1">
      <c r="A4756" s="393"/>
      <c r="C4756" s="20"/>
      <c r="E4756" s="387"/>
      <c r="F4756" s="388">
        <f t="shared" si="1223"/>
        <v>0</v>
      </c>
      <c r="G4756" s="452"/>
      <c r="H4756" s="453"/>
      <c r="I4756" s="454"/>
      <c r="J4756" s="454"/>
      <c r="K4756" s="455"/>
      <c r="L4756" s="456"/>
      <c r="M4756" s="356"/>
      <c r="N4756" s="341"/>
      <c r="O4756" s="341"/>
      <c r="P4756" s="341"/>
      <c r="Q4756" s="342"/>
      <c r="R4756" s="380"/>
      <c r="S4756" s="381"/>
      <c r="U4756" s="343"/>
      <c r="V4756" s="344"/>
      <c r="W4756" s="344"/>
      <c r="X4756" s="341"/>
      <c r="Y4756" s="341"/>
    </row>
    <row r="4757" spans="1:25" ht="12.75" customHeight="1">
      <c r="A4757" s="393"/>
      <c r="C4757" s="20"/>
      <c r="E4757" s="387"/>
      <c r="F4757" s="388">
        <f t="shared" si="1223"/>
        <v>0</v>
      </c>
      <c r="G4757" s="452"/>
      <c r="H4757" s="453"/>
      <c r="I4757" s="454"/>
      <c r="J4757" s="454"/>
      <c r="K4757" s="455"/>
      <c r="L4757" s="456"/>
      <c r="M4757" s="356"/>
      <c r="N4757" s="341"/>
      <c r="O4757" s="341"/>
      <c r="P4757" s="341"/>
      <c r="Q4757" s="342"/>
      <c r="R4757" s="380"/>
      <c r="S4757" s="381"/>
      <c r="U4757" s="343"/>
      <c r="V4757" s="344"/>
      <c r="W4757" s="344"/>
      <c r="X4757" s="341"/>
      <c r="Y4757" s="341"/>
    </row>
    <row r="4758" spans="1:25" ht="12.75" customHeight="1">
      <c r="A4758" s="393"/>
      <c r="B4758" s="395" t="s">
        <v>226</v>
      </c>
      <c r="C4758" s="396"/>
      <c r="D4758" s="397"/>
      <c r="E4758" s="398"/>
      <c r="F4758" s="399">
        <f>SUM(F4751:F4757)</f>
        <v>0</v>
      </c>
      <c r="G4758" s="452"/>
      <c r="H4758" s="453"/>
      <c r="I4758" s="454"/>
      <c r="J4758" s="454"/>
      <c r="K4758" s="455"/>
      <c r="L4758" s="456"/>
      <c r="M4758" s="356"/>
      <c r="N4758" s="341"/>
      <c r="O4758" s="341"/>
      <c r="P4758" s="341"/>
      <c r="Q4758" s="342"/>
      <c r="R4758" s="380"/>
      <c r="S4758" s="381"/>
      <c r="U4758" s="343"/>
      <c r="V4758" s="344"/>
      <c r="W4758" s="344"/>
      <c r="X4758" s="341"/>
      <c r="Y4758" s="341"/>
    </row>
    <row r="4759" spans="1:25" ht="12.75" customHeight="1">
      <c r="A4759" s="393"/>
      <c r="B4759" s="400" t="s">
        <v>229</v>
      </c>
      <c r="C4759" s="2">
        <f>IX.A!$C$45</f>
        <v>0</v>
      </c>
      <c r="D4759" s="401"/>
      <c r="E4759" s="402"/>
      <c r="F4759" s="403">
        <f>ROUND(F4758*C4759,2)</f>
        <v>0</v>
      </c>
      <c r="G4759" s="452"/>
      <c r="H4759" s="453"/>
      <c r="I4759" s="454"/>
      <c r="J4759" s="454"/>
      <c r="K4759" s="455"/>
      <c r="L4759" s="456"/>
      <c r="M4759" s="356"/>
      <c r="N4759" s="341"/>
      <c r="O4759" s="341"/>
      <c r="P4759" s="341"/>
      <c r="Q4759" s="342"/>
      <c r="R4759" s="380"/>
      <c r="S4759" s="381"/>
      <c r="U4759" s="343"/>
      <c r="V4759" s="344"/>
      <c r="W4759" s="344"/>
      <c r="X4759" s="341"/>
      <c r="Y4759" s="341"/>
    </row>
    <row r="4760" spans="1:25" ht="12.75" customHeight="1">
      <c r="A4760" s="393"/>
      <c r="B4760" s="400" t="s">
        <v>53</v>
      </c>
      <c r="C4760" s="2">
        <f>$D$8</f>
        <v>0</v>
      </c>
      <c r="D4760" s="401"/>
      <c r="E4760" s="402"/>
      <c r="F4760" s="403">
        <f>ROUND(SUM(F4758:F4759)*C4760,2)</f>
        <v>0</v>
      </c>
      <c r="G4760" s="452"/>
      <c r="H4760" s="453"/>
      <c r="I4760" s="454"/>
      <c r="J4760" s="454"/>
      <c r="K4760" s="455"/>
      <c r="L4760" s="456"/>
      <c r="M4760" s="356"/>
      <c r="N4760" s="341"/>
      <c r="O4760" s="341"/>
      <c r="P4760" s="341"/>
      <c r="Q4760" s="342"/>
      <c r="R4760" s="380"/>
      <c r="S4760" s="381"/>
      <c r="U4760" s="343"/>
      <c r="V4760" s="344"/>
      <c r="W4760" s="344"/>
      <c r="X4760" s="341"/>
      <c r="Y4760" s="341"/>
    </row>
    <row r="4761" spans="1:25" ht="12.75" customHeight="1" thickBot="1">
      <c r="A4761" s="414"/>
      <c r="B4761" s="415" t="s">
        <v>230</v>
      </c>
      <c r="C4761" s="416"/>
      <c r="D4761" s="416"/>
      <c r="E4761" s="417"/>
      <c r="F4761" s="418">
        <f>SUM(F4758:F4760)</f>
        <v>0</v>
      </c>
      <c r="G4761" s="452"/>
      <c r="H4761" s="453"/>
      <c r="I4761" s="454"/>
      <c r="J4761" s="454"/>
      <c r="K4761" s="455"/>
      <c r="L4761" s="456"/>
      <c r="M4761" s="356"/>
      <c r="N4761" s="341"/>
      <c r="O4761" s="341"/>
      <c r="P4761" s="341"/>
      <c r="Q4761" s="342"/>
      <c r="R4761" s="380"/>
      <c r="S4761" s="381"/>
      <c r="U4761" s="343"/>
      <c r="V4761" s="344"/>
      <c r="W4761" s="344"/>
      <c r="X4761" s="341"/>
      <c r="Y4761" s="341"/>
    </row>
    <row r="4762" spans="1:25" ht="12.75" customHeight="1" thickBot="1">
      <c r="A4762" s="427"/>
      <c r="B4762" s="428"/>
      <c r="C4762" s="429"/>
      <c r="D4762" s="429"/>
      <c r="E4762" s="430"/>
      <c r="F4762" s="431"/>
      <c r="G4762" s="452"/>
      <c r="H4762" s="453"/>
      <c r="I4762" s="454"/>
      <c r="J4762" s="454"/>
      <c r="K4762" s="455"/>
      <c r="L4762" s="456"/>
      <c r="M4762" s="356"/>
      <c r="N4762" s="341"/>
      <c r="O4762" s="341"/>
      <c r="P4762" s="341"/>
      <c r="Q4762" s="342"/>
      <c r="R4762" s="380"/>
      <c r="S4762" s="381"/>
      <c r="U4762" s="343"/>
      <c r="V4762" s="344"/>
      <c r="W4762" s="344"/>
      <c r="X4762" s="341"/>
      <c r="Y4762" s="341"/>
    </row>
    <row r="4763" spans="1:25" ht="30" customHeight="1">
      <c r="A4763" s="370" t="str">
        <f>IV.A!$A$145</f>
        <v>6.8</v>
      </c>
      <c r="B4763" s="371" t="str">
        <f>IV.A!$B$145</f>
        <v>PINTURA EM ESMALTE SINTÉTICO SOBRE FUNDO ANTICORROSIVO - 02 DEMÃOS</v>
      </c>
      <c r="C4763" s="871" t="s">
        <v>237</v>
      </c>
      <c r="D4763" s="872"/>
      <c r="E4763" s="372" t="str">
        <f>IV.A!$C$145</f>
        <v>M2</v>
      </c>
      <c r="F4763" s="11">
        <f>ROUND(F4783+F4797+F4809,2)</f>
        <v>0</v>
      </c>
      <c r="G4763" s="1">
        <f>VLOOKUP(A4763,IV.A!$A$16:$L$172,4,FALSE)</f>
        <v>26700</v>
      </c>
      <c r="H4763" s="361">
        <f>SUM(F4765:F4780)+F4782</f>
        <v>0</v>
      </c>
      <c r="I4763" s="361">
        <f>SUM(F4785:F4794)+F4796</f>
        <v>0</v>
      </c>
      <c r="J4763" s="361">
        <f>SUM(F4799:F4805)+F4807+F4808</f>
        <v>0</v>
      </c>
      <c r="K4763" s="361">
        <f>SUM(H4763:J4763)</f>
        <v>0</v>
      </c>
      <c r="L4763" s="362" t="str">
        <f>IF(K4763=F4763,"SIM","NÃO")</f>
        <v>SIM</v>
      </c>
      <c r="M4763" s="373">
        <f>ROUND(SUM(F4765:F4780),2)+ROUND(SUM(F4765:F4780)*C4782,2)+ROUND(SUM(F4785:F4794)*C4796,2)+ROUND(SUM(F4785:F4794),2)+ROUND(SUM(F4799:F4805)*C4807,2)+ROUND((SUM(F4799:F4805)+ROUND(SUM(F4799:F4805)*C4807,2))*C4808,2)+ROUND(SUM(F4799:F4805),2)</f>
        <v>0</v>
      </c>
      <c r="N4763" s="343" t="str">
        <f>IF(M4763=F4763,"SIM","NÃO")</f>
        <v>SIM</v>
      </c>
      <c r="O4763" s="364" t="str">
        <f>VLOOKUP(A4763,IV.A!$A$16:$E$172,3,FALSE)</f>
        <v>M2</v>
      </c>
      <c r="P4763" s="344" t="str">
        <f>IF(O4763=E4763,"SIM","NÃO")</f>
        <v>SIM</v>
      </c>
      <c r="Q4763" s="365">
        <f>ROUND(G4763*F4783,2)+ROUND(G4763*F4797,2)+ROUND(G4763*F4809,2)</f>
        <v>0</v>
      </c>
      <c r="R4763" s="364">
        <f>VLOOKUP(A4763,IV.A!$A$16:$L$172,12,FALSE)</f>
        <v>0</v>
      </c>
      <c r="S4763" s="366" t="str">
        <f>IF(Q4763=R4763,"si","no")</f>
        <v>si</v>
      </c>
      <c r="T4763" s="367">
        <f>SUM(L4765:L4780)+SUM(L4785:L4794)+SUM(L4799:L4805)</f>
        <v>56070</v>
      </c>
      <c r="U4763" s="341">
        <f>(SUM(C4765:C4780)+SUM(C4785:C4794)+SUM(C4799:C4805))*G4763</f>
        <v>56070</v>
      </c>
      <c r="V4763" s="368" t="str">
        <f>IF(T4763=U4763,"si","no")</f>
        <v>si</v>
      </c>
      <c r="W4763" s="369">
        <f>SUM(F4765:F4780)</f>
        <v>0</v>
      </c>
      <c r="X4763" s="369">
        <f>SUM(F4785:F4794)</f>
        <v>0</v>
      </c>
      <c r="Y4763" s="369">
        <f>SUM(F4799:F4805)</f>
        <v>0</v>
      </c>
    </row>
    <row r="4764" spans="1:25" ht="12.75" customHeight="1">
      <c r="A4764" s="374" t="s">
        <v>14</v>
      </c>
      <c r="B4764" s="375" t="s">
        <v>132</v>
      </c>
      <c r="C4764" s="376" t="s">
        <v>231</v>
      </c>
      <c r="D4764" s="376" t="s">
        <v>232</v>
      </c>
      <c r="E4764" s="377" t="s">
        <v>233</v>
      </c>
      <c r="F4764" s="378" t="s">
        <v>234</v>
      </c>
      <c r="G4764" s="379"/>
      <c r="J4764" s="341"/>
      <c r="L4764" s="380"/>
      <c r="M4764" s="381"/>
      <c r="N4764" s="342"/>
      <c r="O4764" s="382"/>
      <c r="P4764" s="383"/>
      <c r="Q4764" s="383"/>
      <c r="R4764" s="383"/>
      <c r="S4764" s="383"/>
      <c r="T4764" s="382"/>
      <c r="U4764" s="341"/>
      <c r="V4764" s="384"/>
      <c r="W4764" s="384"/>
      <c r="X4764" s="384"/>
      <c r="Y4764" s="384"/>
    </row>
    <row r="4765" spans="1:25" ht="12.75" customHeight="1">
      <c r="A4765" s="385" t="str">
        <f>VII.A!$A$14</f>
        <v>1.5</v>
      </c>
      <c r="B4765" s="386" t="str">
        <f>VLOOKUP(A4765,VII.A!$A$10:$G$199,2,FALSE)</f>
        <v>SOLVENTE DILUENTE A BASE DE AGUARRÁS</v>
      </c>
      <c r="C4765" s="20">
        <v>0.03</v>
      </c>
      <c r="D4765" s="342" t="str">
        <f>VLOOKUP(A4765,VII.A!$A$10:$G$199,3,FALSE)</f>
        <v>L</v>
      </c>
      <c r="E4765" s="387">
        <f>VII.A!$D$14</f>
        <v>0</v>
      </c>
      <c r="F4765" s="388">
        <f>ROUND(C4765*E4765,2)</f>
        <v>0</v>
      </c>
      <c r="H4765" s="341">
        <f>IF(A4765="","",VLOOKUP(A4765,VII.A!$A$10:$D$199,4,FALSE))</f>
        <v>0</v>
      </c>
      <c r="I4765" s="341" t="str">
        <f t="shared" ref="I4765:I4780" si="1227">IF(A4765="","",IF(E4765=H4765,"SIM","NÃO"))</f>
        <v>SIM</v>
      </c>
      <c r="J4765" s="341" t="str">
        <f>IF(A4765="","",VLOOKUP(A4765,VII.A!$A$10:$D$199,3,FALSE))</f>
        <v>L</v>
      </c>
      <c r="K4765" s="342" t="str">
        <f t="shared" ref="K4765:K4780" si="1228">IF(A4765="","",IF(J4765=D4765,"SIM","NÃO"))</f>
        <v>SIM</v>
      </c>
      <c r="L4765" s="380">
        <f>IF(C4765="","",G4763*C4765)</f>
        <v>801</v>
      </c>
      <c r="M4765" s="381" t="str">
        <f>IF(A4765="","",VLOOKUP(A4765,VII.A!$A$10:$B$199,2,FALSE))</f>
        <v>SOLVENTE DILUENTE A BASE DE AGUARRÁS</v>
      </c>
      <c r="N4765" s="342" t="str">
        <f t="shared" ref="N4765:N4780" si="1229">IF(B4765="","",IF(M4765=B4765,"si","no"))</f>
        <v>si</v>
      </c>
      <c r="R4765" s="341"/>
      <c r="S4765" s="341"/>
    </row>
    <row r="4766" spans="1:25" ht="12.75" customHeight="1">
      <c r="A4766" s="385" t="str">
        <f>VII.A!$A$110</f>
        <v>1.100</v>
      </c>
      <c r="B4766" s="386" t="str">
        <f>VLOOKUP(A4766,VII.A!$A$10:$G$199,2,FALSE)</f>
        <v xml:space="preserve">TINTA ESMALTE SINTETICO PREMIUM </v>
      </c>
      <c r="C4766" s="20">
        <v>0.25</v>
      </c>
      <c r="D4766" s="342" t="str">
        <f>VLOOKUP(A4766,VII.A!$A$10:$G$199,3,FALSE)</f>
        <v>L</v>
      </c>
      <c r="E4766" s="387">
        <f>VII.A!D110</f>
        <v>0</v>
      </c>
      <c r="F4766" s="388">
        <f t="shared" ref="F4766:F4780" si="1230">ROUND(C4766*E4766,2)</f>
        <v>0</v>
      </c>
      <c r="H4766" s="341">
        <f>IF(A4766="","",VLOOKUP(A4766,VII.A!$A$10:$D$199,4,FALSE))</f>
        <v>0</v>
      </c>
      <c r="I4766" s="341" t="str">
        <f t="shared" si="1227"/>
        <v>SIM</v>
      </c>
      <c r="J4766" s="341" t="str">
        <f>IF(A4766="","",VLOOKUP(A4766,VII.A!$A$10:$D$199,3,FALSE))</f>
        <v>L</v>
      </c>
      <c r="K4766" s="342" t="str">
        <f t="shared" si="1228"/>
        <v>SIM</v>
      </c>
      <c r="L4766" s="380">
        <f>IF(C4766="","",G4763*C4766)</f>
        <v>6675</v>
      </c>
      <c r="M4766" s="381" t="str">
        <f>IF(A4766="","",VLOOKUP(A4766,VII.A!$A$10:$B$199,2,FALSE))</f>
        <v xml:space="preserve">TINTA ESMALTE SINTETICO PREMIUM </v>
      </c>
      <c r="N4766" s="342" t="str">
        <f t="shared" si="1229"/>
        <v>si</v>
      </c>
      <c r="R4766" s="341"/>
      <c r="S4766" s="341"/>
    </row>
    <row r="4767" spans="1:25" ht="12.75" customHeight="1">
      <c r="A4767" s="385" t="str">
        <f>VII.A!$A$69</f>
        <v>1.60</v>
      </c>
      <c r="B4767" s="386" t="str">
        <f>VLOOKUP(A4767,VII.A!$A$10:$G$199,2,FALSE)</f>
        <v>LIXA PARA SUPERFICIE METÁLICA, GRANA 150</v>
      </c>
      <c r="C4767" s="20">
        <v>0.5</v>
      </c>
      <c r="D4767" s="342" t="str">
        <f>VLOOKUP(A4767,VII.A!$A$10:$G$199,3,FALSE)</f>
        <v>UN</v>
      </c>
      <c r="E4767" s="387">
        <f>VII.A!$D$69</f>
        <v>0</v>
      </c>
      <c r="F4767" s="388">
        <f t="shared" si="1230"/>
        <v>0</v>
      </c>
      <c r="H4767" s="341">
        <f>IF(A4767="","",VLOOKUP(A4767,VII.A!$A$10:$D$199,4,FALSE))</f>
        <v>0</v>
      </c>
      <c r="I4767" s="341" t="str">
        <f t="shared" si="1227"/>
        <v>SIM</v>
      </c>
      <c r="J4767" s="341" t="str">
        <f>IF(A4767="","",VLOOKUP(A4767,VII.A!$A$10:$D$199,3,FALSE))</f>
        <v>UN</v>
      </c>
      <c r="K4767" s="342" t="str">
        <f t="shared" si="1228"/>
        <v>SIM</v>
      </c>
      <c r="L4767" s="380">
        <f>IF(C4767="","",G4763*C4767)</f>
        <v>13350</v>
      </c>
      <c r="M4767" s="381" t="str">
        <f>IF(A4767="","",VLOOKUP(A4767,VII.A!$A$10:$B$199,2,FALSE))</f>
        <v>LIXA PARA SUPERFICIE METÁLICA, GRANA 150</v>
      </c>
      <c r="N4767" s="342" t="str">
        <f t="shared" si="1229"/>
        <v>si</v>
      </c>
      <c r="R4767" s="341"/>
      <c r="S4767" s="341"/>
    </row>
    <row r="4768" spans="1:25" ht="12.75" customHeight="1">
      <c r="A4768" s="385" t="str">
        <f>VII.A!$A$56</f>
        <v>1.47</v>
      </c>
      <c r="B4768" s="386" t="str">
        <f>VII.A!B56</f>
        <v>FUNDO PREPARADOR BASE ÁGUA PARA MADEIRA E METAIS</v>
      </c>
      <c r="C4768" s="20">
        <v>0.12</v>
      </c>
      <c r="D4768" s="342" t="str">
        <f>VII.A!C56</f>
        <v>L</v>
      </c>
      <c r="E4768" s="387">
        <f>VII.A!D56</f>
        <v>0</v>
      </c>
      <c r="F4768" s="388">
        <f t="shared" si="1230"/>
        <v>0</v>
      </c>
      <c r="H4768" s="341">
        <f>IF(A4768="","",VLOOKUP(A4768,VII.A!$A$10:$D$199,4,FALSE))</f>
        <v>0</v>
      </c>
      <c r="I4768" s="341" t="str">
        <f t="shared" si="1227"/>
        <v>SIM</v>
      </c>
      <c r="J4768" s="341" t="str">
        <f>IF(A4768="","",VLOOKUP(A4768,VII.A!$A$10:$D$199,3,FALSE))</f>
        <v>L</v>
      </c>
      <c r="K4768" s="342" t="str">
        <f t="shared" si="1228"/>
        <v>SIM</v>
      </c>
      <c r="L4768" s="380">
        <f>IF(C4768="","",G4763*C4768)</f>
        <v>3204</v>
      </c>
      <c r="M4768" s="381" t="str">
        <f>IF(A4768="","",VLOOKUP(A4768,VII.A!$A$10:$B$199,2,FALSE))</f>
        <v>FUNDO PREPARADOR BASE ÁGUA PARA MADEIRA E METAIS</v>
      </c>
      <c r="N4768" s="342" t="str">
        <f t="shared" si="1229"/>
        <v>si</v>
      </c>
      <c r="R4768" s="341"/>
      <c r="S4768" s="341"/>
    </row>
    <row r="4769" spans="1:21" ht="12.75" customHeight="1">
      <c r="A4769" s="385"/>
      <c r="B4769" s="386"/>
      <c r="C4769" s="20"/>
      <c r="D4769" s="342"/>
      <c r="E4769" s="387"/>
      <c r="F4769" s="388">
        <f t="shared" si="1230"/>
        <v>0</v>
      </c>
      <c r="H4769" s="341" t="str">
        <f>IF(A4769="","",VLOOKUP(A4769,VII.A!$A$10:$D$199,4,FALSE))</f>
        <v/>
      </c>
      <c r="I4769" s="341" t="str">
        <f t="shared" si="1227"/>
        <v/>
      </c>
      <c r="J4769" s="341" t="str">
        <f>IF(A4769="","",VLOOKUP(A4769,VII.A!$A$10:$D$199,3,FALSE))</f>
        <v/>
      </c>
      <c r="K4769" s="342" t="str">
        <f t="shared" si="1228"/>
        <v/>
      </c>
      <c r="L4769" s="380" t="str">
        <f>IF(C4769="","",G4763*C4769)</f>
        <v/>
      </c>
      <c r="M4769" s="381" t="str">
        <f>IF(A4769="","",VLOOKUP(A4769,VII.A!$A$10:$B$199,2,FALSE))</f>
        <v/>
      </c>
      <c r="N4769" s="342" t="str">
        <f t="shared" si="1229"/>
        <v/>
      </c>
      <c r="R4769" s="341"/>
      <c r="S4769" s="341"/>
    </row>
    <row r="4770" spans="1:21" ht="12.75" customHeight="1">
      <c r="A4770" s="385"/>
      <c r="B4770" s="386"/>
      <c r="C4770" s="20"/>
      <c r="D4770" s="342"/>
      <c r="E4770" s="387"/>
      <c r="F4770" s="388">
        <f t="shared" si="1230"/>
        <v>0</v>
      </c>
      <c r="H4770" s="341" t="str">
        <f>IF(A4770="","",VLOOKUP(A4770,VII.A!$A$10:$D$199,4,FALSE))</f>
        <v/>
      </c>
      <c r="I4770" s="341" t="str">
        <f t="shared" si="1227"/>
        <v/>
      </c>
      <c r="J4770" s="341" t="str">
        <f>IF(A4770="","",VLOOKUP(A4770,VII.A!$A$10:$D$199,3,FALSE))</f>
        <v/>
      </c>
      <c r="K4770" s="342" t="str">
        <f t="shared" si="1228"/>
        <v/>
      </c>
      <c r="L4770" s="380" t="str">
        <f>IF(C4770="","",G4763*C4770)</f>
        <v/>
      </c>
      <c r="M4770" s="381" t="str">
        <f>IF(A4770="","",VLOOKUP(A4770,VII.A!$A$10:$B$199,2,FALSE))</f>
        <v/>
      </c>
      <c r="N4770" s="342" t="str">
        <f t="shared" si="1229"/>
        <v/>
      </c>
      <c r="R4770" s="341"/>
      <c r="S4770" s="341"/>
      <c r="U4770" s="389"/>
    </row>
    <row r="4771" spans="1:21" ht="12.75" customHeight="1">
      <c r="A4771" s="385"/>
      <c r="B4771" s="386"/>
      <c r="C4771" s="20"/>
      <c r="D4771" s="342"/>
      <c r="E4771" s="387"/>
      <c r="F4771" s="388">
        <f t="shared" si="1230"/>
        <v>0</v>
      </c>
      <c r="H4771" s="341" t="str">
        <f>IF(A4771="","",VLOOKUP(A4771,VII.A!$A$10:$D$199,4,FALSE))</f>
        <v/>
      </c>
      <c r="I4771" s="341" t="str">
        <f t="shared" si="1227"/>
        <v/>
      </c>
      <c r="J4771" s="341" t="str">
        <f>IF(A4771="","",VLOOKUP(A4771,VII.A!$A$10:$D$199,3,FALSE))</f>
        <v/>
      </c>
      <c r="K4771" s="342" t="str">
        <f t="shared" si="1228"/>
        <v/>
      </c>
      <c r="L4771" s="380" t="str">
        <f>IF(C4771="","",G4763*C4771)</f>
        <v/>
      </c>
      <c r="M4771" s="381" t="str">
        <f>IF(A4771="","",VLOOKUP(A4771,VII.A!$A$10:$B$199,2,FALSE))</f>
        <v/>
      </c>
      <c r="N4771" s="342" t="str">
        <f t="shared" si="1229"/>
        <v/>
      </c>
      <c r="R4771" s="341"/>
      <c r="S4771" s="341"/>
    </row>
    <row r="4772" spans="1:21" ht="12.75" customHeight="1">
      <c r="A4772" s="385"/>
      <c r="B4772" s="386"/>
      <c r="C4772" s="20"/>
      <c r="D4772" s="342"/>
      <c r="E4772" s="387"/>
      <c r="F4772" s="388">
        <f t="shared" si="1230"/>
        <v>0</v>
      </c>
      <c r="G4772" s="390"/>
      <c r="H4772" s="341" t="str">
        <f>IF(A4772="","",VLOOKUP(A4772,VII.A!$A$10:$D$199,4,FALSE))</f>
        <v/>
      </c>
      <c r="I4772" s="341" t="str">
        <f t="shared" si="1227"/>
        <v/>
      </c>
      <c r="J4772" s="341" t="str">
        <f>IF(A4772="","",VLOOKUP(A4772,VII.A!$A$10:$D$199,3,FALSE))</f>
        <v/>
      </c>
      <c r="K4772" s="342" t="str">
        <f t="shared" si="1228"/>
        <v/>
      </c>
      <c r="L4772" s="380" t="str">
        <f>IF(C4772="","",G4763*C4772)</f>
        <v/>
      </c>
      <c r="M4772" s="381" t="str">
        <f>IF(A4772="","",VLOOKUP(A4772,VII.A!$A$10:$B$199,2,FALSE))</f>
        <v/>
      </c>
      <c r="N4772" s="342" t="str">
        <f t="shared" si="1229"/>
        <v/>
      </c>
      <c r="R4772" s="341"/>
      <c r="S4772" s="341"/>
    </row>
    <row r="4773" spans="1:21" ht="12.75" customHeight="1">
      <c r="A4773" s="385"/>
      <c r="B4773" s="386"/>
      <c r="C4773" s="20"/>
      <c r="D4773" s="342"/>
      <c r="E4773" s="387"/>
      <c r="F4773" s="388">
        <f t="shared" si="1230"/>
        <v>0</v>
      </c>
      <c r="G4773" s="390"/>
      <c r="H4773" s="341" t="str">
        <f>IF(A4773="","",VLOOKUP(A4773,VII.A!$A$10:$D$199,4,FALSE))</f>
        <v/>
      </c>
      <c r="I4773" s="341" t="str">
        <f t="shared" si="1227"/>
        <v/>
      </c>
      <c r="J4773" s="341" t="str">
        <f>IF(A4773="","",VLOOKUP(A4773,VII.A!$A$10:$D$199,3,FALSE))</f>
        <v/>
      </c>
      <c r="K4773" s="342" t="str">
        <f t="shared" si="1228"/>
        <v/>
      </c>
      <c r="L4773" s="380" t="str">
        <f>IF(C4773="","",G4763*C4773)</f>
        <v/>
      </c>
      <c r="M4773" s="381" t="str">
        <f>IF(A4773="","",VLOOKUP(A4773,VII.A!$A$10:$B$199,2,FALSE))</f>
        <v/>
      </c>
      <c r="N4773" s="342" t="str">
        <f t="shared" si="1229"/>
        <v/>
      </c>
      <c r="R4773" s="341"/>
      <c r="S4773" s="341"/>
    </row>
    <row r="4774" spans="1:21" ht="12.75" customHeight="1">
      <c r="A4774" s="385"/>
      <c r="B4774" s="386"/>
      <c r="C4774" s="20"/>
      <c r="D4774" s="342"/>
      <c r="E4774" s="387"/>
      <c r="F4774" s="388">
        <f t="shared" si="1230"/>
        <v>0</v>
      </c>
      <c r="G4774" s="391"/>
      <c r="H4774" s="341" t="str">
        <f>IF(A4774="","",VLOOKUP(A4774,VII.A!$A$10:$D$199,4,FALSE))</f>
        <v/>
      </c>
      <c r="I4774" s="341" t="str">
        <f t="shared" si="1227"/>
        <v/>
      </c>
      <c r="J4774" s="341" t="str">
        <f>IF(A4774="","",VLOOKUP(A4774,VII.A!$A$10:$D$199,3,FALSE))</f>
        <v/>
      </c>
      <c r="K4774" s="342" t="str">
        <f t="shared" si="1228"/>
        <v/>
      </c>
      <c r="L4774" s="380" t="str">
        <f>IF(C4774="","",G4763*C4774)</f>
        <v/>
      </c>
      <c r="M4774" s="381" t="str">
        <f>IF(A4774="","",VLOOKUP(A4774,VII.A!$A$10:$B$199,2,FALSE))</f>
        <v/>
      </c>
      <c r="N4774" s="342" t="str">
        <f t="shared" si="1229"/>
        <v/>
      </c>
      <c r="R4774" s="341"/>
      <c r="S4774" s="341"/>
    </row>
    <row r="4775" spans="1:21" ht="12.75" customHeight="1">
      <c r="A4775" s="385"/>
      <c r="B4775" s="386"/>
      <c r="C4775" s="20"/>
      <c r="D4775" s="342"/>
      <c r="E4775" s="387"/>
      <c r="F4775" s="388">
        <f t="shared" si="1230"/>
        <v>0</v>
      </c>
      <c r="H4775" s="341" t="str">
        <f>IF(A4775="","",VLOOKUP(A4775,VII.A!$A$10:$D$199,4,FALSE))</f>
        <v/>
      </c>
      <c r="I4775" s="341" t="str">
        <f t="shared" si="1227"/>
        <v/>
      </c>
      <c r="J4775" s="341" t="str">
        <f>IF(A4775="","",VLOOKUP(A4775,VII.A!$A$10:$D$199,3,FALSE))</f>
        <v/>
      </c>
      <c r="K4775" s="342" t="str">
        <f t="shared" si="1228"/>
        <v/>
      </c>
      <c r="L4775" s="380" t="str">
        <f>IF(C4775="","",G4763*C4775)</f>
        <v/>
      </c>
      <c r="M4775" s="381" t="str">
        <f>IF(A4775="","",VLOOKUP(A4775,VII.A!$A$10:$B$199,2,FALSE))</f>
        <v/>
      </c>
      <c r="N4775" s="342" t="str">
        <f t="shared" si="1229"/>
        <v/>
      </c>
      <c r="R4775" s="341"/>
      <c r="S4775" s="341"/>
    </row>
    <row r="4776" spans="1:21" ht="12.75" customHeight="1">
      <c r="A4776" s="385"/>
      <c r="B4776" s="386"/>
      <c r="C4776" s="20"/>
      <c r="D4776" s="392"/>
      <c r="E4776" s="387"/>
      <c r="F4776" s="388">
        <f t="shared" si="1230"/>
        <v>0</v>
      </c>
      <c r="H4776" s="341" t="str">
        <f>IF(A4776="","",VLOOKUP(A4776,VII.A!$A$10:$D$199,4,FALSE))</f>
        <v/>
      </c>
      <c r="I4776" s="341" t="str">
        <f t="shared" si="1227"/>
        <v/>
      </c>
      <c r="J4776" s="341" t="str">
        <f>IF(A4776="","",VLOOKUP(A4776,VII.A!$A$10:$D$199,3,FALSE))</f>
        <v/>
      </c>
      <c r="K4776" s="342" t="str">
        <f t="shared" si="1228"/>
        <v/>
      </c>
      <c r="L4776" s="380" t="str">
        <f>IF(C4776="","",G4763*C4776)</f>
        <v/>
      </c>
      <c r="M4776" s="381" t="str">
        <f>IF(A4776="","",VLOOKUP(A4776,VII.A!$A$10:$B$199,2,FALSE))</f>
        <v/>
      </c>
      <c r="N4776" s="342" t="str">
        <f t="shared" si="1229"/>
        <v/>
      </c>
      <c r="R4776" s="341"/>
      <c r="S4776" s="341"/>
    </row>
    <row r="4777" spans="1:21" ht="12.75" customHeight="1">
      <c r="A4777" s="385"/>
      <c r="B4777" s="386"/>
      <c r="C4777" s="20"/>
      <c r="D4777" s="392"/>
      <c r="E4777" s="387"/>
      <c r="F4777" s="388">
        <f t="shared" si="1230"/>
        <v>0</v>
      </c>
      <c r="H4777" s="341" t="str">
        <f>IF(A4777="","",VLOOKUP(A4777,VII.A!$A$10:$D$199,4,FALSE))</f>
        <v/>
      </c>
      <c r="I4777" s="341" t="str">
        <f t="shared" si="1227"/>
        <v/>
      </c>
      <c r="J4777" s="341" t="str">
        <f>IF(A4777="","",VLOOKUP(A4777,VII.A!$A$10:$D$199,3,FALSE))</f>
        <v/>
      </c>
      <c r="K4777" s="342" t="str">
        <f t="shared" si="1228"/>
        <v/>
      </c>
      <c r="L4777" s="380" t="str">
        <f>IF(C4777="","",G4763*C4777)</f>
        <v/>
      </c>
      <c r="M4777" s="381" t="str">
        <f>IF(A4777="","",VLOOKUP(A4777,VII.A!$A$10:$B$199,2,FALSE))</f>
        <v/>
      </c>
      <c r="N4777" s="342" t="str">
        <f t="shared" si="1229"/>
        <v/>
      </c>
      <c r="O4777" s="342"/>
      <c r="R4777" s="341"/>
      <c r="S4777" s="341"/>
    </row>
    <row r="4778" spans="1:21" ht="12.75" customHeight="1">
      <c r="A4778" s="385"/>
      <c r="B4778" s="386"/>
      <c r="C4778" s="20"/>
      <c r="D4778" s="392"/>
      <c r="E4778" s="387"/>
      <c r="F4778" s="388">
        <f t="shared" si="1230"/>
        <v>0</v>
      </c>
      <c r="H4778" s="341" t="str">
        <f>IF(A4778="","",VLOOKUP(A4778,VII.A!$A$10:$D$199,4,FALSE))</f>
        <v/>
      </c>
      <c r="I4778" s="341" t="str">
        <f t="shared" si="1227"/>
        <v/>
      </c>
      <c r="J4778" s="341" t="str">
        <f>IF(A4778="","",VLOOKUP(A4778,VII.A!$A$10:$D$199,3,FALSE))</f>
        <v/>
      </c>
      <c r="K4778" s="342" t="str">
        <f t="shared" si="1228"/>
        <v/>
      </c>
      <c r="L4778" s="380" t="str">
        <f>IF(C4778="","",G4763*C4778)</f>
        <v/>
      </c>
      <c r="M4778" s="381" t="str">
        <f>IF(A4778="","",VLOOKUP(A4778,VII.A!$A$10:$B$199,2,FALSE))</f>
        <v/>
      </c>
      <c r="N4778" s="342" t="str">
        <f t="shared" si="1229"/>
        <v/>
      </c>
      <c r="R4778" s="341"/>
      <c r="S4778" s="341"/>
    </row>
    <row r="4779" spans="1:21" ht="12.75" customHeight="1">
      <c r="A4779" s="393"/>
      <c r="C4779" s="20"/>
      <c r="E4779" s="387"/>
      <c r="F4779" s="388">
        <f t="shared" si="1230"/>
        <v>0</v>
      </c>
      <c r="H4779" s="341" t="str">
        <f>IF(A4779="","",VLOOKUP(A4779,VII.A!$A$10:$D$199,4,FALSE))</f>
        <v/>
      </c>
      <c r="I4779" s="341" t="str">
        <f t="shared" si="1227"/>
        <v/>
      </c>
      <c r="J4779" s="341" t="str">
        <f>IF(A4779="","",VLOOKUP(A4779,VII.A!$A$10:$D$199,3,FALSE))</f>
        <v/>
      </c>
      <c r="K4779" s="342" t="str">
        <f t="shared" si="1228"/>
        <v/>
      </c>
      <c r="L4779" s="380" t="str">
        <f>IF(C4779="","",G4763*C4779)</f>
        <v/>
      </c>
      <c r="M4779" s="381" t="str">
        <f>IF(A4779="","",VLOOKUP(A4779,VII.A!$A$10:$B$199,2,FALSE))</f>
        <v/>
      </c>
      <c r="N4779" s="342" t="str">
        <f t="shared" si="1229"/>
        <v/>
      </c>
      <c r="R4779" s="341"/>
      <c r="S4779" s="341"/>
    </row>
    <row r="4780" spans="1:21" ht="12.75" customHeight="1">
      <c r="A4780" s="393"/>
      <c r="C4780" s="20"/>
      <c r="E4780" s="387"/>
      <c r="F4780" s="388">
        <f t="shared" si="1230"/>
        <v>0</v>
      </c>
      <c r="H4780" s="341" t="str">
        <f>IF(A4780="","",VLOOKUP(A4780,VII.A!$A$10:$D$199,4,FALSE))</f>
        <v/>
      </c>
      <c r="I4780" s="341" t="str">
        <f t="shared" si="1227"/>
        <v/>
      </c>
      <c r="J4780" s="341" t="str">
        <f>IF(A4780="","",VLOOKUP(A4780,VII.A!$A$10:$D$199,3,FALSE))</f>
        <v/>
      </c>
      <c r="K4780" s="342" t="str">
        <f t="shared" si="1228"/>
        <v/>
      </c>
      <c r="L4780" s="380" t="str">
        <f>IF(C4780="","",G4763*C4780)</f>
        <v/>
      </c>
      <c r="M4780" s="381" t="str">
        <f>IF(A4780="","",VLOOKUP(A4780,VII.A!$A$10:$B$199,2,FALSE))</f>
        <v/>
      </c>
      <c r="N4780" s="342" t="str">
        <f t="shared" si="1229"/>
        <v/>
      </c>
      <c r="R4780" s="341"/>
      <c r="S4780" s="341"/>
    </row>
    <row r="4781" spans="1:21" ht="12.75" customHeight="1">
      <c r="A4781" s="393"/>
      <c r="B4781" s="395" t="s">
        <v>226</v>
      </c>
      <c r="C4781" s="396"/>
      <c r="D4781" s="397"/>
      <c r="E4781" s="398"/>
      <c r="F4781" s="399">
        <f>SUM(F4765:F4780)</f>
        <v>0</v>
      </c>
      <c r="H4781" s="426" t="s">
        <v>419</v>
      </c>
      <c r="J4781" s="341"/>
      <c r="L4781" s="380"/>
      <c r="M4781" s="381"/>
      <c r="N4781" s="342"/>
      <c r="R4781" s="341"/>
      <c r="S4781" s="341"/>
    </row>
    <row r="4782" spans="1:21" ht="12.75" customHeight="1">
      <c r="A4782" s="393"/>
      <c r="B4782" s="400" t="s">
        <v>53</v>
      </c>
      <c r="C4782" s="2">
        <f>$D$8</f>
        <v>0</v>
      </c>
      <c r="D4782" s="401"/>
      <c r="E4782" s="402"/>
      <c r="F4782" s="403">
        <f>ROUND(F4781*C4782,2)</f>
        <v>0</v>
      </c>
      <c r="J4782" s="341"/>
      <c r="L4782" s="380"/>
      <c r="M4782" s="381"/>
      <c r="N4782" s="342"/>
      <c r="R4782" s="341"/>
      <c r="S4782" s="341"/>
    </row>
    <row r="4783" spans="1:21" ht="12.75" customHeight="1">
      <c r="A4783" s="404"/>
      <c r="B4783" s="405" t="s">
        <v>227</v>
      </c>
      <c r="C4783" s="406"/>
      <c r="D4783" s="406"/>
      <c r="E4783" s="407"/>
      <c r="F4783" s="408">
        <f>F4781+F4782</f>
        <v>0</v>
      </c>
      <c r="J4783" s="341"/>
      <c r="L4783" s="380"/>
      <c r="M4783" s="381"/>
      <c r="N4783" s="342"/>
      <c r="R4783" s="341"/>
      <c r="S4783" s="341"/>
    </row>
    <row r="4784" spans="1:21" ht="12.75" customHeight="1">
      <c r="A4784" s="374" t="s">
        <v>2</v>
      </c>
      <c r="B4784" s="375" t="s">
        <v>235</v>
      </c>
      <c r="C4784" s="376" t="s">
        <v>231</v>
      </c>
      <c r="D4784" s="376" t="s">
        <v>232</v>
      </c>
      <c r="E4784" s="377" t="s">
        <v>233</v>
      </c>
      <c r="F4784" s="378" t="s">
        <v>234</v>
      </c>
      <c r="J4784" s="341"/>
      <c r="L4784" s="380"/>
      <c r="M4784" s="381"/>
      <c r="N4784" s="342"/>
      <c r="R4784" s="341"/>
      <c r="S4784" s="341"/>
    </row>
    <row r="4785" spans="1:19" ht="12.75" customHeight="1">
      <c r="A4785" s="393"/>
      <c r="B4785" s="423"/>
      <c r="C4785" s="20"/>
      <c r="E4785" s="387"/>
      <c r="F4785" s="388">
        <f t="shared" ref="F4785:F4794" si="1231">ROUND(C4785*E4785,2)</f>
        <v>0</v>
      </c>
      <c r="H4785" s="341" t="str">
        <f>IF(A4785="","",VLOOKUP(A4785,VII.A!$A$10:$D$199,4,FALSE))</f>
        <v/>
      </c>
      <c r="I4785" s="341" t="str">
        <f t="shared" ref="I4785:I4794" si="1232">IF(A4785="","",IF(E4785=H4785,"SIM","NÃO"))</f>
        <v/>
      </c>
      <c r="J4785" s="341" t="str">
        <f>IF(A4785="","",VLOOKUP(A4785,VII.A!$A$10:$D$199,3,FALSE))</f>
        <v/>
      </c>
      <c r="K4785" s="342" t="str">
        <f t="shared" ref="K4785:K4794" si="1233">IF(A4785="","",IF(J4785=D4785,"SIM","NÃO"))</f>
        <v/>
      </c>
      <c r="L4785" s="380" t="str">
        <f>IF(C4785="","",G4763*C4785)</f>
        <v/>
      </c>
      <c r="M4785" s="381" t="str">
        <f>IF(A4785="","",VLOOKUP(A4785,VII.A!$A$10:$B$199,2,FALSE))</f>
        <v/>
      </c>
      <c r="N4785" s="342" t="str">
        <f t="shared" ref="N4785:N4794" si="1234">IF(B4785="","",IF(M4785=B4785,"si","no"))</f>
        <v/>
      </c>
      <c r="R4785" s="341"/>
      <c r="S4785" s="341"/>
    </row>
    <row r="4786" spans="1:19" ht="12.75" customHeight="1">
      <c r="A4786" s="393"/>
      <c r="C4786" s="20"/>
      <c r="E4786" s="387"/>
      <c r="F4786" s="388">
        <f t="shared" si="1231"/>
        <v>0</v>
      </c>
      <c r="H4786" s="341" t="str">
        <f>IF(A4786="","",VLOOKUP(A4786,VII.A!$A$10:$D$199,4,FALSE))</f>
        <v/>
      </c>
      <c r="I4786" s="341" t="str">
        <f t="shared" si="1232"/>
        <v/>
      </c>
      <c r="J4786" s="341" t="str">
        <f>IF(A4786="","",VLOOKUP(A4786,VII.A!$A$10:$D$199,3,FALSE))</f>
        <v/>
      </c>
      <c r="K4786" s="342" t="str">
        <f t="shared" si="1233"/>
        <v/>
      </c>
      <c r="L4786" s="380" t="str">
        <f>IF(C4786="","",G4763*C4786)</f>
        <v/>
      </c>
      <c r="M4786" s="381" t="str">
        <f>IF(A4786="","",VLOOKUP(A4786,VII.A!$A$10:$B$199,2,FALSE))</f>
        <v/>
      </c>
      <c r="N4786" s="342" t="str">
        <f t="shared" si="1234"/>
        <v/>
      </c>
      <c r="R4786" s="341"/>
      <c r="S4786" s="341"/>
    </row>
    <row r="4787" spans="1:19" ht="12.75" customHeight="1">
      <c r="A4787" s="393"/>
      <c r="C4787" s="20"/>
      <c r="E4787" s="387"/>
      <c r="F4787" s="388">
        <f t="shared" si="1231"/>
        <v>0</v>
      </c>
      <c r="H4787" s="341" t="str">
        <f>IF(A4787="","",VLOOKUP(A4787,VII.A!$A$10:$D$199,4,FALSE))</f>
        <v/>
      </c>
      <c r="I4787" s="341" t="str">
        <f t="shared" si="1232"/>
        <v/>
      </c>
      <c r="J4787" s="341" t="str">
        <f>IF(A4787="","",VLOOKUP(A4787,VII.A!$A$10:$D$199,3,FALSE))</f>
        <v/>
      </c>
      <c r="K4787" s="342" t="str">
        <f t="shared" si="1233"/>
        <v/>
      </c>
      <c r="L4787" s="380" t="str">
        <f>IF(C4787="","",G4763*C4787)</f>
        <v/>
      </c>
      <c r="M4787" s="381" t="str">
        <f>IF(A4787="","",VLOOKUP(A4787,VII.A!$A$10:$B$199,2,FALSE))</f>
        <v/>
      </c>
      <c r="N4787" s="342" t="str">
        <f t="shared" si="1234"/>
        <v/>
      </c>
      <c r="R4787" s="341"/>
      <c r="S4787" s="341"/>
    </row>
    <row r="4788" spans="1:19" ht="12.75" customHeight="1">
      <c r="A4788" s="393"/>
      <c r="C4788" s="20"/>
      <c r="E4788" s="387"/>
      <c r="F4788" s="388">
        <f t="shared" si="1231"/>
        <v>0</v>
      </c>
      <c r="H4788" s="341" t="str">
        <f>IF(A4788="","",VLOOKUP(A4788,VII.A!$A$10:$D$199,4,FALSE))</f>
        <v/>
      </c>
      <c r="I4788" s="341" t="str">
        <f t="shared" si="1232"/>
        <v/>
      </c>
      <c r="J4788" s="341" t="str">
        <f>IF(A4788="","",VLOOKUP(A4788,VII.A!$A$10:$D$199,3,FALSE))</f>
        <v/>
      </c>
      <c r="K4788" s="342" t="str">
        <f t="shared" si="1233"/>
        <v/>
      </c>
      <c r="L4788" s="380" t="str">
        <f>IF(C4788="","",G4763*C4788)</f>
        <v/>
      </c>
      <c r="M4788" s="381" t="str">
        <f>IF(A4788="","",VLOOKUP(A4788,VII.A!$A$10:$B$199,2,FALSE))</f>
        <v/>
      </c>
      <c r="N4788" s="342" t="str">
        <f t="shared" si="1234"/>
        <v/>
      </c>
      <c r="R4788" s="341"/>
      <c r="S4788" s="341"/>
    </row>
    <row r="4789" spans="1:19" ht="12.75" customHeight="1">
      <c r="A4789" s="393"/>
      <c r="C4789" s="20"/>
      <c r="E4789" s="387"/>
      <c r="F4789" s="388">
        <f t="shared" si="1231"/>
        <v>0</v>
      </c>
      <c r="G4789" s="390"/>
      <c r="H4789" s="341" t="str">
        <f>IF(A4789="","",VLOOKUP(A4789,VII.A!$A$10:$D$199,4,FALSE))</f>
        <v/>
      </c>
      <c r="I4789" s="341" t="str">
        <f t="shared" si="1232"/>
        <v/>
      </c>
      <c r="J4789" s="341" t="str">
        <f>IF(A4789="","",VLOOKUP(A4789,VII.A!$A$10:$D$199,3,FALSE))</f>
        <v/>
      </c>
      <c r="K4789" s="342" t="str">
        <f t="shared" si="1233"/>
        <v/>
      </c>
      <c r="L4789" s="380" t="str">
        <f>IF(C4789="","",G4763*C4789)</f>
        <v/>
      </c>
      <c r="M4789" s="381" t="str">
        <f>IF(A4789="","",VLOOKUP(A4789,VII.A!$A$10:$B$199,2,FALSE))</f>
        <v/>
      </c>
      <c r="N4789" s="342" t="str">
        <f t="shared" si="1234"/>
        <v/>
      </c>
      <c r="R4789" s="341"/>
      <c r="S4789" s="341"/>
    </row>
    <row r="4790" spans="1:19" ht="12.75" customHeight="1">
      <c r="A4790" s="393"/>
      <c r="C4790" s="20"/>
      <c r="E4790" s="387"/>
      <c r="F4790" s="388">
        <f t="shared" si="1231"/>
        <v>0</v>
      </c>
      <c r="G4790" s="391"/>
      <c r="H4790" s="341" t="str">
        <f>IF(A4790="","",VLOOKUP(A4790,VII.A!$A$10:$D$199,4,FALSE))</f>
        <v/>
      </c>
      <c r="I4790" s="341" t="str">
        <f t="shared" si="1232"/>
        <v/>
      </c>
      <c r="J4790" s="341" t="str">
        <f>IF(A4790="","",VLOOKUP(A4790,VII.A!$A$10:$D$199,3,FALSE))</f>
        <v/>
      </c>
      <c r="K4790" s="342" t="str">
        <f t="shared" si="1233"/>
        <v/>
      </c>
      <c r="L4790" s="380" t="str">
        <f>IF(C4790="","",G4763*C4790)</f>
        <v/>
      </c>
      <c r="M4790" s="381" t="str">
        <f>IF(A4790="","",VLOOKUP(A4790,VII.A!$A$10:$B$199,2,FALSE))</f>
        <v/>
      </c>
      <c r="N4790" s="342" t="str">
        <f t="shared" si="1234"/>
        <v/>
      </c>
      <c r="R4790" s="341"/>
      <c r="S4790" s="341"/>
    </row>
    <row r="4791" spans="1:19" ht="12.75" customHeight="1">
      <c r="A4791" s="393"/>
      <c r="C4791" s="20"/>
      <c r="E4791" s="387"/>
      <c r="F4791" s="388">
        <f t="shared" si="1231"/>
        <v>0</v>
      </c>
      <c r="H4791" s="341" t="str">
        <f>IF(A4791="","",VLOOKUP(A4791,VII.A!$A$10:$D$199,4,FALSE))</f>
        <v/>
      </c>
      <c r="I4791" s="341" t="str">
        <f t="shared" si="1232"/>
        <v/>
      </c>
      <c r="J4791" s="341" t="str">
        <f>IF(A4791="","",VLOOKUP(A4791,VII.A!$A$10:$D$199,3,FALSE))</f>
        <v/>
      </c>
      <c r="K4791" s="342" t="str">
        <f t="shared" si="1233"/>
        <v/>
      </c>
      <c r="L4791" s="380" t="str">
        <f>IF(C4791="","",G4763*C4791)</f>
        <v/>
      </c>
      <c r="M4791" s="381" t="str">
        <f>IF(A4791="","",VLOOKUP(A4791,VII.A!$A$10:$B$199,2,FALSE))</f>
        <v/>
      </c>
      <c r="N4791" s="342" t="str">
        <f t="shared" si="1234"/>
        <v/>
      </c>
      <c r="R4791" s="341"/>
      <c r="S4791" s="341"/>
    </row>
    <row r="4792" spans="1:19" ht="12.75" customHeight="1">
      <c r="A4792" s="393"/>
      <c r="C4792" s="20"/>
      <c r="E4792" s="387"/>
      <c r="F4792" s="388">
        <f t="shared" si="1231"/>
        <v>0</v>
      </c>
      <c r="H4792" s="341" t="str">
        <f>IF(A4792="","",VLOOKUP(A4792,VII.A!$A$10:$D$199,4,FALSE))</f>
        <v/>
      </c>
      <c r="I4792" s="341" t="str">
        <f t="shared" si="1232"/>
        <v/>
      </c>
      <c r="J4792" s="341" t="str">
        <f>IF(A4792="","",VLOOKUP(A4792,VII.A!$A$10:$D$199,3,FALSE))</f>
        <v/>
      </c>
      <c r="K4792" s="342" t="str">
        <f t="shared" si="1233"/>
        <v/>
      </c>
      <c r="L4792" s="380" t="str">
        <f>IF(C4792="","",G4763*C4792)</f>
        <v/>
      </c>
      <c r="M4792" s="381" t="str">
        <f>IF(A4792="","",VLOOKUP(A4792,VII.A!$A$10:$B$199,2,FALSE))</f>
        <v/>
      </c>
      <c r="N4792" s="342" t="str">
        <f t="shared" si="1234"/>
        <v/>
      </c>
      <c r="R4792" s="341"/>
      <c r="S4792" s="341"/>
    </row>
    <row r="4793" spans="1:19" ht="12.75" customHeight="1">
      <c r="A4793" s="393"/>
      <c r="C4793" s="20"/>
      <c r="E4793" s="387"/>
      <c r="F4793" s="388">
        <f t="shared" si="1231"/>
        <v>0</v>
      </c>
      <c r="H4793" s="341" t="str">
        <f>IF(A4793="","",VLOOKUP(A4793,VII.A!$A$10:$D$199,4,FALSE))</f>
        <v/>
      </c>
      <c r="I4793" s="341" t="str">
        <f t="shared" si="1232"/>
        <v/>
      </c>
      <c r="J4793" s="341" t="str">
        <f>IF(A4793="","",VLOOKUP(A4793,VII.A!$A$10:$D$199,3,FALSE))</f>
        <v/>
      </c>
      <c r="K4793" s="342" t="str">
        <f t="shared" si="1233"/>
        <v/>
      </c>
      <c r="L4793" s="380" t="str">
        <f>IF(C4793="","",G4763*C4793)</f>
        <v/>
      </c>
      <c r="M4793" s="381" t="str">
        <f>IF(A4793="","",VLOOKUP(A4793,VII.A!$A$10:$B$199,2,FALSE))</f>
        <v/>
      </c>
      <c r="N4793" s="342" t="str">
        <f t="shared" si="1234"/>
        <v/>
      </c>
      <c r="R4793" s="341"/>
      <c r="S4793" s="341"/>
    </row>
    <row r="4794" spans="1:19" ht="12.75" customHeight="1">
      <c r="A4794" s="393"/>
      <c r="C4794" s="20"/>
      <c r="E4794" s="387"/>
      <c r="F4794" s="388">
        <f t="shared" si="1231"/>
        <v>0</v>
      </c>
      <c r="H4794" s="341" t="str">
        <f>IF(A4794="","",VLOOKUP(A4794,VII.A!$A$10:$D$199,4,FALSE))</f>
        <v/>
      </c>
      <c r="I4794" s="341" t="str">
        <f t="shared" si="1232"/>
        <v/>
      </c>
      <c r="J4794" s="341" t="str">
        <f>IF(A4794="","",VLOOKUP(A4794,VII.A!$A$10:$D$199,3,FALSE))</f>
        <v/>
      </c>
      <c r="K4794" s="342" t="str">
        <f t="shared" si="1233"/>
        <v/>
      </c>
      <c r="L4794" s="380" t="str">
        <f>IF(C4794="","",G4763*C4794)</f>
        <v/>
      </c>
      <c r="M4794" s="381" t="str">
        <f>IF(A4794="","",VLOOKUP(A4794,VII.A!$A$10:$B$199,2,FALSE))</f>
        <v/>
      </c>
      <c r="N4794" s="342" t="str">
        <f t="shared" si="1234"/>
        <v/>
      </c>
      <c r="R4794" s="341"/>
      <c r="S4794" s="341"/>
    </row>
    <row r="4795" spans="1:19" ht="12.75" customHeight="1">
      <c r="A4795" s="393"/>
      <c r="B4795" s="395" t="s">
        <v>226</v>
      </c>
      <c r="C4795" s="396"/>
      <c r="D4795" s="397"/>
      <c r="E4795" s="398"/>
      <c r="F4795" s="399">
        <f>SUM(F4785:F4794)</f>
        <v>0</v>
      </c>
      <c r="J4795" s="341"/>
      <c r="L4795" s="380"/>
      <c r="M4795" s="381"/>
      <c r="N4795" s="342"/>
      <c r="R4795" s="341"/>
      <c r="S4795" s="341"/>
    </row>
    <row r="4796" spans="1:19" ht="12.75" customHeight="1">
      <c r="A4796" s="393"/>
      <c r="B4796" s="400" t="s">
        <v>53</v>
      </c>
      <c r="C4796" s="2">
        <f>$D$8</f>
        <v>0</v>
      </c>
      <c r="D4796" s="401"/>
      <c r="E4796" s="402"/>
      <c r="F4796" s="403">
        <f>ROUND(C4796*F4795,2)</f>
        <v>0</v>
      </c>
      <c r="J4796" s="341"/>
      <c r="L4796" s="380"/>
      <c r="M4796" s="381"/>
      <c r="N4796" s="342"/>
      <c r="R4796" s="341"/>
      <c r="S4796" s="341"/>
    </row>
    <row r="4797" spans="1:19" ht="12.75" customHeight="1">
      <c r="A4797" s="404"/>
      <c r="B4797" s="405" t="s">
        <v>228</v>
      </c>
      <c r="C4797" s="406"/>
      <c r="D4797" s="406"/>
      <c r="E4797" s="407"/>
      <c r="F4797" s="408">
        <f>F4795+F4796</f>
        <v>0</v>
      </c>
      <c r="J4797" s="341"/>
      <c r="L4797" s="380"/>
      <c r="M4797" s="381"/>
      <c r="N4797" s="342"/>
      <c r="R4797" s="341"/>
      <c r="S4797" s="341"/>
    </row>
    <row r="4798" spans="1:19" ht="12.75" customHeight="1">
      <c r="A4798" s="409" t="s">
        <v>47</v>
      </c>
      <c r="B4798" s="410" t="s">
        <v>236</v>
      </c>
      <c r="C4798" s="411" t="s">
        <v>231</v>
      </c>
      <c r="D4798" s="412" t="s">
        <v>232</v>
      </c>
      <c r="E4798" s="413" t="s">
        <v>233</v>
      </c>
      <c r="F4798" s="378" t="s">
        <v>234</v>
      </c>
      <c r="J4798" s="341"/>
      <c r="L4798" s="380"/>
      <c r="M4798" s="381"/>
      <c r="N4798" s="342"/>
      <c r="R4798" s="341"/>
      <c r="S4798" s="341"/>
    </row>
    <row r="4799" spans="1:19" ht="12.75" customHeight="1">
      <c r="A4799" s="393" t="str">
        <f>VII.A!$A$181</f>
        <v>3.1</v>
      </c>
      <c r="B4799" s="394" t="s">
        <v>142</v>
      </c>
      <c r="C4799" s="20">
        <v>0.6</v>
      </c>
      <c r="D4799" s="384" t="str">
        <f>VLOOKUP(A4799,VII.A!$A$10:$G$199,3,FALSE)</f>
        <v>H</v>
      </c>
      <c r="E4799" s="387">
        <f>VII.A!$D$181</f>
        <v>0</v>
      </c>
      <c r="F4799" s="388">
        <f t="shared" ref="F4799:F4805" si="1235">ROUND(C4799*E4799,2)</f>
        <v>0</v>
      </c>
      <c r="H4799" s="341">
        <f>IF(A4799="","",VLOOKUP(A4799,VII.A!$A$10:$D$199,4,FALSE))</f>
        <v>0</v>
      </c>
      <c r="I4799" s="341" t="str">
        <f t="shared" ref="I4799:I4805" si="1236">IF(A4799="","",IF(E4799=H4799,"SIM","NÃO"))</f>
        <v>SIM</v>
      </c>
      <c r="J4799" s="341" t="str">
        <f>IF(A4799="","",VLOOKUP(A4799,VII.A!$A$10:$D$199,3,FALSE))</f>
        <v>H</v>
      </c>
      <c r="K4799" s="342" t="str">
        <f t="shared" ref="K4799:K4805" si="1237">IF(A4799="","",IF(J4799=D4799,"SIM","NÃO"))</f>
        <v>SIM</v>
      </c>
      <c r="L4799" s="380">
        <f>IF(C4799="","",G4763*C4799)</f>
        <v>16020</v>
      </c>
      <c r="M4799" s="381" t="str">
        <f>IF(A4799="","",VLOOKUP(A4799,VII.A!$A$10:$B$199,2,FALSE))</f>
        <v>AJUDANTE COM ENCARGOS COMPLEMENTARES</v>
      </c>
      <c r="N4799" s="342" t="str">
        <f t="shared" ref="N4799:N4805" si="1238">IF(B4799="","",IF(M4799=B4799,"si","no"))</f>
        <v>si</v>
      </c>
      <c r="R4799" s="341"/>
      <c r="S4799" s="341"/>
    </row>
    <row r="4800" spans="1:19" ht="12.75" customHeight="1">
      <c r="A4800" s="393" t="str">
        <f>VII.A!$A$193</f>
        <v>3.13</v>
      </c>
      <c r="B4800" s="394" t="s">
        <v>154</v>
      </c>
      <c r="C4800" s="20">
        <v>0.6</v>
      </c>
      <c r="D4800" s="384" t="str">
        <f>VLOOKUP(A4800,VII.A!$A$10:$G$199,3,FALSE)</f>
        <v>H</v>
      </c>
      <c r="E4800" s="387">
        <f>VII.A!$D$193</f>
        <v>0</v>
      </c>
      <c r="F4800" s="388">
        <f t="shared" si="1235"/>
        <v>0</v>
      </c>
      <c r="H4800" s="341">
        <f>IF(A4800="","",VLOOKUP(A4800,VII.A!$A$10:$D$199,4,FALSE))</f>
        <v>0</v>
      </c>
      <c r="I4800" s="341" t="str">
        <f t="shared" si="1236"/>
        <v>SIM</v>
      </c>
      <c r="J4800" s="341" t="str">
        <f>IF(A4800="","",VLOOKUP(A4800,VII.A!$A$10:$D$199,3,FALSE))</f>
        <v>H</v>
      </c>
      <c r="K4800" s="342" t="str">
        <f t="shared" si="1237"/>
        <v>SIM</v>
      </c>
      <c r="L4800" s="380">
        <f>IF(C4800="","",G4763*C4800)</f>
        <v>16020</v>
      </c>
      <c r="M4800" s="381" t="str">
        <f>IF(A4800="","",VLOOKUP(A4800,VII.A!$A$10:$B$199,2,FALSE))</f>
        <v>PINTOR COM ENCARGOS COMPLEMENTARES</v>
      </c>
      <c r="N4800" s="342" t="str">
        <f t="shared" si="1238"/>
        <v>si</v>
      </c>
      <c r="R4800" s="341"/>
      <c r="S4800" s="341"/>
    </row>
    <row r="4801" spans="1:25" ht="12.75" customHeight="1">
      <c r="A4801" s="393"/>
      <c r="C4801" s="20"/>
      <c r="E4801" s="387"/>
      <c r="F4801" s="388">
        <f t="shared" si="1235"/>
        <v>0</v>
      </c>
      <c r="H4801" s="341" t="str">
        <f>IF(A4801="","",VLOOKUP(A4801,VII.A!$A$10:$D$199,4,FALSE))</f>
        <v/>
      </c>
      <c r="I4801" s="341" t="str">
        <f t="shared" si="1236"/>
        <v/>
      </c>
      <c r="J4801" s="341" t="str">
        <f>IF(A4801="","",VLOOKUP(A4801,VII.A!$A$10:$D$199,3,FALSE))</f>
        <v/>
      </c>
      <c r="K4801" s="342" t="str">
        <f t="shared" si="1237"/>
        <v/>
      </c>
      <c r="L4801" s="380" t="str">
        <f>IF(C4801="","",G4763*C4801)</f>
        <v/>
      </c>
      <c r="M4801" s="381" t="str">
        <f>IF(A4801="","",VLOOKUP(A4801,VII.A!$A$10:$B$199,2,FALSE))</f>
        <v/>
      </c>
      <c r="N4801" s="342" t="str">
        <f t="shared" si="1238"/>
        <v/>
      </c>
      <c r="R4801" s="341"/>
      <c r="S4801" s="341"/>
    </row>
    <row r="4802" spans="1:25" ht="12.75" customHeight="1">
      <c r="A4802" s="393"/>
      <c r="C4802" s="20"/>
      <c r="E4802" s="387"/>
      <c r="F4802" s="388">
        <f t="shared" si="1235"/>
        <v>0</v>
      </c>
      <c r="H4802" s="341" t="str">
        <f>IF(A4802="","",VLOOKUP(A4802,VII.A!$A$10:$D$199,4,FALSE))</f>
        <v/>
      </c>
      <c r="I4802" s="341" t="str">
        <f t="shared" si="1236"/>
        <v/>
      </c>
      <c r="J4802" s="341" t="str">
        <f>IF(A4802="","",VLOOKUP(A4802,VII.A!$A$10:$D$199,3,FALSE))</f>
        <v/>
      </c>
      <c r="K4802" s="342" t="str">
        <f t="shared" si="1237"/>
        <v/>
      </c>
      <c r="L4802" s="380" t="str">
        <f>IF(C4802="","",G4763*C4802)</f>
        <v/>
      </c>
      <c r="M4802" s="381" t="str">
        <f>IF(A4802="","",VLOOKUP(A4802,VII.A!$A$10:$B$199,2,FALSE))</f>
        <v/>
      </c>
      <c r="N4802" s="342" t="str">
        <f t="shared" si="1238"/>
        <v/>
      </c>
      <c r="R4802" s="341"/>
      <c r="S4802" s="341"/>
    </row>
    <row r="4803" spans="1:25" ht="12.75" customHeight="1">
      <c r="A4803" s="393"/>
      <c r="C4803" s="20"/>
      <c r="E4803" s="387"/>
      <c r="F4803" s="388">
        <f t="shared" si="1235"/>
        <v>0</v>
      </c>
      <c r="H4803" s="341" t="str">
        <f>IF(A4803="","",VLOOKUP(A4803,VII.A!$A$10:$D$199,4,FALSE))</f>
        <v/>
      </c>
      <c r="I4803" s="341" t="str">
        <f t="shared" si="1236"/>
        <v/>
      </c>
      <c r="J4803" s="341" t="str">
        <f>IF(A4803="","",VLOOKUP(A4803,VII.A!$A$10:$D$199,3,FALSE))</f>
        <v/>
      </c>
      <c r="K4803" s="342" t="str">
        <f t="shared" si="1237"/>
        <v/>
      </c>
      <c r="L4803" s="380" t="str">
        <f>IF(C4803="","",G4763*C4803)</f>
        <v/>
      </c>
      <c r="M4803" s="381" t="str">
        <f>IF(A4803="","",VLOOKUP(A4803,VII.A!$A$10:$B$199,2,FALSE))</f>
        <v/>
      </c>
      <c r="N4803" s="342" t="str">
        <f t="shared" si="1238"/>
        <v/>
      </c>
      <c r="R4803" s="341"/>
      <c r="S4803" s="341"/>
    </row>
    <row r="4804" spans="1:25" ht="12.75" customHeight="1">
      <c r="A4804" s="393"/>
      <c r="C4804" s="20"/>
      <c r="E4804" s="387"/>
      <c r="F4804" s="388">
        <f t="shared" si="1235"/>
        <v>0</v>
      </c>
      <c r="H4804" s="341" t="str">
        <f>IF(A4804="","",VLOOKUP(A4804,VII.A!$A$10:$D$199,4,FALSE))</f>
        <v/>
      </c>
      <c r="I4804" s="341" t="str">
        <f t="shared" si="1236"/>
        <v/>
      </c>
      <c r="J4804" s="341" t="str">
        <f>IF(A4804="","",VLOOKUP(A4804,VII.A!$A$10:$D$199,3,FALSE))</f>
        <v/>
      </c>
      <c r="K4804" s="342" t="str">
        <f t="shared" si="1237"/>
        <v/>
      </c>
      <c r="L4804" s="380" t="str">
        <f>IF(C4804="","",G4763*C4804)</f>
        <v/>
      </c>
      <c r="M4804" s="381" t="str">
        <f>IF(A4804="","",VLOOKUP(A4804,VII.A!$A$10:$B$199,2,FALSE))</f>
        <v/>
      </c>
      <c r="N4804" s="342" t="str">
        <f t="shared" si="1238"/>
        <v/>
      </c>
      <c r="R4804" s="341"/>
      <c r="S4804" s="341"/>
    </row>
    <row r="4805" spans="1:25" ht="12.75" customHeight="1">
      <c r="A4805" s="393"/>
      <c r="C4805" s="20"/>
      <c r="E4805" s="387"/>
      <c r="F4805" s="388">
        <f t="shared" si="1235"/>
        <v>0</v>
      </c>
      <c r="H4805" s="341" t="str">
        <f>IF(A4805="","",VLOOKUP(A4805,VII.A!$A$10:$D$199,4,FALSE))</f>
        <v/>
      </c>
      <c r="I4805" s="341" t="str">
        <f t="shared" si="1236"/>
        <v/>
      </c>
      <c r="J4805" s="341" t="str">
        <f>IF(A4805="","",VLOOKUP(A4805,VII.A!$A$10:$D$199,3,FALSE))</f>
        <v/>
      </c>
      <c r="K4805" s="342" t="str">
        <f t="shared" si="1237"/>
        <v/>
      </c>
      <c r="L4805" s="380" t="str">
        <f>IF(C4805="","",G4763*C4805)</f>
        <v/>
      </c>
      <c r="M4805" s="381" t="str">
        <f>IF(A4805="","",VLOOKUP(A4805,VII.A!$A$10:$B$199,2,FALSE))</f>
        <v/>
      </c>
      <c r="N4805" s="342" t="str">
        <f t="shared" si="1238"/>
        <v/>
      </c>
      <c r="R4805" s="341"/>
      <c r="S4805" s="341"/>
    </row>
    <row r="4806" spans="1:25" ht="12.75" customHeight="1">
      <c r="A4806" s="393"/>
      <c r="B4806" s="395" t="s">
        <v>226</v>
      </c>
      <c r="C4806" s="396"/>
      <c r="D4806" s="397"/>
      <c r="E4806" s="398"/>
      <c r="F4806" s="399">
        <f>SUM(F4799:F4805)</f>
        <v>0</v>
      </c>
      <c r="J4806" s="341"/>
      <c r="L4806" s="380"/>
      <c r="M4806" s="381"/>
      <c r="N4806" s="342"/>
      <c r="R4806" s="341"/>
      <c r="S4806" s="341"/>
    </row>
    <row r="4807" spans="1:25" ht="12.75" customHeight="1">
      <c r="A4807" s="393"/>
      <c r="B4807" s="400" t="s">
        <v>229</v>
      </c>
      <c r="C4807" s="2">
        <f>IX.A!$C$45</f>
        <v>0</v>
      </c>
      <c r="D4807" s="401"/>
      <c r="E4807" s="402"/>
      <c r="F4807" s="403">
        <f>ROUND(F4806*C4807,2)</f>
        <v>0</v>
      </c>
      <c r="J4807" s="341"/>
      <c r="L4807" s="380"/>
      <c r="M4807" s="381"/>
      <c r="N4807" s="342"/>
      <c r="R4807" s="341"/>
      <c r="S4807" s="341"/>
    </row>
    <row r="4808" spans="1:25" ht="12.75" customHeight="1">
      <c r="A4808" s="393"/>
      <c r="B4808" s="400" t="s">
        <v>53</v>
      </c>
      <c r="C4808" s="2">
        <f>$D$8</f>
        <v>0</v>
      </c>
      <c r="D4808" s="401"/>
      <c r="E4808" s="402"/>
      <c r="F4808" s="403">
        <f>ROUND(SUM(F4806:F4807)*C4808,2)</f>
        <v>0</v>
      </c>
      <c r="J4808" s="341"/>
      <c r="L4808" s="380"/>
      <c r="M4808" s="381"/>
      <c r="N4808" s="342"/>
      <c r="R4808" s="341"/>
      <c r="S4808" s="341"/>
    </row>
    <row r="4809" spans="1:25" ht="12.75" customHeight="1" thickBot="1">
      <c r="A4809" s="414"/>
      <c r="B4809" s="415" t="s">
        <v>230</v>
      </c>
      <c r="C4809" s="416"/>
      <c r="D4809" s="416"/>
      <c r="E4809" s="417"/>
      <c r="F4809" s="418">
        <f>SUM(F4806:F4808)</f>
        <v>0</v>
      </c>
      <c r="J4809" s="341"/>
      <c r="L4809" s="380"/>
      <c r="M4809" s="381"/>
      <c r="N4809" s="342"/>
      <c r="R4809" s="341"/>
      <c r="S4809" s="341"/>
    </row>
    <row r="4810" spans="1:25" ht="12.75" customHeight="1" thickBot="1">
      <c r="A4810" s="357"/>
      <c r="B4810" s="358"/>
      <c r="C4810" s="359"/>
      <c r="D4810" s="359"/>
      <c r="E4810" s="360"/>
      <c r="F4810" s="419"/>
      <c r="J4810" s="341"/>
      <c r="L4810" s="380"/>
      <c r="M4810" s="381"/>
      <c r="N4810" s="342"/>
      <c r="R4810" s="341"/>
      <c r="S4810" s="341"/>
    </row>
    <row r="4811" spans="1:25" ht="30" customHeight="1">
      <c r="A4811" s="370" t="str">
        <f>IV.A!$A$146</f>
        <v>6.9</v>
      </c>
      <c r="B4811" s="371" t="str">
        <f>IV.A!$B$146</f>
        <v>PINTURA DE TUBULAÇÕES ELEVADAS EM ESMALTE SINTÉTICO AZUL FRANÇA SOBRE FUNDO ANTICORROSIVO 2 DEMÃOS</v>
      </c>
      <c r="C4811" s="871" t="s">
        <v>237</v>
      </c>
      <c r="D4811" s="872"/>
      <c r="E4811" s="372" t="str">
        <f>IV.A!$C$146</f>
        <v>M2</v>
      </c>
      <c r="F4811" s="11">
        <f>ROUND(F4831+F4845+F4857,2)</f>
        <v>0</v>
      </c>
      <c r="G4811" s="1">
        <f>VLOOKUP(A4811,IV.A!$A$16:$L$172,4,FALSE)</f>
        <v>3320</v>
      </c>
      <c r="H4811" s="361">
        <f>SUM(F4813:F4828)+F4830</f>
        <v>0</v>
      </c>
      <c r="I4811" s="361">
        <f>SUM(F4833:F4842)+F4844</f>
        <v>0</v>
      </c>
      <c r="J4811" s="361">
        <f>SUM(F4847:F4853)+F4855+F4856</f>
        <v>0</v>
      </c>
      <c r="K4811" s="361">
        <f>SUM(H4811:J4811)</f>
        <v>0</v>
      </c>
      <c r="L4811" s="362" t="str">
        <f>IF(K4811=F4811,"SIM","NÃO")</f>
        <v>SIM</v>
      </c>
      <c r="M4811" s="373">
        <f>ROUND(SUM(F4813:F4828),2)+ROUND(SUM(F4813:F4828)*C4830,2)+ROUND(SUM(F4833:F4842)*C4844,2)+ROUND(SUM(F4833:F4842),2)+ROUND(SUM(F4847:F4853)*C4855,2)+ROUND((SUM(F4847:F4853)+ROUND(SUM(F4847:F4853)*C4855,2))*C4856,2)+ROUND(SUM(F4847:F4853),2)</f>
        <v>0</v>
      </c>
      <c r="N4811" s="343" t="str">
        <f>IF(M4811=F4811,"SIM","NÃO")</f>
        <v>SIM</v>
      </c>
      <c r="O4811" s="364" t="str">
        <f>VLOOKUP(A4811,IV.A!$A$16:$E$172,3,FALSE)</f>
        <v>M2</v>
      </c>
      <c r="P4811" s="344" t="str">
        <f>IF(O4811=E4811,"SIM","NÃO")</f>
        <v>SIM</v>
      </c>
      <c r="Q4811" s="365">
        <f>ROUND(G4811*F4831,2)+ROUND(G4811*F4845,2)+ROUND(G4811*F4857,2)</f>
        <v>0</v>
      </c>
      <c r="R4811" s="364">
        <f>VLOOKUP(A4811,IV.A!$A$16:$L$172,12,FALSE)</f>
        <v>0</v>
      </c>
      <c r="S4811" s="366" t="str">
        <f>IF(Q4811=R4811,"si","no")</f>
        <v>si</v>
      </c>
      <c r="T4811" s="367">
        <f>SUM(L4813:L4828)+SUM(L4833:L4842)+SUM(L4847:L4853)</f>
        <v>6984.45</v>
      </c>
      <c r="U4811" s="341">
        <f>(SUM(C4813:C4828)+SUM(C4833:C4842)+SUM(C4847:C4853))*G4811</f>
        <v>6984.4499999999989</v>
      </c>
      <c r="V4811" s="368" t="str">
        <f>IF(T4811=U4811,"si","no")</f>
        <v>si</v>
      </c>
      <c r="W4811" s="369">
        <f>SUM(F4813:F4828)</f>
        <v>0</v>
      </c>
      <c r="X4811" s="369">
        <f>SUM(F4833:F4842)</f>
        <v>0</v>
      </c>
      <c r="Y4811" s="369">
        <f>SUM(F4847:F4853)</f>
        <v>0</v>
      </c>
    </row>
    <row r="4812" spans="1:25" ht="12.75" customHeight="1">
      <c r="A4812" s="374" t="s">
        <v>14</v>
      </c>
      <c r="B4812" s="375" t="s">
        <v>132</v>
      </c>
      <c r="C4812" s="376" t="s">
        <v>231</v>
      </c>
      <c r="D4812" s="376" t="s">
        <v>232</v>
      </c>
      <c r="E4812" s="377" t="s">
        <v>233</v>
      </c>
      <c r="F4812" s="378" t="s">
        <v>234</v>
      </c>
      <c r="G4812" s="379"/>
      <c r="J4812" s="341"/>
      <c r="L4812" s="380"/>
      <c r="M4812" s="381"/>
      <c r="N4812" s="342"/>
      <c r="O4812" s="382"/>
      <c r="P4812" s="383"/>
      <c r="Q4812" s="383"/>
      <c r="R4812" s="383"/>
      <c r="S4812" s="383"/>
      <c r="T4812" s="382"/>
      <c r="U4812" s="341"/>
      <c r="V4812" s="384"/>
      <c r="W4812" s="384"/>
      <c r="X4812" s="384"/>
      <c r="Y4812" s="384"/>
    </row>
    <row r="4813" spans="1:25" ht="12.75" customHeight="1">
      <c r="A4813" s="385" t="str">
        <f>VII.A!$A$14</f>
        <v>1.5</v>
      </c>
      <c r="B4813" s="386" t="str">
        <f>VLOOKUP(A4813,VII.A!$A$10:$G$199,2,FALSE)</f>
        <v>SOLVENTE DILUENTE A BASE DE AGUARRÁS</v>
      </c>
      <c r="C4813" s="20">
        <v>0.03</v>
      </c>
      <c r="D4813" s="342" t="str">
        <f>VLOOKUP(A4813,VII.A!$A$10:$G$199,3,FALSE)</f>
        <v>L</v>
      </c>
      <c r="E4813" s="387">
        <f>VII.A!$D$14</f>
        <v>0</v>
      </c>
      <c r="F4813" s="388">
        <f>ROUND(C4813*E4813,2)</f>
        <v>0</v>
      </c>
      <c r="H4813" s="341">
        <f>IF(A4813="","",VLOOKUP(A4813,VII.A!$A$10:$D$199,4,FALSE))</f>
        <v>0</v>
      </c>
      <c r="I4813" s="341" t="str">
        <f t="shared" ref="I4813:I4828" si="1239">IF(A4813="","",IF(E4813=H4813,"SIM","NÃO"))</f>
        <v>SIM</v>
      </c>
      <c r="J4813" s="341" t="str">
        <f>IF(A4813="","",VLOOKUP(A4813,VII.A!$A$10:$D$199,3,FALSE))</f>
        <v>L</v>
      </c>
      <c r="K4813" s="342" t="str">
        <f t="shared" ref="K4813:K4828" si="1240">IF(A4813="","",IF(J4813=D4813,"SIM","NÃO"))</f>
        <v>SIM</v>
      </c>
      <c r="L4813" s="380">
        <f>IF(C4813="","",G4811*C4813)</f>
        <v>99.6</v>
      </c>
      <c r="M4813" s="381" t="str">
        <f>IF(A4813="","",VLOOKUP(A4813,VII.A!$A$10:$B$199,2,FALSE))</f>
        <v>SOLVENTE DILUENTE A BASE DE AGUARRÁS</v>
      </c>
      <c r="N4813" s="342" t="str">
        <f t="shared" ref="N4813:N4828" si="1241">IF(B4813="","",IF(M4813=B4813,"si","no"))</f>
        <v>si</v>
      </c>
      <c r="R4813" s="341"/>
      <c r="S4813" s="341"/>
    </row>
    <row r="4814" spans="1:25" ht="12.75" customHeight="1">
      <c r="A4814" s="385" t="str">
        <f>VII.A!$A$110</f>
        <v>1.100</v>
      </c>
      <c r="B4814" s="386" t="str">
        <f>VLOOKUP(A4814,VII.A!$A$10:$G$199,2,FALSE)</f>
        <v xml:space="preserve">TINTA ESMALTE SINTETICO PREMIUM </v>
      </c>
      <c r="C4814" s="20">
        <v>0.25</v>
      </c>
      <c r="D4814" s="342" t="str">
        <f>VLOOKUP(A4814,VII.A!$A$10:$G$199,3,FALSE)</f>
        <v>L</v>
      </c>
      <c r="E4814" s="387">
        <f>VII.A!D110</f>
        <v>0</v>
      </c>
      <c r="F4814" s="388">
        <f t="shared" ref="F4814:F4828" si="1242">ROUND(C4814*E4814,2)</f>
        <v>0</v>
      </c>
      <c r="H4814" s="341">
        <f>IF(A4814="","",VLOOKUP(A4814,VII.A!$A$10:$D$199,4,FALSE))</f>
        <v>0</v>
      </c>
      <c r="I4814" s="341" t="str">
        <f t="shared" si="1239"/>
        <v>SIM</v>
      </c>
      <c r="J4814" s="341" t="str">
        <f>IF(A4814="","",VLOOKUP(A4814,VII.A!$A$10:$D$199,3,FALSE))</f>
        <v>L</v>
      </c>
      <c r="K4814" s="342" t="str">
        <f t="shared" si="1240"/>
        <v>SIM</v>
      </c>
      <c r="L4814" s="380">
        <f>IF(C4814="","",G4811*C4814)</f>
        <v>830</v>
      </c>
      <c r="M4814" s="381" t="str">
        <f>IF(A4814="","",VLOOKUP(A4814,VII.A!$A$10:$B$199,2,FALSE))</f>
        <v xml:space="preserve">TINTA ESMALTE SINTETICO PREMIUM </v>
      </c>
      <c r="N4814" s="342" t="str">
        <f t="shared" si="1241"/>
        <v>si</v>
      </c>
      <c r="R4814" s="341"/>
      <c r="S4814" s="341"/>
    </row>
    <row r="4815" spans="1:25" ht="12.75" customHeight="1">
      <c r="A4815" s="385" t="str">
        <f>VII.A!$A$69</f>
        <v>1.60</v>
      </c>
      <c r="B4815" s="386" t="str">
        <f>VLOOKUP(A4815,VII.A!$A$10:$G$199,2,FALSE)</f>
        <v>LIXA PARA SUPERFICIE METÁLICA, GRANA 150</v>
      </c>
      <c r="C4815" s="20">
        <v>0.5</v>
      </c>
      <c r="D4815" s="342" t="str">
        <f>VLOOKUP(A4815,VII.A!$A$10:$G$199,3,FALSE)</f>
        <v>UN</v>
      </c>
      <c r="E4815" s="387">
        <f>VII.A!$D$69</f>
        <v>0</v>
      </c>
      <c r="F4815" s="388">
        <f t="shared" si="1242"/>
        <v>0</v>
      </c>
      <c r="H4815" s="341">
        <f>IF(A4815="","",VLOOKUP(A4815,VII.A!$A$10:$D$199,4,FALSE))</f>
        <v>0</v>
      </c>
      <c r="I4815" s="341" t="str">
        <f t="shared" si="1239"/>
        <v>SIM</v>
      </c>
      <c r="J4815" s="341" t="str">
        <f>IF(A4815="","",VLOOKUP(A4815,VII.A!$A$10:$D$199,3,FALSE))</f>
        <v>UN</v>
      </c>
      <c r="K4815" s="342" t="str">
        <f t="shared" si="1240"/>
        <v>SIM</v>
      </c>
      <c r="L4815" s="380">
        <f>IF(C4815="","",G4811*C4815)</f>
        <v>1660</v>
      </c>
      <c r="M4815" s="381" t="str">
        <f>IF(A4815="","",VLOOKUP(A4815,VII.A!$A$10:$B$199,2,FALSE))</f>
        <v>LIXA PARA SUPERFICIE METÁLICA, GRANA 150</v>
      </c>
      <c r="N4815" s="342" t="str">
        <f t="shared" si="1241"/>
        <v>si</v>
      </c>
      <c r="R4815" s="341"/>
      <c r="S4815" s="341"/>
    </row>
    <row r="4816" spans="1:25" ht="12.75" customHeight="1">
      <c r="A4816" s="385" t="str">
        <f>VII.A!$A$56</f>
        <v>1.47</v>
      </c>
      <c r="B4816" s="386" t="str">
        <f>VII.A!B56</f>
        <v>FUNDO PREPARADOR BASE ÁGUA PARA MADEIRA E METAIS</v>
      </c>
      <c r="C4816" s="20">
        <v>0.12</v>
      </c>
      <c r="D4816" s="342" t="str">
        <f>VLOOKUP(A4816,VII.A!$A$10:$G$199,3,FALSE)</f>
        <v>L</v>
      </c>
      <c r="E4816" s="387">
        <f>VII.A!D56</f>
        <v>0</v>
      </c>
      <c r="F4816" s="388">
        <f t="shared" si="1242"/>
        <v>0</v>
      </c>
      <c r="H4816" s="341">
        <f>IF(A4816="","",VLOOKUP(A4816,VII.A!$A$10:$D$199,4,FALSE))</f>
        <v>0</v>
      </c>
      <c r="I4816" s="341" t="str">
        <f t="shared" si="1239"/>
        <v>SIM</v>
      </c>
      <c r="J4816" s="341" t="str">
        <f>IF(A4816="","",VLOOKUP(A4816,VII.A!$A$10:$D$199,3,FALSE))</f>
        <v>L</v>
      </c>
      <c r="K4816" s="342" t="str">
        <f t="shared" si="1240"/>
        <v>SIM</v>
      </c>
      <c r="L4816" s="380">
        <f>IF(C4816="","",G4811*C4816)</f>
        <v>398.4</v>
      </c>
      <c r="M4816" s="381" t="str">
        <f>IF(A4816="","",VLOOKUP(A4816,VII.A!$A$10:$B$199,2,FALSE))</f>
        <v>FUNDO PREPARADOR BASE ÁGUA PARA MADEIRA E METAIS</v>
      </c>
      <c r="N4816" s="342" t="str">
        <f t="shared" si="1241"/>
        <v>si</v>
      </c>
      <c r="R4816" s="341"/>
      <c r="S4816" s="341"/>
    </row>
    <row r="4817" spans="1:21" ht="12.75" customHeight="1">
      <c r="A4817" s="385"/>
      <c r="B4817" s="386"/>
      <c r="C4817" s="20"/>
      <c r="D4817" s="342"/>
      <c r="E4817" s="387"/>
      <c r="F4817" s="388">
        <f t="shared" si="1242"/>
        <v>0</v>
      </c>
      <c r="H4817" s="341" t="str">
        <f>IF(A4817="","",VLOOKUP(A4817,VII.A!$A$10:$D$199,4,FALSE))</f>
        <v/>
      </c>
      <c r="I4817" s="341" t="str">
        <f t="shared" si="1239"/>
        <v/>
      </c>
      <c r="J4817" s="341" t="str">
        <f>IF(A4817="","",VLOOKUP(A4817,VII.A!$A$10:$D$199,3,FALSE))</f>
        <v/>
      </c>
      <c r="K4817" s="342" t="str">
        <f t="shared" si="1240"/>
        <v/>
      </c>
      <c r="L4817" s="380" t="str">
        <f>IF(C4817="","",G4811*C4817)</f>
        <v/>
      </c>
      <c r="M4817" s="381" t="str">
        <f>IF(A4817="","",VLOOKUP(A4817,VII.A!$A$10:$B$199,2,FALSE))</f>
        <v/>
      </c>
      <c r="N4817" s="342" t="str">
        <f t="shared" si="1241"/>
        <v/>
      </c>
      <c r="R4817" s="341"/>
      <c r="S4817" s="341"/>
    </row>
    <row r="4818" spans="1:21" ht="12.75" customHeight="1">
      <c r="A4818" s="385"/>
      <c r="B4818" s="386"/>
      <c r="C4818" s="20"/>
      <c r="D4818" s="342"/>
      <c r="E4818" s="387"/>
      <c r="F4818" s="388">
        <f t="shared" si="1242"/>
        <v>0</v>
      </c>
      <c r="H4818" s="341" t="str">
        <f>IF(A4818="","",VLOOKUP(A4818,VII.A!$A$10:$D$199,4,FALSE))</f>
        <v/>
      </c>
      <c r="I4818" s="341" t="str">
        <f t="shared" si="1239"/>
        <v/>
      </c>
      <c r="J4818" s="341" t="str">
        <f>IF(A4818="","",VLOOKUP(A4818,VII.A!$A$10:$D$199,3,FALSE))</f>
        <v/>
      </c>
      <c r="K4818" s="342" t="str">
        <f t="shared" si="1240"/>
        <v/>
      </c>
      <c r="L4818" s="380" t="str">
        <f>IF(C4818="","",G4811*C4818)</f>
        <v/>
      </c>
      <c r="M4818" s="381" t="str">
        <f>IF(A4818="","",VLOOKUP(A4818,VII.A!$A$10:$B$199,2,FALSE))</f>
        <v/>
      </c>
      <c r="N4818" s="342" t="str">
        <f t="shared" si="1241"/>
        <v/>
      </c>
      <c r="R4818" s="341"/>
      <c r="S4818" s="341"/>
      <c r="U4818" s="389"/>
    </row>
    <row r="4819" spans="1:21" ht="12.75" customHeight="1">
      <c r="A4819" s="385"/>
      <c r="B4819" s="386"/>
      <c r="C4819" s="20"/>
      <c r="D4819" s="342"/>
      <c r="E4819" s="387"/>
      <c r="F4819" s="388">
        <f t="shared" si="1242"/>
        <v>0</v>
      </c>
      <c r="H4819" s="341" t="str">
        <f>IF(A4819="","",VLOOKUP(A4819,VII.A!$A$10:$D$199,4,FALSE))</f>
        <v/>
      </c>
      <c r="I4819" s="341" t="str">
        <f t="shared" si="1239"/>
        <v/>
      </c>
      <c r="J4819" s="341" t="str">
        <f>IF(A4819="","",VLOOKUP(A4819,VII.A!$A$10:$D$199,3,FALSE))</f>
        <v/>
      </c>
      <c r="K4819" s="342" t="str">
        <f t="shared" si="1240"/>
        <v/>
      </c>
      <c r="L4819" s="380" t="str">
        <f>IF(C4819="","",G4811*C4819)</f>
        <v/>
      </c>
      <c r="M4819" s="381" t="str">
        <f>IF(A4819="","",VLOOKUP(A4819,VII.A!$A$10:$B$199,2,FALSE))</f>
        <v/>
      </c>
      <c r="N4819" s="342" t="str">
        <f t="shared" si="1241"/>
        <v/>
      </c>
      <c r="R4819" s="341"/>
      <c r="S4819" s="341"/>
    </row>
    <row r="4820" spans="1:21" ht="12.75" customHeight="1">
      <c r="A4820" s="385"/>
      <c r="B4820" s="386"/>
      <c r="C4820" s="20"/>
      <c r="D4820" s="342"/>
      <c r="E4820" s="387"/>
      <c r="F4820" s="388">
        <f t="shared" si="1242"/>
        <v>0</v>
      </c>
      <c r="G4820" s="390"/>
      <c r="H4820" s="341" t="str">
        <f>IF(A4820="","",VLOOKUP(A4820,VII.A!$A$10:$D$199,4,FALSE))</f>
        <v/>
      </c>
      <c r="I4820" s="341" t="str">
        <f t="shared" si="1239"/>
        <v/>
      </c>
      <c r="J4820" s="341" t="str">
        <f>IF(A4820="","",VLOOKUP(A4820,VII.A!$A$10:$D$199,3,FALSE))</f>
        <v/>
      </c>
      <c r="K4820" s="342" t="str">
        <f t="shared" si="1240"/>
        <v/>
      </c>
      <c r="L4820" s="380" t="str">
        <f>IF(C4820="","",G4811*C4820)</f>
        <v/>
      </c>
      <c r="M4820" s="381" t="str">
        <f>IF(A4820="","",VLOOKUP(A4820,VII.A!$A$10:$B$199,2,FALSE))</f>
        <v/>
      </c>
      <c r="N4820" s="342" t="str">
        <f t="shared" si="1241"/>
        <v/>
      </c>
      <c r="R4820" s="341"/>
      <c r="S4820" s="341"/>
    </row>
    <row r="4821" spans="1:21" ht="12.75" customHeight="1">
      <c r="A4821" s="385"/>
      <c r="B4821" s="386"/>
      <c r="C4821" s="20"/>
      <c r="D4821" s="342"/>
      <c r="E4821" s="387"/>
      <c r="F4821" s="388">
        <f t="shared" si="1242"/>
        <v>0</v>
      </c>
      <c r="G4821" s="390"/>
      <c r="H4821" s="341" t="str">
        <f>IF(A4821="","",VLOOKUP(A4821,VII.A!$A$10:$D$199,4,FALSE))</f>
        <v/>
      </c>
      <c r="I4821" s="341" t="str">
        <f t="shared" si="1239"/>
        <v/>
      </c>
      <c r="J4821" s="341" t="str">
        <f>IF(A4821="","",VLOOKUP(A4821,VII.A!$A$10:$D$199,3,FALSE))</f>
        <v/>
      </c>
      <c r="K4821" s="342" t="str">
        <f t="shared" si="1240"/>
        <v/>
      </c>
      <c r="L4821" s="380" t="str">
        <f>IF(C4821="","",G4811*C4821)</f>
        <v/>
      </c>
      <c r="M4821" s="381" t="str">
        <f>IF(A4821="","",VLOOKUP(A4821,VII.A!$A$10:$B$199,2,FALSE))</f>
        <v/>
      </c>
      <c r="N4821" s="342" t="str">
        <f t="shared" si="1241"/>
        <v/>
      </c>
      <c r="R4821" s="341"/>
      <c r="S4821" s="341"/>
    </row>
    <row r="4822" spans="1:21" ht="12.75" customHeight="1">
      <c r="A4822" s="385"/>
      <c r="B4822" s="386"/>
      <c r="C4822" s="20"/>
      <c r="D4822" s="342"/>
      <c r="E4822" s="387"/>
      <c r="F4822" s="388">
        <f t="shared" si="1242"/>
        <v>0</v>
      </c>
      <c r="G4822" s="391"/>
      <c r="H4822" s="341" t="str">
        <f>IF(A4822="","",VLOOKUP(A4822,VII.A!$A$10:$D$199,4,FALSE))</f>
        <v/>
      </c>
      <c r="I4822" s="341" t="str">
        <f t="shared" si="1239"/>
        <v/>
      </c>
      <c r="J4822" s="341" t="str">
        <f>IF(A4822="","",VLOOKUP(A4822,VII.A!$A$10:$D$199,3,FALSE))</f>
        <v/>
      </c>
      <c r="K4822" s="342" t="str">
        <f t="shared" si="1240"/>
        <v/>
      </c>
      <c r="L4822" s="380" t="str">
        <f>IF(C4822="","",G4811*C4822)</f>
        <v/>
      </c>
      <c r="M4822" s="381" t="str">
        <f>IF(A4822="","",VLOOKUP(A4822,VII.A!$A$10:$B$199,2,FALSE))</f>
        <v/>
      </c>
      <c r="N4822" s="342" t="str">
        <f t="shared" si="1241"/>
        <v/>
      </c>
      <c r="R4822" s="341"/>
      <c r="S4822" s="341"/>
    </row>
    <row r="4823" spans="1:21" ht="12.75" customHeight="1">
      <c r="A4823" s="385"/>
      <c r="B4823" s="386"/>
      <c r="C4823" s="20"/>
      <c r="D4823" s="342"/>
      <c r="E4823" s="387"/>
      <c r="F4823" s="388">
        <f t="shared" si="1242"/>
        <v>0</v>
      </c>
      <c r="H4823" s="341" t="str">
        <f>IF(A4823="","",VLOOKUP(A4823,VII.A!$A$10:$D$199,4,FALSE))</f>
        <v/>
      </c>
      <c r="I4823" s="341" t="str">
        <f t="shared" si="1239"/>
        <v/>
      </c>
      <c r="J4823" s="341" t="str">
        <f>IF(A4823="","",VLOOKUP(A4823,VII.A!$A$10:$D$199,3,FALSE))</f>
        <v/>
      </c>
      <c r="K4823" s="342" t="str">
        <f t="shared" si="1240"/>
        <v/>
      </c>
      <c r="L4823" s="380" t="str">
        <f>IF(C4823="","",G4811*C4823)</f>
        <v/>
      </c>
      <c r="M4823" s="381" t="str">
        <f>IF(A4823="","",VLOOKUP(A4823,VII.A!$A$10:$B$199,2,FALSE))</f>
        <v/>
      </c>
      <c r="N4823" s="342" t="str">
        <f t="shared" si="1241"/>
        <v/>
      </c>
      <c r="R4823" s="341"/>
      <c r="S4823" s="341"/>
    </row>
    <row r="4824" spans="1:21" ht="12.75" customHeight="1">
      <c r="A4824" s="385"/>
      <c r="B4824" s="386"/>
      <c r="C4824" s="20"/>
      <c r="D4824" s="392"/>
      <c r="E4824" s="387"/>
      <c r="F4824" s="388">
        <f t="shared" si="1242"/>
        <v>0</v>
      </c>
      <c r="H4824" s="341" t="str">
        <f>IF(A4824="","",VLOOKUP(A4824,VII.A!$A$10:$D$199,4,FALSE))</f>
        <v/>
      </c>
      <c r="I4824" s="341" t="str">
        <f t="shared" si="1239"/>
        <v/>
      </c>
      <c r="J4824" s="341" t="str">
        <f>IF(A4824="","",VLOOKUP(A4824,VII.A!$A$10:$D$199,3,FALSE))</f>
        <v/>
      </c>
      <c r="K4824" s="342" t="str">
        <f t="shared" si="1240"/>
        <v/>
      </c>
      <c r="L4824" s="380" t="str">
        <f>IF(C4824="","",G4811*C4824)</f>
        <v/>
      </c>
      <c r="M4824" s="381" t="str">
        <f>IF(A4824="","",VLOOKUP(A4824,VII.A!$A$10:$B$199,2,FALSE))</f>
        <v/>
      </c>
      <c r="N4824" s="342" t="str">
        <f t="shared" si="1241"/>
        <v/>
      </c>
      <c r="R4824" s="341"/>
      <c r="S4824" s="341"/>
    </row>
    <row r="4825" spans="1:21" ht="12.75" customHeight="1">
      <c r="A4825" s="385"/>
      <c r="B4825" s="386"/>
      <c r="C4825" s="20"/>
      <c r="D4825" s="392"/>
      <c r="E4825" s="387"/>
      <c r="F4825" s="388">
        <f t="shared" si="1242"/>
        <v>0</v>
      </c>
      <c r="H4825" s="341" t="str">
        <f>IF(A4825="","",VLOOKUP(A4825,VII.A!$A$10:$D$199,4,FALSE))</f>
        <v/>
      </c>
      <c r="I4825" s="341" t="str">
        <f t="shared" si="1239"/>
        <v/>
      </c>
      <c r="J4825" s="341" t="str">
        <f>IF(A4825="","",VLOOKUP(A4825,VII.A!$A$10:$D$199,3,FALSE))</f>
        <v/>
      </c>
      <c r="K4825" s="342" t="str">
        <f t="shared" si="1240"/>
        <v/>
      </c>
      <c r="L4825" s="380" t="str">
        <f>IF(C4825="","",G4811*C4825)</f>
        <v/>
      </c>
      <c r="M4825" s="381" t="str">
        <f>IF(A4825="","",VLOOKUP(A4825,VII.A!$A$10:$B$199,2,FALSE))</f>
        <v/>
      </c>
      <c r="N4825" s="342" t="str">
        <f t="shared" si="1241"/>
        <v/>
      </c>
      <c r="O4825" s="342"/>
      <c r="R4825" s="341"/>
      <c r="S4825" s="341"/>
    </row>
    <row r="4826" spans="1:21" ht="12.75" customHeight="1">
      <c r="A4826" s="385"/>
      <c r="B4826" s="386"/>
      <c r="C4826" s="20"/>
      <c r="D4826" s="392"/>
      <c r="E4826" s="387"/>
      <c r="F4826" s="388">
        <f t="shared" si="1242"/>
        <v>0</v>
      </c>
      <c r="H4826" s="341" t="str">
        <f>IF(A4826="","",VLOOKUP(A4826,VII.A!$A$10:$D$199,4,FALSE))</f>
        <v/>
      </c>
      <c r="I4826" s="341" t="str">
        <f t="shared" si="1239"/>
        <v/>
      </c>
      <c r="J4826" s="341" t="str">
        <f>IF(A4826="","",VLOOKUP(A4826,VII.A!$A$10:$D$199,3,FALSE))</f>
        <v/>
      </c>
      <c r="K4826" s="342" t="str">
        <f t="shared" si="1240"/>
        <v/>
      </c>
      <c r="L4826" s="380" t="str">
        <f>IF(C4826="","",G4811*C4826)</f>
        <v/>
      </c>
      <c r="M4826" s="381" t="str">
        <f>IF(A4826="","",VLOOKUP(A4826,VII.A!$A$10:$B$199,2,FALSE))</f>
        <v/>
      </c>
      <c r="N4826" s="342" t="str">
        <f t="shared" si="1241"/>
        <v/>
      </c>
      <c r="R4826" s="341"/>
      <c r="S4826" s="341"/>
    </row>
    <row r="4827" spans="1:21" ht="12.75" customHeight="1">
      <c r="A4827" s="393"/>
      <c r="C4827" s="20"/>
      <c r="E4827" s="387"/>
      <c r="F4827" s="388">
        <f t="shared" si="1242"/>
        <v>0</v>
      </c>
      <c r="H4827" s="341" t="str">
        <f>IF(A4827="","",VLOOKUP(A4827,VII.A!$A$10:$D$199,4,FALSE))</f>
        <v/>
      </c>
      <c r="I4827" s="341" t="str">
        <f t="shared" si="1239"/>
        <v/>
      </c>
      <c r="J4827" s="341" t="str">
        <f>IF(A4827="","",VLOOKUP(A4827,VII.A!$A$10:$D$199,3,FALSE))</f>
        <v/>
      </c>
      <c r="K4827" s="342" t="str">
        <f t="shared" si="1240"/>
        <v/>
      </c>
      <c r="L4827" s="380" t="str">
        <f>IF(C4827="","",G4811*C4827)</f>
        <v/>
      </c>
      <c r="M4827" s="381" t="str">
        <f>IF(A4827="","",VLOOKUP(A4827,VII.A!$A$10:$B$199,2,FALSE))</f>
        <v/>
      </c>
      <c r="N4827" s="342" t="str">
        <f t="shared" si="1241"/>
        <v/>
      </c>
      <c r="R4827" s="341"/>
      <c r="S4827" s="341"/>
    </row>
    <row r="4828" spans="1:21" ht="12.75" customHeight="1">
      <c r="A4828" s="393"/>
      <c r="C4828" s="20"/>
      <c r="E4828" s="387"/>
      <c r="F4828" s="388">
        <f t="shared" si="1242"/>
        <v>0</v>
      </c>
      <c r="H4828" s="341" t="str">
        <f>IF(A4828="","",VLOOKUP(A4828,VII.A!$A$10:$D$199,4,FALSE))</f>
        <v/>
      </c>
      <c r="I4828" s="341" t="str">
        <f t="shared" si="1239"/>
        <v/>
      </c>
      <c r="J4828" s="341" t="str">
        <f>IF(A4828="","",VLOOKUP(A4828,VII.A!$A$10:$D$199,3,FALSE))</f>
        <v/>
      </c>
      <c r="K4828" s="342" t="str">
        <f t="shared" si="1240"/>
        <v/>
      </c>
      <c r="L4828" s="380" t="str">
        <f>IF(C4828="","",G4811*C4828)</f>
        <v/>
      </c>
      <c r="M4828" s="381" t="str">
        <f>IF(A4828="","",VLOOKUP(A4828,VII.A!$A$10:$B$199,2,FALSE))</f>
        <v/>
      </c>
      <c r="N4828" s="342" t="str">
        <f t="shared" si="1241"/>
        <v/>
      </c>
      <c r="R4828" s="341"/>
      <c r="S4828" s="341"/>
    </row>
    <row r="4829" spans="1:21" ht="12.75" customHeight="1">
      <c r="A4829" s="393"/>
      <c r="B4829" s="395" t="s">
        <v>226</v>
      </c>
      <c r="C4829" s="396"/>
      <c r="D4829" s="397"/>
      <c r="E4829" s="398"/>
      <c r="F4829" s="399">
        <f>SUM(F4813:F4828)</f>
        <v>0</v>
      </c>
      <c r="J4829" s="341"/>
      <c r="L4829" s="380"/>
      <c r="M4829" s="381"/>
      <c r="N4829" s="342"/>
      <c r="R4829" s="341"/>
      <c r="S4829" s="341"/>
    </row>
    <row r="4830" spans="1:21" ht="12.75" customHeight="1">
      <c r="A4830" s="393"/>
      <c r="B4830" s="400" t="s">
        <v>53</v>
      </c>
      <c r="C4830" s="2">
        <f>$D$8</f>
        <v>0</v>
      </c>
      <c r="D4830" s="401"/>
      <c r="E4830" s="402"/>
      <c r="F4830" s="403">
        <f>ROUND(F4829*C4830,2)</f>
        <v>0</v>
      </c>
      <c r="H4830" s="426" t="s">
        <v>397</v>
      </c>
      <c r="J4830" s="341"/>
      <c r="L4830" s="380"/>
      <c r="M4830" s="381"/>
      <c r="N4830" s="342"/>
      <c r="R4830" s="341"/>
      <c r="S4830" s="341"/>
    </row>
    <row r="4831" spans="1:21" ht="12.75" customHeight="1">
      <c r="A4831" s="404"/>
      <c r="B4831" s="405" t="s">
        <v>227</v>
      </c>
      <c r="C4831" s="406"/>
      <c r="D4831" s="406"/>
      <c r="E4831" s="407"/>
      <c r="F4831" s="408">
        <f>F4829+F4830</f>
        <v>0</v>
      </c>
      <c r="J4831" s="341"/>
      <c r="L4831" s="380"/>
      <c r="M4831" s="381"/>
      <c r="N4831" s="342"/>
      <c r="R4831" s="341"/>
      <c r="S4831" s="341"/>
    </row>
    <row r="4832" spans="1:21" ht="12.75" customHeight="1">
      <c r="A4832" s="374" t="s">
        <v>2</v>
      </c>
      <c r="B4832" s="375" t="s">
        <v>235</v>
      </c>
      <c r="C4832" s="376" t="s">
        <v>231</v>
      </c>
      <c r="D4832" s="376" t="s">
        <v>232</v>
      </c>
      <c r="E4832" s="377" t="s">
        <v>233</v>
      </c>
      <c r="F4832" s="378" t="s">
        <v>234</v>
      </c>
      <c r="J4832" s="341"/>
      <c r="L4832" s="380"/>
      <c r="M4832" s="381"/>
      <c r="N4832" s="342"/>
      <c r="R4832" s="341"/>
      <c r="S4832" s="341"/>
    </row>
    <row r="4833" spans="1:19" ht="12.75" customHeight="1">
      <c r="A4833" s="393" t="str">
        <f>VII.A!$A$147</f>
        <v>2.5</v>
      </c>
      <c r="B4833" s="423" t="str">
        <f>VLOOKUP(A4833,VII.A!$A$10:$G$199,2,FALSE)</f>
        <v>BALANCIM LEVE TRADICIONAL - PLATAFORMA 3,00 M COM GUINCHO MANUAL, NR 18 (LOCAÇÃO MENSAL + TRANSPORTE)</v>
      </c>
      <c r="C4833" s="20">
        <v>3.7499999999999999E-3</v>
      </c>
      <c r="D4833" s="384" t="str">
        <f>VLOOKUP(A4833,VII.A!$A$10:$G$199,3,FALSE)</f>
        <v>LOC/MÊS</v>
      </c>
      <c r="E4833" s="387">
        <f>VII.A!$D$147</f>
        <v>0</v>
      </c>
      <c r="F4833" s="388">
        <f t="shared" ref="F4833:F4842" si="1243">ROUND(C4833*E4833,2)</f>
        <v>0</v>
      </c>
      <c r="H4833" s="341">
        <f>IF(A4833="","",VLOOKUP(A4833,VII.A!$A$10:$D$199,4,FALSE))</f>
        <v>0</v>
      </c>
      <c r="I4833" s="341" t="str">
        <f t="shared" ref="I4833:I4842" si="1244">IF(A4833="","",IF(E4833=H4833,"SIM","NÃO"))</f>
        <v>SIM</v>
      </c>
      <c r="J4833" s="341" t="str">
        <f>IF(A4833="","",VLOOKUP(A4833,VII.A!$A$10:$D$199,3,FALSE))</f>
        <v>LOC/MÊS</v>
      </c>
      <c r="K4833" s="342" t="str">
        <f t="shared" ref="K4833:K4842" si="1245">IF(A4833="","",IF(J4833=D4833,"SIM","NÃO"))</f>
        <v>SIM</v>
      </c>
      <c r="L4833" s="380">
        <f>IF(C4833="","",G4811*C4833)</f>
        <v>12.45</v>
      </c>
      <c r="M4833" s="381" t="str">
        <f>IF(A4833="","",VLOOKUP(A4833,VII.A!$A$10:$B$199,2,FALSE))</f>
        <v>BALANCIM LEVE TRADICIONAL - PLATAFORMA 3,00 M COM GUINCHO MANUAL, NR 18 (LOCAÇÃO MENSAL + TRANSPORTE)</v>
      </c>
      <c r="N4833" s="342" t="str">
        <f t="shared" ref="N4833:N4842" si="1246">IF(B4833="","",IF(M4833=B4833,"si","no"))</f>
        <v>si</v>
      </c>
      <c r="R4833" s="341"/>
      <c r="S4833" s="341"/>
    </row>
    <row r="4834" spans="1:19" ht="12.75" customHeight="1">
      <c r="A4834" s="393"/>
      <c r="C4834" s="20"/>
      <c r="E4834" s="387"/>
      <c r="F4834" s="388">
        <f t="shared" si="1243"/>
        <v>0</v>
      </c>
      <c r="H4834" s="341" t="str">
        <f>IF(A4834="","",VLOOKUP(A4834,VII.A!$A$10:$D$199,4,FALSE))</f>
        <v/>
      </c>
      <c r="I4834" s="341" t="str">
        <f t="shared" si="1244"/>
        <v/>
      </c>
      <c r="J4834" s="341" t="str">
        <f>IF(A4834="","",VLOOKUP(A4834,VII.A!$A$10:$D$199,3,FALSE))</f>
        <v/>
      </c>
      <c r="K4834" s="342" t="str">
        <f t="shared" si="1245"/>
        <v/>
      </c>
      <c r="L4834" s="380" t="str">
        <f>IF(C4834="","",G4811*C4834)</f>
        <v/>
      </c>
      <c r="M4834" s="381" t="str">
        <f>IF(A4834="","",VLOOKUP(A4834,VII.A!$A$10:$B$199,2,FALSE))</f>
        <v/>
      </c>
      <c r="N4834" s="342" t="str">
        <f t="shared" si="1246"/>
        <v/>
      </c>
      <c r="R4834" s="341"/>
      <c r="S4834" s="341"/>
    </row>
    <row r="4835" spans="1:19" ht="12.75" customHeight="1">
      <c r="A4835" s="393"/>
      <c r="C4835" s="20"/>
      <c r="E4835" s="387"/>
      <c r="F4835" s="388">
        <f t="shared" si="1243"/>
        <v>0</v>
      </c>
      <c r="H4835" s="341" t="str">
        <f>IF(A4835="","",VLOOKUP(A4835,VII.A!$A$10:$D$199,4,FALSE))</f>
        <v/>
      </c>
      <c r="I4835" s="341" t="str">
        <f t="shared" si="1244"/>
        <v/>
      </c>
      <c r="J4835" s="341" t="str">
        <f>IF(A4835="","",VLOOKUP(A4835,VII.A!$A$10:$D$199,3,FALSE))</f>
        <v/>
      </c>
      <c r="K4835" s="342" t="str">
        <f t="shared" si="1245"/>
        <v/>
      </c>
      <c r="L4835" s="380" t="str">
        <f>IF(C4835="","",G4811*C4835)</f>
        <v/>
      </c>
      <c r="M4835" s="381" t="str">
        <f>IF(A4835="","",VLOOKUP(A4835,VII.A!$A$10:$B$199,2,FALSE))</f>
        <v/>
      </c>
      <c r="N4835" s="342" t="str">
        <f t="shared" si="1246"/>
        <v/>
      </c>
      <c r="R4835" s="341"/>
      <c r="S4835" s="341"/>
    </row>
    <row r="4836" spans="1:19" ht="12.75" customHeight="1">
      <c r="A4836" s="393"/>
      <c r="C4836" s="20"/>
      <c r="E4836" s="387"/>
      <c r="F4836" s="388">
        <f t="shared" si="1243"/>
        <v>0</v>
      </c>
      <c r="H4836" s="341" t="str">
        <f>IF(A4836="","",VLOOKUP(A4836,VII.A!$A$10:$D$199,4,FALSE))</f>
        <v/>
      </c>
      <c r="I4836" s="341" t="str">
        <f t="shared" si="1244"/>
        <v/>
      </c>
      <c r="J4836" s="341" t="str">
        <f>IF(A4836="","",VLOOKUP(A4836,VII.A!$A$10:$D$199,3,FALSE))</f>
        <v/>
      </c>
      <c r="K4836" s="342" t="str">
        <f t="shared" si="1245"/>
        <v/>
      </c>
      <c r="L4836" s="380" t="str">
        <f>IF(C4836="","",G4811*C4836)</f>
        <v/>
      </c>
      <c r="M4836" s="381" t="str">
        <f>IF(A4836="","",VLOOKUP(A4836,VII.A!$A$10:$B$199,2,FALSE))</f>
        <v/>
      </c>
      <c r="N4836" s="342" t="str">
        <f t="shared" si="1246"/>
        <v/>
      </c>
      <c r="R4836" s="341"/>
      <c r="S4836" s="341"/>
    </row>
    <row r="4837" spans="1:19" ht="12.75" customHeight="1">
      <c r="A4837" s="393"/>
      <c r="C4837" s="20"/>
      <c r="E4837" s="387"/>
      <c r="F4837" s="388">
        <f t="shared" si="1243"/>
        <v>0</v>
      </c>
      <c r="G4837" s="390"/>
      <c r="H4837" s="341" t="str">
        <f>IF(A4837="","",VLOOKUP(A4837,VII.A!$A$10:$D$199,4,FALSE))</f>
        <v/>
      </c>
      <c r="I4837" s="341" t="str">
        <f t="shared" si="1244"/>
        <v/>
      </c>
      <c r="J4837" s="341" t="str">
        <f>IF(A4837="","",VLOOKUP(A4837,VII.A!$A$10:$D$199,3,FALSE))</f>
        <v/>
      </c>
      <c r="K4837" s="342" t="str">
        <f t="shared" si="1245"/>
        <v/>
      </c>
      <c r="L4837" s="380" t="str">
        <f>IF(C4837="","",G4811*C4837)</f>
        <v/>
      </c>
      <c r="M4837" s="381" t="str">
        <f>IF(A4837="","",VLOOKUP(A4837,VII.A!$A$10:$B$199,2,FALSE))</f>
        <v/>
      </c>
      <c r="N4837" s="342" t="str">
        <f t="shared" si="1246"/>
        <v/>
      </c>
      <c r="R4837" s="341"/>
      <c r="S4837" s="341"/>
    </row>
    <row r="4838" spans="1:19" ht="12.75" customHeight="1">
      <c r="A4838" s="393"/>
      <c r="C4838" s="20"/>
      <c r="E4838" s="387"/>
      <c r="F4838" s="388">
        <f t="shared" si="1243"/>
        <v>0</v>
      </c>
      <c r="G4838" s="391"/>
      <c r="H4838" s="341" t="str">
        <f>IF(A4838="","",VLOOKUP(A4838,VII.A!$A$10:$D$199,4,FALSE))</f>
        <v/>
      </c>
      <c r="I4838" s="341" t="str">
        <f t="shared" si="1244"/>
        <v/>
      </c>
      <c r="J4838" s="341" t="str">
        <f>IF(A4838="","",VLOOKUP(A4838,VII.A!$A$10:$D$199,3,FALSE))</f>
        <v/>
      </c>
      <c r="K4838" s="342" t="str">
        <f t="shared" si="1245"/>
        <v/>
      </c>
      <c r="L4838" s="380" t="str">
        <f>IF(C4838="","",G4811*C4838)</f>
        <v/>
      </c>
      <c r="M4838" s="381" t="str">
        <f>IF(A4838="","",VLOOKUP(A4838,VII.A!$A$10:$B$199,2,FALSE))</f>
        <v/>
      </c>
      <c r="N4838" s="342" t="str">
        <f t="shared" si="1246"/>
        <v/>
      </c>
      <c r="R4838" s="341"/>
      <c r="S4838" s="341"/>
    </row>
    <row r="4839" spans="1:19" ht="12.75" customHeight="1">
      <c r="A4839" s="393"/>
      <c r="C4839" s="20"/>
      <c r="E4839" s="387"/>
      <c r="F4839" s="388">
        <f t="shared" si="1243"/>
        <v>0</v>
      </c>
      <c r="H4839" s="341" t="str">
        <f>IF(A4839="","",VLOOKUP(A4839,VII.A!$A$10:$D$199,4,FALSE))</f>
        <v/>
      </c>
      <c r="I4839" s="341" t="str">
        <f t="shared" si="1244"/>
        <v/>
      </c>
      <c r="J4839" s="341" t="str">
        <f>IF(A4839="","",VLOOKUP(A4839,VII.A!$A$10:$D$199,3,FALSE))</f>
        <v/>
      </c>
      <c r="K4839" s="342" t="str">
        <f t="shared" si="1245"/>
        <v/>
      </c>
      <c r="L4839" s="380" t="str">
        <f>IF(C4839="","",G4811*C4839)</f>
        <v/>
      </c>
      <c r="M4839" s="381" t="str">
        <f>IF(A4839="","",VLOOKUP(A4839,VII.A!$A$10:$B$199,2,FALSE))</f>
        <v/>
      </c>
      <c r="N4839" s="342" t="str">
        <f t="shared" si="1246"/>
        <v/>
      </c>
      <c r="R4839" s="341"/>
      <c r="S4839" s="341"/>
    </row>
    <row r="4840" spans="1:19" ht="12.75" customHeight="1">
      <c r="A4840" s="393"/>
      <c r="C4840" s="20"/>
      <c r="E4840" s="387"/>
      <c r="F4840" s="388">
        <f t="shared" si="1243"/>
        <v>0</v>
      </c>
      <c r="H4840" s="341" t="str">
        <f>IF(A4840="","",VLOOKUP(A4840,VII.A!$A$10:$D$199,4,FALSE))</f>
        <v/>
      </c>
      <c r="I4840" s="341" t="str">
        <f t="shared" si="1244"/>
        <v/>
      </c>
      <c r="J4840" s="341" t="str">
        <f>IF(A4840="","",VLOOKUP(A4840,VII.A!$A$10:$D$199,3,FALSE))</f>
        <v/>
      </c>
      <c r="K4840" s="342" t="str">
        <f t="shared" si="1245"/>
        <v/>
      </c>
      <c r="L4840" s="380" t="str">
        <f>IF(C4840="","",G4811*C4840)</f>
        <v/>
      </c>
      <c r="M4840" s="381" t="str">
        <f>IF(A4840="","",VLOOKUP(A4840,VII.A!$A$10:$B$199,2,FALSE))</f>
        <v/>
      </c>
      <c r="N4840" s="342" t="str">
        <f t="shared" si="1246"/>
        <v/>
      </c>
      <c r="R4840" s="341"/>
      <c r="S4840" s="341"/>
    </row>
    <row r="4841" spans="1:19" ht="12.75" customHeight="1">
      <c r="A4841" s="393"/>
      <c r="C4841" s="20"/>
      <c r="E4841" s="387"/>
      <c r="F4841" s="388">
        <f t="shared" si="1243"/>
        <v>0</v>
      </c>
      <c r="H4841" s="341" t="str">
        <f>IF(A4841="","",VLOOKUP(A4841,VII.A!$A$10:$D$199,4,FALSE))</f>
        <v/>
      </c>
      <c r="I4841" s="341" t="str">
        <f t="shared" si="1244"/>
        <v/>
      </c>
      <c r="J4841" s="341" t="str">
        <f>IF(A4841="","",VLOOKUP(A4841,VII.A!$A$10:$D$199,3,FALSE))</f>
        <v/>
      </c>
      <c r="K4841" s="342" t="str">
        <f t="shared" si="1245"/>
        <v/>
      </c>
      <c r="L4841" s="380" t="str">
        <f>IF(C4841="","",G4811*C4841)</f>
        <v/>
      </c>
      <c r="M4841" s="381" t="str">
        <f>IF(A4841="","",VLOOKUP(A4841,VII.A!$A$10:$B$199,2,FALSE))</f>
        <v/>
      </c>
      <c r="N4841" s="342" t="str">
        <f t="shared" si="1246"/>
        <v/>
      </c>
      <c r="R4841" s="341"/>
      <c r="S4841" s="341"/>
    </row>
    <row r="4842" spans="1:19" ht="12.75" customHeight="1">
      <c r="A4842" s="393"/>
      <c r="C4842" s="20"/>
      <c r="E4842" s="387"/>
      <c r="F4842" s="388">
        <f t="shared" si="1243"/>
        <v>0</v>
      </c>
      <c r="H4842" s="341" t="str">
        <f>IF(A4842="","",VLOOKUP(A4842,VII.A!$A$10:$D$199,4,FALSE))</f>
        <v/>
      </c>
      <c r="I4842" s="341" t="str">
        <f t="shared" si="1244"/>
        <v/>
      </c>
      <c r="J4842" s="341" t="str">
        <f>IF(A4842="","",VLOOKUP(A4842,VII.A!$A$10:$D$199,3,FALSE))</f>
        <v/>
      </c>
      <c r="K4842" s="342" t="str">
        <f t="shared" si="1245"/>
        <v/>
      </c>
      <c r="L4842" s="380" t="str">
        <f>IF(C4842="","",G4811*C4842)</f>
        <v/>
      </c>
      <c r="M4842" s="381" t="str">
        <f>IF(A4842="","",VLOOKUP(A4842,VII.A!$A$10:$B$199,2,FALSE))</f>
        <v/>
      </c>
      <c r="N4842" s="342" t="str">
        <f t="shared" si="1246"/>
        <v/>
      </c>
      <c r="R4842" s="341"/>
      <c r="S4842" s="341"/>
    </row>
    <row r="4843" spans="1:19" ht="12.75" customHeight="1">
      <c r="A4843" s="393"/>
      <c r="B4843" s="395" t="s">
        <v>226</v>
      </c>
      <c r="C4843" s="396"/>
      <c r="D4843" s="397"/>
      <c r="E4843" s="398"/>
      <c r="F4843" s="399">
        <f>SUM(F4833:F4842)</f>
        <v>0</v>
      </c>
      <c r="J4843" s="341"/>
      <c r="L4843" s="380"/>
      <c r="M4843" s="381"/>
      <c r="N4843" s="342"/>
      <c r="R4843" s="341"/>
      <c r="S4843" s="341"/>
    </row>
    <row r="4844" spans="1:19" ht="12.75" customHeight="1">
      <c r="A4844" s="393"/>
      <c r="B4844" s="400" t="s">
        <v>53</v>
      </c>
      <c r="C4844" s="2">
        <f>$D$8</f>
        <v>0</v>
      </c>
      <c r="D4844" s="401"/>
      <c r="E4844" s="402"/>
      <c r="F4844" s="403">
        <f>ROUND(C4844*F4843,2)</f>
        <v>0</v>
      </c>
      <c r="J4844" s="341"/>
      <c r="L4844" s="380"/>
      <c r="M4844" s="381"/>
      <c r="N4844" s="342"/>
      <c r="R4844" s="341"/>
      <c r="S4844" s="341"/>
    </row>
    <row r="4845" spans="1:19" ht="12.75" customHeight="1">
      <c r="A4845" s="404"/>
      <c r="B4845" s="405" t="s">
        <v>228</v>
      </c>
      <c r="C4845" s="406"/>
      <c r="D4845" s="406"/>
      <c r="E4845" s="407"/>
      <c r="F4845" s="408">
        <f>F4843+F4844</f>
        <v>0</v>
      </c>
      <c r="J4845" s="341"/>
      <c r="L4845" s="380"/>
      <c r="M4845" s="381"/>
      <c r="N4845" s="342"/>
      <c r="R4845" s="341"/>
      <c r="S4845" s="341"/>
    </row>
    <row r="4846" spans="1:19" ht="12.75" customHeight="1">
      <c r="A4846" s="409" t="s">
        <v>47</v>
      </c>
      <c r="B4846" s="410" t="s">
        <v>236</v>
      </c>
      <c r="C4846" s="411" t="s">
        <v>231</v>
      </c>
      <c r="D4846" s="412" t="s">
        <v>232</v>
      </c>
      <c r="E4846" s="413" t="s">
        <v>233</v>
      </c>
      <c r="F4846" s="378" t="s">
        <v>234</v>
      </c>
      <c r="J4846" s="341"/>
      <c r="L4846" s="380"/>
      <c r="M4846" s="381"/>
      <c r="N4846" s="342"/>
      <c r="R4846" s="341"/>
      <c r="S4846" s="341"/>
    </row>
    <row r="4847" spans="1:19" ht="12.75" customHeight="1">
      <c r="A4847" s="393" t="str">
        <f>VII.A!$A$181</f>
        <v>3.1</v>
      </c>
      <c r="B4847" s="394" t="s">
        <v>142</v>
      </c>
      <c r="C4847" s="20">
        <v>0.6</v>
      </c>
      <c r="D4847" s="384" t="str">
        <f>VLOOKUP(A4847,VII.A!$A$10:$G$199,3,FALSE)</f>
        <v>H</v>
      </c>
      <c r="E4847" s="387">
        <f>VII.A!$D$181</f>
        <v>0</v>
      </c>
      <c r="F4847" s="388">
        <f t="shared" ref="F4847:F4853" si="1247">ROUND(C4847*E4847,2)</f>
        <v>0</v>
      </c>
      <c r="H4847" s="341">
        <f>IF(A4847="","",VLOOKUP(A4847,VII.A!$A$10:$D$199,4,FALSE))</f>
        <v>0</v>
      </c>
      <c r="I4847" s="341" t="str">
        <f t="shared" ref="I4847:I4853" si="1248">IF(A4847="","",IF(E4847=H4847,"SIM","NÃO"))</f>
        <v>SIM</v>
      </c>
      <c r="J4847" s="341" t="str">
        <f>IF(A4847="","",VLOOKUP(A4847,VII.A!$A$10:$D$199,3,FALSE))</f>
        <v>H</v>
      </c>
      <c r="K4847" s="342" t="str">
        <f t="shared" ref="K4847:K4853" si="1249">IF(A4847="","",IF(J4847=D4847,"SIM","NÃO"))</f>
        <v>SIM</v>
      </c>
      <c r="L4847" s="380">
        <f>IF(C4847="","",G4811*C4847)</f>
        <v>1992</v>
      </c>
      <c r="M4847" s="381" t="str">
        <f>IF(A4847="","",VLOOKUP(A4847,VII.A!$A$10:$B$199,2,FALSE))</f>
        <v>AJUDANTE COM ENCARGOS COMPLEMENTARES</v>
      </c>
      <c r="N4847" s="342" t="str">
        <f t="shared" ref="N4847:N4853" si="1250">IF(B4847="","",IF(M4847=B4847,"si","no"))</f>
        <v>si</v>
      </c>
      <c r="R4847" s="341"/>
      <c r="S4847" s="341"/>
    </row>
    <row r="4848" spans="1:19" ht="12.75" customHeight="1">
      <c r="A4848" s="393" t="str">
        <f>VII.A!$A$193</f>
        <v>3.13</v>
      </c>
      <c r="B4848" s="394" t="s">
        <v>154</v>
      </c>
      <c r="C4848" s="20">
        <v>0.6</v>
      </c>
      <c r="D4848" s="384" t="str">
        <f>VLOOKUP(A4848,VII.A!$A$10:$G$199,3,FALSE)</f>
        <v>H</v>
      </c>
      <c r="E4848" s="387">
        <f>VII.A!$D$193</f>
        <v>0</v>
      </c>
      <c r="F4848" s="388">
        <f t="shared" si="1247"/>
        <v>0</v>
      </c>
      <c r="H4848" s="341">
        <f>IF(A4848="","",VLOOKUP(A4848,VII.A!$A$10:$D$199,4,FALSE))</f>
        <v>0</v>
      </c>
      <c r="I4848" s="341" t="str">
        <f t="shared" si="1248"/>
        <v>SIM</v>
      </c>
      <c r="J4848" s="341" t="str">
        <f>IF(A4848="","",VLOOKUP(A4848,VII.A!$A$10:$D$199,3,FALSE))</f>
        <v>H</v>
      </c>
      <c r="K4848" s="342" t="str">
        <f t="shared" si="1249"/>
        <v>SIM</v>
      </c>
      <c r="L4848" s="380">
        <f>IF(C4848="","",G4811*C4848)</f>
        <v>1992</v>
      </c>
      <c r="M4848" s="381" t="str">
        <f>IF(A4848="","",VLOOKUP(A4848,VII.A!$A$10:$B$199,2,FALSE))</f>
        <v>PINTOR COM ENCARGOS COMPLEMENTARES</v>
      </c>
      <c r="N4848" s="342" t="str">
        <f t="shared" si="1250"/>
        <v>si</v>
      </c>
      <c r="R4848" s="341"/>
      <c r="S4848" s="341"/>
    </row>
    <row r="4849" spans="1:25" ht="12.75" customHeight="1">
      <c r="A4849" s="393"/>
      <c r="C4849" s="20"/>
      <c r="E4849" s="387"/>
      <c r="F4849" s="388">
        <f t="shared" si="1247"/>
        <v>0</v>
      </c>
      <c r="H4849" s="341" t="str">
        <f>IF(A4849="","",VLOOKUP(A4849,VII.A!$A$10:$D$199,4,FALSE))</f>
        <v/>
      </c>
      <c r="I4849" s="341" t="str">
        <f t="shared" si="1248"/>
        <v/>
      </c>
      <c r="J4849" s="341" t="str">
        <f>IF(A4849="","",VLOOKUP(A4849,VII.A!$A$10:$D$199,3,FALSE))</f>
        <v/>
      </c>
      <c r="K4849" s="342" t="str">
        <f t="shared" si="1249"/>
        <v/>
      </c>
      <c r="L4849" s="380" t="str">
        <f>IF(C4849="","",G4811*C4849)</f>
        <v/>
      </c>
      <c r="M4849" s="381" t="str">
        <f>IF(A4849="","",VLOOKUP(A4849,VII.A!$A$10:$B$199,2,FALSE))</f>
        <v/>
      </c>
      <c r="N4849" s="342" t="str">
        <f t="shared" si="1250"/>
        <v/>
      </c>
      <c r="R4849" s="341"/>
      <c r="S4849" s="341"/>
    </row>
    <row r="4850" spans="1:25" ht="12.75" customHeight="1">
      <c r="A4850" s="393"/>
      <c r="C4850" s="20"/>
      <c r="E4850" s="387"/>
      <c r="F4850" s="388">
        <f t="shared" si="1247"/>
        <v>0</v>
      </c>
      <c r="H4850" s="341" t="str">
        <f>IF(A4850="","",VLOOKUP(A4850,VII.A!$A$10:$D$199,4,FALSE))</f>
        <v/>
      </c>
      <c r="I4850" s="341" t="str">
        <f t="shared" si="1248"/>
        <v/>
      </c>
      <c r="J4850" s="341" t="str">
        <f>IF(A4850="","",VLOOKUP(A4850,VII.A!$A$10:$D$199,3,FALSE))</f>
        <v/>
      </c>
      <c r="K4850" s="342" t="str">
        <f t="shared" si="1249"/>
        <v/>
      </c>
      <c r="L4850" s="380" t="str">
        <f>IF(C4850="","",G4811*C4850)</f>
        <v/>
      </c>
      <c r="M4850" s="381" t="str">
        <f>IF(A4850="","",VLOOKUP(A4850,VII.A!$A$10:$B$199,2,FALSE))</f>
        <v/>
      </c>
      <c r="N4850" s="342" t="str">
        <f t="shared" si="1250"/>
        <v/>
      </c>
      <c r="R4850" s="341"/>
      <c r="S4850" s="341"/>
    </row>
    <row r="4851" spans="1:25" ht="12.75" customHeight="1">
      <c r="A4851" s="393"/>
      <c r="C4851" s="20"/>
      <c r="E4851" s="387"/>
      <c r="F4851" s="388">
        <f t="shared" si="1247"/>
        <v>0</v>
      </c>
      <c r="H4851" s="341" t="str">
        <f>IF(A4851="","",VLOOKUP(A4851,VII.A!$A$10:$D$199,4,FALSE))</f>
        <v/>
      </c>
      <c r="I4851" s="341" t="str">
        <f t="shared" si="1248"/>
        <v/>
      </c>
      <c r="J4851" s="341" t="str">
        <f>IF(A4851="","",VLOOKUP(A4851,VII.A!$A$10:$D$199,3,FALSE))</f>
        <v/>
      </c>
      <c r="K4851" s="342" t="str">
        <f t="shared" si="1249"/>
        <v/>
      </c>
      <c r="L4851" s="380" t="str">
        <f>IF(C4851="","",G4811*C4851)</f>
        <v/>
      </c>
      <c r="M4851" s="381" t="str">
        <f>IF(A4851="","",VLOOKUP(A4851,VII.A!$A$10:$B$199,2,FALSE))</f>
        <v/>
      </c>
      <c r="N4851" s="342" t="str">
        <f t="shared" si="1250"/>
        <v/>
      </c>
      <c r="R4851" s="341"/>
      <c r="S4851" s="341"/>
    </row>
    <row r="4852" spans="1:25" ht="12.75" customHeight="1">
      <c r="A4852" s="393"/>
      <c r="C4852" s="20"/>
      <c r="E4852" s="387"/>
      <c r="F4852" s="388">
        <f t="shared" si="1247"/>
        <v>0</v>
      </c>
      <c r="H4852" s="341" t="str">
        <f>IF(A4852="","",VLOOKUP(A4852,VII.A!$A$10:$D$199,4,FALSE))</f>
        <v/>
      </c>
      <c r="I4852" s="341" t="str">
        <f t="shared" si="1248"/>
        <v/>
      </c>
      <c r="J4852" s="341" t="str">
        <f>IF(A4852="","",VLOOKUP(A4852,VII.A!$A$10:$D$199,3,FALSE))</f>
        <v/>
      </c>
      <c r="K4852" s="342" t="str">
        <f t="shared" si="1249"/>
        <v/>
      </c>
      <c r="L4852" s="380" t="str">
        <f>IF(C4852="","",G4811*C4852)</f>
        <v/>
      </c>
      <c r="M4852" s="381" t="str">
        <f>IF(A4852="","",VLOOKUP(A4852,VII.A!$A$10:$B$199,2,FALSE))</f>
        <v/>
      </c>
      <c r="N4852" s="342" t="str">
        <f t="shared" si="1250"/>
        <v/>
      </c>
      <c r="R4852" s="341"/>
      <c r="S4852" s="341"/>
    </row>
    <row r="4853" spans="1:25" ht="12.75" customHeight="1">
      <c r="A4853" s="393"/>
      <c r="C4853" s="20"/>
      <c r="E4853" s="387"/>
      <c r="F4853" s="388">
        <f t="shared" si="1247"/>
        <v>0</v>
      </c>
      <c r="H4853" s="341" t="str">
        <f>IF(A4853="","",VLOOKUP(A4853,VII.A!$A$10:$D$199,4,FALSE))</f>
        <v/>
      </c>
      <c r="I4853" s="341" t="str">
        <f t="shared" si="1248"/>
        <v/>
      </c>
      <c r="J4853" s="341" t="str">
        <f>IF(A4853="","",VLOOKUP(A4853,VII.A!$A$10:$D$199,3,FALSE))</f>
        <v/>
      </c>
      <c r="K4853" s="342" t="str">
        <f t="shared" si="1249"/>
        <v/>
      </c>
      <c r="L4853" s="380" t="str">
        <f>IF(C4853="","",G4811*C4853)</f>
        <v/>
      </c>
      <c r="M4853" s="381" t="str">
        <f>IF(A4853="","",VLOOKUP(A4853,VII.A!$A$10:$B$199,2,FALSE))</f>
        <v/>
      </c>
      <c r="N4853" s="342" t="str">
        <f t="shared" si="1250"/>
        <v/>
      </c>
      <c r="R4853" s="341"/>
      <c r="S4853" s="341"/>
    </row>
    <row r="4854" spans="1:25" ht="12.75" customHeight="1">
      <c r="A4854" s="393"/>
      <c r="B4854" s="395" t="s">
        <v>226</v>
      </c>
      <c r="C4854" s="396"/>
      <c r="D4854" s="397"/>
      <c r="E4854" s="398"/>
      <c r="F4854" s="399">
        <f>SUM(F4847:F4853)</f>
        <v>0</v>
      </c>
      <c r="J4854" s="341"/>
      <c r="L4854" s="380"/>
      <c r="M4854" s="381"/>
      <c r="N4854" s="342"/>
      <c r="R4854" s="341"/>
      <c r="S4854" s="341"/>
    </row>
    <row r="4855" spans="1:25" ht="12.75" customHeight="1">
      <c r="A4855" s="393"/>
      <c r="B4855" s="400" t="s">
        <v>229</v>
      </c>
      <c r="C4855" s="2">
        <f>IX.A!$C$45</f>
        <v>0</v>
      </c>
      <c r="D4855" s="401"/>
      <c r="E4855" s="402"/>
      <c r="F4855" s="403">
        <f>ROUND(F4854*C4855,2)</f>
        <v>0</v>
      </c>
      <c r="J4855" s="341"/>
      <c r="L4855" s="380"/>
      <c r="M4855" s="381"/>
      <c r="N4855" s="342"/>
      <c r="R4855" s="341"/>
      <c r="S4855" s="341"/>
    </row>
    <row r="4856" spans="1:25" ht="12.75" customHeight="1">
      <c r="A4856" s="393"/>
      <c r="B4856" s="400" t="s">
        <v>53</v>
      </c>
      <c r="C4856" s="2">
        <f>$D$8</f>
        <v>0</v>
      </c>
      <c r="D4856" s="401"/>
      <c r="E4856" s="402"/>
      <c r="F4856" s="403">
        <f>ROUND(SUM(F4854:F4855)*C4856,2)</f>
        <v>0</v>
      </c>
      <c r="J4856" s="341"/>
      <c r="L4856" s="380"/>
      <c r="M4856" s="381"/>
      <c r="N4856" s="342"/>
      <c r="R4856" s="341"/>
      <c r="S4856" s="341"/>
    </row>
    <row r="4857" spans="1:25" ht="12.75" customHeight="1" thickBot="1">
      <c r="A4857" s="414"/>
      <c r="B4857" s="415" t="s">
        <v>230</v>
      </c>
      <c r="C4857" s="416"/>
      <c r="D4857" s="416"/>
      <c r="E4857" s="417"/>
      <c r="F4857" s="418">
        <f>SUM(F4854:F4856)</f>
        <v>0</v>
      </c>
      <c r="J4857" s="341"/>
      <c r="L4857" s="380"/>
      <c r="M4857" s="381"/>
      <c r="N4857" s="342"/>
      <c r="R4857" s="341"/>
      <c r="S4857" s="341"/>
    </row>
    <row r="4858" spans="1:25" ht="12.75" customHeight="1" thickBot="1">
      <c r="A4858" s="357"/>
      <c r="B4858" s="358"/>
      <c r="C4858" s="359"/>
      <c r="D4858" s="359"/>
      <c r="E4858" s="360"/>
      <c r="F4858" s="419"/>
      <c r="J4858" s="341"/>
      <c r="L4858" s="380"/>
      <c r="M4858" s="381"/>
      <c r="N4858" s="342"/>
      <c r="R4858" s="341"/>
      <c r="S4858" s="341"/>
    </row>
    <row r="4859" spans="1:25" ht="30" customHeight="1">
      <c r="A4859" s="370" t="str">
        <f>IV.A!$A$147</f>
        <v>6.10</v>
      </c>
      <c r="B4859" s="371" t="str">
        <f>IV.A!$B$147</f>
        <v>PINTURA ESMALTE SINTÉTICO SOBRE FUNDO ANTICORROSIVO EM ESCADA/GRADIL, 2 DEMÃOS</v>
      </c>
      <c r="C4859" s="871" t="s">
        <v>237</v>
      </c>
      <c r="D4859" s="872"/>
      <c r="E4859" s="372" t="str">
        <f>IV.A!$C$147</f>
        <v>M</v>
      </c>
      <c r="F4859" s="11">
        <f>ROUND(F4879+F4893+F4905,2)</f>
        <v>0</v>
      </c>
      <c r="G4859" s="1">
        <f>VLOOKUP(A4859,IV.A!$A$16:$L$172,4,FALSE)</f>
        <v>3330</v>
      </c>
      <c r="H4859" s="361">
        <f>SUM(F4861:F4876)+F4878</f>
        <v>0</v>
      </c>
      <c r="I4859" s="361">
        <f>SUM(F4881:F4890)+F4892</f>
        <v>0</v>
      </c>
      <c r="J4859" s="361">
        <f>SUM(F4895:F4901)+F4903+F4904</f>
        <v>0</v>
      </c>
      <c r="K4859" s="361">
        <f>SUM(H4859:J4859)</f>
        <v>0</v>
      </c>
      <c r="L4859" s="362" t="str">
        <f>IF(K4859=F4859,"SIM","NÃO")</f>
        <v>SIM</v>
      </c>
      <c r="M4859" s="373">
        <f>ROUND(SUM(F4861:F4876),2)+ROUND(SUM(F4861:F4876)*C4878,2)+ROUND(SUM(F4881:F4890)*C4892,2)+ROUND(SUM(F4881:F4890),2)+ROUND(SUM(F4895:F4901)*C4903,2)+ROUND((SUM(F4895:F4901)+ROUND(SUM(F4895:F4901)*C4903,2))*C4904,2)+ROUND(SUM(F4895:F4901),2)</f>
        <v>0</v>
      </c>
      <c r="N4859" s="343" t="str">
        <f>IF(M4859=F4859,"SIM","NÃO")</f>
        <v>SIM</v>
      </c>
      <c r="O4859" s="364" t="str">
        <f>VLOOKUP(A4859,IV.A!$A$16:$E$172,3,FALSE)</f>
        <v>M</v>
      </c>
      <c r="P4859" s="344" t="str">
        <f>IF(O4859=E4859,"SIM","NÃO")</f>
        <v>SIM</v>
      </c>
      <c r="Q4859" s="365">
        <f>ROUND(G4859*F4879,2)+ROUND(G4859*F4893,2)+ROUND(G4859*F4905,2)</f>
        <v>0</v>
      </c>
      <c r="R4859" s="364">
        <f>VLOOKUP(A4859,IV.A!$A$16:$L$172,12,FALSE)</f>
        <v>0</v>
      </c>
      <c r="S4859" s="366" t="str">
        <f>IF(Q4859=R4859,"si","no")</f>
        <v>si</v>
      </c>
      <c r="T4859" s="367">
        <f>SUM(L4861:L4876)+SUM(L4881:L4890)+SUM(L4895:L4901)</f>
        <v>4471.7737500000003</v>
      </c>
      <c r="U4859" s="341">
        <f>(SUM(C4861:C4876)+SUM(C4881:C4890)+SUM(C4895:C4901))*G4859</f>
        <v>4471.7737500000003</v>
      </c>
      <c r="V4859" s="368" t="str">
        <f>IF(T4859=U4859,"si","no")</f>
        <v>si</v>
      </c>
      <c r="W4859" s="369">
        <f>SUM(F4861:F4876)</f>
        <v>0</v>
      </c>
      <c r="X4859" s="369">
        <f>SUM(F4881:F4890)</f>
        <v>0</v>
      </c>
      <c r="Y4859" s="369">
        <f>SUM(F4895:F4901)</f>
        <v>0</v>
      </c>
    </row>
    <row r="4860" spans="1:25" ht="12.75" customHeight="1">
      <c r="A4860" s="374" t="s">
        <v>14</v>
      </c>
      <c r="B4860" s="375" t="s">
        <v>132</v>
      </c>
      <c r="C4860" s="376" t="s">
        <v>231</v>
      </c>
      <c r="D4860" s="376" t="s">
        <v>232</v>
      </c>
      <c r="E4860" s="377" t="s">
        <v>233</v>
      </c>
      <c r="F4860" s="378" t="s">
        <v>234</v>
      </c>
      <c r="G4860" s="379"/>
      <c r="J4860" s="341"/>
      <c r="L4860" s="380"/>
      <c r="M4860" s="381"/>
      <c r="N4860" s="342"/>
      <c r="O4860" s="382"/>
      <c r="P4860" s="383"/>
      <c r="Q4860" s="383"/>
      <c r="R4860" s="383"/>
      <c r="S4860" s="383"/>
      <c r="T4860" s="382"/>
      <c r="U4860" s="341"/>
      <c r="V4860" s="384"/>
      <c r="W4860" s="384"/>
      <c r="X4860" s="384"/>
      <c r="Y4860" s="384"/>
    </row>
    <row r="4861" spans="1:25" ht="12.75" customHeight="1">
      <c r="A4861" s="385" t="str">
        <f>VII.A!$A$14</f>
        <v>1.5</v>
      </c>
      <c r="B4861" s="386" t="str">
        <f>VLOOKUP(A4861,VII.A!$A$10:$G$199,2,FALSE)</f>
        <v>SOLVENTE DILUENTE A BASE DE AGUARRÁS</v>
      </c>
      <c r="C4861" s="20">
        <v>4.2000000000000003E-2</v>
      </c>
      <c r="D4861" s="342" t="str">
        <f>VLOOKUP(A4861,VII.A!$A$10:$G$199,3,FALSE)</f>
        <v>L</v>
      </c>
      <c r="E4861" s="387">
        <f>VII.A!$D$14</f>
        <v>0</v>
      </c>
      <c r="F4861" s="388">
        <f>ROUND(C4861*E4861,2)</f>
        <v>0</v>
      </c>
      <c r="H4861" s="341">
        <f>IF(A4861="","",VLOOKUP(A4861,VII.A!$A$10:$D$199,4,FALSE))</f>
        <v>0</v>
      </c>
      <c r="I4861" s="341" t="str">
        <f t="shared" ref="I4861:I4876" si="1251">IF(A4861="","",IF(E4861=H4861,"SIM","NÃO"))</f>
        <v>SIM</v>
      </c>
      <c r="J4861" s="341" t="str">
        <f>IF(A4861="","",VLOOKUP(A4861,VII.A!$A$10:$D$199,3,FALSE))</f>
        <v>L</v>
      </c>
      <c r="K4861" s="342" t="str">
        <f t="shared" ref="K4861:K4876" si="1252">IF(A4861="","",IF(J4861=D4861,"SIM","NÃO"))</f>
        <v>SIM</v>
      </c>
      <c r="L4861" s="380">
        <f>IF(C4861="","",G4859*C4861)</f>
        <v>139.86000000000001</v>
      </c>
      <c r="M4861" s="381" t="str">
        <f>IF(A4861="","",VLOOKUP(A4861,VII.A!$A$10:$B$199,2,FALSE))</f>
        <v>SOLVENTE DILUENTE A BASE DE AGUARRÁS</v>
      </c>
      <c r="N4861" s="342" t="str">
        <f t="shared" ref="N4861:N4876" si="1253">IF(B4861="","",IF(M4861=B4861,"si","no"))</f>
        <v>si</v>
      </c>
      <c r="R4861" s="341"/>
      <c r="S4861" s="341"/>
    </row>
    <row r="4862" spans="1:25" ht="12.75" customHeight="1">
      <c r="A4862" s="385" t="str">
        <f>VII.A!$A$110</f>
        <v>1.100</v>
      </c>
      <c r="B4862" s="386" t="str">
        <f>VLOOKUP(A4862,VII.A!$A$10:$G$199,2,FALSE)</f>
        <v xml:space="preserve">TINTA ESMALTE SINTETICO PREMIUM </v>
      </c>
      <c r="C4862" s="20">
        <v>0.14399999999999999</v>
      </c>
      <c r="D4862" s="342" t="str">
        <f>VLOOKUP(A4862,VII.A!$A$10:$G$199,3,FALSE)</f>
        <v>L</v>
      </c>
      <c r="E4862" s="387">
        <f>VII.A!D110</f>
        <v>0</v>
      </c>
      <c r="F4862" s="388">
        <f t="shared" ref="F4862:F4876" si="1254">ROUND(C4862*E4862,2)</f>
        <v>0</v>
      </c>
      <c r="H4862" s="341">
        <f>IF(A4862="","",VLOOKUP(A4862,VII.A!$A$10:$D$199,4,FALSE))</f>
        <v>0</v>
      </c>
      <c r="I4862" s="341" t="str">
        <f t="shared" si="1251"/>
        <v>SIM</v>
      </c>
      <c r="J4862" s="341" t="str">
        <f>IF(A4862="","",VLOOKUP(A4862,VII.A!$A$10:$D$199,3,FALSE))</f>
        <v>L</v>
      </c>
      <c r="K4862" s="342" t="str">
        <f t="shared" si="1252"/>
        <v>SIM</v>
      </c>
      <c r="L4862" s="380">
        <f>IF(C4862="","",G4859*C4862)</f>
        <v>479.52</v>
      </c>
      <c r="M4862" s="381" t="str">
        <f>IF(A4862="","",VLOOKUP(A4862,VII.A!$A$10:$B$199,2,FALSE))</f>
        <v xml:space="preserve">TINTA ESMALTE SINTETICO PREMIUM </v>
      </c>
      <c r="N4862" s="342" t="str">
        <f t="shared" si="1253"/>
        <v>si</v>
      </c>
      <c r="R4862" s="341"/>
      <c r="S4862" s="341"/>
    </row>
    <row r="4863" spans="1:25" ht="12.75" customHeight="1">
      <c r="A4863" s="385" t="str">
        <f>VII.A!$A$69</f>
        <v>1.60</v>
      </c>
      <c r="B4863" s="386" t="str">
        <f>VLOOKUP(A4863,VII.A!$A$10:$G$199,2,FALSE)</f>
        <v>LIXA PARA SUPERFICIE METÁLICA, GRANA 150</v>
      </c>
      <c r="C4863" s="20">
        <v>0.18</v>
      </c>
      <c r="D4863" s="342" t="str">
        <f>VLOOKUP(A4863,VII.A!$A$10:$G$199,3,FALSE)</f>
        <v>UN</v>
      </c>
      <c r="E4863" s="387">
        <f>VII.A!$D$69</f>
        <v>0</v>
      </c>
      <c r="F4863" s="388">
        <f t="shared" si="1254"/>
        <v>0</v>
      </c>
      <c r="H4863" s="341">
        <f>IF(A4863="","",VLOOKUP(A4863,VII.A!$A$10:$D$199,4,FALSE))</f>
        <v>0</v>
      </c>
      <c r="I4863" s="341" t="str">
        <f t="shared" si="1251"/>
        <v>SIM</v>
      </c>
      <c r="J4863" s="341" t="str">
        <f>IF(A4863="","",VLOOKUP(A4863,VII.A!$A$10:$D$199,3,FALSE))</f>
        <v>UN</v>
      </c>
      <c r="K4863" s="342" t="str">
        <f t="shared" si="1252"/>
        <v>SIM</v>
      </c>
      <c r="L4863" s="380">
        <f>IF(C4863="","",G4859*C4863)</f>
        <v>599.4</v>
      </c>
      <c r="M4863" s="381" t="str">
        <f>IF(A4863="","",VLOOKUP(A4863,VII.A!$A$10:$B$199,2,FALSE))</f>
        <v>LIXA PARA SUPERFICIE METÁLICA, GRANA 150</v>
      </c>
      <c r="N4863" s="342" t="str">
        <f t="shared" si="1253"/>
        <v>si</v>
      </c>
      <c r="R4863" s="341"/>
      <c r="S4863" s="341"/>
    </row>
    <row r="4864" spans="1:25" ht="12.75" customHeight="1">
      <c r="A4864" s="385" t="str">
        <f>VII.A!$A$54</f>
        <v>1.45</v>
      </c>
      <c r="B4864" s="386" t="str">
        <f>VLOOKUP(A4864,VII.A!$A$10:$G$199,2,FALSE)</f>
        <v>FUNDO ANTICORROSIVO PARA METAIS FERROSOS (ZARCAO)</v>
      </c>
      <c r="C4864" s="20">
        <v>7.1999999999999995E-2</v>
      </c>
      <c r="D4864" s="342" t="str">
        <f>VLOOKUP(A4864,VII.A!$A$10:$G$199,3,FALSE)</f>
        <v>L</v>
      </c>
      <c r="E4864" s="387">
        <f>VII.A!$D$54</f>
        <v>0</v>
      </c>
      <c r="F4864" s="388">
        <f t="shared" si="1254"/>
        <v>0</v>
      </c>
      <c r="H4864" s="341">
        <f>IF(A4864="","",VLOOKUP(A4864,VII.A!$A$10:$D$199,4,FALSE))</f>
        <v>0</v>
      </c>
      <c r="I4864" s="341" t="str">
        <f t="shared" si="1251"/>
        <v>SIM</v>
      </c>
      <c r="J4864" s="341" t="str">
        <f>IF(A4864="","",VLOOKUP(A4864,VII.A!$A$10:$D$199,3,FALSE))</f>
        <v>L</v>
      </c>
      <c r="K4864" s="342" t="str">
        <f t="shared" si="1252"/>
        <v>SIM</v>
      </c>
      <c r="L4864" s="380">
        <f>IF(C4864="","",G4859*C4864)</f>
        <v>239.76</v>
      </c>
      <c r="M4864" s="381" t="str">
        <f>IF(A4864="","",VLOOKUP(A4864,VII.A!$A$10:$B$199,2,FALSE))</f>
        <v>FUNDO ANTICORROSIVO PARA METAIS FERROSOS (ZARCAO)</v>
      </c>
      <c r="N4864" s="342" t="str">
        <f t="shared" si="1253"/>
        <v>si</v>
      </c>
      <c r="R4864" s="341"/>
      <c r="S4864" s="341"/>
    </row>
    <row r="4865" spans="1:21" ht="12.75" customHeight="1">
      <c r="A4865" s="385"/>
      <c r="B4865" s="386"/>
      <c r="C4865" s="20"/>
      <c r="D4865" s="342"/>
      <c r="E4865" s="387"/>
      <c r="F4865" s="388">
        <f t="shared" si="1254"/>
        <v>0</v>
      </c>
      <c r="H4865" s="341" t="str">
        <f>IF(A4865="","",VLOOKUP(A4865,VII.A!$A$10:$D$199,4,FALSE))</f>
        <v/>
      </c>
      <c r="I4865" s="341" t="str">
        <f t="shared" si="1251"/>
        <v/>
      </c>
      <c r="J4865" s="341" t="str">
        <f>IF(A4865="","",VLOOKUP(A4865,VII.A!$A$10:$D$199,3,FALSE))</f>
        <v/>
      </c>
      <c r="K4865" s="342" t="str">
        <f t="shared" si="1252"/>
        <v/>
      </c>
      <c r="L4865" s="380" t="str">
        <f>IF(C4865="","",G4859*C4865)</f>
        <v/>
      </c>
      <c r="M4865" s="381" t="str">
        <f>IF(A4865="","",VLOOKUP(A4865,VII.A!$A$10:$B$199,2,FALSE))</f>
        <v/>
      </c>
      <c r="N4865" s="342" t="str">
        <f t="shared" si="1253"/>
        <v/>
      </c>
      <c r="R4865" s="341"/>
      <c r="S4865" s="341"/>
    </row>
    <row r="4866" spans="1:21" ht="12.75" customHeight="1">
      <c r="A4866" s="385"/>
      <c r="B4866" s="386"/>
      <c r="C4866" s="20"/>
      <c r="D4866" s="342"/>
      <c r="E4866" s="387"/>
      <c r="F4866" s="388">
        <f t="shared" si="1254"/>
        <v>0</v>
      </c>
      <c r="H4866" s="341" t="str">
        <f>IF(A4866="","",VLOOKUP(A4866,VII.A!$A$10:$D$199,4,FALSE))</f>
        <v/>
      </c>
      <c r="I4866" s="341" t="str">
        <f t="shared" si="1251"/>
        <v/>
      </c>
      <c r="J4866" s="341" t="str">
        <f>IF(A4866="","",VLOOKUP(A4866,VII.A!$A$10:$D$199,3,FALSE))</f>
        <v/>
      </c>
      <c r="K4866" s="342" t="str">
        <f t="shared" si="1252"/>
        <v/>
      </c>
      <c r="L4866" s="380" t="str">
        <f>IF(C4866="","",G4859*C4866)</f>
        <v/>
      </c>
      <c r="M4866" s="381" t="str">
        <f>IF(A4866="","",VLOOKUP(A4866,VII.A!$A$10:$B$199,2,FALSE))</f>
        <v/>
      </c>
      <c r="N4866" s="342" t="str">
        <f t="shared" si="1253"/>
        <v/>
      </c>
      <c r="R4866" s="341"/>
      <c r="S4866" s="341"/>
      <c r="U4866" s="389"/>
    </row>
    <row r="4867" spans="1:21" ht="12.75" customHeight="1">
      <c r="A4867" s="385"/>
      <c r="B4867" s="386"/>
      <c r="C4867" s="20"/>
      <c r="D4867" s="342"/>
      <c r="E4867" s="387"/>
      <c r="F4867" s="388">
        <f t="shared" si="1254"/>
        <v>0</v>
      </c>
      <c r="H4867" s="341" t="str">
        <f>IF(A4867="","",VLOOKUP(A4867,VII.A!$A$10:$D$199,4,FALSE))</f>
        <v/>
      </c>
      <c r="I4867" s="341" t="str">
        <f t="shared" si="1251"/>
        <v/>
      </c>
      <c r="J4867" s="341" t="str">
        <f>IF(A4867="","",VLOOKUP(A4867,VII.A!$A$10:$D$199,3,FALSE))</f>
        <v/>
      </c>
      <c r="K4867" s="342" t="str">
        <f t="shared" si="1252"/>
        <v/>
      </c>
      <c r="L4867" s="380" t="str">
        <f>IF(C4867="","",G4859*C4867)</f>
        <v/>
      </c>
      <c r="M4867" s="381" t="str">
        <f>IF(A4867="","",VLOOKUP(A4867,VII.A!$A$10:$B$199,2,FALSE))</f>
        <v/>
      </c>
      <c r="N4867" s="342" t="str">
        <f t="shared" si="1253"/>
        <v/>
      </c>
      <c r="R4867" s="341"/>
      <c r="S4867" s="341"/>
    </row>
    <row r="4868" spans="1:21" ht="12.75" customHeight="1">
      <c r="A4868" s="385"/>
      <c r="B4868" s="386"/>
      <c r="C4868" s="20"/>
      <c r="D4868" s="342"/>
      <c r="E4868" s="387"/>
      <c r="F4868" s="388">
        <f t="shared" si="1254"/>
        <v>0</v>
      </c>
      <c r="G4868" s="390"/>
      <c r="H4868" s="341" t="str">
        <f>IF(A4868="","",VLOOKUP(A4868,VII.A!$A$10:$D$199,4,FALSE))</f>
        <v/>
      </c>
      <c r="I4868" s="341" t="str">
        <f t="shared" si="1251"/>
        <v/>
      </c>
      <c r="J4868" s="341" t="str">
        <f>IF(A4868="","",VLOOKUP(A4868,VII.A!$A$10:$D$199,3,FALSE))</f>
        <v/>
      </c>
      <c r="K4868" s="342" t="str">
        <f t="shared" si="1252"/>
        <v/>
      </c>
      <c r="L4868" s="380" t="str">
        <f>IF(C4868="","",G4859*C4868)</f>
        <v/>
      </c>
      <c r="M4868" s="381" t="str">
        <f>IF(A4868="","",VLOOKUP(A4868,VII.A!$A$10:$B$199,2,FALSE))</f>
        <v/>
      </c>
      <c r="N4868" s="342" t="str">
        <f t="shared" si="1253"/>
        <v/>
      </c>
      <c r="R4868" s="341"/>
      <c r="S4868" s="341"/>
    </row>
    <row r="4869" spans="1:21" ht="12.75" customHeight="1">
      <c r="A4869" s="385"/>
      <c r="B4869" s="386"/>
      <c r="C4869" s="20"/>
      <c r="D4869" s="342"/>
      <c r="E4869" s="387"/>
      <c r="F4869" s="388">
        <f t="shared" si="1254"/>
        <v>0</v>
      </c>
      <c r="G4869" s="390"/>
      <c r="H4869" s="341" t="str">
        <f>IF(A4869="","",VLOOKUP(A4869,VII.A!$A$10:$D$199,4,FALSE))</f>
        <v/>
      </c>
      <c r="I4869" s="341" t="str">
        <f t="shared" si="1251"/>
        <v/>
      </c>
      <c r="J4869" s="341" t="str">
        <f>IF(A4869="","",VLOOKUP(A4869,VII.A!$A$10:$D$199,3,FALSE))</f>
        <v/>
      </c>
      <c r="K4869" s="342" t="str">
        <f t="shared" si="1252"/>
        <v/>
      </c>
      <c r="L4869" s="380" t="str">
        <f>IF(C4869="","",G4859*C4869)</f>
        <v/>
      </c>
      <c r="M4869" s="381" t="str">
        <f>IF(A4869="","",VLOOKUP(A4869,VII.A!$A$10:$B$199,2,FALSE))</f>
        <v/>
      </c>
      <c r="N4869" s="342" t="str">
        <f t="shared" si="1253"/>
        <v/>
      </c>
      <c r="R4869" s="341"/>
      <c r="S4869" s="341"/>
    </row>
    <row r="4870" spans="1:21" ht="12.75" customHeight="1">
      <c r="A4870" s="385"/>
      <c r="B4870" s="386"/>
      <c r="C4870" s="20"/>
      <c r="D4870" s="342"/>
      <c r="E4870" s="387"/>
      <c r="F4870" s="388">
        <f t="shared" si="1254"/>
        <v>0</v>
      </c>
      <c r="G4870" s="391"/>
      <c r="H4870" s="341" t="str">
        <f>IF(A4870="","",VLOOKUP(A4870,VII.A!$A$10:$D$199,4,FALSE))</f>
        <v/>
      </c>
      <c r="I4870" s="341" t="str">
        <f t="shared" si="1251"/>
        <v/>
      </c>
      <c r="J4870" s="341" t="str">
        <f>IF(A4870="","",VLOOKUP(A4870,VII.A!$A$10:$D$199,3,FALSE))</f>
        <v/>
      </c>
      <c r="K4870" s="342" t="str">
        <f t="shared" si="1252"/>
        <v/>
      </c>
      <c r="L4870" s="380" t="str">
        <f>IF(C4870="","",G4859*C4870)</f>
        <v/>
      </c>
      <c r="M4870" s="381" t="str">
        <f>IF(A4870="","",VLOOKUP(A4870,VII.A!$A$10:$B$199,2,FALSE))</f>
        <v/>
      </c>
      <c r="N4870" s="342" t="str">
        <f t="shared" si="1253"/>
        <v/>
      </c>
      <c r="R4870" s="341"/>
      <c r="S4870" s="341"/>
    </row>
    <row r="4871" spans="1:21" ht="12.75" customHeight="1">
      <c r="A4871" s="385"/>
      <c r="B4871" s="386"/>
      <c r="C4871" s="20"/>
      <c r="D4871" s="342"/>
      <c r="E4871" s="387"/>
      <c r="F4871" s="388">
        <f t="shared" si="1254"/>
        <v>0</v>
      </c>
      <c r="H4871" s="341" t="str">
        <f>IF(A4871="","",VLOOKUP(A4871,VII.A!$A$10:$D$199,4,FALSE))</f>
        <v/>
      </c>
      <c r="I4871" s="341" t="str">
        <f t="shared" si="1251"/>
        <v/>
      </c>
      <c r="J4871" s="341" t="str">
        <f>IF(A4871="","",VLOOKUP(A4871,VII.A!$A$10:$D$199,3,FALSE))</f>
        <v/>
      </c>
      <c r="K4871" s="342" t="str">
        <f t="shared" si="1252"/>
        <v/>
      </c>
      <c r="L4871" s="380" t="str">
        <f>IF(C4871="","",G4859*C4871)</f>
        <v/>
      </c>
      <c r="M4871" s="381" t="str">
        <f>IF(A4871="","",VLOOKUP(A4871,VII.A!$A$10:$B$199,2,FALSE))</f>
        <v/>
      </c>
      <c r="N4871" s="342" t="str">
        <f t="shared" si="1253"/>
        <v/>
      </c>
      <c r="R4871" s="341"/>
      <c r="S4871" s="341"/>
    </row>
    <row r="4872" spans="1:21" ht="12.75" customHeight="1">
      <c r="A4872" s="385"/>
      <c r="B4872" s="386"/>
      <c r="C4872" s="20"/>
      <c r="D4872" s="392"/>
      <c r="E4872" s="387"/>
      <c r="F4872" s="388">
        <f t="shared" si="1254"/>
        <v>0</v>
      </c>
      <c r="H4872" s="341" t="str">
        <f>IF(A4872="","",VLOOKUP(A4872,VII.A!$A$10:$D$199,4,FALSE))</f>
        <v/>
      </c>
      <c r="I4872" s="341" t="str">
        <f t="shared" si="1251"/>
        <v/>
      </c>
      <c r="J4872" s="341" t="str">
        <f>IF(A4872="","",VLOOKUP(A4872,VII.A!$A$10:$D$199,3,FALSE))</f>
        <v/>
      </c>
      <c r="K4872" s="342" t="str">
        <f t="shared" si="1252"/>
        <v/>
      </c>
      <c r="L4872" s="380" t="str">
        <f>IF(C4872="","",G4859*C4872)</f>
        <v/>
      </c>
      <c r="M4872" s="381" t="str">
        <f>IF(A4872="","",VLOOKUP(A4872,VII.A!$A$10:$B$199,2,FALSE))</f>
        <v/>
      </c>
      <c r="N4872" s="342" t="str">
        <f t="shared" si="1253"/>
        <v/>
      </c>
      <c r="R4872" s="341"/>
      <c r="S4872" s="341"/>
    </row>
    <row r="4873" spans="1:21" ht="12.75" customHeight="1">
      <c r="A4873" s="385"/>
      <c r="B4873" s="386"/>
      <c r="C4873" s="20"/>
      <c r="D4873" s="392"/>
      <c r="E4873" s="387"/>
      <c r="F4873" s="388">
        <f t="shared" si="1254"/>
        <v>0</v>
      </c>
      <c r="H4873" s="341" t="str">
        <f>IF(A4873="","",VLOOKUP(A4873,VII.A!$A$10:$D$199,4,FALSE))</f>
        <v/>
      </c>
      <c r="I4873" s="341" t="str">
        <f t="shared" si="1251"/>
        <v/>
      </c>
      <c r="J4873" s="341" t="str">
        <f>IF(A4873="","",VLOOKUP(A4873,VII.A!$A$10:$D$199,3,FALSE))</f>
        <v/>
      </c>
      <c r="K4873" s="342" t="str">
        <f t="shared" si="1252"/>
        <v/>
      </c>
      <c r="L4873" s="380" t="str">
        <f>IF(C4873="","",G4859*C4873)</f>
        <v/>
      </c>
      <c r="M4873" s="381" t="str">
        <f>IF(A4873="","",VLOOKUP(A4873,VII.A!$A$10:$B$199,2,FALSE))</f>
        <v/>
      </c>
      <c r="N4873" s="342" t="str">
        <f t="shared" si="1253"/>
        <v/>
      </c>
      <c r="O4873" s="342"/>
      <c r="R4873" s="341"/>
      <c r="S4873" s="341"/>
    </row>
    <row r="4874" spans="1:21" ht="12.75" customHeight="1">
      <c r="A4874" s="385"/>
      <c r="B4874" s="386"/>
      <c r="C4874" s="20"/>
      <c r="D4874" s="392"/>
      <c r="E4874" s="387"/>
      <c r="F4874" s="388">
        <f t="shared" si="1254"/>
        <v>0</v>
      </c>
      <c r="H4874" s="341" t="str">
        <f>IF(A4874="","",VLOOKUP(A4874,VII.A!$A$10:$D$199,4,FALSE))</f>
        <v/>
      </c>
      <c r="I4874" s="341" t="str">
        <f t="shared" si="1251"/>
        <v/>
      </c>
      <c r="J4874" s="341" t="str">
        <f>IF(A4874="","",VLOOKUP(A4874,VII.A!$A$10:$D$199,3,FALSE))</f>
        <v/>
      </c>
      <c r="K4874" s="342" t="str">
        <f t="shared" si="1252"/>
        <v/>
      </c>
      <c r="L4874" s="380" t="str">
        <f>IF(C4874="","",G4859*C4874)</f>
        <v/>
      </c>
      <c r="M4874" s="381" t="str">
        <f>IF(A4874="","",VLOOKUP(A4874,VII.A!$A$10:$B$199,2,FALSE))</f>
        <v/>
      </c>
      <c r="N4874" s="342" t="str">
        <f t="shared" si="1253"/>
        <v/>
      </c>
      <c r="R4874" s="341"/>
      <c r="S4874" s="341"/>
    </row>
    <row r="4875" spans="1:21" ht="12.75" customHeight="1">
      <c r="A4875" s="393"/>
      <c r="C4875" s="20"/>
      <c r="E4875" s="387"/>
      <c r="F4875" s="388">
        <f t="shared" si="1254"/>
        <v>0</v>
      </c>
      <c r="H4875" s="341" t="str">
        <f>IF(A4875="","",VLOOKUP(A4875,VII.A!$A$10:$D$199,4,FALSE))</f>
        <v/>
      </c>
      <c r="I4875" s="341" t="str">
        <f t="shared" si="1251"/>
        <v/>
      </c>
      <c r="J4875" s="341" t="str">
        <f>IF(A4875="","",VLOOKUP(A4875,VII.A!$A$10:$D$199,3,FALSE))</f>
        <v/>
      </c>
      <c r="K4875" s="342" t="str">
        <f t="shared" si="1252"/>
        <v/>
      </c>
      <c r="L4875" s="380" t="str">
        <f>IF(C4875="","",G4859*C4875)</f>
        <v/>
      </c>
      <c r="M4875" s="381" t="str">
        <f>IF(A4875="","",VLOOKUP(A4875,VII.A!$A$10:$B$199,2,FALSE))</f>
        <v/>
      </c>
      <c r="N4875" s="342" t="str">
        <f t="shared" si="1253"/>
        <v/>
      </c>
      <c r="R4875" s="341"/>
      <c r="S4875" s="341"/>
    </row>
    <row r="4876" spans="1:21" ht="12.75" customHeight="1">
      <c r="A4876" s="393"/>
      <c r="C4876" s="20"/>
      <c r="E4876" s="387"/>
      <c r="F4876" s="388">
        <f t="shared" si="1254"/>
        <v>0</v>
      </c>
      <c r="H4876" s="341" t="str">
        <f>IF(A4876="","",VLOOKUP(A4876,VII.A!$A$10:$D$199,4,FALSE))</f>
        <v/>
      </c>
      <c r="I4876" s="341" t="str">
        <f t="shared" si="1251"/>
        <v/>
      </c>
      <c r="J4876" s="341" t="str">
        <f>IF(A4876="","",VLOOKUP(A4876,VII.A!$A$10:$D$199,3,FALSE))</f>
        <v/>
      </c>
      <c r="K4876" s="342" t="str">
        <f t="shared" si="1252"/>
        <v/>
      </c>
      <c r="L4876" s="380" t="str">
        <f>IF(C4876="","",G4859*C4876)</f>
        <v/>
      </c>
      <c r="M4876" s="381" t="str">
        <f>IF(A4876="","",VLOOKUP(A4876,VII.A!$A$10:$B$199,2,FALSE))</f>
        <v/>
      </c>
      <c r="N4876" s="342" t="str">
        <f t="shared" si="1253"/>
        <v/>
      </c>
      <c r="R4876" s="341"/>
      <c r="S4876" s="341"/>
    </row>
    <row r="4877" spans="1:21" ht="12.75" customHeight="1">
      <c r="A4877" s="393"/>
      <c r="B4877" s="395" t="s">
        <v>226</v>
      </c>
      <c r="C4877" s="396"/>
      <c r="D4877" s="397"/>
      <c r="E4877" s="398"/>
      <c r="F4877" s="399">
        <f>SUM(F4861:F4876)</f>
        <v>0</v>
      </c>
      <c r="H4877" s="426" t="s">
        <v>399</v>
      </c>
      <c r="J4877" s="341"/>
      <c r="L4877" s="380"/>
      <c r="M4877" s="381"/>
      <c r="N4877" s="342"/>
      <c r="R4877" s="341"/>
      <c r="S4877" s="341"/>
    </row>
    <row r="4878" spans="1:21" ht="12.75" customHeight="1">
      <c r="A4878" s="393"/>
      <c r="B4878" s="400" t="s">
        <v>53</v>
      </c>
      <c r="C4878" s="2">
        <f>$D$8</f>
        <v>0</v>
      </c>
      <c r="D4878" s="401"/>
      <c r="E4878" s="402"/>
      <c r="F4878" s="403">
        <f>ROUND(F4877*C4878,2)</f>
        <v>0</v>
      </c>
      <c r="J4878" s="341"/>
      <c r="L4878" s="380"/>
      <c r="M4878" s="381"/>
      <c r="N4878" s="342"/>
      <c r="R4878" s="341"/>
      <c r="S4878" s="341"/>
    </row>
    <row r="4879" spans="1:21" ht="12.75" customHeight="1">
      <c r="A4879" s="404"/>
      <c r="B4879" s="405" t="s">
        <v>227</v>
      </c>
      <c r="C4879" s="406"/>
      <c r="D4879" s="406"/>
      <c r="E4879" s="407"/>
      <c r="F4879" s="408">
        <f>F4877+F4878</f>
        <v>0</v>
      </c>
      <c r="J4879" s="341"/>
      <c r="L4879" s="380"/>
      <c r="M4879" s="381"/>
      <c r="N4879" s="342"/>
      <c r="R4879" s="341"/>
      <c r="S4879" s="341"/>
    </row>
    <row r="4880" spans="1:21" ht="12.75" customHeight="1">
      <c r="A4880" s="374" t="s">
        <v>2</v>
      </c>
      <c r="B4880" s="375" t="s">
        <v>235</v>
      </c>
      <c r="C4880" s="376" t="s">
        <v>231</v>
      </c>
      <c r="D4880" s="376" t="s">
        <v>232</v>
      </c>
      <c r="E4880" s="377" t="s">
        <v>233</v>
      </c>
      <c r="F4880" s="378" t="s">
        <v>234</v>
      </c>
      <c r="J4880" s="341"/>
      <c r="L4880" s="380"/>
      <c r="M4880" s="381"/>
      <c r="N4880" s="342"/>
      <c r="R4880" s="341"/>
      <c r="S4880" s="341"/>
    </row>
    <row r="4881" spans="1:19" ht="12.75" customHeight="1">
      <c r="A4881" s="393" t="str">
        <f>VII.A!$A$147</f>
        <v>2.5</v>
      </c>
      <c r="B4881" s="423" t="s">
        <v>418</v>
      </c>
      <c r="C4881" s="20">
        <f>0.00375*1.3</f>
        <v>4.875E-3</v>
      </c>
      <c r="D4881" s="384" t="str">
        <f>VLOOKUP(A4881,VII.A!$A$10:$G$199,3,FALSE)</f>
        <v>LOC/MÊS</v>
      </c>
      <c r="E4881" s="387">
        <f>VII.A!$D$147</f>
        <v>0</v>
      </c>
      <c r="F4881" s="388">
        <f t="shared" ref="F4881:F4890" si="1255">ROUND(C4881*E4881,2)</f>
        <v>0</v>
      </c>
      <c r="H4881" s="341">
        <f>IF(A4881="","",VLOOKUP(A4881,VII.A!$A$10:$D$199,4,FALSE))</f>
        <v>0</v>
      </c>
      <c r="I4881" s="341" t="str">
        <f t="shared" ref="I4881:I4890" si="1256">IF(A4881="","",IF(E4881=H4881,"SIM","NÃO"))</f>
        <v>SIM</v>
      </c>
      <c r="J4881" s="341" t="str">
        <f>IF(A4881="","",VLOOKUP(A4881,VII.A!$A$10:$D$199,3,FALSE))</f>
        <v>LOC/MÊS</v>
      </c>
      <c r="K4881" s="342" t="str">
        <f t="shared" ref="K4881:K4890" si="1257">IF(A4881="","",IF(J4881=D4881,"SIM","NÃO"))</f>
        <v>SIM</v>
      </c>
      <c r="L4881" s="380">
        <f>IF(C4881="","",G4859*C4881)</f>
        <v>16.233750000000001</v>
      </c>
      <c r="M4881" s="381" t="str">
        <f>IF(A4881="","",VLOOKUP(A4881,VII.A!$A$10:$B$199,2,FALSE))</f>
        <v>BALANCIM LEVE TRADICIONAL - PLATAFORMA 3,00 M COM GUINCHO MANUAL, NR 18 (LOCAÇÃO MENSAL + TRANSPORTE)</v>
      </c>
      <c r="N4881" s="342" t="str">
        <f t="shared" ref="N4881:N4890" si="1258">IF(B4881="","",IF(M4881=B4881,"si","no"))</f>
        <v>si</v>
      </c>
      <c r="R4881" s="341"/>
      <c r="S4881" s="341"/>
    </row>
    <row r="4882" spans="1:19" ht="12.75" customHeight="1">
      <c r="A4882" s="393"/>
      <c r="C4882" s="20"/>
      <c r="E4882" s="387"/>
      <c r="F4882" s="388">
        <f t="shared" si="1255"/>
        <v>0</v>
      </c>
      <c r="H4882" s="341" t="str">
        <f>IF(A4882="","",VLOOKUP(A4882,VII.A!$A$10:$D$199,4,FALSE))</f>
        <v/>
      </c>
      <c r="I4882" s="341" t="str">
        <f t="shared" si="1256"/>
        <v/>
      </c>
      <c r="J4882" s="341" t="str">
        <f>IF(A4882="","",VLOOKUP(A4882,VII.A!$A$10:$D$199,3,FALSE))</f>
        <v/>
      </c>
      <c r="K4882" s="342" t="str">
        <f t="shared" si="1257"/>
        <v/>
      </c>
      <c r="L4882" s="380" t="str">
        <f>IF(C4882="","",G4859*C4882)</f>
        <v/>
      </c>
      <c r="M4882" s="381" t="str">
        <f>IF(A4882="","",VLOOKUP(A4882,VII.A!$A$10:$B$199,2,FALSE))</f>
        <v/>
      </c>
      <c r="N4882" s="342" t="str">
        <f t="shared" si="1258"/>
        <v/>
      </c>
      <c r="R4882" s="341"/>
      <c r="S4882" s="341"/>
    </row>
    <row r="4883" spans="1:19" ht="12.75" customHeight="1">
      <c r="A4883" s="393"/>
      <c r="C4883" s="20"/>
      <c r="E4883" s="387"/>
      <c r="F4883" s="388">
        <f t="shared" si="1255"/>
        <v>0</v>
      </c>
      <c r="H4883" s="341" t="str">
        <f>IF(A4883="","",VLOOKUP(A4883,VII.A!$A$10:$D$199,4,FALSE))</f>
        <v/>
      </c>
      <c r="I4883" s="341" t="str">
        <f t="shared" si="1256"/>
        <v/>
      </c>
      <c r="J4883" s="341" t="str">
        <f>IF(A4883="","",VLOOKUP(A4883,VII.A!$A$10:$D$199,3,FALSE))</f>
        <v/>
      </c>
      <c r="K4883" s="342" t="str">
        <f t="shared" si="1257"/>
        <v/>
      </c>
      <c r="L4883" s="380" t="str">
        <f>IF(C4883="","",G4859*C4883)</f>
        <v/>
      </c>
      <c r="M4883" s="381" t="str">
        <f>IF(A4883="","",VLOOKUP(A4883,VII.A!$A$10:$B$199,2,FALSE))</f>
        <v/>
      </c>
      <c r="N4883" s="342" t="str">
        <f t="shared" si="1258"/>
        <v/>
      </c>
      <c r="R4883" s="341"/>
      <c r="S4883" s="341"/>
    </row>
    <row r="4884" spans="1:19" ht="12.75" customHeight="1">
      <c r="A4884" s="393"/>
      <c r="C4884" s="20"/>
      <c r="E4884" s="387"/>
      <c r="F4884" s="388">
        <f t="shared" si="1255"/>
        <v>0</v>
      </c>
      <c r="H4884" s="341" t="str">
        <f>IF(A4884="","",VLOOKUP(A4884,VII.A!$A$10:$D$199,4,FALSE))</f>
        <v/>
      </c>
      <c r="I4884" s="341" t="str">
        <f t="shared" si="1256"/>
        <v/>
      </c>
      <c r="J4884" s="341" t="str">
        <f>IF(A4884="","",VLOOKUP(A4884,VII.A!$A$10:$D$199,3,FALSE))</f>
        <v/>
      </c>
      <c r="K4884" s="342" t="str">
        <f t="shared" si="1257"/>
        <v/>
      </c>
      <c r="L4884" s="380" t="str">
        <f>IF(C4884="","",G4859*C4884)</f>
        <v/>
      </c>
      <c r="M4884" s="381" t="str">
        <f>IF(A4884="","",VLOOKUP(A4884,VII.A!$A$10:$B$199,2,FALSE))</f>
        <v/>
      </c>
      <c r="N4884" s="342" t="str">
        <f t="shared" si="1258"/>
        <v/>
      </c>
      <c r="R4884" s="341"/>
      <c r="S4884" s="341"/>
    </row>
    <row r="4885" spans="1:19" ht="12.75" customHeight="1">
      <c r="A4885" s="393"/>
      <c r="C4885" s="20"/>
      <c r="E4885" s="387"/>
      <c r="F4885" s="388">
        <f t="shared" si="1255"/>
        <v>0</v>
      </c>
      <c r="G4885" s="390"/>
      <c r="H4885" s="341" t="str">
        <f>IF(A4885="","",VLOOKUP(A4885,VII.A!$A$10:$D$199,4,FALSE))</f>
        <v/>
      </c>
      <c r="I4885" s="341" t="str">
        <f t="shared" si="1256"/>
        <v/>
      </c>
      <c r="J4885" s="341" t="str">
        <f>IF(A4885="","",VLOOKUP(A4885,VII.A!$A$10:$D$199,3,FALSE))</f>
        <v/>
      </c>
      <c r="K4885" s="342" t="str">
        <f t="shared" si="1257"/>
        <v/>
      </c>
      <c r="L4885" s="380" t="str">
        <f>IF(C4885="","",G4859*C4885)</f>
        <v/>
      </c>
      <c r="M4885" s="381" t="str">
        <f>IF(A4885="","",VLOOKUP(A4885,VII.A!$A$10:$B$199,2,FALSE))</f>
        <v/>
      </c>
      <c r="N4885" s="342" t="str">
        <f t="shared" si="1258"/>
        <v/>
      </c>
      <c r="R4885" s="341"/>
      <c r="S4885" s="341"/>
    </row>
    <row r="4886" spans="1:19" ht="12.75" customHeight="1">
      <c r="A4886" s="393"/>
      <c r="C4886" s="20"/>
      <c r="E4886" s="387"/>
      <c r="F4886" s="388">
        <f t="shared" si="1255"/>
        <v>0</v>
      </c>
      <c r="G4886" s="391"/>
      <c r="H4886" s="341" t="str">
        <f>IF(A4886="","",VLOOKUP(A4886,VII.A!$A$10:$D$199,4,FALSE))</f>
        <v/>
      </c>
      <c r="I4886" s="341" t="str">
        <f t="shared" si="1256"/>
        <v/>
      </c>
      <c r="J4886" s="341" t="str">
        <f>IF(A4886="","",VLOOKUP(A4886,VII.A!$A$10:$D$199,3,FALSE))</f>
        <v/>
      </c>
      <c r="K4886" s="342" t="str">
        <f t="shared" si="1257"/>
        <v/>
      </c>
      <c r="L4886" s="380" t="str">
        <f>IF(C4886="","",G4859*C4886)</f>
        <v/>
      </c>
      <c r="M4886" s="381" t="str">
        <f>IF(A4886="","",VLOOKUP(A4886,VII.A!$A$10:$B$199,2,FALSE))</f>
        <v/>
      </c>
      <c r="N4886" s="342" t="str">
        <f t="shared" si="1258"/>
        <v/>
      </c>
      <c r="R4886" s="341"/>
      <c r="S4886" s="341"/>
    </row>
    <row r="4887" spans="1:19" ht="12.75" customHeight="1">
      <c r="A4887" s="393"/>
      <c r="C4887" s="20"/>
      <c r="E4887" s="387"/>
      <c r="F4887" s="388">
        <f t="shared" si="1255"/>
        <v>0</v>
      </c>
      <c r="H4887" s="341" t="str">
        <f>IF(A4887="","",VLOOKUP(A4887,VII.A!$A$10:$D$199,4,FALSE))</f>
        <v/>
      </c>
      <c r="I4887" s="341" t="str">
        <f t="shared" si="1256"/>
        <v/>
      </c>
      <c r="J4887" s="341" t="str">
        <f>IF(A4887="","",VLOOKUP(A4887,VII.A!$A$10:$D$199,3,FALSE))</f>
        <v/>
      </c>
      <c r="K4887" s="342" t="str">
        <f t="shared" si="1257"/>
        <v/>
      </c>
      <c r="L4887" s="380" t="str">
        <f>IF(C4887="","",G4859*C4887)</f>
        <v/>
      </c>
      <c r="M4887" s="381" t="str">
        <f>IF(A4887="","",VLOOKUP(A4887,VII.A!$A$10:$B$199,2,FALSE))</f>
        <v/>
      </c>
      <c r="N4887" s="342" t="str">
        <f t="shared" si="1258"/>
        <v/>
      </c>
      <c r="R4887" s="341"/>
      <c r="S4887" s="341"/>
    </row>
    <row r="4888" spans="1:19" ht="12.75" customHeight="1">
      <c r="A4888" s="393"/>
      <c r="C4888" s="20"/>
      <c r="E4888" s="387"/>
      <c r="F4888" s="388">
        <f t="shared" si="1255"/>
        <v>0</v>
      </c>
      <c r="H4888" s="341" t="str">
        <f>IF(A4888="","",VLOOKUP(A4888,VII.A!$A$10:$D$199,4,FALSE))</f>
        <v/>
      </c>
      <c r="I4888" s="341" t="str">
        <f t="shared" si="1256"/>
        <v/>
      </c>
      <c r="J4888" s="341" t="str">
        <f>IF(A4888="","",VLOOKUP(A4888,VII.A!$A$10:$D$199,3,FALSE))</f>
        <v/>
      </c>
      <c r="K4888" s="342" t="str">
        <f t="shared" si="1257"/>
        <v/>
      </c>
      <c r="L4888" s="380" t="str">
        <f>IF(C4888="","",G4859*C4888)</f>
        <v/>
      </c>
      <c r="M4888" s="381" t="str">
        <f>IF(A4888="","",VLOOKUP(A4888,VII.A!$A$10:$B$199,2,FALSE))</f>
        <v/>
      </c>
      <c r="N4888" s="342" t="str">
        <f t="shared" si="1258"/>
        <v/>
      </c>
      <c r="R4888" s="341"/>
      <c r="S4888" s="341"/>
    </row>
    <row r="4889" spans="1:19" ht="12.75" customHeight="1">
      <c r="A4889" s="393"/>
      <c r="C4889" s="20"/>
      <c r="E4889" s="387"/>
      <c r="F4889" s="388">
        <f t="shared" si="1255"/>
        <v>0</v>
      </c>
      <c r="H4889" s="341" t="str">
        <f>IF(A4889="","",VLOOKUP(A4889,VII.A!$A$10:$D$199,4,FALSE))</f>
        <v/>
      </c>
      <c r="I4889" s="341" t="str">
        <f t="shared" si="1256"/>
        <v/>
      </c>
      <c r="J4889" s="341" t="str">
        <f>IF(A4889="","",VLOOKUP(A4889,VII.A!$A$10:$D$199,3,FALSE))</f>
        <v/>
      </c>
      <c r="K4889" s="342" t="str">
        <f t="shared" si="1257"/>
        <v/>
      </c>
      <c r="L4889" s="380" t="str">
        <f>IF(C4889="","",G4859*C4889)</f>
        <v/>
      </c>
      <c r="M4889" s="381" t="str">
        <f>IF(A4889="","",VLOOKUP(A4889,VII.A!$A$10:$B$199,2,FALSE))</f>
        <v/>
      </c>
      <c r="N4889" s="342" t="str">
        <f t="shared" si="1258"/>
        <v/>
      </c>
      <c r="R4889" s="341"/>
      <c r="S4889" s="341"/>
    </row>
    <row r="4890" spans="1:19" ht="12.75" customHeight="1">
      <c r="A4890" s="393"/>
      <c r="C4890" s="20"/>
      <c r="E4890" s="387"/>
      <c r="F4890" s="388">
        <f t="shared" si="1255"/>
        <v>0</v>
      </c>
      <c r="H4890" s="341" t="str">
        <f>IF(A4890="","",VLOOKUP(A4890,VII.A!$A$10:$D$199,4,FALSE))</f>
        <v/>
      </c>
      <c r="I4890" s="341" t="str">
        <f t="shared" si="1256"/>
        <v/>
      </c>
      <c r="J4890" s="341" t="str">
        <f>IF(A4890="","",VLOOKUP(A4890,VII.A!$A$10:$D$199,3,FALSE))</f>
        <v/>
      </c>
      <c r="K4890" s="342" t="str">
        <f t="shared" si="1257"/>
        <v/>
      </c>
      <c r="L4890" s="380" t="str">
        <f>IF(C4890="","",G4859*C4890)</f>
        <v/>
      </c>
      <c r="M4890" s="381" t="str">
        <f>IF(A4890="","",VLOOKUP(A4890,VII.A!$A$10:$B$199,2,FALSE))</f>
        <v/>
      </c>
      <c r="N4890" s="342" t="str">
        <f t="shared" si="1258"/>
        <v/>
      </c>
      <c r="R4890" s="341"/>
      <c r="S4890" s="341"/>
    </row>
    <row r="4891" spans="1:19" ht="12.75" customHeight="1">
      <c r="A4891" s="393"/>
      <c r="B4891" s="395" t="s">
        <v>226</v>
      </c>
      <c r="C4891" s="396"/>
      <c r="D4891" s="397"/>
      <c r="E4891" s="398"/>
      <c r="F4891" s="399">
        <f>SUM(F4881:F4890)</f>
        <v>0</v>
      </c>
      <c r="J4891" s="341"/>
      <c r="L4891" s="380"/>
      <c r="M4891" s="381"/>
      <c r="N4891" s="342"/>
      <c r="R4891" s="341"/>
      <c r="S4891" s="341"/>
    </row>
    <row r="4892" spans="1:19" ht="12.75" customHeight="1">
      <c r="A4892" s="393"/>
      <c r="B4892" s="400" t="s">
        <v>53</v>
      </c>
      <c r="C4892" s="2">
        <f>$D$8</f>
        <v>0</v>
      </c>
      <c r="D4892" s="401"/>
      <c r="E4892" s="402"/>
      <c r="F4892" s="403">
        <f>ROUND(C4892*F4891,2)</f>
        <v>0</v>
      </c>
      <c r="J4892" s="341"/>
      <c r="L4892" s="380"/>
      <c r="M4892" s="381"/>
      <c r="N4892" s="342"/>
      <c r="R4892" s="341"/>
      <c r="S4892" s="341"/>
    </row>
    <row r="4893" spans="1:19" ht="12.75" customHeight="1">
      <c r="A4893" s="404"/>
      <c r="B4893" s="405" t="s">
        <v>228</v>
      </c>
      <c r="C4893" s="406"/>
      <c r="D4893" s="406"/>
      <c r="E4893" s="407"/>
      <c r="F4893" s="408">
        <f>F4891+F4892</f>
        <v>0</v>
      </c>
      <c r="J4893" s="341"/>
      <c r="L4893" s="380"/>
      <c r="M4893" s="381"/>
      <c r="N4893" s="342"/>
      <c r="R4893" s="341"/>
      <c r="S4893" s="341"/>
    </row>
    <row r="4894" spans="1:19" ht="12.75" customHeight="1">
      <c r="A4894" s="409" t="s">
        <v>47</v>
      </c>
      <c r="B4894" s="410" t="s">
        <v>236</v>
      </c>
      <c r="C4894" s="411" t="s">
        <v>231</v>
      </c>
      <c r="D4894" s="412" t="s">
        <v>232</v>
      </c>
      <c r="E4894" s="413" t="s">
        <v>233</v>
      </c>
      <c r="F4894" s="378" t="s">
        <v>234</v>
      </c>
      <c r="J4894" s="341"/>
      <c r="L4894" s="380"/>
      <c r="M4894" s="381"/>
      <c r="N4894" s="342"/>
      <c r="R4894" s="341"/>
      <c r="S4894" s="341"/>
    </row>
    <row r="4895" spans="1:19" ht="12.75" customHeight="1">
      <c r="A4895" s="393" t="str">
        <f>VII.A!$A$181</f>
        <v>3.1</v>
      </c>
      <c r="B4895" s="394" t="s">
        <v>142</v>
      </c>
      <c r="C4895" s="20">
        <v>0.5</v>
      </c>
      <c r="D4895" s="384" t="str">
        <f>VLOOKUP(A4895,VII.A!$A$10:$G$199,3,FALSE)</f>
        <v>H</v>
      </c>
      <c r="E4895" s="387">
        <f>VII.A!$D$181</f>
        <v>0</v>
      </c>
      <c r="F4895" s="388">
        <f t="shared" ref="F4895:F4901" si="1259">ROUND(C4895*E4895,2)</f>
        <v>0</v>
      </c>
      <c r="H4895" s="341">
        <f>IF(A4895="","",VLOOKUP(A4895,VII.A!$A$10:$D$199,4,FALSE))</f>
        <v>0</v>
      </c>
      <c r="I4895" s="341" t="str">
        <f t="shared" ref="I4895:I4901" si="1260">IF(A4895="","",IF(E4895=H4895,"SIM","NÃO"))</f>
        <v>SIM</v>
      </c>
      <c r="J4895" s="341" t="str">
        <f>IF(A4895="","",VLOOKUP(A4895,VII.A!$A$10:$D$199,3,FALSE))</f>
        <v>H</v>
      </c>
      <c r="K4895" s="342" t="str">
        <f t="shared" ref="K4895:K4901" si="1261">IF(A4895="","",IF(J4895=D4895,"SIM","NÃO"))</f>
        <v>SIM</v>
      </c>
      <c r="L4895" s="380">
        <f>IF(C4895="","",G4859*C4895)</f>
        <v>1665</v>
      </c>
      <c r="M4895" s="381" t="str">
        <f>IF(A4895="","",VLOOKUP(A4895,VII.A!$A$10:$B$199,2,FALSE))</f>
        <v>AJUDANTE COM ENCARGOS COMPLEMENTARES</v>
      </c>
      <c r="N4895" s="342" t="str">
        <f t="shared" ref="N4895:N4901" si="1262">IF(B4895="","",IF(M4895=B4895,"si","no"))</f>
        <v>si</v>
      </c>
      <c r="R4895" s="341"/>
      <c r="S4895" s="341"/>
    </row>
    <row r="4896" spans="1:19" ht="12.75" customHeight="1">
      <c r="A4896" s="393" t="str">
        <f>VII.A!$A$193</f>
        <v>3.13</v>
      </c>
      <c r="B4896" s="394" t="s">
        <v>154</v>
      </c>
      <c r="C4896" s="20">
        <v>0.4</v>
      </c>
      <c r="D4896" s="384" t="str">
        <f>VLOOKUP(A4896,VII.A!$A$10:$G$199,3,FALSE)</f>
        <v>H</v>
      </c>
      <c r="E4896" s="387">
        <f>VII.A!$D$193</f>
        <v>0</v>
      </c>
      <c r="F4896" s="388">
        <f t="shared" si="1259"/>
        <v>0</v>
      </c>
      <c r="H4896" s="341">
        <f>IF(A4896="","",VLOOKUP(A4896,VII.A!$A$10:$D$199,4,FALSE))</f>
        <v>0</v>
      </c>
      <c r="I4896" s="341" t="str">
        <f t="shared" si="1260"/>
        <v>SIM</v>
      </c>
      <c r="J4896" s="341" t="str">
        <f>IF(A4896="","",VLOOKUP(A4896,VII.A!$A$10:$D$199,3,FALSE))</f>
        <v>H</v>
      </c>
      <c r="K4896" s="342" t="str">
        <f t="shared" si="1261"/>
        <v>SIM</v>
      </c>
      <c r="L4896" s="380">
        <f>IF(C4896="","",G4859*C4896)</f>
        <v>1332</v>
      </c>
      <c r="M4896" s="381" t="str">
        <f>IF(A4896="","",VLOOKUP(A4896,VII.A!$A$10:$B$199,2,FALSE))</f>
        <v>PINTOR COM ENCARGOS COMPLEMENTARES</v>
      </c>
      <c r="N4896" s="342" t="str">
        <f t="shared" si="1262"/>
        <v>si</v>
      </c>
      <c r="R4896" s="341"/>
      <c r="S4896" s="341"/>
    </row>
    <row r="4897" spans="1:25" ht="12.75" customHeight="1">
      <c r="A4897" s="393"/>
      <c r="C4897" s="20"/>
      <c r="E4897" s="387"/>
      <c r="F4897" s="388">
        <f t="shared" si="1259"/>
        <v>0</v>
      </c>
      <c r="H4897" s="341" t="str">
        <f>IF(A4897="","",VLOOKUP(A4897,VII.A!$A$10:$D$199,4,FALSE))</f>
        <v/>
      </c>
      <c r="I4897" s="341" t="str">
        <f t="shared" si="1260"/>
        <v/>
      </c>
      <c r="J4897" s="341" t="str">
        <f>IF(A4897="","",VLOOKUP(A4897,VII.A!$A$10:$D$199,3,FALSE))</f>
        <v/>
      </c>
      <c r="K4897" s="342" t="str">
        <f t="shared" si="1261"/>
        <v/>
      </c>
      <c r="L4897" s="380" t="str">
        <f>IF(C4897="","",G4859*C4897)</f>
        <v/>
      </c>
      <c r="M4897" s="381" t="str">
        <f>IF(A4897="","",VLOOKUP(A4897,VII.A!$A$10:$B$199,2,FALSE))</f>
        <v/>
      </c>
      <c r="N4897" s="342" t="str">
        <f t="shared" si="1262"/>
        <v/>
      </c>
      <c r="R4897" s="341"/>
      <c r="S4897" s="341"/>
    </row>
    <row r="4898" spans="1:25" ht="12.75" customHeight="1">
      <c r="A4898" s="393"/>
      <c r="C4898" s="20"/>
      <c r="E4898" s="387"/>
      <c r="F4898" s="388">
        <f t="shared" si="1259"/>
        <v>0</v>
      </c>
      <c r="H4898" s="341" t="str">
        <f>IF(A4898="","",VLOOKUP(A4898,VII.A!$A$10:$D$199,4,FALSE))</f>
        <v/>
      </c>
      <c r="I4898" s="341" t="str">
        <f t="shared" si="1260"/>
        <v/>
      </c>
      <c r="J4898" s="341" t="str">
        <f>IF(A4898="","",VLOOKUP(A4898,VII.A!$A$10:$D$199,3,FALSE))</f>
        <v/>
      </c>
      <c r="K4898" s="342" t="str">
        <f t="shared" si="1261"/>
        <v/>
      </c>
      <c r="L4898" s="380" t="str">
        <f>IF(C4898="","",G4859*C4898)</f>
        <v/>
      </c>
      <c r="M4898" s="381" t="str">
        <f>IF(A4898="","",VLOOKUP(A4898,VII.A!$A$10:$B$199,2,FALSE))</f>
        <v/>
      </c>
      <c r="N4898" s="342" t="str">
        <f t="shared" si="1262"/>
        <v/>
      </c>
      <c r="R4898" s="341"/>
      <c r="S4898" s="341"/>
    </row>
    <row r="4899" spans="1:25" ht="12.75" customHeight="1">
      <c r="A4899" s="393"/>
      <c r="C4899" s="20"/>
      <c r="E4899" s="387"/>
      <c r="F4899" s="388">
        <f t="shared" si="1259"/>
        <v>0</v>
      </c>
      <c r="H4899" s="341" t="str">
        <f>IF(A4899="","",VLOOKUP(A4899,VII.A!$A$10:$D$199,4,FALSE))</f>
        <v/>
      </c>
      <c r="I4899" s="341" t="str">
        <f t="shared" si="1260"/>
        <v/>
      </c>
      <c r="J4899" s="341" t="str">
        <f>IF(A4899="","",VLOOKUP(A4899,VII.A!$A$10:$D$199,3,FALSE))</f>
        <v/>
      </c>
      <c r="K4899" s="342" t="str">
        <f t="shared" si="1261"/>
        <v/>
      </c>
      <c r="L4899" s="380" t="str">
        <f>IF(C4899="","",G4859*C4899)</f>
        <v/>
      </c>
      <c r="M4899" s="381" t="str">
        <f>IF(A4899="","",VLOOKUP(A4899,VII.A!$A$10:$B$199,2,FALSE))</f>
        <v/>
      </c>
      <c r="N4899" s="342" t="str">
        <f t="shared" si="1262"/>
        <v/>
      </c>
      <c r="R4899" s="341"/>
      <c r="S4899" s="341"/>
    </row>
    <row r="4900" spans="1:25" ht="12.75" customHeight="1">
      <c r="A4900" s="393"/>
      <c r="C4900" s="20"/>
      <c r="E4900" s="387"/>
      <c r="F4900" s="388">
        <f t="shared" si="1259"/>
        <v>0</v>
      </c>
      <c r="H4900" s="341" t="str">
        <f>IF(A4900="","",VLOOKUP(A4900,VII.A!$A$10:$D$199,4,FALSE))</f>
        <v/>
      </c>
      <c r="I4900" s="341" t="str">
        <f t="shared" si="1260"/>
        <v/>
      </c>
      <c r="J4900" s="341" t="str">
        <f>IF(A4900="","",VLOOKUP(A4900,VII.A!$A$10:$D$199,3,FALSE))</f>
        <v/>
      </c>
      <c r="K4900" s="342" t="str">
        <f t="shared" si="1261"/>
        <v/>
      </c>
      <c r="L4900" s="380" t="str">
        <f>IF(C4900="","",G4859*C4900)</f>
        <v/>
      </c>
      <c r="M4900" s="381" t="str">
        <f>IF(A4900="","",VLOOKUP(A4900,VII.A!$A$10:$B$199,2,FALSE))</f>
        <v/>
      </c>
      <c r="N4900" s="342" t="str">
        <f t="shared" si="1262"/>
        <v/>
      </c>
      <c r="R4900" s="341"/>
      <c r="S4900" s="341"/>
    </row>
    <row r="4901" spans="1:25" ht="12.75" customHeight="1">
      <c r="A4901" s="393"/>
      <c r="C4901" s="20"/>
      <c r="E4901" s="387"/>
      <c r="F4901" s="388">
        <f t="shared" si="1259"/>
        <v>0</v>
      </c>
      <c r="H4901" s="341" t="str">
        <f>IF(A4901="","",VLOOKUP(A4901,VII.A!$A$10:$D$199,4,FALSE))</f>
        <v/>
      </c>
      <c r="I4901" s="341" t="str">
        <f t="shared" si="1260"/>
        <v/>
      </c>
      <c r="J4901" s="341" t="str">
        <f>IF(A4901="","",VLOOKUP(A4901,VII.A!$A$10:$D$199,3,FALSE))</f>
        <v/>
      </c>
      <c r="K4901" s="342" t="str">
        <f t="shared" si="1261"/>
        <v/>
      </c>
      <c r="L4901" s="380" t="str">
        <f>IF(C4901="","",G4859*C4901)</f>
        <v/>
      </c>
      <c r="M4901" s="381" t="str">
        <f>IF(A4901="","",VLOOKUP(A4901,VII.A!$A$10:$B$199,2,FALSE))</f>
        <v/>
      </c>
      <c r="N4901" s="342" t="str">
        <f t="shared" si="1262"/>
        <v/>
      </c>
      <c r="R4901" s="341"/>
      <c r="S4901" s="341"/>
    </row>
    <row r="4902" spans="1:25" ht="12.75" customHeight="1">
      <c r="A4902" s="393"/>
      <c r="B4902" s="395" t="s">
        <v>226</v>
      </c>
      <c r="C4902" s="396"/>
      <c r="D4902" s="397"/>
      <c r="E4902" s="398"/>
      <c r="F4902" s="399">
        <f>SUM(F4895:F4901)</f>
        <v>0</v>
      </c>
      <c r="J4902" s="341"/>
      <c r="L4902" s="380"/>
      <c r="M4902" s="381"/>
      <c r="N4902" s="342"/>
      <c r="R4902" s="341"/>
      <c r="S4902" s="341"/>
    </row>
    <row r="4903" spans="1:25" ht="12.75" customHeight="1">
      <c r="A4903" s="393"/>
      <c r="B4903" s="400" t="s">
        <v>229</v>
      </c>
      <c r="C4903" s="2">
        <f>IX.A!$C$45</f>
        <v>0</v>
      </c>
      <c r="D4903" s="401"/>
      <c r="E4903" s="402"/>
      <c r="F4903" s="403">
        <f>ROUND(F4902*C4903,2)</f>
        <v>0</v>
      </c>
      <c r="J4903" s="341"/>
      <c r="L4903" s="380"/>
      <c r="M4903" s="381"/>
      <c r="N4903" s="342"/>
      <c r="R4903" s="341"/>
      <c r="S4903" s="341"/>
    </row>
    <row r="4904" spans="1:25" ht="12.75" customHeight="1">
      <c r="A4904" s="393"/>
      <c r="B4904" s="400" t="s">
        <v>53</v>
      </c>
      <c r="C4904" s="2">
        <f>$D$8</f>
        <v>0</v>
      </c>
      <c r="D4904" s="401"/>
      <c r="E4904" s="402"/>
      <c r="F4904" s="403">
        <f>ROUND(SUM(F4902:F4903)*C4904,2)</f>
        <v>0</v>
      </c>
      <c r="J4904" s="341"/>
      <c r="L4904" s="380"/>
      <c r="M4904" s="381"/>
      <c r="N4904" s="342"/>
      <c r="R4904" s="341"/>
      <c r="S4904" s="341"/>
    </row>
    <row r="4905" spans="1:25" ht="12.75" customHeight="1" thickBot="1">
      <c r="A4905" s="414"/>
      <c r="B4905" s="415" t="s">
        <v>230</v>
      </c>
      <c r="C4905" s="416"/>
      <c r="D4905" s="416"/>
      <c r="E4905" s="417"/>
      <c r="F4905" s="418">
        <f>SUM(F4902:F4904)</f>
        <v>0</v>
      </c>
      <c r="J4905" s="341"/>
      <c r="L4905" s="380"/>
      <c r="M4905" s="381"/>
      <c r="N4905" s="342"/>
      <c r="R4905" s="341"/>
      <c r="S4905" s="341"/>
    </row>
    <row r="4906" spans="1:25" ht="12.75" customHeight="1" thickBot="1">
      <c r="A4906" s="427"/>
      <c r="B4906" s="428"/>
      <c r="C4906" s="429"/>
      <c r="D4906" s="429"/>
      <c r="E4906" s="430"/>
      <c r="F4906" s="431"/>
      <c r="J4906" s="341"/>
      <c r="L4906" s="380"/>
      <c r="M4906" s="381"/>
      <c r="N4906" s="342"/>
      <c r="R4906" s="341"/>
      <c r="S4906" s="341"/>
    </row>
    <row r="4907" spans="1:25" ht="30" customHeight="1">
      <c r="A4907" s="370" t="str">
        <f>IV.A!$A$148</f>
        <v>6.11</v>
      </c>
      <c r="B4907" s="371" t="str">
        <f>IV.A!$B$148</f>
        <v>PINTURA HIDROFUGANTE A BASE DE SILICONE, INCOLOR, 1 DEMÃO</v>
      </c>
      <c r="C4907" s="871" t="s">
        <v>237</v>
      </c>
      <c r="D4907" s="872"/>
      <c r="E4907" s="372" t="str">
        <f>IV.A!$C$148</f>
        <v>M2</v>
      </c>
      <c r="F4907" s="11">
        <f>ROUND(F4927+F4941+F4953,2)</f>
        <v>0</v>
      </c>
      <c r="G4907" s="1">
        <f>VLOOKUP(A4907,IV.A!$A$16:$L$172,4,FALSE)</f>
        <v>100</v>
      </c>
      <c r="H4907" s="361">
        <f>SUM(F4909:F4924)+F4926</f>
        <v>0</v>
      </c>
      <c r="I4907" s="361">
        <f>SUM(F4929:F4938)+F4940</f>
        <v>0</v>
      </c>
      <c r="J4907" s="361">
        <f>SUM(F4943:F4949)+F4951+F4952</f>
        <v>0</v>
      </c>
      <c r="K4907" s="361">
        <f>SUM(H4907:J4907)</f>
        <v>0</v>
      </c>
      <c r="L4907" s="362" t="str">
        <f>IF(K4907=F4907,"SIM","NÃO")</f>
        <v>SIM</v>
      </c>
      <c r="M4907" s="373">
        <f>ROUND(SUM(F4909:F4924),2)+ROUND(SUM(F4909:F4924)*C4926,2)+ROUND(SUM(F4929:F4938)*C4940,2)+ROUND(SUM(F4929:F4938),2)+ROUND(SUM(F4943:F4949)*C4951,2)+ROUND((SUM(F4943:F4949)+ROUND(SUM(F4943:F4949)*C4951,2))*C4952,2)+ROUND(SUM(F4943:F4949),2)</f>
        <v>0</v>
      </c>
      <c r="N4907" s="343" t="str">
        <f>IF(M4907=F4907,"SIM","NÃO")</f>
        <v>SIM</v>
      </c>
      <c r="O4907" s="364" t="str">
        <f>VLOOKUP(A4907,IV.A!$A$16:$E$172,3,FALSE)</f>
        <v>M2</v>
      </c>
      <c r="P4907" s="344" t="str">
        <f>IF(O4907=E4907,"SIM","NÃO")</f>
        <v>SIM</v>
      </c>
      <c r="Q4907" s="365">
        <f>ROUND(G4907*F4927,2)+ROUND(G4907*F4941,2)+ROUND(G4907*F4953,2)</f>
        <v>0</v>
      </c>
      <c r="R4907" s="364">
        <f>VLOOKUP(A4907,IV.A!$A$16:$L$172,12,FALSE)</f>
        <v>0</v>
      </c>
      <c r="S4907" s="366" t="str">
        <f>IF(Q4907=R4907,"si","no")</f>
        <v>si</v>
      </c>
      <c r="T4907" s="367">
        <f>SUM(L4909:L4924)+SUM(L4929:L4938)+SUM(L4943:L4949)</f>
        <v>89</v>
      </c>
      <c r="U4907" s="341">
        <f>(SUM(C4909:C4924)+SUM(C4929:C4938)+SUM(C4943:C4949))*G4907</f>
        <v>88.999999999999986</v>
      </c>
      <c r="V4907" s="368" t="str">
        <f>IF(T4907=U4907,"si","no")</f>
        <v>si</v>
      </c>
      <c r="W4907" s="369">
        <f>SUM(F4909:F4924)</f>
        <v>0</v>
      </c>
      <c r="X4907" s="369">
        <f>SUM(F4929:F4938)</f>
        <v>0</v>
      </c>
      <c r="Y4907" s="369">
        <f>SUM(F4943:F4949)</f>
        <v>0</v>
      </c>
    </row>
    <row r="4908" spans="1:25" ht="12.75" customHeight="1">
      <c r="A4908" s="374" t="s">
        <v>14</v>
      </c>
      <c r="B4908" s="375" t="s">
        <v>132</v>
      </c>
      <c r="C4908" s="376" t="s">
        <v>231</v>
      </c>
      <c r="D4908" s="376" t="s">
        <v>232</v>
      </c>
      <c r="E4908" s="377" t="s">
        <v>233</v>
      </c>
      <c r="F4908" s="378" t="s">
        <v>234</v>
      </c>
      <c r="G4908" s="379"/>
      <c r="J4908" s="341"/>
      <c r="L4908" s="380"/>
      <c r="M4908" s="381"/>
      <c r="N4908" s="342"/>
      <c r="O4908" s="382"/>
      <c r="P4908" s="383"/>
      <c r="Q4908" s="383"/>
      <c r="R4908" s="383"/>
      <c r="S4908" s="383"/>
      <c r="T4908" s="382"/>
      <c r="U4908" s="341"/>
      <c r="V4908" s="384"/>
      <c r="W4908" s="384"/>
      <c r="X4908" s="384"/>
      <c r="Y4908" s="384"/>
    </row>
    <row r="4909" spans="1:25" ht="12.75" customHeight="1">
      <c r="A4909" s="385" t="str">
        <f>VII.A!$A$123</f>
        <v>1.113</v>
      </c>
      <c r="B4909" s="386" t="str">
        <f>VLOOKUP(A4909,VII.A!$A$10:$G$199,2,FALSE)</f>
        <v>IMPERMEABILIZANTE INCOLOR DE BASE SILICONE</v>
      </c>
      <c r="C4909" s="20">
        <v>0.28999999999999998</v>
      </c>
      <c r="D4909" s="342" t="str">
        <f>VLOOKUP(A4909,VII.A!$A$10:$G$199,3,FALSE)</f>
        <v>L</v>
      </c>
      <c r="E4909" s="387">
        <f>VII.A!$D$123</f>
        <v>0</v>
      </c>
      <c r="F4909" s="388">
        <f>ROUND(C4909*E4909,2)</f>
        <v>0</v>
      </c>
      <c r="H4909" s="341">
        <f>IF(A4909="","",VLOOKUP(A4909,VII.A!$A$10:$D$199,4,FALSE))</f>
        <v>0</v>
      </c>
      <c r="I4909" s="341" t="str">
        <f t="shared" ref="I4909:I4924" si="1263">IF(A4909="","",IF(E4909=H4909,"SIM","NÃO"))</f>
        <v>SIM</v>
      </c>
      <c r="J4909" s="341" t="str">
        <f>IF(A4909="","",VLOOKUP(A4909,VII.A!$A$10:$D$199,3,FALSE))</f>
        <v>L</v>
      </c>
      <c r="K4909" s="342" t="str">
        <f t="shared" ref="K4909:K4924" si="1264">IF(A4909="","",IF(J4909=D4909,"SIM","NÃO"))</f>
        <v>SIM</v>
      </c>
      <c r="L4909" s="380">
        <f>IF(C4909="","",G4907*C4909)</f>
        <v>28.999999999999996</v>
      </c>
      <c r="M4909" s="381" t="str">
        <f>IF(A4909="","",VLOOKUP(A4909,VII.A!$A$10:$B$199,2,FALSE))</f>
        <v>IMPERMEABILIZANTE INCOLOR DE BASE SILICONE</v>
      </c>
      <c r="N4909" s="342" t="str">
        <f t="shared" ref="N4909:N4924" si="1265">IF(B4909="","",IF(M4909=B4909,"si","no"))</f>
        <v>si</v>
      </c>
      <c r="R4909" s="341"/>
      <c r="S4909" s="341"/>
    </row>
    <row r="4910" spans="1:25" ht="12.75" customHeight="1">
      <c r="A4910" s="385"/>
      <c r="B4910" s="386"/>
      <c r="C4910" s="20"/>
      <c r="D4910" s="342"/>
      <c r="E4910" s="387"/>
      <c r="F4910" s="388">
        <f t="shared" ref="F4910:F4924" si="1266">ROUND(C4910*E4910,2)</f>
        <v>0</v>
      </c>
      <c r="H4910" s="341" t="str">
        <f>IF(A4910="","",VLOOKUP(A4910,VII.A!$A$10:$D$199,4,FALSE))</f>
        <v/>
      </c>
      <c r="I4910" s="341" t="str">
        <f t="shared" si="1263"/>
        <v/>
      </c>
      <c r="J4910" s="341" t="str">
        <f>IF(A4910="","",VLOOKUP(A4910,VII.A!$A$10:$D$199,3,FALSE))</f>
        <v/>
      </c>
      <c r="K4910" s="342" t="str">
        <f t="shared" si="1264"/>
        <v/>
      </c>
      <c r="L4910" s="380" t="str">
        <f>IF(C4910="","",G4907*C4910)</f>
        <v/>
      </c>
      <c r="M4910" s="381" t="str">
        <f>IF(A4910="","",VLOOKUP(A4910,VII.A!$A$10:$B$199,2,FALSE))</f>
        <v/>
      </c>
      <c r="N4910" s="342" t="str">
        <f t="shared" si="1265"/>
        <v/>
      </c>
      <c r="R4910" s="341"/>
      <c r="S4910" s="341"/>
    </row>
    <row r="4911" spans="1:25" ht="12.75" customHeight="1">
      <c r="A4911" s="385"/>
      <c r="B4911" s="386"/>
      <c r="C4911" s="20"/>
      <c r="D4911" s="342"/>
      <c r="E4911" s="387"/>
      <c r="F4911" s="388">
        <f t="shared" si="1266"/>
        <v>0</v>
      </c>
      <c r="H4911" s="341" t="str">
        <f>IF(A4911="","",VLOOKUP(A4911,VII.A!$A$10:$D$199,4,FALSE))</f>
        <v/>
      </c>
      <c r="I4911" s="341" t="str">
        <f t="shared" si="1263"/>
        <v/>
      </c>
      <c r="J4911" s="341" t="str">
        <f>IF(A4911="","",VLOOKUP(A4911,VII.A!$A$10:$D$199,3,FALSE))</f>
        <v/>
      </c>
      <c r="K4911" s="342" t="str">
        <f t="shared" si="1264"/>
        <v/>
      </c>
      <c r="L4911" s="380" t="str">
        <f>IF(C4911="","",G4907*C4911)</f>
        <v/>
      </c>
      <c r="M4911" s="381" t="str">
        <f>IF(A4911="","",VLOOKUP(A4911,VII.A!$A$10:$B$199,2,FALSE))</f>
        <v/>
      </c>
      <c r="N4911" s="342" t="str">
        <f t="shared" si="1265"/>
        <v/>
      </c>
      <c r="R4911" s="341"/>
      <c r="S4911" s="341"/>
    </row>
    <row r="4912" spans="1:25" ht="12.75" customHeight="1">
      <c r="A4912" s="385"/>
      <c r="B4912" s="386"/>
      <c r="C4912" s="20"/>
      <c r="D4912" s="342"/>
      <c r="E4912" s="387"/>
      <c r="F4912" s="388">
        <f t="shared" si="1266"/>
        <v>0</v>
      </c>
      <c r="H4912" s="341" t="str">
        <f>IF(A4912="","",VLOOKUP(A4912,VII.A!$A$10:$D$199,4,FALSE))</f>
        <v/>
      </c>
      <c r="I4912" s="341" t="str">
        <f t="shared" si="1263"/>
        <v/>
      </c>
      <c r="J4912" s="341" t="str">
        <f>IF(A4912="","",VLOOKUP(A4912,VII.A!$A$10:$D$199,3,FALSE))</f>
        <v/>
      </c>
      <c r="K4912" s="342" t="str">
        <f t="shared" si="1264"/>
        <v/>
      </c>
      <c r="L4912" s="380" t="str">
        <f>IF(C4912="","",G4907*C4912)</f>
        <v/>
      </c>
      <c r="M4912" s="381" t="str">
        <f>IF(A4912="","",VLOOKUP(A4912,VII.A!$A$10:$B$199,2,FALSE))</f>
        <v/>
      </c>
      <c r="N4912" s="342" t="str">
        <f t="shared" si="1265"/>
        <v/>
      </c>
      <c r="R4912" s="341"/>
      <c r="S4912" s="341"/>
    </row>
    <row r="4913" spans="1:21" ht="12.75" customHeight="1">
      <c r="A4913" s="385"/>
      <c r="B4913" s="386"/>
      <c r="C4913" s="20"/>
      <c r="D4913" s="342"/>
      <c r="E4913" s="387"/>
      <c r="F4913" s="388">
        <f t="shared" si="1266"/>
        <v>0</v>
      </c>
      <c r="H4913" s="341" t="str">
        <f>IF(A4913="","",VLOOKUP(A4913,VII.A!$A$10:$D$199,4,FALSE))</f>
        <v/>
      </c>
      <c r="I4913" s="341" t="str">
        <f t="shared" si="1263"/>
        <v/>
      </c>
      <c r="J4913" s="341" t="str">
        <f>IF(A4913="","",VLOOKUP(A4913,VII.A!$A$10:$D$199,3,FALSE))</f>
        <v/>
      </c>
      <c r="K4913" s="342" t="str">
        <f t="shared" si="1264"/>
        <v/>
      </c>
      <c r="L4913" s="380" t="str">
        <f>IF(C4913="","",G4907*C4913)</f>
        <v/>
      </c>
      <c r="M4913" s="381" t="str">
        <f>IF(A4913="","",VLOOKUP(A4913,VII.A!$A$10:$B$199,2,FALSE))</f>
        <v/>
      </c>
      <c r="N4913" s="342" t="str">
        <f t="shared" si="1265"/>
        <v/>
      </c>
      <c r="R4913" s="341"/>
      <c r="S4913" s="341"/>
    </row>
    <row r="4914" spans="1:21" ht="12.75" customHeight="1">
      <c r="A4914" s="385"/>
      <c r="B4914" s="386"/>
      <c r="C4914" s="20"/>
      <c r="D4914" s="342"/>
      <c r="E4914" s="387"/>
      <c r="F4914" s="388">
        <f t="shared" si="1266"/>
        <v>0</v>
      </c>
      <c r="H4914" s="341" t="str">
        <f>IF(A4914="","",VLOOKUP(A4914,VII.A!$A$10:$D$199,4,FALSE))</f>
        <v/>
      </c>
      <c r="I4914" s="341" t="str">
        <f t="shared" si="1263"/>
        <v/>
      </c>
      <c r="J4914" s="341" t="str">
        <f>IF(A4914="","",VLOOKUP(A4914,VII.A!$A$10:$D$199,3,FALSE))</f>
        <v/>
      </c>
      <c r="K4914" s="342" t="str">
        <f t="shared" si="1264"/>
        <v/>
      </c>
      <c r="L4914" s="380" t="str">
        <f>IF(C4914="","",G4907*C4914)</f>
        <v/>
      </c>
      <c r="M4914" s="381" t="str">
        <f>IF(A4914="","",VLOOKUP(A4914,VII.A!$A$10:$B$199,2,FALSE))</f>
        <v/>
      </c>
      <c r="N4914" s="342" t="str">
        <f t="shared" si="1265"/>
        <v/>
      </c>
      <c r="R4914" s="341"/>
      <c r="S4914" s="341"/>
      <c r="U4914" s="389"/>
    </row>
    <row r="4915" spans="1:21" ht="12.75" customHeight="1">
      <c r="A4915" s="385"/>
      <c r="B4915" s="386"/>
      <c r="C4915" s="20"/>
      <c r="D4915" s="342"/>
      <c r="E4915" s="387"/>
      <c r="F4915" s="388">
        <f t="shared" si="1266"/>
        <v>0</v>
      </c>
      <c r="H4915" s="341" t="str">
        <f>IF(A4915="","",VLOOKUP(A4915,VII.A!$A$10:$D$199,4,FALSE))</f>
        <v/>
      </c>
      <c r="I4915" s="341" t="str">
        <f t="shared" si="1263"/>
        <v/>
      </c>
      <c r="J4915" s="341" t="str">
        <f>IF(A4915="","",VLOOKUP(A4915,VII.A!$A$10:$D$199,3,FALSE))</f>
        <v/>
      </c>
      <c r="K4915" s="342" t="str">
        <f t="shared" si="1264"/>
        <v/>
      </c>
      <c r="L4915" s="380" t="str">
        <f>IF(C4915="","",G4907*C4915)</f>
        <v/>
      </c>
      <c r="M4915" s="381" t="str">
        <f>IF(A4915="","",VLOOKUP(A4915,VII.A!$A$10:$B$199,2,FALSE))</f>
        <v/>
      </c>
      <c r="N4915" s="342" t="str">
        <f t="shared" si="1265"/>
        <v/>
      </c>
      <c r="R4915" s="341"/>
      <c r="S4915" s="341"/>
    </row>
    <row r="4916" spans="1:21" ht="12.75" customHeight="1">
      <c r="A4916" s="385"/>
      <c r="B4916" s="386"/>
      <c r="C4916" s="20"/>
      <c r="D4916" s="342"/>
      <c r="E4916" s="387"/>
      <c r="F4916" s="388">
        <f t="shared" si="1266"/>
        <v>0</v>
      </c>
      <c r="G4916" s="390"/>
      <c r="H4916" s="341" t="str">
        <f>IF(A4916="","",VLOOKUP(A4916,VII.A!$A$10:$D$199,4,FALSE))</f>
        <v/>
      </c>
      <c r="I4916" s="341" t="str">
        <f t="shared" si="1263"/>
        <v/>
      </c>
      <c r="J4916" s="341" t="str">
        <f>IF(A4916="","",VLOOKUP(A4916,VII.A!$A$10:$D$199,3,FALSE))</f>
        <v/>
      </c>
      <c r="K4916" s="342" t="str">
        <f t="shared" si="1264"/>
        <v/>
      </c>
      <c r="L4916" s="380" t="str">
        <f>IF(C4916="","",G4907*C4916)</f>
        <v/>
      </c>
      <c r="M4916" s="381" t="str">
        <f>IF(A4916="","",VLOOKUP(A4916,VII.A!$A$10:$B$199,2,FALSE))</f>
        <v/>
      </c>
      <c r="N4916" s="342" t="str">
        <f t="shared" si="1265"/>
        <v/>
      </c>
      <c r="R4916" s="341"/>
      <c r="S4916" s="341"/>
    </row>
    <row r="4917" spans="1:21" ht="12.75" customHeight="1">
      <c r="A4917" s="385"/>
      <c r="B4917" s="386"/>
      <c r="C4917" s="20"/>
      <c r="D4917" s="342"/>
      <c r="E4917" s="387"/>
      <c r="F4917" s="388">
        <f t="shared" si="1266"/>
        <v>0</v>
      </c>
      <c r="G4917" s="390"/>
      <c r="H4917" s="341" t="str">
        <f>IF(A4917="","",VLOOKUP(A4917,VII.A!$A$10:$D$199,4,FALSE))</f>
        <v/>
      </c>
      <c r="I4917" s="341" t="str">
        <f t="shared" si="1263"/>
        <v/>
      </c>
      <c r="J4917" s="341" t="str">
        <f>IF(A4917="","",VLOOKUP(A4917,VII.A!$A$10:$D$199,3,FALSE))</f>
        <v/>
      </c>
      <c r="K4917" s="342" t="str">
        <f t="shared" si="1264"/>
        <v/>
      </c>
      <c r="L4917" s="380" t="str">
        <f>IF(C4917="","",G4907*C4917)</f>
        <v/>
      </c>
      <c r="M4917" s="381" t="str">
        <f>IF(A4917="","",VLOOKUP(A4917,VII.A!$A$10:$B$199,2,FALSE))</f>
        <v/>
      </c>
      <c r="N4917" s="342" t="str">
        <f t="shared" si="1265"/>
        <v/>
      </c>
      <c r="R4917" s="341"/>
      <c r="S4917" s="341"/>
    </row>
    <row r="4918" spans="1:21" ht="12.75" customHeight="1">
      <c r="A4918" s="385"/>
      <c r="B4918" s="386"/>
      <c r="C4918" s="20"/>
      <c r="D4918" s="342"/>
      <c r="E4918" s="387"/>
      <c r="F4918" s="388">
        <f t="shared" si="1266"/>
        <v>0</v>
      </c>
      <c r="G4918" s="391"/>
      <c r="H4918" s="341" t="str">
        <f>IF(A4918="","",VLOOKUP(A4918,VII.A!$A$10:$D$199,4,FALSE))</f>
        <v/>
      </c>
      <c r="I4918" s="341" t="str">
        <f t="shared" si="1263"/>
        <v/>
      </c>
      <c r="J4918" s="341" t="str">
        <f>IF(A4918="","",VLOOKUP(A4918,VII.A!$A$10:$D$199,3,FALSE))</f>
        <v/>
      </c>
      <c r="K4918" s="342" t="str">
        <f t="shared" si="1264"/>
        <v/>
      </c>
      <c r="L4918" s="380" t="str">
        <f>IF(C4918="","",G4907*C4918)</f>
        <v/>
      </c>
      <c r="M4918" s="381" t="str">
        <f>IF(A4918="","",VLOOKUP(A4918,VII.A!$A$10:$B$199,2,FALSE))</f>
        <v/>
      </c>
      <c r="N4918" s="342" t="str">
        <f t="shared" si="1265"/>
        <v/>
      </c>
      <c r="R4918" s="341"/>
      <c r="S4918" s="341"/>
    </row>
    <row r="4919" spans="1:21" ht="12.75" customHeight="1">
      <c r="A4919" s="385"/>
      <c r="B4919" s="386"/>
      <c r="C4919" s="20"/>
      <c r="D4919" s="342"/>
      <c r="E4919" s="387"/>
      <c r="F4919" s="388">
        <f t="shared" si="1266"/>
        <v>0</v>
      </c>
      <c r="H4919" s="341" t="str">
        <f>IF(A4919="","",VLOOKUP(A4919,VII.A!$A$10:$D$199,4,FALSE))</f>
        <v/>
      </c>
      <c r="I4919" s="341" t="str">
        <f t="shared" si="1263"/>
        <v/>
      </c>
      <c r="J4919" s="341" t="str">
        <f>IF(A4919="","",VLOOKUP(A4919,VII.A!$A$10:$D$199,3,FALSE))</f>
        <v/>
      </c>
      <c r="K4919" s="342" t="str">
        <f t="shared" si="1264"/>
        <v/>
      </c>
      <c r="L4919" s="380" t="str">
        <f>IF(C4919="","",G4907*C4919)</f>
        <v/>
      </c>
      <c r="M4919" s="381" t="str">
        <f>IF(A4919="","",VLOOKUP(A4919,VII.A!$A$10:$B$199,2,FALSE))</f>
        <v/>
      </c>
      <c r="N4919" s="342" t="str">
        <f t="shared" si="1265"/>
        <v/>
      </c>
      <c r="R4919" s="341"/>
      <c r="S4919" s="341"/>
    </row>
    <row r="4920" spans="1:21" ht="12.75" customHeight="1">
      <c r="A4920" s="385"/>
      <c r="B4920" s="386"/>
      <c r="C4920" s="20"/>
      <c r="D4920" s="392"/>
      <c r="E4920" s="387"/>
      <c r="F4920" s="388">
        <f t="shared" si="1266"/>
        <v>0</v>
      </c>
      <c r="H4920" s="341" t="str">
        <f>IF(A4920="","",VLOOKUP(A4920,VII.A!$A$10:$D$199,4,FALSE))</f>
        <v/>
      </c>
      <c r="I4920" s="341" t="str">
        <f t="shared" si="1263"/>
        <v/>
      </c>
      <c r="J4920" s="341" t="str">
        <f>IF(A4920="","",VLOOKUP(A4920,VII.A!$A$10:$D$199,3,FALSE))</f>
        <v/>
      </c>
      <c r="K4920" s="342" t="str">
        <f t="shared" si="1264"/>
        <v/>
      </c>
      <c r="L4920" s="380" t="str">
        <f>IF(C4920="","",G4907*C4920)</f>
        <v/>
      </c>
      <c r="M4920" s="381" t="str">
        <f>IF(A4920="","",VLOOKUP(A4920,VII.A!$A$10:$B$199,2,FALSE))</f>
        <v/>
      </c>
      <c r="N4920" s="342" t="str">
        <f t="shared" si="1265"/>
        <v/>
      </c>
      <c r="R4920" s="341"/>
      <c r="S4920" s="341"/>
    </row>
    <row r="4921" spans="1:21" ht="12.75" customHeight="1">
      <c r="A4921" s="385"/>
      <c r="B4921" s="386"/>
      <c r="C4921" s="20"/>
      <c r="D4921" s="392"/>
      <c r="E4921" s="387"/>
      <c r="F4921" s="388">
        <f t="shared" si="1266"/>
        <v>0</v>
      </c>
      <c r="H4921" s="341" t="str">
        <f>IF(A4921="","",VLOOKUP(A4921,VII.A!$A$10:$D$199,4,FALSE))</f>
        <v/>
      </c>
      <c r="I4921" s="341" t="str">
        <f t="shared" si="1263"/>
        <v/>
      </c>
      <c r="J4921" s="341" t="str">
        <f>IF(A4921="","",VLOOKUP(A4921,VII.A!$A$10:$D$199,3,FALSE))</f>
        <v/>
      </c>
      <c r="K4921" s="342" t="str">
        <f t="shared" si="1264"/>
        <v/>
      </c>
      <c r="L4921" s="380" t="str">
        <f>IF(C4921="","",G4907*C4921)</f>
        <v/>
      </c>
      <c r="M4921" s="381" t="str">
        <f>IF(A4921="","",VLOOKUP(A4921,VII.A!$A$10:$B$199,2,FALSE))</f>
        <v/>
      </c>
      <c r="N4921" s="342" t="str">
        <f t="shared" si="1265"/>
        <v/>
      </c>
      <c r="O4921" s="342"/>
      <c r="R4921" s="341"/>
      <c r="S4921" s="341"/>
    </row>
    <row r="4922" spans="1:21" ht="12.75" customHeight="1">
      <c r="A4922" s="385"/>
      <c r="B4922" s="386"/>
      <c r="C4922" s="20"/>
      <c r="D4922" s="392"/>
      <c r="E4922" s="387"/>
      <c r="F4922" s="388">
        <f t="shared" si="1266"/>
        <v>0</v>
      </c>
      <c r="H4922" s="341" t="str">
        <f>IF(A4922="","",VLOOKUP(A4922,VII.A!$A$10:$D$199,4,FALSE))</f>
        <v/>
      </c>
      <c r="I4922" s="341" t="str">
        <f t="shared" si="1263"/>
        <v/>
      </c>
      <c r="J4922" s="341" t="str">
        <f>IF(A4922="","",VLOOKUP(A4922,VII.A!$A$10:$D$199,3,FALSE))</f>
        <v/>
      </c>
      <c r="K4922" s="342" t="str">
        <f t="shared" si="1264"/>
        <v/>
      </c>
      <c r="L4922" s="380" t="str">
        <f>IF(C4922="","",G4907*C4922)</f>
        <v/>
      </c>
      <c r="M4922" s="381" t="str">
        <f>IF(A4922="","",VLOOKUP(A4922,VII.A!$A$10:$B$199,2,FALSE))</f>
        <v/>
      </c>
      <c r="N4922" s="342" t="str">
        <f t="shared" si="1265"/>
        <v/>
      </c>
      <c r="R4922" s="341"/>
      <c r="S4922" s="341"/>
    </row>
    <row r="4923" spans="1:21" ht="12.75" customHeight="1">
      <c r="A4923" s="393"/>
      <c r="C4923" s="20"/>
      <c r="E4923" s="387"/>
      <c r="F4923" s="388">
        <f t="shared" si="1266"/>
        <v>0</v>
      </c>
      <c r="H4923" s="341" t="str">
        <f>IF(A4923="","",VLOOKUP(A4923,VII.A!$A$10:$D$199,4,FALSE))</f>
        <v/>
      </c>
      <c r="I4923" s="341" t="str">
        <f t="shared" si="1263"/>
        <v/>
      </c>
      <c r="J4923" s="341" t="str">
        <f>IF(A4923="","",VLOOKUP(A4923,VII.A!$A$10:$D$199,3,FALSE))</f>
        <v/>
      </c>
      <c r="K4923" s="342" t="str">
        <f t="shared" si="1264"/>
        <v/>
      </c>
      <c r="L4923" s="380" t="str">
        <f>IF(C4923="","",G4907*C4923)</f>
        <v/>
      </c>
      <c r="M4923" s="381" t="str">
        <f>IF(A4923="","",VLOOKUP(A4923,VII.A!$A$10:$B$199,2,FALSE))</f>
        <v/>
      </c>
      <c r="N4923" s="342" t="str">
        <f t="shared" si="1265"/>
        <v/>
      </c>
      <c r="R4923" s="341"/>
      <c r="S4923" s="341"/>
    </row>
    <row r="4924" spans="1:21" ht="12.75" customHeight="1">
      <c r="A4924" s="393"/>
      <c r="C4924" s="20"/>
      <c r="E4924" s="387"/>
      <c r="F4924" s="388">
        <f t="shared" si="1266"/>
        <v>0</v>
      </c>
      <c r="H4924" s="341" t="str">
        <f>IF(A4924="","",VLOOKUP(A4924,VII.A!$A$10:$D$199,4,FALSE))</f>
        <v/>
      </c>
      <c r="I4924" s="341" t="str">
        <f t="shared" si="1263"/>
        <v/>
      </c>
      <c r="J4924" s="341" t="str">
        <f>IF(A4924="","",VLOOKUP(A4924,VII.A!$A$10:$D$199,3,FALSE))</f>
        <v/>
      </c>
      <c r="K4924" s="342" t="str">
        <f t="shared" si="1264"/>
        <v/>
      </c>
      <c r="L4924" s="380" t="str">
        <f>IF(C4924="","",G4907*C4924)</f>
        <v/>
      </c>
      <c r="M4924" s="381" t="str">
        <f>IF(A4924="","",VLOOKUP(A4924,VII.A!$A$10:$B$199,2,FALSE))</f>
        <v/>
      </c>
      <c r="N4924" s="342" t="str">
        <f t="shared" si="1265"/>
        <v/>
      </c>
      <c r="R4924" s="341"/>
      <c r="S4924" s="341"/>
    </row>
    <row r="4925" spans="1:21" ht="12.75" customHeight="1">
      <c r="A4925" s="393"/>
      <c r="B4925" s="395" t="s">
        <v>226</v>
      </c>
      <c r="C4925" s="396"/>
      <c r="D4925" s="397"/>
      <c r="E4925" s="398"/>
      <c r="F4925" s="399">
        <f>SUM(F4909:F4924)</f>
        <v>0</v>
      </c>
      <c r="H4925" s="426" t="s">
        <v>421</v>
      </c>
      <c r="J4925" s="341"/>
      <c r="L4925" s="380"/>
      <c r="M4925" s="381"/>
      <c r="N4925" s="342"/>
      <c r="R4925" s="341"/>
      <c r="S4925" s="341"/>
    </row>
    <row r="4926" spans="1:21" ht="12.75" customHeight="1">
      <c r="A4926" s="393"/>
      <c r="B4926" s="400" t="s">
        <v>53</v>
      </c>
      <c r="C4926" s="2">
        <f>$D$8</f>
        <v>0</v>
      </c>
      <c r="D4926" s="401"/>
      <c r="E4926" s="402"/>
      <c r="F4926" s="403">
        <f>ROUND(F4925*C4926,2)</f>
        <v>0</v>
      </c>
      <c r="H4926" s="426" t="s">
        <v>422</v>
      </c>
      <c r="J4926" s="341"/>
      <c r="L4926" s="380"/>
      <c r="M4926" s="381"/>
      <c r="N4926" s="342"/>
      <c r="R4926" s="341"/>
      <c r="S4926" s="341"/>
    </row>
    <row r="4927" spans="1:21" ht="12.75" customHeight="1">
      <c r="A4927" s="404"/>
      <c r="B4927" s="405" t="s">
        <v>227</v>
      </c>
      <c r="C4927" s="406"/>
      <c r="D4927" s="406"/>
      <c r="E4927" s="407"/>
      <c r="F4927" s="408">
        <f>F4925+F4926</f>
        <v>0</v>
      </c>
      <c r="H4927" s="426" t="s">
        <v>423</v>
      </c>
      <c r="J4927" s="341"/>
      <c r="L4927" s="380"/>
      <c r="M4927" s="381"/>
      <c r="N4927" s="342"/>
      <c r="R4927" s="341"/>
      <c r="S4927" s="341"/>
    </row>
    <row r="4928" spans="1:21" ht="12.75" customHeight="1">
      <c r="A4928" s="374" t="s">
        <v>2</v>
      </c>
      <c r="B4928" s="375" t="s">
        <v>235</v>
      </c>
      <c r="C4928" s="376" t="s">
        <v>231</v>
      </c>
      <c r="D4928" s="376" t="s">
        <v>232</v>
      </c>
      <c r="E4928" s="377" t="s">
        <v>233</v>
      </c>
      <c r="F4928" s="378" t="s">
        <v>234</v>
      </c>
      <c r="J4928" s="341"/>
      <c r="L4928" s="380"/>
      <c r="M4928" s="381"/>
      <c r="N4928" s="342"/>
      <c r="R4928" s="341"/>
      <c r="S4928" s="341"/>
    </row>
    <row r="4929" spans="1:19" ht="12.75" customHeight="1">
      <c r="A4929" s="393"/>
      <c r="B4929" s="423"/>
      <c r="C4929" s="20"/>
      <c r="E4929" s="387"/>
      <c r="F4929" s="388">
        <f t="shared" ref="F4929:F4938" si="1267">ROUND(C4929*E4929,2)</f>
        <v>0</v>
      </c>
      <c r="H4929" s="341" t="str">
        <f>IF(A4929="","",VLOOKUP(A4929,VII.A!$A$10:$D$199,4,FALSE))</f>
        <v/>
      </c>
      <c r="I4929" s="341" t="str">
        <f t="shared" ref="I4929:I4938" si="1268">IF(A4929="","",IF(E4929=H4929,"SIM","NÃO"))</f>
        <v/>
      </c>
      <c r="J4929" s="341" t="str">
        <f>IF(A4929="","",VLOOKUP(A4929,VII.A!$A$10:$D$199,3,FALSE))</f>
        <v/>
      </c>
      <c r="K4929" s="342" t="str">
        <f t="shared" ref="K4929:K4938" si="1269">IF(A4929="","",IF(J4929=D4929,"SIM","NÃO"))</f>
        <v/>
      </c>
      <c r="L4929" s="380" t="str">
        <f>IF(C4929="","",G4907*C4929)</f>
        <v/>
      </c>
      <c r="M4929" s="381" t="str">
        <f>IF(A4929="","",VLOOKUP(A4929,VII.A!$A$10:$B$199,2,FALSE))</f>
        <v/>
      </c>
      <c r="N4929" s="342" t="str">
        <f t="shared" ref="N4929:N4938" si="1270">IF(B4929="","",IF(M4929=B4929,"si","no"))</f>
        <v/>
      </c>
      <c r="R4929" s="341"/>
      <c r="S4929" s="341"/>
    </row>
    <row r="4930" spans="1:19" ht="12.75" customHeight="1">
      <c r="A4930" s="393"/>
      <c r="C4930" s="20"/>
      <c r="E4930" s="387"/>
      <c r="F4930" s="388">
        <f t="shared" si="1267"/>
        <v>0</v>
      </c>
      <c r="H4930" s="341" t="str">
        <f>IF(A4930="","",VLOOKUP(A4930,VII.A!$A$10:$D$199,4,FALSE))</f>
        <v/>
      </c>
      <c r="I4930" s="341" t="str">
        <f t="shared" si="1268"/>
        <v/>
      </c>
      <c r="J4930" s="341" t="str">
        <f>IF(A4930="","",VLOOKUP(A4930,VII.A!$A$10:$D$199,3,FALSE))</f>
        <v/>
      </c>
      <c r="K4930" s="342" t="str">
        <f t="shared" si="1269"/>
        <v/>
      </c>
      <c r="L4930" s="380" t="str">
        <f>IF(C4930="","",G4907*C4930)</f>
        <v/>
      </c>
      <c r="M4930" s="381" t="str">
        <f>IF(A4930="","",VLOOKUP(A4930,VII.A!$A$10:$B$199,2,FALSE))</f>
        <v/>
      </c>
      <c r="N4930" s="342" t="str">
        <f t="shared" si="1270"/>
        <v/>
      </c>
      <c r="R4930" s="341"/>
      <c r="S4930" s="341"/>
    </row>
    <row r="4931" spans="1:19" ht="12.75" customHeight="1">
      <c r="A4931" s="393"/>
      <c r="C4931" s="20"/>
      <c r="E4931" s="387"/>
      <c r="F4931" s="388">
        <f t="shared" si="1267"/>
        <v>0</v>
      </c>
      <c r="H4931" s="341" t="str">
        <f>IF(A4931="","",VLOOKUP(A4931,VII.A!$A$10:$D$199,4,FALSE))</f>
        <v/>
      </c>
      <c r="I4931" s="341" t="str">
        <f t="shared" si="1268"/>
        <v/>
      </c>
      <c r="J4931" s="341" t="str">
        <f>IF(A4931="","",VLOOKUP(A4931,VII.A!$A$10:$D$199,3,FALSE))</f>
        <v/>
      </c>
      <c r="K4931" s="342" t="str">
        <f t="shared" si="1269"/>
        <v/>
      </c>
      <c r="L4931" s="380" t="str">
        <f>IF(C4931="","",G4907*C4931)</f>
        <v/>
      </c>
      <c r="M4931" s="381" t="str">
        <f>IF(A4931="","",VLOOKUP(A4931,VII.A!$A$10:$B$199,2,FALSE))</f>
        <v/>
      </c>
      <c r="N4931" s="342" t="str">
        <f t="shared" si="1270"/>
        <v/>
      </c>
      <c r="R4931" s="341"/>
      <c r="S4931" s="341"/>
    </row>
    <row r="4932" spans="1:19" ht="12.75" customHeight="1">
      <c r="A4932" s="393"/>
      <c r="C4932" s="20"/>
      <c r="E4932" s="387"/>
      <c r="F4932" s="388">
        <f t="shared" si="1267"/>
        <v>0</v>
      </c>
      <c r="H4932" s="341" t="str">
        <f>IF(A4932="","",VLOOKUP(A4932,VII.A!$A$10:$D$199,4,FALSE))</f>
        <v/>
      </c>
      <c r="I4932" s="341" t="str">
        <f t="shared" si="1268"/>
        <v/>
      </c>
      <c r="J4932" s="341" t="str">
        <f>IF(A4932="","",VLOOKUP(A4932,VII.A!$A$10:$D$199,3,FALSE))</f>
        <v/>
      </c>
      <c r="K4932" s="342" t="str">
        <f t="shared" si="1269"/>
        <v/>
      </c>
      <c r="L4932" s="380" t="str">
        <f>IF(C4932="","",G4907*C4932)</f>
        <v/>
      </c>
      <c r="M4932" s="381" t="str">
        <f>IF(A4932="","",VLOOKUP(A4932,VII.A!$A$10:$B$199,2,FALSE))</f>
        <v/>
      </c>
      <c r="N4932" s="342" t="str">
        <f t="shared" si="1270"/>
        <v/>
      </c>
      <c r="R4932" s="341"/>
      <c r="S4932" s="341"/>
    </row>
    <row r="4933" spans="1:19" ht="12.75" customHeight="1">
      <c r="A4933" s="393"/>
      <c r="C4933" s="20"/>
      <c r="E4933" s="387"/>
      <c r="F4933" s="388">
        <f t="shared" si="1267"/>
        <v>0</v>
      </c>
      <c r="G4933" s="390"/>
      <c r="H4933" s="341" t="str">
        <f>IF(A4933="","",VLOOKUP(A4933,VII.A!$A$10:$D$199,4,FALSE))</f>
        <v/>
      </c>
      <c r="I4933" s="341" t="str">
        <f t="shared" si="1268"/>
        <v/>
      </c>
      <c r="J4933" s="341" t="str">
        <f>IF(A4933="","",VLOOKUP(A4933,VII.A!$A$10:$D$199,3,FALSE))</f>
        <v/>
      </c>
      <c r="K4933" s="342" t="str">
        <f t="shared" si="1269"/>
        <v/>
      </c>
      <c r="L4933" s="380" t="str">
        <f>IF(C4933="","",G4907*C4933)</f>
        <v/>
      </c>
      <c r="M4933" s="381" t="str">
        <f>IF(A4933="","",VLOOKUP(A4933,VII.A!$A$10:$B$199,2,FALSE))</f>
        <v/>
      </c>
      <c r="N4933" s="342" t="str">
        <f t="shared" si="1270"/>
        <v/>
      </c>
      <c r="R4933" s="341"/>
      <c r="S4933" s="341"/>
    </row>
    <row r="4934" spans="1:19" ht="12.75" customHeight="1">
      <c r="A4934" s="393"/>
      <c r="C4934" s="20"/>
      <c r="E4934" s="387"/>
      <c r="F4934" s="388">
        <f t="shared" si="1267"/>
        <v>0</v>
      </c>
      <c r="G4934" s="391"/>
      <c r="H4934" s="341" t="str">
        <f>IF(A4934="","",VLOOKUP(A4934,VII.A!$A$10:$D$199,4,FALSE))</f>
        <v/>
      </c>
      <c r="I4934" s="341" t="str">
        <f t="shared" si="1268"/>
        <v/>
      </c>
      <c r="J4934" s="341" t="str">
        <f>IF(A4934="","",VLOOKUP(A4934,VII.A!$A$10:$D$199,3,FALSE))</f>
        <v/>
      </c>
      <c r="K4934" s="342" t="str">
        <f t="shared" si="1269"/>
        <v/>
      </c>
      <c r="L4934" s="380" t="str">
        <f>IF(C4934="","",G4907*C4934)</f>
        <v/>
      </c>
      <c r="M4934" s="381" t="str">
        <f>IF(A4934="","",VLOOKUP(A4934,VII.A!$A$10:$B$199,2,FALSE))</f>
        <v/>
      </c>
      <c r="N4934" s="342" t="str">
        <f t="shared" si="1270"/>
        <v/>
      </c>
      <c r="R4934" s="341"/>
      <c r="S4934" s="341"/>
    </row>
    <row r="4935" spans="1:19" ht="12.75" customHeight="1">
      <c r="A4935" s="393"/>
      <c r="C4935" s="20"/>
      <c r="E4935" s="387"/>
      <c r="F4935" s="388">
        <f t="shared" si="1267"/>
        <v>0</v>
      </c>
      <c r="H4935" s="341" t="str">
        <f>IF(A4935="","",VLOOKUP(A4935,VII.A!$A$10:$D$199,4,FALSE))</f>
        <v/>
      </c>
      <c r="I4935" s="341" t="str">
        <f t="shared" si="1268"/>
        <v/>
      </c>
      <c r="J4935" s="341" t="str">
        <f>IF(A4935="","",VLOOKUP(A4935,VII.A!$A$10:$D$199,3,FALSE))</f>
        <v/>
      </c>
      <c r="K4935" s="342" t="str">
        <f t="shared" si="1269"/>
        <v/>
      </c>
      <c r="L4935" s="380" t="str">
        <f>IF(C4935="","",G4907*C4935)</f>
        <v/>
      </c>
      <c r="M4935" s="381" t="str">
        <f>IF(A4935="","",VLOOKUP(A4935,VII.A!$A$10:$B$199,2,FALSE))</f>
        <v/>
      </c>
      <c r="N4935" s="342" t="str">
        <f t="shared" si="1270"/>
        <v/>
      </c>
      <c r="R4935" s="341"/>
      <c r="S4935" s="341"/>
    </row>
    <row r="4936" spans="1:19" ht="12.75" customHeight="1">
      <c r="A4936" s="393"/>
      <c r="C4936" s="20"/>
      <c r="E4936" s="387"/>
      <c r="F4936" s="388">
        <f t="shared" si="1267"/>
        <v>0</v>
      </c>
      <c r="H4936" s="341" t="str">
        <f>IF(A4936="","",VLOOKUP(A4936,VII.A!$A$10:$D$199,4,FALSE))</f>
        <v/>
      </c>
      <c r="I4936" s="341" t="str">
        <f t="shared" si="1268"/>
        <v/>
      </c>
      <c r="J4936" s="341" t="str">
        <f>IF(A4936="","",VLOOKUP(A4936,VII.A!$A$10:$D$199,3,FALSE))</f>
        <v/>
      </c>
      <c r="K4936" s="342" t="str">
        <f t="shared" si="1269"/>
        <v/>
      </c>
      <c r="L4936" s="380" t="str">
        <f>IF(C4936="","",G4907*C4936)</f>
        <v/>
      </c>
      <c r="M4936" s="381" t="str">
        <f>IF(A4936="","",VLOOKUP(A4936,VII.A!$A$10:$B$199,2,FALSE))</f>
        <v/>
      </c>
      <c r="N4936" s="342" t="str">
        <f t="shared" si="1270"/>
        <v/>
      </c>
      <c r="R4936" s="341"/>
      <c r="S4936" s="341"/>
    </row>
    <row r="4937" spans="1:19" ht="12.75" customHeight="1">
      <c r="A4937" s="393"/>
      <c r="C4937" s="20"/>
      <c r="E4937" s="387"/>
      <c r="F4937" s="388">
        <f t="shared" si="1267"/>
        <v>0</v>
      </c>
      <c r="H4937" s="341" t="str">
        <f>IF(A4937="","",VLOOKUP(A4937,VII.A!$A$10:$D$199,4,FALSE))</f>
        <v/>
      </c>
      <c r="I4937" s="341" t="str">
        <f t="shared" si="1268"/>
        <v/>
      </c>
      <c r="J4937" s="341" t="str">
        <f>IF(A4937="","",VLOOKUP(A4937,VII.A!$A$10:$D$199,3,FALSE))</f>
        <v/>
      </c>
      <c r="K4937" s="342" t="str">
        <f t="shared" si="1269"/>
        <v/>
      </c>
      <c r="L4937" s="380" t="str">
        <f>IF(C4937="","",G4907*C4937)</f>
        <v/>
      </c>
      <c r="M4937" s="381" t="str">
        <f>IF(A4937="","",VLOOKUP(A4937,VII.A!$A$10:$B$199,2,FALSE))</f>
        <v/>
      </c>
      <c r="N4937" s="342" t="str">
        <f t="shared" si="1270"/>
        <v/>
      </c>
      <c r="R4937" s="341"/>
      <c r="S4937" s="341"/>
    </row>
    <row r="4938" spans="1:19" ht="12.75" customHeight="1">
      <c r="A4938" s="393"/>
      <c r="C4938" s="20"/>
      <c r="E4938" s="387"/>
      <c r="F4938" s="388">
        <f t="shared" si="1267"/>
        <v>0</v>
      </c>
      <c r="H4938" s="341" t="str">
        <f>IF(A4938="","",VLOOKUP(A4938,VII.A!$A$10:$D$199,4,FALSE))</f>
        <v/>
      </c>
      <c r="I4938" s="341" t="str">
        <f t="shared" si="1268"/>
        <v/>
      </c>
      <c r="J4938" s="341" t="str">
        <f>IF(A4938="","",VLOOKUP(A4938,VII.A!$A$10:$D$199,3,FALSE))</f>
        <v/>
      </c>
      <c r="K4938" s="342" t="str">
        <f t="shared" si="1269"/>
        <v/>
      </c>
      <c r="L4938" s="380" t="str">
        <f>IF(C4938="","",G4907*C4938)</f>
        <v/>
      </c>
      <c r="M4938" s="381" t="str">
        <f>IF(A4938="","",VLOOKUP(A4938,VII.A!$A$10:$B$199,2,FALSE))</f>
        <v/>
      </c>
      <c r="N4938" s="342" t="str">
        <f t="shared" si="1270"/>
        <v/>
      </c>
      <c r="R4938" s="341"/>
      <c r="S4938" s="341"/>
    </row>
    <row r="4939" spans="1:19" ht="12.75" customHeight="1">
      <c r="A4939" s="393"/>
      <c r="B4939" s="395" t="s">
        <v>226</v>
      </c>
      <c r="C4939" s="396"/>
      <c r="D4939" s="397"/>
      <c r="E4939" s="398"/>
      <c r="F4939" s="399">
        <f>SUM(F4929:F4938)</f>
        <v>0</v>
      </c>
      <c r="J4939" s="341"/>
      <c r="L4939" s="380"/>
      <c r="M4939" s="381"/>
      <c r="N4939" s="342"/>
      <c r="R4939" s="341"/>
      <c r="S4939" s="341"/>
    </row>
    <row r="4940" spans="1:19" ht="12.75" customHeight="1">
      <c r="A4940" s="393"/>
      <c r="B4940" s="400" t="s">
        <v>53</v>
      </c>
      <c r="C4940" s="2">
        <f>$D$8</f>
        <v>0</v>
      </c>
      <c r="D4940" s="401"/>
      <c r="E4940" s="402"/>
      <c r="F4940" s="403">
        <f>ROUND(C4940*F4939,2)</f>
        <v>0</v>
      </c>
      <c r="J4940" s="341"/>
      <c r="L4940" s="380"/>
      <c r="M4940" s="381"/>
      <c r="N4940" s="342"/>
      <c r="R4940" s="341"/>
      <c r="S4940" s="341"/>
    </row>
    <row r="4941" spans="1:19" ht="12.75" customHeight="1">
      <c r="A4941" s="404"/>
      <c r="B4941" s="405" t="s">
        <v>228</v>
      </c>
      <c r="C4941" s="406"/>
      <c r="D4941" s="406"/>
      <c r="E4941" s="407"/>
      <c r="F4941" s="408">
        <f>F4939+F4940</f>
        <v>0</v>
      </c>
      <c r="J4941" s="341"/>
      <c r="L4941" s="380"/>
      <c r="M4941" s="381"/>
      <c r="N4941" s="342"/>
      <c r="R4941" s="341"/>
      <c r="S4941" s="341"/>
    </row>
    <row r="4942" spans="1:19" ht="12.75" customHeight="1">
      <c r="A4942" s="409" t="s">
        <v>47</v>
      </c>
      <c r="B4942" s="410" t="s">
        <v>236</v>
      </c>
      <c r="C4942" s="411" t="s">
        <v>231</v>
      </c>
      <c r="D4942" s="412" t="s">
        <v>232</v>
      </c>
      <c r="E4942" s="413" t="s">
        <v>233</v>
      </c>
      <c r="F4942" s="378" t="s">
        <v>234</v>
      </c>
      <c r="J4942" s="341"/>
      <c r="L4942" s="380"/>
      <c r="M4942" s="381"/>
      <c r="N4942" s="342"/>
      <c r="R4942" s="341"/>
      <c r="S4942" s="341"/>
    </row>
    <row r="4943" spans="1:19" ht="12.75" customHeight="1">
      <c r="A4943" s="393" t="str">
        <f>VII.A!$A$181</f>
        <v>3.1</v>
      </c>
      <c r="B4943" s="394" t="s">
        <v>142</v>
      </c>
      <c r="C4943" s="20">
        <v>0.3</v>
      </c>
      <c r="D4943" s="384" t="str">
        <f>VLOOKUP(A4943,VII.A!$A$10:$G$199,3,FALSE)</f>
        <v>H</v>
      </c>
      <c r="E4943" s="387">
        <f>VII.A!$D$181</f>
        <v>0</v>
      </c>
      <c r="F4943" s="388">
        <f t="shared" ref="F4943:F4949" si="1271">ROUND(C4943*E4943,2)</f>
        <v>0</v>
      </c>
      <c r="H4943" s="341">
        <f>IF(A4943="","",VLOOKUP(A4943,VII.A!$A$10:$D$199,4,FALSE))</f>
        <v>0</v>
      </c>
      <c r="I4943" s="341" t="str">
        <f t="shared" ref="I4943:I4949" si="1272">IF(A4943="","",IF(E4943=H4943,"SIM","NÃO"))</f>
        <v>SIM</v>
      </c>
      <c r="J4943" s="341" t="str">
        <f>IF(A4943="","",VLOOKUP(A4943,VII.A!$A$10:$D$199,3,FALSE))</f>
        <v>H</v>
      </c>
      <c r="K4943" s="342" t="str">
        <f t="shared" ref="K4943:K4949" si="1273">IF(A4943="","",IF(J4943=D4943,"SIM","NÃO"))</f>
        <v>SIM</v>
      </c>
      <c r="L4943" s="380">
        <f>IF(C4943="","",G4907*C4943)</f>
        <v>30</v>
      </c>
      <c r="M4943" s="381" t="str">
        <f>IF(A4943="","",VLOOKUP(A4943,VII.A!$A$10:$B$199,2,FALSE))</f>
        <v>AJUDANTE COM ENCARGOS COMPLEMENTARES</v>
      </c>
      <c r="N4943" s="342" t="str">
        <f t="shared" ref="N4943:N4949" si="1274">IF(B4943="","",IF(M4943=B4943,"si","no"))</f>
        <v>si</v>
      </c>
      <c r="R4943" s="341"/>
      <c r="S4943" s="341"/>
    </row>
    <row r="4944" spans="1:19" ht="12.75" customHeight="1">
      <c r="A4944" s="393" t="str">
        <f>VII.A!$A$193</f>
        <v>3.13</v>
      </c>
      <c r="B4944" s="394" t="s">
        <v>154</v>
      </c>
      <c r="C4944" s="20">
        <v>0.3</v>
      </c>
      <c r="D4944" s="384" t="str">
        <f>VLOOKUP(A4944,VII.A!$A$10:$G$199,3,FALSE)</f>
        <v>H</v>
      </c>
      <c r="E4944" s="387">
        <f>VII.A!$D$193</f>
        <v>0</v>
      </c>
      <c r="F4944" s="388">
        <f t="shared" si="1271"/>
        <v>0</v>
      </c>
      <c r="H4944" s="341">
        <f>IF(A4944="","",VLOOKUP(A4944,VII.A!$A$10:$D$199,4,FALSE))</f>
        <v>0</v>
      </c>
      <c r="I4944" s="341" t="str">
        <f t="shared" si="1272"/>
        <v>SIM</v>
      </c>
      <c r="J4944" s="341" t="str">
        <f>IF(A4944="","",VLOOKUP(A4944,VII.A!$A$10:$D$199,3,FALSE))</f>
        <v>H</v>
      </c>
      <c r="K4944" s="342" t="str">
        <f t="shared" si="1273"/>
        <v>SIM</v>
      </c>
      <c r="L4944" s="380">
        <f>IF(C4944="","",G4907*C4944)</f>
        <v>30</v>
      </c>
      <c r="M4944" s="381" t="str">
        <f>IF(A4944="","",VLOOKUP(A4944,VII.A!$A$10:$B$199,2,FALSE))</f>
        <v>PINTOR COM ENCARGOS COMPLEMENTARES</v>
      </c>
      <c r="N4944" s="342" t="str">
        <f t="shared" si="1274"/>
        <v>si</v>
      </c>
      <c r="R4944" s="341"/>
      <c r="S4944" s="341"/>
    </row>
    <row r="4945" spans="1:25" ht="12.75" customHeight="1">
      <c r="A4945" s="393"/>
      <c r="C4945" s="20"/>
      <c r="E4945" s="387"/>
      <c r="F4945" s="388">
        <f t="shared" si="1271"/>
        <v>0</v>
      </c>
      <c r="H4945" s="341" t="str">
        <f>IF(A4945="","",VLOOKUP(A4945,VII.A!$A$10:$D$199,4,FALSE))</f>
        <v/>
      </c>
      <c r="I4945" s="341" t="str">
        <f t="shared" si="1272"/>
        <v/>
      </c>
      <c r="J4945" s="341" t="str">
        <f>IF(A4945="","",VLOOKUP(A4945,VII.A!$A$10:$D$199,3,FALSE))</f>
        <v/>
      </c>
      <c r="K4945" s="342" t="str">
        <f t="shared" si="1273"/>
        <v/>
      </c>
      <c r="L4945" s="380" t="str">
        <f>IF(C4945="","",G4907*C4945)</f>
        <v/>
      </c>
      <c r="M4945" s="381" t="str">
        <f>IF(A4945="","",VLOOKUP(A4945,VII.A!$A$10:$B$199,2,FALSE))</f>
        <v/>
      </c>
      <c r="N4945" s="342" t="str">
        <f t="shared" si="1274"/>
        <v/>
      </c>
      <c r="R4945" s="341"/>
      <c r="S4945" s="341"/>
    </row>
    <row r="4946" spans="1:25" ht="12.75" customHeight="1">
      <c r="A4946" s="393"/>
      <c r="C4946" s="20"/>
      <c r="E4946" s="387"/>
      <c r="F4946" s="388">
        <f t="shared" si="1271"/>
        <v>0</v>
      </c>
      <c r="H4946" s="341" t="str">
        <f>IF(A4946="","",VLOOKUP(A4946,VII.A!$A$10:$D$199,4,FALSE))</f>
        <v/>
      </c>
      <c r="I4946" s="341" t="str">
        <f t="shared" si="1272"/>
        <v/>
      </c>
      <c r="J4946" s="341" t="str">
        <f>IF(A4946="","",VLOOKUP(A4946,VII.A!$A$10:$D$199,3,FALSE))</f>
        <v/>
      </c>
      <c r="K4946" s="342" t="str">
        <f t="shared" si="1273"/>
        <v/>
      </c>
      <c r="L4946" s="380" t="str">
        <f>IF(C4946="","",G4907*C4946)</f>
        <v/>
      </c>
      <c r="M4946" s="381" t="str">
        <f>IF(A4946="","",VLOOKUP(A4946,VII.A!$A$10:$B$199,2,FALSE))</f>
        <v/>
      </c>
      <c r="N4946" s="342" t="str">
        <f t="shared" si="1274"/>
        <v/>
      </c>
      <c r="R4946" s="341"/>
      <c r="S4946" s="341"/>
    </row>
    <row r="4947" spans="1:25" ht="12.75" customHeight="1">
      <c r="A4947" s="393"/>
      <c r="C4947" s="20"/>
      <c r="E4947" s="387"/>
      <c r="F4947" s="388">
        <f t="shared" si="1271"/>
        <v>0</v>
      </c>
      <c r="H4947" s="341" t="str">
        <f>IF(A4947="","",VLOOKUP(A4947,VII.A!$A$10:$D$199,4,FALSE))</f>
        <v/>
      </c>
      <c r="I4947" s="341" t="str">
        <f t="shared" si="1272"/>
        <v/>
      </c>
      <c r="J4947" s="341" t="str">
        <f>IF(A4947="","",VLOOKUP(A4947,VII.A!$A$10:$D$199,3,FALSE))</f>
        <v/>
      </c>
      <c r="K4947" s="342" t="str">
        <f t="shared" si="1273"/>
        <v/>
      </c>
      <c r="L4947" s="380" t="str">
        <f>IF(C4947="","",G4907*C4947)</f>
        <v/>
      </c>
      <c r="M4947" s="381" t="str">
        <f>IF(A4947="","",VLOOKUP(A4947,VII.A!$A$10:$B$199,2,FALSE))</f>
        <v/>
      </c>
      <c r="N4947" s="342" t="str">
        <f t="shared" si="1274"/>
        <v/>
      </c>
      <c r="R4947" s="341"/>
      <c r="S4947" s="341"/>
    </row>
    <row r="4948" spans="1:25" ht="12.75" customHeight="1">
      <c r="A4948" s="393"/>
      <c r="C4948" s="20"/>
      <c r="E4948" s="387"/>
      <c r="F4948" s="388">
        <f t="shared" si="1271"/>
        <v>0</v>
      </c>
      <c r="H4948" s="341" t="str">
        <f>IF(A4948="","",VLOOKUP(A4948,VII.A!$A$10:$D$199,4,FALSE))</f>
        <v/>
      </c>
      <c r="I4948" s="341" t="str">
        <f t="shared" si="1272"/>
        <v/>
      </c>
      <c r="J4948" s="341" t="str">
        <f>IF(A4948="","",VLOOKUP(A4948,VII.A!$A$10:$D$199,3,FALSE))</f>
        <v/>
      </c>
      <c r="K4948" s="342" t="str">
        <f t="shared" si="1273"/>
        <v/>
      </c>
      <c r="L4948" s="380" t="str">
        <f>IF(C4948="","",G4907*C4948)</f>
        <v/>
      </c>
      <c r="M4948" s="381" t="str">
        <f>IF(A4948="","",VLOOKUP(A4948,VII.A!$A$10:$B$199,2,FALSE))</f>
        <v/>
      </c>
      <c r="N4948" s="342" t="str">
        <f t="shared" si="1274"/>
        <v/>
      </c>
      <c r="R4948" s="341"/>
      <c r="S4948" s="341"/>
    </row>
    <row r="4949" spans="1:25" ht="12.75" customHeight="1">
      <c r="A4949" s="393"/>
      <c r="C4949" s="20"/>
      <c r="E4949" s="387"/>
      <c r="F4949" s="388">
        <f t="shared" si="1271"/>
        <v>0</v>
      </c>
      <c r="H4949" s="341" t="str">
        <f>IF(A4949="","",VLOOKUP(A4949,VII.A!$A$10:$D$199,4,FALSE))</f>
        <v/>
      </c>
      <c r="I4949" s="341" t="str">
        <f t="shared" si="1272"/>
        <v/>
      </c>
      <c r="J4949" s="341" t="str">
        <f>IF(A4949="","",VLOOKUP(A4949,VII.A!$A$10:$D$199,3,FALSE))</f>
        <v/>
      </c>
      <c r="K4949" s="342" t="str">
        <f t="shared" si="1273"/>
        <v/>
      </c>
      <c r="L4949" s="380" t="str">
        <f>IF(C4949="","",G4907*C4949)</f>
        <v/>
      </c>
      <c r="M4949" s="381" t="str">
        <f>IF(A4949="","",VLOOKUP(A4949,VII.A!$A$10:$B$199,2,FALSE))</f>
        <v/>
      </c>
      <c r="N4949" s="342" t="str">
        <f t="shared" si="1274"/>
        <v/>
      </c>
      <c r="R4949" s="341"/>
      <c r="S4949" s="341"/>
    </row>
    <row r="4950" spans="1:25" ht="12.75" customHeight="1">
      <c r="A4950" s="393"/>
      <c r="B4950" s="395" t="s">
        <v>226</v>
      </c>
      <c r="C4950" s="396"/>
      <c r="D4950" s="397"/>
      <c r="E4950" s="398"/>
      <c r="F4950" s="399">
        <f>SUM(F4943:F4949)</f>
        <v>0</v>
      </c>
      <c r="J4950" s="341"/>
      <c r="L4950" s="380"/>
      <c r="M4950" s="381"/>
      <c r="N4950" s="342"/>
      <c r="R4950" s="341"/>
      <c r="S4950" s="341"/>
    </row>
    <row r="4951" spans="1:25" ht="12.75" customHeight="1">
      <c r="A4951" s="393"/>
      <c r="B4951" s="400" t="s">
        <v>229</v>
      </c>
      <c r="C4951" s="2">
        <f>IX.A!$C$45</f>
        <v>0</v>
      </c>
      <c r="D4951" s="401"/>
      <c r="E4951" s="402"/>
      <c r="F4951" s="403">
        <f>ROUND(F4950*C4951,2)</f>
        <v>0</v>
      </c>
      <c r="J4951" s="341"/>
      <c r="L4951" s="380"/>
      <c r="M4951" s="381"/>
      <c r="N4951" s="342"/>
      <c r="R4951" s="341"/>
      <c r="S4951" s="341"/>
    </row>
    <row r="4952" spans="1:25" ht="12.75" customHeight="1">
      <c r="A4952" s="393"/>
      <c r="B4952" s="400" t="s">
        <v>53</v>
      </c>
      <c r="C4952" s="2">
        <f>$D$8</f>
        <v>0</v>
      </c>
      <c r="D4952" s="401"/>
      <c r="E4952" s="402"/>
      <c r="F4952" s="403">
        <f>ROUND(SUM(F4950:F4951)*C4952,2)</f>
        <v>0</v>
      </c>
      <c r="J4952" s="341"/>
      <c r="L4952" s="380"/>
      <c r="M4952" s="381"/>
      <c r="N4952" s="342"/>
      <c r="R4952" s="341"/>
      <c r="S4952" s="341"/>
    </row>
    <row r="4953" spans="1:25" ht="12.75" customHeight="1" thickBot="1">
      <c r="A4953" s="414"/>
      <c r="B4953" s="415" t="s">
        <v>230</v>
      </c>
      <c r="C4953" s="416"/>
      <c r="D4953" s="416"/>
      <c r="E4953" s="417"/>
      <c r="F4953" s="418">
        <f>SUM(F4950:F4952)</f>
        <v>0</v>
      </c>
      <c r="J4953" s="341"/>
      <c r="L4953" s="380"/>
      <c r="M4953" s="381"/>
      <c r="N4953" s="342"/>
      <c r="R4953" s="341"/>
      <c r="S4953" s="341"/>
    </row>
    <row r="4954" spans="1:25" ht="12.75" customHeight="1" thickBot="1">
      <c r="A4954" s="427"/>
      <c r="B4954" s="428"/>
      <c r="C4954" s="429"/>
      <c r="D4954" s="429"/>
      <c r="E4954" s="430"/>
      <c r="F4954" s="431"/>
      <c r="J4954" s="341"/>
      <c r="L4954" s="380"/>
      <c r="M4954" s="381"/>
      <c r="N4954" s="342"/>
      <c r="R4954" s="341"/>
      <c r="S4954" s="341"/>
    </row>
    <row r="4955" spans="1:25" ht="30" customHeight="1">
      <c r="A4955" s="370" t="str">
        <f>IV.A!$A$149</f>
        <v>6.12</v>
      </c>
      <c r="B4955" s="371" t="str">
        <f>IV.A!B149</f>
        <v>PINTURA COM TINTA EPOXI, DUAS DEMÃOS</v>
      </c>
      <c r="C4955" s="871" t="s">
        <v>237</v>
      </c>
      <c r="D4955" s="872"/>
      <c r="E4955" s="372" t="str">
        <f>IV.A!C149</f>
        <v>M2</v>
      </c>
      <c r="F4955" s="11">
        <f>ROUND(F4975+F4989+F5001,2)</f>
        <v>0</v>
      </c>
      <c r="G4955" s="1">
        <f>VLOOKUP(A4955,IV.A!$A$16:$L$172,4,FALSE)</f>
        <v>300</v>
      </c>
      <c r="H4955" s="361">
        <f>SUM(F4957:F4972)+F4974</f>
        <v>0</v>
      </c>
      <c r="I4955" s="361">
        <f>SUM(F4977:F4986)+F4988</f>
        <v>0</v>
      </c>
      <c r="J4955" s="361">
        <f>SUM(F4991:F4997)+F4999+F5000</f>
        <v>0</v>
      </c>
      <c r="K4955" s="361">
        <f>SUM(H4955:J4955)</f>
        <v>0</v>
      </c>
      <c r="L4955" s="362" t="str">
        <f>IF(K4955=F4955,"SIM","NÃO")</f>
        <v>SIM</v>
      </c>
      <c r="M4955" s="373">
        <f>ROUND(SUM(F4957:F4972),2)+ROUND(SUM(F4957:F4972)*C4974,2)+ROUND(SUM(F4977:F4986)*C4988,2)+ROUND(SUM(F4977:F4986),2)+ROUND(SUM(F4991:F4997)*C4999,2)+ROUND((SUM(F4991:F4997)+ROUND(SUM(F4991:F4997)*C4999,2))*C5000,2)+ROUND(SUM(F4991:F4997),2)</f>
        <v>0</v>
      </c>
      <c r="N4955" s="343" t="str">
        <f>IF(M4955=F4955,"SIM","NÃO")</f>
        <v>SIM</v>
      </c>
      <c r="O4955" s="364" t="str">
        <f>VLOOKUP(A4955,IV.A!$A$16:$E$172,3,FALSE)</f>
        <v>M2</v>
      </c>
      <c r="P4955" s="344" t="str">
        <f>IF(O4955=E4955,"SIM","NÃO")</f>
        <v>SIM</v>
      </c>
      <c r="Q4955" s="365">
        <f>ROUND(G4955*F4975,2)+ROUND(G4955*F4989,2)+ROUND(G4955*F5001,2)</f>
        <v>0</v>
      </c>
      <c r="R4955" s="364">
        <f>VLOOKUP(A4955,IV.A!$A$16:$L$172,12,FALSE)</f>
        <v>0</v>
      </c>
      <c r="S4955" s="366" t="str">
        <f>IF(Q4955=R4955,"si","no")</f>
        <v>si</v>
      </c>
      <c r="T4955" s="367">
        <f>SUM(L4957:L4972)+SUM(L4977:L4986)+SUM(L4991:L4997)</f>
        <v>390</v>
      </c>
      <c r="U4955" s="341">
        <f>(SUM(C4957:C4972)+SUM(C4977:C4986)+SUM(C4991:C4997))*G4955</f>
        <v>390</v>
      </c>
      <c r="V4955" s="368" t="str">
        <f>IF(T4955=U4955,"si","no")</f>
        <v>si</v>
      </c>
      <c r="W4955" s="369">
        <f>SUM(F4957:F4972)</f>
        <v>0</v>
      </c>
      <c r="X4955" s="369">
        <f>SUM(F4977:F4986)</f>
        <v>0</v>
      </c>
      <c r="Y4955" s="369">
        <f>SUM(F4991:F4997)</f>
        <v>0</v>
      </c>
    </row>
    <row r="4956" spans="1:25" ht="12.75" customHeight="1">
      <c r="A4956" s="374" t="s">
        <v>14</v>
      </c>
      <c r="B4956" s="375" t="s">
        <v>132</v>
      </c>
      <c r="C4956" s="376" t="s">
        <v>231</v>
      </c>
      <c r="D4956" s="376" t="s">
        <v>232</v>
      </c>
      <c r="E4956" s="377" t="s">
        <v>233</v>
      </c>
      <c r="F4956" s="378" t="s">
        <v>234</v>
      </c>
      <c r="G4956" s="379"/>
      <c r="J4956" s="341"/>
      <c r="L4956" s="380"/>
      <c r="M4956" s="381"/>
      <c r="N4956" s="342"/>
      <c r="O4956" s="382"/>
      <c r="P4956" s="383"/>
      <c r="Q4956" s="383"/>
      <c r="R4956" s="383"/>
      <c r="S4956" s="383"/>
      <c r="T4956" s="382"/>
      <c r="U4956" s="341"/>
      <c r="V4956" s="384"/>
      <c r="W4956" s="384"/>
      <c r="X4956" s="384"/>
      <c r="Y4956" s="384"/>
    </row>
    <row r="4957" spans="1:25" ht="12.75" customHeight="1">
      <c r="A4957" s="385" t="str">
        <f>VII.A!$A$14</f>
        <v>1.5</v>
      </c>
      <c r="B4957" s="386" t="str">
        <f>VLOOKUP(A4957,VII.A!$A$10:$G$199,2,FALSE)</f>
        <v>SOLVENTE DILUENTE A BASE DE AGUARRÁS</v>
      </c>
      <c r="C4957" s="20">
        <v>0.05</v>
      </c>
      <c r="D4957" s="342" t="str">
        <f>VLOOKUP(A4957,VII.A!$A$10:$G$199,3,FALSE)</f>
        <v>L</v>
      </c>
      <c r="E4957" s="387">
        <f>VII.A!D14</f>
        <v>0</v>
      </c>
      <c r="F4957" s="388">
        <f>ROUND(C4957*E4957,2)</f>
        <v>0</v>
      </c>
      <c r="H4957" s="341">
        <f>IF(A4957="","",VLOOKUP(A4957,VII.A!$A$10:$D$199,4,FALSE))</f>
        <v>0</v>
      </c>
      <c r="I4957" s="341" t="str">
        <f t="shared" ref="I4957:I4972" si="1275">IF(A4957="","",IF(E4957=H4957,"SIM","NÃO"))</f>
        <v>SIM</v>
      </c>
      <c r="J4957" s="341" t="str">
        <f>IF(A4957="","",VLOOKUP(A4957,VII.A!$A$10:$D$199,3,FALSE))</f>
        <v>L</v>
      </c>
      <c r="K4957" s="342" t="str">
        <f t="shared" ref="K4957:K4972" si="1276">IF(A4957="","",IF(J4957=D4957,"SIM","NÃO"))</f>
        <v>SIM</v>
      </c>
      <c r="L4957" s="380">
        <f>IF(C4957="","",G4955*C4957)</f>
        <v>15</v>
      </c>
      <c r="M4957" s="381" t="str">
        <f>IF(A4957="","",VLOOKUP(A4957,VII.A!$A$10:$B$199,2,FALSE))</f>
        <v>SOLVENTE DILUENTE A BASE DE AGUARRÁS</v>
      </c>
      <c r="N4957" s="342" t="str">
        <f t="shared" ref="N4957:N4972" si="1277">IF(B4957="","",IF(M4957=B4957,"si","no"))</f>
        <v>si</v>
      </c>
      <c r="R4957" s="341"/>
      <c r="S4957" s="341"/>
    </row>
    <row r="4958" spans="1:25" ht="12.75" customHeight="1">
      <c r="A4958" s="385" t="str">
        <f>VII.A!$A$111</f>
        <v>1.101</v>
      </c>
      <c r="B4958" s="386" t="str">
        <f>VLOOKUP(A4958,VII.A!$A$10:$G$199,2,FALSE)</f>
        <v>TINTA EPOXI PREMIUM, BRANCA</v>
      </c>
      <c r="C4958" s="20">
        <v>0.5</v>
      </c>
      <c r="D4958" s="342" t="str">
        <f>VLOOKUP(A4958,VII.A!$A$10:$G$199,3,FALSE)</f>
        <v>L</v>
      </c>
      <c r="E4958" s="387">
        <f>VII.A!D111</f>
        <v>0</v>
      </c>
      <c r="F4958" s="388">
        <f t="shared" ref="F4958:F4972" si="1278">ROUND(C4958*E4958,2)</f>
        <v>0</v>
      </c>
      <c r="H4958" s="341">
        <f>IF(A4958="","",VLOOKUP(A4958,VII.A!$A$10:$D$199,4,FALSE))</f>
        <v>0</v>
      </c>
      <c r="I4958" s="341" t="str">
        <f t="shared" si="1275"/>
        <v>SIM</v>
      </c>
      <c r="J4958" s="341" t="str">
        <f>IF(A4958="","",VLOOKUP(A4958,VII.A!$A$10:$D$199,3,FALSE))</f>
        <v>L</v>
      </c>
      <c r="K4958" s="342" t="str">
        <f t="shared" si="1276"/>
        <v>SIM</v>
      </c>
      <c r="L4958" s="380">
        <f>IF(C4958="","",G4955*C4958)</f>
        <v>150</v>
      </c>
      <c r="M4958" s="381" t="str">
        <f>IF(A4958="","",VLOOKUP(A4958,VII.A!$A$10:$B$199,2,FALSE))</f>
        <v>TINTA EPOXI PREMIUM, BRANCA</v>
      </c>
      <c r="N4958" s="342" t="str">
        <f t="shared" si="1277"/>
        <v>si</v>
      </c>
      <c r="R4958" s="341"/>
      <c r="S4958" s="341"/>
    </row>
    <row r="4959" spans="1:25" ht="12.75" customHeight="1">
      <c r="A4959" s="385"/>
      <c r="B4959" s="386"/>
      <c r="C4959" s="20"/>
      <c r="D4959" s="342"/>
      <c r="E4959" s="387"/>
      <c r="F4959" s="388">
        <f t="shared" si="1278"/>
        <v>0</v>
      </c>
      <c r="H4959" s="341" t="str">
        <f>IF(A4959="","",VLOOKUP(A4959,VII.A!$A$10:$D$199,4,FALSE))</f>
        <v/>
      </c>
      <c r="I4959" s="341" t="str">
        <f t="shared" si="1275"/>
        <v/>
      </c>
      <c r="J4959" s="341" t="str">
        <f>IF(A4959="","",VLOOKUP(A4959,VII.A!$A$10:$D$199,3,FALSE))</f>
        <v/>
      </c>
      <c r="K4959" s="342" t="str">
        <f t="shared" si="1276"/>
        <v/>
      </c>
      <c r="L4959" s="380" t="str">
        <f>IF(C4959="","",G4955*C4959)</f>
        <v/>
      </c>
      <c r="M4959" s="381" t="str">
        <f>IF(A4959="","",VLOOKUP(A4959,VII.A!$A$10:$B$199,2,FALSE))</f>
        <v/>
      </c>
      <c r="N4959" s="342" t="str">
        <f t="shared" si="1277"/>
        <v/>
      </c>
      <c r="R4959" s="341"/>
      <c r="S4959" s="341"/>
    </row>
    <row r="4960" spans="1:25" ht="12.75" customHeight="1">
      <c r="A4960" s="385"/>
      <c r="B4960" s="386"/>
      <c r="C4960" s="20"/>
      <c r="D4960" s="342"/>
      <c r="E4960" s="387"/>
      <c r="F4960" s="388">
        <f t="shared" si="1278"/>
        <v>0</v>
      </c>
      <c r="H4960" s="341" t="str">
        <f>IF(A4960="","",VLOOKUP(A4960,VII.A!$A$10:$D$199,4,FALSE))</f>
        <v/>
      </c>
      <c r="I4960" s="341" t="str">
        <f t="shared" si="1275"/>
        <v/>
      </c>
      <c r="J4960" s="341" t="str">
        <f>IF(A4960="","",VLOOKUP(A4960,VII.A!$A$10:$D$199,3,FALSE))</f>
        <v/>
      </c>
      <c r="K4960" s="342" t="str">
        <f t="shared" si="1276"/>
        <v/>
      </c>
      <c r="L4960" s="380" t="str">
        <f>IF(C4960="","",G4955*C4960)</f>
        <v/>
      </c>
      <c r="M4960" s="381" t="str">
        <f>IF(A4960="","",VLOOKUP(A4960,VII.A!$A$10:$B$199,2,FALSE))</f>
        <v/>
      </c>
      <c r="N4960" s="342" t="str">
        <f t="shared" si="1277"/>
        <v/>
      </c>
      <c r="R4960" s="341"/>
      <c r="S4960" s="341"/>
    </row>
    <row r="4961" spans="1:21" ht="12.75" customHeight="1">
      <c r="A4961" s="385"/>
      <c r="B4961" s="386"/>
      <c r="C4961" s="20"/>
      <c r="D4961" s="342"/>
      <c r="E4961" s="387"/>
      <c r="F4961" s="388">
        <f t="shared" si="1278"/>
        <v>0</v>
      </c>
      <c r="H4961" s="341" t="str">
        <f>IF(A4961="","",VLOOKUP(A4961,VII.A!$A$10:$D$199,4,FALSE))</f>
        <v/>
      </c>
      <c r="I4961" s="341" t="str">
        <f t="shared" si="1275"/>
        <v/>
      </c>
      <c r="J4961" s="341" t="str">
        <f>IF(A4961="","",VLOOKUP(A4961,VII.A!$A$10:$D$199,3,FALSE))</f>
        <v/>
      </c>
      <c r="K4961" s="342" t="str">
        <f t="shared" si="1276"/>
        <v/>
      </c>
      <c r="L4961" s="380" t="str">
        <f>IF(C4961="","",G4955*C4961)</f>
        <v/>
      </c>
      <c r="M4961" s="381" t="str">
        <f>IF(A4961="","",VLOOKUP(A4961,VII.A!$A$10:$B$199,2,FALSE))</f>
        <v/>
      </c>
      <c r="N4961" s="342" t="str">
        <f t="shared" si="1277"/>
        <v/>
      </c>
      <c r="R4961" s="341"/>
      <c r="S4961" s="341"/>
    </row>
    <row r="4962" spans="1:21" ht="12.75" customHeight="1">
      <c r="A4962" s="385"/>
      <c r="B4962" s="386"/>
      <c r="C4962" s="20"/>
      <c r="D4962" s="342"/>
      <c r="E4962" s="387"/>
      <c r="F4962" s="388">
        <f t="shared" si="1278"/>
        <v>0</v>
      </c>
      <c r="H4962" s="341" t="str">
        <f>IF(A4962="","",VLOOKUP(A4962,VII.A!$A$10:$D$199,4,FALSE))</f>
        <v/>
      </c>
      <c r="I4962" s="341" t="str">
        <f t="shared" si="1275"/>
        <v/>
      </c>
      <c r="J4962" s="341" t="str">
        <f>IF(A4962="","",VLOOKUP(A4962,VII.A!$A$10:$D$199,3,FALSE))</f>
        <v/>
      </c>
      <c r="K4962" s="342" t="str">
        <f t="shared" si="1276"/>
        <v/>
      </c>
      <c r="L4962" s="380" t="str">
        <f>IF(C4962="","",G4955*C4962)</f>
        <v/>
      </c>
      <c r="M4962" s="381" t="str">
        <f>IF(A4962="","",VLOOKUP(A4962,VII.A!$A$10:$B$199,2,FALSE))</f>
        <v/>
      </c>
      <c r="N4962" s="342" t="str">
        <f t="shared" si="1277"/>
        <v/>
      </c>
      <c r="R4962" s="341"/>
      <c r="S4962" s="341"/>
      <c r="U4962" s="389"/>
    </row>
    <row r="4963" spans="1:21" ht="12.75" customHeight="1">
      <c r="A4963" s="385"/>
      <c r="B4963" s="386"/>
      <c r="C4963" s="20"/>
      <c r="D4963" s="342"/>
      <c r="E4963" s="387"/>
      <c r="F4963" s="388">
        <f t="shared" si="1278"/>
        <v>0</v>
      </c>
      <c r="H4963" s="341" t="str">
        <f>IF(A4963="","",VLOOKUP(A4963,VII.A!$A$10:$D$199,4,FALSE))</f>
        <v/>
      </c>
      <c r="I4963" s="341" t="str">
        <f t="shared" si="1275"/>
        <v/>
      </c>
      <c r="J4963" s="341" t="str">
        <f>IF(A4963="","",VLOOKUP(A4963,VII.A!$A$10:$D$199,3,FALSE))</f>
        <v/>
      </c>
      <c r="K4963" s="342" t="str">
        <f t="shared" si="1276"/>
        <v/>
      </c>
      <c r="L4963" s="380" t="str">
        <f>IF(C4963="","",G4955*C4963)</f>
        <v/>
      </c>
      <c r="M4963" s="381" t="str">
        <f>IF(A4963="","",VLOOKUP(A4963,VII.A!$A$10:$B$199,2,FALSE))</f>
        <v/>
      </c>
      <c r="N4963" s="342" t="str">
        <f t="shared" si="1277"/>
        <v/>
      </c>
      <c r="R4963" s="341"/>
      <c r="S4963" s="341"/>
    </row>
    <row r="4964" spans="1:21" ht="12.75" customHeight="1">
      <c r="A4964" s="385"/>
      <c r="B4964" s="386"/>
      <c r="C4964" s="20"/>
      <c r="D4964" s="342"/>
      <c r="E4964" s="387"/>
      <c r="F4964" s="388">
        <f t="shared" si="1278"/>
        <v>0</v>
      </c>
      <c r="G4964" s="390"/>
      <c r="H4964" s="341" t="str">
        <f>IF(A4964="","",VLOOKUP(A4964,VII.A!$A$10:$D$199,4,FALSE))</f>
        <v/>
      </c>
      <c r="I4964" s="341" t="str">
        <f t="shared" si="1275"/>
        <v/>
      </c>
      <c r="J4964" s="341" t="str">
        <f>IF(A4964="","",VLOOKUP(A4964,VII.A!$A$10:$D$199,3,FALSE))</f>
        <v/>
      </c>
      <c r="K4964" s="342" t="str">
        <f t="shared" si="1276"/>
        <v/>
      </c>
      <c r="L4964" s="380" t="str">
        <f>IF(C4964="","",G4955*C4964)</f>
        <v/>
      </c>
      <c r="M4964" s="381" t="str">
        <f>IF(A4964="","",VLOOKUP(A4964,VII.A!$A$10:$B$199,2,FALSE))</f>
        <v/>
      </c>
      <c r="N4964" s="342" t="str">
        <f t="shared" si="1277"/>
        <v/>
      </c>
      <c r="R4964" s="341"/>
      <c r="S4964" s="341"/>
    </row>
    <row r="4965" spans="1:21" ht="12.75" customHeight="1">
      <c r="A4965" s="385"/>
      <c r="B4965" s="386"/>
      <c r="C4965" s="20"/>
      <c r="D4965" s="342"/>
      <c r="E4965" s="387"/>
      <c r="F4965" s="388">
        <f t="shared" si="1278"/>
        <v>0</v>
      </c>
      <c r="G4965" s="390"/>
      <c r="H4965" s="341" t="str">
        <f>IF(A4965="","",VLOOKUP(A4965,VII.A!$A$10:$D$199,4,FALSE))</f>
        <v/>
      </c>
      <c r="I4965" s="341" t="str">
        <f t="shared" si="1275"/>
        <v/>
      </c>
      <c r="J4965" s="341" t="str">
        <f>IF(A4965="","",VLOOKUP(A4965,VII.A!$A$10:$D$199,3,FALSE))</f>
        <v/>
      </c>
      <c r="K4965" s="342" t="str">
        <f t="shared" si="1276"/>
        <v/>
      </c>
      <c r="L4965" s="380" t="str">
        <f>IF(C4965="","",G4955*C4965)</f>
        <v/>
      </c>
      <c r="M4965" s="381" t="str">
        <f>IF(A4965="","",VLOOKUP(A4965,VII.A!$A$10:$B$199,2,FALSE))</f>
        <v/>
      </c>
      <c r="N4965" s="342" t="str">
        <f t="shared" si="1277"/>
        <v/>
      </c>
      <c r="R4965" s="341"/>
      <c r="S4965" s="341"/>
    </row>
    <row r="4966" spans="1:21" ht="12.75" customHeight="1">
      <c r="A4966" s="385"/>
      <c r="B4966" s="386"/>
      <c r="C4966" s="20"/>
      <c r="D4966" s="342"/>
      <c r="E4966" s="387"/>
      <c r="F4966" s="388">
        <f t="shared" si="1278"/>
        <v>0</v>
      </c>
      <c r="G4966" s="391"/>
      <c r="H4966" s="341" t="str">
        <f>IF(A4966="","",VLOOKUP(A4966,VII.A!$A$10:$D$199,4,FALSE))</f>
        <v/>
      </c>
      <c r="I4966" s="341" t="str">
        <f t="shared" si="1275"/>
        <v/>
      </c>
      <c r="J4966" s="341" t="str">
        <f>IF(A4966="","",VLOOKUP(A4966,VII.A!$A$10:$D$199,3,FALSE))</f>
        <v/>
      </c>
      <c r="K4966" s="342" t="str">
        <f t="shared" si="1276"/>
        <v/>
      </c>
      <c r="L4966" s="380" t="str">
        <f>IF(C4966="","",G4955*C4966)</f>
        <v/>
      </c>
      <c r="M4966" s="381" t="str">
        <f>IF(A4966="","",VLOOKUP(A4966,VII.A!$A$10:$B$199,2,FALSE))</f>
        <v/>
      </c>
      <c r="N4966" s="342" t="str">
        <f t="shared" si="1277"/>
        <v/>
      </c>
      <c r="R4966" s="341"/>
      <c r="S4966" s="341"/>
    </row>
    <row r="4967" spans="1:21" ht="12.75" customHeight="1">
      <c r="A4967" s="385"/>
      <c r="B4967" s="386"/>
      <c r="C4967" s="20"/>
      <c r="D4967" s="342"/>
      <c r="E4967" s="387"/>
      <c r="F4967" s="388">
        <f t="shared" si="1278"/>
        <v>0</v>
      </c>
      <c r="H4967" s="341" t="str">
        <f>IF(A4967="","",VLOOKUP(A4967,VII.A!$A$10:$D$199,4,FALSE))</f>
        <v/>
      </c>
      <c r="I4967" s="341" t="str">
        <f t="shared" si="1275"/>
        <v/>
      </c>
      <c r="J4967" s="341" t="str">
        <f>IF(A4967="","",VLOOKUP(A4967,VII.A!$A$10:$D$199,3,FALSE))</f>
        <v/>
      </c>
      <c r="K4967" s="342" t="str">
        <f t="shared" si="1276"/>
        <v/>
      </c>
      <c r="L4967" s="380" t="str">
        <f>IF(C4967="","",G4955*C4967)</f>
        <v/>
      </c>
      <c r="M4967" s="381" t="str">
        <f>IF(A4967="","",VLOOKUP(A4967,VII.A!$A$10:$B$199,2,FALSE))</f>
        <v/>
      </c>
      <c r="N4967" s="342" t="str">
        <f t="shared" si="1277"/>
        <v/>
      </c>
      <c r="R4967" s="341"/>
      <c r="S4967" s="341"/>
    </row>
    <row r="4968" spans="1:21" ht="12.75" customHeight="1">
      <c r="A4968" s="385"/>
      <c r="B4968" s="386"/>
      <c r="C4968" s="20"/>
      <c r="D4968" s="392"/>
      <c r="E4968" s="387"/>
      <c r="F4968" s="388">
        <f t="shared" si="1278"/>
        <v>0</v>
      </c>
      <c r="H4968" s="341" t="str">
        <f>IF(A4968="","",VLOOKUP(A4968,VII.A!$A$10:$D$199,4,FALSE))</f>
        <v/>
      </c>
      <c r="I4968" s="341" t="str">
        <f t="shared" si="1275"/>
        <v/>
      </c>
      <c r="J4968" s="341" t="str">
        <f>IF(A4968="","",VLOOKUP(A4968,VII.A!$A$10:$D$199,3,FALSE))</f>
        <v/>
      </c>
      <c r="K4968" s="342" t="str">
        <f t="shared" si="1276"/>
        <v/>
      </c>
      <c r="L4968" s="380" t="str">
        <f>IF(C4968="","",G4955*C4968)</f>
        <v/>
      </c>
      <c r="M4968" s="381" t="str">
        <f>IF(A4968="","",VLOOKUP(A4968,VII.A!$A$10:$B$199,2,FALSE))</f>
        <v/>
      </c>
      <c r="N4968" s="342" t="str">
        <f t="shared" si="1277"/>
        <v/>
      </c>
      <c r="R4968" s="341"/>
      <c r="S4968" s="341"/>
    </row>
    <row r="4969" spans="1:21" ht="12.75" customHeight="1">
      <c r="A4969" s="385"/>
      <c r="B4969" s="386"/>
      <c r="C4969" s="20"/>
      <c r="D4969" s="392"/>
      <c r="E4969" s="387"/>
      <c r="F4969" s="388">
        <f t="shared" si="1278"/>
        <v>0</v>
      </c>
      <c r="H4969" s="341" t="str">
        <f>IF(A4969="","",VLOOKUP(A4969,VII.A!$A$10:$D$199,4,FALSE))</f>
        <v/>
      </c>
      <c r="I4969" s="341" t="str">
        <f t="shared" si="1275"/>
        <v/>
      </c>
      <c r="J4969" s="341" t="str">
        <f>IF(A4969="","",VLOOKUP(A4969,VII.A!$A$10:$D$199,3,FALSE))</f>
        <v/>
      </c>
      <c r="K4969" s="342" t="str">
        <f t="shared" si="1276"/>
        <v/>
      </c>
      <c r="L4969" s="380" t="str">
        <f>IF(C4969="","",G4955*C4969)</f>
        <v/>
      </c>
      <c r="M4969" s="381" t="str">
        <f>IF(A4969="","",VLOOKUP(A4969,VII.A!$A$10:$B$199,2,FALSE))</f>
        <v/>
      </c>
      <c r="N4969" s="342" t="str">
        <f t="shared" si="1277"/>
        <v/>
      </c>
      <c r="O4969" s="342"/>
      <c r="R4969" s="341"/>
      <c r="S4969" s="341"/>
    </row>
    <row r="4970" spans="1:21" ht="12.75" customHeight="1">
      <c r="A4970" s="385"/>
      <c r="B4970" s="386"/>
      <c r="C4970" s="20"/>
      <c r="D4970" s="392"/>
      <c r="E4970" s="387"/>
      <c r="F4970" s="388">
        <f t="shared" si="1278"/>
        <v>0</v>
      </c>
      <c r="H4970" s="341" t="str">
        <f>IF(A4970="","",VLOOKUP(A4970,VII.A!$A$10:$D$199,4,FALSE))</f>
        <v/>
      </c>
      <c r="I4970" s="341" t="str">
        <f t="shared" si="1275"/>
        <v/>
      </c>
      <c r="J4970" s="341" t="str">
        <f>IF(A4970="","",VLOOKUP(A4970,VII.A!$A$10:$D$199,3,FALSE))</f>
        <v/>
      </c>
      <c r="K4970" s="342" t="str">
        <f t="shared" si="1276"/>
        <v/>
      </c>
      <c r="L4970" s="380" t="str">
        <f>IF(C4970="","",G4955*C4970)</f>
        <v/>
      </c>
      <c r="M4970" s="381" t="str">
        <f>IF(A4970="","",VLOOKUP(A4970,VII.A!$A$10:$B$199,2,FALSE))</f>
        <v/>
      </c>
      <c r="N4970" s="342" t="str">
        <f t="shared" si="1277"/>
        <v/>
      </c>
      <c r="R4970" s="341"/>
      <c r="S4970" s="341"/>
    </row>
    <row r="4971" spans="1:21" ht="12.75" customHeight="1">
      <c r="A4971" s="393"/>
      <c r="C4971" s="20"/>
      <c r="E4971" s="387"/>
      <c r="F4971" s="388">
        <f t="shared" si="1278"/>
        <v>0</v>
      </c>
      <c r="H4971" s="341" t="str">
        <f>IF(A4971="","",VLOOKUP(A4971,VII.A!$A$10:$D$199,4,FALSE))</f>
        <v/>
      </c>
      <c r="I4971" s="341" t="str">
        <f t="shared" si="1275"/>
        <v/>
      </c>
      <c r="J4971" s="341" t="str">
        <f>IF(A4971="","",VLOOKUP(A4971,VII.A!$A$10:$D$199,3,FALSE))</f>
        <v/>
      </c>
      <c r="K4971" s="342" t="str">
        <f t="shared" si="1276"/>
        <v/>
      </c>
      <c r="L4971" s="380" t="str">
        <f>IF(C4971="","",G4955*C4971)</f>
        <v/>
      </c>
      <c r="M4971" s="381" t="str">
        <f>IF(A4971="","",VLOOKUP(A4971,VII.A!$A$10:$B$199,2,FALSE))</f>
        <v/>
      </c>
      <c r="N4971" s="342" t="str">
        <f t="shared" si="1277"/>
        <v/>
      </c>
      <c r="R4971" s="341"/>
      <c r="S4971" s="341"/>
    </row>
    <row r="4972" spans="1:21" ht="12.75" customHeight="1">
      <c r="A4972" s="393"/>
      <c r="C4972" s="20"/>
      <c r="E4972" s="387"/>
      <c r="F4972" s="388">
        <f t="shared" si="1278"/>
        <v>0</v>
      </c>
      <c r="H4972" s="341" t="str">
        <f>IF(A4972="","",VLOOKUP(A4972,VII.A!$A$10:$D$199,4,FALSE))</f>
        <v/>
      </c>
      <c r="I4972" s="341" t="str">
        <f t="shared" si="1275"/>
        <v/>
      </c>
      <c r="J4972" s="341" t="str">
        <f>IF(A4972="","",VLOOKUP(A4972,VII.A!$A$10:$D$199,3,FALSE))</f>
        <v/>
      </c>
      <c r="K4972" s="342" t="str">
        <f t="shared" si="1276"/>
        <v/>
      </c>
      <c r="L4972" s="380" t="str">
        <f>IF(C4972="","",G4955*C4972)</f>
        <v/>
      </c>
      <c r="M4972" s="381" t="str">
        <f>IF(A4972="","",VLOOKUP(A4972,VII.A!$A$10:$B$199,2,FALSE))</f>
        <v/>
      </c>
      <c r="N4972" s="342" t="str">
        <f t="shared" si="1277"/>
        <v/>
      </c>
      <c r="R4972" s="341"/>
      <c r="S4972" s="341"/>
    </row>
    <row r="4973" spans="1:21" ht="12.75" customHeight="1">
      <c r="A4973" s="393"/>
      <c r="B4973" s="395" t="s">
        <v>226</v>
      </c>
      <c r="C4973" s="396"/>
      <c r="D4973" s="397"/>
      <c r="E4973" s="398"/>
      <c r="F4973" s="399">
        <f>SUM(F4957:F4972)</f>
        <v>0</v>
      </c>
      <c r="H4973" s="426" t="s">
        <v>424</v>
      </c>
      <c r="J4973" s="341"/>
      <c r="L4973" s="380"/>
      <c r="M4973" s="381"/>
      <c r="N4973" s="342"/>
      <c r="R4973" s="341"/>
      <c r="S4973" s="341"/>
    </row>
    <row r="4974" spans="1:21" ht="12.75" customHeight="1">
      <c r="A4974" s="393"/>
      <c r="B4974" s="400" t="s">
        <v>53</v>
      </c>
      <c r="C4974" s="2">
        <f>$D$8</f>
        <v>0</v>
      </c>
      <c r="D4974" s="401"/>
      <c r="E4974" s="402"/>
      <c r="F4974" s="403">
        <f>ROUND(F4973*C4974,2)</f>
        <v>0</v>
      </c>
      <c r="H4974" s="426" t="s">
        <v>397</v>
      </c>
      <c r="J4974" s="341"/>
      <c r="L4974" s="380"/>
      <c r="M4974" s="381"/>
      <c r="N4974" s="342"/>
      <c r="R4974" s="341"/>
      <c r="S4974" s="341"/>
    </row>
    <row r="4975" spans="1:21" ht="12.75" customHeight="1">
      <c r="A4975" s="404"/>
      <c r="B4975" s="405" t="s">
        <v>227</v>
      </c>
      <c r="C4975" s="406"/>
      <c r="D4975" s="406"/>
      <c r="E4975" s="407"/>
      <c r="F4975" s="408">
        <f>F4973+F4974</f>
        <v>0</v>
      </c>
      <c r="J4975" s="341"/>
      <c r="L4975" s="380"/>
      <c r="M4975" s="381"/>
      <c r="N4975" s="342"/>
      <c r="R4975" s="341"/>
      <c r="S4975" s="341"/>
    </row>
    <row r="4976" spans="1:21" ht="12.75" customHeight="1">
      <c r="A4976" s="374" t="s">
        <v>2</v>
      </c>
      <c r="B4976" s="375" t="s">
        <v>235</v>
      </c>
      <c r="C4976" s="376" t="s">
        <v>231</v>
      </c>
      <c r="D4976" s="376" t="s">
        <v>232</v>
      </c>
      <c r="E4976" s="377" t="s">
        <v>233</v>
      </c>
      <c r="F4976" s="378" t="s">
        <v>234</v>
      </c>
      <c r="J4976" s="341"/>
      <c r="L4976" s="380"/>
      <c r="M4976" s="381"/>
      <c r="N4976" s="342"/>
      <c r="R4976" s="341"/>
      <c r="S4976" s="341"/>
    </row>
    <row r="4977" spans="1:19" ht="12.75" customHeight="1">
      <c r="A4977" s="393"/>
      <c r="B4977" s="423"/>
      <c r="C4977" s="20"/>
      <c r="E4977" s="387"/>
      <c r="F4977" s="388">
        <f t="shared" ref="F4977:F4986" si="1279">ROUND(C4977*E4977,2)</f>
        <v>0</v>
      </c>
      <c r="H4977" s="341" t="str">
        <f>IF(A4977="","",VLOOKUP(A4977,VII.A!$A$10:$D$199,4,FALSE))</f>
        <v/>
      </c>
      <c r="I4977" s="341" t="str">
        <f t="shared" ref="I4977:I4986" si="1280">IF(A4977="","",IF(E4977=H4977,"SIM","NÃO"))</f>
        <v/>
      </c>
      <c r="J4977" s="341" t="str">
        <f>IF(A4977="","",VLOOKUP(A4977,VII.A!$A$10:$D$199,3,FALSE))</f>
        <v/>
      </c>
      <c r="K4977" s="342" t="str">
        <f t="shared" ref="K4977:K4986" si="1281">IF(A4977="","",IF(J4977=D4977,"SIM","NÃO"))</f>
        <v/>
      </c>
      <c r="L4977" s="380" t="str">
        <f>IF(C4977="","",G4955*C4977)</f>
        <v/>
      </c>
      <c r="M4977" s="381" t="str">
        <f>IF(A4977="","",VLOOKUP(A4977,VII.A!$A$10:$B$199,2,FALSE))</f>
        <v/>
      </c>
      <c r="N4977" s="342" t="str">
        <f t="shared" ref="N4977:N4986" si="1282">IF(B4977="","",IF(M4977=B4977,"si","no"))</f>
        <v/>
      </c>
      <c r="R4977" s="341"/>
      <c r="S4977" s="341"/>
    </row>
    <row r="4978" spans="1:19" ht="12.75" customHeight="1">
      <c r="A4978" s="393"/>
      <c r="C4978" s="20"/>
      <c r="E4978" s="387"/>
      <c r="F4978" s="388">
        <f t="shared" si="1279"/>
        <v>0</v>
      </c>
      <c r="H4978" s="341" t="str">
        <f>IF(A4978="","",VLOOKUP(A4978,VII.A!$A$10:$D$199,4,FALSE))</f>
        <v/>
      </c>
      <c r="I4978" s="341" t="str">
        <f t="shared" si="1280"/>
        <v/>
      </c>
      <c r="J4978" s="341" t="str">
        <f>IF(A4978="","",VLOOKUP(A4978,VII.A!$A$10:$D$199,3,FALSE))</f>
        <v/>
      </c>
      <c r="K4978" s="342" t="str">
        <f t="shared" si="1281"/>
        <v/>
      </c>
      <c r="L4978" s="380" t="str">
        <f>IF(C4978="","",G4955*C4978)</f>
        <v/>
      </c>
      <c r="M4978" s="381" t="str">
        <f>IF(A4978="","",VLOOKUP(A4978,VII.A!$A$10:$B$199,2,FALSE))</f>
        <v/>
      </c>
      <c r="N4978" s="342" t="str">
        <f t="shared" si="1282"/>
        <v/>
      </c>
      <c r="R4978" s="341"/>
      <c r="S4978" s="341"/>
    </row>
    <row r="4979" spans="1:19" ht="12.75" customHeight="1">
      <c r="A4979" s="393"/>
      <c r="C4979" s="20"/>
      <c r="E4979" s="387"/>
      <c r="F4979" s="388">
        <f t="shared" si="1279"/>
        <v>0</v>
      </c>
      <c r="H4979" s="341" t="str">
        <f>IF(A4979="","",VLOOKUP(A4979,VII.A!$A$10:$D$199,4,FALSE))</f>
        <v/>
      </c>
      <c r="I4979" s="341" t="str">
        <f t="shared" si="1280"/>
        <v/>
      </c>
      <c r="J4979" s="341" t="str">
        <f>IF(A4979="","",VLOOKUP(A4979,VII.A!$A$10:$D$199,3,FALSE))</f>
        <v/>
      </c>
      <c r="K4979" s="342" t="str">
        <f t="shared" si="1281"/>
        <v/>
      </c>
      <c r="L4979" s="380" t="str">
        <f>IF(C4979="","",G4955*C4979)</f>
        <v/>
      </c>
      <c r="M4979" s="381" t="str">
        <f>IF(A4979="","",VLOOKUP(A4979,VII.A!$A$10:$B$199,2,FALSE))</f>
        <v/>
      </c>
      <c r="N4979" s="342" t="str">
        <f t="shared" si="1282"/>
        <v/>
      </c>
      <c r="R4979" s="341"/>
      <c r="S4979" s="341"/>
    </row>
    <row r="4980" spans="1:19" ht="12.75" customHeight="1">
      <c r="A4980" s="393"/>
      <c r="C4980" s="20"/>
      <c r="E4980" s="387"/>
      <c r="F4980" s="388">
        <f t="shared" si="1279"/>
        <v>0</v>
      </c>
      <c r="H4980" s="341" t="str">
        <f>IF(A4980="","",VLOOKUP(A4980,VII.A!$A$10:$D$199,4,FALSE))</f>
        <v/>
      </c>
      <c r="I4980" s="341" t="str">
        <f t="shared" si="1280"/>
        <v/>
      </c>
      <c r="J4980" s="341" t="str">
        <f>IF(A4980="","",VLOOKUP(A4980,VII.A!$A$10:$D$199,3,FALSE))</f>
        <v/>
      </c>
      <c r="K4980" s="342" t="str">
        <f t="shared" si="1281"/>
        <v/>
      </c>
      <c r="L4980" s="380" t="str">
        <f>IF(C4980="","",G4955*C4980)</f>
        <v/>
      </c>
      <c r="M4980" s="381" t="str">
        <f>IF(A4980="","",VLOOKUP(A4980,VII.A!$A$10:$B$199,2,FALSE))</f>
        <v/>
      </c>
      <c r="N4980" s="342" t="str">
        <f t="shared" si="1282"/>
        <v/>
      </c>
      <c r="R4980" s="341"/>
      <c r="S4980" s="341"/>
    </row>
    <row r="4981" spans="1:19" ht="12.75" customHeight="1">
      <c r="A4981" s="393"/>
      <c r="C4981" s="20"/>
      <c r="E4981" s="387"/>
      <c r="F4981" s="388">
        <f t="shared" si="1279"/>
        <v>0</v>
      </c>
      <c r="G4981" s="390"/>
      <c r="H4981" s="341" t="str">
        <f>IF(A4981="","",VLOOKUP(A4981,VII.A!$A$10:$D$199,4,FALSE))</f>
        <v/>
      </c>
      <c r="I4981" s="341" t="str">
        <f t="shared" si="1280"/>
        <v/>
      </c>
      <c r="J4981" s="341" t="str">
        <f>IF(A4981="","",VLOOKUP(A4981,VII.A!$A$10:$D$199,3,FALSE))</f>
        <v/>
      </c>
      <c r="K4981" s="342" t="str">
        <f t="shared" si="1281"/>
        <v/>
      </c>
      <c r="L4981" s="380" t="str">
        <f>IF(C4981="","",G4955*C4981)</f>
        <v/>
      </c>
      <c r="M4981" s="381" t="str">
        <f>IF(A4981="","",VLOOKUP(A4981,VII.A!$A$10:$B$199,2,FALSE))</f>
        <v/>
      </c>
      <c r="N4981" s="342" t="str">
        <f t="shared" si="1282"/>
        <v/>
      </c>
      <c r="R4981" s="341"/>
      <c r="S4981" s="341"/>
    </row>
    <row r="4982" spans="1:19" ht="12.75" customHeight="1">
      <c r="A4982" s="393"/>
      <c r="C4982" s="20"/>
      <c r="E4982" s="387"/>
      <c r="F4982" s="388">
        <f t="shared" si="1279"/>
        <v>0</v>
      </c>
      <c r="G4982" s="391"/>
      <c r="H4982" s="341" t="str">
        <f>IF(A4982="","",VLOOKUP(A4982,VII.A!$A$10:$D$199,4,FALSE))</f>
        <v/>
      </c>
      <c r="I4982" s="341" t="str">
        <f t="shared" si="1280"/>
        <v/>
      </c>
      <c r="J4982" s="341" t="str">
        <f>IF(A4982="","",VLOOKUP(A4982,VII.A!$A$10:$D$199,3,FALSE))</f>
        <v/>
      </c>
      <c r="K4982" s="342" t="str">
        <f t="shared" si="1281"/>
        <v/>
      </c>
      <c r="L4982" s="380" t="str">
        <f>IF(C4982="","",G4955*C4982)</f>
        <v/>
      </c>
      <c r="M4982" s="381" t="str">
        <f>IF(A4982="","",VLOOKUP(A4982,VII.A!$A$10:$B$199,2,FALSE))</f>
        <v/>
      </c>
      <c r="N4982" s="342" t="str">
        <f t="shared" si="1282"/>
        <v/>
      </c>
      <c r="R4982" s="341"/>
      <c r="S4982" s="341"/>
    </row>
    <row r="4983" spans="1:19" ht="12.75" customHeight="1">
      <c r="A4983" s="393"/>
      <c r="C4983" s="20"/>
      <c r="E4983" s="387"/>
      <c r="F4983" s="388">
        <f t="shared" si="1279"/>
        <v>0</v>
      </c>
      <c r="H4983" s="341" t="str">
        <f>IF(A4983="","",VLOOKUP(A4983,VII.A!$A$10:$D$199,4,FALSE))</f>
        <v/>
      </c>
      <c r="I4983" s="341" t="str">
        <f t="shared" si="1280"/>
        <v/>
      </c>
      <c r="J4983" s="341" t="str">
        <f>IF(A4983="","",VLOOKUP(A4983,VII.A!$A$10:$D$199,3,FALSE))</f>
        <v/>
      </c>
      <c r="K4983" s="342" t="str">
        <f t="shared" si="1281"/>
        <v/>
      </c>
      <c r="L4983" s="380" t="str">
        <f>IF(C4983="","",G4955*C4983)</f>
        <v/>
      </c>
      <c r="M4983" s="381" t="str">
        <f>IF(A4983="","",VLOOKUP(A4983,VII.A!$A$10:$B$199,2,FALSE))</f>
        <v/>
      </c>
      <c r="N4983" s="342" t="str">
        <f t="shared" si="1282"/>
        <v/>
      </c>
      <c r="R4983" s="341"/>
      <c r="S4983" s="341"/>
    </row>
    <row r="4984" spans="1:19" ht="12.75" customHeight="1">
      <c r="A4984" s="393"/>
      <c r="C4984" s="20"/>
      <c r="E4984" s="387"/>
      <c r="F4984" s="388">
        <f t="shared" si="1279"/>
        <v>0</v>
      </c>
      <c r="H4984" s="341" t="str">
        <f>IF(A4984="","",VLOOKUP(A4984,VII.A!$A$10:$D$199,4,FALSE))</f>
        <v/>
      </c>
      <c r="I4984" s="341" t="str">
        <f t="shared" si="1280"/>
        <v/>
      </c>
      <c r="J4984" s="341" t="str">
        <f>IF(A4984="","",VLOOKUP(A4984,VII.A!$A$10:$D$199,3,FALSE))</f>
        <v/>
      </c>
      <c r="K4984" s="342" t="str">
        <f t="shared" si="1281"/>
        <v/>
      </c>
      <c r="L4984" s="380" t="str">
        <f>IF(C4984="","",G4955*C4984)</f>
        <v/>
      </c>
      <c r="M4984" s="381" t="str">
        <f>IF(A4984="","",VLOOKUP(A4984,VII.A!$A$10:$B$199,2,FALSE))</f>
        <v/>
      </c>
      <c r="N4984" s="342" t="str">
        <f t="shared" si="1282"/>
        <v/>
      </c>
      <c r="R4984" s="341"/>
      <c r="S4984" s="341"/>
    </row>
    <row r="4985" spans="1:19" ht="12.75" customHeight="1">
      <c r="A4985" s="393"/>
      <c r="C4985" s="20"/>
      <c r="E4985" s="387"/>
      <c r="F4985" s="388">
        <f t="shared" si="1279"/>
        <v>0</v>
      </c>
      <c r="H4985" s="341" t="str">
        <f>IF(A4985="","",VLOOKUP(A4985,VII.A!$A$10:$D$199,4,FALSE))</f>
        <v/>
      </c>
      <c r="I4985" s="341" t="str">
        <f t="shared" si="1280"/>
        <v/>
      </c>
      <c r="J4985" s="341" t="str">
        <f>IF(A4985="","",VLOOKUP(A4985,VII.A!$A$10:$D$199,3,FALSE))</f>
        <v/>
      </c>
      <c r="K4985" s="342" t="str">
        <f t="shared" si="1281"/>
        <v/>
      </c>
      <c r="L4985" s="380" t="str">
        <f>IF(C4985="","",G4955*C4985)</f>
        <v/>
      </c>
      <c r="M4985" s="381" t="str">
        <f>IF(A4985="","",VLOOKUP(A4985,VII.A!$A$10:$B$199,2,FALSE))</f>
        <v/>
      </c>
      <c r="N4985" s="342" t="str">
        <f t="shared" si="1282"/>
        <v/>
      </c>
      <c r="R4985" s="341"/>
      <c r="S4985" s="341"/>
    </row>
    <row r="4986" spans="1:19" ht="12.75" customHeight="1">
      <c r="A4986" s="393"/>
      <c r="C4986" s="20"/>
      <c r="E4986" s="387"/>
      <c r="F4986" s="388">
        <f t="shared" si="1279"/>
        <v>0</v>
      </c>
      <c r="H4986" s="341" t="str">
        <f>IF(A4986="","",VLOOKUP(A4986,VII.A!$A$10:$D$199,4,FALSE))</f>
        <v/>
      </c>
      <c r="I4986" s="341" t="str">
        <f t="shared" si="1280"/>
        <v/>
      </c>
      <c r="J4986" s="341" t="str">
        <f>IF(A4986="","",VLOOKUP(A4986,VII.A!$A$10:$D$199,3,FALSE))</f>
        <v/>
      </c>
      <c r="K4986" s="342" t="str">
        <f t="shared" si="1281"/>
        <v/>
      </c>
      <c r="L4986" s="380" t="str">
        <f>IF(C4986="","",G4955*C4986)</f>
        <v/>
      </c>
      <c r="M4986" s="381" t="str">
        <f>IF(A4986="","",VLOOKUP(A4986,VII.A!$A$10:$B$199,2,FALSE))</f>
        <v/>
      </c>
      <c r="N4986" s="342" t="str">
        <f t="shared" si="1282"/>
        <v/>
      </c>
      <c r="R4986" s="341"/>
      <c r="S4986" s="341"/>
    </row>
    <row r="4987" spans="1:19" ht="12.75" customHeight="1">
      <c r="A4987" s="393"/>
      <c r="B4987" s="395" t="s">
        <v>226</v>
      </c>
      <c r="C4987" s="396"/>
      <c r="D4987" s="397"/>
      <c r="E4987" s="398"/>
      <c r="F4987" s="399">
        <f>SUM(F4977:F4986)</f>
        <v>0</v>
      </c>
      <c r="J4987" s="341"/>
      <c r="L4987" s="380"/>
      <c r="M4987" s="381"/>
      <c r="N4987" s="342"/>
      <c r="R4987" s="341"/>
      <c r="S4987" s="341"/>
    </row>
    <row r="4988" spans="1:19" ht="12.75" customHeight="1">
      <c r="A4988" s="393"/>
      <c r="B4988" s="400" t="s">
        <v>53</v>
      </c>
      <c r="C4988" s="2">
        <f>$D$8</f>
        <v>0</v>
      </c>
      <c r="D4988" s="401"/>
      <c r="E4988" s="402"/>
      <c r="F4988" s="403">
        <f>ROUND(C4988*F4987,2)</f>
        <v>0</v>
      </c>
      <c r="J4988" s="341"/>
      <c r="L4988" s="380"/>
      <c r="M4988" s="381"/>
      <c r="N4988" s="342"/>
      <c r="R4988" s="341"/>
      <c r="S4988" s="341"/>
    </row>
    <row r="4989" spans="1:19" ht="12.75" customHeight="1">
      <c r="A4989" s="404"/>
      <c r="B4989" s="405" t="s">
        <v>228</v>
      </c>
      <c r="C4989" s="406"/>
      <c r="D4989" s="406"/>
      <c r="E4989" s="407"/>
      <c r="F4989" s="408">
        <f>F4987+F4988</f>
        <v>0</v>
      </c>
      <c r="J4989" s="341"/>
      <c r="L4989" s="380"/>
      <c r="M4989" s="381"/>
      <c r="N4989" s="342"/>
      <c r="R4989" s="341"/>
      <c r="S4989" s="341"/>
    </row>
    <row r="4990" spans="1:19" ht="12.75" customHeight="1">
      <c r="A4990" s="409" t="s">
        <v>47</v>
      </c>
      <c r="B4990" s="410" t="s">
        <v>236</v>
      </c>
      <c r="C4990" s="411" t="s">
        <v>231</v>
      </c>
      <c r="D4990" s="412" t="s">
        <v>232</v>
      </c>
      <c r="E4990" s="413" t="s">
        <v>233</v>
      </c>
      <c r="F4990" s="378" t="s">
        <v>234</v>
      </c>
      <c r="J4990" s="341"/>
      <c r="L4990" s="380"/>
      <c r="M4990" s="381"/>
      <c r="N4990" s="342"/>
      <c r="R4990" s="341"/>
      <c r="S4990" s="341"/>
    </row>
    <row r="4991" spans="1:19" ht="12.75" customHeight="1">
      <c r="A4991" s="393" t="str">
        <f>VII.A!$A$193</f>
        <v>3.13</v>
      </c>
      <c r="B4991" s="394" t="s">
        <v>154</v>
      </c>
      <c r="C4991" s="20">
        <v>0.4</v>
      </c>
      <c r="D4991" s="384" t="str">
        <f>VLOOKUP(A4991,VII.A!$A$10:$G$199,3,FALSE)</f>
        <v>H</v>
      </c>
      <c r="E4991" s="387">
        <f>VII.A!D193</f>
        <v>0</v>
      </c>
      <c r="F4991" s="388">
        <f t="shared" ref="F4991:F4997" si="1283">ROUND(C4991*E4991,2)</f>
        <v>0</v>
      </c>
      <c r="H4991" s="341">
        <f>IF(A4991="","",VLOOKUP(A4991,VII.A!$A$10:$D$199,4,FALSE))</f>
        <v>0</v>
      </c>
      <c r="I4991" s="341" t="str">
        <f t="shared" ref="I4991:I4997" si="1284">IF(A4991="","",IF(E4991=H4991,"SIM","NÃO"))</f>
        <v>SIM</v>
      </c>
      <c r="J4991" s="341" t="str">
        <f>IF(A4991="","",VLOOKUP(A4991,VII.A!$A$10:$D$199,3,FALSE))</f>
        <v>H</v>
      </c>
      <c r="K4991" s="342" t="str">
        <f t="shared" ref="K4991:K4997" si="1285">IF(A4991="","",IF(J4991=D4991,"SIM","NÃO"))</f>
        <v>SIM</v>
      </c>
      <c r="L4991" s="380">
        <f>IF(C4991="","",G4955*C4991)</f>
        <v>120</v>
      </c>
      <c r="M4991" s="381" t="str">
        <f>IF(A4991="","",VLOOKUP(A4991,VII.A!$A$10:$B$199,2,FALSE))</f>
        <v>PINTOR COM ENCARGOS COMPLEMENTARES</v>
      </c>
      <c r="N4991" s="342" t="str">
        <f t="shared" ref="N4991:N4997" si="1286">IF(B4991="","",IF(M4991=B4991,"si","no"))</f>
        <v>si</v>
      </c>
      <c r="R4991" s="341"/>
      <c r="S4991" s="341"/>
    </row>
    <row r="4992" spans="1:19" ht="12.75" customHeight="1">
      <c r="A4992" s="393" t="str">
        <f>VII.A!$A$196</f>
        <v>3.16</v>
      </c>
      <c r="B4992" s="394" t="s">
        <v>157</v>
      </c>
      <c r="C4992" s="20">
        <v>0.35</v>
      </c>
      <c r="D4992" s="384" t="str">
        <f>VLOOKUP(A4992,VII.A!$A$10:$G$199,3,FALSE)</f>
        <v>H</v>
      </c>
      <c r="E4992" s="387">
        <f>VII.A!D196</f>
        <v>0</v>
      </c>
      <c r="F4992" s="388">
        <f t="shared" si="1283"/>
        <v>0</v>
      </c>
      <c r="H4992" s="341">
        <f>IF(A4992="","",VLOOKUP(A4992,VII.A!$A$10:$D$199,4,FALSE))</f>
        <v>0</v>
      </c>
      <c r="I4992" s="341" t="str">
        <f t="shared" si="1284"/>
        <v>SIM</v>
      </c>
      <c r="J4992" s="341" t="str">
        <f>IF(A4992="","",VLOOKUP(A4992,VII.A!$A$10:$D$199,3,FALSE))</f>
        <v>H</v>
      </c>
      <c r="K4992" s="342" t="str">
        <f t="shared" si="1285"/>
        <v>SIM</v>
      </c>
      <c r="L4992" s="380">
        <f>IF(C4992="","",G4955*C4992)</f>
        <v>105</v>
      </c>
      <c r="M4992" s="381" t="str">
        <f>IF(A4992="","",VLOOKUP(A4992,VII.A!$A$10:$B$199,2,FALSE))</f>
        <v>SERVENTE COM ENCARGOS COMPLEMENTARES</v>
      </c>
      <c r="N4992" s="342" t="str">
        <f t="shared" si="1286"/>
        <v>si</v>
      </c>
      <c r="R4992" s="341"/>
      <c r="S4992" s="341"/>
    </row>
    <row r="4993" spans="1:25" ht="12.75" customHeight="1">
      <c r="A4993" s="393"/>
      <c r="C4993" s="20"/>
      <c r="E4993" s="387"/>
      <c r="F4993" s="388">
        <f t="shared" si="1283"/>
        <v>0</v>
      </c>
      <c r="H4993" s="341" t="str">
        <f>IF(A4993="","",VLOOKUP(A4993,VII.A!$A$10:$D$199,4,FALSE))</f>
        <v/>
      </c>
      <c r="I4993" s="341" t="str">
        <f t="shared" si="1284"/>
        <v/>
      </c>
      <c r="J4993" s="341" t="str">
        <f>IF(A4993="","",VLOOKUP(A4993,VII.A!$A$10:$D$199,3,FALSE))</f>
        <v/>
      </c>
      <c r="K4993" s="342" t="str">
        <f t="shared" si="1285"/>
        <v/>
      </c>
      <c r="L4993" s="380" t="str">
        <f>IF(C4993="","",G4955*C4993)</f>
        <v/>
      </c>
      <c r="M4993" s="381" t="str">
        <f>IF(A4993="","",VLOOKUP(A4993,VII.A!$A$10:$B$199,2,FALSE))</f>
        <v/>
      </c>
      <c r="N4993" s="342" t="str">
        <f t="shared" si="1286"/>
        <v/>
      </c>
      <c r="R4993" s="341"/>
      <c r="S4993" s="341"/>
    </row>
    <row r="4994" spans="1:25" ht="12.75" customHeight="1">
      <c r="A4994" s="393"/>
      <c r="C4994" s="20"/>
      <c r="E4994" s="387"/>
      <c r="F4994" s="388">
        <f t="shared" si="1283"/>
        <v>0</v>
      </c>
      <c r="H4994" s="341" t="str">
        <f>IF(A4994="","",VLOOKUP(A4994,VII.A!$A$10:$D$199,4,FALSE))</f>
        <v/>
      </c>
      <c r="I4994" s="341" t="str">
        <f t="shared" si="1284"/>
        <v/>
      </c>
      <c r="J4994" s="341" t="str">
        <f>IF(A4994="","",VLOOKUP(A4994,VII.A!$A$10:$D$199,3,FALSE))</f>
        <v/>
      </c>
      <c r="K4994" s="342" t="str">
        <f t="shared" si="1285"/>
        <v/>
      </c>
      <c r="L4994" s="380" t="str">
        <f>IF(C4994="","",G4955*C4994)</f>
        <v/>
      </c>
      <c r="M4994" s="381" t="str">
        <f>IF(A4994="","",VLOOKUP(A4994,VII.A!$A$10:$B$199,2,FALSE))</f>
        <v/>
      </c>
      <c r="N4994" s="342" t="str">
        <f t="shared" si="1286"/>
        <v/>
      </c>
      <c r="R4994" s="341"/>
      <c r="S4994" s="341"/>
    </row>
    <row r="4995" spans="1:25" ht="12.75" customHeight="1">
      <c r="A4995" s="393"/>
      <c r="C4995" s="20"/>
      <c r="E4995" s="387"/>
      <c r="F4995" s="388">
        <f t="shared" si="1283"/>
        <v>0</v>
      </c>
      <c r="H4995" s="341" t="str">
        <f>IF(A4995="","",VLOOKUP(A4995,VII.A!$A$10:$D$199,4,FALSE))</f>
        <v/>
      </c>
      <c r="I4995" s="341" t="str">
        <f t="shared" si="1284"/>
        <v/>
      </c>
      <c r="J4995" s="341" t="str">
        <f>IF(A4995="","",VLOOKUP(A4995,VII.A!$A$10:$D$199,3,FALSE))</f>
        <v/>
      </c>
      <c r="K4995" s="342" t="str">
        <f t="shared" si="1285"/>
        <v/>
      </c>
      <c r="L4995" s="380" t="str">
        <f>IF(C4995="","",G4955*C4995)</f>
        <v/>
      </c>
      <c r="M4995" s="381" t="str">
        <f>IF(A4995="","",VLOOKUP(A4995,VII.A!$A$10:$B$199,2,FALSE))</f>
        <v/>
      </c>
      <c r="N4995" s="342" t="str">
        <f t="shared" si="1286"/>
        <v/>
      </c>
      <c r="R4995" s="341"/>
      <c r="S4995" s="341"/>
    </row>
    <row r="4996" spans="1:25" ht="12.75" customHeight="1">
      <c r="A4996" s="393"/>
      <c r="C4996" s="20"/>
      <c r="E4996" s="387"/>
      <c r="F4996" s="388">
        <f t="shared" si="1283"/>
        <v>0</v>
      </c>
      <c r="H4996" s="341" t="str">
        <f>IF(A4996="","",VLOOKUP(A4996,VII.A!$A$10:$D$199,4,FALSE))</f>
        <v/>
      </c>
      <c r="I4996" s="341" t="str">
        <f t="shared" si="1284"/>
        <v/>
      </c>
      <c r="J4996" s="341" t="str">
        <f>IF(A4996="","",VLOOKUP(A4996,VII.A!$A$10:$D$199,3,FALSE))</f>
        <v/>
      </c>
      <c r="K4996" s="342" t="str">
        <f t="shared" si="1285"/>
        <v/>
      </c>
      <c r="L4996" s="380" t="str">
        <f>IF(C4996="","",G4955*C4996)</f>
        <v/>
      </c>
      <c r="M4996" s="381" t="str">
        <f>IF(A4996="","",VLOOKUP(A4996,VII.A!$A$10:$B$199,2,FALSE))</f>
        <v/>
      </c>
      <c r="N4996" s="342" t="str">
        <f t="shared" si="1286"/>
        <v/>
      </c>
      <c r="R4996" s="341"/>
      <c r="S4996" s="341"/>
    </row>
    <row r="4997" spans="1:25" ht="12.75" customHeight="1">
      <c r="A4997" s="393"/>
      <c r="C4997" s="20"/>
      <c r="E4997" s="387"/>
      <c r="F4997" s="388">
        <f t="shared" si="1283"/>
        <v>0</v>
      </c>
      <c r="H4997" s="341" t="str">
        <f>IF(A4997="","",VLOOKUP(A4997,VII.A!$A$10:$D$199,4,FALSE))</f>
        <v/>
      </c>
      <c r="I4997" s="341" t="str">
        <f t="shared" si="1284"/>
        <v/>
      </c>
      <c r="J4997" s="341" t="str">
        <f>IF(A4997="","",VLOOKUP(A4997,VII.A!$A$10:$D$199,3,FALSE))</f>
        <v/>
      </c>
      <c r="K4997" s="342" t="str">
        <f t="shared" si="1285"/>
        <v/>
      </c>
      <c r="L4997" s="380" t="str">
        <f>IF(C4997="","",G4955*C4997)</f>
        <v/>
      </c>
      <c r="M4997" s="381" t="str">
        <f>IF(A4997="","",VLOOKUP(A4997,VII.A!$A$10:$B$199,2,FALSE))</f>
        <v/>
      </c>
      <c r="N4997" s="342" t="str">
        <f t="shared" si="1286"/>
        <v/>
      </c>
      <c r="R4997" s="341"/>
      <c r="S4997" s="341"/>
    </row>
    <row r="4998" spans="1:25" ht="12.75" customHeight="1">
      <c r="A4998" s="393"/>
      <c r="B4998" s="395" t="s">
        <v>226</v>
      </c>
      <c r="C4998" s="396"/>
      <c r="D4998" s="397"/>
      <c r="E4998" s="398"/>
      <c r="F4998" s="399">
        <f>SUM(F4991:F4997)</f>
        <v>0</v>
      </c>
      <c r="J4998" s="341"/>
      <c r="L4998" s="380"/>
      <c r="M4998" s="381"/>
      <c r="N4998" s="342"/>
      <c r="R4998" s="341"/>
      <c r="S4998" s="341"/>
    </row>
    <row r="4999" spans="1:25" ht="12.75" customHeight="1">
      <c r="A4999" s="393"/>
      <c r="B4999" s="400" t="s">
        <v>229</v>
      </c>
      <c r="C4999" s="2">
        <f>IX.A!$C$45</f>
        <v>0</v>
      </c>
      <c r="D4999" s="401"/>
      <c r="E4999" s="402"/>
      <c r="F4999" s="403">
        <f>ROUND(F4998*C4999,2)</f>
        <v>0</v>
      </c>
      <c r="J4999" s="341"/>
      <c r="L4999" s="380"/>
      <c r="M4999" s="381"/>
      <c r="N4999" s="342"/>
      <c r="R4999" s="341"/>
      <c r="S4999" s="341"/>
    </row>
    <row r="5000" spans="1:25" ht="12.75" customHeight="1">
      <c r="A5000" s="393"/>
      <c r="B5000" s="400" t="s">
        <v>53</v>
      </c>
      <c r="C5000" s="2">
        <f>$D$8</f>
        <v>0</v>
      </c>
      <c r="D5000" s="401"/>
      <c r="E5000" s="402"/>
      <c r="F5000" s="403">
        <f>ROUND(SUM(F4998:F4999)*C5000,2)</f>
        <v>0</v>
      </c>
      <c r="J5000" s="341"/>
      <c r="L5000" s="380"/>
      <c r="M5000" s="381"/>
      <c r="N5000" s="342"/>
      <c r="R5000" s="341"/>
      <c r="S5000" s="341"/>
    </row>
    <row r="5001" spans="1:25" ht="12.75" customHeight="1" thickBot="1">
      <c r="A5001" s="414"/>
      <c r="B5001" s="415" t="s">
        <v>230</v>
      </c>
      <c r="C5001" s="416"/>
      <c r="D5001" s="416"/>
      <c r="E5001" s="417"/>
      <c r="F5001" s="418">
        <f>SUM(F4998:F5000)</f>
        <v>0</v>
      </c>
      <c r="J5001" s="341"/>
      <c r="L5001" s="380"/>
      <c r="M5001" s="381"/>
      <c r="N5001" s="342"/>
      <c r="R5001" s="341"/>
      <c r="S5001" s="341"/>
    </row>
    <row r="5002" spans="1:25" ht="12.75" customHeight="1" thickBot="1">
      <c r="A5002" s="357"/>
      <c r="B5002" s="358"/>
      <c r="C5002" s="359"/>
      <c r="D5002" s="359"/>
      <c r="E5002" s="360"/>
      <c r="F5002" s="419"/>
      <c r="J5002" s="341"/>
      <c r="L5002" s="380"/>
      <c r="M5002" s="381"/>
      <c r="N5002" s="342"/>
      <c r="R5002" s="341"/>
      <c r="S5002" s="341"/>
    </row>
    <row r="5003" spans="1:25" ht="30" customHeight="1">
      <c r="A5003" s="370" t="str">
        <f>IV.A!$A$150</f>
        <v>6.13</v>
      </c>
      <c r="B5003" s="371" t="str">
        <f>IV.A!$B$150</f>
        <v>PINTURA DO LOGOTIPO “SEMAE“ NA FACE DO RESERVATÓRIO</v>
      </c>
      <c r="C5003" s="871" t="s">
        <v>237</v>
      </c>
      <c r="D5003" s="872"/>
      <c r="E5003" s="372" t="str">
        <f>IV.A!$C$150</f>
        <v>UN</v>
      </c>
      <c r="F5003" s="11">
        <f>ROUND(F5023+F5037+F5049,2)</f>
        <v>0</v>
      </c>
      <c r="G5003" s="1">
        <f>VLOOKUP(A5003,IV.A!$A$16:$L$172,4,FALSE)</f>
        <v>210</v>
      </c>
      <c r="H5003" s="361">
        <f>SUM(F5005:F5020)+F5022</f>
        <v>0</v>
      </c>
      <c r="I5003" s="361">
        <f>SUM(F5025:F5034)+F5036</f>
        <v>0</v>
      </c>
      <c r="J5003" s="361">
        <f>SUM(F5039:F5045)+F5047+F5048</f>
        <v>0</v>
      </c>
      <c r="K5003" s="361">
        <f>SUM(H5003:J5003)</f>
        <v>0</v>
      </c>
      <c r="L5003" s="362" t="str">
        <f>IF(K5003=F5003,"SIM","NÃO")</f>
        <v>SIM</v>
      </c>
      <c r="M5003" s="373">
        <f>ROUND(SUM(F5005:F5020),2)+ROUND(SUM(F5005:F5020)*C5022,2)+ROUND(SUM(F5025:F5034)*C5036,2)+ROUND(SUM(F5025:F5034),2)+ROUND(SUM(F5039:F5045)*C5047,2)+ROUND((SUM(F5039:F5045)+ROUND(SUM(F5039:F5045)*C5047,2))*C5048,2)+ROUND(SUM(F5039:F5045),2)</f>
        <v>0</v>
      </c>
      <c r="N5003" s="343" t="str">
        <f>IF(M5003=F5003,"SIM","NÃO")</f>
        <v>SIM</v>
      </c>
      <c r="O5003" s="364" t="str">
        <f>VLOOKUP(A5003,IV.A!$A$16:$E$172,3,FALSE)</f>
        <v>UN</v>
      </c>
      <c r="P5003" s="344" t="str">
        <f>IF(O5003=E5003,"SIM","NÃO")</f>
        <v>SIM</v>
      </c>
      <c r="Q5003" s="365">
        <f>ROUND(G5003*F5023,2)+ROUND(G5003*F5037,2)+ROUND(G5003*F5049,2)</f>
        <v>0</v>
      </c>
      <c r="R5003" s="364">
        <f>VLOOKUP(A5003,IV.A!$A$16:$L$172,12,FALSE)</f>
        <v>0</v>
      </c>
      <c r="S5003" s="366" t="str">
        <f>IF(Q5003=R5003,"si","no")</f>
        <v>si</v>
      </c>
      <c r="T5003" s="367">
        <f>SUM(L5005:L5020)+SUM(L5025:L5034)+SUM(L5039:L5045)</f>
        <v>7839.9930000000004</v>
      </c>
      <c r="U5003" s="341">
        <f>(SUM(C5005:C5020)+SUM(C5025:C5034)+SUM(C5039:C5045))*G5003</f>
        <v>7839.9930000000004</v>
      </c>
      <c r="V5003" s="368" t="str">
        <f>IF(T5003=U5003,"si","no")</f>
        <v>si</v>
      </c>
      <c r="W5003" s="369">
        <f>SUM(F5005:F5020)</f>
        <v>0</v>
      </c>
      <c r="X5003" s="369">
        <f>SUM(F5025:F5034)</f>
        <v>0</v>
      </c>
      <c r="Y5003" s="369">
        <f>SUM(F5039:F5045)</f>
        <v>0</v>
      </c>
    </row>
    <row r="5004" spans="1:25" ht="12.75" customHeight="1">
      <c r="A5004" s="374" t="s">
        <v>14</v>
      </c>
      <c r="B5004" s="375" t="s">
        <v>132</v>
      </c>
      <c r="C5004" s="376" t="s">
        <v>231</v>
      </c>
      <c r="D5004" s="376" t="s">
        <v>232</v>
      </c>
      <c r="E5004" s="377" t="s">
        <v>233</v>
      </c>
      <c r="F5004" s="378" t="s">
        <v>234</v>
      </c>
      <c r="G5004" s="379"/>
      <c r="J5004" s="341"/>
      <c r="L5004" s="380"/>
      <c r="M5004" s="381"/>
      <c r="N5004" s="342"/>
      <c r="O5004" s="382"/>
      <c r="P5004" s="383"/>
      <c r="Q5004" s="383"/>
      <c r="R5004" s="383"/>
      <c r="S5004" s="383"/>
      <c r="T5004" s="382"/>
      <c r="U5004" s="341"/>
      <c r="V5004" s="384"/>
      <c r="W5004" s="384"/>
      <c r="X5004" s="384"/>
      <c r="Y5004" s="384"/>
    </row>
    <row r="5005" spans="1:25" ht="12.75" customHeight="1">
      <c r="A5005" s="385" t="str">
        <f>VII.A!$A$14</f>
        <v>1.5</v>
      </c>
      <c r="B5005" s="386" t="str">
        <f>VLOOKUP(A5005,VII.A!$A$10:$G$199,2,FALSE)</f>
        <v>SOLVENTE DILUENTE A BASE DE AGUARRÁS</v>
      </c>
      <c r="C5005" s="20">
        <f>10*0.05</f>
        <v>0.5</v>
      </c>
      <c r="D5005" s="342" t="str">
        <f>VLOOKUP(A5005,VII.A!$A$10:$G$199,3,FALSE)</f>
        <v>L</v>
      </c>
      <c r="E5005" s="387">
        <f>VII.A!$D$14</f>
        <v>0</v>
      </c>
      <c r="F5005" s="388">
        <f>ROUND(C5005*E5005,2)</f>
        <v>0</v>
      </c>
      <c r="H5005" s="341">
        <f>IF(A5005="","",VLOOKUP(A5005,VII.A!$A$10:$D$199,4,FALSE))</f>
        <v>0</v>
      </c>
      <c r="I5005" s="341" t="str">
        <f t="shared" ref="I5005:I5020" si="1287">IF(A5005="","",IF(E5005=H5005,"SIM","NÃO"))</f>
        <v>SIM</v>
      </c>
      <c r="J5005" s="341" t="str">
        <f>IF(A5005="","",VLOOKUP(A5005,VII.A!$A$10:$D$199,3,FALSE))</f>
        <v>L</v>
      </c>
      <c r="K5005" s="342" t="str">
        <f t="shared" ref="K5005:K5020" si="1288">IF(A5005="","",IF(J5005=D5005,"SIM","NÃO"))</f>
        <v>SIM</v>
      </c>
      <c r="L5005" s="380">
        <f>IF(C5005="","",G5003*C5005)</f>
        <v>105</v>
      </c>
      <c r="M5005" s="381" t="str">
        <f>IF(A5005="","",VLOOKUP(A5005,VII.A!$A$10:$B$199,2,FALSE))</f>
        <v>SOLVENTE DILUENTE A BASE DE AGUARRÁS</v>
      </c>
      <c r="N5005" s="342" t="str">
        <f t="shared" ref="N5005:N5020" si="1289">IF(B5005="","",IF(M5005=B5005,"si","no"))</f>
        <v>si</v>
      </c>
      <c r="R5005" s="341"/>
      <c r="S5005" s="341"/>
    </row>
    <row r="5006" spans="1:25" ht="12.75" customHeight="1">
      <c r="A5006" s="385" t="str">
        <f>VII.A!$A$110</f>
        <v>1.100</v>
      </c>
      <c r="B5006" s="386" t="str">
        <f>VLOOKUP(A5006,VII.A!$A$10:$G$199,2,FALSE)</f>
        <v xml:space="preserve">TINTA ESMALTE SINTETICO PREMIUM </v>
      </c>
      <c r="C5006" s="20">
        <v>1</v>
      </c>
      <c r="D5006" s="342" t="str">
        <f>VLOOKUP(A5006,VII.A!$A$10:$G$199,3,FALSE)</f>
        <v>L</v>
      </c>
      <c r="E5006" s="387">
        <f>VII.A!D110</f>
        <v>0</v>
      </c>
      <c r="F5006" s="388">
        <f t="shared" ref="F5006:F5020" si="1290">ROUND(C5006*E5006,2)</f>
        <v>0</v>
      </c>
      <c r="H5006" s="341">
        <f>IF(A5006="","",VLOOKUP(A5006,VII.A!$A$10:$D$199,4,FALSE))</f>
        <v>0</v>
      </c>
      <c r="I5006" s="341" t="str">
        <f t="shared" si="1287"/>
        <v>SIM</v>
      </c>
      <c r="J5006" s="341" t="str">
        <f>IF(A5006="","",VLOOKUP(A5006,VII.A!$A$10:$D$199,3,FALSE))</f>
        <v>L</v>
      </c>
      <c r="K5006" s="342" t="str">
        <f t="shared" si="1288"/>
        <v>SIM</v>
      </c>
      <c r="L5006" s="380">
        <f>IF(C5006="","",G5003*C5006)</f>
        <v>210</v>
      </c>
      <c r="M5006" s="381" t="str">
        <f>IF(A5006="","",VLOOKUP(A5006,VII.A!$A$10:$B$199,2,FALSE))</f>
        <v xml:space="preserve">TINTA ESMALTE SINTETICO PREMIUM </v>
      </c>
      <c r="N5006" s="342" t="str">
        <f t="shared" si="1289"/>
        <v>si</v>
      </c>
      <c r="R5006" s="341"/>
      <c r="S5006" s="341"/>
    </row>
    <row r="5007" spans="1:25" ht="12.75" customHeight="1">
      <c r="A5007" s="385" t="str">
        <f>VII.A!$A$68</f>
        <v>1.59</v>
      </c>
      <c r="B5007" s="386" t="str">
        <f>VLOOKUP(A5007,VII.A!$A$10:$G$199,2,FALSE)</f>
        <v>LIXA PARA SUPERFÍCIE/MASSA, GRANA 120</v>
      </c>
      <c r="C5007" s="20">
        <f>10*0.25</f>
        <v>2.5</v>
      </c>
      <c r="D5007" s="342" t="str">
        <f>VLOOKUP(A5007,VII.A!$A$10:$G$199,3,FALSE)</f>
        <v>UN</v>
      </c>
      <c r="E5007" s="387">
        <f>VII.A!$D$68</f>
        <v>0</v>
      </c>
      <c r="F5007" s="388">
        <f t="shared" si="1290"/>
        <v>0</v>
      </c>
      <c r="H5007" s="341">
        <f>IF(A5007="","",VLOOKUP(A5007,VII.A!$A$10:$D$199,4,FALSE))</f>
        <v>0</v>
      </c>
      <c r="I5007" s="341" t="str">
        <f t="shared" si="1287"/>
        <v>SIM</v>
      </c>
      <c r="J5007" s="341" t="str">
        <f>IF(A5007="","",VLOOKUP(A5007,VII.A!$A$10:$D$199,3,FALSE))</f>
        <v>UN</v>
      </c>
      <c r="K5007" s="342" t="str">
        <f t="shared" si="1288"/>
        <v>SIM</v>
      </c>
      <c r="L5007" s="380">
        <f>IF(C5007="","",G5003*C5007)</f>
        <v>525</v>
      </c>
      <c r="M5007" s="381" t="str">
        <f>IF(A5007="","",VLOOKUP(A5007,VII.A!$A$10:$B$199,2,FALSE))</f>
        <v>LIXA PARA SUPERFÍCIE/MASSA, GRANA 120</v>
      </c>
      <c r="N5007" s="342" t="str">
        <f t="shared" si="1289"/>
        <v>si</v>
      </c>
      <c r="R5007" s="341"/>
      <c r="S5007" s="341"/>
    </row>
    <row r="5008" spans="1:25" ht="12.75" customHeight="1">
      <c r="A5008" s="385" t="str">
        <f>VII.A!$A$98</f>
        <v>1.88</v>
      </c>
      <c r="B5008" s="386" t="str">
        <f>VLOOKUP(A5008,VII.A!$A$10:$G$199,2,FALSE)</f>
        <v>SELADOR ACRÍLICO</v>
      </c>
      <c r="C5008" s="20">
        <f>10*0.12</f>
        <v>1.2</v>
      </c>
      <c r="D5008" s="342" t="str">
        <f>VLOOKUP(A5008,VII.A!$A$10:$G$199,3,FALSE)</f>
        <v>L</v>
      </c>
      <c r="E5008" s="387">
        <f>VII.A!$D$98</f>
        <v>0</v>
      </c>
      <c r="F5008" s="388">
        <f t="shared" si="1290"/>
        <v>0</v>
      </c>
      <c r="H5008" s="341">
        <f>IF(A5008="","",VLOOKUP(A5008,VII.A!$A$10:$D$199,4,FALSE))</f>
        <v>0</v>
      </c>
      <c r="I5008" s="341" t="str">
        <f t="shared" si="1287"/>
        <v>SIM</v>
      </c>
      <c r="J5008" s="341" t="str">
        <f>IF(A5008="","",VLOOKUP(A5008,VII.A!$A$10:$D$199,3,FALSE))</f>
        <v>L</v>
      </c>
      <c r="K5008" s="342" t="str">
        <f t="shared" si="1288"/>
        <v>SIM</v>
      </c>
      <c r="L5008" s="380">
        <f>IF(C5008="","",G5003*C5008)</f>
        <v>252</v>
      </c>
      <c r="M5008" s="381" t="str">
        <f>IF(A5008="","",VLOOKUP(A5008,VII.A!$A$10:$B$199,2,FALSE))</f>
        <v>SELADOR ACRÍLICO</v>
      </c>
      <c r="N5008" s="342" t="str">
        <f t="shared" si="1289"/>
        <v>si</v>
      </c>
      <c r="R5008" s="341"/>
      <c r="S5008" s="341"/>
    </row>
    <row r="5009" spans="1:21" ht="12.75" customHeight="1">
      <c r="A5009" s="385" t="str">
        <f>VII.A!$A$112</f>
        <v>1.102</v>
      </c>
      <c r="B5009" s="386" t="str">
        <f>VLOOKUP(A5009,VII.A!$A$10:$G$199,2,FALSE)</f>
        <v>TINTA LÁTEX ACRÍLICA - 1ª LINHA</v>
      </c>
      <c r="C5009" s="20">
        <f>20*0.2</f>
        <v>4</v>
      </c>
      <c r="D5009" s="342" t="str">
        <f>VLOOKUP(A5009,VII.A!$A$10:$G$199,3,FALSE)</f>
        <v>L</v>
      </c>
      <c r="E5009" s="387">
        <f>VII.A!$D$112</f>
        <v>0</v>
      </c>
      <c r="F5009" s="388">
        <f t="shared" si="1290"/>
        <v>0</v>
      </c>
      <c r="H5009" s="341">
        <f>IF(A5009="","",VLOOKUP(A5009,VII.A!$A$10:$D$199,4,FALSE))</f>
        <v>0</v>
      </c>
      <c r="I5009" s="341" t="str">
        <f t="shared" si="1287"/>
        <v>SIM</v>
      </c>
      <c r="J5009" s="341" t="str">
        <f>IF(A5009="","",VLOOKUP(A5009,VII.A!$A$10:$D$199,3,FALSE))</f>
        <v>L</v>
      </c>
      <c r="K5009" s="342" t="str">
        <f t="shared" si="1288"/>
        <v>SIM</v>
      </c>
      <c r="L5009" s="380">
        <f>IF(C5009="","",G5003*C5009)</f>
        <v>840</v>
      </c>
      <c r="M5009" s="381" t="str">
        <f>IF(A5009="","",VLOOKUP(A5009,VII.A!$A$10:$B$199,2,FALSE))</f>
        <v>TINTA LÁTEX ACRÍLICA - 1ª LINHA</v>
      </c>
      <c r="N5009" s="342" t="str">
        <f t="shared" si="1289"/>
        <v>si</v>
      </c>
      <c r="R5009" s="341"/>
      <c r="S5009" s="341"/>
    </row>
    <row r="5010" spans="1:21" ht="12.75" customHeight="1">
      <c r="A5010" s="385"/>
      <c r="B5010" s="386"/>
      <c r="C5010" s="20"/>
      <c r="D5010" s="342"/>
      <c r="E5010" s="387"/>
      <c r="F5010" s="388">
        <f t="shared" si="1290"/>
        <v>0</v>
      </c>
      <c r="H5010" s="341" t="str">
        <f>IF(A5010="","",VLOOKUP(A5010,VII.A!$A$10:$D$199,4,FALSE))</f>
        <v/>
      </c>
      <c r="I5010" s="341" t="str">
        <f t="shared" si="1287"/>
        <v/>
      </c>
      <c r="J5010" s="341" t="str">
        <f>IF(A5010="","",VLOOKUP(A5010,VII.A!$A$10:$D$199,3,FALSE))</f>
        <v/>
      </c>
      <c r="K5010" s="342" t="str">
        <f t="shared" si="1288"/>
        <v/>
      </c>
      <c r="L5010" s="380" t="str">
        <f>IF(C5010="","",G5003*C5010)</f>
        <v/>
      </c>
      <c r="M5010" s="381" t="str">
        <f>IF(A5010="","",VLOOKUP(A5010,VII.A!$A$10:$B$199,2,FALSE))</f>
        <v/>
      </c>
      <c r="N5010" s="342" t="str">
        <f t="shared" si="1289"/>
        <v/>
      </c>
      <c r="R5010" s="341"/>
      <c r="S5010" s="341"/>
      <c r="U5010" s="389"/>
    </row>
    <row r="5011" spans="1:21" ht="12.75" customHeight="1">
      <c r="A5011" s="385"/>
      <c r="B5011" s="386"/>
      <c r="C5011" s="20"/>
      <c r="D5011" s="342"/>
      <c r="E5011" s="387"/>
      <c r="F5011" s="388">
        <f t="shared" si="1290"/>
        <v>0</v>
      </c>
      <c r="H5011" s="341" t="str">
        <f>IF(A5011="","",VLOOKUP(A5011,VII.A!$A$10:$D$199,4,FALSE))</f>
        <v/>
      </c>
      <c r="I5011" s="341" t="str">
        <f t="shared" si="1287"/>
        <v/>
      </c>
      <c r="J5011" s="341" t="str">
        <f>IF(A5011="","",VLOOKUP(A5011,VII.A!$A$10:$D$199,3,FALSE))</f>
        <v/>
      </c>
      <c r="K5011" s="342" t="str">
        <f t="shared" si="1288"/>
        <v/>
      </c>
      <c r="L5011" s="380" t="str">
        <f>IF(C5011="","",G5003*C5011)</f>
        <v/>
      </c>
      <c r="M5011" s="381" t="str">
        <f>IF(A5011="","",VLOOKUP(A5011,VII.A!$A$10:$B$199,2,FALSE))</f>
        <v/>
      </c>
      <c r="N5011" s="342" t="str">
        <f t="shared" si="1289"/>
        <v/>
      </c>
      <c r="R5011" s="341"/>
      <c r="S5011" s="341"/>
    </row>
    <row r="5012" spans="1:21" ht="12.75" customHeight="1">
      <c r="A5012" s="385"/>
      <c r="B5012" s="386"/>
      <c r="C5012" s="20"/>
      <c r="D5012" s="342"/>
      <c r="E5012" s="387"/>
      <c r="F5012" s="388">
        <f t="shared" si="1290"/>
        <v>0</v>
      </c>
      <c r="G5012" s="390"/>
      <c r="H5012" s="341" t="str">
        <f>IF(A5012="","",VLOOKUP(A5012,VII.A!$A$10:$D$199,4,FALSE))</f>
        <v/>
      </c>
      <c r="I5012" s="341" t="str">
        <f t="shared" si="1287"/>
        <v/>
      </c>
      <c r="J5012" s="341" t="str">
        <f>IF(A5012="","",VLOOKUP(A5012,VII.A!$A$10:$D$199,3,FALSE))</f>
        <v/>
      </c>
      <c r="K5012" s="342" t="str">
        <f t="shared" si="1288"/>
        <v/>
      </c>
      <c r="L5012" s="380" t="str">
        <f>IF(C5012="","",G5003*C5012)</f>
        <v/>
      </c>
      <c r="M5012" s="381" t="str">
        <f>IF(A5012="","",VLOOKUP(A5012,VII.A!$A$10:$B$199,2,FALSE))</f>
        <v/>
      </c>
      <c r="N5012" s="342" t="str">
        <f t="shared" si="1289"/>
        <v/>
      </c>
      <c r="R5012" s="341"/>
      <c r="S5012" s="341"/>
    </row>
    <row r="5013" spans="1:21" ht="12.75" customHeight="1">
      <c r="A5013" s="385"/>
      <c r="B5013" s="386"/>
      <c r="C5013" s="20"/>
      <c r="D5013" s="342"/>
      <c r="E5013" s="387"/>
      <c r="F5013" s="388">
        <f t="shared" si="1290"/>
        <v>0</v>
      </c>
      <c r="G5013" s="390"/>
      <c r="H5013" s="341" t="str">
        <f>IF(A5013="","",VLOOKUP(A5013,VII.A!$A$10:$D$199,4,FALSE))</f>
        <v/>
      </c>
      <c r="I5013" s="341" t="str">
        <f t="shared" si="1287"/>
        <v/>
      </c>
      <c r="J5013" s="341" t="str">
        <f>IF(A5013="","",VLOOKUP(A5013,VII.A!$A$10:$D$199,3,FALSE))</f>
        <v/>
      </c>
      <c r="K5013" s="342" t="str">
        <f t="shared" si="1288"/>
        <v/>
      </c>
      <c r="L5013" s="380" t="str">
        <f>IF(C5013="","",G5003*C5013)</f>
        <v/>
      </c>
      <c r="M5013" s="381" t="str">
        <f>IF(A5013="","",VLOOKUP(A5013,VII.A!$A$10:$B$199,2,FALSE))</f>
        <v/>
      </c>
      <c r="N5013" s="342" t="str">
        <f t="shared" si="1289"/>
        <v/>
      </c>
      <c r="R5013" s="341"/>
      <c r="S5013" s="341"/>
    </row>
    <row r="5014" spans="1:21" ht="12.75" customHeight="1">
      <c r="A5014" s="385"/>
      <c r="B5014" s="386"/>
      <c r="C5014" s="20"/>
      <c r="D5014" s="342"/>
      <c r="E5014" s="387"/>
      <c r="F5014" s="388">
        <f t="shared" si="1290"/>
        <v>0</v>
      </c>
      <c r="G5014" s="391"/>
      <c r="H5014" s="341" t="str">
        <f>IF(A5014="","",VLOOKUP(A5014,VII.A!$A$10:$D$199,4,FALSE))</f>
        <v/>
      </c>
      <c r="I5014" s="341" t="str">
        <f t="shared" si="1287"/>
        <v/>
      </c>
      <c r="J5014" s="341" t="str">
        <f>IF(A5014="","",VLOOKUP(A5014,VII.A!$A$10:$D$199,3,FALSE))</f>
        <v/>
      </c>
      <c r="K5014" s="342" t="str">
        <f t="shared" si="1288"/>
        <v/>
      </c>
      <c r="L5014" s="380" t="str">
        <f>IF(C5014="","",G5003*C5014)</f>
        <v/>
      </c>
      <c r="M5014" s="381" t="str">
        <f>IF(A5014="","",VLOOKUP(A5014,VII.A!$A$10:$B$199,2,FALSE))</f>
        <v/>
      </c>
      <c r="N5014" s="342" t="str">
        <f t="shared" si="1289"/>
        <v/>
      </c>
      <c r="R5014" s="341"/>
      <c r="S5014" s="341"/>
    </row>
    <row r="5015" spans="1:21" ht="12.75" customHeight="1">
      <c r="A5015" s="385"/>
      <c r="B5015" s="386"/>
      <c r="C5015" s="20"/>
      <c r="D5015" s="342"/>
      <c r="E5015" s="387"/>
      <c r="F5015" s="388">
        <f t="shared" si="1290"/>
        <v>0</v>
      </c>
      <c r="H5015" s="341" t="str">
        <f>IF(A5015="","",VLOOKUP(A5015,VII.A!$A$10:$D$199,4,FALSE))</f>
        <v/>
      </c>
      <c r="I5015" s="341" t="str">
        <f t="shared" si="1287"/>
        <v/>
      </c>
      <c r="J5015" s="341" t="str">
        <f>IF(A5015="","",VLOOKUP(A5015,VII.A!$A$10:$D$199,3,FALSE))</f>
        <v/>
      </c>
      <c r="K5015" s="342" t="str">
        <f t="shared" si="1288"/>
        <v/>
      </c>
      <c r="L5015" s="380" t="str">
        <f>IF(C5015="","",G5003*C5015)</f>
        <v/>
      </c>
      <c r="M5015" s="381" t="str">
        <f>IF(A5015="","",VLOOKUP(A5015,VII.A!$A$10:$B$199,2,FALSE))</f>
        <v/>
      </c>
      <c r="N5015" s="342" t="str">
        <f t="shared" si="1289"/>
        <v/>
      </c>
      <c r="R5015" s="341"/>
      <c r="S5015" s="341"/>
    </row>
    <row r="5016" spans="1:21" ht="12.75" customHeight="1">
      <c r="A5016" s="385"/>
      <c r="B5016" s="386"/>
      <c r="C5016" s="20"/>
      <c r="D5016" s="392"/>
      <c r="E5016" s="387"/>
      <c r="F5016" s="388">
        <f t="shared" si="1290"/>
        <v>0</v>
      </c>
      <c r="H5016" s="341" t="str">
        <f>IF(A5016="","",VLOOKUP(A5016,VII.A!$A$10:$D$199,4,FALSE))</f>
        <v/>
      </c>
      <c r="I5016" s="341" t="str">
        <f t="shared" si="1287"/>
        <v/>
      </c>
      <c r="J5016" s="341" t="str">
        <f>IF(A5016="","",VLOOKUP(A5016,VII.A!$A$10:$D$199,3,FALSE))</f>
        <v/>
      </c>
      <c r="K5016" s="342" t="str">
        <f t="shared" si="1288"/>
        <v/>
      </c>
      <c r="L5016" s="380" t="str">
        <f>IF(C5016="","",G5003*C5016)</f>
        <v/>
      </c>
      <c r="M5016" s="381" t="str">
        <f>IF(A5016="","",VLOOKUP(A5016,VII.A!$A$10:$B$199,2,FALSE))</f>
        <v/>
      </c>
      <c r="N5016" s="342" t="str">
        <f t="shared" si="1289"/>
        <v/>
      </c>
      <c r="R5016" s="341"/>
      <c r="S5016" s="341"/>
    </row>
    <row r="5017" spans="1:21" ht="12.75" customHeight="1">
      <c r="A5017" s="385"/>
      <c r="B5017" s="386"/>
      <c r="C5017" s="20"/>
      <c r="D5017" s="392"/>
      <c r="E5017" s="387"/>
      <c r="F5017" s="388">
        <f t="shared" si="1290"/>
        <v>0</v>
      </c>
      <c r="H5017" s="341" t="str">
        <f>IF(A5017="","",VLOOKUP(A5017,VII.A!$A$10:$D$199,4,FALSE))</f>
        <v/>
      </c>
      <c r="I5017" s="341" t="str">
        <f t="shared" si="1287"/>
        <v/>
      </c>
      <c r="J5017" s="341" t="str">
        <f>IF(A5017="","",VLOOKUP(A5017,VII.A!$A$10:$D$199,3,FALSE))</f>
        <v/>
      </c>
      <c r="K5017" s="342" t="str">
        <f t="shared" si="1288"/>
        <v/>
      </c>
      <c r="L5017" s="380" t="str">
        <f>IF(C5017="","",G5003*C5017)</f>
        <v/>
      </c>
      <c r="M5017" s="381" t="str">
        <f>IF(A5017="","",VLOOKUP(A5017,VII.A!$A$10:$B$199,2,FALSE))</f>
        <v/>
      </c>
      <c r="N5017" s="342" t="str">
        <f t="shared" si="1289"/>
        <v/>
      </c>
      <c r="O5017" s="342"/>
      <c r="R5017" s="341"/>
      <c r="S5017" s="341"/>
    </row>
    <row r="5018" spans="1:21" ht="12.75" customHeight="1">
      <c r="A5018" s="385"/>
      <c r="B5018" s="386"/>
      <c r="C5018" s="20"/>
      <c r="D5018" s="392"/>
      <c r="E5018" s="387"/>
      <c r="F5018" s="388">
        <f t="shared" si="1290"/>
        <v>0</v>
      </c>
      <c r="H5018" s="341" t="str">
        <f>IF(A5018="","",VLOOKUP(A5018,VII.A!$A$10:$D$199,4,FALSE))</f>
        <v/>
      </c>
      <c r="I5018" s="341" t="str">
        <f t="shared" si="1287"/>
        <v/>
      </c>
      <c r="J5018" s="341" t="str">
        <f>IF(A5018="","",VLOOKUP(A5018,VII.A!$A$10:$D$199,3,FALSE))</f>
        <v/>
      </c>
      <c r="K5018" s="342" t="str">
        <f t="shared" si="1288"/>
        <v/>
      </c>
      <c r="L5018" s="380" t="str">
        <f>IF(C5018="","",G5003*C5018)</f>
        <v/>
      </c>
      <c r="M5018" s="381" t="str">
        <f>IF(A5018="","",VLOOKUP(A5018,VII.A!$A$10:$B$199,2,FALSE))</f>
        <v/>
      </c>
      <c r="N5018" s="342" t="str">
        <f t="shared" si="1289"/>
        <v/>
      </c>
      <c r="R5018" s="341"/>
      <c r="S5018" s="341"/>
    </row>
    <row r="5019" spans="1:21" ht="12.75" customHeight="1">
      <c r="A5019" s="393"/>
      <c r="C5019" s="20"/>
      <c r="E5019" s="387"/>
      <c r="F5019" s="388">
        <f t="shared" si="1290"/>
        <v>0</v>
      </c>
      <c r="H5019" s="341" t="str">
        <f>IF(A5019="","",VLOOKUP(A5019,VII.A!$A$10:$D$199,4,FALSE))</f>
        <v/>
      </c>
      <c r="I5019" s="341" t="str">
        <f t="shared" si="1287"/>
        <v/>
      </c>
      <c r="J5019" s="341" t="str">
        <f>IF(A5019="","",VLOOKUP(A5019,VII.A!$A$10:$D$199,3,FALSE))</f>
        <v/>
      </c>
      <c r="K5019" s="342" t="str">
        <f t="shared" si="1288"/>
        <v/>
      </c>
      <c r="L5019" s="380" t="str">
        <f>IF(C5019="","",G5003*C5019)</f>
        <v/>
      </c>
      <c r="M5019" s="381" t="str">
        <f>IF(A5019="","",VLOOKUP(A5019,VII.A!$A$10:$B$199,2,FALSE))</f>
        <v/>
      </c>
      <c r="N5019" s="342" t="str">
        <f t="shared" si="1289"/>
        <v/>
      </c>
      <c r="R5019" s="341"/>
      <c r="S5019" s="341"/>
    </row>
    <row r="5020" spans="1:21" ht="12.75" customHeight="1">
      <c r="A5020" s="393"/>
      <c r="C5020" s="20"/>
      <c r="E5020" s="387"/>
      <c r="F5020" s="388">
        <f t="shared" si="1290"/>
        <v>0</v>
      </c>
      <c r="H5020" s="341" t="str">
        <f>IF(A5020="","",VLOOKUP(A5020,VII.A!$A$10:$D$199,4,FALSE))</f>
        <v/>
      </c>
      <c r="I5020" s="341" t="str">
        <f t="shared" si="1287"/>
        <v/>
      </c>
      <c r="J5020" s="341" t="str">
        <f>IF(A5020="","",VLOOKUP(A5020,VII.A!$A$10:$D$199,3,FALSE))</f>
        <v/>
      </c>
      <c r="K5020" s="342" t="str">
        <f t="shared" si="1288"/>
        <v/>
      </c>
      <c r="L5020" s="380" t="str">
        <f>IF(C5020="","",G5003*C5020)</f>
        <v/>
      </c>
      <c r="M5020" s="381" t="str">
        <f>IF(A5020="","",VLOOKUP(A5020,VII.A!$A$10:$B$199,2,FALSE))</f>
        <v/>
      </c>
      <c r="N5020" s="342" t="str">
        <f t="shared" si="1289"/>
        <v/>
      </c>
      <c r="R5020" s="341"/>
      <c r="S5020" s="341"/>
    </row>
    <row r="5021" spans="1:21" ht="12.75" customHeight="1">
      <c r="A5021" s="393"/>
      <c r="B5021" s="395" t="s">
        <v>226</v>
      </c>
      <c r="C5021" s="396"/>
      <c r="D5021" s="397"/>
      <c r="E5021" s="398"/>
      <c r="F5021" s="399">
        <f>SUM(F5005:F5020)</f>
        <v>0</v>
      </c>
      <c r="J5021" s="341"/>
      <c r="L5021" s="380"/>
      <c r="M5021" s="381"/>
      <c r="N5021" s="342"/>
      <c r="R5021" s="341"/>
      <c r="S5021" s="341"/>
    </row>
    <row r="5022" spans="1:21" ht="12.75" customHeight="1">
      <c r="A5022" s="393"/>
      <c r="B5022" s="400" t="s">
        <v>53</v>
      </c>
      <c r="C5022" s="2">
        <f>$D$8</f>
        <v>0</v>
      </c>
      <c r="D5022" s="401"/>
      <c r="E5022" s="402"/>
      <c r="F5022" s="403">
        <f>ROUND(F5021*C5022,2)</f>
        <v>0</v>
      </c>
      <c r="J5022" s="341"/>
      <c r="L5022" s="380"/>
      <c r="M5022" s="381"/>
      <c r="N5022" s="342"/>
      <c r="R5022" s="341"/>
      <c r="S5022" s="341"/>
    </row>
    <row r="5023" spans="1:21" ht="12.75" customHeight="1">
      <c r="A5023" s="404"/>
      <c r="B5023" s="405" t="s">
        <v>227</v>
      </c>
      <c r="C5023" s="406"/>
      <c r="D5023" s="406"/>
      <c r="E5023" s="407"/>
      <c r="F5023" s="408">
        <f>F5021+F5022</f>
        <v>0</v>
      </c>
      <c r="J5023" s="341"/>
      <c r="L5023" s="380"/>
      <c r="M5023" s="381"/>
      <c r="N5023" s="342"/>
      <c r="R5023" s="341"/>
      <c r="S5023" s="341"/>
    </row>
    <row r="5024" spans="1:21" ht="12.75" customHeight="1">
      <c r="A5024" s="374" t="s">
        <v>2</v>
      </c>
      <c r="B5024" s="375" t="s">
        <v>235</v>
      </c>
      <c r="C5024" s="376" t="s">
        <v>231</v>
      </c>
      <c r="D5024" s="376" t="s">
        <v>232</v>
      </c>
      <c r="E5024" s="377" t="s">
        <v>233</v>
      </c>
      <c r="F5024" s="378" t="s">
        <v>234</v>
      </c>
      <c r="J5024" s="341"/>
      <c r="L5024" s="380"/>
      <c r="M5024" s="381"/>
      <c r="N5024" s="342"/>
      <c r="R5024" s="341"/>
      <c r="S5024" s="341"/>
    </row>
    <row r="5025" spans="1:19" ht="12.75" customHeight="1">
      <c r="A5025" s="393" t="str">
        <f>VII.A!$A$147</f>
        <v>2.5</v>
      </c>
      <c r="B5025" s="423" t="str">
        <f>VLOOKUP(A5025,VII.A!$A$10:$G$199,2,FALSE)</f>
        <v>BALANCIM LEVE TRADICIONAL - PLATAFORMA 3,00 M COM GUINCHO MANUAL, NR 18 (LOCAÇÃO MENSAL + TRANSPORTE)</v>
      </c>
      <c r="C5025" s="20">
        <v>0.1333</v>
      </c>
      <c r="D5025" s="384" t="str">
        <f>VLOOKUP(A5025,VII.A!$A$10:$G$199,3,FALSE)</f>
        <v>LOC/MÊS</v>
      </c>
      <c r="E5025" s="387">
        <f>VII.A!$D$147</f>
        <v>0</v>
      </c>
      <c r="F5025" s="388">
        <f t="shared" ref="F5025:F5034" si="1291">ROUND(C5025*E5025,2)</f>
        <v>0</v>
      </c>
      <c r="H5025" s="341">
        <f>IF(A5025="","",VLOOKUP(A5025,VII.A!$A$10:$D$199,4,FALSE))</f>
        <v>0</v>
      </c>
      <c r="I5025" s="341" t="str">
        <f t="shared" ref="I5025:I5034" si="1292">IF(A5025="","",IF(E5025=H5025,"SIM","NÃO"))</f>
        <v>SIM</v>
      </c>
      <c r="J5025" s="341" t="str">
        <f>IF(A5025="","",VLOOKUP(A5025,VII.A!$A$10:$D$199,3,FALSE))</f>
        <v>LOC/MÊS</v>
      </c>
      <c r="K5025" s="342" t="str">
        <f t="shared" ref="K5025:K5034" si="1293">IF(A5025="","",IF(J5025=D5025,"SIM","NÃO"))</f>
        <v>SIM</v>
      </c>
      <c r="L5025" s="380">
        <f>IF(C5025="","",G5003*C5025)</f>
        <v>27.993000000000002</v>
      </c>
      <c r="M5025" s="381" t="str">
        <f>IF(A5025="","",VLOOKUP(A5025,VII.A!$A$10:$B$199,2,FALSE))</f>
        <v>BALANCIM LEVE TRADICIONAL - PLATAFORMA 3,00 M COM GUINCHO MANUAL, NR 18 (LOCAÇÃO MENSAL + TRANSPORTE)</v>
      </c>
      <c r="N5025" s="342" t="str">
        <f t="shared" ref="N5025:N5034" si="1294">IF(B5025="","",IF(M5025=B5025,"si","no"))</f>
        <v>si</v>
      </c>
      <c r="R5025" s="341"/>
      <c r="S5025" s="341"/>
    </row>
    <row r="5026" spans="1:19" ht="12.75" customHeight="1">
      <c r="A5026" s="393"/>
      <c r="C5026" s="20"/>
      <c r="E5026" s="387"/>
      <c r="F5026" s="388">
        <f t="shared" si="1291"/>
        <v>0</v>
      </c>
      <c r="H5026" s="341" t="str">
        <f>IF(A5026="","",VLOOKUP(A5026,VII.A!$A$10:$D$199,4,FALSE))</f>
        <v/>
      </c>
      <c r="I5026" s="341" t="str">
        <f t="shared" si="1292"/>
        <v/>
      </c>
      <c r="J5026" s="341" t="str">
        <f>IF(A5026="","",VLOOKUP(A5026,VII.A!$A$10:$D$199,3,FALSE))</f>
        <v/>
      </c>
      <c r="K5026" s="342" t="str">
        <f t="shared" si="1293"/>
        <v/>
      </c>
      <c r="L5026" s="380" t="str">
        <f>IF(C5026="","",G5003*C5026)</f>
        <v/>
      </c>
      <c r="M5026" s="381" t="str">
        <f>IF(A5026="","",VLOOKUP(A5026,VII.A!$A$10:$B$199,2,FALSE))</f>
        <v/>
      </c>
      <c r="N5026" s="342" t="str">
        <f t="shared" si="1294"/>
        <v/>
      </c>
      <c r="R5026" s="341"/>
      <c r="S5026" s="341"/>
    </row>
    <row r="5027" spans="1:19" ht="12.75" customHeight="1">
      <c r="A5027" s="393"/>
      <c r="C5027" s="20"/>
      <c r="E5027" s="387"/>
      <c r="F5027" s="388">
        <f t="shared" si="1291"/>
        <v>0</v>
      </c>
      <c r="H5027" s="341" t="str">
        <f>IF(A5027="","",VLOOKUP(A5027,VII.A!$A$10:$D$199,4,FALSE))</f>
        <v/>
      </c>
      <c r="I5027" s="341" t="str">
        <f t="shared" si="1292"/>
        <v/>
      </c>
      <c r="J5027" s="341" t="str">
        <f>IF(A5027="","",VLOOKUP(A5027,VII.A!$A$10:$D$199,3,FALSE))</f>
        <v/>
      </c>
      <c r="K5027" s="342" t="str">
        <f t="shared" si="1293"/>
        <v/>
      </c>
      <c r="L5027" s="380" t="str">
        <f>IF(C5027="","",G5003*C5027)</f>
        <v/>
      </c>
      <c r="M5027" s="381" t="str">
        <f>IF(A5027="","",VLOOKUP(A5027,VII.A!$A$10:$B$199,2,FALSE))</f>
        <v/>
      </c>
      <c r="N5027" s="342" t="str">
        <f t="shared" si="1294"/>
        <v/>
      </c>
      <c r="R5027" s="341"/>
      <c r="S5027" s="341"/>
    </row>
    <row r="5028" spans="1:19" ht="12.75" customHeight="1">
      <c r="A5028" s="393"/>
      <c r="C5028" s="20"/>
      <c r="E5028" s="387"/>
      <c r="F5028" s="388">
        <f t="shared" si="1291"/>
        <v>0</v>
      </c>
      <c r="H5028" s="341" t="str">
        <f>IF(A5028="","",VLOOKUP(A5028,VII.A!$A$10:$D$199,4,FALSE))</f>
        <v/>
      </c>
      <c r="I5028" s="341" t="str">
        <f t="shared" si="1292"/>
        <v/>
      </c>
      <c r="J5028" s="341" t="str">
        <f>IF(A5028="","",VLOOKUP(A5028,VII.A!$A$10:$D$199,3,FALSE))</f>
        <v/>
      </c>
      <c r="K5028" s="342" t="str">
        <f t="shared" si="1293"/>
        <v/>
      </c>
      <c r="L5028" s="380" t="str">
        <f>IF(C5028="","",G5003*C5028)</f>
        <v/>
      </c>
      <c r="M5028" s="381" t="str">
        <f>IF(A5028="","",VLOOKUP(A5028,VII.A!$A$10:$B$199,2,FALSE))</f>
        <v/>
      </c>
      <c r="N5028" s="342" t="str">
        <f t="shared" si="1294"/>
        <v/>
      </c>
      <c r="R5028" s="341"/>
      <c r="S5028" s="341"/>
    </row>
    <row r="5029" spans="1:19" ht="12.75" customHeight="1">
      <c r="A5029" s="393"/>
      <c r="C5029" s="20"/>
      <c r="E5029" s="387"/>
      <c r="F5029" s="388">
        <f t="shared" si="1291"/>
        <v>0</v>
      </c>
      <c r="G5029" s="390"/>
      <c r="H5029" s="341" t="str">
        <f>IF(A5029="","",VLOOKUP(A5029,VII.A!$A$10:$D$199,4,FALSE))</f>
        <v/>
      </c>
      <c r="I5029" s="341" t="str">
        <f t="shared" si="1292"/>
        <v/>
      </c>
      <c r="J5029" s="341" t="str">
        <f>IF(A5029="","",VLOOKUP(A5029,VII.A!$A$10:$D$199,3,FALSE))</f>
        <v/>
      </c>
      <c r="K5029" s="342" t="str">
        <f t="shared" si="1293"/>
        <v/>
      </c>
      <c r="L5029" s="380" t="str">
        <f>IF(C5029="","",G5003*C5029)</f>
        <v/>
      </c>
      <c r="M5029" s="381" t="str">
        <f>IF(A5029="","",VLOOKUP(A5029,VII.A!$A$10:$B$199,2,FALSE))</f>
        <v/>
      </c>
      <c r="N5029" s="342" t="str">
        <f t="shared" si="1294"/>
        <v/>
      </c>
      <c r="R5029" s="341"/>
      <c r="S5029" s="341"/>
    </row>
    <row r="5030" spans="1:19" ht="12.75" customHeight="1">
      <c r="A5030" s="393"/>
      <c r="C5030" s="20"/>
      <c r="E5030" s="387"/>
      <c r="F5030" s="388">
        <f t="shared" si="1291"/>
        <v>0</v>
      </c>
      <c r="G5030" s="391"/>
      <c r="H5030" s="341" t="str">
        <f>IF(A5030="","",VLOOKUP(A5030,VII.A!$A$10:$D$199,4,FALSE))</f>
        <v/>
      </c>
      <c r="I5030" s="341" t="str">
        <f t="shared" si="1292"/>
        <v/>
      </c>
      <c r="J5030" s="341" t="str">
        <f>IF(A5030="","",VLOOKUP(A5030,VII.A!$A$10:$D$199,3,FALSE))</f>
        <v/>
      </c>
      <c r="K5030" s="342" t="str">
        <f t="shared" si="1293"/>
        <v/>
      </c>
      <c r="L5030" s="380" t="str">
        <f>IF(C5030="","",G5003*C5030)</f>
        <v/>
      </c>
      <c r="M5030" s="381" t="str">
        <f>IF(A5030="","",VLOOKUP(A5030,VII.A!$A$10:$B$199,2,FALSE))</f>
        <v/>
      </c>
      <c r="N5030" s="342" t="str">
        <f t="shared" si="1294"/>
        <v/>
      </c>
      <c r="R5030" s="341"/>
      <c r="S5030" s="341"/>
    </row>
    <row r="5031" spans="1:19" ht="12.75" customHeight="1">
      <c r="A5031" s="393"/>
      <c r="C5031" s="20"/>
      <c r="E5031" s="387"/>
      <c r="F5031" s="388">
        <f t="shared" si="1291"/>
        <v>0</v>
      </c>
      <c r="H5031" s="341" t="str">
        <f>IF(A5031="","",VLOOKUP(A5031,VII.A!$A$10:$D$199,4,FALSE))</f>
        <v/>
      </c>
      <c r="I5031" s="341" t="str">
        <f t="shared" si="1292"/>
        <v/>
      </c>
      <c r="J5031" s="341" t="str">
        <f>IF(A5031="","",VLOOKUP(A5031,VII.A!$A$10:$D$199,3,FALSE))</f>
        <v/>
      </c>
      <c r="K5031" s="342" t="str">
        <f t="shared" si="1293"/>
        <v/>
      </c>
      <c r="L5031" s="380" t="str">
        <f>IF(C5031="","",G5003*C5031)</f>
        <v/>
      </c>
      <c r="M5031" s="381" t="str">
        <f>IF(A5031="","",VLOOKUP(A5031,VII.A!$A$10:$B$199,2,FALSE))</f>
        <v/>
      </c>
      <c r="N5031" s="342" t="str">
        <f t="shared" si="1294"/>
        <v/>
      </c>
      <c r="R5031" s="341"/>
      <c r="S5031" s="341"/>
    </row>
    <row r="5032" spans="1:19" ht="12.75" customHeight="1">
      <c r="A5032" s="393"/>
      <c r="C5032" s="20"/>
      <c r="E5032" s="387"/>
      <c r="F5032" s="388">
        <f t="shared" si="1291"/>
        <v>0</v>
      </c>
      <c r="H5032" s="341" t="str">
        <f>IF(A5032="","",VLOOKUP(A5032,VII.A!$A$10:$D$199,4,FALSE))</f>
        <v/>
      </c>
      <c r="I5032" s="341" t="str">
        <f t="shared" si="1292"/>
        <v/>
      </c>
      <c r="J5032" s="341" t="str">
        <f>IF(A5032="","",VLOOKUP(A5032,VII.A!$A$10:$D$199,3,FALSE))</f>
        <v/>
      </c>
      <c r="K5032" s="342" t="str">
        <f t="shared" si="1293"/>
        <v/>
      </c>
      <c r="L5032" s="380" t="str">
        <f>IF(C5032="","",G5003*C5032)</f>
        <v/>
      </c>
      <c r="M5032" s="381" t="str">
        <f>IF(A5032="","",VLOOKUP(A5032,VII.A!$A$10:$B$199,2,FALSE))</f>
        <v/>
      </c>
      <c r="N5032" s="342" t="str">
        <f t="shared" si="1294"/>
        <v/>
      </c>
      <c r="R5032" s="341"/>
      <c r="S5032" s="341"/>
    </row>
    <row r="5033" spans="1:19" ht="12.75" customHeight="1">
      <c r="A5033" s="393"/>
      <c r="C5033" s="20"/>
      <c r="E5033" s="387"/>
      <c r="F5033" s="388">
        <f t="shared" si="1291"/>
        <v>0</v>
      </c>
      <c r="H5033" s="341" t="str">
        <f>IF(A5033="","",VLOOKUP(A5033,VII.A!$A$10:$D$199,4,FALSE))</f>
        <v/>
      </c>
      <c r="I5033" s="341" t="str">
        <f t="shared" si="1292"/>
        <v/>
      </c>
      <c r="J5033" s="341" t="str">
        <f>IF(A5033="","",VLOOKUP(A5033,VII.A!$A$10:$D$199,3,FALSE))</f>
        <v/>
      </c>
      <c r="K5033" s="342" t="str">
        <f t="shared" si="1293"/>
        <v/>
      </c>
      <c r="L5033" s="380" t="str">
        <f>IF(C5033="","",G5003*C5033)</f>
        <v/>
      </c>
      <c r="M5033" s="381" t="str">
        <f>IF(A5033="","",VLOOKUP(A5033,VII.A!$A$10:$B$199,2,FALSE))</f>
        <v/>
      </c>
      <c r="N5033" s="342" t="str">
        <f t="shared" si="1294"/>
        <v/>
      </c>
      <c r="R5033" s="341"/>
      <c r="S5033" s="341"/>
    </row>
    <row r="5034" spans="1:19" ht="12.75" customHeight="1">
      <c r="A5034" s="393"/>
      <c r="C5034" s="20"/>
      <c r="E5034" s="387"/>
      <c r="F5034" s="388">
        <f t="shared" si="1291"/>
        <v>0</v>
      </c>
      <c r="H5034" s="341" t="str">
        <f>IF(A5034="","",VLOOKUP(A5034,VII.A!$A$10:$D$199,4,FALSE))</f>
        <v/>
      </c>
      <c r="I5034" s="341" t="str">
        <f t="shared" si="1292"/>
        <v/>
      </c>
      <c r="J5034" s="341" t="str">
        <f>IF(A5034="","",VLOOKUP(A5034,VII.A!$A$10:$D$199,3,FALSE))</f>
        <v/>
      </c>
      <c r="K5034" s="342" t="str">
        <f t="shared" si="1293"/>
        <v/>
      </c>
      <c r="L5034" s="380" t="str">
        <f>IF(C5034="","",G5003*C5034)</f>
        <v/>
      </c>
      <c r="M5034" s="381" t="str">
        <f>IF(A5034="","",VLOOKUP(A5034,VII.A!$A$10:$B$199,2,FALSE))</f>
        <v/>
      </c>
      <c r="N5034" s="342" t="str">
        <f t="shared" si="1294"/>
        <v/>
      </c>
      <c r="R5034" s="341"/>
      <c r="S5034" s="341"/>
    </row>
    <row r="5035" spans="1:19" ht="12.75" customHeight="1">
      <c r="A5035" s="393"/>
      <c r="B5035" s="395" t="s">
        <v>226</v>
      </c>
      <c r="C5035" s="396"/>
      <c r="D5035" s="397"/>
      <c r="E5035" s="398"/>
      <c r="F5035" s="399">
        <f>SUM(F5025:F5034)</f>
        <v>0</v>
      </c>
      <c r="J5035" s="341"/>
      <c r="L5035" s="380"/>
      <c r="M5035" s="381"/>
      <c r="N5035" s="342"/>
      <c r="R5035" s="341"/>
      <c r="S5035" s="341"/>
    </row>
    <row r="5036" spans="1:19" ht="12.75" customHeight="1">
      <c r="A5036" s="393"/>
      <c r="B5036" s="400" t="s">
        <v>53</v>
      </c>
      <c r="C5036" s="2">
        <f>$D$8</f>
        <v>0</v>
      </c>
      <c r="D5036" s="401"/>
      <c r="E5036" s="402"/>
      <c r="F5036" s="403">
        <f>ROUND(C5036*F5035,2)</f>
        <v>0</v>
      </c>
      <c r="J5036" s="341"/>
      <c r="L5036" s="380"/>
      <c r="M5036" s="381"/>
      <c r="N5036" s="342"/>
      <c r="R5036" s="341"/>
      <c r="S5036" s="341"/>
    </row>
    <row r="5037" spans="1:19" ht="12.75" customHeight="1">
      <c r="A5037" s="404"/>
      <c r="B5037" s="405" t="s">
        <v>228</v>
      </c>
      <c r="C5037" s="406"/>
      <c r="D5037" s="406"/>
      <c r="E5037" s="407"/>
      <c r="F5037" s="408">
        <f>F5035+F5036</f>
        <v>0</v>
      </c>
      <c r="J5037" s="341"/>
      <c r="L5037" s="380"/>
      <c r="M5037" s="381"/>
      <c r="N5037" s="342"/>
      <c r="R5037" s="341"/>
      <c r="S5037" s="341"/>
    </row>
    <row r="5038" spans="1:19" ht="12.75" customHeight="1">
      <c r="A5038" s="409" t="s">
        <v>47</v>
      </c>
      <c r="B5038" s="410" t="s">
        <v>236</v>
      </c>
      <c r="C5038" s="411" t="s">
        <v>231</v>
      </c>
      <c r="D5038" s="412" t="s">
        <v>232</v>
      </c>
      <c r="E5038" s="413" t="s">
        <v>233</v>
      </c>
      <c r="F5038" s="378" t="s">
        <v>234</v>
      </c>
      <c r="J5038" s="341"/>
      <c r="L5038" s="380"/>
      <c r="M5038" s="381"/>
      <c r="N5038" s="342"/>
      <c r="R5038" s="341"/>
      <c r="S5038" s="341"/>
    </row>
    <row r="5039" spans="1:19" ht="12.75" customHeight="1">
      <c r="A5039" s="393" t="str">
        <f>VII.A!$A$194</f>
        <v>3.14</v>
      </c>
      <c r="B5039" s="394" t="s">
        <v>155</v>
      </c>
      <c r="C5039" s="20">
        <v>28</v>
      </c>
      <c r="D5039" s="384" t="str">
        <f>VLOOKUP(A5039,VII.A!$A$10:$G$199,3,FALSE)</f>
        <v>H</v>
      </c>
      <c r="E5039" s="387">
        <f>VII.A!$D$194</f>
        <v>0</v>
      </c>
      <c r="F5039" s="388">
        <f t="shared" ref="F5039:F5045" si="1295">ROUND(C5039*E5039,2)</f>
        <v>0</v>
      </c>
      <c r="H5039" s="341">
        <f>IF(A5039="","",VLOOKUP(A5039,VII.A!$A$10:$D$199,4,FALSE))</f>
        <v>0</v>
      </c>
      <c r="I5039" s="341" t="str">
        <f t="shared" ref="I5039:I5045" si="1296">IF(A5039="","",IF(E5039=H5039,"SIM","NÃO"))</f>
        <v>SIM</v>
      </c>
      <c r="J5039" s="341" t="str">
        <f>IF(A5039="","",VLOOKUP(A5039,VII.A!$A$10:$D$199,3,FALSE))</f>
        <v>H</v>
      </c>
      <c r="K5039" s="342" t="str">
        <f t="shared" ref="K5039:K5045" si="1297">IF(A5039="","",IF(J5039=D5039,"SIM","NÃO"))</f>
        <v>SIM</v>
      </c>
      <c r="L5039" s="380">
        <f>IF(C5039="","",G5003*C5039)</f>
        <v>5880</v>
      </c>
      <c r="M5039" s="381" t="str">
        <f>IF(A5039="","",VLOOKUP(A5039,VII.A!$A$10:$B$199,2,FALSE))</f>
        <v>PINTOR DE LETRAS COM ENCARGOS COMPLEMENTARES</v>
      </c>
      <c r="N5039" s="342" t="str">
        <f t="shared" ref="N5039:N5045" si="1298">IF(B5039="","",IF(M5039=B5039,"si","no"))</f>
        <v>si</v>
      </c>
      <c r="R5039" s="341"/>
      <c r="S5039" s="341"/>
    </row>
    <row r="5040" spans="1:19" ht="12.75" customHeight="1">
      <c r="A5040" s="393"/>
      <c r="C5040" s="20"/>
      <c r="E5040" s="387"/>
      <c r="F5040" s="388">
        <f t="shared" si="1295"/>
        <v>0</v>
      </c>
      <c r="H5040" s="341" t="str">
        <f>IF(A5040="","",VLOOKUP(A5040,VII.A!$A$10:$D$199,4,FALSE))</f>
        <v/>
      </c>
      <c r="I5040" s="341" t="str">
        <f t="shared" si="1296"/>
        <v/>
      </c>
      <c r="J5040" s="341" t="str">
        <f>IF(A5040="","",VLOOKUP(A5040,VII.A!$A$10:$D$199,3,FALSE))</f>
        <v/>
      </c>
      <c r="K5040" s="342" t="str">
        <f t="shared" si="1297"/>
        <v/>
      </c>
      <c r="L5040" s="380" t="str">
        <f>IF(C5040="","",G5003*C5040)</f>
        <v/>
      </c>
      <c r="M5040" s="381" t="str">
        <f>IF(A5040="","",VLOOKUP(A5040,VII.A!$A$10:$B$199,2,FALSE))</f>
        <v/>
      </c>
      <c r="N5040" s="342" t="str">
        <f t="shared" si="1298"/>
        <v/>
      </c>
      <c r="R5040" s="341"/>
      <c r="S5040" s="341"/>
    </row>
    <row r="5041" spans="1:25" ht="12.75" customHeight="1">
      <c r="A5041" s="393"/>
      <c r="C5041" s="20"/>
      <c r="E5041" s="387"/>
      <c r="F5041" s="388">
        <f t="shared" si="1295"/>
        <v>0</v>
      </c>
      <c r="H5041" s="341" t="str">
        <f>IF(A5041="","",VLOOKUP(A5041,VII.A!$A$10:$D$199,4,FALSE))</f>
        <v/>
      </c>
      <c r="I5041" s="341" t="str">
        <f t="shared" si="1296"/>
        <v/>
      </c>
      <c r="J5041" s="341" t="str">
        <f>IF(A5041="","",VLOOKUP(A5041,VII.A!$A$10:$D$199,3,FALSE))</f>
        <v/>
      </c>
      <c r="K5041" s="342" t="str">
        <f t="shared" si="1297"/>
        <v/>
      </c>
      <c r="L5041" s="380" t="str">
        <f>IF(C5041="","",G5003*C5041)</f>
        <v/>
      </c>
      <c r="M5041" s="381" t="str">
        <f>IF(A5041="","",VLOOKUP(A5041,VII.A!$A$10:$B$199,2,FALSE))</f>
        <v/>
      </c>
      <c r="N5041" s="342" t="str">
        <f t="shared" si="1298"/>
        <v/>
      </c>
      <c r="R5041" s="341"/>
      <c r="S5041" s="341"/>
    </row>
    <row r="5042" spans="1:25" ht="12.75" customHeight="1">
      <c r="A5042" s="393"/>
      <c r="C5042" s="20"/>
      <c r="E5042" s="387"/>
      <c r="F5042" s="388">
        <f t="shared" si="1295"/>
        <v>0</v>
      </c>
      <c r="H5042" s="341" t="str">
        <f>IF(A5042="","",VLOOKUP(A5042,VII.A!$A$10:$D$199,4,FALSE))</f>
        <v/>
      </c>
      <c r="I5042" s="341" t="str">
        <f t="shared" si="1296"/>
        <v/>
      </c>
      <c r="J5042" s="341" t="str">
        <f>IF(A5042="","",VLOOKUP(A5042,VII.A!$A$10:$D$199,3,FALSE))</f>
        <v/>
      </c>
      <c r="K5042" s="342" t="str">
        <f t="shared" si="1297"/>
        <v/>
      </c>
      <c r="L5042" s="380" t="str">
        <f>IF(C5042="","",G5003*C5042)</f>
        <v/>
      </c>
      <c r="M5042" s="381" t="str">
        <f>IF(A5042="","",VLOOKUP(A5042,VII.A!$A$10:$B$199,2,FALSE))</f>
        <v/>
      </c>
      <c r="N5042" s="342" t="str">
        <f t="shared" si="1298"/>
        <v/>
      </c>
      <c r="R5042" s="341"/>
      <c r="S5042" s="341"/>
    </row>
    <row r="5043" spans="1:25" ht="12.75" customHeight="1">
      <c r="A5043" s="393"/>
      <c r="C5043" s="20"/>
      <c r="E5043" s="387"/>
      <c r="F5043" s="388">
        <f t="shared" si="1295"/>
        <v>0</v>
      </c>
      <c r="H5043" s="341" t="str">
        <f>IF(A5043="","",VLOOKUP(A5043,VII.A!$A$10:$D$199,4,FALSE))</f>
        <v/>
      </c>
      <c r="I5043" s="341" t="str">
        <f t="shared" si="1296"/>
        <v/>
      </c>
      <c r="J5043" s="341" t="str">
        <f>IF(A5043="","",VLOOKUP(A5043,VII.A!$A$10:$D$199,3,FALSE))</f>
        <v/>
      </c>
      <c r="K5043" s="342" t="str">
        <f t="shared" si="1297"/>
        <v/>
      </c>
      <c r="L5043" s="380" t="str">
        <f>IF(C5043="","",G5003*C5043)</f>
        <v/>
      </c>
      <c r="M5043" s="381" t="str">
        <f>IF(A5043="","",VLOOKUP(A5043,VII.A!$A$10:$B$199,2,FALSE))</f>
        <v/>
      </c>
      <c r="N5043" s="342" t="str">
        <f t="shared" si="1298"/>
        <v/>
      </c>
      <c r="R5043" s="341"/>
      <c r="S5043" s="341"/>
    </row>
    <row r="5044" spans="1:25" ht="12.75" customHeight="1">
      <c r="A5044" s="393"/>
      <c r="C5044" s="20"/>
      <c r="E5044" s="387"/>
      <c r="F5044" s="388">
        <f t="shared" si="1295"/>
        <v>0</v>
      </c>
      <c r="H5044" s="341" t="str">
        <f>IF(A5044="","",VLOOKUP(A5044,VII.A!$A$10:$D$199,4,FALSE))</f>
        <v/>
      </c>
      <c r="I5044" s="341" t="str">
        <f t="shared" si="1296"/>
        <v/>
      </c>
      <c r="J5044" s="341" t="str">
        <f>IF(A5044="","",VLOOKUP(A5044,VII.A!$A$10:$D$199,3,FALSE))</f>
        <v/>
      </c>
      <c r="K5044" s="342" t="str">
        <f t="shared" si="1297"/>
        <v/>
      </c>
      <c r="L5044" s="380" t="str">
        <f>IF(C5044="","",G5003*C5044)</f>
        <v/>
      </c>
      <c r="M5044" s="381" t="str">
        <f>IF(A5044="","",VLOOKUP(A5044,VII.A!$A$10:$B$199,2,FALSE))</f>
        <v/>
      </c>
      <c r="N5044" s="342" t="str">
        <f t="shared" si="1298"/>
        <v/>
      </c>
      <c r="R5044" s="341"/>
      <c r="S5044" s="341"/>
    </row>
    <row r="5045" spans="1:25" ht="12.75" customHeight="1">
      <c r="A5045" s="393"/>
      <c r="C5045" s="20"/>
      <c r="E5045" s="387"/>
      <c r="F5045" s="388">
        <f t="shared" si="1295"/>
        <v>0</v>
      </c>
      <c r="H5045" s="341" t="str">
        <f>IF(A5045="","",VLOOKUP(A5045,VII.A!$A$10:$D$199,4,FALSE))</f>
        <v/>
      </c>
      <c r="I5045" s="341" t="str">
        <f t="shared" si="1296"/>
        <v/>
      </c>
      <c r="J5045" s="341" t="str">
        <f>IF(A5045="","",VLOOKUP(A5045,VII.A!$A$10:$D$199,3,FALSE))</f>
        <v/>
      </c>
      <c r="K5045" s="342" t="str">
        <f t="shared" si="1297"/>
        <v/>
      </c>
      <c r="L5045" s="380" t="str">
        <f>IF(C5045="","",G5003*C5045)</f>
        <v/>
      </c>
      <c r="M5045" s="381" t="str">
        <f>IF(A5045="","",VLOOKUP(A5045,VII.A!$A$10:$B$199,2,FALSE))</f>
        <v/>
      </c>
      <c r="N5045" s="342" t="str">
        <f t="shared" si="1298"/>
        <v/>
      </c>
      <c r="R5045" s="341"/>
      <c r="S5045" s="341"/>
    </row>
    <row r="5046" spans="1:25" ht="12.75" customHeight="1">
      <c r="A5046" s="393"/>
      <c r="B5046" s="395" t="s">
        <v>226</v>
      </c>
      <c r="C5046" s="396"/>
      <c r="D5046" s="397"/>
      <c r="E5046" s="398"/>
      <c r="F5046" s="399">
        <f>SUM(F5039:F5045)</f>
        <v>0</v>
      </c>
      <c r="J5046" s="341"/>
      <c r="L5046" s="380"/>
      <c r="M5046" s="381"/>
      <c r="N5046" s="342"/>
      <c r="R5046" s="341"/>
      <c r="S5046" s="341"/>
    </row>
    <row r="5047" spans="1:25" ht="12.75" customHeight="1">
      <c r="A5047" s="393"/>
      <c r="B5047" s="400" t="s">
        <v>229</v>
      </c>
      <c r="C5047" s="2">
        <f>IX.A!$C$45</f>
        <v>0</v>
      </c>
      <c r="D5047" s="401"/>
      <c r="E5047" s="402"/>
      <c r="F5047" s="403">
        <f>ROUND(F5046*C5047,2)</f>
        <v>0</v>
      </c>
      <c r="J5047" s="341"/>
      <c r="L5047" s="380"/>
      <c r="M5047" s="381"/>
      <c r="N5047" s="342"/>
      <c r="R5047" s="341"/>
      <c r="S5047" s="341"/>
    </row>
    <row r="5048" spans="1:25" ht="12.75" customHeight="1">
      <c r="A5048" s="393"/>
      <c r="B5048" s="400" t="s">
        <v>53</v>
      </c>
      <c r="C5048" s="2">
        <f>$D$8</f>
        <v>0</v>
      </c>
      <c r="D5048" s="401"/>
      <c r="E5048" s="402"/>
      <c r="F5048" s="403">
        <f>ROUND(SUM(F5046:F5047)*C5048,2)</f>
        <v>0</v>
      </c>
      <c r="J5048" s="341"/>
      <c r="L5048" s="380"/>
      <c r="M5048" s="381"/>
      <c r="N5048" s="342"/>
      <c r="R5048" s="341"/>
      <c r="S5048" s="341"/>
    </row>
    <row r="5049" spans="1:25" ht="12.75" customHeight="1" thickBot="1">
      <c r="A5049" s="414"/>
      <c r="B5049" s="415" t="s">
        <v>230</v>
      </c>
      <c r="C5049" s="416"/>
      <c r="D5049" s="416"/>
      <c r="E5049" s="417"/>
      <c r="F5049" s="418">
        <f>SUM(F5046:F5048)</f>
        <v>0</v>
      </c>
      <c r="J5049" s="341"/>
      <c r="L5049" s="380"/>
      <c r="M5049" s="381"/>
      <c r="N5049" s="342"/>
      <c r="R5049" s="341"/>
      <c r="S5049" s="341"/>
    </row>
    <row r="5050" spans="1:25" ht="12.75" customHeight="1" thickBot="1">
      <c r="A5050" s="357"/>
      <c r="B5050" s="358"/>
      <c r="C5050" s="359"/>
      <c r="D5050" s="359"/>
      <c r="E5050" s="360"/>
      <c r="F5050" s="419"/>
      <c r="J5050" s="341"/>
      <c r="L5050" s="380"/>
      <c r="M5050" s="381"/>
      <c r="N5050" s="342"/>
      <c r="R5050" s="341"/>
      <c r="S5050" s="341"/>
    </row>
    <row r="5051" spans="1:25" ht="30" customHeight="1">
      <c r="A5051" s="370" t="str">
        <f>IV.A!$A$151</f>
        <v>6.14</v>
      </c>
      <c r="B5051" s="371" t="str">
        <f>IV.A!$B$151</f>
        <v>PINTURA DA LOGOMARCA DO MUNICÍPIO DE SÃO JOSÉ DO RIO PRETO E NOME DO SISTEMA</v>
      </c>
      <c r="C5051" s="871" t="s">
        <v>237</v>
      </c>
      <c r="D5051" s="872"/>
      <c r="E5051" s="372" t="str">
        <f>IV.A!$C$151</f>
        <v>UN</v>
      </c>
      <c r="F5051" s="11">
        <f>ROUND(F5071+F5085+F5097,2)</f>
        <v>0</v>
      </c>
      <c r="G5051" s="1">
        <f>VLOOKUP(A5051,IV.A!$A$16:$L$172,4,FALSE)</f>
        <v>210</v>
      </c>
      <c r="H5051" s="361">
        <f>SUM(F5053:F5068)+F5070</f>
        <v>0</v>
      </c>
      <c r="I5051" s="361">
        <f>SUM(F5073:F5082)+F5084</f>
        <v>0</v>
      </c>
      <c r="J5051" s="361">
        <f>SUM(F5087:F5093)+F5095+F5096</f>
        <v>0</v>
      </c>
      <c r="K5051" s="361">
        <f>SUM(H5051:J5051)</f>
        <v>0</v>
      </c>
      <c r="L5051" s="362" t="str">
        <f>IF(K5051=F5051,"SIM","NÃO")</f>
        <v>SIM</v>
      </c>
      <c r="M5051" s="373">
        <f>ROUND(SUM(F5053:F5068),2)+ROUND(SUM(F5053:F5068)*C5070,2)+ROUND(SUM(F5073:F5082)*C5084,2)+ROUND(SUM(F5073:F5082),2)+ROUND(SUM(F5087:F5093)*C5095,2)+ROUND((SUM(F5087:F5093)+ROUND(SUM(F5087:F5093)*C5095,2))*C5096,2)+ROUND(SUM(F5087:F5093),2)</f>
        <v>0</v>
      </c>
      <c r="N5051" s="343" t="str">
        <f>IF(M5051=F5051,"SIM","NÃO")</f>
        <v>SIM</v>
      </c>
      <c r="O5051" s="364" t="str">
        <f>VLOOKUP(A5051,IV.A!$A$16:$E$172,3,FALSE)</f>
        <v>UN</v>
      </c>
      <c r="P5051" s="344" t="str">
        <f>IF(O5051=E5051,"SIM","NÃO")</f>
        <v>SIM</v>
      </c>
      <c r="Q5051" s="365">
        <f>ROUND(G5051*F5071,2)+ROUND(G5051*F5085,2)+ROUND(G5051*F5097,2)</f>
        <v>0</v>
      </c>
      <c r="R5051" s="364">
        <f>VLOOKUP(A5051,IV.A!$A$16:$L$172,12,FALSE)</f>
        <v>0</v>
      </c>
      <c r="S5051" s="366" t="str">
        <f>IF(Q5051=R5051,"si","no")</f>
        <v>si</v>
      </c>
      <c r="T5051" s="367">
        <f>SUM(L5053:L5068)+SUM(L5073:L5082)+SUM(L5087:L5093)</f>
        <v>7839.9930000000004</v>
      </c>
      <c r="U5051" s="341">
        <f>(SUM(C5053:C5068)+SUM(C5073:C5082)+SUM(C5087:C5093))*G5051</f>
        <v>7839.9930000000004</v>
      </c>
      <c r="V5051" s="368" t="str">
        <f>IF(T5051=U5051,"si","no")</f>
        <v>si</v>
      </c>
      <c r="W5051" s="369">
        <f>SUM(F5053:F5068)</f>
        <v>0</v>
      </c>
      <c r="X5051" s="369">
        <f>SUM(F5073:F5082)</f>
        <v>0</v>
      </c>
      <c r="Y5051" s="369">
        <f>SUM(F5087:F5093)</f>
        <v>0</v>
      </c>
    </row>
    <row r="5052" spans="1:25" ht="12.75" customHeight="1">
      <c r="A5052" s="374" t="s">
        <v>14</v>
      </c>
      <c r="B5052" s="375" t="s">
        <v>132</v>
      </c>
      <c r="C5052" s="376" t="s">
        <v>231</v>
      </c>
      <c r="D5052" s="376" t="s">
        <v>232</v>
      </c>
      <c r="E5052" s="377" t="s">
        <v>233</v>
      </c>
      <c r="F5052" s="378" t="s">
        <v>234</v>
      </c>
      <c r="G5052" s="379"/>
      <c r="J5052" s="341"/>
      <c r="L5052" s="380"/>
      <c r="M5052" s="381"/>
      <c r="N5052" s="342"/>
      <c r="O5052" s="382"/>
      <c r="P5052" s="383"/>
      <c r="Q5052" s="383"/>
      <c r="R5052" s="383"/>
      <c r="S5052" s="383"/>
      <c r="T5052" s="382"/>
      <c r="U5052" s="341"/>
      <c r="V5052" s="384"/>
      <c r="W5052" s="384"/>
      <c r="X5052" s="384"/>
      <c r="Y5052" s="384"/>
    </row>
    <row r="5053" spans="1:25" ht="12.75" customHeight="1">
      <c r="A5053" s="385" t="str">
        <f>VII.A!$A$14</f>
        <v>1.5</v>
      </c>
      <c r="B5053" s="386" t="str">
        <f>VLOOKUP(A5053,VII.A!$A$10:$G$199,2,FALSE)</f>
        <v>SOLVENTE DILUENTE A BASE DE AGUARRÁS</v>
      </c>
      <c r="C5053" s="20">
        <f>10*0.05</f>
        <v>0.5</v>
      </c>
      <c r="D5053" s="342" t="str">
        <f>VLOOKUP(A5053,VII.A!$A$10:$G$199,3,FALSE)</f>
        <v>L</v>
      </c>
      <c r="E5053" s="387">
        <f>VII.A!$D$14</f>
        <v>0</v>
      </c>
      <c r="F5053" s="388">
        <f>ROUND(C5053*E5053,2)</f>
        <v>0</v>
      </c>
      <c r="H5053" s="341">
        <f>IF(A5053="","",VLOOKUP(A5053,VII.A!$A$10:$D$199,4,FALSE))</f>
        <v>0</v>
      </c>
      <c r="I5053" s="341" t="str">
        <f t="shared" ref="I5053:I5068" si="1299">IF(A5053="","",IF(E5053=H5053,"SIM","NÃO"))</f>
        <v>SIM</v>
      </c>
      <c r="J5053" s="341" t="str">
        <f>IF(A5053="","",VLOOKUP(A5053,VII.A!$A$10:$D$199,3,FALSE))</f>
        <v>L</v>
      </c>
      <c r="K5053" s="342" t="str">
        <f t="shared" ref="K5053:K5068" si="1300">IF(A5053="","",IF(J5053=D5053,"SIM","NÃO"))</f>
        <v>SIM</v>
      </c>
      <c r="L5053" s="380">
        <f>IF(C5053="","",G5051*C5053)</f>
        <v>105</v>
      </c>
      <c r="M5053" s="381" t="str">
        <f>IF(A5053="","",VLOOKUP(A5053,VII.A!$A$10:$B$199,2,FALSE))</f>
        <v>SOLVENTE DILUENTE A BASE DE AGUARRÁS</v>
      </c>
      <c r="N5053" s="342" t="str">
        <f t="shared" ref="N5053:N5068" si="1301">IF(B5053="","",IF(M5053=B5053,"si","no"))</f>
        <v>si</v>
      </c>
      <c r="R5053" s="341"/>
      <c r="S5053" s="341"/>
    </row>
    <row r="5054" spans="1:25" ht="12.75" customHeight="1">
      <c r="A5054" s="385" t="str">
        <f>VII.A!$A$110</f>
        <v>1.100</v>
      </c>
      <c r="B5054" s="386" t="str">
        <f>VLOOKUP(A5054,VII.A!$A$10:$G$199,2,FALSE)</f>
        <v xml:space="preserve">TINTA ESMALTE SINTETICO PREMIUM </v>
      </c>
      <c r="C5054" s="20">
        <v>1</v>
      </c>
      <c r="D5054" s="342" t="str">
        <f>VLOOKUP(A5054,VII.A!$A$10:$G$199,3,FALSE)</f>
        <v>L</v>
      </c>
      <c r="E5054" s="387">
        <f>VII.A!D110</f>
        <v>0</v>
      </c>
      <c r="F5054" s="388">
        <f t="shared" ref="F5054:F5068" si="1302">ROUND(C5054*E5054,2)</f>
        <v>0</v>
      </c>
      <c r="H5054" s="341">
        <f>IF(A5054="","",VLOOKUP(A5054,VII.A!$A$10:$D$199,4,FALSE))</f>
        <v>0</v>
      </c>
      <c r="I5054" s="341" t="str">
        <f t="shared" si="1299"/>
        <v>SIM</v>
      </c>
      <c r="J5054" s="341" t="str">
        <f>IF(A5054="","",VLOOKUP(A5054,VII.A!$A$10:$D$199,3,FALSE))</f>
        <v>L</v>
      </c>
      <c r="K5054" s="342" t="str">
        <f t="shared" si="1300"/>
        <v>SIM</v>
      </c>
      <c r="L5054" s="380">
        <f>IF(C5054="","",G5051*C5054)</f>
        <v>210</v>
      </c>
      <c r="M5054" s="381" t="str">
        <f>IF(A5054="","",VLOOKUP(A5054,VII.A!$A$10:$B$199,2,FALSE))</f>
        <v xml:space="preserve">TINTA ESMALTE SINTETICO PREMIUM </v>
      </c>
      <c r="N5054" s="342" t="str">
        <f t="shared" si="1301"/>
        <v>si</v>
      </c>
      <c r="R5054" s="341"/>
      <c r="S5054" s="341"/>
    </row>
    <row r="5055" spans="1:25" ht="12.75" customHeight="1">
      <c r="A5055" s="385" t="str">
        <f>VII.A!$A$68</f>
        <v>1.59</v>
      </c>
      <c r="B5055" s="386" t="str">
        <f>VLOOKUP(A5055,VII.A!$A$10:$G$199,2,FALSE)</f>
        <v>LIXA PARA SUPERFÍCIE/MASSA, GRANA 120</v>
      </c>
      <c r="C5055" s="20">
        <f>10*0.25</f>
        <v>2.5</v>
      </c>
      <c r="D5055" s="342" t="str">
        <f>VLOOKUP(A5055,VII.A!$A$10:$G$199,3,FALSE)</f>
        <v>UN</v>
      </c>
      <c r="E5055" s="387">
        <f>VII.A!$D$68</f>
        <v>0</v>
      </c>
      <c r="F5055" s="388">
        <f t="shared" si="1302"/>
        <v>0</v>
      </c>
      <c r="H5055" s="341">
        <f>IF(A5055="","",VLOOKUP(A5055,VII.A!$A$10:$D$199,4,FALSE))</f>
        <v>0</v>
      </c>
      <c r="I5055" s="341" t="str">
        <f t="shared" si="1299"/>
        <v>SIM</v>
      </c>
      <c r="J5055" s="341" t="str">
        <f>IF(A5055="","",VLOOKUP(A5055,VII.A!$A$10:$D$199,3,FALSE))</f>
        <v>UN</v>
      </c>
      <c r="K5055" s="342" t="str">
        <f t="shared" si="1300"/>
        <v>SIM</v>
      </c>
      <c r="L5055" s="380">
        <f>IF(C5055="","",G5051*C5055)</f>
        <v>525</v>
      </c>
      <c r="M5055" s="381" t="str">
        <f>IF(A5055="","",VLOOKUP(A5055,VII.A!$A$10:$B$199,2,FALSE))</f>
        <v>LIXA PARA SUPERFÍCIE/MASSA, GRANA 120</v>
      </c>
      <c r="N5055" s="342" t="str">
        <f t="shared" si="1301"/>
        <v>si</v>
      </c>
      <c r="R5055" s="341"/>
      <c r="S5055" s="341"/>
    </row>
    <row r="5056" spans="1:25" ht="12.75" customHeight="1">
      <c r="A5056" s="385" t="str">
        <f>VII.A!$A$98</f>
        <v>1.88</v>
      </c>
      <c r="B5056" s="386" t="str">
        <f>VLOOKUP(A5056,VII.A!$A$10:$G$199,2,FALSE)</f>
        <v>SELADOR ACRÍLICO</v>
      </c>
      <c r="C5056" s="20">
        <f>10*0.12</f>
        <v>1.2</v>
      </c>
      <c r="D5056" s="342" t="str">
        <f>VLOOKUP(A5056,VII.A!$A$10:$G$199,3,FALSE)</f>
        <v>L</v>
      </c>
      <c r="E5056" s="387">
        <f>VII.A!$D$98</f>
        <v>0</v>
      </c>
      <c r="F5056" s="388">
        <f t="shared" si="1302"/>
        <v>0</v>
      </c>
      <c r="H5056" s="341">
        <f>IF(A5056="","",VLOOKUP(A5056,VII.A!$A$10:$D$199,4,FALSE))</f>
        <v>0</v>
      </c>
      <c r="I5056" s="341" t="str">
        <f t="shared" si="1299"/>
        <v>SIM</v>
      </c>
      <c r="J5056" s="341" t="str">
        <f>IF(A5056="","",VLOOKUP(A5056,VII.A!$A$10:$D$199,3,FALSE))</f>
        <v>L</v>
      </c>
      <c r="K5056" s="342" t="str">
        <f t="shared" si="1300"/>
        <v>SIM</v>
      </c>
      <c r="L5056" s="380">
        <f>IF(C5056="","",G5051*C5056)</f>
        <v>252</v>
      </c>
      <c r="M5056" s="381" t="str">
        <f>IF(A5056="","",VLOOKUP(A5056,VII.A!$A$10:$B$199,2,FALSE))</f>
        <v>SELADOR ACRÍLICO</v>
      </c>
      <c r="N5056" s="342" t="str">
        <f t="shared" si="1301"/>
        <v>si</v>
      </c>
      <c r="R5056" s="341"/>
      <c r="S5056" s="341"/>
    </row>
    <row r="5057" spans="1:21" ht="12.75" customHeight="1">
      <c r="A5057" s="385" t="str">
        <f>VII.A!$A$112</f>
        <v>1.102</v>
      </c>
      <c r="B5057" s="386" t="str">
        <f>VLOOKUP(A5057,VII.A!$A$10:$G$199,2,FALSE)</f>
        <v>TINTA LÁTEX ACRÍLICA - 1ª LINHA</v>
      </c>
      <c r="C5057" s="20">
        <f>20*0.2</f>
        <v>4</v>
      </c>
      <c r="D5057" s="342" t="str">
        <f>VLOOKUP(A5057,VII.A!$A$10:$G$199,3,FALSE)</f>
        <v>L</v>
      </c>
      <c r="E5057" s="387">
        <f>VII.A!$D$112</f>
        <v>0</v>
      </c>
      <c r="F5057" s="388">
        <f t="shared" si="1302"/>
        <v>0</v>
      </c>
      <c r="H5057" s="341">
        <f>IF(A5057="","",VLOOKUP(A5057,VII.A!$A$10:$D$199,4,FALSE))</f>
        <v>0</v>
      </c>
      <c r="I5057" s="341" t="str">
        <f t="shared" si="1299"/>
        <v>SIM</v>
      </c>
      <c r="J5057" s="341" t="str">
        <f>IF(A5057="","",VLOOKUP(A5057,VII.A!$A$10:$D$199,3,FALSE))</f>
        <v>L</v>
      </c>
      <c r="K5057" s="342" t="str">
        <f t="shared" si="1300"/>
        <v>SIM</v>
      </c>
      <c r="L5057" s="380">
        <f>IF(C5057="","",G5051*C5057)</f>
        <v>840</v>
      </c>
      <c r="M5057" s="381" t="str">
        <f>IF(A5057="","",VLOOKUP(A5057,VII.A!$A$10:$B$199,2,FALSE))</f>
        <v>TINTA LÁTEX ACRÍLICA - 1ª LINHA</v>
      </c>
      <c r="N5057" s="342" t="str">
        <f t="shared" si="1301"/>
        <v>si</v>
      </c>
      <c r="R5057" s="341"/>
      <c r="S5057" s="341"/>
    </row>
    <row r="5058" spans="1:21" ht="12.75" customHeight="1">
      <c r="A5058" s="385"/>
      <c r="B5058" s="386"/>
      <c r="C5058" s="20"/>
      <c r="D5058" s="342"/>
      <c r="E5058" s="387"/>
      <c r="F5058" s="388">
        <f t="shared" si="1302"/>
        <v>0</v>
      </c>
      <c r="H5058" s="341" t="str">
        <f>IF(A5058="","",VLOOKUP(A5058,VII.A!$A$10:$D$199,4,FALSE))</f>
        <v/>
      </c>
      <c r="I5058" s="341" t="str">
        <f t="shared" si="1299"/>
        <v/>
      </c>
      <c r="J5058" s="341" t="str">
        <f>IF(A5058="","",VLOOKUP(A5058,VII.A!$A$10:$D$199,3,FALSE))</f>
        <v/>
      </c>
      <c r="K5058" s="342" t="str">
        <f t="shared" si="1300"/>
        <v/>
      </c>
      <c r="L5058" s="380" t="str">
        <f>IF(C5058="","",G5051*C5058)</f>
        <v/>
      </c>
      <c r="M5058" s="381" t="str">
        <f>IF(A5058="","",VLOOKUP(A5058,VII.A!$A$10:$B$199,2,FALSE))</f>
        <v/>
      </c>
      <c r="N5058" s="342" t="str">
        <f t="shared" si="1301"/>
        <v/>
      </c>
      <c r="R5058" s="341"/>
      <c r="S5058" s="341"/>
      <c r="U5058" s="389"/>
    </row>
    <row r="5059" spans="1:21" ht="12.75" customHeight="1">
      <c r="A5059" s="385"/>
      <c r="B5059" s="386"/>
      <c r="C5059" s="20"/>
      <c r="D5059" s="342"/>
      <c r="E5059" s="387"/>
      <c r="F5059" s="388">
        <f t="shared" si="1302"/>
        <v>0</v>
      </c>
      <c r="H5059" s="341" t="str">
        <f>IF(A5059="","",VLOOKUP(A5059,VII.A!$A$10:$D$199,4,FALSE))</f>
        <v/>
      </c>
      <c r="I5059" s="341" t="str">
        <f t="shared" si="1299"/>
        <v/>
      </c>
      <c r="J5059" s="341" t="str">
        <f>IF(A5059="","",VLOOKUP(A5059,VII.A!$A$10:$D$199,3,FALSE))</f>
        <v/>
      </c>
      <c r="K5059" s="342" t="str">
        <f t="shared" si="1300"/>
        <v/>
      </c>
      <c r="L5059" s="380" t="str">
        <f>IF(C5059="","",G5051*C5059)</f>
        <v/>
      </c>
      <c r="M5059" s="381" t="str">
        <f>IF(A5059="","",VLOOKUP(A5059,VII.A!$A$10:$B$199,2,FALSE))</f>
        <v/>
      </c>
      <c r="N5059" s="342" t="str">
        <f t="shared" si="1301"/>
        <v/>
      </c>
      <c r="R5059" s="341"/>
      <c r="S5059" s="341"/>
    </row>
    <row r="5060" spans="1:21" ht="12.75" customHeight="1">
      <c r="A5060" s="385"/>
      <c r="B5060" s="386"/>
      <c r="C5060" s="20"/>
      <c r="D5060" s="342"/>
      <c r="E5060" s="387"/>
      <c r="F5060" s="388">
        <f t="shared" si="1302"/>
        <v>0</v>
      </c>
      <c r="G5060" s="390"/>
      <c r="H5060" s="341" t="str">
        <f>IF(A5060="","",VLOOKUP(A5060,VII.A!$A$10:$D$199,4,FALSE))</f>
        <v/>
      </c>
      <c r="I5060" s="341" t="str">
        <f t="shared" si="1299"/>
        <v/>
      </c>
      <c r="J5060" s="341" t="str">
        <f>IF(A5060="","",VLOOKUP(A5060,VII.A!$A$10:$D$199,3,FALSE))</f>
        <v/>
      </c>
      <c r="K5060" s="342" t="str">
        <f t="shared" si="1300"/>
        <v/>
      </c>
      <c r="L5060" s="380" t="str">
        <f>IF(C5060="","",G5051*C5060)</f>
        <v/>
      </c>
      <c r="M5060" s="381" t="str">
        <f>IF(A5060="","",VLOOKUP(A5060,VII.A!$A$10:$B$199,2,FALSE))</f>
        <v/>
      </c>
      <c r="N5060" s="342" t="str">
        <f t="shared" si="1301"/>
        <v/>
      </c>
      <c r="R5060" s="341"/>
      <c r="S5060" s="341"/>
    </row>
    <row r="5061" spans="1:21" ht="12.75" customHeight="1">
      <c r="A5061" s="385"/>
      <c r="B5061" s="386"/>
      <c r="C5061" s="20"/>
      <c r="D5061" s="342"/>
      <c r="E5061" s="387"/>
      <c r="F5061" s="388">
        <f t="shared" si="1302"/>
        <v>0</v>
      </c>
      <c r="G5061" s="390"/>
      <c r="H5061" s="341" t="str">
        <f>IF(A5061="","",VLOOKUP(A5061,VII.A!$A$10:$D$199,4,FALSE))</f>
        <v/>
      </c>
      <c r="I5061" s="341" t="str">
        <f t="shared" si="1299"/>
        <v/>
      </c>
      <c r="J5061" s="341" t="str">
        <f>IF(A5061="","",VLOOKUP(A5061,VII.A!$A$10:$D$199,3,FALSE))</f>
        <v/>
      </c>
      <c r="K5061" s="342" t="str">
        <f t="shared" si="1300"/>
        <v/>
      </c>
      <c r="L5061" s="380" t="str">
        <f>IF(C5061="","",G5051*C5061)</f>
        <v/>
      </c>
      <c r="M5061" s="381" t="str">
        <f>IF(A5061="","",VLOOKUP(A5061,VII.A!$A$10:$B$199,2,FALSE))</f>
        <v/>
      </c>
      <c r="N5061" s="342" t="str">
        <f t="shared" si="1301"/>
        <v/>
      </c>
      <c r="R5061" s="341"/>
      <c r="S5061" s="341"/>
    </row>
    <row r="5062" spans="1:21" ht="12.75" customHeight="1">
      <c r="A5062" s="385"/>
      <c r="B5062" s="386"/>
      <c r="C5062" s="20"/>
      <c r="D5062" s="342"/>
      <c r="E5062" s="387"/>
      <c r="F5062" s="388">
        <f t="shared" si="1302"/>
        <v>0</v>
      </c>
      <c r="G5062" s="391"/>
      <c r="H5062" s="341" t="str">
        <f>IF(A5062="","",VLOOKUP(A5062,VII.A!$A$10:$D$199,4,FALSE))</f>
        <v/>
      </c>
      <c r="I5062" s="341" t="str">
        <f t="shared" si="1299"/>
        <v/>
      </c>
      <c r="J5062" s="341" t="str">
        <f>IF(A5062="","",VLOOKUP(A5062,VII.A!$A$10:$D$199,3,FALSE))</f>
        <v/>
      </c>
      <c r="K5062" s="342" t="str">
        <f t="shared" si="1300"/>
        <v/>
      </c>
      <c r="L5062" s="380" t="str">
        <f>IF(C5062="","",G5051*C5062)</f>
        <v/>
      </c>
      <c r="M5062" s="381" t="str">
        <f>IF(A5062="","",VLOOKUP(A5062,VII.A!$A$10:$B$199,2,FALSE))</f>
        <v/>
      </c>
      <c r="N5062" s="342" t="str">
        <f t="shared" si="1301"/>
        <v/>
      </c>
      <c r="R5062" s="341"/>
      <c r="S5062" s="341"/>
    </row>
    <row r="5063" spans="1:21" ht="12.75" customHeight="1">
      <c r="A5063" s="385"/>
      <c r="B5063" s="386"/>
      <c r="C5063" s="20"/>
      <c r="D5063" s="342"/>
      <c r="E5063" s="387"/>
      <c r="F5063" s="388">
        <f t="shared" si="1302"/>
        <v>0</v>
      </c>
      <c r="H5063" s="341" t="str">
        <f>IF(A5063="","",VLOOKUP(A5063,VII.A!$A$10:$D$199,4,FALSE))</f>
        <v/>
      </c>
      <c r="I5063" s="341" t="str">
        <f t="shared" si="1299"/>
        <v/>
      </c>
      <c r="J5063" s="341" t="str">
        <f>IF(A5063="","",VLOOKUP(A5063,VII.A!$A$10:$D$199,3,FALSE))</f>
        <v/>
      </c>
      <c r="K5063" s="342" t="str">
        <f t="shared" si="1300"/>
        <v/>
      </c>
      <c r="L5063" s="380" t="str">
        <f>IF(C5063="","",G5051*C5063)</f>
        <v/>
      </c>
      <c r="M5063" s="381" t="str">
        <f>IF(A5063="","",VLOOKUP(A5063,VII.A!$A$10:$B$199,2,FALSE))</f>
        <v/>
      </c>
      <c r="N5063" s="342" t="str">
        <f t="shared" si="1301"/>
        <v/>
      </c>
      <c r="R5063" s="341"/>
      <c r="S5063" s="341"/>
    </row>
    <row r="5064" spans="1:21" ht="12.75" customHeight="1">
      <c r="A5064" s="385"/>
      <c r="B5064" s="386"/>
      <c r="C5064" s="20"/>
      <c r="D5064" s="392"/>
      <c r="E5064" s="387"/>
      <c r="F5064" s="388">
        <f t="shared" si="1302"/>
        <v>0</v>
      </c>
      <c r="H5064" s="341" t="str">
        <f>IF(A5064="","",VLOOKUP(A5064,VII.A!$A$10:$D$199,4,FALSE))</f>
        <v/>
      </c>
      <c r="I5064" s="341" t="str">
        <f t="shared" si="1299"/>
        <v/>
      </c>
      <c r="J5064" s="341" t="str">
        <f>IF(A5064="","",VLOOKUP(A5064,VII.A!$A$10:$D$199,3,FALSE))</f>
        <v/>
      </c>
      <c r="K5064" s="342" t="str">
        <f t="shared" si="1300"/>
        <v/>
      </c>
      <c r="L5064" s="380" t="str">
        <f>IF(C5064="","",G5051*C5064)</f>
        <v/>
      </c>
      <c r="M5064" s="381" t="str">
        <f>IF(A5064="","",VLOOKUP(A5064,VII.A!$A$10:$B$199,2,FALSE))</f>
        <v/>
      </c>
      <c r="N5064" s="342" t="str">
        <f t="shared" si="1301"/>
        <v/>
      </c>
      <c r="R5064" s="341"/>
      <c r="S5064" s="341"/>
    </row>
    <row r="5065" spans="1:21" ht="12.75" customHeight="1">
      <c r="A5065" s="385"/>
      <c r="B5065" s="386"/>
      <c r="C5065" s="20"/>
      <c r="D5065" s="392"/>
      <c r="E5065" s="387"/>
      <c r="F5065" s="388">
        <f t="shared" si="1302"/>
        <v>0</v>
      </c>
      <c r="H5065" s="341" t="str">
        <f>IF(A5065="","",VLOOKUP(A5065,VII.A!$A$10:$D$199,4,FALSE))</f>
        <v/>
      </c>
      <c r="I5065" s="341" t="str">
        <f t="shared" si="1299"/>
        <v/>
      </c>
      <c r="J5065" s="341" t="str">
        <f>IF(A5065="","",VLOOKUP(A5065,VII.A!$A$10:$D$199,3,FALSE))</f>
        <v/>
      </c>
      <c r="K5065" s="342" t="str">
        <f t="shared" si="1300"/>
        <v/>
      </c>
      <c r="L5065" s="380" t="str">
        <f>IF(C5065="","",G5051*C5065)</f>
        <v/>
      </c>
      <c r="M5065" s="381" t="str">
        <f>IF(A5065="","",VLOOKUP(A5065,VII.A!$A$10:$B$199,2,FALSE))</f>
        <v/>
      </c>
      <c r="N5065" s="342" t="str">
        <f t="shared" si="1301"/>
        <v/>
      </c>
      <c r="O5065" s="342"/>
      <c r="R5065" s="341"/>
      <c r="S5065" s="341"/>
    </row>
    <row r="5066" spans="1:21" ht="12.75" customHeight="1">
      <c r="A5066" s="385"/>
      <c r="B5066" s="386"/>
      <c r="C5066" s="20"/>
      <c r="D5066" s="392"/>
      <c r="E5066" s="387"/>
      <c r="F5066" s="388">
        <f t="shared" si="1302"/>
        <v>0</v>
      </c>
      <c r="H5066" s="341" t="str">
        <f>IF(A5066="","",VLOOKUP(A5066,VII.A!$A$10:$D$199,4,FALSE))</f>
        <v/>
      </c>
      <c r="I5066" s="341" t="str">
        <f t="shared" si="1299"/>
        <v/>
      </c>
      <c r="J5066" s="341" t="str">
        <f>IF(A5066="","",VLOOKUP(A5066,VII.A!$A$10:$D$199,3,FALSE))</f>
        <v/>
      </c>
      <c r="K5066" s="342" t="str">
        <f t="shared" si="1300"/>
        <v/>
      </c>
      <c r="L5066" s="380" t="str">
        <f>IF(C5066="","",G5051*C5066)</f>
        <v/>
      </c>
      <c r="M5066" s="381" t="str">
        <f>IF(A5066="","",VLOOKUP(A5066,VII.A!$A$10:$B$199,2,FALSE))</f>
        <v/>
      </c>
      <c r="N5066" s="342" t="str">
        <f t="shared" si="1301"/>
        <v/>
      </c>
      <c r="R5066" s="341"/>
      <c r="S5066" s="341"/>
    </row>
    <row r="5067" spans="1:21" ht="12.75" customHeight="1">
      <c r="A5067" s="393"/>
      <c r="C5067" s="20"/>
      <c r="E5067" s="387"/>
      <c r="F5067" s="388">
        <f t="shared" si="1302"/>
        <v>0</v>
      </c>
      <c r="H5067" s="341" t="str">
        <f>IF(A5067="","",VLOOKUP(A5067,VII.A!$A$10:$D$199,4,FALSE))</f>
        <v/>
      </c>
      <c r="I5067" s="341" t="str">
        <f t="shared" si="1299"/>
        <v/>
      </c>
      <c r="J5067" s="341" t="str">
        <f>IF(A5067="","",VLOOKUP(A5067,VII.A!$A$10:$D$199,3,FALSE))</f>
        <v/>
      </c>
      <c r="K5067" s="342" t="str">
        <f t="shared" si="1300"/>
        <v/>
      </c>
      <c r="L5067" s="380" t="str">
        <f>IF(C5067="","",G5051*C5067)</f>
        <v/>
      </c>
      <c r="M5067" s="381" t="str">
        <f>IF(A5067="","",VLOOKUP(A5067,VII.A!$A$10:$B$199,2,FALSE))</f>
        <v/>
      </c>
      <c r="N5067" s="342" t="str">
        <f t="shared" si="1301"/>
        <v/>
      </c>
      <c r="R5067" s="341"/>
      <c r="S5067" s="341"/>
    </row>
    <row r="5068" spans="1:21" ht="12.75" customHeight="1">
      <c r="A5068" s="393"/>
      <c r="C5068" s="20"/>
      <c r="E5068" s="387"/>
      <c r="F5068" s="388">
        <f t="shared" si="1302"/>
        <v>0</v>
      </c>
      <c r="H5068" s="341" t="str">
        <f>IF(A5068="","",VLOOKUP(A5068,VII.A!$A$10:$D$199,4,FALSE))</f>
        <v/>
      </c>
      <c r="I5068" s="341" t="str">
        <f t="shared" si="1299"/>
        <v/>
      </c>
      <c r="J5068" s="341" t="str">
        <f>IF(A5068="","",VLOOKUP(A5068,VII.A!$A$10:$D$199,3,FALSE))</f>
        <v/>
      </c>
      <c r="K5068" s="342" t="str">
        <f t="shared" si="1300"/>
        <v/>
      </c>
      <c r="L5068" s="380" t="str">
        <f>IF(C5068="","",G5051*C5068)</f>
        <v/>
      </c>
      <c r="M5068" s="381" t="str">
        <f>IF(A5068="","",VLOOKUP(A5068,VII.A!$A$10:$B$199,2,FALSE))</f>
        <v/>
      </c>
      <c r="N5068" s="342" t="str">
        <f t="shared" si="1301"/>
        <v/>
      </c>
      <c r="R5068" s="341"/>
      <c r="S5068" s="341"/>
    </row>
    <row r="5069" spans="1:21" ht="12.75" customHeight="1">
      <c r="A5069" s="393"/>
      <c r="B5069" s="395" t="s">
        <v>226</v>
      </c>
      <c r="C5069" s="396"/>
      <c r="D5069" s="397"/>
      <c r="E5069" s="398"/>
      <c r="F5069" s="399">
        <f>SUM(F5053:F5068)</f>
        <v>0</v>
      </c>
      <c r="J5069" s="341"/>
      <c r="L5069" s="380"/>
      <c r="M5069" s="381"/>
      <c r="N5069" s="342"/>
      <c r="R5069" s="341"/>
      <c r="S5069" s="341"/>
    </row>
    <row r="5070" spans="1:21" ht="12.75" customHeight="1">
      <c r="A5070" s="393"/>
      <c r="B5070" s="400" t="s">
        <v>53</v>
      </c>
      <c r="C5070" s="2">
        <f>$D$8</f>
        <v>0</v>
      </c>
      <c r="D5070" s="401"/>
      <c r="E5070" s="402"/>
      <c r="F5070" s="403">
        <f>ROUND(F5069*C5070,2)</f>
        <v>0</v>
      </c>
      <c r="J5070" s="341"/>
      <c r="L5070" s="380"/>
      <c r="M5070" s="381"/>
      <c r="N5070" s="342"/>
      <c r="R5070" s="341"/>
      <c r="S5070" s="341"/>
    </row>
    <row r="5071" spans="1:21" ht="12.75" customHeight="1">
      <c r="A5071" s="404"/>
      <c r="B5071" s="405" t="s">
        <v>227</v>
      </c>
      <c r="C5071" s="406"/>
      <c r="D5071" s="406"/>
      <c r="E5071" s="407"/>
      <c r="F5071" s="408">
        <f>F5069+F5070</f>
        <v>0</v>
      </c>
      <c r="J5071" s="341"/>
      <c r="L5071" s="380"/>
      <c r="M5071" s="381"/>
      <c r="N5071" s="342"/>
      <c r="R5071" s="341"/>
      <c r="S5071" s="341"/>
    </row>
    <row r="5072" spans="1:21" ht="12.75" customHeight="1">
      <c r="A5072" s="374" t="s">
        <v>2</v>
      </c>
      <c r="B5072" s="375" t="s">
        <v>235</v>
      </c>
      <c r="C5072" s="376" t="s">
        <v>231</v>
      </c>
      <c r="D5072" s="376" t="s">
        <v>232</v>
      </c>
      <c r="E5072" s="377" t="s">
        <v>233</v>
      </c>
      <c r="F5072" s="378" t="s">
        <v>234</v>
      </c>
      <c r="J5072" s="341"/>
      <c r="L5072" s="380"/>
      <c r="M5072" s="381"/>
      <c r="N5072" s="342"/>
      <c r="R5072" s="341"/>
      <c r="S5072" s="341"/>
    </row>
    <row r="5073" spans="1:19" ht="12.75" customHeight="1">
      <c r="A5073" s="393" t="str">
        <f>VII.A!$A$147</f>
        <v>2.5</v>
      </c>
      <c r="B5073" s="423" t="str">
        <f>VLOOKUP(A5073,VII.A!$A$10:$G$199,2,FALSE)</f>
        <v>BALANCIM LEVE TRADICIONAL - PLATAFORMA 3,00 M COM GUINCHO MANUAL, NR 18 (LOCAÇÃO MENSAL + TRANSPORTE)</v>
      </c>
      <c r="C5073" s="20">
        <v>0.1333</v>
      </c>
      <c r="D5073" s="384" t="str">
        <f>VLOOKUP(A5073,VII.A!$A$10:$G$199,3,FALSE)</f>
        <v>LOC/MÊS</v>
      </c>
      <c r="E5073" s="387">
        <f>VII.A!$D$147</f>
        <v>0</v>
      </c>
      <c r="F5073" s="388">
        <f t="shared" ref="F5073:F5082" si="1303">ROUND(C5073*E5073,2)</f>
        <v>0</v>
      </c>
      <c r="H5073" s="341">
        <f>IF(A5073="","",VLOOKUP(A5073,VII.A!$A$10:$D$199,4,FALSE))</f>
        <v>0</v>
      </c>
      <c r="I5073" s="341" t="str">
        <f t="shared" ref="I5073:I5082" si="1304">IF(A5073="","",IF(E5073=H5073,"SIM","NÃO"))</f>
        <v>SIM</v>
      </c>
      <c r="J5073" s="341" t="str">
        <f>IF(A5073="","",VLOOKUP(A5073,VII.A!$A$10:$D$199,3,FALSE))</f>
        <v>LOC/MÊS</v>
      </c>
      <c r="K5073" s="342" t="str">
        <f t="shared" ref="K5073:K5082" si="1305">IF(A5073="","",IF(J5073=D5073,"SIM","NÃO"))</f>
        <v>SIM</v>
      </c>
      <c r="L5073" s="380">
        <f>IF(C5073="","",G5051*C5073)</f>
        <v>27.993000000000002</v>
      </c>
      <c r="M5073" s="381" t="str">
        <f>IF(A5073="","",VLOOKUP(A5073,VII.A!$A$10:$B$199,2,FALSE))</f>
        <v>BALANCIM LEVE TRADICIONAL - PLATAFORMA 3,00 M COM GUINCHO MANUAL, NR 18 (LOCAÇÃO MENSAL + TRANSPORTE)</v>
      </c>
      <c r="N5073" s="342" t="str">
        <f t="shared" ref="N5073:N5082" si="1306">IF(B5073="","",IF(M5073=B5073,"si","no"))</f>
        <v>si</v>
      </c>
      <c r="R5073" s="341"/>
      <c r="S5073" s="341"/>
    </row>
    <row r="5074" spans="1:19" ht="12.75" customHeight="1">
      <c r="A5074" s="393"/>
      <c r="C5074" s="20"/>
      <c r="E5074" s="387"/>
      <c r="F5074" s="388">
        <f t="shared" si="1303"/>
        <v>0</v>
      </c>
      <c r="H5074" s="341" t="str">
        <f>IF(A5074="","",VLOOKUP(A5074,VII.A!$A$10:$D$199,4,FALSE))</f>
        <v/>
      </c>
      <c r="I5074" s="341" t="str">
        <f t="shared" si="1304"/>
        <v/>
      </c>
      <c r="J5074" s="341" t="str">
        <f>IF(A5074="","",VLOOKUP(A5074,VII.A!$A$10:$D$199,3,FALSE))</f>
        <v/>
      </c>
      <c r="K5074" s="342" t="str">
        <f t="shared" si="1305"/>
        <v/>
      </c>
      <c r="L5074" s="380" t="str">
        <f>IF(C5074="","",G5051*C5074)</f>
        <v/>
      </c>
      <c r="M5074" s="381" t="str">
        <f>IF(A5074="","",VLOOKUP(A5074,VII.A!$A$10:$B$199,2,FALSE))</f>
        <v/>
      </c>
      <c r="N5074" s="342" t="str">
        <f t="shared" si="1306"/>
        <v/>
      </c>
      <c r="R5074" s="341"/>
      <c r="S5074" s="341"/>
    </row>
    <row r="5075" spans="1:19" ht="12.75" customHeight="1">
      <c r="A5075" s="393"/>
      <c r="C5075" s="20"/>
      <c r="E5075" s="387"/>
      <c r="F5075" s="388">
        <f t="shared" si="1303"/>
        <v>0</v>
      </c>
      <c r="H5075" s="341" t="str">
        <f>IF(A5075="","",VLOOKUP(A5075,VII.A!$A$10:$D$199,4,FALSE))</f>
        <v/>
      </c>
      <c r="I5075" s="341" t="str">
        <f t="shared" si="1304"/>
        <v/>
      </c>
      <c r="J5075" s="341" t="str">
        <f>IF(A5075="","",VLOOKUP(A5075,VII.A!$A$10:$D$199,3,FALSE))</f>
        <v/>
      </c>
      <c r="K5075" s="342" t="str">
        <f t="shared" si="1305"/>
        <v/>
      </c>
      <c r="L5075" s="380" t="str">
        <f>IF(C5075="","",G5051*C5075)</f>
        <v/>
      </c>
      <c r="M5075" s="381" t="str">
        <f>IF(A5075="","",VLOOKUP(A5075,VII.A!$A$10:$B$199,2,FALSE))</f>
        <v/>
      </c>
      <c r="N5075" s="342" t="str">
        <f t="shared" si="1306"/>
        <v/>
      </c>
      <c r="R5075" s="341"/>
      <c r="S5075" s="341"/>
    </row>
    <row r="5076" spans="1:19" ht="12.75" customHeight="1">
      <c r="A5076" s="393"/>
      <c r="C5076" s="20"/>
      <c r="E5076" s="387"/>
      <c r="F5076" s="388">
        <f t="shared" si="1303"/>
        <v>0</v>
      </c>
      <c r="H5076" s="341" t="str">
        <f>IF(A5076="","",VLOOKUP(A5076,VII.A!$A$10:$D$199,4,FALSE))</f>
        <v/>
      </c>
      <c r="I5076" s="341" t="str">
        <f t="shared" si="1304"/>
        <v/>
      </c>
      <c r="J5076" s="341" t="str">
        <f>IF(A5076="","",VLOOKUP(A5076,VII.A!$A$10:$D$199,3,FALSE))</f>
        <v/>
      </c>
      <c r="K5076" s="342" t="str">
        <f t="shared" si="1305"/>
        <v/>
      </c>
      <c r="L5076" s="380" t="str">
        <f>IF(C5076="","",G5051*C5076)</f>
        <v/>
      </c>
      <c r="M5076" s="381" t="str">
        <f>IF(A5076="","",VLOOKUP(A5076,VII.A!$A$10:$B$199,2,FALSE))</f>
        <v/>
      </c>
      <c r="N5076" s="342" t="str">
        <f t="shared" si="1306"/>
        <v/>
      </c>
      <c r="R5076" s="341"/>
      <c r="S5076" s="341"/>
    </row>
    <row r="5077" spans="1:19" ht="12.75" customHeight="1">
      <c r="A5077" s="393"/>
      <c r="C5077" s="20"/>
      <c r="E5077" s="387"/>
      <c r="F5077" s="388">
        <f t="shared" si="1303"/>
        <v>0</v>
      </c>
      <c r="G5077" s="390"/>
      <c r="H5077" s="341" t="str">
        <f>IF(A5077="","",VLOOKUP(A5077,VII.A!$A$10:$D$199,4,FALSE))</f>
        <v/>
      </c>
      <c r="I5077" s="341" t="str">
        <f t="shared" si="1304"/>
        <v/>
      </c>
      <c r="J5077" s="341" t="str">
        <f>IF(A5077="","",VLOOKUP(A5077,VII.A!$A$10:$D$199,3,FALSE))</f>
        <v/>
      </c>
      <c r="K5077" s="342" t="str">
        <f t="shared" si="1305"/>
        <v/>
      </c>
      <c r="L5077" s="380" t="str">
        <f>IF(C5077="","",G5051*C5077)</f>
        <v/>
      </c>
      <c r="M5077" s="381" t="str">
        <f>IF(A5077="","",VLOOKUP(A5077,VII.A!$A$10:$B$199,2,FALSE))</f>
        <v/>
      </c>
      <c r="N5077" s="342" t="str">
        <f t="shared" si="1306"/>
        <v/>
      </c>
      <c r="R5077" s="341"/>
      <c r="S5077" s="341"/>
    </row>
    <row r="5078" spans="1:19" ht="12.75" customHeight="1">
      <c r="A5078" s="393"/>
      <c r="C5078" s="20"/>
      <c r="E5078" s="387"/>
      <c r="F5078" s="388">
        <f t="shared" si="1303"/>
        <v>0</v>
      </c>
      <c r="G5078" s="391"/>
      <c r="H5078" s="341" t="str">
        <f>IF(A5078="","",VLOOKUP(A5078,VII.A!$A$10:$D$199,4,FALSE))</f>
        <v/>
      </c>
      <c r="I5078" s="341" t="str">
        <f t="shared" si="1304"/>
        <v/>
      </c>
      <c r="J5078" s="341" t="str">
        <f>IF(A5078="","",VLOOKUP(A5078,VII.A!$A$10:$D$199,3,FALSE))</f>
        <v/>
      </c>
      <c r="K5078" s="342" t="str">
        <f t="shared" si="1305"/>
        <v/>
      </c>
      <c r="L5078" s="380" t="str">
        <f>IF(C5078="","",G5051*C5078)</f>
        <v/>
      </c>
      <c r="M5078" s="381" t="str">
        <f>IF(A5078="","",VLOOKUP(A5078,VII.A!$A$10:$B$199,2,FALSE))</f>
        <v/>
      </c>
      <c r="N5078" s="342" t="str">
        <f t="shared" si="1306"/>
        <v/>
      </c>
      <c r="R5078" s="341"/>
      <c r="S5078" s="341"/>
    </row>
    <row r="5079" spans="1:19" ht="12.75" customHeight="1">
      <c r="A5079" s="393"/>
      <c r="C5079" s="20"/>
      <c r="E5079" s="387"/>
      <c r="F5079" s="388">
        <f t="shared" si="1303"/>
        <v>0</v>
      </c>
      <c r="H5079" s="341" t="str">
        <f>IF(A5079="","",VLOOKUP(A5079,VII.A!$A$10:$D$199,4,FALSE))</f>
        <v/>
      </c>
      <c r="I5079" s="341" t="str">
        <f t="shared" si="1304"/>
        <v/>
      </c>
      <c r="J5079" s="341" t="str">
        <f>IF(A5079="","",VLOOKUP(A5079,VII.A!$A$10:$D$199,3,FALSE))</f>
        <v/>
      </c>
      <c r="K5079" s="342" t="str">
        <f t="shared" si="1305"/>
        <v/>
      </c>
      <c r="L5079" s="380" t="str">
        <f>IF(C5079="","",G5051*C5079)</f>
        <v/>
      </c>
      <c r="M5079" s="381" t="str">
        <f>IF(A5079="","",VLOOKUP(A5079,VII.A!$A$10:$B$199,2,FALSE))</f>
        <v/>
      </c>
      <c r="N5079" s="342" t="str">
        <f t="shared" si="1306"/>
        <v/>
      </c>
      <c r="R5079" s="341"/>
      <c r="S5079" s="341"/>
    </row>
    <row r="5080" spans="1:19" ht="12.75" customHeight="1">
      <c r="A5080" s="393"/>
      <c r="C5080" s="20"/>
      <c r="E5080" s="387"/>
      <c r="F5080" s="388">
        <f t="shared" si="1303"/>
        <v>0</v>
      </c>
      <c r="H5080" s="341" t="str">
        <f>IF(A5080="","",VLOOKUP(A5080,VII.A!$A$10:$D$199,4,FALSE))</f>
        <v/>
      </c>
      <c r="I5080" s="341" t="str">
        <f t="shared" si="1304"/>
        <v/>
      </c>
      <c r="J5080" s="341" t="str">
        <f>IF(A5080="","",VLOOKUP(A5080,VII.A!$A$10:$D$199,3,FALSE))</f>
        <v/>
      </c>
      <c r="K5080" s="342" t="str">
        <f t="shared" si="1305"/>
        <v/>
      </c>
      <c r="L5080" s="380" t="str">
        <f>IF(C5080="","",G5051*C5080)</f>
        <v/>
      </c>
      <c r="M5080" s="381" t="str">
        <f>IF(A5080="","",VLOOKUP(A5080,VII.A!$A$10:$B$199,2,FALSE))</f>
        <v/>
      </c>
      <c r="N5080" s="342" t="str">
        <f t="shared" si="1306"/>
        <v/>
      </c>
      <c r="R5080" s="341"/>
      <c r="S5080" s="341"/>
    </row>
    <row r="5081" spans="1:19" ht="12.75" customHeight="1">
      <c r="A5081" s="393"/>
      <c r="C5081" s="20"/>
      <c r="E5081" s="387"/>
      <c r="F5081" s="388">
        <f t="shared" si="1303"/>
        <v>0</v>
      </c>
      <c r="H5081" s="341" t="str">
        <f>IF(A5081="","",VLOOKUP(A5081,VII.A!$A$10:$D$199,4,FALSE))</f>
        <v/>
      </c>
      <c r="I5081" s="341" t="str">
        <f t="shared" si="1304"/>
        <v/>
      </c>
      <c r="J5081" s="341" t="str">
        <f>IF(A5081="","",VLOOKUP(A5081,VII.A!$A$10:$D$199,3,FALSE))</f>
        <v/>
      </c>
      <c r="K5081" s="342" t="str">
        <f t="shared" si="1305"/>
        <v/>
      </c>
      <c r="L5081" s="380" t="str">
        <f>IF(C5081="","",G5051*C5081)</f>
        <v/>
      </c>
      <c r="M5081" s="381" t="str">
        <f>IF(A5081="","",VLOOKUP(A5081,VII.A!$A$10:$B$199,2,FALSE))</f>
        <v/>
      </c>
      <c r="N5081" s="342" t="str">
        <f t="shared" si="1306"/>
        <v/>
      </c>
      <c r="R5081" s="341"/>
      <c r="S5081" s="341"/>
    </row>
    <row r="5082" spans="1:19" ht="12.75" customHeight="1">
      <c r="A5082" s="393"/>
      <c r="C5082" s="20"/>
      <c r="E5082" s="387"/>
      <c r="F5082" s="388">
        <f t="shared" si="1303"/>
        <v>0</v>
      </c>
      <c r="H5082" s="341" t="str">
        <f>IF(A5082="","",VLOOKUP(A5082,VII.A!$A$10:$D$199,4,FALSE))</f>
        <v/>
      </c>
      <c r="I5082" s="341" t="str">
        <f t="shared" si="1304"/>
        <v/>
      </c>
      <c r="J5082" s="341" t="str">
        <f>IF(A5082="","",VLOOKUP(A5082,VII.A!$A$10:$D$199,3,FALSE))</f>
        <v/>
      </c>
      <c r="K5082" s="342" t="str">
        <f t="shared" si="1305"/>
        <v/>
      </c>
      <c r="L5082" s="380" t="str">
        <f>IF(C5082="","",G5051*C5082)</f>
        <v/>
      </c>
      <c r="M5082" s="381" t="str">
        <f>IF(A5082="","",VLOOKUP(A5082,VII.A!$A$10:$B$199,2,FALSE))</f>
        <v/>
      </c>
      <c r="N5082" s="342" t="str">
        <f t="shared" si="1306"/>
        <v/>
      </c>
      <c r="R5082" s="341"/>
      <c r="S5082" s="341"/>
    </row>
    <row r="5083" spans="1:19" ht="12.75" customHeight="1">
      <c r="A5083" s="393"/>
      <c r="B5083" s="395" t="s">
        <v>226</v>
      </c>
      <c r="C5083" s="396"/>
      <c r="D5083" s="397"/>
      <c r="E5083" s="398"/>
      <c r="F5083" s="399">
        <f>SUM(F5073:F5082)</f>
        <v>0</v>
      </c>
      <c r="J5083" s="341"/>
      <c r="L5083" s="380"/>
      <c r="M5083" s="381"/>
      <c r="N5083" s="342"/>
      <c r="R5083" s="341"/>
      <c r="S5083" s="341"/>
    </row>
    <row r="5084" spans="1:19" ht="12.75" customHeight="1">
      <c r="A5084" s="393"/>
      <c r="B5084" s="400" t="s">
        <v>53</v>
      </c>
      <c r="C5084" s="2">
        <f>$D$8</f>
        <v>0</v>
      </c>
      <c r="D5084" s="401"/>
      <c r="E5084" s="402"/>
      <c r="F5084" s="403">
        <f>ROUND(C5084*F5083,2)</f>
        <v>0</v>
      </c>
      <c r="J5084" s="341"/>
      <c r="L5084" s="380"/>
      <c r="M5084" s="381"/>
      <c r="N5084" s="342"/>
      <c r="R5084" s="341"/>
      <c r="S5084" s="341"/>
    </row>
    <row r="5085" spans="1:19" ht="12.75" customHeight="1">
      <c r="A5085" s="404"/>
      <c r="B5085" s="405" t="s">
        <v>228</v>
      </c>
      <c r="C5085" s="406"/>
      <c r="D5085" s="406"/>
      <c r="E5085" s="407"/>
      <c r="F5085" s="408">
        <f>F5083+F5084</f>
        <v>0</v>
      </c>
      <c r="J5085" s="341"/>
      <c r="L5085" s="380"/>
      <c r="M5085" s="381"/>
      <c r="N5085" s="342"/>
      <c r="R5085" s="341"/>
      <c r="S5085" s="341"/>
    </row>
    <row r="5086" spans="1:19" ht="12.75" customHeight="1">
      <c r="A5086" s="409" t="s">
        <v>47</v>
      </c>
      <c r="B5086" s="410" t="s">
        <v>236</v>
      </c>
      <c r="C5086" s="411" t="s">
        <v>231</v>
      </c>
      <c r="D5086" s="412" t="s">
        <v>232</v>
      </c>
      <c r="E5086" s="413" t="s">
        <v>233</v>
      </c>
      <c r="F5086" s="378" t="s">
        <v>234</v>
      </c>
      <c r="J5086" s="341"/>
      <c r="L5086" s="380"/>
      <c r="M5086" s="381"/>
      <c r="N5086" s="342"/>
      <c r="R5086" s="341"/>
      <c r="S5086" s="341"/>
    </row>
    <row r="5087" spans="1:19" ht="12.75" customHeight="1">
      <c r="A5087" s="393" t="str">
        <f>VII.A!$A$194</f>
        <v>3.14</v>
      </c>
      <c r="B5087" s="394" t="s">
        <v>155</v>
      </c>
      <c r="C5087" s="20">
        <v>28</v>
      </c>
      <c r="D5087" s="384" t="str">
        <f>VLOOKUP(A5087,VII.A!$A$10:$G$199,3,FALSE)</f>
        <v>H</v>
      </c>
      <c r="E5087" s="387">
        <f>VII.A!$D$194</f>
        <v>0</v>
      </c>
      <c r="F5087" s="388">
        <f t="shared" ref="F5087:F5093" si="1307">ROUND(C5087*E5087,2)</f>
        <v>0</v>
      </c>
      <c r="H5087" s="341">
        <f>IF(A5087="","",VLOOKUP(A5087,VII.A!$A$10:$D$199,4,FALSE))</f>
        <v>0</v>
      </c>
      <c r="I5087" s="341" t="str">
        <f t="shared" ref="I5087:I5093" si="1308">IF(A5087="","",IF(E5087=H5087,"SIM","NÃO"))</f>
        <v>SIM</v>
      </c>
      <c r="J5087" s="341" t="str">
        <f>IF(A5087="","",VLOOKUP(A5087,VII.A!$A$10:$D$199,3,FALSE))</f>
        <v>H</v>
      </c>
      <c r="K5087" s="342" t="str">
        <f t="shared" ref="K5087:K5093" si="1309">IF(A5087="","",IF(J5087=D5087,"SIM","NÃO"))</f>
        <v>SIM</v>
      </c>
      <c r="L5087" s="380">
        <f>IF(C5087="","",G5051*C5087)</f>
        <v>5880</v>
      </c>
      <c r="M5087" s="381" t="str">
        <f>IF(A5087="","",VLOOKUP(A5087,VII.A!$A$10:$B$199,2,FALSE))</f>
        <v>PINTOR DE LETRAS COM ENCARGOS COMPLEMENTARES</v>
      </c>
      <c r="N5087" s="342" t="str">
        <f t="shared" ref="N5087:N5093" si="1310">IF(B5087="","",IF(M5087=B5087,"si","no"))</f>
        <v>si</v>
      </c>
      <c r="R5087" s="341"/>
      <c r="S5087" s="341"/>
    </row>
    <row r="5088" spans="1:19" ht="12.75" customHeight="1">
      <c r="A5088" s="393"/>
      <c r="C5088" s="20"/>
      <c r="E5088" s="387"/>
      <c r="F5088" s="388">
        <f t="shared" si="1307"/>
        <v>0</v>
      </c>
      <c r="H5088" s="341" t="str">
        <f>IF(A5088="","",VLOOKUP(A5088,VII.A!$A$10:$D$199,4,FALSE))</f>
        <v/>
      </c>
      <c r="I5088" s="341" t="str">
        <f t="shared" si="1308"/>
        <v/>
      </c>
      <c r="J5088" s="341" t="str">
        <f>IF(A5088="","",VLOOKUP(A5088,VII.A!$A$10:$D$199,3,FALSE))</f>
        <v/>
      </c>
      <c r="K5088" s="342" t="str">
        <f t="shared" si="1309"/>
        <v/>
      </c>
      <c r="L5088" s="380" t="str">
        <f>IF(C5088="","",G5051*C5088)</f>
        <v/>
      </c>
      <c r="M5088" s="381" t="str">
        <f>IF(A5088="","",VLOOKUP(A5088,VII.A!$A$10:$B$199,2,FALSE))</f>
        <v/>
      </c>
      <c r="N5088" s="342" t="str">
        <f t="shared" si="1310"/>
        <v/>
      </c>
      <c r="R5088" s="341"/>
      <c r="S5088" s="341"/>
    </row>
    <row r="5089" spans="1:25" ht="12.75" customHeight="1">
      <c r="A5089" s="393"/>
      <c r="C5089" s="20"/>
      <c r="E5089" s="387"/>
      <c r="F5089" s="388">
        <f t="shared" si="1307"/>
        <v>0</v>
      </c>
      <c r="H5089" s="341" t="str">
        <f>IF(A5089="","",VLOOKUP(A5089,VII.A!$A$10:$D$199,4,FALSE))</f>
        <v/>
      </c>
      <c r="I5089" s="341" t="str">
        <f t="shared" si="1308"/>
        <v/>
      </c>
      <c r="J5089" s="341" t="str">
        <f>IF(A5089="","",VLOOKUP(A5089,VII.A!$A$10:$D$199,3,FALSE))</f>
        <v/>
      </c>
      <c r="K5089" s="342" t="str">
        <f t="shared" si="1309"/>
        <v/>
      </c>
      <c r="L5089" s="380" t="str">
        <f>IF(C5089="","",G5051*C5089)</f>
        <v/>
      </c>
      <c r="M5089" s="381" t="str">
        <f>IF(A5089="","",VLOOKUP(A5089,VII.A!$A$10:$B$199,2,FALSE))</f>
        <v/>
      </c>
      <c r="N5089" s="342" t="str">
        <f t="shared" si="1310"/>
        <v/>
      </c>
      <c r="R5089" s="341"/>
      <c r="S5089" s="341"/>
    </row>
    <row r="5090" spans="1:25" ht="12.75" customHeight="1">
      <c r="A5090" s="393"/>
      <c r="C5090" s="20"/>
      <c r="E5090" s="387"/>
      <c r="F5090" s="388">
        <f t="shared" si="1307"/>
        <v>0</v>
      </c>
      <c r="H5090" s="341" t="str">
        <f>IF(A5090="","",VLOOKUP(A5090,VII.A!$A$10:$D$199,4,FALSE))</f>
        <v/>
      </c>
      <c r="I5090" s="341" t="str">
        <f t="shared" si="1308"/>
        <v/>
      </c>
      <c r="J5090" s="341" t="str">
        <f>IF(A5090="","",VLOOKUP(A5090,VII.A!$A$10:$D$199,3,FALSE))</f>
        <v/>
      </c>
      <c r="K5090" s="342" t="str">
        <f t="shared" si="1309"/>
        <v/>
      </c>
      <c r="L5090" s="380" t="str">
        <f>IF(C5090="","",G5051*C5090)</f>
        <v/>
      </c>
      <c r="M5090" s="381" t="str">
        <f>IF(A5090="","",VLOOKUP(A5090,VII.A!$A$10:$B$199,2,FALSE))</f>
        <v/>
      </c>
      <c r="N5090" s="342" t="str">
        <f t="shared" si="1310"/>
        <v/>
      </c>
      <c r="R5090" s="341"/>
      <c r="S5090" s="341"/>
    </row>
    <row r="5091" spans="1:25" ht="12.75" customHeight="1">
      <c r="A5091" s="393"/>
      <c r="C5091" s="20"/>
      <c r="E5091" s="387"/>
      <c r="F5091" s="388">
        <f t="shared" si="1307"/>
        <v>0</v>
      </c>
      <c r="H5091" s="341" t="str">
        <f>IF(A5091="","",VLOOKUP(A5091,VII.A!$A$10:$D$199,4,FALSE))</f>
        <v/>
      </c>
      <c r="I5091" s="341" t="str">
        <f t="shared" si="1308"/>
        <v/>
      </c>
      <c r="J5091" s="341" t="str">
        <f>IF(A5091="","",VLOOKUP(A5091,VII.A!$A$10:$D$199,3,FALSE))</f>
        <v/>
      </c>
      <c r="K5091" s="342" t="str">
        <f t="shared" si="1309"/>
        <v/>
      </c>
      <c r="L5091" s="380" t="str">
        <f>IF(C5091="","",G5051*C5091)</f>
        <v/>
      </c>
      <c r="M5091" s="381" t="str">
        <f>IF(A5091="","",VLOOKUP(A5091,VII.A!$A$10:$B$199,2,FALSE))</f>
        <v/>
      </c>
      <c r="N5091" s="342" t="str">
        <f t="shared" si="1310"/>
        <v/>
      </c>
      <c r="R5091" s="341"/>
      <c r="S5091" s="341"/>
    </row>
    <row r="5092" spans="1:25" ht="12.75" customHeight="1">
      <c r="A5092" s="393"/>
      <c r="C5092" s="20"/>
      <c r="E5092" s="387"/>
      <c r="F5092" s="388">
        <f t="shared" si="1307"/>
        <v>0</v>
      </c>
      <c r="H5092" s="341" t="str">
        <f>IF(A5092="","",VLOOKUP(A5092,VII.A!$A$10:$D$199,4,FALSE))</f>
        <v/>
      </c>
      <c r="I5092" s="341" t="str">
        <f t="shared" si="1308"/>
        <v/>
      </c>
      <c r="J5092" s="341" t="str">
        <f>IF(A5092="","",VLOOKUP(A5092,VII.A!$A$10:$D$199,3,FALSE))</f>
        <v/>
      </c>
      <c r="K5092" s="342" t="str">
        <f t="shared" si="1309"/>
        <v/>
      </c>
      <c r="L5092" s="380" t="str">
        <f>IF(C5092="","",G5051*C5092)</f>
        <v/>
      </c>
      <c r="M5092" s="381" t="str">
        <f>IF(A5092="","",VLOOKUP(A5092,VII.A!$A$10:$B$199,2,FALSE))</f>
        <v/>
      </c>
      <c r="N5092" s="342" t="str">
        <f t="shared" si="1310"/>
        <v/>
      </c>
      <c r="R5092" s="341"/>
      <c r="S5092" s="341"/>
    </row>
    <row r="5093" spans="1:25" ht="12.75" customHeight="1">
      <c r="A5093" s="393"/>
      <c r="C5093" s="20"/>
      <c r="E5093" s="387"/>
      <c r="F5093" s="388">
        <f t="shared" si="1307"/>
        <v>0</v>
      </c>
      <c r="H5093" s="341" t="str">
        <f>IF(A5093="","",VLOOKUP(A5093,VII.A!$A$10:$D$199,4,FALSE))</f>
        <v/>
      </c>
      <c r="I5093" s="341" t="str">
        <f t="shared" si="1308"/>
        <v/>
      </c>
      <c r="J5093" s="341" t="str">
        <f>IF(A5093="","",VLOOKUP(A5093,VII.A!$A$10:$D$199,3,FALSE))</f>
        <v/>
      </c>
      <c r="K5093" s="342" t="str">
        <f t="shared" si="1309"/>
        <v/>
      </c>
      <c r="L5093" s="380" t="str">
        <f>IF(C5093="","",G5051*C5093)</f>
        <v/>
      </c>
      <c r="M5093" s="381" t="str">
        <f>IF(A5093="","",VLOOKUP(A5093,VII.A!$A$10:$B$199,2,FALSE))</f>
        <v/>
      </c>
      <c r="N5093" s="342" t="str">
        <f t="shared" si="1310"/>
        <v/>
      </c>
      <c r="R5093" s="341"/>
      <c r="S5093" s="341"/>
    </row>
    <row r="5094" spans="1:25" ht="12.75" customHeight="1">
      <c r="A5094" s="393"/>
      <c r="B5094" s="395" t="s">
        <v>226</v>
      </c>
      <c r="C5094" s="396"/>
      <c r="D5094" s="397"/>
      <c r="E5094" s="398"/>
      <c r="F5094" s="399">
        <f>SUM(F5087:F5093)</f>
        <v>0</v>
      </c>
      <c r="J5094" s="341"/>
      <c r="L5094" s="380"/>
      <c r="M5094" s="381"/>
      <c r="N5094" s="342"/>
      <c r="R5094" s="341"/>
      <c r="S5094" s="341"/>
    </row>
    <row r="5095" spans="1:25" ht="12.75" customHeight="1">
      <c r="A5095" s="393"/>
      <c r="B5095" s="400" t="s">
        <v>229</v>
      </c>
      <c r="C5095" s="2">
        <f>IX.A!$C$45</f>
        <v>0</v>
      </c>
      <c r="D5095" s="401"/>
      <c r="E5095" s="402"/>
      <c r="F5095" s="403">
        <f>ROUND(F5094*C5095,2)</f>
        <v>0</v>
      </c>
      <c r="J5095" s="341"/>
      <c r="L5095" s="380"/>
      <c r="M5095" s="381"/>
      <c r="N5095" s="342"/>
      <c r="R5095" s="341"/>
      <c r="S5095" s="341"/>
    </row>
    <row r="5096" spans="1:25" ht="12.75" customHeight="1">
      <c r="A5096" s="393"/>
      <c r="B5096" s="400" t="s">
        <v>53</v>
      </c>
      <c r="C5096" s="2">
        <f>$D$8</f>
        <v>0</v>
      </c>
      <c r="D5096" s="401"/>
      <c r="E5096" s="402"/>
      <c r="F5096" s="403">
        <f>ROUND(SUM(F5094:F5095)*C5096,2)</f>
        <v>0</v>
      </c>
      <c r="J5096" s="341"/>
      <c r="L5096" s="380"/>
      <c r="M5096" s="381"/>
      <c r="N5096" s="342"/>
      <c r="R5096" s="341"/>
      <c r="S5096" s="341"/>
    </row>
    <row r="5097" spans="1:25" ht="12.75" customHeight="1" thickBot="1">
      <c r="A5097" s="414"/>
      <c r="B5097" s="415" t="s">
        <v>230</v>
      </c>
      <c r="C5097" s="416"/>
      <c r="D5097" s="416"/>
      <c r="E5097" s="417"/>
      <c r="F5097" s="418">
        <f>SUM(F5094:F5096)</f>
        <v>0</v>
      </c>
      <c r="J5097" s="341"/>
      <c r="L5097" s="380"/>
      <c r="M5097" s="381"/>
      <c r="N5097" s="342"/>
      <c r="R5097" s="341"/>
      <c r="S5097" s="341"/>
    </row>
    <row r="5098" spans="1:25" ht="12.75" customHeight="1" thickBot="1">
      <c r="A5098" s="357"/>
      <c r="B5098" s="358"/>
      <c r="C5098" s="359"/>
      <c r="D5098" s="359"/>
      <c r="E5098" s="360"/>
      <c r="F5098" s="419"/>
      <c r="J5098" s="341"/>
      <c r="L5098" s="380"/>
      <c r="M5098" s="381"/>
      <c r="N5098" s="342"/>
      <c r="R5098" s="341"/>
      <c r="S5098" s="341"/>
    </row>
    <row r="5099" spans="1:25" ht="30" customHeight="1">
      <c r="A5099" s="370" t="str">
        <f>IV.A!$A$152</f>
        <v>6.15</v>
      </c>
      <c r="B5099" s="371" t="str">
        <f>IV.A!$B$152</f>
        <v>PINTURA DE PISO NA COR GRAFITE, DUAS DEMÃOS</v>
      </c>
      <c r="C5099" s="871" t="s">
        <v>237</v>
      </c>
      <c r="D5099" s="872"/>
      <c r="E5099" s="372" t="str">
        <f>IV.A!$C$152</f>
        <v>M2</v>
      </c>
      <c r="F5099" s="11">
        <f>ROUND(F5119+F5133+F5145,2)</f>
        <v>0</v>
      </c>
      <c r="G5099" s="1">
        <f>VLOOKUP(A5099,IV.A!$A$16:$L$172,4,FALSE)</f>
        <v>42950</v>
      </c>
      <c r="H5099" s="361">
        <f>SUM(F5101:F5116)+F5118</f>
        <v>0</v>
      </c>
      <c r="I5099" s="361">
        <f>SUM(F5121:F5130)+F5132</f>
        <v>0</v>
      </c>
      <c r="J5099" s="361">
        <f>SUM(F5135:F5141)+F5143+F5144</f>
        <v>0</v>
      </c>
      <c r="K5099" s="361">
        <f>SUM(H5099:J5099)</f>
        <v>0</v>
      </c>
      <c r="L5099" s="362" t="str">
        <f>IF(K5099=F5099,"SIM","NÃO")</f>
        <v>SIM</v>
      </c>
      <c r="M5099" s="373">
        <f>ROUND(SUM(F5101:F5116),2)+ROUND(SUM(F5101:F5116)*C5118,2)+ROUND(SUM(F5121:F5130)*C5132,2)+ROUND(SUM(F5121:F5130),2)+ROUND(SUM(F5135:F5141)*C5143,2)+ROUND((SUM(F5135:F5141)+ROUND(SUM(F5135:F5141)*C5143,2))*C5144,2)+ROUND(SUM(F5135:F5141),2)</f>
        <v>0</v>
      </c>
      <c r="N5099" s="343" t="str">
        <f>IF(M5099=F5099,"SIM","NÃO")</f>
        <v>SIM</v>
      </c>
      <c r="O5099" s="364" t="str">
        <f>VLOOKUP(A5099,IV.A!$A$16:$E$172,3,FALSE)</f>
        <v>M2</v>
      </c>
      <c r="P5099" s="344" t="str">
        <f>IF(O5099=E5099,"SIM","NÃO")</f>
        <v>SIM</v>
      </c>
      <c r="Q5099" s="365">
        <f>ROUND(G5099*F5119,2)+ROUND(G5099*F5133,2)+ROUND(G5099*F5145,2)</f>
        <v>0</v>
      </c>
      <c r="R5099" s="364">
        <f>VLOOKUP(A5099,IV.A!$A$16:$L$172,12,FALSE)</f>
        <v>0</v>
      </c>
      <c r="S5099" s="366" t="str">
        <f>IF(Q5099=R5099,"si","no")</f>
        <v>si</v>
      </c>
      <c r="T5099" s="367">
        <f>SUM(L5101:L5116)+SUM(L5121:L5130)+SUM(L5135:L5141)</f>
        <v>33071.5</v>
      </c>
      <c r="U5099" s="341">
        <f>(SUM(C5101:C5116)+SUM(C5121:C5130)+SUM(C5135:C5141))*G5099</f>
        <v>33071.5</v>
      </c>
      <c r="V5099" s="368" t="str">
        <f>IF(T5099=U5099,"si","no")</f>
        <v>si</v>
      </c>
      <c r="W5099" s="369">
        <f>SUM(F5101:F5116)</f>
        <v>0</v>
      </c>
      <c r="X5099" s="369">
        <f>SUM(F5121:F5130)</f>
        <v>0</v>
      </c>
      <c r="Y5099" s="369">
        <f>SUM(F5135:F5141)</f>
        <v>0</v>
      </c>
    </row>
    <row r="5100" spans="1:25" ht="12.75" customHeight="1">
      <c r="A5100" s="374" t="s">
        <v>14</v>
      </c>
      <c r="B5100" s="375" t="s">
        <v>132</v>
      </c>
      <c r="C5100" s="376" t="s">
        <v>231</v>
      </c>
      <c r="D5100" s="376" t="s">
        <v>232</v>
      </c>
      <c r="E5100" s="377" t="s">
        <v>233</v>
      </c>
      <c r="F5100" s="378" t="s">
        <v>234</v>
      </c>
      <c r="G5100" s="379"/>
      <c r="J5100" s="341"/>
      <c r="L5100" s="380"/>
      <c r="M5100" s="381"/>
      <c r="N5100" s="342"/>
      <c r="O5100" s="382"/>
      <c r="P5100" s="383"/>
      <c r="Q5100" s="383"/>
      <c r="R5100" s="383"/>
      <c r="S5100" s="383"/>
      <c r="T5100" s="382"/>
      <c r="U5100" s="341"/>
      <c r="V5100" s="384"/>
      <c r="W5100" s="384"/>
      <c r="X5100" s="384"/>
      <c r="Y5100" s="384"/>
    </row>
    <row r="5101" spans="1:25" ht="12.75" customHeight="1">
      <c r="A5101" s="385" t="str">
        <f>VII.A!$A$109</f>
        <v>1.99</v>
      </c>
      <c r="B5101" s="386" t="str">
        <f>VLOOKUP(A5101,VII.A!$A$10:$G$199,2,FALSE)</f>
        <v>TINTA ACRILICA PREMIUM PARA PISO  NA COR GRAFITE</v>
      </c>
      <c r="C5101" s="20">
        <v>0.17</v>
      </c>
      <c r="D5101" s="342" t="str">
        <f>VLOOKUP(A5101,VII.A!$A$10:$G$199,3,FALSE)</f>
        <v>L</v>
      </c>
      <c r="E5101" s="387">
        <f>VII.A!$D$109</f>
        <v>0</v>
      </c>
      <c r="F5101" s="388">
        <f>ROUND(C5101*E5101,2)</f>
        <v>0</v>
      </c>
      <c r="H5101" s="341">
        <f>IF(A5101="","",VLOOKUP(A5101,VII.A!$A$10:$D$199,4,FALSE))</f>
        <v>0</v>
      </c>
      <c r="I5101" s="341" t="str">
        <f t="shared" ref="I5101:I5116" si="1311">IF(A5101="","",IF(E5101=H5101,"SIM","NÃO"))</f>
        <v>SIM</v>
      </c>
      <c r="J5101" s="341" t="str">
        <f>IF(A5101="","",VLOOKUP(A5101,VII.A!$A$10:$D$199,3,FALSE))</f>
        <v>L</v>
      </c>
      <c r="K5101" s="342" t="str">
        <f t="shared" ref="K5101:K5116" si="1312">IF(A5101="","",IF(J5101=D5101,"SIM","NÃO"))</f>
        <v>SIM</v>
      </c>
      <c r="L5101" s="380">
        <f>IF(C5101="","",G5099*C5101)</f>
        <v>7301.5000000000009</v>
      </c>
      <c r="M5101" s="381" t="str">
        <f>IF(A5101="","",VLOOKUP(A5101,VII.A!$A$10:$B$199,2,FALSE))</f>
        <v>TINTA ACRILICA PREMIUM PARA PISO  NA COR GRAFITE</v>
      </c>
      <c r="N5101" s="342" t="str">
        <f t="shared" ref="N5101:N5116" si="1313">IF(B5101="","",IF(M5101=B5101,"si","no"))</f>
        <v>si</v>
      </c>
      <c r="R5101" s="341"/>
      <c r="S5101" s="341"/>
    </row>
    <row r="5102" spans="1:25" ht="12.75" customHeight="1">
      <c r="A5102" s="385"/>
      <c r="B5102" s="386"/>
      <c r="C5102" s="20"/>
      <c r="D5102" s="342"/>
      <c r="E5102" s="387"/>
      <c r="F5102" s="388">
        <f t="shared" ref="F5102:F5116" si="1314">ROUND(C5102*E5102,2)</f>
        <v>0</v>
      </c>
      <c r="H5102" s="341" t="str">
        <f>IF(A5102="","",VLOOKUP(A5102,VII.A!$A$10:$D$199,4,FALSE))</f>
        <v/>
      </c>
      <c r="I5102" s="341" t="str">
        <f t="shared" si="1311"/>
        <v/>
      </c>
      <c r="J5102" s="341" t="str">
        <f>IF(A5102="","",VLOOKUP(A5102,VII.A!$A$10:$D$199,3,FALSE))</f>
        <v/>
      </c>
      <c r="K5102" s="342" t="str">
        <f t="shared" si="1312"/>
        <v/>
      </c>
      <c r="L5102" s="380" t="str">
        <f>IF(C5102="","",G5099*C5102)</f>
        <v/>
      </c>
      <c r="M5102" s="381" t="str">
        <f>IF(A5102="","",VLOOKUP(A5102,VII.A!$A$10:$B$199,2,FALSE))</f>
        <v/>
      </c>
      <c r="N5102" s="342" t="str">
        <f t="shared" si="1313"/>
        <v/>
      </c>
      <c r="R5102" s="341"/>
      <c r="S5102" s="341"/>
    </row>
    <row r="5103" spans="1:25" ht="12.75" customHeight="1">
      <c r="A5103" s="385"/>
      <c r="B5103" s="386"/>
      <c r="C5103" s="20"/>
      <c r="D5103" s="342"/>
      <c r="E5103" s="387"/>
      <c r="F5103" s="388">
        <f t="shared" si="1314"/>
        <v>0</v>
      </c>
      <c r="H5103" s="341" t="str">
        <f>IF(A5103="","",VLOOKUP(A5103,VII.A!$A$10:$D$199,4,FALSE))</f>
        <v/>
      </c>
      <c r="I5103" s="341" t="str">
        <f t="shared" si="1311"/>
        <v/>
      </c>
      <c r="J5103" s="341" t="str">
        <f>IF(A5103="","",VLOOKUP(A5103,VII.A!$A$10:$D$199,3,FALSE))</f>
        <v/>
      </c>
      <c r="K5103" s="342" t="str">
        <f t="shared" si="1312"/>
        <v/>
      </c>
      <c r="L5103" s="380" t="str">
        <f>IF(C5103="","",G5099*C5103)</f>
        <v/>
      </c>
      <c r="M5103" s="381" t="str">
        <f>IF(A5103="","",VLOOKUP(A5103,VII.A!$A$10:$B$199,2,FALSE))</f>
        <v/>
      </c>
      <c r="N5103" s="342" t="str">
        <f t="shared" si="1313"/>
        <v/>
      </c>
      <c r="R5103" s="341"/>
      <c r="S5103" s="341"/>
    </row>
    <row r="5104" spans="1:25" ht="12.75" customHeight="1">
      <c r="A5104" s="385"/>
      <c r="B5104" s="386"/>
      <c r="C5104" s="20"/>
      <c r="D5104" s="342"/>
      <c r="E5104" s="387"/>
      <c r="F5104" s="388">
        <f t="shared" si="1314"/>
        <v>0</v>
      </c>
      <c r="H5104" s="341" t="str">
        <f>IF(A5104="","",VLOOKUP(A5104,VII.A!$A$10:$D$199,4,FALSE))</f>
        <v/>
      </c>
      <c r="I5104" s="341" t="str">
        <f t="shared" si="1311"/>
        <v/>
      </c>
      <c r="J5104" s="341" t="str">
        <f>IF(A5104="","",VLOOKUP(A5104,VII.A!$A$10:$D$199,3,FALSE))</f>
        <v/>
      </c>
      <c r="K5104" s="342" t="str">
        <f t="shared" si="1312"/>
        <v/>
      </c>
      <c r="L5104" s="380" t="str">
        <f>IF(C5104="","",G5099*C5104)</f>
        <v/>
      </c>
      <c r="M5104" s="381" t="str">
        <f>IF(A5104="","",VLOOKUP(A5104,VII.A!$A$10:$B$199,2,FALSE))</f>
        <v/>
      </c>
      <c r="N5104" s="342" t="str">
        <f t="shared" si="1313"/>
        <v/>
      </c>
      <c r="R5104" s="341"/>
      <c r="S5104" s="341"/>
    </row>
    <row r="5105" spans="1:21" ht="12.75" customHeight="1">
      <c r="A5105" s="385"/>
      <c r="B5105" s="386"/>
      <c r="C5105" s="20"/>
      <c r="D5105" s="342"/>
      <c r="E5105" s="387"/>
      <c r="F5105" s="388">
        <f t="shared" si="1314"/>
        <v>0</v>
      </c>
      <c r="H5105" s="341" t="str">
        <f>IF(A5105="","",VLOOKUP(A5105,VII.A!$A$10:$D$199,4,FALSE))</f>
        <v/>
      </c>
      <c r="I5105" s="341" t="str">
        <f t="shared" si="1311"/>
        <v/>
      </c>
      <c r="J5105" s="341" t="str">
        <f>IF(A5105="","",VLOOKUP(A5105,VII.A!$A$10:$D$199,3,FALSE))</f>
        <v/>
      </c>
      <c r="K5105" s="342" t="str">
        <f t="shared" si="1312"/>
        <v/>
      </c>
      <c r="L5105" s="380" t="str">
        <f>IF(C5105="","",G5099*C5105)</f>
        <v/>
      </c>
      <c r="M5105" s="381" t="str">
        <f>IF(A5105="","",VLOOKUP(A5105,VII.A!$A$10:$B$199,2,FALSE))</f>
        <v/>
      </c>
      <c r="N5105" s="342" t="str">
        <f t="shared" si="1313"/>
        <v/>
      </c>
      <c r="R5105" s="341"/>
      <c r="S5105" s="341"/>
    </row>
    <row r="5106" spans="1:21" ht="12.75" customHeight="1">
      <c r="A5106" s="385"/>
      <c r="B5106" s="386"/>
      <c r="C5106" s="20"/>
      <c r="D5106" s="342"/>
      <c r="E5106" s="387"/>
      <c r="F5106" s="388">
        <f t="shared" si="1314"/>
        <v>0</v>
      </c>
      <c r="H5106" s="341" t="str">
        <f>IF(A5106="","",VLOOKUP(A5106,VII.A!$A$10:$D$199,4,FALSE))</f>
        <v/>
      </c>
      <c r="I5106" s="341" t="str">
        <f t="shared" si="1311"/>
        <v/>
      </c>
      <c r="J5106" s="341" t="str">
        <f>IF(A5106="","",VLOOKUP(A5106,VII.A!$A$10:$D$199,3,FALSE))</f>
        <v/>
      </c>
      <c r="K5106" s="342" t="str">
        <f t="shared" si="1312"/>
        <v/>
      </c>
      <c r="L5106" s="380" t="str">
        <f>IF(C5106="","",G5099*C5106)</f>
        <v/>
      </c>
      <c r="M5106" s="381" t="str">
        <f>IF(A5106="","",VLOOKUP(A5106,VII.A!$A$10:$B$199,2,FALSE))</f>
        <v/>
      </c>
      <c r="N5106" s="342" t="str">
        <f t="shared" si="1313"/>
        <v/>
      </c>
      <c r="R5106" s="341"/>
      <c r="S5106" s="341"/>
      <c r="U5106" s="389"/>
    </row>
    <row r="5107" spans="1:21" ht="12.75" customHeight="1">
      <c r="A5107" s="385"/>
      <c r="B5107" s="386"/>
      <c r="C5107" s="20"/>
      <c r="D5107" s="342"/>
      <c r="E5107" s="387"/>
      <c r="F5107" s="388">
        <f t="shared" si="1314"/>
        <v>0</v>
      </c>
      <c r="H5107" s="341" t="str">
        <f>IF(A5107="","",VLOOKUP(A5107,VII.A!$A$10:$D$199,4,FALSE))</f>
        <v/>
      </c>
      <c r="I5107" s="341" t="str">
        <f t="shared" si="1311"/>
        <v/>
      </c>
      <c r="J5107" s="341" t="str">
        <f>IF(A5107="","",VLOOKUP(A5107,VII.A!$A$10:$D$199,3,FALSE))</f>
        <v/>
      </c>
      <c r="K5107" s="342" t="str">
        <f t="shared" si="1312"/>
        <v/>
      </c>
      <c r="L5107" s="380" t="str">
        <f>IF(C5107="","",G5099*C5107)</f>
        <v/>
      </c>
      <c r="M5107" s="381" t="str">
        <f>IF(A5107="","",VLOOKUP(A5107,VII.A!$A$10:$B$199,2,FALSE))</f>
        <v/>
      </c>
      <c r="N5107" s="342" t="str">
        <f t="shared" si="1313"/>
        <v/>
      </c>
      <c r="R5107" s="341"/>
      <c r="S5107" s="341"/>
    </row>
    <row r="5108" spans="1:21" ht="12.75" customHeight="1">
      <c r="A5108" s="385"/>
      <c r="B5108" s="386"/>
      <c r="C5108" s="20"/>
      <c r="D5108" s="342"/>
      <c r="E5108" s="387"/>
      <c r="F5108" s="388">
        <f t="shared" si="1314"/>
        <v>0</v>
      </c>
      <c r="G5108" s="390"/>
      <c r="H5108" s="341" t="str">
        <f>IF(A5108="","",VLOOKUP(A5108,VII.A!$A$10:$D$199,4,FALSE))</f>
        <v/>
      </c>
      <c r="I5108" s="341" t="str">
        <f t="shared" si="1311"/>
        <v/>
      </c>
      <c r="J5108" s="341" t="str">
        <f>IF(A5108="","",VLOOKUP(A5108,VII.A!$A$10:$D$199,3,FALSE))</f>
        <v/>
      </c>
      <c r="K5108" s="342" t="str">
        <f t="shared" si="1312"/>
        <v/>
      </c>
      <c r="L5108" s="380" t="str">
        <f>IF(C5108="","",G5099*C5108)</f>
        <v/>
      </c>
      <c r="M5108" s="381" t="str">
        <f>IF(A5108="","",VLOOKUP(A5108,VII.A!$A$10:$B$199,2,FALSE))</f>
        <v/>
      </c>
      <c r="N5108" s="342" t="str">
        <f t="shared" si="1313"/>
        <v/>
      </c>
      <c r="R5108" s="341"/>
      <c r="S5108" s="341"/>
    </row>
    <row r="5109" spans="1:21" ht="12.75" customHeight="1">
      <c r="A5109" s="385"/>
      <c r="B5109" s="386"/>
      <c r="C5109" s="20"/>
      <c r="D5109" s="342"/>
      <c r="E5109" s="387"/>
      <c r="F5109" s="388">
        <f t="shared" si="1314"/>
        <v>0</v>
      </c>
      <c r="G5109" s="390"/>
      <c r="H5109" s="341" t="str">
        <f>IF(A5109="","",VLOOKUP(A5109,VII.A!$A$10:$D$199,4,FALSE))</f>
        <v/>
      </c>
      <c r="I5109" s="341" t="str">
        <f t="shared" si="1311"/>
        <v/>
      </c>
      <c r="J5109" s="341" t="str">
        <f>IF(A5109="","",VLOOKUP(A5109,VII.A!$A$10:$D$199,3,FALSE))</f>
        <v/>
      </c>
      <c r="K5109" s="342" t="str">
        <f t="shared" si="1312"/>
        <v/>
      </c>
      <c r="L5109" s="380" t="str">
        <f>IF(C5109="","",G5099*C5109)</f>
        <v/>
      </c>
      <c r="M5109" s="381" t="str">
        <f>IF(A5109="","",VLOOKUP(A5109,VII.A!$A$10:$B$199,2,FALSE))</f>
        <v/>
      </c>
      <c r="N5109" s="342" t="str">
        <f t="shared" si="1313"/>
        <v/>
      </c>
      <c r="R5109" s="341"/>
      <c r="S5109" s="341"/>
    </row>
    <row r="5110" spans="1:21" ht="12.75" customHeight="1">
      <c r="A5110" s="385"/>
      <c r="B5110" s="386"/>
      <c r="C5110" s="20"/>
      <c r="D5110" s="342"/>
      <c r="E5110" s="387"/>
      <c r="F5110" s="388">
        <f t="shared" si="1314"/>
        <v>0</v>
      </c>
      <c r="G5110" s="391"/>
      <c r="H5110" s="341" t="str">
        <f>IF(A5110="","",VLOOKUP(A5110,VII.A!$A$10:$D$199,4,FALSE))</f>
        <v/>
      </c>
      <c r="I5110" s="341" t="str">
        <f t="shared" si="1311"/>
        <v/>
      </c>
      <c r="J5110" s="341" t="str">
        <f>IF(A5110="","",VLOOKUP(A5110,VII.A!$A$10:$D$199,3,FALSE))</f>
        <v/>
      </c>
      <c r="K5110" s="342" t="str">
        <f t="shared" si="1312"/>
        <v/>
      </c>
      <c r="L5110" s="380" t="str">
        <f>IF(C5110="","",G5099*C5110)</f>
        <v/>
      </c>
      <c r="M5110" s="381" t="str">
        <f>IF(A5110="","",VLOOKUP(A5110,VII.A!$A$10:$B$199,2,FALSE))</f>
        <v/>
      </c>
      <c r="N5110" s="342" t="str">
        <f t="shared" si="1313"/>
        <v/>
      </c>
      <c r="R5110" s="341"/>
      <c r="S5110" s="341"/>
    </row>
    <row r="5111" spans="1:21" ht="12.75" customHeight="1">
      <c r="A5111" s="385"/>
      <c r="B5111" s="386"/>
      <c r="C5111" s="20"/>
      <c r="D5111" s="342"/>
      <c r="E5111" s="387"/>
      <c r="F5111" s="388">
        <f t="shared" si="1314"/>
        <v>0</v>
      </c>
      <c r="H5111" s="341" t="str">
        <f>IF(A5111="","",VLOOKUP(A5111,VII.A!$A$10:$D$199,4,FALSE))</f>
        <v/>
      </c>
      <c r="I5111" s="341" t="str">
        <f t="shared" si="1311"/>
        <v/>
      </c>
      <c r="J5111" s="341" t="str">
        <f>IF(A5111="","",VLOOKUP(A5111,VII.A!$A$10:$D$199,3,FALSE))</f>
        <v/>
      </c>
      <c r="K5111" s="342" t="str">
        <f t="shared" si="1312"/>
        <v/>
      </c>
      <c r="L5111" s="380" t="str">
        <f>IF(C5111="","",G5099*C5111)</f>
        <v/>
      </c>
      <c r="M5111" s="381" t="str">
        <f>IF(A5111="","",VLOOKUP(A5111,VII.A!$A$10:$B$199,2,FALSE))</f>
        <v/>
      </c>
      <c r="N5111" s="342" t="str">
        <f t="shared" si="1313"/>
        <v/>
      </c>
      <c r="R5111" s="341"/>
      <c r="S5111" s="341"/>
    </row>
    <row r="5112" spans="1:21" ht="12.75" customHeight="1">
      <c r="A5112" s="385"/>
      <c r="B5112" s="386"/>
      <c r="C5112" s="20"/>
      <c r="D5112" s="392"/>
      <c r="E5112" s="387"/>
      <c r="F5112" s="388">
        <f t="shared" si="1314"/>
        <v>0</v>
      </c>
      <c r="H5112" s="341" t="str">
        <f>IF(A5112="","",VLOOKUP(A5112,VII.A!$A$10:$D$199,4,FALSE))</f>
        <v/>
      </c>
      <c r="I5112" s="341" t="str">
        <f t="shared" si="1311"/>
        <v/>
      </c>
      <c r="J5112" s="341" t="str">
        <f>IF(A5112="","",VLOOKUP(A5112,VII.A!$A$10:$D$199,3,FALSE))</f>
        <v/>
      </c>
      <c r="K5112" s="342" t="str">
        <f t="shared" si="1312"/>
        <v/>
      </c>
      <c r="L5112" s="380" t="str">
        <f>IF(C5112="","",G5099*C5112)</f>
        <v/>
      </c>
      <c r="M5112" s="381" t="str">
        <f>IF(A5112="","",VLOOKUP(A5112,VII.A!$A$10:$B$199,2,FALSE))</f>
        <v/>
      </c>
      <c r="N5112" s="342" t="str">
        <f t="shared" si="1313"/>
        <v/>
      </c>
      <c r="R5112" s="341"/>
      <c r="S5112" s="341"/>
    </row>
    <row r="5113" spans="1:21" ht="12.75" customHeight="1">
      <c r="A5113" s="385"/>
      <c r="B5113" s="386"/>
      <c r="C5113" s="20"/>
      <c r="D5113" s="392"/>
      <c r="E5113" s="387"/>
      <c r="F5113" s="388">
        <f t="shared" si="1314"/>
        <v>0</v>
      </c>
      <c r="H5113" s="341" t="str">
        <f>IF(A5113="","",VLOOKUP(A5113,VII.A!$A$10:$D$199,4,FALSE))</f>
        <v/>
      </c>
      <c r="I5113" s="341" t="str">
        <f t="shared" si="1311"/>
        <v/>
      </c>
      <c r="J5113" s="341" t="str">
        <f>IF(A5113="","",VLOOKUP(A5113,VII.A!$A$10:$D$199,3,FALSE))</f>
        <v/>
      </c>
      <c r="K5113" s="342" t="str">
        <f t="shared" si="1312"/>
        <v/>
      </c>
      <c r="L5113" s="380" t="str">
        <f>IF(C5113="","",G5099*C5113)</f>
        <v/>
      </c>
      <c r="M5113" s="381" t="str">
        <f>IF(A5113="","",VLOOKUP(A5113,VII.A!$A$10:$B$199,2,FALSE))</f>
        <v/>
      </c>
      <c r="N5113" s="342" t="str">
        <f t="shared" si="1313"/>
        <v/>
      </c>
      <c r="O5113" s="342"/>
      <c r="R5113" s="341"/>
      <c r="S5113" s="341"/>
    </row>
    <row r="5114" spans="1:21" ht="12.75" customHeight="1">
      <c r="A5114" s="385"/>
      <c r="B5114" s="386"/>
      <c r="C5114" s="20"/>
      <c r="D5114" s="392"/>
      <c r="E5114" s="387"/>
      <c r="F5114" s="388">
        <f t="shared" si="1314"/>
        <v>0</v>
      </c>
      <c r="H5114" s="341" t="str">
        <f>IF(A5114="","",VLOOKUP(A5114,VII.A!$A$10:$D$199,4,FALSE))</f>
        <v/>
      </c>
      <c r="I5114" s="341" t="str">
        <f t="shared" si="1311"/>
        <v/>
      </c>
      <c r="J5114" s="341" t="str">
        <f>IF(A5114="","",VLOOKUP(A5114,VII.A!$A$10:$D$199,3,FALSE))</f>
        <v/>
      </c>
      <c r="K5114" s="342" t="str">
        <f t="shared" si="1312"/>
        <v/>
      </c>
      <c r="L5114" s="380" t="str">
        <f>IF(C5114="","",G5099*C5114)</f>
        <v/>
      </c>
      <c r="M5114" s="381" t="str">
        <f>IF(A5114="","",VLOOKUP(A5114,VII.A!$A$10:$B$199,2,FALSE))</f>
        <v/>
      </c>
      <c r="N5114" s="342" t="str">
        <f t="shared" si="1313"/>
        <v/>
      </c>
      <c r="R5114" s="341"/>
      <c r="S5114" s="341"/>
    </row>
    <row r="5115" spans="1:21" ht="12.75" customHeight="1">
      <c r="A5115" s="393"/>
      <c r="C5115" s="20"/>
      <c r="E5115" s="387"/>
      <c r="F5115" s="388">
        <f t="shared" si="1314"/>
        <v>0</v>
      </c>
      <c r="H5115" s="341" t="str">
        <f>IF(A5115="","",VLOOKUP(A5115,VII.A!$A$10:$D$199,4,FALSE))</f>
        <v/>
      </c>
      <c r="I5115" s="341" t="str">
        <f t="shared" si="1311"/>
        <v/>
      </c>
      <c r="J5115" s="341" t="str">
        <f>IF(A5115="","",VLOOKUP(A5115,VII.A!$A$10:$D$199,3,FALSE))</f>
        <v/>
      </c>
      <c r="K5115" s="342" t="str">
        <f t="shared" si="1312"/>
        <v/>
      </c>
      <c r="L5115" s="380" t="str">
        <f>IF(C5115="","",G5099*C5115)</f>
        <v/>
      </c>
      <c r="M5115" s="381" t="str">
        <f>IF(A5115="","",VLOOKUP(A5115,VII.A!$A$10:$B$199,2,FALSE))</f>
        <v/>
      </c>
      <c r="N5115" s="342" t="str">
        <f t="shared" si="1313"/>
        <v/>
      </c>
      <c r="R5115" s="341"/>
      <c r="S5115" s="341"/>
    </row>
    <row r="5116" spans="1:21" ht="12.75" customHeight="1">
      <c r="A5116" s="393"/>
      <c r="C5116" s="20"/>
      <c r="E5116" s="387"/>
      <c r="F5116" s="388">
        <f t="shared" si="1314"/>
        <v>0</v>
      </c>
      <c r="H5116" s="341" t="str">
        <f>IF(A5116="","",VLOOKUP(A5116,VII.A!$A$10:$D$199,4,FALSE))</f>
        <v/>
      </c>
      <c r="I5116" s="341" t="str">
        <f t="shared" si="1311"/>
        <v/>
      </c>
      <c r="J5116" s="341" t="str">
        <f>IF(A5116="","",VLOOKUP(A5116,VII.A!$A$10:$D$199,3,FALSE))</f>
        <v/>
      </c>
      <c r="K5116" s="342" t="str">
        <f t="shared" si="1312"/>
        <v/>
      </c>
      <c r="L5116" s="380" t="str">
        <f>IF(C5116="","",G5099*C5116)</f>
        <v/>
      </c>
      <c r="M5116" s="381" t="str">
        <f>IF(A5116="","",VLOOKUP(A5116,VII.A!$A$10:$B$199,2,FALSE))</f>
        <v/>
      </c>
      <c r="N5116" s="342" t="str">
        <f t="shared" si="1313"/>
        <v/>
      </c>
      <c r="R5116" s="341"/>
      <c r="S5116" s="341"/>
    </row>
    <row r="5117" spans="1:21" ht="12.75" customHeight="1">
      <c r="A5117" s="393"/>
      <c r="B5117" s="395" t="s">
        <v>226</v>
      </c>
      <c r="C5117" s="396"/>
      <c r="D5117" s="397"/>
      <c r="E5117" s="398"/>
      <c r="F5117" s="399">
        <f>SUM(F5101:F5116)</f>
        <v>0</v>
      </c>
      <c r="H5117" s="426" t="s">
        <v>433</v>
      </c>
      <c r="J5117" s="341"/>
      <c r="L5117" s="380"/>
      <c r="M5117" s="381"/>
      <c r="N5117" s="342"/>
      <c r="R5117" s="341"/>
      <c r="S5117" s="341"/>
    </row>
    <row r="5118" spans="1:21" ht="12.75" customHeight="1">
      <c r="A5118" s="393"/>
      <c r="B5118" s="400" t="s">
        <v>53</v>
      </c>
      <c r="C5118" s="2">
        <f>$D$8</f>
        <v>0</v>
      </c>
      <c r="D5118" s="401"/>
      <c r="E5118" s="402"/>
      <c r="F5118" s="403">
        <f>ROUND(F5117*C5118,2)</f>
        <v>0</v>
      </c>
      <c r="J5118" s="341"/>
      <c r="L5118" s="380"/>
      <c r="M5118" s="381"/>
      <c r="N5118" s="342"/>
      <c r="R5118" s="341"/>
      <c r="S5118" s="341"/>
    </row>
    <row r="5119" spans="1:21" ht="12.75" customHeight="1">
      <c r="A5119" s="404"/>
      <c r="B5119" s="405" t="s">
        <v>227</v>
      </c>
      <c r="C5119" s="406"/>
      <c r="D5119" s="406"/>
      <c r="E5119" s="407"/>
      <c r="F5119" s="408">
        <f>F5117+F5118</f>
        <v>0</v>
      </c>
      <c r="J5119" s="341"/>
      <c r="L5119" s="380"/>
      <c r="M5119" s="381"/>
      <c r="N5119" s="342"/>
      <c r="R5119" s="341"/>
      <c r="S5119" s="341"/>
    </row>
    <row r="5120" spans="1:21" ht="12.75" customHeight="1">
      <c r="A5120" s="374" t="s">
        <v>2</v>
      </c>
      <c r="B5120" s="375" t="s">
        <v>235</v>
      </c>
      <c r="C5120" s="376" t="s">
        <v>231</v>
      </c>
      <c r="D5120" s="376" t="s">
        <v>232</v>
      </c>
      <c r="E5120" s="377" t="s">
        <v>233</v>
      </c>
      <c r="F5120" s="378" t="s">
        <v>234</v>
      </c>
      <c r="J5120" s="341"/>
      <c r="L5120" s="380"/>
      <c r="M5120" s="381"/>
      <c r="N5120" s="342"/>
      <c r="R5120" s="341"/>
      <c r="S5120" s="341"/>
    </row>
    <row r="5121" spans="1:19" ht="12.75" customHeight="1">
      <c r="A5121" s="393"/>
      <c r="B5121" s="423"/>
      <c r="C5121" s="20"/>
      <c r="E5121" s="387"/>
      <c r="F5121" s="388">
        <f t="shared" ref="F5121:F5130" si="1315">ROUND(C5121*E5121,2)</f>
        <v>0</v>
      </c>
      <c r="H5121" s="341" t="str">
        <f>IF(A5121="","",VLOOKUP(A5121,VII.A!$A$10:$D$199,4,FALSE))</f>
        <v/>
      </c>
      <c r="I5121" s="341" t="str">
        <f t="shared" ref="I5121:I5130" si="1316">IF(A5121="","",IF(E5121=H5121,"SIM","NÃO"))</f>
        <v/>
      </c>
      <c r="J5121" s="341" t="str">
        <f>IF(A5121="","",VLOOKUP(A5121,VII.A!$A$10:$D$199,3,FALSE))</f>
        <v/>
      </c>
      <c r="K5121" s="342" t="str">
        <f t="shared" ref="K5121:K5130" si="1317">IF(A5121="","",IF(J5121=D5121,"SIM","NÃO"))</f>
        <v/>
      </c>
      <c r="L5121" s="380" t="str">
        <f>IF(C5121="","",G5099*C5121)</f>
        <v/>
      </c>
      <c r="M5121" s="381" t="str">
        <f>IF(A5121="","",VLOOKUP(A5121,VII.A!$A$10:$B$199,2,FALSE))</f>
        <v/>
      </c>
      <c r="N5121" s="342" t="str">
        <f t="shared" ref="N5121:N5130" si="1318">IF(B5121="","",IF(M5121=B5121,"si","no"))</f>
        <v/>
      </c>
      <c r="R5121" s="341"/>
      <c r="S5121" s="341"/>
    </row>
    <row r="5122" spans="1:19" ht="12.75" customHeight="1">
      <c r="A5122" s="393"/>
      <c r="C5122" s="20"/>
      <c r="E5122" s="387"/>
      <c r="F5122" s="388">
        <f t="shared" si="1315"/>
        <v>0</v>
      </c>
      <c r="H5122" s="341" t="str">
        <f>IF(A5122="","",VLOOKUP(A5122,VII.A!$A$10:$D$199,4,FALSE))</f>
        <v/>
      </c>
      <c r="I5122" s="341" t="str">
        <f t="shared" si="1316"/>
        <v/>
      </c>
      <c r="J5122" s="341" t="str">
        <f>IF(A5122="","",VLOOKUP(A5122,VII.A!$A$10:$D$199,3,FALSE))</f>
        <v/>
      </c>
      <c r="K5122" s="342" t="str">
        <f t="shared" si="1317"/>
        <v/>
      </c>
      <c r="L5122" s="380" t="str">
        <f>IF(C5122="","",G5099*C5122)</f>
        <v/>
      </c>
      <c r="M5122" s="381" t="str">
        <f>IF(A5122="","",VLOOKUP(A5122,VII.A!$A$10:$B$199,2,FALSE))</f>
        <v/>
      </c>
      <c r="N5122" s="342" t="str">
        <f t="shared" si="1318"/>
        <v/>
      </c>
      <c r="R5122" s="341"/>
      <c r="S5122" s="341"/>
    </row>
    <row r="5123" spans="1:19" ht="12.75" customHeight="1">
      <c r="A5123" s="393"/>
      <c r="C5123" s="20"/>
      <c r="E5123" s="387"/>
      <c r="F5123" s="388">
        <f t="shared" si="1315"/>
        <v>0</v>
      </c>
      <c r="H5123" s="341" t="str">
        <f>IF(A5123="","",VLOOKUP(A5123,VII.A!$A$10:$D$199,4,FALSE))</f>
        <v/>
      </c>
      <c r="I5123" s="341" t="str">
        <f t="shared" si="1316"/>
        <v/>
      </c>
      <c r="J5123" s="341" t="str">
        <f>IF(A5123="","",VLOOKUP(A5123,VII.A!$A$10:$D$199,3,FALSE))</f>
        <v/>
      </c>
      <c r="K5123" s="342" t="str">
        <f t="shared" si="1317"/>
        <v/>
      </c>
      <c r="L5123" s="380" t="str">
        <f>IF(C5123="","",G5099*C5123)</f>
        <v/>
      </c>
      <c r="M5123" s="381" t="str">
        <f>IF(A5123="","",VLOOKUP(A5123,VII.A!$A$10:$B$199,2,FALSE))</f>
        <v/>
      </c>
      <c r="N5123" s="342" t="str">
        <f t="shared" si="1318"/>
        <v/>
      </c>
      <c r="R5123" s="341"/>
      <c r="S5123" s="341"/>
    </row>
    <row r="5124" spans="1:19" ht="12.75" customHeight="1">
      <c r="A5124" s="393"/>
      <c r="C5124" s="20"/>
      <c r="E5124" s="387"/>
      <c r="F5124" s="388">
        <f t="shared" si="1315"/>
        <v>0</v>
      </c>
      <c r="H5124" s="341" t="str">
        <f>IF(A5124="","",VLOOKUP(A5124,VII.A!$A$10:$D$199,4,FALSE))</f>
        <v/>
      </c>
      <c r="I5124" s="341" t="str">
        <f t="shared" si="1316"/>
        <v/>
      </c>
      <c r="J5124" s="341" t="str">
        <f>IF(A5124="","",VLOOKUP(A5124,VII.A!$A$10:$D$199,3,FALSE))</f>
        <v/>
      </c>
      <c r="K5124" s="342" t="str">
        <f t="shared" si="1317"/>
        <v/>
      </c>
      <c r="L5124" s="380" t="str">
        <f>IF(C5124="","",G5099*C5124)</f>
        <v/>
      </c>
      <c r="M5124" s="381" t="str">
        <f>IF(A5124="","",VLOOKUP(A5124,VII.A!$A$10:$B$199,2,FALSE))</f>
        <v/>
      </c>
      <c r="N5124" s="342" t="str">
        <f t="shared" si="1318"/>
        <v/>
      </c>
      <c r="R5124" s="341"/>
      <c r="S5124" s="341"/>
    </row>
    <row r="5125" spans="1:19" ht="12.75" customHeight="1">
      <c r="A5125" s="393"/>
      <c r="C5125" s="20"/>
      <c r="E5125" s="387"/>
      <c r="F5125" s="388">
        <f t="shared" si="1315"/>
        <v>0</v>
      </c>
      <c r="G5125" s="390"/>
      <c r="H5125" s="341" t="str">
        <f>IF(A5125="","",VLOOKUP(A5125,VII.A!$A$10:$D$199,4,FALSE))</f>
        <v/>
      </c>
      <c r="I5125" s="341" t="str">
        <f t="shared" si="1316"/>
        <v/>
      </c>
      <c r="J5125" s="341" t="str">
        <f>IF(A5125="","",VLOOKUP(A5125,VII.A!$A$10:$D$199,3,FALSE))</f>
        <v/>
      </c>
      <c r="K5125" s="342" t="str">
        <f t="shared" si="1317"/>
        <v/>
      </c>
      <c r="L5125" s="380" t="str">
        <f>IF(C5125="","",G5099*C5125)</f>
        <v/>
      </c>
      <c r="M5125" s="381" t="str">
        <f>IF(A5125="","",VLOOKUP(A5125,VII.A!$A$10:$B$199,2,FALSE))</f>
        <v/>
      </c>
      <c r="N5125" s="342" t="str">
        <f t="shared" si="1318"/>
        <v/>
      </c>
      <c r="R5125" s="341"/>
      <c r="S5125" s="341"/>
    </row>
    <row r="5126" spans="1:19" ht="12.75" customHeight="1">
      <c r="A5126" s="393"/>
      <c r="C5126" s="20"/>
      <c r="E5126" s="387"/>
      <c r="F5126" s="388">
        <f t="shared" si="1315"/>
        <v>0</v>
      </c>
      <c r="G5126" s="391"/>
      <c r="H5126" s="341" t="str">
        <f>IF(A5126="","",VLOOKUP(A5126,VII.A!$A$10:$D$199,4,FALSE))</f>
        <v/>
      </c>
      <c r="I5126" s="341" t="str">
        <f t="shared" si="1316"/>
        <v/>
      </c>
      <c r="J5126" s="341" t="str">
        <f>IF(A5126="","",VLOOKUP(A5126,VII.A!$A$10:$D$199,3,FALSE))</f>
        <v/>
      </c>
      <c r="K5126" s="342" t="str">
        <f t="shared" si="1317"/>
        <v/>
      </c>
      <c r="L5126" s="380" t="str">
        <f>IF(C5126="","",G5099*C5126)</f>
        <v/>
      </c>
      <c r="M5126" s="381" t="str">
        <f>IF(A5126="","",VLOOKUP(A5126,VII.A!$A$10:$B$199,2,FALSE))</f>
        <v/>
      </c>
      <c r="N5126" s="342" t="str">
        <f t="shared" si="1318"/>
        <v/>
      </c>
      <c r="R5126" s="341"/>
      <c r="S5126" s="341"/>
    </row>
    <row r="5127" spans="1:19" ht="12.75" customHeight="1">
      <c r="A5127" s="393"/>
      <c r="C5127" s="20"/>
      <c r="E5127" s="387"/>
      <c r="F5127" s="388">
        <f t="shared" si="1315"/>
        <v>0</v>
      </c>
      <c r="H5127" s="341" t="str">
        <f>IF(A5127="","",VLOOKUP(A5127,VII.A!$A$10:$D$199,4,FALSE))</f>
        <v/>
      </c>
      <c r="I5127" s="341" t="str">
        <f t="shared" si="1316"/>
        <v/>
      </c>
      <c r="J5127" s="341" t="str">
        <f>IF(A5127="","",VLOOKUP(A5127,VII.A!$A$10:$D$199,3,FALSE))</f>
        <v/>
      </c>
      <c r="K5127" s="342" t="str">
        <f t="shared" si="1317"/>
        <v/>
      </c>
      <c r="L5127" s="380" t="str">
        <f>IF(C5127="","",G5099*C5127)</f>
        <v/>
      </c>
      <c r="M5127" s="381" t="str">
        <f>IF(A5127="","",VLOOKUP(A5127,VII.A!$A$10:$B$199,2,FALSE))</f>
        <v/>
      </c>
      <c r="N5127" s="342" t="str">
        <f t="shared" si="1318"/>
        <v/>
      </c>
      <c r="R5127" s="341"/>
      <c r="S5127" s="341"/>
    </row>
    <row r="5128" spans="1:19" ht="12.75" customHeight="1">
      <c r="A5128" s="393"/>
      <c r="C5128" s="20"/>
      <c r="E5128" s="387"/>
      <c r="F5128" s="388">
        <f t="shared" si="1315"/>
        <v>0</v>
      </c>
      <c r="H5128" s="341" t="str">
        <f>IF(A5128="","",VLOOKUP(A5128,VII.A!$A$10:$D$199,4,FALSE))</f>
        <v/>
      </c>
      <c r="I5128" s="341" t="str">
        <f t="shared" si="1316"/>
        <v/>
      </c>
      <c r="J5128" s="341" t="str">
        <f>IF(A5128="","",VLOOKUP(A5128,VII.A!$A$10:$D$199,3,FALSE))</f>
        <v/>
      </c>
      <c r="K5128" s="342" t="str">
        <f t="shared" si="1317"/>
        <v/>
      </c>
      <c r="L5128" s="380" t="str">
        <f>IF(C5128="","",G5099*C5128)</f>
        <v/>
      </c>
      <c r="M5128" s="381" t="str">
        <f>IF(A5128="","",VLOOKUP(A5128,VII.A!$A$10:$B$199,2,FALSE))</f>
        <v/>
      </c>
      <c r="N5128" s="342" t="str">
        <f t="shared" si="1318"/>
        <v/>
      </c>
      <c r="R5128" s="341"/>
      <c r="S5128" s="341"/>
    </row>
    <row r="5129" spans="1:19" ht="12.75" customHeight="1">
      <c r="A5129" s="393"/>
      <c r="C5129" s="20"/>
      <c r="E5129" s="387"/>
      <c r="F5129" s="388">
        <f t="shared" si="1315"/>
        <v>0</v>
      </c>
      <c r="H5129" s="341" t="str">
        <f>IF(A5129="","",VLOOKUP(A5129,VII.A!$A$10:$D$199,4,FALSE))</f>
        <v/>
      </c>
      <c r="I5129" s="341" t="str">
        <f t="shared" si="1316"/>
        <v/>
      </c>
      <c r="J5129" s="341" t="str">
        <f>IF(A5129="","",VLOOKUP(A5129,VII.A!$A$10:$D$199,3,FALSE))</f>
        <v/>
      </c>
      <c r="K5129" s="342" t="str">
        <f t="shared" si="1317"/>
        <v/>
      </c>
      <c r="L5129" s="380" t="str">
        <f>IF(C5129="","",G5099*C5129)</f>
        <v/>
      </c>
      <c r="M5129" s="381" t="str">
        <f>IF(A5129="","",VLOOKUP(A5129,VII.A!$A$10:$B$199,2,FALSE))</f>
        <v/>
      </c>
      <c r="N5129" s="342" t="str">
        <f t="shared" si="1318"/>
        <v/>
      </c>
      <c r="R5129" s="341"/>
      <c r="S5129" s="341"/>
    </row>
    <row r="5130" spans="1:19" ht="12.75" customHeight="1">
      <c r="A5130" s="393"/>
      <c r="C5130" s="20"/>
      <c r="E5130" s="387"/>
      <c r="F5130" s="388">
        <f t="shared" si="1315"/>
        <v>0</v>
      </c>
      <c r="H5130" s="341" t="str">
        <f>IF(A5130="","",VLOOKUP(A5130,VII.A!$A$10:$D$199,4,FALSE))</f>
        <v/>
      </c>
      <c r="I5130" s="341" t="str">
        <f t="shared" si="1316"/>
        <v/>
      </c>
      <c r="J5130" s="341" t="str">
        <f>IF(A5130="","",VLOOKUP(A5130,VII.A!$A$10:$D$199,3,FALSE))</f>
        <v/>
      </c>
      <c r="K5130" s="342" t="str">
        <f t="shared" si="1317"/>
        <v/>
      </c>
      <c r="L5130" s="380" t="str">
        <f>IF(C5130="","",G5099*C5130)</f>
        <v/>
      </c>
      <c r="M5130" s="381" t="str">
        <f>IF(A5130="","",VLOOKUP(A5130,VII.A!$A$10:$B$199,2,FALSE))</f>
        <v/>
      </c>
      <c r="N5130" s="342" t="str">
        <f t="shared" si="1318"/>
        <v/>
      </c>
      <c r="R5130" s="341"/>
      <c r="S5130" s="341"/>
    </row>
    <row r="5131" spans="1:19" ht="12.75" customHeight="1">
      <c r="A5131" s="393"/>
      <c r="B5131" s="395" t="s">
        <v>226</v>
      </c>
      <c r="C5131" s="396"/>
      <c r="D5131" s="397"/>
      <c r="E5131" s="398"/>
      <c r="F5131" s="399">
        <f>SUM(F5121:F5130)</f>
        <v>0</v>
      </c>
      <c r="J5131" s="341"/>
      <c r="L5131" s="380"/>
      <c r="M5131" s="381"/>
      <c r="N5131" s="342"/>
      <c r="R5131" s="341"/>
      <c r="S5131" s="341"/>
    </row>
    <row r="5132" spans="1:19" ht="12.75" customHeight="1">
      <c r="A5132" s="393"/>
      <c r="B5132" s="400" t="s">
        <v>53</v>
      </c>
      <c r="C5132" s="2">
        <f>$D$8</f>
        <v>0</v>
      </c>
      <c r="D5132" s="401"/>
      <c r="E5132" s="402"/>
      <c r="F5132" s="403">
        <f>ROUND(C5132*F5131,2)</f>
        <v>0</v>
      </c>
      <c r="J5132" s="341"/>
      <c r="L5132" s="380"/>
      <c r="M5132" s="381"/>
      <c r="N5132" s="342"/>
      <c r="R5132" s="341"/>
      <c r="S5132" s="341"/>
    </row>
    <row r="5133" spans="1:19" ht="12.75" customHeight="1">
      <c r="A5133" s="404"/>
      <c r="B5133" s="405" t="s">
        <v>228</v>
      </c>
      <c r="C5133" s="406"/>
      <c r="D5133" s="406"/>
      <c r="E5133" s="407"/>
      <c r="F5133" s="408">
        <f>F5131+F5132</f>
        <v>0</v>
      </c>
      <c r="J5133" s="341"/>
      <c r="L5133" s="380"/>
      <c r="M5133" s="381"/>
      <c r="N5133" s="342"/>
      <c r="R5133" s="341"/>
      <c r="S5133" s="341"/>
    </row>
    <row r="5134" spans="1:19" ht="12.75" customHeight="1">
      <c r="A5134" s="409" t="s">
        <v>47</v>
      </c>
      <c r="B5134" s="410" t="s">
        <v>236</v>
      </c>
      <c r="C5134" s="411" t="s">
        <v>231</v>
      </c>
      <c r="D5134" s="412" t="s">
        <v>232</v>
      </c>
      <c r="E5134" s="413" t="s">
        <v>233</v>
      </c>
      <c r="F5134" s="378" t="s">
        <v>234</v>
      </c>
      <c r="J5134" s="341"/>
      <c r="L5134" s="380"/>
      <c r="M5134" s="381"/>
      <c r="N5134" s="342"/>
      <c r="R5134" s="341"/>
      <c r="S5134" s="341"/>
    </row>
    <row r="5135" spans="1:19" ht="12.75" customHeight="1">
      <c r="A5135" s="393" t="str">
        <f>VII.A!$A$181</f>
        <v>3.1</v>
      </c>
      <c r="B5135" s="394" t="s">
        <v>142</v>
      </c>
      <c r="C5135" s="20">
        <v>0.25</v>
      </c>
      <c r="D5135" s="384" t="str">
        <f>VLOOKUP(A5135,VII.A!$A$10:$G$199,3,FALSE)</f>
        <v>H</v>
      </c>
      <c r="E5135" s="387">
        <f>VII.A!D181</f>
        <v>0</v>
      </c>
      <c r="F5135" s="388">
        <f t="shared" ref="F5135:F5141" si="1319">ROUND(C5135*E5135,2)</f>
        <v>0</v>
      </c>
      <c r="H5135" s="341">
        <f>IF(A5135="","",VLOOKUP(A5135,VII.A!$A$10:$D$199,4,FALSE))</f>
        <v>0</v>
      </c>
      <c r="I5135" s="341" t="str">
        <f t="shared" ref="I5135:I5141" si="1320">IF(A5135="","",IF(E5135=H5135,"SIM","NÃO"))</f>
        <v>SIM</v>
      </c>
      <c r="J5135" s="341" t="str">
        <f>IF(A5135="","",VLOOKUP(A5135,VII.A!$A$10:$D$199,3,FALSE))</f>
        <v>H</v>
      </c>
      <c r="K5135" s="342" t="str">
        <f t="shared" ref="K5135:K5141" si="1321">IF(A5135="","",IF(J5135=D5135,"SIM","NÃO"))</f>
        <v>SIM</v>
      </c>
      <c r="L5135" s="380">
        <f>IF(C5135="","",G5099*C5135)</f>
        <v>10737.5</v>
      </c>
      <c r="M5135" s="381" t="str">
        <f>IF(A5135="","",VLOOKUP(A5135,VII.A!$A$10:$B$199,2,FALSE))</f>
        <v>AJUDANTE COM ENCARGOS COMPLEMENTARES</v>
      </c>
      <c r="N5135" s="342" t="str">
        <f t="shared" ref="N5135:N5141" si="1322">IF(B5135="","",IF(M5135=B5135,"si","no"))</f>
        <v>si</v>
      </c>
      <c r="R5135" s="341"/>
      <c r="S5135" s="341"/>
    </row>
    <row r="5136" spans="1:19" ht="12.75" customHeight="1">
      <c r="A5136" s="393" t="str">
        <f>VII.A!$A$193</f>
        <v>3.13</v>
      </c>
      <c r="B5136" s="394" t="s">
        <v>154</v>
      </c>
      <c r="C5136" s="20">
        <v>0.35</v>
      </c>
      <c r="D5136" s="384" t="str">
        <f>VLOOKUP(A5136,VII.A!$A$10:$G$199,3,FALSE)</f>
        <v>H</v>
      </c>
      <c r="E5136" s="387">
        <f>VII.A!$D$193</f>
        <v>0</v>
      </c>
      <c r="F5136" s="388">
        <f t="shared" si="1319"/>
        <v>0</v>
      </c>
      <c r="H5136" s="341">
        <f>IF(A5136="","",VLOOKUP(A5136,VII.A!$A$10:$D$199,4,FALSE))</f>
        <v>0</v>
      </c>
      <c r="I5136" s="341" t="str">
        <f t="shared" si="1320"/>
        <v>SIM</v>
      </c>
      <c r="J5136" s="341" t="str">
        <f>IF(A5136="","",VLOOKUP(A5136,VII.A!$A$10:$D$199,3,FALSE))</f>
        <v>H</v>
      </c>
      <c r="K5136" s="342" t="str">
        <f t="shared" si="1321"/>
        <v>SIM</v>
      </c>
      <c r="L5136" s="380">
        <f>IF(C5136="","",G5099*C5136)</f>
        <v>15032.499999999998</v>
      </c>
      <c r="M5136" s="381" t="str">
        <f>IF(A5136="","",VLOOKUP(A5136,VII.A!$A$10:$B$199,2,FALSE))</f>
        <v>PINTOR COM ENCARGOS COMPLEMENTARES</v>
      </c>
      <c r="N5136" s="342" t="str">
        <f t="shared" si="1322"/>
        <v>si</v>
      </c>
      <c r="R5136" s="341"/>
      <c r="S5136" s="341"/>
    </row>
    <row r="5137" spans="1:25" ht="12.75" customHeight="1">
      <c r="A5137" s="393"/>
      <c r="C5137" s="20"/>
      <c r="E5137" s="387"/>
      <c r="F5137" s="388">
        <f t="shared" si="1319"/>
        <v>0</v>
      </c>
      <c r="H5137" s="341" t="str">
        <f>IF(A5137="","",VLOOKUP(A5137,VII.A!$A$10:$D$199,4,FALSE))</f>
        <v/>
      </c>
      <c r="I5137" s="341" t="str">
        <f t="shared" si="1320"/>
        <v/>
      </c>
      <c r="J5137" s="341" t="str">
        <f>IF(A5137="","",VLOOKUP(A5137,VII.A!$A$10:$D$199,3,FALSE))</f>
        <v/>
      </c>
      <c r="K5137" s="342" t="str">
        <f t="shared" si="1321"/>
        <v/>
      </c>
      <c r="L5137" s="380" t="str">
        <f>IF(C5137="","",G5099*C5137)</f>
        <v/>
      </c>
      <c r="M5137" s="381" t="str">
        <f>IF(A5137="","",VLOOKUP(A5137,VII.A!$A$10:$B$199,2,FALSE))</f>
        <v/>
      </c>
      <c r="N5137" s="342" t="str">
        <f t="shared" si="1322"/>
        <v/>
      </c>
      <c r="R5137" s="341"/>
      <c r="S5137" s="341"/>
    </row>
    <row r="5138" spans="1:25" ht="12.75" customHeight="1">
      <c r="A5138" s="393"/>
      <c r="C5138" s="20"/>
      <c r="E5138" s="387"/>
      <c r="F5138" s="388">
        <f t="shared" si="1319"/>
        <v>0</v>
      </c>
      <c r="H5138" s="341" t="str">
        <f>IF(A5138="","",VLOOKUP(A5138,VII.A!$A$10:$D$199,4,FALSE))</f>
        <v/>
      </c>
      <c r="I5138" s="341" t="str">
        <f t="shared" si="1320"/>
        <v/>
      </c>
      <c r="J5138" s="341" t="str">
        <f>IF(A5138="","",VLOOKUP(A5138,VII.A!$A$10:$D$199,3,FALSE))</f>
        <v/>
      </c>
      <c r="K5138" s="342" t="str">
        <f t="shared" si="1321"/>
        <v/>
      </c>
      <c r="L5138" s="380" t="str">
        <f>IF(C5138="","",G5099*C5138)</f>
        <v/>
      </c>
      <c r="M5138" s="381" t="str">
        <f>IF(A5138="","",VLOOKUP(A5138,VII.A!$A$10:$B$199,2,FALSE))</f>
        <v/>
      </c>
      <c r="N5138" s="342" t="str">
        <f t="shared" si="1322"/>
        <v/>
      </c>
      <c r="R5138" s="341"/>
      <c r="S5138" s="341"/>
    </row>
    <row r="5139" spans="1:25" ht="12.75" customHeight="1">
      <c r="A5139" s="393"/>
      <c r="C5139" s="20"/>
      <c r="E5139" s="387"/>
      <c r="F5139" s="388">
        <f t="shared" si="1319"/>
        <v>0</v>
      </c>
      <c r="H5139" s="341" t="str">
        <f>IF(A5139="","",VLOOKUP(A5139,VII.A!$A$10:$D$199,4,FALSE))</f>
        <v/>
      </c>
      <c r="I5139" s="341" t="str">
        <f t="shared" si="1320"/>
        <v/>
      </c>
      <c r="J5139" s="341" t="str">
        <f>IF(A5139="","",VLOOKUP(A5139,VII.A!$A$10:$D$199,3,FALSE))</f>
        <v/>
      </c>
      <c r="K5139" s="342" t="str">
        <f t="shared" si="1321"/>
        <v/>
      </c>
      <c r="L5139" s="380" t="str">
        <f>IF(C5139="","",G5099*C5139)</f>
        <v/>
      </c>
      <c r="M5139" s="381" t="str">
        <f>IF(A5139="","",VLOOKUP(A5139,VII.A!$A$10:$B$199,2,FALSE))</f>
        <v/>
      </c>
      <c r="N5139" s="342" t="str">
        <f t="shared" si="1322"/>
        <v/>
      </c>
      <c r="R5139" s="341"/>
      <c r="S5139" s="341"/>
    </row>
    <row r="5140" spans="1:25" ht="12.75" customHeight="1">
      <c r="A5140" s="393"/>
      <c r="C5140" s="20"/>
      <c r="E5140" s="387"/>
      <c r="F5140" s="388">
        <f t="shared" si="1319"/>
        <v>0</v>
      </c>
      <c r="H5140" s="341" t="str">
        <f>IF(A5140="","",VLOOKUP(A5140,VII.A!$A$10:$D$199,4,FALSE))</f>
        <v/>
      </c>
      <c r="I5140" s="341" t="str">
        <f t="shared" si="1320"/>
        <v/>
      </c>
      <c r="J5140" s="341" t="str">
        <f>IF(A5140="","",VLOOKUP(A5140,VII.A!$A$10:$D$199,3,FALSE))</f>
        <v/>
      </c>
      <c r="K5140" s="342" t="str">
        <f t="shared" si="1321"/>
        <v/>
      </c>
      <c r="L5140" s="380" t="str">
        <f>IF(C5140="","",G5099*C5140)</f>
        <v/>
      </c>
      <c r="M5140" s="381" t="str">
        <f>IF(A5140="","",VLOOKUP(A5140,VII.A!$A$10:$B$199,2,FALSE))</f>
        <v/>
      </c>
      <c r="N5140" s="342" t="str">
        <f t="shared" si="1322"/>
        <v/>
      </c>
      <c r="R5140" s="341"/>
      <c r="S5140" s="341"/>
    </row>
    <row r="5141" spans="1:25" ht="12.75" customHeight="1">
      <c r="A5141" s="393"/>
      <c r="C5141" s="20"/>
      <c r="E5141" s="387"/>
      <c r="F5141" s="388">
        <f t="shared" si="1319"/>
        <v>0</v>
      </c>
      <c r="H5141" s="341" t="str">
        <f>IF(A5141="","",VLOOKUP(A5141,VII.A!$A$10:$D$199,4,FALSE))</f>
        <v/>
      </c>
      <c r="I5141" s="341" t="str">
        <f t="shared" si="1320"/>
        <v/>
      </c>
      <c r="J5141" s="341" t="str">
        <f>IF(A5141="","",VLOOKUP(A5141,VII.A!$A$10:$D$199,3,FALSE))</f>
        <v/>
      </c>
      <c r="K5141" s="342" t="str">
        <f t="shared" si="1321"/>
        <v/>
      </c>
      <c r="L5141" s="380" t="str">
        <f>IF(C5141="","",G5099*C5141)</f>
        <v/>
      </c>
      <c r="M5141" s="381" t="str">
        <f>IF(A5141="","",VLOOKUP(A5141,VII.A!$A$10:$B$199,2,FALSE))</f>
        <v/>
      </c>
      <c r="N5141" s="342" t="str">
        <f t="shared" si="1322"/>
        <v/>
      </c>
      <c r="R5141" s="341"/>
      <c r="S5141" s="341"/>
    </row>
    <row r="5142" spans="1:25" ht="12.75" customHeight="1">
      <c r="A5142" s="393"/>
      <c r="B5142" s="395" t="s">
        <v>226</v>
      </c>
      <c r="C5142" s="396"/>
      <c r="D5142" s="397"/>
      <c r="E5142" s="398"/>
      <c r="F5142" s="399">
        <f>SUM(F5135:F5141)</f>
        <v>0</v>
      </c>
      <c r="J5142" s="341"/>
      <c r="L5142" s="380"/>
      <c r="M5142" s="381"/>
      <c r="N5142" s="342"/>
      <c r="R5142" s="341"/>
      <c r="S5142" s="341"/>
    </row>
    <row r="5143" spans="1:25" ht="12.75" customHeight="1">
      <c r="A5143" s="393"/>
      <c r="B5143" s="400" t="s">
        <v>229</v>
      </c>
      <c r="C5143" s="2">
        <f>IX.A!$C$45</f>
        <v>0</v>
      </c>
      <c r="D5143" s="401"/>
      <c r="E5143" s="402"/>
      <c r="F5143" s="403">
        <f>ROUND(F5142*C5143,2)</f>
        <v>0</v>
      </c>
      <c r="J5143" s="341"/>
      <c r="L5143" s="380"/>
      <c r="M5143" s="381"/>
      <c r="N5143" s="342"/>
      <c r="R5143" s="341"/>
      <c r="S5143" s="341"/>
    </row>
    <row r="5144" spans="1:25" ht="12.75" customHeight="1">
      <c r="A5144" s="393"/>
      <c r="B5144" s="400" t="s">
        <v>53</v>
      </c>
      <c r="C5144" s="2">
        <f>$D$8</f>
        <v>0</v>
      </c>
      <c r="D5144" s="401"/>
      <c r="E5144" s="402"/>
      <c r="F5144" s="403">
        <f>ROUND(SUM(F5142:F5143)*C5144,2)</f>
        <v>0</v>
      </c>
      <c r="J5144" s="341"/>
      <c r="L5144" s="380"/>
      <c r="M5144" s="381"/>
      <c r="N5144" s="342"/>
      <c r="R5144" s="341"/>
      <c r="S5144" s="341"/>
    </row>
    <row r="5145" spans="1:25" ht="12.75" customHeight="1" thickBot="1">
      <c r="A5145" s="414"/>
      <c r="B5145" s="415" t="s">
        <v>230</v>
      </c>
      <c r="C5145" s="416"/>
      <c r="D5145" s="416"/>
      <c r="E5145" s="417"/>
      <c r="F5145" s="418">
        <f>SUM(F5142:F5144)</f>
        <v>0</v>
      </c>
      <c r="J5145" s="341"/>
      <c r="L5145" s="380"/>
      <c r="M5145" s="381"/>
      <c r="N5145" s="342"/>
      <c r="R5145" s="341"/>
      <c r="S5145" s="341"/>
    </row>
    <row r="5146" spans="1:25" ht="12.75" customHeight="1" thickBot="1">
      <c r="A5146" s="357"/>
      <c r="B5146" s="358"/>
      <c r="C5146" s="359"/>
      <c r="D5146" s="359"/>
      <c r="E5146" s="360"/>
      <c r="F5146" s="419"/>
      <c r="J5146" s="341"/>
      <c r="L5146" s="380"/>
      <c r="M5146" s="381"/>
      <c r="N5146" s="342"/>
      <c r="R5146" s="341"/>
      <c r="S5146" s="341"/>
    </row>
    <row r="5147" spans="1:25" ht="30" customHeight="1">
      <c r="A5147" s="370" t="str">
        <f>IV.A!$A$153</f>
        <v>6.16</v>
      </c>
      <c r="B5147" s="371" t="str">
        <f>IV.A!$B$153</f>
        <v>PINTURA TIPO CAIAÇÃO DE GUIAS</v>
      </c>
      <c r="C5147" s="871" t="s">
        <v>237</v>
      </c>
      <c r="D5147" s="872"/>
      <c r="E5147" s="372" t="str">
        <f>IV.A!$C$153</f>
        <v>M</v>
      </c>
      <c r="F5147" s="11">
        <f>ROUND(F5167+F5181+F5193,2)</f>
        <v>0</v>
      </c>
      <c r="G5147" s="1">
        <f>VLOOKUP(A5147,IV.A!$A$16:$L$172,4,FALSE)</f>
        <v>17500</v>
      </c>
      <c r="H5147" s="361">
        <f>SUM(F5149:F5164)+F5166</f>
        <v>0</v>
      </c>
      <c r="I5147" s="361">
        <f>SUM(F5169:F5178)+F5180</f>
        <v>0</v>
      </c>
      <c r="J5147" s="361">
        <f>SUM(F5183:F5189)+F5191+F5192</f>
        <v>0</v>
      </c>
      <c r="K5147" s="361">
        <f>SUM(H5147:J5147)</f>
        <v>0</v>
      </c>
      <c r="L5147" s="362" t="str">
        <f>IF(K5147=F5147,"SIM","NÃO")</f>
        <v>SIM</v>
      </c>
      <c r="M5147" s="373">
        <f>ROUND(SUM(F5149:F5164),2)+ROUND(SUM(F5149:F5164)*C5166,2)+ROUND(SUM(F5169:F5178)*C5180,2)+ROUND(SUM(F5169:F5178),2)+ROUND(SUM(F5183:F5189)*C5191,2)+ROUND((SUM(F5183:F5189)+ROUND(SUM(F5183:F5189)*C5191,2))*C5192,2)+ROUND(SUM(F5183:F5189),2)</f>
        <v>0</v>
      </c>
      <c r="N5147" s="343" t="str">
        <f>IF(M5147=F5147,"SIM","NÃO")</f>
        <v>SIM</v>
      </c>
      <c r="O5147" s="364" t="str">
        <f>VLOOKUP(A5147,IV.A!$A$16:$E$172,3,FALSE)</f>
        <v>M</v>
      </c>
      <c r="P5147" s="344" t="str">
        <f>IF(O5147=E5147,"SIM","NÃO")</f>
        <v>SIM</v>
      </c>
      <c r="Q5147" s="365">
        <f>ROUND(G5147*F5167,2)+ROUND(G5147*F5181,2)+ROUND(G5147*F5193,2)</f>
        <v>0</v>
      </c>
      <c r="R5147" s="364">
        <f>VLOOKUP(A5147,IV.A!$A$16:$L$172,12,FALSE)</f>
        <v>0</v>
      </c>
      <c r="S5147" s="366" t="str">
        <f>IF(Q5147=R5147,"si","no")</f>
        <v>si</v>
      </c>
      <c r="T5147" s="367">
        <f>SUM(L5149:L5164)+SUM(L5169:L5178)+SUM(L5183:L5189)</f>
        <v>4112.5</v>
      </c>
      <c r="U5147" s="341">
        <f>(SUM(C5149:C5164)+SUM(C5169:C5178)+SUM(C5183:C5189))*G5147</f>
        <v>4112.5</v>
      </c>
      <c r="V5147" s="368" t="str">
        <f>IF(T5147=U5147,"si","no")</f>
        <v>si</v>
      </c>
      <c r="W5147" s="369">
        <f>SUM(F5149:F5164)</f>
        <v>0</v>
      </c>
      <c r="X5147" s="369">
        <f>SUM(F5169:F5178)</f>
        <v>0</v>
      </c>
      <c r="Y5147" s="369">
        <f>SUM(F5183:F5189)</f>
        <v>0</v>
      </c>
    </row>
    <row r="5148" spans="1:25" ht="12.75" customHeight="1">
      <c r="A5148" s="374" t="s">
        <v>14</v>
      </c>
      <c r="B5148" s="375" t="s">
        <v>132</v>
      </c>
      <c r="C5148" s="376" t="s">
        <v>231</v>
      </c>
      <c r="D5148" s="376" t="s">
        <v>232</v>
      </c>
      <c r="E5148" s="377" t="s">
        <v>233</v>
      </c>
      <c r="F5148" s="378" t="s">
        <v>234</v>
      </c>
      <c r="G5148" s="379"/>
      <c r="J5148" s="341"/>
      <c r="L5148" s="380"/>
      <c r="M5148" s="381"/>
      <c r="N5148" s="342"/>
      <c r="O5148" s="382"/>
      <c r="P5148" s="383"/>
      <c r="Q5148" s="383"/>
      <c r="R5148" s="383"/>
      <c r="S5148" s="383"/>
      <c r="T5148" s="382"/>
      <c r="U5148" s="341"/>
      <c r="V5148" s="384"/>
      <c r="W5148" s="384"/>
      <c r="X5148" s="384"/>
      <c r="Y5148" s="384"/>
    </row>
    <row r="5149" spans="1:25" ht="12.75" customHeight="1">
      <c r="A5149" s="385" t="str">
        <f>VII.A!$A$29</f>
        <v>1.20</v>
      </c>
      <c r="B5149" s="386" t="str">
        <f>VLOOKUP(A5149,VII.A!$A$10:$G$199,2,FALSE)</f>
        <v>CAL HIDRATADA CH III - NBR 7175</v>
      </c>
      <c r="C5149" s="20">
        <f>0.5*0.25</f>
        <v>0.125</v>
      </c>
      <c r="D5149" s="342" t="str">
        <f>VLOOKUP(A5149,VII.A!$A$10:$G$199,3,FALSE)</f>
        <v>KG</v>
      </c>
      <c r="E5149" s="387">
        <f>VII.A!D29</f>
        <v>0</v>
      </c>
      <c r="F5149" s="388">
        <f>ROUND(C5149*E5149,2)</f>
        <v>0</v>
      </c>
      <c r="H5149" s="341">
        <f>IF(A5149="","",VLOOKUP(A5149,VII.A!$A$10:$D$199,4,FALSE))</f>
        <v>0</v>
      </c>
      <c r="I5149" s="341" t="str">
        <f t="shared" ref="I5149:I5164" si="1323">IF(A5149="","",IF(E5149=H5149,"SIM","NÃO"))</f>
        <v>SIM</v>
      </c>
      <c r="J5149" s="341" t="str">
        <f>IF(A5149="","",VLOOKUP(A5149,VII.A!$A$10:$D$199,3,FALSE))</f>
        <v>KG</v>
      </c>
      <c r="K5149" s="342" t="str">
        <f t="shared" ref="K5149:K5164" si="1324">IF(A5149="","",IF(J5149=D5149,"SIM","NÃO"))</f>
        <v>SIM</v>
      </c>
      <c r="L5149" s="380">
        <f>IF(C5149="","",G5147*C5149)</f>
        <v>2187.5</v>
      </c>
      <c r="M5149" s="381" t="str">
        <f>IF(A5149="","",VLOOKUP(A5149,VII.A!$A$10:$B$199,2,FALSE))</f>
        <v>CAL HIDRATADA CH III - NBR 7175</v>
      </c>
      <c r="N5149" s="342" t="str">
        <f t="shared" ref="N5149:N5164" si="1325">IF(B5149="","",IF(M5149=B5149,"si","no"))</f>
        <v>si</v>
      </c>
      <c r="R5149" s="341"/>
      <c r="S5149" s="341"/>
    </row>
    <row r="5150" spans="1:25" ht="12.75" customHeight="1">
      <c r="A5150" s="385" t="str">
        <f>VII.A!$A$39</f>
        <v>1.30</v>
      </c>
      <c r="B5150" s="386" t="str">
        <f>VLOOKUP(A5150,VII.A!$A$10:$G$199,2,FALSE)</f>
        <v>COLA BRANCA BASE PVA</v>
      </c>
      <c r="C5150" s="20">
        <f>0.04*0.25</f>
        <v>0.01</v>
      </c>
      <c r="D5150" s="342" t="str">
        <f>VLOOKUP(A5150,VII.A!$A$10:$G$199,3,FALSE)</f>
        <v>KG</v>
      </c>
      <c r="E5150" s="387">
        <f>VII.A!D39</f>
        <v>0</v>
      </c>
      <c r="F5150" s="388">
        <f t="shared" ref="F5150:F5164" si="1326">ROUND(C5150*E5150,2)</f>
        <v>0</v>
      </c>
      <c r="H5150" s="341">
        <f>IF(A5150="","",VLOOKUP(A5150,VII.A!$A$10:$D$199,4,FALSE))</f>
        <v>0</v>
      </c>
      <c r="I5150" s="341" t="str">
        <f t="shared" si="1323"/>
        <v>SIM</v>
      </c>
      <c r="J5150" s="341" t="str">
        <f>IF(A5150="","",VLOOKUP(A5150,VII.A!$A$10:$D$199,3,FALSE))</f>
        <v>KG</v>
      </c>
      <c r="K5150" s="342" t="str">
        <f t="shared" si="1324"/>
        <v>SIM</v>
      </c>
      <c r="L5150" s="380">
        <f>IF(C5150="","",G5147*C5150)</f>
        <v>175</v>
      </c>
      <c r="M5150" s="381" t="str">
        <f>IF(A5150="","",VLOOKUP(A5150,VII.A!$A$10:$B$199,2,FALSE))</f>
        <v>COLA BRANCA BASE PVA</v>
      </c>
      <c r="N5150" s="342" t="str">
        <f t="shared" si="1325"/>
        <v>si</v>
      </c>
      <c r="R5150" s="341"/>
      <c r="S5150" s="341"/>
    </row>
    <row r="5151" spans="1:25" ht="12.75" customHeight="1">
      <c r="A5151" s="385"/>
      <c r="B5151" s="386"/>
      <c r="C5151" s="20"/>
      <c r="D5151" s="342"/>
      <c r="E5151" s="387"/>
      <c r="F5151" s="388">
        <f t="shared" si="1326"/>
        <v>0</v>
      </c>
      <c r="H5151" s="341" t="str">
        <f>IF(A5151="","",VLOOKUP(A5151,VII.A!$A$10:$D$199,4,FALSE))</f>
        <v/>
      </c>
      <c r="I5151" s="341" t="str">
        <f t="shared" si="1323"/>
        <v/>
      </c>
      <c r="J5151" s="341" t="str">
        <f>IF(A5151="","",VLOOKUP(A5151,VII.A!$A$10:$D$199,3,FALSE))</f>
        <v/>
      </c>
      <c r="K5151" s="342" t="str">
        <f t="shared" si="1324"/>
        <v/>
      </c>
      <c r="L5151" s="380" t="str">
        <f>IF(C5151="","",G5147*C5151)</f>
        <v/>
      </c>
      <c r="M5151" s="381" t="str">
        <f>IF(A5151="","",VLOOKUP(A5151,VII.A!$A$10:$B$199,2,FALSE))</f>
        <v/>
      </c>
      <c r="N5151" s="342" t="str">
        <f t="shared" si="1325"/>
        <v/>
      </c>
      <c r="R5151" s="341"/>
      <c r="S5151" s="341"/>
    </row>
    <row r="5152" spans="1:25" ht="12.75" customHeight="1">
      <c r="A5152" s="385"/>
      <c r="B5152" s="386"/>
      <c r="C5152" s="20"/>
      <c r="D5152" s="342"/>
      <c r="E5152" s="387"/>
      <c r="F5152" s="388">
        <f t="shared" si="1326"/>
        <v>0</v>
      </c>
      <c r="H5152" s="341" t="str">
        <f>IF(A5152="","",VLOOKUP(A5152,VII.A!$A$10:$D$199,4,FALSE))</f>
        <v/>
      </c>
      <c r="I5152" s="341" t="str">
        <f t="shared" si="1323"/>
        <v/>
      </c>
      <c r="J5152" s="341" t="str">
        <f>IF(A5152="","",VLOOKUP(A5152,VII.A!$A$10:$D$199,3,FALSE))</f>
        <v/>
      </c>
      <c r="K5152" s="342" t="str">
        <f t="shared" si="1324"/>
        <v/>
      </c>
      <c r="L5152" s="380" t="str">
        <f>IF(C5152="","",G5147*C5152)</f>
        <v/>
      </c>
      <c r="M5152" s="381" t="str">
        <f>IF(A5152="","",VLOOKUP(A5152,VII.A!$A$10:$B$199,2,FALSE))</f>
        <v/>
      </c>
      <c r="N5152" s="342" t="str">
        <f t="shared" si="1325"/>
        <v/>
      </c>
      <c r="R5152" s="341"/>
      <c r="S5152" s="341"/>
    </row>
    <row r="5153" spans="1:21" ht="12.75" customHeight="1">
      <c r="A5153" s="385"/>
      <c r="B5153" s="386"/>
      <c r="C5153" s="20"/>
      <c r="D5153" s="342"/>
      <c r="E5153" s="387"/>
      <c r="F5153" s="388">
        <f t="shared" si="1326"/>
        <v>0</v>
      </c>
      <c r="H5153" s="341" t="str">
        <f>IF(A5153="","",VLOOKUP(A5153,VII.A!$A$10:$D$199,4,FALSE))</f>
        <v/>
      </c>
      <c r="I5153" s="341" t="str">
        <f t="shared" si="1323"/>
        <v/>
      </c>
      <c r="J5153" s="341" t="str">
        <f>IF(A5153="","",VLOOKUP(A5153,VII.A!$A$10:$D$199,3,FALSE))</f>
        <v/>
      </c>
      <c r="K5153" s="342" t="str">
        <f t="shared" si="1324"/>
        <v/>
      </c>
      <c r="L5153" s="380" t="str">
        <f>IF(C5153="","",G5147*C5153)</f>
        <v/>
      </c>
      <c r="M5153" s="381" t="str">
        <f>IF(A5153="","",VLOOKUP(A5153,VII.A!$A$10:$B$199,2,FALSE))</f>
        <v/>
      </c>
      <c r="N5153" s="342" t="str">
        <f t="shared" si="1325"/>
        <v/>
      </c>
      <c r="R5153" s="341"/>
      <c r="S5153" s="341"/>
    </row>
    <row r="5154" spans="1:21" ht="12.75" customHeight="1">
      <c r="A5154" s="385"/>
      <c r="B5154" s="386"/>
      <c r="C5154" s="20"/>
      <c r="D5154" s="342"/>
      <c r="E5154" s="387"/>
      <c r="F5154" s="388">
        <f t="shared" si="1326"/>
        <v>0</v>
      </c>
      <c r="H5154" s="341" t="str">
        <f>IF(A5154="","",VLOOKUP(A5154,VII.A!$A$10:$D$199,4,FALSE))</f>
        <v/>
      </c>
      <c r="I5154" s="341" t="str">
        <f t="shared" si="1323"/>
        <v/>
      </c>
      <c r="J5154" s="341" t="str">
        <f>IF(A5154="","",VLOOKUP(A5154,VII.A!$A$10:$D$199,3,FALSE))</f>
        <v/>
      </c>
      <c r="K5154" s="342" t="str">
        <f t="shared" si="1324"/>
        <v/>
      </c>
      <c r="L5154" s="380" t="str">
        <f>IF(C5154="","",G5147*C5154)</f>
        <v/>
      </c>
      <c r="M5154" s="381" t="str">
        <f>IF(A5154="","",VLOOKUP(A5154,VII.A!$A$10:$B$199,2,FALSE))</f>
        <v/>
      </c>
      <c r="N5154" s="342" t="str">
        <f t="shared" si="1325"/>
        <v/>
      </c>
      <c r="R5154" s="341"/>
      <c r="S5154" s="341"/>
      <c r="U5154" s="389"/>
    </row>
    <row r="5155" spans="1:21" ht="12.75" customHeight="1">
      <c r="A5155" s="385"/>
      <c r="B5155" s="386"/>
      <c r="C5155" s="20"/>
      <c r="D5155" s="342"/>
      <c r="E5155" s="387"/>
      <c r="F5155" s="388">
        <f t="shared" si="1326"/>
        <v>0</v>
      </c>
      <c r="H5155" s="341" t="str">
        <f>IF(A5155="","",VLOOKUP(A5155,VII.A!$A$10:$D$199,4,FALSE))</f>
        <v/>
      </c>
      <c r="I5155" s="341" t="str">
        <f t="shared" si="1323"/>
        <v/>
      </c>
      <c r="J5155" s="341" t="str">
        <f>IF(A5155="","",VLOOKUP(A5155,VII.A!$A$10:$D$199,3,FALSE))</f>
        <v/>
      </c>
      <c r="K5155" s="342" t="str">
        <f t="shared" si="1324"/>
        <v/>
      </c>
      <c r="L5155" s="380" t="str">
        <f>IF(C5155="","",G5147*C5155)</f>
        <v/>
      </c>
      <c r="M5155" s="381" t="str">
        <f>IF(A5155="","",VLOOKUP(A5155,VII.A!$A$10:$B$199,2,FALSE))</f>
        <v/>
      </c>
      <c r="N5155" s="342" t="str">
        <f t="shared" si="1325"/>
        <v/>
      </c>
      <c r="R5155" s="341"/>
      <c r="S5155" s="341"/>
    </row>
    <row r="5156" spans="1:21" ht="12.75" customHeight="1">
      <c r="A5156" s="385"/>
      <c r="B5156" s="386"/>
      <c r="C5156" s="20"/>
      <c r="D5156" s="342"/>
      <c r="E5156" s="387"/>
      <c r="F5156" s="388">
        <f t="shared" si="1326"/>
        <v>0</v>
      </c>
      <c r="G5156" s="390"/>
      <c r="H5156" s="341" t="str">
        <f>IF(A5156="","",VLOOKUP(A5156,VII.A!$A$10:$D$199,4,FALSE))</f>
        <v/>
      </c>
      <c r="I5156" s="341" t="str">
        <f t="shared" si="1323"/>
        <v/>
      </c>
      <c r="J5156" s="341" t="str">
        <f>IF(A5156="","",VLOOKUP(A5156,VII.A!$A$10:$D$199,3,FALSE))</f>
        <v/>
      </c>
      <c r="K5156" s="342" t="str">
        <f t="shared" si="1324"/>
        <v/>
      </c>
      <c r="L5156" s="380" t="str">
        <f>IF(C5156="","",G5147*C5156)</f>
        <v/>
      </c>
      <c r="M5156" s="381" t="str">
        <f>IF(A5156="","",VLOOKUP(A5156,VII.A!$A$10:$B$199,2,FALSE))</f>
        <v/>
      </c>
      <c r="N5156" s="342" t="str">
        <f t="shared" si="1325"/>
        <v/>
      </c>
      <c r="R5156" s="341"/>
      <c r="S5156" s="341"/>
    </row>
    <row r="5157" spans="1:21" ht="12.75" customHeight="1">
      <c r="A5157" s="385"/>
      <c r="B5157" s="386"/>
      <c r="C5157" s="20"/>
      <c r="D5157" s="342"/>
      <c r="E5157" s="387"/>
      <c r="F5157" s="388">
        <f t="shared" si="1326"/>
        <v>0</v>
      </c>
      <c r="G5157" s="390"/>
      <c r="H5157" s="341" t="str">
        <f>IF(A5157="","",VLOOKUP(A5157,VII.A!$A$10:$D$199,4,FALSE))</f>
        <v/>
      </c>
      <c r="I5157" s="341" t="str">
        <f t="shared" si="1323"/>
        <v/>
      </c>
      <c r="J5157" s="341" t="str">
        <f>IF(A5157="","",VLOOKUP(A5157,VII.A!$A$10:$D$199,3,FALSE))</f>
        <v/>
      </c>
      <c r="K5157" s="342" t="str">
        <f t="shared" si="1324"/>
        <v/>
      </c>
      <c r="L5157" s="380" t="str">
        <f>IF(C5157="","",G5147*C5157)</f>
        <v/>
      </c>
      <c r="M5157" s="381" t="str">
        <f>IF(A5157="","",VLOOKUP(A5157,VII.A!$A$10:$B$199,2,FALSE))</f>
        <v/>
      </c>
      <c r="N5157" s="342" t="str">
        <f t="shared" si="1325"/>
        <v/>
      </c>
      <c r="R5157" s="341"/>
      <c r="S5157" s="341"/>
    </row>
    <row r="5158" spans="1:21" ht="12.75" customHeight="1">
      <c r="A5158" s="385"/>
      <c r="B5158" s="386"/>
      <c r="C5158" s="20"/>
      <c r="D5158" s="342"/>
      <c r="E5158" s="387"/>
      <c r="F5158" s="388">
        <f t="shared" si="1326"/>
        <v>0</v>
      </c>
      <c r="G5158" s="391"/>
      <c r="H5158" s="341" t="str">
        <f>IF(A5158="","",VLOOKUP(A5158,VII.A!$A$10:$D$199,4,FALSE))</f>
        <v/>
      </c>
      <c r="I5158" s="341" t="str">
        <f t="shared" si="1323"/>
        <v/>
      </c>
      <c r="J5158" s="341" t="str">
        <f>IF(A5158="","",VLOOKUP(A5158,VII.A!$A$10:$D$199,3,FALSE))</f>
        <v/>
      </c>
      <c r="K5158" s="342" t="str">
        <f t="shared" si="1324"/>
        <v/>
      </c>
      <c r="L5158" s="380" t="str">
        <f>IF(C5158="","",G5147*C5158)</f>
        <v/>
      </c>
      <c r="M5158" s="381" t="str">
        <f>IF(A5158="","",VLOOKUP(A5158,VII.A!$A$10:$B$199,2,FALSE))</f>
        <v/>
      </c>
      <c r="N5158" s="342" t="str">
        <f t="shared" si="1325"/>
        <v/>
      </c>
      <c r="R5158" s="341"/>
      <c r="S5158" s="341"/>
    </row>
    <row r="5159" spans="1:21" ht="12.75" customHeight="1">
      <c r="A5159" s="385"/>
      <c r="B5159" s="386"/>
      <c r="C5159" s="20"/>
      <c r="D5159" s="342"/>
      <c r="E5159" s="387"/>
      <c r="F5159" s="388">
        <f t="shared" si="1326"/>
        <v>0</v>
      </c>
      <c r="H5159" s="341" t="str">
        <f>IF(A5159="","",VLOOKUP(A5159,VII.A!$A$10:$D$199,4,FALSE))</f>
        <v/>
      </c>
      <c r="I5159" s="341" t="str">
        <f t="shared" si="1323"/>
        <v/>
      </c>
      <c r="J5159" s="341" t="str">
        <f>IF(A5159="","",VLOOKUP(A5159,VII.A!$A$10:$D$199,3,FALSE))</f>
        <v/>
      </c>
      <c r="K5159" s="342" t="str">
        <f t="shared" si="1324"/>
        <v/>
      </c>
      <c r="L5159" s="380" t="str">
        <f>IF(C5159="","",G5147*C5159)</f>
        <v/>
      </c>
      <c r="M5159" s="381" t="str">
        <f>IF(A5159="","",VLOOKUP(A5159,VII.A!$A$10:$B$199,2,FALSE))</f>
        <v/>
      </c>
      <c r="N5159" s="342" t="str">
        <f t="shared" si="1325"/>
        <v/>
      </c>
      <c r="R5159" s="341"/>
      <c r="S5159" s="341"/>
    </row>
    <row r="5160" spans="1:21" ht="12.75" customHeight="1">
      <c r="A5160" s="385"/>
      <c r="B5160" s="386"/>
      <c r="C5160" s="20"/>
      <c r="D5160" s="392"/>
      <c r="E5160" s="387"/>
      <c r="F5160" s="388">
        <f t="shared" si="1326"/>
        <v>0</v>
      </c>
      <c r="H5160" s="341" t="str">
        <f>IF(A5160="","",VLOOKUP(A5160,VII.A!$A$10:$D$199,4,FALSE))</f>
        <v/>
      </c>
      <c r="I5160" s="341" t="str">
        <f t="shared" si="1323"/>
        <v/>
      </c>
      <c r="J5160" s="341" t="str">
        <f>IF(A5160="","",VLOOKUP(A5160,VII.A!$A$10:$D$199,3,FALSE))</f>
        <v/>
      </c>
      <c r="K5160" s="342" t="str">
        <f t="shared" si="1324"/>
        <v/>
      </c>
      <c r="L5160" s="380" t="str">
        <f>IF(C5160="","",G5147*C5160)</f>
        <v/>
      </c>
      <c r="M5160" s="381" t="str">
        <f>IF(A5160="","",VLOOKUP(A5160,VII.A!$A$10:$B$199,2,FALSE))</f>
        <v/>
      </c>
      <c r="N5160" s="342" t="str">
        <f t="shared" si="1325"/>
        <v/>
      </c>
      <c r="R5160" s="341"/>
      <c r="S5160" s="341"/>
    </row>
    <row r="5161" spans="1:21" ht="12.75" customHeight="1">
      <c r="A5161" s="385"/>
      <c r="B5161" s="386"/>
      <c r="C5161" s="20"/>
      <c r="D5161" s="392"/>
      <c r="E5161" s="387"/>
      <c r="F5161" s="388">
        <f t="shared" si="1326"/>
        <v>0</v>
      </c>
      <c r="H5161" s="341" t="str">
        <f>IF(A5161="","",VLOOKUP(A5161,VII.A!$A$10:$D$199,4,FALSE))</f>
        <v/>
      </c>
      <c r="I5161" s="341" t="str">
        <f t="shared" si="1323"/>
        <v/>
      </c>
      <c r="J5161" s="341" t="str">
        <f>IF(A5161="","",VLOOKUP(A5161,VII.A!$A$10:$D$199,3,FALSE))</f>
        <v/>
      </c>
      <c r="K5161" s="342" t="str">
        <f t="shared" si="1324"/>
        <v/>
      </c>
      <c r="L5161" s="380" t="str">
        <f>IF(C5161="","",G5147*C5161)</f>
        <v/>
      </c>
      <c r="M5161" s="381" t="str">
        <f>IF(A5161="","",VLOOKUP(A5161,VII.A!$A$10:$B$199,2,FALSE))</f>
        <v/>
      </c>
      <c r="N5161" s="342" t="str">
        <f t="shared" si="1325"/>
        <v/>
      </c>
      <c r="O5161" s="342"/>
      <c r="R5161" s="341"/>
      <c r="S5161" s="341"/>
    </row>
    <row r="5162" spans="1:21" ht="12.75" customHeight="1">
      <c r="A5162" s="385"/>
      <c r="B5162" s="386"/>
      <c r="C5162" s="20"/>
      <c r="D5162" s="392"/>
      <c r="E5162" s="387"/>
      <c r="F5162" s="388">
        <f t="shared" si="1326"/>
        <v>0</v>
      </c>
      <c r="H5162" s="341" t="str">
        <f>IF(A5162="","",VLOOKUP(A5162,VII.A!$A$10:$D$199,4,FALSE))</f>
        <v/>
      </c>
      <c r="I5162" s="341" t="str">
        <f t="shared" si="1323"/>
        <v/>
      </c>
      <c r="J5162" s="341" t="str">
        <f>IF(A5162="","",VLOOKUP(A5162,VII.A!$A$10:$D$199,3,FALSE))</f>
        <v/>
      </c>
      <c r="K5162" s="342" t="str">
        <f t="shared" si="1324"/>
        <v/>
      </c>
      <c r="L5162" s="380" t="str">
        <f>IF(C5162="","",G5147*C5162)</f>
        <v/>
      </c>
      <c r="M5162" s="381" t="str">
        <f>IF(A5162="","",VLOOKUP(A5162,VII.A!$A$10:$B$199,2,FALSE))</f>
        <v/>
      </c>
      <c r="N5162" s="342" t="str">
        <f t="shared" si="1325"/>
        <v/>
      </c>
      <c r="R5162" s="341"/>
      <c r="S5162" s="341"/>
    </row>
    <row r="5163" spans="1:21" ht="12.75" customHeight="1">
      <c r="A5163" s="393"/>
      <c r="C5163" s="20"/>
      <c r="E5163" s="387"/>
      <c r="F5163" s="388">
        <f t="shared" si="1326"/>
        <v>0</v>
      </c>
      <c r="H5163" s="341" t="str">
        <f>IF(A5163="","",VLOOKUP(A5163,VII.A!$A$10:$D$199,4,FALSE))</f>
        <v/>
      </c>
      <c r="I5163" s="341" t="str">
        <f t="shared" si="1323"/>
        <v/>
      </c>
      <c r="J5163" s="341" t="str">
        <f>IF(A5163="","",VLOOKUP(A5163,VII.A!$A$10:$D$199,3,FALSE))</f>
        <v/>
      </c>
      <c r="K5163" s="342" t="str">
        <f t="shared" si="1324"/>
        <v/>
      </c>
      <c r="L5163" s="380" t="str">
        <f>IF(C5163="","",G5147*C5163)</f>
        <v/>
      </c>
      <c r="M5163" s="381" t="str">
        <f>IF(A5163="","",VLOOKUP(A5163,VII.A!$A$10:$B$199,2,FALSE))</f>
        <v/>
      </c>
      <c r="N5163" s="342" t="str">
        <f t="shared" si="1325"/>
        <v/>
      </c>
      <c r="R5163" s="341"/>
      <c r="S5163" s="341"/>
    </row>
    <row r="5164" spans="1:21" ht="12.75" customHeight="1">
      <c r="A5164" s="393"/>
      <c r="C5164" s="20"/>
      <c r="E5164" s="387"/>
      <c r="F5164" s="388">
        <f t="shared" si="1326"/>
        <v>0</v>
      </c>
      <c r="H5164" s="341" t="str">
        <f>IF(A5164="","",VLOOKUP(A5164,VII.A!$A$10:$D$199,4,FALSE))</f>
        <v/>
      </c>
      <c r="I5164" s="341" t="str">
        <f t="shared" si="1323"/>
        <v/>
      </c>
      <c r="J5164" s="341" t="str">
        <f>IF(A5164="","",VLOOKUP(A5164,VII.A!$A$10:$D$199,3,FALSE))</f>
        <v/>
      </c>
      <c r="K5164" s="342" t="str">
        <f t="shared" si="1324"/>
        <v/>
      </c>
      <c r="L5164" s="380" t="str">
        <f>IF(C5164="","",G5147*C5164)</f>
        <v/>
      </c>
      <c r="M5164" s="381" t="str">
        <f>IF(A5164="","",VLOOKUP(A5164,VII.A!$A$10:$B$199,2,FALSE))</f>
        <v/>
      </c>
      <c r="N5164" s="342" t="str">
        <f t="shared" si="1325"/>
        <v/>
      </c>
      <c r="R5164" s="341"/>
      <c r="S5164" s="341"/>
    </row>
    <row r="5165" spans="1:21" ht="12.75" customHeight="1">
      <c r="A5165" s="393"/>
      <c r="B5165" s="395" t="s">
        <v>226</v>
      </c>
      <c r="C5165" s="396"/>
      <c r="D5165" s="397"/>
      <c r="E5165" s="398"/>
      <c r="F5165" s="399">
        <f>SUM(F5149:F5164)</f>
        <v>0</v>
      </c>
      <c r="H5165" s="426" t="s">
        <v>434</v>
      </c>
      <c r="J5165" s="341"/>
      <c r="L5165" s="380"/>
      <c r="M5165" s="381"/>
      <c r="N5165" s="342"/>
      <c r="R5165" s="341"/>
      <c r="S5165" s="341"/>
    </row>
    <row r="5166" spans="1:21" ht="12.75" customHeight="1">
      <c r="A5166" s="393"/>
      <c r="B5166" s="400" t="s">
        <v>53</v>
      </c>
      <c r="C5166" s="2">
        <f>$D$8</f>
        <v>0</v>
      </c>
      <c r="D5166" s="401"/>
      <c r="E5166" s="402"/>
      <c r="F5166" s="403">
        <f>ROUND(F5165*C5166,2)</f>
        <v>0</v>
      </c>
      <c r="J5166" s="341"/>
      <c r="L5166" s="380"/>
      <c r="M5166" s="381"/>
      <c r="N5166" s="342"/>
      <c r="R5166" s="341"/>
      <c r="S5166" s="341"/>
    </row>
    <row r="5167" spans="1:21" ht="12.75" customHeight="1">
      <c r="A5167" s="404"/>
      <c r="B5167" s="405" t="s">
        <v>227</v>
      </c>
      <c r="C5167" s="406"/>
      <c r="D5167" s="406"/>
      <c r="E5167" s="407"/>
      <c r="F5167" s="408">
        <f>F5165+F5166</f>
        <v>0</v>
      </c>
      <c r="J5167" s="341"/>
      <c r="L5167" s="380"/>
      <c r="M5167" s="381"/>
      <c r="N5167" s="342"/>
      <c r="R5167" s="341"/>
      <c r="S5167" s="341"/>
    </row>
    <row r="5168" spans="1:21" ht="12.75" customHeight="1">
      <c r="A5168" s="374" t="s">
        <v>2</v>
      </c>
      <c r="B5168" s="375" t="s">
        <v>235</v>
      </c>
      <c r="C5168" s="376" t="s">
        <v>231</v>
      </c>
      <c r="D5168" s="376" t="s">
        <v>232</v>
      </c>
      <c r="E5168" s="377" t="s">
        <v>233</v>
      </c>
      <c r="F5168" s="378" t="s">
        <v>234</v>
      </c>
      <c r="J5168" s="341"/>
      <c r="L5168" s="380"/>
      <c r="M5168" s="381"/>
      <c r="N5168" s="342"/>
      <c r="R5168" s="341"/>
      <c r="S5168" s="341"/>
    </row>
    <row r="5169" spans="1:19" ht="12.75" customHeight="1">
      <c r="A5169" s="393"/>
      <c r="B5169" s="423"/>
      <c r="C5169" s="20"/>
      <c r="E5169" s="387"/>
      <c r="F5169" s="388">
        <f t="shared" ref="F5169:F5178" si="1327">ROUND(C5169*E5169,2)</f>
        <v>0</v>
      </c>
      <c r="H5169" s="341" t="str">
        <f>IF(A5169="","",VLOOKUP(A5169,VII.A!$A$10:$D$199,4,FALSE))</f>
        <v/>
      </c>
      <c r="I5169" s="341" t="str">
        <f t="shared" ref="I5169:I5178" si="1328">IF(A5169="","",IF(E5169=H5169,"SIM","NÃO"))</f>
        <v/>
      </c>
      <c r="J5169" s="341" t="str">
        <f>IF(A5169="","",VLOOKUP(A5169,VII.A!$A$10:$D$199,3,FALSE))</f>
        <v/>
      </c>
      <c r="K5169" s="342" t="str">
        <f t="shared" ref="K5169:K5178" si="1329">IF(A5169="","",IF(J5169=D5169,"SIM","NÃO"))</f>
        <v/>
      </c>
      <c r="L5169" s="380" t="str">
        <f>IF(C5169="","",G5147*C5169)</f>
        <v/>
      </c>
      <c r="M5169" s="381" t="str">
        <f>IF(A5169="","",VLOOKUP(A5169,VII.A!$A$10:$B$199,2,FALSE))</f>
        <v/>
      </c>
      <c r="N5169" s="342" t="str">
        <f t="shared" ref="N5169:N5178" si="1330">IF(B5169="","",IF(M5169=B5169,"si","no"))</f>
        <v/>
      </c>
      <c r="R5169" s="341"/>
      <c r="S5169" s="341"/>
    </row>
    <row r="5170" spans="1:19" ht="12.75" customHeight="1">
      <c r="A5170" s="393"/>
      <c r="C5170" s="20"/>
      <c r="E5170" s="387"/>
      <c r="F5170" s="388">
        <f t="shared" si="1327"/>
        <v>0</v>
      </c>
      <c r="H5170" s="341" t="str">
        <f>IF(A5170="","",VLOOKUP(A5170,VII.A!$A$10:$D$199,4,FALSE))</f>
        <v/>
      </c>
      <c r="I5170" s="341" t="str">
        <f t="shared" si="1328"/>
        <v/>
      </c>
      <c r="J5170" s="341" t="str">
        <f>IF(A5170="","",VLOOKUP(A5170,VII.A!$A$10:$D$199,3,FALSE))</f>
        <v/>
      </c>
      <c r="K5170" s="342" t="str">
        <f t="shared" si="1329"/>
        <v/>
      </c>
      <c r="L5170" s="380" t="str">
        <f>IF(C5170="","",G5147*C5170)</f>
        <v/>
      </c>
      <c r="M5170" s="381" t="str">
        <f>IF(A5170="","",VLOOKUP(A5170,VII.A!$A$10:$B$199,2,FALSE))</f>
        <v/>
      </c>
      <c r="N5170" s="342" t="str">
        <f t="shared" si="1330"/>
        <v/>
      </c>
      <c r="R5170" s="341"/>
      <c r="S5170" s="341"/>
    </row>
    <row r="5171" spans="1:19" ht="12.75" customHeight="1">
      <c r="A5171" s="393"/>
      <c r="C5171" s="20"/>
      <c r="E5171" s="387"/>
      <c r="F5171" s="388">
        <f t="shared" si="1327"/>
        <v>0</v>
      </c>
      <c r="H5171" s="341" t="str">
        <f>IF(A5171="","",VLOOKUP(A5171,VII.A!$A$10:$D$199,4,FALSE))</f>
        <v/>
      </c>
      <c r="I5171" s="341" t="str">
        <f t="shared" si="1328"/>
        <v/>
      </c>
      <c r="J5171" s="341" t="str">
        <f>IF(A5171="","",VLOOKUP(A5171,VII.A!$A$10:$D$199,3,FALSE))</f>
        <v/>
      </c>
      <c r="K5171" s="342" t="str">
        <f t="shared" si="1329"/>
        <v/>
      </c>
      <c r="L5171" s="380" t="str">
        <f>IF(C5171="","",G5147*C5171)</f>
        <v/>
      </c>
      <c r="M5171" s="381" t="str">
        <f>IF(A5171="","",VLOOKUP(A5171,VII.A!$A$10:$B$199,2,FALSE))</f>
        <v/>
      </c>
      <c r="N5171" s="342" t="str">
        <f t="shared" si="1330"/>
        <v/>
      </c>
      <c r="R5171" s="341"/>
      <c r="S5171" s="341"/>
    </row>
    <row r="5172" spans="1:19" ht="12.75" customHeight="1">
      <c r="A5172" s="393"/>
      <c r="C5172" s="20"/>
      <c r="E5172" s="387"/>
      <c r="F5172" s="388">
        <f t="shared" si="1327"/>
        <v>0</v>
      </c>
      <c r="H5172" s="341" t="str">
        <f>IF(A5172="","",VLOOKUP(A5172,VII.A!$A$10:$D$199,4,FALSE))</f>
        <v/>
      </c>
      <c r="I5172" s="341" t="str">
        <f t="shared" si="1328"/>
        <v/>
      </c>
      <c r="J5172" s="341" t="str">
        <f>IF(A5172="","",VLOOKUP(A5172,VII.A!$A$10:$D$199,3,FALSE))</f>
        <v/>
      </c>
      <c r="K5172" s="342" t="str">
        <f t="shared" si="1329"/>
        <v/>
      </c>
      <c r="L5172" s="380" t="str">
        <f>IF(C5172="","",G5147*C5172)</f>
        <v/>
      </c>
      <c r="M5172" s="381" t="str">
        <f>IF(A5172="","",VLOOKUP(A5172,VII.A!$A$10:$B$199,2,FALSE))</f>
        <v/>
      </c>
      <c r="N5172" s="342" t="str">
        <f t="shared" si="1330"/>
        <v/>
      </c>
      <c r="R5172" s="341"/>
      <c r="S5172" s="341"/>
    </row>
    <row r="5173" spans="1:19" ht="12.75" customHeight="1">
      <c r="A5173" s="393"/>
      <c r="C5173" s="20"/>
      <c r="E5173" s="387"/>
      <c r="F5173" s="388">
        <f t="shared" si="1327"/>
        <v>0</v>
      </c>
      <c r="G5173" s="390"/>
      <c r="H5173" s="341" t="str">
        <f>IF(A5173="","",VLOOKUP(A5173,VII.A!$A$10:$D$199,4,FALSE))</f>
        <v/>
      </c>
      <c r="I5173" s="341" t="str">
        <f t="shared" si="1328"/>
        <v/>
      </c>
      <c r="J5173" s="341" t="str">
        <f>IF(A5173="","",VLOOKUP(A5173,VII.A!$A$10:$D$199,3,FALSE))</f>
        <v/>
      </c>
      <c r="K5173" s="342" t="str">
        <f t="shared" si="1329"/>
        <v/>
      </c>
      <c r="L5173" s="380" t="str">
        <f>IF(C5173="","",G5147*C5173)</f>
        <v/>
      </c>
      <c r="M5173" s="381" t="str">
        <f>IF(A5173="","",VLOOKUP(A5173,VII.A!$A$10:$B$199,2,FALSE))</f>
        <v/>
      </c>
      <c r="N5173" s="342" t="str">
        <f t="shared" si="1330"/>
        <v/>
      </c>
      <c r="R5173" s="341"/>
      <c r="S5173" s="341"/>
    </row>
    <row r="5174" spans="1:19" ht="12.75" customHeight="1">
      <c r="A5174" s="393"/>
      <c r="C5174" s="20"/>
      <c r="E5174" s="387"/>
      <c r="F5174" s="388">
        <f t="shared" si="1327"/>
        <v>0</v>
      </c>
      <c r="G5174" s="391"/>
      <c r="H5174" s="341" t="str">
        <f>IF(A5174="","",VLOOKUP(A5174,VII.A!$A$10:$D$199,4,FALSE))</f>
        <v/>
      </c>
      <c r="I5174" s="341" t="str">
        <f t="shared" si="1328"/>
        <v/>
      </c>
      <c r="J5174" s="341" t="str">
        <f>IF(A5174="","",VLOOKUP(A5174,VII.A!$A$10:$D$199,3,FALSE))</f>
        <v/>
      </c>
      <c r="K5174" s="342" t="str">
        <f t="shared" si="1329"/>
        <v/>
      </c>
      <c r="L5174" s="380" t="str">
        <f>IF(C5174="","",G5147*C5174)</f>
        <v/>
      </c>
      <c r="M5174" s="381" t="str">
        <f>IF(A5174="","",VLOOKUP(A5174,VII.A!$A$10:$B$199,2,FALSE))</f>
        <v/>
      </c>
      <c r="N5174" s="342" t="str">
        <f t="shared" si="1330"/>
        <v/>
      </c>
      <c r="R5174" s="341"/>
      <c r="S5174" s="341"/>
    </row>
    <row r="5175" spans="1:19" ht="12.75" customHeight="1">
      <c r="A5175" s="393"/>
      <c r="C5175" s="20"/>
      <c r="E5175" s="387"/>
      <c r="F5175" s="388">
        <f t="shared" si="1327"/>
        <v>0</v>
      </c>
      <c r="H5175" s="341" t="str">
        <f>IF(A5175="","",VLOOKUP(A5175,VII.A!$A$10:$D$199,4,FALSE))</f>
        <v/>
      </c>
      <c r="I5175" s="341" t="str">
        <f t="shared" si="1328"/>
        <v/>
      </c>
      <c r="J5175" s="341" t="str">
        <f>IF(A5175="","",VLOOKUP(A5175,VII.A!$A$10:$D$199,3,FALSE))</f>
        <v/>
      </c>
      <c r="K5175" s="342" t="str">
        <f t="shared" si="1329"/>
        <v/>
      </c>
      <c r="L5175" s="380" t="str">
        <f>IF(C5175="","",G5147*C5175)</f>
        <v/>
      </c>
      <c r="M5175" s="381" t="str">
        <f>IF(A5175="","",VLOOKUP(A5175,VII.A!$A$10:$B$199,2,FALSE))</f>
        <v/>
      </c>
      <c r="N5175" s="342" t="str">
        <f t="shared" si="1330"/>
        <v/>
      </c>
      <c r="R5175" s="341"/>
      <c r="S5175" s="341"/>
    </row>
    <row r="5176" spans="1:19" ht="12.75" customHeight="1">
      <c r="A5176" s="393"/>
      <c r="C5176" s="20"/>
      <c r="E5176" s="387"/>
      <c r="F5176" s="388">
        <f t="shared" si="1327"/>
        <v>0</v>
      </c>
      <c r="H5176" s="341" t="str">
        <f>IF(A5176="","",VLOOKUP(A5176,VII.A!$A$10:$D$199,4,FALSE))</f>
        <v/>
      </c>
      <c r="I5176" s="341" t="str">
        <f t="shared" si="1328"/>
        <v/>
      </c>
      <c r="J5176" s="341" t="str">
        <f>IF(A5176="","",VLOOKUP(A5176,VII.A!$A$10:$D$199,3,FALSE))</f>
        <v/>
      </c>
      <c r="K5176" s="342" t="str">
        <f t="shared" si="1329"/>
        <v/>
      </c>
      <c r="L5176" s="380" t="str">
        <f>IF(C5176="","",G5147*C5176)</f>
        <v/>
      </c>
      <c r="M5176" s="381" t="str">
        <f>IF(A5176="","",VLOOKUP(A5176,VII.A!$A$10:$B$199,2,FALSE))</f>
        <v/>
      </c>
      <c r="N5176" s="342" t="str">
        <f t="shared" si="1330"/>
        <v/>
      </c>
      <c r="R5176" s="341"/>
      <c r="S5176" s="341"/>
    </row>
    <row r="5177" spans="1:19" ht="12.75" customHeight="1">
      <c r="A5177" s="393"/>
      <c r="C5177" s="20"/>
      <c r="E5177" s="387"/>
      <c r="F5177" s="388">
        <f t="shared" si="1327"/>
        <v>0</v>
      </c>
      <c r="H5177" s="341" t="str">
        <f>IF(A5177="","",VLOOKUP(A5177,VII.A!$A$10:$D$199,4,FALSE))</f>
        <v/>
      </c>
      <c r="I5177" s="341" t="str">
        <f t="shared" si="1328"/>
        <v/>
      </c>
      <c r="J5177" s="341" t="str">
        <f>IF(A5177="","",VLOOKUP(A5177,VII.A!$A$10:$D$199,3,FALSE))</f>
        <v/>
      </c>
      <c r="K5177" s="342" t="str">
        <f t="shared" si="1329"/>
        <v/>
      </c>
      <c r="L5177" s="380" t="str">
        <f>IF(C5177="","",G5147*C5177)</f>
        <v/>
      </c>
      <c r="M5177" s="381" t="str">
        <f>IF(A5177="","",VLOOKUP(A5177,VII.A!$A$10:$B$199,2,FALSE))</f>
        <v/>
      </c>
      <c r="N5177" s="342" t="str">
        <f t="shared" si="1330"/>
        <v/>
      </c>
      <c r="R5177" s="341"/>
      <c r="S5177" s="341"/>
    </row>
    <row r="5178" spans="1:19" ht="12.75" customHeight="1">
      <c r="A5178" s="393"/>
      <c r="C5178" s="20"/>
      <c r="E5178" s="387"/>
      <c r="F5178" s="388">
        <f t="shared" si="1327"/>
        <v>0</v>
      </c>
      <c r="H5178" s="341" t="str">
        <f>IF(A5178="","",VLOOKUP(A5178,VII.A!$A$10:$D$199,4,FALSE))</f>
        <v/>
      </c>
      <c r="I5178" s="341" t="str">
        <f t="shared" si="1328"/>
        <v/>
      </c>
      <c r="J5178" s="341" t="str">
        <f>IF(A5178="","",VLOOKUP(A5178,VII.A!$A$10:$D$199,3,FALSE))</f>
        <v/>
      </c>
      <c r="K5178" s="342" t="str">
        <f t="shared" si="1329"/>
        <v/>
      </c>
      <c r="L5178" s="380" t="str">
        <f>IF(C5178="","",G5147*C5178)</f>
        <v/>
      </c>
      <c r="M5178" s="381" t="str">
        <f>IF(A5178="","",VLOOKUP(A5178,VII.A!$A$10:$B$199,2,FALSE))</f>
        <v/>
      </c>
      <c r="N5178" s="342" t="str">
        <f t="shared" si="1330"/>
        <v/>
      </c>
      <c r="R5178" s="341"/>
      <c r="S5178" s="341"/>
    </row>
    <row r="5179" spans="1:19" ht="12.75" customHeight="1">
      <c r="A5179" s="393"/>
      <c r="B5179" s="395" t="s">
        <v>226</v>
      </c>
      <c r="C5179" s="396"/>
      <c r="D5179" s="397"/>
      <c r="E5179" s="398"/>
      <c r="F5179" s="399">
        <f>SUM(F5169:F5178)</f>
        <v>0</v>
      </c>
      <c r="J5179" s="341"/>
      <c r="L5179" s="380"/>
      <c r="M5179" s="381"/>
      <c r="N5179" s="342"/>
      <c r="R5179" s="341"/>
      <c r="S5179" s="341"/>
    </row>
    <row r="5180" spans="1:19" ht="12.75" customHeight="1">
      <c r="A5180" s="393"/>
      <c r="B5180" s="400" t="s">
        <v>53</v>
      </c>
      <c r="C5180" s="2">
        <f>$D$8</f>
        <v>0</v>
      </c>
      <c r="D5180" s="401"/>
      <c r="E5180" s="402"/>
      <c r="F5180" s="403">
        <f>ROUND(C5180*F5179,2)</f>
        <v>0</v>
      </c>
      <c r="J5180" s="341"/>
      <c r="L5180" s="380"/>
      <c r="M5180" s="381"/>
      <c r="N5180" s="342"/>
      <c r="R5180" s="341"/>
      <c r="S5180" s="341"/>
    </row>
    <row r="5181" spans="1:19" ht="12.75" customHeight="1">
      <c r="A5181" s="404"/>
      <c r="B5181" s="405" t="s">
        <v>228</v>
      </c>
      <c r="C5181" s="406"/>
      <c r="D5181" s="406"/>
      <c r="E5181" s="407"/>
      <c r="F5181" s="408">
        <f>F5179+F5180</f>
        <v>0</v>
      </c>
      <c r="J5181" s="341"/>
      <c r="L5181" s="380"/>
      <c r="M5181" s="381"/>
      <c r="N5181" s="342"/>
      <c r="R5181" s="341"/>
      <c r="S5181" s="341"/>
    </row>
    <row r="5182" spans="1:19" ht="12.75" customHeight="1">
      <c r="A5182" s="409" t="s">
        <v>47</v>
      </c>
      <c r="B5182" s="410" t="s">
        <v>236</v>
      </c>
      <c r="C5182" s="411" t="s">
        <v>231</v>
      </c>
      <c r="D5182" s="412" t="s">
        <v>232</v>
      </c>
      <c r="E5182" s="413" t="s">
        <v>233</v>
      </c>
      <c r="F5182" s="378" t="s">
        <v>234</v>
      </c>
      <c r="J5182" s="341"/>
      <c r="L5182" s="380"/>
      <c r="M5182" s="381"/>
      <c r="N5182" s="342"/>
      <c r="R5182" s="341"/>
      <c r="S5182" s="341"/>
    </row>
    <row r="5183" spans="1:19" ht="12.75" customHeight="1">
      <c r="A5183" s="393" t="str">
        <f>VII.A!$A$193</f>
        <v>3.13</v>
      </c>
      <c r="B5183" s="394" t="s">
        <v>154</v>
      </c>
      <c r="C5183" s="20">
        <v>0.1</v>
      </c>
      <c r="D5183" s="384" t="str">
        <f>VLOOKUP(A5183,VII.A!$A$10:$G$199,3,FALSE)</f>
        <v>H</v>
      </c>
      <c r="E5183" s="387">
        <f>VII.A!D193</f>
        <v>0</v>
      </c>
      <c r="F5183" s="388">
        <f t="shared" ref="F5183:F5189" si="1331">ROUND(C5183*E5183,2)</f>
        <v>0</v>
      </c>
      <c r="H5183" s="341">
        <f>IF(A5183="","",VLOOKUP(A5183,VII.A!$A$10:$D$199,4,FALSE))</f>
        <v>0</v>
      </c>
      <c r="I5183" s="341" t="str">
        <f t="shared" ref="I5183:I5189" si="1332">IF(A5183="","",IF(E5183=H5183,"SIM","NÃO"))</f>
        <v>SIM</v>
      </c>
      <c r="J5183" s="341" t="str">
        <f>IF(A5183="","",VLOOKUP(A5183,VII.A!$A$10:$D$199,3,FALSE))</f>
        <v>H</v>
      </c>
      <c r="K5183" s="342" t="str">
        <f t="shared" ref="K5183:K5189" si="1333">IF(A5183="","",IF(J5183=D5183,"SIM","NÃO"))</f>
        <v>SIM</v>
      </c>
      <c r="L5183" s="380">
        <f>IF(C5183="","",G5147*C5183)</f>
        <v>1750</v>
      </c>
      <c r="M5183" s="381" t="str">
        <f>IF(A5183="","",VLOOKUP(A5183,VII.A!$A$10:$B$199,2,FALSE))</f>
        <v>PINTOR COM ENCARGOS COMPLEMENTARES</v>
      </c>
      <c r="N5183" s="342" t="str">
        <f t="shared" ref="N5183:N5189" si="1334">IF(B5183="","",IF(M5183=B5183,"si","no"))</f>
        <v>si</v>
      </c>
      <c r="R5183" s="341"/>
      <c r="S5183" s="341"/>
    </row>
    <row r="5184" spans="1:19" ht="12.75" customHeight="1">
      <c r="A5184" s="393"/>
      <c r="C5184" s="20"/>
      <c r="E5184" s="387"/>
      <c r="F5184" s="388">
        <f t="shared" si="1331"/>
        <v>0</v>
      </c>
      <c r="H5184" s="341" t="str">
        <f>IF(A5184="","",VLOOKUP(A5184,VII.A!$A$10:$D$199,4,FALSE))</f>
        <v/>
      </c>
      <c r="I5184" s="341" t="str">
        <f t="shared" si="1332"/>
        <v/>
      </c>
      <c r="J5184" s="341" t="str">
        <f>IF(A5184="","",VLOOKUP(A5184,VII.A!$A$10:$D$199,3,FALSE))</f>
        <v/>
      </c>
      <c r="K5184" s="342" t="str">
        <f t="shared" si="1333"/>
        <v/>
      </c>
      <c r="L5184" s="380" t="str">
        <f>IF(C5184="","",G5147*C5184)</f>
        <v/>
      </c>
      <c r="M5184" s="381" t="str">
        <f>IF(A5184="","",VLOOKUP(A5184,VII.A!$A$10:$B$199,2,FALSE))</f>
        <v/>
      </c>
      <c r="N5184" s="342" t="str">
        <f t="shared" si="1334"/>
        <v/>
      </c>
      <c r="R5184" s="341"/>
      <c r="S5184" s="341"/>
    </row>
    <row r="5185" spans="1:25" ht="12.75" customHeight="1">
      <c r="A5185" s="393"/>
      <c r="C5185" s="20"/>
      <c r="E5185" s="387"/>
      <c r="F5185" s="388">
        <f t="shared" si="1331"/>
        <v>0</v>
      </c>
      <c r="H5185" s="341" t="str">
        <f>IF(A5185="","",VLOOKUP(A5185,VII.A!$A$10:$D$199,4,FALSE))</f>
        <v/>
      </c>
      <c r="I5185" s="341" t="str">
        <f t="shared" si="1332"/>
        <v/>
      </c>
      <c r="J5185" s="341" t="str">
        <f>IF(A5185="","",VLOOKUP(A5185,VII.A!$A$10:$D$199,3,FALSE))</f>
        <v/>
      </c>
      <c r="K5185" s="342" t="str">
        <f t="shared" si="1333"/>
        <v/>
      </c>
      <c r="L5185" s="380" t="str">
        <f>IF(C5185="","",G5147*C5185)</f>
        <v/>
      </c>
      <c r="M5185" s="381" t="str">
        <f>IF(A5185="","",VLOOKUP(A5185,VII.A!$A$10:$B$199,2,FALSE))</f>
        <v/>
      </c>
      <c r="N5185" s="342" t="str">
        <f t="shared" si="1334"/>
        <v/>
      </c>
      <c r="R5185" s="341"/>
      <c r="S5185" s="341"/>
    </row>
    <row r="5186" spans="1:25" ht="12.75" customHeight="1">
      <c r="A5186" s="393"/>
      <c r="C5186" s="20"/>
      <c r="E5186" s="387"/>
      <c r="F5186" s="388">
        <f t="shared" si="1331"/>
        <v>0</v>
      </c>
      <c r="H5186" s="341" t="str">
        <f>IF(A5186="","",VLOOKUP(A5186,VII.A!$A$10:$D$199,4,FALSE))</f>
        <v/>
      </c>
      <c r="I5186" s="341" t="str">
        <f t="shared" si="1332"/>
        <v/>
      </c>
      <c r="J5186" s="341" t="str">
        <f>IF(A5186="","",VLOOKUP(A5186,VII.A!$A$10:$D$199,3,FALSE))</f>
        <v/>
      </c>
      <c r="K5186" s="342" t="str">
        <f t="shared" si="1333"/>
        <v/>
      </c>
      <c r="L5186" s="380" t="str">
        <f>IF(C5186="","",G5147*C5186)</f>
        <v/>
      </c>
      <c r="M5186" s="381" t="str">
        <f>IF(A5186="","",VLOOKUP(A5186,VII.A!$A$10:$B$199,2,FALSE))</f>
        <v/>
      </c>
      <c r="N5186" s="342" t="str">
        <f t="shared" si="1334"/>
        <v/>
      </c>
      <c r="R5186" s="341"/>
      <c r="S5186" s="341"/>
    </row>
    <row r="5187" spans="1:25" ht="12.75" customHeight="1">
      <c r="A5187" s="393"/>
      <c r="C5187" s="20"/>
      <c r="E5187" s="387"/>
      <c r="F5187" s="388">
        <f t="shared" si="1331"/>
        <v>0</v>
      </c>
      <c r="H5187" s="341" t="str">
        <f>IF(A5187="","",VLOOKUP(A5187,VII.A!$A$10:$D$199,4,FALSE))</f>
        <v/>
      </c>
      <c r="I5187" s="341" t="str">
        <f t="shared" si="1332"/>
        <v/>
      </c>
      <c r="J5187" s="341" t="str">
        <f>IF(A5187="","",VLOOKUP(A5187,VII.A!$A$10:$D$199,3,FALSE))</f>
        <v/>
      </c>
      <c r="K5187" s="342" t="str">
        <f t="shared" si="1333"/>
        <v/>
      </c>
      <c r="L5187" s="380" t="str">
        <f>IF(C5187="","",G5147*C5187)</f>
        <v/>
      </c>
      <c r="M5187" s="381" t="str">
        <f>IF(A5187="","",VLOOKUP(A5187,VII.A!$A$10:$B$199,2,FALSE))</f>
        <v/>
      </c>
      <c r="N5187" s="342" t="str">
        <f t="shared" si="1334"/>
        <v/>
      </c>
      <c r="R5187" s="341"/>
      <c r="S5187" s="341"/>
    </row>
    <row r="5188" spans="1:25" ht="12.75" customHeight="1">
      <c r="A5188" s="393"/>
      <c r="C5188" s="20"/>
      <c r="E5188" s="387"/>
      <c r="F5188" s="388">
        <f t="shared" si="1331"/>
        <v>0</v>
      </c>
      <c r="H5188" s="341" t="str">
        <f>IF(A5188="","",VLOOKUP(A5188,VII.A!$A$10:$D$199,4,FALSE))</f>
        <v/>
      </c>
      <c r="I5188" s="341" t="str">
        <f t="shared" si="1332"/>
        <v/>
      </c>
      <c r="J5188" s="341" t="str">
        <f>IF(A5188="","",VLOOKUP(A5188,VII.A!$A$10:$D$199,3,FALSE))</f>
        <v/>
      </c>
      <c r="K5188" s="342" t="str">
        <f t="shared" si="1333"/>
        <v/>
      </c>
      <c r="L5188" s="380" t="str">
        <f>IF(C5188="","",G5147*C5188)</f>
        <v/>
      </c>
      <c r="M5188" s="381" t="str">
        <f>IF(A5188="","",VLOOKUP(A5188,VII.A!$A$10:$B$199,2,FALSE))</f>
        <v/>
      </c>
      <c r="N5188" s="342" t="str">
        <f t="shared" si="1334"/>
        <v/>
      </c>
      <c r="R5188" s="341"/>
      <c r="S5188" s="341"/>
    </row>
    <row r="5189" spans="1:25" ht="12.75" customHeight="1">
      <c r="A5189" s="393"/>
      <c r="C5189" s="20"/>
      <c r="E5189" s="387"/>
      <c r="F5189" s="388">
        <f t="shared" si="1331"/>
        <v>0</v>
      </c>
      <c r="H5189" s="341" t="str">
        <f>IF(A5189="","",VLOOKUP(A5189,VII.A!$A$10:$D$199,4,FALSE))</f>
        <v/>
      </c>
      <c r="I5189" s="341" t="str">
        <f t="shared" si="1332"/>
        <v/>
      </c>
      <c r="J5189" s="341" t="str">
        <f>IF(A5189="","",VLOOKUP(A5189,VII.A!$A$10:$D$199,3,FALSE))</f>
        <v/>
      </c>
      <c r="K5189" s="342" t="str">
        <f t="shared" si="1333"/>
        <v/>
      </c>
      <c r="L5189" s="380" t="str">
        <f>IF(C5189="","",G5147*C5189)</f>
        <v/>
      </c>
      <c r="M5189" s="381" t="str">
        <f>IF(A5189="","",VLOOKUP(A5189,VII.A!$A$10:$B$199,2,FALSE))</f>
        <v/>
      </c>
      <c r="N5189" s="342" t="str">
        <f t="shared" si="1334"/>
        <v/>
      </c>
      <c r="R5189" s="341"/>
      <c r="S5189" s="341"/>
    </row>
    <row r="5190" spans="1:25" ht="12.75" customHeight="1">
      <c r="A5190" s="393"/>
      <c r="B5190" s="395" t="s">
        <v>226</v>
      </c>
      <c r="C5190" s="396"/>
      <c r="D5190" s="397"/>
      <c r="E5190" s="398"/>
      <c r="F5190" s="399">
        <f>SUM(F5183:F5189)</f>
        <v>0</v>
      </c>
      <c r="J5190" s="341"/>
      <c r="L5190" s="380"/>
      <c r="M5190" s="381"/>
      <c r="N5190" s="342"/>
      <c r="R5190" s="341"/>
      <c r="S5190" s="341"/>
    </row>
    <row r="5191" spans="1:25" ht="12.75" customHeight="1">
      <c r="A5191" s="393"/>
      <c r="B5191" s="400" t="s">
        <v>229</v>
      </c>
      <c r="C5191" s="2">
        <f>IX.A!$C$45</f>
        <v>0</v>
      </c>
      <c r="D5191" s="401"/>
      <c r="E5191" s="402"/>
      <c r="F5191" s="403">
        <f>ROUND(F5190*C5191,2)</f>
        <v>0</v>
      </c>
      <c r="J5191" s="341"/>
      <c r="L5191" s="380"/>
      <c r="M5191" s="381"/>
      <c r="N5191" s="342"/>
      <c r="R5191" s="341"/>
      <c r="S5191" s="341"/>
    </row>
    <row r="5192" spans="1:25" ht="12.75" customHeight="1">
      <c r="A5192" s="393"/>
      <c r="B5192" s="400" t="s">
        <v>53</v>
      </c>
      <c r="C5192" s="2">
        <f>$D$8</f>
        <v>0</v>
      </c>
      <c r="D5192" s="401"/>
      <c r="E5192" s="402"/>
      <c r="F5192" s="403">
        <f>ROUND(SUM(F5190:F5191)*C5192,2)</f>
        <v>0</v>
      </c>
      <c r="J5192" s="341"/>
      <c r="L5192" s="380"/>
      <c r="M5192" s="381"/>
      <c r="N5192" s="342"/>
      <c r="R5192" s="341"/>
      <c r="S5192" s="341"/>
    </row>
    <row r="5193" spans="1:25" ht="12.75" customHeight="1" thickBot="1">
      <c r="A5193" s="414"/>
      <c r="B5193" s="415" t="s">
        <v>230</v>
      </c>
      <c r="C5193" s="416"/>
      <c r="D5193" s="416"/>
      <c r="E5193" s="417"/>
      <c r="F5193" s="418">
        <f>SUM(F5190:F5192)</f>
        <v>0</v>
      </c>
      <c r="J5193" s="341"/>
      <c r="L5193" s="380"/>
      <c r="M5193" s="381"/>
      <c r="N5193" s="342"/>
      <c r="R5193" s="341"/>
      <c r="S5193" s="341"/>
    </row>
    <row r="5194" spans="1:25" ht="12.75" customHeight="1" thickBot="1">
      <c r="A5194" s="357"/>
      <c r="B5194" s="358"/>
      <c r="C5194" s="359"/>
      <c r="D5194" s="359"/>
      <c r="E5194" s="360"/>
      <c r="F5194" s="419"/>
      <c r="J5194" s="341"/>
      <c r="L5194" s="380"/>
      <c r="M5194" s="381"/>
      <c r="N5194" s="342"/>
      <c r="R5194" s="341"/>
      <c r="S5194" s="341"/>
    </row>
    <row r="5195" spans="1:25" ht="30" customHeight="1">
      <c r="A5195" s="370" t="str">
        <f>IV.A!A157</f>
        <v>7.1</v>
      </c>
      <c r="B5195" s="371" t="str">
        <f>IV.A!B157</f>
        <v>FORNECIMENTO E INSTALAÇÃO DE LONA PLASTICA PRETA PARA IMPERMEABILIZAÇÃO</v>
      </c>
      <c r="C5195" s="871" t="s">
        <v>237</v>
      </c>
      <c r="D5195" s="872"/>
      <c r="E5195" s="372" t="str">
        <f>IV.A!C157</f>
        <v>M2</v>
      </c>
      <c r="F5195" s="11">
        <f>ROUND(F5215+F5229+F5241,2)</f>
        <v>0</v>
      </c>
      <c r="G5195" s="1">
        <f>VLOOKUP(A5195,IV.A!$A$16:$L$172,4,FALSE)</f>
        <v>150</v>
      </c>
      <c r="H5195" s="361">
        <f>SUM(F5197:F5212)+F5214</f>
        <v>0</v>
      </c>
      <c r="I5195" s="361">
        <f>SUM(F5217:F5226)+F5228</f>
        <v>0</v>
      </c>
      <c r="J5195" s="361">
        <f>SUM(F5231:F5237)+F5239+F5240</f>
        <v>0</v>
      </c>
      <c r="K5195" s="361">
        <f>SUM(H5195:J5195)</f>
        <v>0</v>
      </c>
      <c r="L5195" s="362" t="str">
        <f>IF(K5195=F5195,"SIM","NÃO")</f>
        <v>SIM</v>
      </c>
      <c r="M5195" s="373">
        <f>ROUND(SUM(F5197:F5212),2)+ROUND(SUM(F5197:F5212)*C5214,2)+ROUND(SUM(F5217:F5226)*C5228,2)+ROUND(SUM(F5217:F5226),2)+ROUND(SUM(F5231:F5237)*C5239,2)+ROUND((SUM(F5231:F5237)+ROUND(SUM(F5231:F5237)*C5239,2))*C5240,2)+ROUND(SUM(F5231:F5237),2)</f>
        <v>0</v>
      </c>
      <c r="N5195" s="343" t="str">
        <f>IF(M5195=F5195,"SIM","NÃO")</f>
        <v>SIM</v>
      </c>
      <c r="O5195" s="364" t="str">
        <f>VLOOKUP(A5195,IV.A!$A$16:$E$172,3,FALSE)</f>
        <v>M2</v>
      </c>
      <c r="P5195" s="344" t="str">
        <f>IF(O5195=E5195,"SIM","NÃO")</f>
        <v>SIM</v>
      </c>
      <c r="Q5195" s="365">
        <f>ROUND(G5195*F5215,2)+ROUND(G5195*F5229,2)+ROUND(G5195*F5241,2)</f>
        <v>0</v>
      </c>
      <c r="R5195" s="364">
        <f>VLOOKUP(A5195,IV.A!$A$16:$L$172,12,FALSE)</f>
        <v>0</v>
      </c>
      <c r="S5195" s="366" t="str">
        <f>IF(Q5195=R5195,"si","no")</f>
        <v>si</v>
      </c>
      <c r="T5195" s="367">
        <f>SUM(L5197:L5212)+SUM(L5217:L5226)+SUM(L5231:L5237)</f>
        <v>195</v>
      </c>
      <c r="U5195" s="341">
        <f>(SUM(C5197:C5212)+SUM(C5217:C5226)+SUM(C5231:C5237))*G5195</f>
        <v>195</v>
      </c>
      <c r="V5195" s="368" t="str">
        <f>IF(T5195=U5195,"si","no")</f>
        <v>si</v>
      </c>
      <c r="W5195" s="369">
        <f>SUM(F5197:F5212)</f>
        <v>0</v>
      </c>
      <c r="X5195" s="369">
        <f>SUM(F5217:F5226)</f>
        <v>0</v>
      </c>
      <c r="Y5195" s="369">
        <f>SUM(F5231:F5237)</f>
        <v>0</v>
      </c>
    </row>
    <row r="5196" spans="1:25" ht="12.75" customHeight="1">
      <c r="A5196" s="374" t="s">
        <v>14</v>
      </c>
      <c r="B5196" s="375" t="s">
        <v>132</v>
      </c>
      <c r="C5196" s="376" t="s">
        <v>231</v>
      </c>
      <c r="D5196" s="376" t="s">
        <v>232</v>
      </c>
      <c r="E5196" s="377" t="s">
        <v>233</v>
      </c>
      <c r="F5196" s="378" t="s">
        <v>234</v>
      </c>
      <c r="G5196" s="379"/>
      <c r="J5196" s="341"/>
      <c r="L5196" s="380"/>
      <c r="M5196" s="381"/>
      <c r="N5196" s="342"/>
      <c r="O5196" s="382"/>
      <c r="P5196" s="383"/>
      <c r="Q5196" s="383"/>
      <c r="R5196" s="383"/>
      <c r="S5196" s="383"/>
      <c r="T5196" s="382"/>
      <c r="U5196" s="341"/>
      <c r="V5196" s="384"/>
      <c r="W5196" s="384"/>
      <c r="X5196" s="384"/>
      <c r="Y5196" s="384"/>
    </row>
    <row r="5197" spans="1:25" ht="12.75" customHeight="1">
      <c r="A5197" s="385" t="str">
        <f>VII.A!$A$70</f>
        <v>1.61</v>
      </c>
      <c r="B5197" s="386" t="str">
        <f>VII.A!B70</f>
        <v>LONA PLASTICA PRETA, E= 150 MICRA</v>
      </c>
      <c r="C5197" s="20">
        <v>1.1000000000000001</v>
      </c>
      <c r="D5197" s="342" t="str">
        <f>VII.A!C70</f>
        <v>M2</v>
      </c>
      <c r="E5197" s="387">
        <f>VII.A!D70</f>
        <v>0</v>
      </c>
      <c r="F5197" s="388">
        <f>ROUND(C5197*E5197,2)</f>
        <v>0</v>
      </c>
      <c r="H5197" s="341">
        <f>IF(A5197="","",VLOOKUP(A5197,VII.A!$A$10:$D$199,4,FALSE))</f>
        <v>0</v>
      </c>
      <c r="I5197" s="341" t="str">
        <f t="shared" ref="I5197:I5212" si="1335">IF(A5197="","",IF(E5197=H5197,"SIM","NÃO"))</f>
        <v>SIM</v>
      </c>
      <c r="J5197" s="341" t="str">
        <f>IF(A5197="","",VLOOKUP(A5197,VII.A!$A$10:$D$199,3,FALSE))</f>
        <v>M2</v>
      </c>
      <c r="K5197" s="342" t="str">
        <f t="shared" ref="K5197:K5212" si="1336">IF(A5197="","",IF(J5197=D5197,"SIM","NÃO"))</f>
        <v>SIM</v>
      </c>
      <c r="L5197" s="380">
        <f>IF(C5197="","",G5195*C5197)</f>
        <v>165</v>
      </c>
      <c r="M5197" s="381" t="str">
        <f>IF(A5197="","",VLOOKUP(A5197,VII.A!$A$10:$B$199,2,FALSE))</f>
        <v>LONA PLASTICA PRETA, E= 150 MICRA</v>
      </c>
      <c r="N5197" s="342" t="str">
        <f t="shared" ref="N5197:N5212" si="1337">IF(B5197="","",IF(M5197=B5197,"si","no"))</f>
        <v>si</v>
      </c>
      <c r="R5197" s="341"/>
      <c r="S5197" s="341"/>
    </row>
    <row r="5198" spans="1:25" ht="12.75" customHeight="1">
      <c r="A5198" s="385"/>
      <c r="B5198" s="386"/>
      <c r="C5198" s="20"/>
      <c r="D5198" s="342"/>
      <c r="E5198" s="387"/>
      <c r="F5198" s="388">
        <f t="shared" ref="F5198:F5212" si="1338">ROUND(C5198*E5198,2)</f>
        <v>0</v>
      </c>
      <c r="H5198" s="341" t="str">
        <f>IF(A5198="","",VLOOKUP(A5198,VII.A!$A$10:$D$199,4,FALSE))</f>
        <v/>
      </c>
      <c r="I5198" s="341" t="str">
        <f t="shared" si="1335"/>
        <v/>
      </c>
      <c r="J5198" s="341" t="str">
        <f>IF(A5198="","",VLOOKUP(A5198,VII.A!$A$10:$D$199,3,FALSE))</f>
        <v/>
      </c>
      <c r="K5198" s="342" t="str">
        <f t="shared" si="1336"/>
        <v/>
      </c>
      <c r="L5198" s="380" t="str">
        <f>IF(C5198="","",G5195*C5198)</f>
        <v/>
      </c>
      <c r="M5198" s="381" t="str">
        <f>IF(A5198="","",VLOOKUP(A5198,VII.A!$A$10:$B$199,2,FALSE))</f>
        <v/>
      </c>
      <c r="N5198" s="342" t="str">
        <f t="shared" si="1337"/>
        <v/>
      </c>
      <c r="R5198" s="341"/>
      <c r="S5198" s="341"/>
    </row>
    <row r="5199" spans="1:25" ht="12.75" customHeight="1">
      <c r="A5199" s="385"/>
      <c r="B5199" s="386"/>
      <c r="C5199" s="20"/>
      <c r="D5199" s="342"/>
      <c r="E5199" s="387"/>
      <c r="F5199" s="388">
        <f t="shared" si="1338"/>
        <v>0</v>
      </c>
      <c r="H5199" s="341" t="str">
        <f>IF(A5199="","",VLOOKUP(A5199,VII.A!$A$10:$D$199,4,FALSE))</f>
        <v/>
      </c>
      <c r="I5199" s="341" t="str">
        <f t="shared" si="1335"/>
        <v/>
      </c>
      <c r="J5199" s="341" t="str">
        <f>IF(A5199="","",VLOOKUP(A5199,VII.A!$A$10:$D$199,3,FALSE))</f>
        <v/>
      </c>
      <c r="K5199" s="342" t="str">
        <f t="shared" si="1336"/>
        <v/>
      </c>
      <c r="L5199" s="380" t="str">
        <f>IF(C5199="","",G5195*C5199)</f>
        <v/>
      </c>
      <c r="M5199" s="381" t="str">
        <f>IF(A5199="","",VLOOKUP(A5199,VII.A!$A$10:$B$199,2,FALSE))</f>
        <v/>
      </c>
      <c r="N5199" s="342" t="str">
        <f t="shared" si="1337"/>
        <v/>
      </c>
      <c r="R5199" s="341"/>
      <c r="S5199" s="341"/>
    </row>
    <row r="5200" spans="1:25" ht="12.75" customHeight="1">
      <c r="A5200" s="385"/>
      <c r="B5200" s="386"/>
      <c r="C5200" s="20"/>
      <c r="D5200" s="342"/>
      <c r="E5200" s="387"/>
      <c r="F5200" s="388">
        <f t="shared" si="1338"/>
        <v>0</v>
      </c>
      <c r="H5200" s="341" t="str">
        <f>IF(A5200="","",VLOOKUP(A5200,VII.A!$A$10:$D$199,4,FALSE))</f>
        <v/>
      </c>
      <c r="I5200" s="341" t="str">
        <f t="shared" si="1335"/>
        <v/>
      </c>
      <c r="J5200" s="341" t="str">
        <f>IF(A5200="","",VLOOKUP(A5200,VII.A!$A$10:$D$199,3,FALSE))</f>
        <v/>
      </c>
      <c r="K5200" s="342" t="str">
        <f t="shared" si="1336"/>
        <v/>
      </c>
      <c r="L5200" s="380" t="str">
        <f>IF(C5200="","",G5195*C5200)</f>
        <v/>
      </c>
      <c r="M5200" s="381" t="str">
        <f>IF(A5200="","",VLOOKUP(A5200,VII.A!$A$10:$B$199,2,FALSE))</f>
        <v/>
      </c>
      <c r="N5200" s="342" t="str">
        <f t="shared" si="1337"/>
        <v/>
      </c>
      <c r="R5200" s="341"/>
      <c r="S5200" s="341"/>
    </row>
    <row r="5201" spans="1:21" ht="12.75" customHeight="1">
      <c r="A5201" s="385"/>
      <c r="B5201" s="386"/>
      <c r="C5201" s="20"/>
      <c r="D5201" s="342"/>
      <c r="E5201" s="387"/>
      <c r="F5201" s="388">
        <f t="shared" si="1338"/>
        <v>0</v>
      </c>
      <c r="H5201" s="341" t="str">
        <f>IF(A5201="","",VLOOKUP(A5201,VII.A!$A$10:$D$199,4,FALSE))</f>
        <v/>
      </c>
      <c r="I5201" s="341" t="str">
        <f t="shared" si="1335"/>
        <v/>
      </c>
      <c r="J5201" s="341" t="str">
        <f>IF(A5201="","",VLOOKUP(A5201,VII.A!$A$10:$D$199,3,FALSE))</f>
        <v/>
      </c>
      <c r="K5201" s="342" t="str">
        <f t="shared" si="1336"/>
        <v/>
      </c>
      <c r="L5201" s="380" t="str">
        <f>IF(C5201="","",G5195*C5201)</f>
        <v/>
      </c>
      <c r="M5201" s="381" t="str">
        <f>IF(A5201="","",VLOOKUP(A5201,VII.A!$A$10:$B$199,2,FALSE))</f>
        <v/>
      </c>
      <c r="N5201" s="342" t="str">
        <f t="shared" si="1337"/>
        <v/>
      </c>
      <c r="R5201" s="341"/>
      <c r="S5201" s="341"/>
    </row>
    <row r="5202" spans="1:21" ht="12.75" customHeight="1">
      <c r="A5202" s="385"/>
      <c r="B5202" s="386"/>
      <c r="C5202" s="20"/>
      <c r="D5202" s="342"/>
      <c r="E5202" s="387"/>
      <c r="F5202" s="388">
        <f t="shared" si="1338"/>
        <v>0</v>
      </c>
      <c r="H5202" s="341" t="str">
        <f>IF(A5202="","",VLOOKUP(A5202,VII.A!$A$10:$D$199,4,FALSE))</f>
        <v/>
      </c>
      <c r="I5202" s="341" t="str">
        <f t="shared" si="1335"/>
        <v/>
      </c>
      <c r="J5202" s="341" t="str">
        <f>IF(A5202="","",VLOOKUP(A5202,VII.A!$A$10:$D$199,3,FALSE))</f>
        <v/>
      </c>
      <c r="K5202" s="342" t="str">
        <f t="shared" si="1336"/>
        <v/>
      </c>
      <c r="L5202" s="380" t="str">
        <f>IF(C5202="","",G5195*C5202)</f>
        <v/>
      </c>
      <c r="M5202" s="381" t="str">
        <f>IF(A5202="","",VLOOKUP(A5202,VII.A!$A$10:$B$199,2,FALSE))</f>
        <v/>
      </c>
      <c r="N5202" s="342" t="str">
        <f t="shared" si="1337"/>
        <v/>
      </c>
      <c r="R5202" s="341"/>
      <c r="S5202" s="341"/>
      <c r="U5202" s="389"/>
    </row>
    <row r="5203" spans="1:21" ht="12.75" customHeight="1">
      <c r="A5203" s="385"/>
      <c r="B5203" s="386"/>
      <c r="C5203" s="20"/>
      <c r="D5203" s="342"/>
      <c r="E5203" s="387"/>
      <c r="F5203" s="388">
        <f t="shared" si="1338"/>
        <v>0</v>
      </c>
      <c r="H5203" s="341" t="str">
        <f>IF(A5203="","",VLOOKUP(A5203,VII.A!$A$10:$D$199,4,FALSE))</f>
        <v/>
      </c>
      <c r="I5203" s="341" t="str">
        <f t="shared" si="1335"/>
        <v/>
      </c>
      <c r="J5203" s="341" t="str">
        <f>IF(A5203="","",VLOOKUP(A5203,VII.A!$A$10:$D$199,3,FALSE))</f>
        <v/>
      </c>
      <c r="K5203" s="342" t="str">
        <f t="shared" si="1336"/>
        <v/>
      </c>
      <c r="L5203" s="380" t="str">
        <f>IF(C5203="","",G5195*C5203)</f>
        <v/>
      </c>
      <c r="M5203" s="381" t="str">
        <f>IF(A5203="","",VLOOKUP(A5203,VII.A!$A$10:$B$199,2,FALSE))</f>
        <v/>
      </c>
      <c r="N5203" s="342" t="str">
        <f t="shared" si="1337"/>
        <v/>
      </c>
      <c r="R5203" s="341"/>
      <c r="S5203" s="341"/>
    </row>
    <row r="5204" spans="1:21" ht="12.75" customHeight="1">
      <c r="A5204" s="385"/>
      <c r="B5204" s="386"/>
      <c r="C5204" s="20"/>
      <c r="D5204" s="342"/>
      <c r="E5204" s="387"/>
      <c r="F5204" s="388">
        <f t="shared" si="1338"/>
        <v>0</v>
      </c>
      <c r="G5204" s="390"/>
      <c r="H5204" s="341" t="str">
        <f>IF(A5204="","",VLOOKUP(A5204,VII.A!$A$10:$D$199,4,FALSE))</f>
        <v/>
      </c>
      <c r="I5204" s="341" t="str">
        <f t="shared" si="1335"/>
        <v/>
      </c>
      <c r="J5204" s="341" t="str">
        <f>IF(A5204="","",VLOOKUP(A5204,VII.A!$A$10:$D$199,3,FALSE))</f>
        <v/>
      </c>
      <c r="K5204" s="342" t="str">
        <f t="shared" si="1336"/>
        <v/>
      </c>
      <c r="L5204" s="380" t="str">
        <f>IF(C5204="","",G5195*C5204)</f>
        <v/>
      </c>
      <c r="M5204" s="381" t="str">
        <f>IF(A5204="","",VLOOKUP(A5204,VII.A!$A$10:$B$199,2,FALSE))</f>
        <v/>
      </c>
      <c r="N5204" s="342" t="str">
        <f t="shared" si="1337"/>
        <v/>
      </c>
      <c r="R5204" s="341"/>
      <c r="S5204" s="341"/>
    </row>
    <row r="5205" spans="1:21" ht="12.75" customHeight="1">
      <c r="A5205" s="385"/>
      <c r="B5205" s="386"/>
      <c r="C5205" s="20"/>
      <c r="D5205" s="342"/>
      <c r="E5205" s="387"/>
      <c r="F5205" s="388">
        <f t="shared" si="1338"/>
        <v>0</v>
      </c>
      <c r="G5205" s="390"/>
      <c r="H5205" s="341" t="str">
        <f>IF(A5205="","",VLOOKUP(A5205,VII.A!$A$10:$D$199,4,FALSE))</f>
        <v/>
      </c>
      <c r="I5205" s="341" t="str">
        <f t="shared" si="1335"/>
        <v/>
      </c>
      <c r="J5205" s="341" t="str">
        <f>IF(A5205="","",VLOOKUP(A5205,VII.A!$A$10:$D$199,3,FALSE))</f>
        <v/>
      </c>
      <c r="K5205" s="342" t="str">
        <f t="shared" si="1336"/>
        <v/>
      </c>
      <c r="L5205" s="380" t="str">
        <f>IF(C5205="","",G5195*C5205)</f>
        <v/>
      </c>
      <c r="M5205" s="381" t="str">
        <f>IF(A5205="","",VLOOKUP(A5205,VII.A!$A$10:$B$199,2,FALSE))</f>
        <v/>
      </c>
      <c r="N5205" s="342" t="str">
        <f t="shared" si="1337"/>
        <v/>
      </c>
      <c r="R5205" s="341"/>
      <c r="S5205" s="341"/>
    </row>
    <row r="5206" spans="1:21" ht="12.75" customHeight="1">
      <c r="A5206" s="385"/>
      <c r="B5206" s="386"/>
      <c r="C5206" s="20"/>
      <c r="D5206" s="342"/>
      <c r="E5206" s="387"/>
      <c r="F5206" s="388">
        <f t="shared" si="1338"/>
        <v>0</v>
      </c>
      <c r="G5206" s="391"/>
      <c r="H5206" s="341" t="str">
        <f>IF(A5206="","",VLOOKUP(A5206,VII.A!$A$10:$D$199,4,FALSE))</f>
        <v/>
      </c>
      <c r="I5206" s="341" t="str">
        <f t="shared" si="1335"/>
        <v/>
      </c>
      <c r="J5206" s="341" t="str">
        <f>IF(A5206="","",VLOOKUP(A5206,VII.A!$A$10:$D$199,3,FALSE))</f>
        <v/>
      </c>
      <c r="K5206" s="342" t="str">
        <f t="shared" si="1336"/>
        <v/>
      </c>
      <c r="L5206" s="380" t="str">
        <f>IF(C5206="","",G5195*C5206)</f>
        <v/>
      </c>
      <c r="M5206" s="381" t="str">
        <f>IF(A5206="","",VLOOKUP(A5206,VII.A!$A$10:$B$199,2,FALSE))</f>
        <v/>
      </c>
      <c r="N5206" s="342" t="str">
        <f t="shared" si="1337"/>
        <v/>
      </c>
      <c r="R5206" s="341"/>
      <c r="S5206" s="341"/>
    </row>
    <row r="5207" spans="1:21" ht="12.75" customHeight="1">
      <c r="A5207" s="385"/>
      <c r="B5207" s="386"/>
      <c r="C5207" s="20"/>
      <c r="D5207" s="342"/>
      <c r="E5207" s="387"/>
      <c r="F5207" s="388">
        <f t="shared" si="1338"/>
        <v>0</v>
      </c>
      <c r="H5207" s="341" t="str">
        <f>IF(A5207="","",VLOOKUP(A5207,VII.A!$A$10:$D$199,4,FALSE))</f>
        <v/>
      </c>
      <c r="I5207" s="341" t="str">
        <f t="shared" si="1335"/>
        <v/>
      </c>
      <c r="J5207" s="341" t="str">
        <f>IF(A5207="","",VLOOKUP(A5207,VII.A!$A$10:$D$199,3,FALSE))</f>
        <v/>
      </c>
      <c r="K5207" s="342" t="str">
        <f t="shared" si="1336"/>
        <v/>
      </c>
      <c r="L5207" s="380" t="str">
        <f>IF(C5207="","",G5195*C5207)</f>
        <v/>
      </c>
      <c r="M5207" s="381" t="str">
        <f>IF(A5207="","",VLOOKUP(A5207,VII.A!$A$10:$B$199,2,FALSE))</f>
        <v/>
      </c>
      <c r="N5207" s="342" t="str">
        <f t="shared" si="1337"/>
        <v/>
      </c>
      <c r="R5207" s="341"/>
      <c r="S5207" s="341"/>
    </row>
    <row r="5208" spans="1:21" ht="12.75" customHeight="1">
      <c r="A5208" s="385"/>
      <c r="B5208" s="386"/>
      <c r="C5208" s="20"/>
      <c r="D5208" s="392"/>
      <c r="E5208" s="387"/>
      <c r="F5208" s="388">
        <f t="shared" si="1338"/>
        <v>0</v>
      </c>
      <c r="H5208" s="341" t="str">
        <f>IF(A5208="","",VLOOKUP(A5208,VII.A!$A$10:$D$199,4,FALSE))</f>
        <v/>
      </c>
      <c r="I5208" s="341" t="str">
        <f t="shared" si="1335"/>
        <v/>
      </c>
      <c r="J5208" s="341" t="str">
        <f>IF(A5208="","",VLOOKUP(A5208,VII.A!$A$10:$D$199,3,FALSE))</f>
        <v/>
      </c>
      <c r="K5208" s="342" t="str">
        <f t="shared" si="1336"/>
        <v/>
      </c>
      <c r="L5208" s="380" t="str">
        <f>IF(C5208="","",G5195*C5208)</f>
        <v/>
      </c>
      <c r="M5208" s="381" t="str">
        <f>IF(A5208="","",VLOOKUP(A5208,VII.A!$A$10:$B$199,2,FALSE))</f>
        <v/>
      </c>
      <c r="N5208" s="342" t="str">
        <f t="shared" si="1337"/>
        <v/>
      </c>
      <c r="R5208" s="341"/>
      <c r="S5208" s="341"/>
    </row>
    <row r="5209" spans="1:21" ht="12.75" customHeight="1">
      <c r="A5209" s="385"/>
      <c r="B5209" s="386"/>
      <c r="C5209" s="20"/>
      <c r="D5209" s="392"/>
      <c r="E5209" s="387"/>
      <c r="F5209" s="388">
        <f t="shared" si="1338"/>
        <v>0</v>
      </c>
      <c r="H5209" s="341" t="str">
        <f>IF(A5209="","",VLOOKUP(A5209,VII.A!$A$10:$D$199,4,FALSE))</f>
        <v/>
      </c>
      <c r="I5209" s="341" t="str">
        <f t="shared" si="1335"/>
        <v/>
      </c>
      <c r="J5209" s="341" t="str">
        <f>IF(A5209="","",VLOOKUP(A5209,VII.A!$A$10:$D$199,3,FALSE))</f>
        <v/>
      </c>
      <c r="K5209" s="342" t="str">
        <f t="shared" si="1336"/>
        <v/>
      </c>
      <c r="L5209" s="380" t="str">
        <f>IF(C5209="","",G5195*C5209)</f>
        <v/>
      </c>
      <c r="M5209" s="381" t="str">
        <f>IF(A5209="","",VLOOKUP(A5209,VII.A!$A$10:$B$199,2,FALSE))</f>
        <v/>
      </c>
      <c r="N5209" s="342" t="str">
        <f t="shared" si="1337"/>
        <v/>
      </c>
      <c r="O5209" s="342"/>
      <c r="R5209" s="341"/>
      <c r="S5209" s="341"/>
    </row>
    <row r="5210" spans="1:21" ht="12.75" customHeight="1">
      <c r="A5210" s="385"/>
      <c r="B5210" s="386"/>
      <c r="C5210" s="20"/>
      <c r="D5210" s="392"/>
      <c r="E5210" s="387"/>
      <c r="F5210" s="388">
        <f t="shared" si="1338"/>
        <v>0</v>
      </c>
      <c r="H5210" s="341" t="str">
        <f>IF(A5210="","",VLOOKUP(A5210,VII.A!$A$10:$D$199,4,FALSE))</f>
        <v/>
      </c>
      <c r="I5210" s="341" t="str">
        <f t="shared" si="1335"/>
        <v/>
      </c>
      <c r="J5210" s="341" t="str">
        <f>IF(A5210="","",VLOOKUP(A5210,VII.A!$A$10:$D$199,3,FALSE))</f>
        <v/>
      </c>
      <c r="K5210" s="342" t="str">
        <f t="shared" si="1336"/>
        <v/>
      </c>
      <c r="L5210" s="380" t="str">
        <f>IF(C5210="","",G5195*C5210)</f>
        <v/>
      </c>
      <c r="M5210" s="381" t="str">
        <f>IF(A5210="","",VLOOKUP(A5210,VII.A!$A$10:$B$199,2,FALSE))</f>
        <v/>
      </c>
      <c r="N5210" s="342" t="str">
        <f t="shared" si="1337"/>
        <v/>
      </c>
      <c r="R5210" s="341"/>
      <c r="S5210" s="341"/>
    </row>
    <row r="5211" spans="1:21" ht="12.75" customHeight="1">
      <c r="A5211" s="393"/>
      <c r="C5211" s="20"/>
      <c r="E5211" s="387"/>
      <c r="F5211" s="388">
        <f t="shared" si="1338"/>
        <v>0</v>
      </c>
      <c r="H5211" s="341" t="str">
        <f>IF(A5211="","",VLOOKUP(A5211,VII.A!$A$10:$D$199,4,FALSE))</f>
        <v/>
      </c>
      <c r="I5211" s="341" t="str">
        <f t="shared" si="1335"/>
        <v/>
      </c>
      <c r="J5211" s="341" t="str">
        <f>IF(A5211="","",VLOOKUP(A5211,VII.A!$A$10:$D$199,3,FALSE))</f>
        <v/>
      </c>
      <c r="K5211" s="342" t="str">
        <f t="shared" si="1336"/>
        <v/>
      </c>
      <c r="L5211" s="380" t="str">
        <f>IF(C5211="","",G5195*C5211)</f>
        <v/>
      </c>
      <c r="M5211" s="381" t="str">
        <f>IF(A5211="","",VLOOKUP(A5211,VII.A!$A$10:$B$199,2,FALSE))</f>
        <v/>
      </c>
      <c r="N5211" s="342" t="str">
        <f t="shared" si="1337"/>
        <v/>
      </c>
      <c r="R5211" s="341"/>
      <c r="S5211" s="341"/>
    </row>
    <row r="5212" spans="1:21" ht="12.75" customHeight="1">
      <c r="A5212" s="393"/>
      <c r="C5212" s="20"/>
      <c r="E5212" s="387"/>
      <c r="F5212" s="388">
        <f t="shared" si="1338"/>
        <v>0</v>
      </c>
      <c r="H5212" s="341" t="str">
        <f>IF(A5212="","",VLOOKUP(A5212,VII.A!$A$10:$D$199,4,FALSE))</f>
        <v/>
      </c>
      <c r="I5212" s="341" t="str">
        <f t="shared" si="1335"/>
        <v/>
      </c>
      <c r="J5212" s="341" t="str">
        <f>IF(A5212="","",VLOOKUP(A5212,VII.A!$A$10:$D$199,3,FALSE))</f>
        <v/>
      </c>
      <c r="K5212" s="342" t="str">
        <f t="shared" si="1336"/>
        <v/>
      </c>
      <c r="L5212" s="380" t="str">
        <f>IF(C5212="","",G5195*C5212)</f>
        <v/>
      </c>
      <c r="M5212" s="381" t="str">
        <f>IF(A5212="","",VLOOKUP(A5212,VII.A!$A$10:$B$199,2,FALSE))</f>
        <v/>
      </c>
      <c r="N5212" s="342" t="str">
        <f t="shared" si="1337"/>
        <v/>
      </c>
      <c r="R5212" s="341"/>
      <c r="S5212" s="341"/>
    </row>
    <row r="5213" spans="1:21" ht="12.75" customHeight="1">
      <c r="A5213" s="393"/>
      <c r="B5213" s="395" t="s">
        <v>226</v>
      </c>
      <c r="C5213" s="396"/>
      <c r="D5213" s="397"/>
      <c r="E5213" s="398"/>
      <c r="F5213" s="399">
        <f>SUM(F5197:F5212)</f>
        <v>0</v>
      </c>
      <c r="H5213" s="426" t="s">
        <v>454</v>
      </c>
      <c r="J5213" s="341"/>
      <c r="L5213" s="380"/>
      <c r="M5213" s="381"/>
      <c r="N5213" s="342"/>
      <c r="R5213" s="341"/>
      <c r="S5213" s="341"/>
    </row>
    <row r="5214" spans="1:21" ht="12.75" customHeight="1">
      <c r="A5214" s="393"/>
      <c r="B5214" s="400" t="s">
        <v>53</v>
      </c>
      <c r="C5214" s="2">
        <f>$D$8</f>
        <v>0</v>
      </c>
      <c r="D5214" s="401"/>
      <c r="E5214" s="402"/>
      <c r="F5214" s="403">
        <f>ROUND(F5213*C5214,2)</f>
        <v>0</v>
      </c>
      <c r="J5214" s="341"/>
      <c r="L5214" s="380"/>
      <c r="M5214" s="381"/>
      <c r="N5214" s="342"/>
      <c r="R5214" s="341"/>
      <c r="S5214" s="341"/>
    </row>
    <row r="5215" spans="1:21" ht="12.75" customHeight="1">
      <c r="A5215" s="404"/>
      <c r="B5215" s="405" t="s">
        <v>227</v>
      </c>
      <c r="C5215" s="406"/>
      <c r="D5215" s="406"/>
      <c r="E5215" s="407"/>
      <c r="F5215" s="408">
        <f>F5213+F5214</f>
        <v>0</v>
      </c>
      <c r="J5215" s="341"/>
      <c r="L5215" s="380"/>
      <c r="M5215" s="381"/>
      <c r="N5215" s="342"/>
      <c r="R5215" s="341"/>
      <c r="S5215" s="341"/>
    </row>
    <row r="5216" spans="1:21" ht="12.75" customHeight="1">
      <c r="A5216" s="374" t="s">
        <v>2</v>
      </c>
      <c r="B5216" s="375" t="s">
        <v>235</v>
      </c>
      <c r="C5216" s="376" t="s">
        <v>231</v>
      </c>
      <c r="D5216" s="376" t="s">
        <v>232</v>
      </c>
      <c r="E5216" s="377" t="s">
        <v>233</v>
      </c>
      <c r="F5216" s="378" t="s">
        <v>234</v>
      </c>
      <c r="J5216" s="341"/>
      <c r="L5216" s="380"/>
      <c r="M5216" s="381"/>
      <c r="N5216" s="342"/>
      <c r="R5216" s="341"/>
      <c r="S5216" s="341"/>
    </row>
    <row r="5217" spans="1:19" ht="12.75" customHeight="1">
      <c r="A5217" s="393"/>
      <c r="B5217" s="423"/>
      <c r="C5217" s="20"/>
      <c r="E5217" s="387"/>
      <c r="F5217" s="388">
        <f t="shared" ref="F5217:F5226" si="1339">ROUND(C5217*E5217,2)</f>
        <v>0</v>
      </c>
      <c r="H5217" s="341" t="str">
        <f>IF(A5217="","",VLOOKUP(A5217,VII.A!$A$10:$D$199,4,FALSE))</f>
        <v/>
      </c>
      <c r="I5217" s="341" t="str">
        <f t="shared" ref="I5217:I5226" si="1340">IF(A5217="","",IF(E5217=H5217,"SIM","NÃO"))</f>
        <v/>
      </c>
      <c r="J5217" s="341" t="str">
        <f>IF(A5217="","",VLOOKUP(A5217,VII.A!$A$10:$D$199,3,FALSE))</f>
        <v/>
      </c>
      <c r="K5217" s="342" t="str">
        <f t="shared" ref="K5217:K5226" si="1341">IF(A5217="","",IF(J5217=D5217,"SIM","NÃO"))</f>
        <v/>
      </c>
      <c r="L5217" s="380" t="str">
        <f>IF(C5217="","",G5195*C5217)</f>
        <v/>
      </c>
      <c r="M5217" s="381" t="str">
        <f>IF(A5217="","",VLOOKUP(A5217,VII.A!$A$10:$B$199,2,FALSE))</f>
        <v/>
      </c>
      <c r="N5217" s="342" t="str">
        <f t="shared" ref="N5217:N5226" si="1342">IF(B5217="","",IF(M5217=B5217,"si","no"))</f>
        <v/>
      </c>
      <c r="R5217" s="341"/>
      <c r="S5217" s="341"/>
    </row>
    <row r="5218" spans="1:19" ht="12.75" customHeight="1">
      <c r="A5218" s="393"/>
      <c r="C5218" s="20"/>
      <c r="E5218" s="387"/>
      <c r="F5218" s="388">
        <f t="shared" si="1339"/>
        <v>0</v>
      </c>
      <c r="H5218" s="341" t="str">
        <f>IF(A5218="","",VLOOKUP(A5218,VII.A!$A$10:$D$199,4,FALSE))</f>
        <v/>
      </c>
      <c r="I5218" s="341" t="str">
        <f t="shared" si="1340"/>
        <v/>
      </c>
      <c r="J5218" s="341" t="str">
        <f>IF(A5218="","",VLOOKUP(A5218,VII.A!$A$10:$D$199,3,FALSE))</f>
        <v/>
      </c>
      <c r="K5218" s="342" t="str">
        <f t="shared" si="1341"/>
        <v/>
      </c>
      <c r="L5218" s="380" t="str">
        <f>IF(C5218="","",G5195*C5218)</f>
        <v/>
      </c>
      <c r="M5218" s="381" t="str">
        <f>IF(A5218="","",VLOOKUP(A5218,VII.A!$A$10:$B$199,2,FALSE))</f>
        <v/>
      </c>
      <c r="N5218" s="342" t="str">
        <f t="shared" si="1342"/>
        <v/>
      </c>
      <c r="R5218" s="341"/>
      <c r="S5218" s="341"/>
    </row>
    <row r="5219" spans="1:19" ht="12.75" customHeight="1">
      <c r="A5219" s="393"/>
      <c r="C5219" s="20"/>
      <c r="E5219" s="387"/>
      <c r="F5219" s="388">
        <f t="shared" si="1339"/>
        <v>0</v>
      </c>
      <c r="H5219" s="341" t="str">
        <f>IF(A5219="","",VLOOKUP(A5219,VII.A!$A$10:$D$199,4,FALSE))</f>
        <v/>
      </c>
      <c r="I5219" s="341" t="str">
        <f t="shared" si="1340"/>
        <v/>
      </c>
      <c r="J5219" s="341" t="str">
        <f>IF(A5219="","",VLOOKUP(A5219,VII.A!$A$10:$D$199,3,FALSE))</f>
        <v/>
      </c>
      <c r="K5219" s="342" t="str">
        <f t="shared" si="1341"/>
        <v/>
      </c>
      <c r="L5219" s="380" t="str">
        <f>IF(C5219="","",G5195*C5219)</f>
        <v/>
      </c>
      <c r="M5219" s="381" t="str">
        <f>IF(A5219="","",VLOOKUP(A5219,VII.A!$A$10:$B$199,2,FALSE))</f>
        <v/>
      </c>
      <c r="N5219" s="342" t="str">
        <f t="shared" si="1342"/>
        <v/>
      </c>
      <c r="R5219" s="341"/>
      <c r="S5219" s="341"/>
    </row>
    <row r="5220" spans="1:19" ht="12.75" customHeight="1">
      <c r="A5220" s="393"/>
      <c r="C5220" s="20"/>
      <c r="E5220" s="387"/>
      <c r="F5220" s="388">
        <f t="shared" si="1339"/>
        <v>0</v>
      </c>
      <c r="H5220" s="341" t="str">
        <f>IF(A5220="","",VLOOKUP(A5220,VII.A!$A$10:$D$199,4,FALSE))</f>
        <v/>
      </c>
      <c r="I5220" s="341" t="str">
        <f t="shared" si="1340"/>
        <v/>
      </c>
      <c r="J5220" s="341" t="str">
        <f>IF(A5220="","",VLOOKUP(A5220,VII.A!$A$10:$D$199,3,FALSE))</f>
        <v/>
      </c>
      <c r="K5220" s="342" t="str">
        <f t="shared" si="1341"/>
        <v/>
      </c>
      <c r="L5220" s="380" t="str">
        <f>IF(C5220="","",G5195*C5220)</f>
        <v/>
      </c>
      <c r="M5220" s="381" t="str">
        <f>IF(A5220="","",VLOOKUP(A5220,VII.A!$A$10:$B$199,2,FALSE))</f>
        <v/>
      </c>
      <c r="N5220" s="342" t="str">
        <f t="shared" si="1342"/>
        <v/>
      </c>
      <c r="R5220" s="341"/>
      <c r="S5220" s="341"/>
    </row>
    <row r="5221" spans="1:19" ht="12.75" customHeight="1">
      <c r="A5221" s="393"/>
      <c r="C5221" s="20"/>
      <c r="E5221" s="387"/>
      <c r="F5221" s="388">
        <f t="shared" si="1339"/>
        <v>0</v>
      </c>
      <c r="G5221" s="390"/>
      <c r="H5221" s="341" t="str">
        <f>IF(A5221="","",VLOOKUP(A5221,VII.A!$A$10:$D$199,4,FALSE))</f>
        <v/>
      </c>
      <c r="I5221" s="341" t="str">
        <f t="shared" si="1340"/>
        <v/>
      </c>
      <c r="J5221" s="341" t="str">
        <f>IF(A5221="","",VLOOKUP(A5221,VII.A!$A$10:$D$199,3,FALSE))</f>
        <v/>
      </c>
      <c r="K5221" s="342" t="str">
        <f t="shared" si="1341"/>
        <v/>
      </c>
      <c r="L5221" s="380" t="str">
        <f>IF(C5221="","",G5195*C5221)</f>
        <v/>
      </c>
      <c r="M5221" s="381" t="str">
        <f>IF(A5221="","",VLOOKUP(A5221,VII.A!$A$10:$B$199,2,FALSE))</f>
        <v/>
      </c>
      <c r="N5221" s="342" t="str">
        <f t="shared" si="1342"/>
        <v/>
      </c>
      <c r="R5221" s="341"/>
      <c r="S5221" s="341"/>
    </row>
    <row r="5222" spans="1:19" ht="12.75" customHeight="1">
      <c r="A5222" s="393"/>
      <c r="C5222" s="20"/>
      <c r="E5222" s="387"/>
      <c r="F5222" s="388">
        <f t="shared" si="1339"/>
        <v>0</v>
      </c>
      <c r="G5222" s="391"/>
      <c r="H5222" s="341" t="str">
        <f>IF(A5222="","",VLOOKUP(A5222,VII.A!$A$10:$D$199,4,FALSE))</f>
        <v/>
      </c>
      <c r="I5222" s="341" t="str">
        <f t="shared" si="1340"/>
        <v/>
      </c>
      <c r="J5222" s="341" t="str">
        <f>IF(A5222="","",VLOOKUP(A5222,VII.A!$A$10:$D$199,3,FALSE))</f>
        <v/>
      </c>
      <c r="K5222" s="342" t="str">
        <f t="shared" si="1341"/>
        <v/>
      </c>
      <c r="L5222" s="380" t="str">
        <f>IF(C5222="","",G5195*C5222)</f>
        <v/>
      </c>
      <c r="M5222" s="381" t="str">
        <f>IF(A5222="","",VLOOKUP(A5222,VII.A!$A$10:$B$199,2,FALSE))</f>
        <v/>
      </c>
      <c r="N5222" s="342" t="str">
        <f t="shared" si="1342"/>
        <v/>
      </c>
      <c r="R5222" s="341"/>
      <c r="S5222" s="341"/>
    </row>
    <row r="5223" spans="1:19" ht="12.75" customHeight="1">
      <c r="A5223" s="393"/>
      <c r="C5223" s="20"/>
      <c r="E5223" s="387"/>
      <c r="F5223" s="388">
        <f t="shared" si="1339"/>
        <v>0</v>
      </c>
      <c r="H5223" s="341" t="str">
        <f>IF(A5223="","",VLOOKUP(A5223,VII.A!$A$10:$D$199,4,FALSE))</f>
        <v/>
      </c>
      <c r="I5223" s="341" t="str">
        <f t="shared" si="1340"/>
        <v/>
      </c>
      <c r="J5223" s="341" t="str">
        <f>IF(A5223="","",VLOOKUP(A5223,VII.A!$A$10:$D$199,3,FALSE))</f>
        <v/>
      </c>
      <c r="K5223" s="342" t="str">
        <f t="shared" si="1341"/>
        <v/>
      </c>
      <c r="L5223" s="380" t="str">
        <f>IF(C5223="","",G5195*C5223)</f>
        <v/>
      </c>
      <c r="M5223" s="381" t="str">
        <f>IF(A5223="","",VLOOKUP(A5223,VII.A!$A$10:$B$199,2,FALSE))</f>
        <v/>
      </c>
      <c r="N5223" s="342" t="str">
        <f t="shared" si="1342"/>
        <v/>
      </c>
      <c r="R5223" s="341"/>
      <c r="S5223" s="341"/>
    </row>
    <row r="5224" spans="1:19" ht="12.75" customHeight="1">
      <c r="A5224" s="393"/>
      <c r="C5224" s="20"/>
      <c r="E5224" s="387"/>
      <c r="F5224" s="388">
        <f t="shared" si="1339"/>
        <v>0</v>
      </c>
      <c r="H5224" s="341" t="str">
        <f>IF(A5224="","",VLOOKUP(A5224,VII.A!$A$10:$D$199,4,FALSE))</f>
        <v/>
      </c>
      <c r="I5224" s="341" t="str">
        <f t="shared" si="1340"/>
        <v/>
      </c>
      <c r="J5224" s="341" t="str">
        <f>IF(A5224="","",VLOOKUP(A5224,VII.A!$A$10:$D$199,3,FALSE))</f>
        <v/>
      </c>
      <c r="K5224" s="342" t="str">
        <f t="shared" si="1341"/>
        <v/>
      </c>
      <c r="L5224" s="380" t="str">
        <f>IF(C5224="","",G5195*C5224)</f>
        <v/>
      </c>
      <c r="M5224" s="381" t="str">
        <f>IF(A5224="","",VLOOKUP(A5224,VII.A!$A$10:$B$199,2,FALSE))</f>
        <v/>
      </c>
      <c r="N5224" s="342" t="str">
        <f t="shared" si="1342"/>
        <v/>
      </c>
      <c r="R5224" s="341"/>
      <c r="S5224" s="341"/>
    </row>
    <row r="5225" spans="1:19" ht="12.75" customHeight="1">
      <c r="A5225" s="393"/>
      <c r="C5225" s="20"/>
      <c r="E5225" s="387"/>
      <c r="F5225" s="388">
        <f t="shared" si="1339"/>
        <v>0</v>
      </c>
      <c r="H5225" s="341" t="str">
        <f>IF(A5225="","",VLOOKUP(A5225,VII.A!$A$10:$D$199,4,FALSE))</f>
        <v/>
      </c>
      <c r="I5225" s="341" t="str">
        <f t="shared" si="1340"/>
        <v/>
      </c>
      <c r="J5225" s="341" t="str">
        <f>IF(A5225="","",VLOOKUP(A5225,VII.A!$A$10:$D$199,3,FALSE))</f>
        <v/>
      </c>
      <c r="K5225" s="342" t="str">
        <f t="shared" si="1341"/>
        <v/>
      </c>
      <c r="L5225" s="380" t="str">
        <f>IF(C5225="","",G5195*C5225)</f>
        <v/>
      </c>
      <c r="M5225" s="381" t="str">
        <f>IF(A5225="","",VLOOKUP(A5225,VII.A!$A$10:$B$199,2,FALSE))</f>
        <v/>
      </c>
      <c r="N5225" s="342" t="str">
        <f t="shared" si="1342"/>
        <v/>
      </c>
      <c r="R5225" s="341"/>
      <c r="S5225" s="341"/>
    </row>
    <row r="5226" spans="1:19" ht="12.75" customHeight="1">
      <c r="A5226" s="393"/>
      <c r="C5226" s="20"/>
      <c r="E5226" s="387"/>
      <c r="F5226" s="388">
        <f t="shared" si="1339"/>
        <v>0</v>
      </c>
      <c r="H5226" s="341" t="str">
        <f>IF(A5226="","",VLOOKUP(A5226,VII.A!$A$10:$D$199,4,FALSE))</f>
        <v/>
      </c>
      <c r="I5226" s="341" t="str">
        <f t="shared" si="1340"/>
        <v/>
      </c>
      <c r="J5226" s="341" t="str">
        <f>IF(A5226="","",VLOOKUP(A5226,VII.A!$A$10:$D$199,3,FALSE))</f>
        <v/>
      </c>
      <c r="K5226" s="342" t="str">
        <f t="shared" si="1341"/>
        <v/>
      </c>
      <c r="L5226" s="380" t="str">
        <f>IF(C5226="","",G5195*C5226)</f>
        <v/>
      </c>
      <c r="M5226" s="381" t="str">
        <f>IF(A5226="","",VLOOKUP(A5226,VII.A!$A$10:$B$199,2,FALSE))</f>
        <v/>
      </c>
      <c r="N5226" s="342" t="str">
        <f t="shared" si="1342"/>
        <v/>
      </c>
      <c r="R5226" s="341"/>
      <c r="S5226" s="341"/>
    </row>
    <row r="5227" spans="1:19" ht="12.75" customHeight="1">
      <c r="A5227" s="393"/>
      <c r="B5227" s="395" t="s">
        <v>226</v>
      </c>
      <c r="C5227" s="396"/>
      <c r="D5227" s="397"/>
      <c r="E5227" s="398"/>
      <c r="F5227" s="399">
        <f>SUM(F5217:F5226)</f>
        <v>0</v>
      </c>
      <c r="J5227" s="341"/>
      <c r="L5227" s="380"/>
      <c r="M5227" s="381"/>
      <c r="N5227" s="342"/>
      <c r="R5227" s="341"/>
      <c r="S5227" s="341"/>
    </row>
    <row r="5228" spans="1:19" ht="12.75" customHeight="1">
      <c r="A5228" s="393"/>
      <c r="B5228" s="400" t="s">
        <v>53</v>
      </c>
      <c r="C5228" s="2">
        <f>$D$8</f>
        <v>0</v>
      </c>
      <c r="D5228" s="401"/>
      <c r="E5228" s="402"/>
      <c r="F5228" s="403">
        <f>ROUND(C5228*F5227,2)</f>
        <v>0</v>
      </c>
      <c r="J5228" s="341"/>
      <c r="L5228" s="380"/>
      <c r="M5228" s="381"/>
      <c r="N5228" s="342"/>
      <c r="R5228" s="341"/>
      <c r="S5228" s="341"/>
    </row>
    <row r="5229" spans="1:19" ht="12.75" customHeight="1">
      <c r="A5229" s="404"/>
      <c r="B5229" s="405" t="s">
        <v>228</v>
      </c>
      <c r="C5229" s="406"/>
      <c r="D5229" s="406"/>
      <c r="E5229" s="407"/>
      <c r="F5229" s="408">
        <f>F5227+F5228</f>
        <v>0</v>
      </c>
      <c r="J5229" s="341"/>
      <c r="L5229" s="380"/>
      <c r="M5229" s="381"/>
      <c r="N5229" s="342"/>
      <c r="R5229" s="341"/>
      <c r="S5229" s="341"/>
    </row>
    <row r="5230" spans="1:19" ht="12.75" customHeight="1">
      <c r="A5230" s="409" t="s">
        <v>47</v>
      </c>
      <c r="B5230" s="410" t="s">
        <v>236</v>
      </c>
      <c r="C5230" s="411" t="s">
        <v>231</v>
      </c>
      <c r="D5230" s="412" t="s">
        <v>232</v>
      </c>
      <c r="E5230" s="413" t="s">
        <v>233</v>
      </c>
      <c r="F5230" s="378" t="s">
        <v>234</v>
      </c>
      <c r="J5230" s="341"/>
      <c r="L5230" s="380"/>
      <c r="M5230" s="381"/>
      <c r="N5230" s="342"/>
      <c r="R5230" s="341"/>
      <c r="S5230" s="341"/>
    </row>
    <row r="5231" spans="1:19" ht="12.75" customHeight="1">
      <c r="A5231" s="393" t="str">
        <f>VII.A!$A$191</f>
        <v>3.11</v>
      </c>
      <c r="B5231" s="394" t="str">
        <f>VII.A!B191</f>
        <v>IMPERMEABILIZADOR COM ENCARGOS COMPLEMENTARES</v>
      </c>
      <c r="C5231" s="20">
        <v>0.2</v>
      </c>
      <c r="D5231" s="384" t="str">
        <f>VII.A!C191</f>
        <v>H</v>
      </c>
      <c r="E5231" s="387">
        <f>VII.A!D191</f>
        <v>0</v>
      </c>
      <c r="F5231" s="388">
        <f t="shared" ref="F5231:F5237" si="1343">ROUND(C5231*E5231,2)</f>
        <v>0</v>
      </c>
      <c r="H5231" s="341">
        <f>IF(A5231="","",VLOOKUP(A5231,VII.A!$A$10:$D$199,4,FALSE))</f>
        <v>0</v>
      </c>
      <c r="I5231" s="341" t="str">
        <f t="shared" ref="I5231:I5237" si="1344">IF(A5231="","",IF(E5231=H5231,"SIM","NÃO"))</f>
        <v>SIM</v>
      </c>
      <c r="J5231" s="341" t="str">
        <f>IF(A5231="","",VLOOKUP(A5231,VII.A!$A$10:$D$199,3,FALSE))</f>
        <v>H</v>
      </c>
      <c r="K5231" s="342" t="str">
        <f t="shared" ref="K5231:K5237" si="1345">IF(A5231="","",IF(J5231=D5231,"SIM","NÃO"))</f>
        <v>SIM</v>
      </c>
      <c r="L5231" s="380">
        <f>IF(C5231="","",G5195*C5231)</f>
        <v>30</v>
      </c>
      <c r="M5231" s="381" t="str">
        <f>IF(A5231="","",VLOOKUP(A5231,VII.A!$A$10:$B$199,2,FALSE))</f>
        <v>IMPERMEABILIZADOR COM ENCARGOS COMPLEMENTARES</v>
      </c>
      <c r="N5231" s="342" t="str">
        <f t="shared" ref="N5231:N5237" si="1346">IF(B5231="","",IF(M5231=B5231,"si","no"))</f>
        <v>si</v>
      </c>
      <c r="R5231" s="341"/>
      <c r="S5231" s="341"/>
    </row>
    <row r="5232" spans="1:19" ht="12.75" customHeight="1">
      <c r="A5232" s="393"/>
      <c r="C5232" s="20"/>
      <c r="E5232" s="387"/>
      <c r="F5232" s="388">
        <f t="shared" si="1343"/>
        <v>0</v>
      </c>
      <c r="H5232" s="341" t="str">
        <f>IF(A5232="","",VLOOKUP(A5232,VII.A!$A$10:$D$199,4,FALSE))</f>
        <v/>
      </c>
      <c r="I5232" s="341" t="str">
        <f t="shared" si="1344"/>
        <v/>
      </c>
      <c r="J5232" s="341" t="str">
        <f>IF(A5232="","",VLOOKUP(A5232,VII.A!$A$10:$D$199,3,FALSE))</f>
        <v/>
      </c>
      <c r="K5232" s="342" t="str">
        <f t="shared" si="1345"/>
        <v/>
      </c>
      <c r="L5232" s="380" t="str">
        <f>IF(C5232="","",G5195*C5232)</f>
        <v/>
      </c>
      <c r="M5232" s="381" t="str">
        <f>IF(A5232="","",VLOOKUP(A5232,VII.A!$A$10:$B$199,2,FALSE))</f>
        <v/>
      </c>
      <c r="N5232" s="342" t="str">
        <f t="shared" si="1346"/>
        <v/>
      </c>
      <c r="R5232" s="341"/>
      <c r="S5232" s="341"/>
    </row>
    <row r="5233" spans="1:25" ht="12.75" customHeight="1">
      <c r="A5233" s="393"/>
      <c r="C5233" s="20"/>
      <c r="E5233" s="387"/>
      <c r="F5233" s="388">
        <f t="shared" si="1343"/>
        <v>0</v>
      </c>
      <c r="H5233" s="341" t="str">
        <f>IF(A5233="","",VLOOKUP(A5233,VII.A!$A$10:$D$199,4,FALSE))</f>
        <v/>
      </c>
      <c r="I5233" s="341" t="str">
        <f t="shared" si="1344"/>
        <v/>
      </c>
      <c r="J5233" s="341" t="str">
        <f>IF(A5233="","",VLOOKUP(A5233,VII.A!$A$10:$D$199,3,FALSE))</f>
        <v/>
      </c>
      <c r="K5233" s="342" t="str">
        <f t="shared" si="1345"/>
        <v/>
      </c>
      <c r="L5233" s="380" t="str">
        <f>IF(C5233="","",G5195*C5233)</f>
        <v/>
      </c>
      <c r="M5233" s="381" t="str">
        <f>IF(A5233="","",VLOOKUP(A5233,VII.A!$A$10:$B$199,2,FALSE))</f>
        <v/>
      </c>
      <c r="N5233" s="342" t="str">
        <f t="shared" si="1346"/>
        <v/>
      </c>
      <c r="R5233" s="341"/>
      <c r="S5233" s="341"/>
    </row>
    <row r="5234" spans="1:25" ht="12.75" customHeight="1">
      <c r="A5234" s="393"/>
      <c r="C5234" s="20"/>
      <c r="E5234" s="387"/>
      <c r="F5234" s="388">
        <f t="shared" si="1343"/>
        <v>0</v>
      </c>
      <c r="H5234" s="341" t="str">
        <f>IF(A5234="","",VLOOKUP(A5234,VII.A!$A$10:$D$199,4,FALSE))</f>
        <v/>
      </c>
      <c r="I5234" s="341" t="str">
        <f t="shared" si="1344"/>
        <v/>
      </c>
      <c r="J5234" s="341" t="str">
        <f>IF(A5234="","",VLOOKUP(A5234,VII.A!$A$10:$D$199,3,FALSE))</f>
        <v/>
      </c>
      <c r="K5234" s="342" t="str">
        <f t="shared" si="1345"/>
        <v/>
      </c>
      <c r="L5234" s="380" t="str">
        <f>IF(C5234="","",G5195*C5234)</f>
        <v/>
      </c>
      <c r="M5234" s="381" t="str">
        <f>IF(A5234="","",VLOOKUP(A5234,VII.A!$A$10:$B$199,2,FALSE))</f>
        <v/>
      </c>
      <c r="N5234" s="342" t="str">
        <f t="shared" si="1346"/>
        <v/>
      </c>
      <c r="R5234" s="341"/>
      <c r="S5234" s="341"/>
    </row>
    <row r="5235" spans="1:25" ht="12.75" customHeight="1">
      <c r="A5235" s="393"/>
      <c r="C5235" s="20"/>
      <c r="E5235" s="387"/>
      <c r="F5235" s="388">
        <f t="shared" si="1343"/>
        <v>0</v>
      </c>
      <c r="H5235" s="341" t="str">
        <f>IF(A5235="","",VLOOKUP(A5235,VII.A!$A$10:$D$199,4,FALSE))</f>
        <v/>
      </c>
      <c r="I5235" s="341" t="str">
        <f t="shared" si="1344"/>
        <v/>
      </c>
      <c r="J5235" s="341" t="str">
        <f>IF(A5235="","",VLOOKUP(A5235,VII.A!$A$10:$D$199,3,FALSE))</f>
        <v/>
      </c>
      <c r="K5235" s="342" t="str">
        <f t="shared" si="1345"/>
        <v/>
      </c>
      <c r="L5235" s="380" t="str">
        <f>IF(C5235="","",G5195*C5235)</f>
        <v/>
      </c>
      <c r="M5235" s="381" t="str">
        <f>IF(A5235="","",VLOOKUP(A5235,VII.A!$A$10:$B$199,2,FALSE))</f>
        <v/>
      </c>
      <c r="N5235" s="342" t="str">
        <f t="shared" si="1346"/>
        <v/>
      </c>
      <c r="R5235" s="341"/>
      <c r="S5235" s="341"/>
    </row>
    <row r="5236" spans="1:25" ht="12.75" customHeight="1">
      <c r="A5236" s="393"/>
      <c r="C5236" s="20"/>
      <c r="E5236" s="387"/>
      <c r="F5236" s="388">
        <f t="shared" si="1343"/>
        <v>0</v>
      </c>
      <c r="H5236" s="341" t="str">
        <f>IF(A5236="","",VLOOKUP(A5236,VII.A!$A$10:$D$199,4,FALSE))</f>
        <v/>
      </c>
      <c r="I5236" s="341" t="str">
        <f t="shared" si="1344"/>
        <v/>
      </c>
      <c r="J5236" s="341" t="str">
        <f>IF(A5236="","",VLOOKUP(A5236,VII.A!$A$10:$D$199,3,FALSE))</f>
        <v/>
      </c>
      <c r="K5236" s="342" t="str">
        <f t="shared" si="1345"/>
        <v/>
      </c>
      <c r="L5236" s="380" t="str">
        <f>IF(C5236="","",G5195*C5236)</f>
        <v/>
      </c>
      <c r="M5236" s="381" t="str">
        <f>IF(A5236="","",VLOOKUP(A5236,VII.A!$A$10:$B$199,2,FALSE))</f>
        <v/>
      </c>
      <c r="N5236" s="342" t="str">
        <f t="shared" si="1346"/>
        <v/>
      </c>
      <c r="R5236" s="341"/>
      <c r="S5236" s="341"/>
    </row>
    <row r="5237" spans="1:25" ht="12.75" customHeight="1">
      <c r="A5237" s="393"/>
      <c r="C5237" s="20"/>
      <c r="E5237" s="387"/>
      <c r="F5237" s="388">
        <f t="shared" si="1343"/>
        <v>0</v>
      </c>
      <c r="H5237" s="341" t="str">
        <f>IF(A5237="","",VLOOKUP(A5237,VII.A!$A$10:$D$199,4,FALSE))</f>
        <v/>
      </c>
      <c r="I5237" s="341" t="str">
        <f t="shared" si="1344"/>
        <v/>
      </c>
      <c r="J5237" s="341" t="str">
        <f>IF(A5237="","",VLOOKUP(A5237,VII.A!$A$10:$D$199,3,FALSE))</f>
        <v/>
      </c>
      <c r="K5237" s="342" t="str">
        <f t="shared" si="1345"/>
        <v/>
      </c>
      <c r="L5237" s="380" t="str">
        <f>IF(C5237="","",G5195*C5237)</f>
        <v/>
      </c>
      <c r="M5237" s="381" t="str">
        <f>IF(A5237="","",VLOOKUP(A5237,VII.A!$A$10:$B$199,2,FALSE))</f>
        <v/>
      </c>
      <c r="N5237" s="342" t="str">
        <f t="shared" si="1346"/>
        <v/>
      </c>
      <c r="R5237" s="341"/>
      <c r="S5237" s="341"/>
    </row>
    <row r="5238" spans="1:25" ht="12.75" customHeight="1">
      <c r="A5238" s="393"/>
      <c r="B5238" s="395" t="s">
        <v>226</v>
      </c>
      <c r="C5238" s="396"/>
      <c r="D5238" s="397"/>
      <c r="E5238" s="398"/>
      <c r="F5238" s="399">
        <f>SUM(F5231:F5237)</f>
        <v>0</v>
      </c>
      <c r="J5238" s="341"/>
      <c r="L5238" s="380"/>
      <c r="M5238" s="381"/>
      <c r="N5238" s="342"/>
      <c r="R5238" s="341"/>
      <c r="S5238" s="341"/>
    </row>
    <row r="5239" spans="1:25" ht="12.75" customHeight="1">
      <c r="A5239" s="393"/>
      <c r="B5239" s="400" t="s">
        <v>229</v>
      </c>
      <c r="C5239" s="2">
        <f>IX.A!$C$45</f>
        <v>0</v>
      </c>
      <c r="D5239" s="401"/>
      <c r="E5239" s="402"/>
      <c r="F5239" s="403">
        <f>ROUND(F5238*C5239,2)</f>
        <v>0</v>
      </c>
      <c r="J5239" s="341"/>
      <c r="L5239" s="380"/>
      <c r="M5239" s="381"/>
      <c r="N5239" s="342"/>
      <c r="R5239" s="341"/>
      <c r="S5239" s="341"/>
    </row>
    <row r="5240" spans="1:25" ht="12.75" customHeight="1">
      <c r="A5240" s="393"/>
      <c r="B5240" s="400" t="s">
        <v>53</v>
      </c>
      <c r="C5240" s="2">
        <f>$D$8</f>
        <v>0</v>
      </c>
      <c r="D5240" s="401"/>
      <c r="E5240" s="402"/>
      <c r="F5240" s="403">
        <f>ROUND(SUM(F5238:F5239)*C5240,2)</f>
        <v>0</v>
      </c>
      <c r="J5240" s="341"/>
      <c r="L5240" s="380"/>
      <c r="M5240" s="381"/>
      <c r="N5240" s="342"/>
      <c r="R5240" s="341"/>
      <c r="S5240" s="341"/>
    </row>
    <row r="5241" spans="1:25" ht="12.75" customHeight="1" thickBot="1">
      <c r="A5241" s="414"/>
      <c r="B5241" s="415" t="s">
        <v>230</v>
      </c>
      <c r="C5241" s="416"/>
      <c r="D5241" s="416"/>
      <c r="E5241" s="417"/>
      <c r="F5241" s="418">
        <f>SUM(F5238:F5240)</f>
        <v>0</v>
      </c>
      <c r="J5241" s="341"/>
      <c r="L5241" s="380"/>
      <c r="M5241" s="381"/>
      <c r="N5241" s="342"/>
      <c r="R5241" s="341"/>
      <c r="S5241" s="341"/>
    </row>
    <row r="5242" spans="1:25" ht="12.75" customHeight="1" thickBot="1">
      <c r="A5242" s="427"/>
      <c r="B5242" s="428"/>
      <c r="C5242" s="429"/>
      <c r="D5242" s="429"/>
      <c r="E5242" s="430"/>
      <c r="F5242" s="431"/>
      <c r="J5242" s="341"/>
      <c r="L5242" s="380"/>
      <c r="M5242" s="381"/>
      <c r="N5242" s="342"/>
      <c r="R5242" s="341"/>
      <c r="S5242" s="341"/>
    </row>
    <row r="5243" spans="1:25" ht="30" customHeight="1">
      <c r="A5243" s="370" t="str">
        <f>IV.A!A158</f>
        <v>7.2</v>
      </c>
      <c r="B5243" s="371" t="str">
        <f>IV.A!B158</f>
        <v>FORNECIMENTO E LANÇAMENTO DE ELETRODUTO FLEXÍVEL CORRUGADO REFORÇADO, PVC, DN 25 MM (3/4")</v>
      </c>
      <c r="C5243" s="871" t="s">
        <v>237</v>
      </c>
      <c r="D5243" s="872"/>
      <c r="E5243" s="372" t="str">
        <f>IV.A!C158</f>
        <v>M</v>
      </c>
      <c r="F5243" s="11">
        <f>ROUND(F5263+F5277+F5289,2)</f>
        <v>0</v>
      </c>
      <c r="G5243" s="1">
        <f>VLOOKUP(A5243,IV.A!$A$16:$L$172,4,FALSE)</f>
        <v>70</v>
      </c>
      <c r="H5243" s="361">
        <f>SUM(F5245:F5260)+F5262</f>
        <v>0</v>
      </c>
      <c r="I5243" s="361">
        <f>SUM(F5265:F5274)+F5276</f>
        <v>0</v>
      </c>
      <c r="J5243" s="361">
        <f>SUM(F5279:F5285)+F5287+F5288</f>
        <v>0</v>
      </c>
      <c r="K5243" s="361">
        <f>SUM(H5243:J5243)</f>
        <v>0</v>
      </c>
      <c r="L5243" s="362" t="str">
        <f>IF(K5243=F5243,"SIM","NÃO")</f>
        <v>SIM</v>
      </c>
      <c r="M5243" s="373">
        <f>ROUND(SUM(F5245:F5260),2)+ROUND(SUM(F5245:F5260)*C5262,2)+ROUND(SUM(F5265:F5274)*C5276,2)+ROUND(SUM(F5265:F5274),2)+ROUND(SUM(F5279:F5285)*C5287,2)+ROUND((SUM(F5279:F5285)+ROUND(SUM(F5279:F5285)*C5287,2))*C5288,2)+ROUND(SUM(F5279:F5285),2)</f>
        <v>0</v>
      </c>
      <c r="N5243" s="343" t="str">
        <f>IF(M5243=F5243,"SIM","NÃO")</f>
        <v>SIM</v>
      </c>
      <c r="O5243" s="364" t="str">
        <f>VLOOKUP(A5243,IV.A!$A$16:$E$172,3,FALSE)</f>
        <v>M</v>
      </c>
      <c r="P5243" s="344" t="str">
        <f>IF(O5243=E5243,"SIM","NÃO")</f>
        <v>SIM</v>
      </c>
      <c r="Q5243" s="365">
        <f>ROUND(G5243*F5263,2)+ROUND(G5243*F5277,2)+ROUND(G5243*F5289,2)</f>
        <v>0</v>
      </c>
      <c r="R5243" s="364">
        <f>VLOOKUP(A5243,IV.A!$A$16:$L$172,12,FALSE)</f>
        <v>0</v>
      </c>
      <c r="S5243" s="366" t="str">
        <f>IF(Q5243=R5243,"si","no")</f>
        <v>si</v>
      </c>
      <c r="T5243" s="367">
        <f>SUM(L5245:L5260)+SUM(L5265:L5274)+SUM(L5279:L5285)</f>
        <v>91.35</v>
      </c>
      <c r="U5243" s="341">
        <f>(SUM(C5245:C5260)+SUM(C5265:C5274)+SUM(C5279:C5285))*G5243</f>
        <v>91.35</v>
      </c>
      <c r="V5243" s="368" t="str">
        <f>IF(T5243=U5243,"si","no")</f>
        <v>si</v>
      </c>
      <c r="W5243" s="369">
        <f>SUM(F5245:F5260)</f>
        <v>0</v>
      </c>
      <c r="X5243" s="369">
        <f>SUM(F5265:F5274)</f>
        <v>0</v>
      </c>
      <c r="Y5243" s="369">
        <f>SUM(F5279:F5285)</f>
        <v>0</v>
      </c>
    </row>
    <row r="5244" spans="1:25" ht="12.75" customHeight="1">
      <c r="A5244" s="374" t="s">
        <v>14</v>
      </c>
      <c r="B5244" s="375" t="s">
        <v>132</v>
      </c>
      <c r="C5244" s="376" t="s">
        <v>231</v>
      </c>
      <c r="D5244" s="376" t="s">
        <v>232</v>
      </c>
      <c r="E5244" s="377" t="s">
        <v>233</v>
      </c>
      <c r="F5244" s="378" t="s">
        <v>234</v>
      </c>
      <c r="G5244" s="379"/>
      <c r="J5244" s="341"/>
      <c r="L5244" s="380"/>
      <c r="M5244" s="381"/>
      <c r="N5244" s="342"/>
      <c r="O5244" s="382"/>
      <c r="P5244" s="383"/>
      <c r="Q5244" s="383"/>
      <c r="R5244" s="383"/>
      <c r="S5244" s="383"/>
      <c r="T5244" s="382"/>
      <c r="U5244" s="341"/>
      <c r="V5244" s="384"/>
      <c r="W5244" s="384"/>
      <c r="X5244" s="384"/>
      <c r="Y5244" s="384"/>
    </row>
    <row r="5245" spans="1:25" ht="12.75" customHeight="1">
      <c r="A5245" s="385" t="str">
        <f>VII.A!$A$47</f>
        <v>1.38</v>
      </c>
      <c r="B5245" s="386" t="str">
        <f>VLOOKUP(A5245,VII.A!$A$10:$G$199,2,FALSE)</f>
        <v>ELETRODUTO PVC FLEXIVEL CORRUGADO, REFORCADO, COR LARANJA, DE 25 MM, 3/4"</v>
      </c>
      <c r="C5245" s="20">
        <v>1.0169999999999999</v>
      </c>
      <c r="D5245" s="342" t="str">
        <f>VLOOKUP(A5245,VII.A!$A$10:$G$199,3,FALSE)</f>
        <v>M</v>
      </c>
      <c r="E5245" s="387">
        <f>VII.A!D47</f>
        <v>0</v>
      </c>
      <c r="F5245" s="388">
        <f>ROUND(C5245*E5245,2)</f>
        <v>0</v>
      </c>
      <c r="H5245" s="341">
        <f>IF(A5245="","",VLOOKUP(A5245,VII.A!$A$10:$D$199,4,FALSE))</f>
        <v>0</v>
      </c>
      <c r="I5245" s="341" t="str">
        <f t="shared" ref="I5245:I5260" si="1347">IF(A5245="","",IF(E5245=H5245,"SIM","NÃO"))</f>
        <v>SIM</v>
      </c>
      <c r="J5245" s="341" t="str">
        <f>IF(A5245="","",VLOOKUP(A5245,VII.A!$A$10:$D$199,3,FALSE))</f>
        <v>M</v>
      </c>
      <c r="K5245" s="342" t="str">
        <f t="shared" ref="K5245:K5260" si="1348">IF(A5245="","",IF(J5245=D5245,"SIM","NÃO"))</f>
        <v>SIM</v>
      </c>
      <c r="L5245" s="380">
        <f>IF(C5245="","",G5243*C5245)</f>
        <v>71.19</v>
      </c>
      <c r="M5245" s="381" t="str">
        <f>IF(A5245="","",VLOOKUP(A5245,VII.A!$A$10:$B$199,2,FALSE))</f>
        <v>ELETRODUTO PVC FLEXIVEL CORRUGADO, REFORCADO, COR LARANJA, DE 25 MM, 3/4"</v>
      </c>
      <c r="N5245" s="342" t="str">
        <f t="shared" ref="N5245:N5260" si="1349">IF(B5245="","",IF(M5245=B5245,"si","no"))</f>
        <v>si</v>
      </c>
      <c r="R5245" s="341"/>
      <c r="S5245" s="341"/>
    </row>
    <row r="5246" spans="1:25" ht="12.75" customHeight="1">
      <c r="A5246" s="385"/>
      <c r="B5246" s="386"/>
      <c r="C5246" s="20"/>
      <c r="D5246" s="342"/>
      <c r="E5246" s="387"/>
      <c r="F5246" s="388">
        <f t="shared" ref="F5246:F5260" si="1350">ROUND(C5246*E5246,2)</f>
        <v>0</v>
      </c>
      <c r="H5246" s="341" t="str">
        <f>IF(A5246="","",VLOOKUP(A5246,VII.A!$A$10:$D$199,4,FALSE))</f>
        <v/>
      </c>
      <c r="I5246" s="341" t="str">
        <f t="shared" si="1347"/>
        <v/>
      </c>
      <c r="J5246" s="341" t="str">
        <f>IF(A5246="","",VLOOKUP(A5246,VII.A!$A$10:$D$199,3,FALSE))</f>
        <v/>
      </c>
      <c r="K5246" s="342" t="str">
        <f t="shared" si="1348"/>
        <v/>
      </c>
      <c r="L5246" s="380" t="str">
        <f>IF(C5246="","",G5243*C5246)</f>
        <v/>
      </c>
      <c r="M5246" s="381" t="str">
        <f>IF(A5246="","",VLOOKUP(A5246,VII.A!$A$10:$B$199,2,FALSE))</f>
        <v/>
      </c>
      <c r="N5246" s="342" t="str">
        <f t="shared" si="1349"/>
        <v/>
      </c>
      <c r="R5246" s="341"/>
      <c r="S5246" s="341"/>
    </row>
    <row r="5247" spans="1:25" ht="12.75" customHeight="1">
      <c r="A5247" s="385"/>
      <c r="B5247" s="386"/>
      <c r="C5247" s="20"/>
      <c r="D5247" s="342"/>
      <c r="E5247" s="387"/>
      <c r="F5247" s="388">
        <f t="shared" si="1350"/>
        <v>0</v>
      </c>
      <c r="H5247" s="341" t="str">
        <f>IF(A5247="","",VLOOKUP(A5247,VII.A!$A$10:$D$199,4,FALSE))</f>
        <v/>
      </c>
      <c r="I5247" s="341" t="str">
        <f t="shared" si="1347"/>
        <v/>
      </c>
      <c r="J5247" s="341" t="str">
        <f>IF(A5247="","",VLOOKUP(A5247,VII.A!$A$10:$D$199,3,FALSE))</f>
        <v/>
      </c>
      <c r="K5247" s="342" t="str">
        <f t="shared" si="1348"/>
        <v/>
      </c>
      <c r="L5247" s="380" t="str">
        <f>IF(C5247="","",G5243*C5247)</f>
        <v/>
      </c>
      <c r="M5247" s="381" t="str">
        <f>IF(A5247="","",VLOOKUP(A5247,VII.A!$A$10:$B$199,2,FALSE))</f>
        <v/>
      </c>
      <c r="N5247" s="342" t="str">
        <f t="shared" si="1349"/>
        <v/>
      </c>
      <c r="R5247" s="341"/>
      <c r="S5247" s="341"/>
    </row>
    <row r="5248" spans="1:25" ht="12.75" customHeight="1">
      <c r="A5248" s="385"/>
      <c r="B5248" s="386"/>
      <c r="C5248" s="20"/>
      <c r="D5248" s="342"/>
      <c r="E5248" s="387"/>
      <c r="F5248" s="388">
        <f t="shared" si="1350"/>
        <v>0</v>
      </c>
      <c r="H5248" s="341" t="str">
        <f>IF(A5248="","",VLOOKUP(A5248,VII.A!$A$10:$D$199,4,FALSE))</f>
        <v/>
      </c>
      <c r="I5248" s="341" t="str">
        <f t="shared" si="1347"/>
        <v/>
      </c>
      <c r="J5248" s="341" t="str">
        <f>IF(A5248="","",VLOOKUP(A5248,VII.A!$A$10:$D$199,3,FALSE))</f>
        <v/>
      </c>
      <c r="K5248" s="342" t="str">
        <f t="shared" si="1348"/>
        <v/>
      </c>
      <c r="L5248" s="380" t="str">
        <f>IF(C5248="","",G5243*C5248)</f>
        <v/>
      </c>
      <c r="M5248" s="381" t="str">
        <f>IF(A5248="","",VLOOKUP(A5248,VII.A!$A$10:$B$199,2,FALSE))</f>
        <v/>
      </c>
      <c r="N5248" s="342" t="str">
        <f t="shared" si="1349"/>
        <v/>
      </c>
      <c r="R5248" s="341"/>
      <c r="S5248" s="341"/>
    </row>
    <row r="5249" spans="1:21" ht="12.75" customHeight="1">
      <c r="A5249" s="385"/>
      <c r="B5249" s="386"/>
      <c r="C5249" s="20"/>
      <c r="D5249" s="342"/>
      <c r="E5249" s="387"/>
      <c r="F5249" s="388">
        <f t="shared" si="1350"/>
        <v>0</v>
      </c>
      <c r="H5249" s="341" t="str">
        <f>IF(A5249="","",VLOOKUP(A5249,VII.A!$A$10:$D$199,4,FALSE))</f>
        <v/>
      </c>
      <c r="I5249" s="341" t="str">
        <f t="shared" si="1347"/>
        <v/>
      </c>
      <c r="J5249" s="341" t="str">
        <f>IF(A5249="","",VLOOKUP(A5249,VII.A!$A$10:$D$199,3,FALSE))</f>
        <v/>
      </c>
      <c r="K5249" s="342" t="str">
        <f t="shared" si="1348"/>
        <v/>
      </c>
      <c r="L5249" s="380" t="str">
        <f>IF(C5249="","",G5243*C5249)</f>
        <v/>
      </c>
      <c r="M5249" s="381" t="str">
        <f>IF(A5249="","",VLOOKUP(A5249,VII.A!$A$10:$B$199,2,FALSE))</f>
        <v/>
      </c>
      <c r="N5249" s="342" t="str">
        <f t="shared" si="1349"/>
        <v/>
      </c>
      <c r="R5249" s="341"/>
      <c r="S5249" s="341"/>
    </row>
    <row r="5250" spans="1:21" ht="12.75" customHeight="1">
      <c r="A5250" s="385"/>
      <c r="B5250" s="386"/>
      <c r="C5250" s="20"/>
      <c r="D5250" s="342"/>
      <c r="E5250" s="387"/>
      <c r="F5250" s="388">
        <f t="shared" si="1350"/>
        <v>0</v>
      </c>
      <c r="H5250" s="341" t="str">
        <f>IF(A5250="","",VLOOKUP(A5250,VII.A!$A$10:$D$199,4,FALSE))</f>
        <v/>
      </c>
      <c r="I5250" s="341" t="str">
        <f t="shared" si="1347"/>
        <v/>
      </c>
      <c r="J5250" s="341" t="str">
        <f>IF(A5250="","",VLOOKUP(A5250,VII.A!$A$10:$D$199,3,FALSE))</f>
        <v/>
      </c>
      <c r="K5250" s="342" t="str">
        <f t="shared" si="1348"/>
        <v/>
      </c>
      <c r="L5250" s="380" t="str">
        <f>IF(C5250="","",G5243*C5250)</f>
        <v/>
      </c>
      <c r="M5250" s="381" t="str">
        <f>IF(A5250="","",VLOOKUP(A5250,VII.A!$A$10:$B$199,2,FALSE))</f>
        <v/>
      </c>
      <c r="N5250" s="342" t="str">
        <f t="shared" si="1349"/>
        <v/>
      </c>
      <c r="R5250" s="341"/>
      <c r="S5250" s="341"/>
      <c r="U5250" s="389"/>
    </row>
    <row r="5251" spans="1:21" ht="12.75" customHeight="1">
      <c r="A5251" s="385"/>
      <c r="B5251" s="386"/>
      <c r="C5251" s="20"/>
      <c r="D5251" s="342"/>
      <c r="E5251" s="387"/>
      <c r="F5251" s="388">
        <f t="shared" si="1350"/>
        <v>0</v>
      </c>
      <c r="H5251" s="341" t="str">
        <f>IF(A5251="","",VLOOKUP(A5251,VII.A!$A$10:$D$199,4,FALSE))</f>
        <v/>
      </c>
      <c r="I5251" s="341" t="str">
        <f t="shared" si="1347"/>
        <v/>
      </c>
      <c r="J5251" s="341" t="str">
        <f>IF(A5251="","",VLOOKUP(A5251,VII.A!$A$10:$D$199,3,FALSE))</f>
        <v/>
      </c>
      <c r="K5251" s="342" t="str">
        <f t="shared" si="1348"/>
        <v/>
      </c>
      <c r="L5251" s="380" t="str">
        <f>IF(C5251="","",G5243*C5251)</f>
        <v/>
      </c>
      <c r="M5251" s="381" t="str">
        <f>IF(A5251="","",VLOOKUP(A5251,VII.A!$A$10:$B$199,2,FALSE))</f>
        <v/>
      </c>
      <c r="N5251" s="342" t="str">
        <f t="shared" si="1349"/>
        <v/>
      </c>
      <c r="R5251" s="341"/>
      <c r="S5251" s="341"/>
    </row>
    <row r="5252" spans="1:21" ht="12.75" customHeight="1">
      <c r="A5252" s="385"/>
      <c r="B5252" s="386"/>
      <c r="C5252" s="20"/>
      <c r="D5252" s="342"/>
      <c r="E5252" s="387"/>
      <c r="F5252" s="388">
        <f t="shared" si="1350"/>
        <v>0</v>
      </c>
      <c r="G5252" s="390"/>
      <c r="H5252" s="341" t="str">
        <f>IF(A5252="","",VLOOKUP(A5252,VII.A!$A$10:$D$199,4,FALSE))</f>
        <v/>
      </c>
      <c r="I5252" s="341" t="str">
        <f t="shared" si="1347"/>
        <v/>
      </c>
      <c r="J5252" s="341" t="str">
        <f>IF(A5252="","",VLOOKUP(A5252,VII.A!$A$10:$D$199,3,FALSE))</f>
        <v/>
      </c>
      <c r="K5252" s="342" t="str">
        <f t="shared" si="1348"/>
        <v/>
      </c>
      <c r="L5252" s="380" t="str">
        <f>IF(C5252="","",G5243*C5252)</f>
        <v/>
      </c>
      <c r="M5252" s="381" t="str">
        <f>IF(A5252="","",VLOOKUP(A5252,VII.A!$A$10:$B$199,2,FALSE))</f>
        <v/>
      </c>
      <c r="N5252" s="342" t="str">
        <f t="shared" si="1349"/>
        <v/>
      </c>
      <c r="R5252" s="341"/>
      <c r="S5252" s="341"/>
    </row>
    <row r="5253" spans="1:21" ht="12.75" customHeight="1">
      <c r="A5253" s="385"/>
      <c r="B5253" s="386"/>
      <c r="C5253" s="20"/>
      <c r="D5253" s="342"/>
      <c r="E5253" s="387"/>
      <c r="F5253" s="388">
        <f t="shared" si="1350"/>
        <v>0</v>
      </c>
      <c r="G5253" s="390"/>
      <c r="H5253" s="341" t="str">
        <f>IF(A5253="","",VLOOKUP(A5253,VII.A!$A$10:$D$199,4,FALSE))</f>
        <v/>
      </c>
      <c r="I5253" s="341" t="str">
        <f t="shared" si="1347"/>
        <v/>
      </c>
      <c r="J5253" s="341" t="str">
        <f>IF(A5253="","",VLOOKUP(A5253,VII.A!$A$10:$D$199,3,FALSE))</f>
        <v/>
      </c>
      <c r="K5253" s="342" t="str">
        <f t="shared" si="1348"/>
        <v/>
      </c>
      <c r="L5253" s="380" t="str">
        <f>IF(C5253="","",G5243*C5253)</f>
        <v/>
      </c>
      <c r="M5253" s="381" t="str">
        <f>IF(A5253="","",VLOOKUP(A5253,VII.A!$A$10:$B$199,2,FALSE))</f>
        <v/>
      </c>
      <c r="N5253" s="342" t="str">
        <f t="shared" si="1349"/>
        <v/>
      </c>
      <c r="R5253" s="341"/>
      <c r="S5253" s="341"/>
    </row>
    <row r="5254" spans="1:21" ht="12.75" customHeight="1">
      <c r="A5254" s="385"/>
      <c r="B5254" s="386"/>
      <c r="C5254" s="20"/>
      <c r="D5254" s="342"/>
      <c r="E5254" s="387"/>
      <c r="F5254" s="388">
        <f t="shared" si="1350"/>
        <v>0</v>
      </c>
      <c r="G5254" s="391"/>
      <c r="H5254" s="341" t="str">
        <f>IF(A5254="","",VLOOKUP(A5254,VII.A!$A$10:$D$199,4,FALSE))</f>
        <v/>
      </c>
      <c r="I5254" s="341" t="str">
        <f t="shared" si="1347"/>
        <v/>
      </c>
      <c r="J5254" s="341" t="str">
        <f>IF(A5254="","",VLOOKUP(A5254,VII.A!$A$10:$D$199,3,FALSE))</f>
        <v/>
      </c>
      <c r="K5254" s="342" t="str">
        <f t="shared" si="1348"/>
        <v/>
      </c>
      <c r="L5254" s="380" t="str">
        <f>IF(C5254="","",G5243*C5254)</f>
        <v/>
      </c>
      <c r="M5254" s="381" t="str">
        <f>IF(A5254="","",VLOOKUP(A5254,VII.A!$A$10:$B$199,2,FALSE))</f>
        <v/>
      </c>
      <c r="N5254" s="342" t="str">
        <f t="shared" si="1349"/>
        <v/>
      </c>
      <c r="R5254" s="341"/>
      <c r="S5254" s="341"/>
    </row>
    <row r="5255" spans="1:21" ht="12.75" customHeight="1">
      <c r="A5255" s="385"/>
      <c r="B5255" s="386"/>
      <c r="C5255" s="20"/>
      <c r="D5255" s="342"/>
      <c r="E5255" s="387"/>
      <c r="F5255" s="388">
        <f t="shared" si="1350"/>
        <v>0</v>
      </c>
      <c r="H5255" s="341" t="str">
        <f>IF(A5255="","",VLOOKUP(A5255,VII.A!$A$10:$D$199,4,FALSE))</f>
        <v/>
      </c>
      <c r="I5255" s="341" t="str">
        <f t="shared" si="1347"/>
        <v/>
      </c>
      <c r="J5255" s="341" t="str">
        <f>IF(A5255="","",VLOOKUP(A5255,VII.A!$A$10:$D$199,3,FALSE))</f>
        <v/>
      </c>
      <c r="K5255" s="342" t="str">
        <f t="shared" si="1348"/>
        <v/>
      </c>
      <c r="L5255" s="380" t="str">
        <f>IF(C5255="","",G5243*C5255)</f>
        <v/>
      </c>
      <c r="M5255" s="381" t="str">
        <f>IF(A5255="","",VLOOKUP(A5255,VII.A!$A$10:$B$199,2,FALSE))</f>
        <v/>
      </c>
      <c r="N5255" s="342" t="str">
        <f t="shared" si="1349"/>
        <v/>
      </c>
      <c r="R5255" s="341"/>
      <c r="S5255" s="341"/>
    </row>
    <row r="5256" spans="1:21" ht="12.75" customHeight="1">
      <c r="A5256" s="385"/>
      <c r="B5256" s="386"/>
      <c r="C5256" s="20"/>
      <c r="D5256" s="392"/>
      <c r="E5256" s="387"/>
      <c r="F5256" s="388">
        <f t="shared" si="1350"/>
        <v>0</v>
      </c>
      <c r="H5256" s="341" t="str">
        <f>IF(A5256="","",VLOOKUP(A5256,VII.A!$A$10:$D$199,4,FALSE))</f>
        <v/>
      </c>
      <c r="I5256" s="341" t="str">
        <f t="shared" si="1347"/>
        <v/>
      </c>
      <c r="J5256" s="341" t="str">
        <f>IF(A5256="","",VLOOKUP(A5256,VII.A!$A$10:$D$199,3,FALSE))</f>
        <v/>
      </c>
      <c r="K5256" s="342" t="str">
        <f t="shared" si="1348"/>
        <v/>
      </c>
      <c r="L5256" s="380" t="str">
        <f>IF(C5256="","",G5243*C5256)</f>
        <v/>
      </c>
      <c r="M5256" s="381" t="str">
        <f>IF(A5256="","",VLOOKUP(A5256,VII.A!$A$10:$B$199,2,FALSE))</f>
        <v/>
      </c>
      <c r="N5256" s="342" t="str">
        <f t="shared" si="1349"/>
        <v/>
      </c>
      <c r="R5256" s="341"/>
      <c r="S5256" s="341"/>
    </row>
    <row r="5257" spans="1:21" ht="12.75" customHeight="1">
      <c r="A5257" s="385"/>
      <c r="B5257" s="386"/>
      <c r="C5257" s="20"/>
      <c r="D5257" s="392"/>
      <c r="E5257" s="387"/>
      <c r="F5257" s="388">
        <f t="shared" si="1350"/>
        <v>0</v>
      </c>
      <c r="H5257" s="341" t="str">
        <f>IF(A5257="","",VLOOKUP(A5257,VII.A!$A$10:$D$199,4,FALSE))</f>
        <v/>
      </c>
      <c r="I5257" s="341" t="str">
        <f t="shared" si="1347"/>
        <v/>
      </c>
      <c r="J5257" s="341" t="str">
        <f>IF(A5257="","",VLOOKUP(A5257,VII.A!$A$10:$D$199,3,FALSE))</f>
        <v/>
      </c>
      <c r="K5257" s="342" t="str">
        <f t="shared" si="1348"/>
        <v/>
      </c>
      <c r="L5257" s="380" t="str">
        <f>IF(C5257="","",G5243*C5257)</f>
        <v/>
      </c>
      <c r="M5257" s="381" t="str">
        <f>IF(A5257="","",VLOOKUP(A5257,VII.A!$A$10:$B$199,2,FALSE))</f>
        <v/>
      </c>
      <c r="N5257" s="342" t="str">
        <f t="shared" si="1349"/>
        <v/>
      </c>
      <c r="O5257" s="342"/>
      <c r="R5257" s="341"/>
      <c r="S5257" s="341"/>
    </row>
    <row r="5258" spans="1:21" ht="12.75" customHeight="1">
      <c r="A5258" s="385"/>
      <c r="B5258" s="386"/>
      <c r="C5258" s="20"/>
      <c r="D5258" s="392"/>
      <c r="E5258" s="387"/>
      <c r="F5258" s="388">
        <f t="shared" si="1350"/>
        <v>0</v>
      </c>
      <c r="H5258" s="341" t="str">
        <f>IF(A5258="","",VLOOKUP(A5258,VII.A!$A$10:$D$199,4,FALSE))</f>
        <v/>
      </c>
      <c r="I5258" s="341" t="str">
        <f t="shared" si="1347"/>
        <v/>
      </c>
      <c r="J5258" s="341" t="str">
        <f>IF(A5258="","",VLOOKUP(A5258,VII.A!$A$10:$D$199,3,FALSE))</f>
        <v/>
      </c>
      <c r="K5258" s="342" t="str">
        <f t="shared" si="1348"/>
        <v/>
      </c>
      <c r="L5258" s="380" t="str">
        <f>IF(C5258="","",G5243*C5258)</f>
        <v/>
      </c>
      <c r="M5258" s="381" t="str">
        <f>IF(A5258="","",VLOOKUP(A5258,VII.A!$A$10:$B$199,2,FALSE))</f>
        <v/>
      </c>
      <c r="N5258" s="342" t="str">
        <f t="shared" si="1349"/>
        <v/>
      </c>
      <c r="R5258" s="341"/>
      <c r="S5258" s="341"/>
    </row>
    <row r="5259" spans="1:21" ht="12.75" customHeight="1">
      <c r="A5259" s="393"/>
      <c r="C5259" s="20"/>
      <c r="E5259" s="387"/>
      <c r="F5259" s="388">
        <f t="shared" si="1350"/>
        <v>0</v>
      </c>
      <c r="H5259" s="341" t="str">
        <f>IF(A5259="","",VLOOKUP(A5259,VII.A!$A$10:$D$199,4,FALSE))</f>
        <v/>
      </c>
      <c r="I5259" s="341" t="str">
        <f t="shared" si="1347"/>
        <v/>
      </c>
      <c r="J5259" s="341" t="str">
        <f>IF(A5259="","",VLOOKUP(A5259,VII.A!$A$10:$D$199,3,FALSE))</f>
        <v/>
      </c>
      <c r="K5259" s="342" t="str">
        <f t="shared" si="1348"/>
        <v/>
      </c>
      <c r="L5259" s="380" t="str">
        <f>IF(C5259="","",G5243*C5259)</f>
        <v/>
      </c>
      <c r="M5259" s="381" t="str">
        <f>IF(A5259="","",VLOOKUP(A5259,VII.A!$A$10:$B$199,2,FALSE))</f>
        <v/>
      </c>
      <c r="N5259" s="342" t="str">
        <f t="shared" si="1349"/>
        <v/>
      </c>
      <c r="R5259" s="341"/>
      <c r="S5259" s="341"/>
    </row>
    <row r="5260" spans="1:21" ht="12.75" customHeight="1">
      <c r="A5260" s="393"/>
      <c r="C5260" s="20"/>
      <c r="E5260" s="387"/>
      <c r="F5260" s="388">
        <f t="shared" si="1350"/>
        <v>0</v>
      </c>
      <c r="H5260" s="341" t="str">
        <f>IF(A5260="","",VLOOKUP(A5260,VII.A!$A$10:$D$199,4,FALSE))</f>
        <v/>
      </c>
      <c r="I5260" s="341" t="str">
        <f t="shared" si="1347"/>
        <v/>
      </c>
      <c r="J5260" s="341" t="str">
        <f>IF(A5260="","",VLOOKUP(A5260,VII.A!$A$10:$D$199,3,FALSE))</f>
        <v/>
      </c>
      <c r="K5260" s="342" t="str">
        <f t="shared" si="1348"/>
        <v/>
      </c>
      <c r="L5260" s="380" t="str">
        <f>IF(C5260="","",G5243*C5260)</f>
        <v/>
      </c>
      <c r="M5260" s="381" t="str">
        <f>IF(A5260="","",VLOOKUP(A5260,VII.A!$A$10:$B$199,2,FALSE))</f>
        <v/>
      </c>
      <c r="N5260" s="342" t="str">
        <f t="shared" si="1349"/>
        <v/>
      </c>
      <c r="R5260" s="341"/>
      <c r="S5260" s="341"/>
    </row>
    <row r="5261" spans="1:21" ht="12.75" customHeight="1">
      <c r="A5261" s="393"/>
      <c r="B5261" s="395" t="s">
        <v>226</v>
      </c>
      <c r="C5261" s="396"/>
      <c r="D5261" s="397"/>
      <c r="E5261" s="398"/>
      <c r="F5261" s="399">
        <f>SUM(F5245:F5260)</f>
        <v>0</v>
      </c>
      <c r="H5261" s="426" t="s">
        <v>770</v>
      </c>
      <c r="J5261" s="341"/>
      <c r="L5261" s="380"/>
      <c r="M5261" s="381"/>
      <c r="N5261" s="342"/>
      <c r="R5261" s="341"/>
      <c r="S5261" s="341"/>
    </row>
    <row r="5262" spans="1:21" ht="12.75" customHeight="1">
      <c r="A5262" s="393"/>
      <c r="B5262" s="400" t="s">
        <v>53</v>
      </c>
      <c r="C5262" s="2">
        <f>$D$8</f>
        <v>0</v>
      </c>
      <c r="D5262" s="401"/>
      <c r="E5262" s="402"/>
      <c r="F5262" s="403">
        <f>ROUND(F5261*C5262,2)</f>
        <v>0</v>
      </c>
      <c r="J5262" s="341"/>
      <c r="L5262" s="380"/>
      <c r="M5262" s="381"/>
      <c r="N5262" s="342"/>
      <c r="R5262" s="341"/>
      <c r="S5262" s="341"/>
    </row>
    <row r="5263" spans="1:21" ht="12.75" customHeight="1">
      <c r="A5263" s="404"/>
      <c r="B5263" s="405" t="s">
        <v>227</v>
      </c>
      <c r="C5263" s="406"/>
      <c r="D5263" s="406"/>
      <c r="E5263" s="407"/>
      <c r="F5263" s="408">
        <f>F5261+F5262</f>
        <v>0</v>
      </c>
      <c r="J5263" s="341"/>
      <c r="L5263" s="380"/>
      <c r="M5263" s="381"/>
      <c r="N5263" s="342"/>
      <c r="R5263" s="341"/>
      <c r="S5263" s="341"/>
    </row>
    <row r="5264" spans="1:21" ht="12.75" customHeight="1">
      <c r="A5264" s="374" t="s">
        <v>2</v>
      </c>
      <c r="B5264" s="375" t="s">
        <v>235</v>
      </c>
      <c r="C5264" s="376" t="s">
        <v>231</v>
      </c>
      <c r="D5264" s="376" t="s">
        <v>232</v>
      </c>
      <c r="E5264" s="377" t="s">
        <v>233</v>
      </c>
      <c r="F5264" s="378" t="s">
        <v>234</v>
      </c>
      <c r="J5264" s="341"/>
      <c r="L5264" s="380"/>
      <c r="M5264" s="381"/>
      <c r="N5264" s="342"/>
      <c r="R5264" s="341"/>
      <c r="S5264" s="341"/>
    </row>
    <row r="5265" spans="1:19" ht="12.75" customHeight="1">
      <c r="A5265" s="393"/>
      <c r="B5265" s="423"/>
      <c r="C5265" s="20"/>
      <c r="E5265" s="387"/>
      <c r="F5265" s="388">
        <f t="shared" ref="F5265:F5274" si="1351">ROUND(C5265*E5265,2)</f>
        <v>0</v>
      </c>
      <c r="H5265" s="341" t="str">
        <f>IF(A5265="","",VLOOKUP(A5265,VII.A!$A$10:$D$199,4,FALSE))</f>
        <v/>
      </c>
      <c r="I5265" s="341" t="str">
        <f t="shared" ref="I5265:I5274" si="1352">IF(A5265="","",IF(E5265=H5265,"SIM","NÃO"))</f>
        <v/>
      </c>
      <c r="J5265" s="341" t="str">
        <f>IF(A5265="","",VLOOKUP(A5265,VII.A!$A$10:$D$199,3,FALSE))</f>
        <v/>
      </c>
      <c r="K5265" s="342" t="str">
        <f t="shared" ref="K5265:K5274" si="1353">IF(A5265="","",IF(J5265=D5265,"SIM","NÃO"))</f>
        <v/>
      </c>
      <c r="L5265" s="380" t="str">
        <f>IF(C5265="","",G5243*C5265)</f>
        <v/>
      </c>
      <c r="M5265" s="381" t="str">
        <f>IF(A5265="","",VLOOKUP(A5265,VII.A!$A$10:$B$199,2,FALSE))</f>
        <v/>
      </c>
      <c r="N5265" s="342" t="str">
        <f t="shared" ref="N5265:N5274" si="1354">IF(B5265="","",IF(M5265=B5265,"si","no"))</f>
        <v/>
      </c>
      <c r="R5265" s="341"/>
      <c r="S5265" s="341"/>
    </row>
    <row r="5266" spans="1:19" ht="12.75" customHeight="1">
      <c r="A5266" s="393"/>
      <c r="C5266" s="20"/>
      <c r="E5266" s="387"/>
      <c r="F5266" s="388">
        <f t="shared" si="1351"/>
        <v>0</v>
      </c>
      <c r="H5266" s="341" t="str">
        <f>IF(A5266="","",VLOOKUP(A5266,VII.A!$A$10:$D$199,4,FALSE))</f>
        <v/>
      </c>
      <c r="I5266" s="341" t="str">
        <f t="shared" si="1352"/>
        <v/>
      </c>
      <c r="J5266" s="341" t="str">
        <f>IF(A5266="","",VLOOKUP(A5266,VII.A!$A$10:$D$199,3,FALSE))</f>
        <v/>
      </c>
      <c r="K5266" s="342" t="str">
        <f t="shared" si="1353"/>
        <v/>
      </c>
      <c r="L5266" s="380" t="str">
        <f>IF(C5266="","",G5243*C5266)</f>
        <v/>
      </c>
      <c r="M5266" s="381" t="str">
        <f>IF(A5266="","",VLOOKUP(A5266,VII.A!$A$10:$B$199,2,FALSE))</f>
        <v/>
      </c>
      <c r="N5266" s="342" t="str">
        <f t="shared" si="1354"/>
        <v/>
      </c>
      <c r="R5266" s="341"/>
      <c r="S5266" s="341"/>
    </row>
    <row r="5267" spans="1:19" ht="12.75" customHeight="1">
      <c r="A5267" s="393"/>
      <c r="C5267" s="20"/>
      <c r="E5267" s="387"/>
      <c r="F5267" s="388">
        <f t="shared" si="1351"/>
        <v>0</v>
      </c>
      <c r="H5267" s="341" t="str">
        <f>IF(A5267="","",VLOOKUP(A5267,VII.A!$A$10:$D$199,4,FALSE))</f>
        <v/>
      </c>
      <c r="I5267" s="341" t="str">
        <f t="shared" si="1352"/>
        <v/>
      </c>
      <c r="J5267" s="341" t="str">
        <f>IF(A5267="","",VLOOKUP(A5267,VII.A!$A$10:$D$199,3,FALSE))</f>
        <v/>
      </c>
      <c r="K5267" s="342" t="str">
        <f t="shared" si="1353"/>
        <v/>
      </c>
      <c r="L5267" s="380" t="str">
        <f>IF(C5267="","",G5243*C5267)</f>
        <v/>
      </c>
      <c r="M5267" s="381" t="str">
        <f>IF(A5267="","",VLOOKUP(A5267,VII.A!$A$10:$B$199,2,FALSE))</f>
        <v/>
      </c>
      <c r="N5267" s="342" t="str">
        <f t="shared" si="1354"/>
        <v/>
      </c>
      <c r="R5267" s="341"/>
      <c r="S5267" s="341"/>
    </row>
    <row r="5268" spans="1:19" ht="12.75" customHeight="1">
      <c r="A5268" s="393"/>
      <c r="C5268" s="20"/>
      <c r="E5268" s="387"/>
      <c r="F5268" s="388">
        <f t="shared" si="1351"/>
        <v>0</v>
      </c>
      <c r="H5268" s="341" t="str">
        <f>IF(A5268="","",VLOOKUP(A5268,VII.A!$A$10:$D$199,4,FALSE))</f>
        <v/>
      </c>
      <c r="I5268" s="341" t="str">
        <f t="shared" si="1352"/>
        <v/>
      </c>
      <c r="J5268" s="341" t="str">
        <f>IF(A5268="","",VLOOKUP(A5268,VII.A!$A$10:$D$199,3,FALSE))</f>
        <v/>
      </c>
      <c r="K5268" s="342" t="str">
        <f t="shared" si="1353"/>
        <v/>
      </c>
      <c r="L5268" s="380" t="str">
        <f>IF(C5268="","",G5243*C5268)</f>
        <v/>
      </c>
      <c r="M5268" s="381" t="str">
        <f>IF(A5268="","",VLOOKUP(A5268,VII.A!$A$10:$B$199,2,FALSE))</f>
        <v/>
      </c>
      <c r="N5268" s="342" t="str">
        <f t="shared" si="1354"/>
        <v/>
      </c>
      <c r="R5268" s="341"/>
      <c r="S5268" s="341"/>
    </row>
    <row r="5269" spans="1:19" ht="12.75" customHeight="1">
      <c r="A5269" s="393"/>
      <c r="C5269" s="20"/>
      <c r="E5269" s="387"/>
      <c r="F5269" s="388">
        <f t="shared" si="1351"/>
        <v>0</v>
      </c>
      <c r="G5269" s="390"/>
      <c r="H5269" s="341" t="str">
        <f>IF(A5269="","",VLOOKUP(A5269,VII.A!$A$10:$D$199,4,FALSE))</f>
        <v/>
      </c>
      <c r="I5269" s="341" t="str">
        <f t="shared" si="1352"/>
        <v/>
      </c>
      <c r="J5269" s="341" t="str">
        <f>IF(A5269="","",VLOOKUP(A5269,VII.A!$A$10:$D$199,3,FALSE))</f>
        <v/>
      </c>
      <c r="K5269" s="342" t="str">
        <f t="shared" si="1353"/>
        <v/>
      </c>
      <c r="L5269" s="380" t="str">
        <f>IF(C5269="","",G5243*C5269)</f>
        <v/>
      </c>
      <c r="M5269" s="381" t="str">
        <f>IF(A5269="","",VLOOKUP(A5269,VII.A!$A$10:$B$199,2,FALSE))</f>
        <v/>
      </c>
      <c r="N5269" s="342" t="str">
        <f t="shared" si="1354"/>
        <v/>
      </c>
      <c r="R5269" s="341"/>
      <c r="S5269" s="341"/>
    </row>
    <row r="5270" spans="1:19" ht="12.75" customHeight="1">
      <c r="A5270" s="393"/>
      <c r="C5270" s="20"/>
      <c r="E5270" s="387"/>
      <c r="F5270" s="388">
        <f t="shared" si="1351"/>
        <v>0</v>
      </c>
      <c r="G5270" s="391"/>
      <c r="H5270" s="341" t="str">
        <f>IF(A5270="","",VLOOKUP(A5270,VII.A!$A$10:$D$199,4,FALSE))</f>
        <v/>
      </c>
      <c r="I5270" s="341" t="str">
        <f t="shared" si="1352"/>
        <v/>
      </c>
      <c r="J5270" s="341" t="str">
        <f>IF(A5270="","",VLOOKUP(A5270,VII.A!$A$10:$D$199,3,FALSE))</f>
        <v/>
      </c>
      <c r="K5270" s="342" t="str">
        <f t="shared" si="1353"/>
        <v/>
      </c>
      <c r="L5270" s="380" t="str">
        <f>IF(C5270="","",G5243*C5270)</f>
        <v/>
      </c>
      <c r="M5270" s="381" t="str">
        <f>IF(A5270="","",VLOOKUP(A5270,VII.A!$A$10:$B$199,2,FALSE))</f>
        <v/>
      </c>
      <c r="N5270" s="342" t="str">
        <f t="shared" si="1354"/>
        <v/>
      </c>
      <c r="R5270" s="341"/>
      <c r="S5270" s="341"/>
    </row>
    <row r="5271" spans="1:19" ht="12.75" customHeight="1">
      <c r="A5271" s="393"/>
      <c r="C5271" s="20"/>
      <c r="E5271" s="387"/>
      <c r="F5271" s="388">
        <f t="shared" si="1351"/>
        <v>0</v>
      </c>
      <c r="H5271" s="341" t="str">
        <f>IF(A5271="","",VLOOKUP(A5271,VII.A!$A$10:$D$199,4,FALSE))</f>
        <v/>
      </c>
      <c r="I5271" s="341" t="str">
        <f t="shared" si="1352"/>
        <v/>
      </c>
      <c r="J5271" s="341" t="str">
        <f>IF(A5271="","",VLOOKUP(A5271,VII.A!$A$10:$D$199,3,FALSE))</f>
        <v/>
      </c>
      <c r="K5271" s="342" t="str">
        <f t="shared" si="1353"/>
        <v/>
      </c>
      <c r="L5271" s="380" t="str">
        <f>IF(C5271="","",G5243*C5271)</f>
        <v/>
      </c>
      <c r="M5271" s="381" t="str">
        <f>IF(A5271="","",VLOOKUP(A5271,VII.A!$A$10:$B$199,2,FALSE))</f>
        <v/>
      </c>
      <c r="N5271" s="342" t="str">
        <f t="shared" si="1354"/>
        <v/>
      </c>
      <c r="R5271" s="341"/>
      <c r="S5271" s="341"/>
    </row>
    <row r="5272" spans="1:19" ht="12.75" customHeight="1">
      <c r="A5272" s="393"/>
      <c r="C5272" s="20"/>
      <c r="E5272" s="387"/>
      <c r="F5272" s="388">
        <f t="shared" si="1351"/>
        <v>0</v>
      </c>
      <c r="H5272" s="341" t="str">
        <f>IF(A5272="","",VLOOKUP(A5272,VII.A!$A$10:$D$199,4,FALSE))</f>
        <v/>
      </c>
      <c r="I5272" s="341" t="str">
        <f t="shared" si="1352"/>
        <v/>
      </c>
      <c r="J5272" s="341" t="str">
        <f>IF(A5272="","",VLOOKUP(A5272,VII.A!$A$10:$D$199,3,FALSE))</f>
        <v/>
      </c>
      <c r="K5272" s="342" t="str">
        <f t="shared" si="1353"/>
        <v/>
      </c>
      <c r="L5272" s="380" t="str">
        <f>IF(C5272="","",G5243*C5272)</f>
        <v/>
      </c>
      <c r="M5272" s="381" t="str">
        <f>IF(A5272="","",VLOOKUP(A5272,VII.A!$A$10:$B$199,2,FALSE))</f>
        <v/>
      </c>
      <c r="N5272" s="342" t="str">
        <f t="shared" si="1354"/>
        <v/>
      </c>
      <c r="R5272" s="341"/>
      <c r="S5272" s="341"/>
    </row>
    <row r="5273" spans="1:19" ht="12.75" customHeight="1">
      <c r="A5273" s="393"/>
      <c r="C5273" s="20"/>
      <c r="E5273" s="387"/>
      <c r="F5273" s="388">
        <f t="shared" si="1351"/>
        <v>0</v>
      </c>
      <c r="H5273" s="341" t="str">
        <f>IF(A5273="","",VLOOKUP(A5273,VII.A!$A$10:$D$199,4,FALSE))</f>
        <v/>
      </c>
      <c r="I5273" s="341" t="str">
        <f t="shared" si="1352"/>
        <v/>
      </c>
      <c r="J5273" s="341" t="str">
        <f>IF(A5273="","",VLOOKUP(A5273,VII.A!$A$10:$D$199,3,FALSE))</f>
        <v/>
      </c>
      <c r="K5273" s="342" t="str">
        <f t="shared" si="1353"/>
        <v/>
      </c>
      <c r="L5273" s="380" t="str">
        <f>IF(C5273="","",G5243*C5273)</f>
        <v/>
      </c>
      <c r="M5273" s="381" t="str">
        <f>IF(A5273="","",VLOOKUP(A5273,VII.A!$A$10:$B$199,2,FALSE))</f>
        <v/>
      </c>
      <c r="N5273" s="342" t="str">
        <f t="shared" si="1354"/>
        <v/>
      </c>
      <c r="R5273" s="341"/>
      <c r="S5273" s="341"/>
    </row>
    <row r="5274" spans="1:19" ht="12.75" customHeight="1">
      <c r="A5274" s="393"/>
      <c r="C5274" s="20"/>
      <c r="E5274" s="387"/>
      <c r="F5274" s="388">
        <f t="shared" si="1351"/>
        <v>0</v>
      </c>
      <c r="H5274" s="341" t="str">
        <f>IF(A5274="","",VLOOKUP(A5274,VII.A!$A$10:$D$199,4,FALSE))</f>
        <v/>
      </c>
      <c r="I5274" s="341" t="str">
        <f t="shared" si="1352"/>
        <v/>
      </c>
      <c r="J5274" s="341" t="str">
        <f>IF(A5274="","",VLOOKUP(A5274,VII.A!$A$10:$D$199,3,FALSE))</f>
        <v/>
      </c>
      <c r="K5274" s="342" t="str">
        <f t="shared" si="1353"/>
        <v/>
      </c>
      <c r="L5274" s="380" t="str">
        <f>IF(C5274="","",G5243*C5274)</f>
        <v/>
      </c>
      <c r="M5274" s="381" t="str">
        <f>IF(A5274="","",VLOOKUP(A5274,VII.A!$A$10:$B$199,2,FALSE))</f>
        <v/>
      </c>
      <c r="N5274" s="342" t="str">
        <f t="shared" si="1354"/>
        <v/>
      </c>
      <c r="R5274" s="341"/>
      <c r="S5274" s="341"/>
    </row>
    <row r="5275" spans="1:19" ht="12.75" customHeight="1">
      <c r="A5275" s="393"/>
      <c r="B5275" s="395" t="s">
        <v>226</v>
      </c>
      <c r="C5275" s="396"/>
      <c r="D5275" s="397"/>
      <c r="E5275" s="398"/>
      <c r="F5275" s="399">
        <f>SUM(F5265:F5274)</f>
        <v>0</v>
      </c>
      <c r="J5275" s="341"/>
      <c r="L5275" s="380"/>
      <c r="M5275" s="381"/>
      <c r="N5275" s="342"/>
      <c r="R5275" s="341"/>
      <c r="S5275" s="341"/>
    </row>
    <row r="5276" spans="1:19" ht="12.75" customHeight="1">
      <c r="A5276" s="393"/>
      <c r="B5276" s="400" t="s">
        <v>53</v>
      </c>
      <c r="C5276" s="2">
        <f>$D$8</f>
        <v>0</v>
      </c>
      <c r="D5276" s="401"/>
      <c r="E5276" s="402"/>
      <c r="F5276" s="403">
        <f>ROUND(C5276*F5275,2)</f>
        <v>0</v>
      </c>
      <c r="J5276" s="341"/>
      <c r="L5276" s="380"/>
      <c r="M5276" s="381"/>
      <c r="N5276" s="342"/>
      <c r="R5276" s="341"/>
      <c r="S5276" s="341"/>
    </row>
    <row r="5277" spans="1:19" ht="12.75" customHeight="1">
      <c r="A5277" s="404"/>
      <c r="B5277" s="405" t="s">
        <v>228</v>
      </c>
      <c r="C5277" s="406"/>
      <c r="D5277" s="406"/>
      <c r="E5277" s="407"/>
      <c r="F5277" s="408">
        <f>F5275+F5276</f>
        <v>0</v>
      </c>
      <c r="J5277" s="341"/>
      <c r="L5277" s="380"/>
      <c r="M5277" s="381"/>
      <c r="N5277" s="342"/>
      <c r="R5277" s="341"/>
      <c r="S5277" s="341"/>
    </row>
    <row r="5278" spans="1:19" ht="12.75" customHeight="1">
      <c r="A5278" s="409" t="s">
        <v>47</v>
      </c>
      <c r="B5278" s="410" t="s">
        <v>236</v>
      </c>
      <c r="C5278" s="411" t="s">
        <v>231</v>
      </c>
      <c r="D5278" s="412" t="s">
        <v>232</v>
      </c>
      <c r="E5278" s="413" t="s">
        <v>233</v>
      </c>
      <c r="F5278" s="378" t="s">
        <v>234</v>
      </c>
      <c r="J5278" s="341"/>
      <c r="L5278" s="380"/>
      <c r="M5278" s="381"/>
      <c r="N5278" s="342"/>
      <c r="R5278" s="341"/>
      <c r="S5278" s="341"/>
    </row>
    <row r="5279" spans="1:19" ht="12.75" customHeight="1">
      <c r="A5279" s="393" t="str">
        <f>VII.A!$A$181</f>
        <v>3.1</v>
      </c>
      <c r="B5279" s="394" t="s">
        <v>142</v>
      </c>
      <c r="C5279" s="20">
        <v>0.14399999999999999</v>
      </c>
      <c r="D5279" s="384" t="str">
        <f>VLOOKUP(A5279,VII.A!$A$10:$G$199,3,FALSE)</f>
        <v>H</v>
      </c>
      <c r="E5279" s="387">
        <f>VII.A!D181</f>
        <v>0</v>
      </c>
      <c r="F5279" s="388">
        <f t="shared" ref="F5279:F5285" si="1355">ROUND(C5279*E5279,2)</f>
        <v>0</v>
      </c>
      <c r="H5279" s="341">
        <f>IF(A5279="","",VLOOKUP(A5279,VII.A!$A$10:$D$199,4,FALSE))</f>
        <v>0</v>
      </c>
      <c r="I5279" s="341" t="str">
        <f t="shared" ref="I5279:I5285" si="1356">IF(A5279="","",IF(E5279=H5279,"SIM","NÃO"))</f>
        <v>SIM</v>
      </c>
      <c r="J5279" s="341" t="str">
        <f>IF(A5279="","",VLOOKUP(A5279,VII.A!$A$10:$D$199,3,FALSE))</f>
        <v>H</v>
      </c>
      <c r="K5279" s="342" t="str">
        <f t="shared" ref="K5279:K5285" si="1357">IF(A5279="","",IF(J5279=D5279,"SIM","NÃO"))</f>
        <v>SIM</v>
      </c>
      <c r="L5279" s="380">
        <f>IF(C5279="","",G5243*C5279)</f>
        <v>10.08</v>
      </c>
      <c r="M5279" s="381" t="str">
        <f>IF(A5279="","",VLOOKUP(A5279,VII.A!$A$10:$B$199,2,FALSE))</f>
        <v>AJUDANTE COM ENCARGOS COMPLEMENTARES</v>
      </c>
      <c r="N5279" s="342" t="str">
        <f t="shared" ref="N5279:N5285" si="1358">IF(B5279="","",IF(M5279=B5279,"si","no"))</f>
        <v>si</v>
      </c>
      <c r="R5279" s="341"/>
      <c r="S5279" s="341"/>
    </row>
    <row r="5280" spans="1:19" ht="12.75" customHeight="1">
      <c r="A5280" s="393" t="str">
        <f>VII.A!$A$189</f>
        <v>3.9</v>
      </c>
      <c r="B5280" s="394" t="s">
        <v>150</v>
      </c>
      <c r="C5280" s="20">
        <v>0.14399999999999999</v>
      </c>
      <c r="D5280" s="384" t="str">
        <f>VLOOKUP(A5280,VII.A!$A$10:$G$199,3,FALSE)</f>
        <v>H</v>
      </c>
      <c r="E5280" s="387">
        <f>VII.A!D189</f>
        <v>0</v>
      </c>
      <c r="F5280" s="388">
        <f t="shared" si="1355"/>
        <v>0</v>
      </c>
      <c r="H5280" s="341">
        <f>IF(A5280="","",VLOOKUP(A5280,VII.A!$A$10:$D$199,4,FALSE))</f>
        <v>0</v>
      </c>
      <c r="I5280" s="341" t="str">
        <f t="shared" si="1356"/>
        <v>SIM</v>
      </c>
      <c r="J5280" s="341" t="str">
        <f>IF(A5280="","",VLOOKUP(A5280,VII.A!$A$10:$D$199,3,FALSE))</f>
        <v>H</v>
      </c>
      <c r="K5280" s="342" t="str">
        <f t="shared" si="1357"/>
        <v>SIM</v>
      </c>
      <c r="L5280" s="380">
        <f>IF(C5280="","",G5243*C5280)</f>
        <v>10.08</v>
      </c>
      <c r="M5280" s="381" t="str">
        <f>IF(A5280="","",VLOOKUP(A5280,VII.A!$A$10:$B$199,2,FALSE))</f>
        <v>ELETRICISTA COM ENCARGOS COMPLEMENTARES</v>
      </c>
      <c r="N5280" s="342" t="str">
        <f t="shared" si="1358"/>
        <v>si</v>
      </c>
      <c r="R5280" s="341"/>
      <c r="S5280" s="341"/>
    </row>
    <row r="5281" spans="1:25" ht="12.75" customHeight="1">
      <c r="A5281" s="393"/>
      <c r="C5281" s="20"/>
      <c r="E5281" s="387"/>
      <c r="F5281" s="388">
        <f t="shared" si="1355"/>
        <v>0</v>
      </c>
      <c r="H5281" s="341" t="str">
        <f>IF(A5281="","",VLOOKUP(A5281,VII.A!$A$10:$D$199,4,FALSE))</f>
        <v/>
      </c>
      <c r="I5281" s="341" t="str">
        <f t="shared" si="1356"/>
        <v/>
      </c>
      <c r="J5281" s="341" t="str">
        <f>IF(A5281="","",VLOOKUP(A5281,VII.A!$A$10:$D$199,3,FALSE))</f>
        <v/>
      </c>
      <c r="K5281" s="342" t="str">
        <f t="shared" si="1357"/>
        <v/>
      </c>
      <c r="L5281" s="380" t="str">
        <f>IF(C5281="","",G5243*C5281)</f>
        <v/>
      </c>
      <c r="M5281" s="381" t="str">
        <f>IF(A5281="","",VLOOKUP(A5281,VII.A!$A$10:$B$199,2,FALSE))</f>
        <v/>
      </c>
      <c r="N5281" s="342" t="str">
        <f t="shared" si="1358"/>
        <v/>
      </c>
      <c r="R5281" s="341"/>
      <c r="S5281" s="341"/>
    </row>
    <row r="5282" spans="1:25" ht="12.75" customHeight="1">
      <c r="A5282" s="393"/>
      <c r="C5282" s="20"/>
      <c r="E5282" s="387"/>
      <c r="F5282" s="388">
        <f t="shared" si="1355"/>
        <v>0</v>
      </c>
      <c r="H5282" s="341" t="str">
        <f>IF(A5282="","",VLOOKUP(A5282,VII.A!$A$10:$D$199,4,FALSE))</f>
        <v/>
      </c>
      <c r="I5282" s="341" t="str">
        <f t="shared" si="1356"/>
        <v/>
      </c>
      <c r="J5282" s="341" t="str">
        <f>IF(A5282="","",VLOOKUP(A5282,VII.A!$A$10:$D$199,3,FALSE))</f>
        <v/>
      </c>
      <c r="K5282" s="342" t="str">
        <f t="shared" si="1357"/>
        <v/>
      </c>
      <c r="L5282" s="380" t="str">
        <f>IF(C5282="","",G5243*C5282)</f>
        <v/>
      </c>
      <c r="M5282" s="381" t="str">
        <f>IF(A5282="","",VLOOKUP(A5282,VII.A!$A$10:$B$199,2,FALSE))</f>
        <v/>
      </c>
      <c r="N5282" s="342" t="str">
        <f t="shared" si="1358"/>
        <v/>
      </c>
      <c r="R5282" s="341"/>
      <c r="S5282" s="341"/>
    </row>
    <row r="5283" spans="1:25" ht="12.75" customHeight="1">
      <c r="A5283" s="393"/>
      <c r="C5283" s="20"/>
      <c r="E5283" s="387"/>
      <c r="F5283" s="388">
        <f t="shared" si="1355"/>
        <v>0</v>
      </c>
      <c r="H5283" s="341" t="str">
        <f>IF(A5283="","",VLOOKUP(A5283,VII.A!$A$10:$D$199,4,FALSE))</f>
        <v/>
      </c>
      <c r="I5283" s="341" t="str">
        <f t="shared" si="1356"/>
        <v/>
      </c>
      <c r="J5283" s="341" t="str">
        <f>IF(A5283="","",VLOOKUP(A5283,VII.A!$A$10:$D$199,3,FALSE))</f>
        <v/>
      </c>
      <c r="K5283" s="342" t="str">
        <f t="shared" si="1357"/>
        <v/>
      </c>
      <c r="L5283" s="380" t="str">
        <f>IF(C5283="","",G5243*C5283)</f>
        <v/>
      </c>
      <c r="M5283" s="381" t="str">
        <f>IF(A5283="","",VLOOKUP(A5283,VII.A!$A$10:$B$199,2,FALSE))</f>
        <v/>
      </c>
      <c r="N5283" s="342" t="str">
        <f t="shared" si="1358"/>
        <v/>
      </c>
      <c r="R5283" s="341"/>
      <c r="S5283" s="341"/>
    </row>
    <row r="5284" spans="1:25" ht="12.75" customHeight="1">
      <c r="A5284" s="393"/>
      <c r="C5284" s="20"/>
      <c r="E5284" s="387"/>
      <c r="F5284" s="388">
        <f t="shared" si="1355"/>
        <v>0</v>
      </c>
      <c r="H5284" s="341" t="str">
        <f>IF(A5284="","",VLOOKUP(A5284,VII.A!$A$10:$D$199,4,FALSE))</f>
        <v/>
      </c>
      <c r="I5284" s="341" t="str">
        <f t="shared" si="1356"/>
        <v/>
      </c>
      <c r="J5284" s="341" t="str">
        <f>IF(A5284="","",VLOOKUP(A5284,VII.A!$A$10:$D$199,3,FALSE))</f>
        <v/>
      </c>
      <c r="K5284" s="342" t="str">
        <f t="shared" si="1357"/>
        <v/>
      </c>
      <c r="L5284" s="380" t="str">
        <f>IF(C5284="","",G5243*C5284)</f>
        <v/>
      </c>
      <c r="M5284" s="381" t="str">
        <f>IF(A5284="","",VLOOKUP(A5284,VII.A!$A$10:$B$199,2,FALSE))</f>
        <v/>
      </c>
      <c r="N5284" s="342" t="str">
        <f t="shared" si="1358"/>
        <v/>
      </c>
      <c r="R5284" s="341"/>
      <c r="S5284" s="341"/>
    </row>
    <row r="5285" spans="1:25" ht="12.75" customHeight="1">
      <c r="A5285" s="393"/>
      <c r="C5285" s="20"/>
      <c r="E5285" s="387"/>
      <c r="F5285" s="388">
        <f t="shared" si="1355"/>
        <v>0</v>
      </c>
      <c r="H5285" s="341" t="str">
        <f>IF(A5285="","",VLOOKUP(A5285,VII.A!$A$10:$D$199,4,FALSE))</f>
        <v/>
      </c>
      <c r="I5285" s="341" t="str">
        <f t="shared" si="1356"/>
        <v/>
      </c>
      <c r="J5285" s="341" t="str">
        <f>IF(A5285="","",VLOOKUP(A5285,VII.A!$A$10:$D$199,3,FALSE))</f>
        <v/>
      </c>
      <c r="K5285" s="342" t="str">
        <f t="shared" si="1357"/>
        <v/>
      </c>
      <c r="L5285" s="380" t="str">
        <f>IF(C5285="","",G5243*C5285)</f>
        <v/>
      </c>
      <c r="M5285" s="381" t="str">
        <f>IF(A5285="","",VLOOKUP(A5285,VII.A!$A$10:$B$199,2,FALSE))</f>
        <v/>
      </c>
      <c r="N5285" s="342" t="str">
        <f t="shared" si="1358"/>
        <v/>
      </c>
      <c r="R5285" s="341"/>
      <c r="S5285" s="341"/>
    </row>
    <row r="5286" spans="1:25" ht="12.75" customHeight="1">
      <c r="A5286" s="393"/>
      <c r="B5286" s="395" t="s">
        <v>226</v>
      </c>
      <c r="C5286" s="396"/>
      <c r="D5286" s="397"/>
      <c r="E5286" s="398"/>
      <c r="F5286" s="399">
        <f>SUM(F5279:F5285)</f>
        <v>0</v>
      </c>
      <c r="J5286" s="341"/>
      <c r="L5286" s="380"/>
      <c r="M5286" s="381"/>
      <c r="N5286" s="342"/>
      <c r="R5286" s="341"/>
      <c r="S5286" s="341"/>
    </row>
    <row r="5287" spans="1:25" ht="12.75" customHeight="1">
      <c r="A5287" s="393"/>
      <c r="B5287" s="400" t="s">
        <v>229</v>
      </c>
      <c r="C5287" s="2">
        <f>IX.A!$C$45</f>
        <v>0</v>
      </c>
      <c r="D5287" s="401"/>
      <c r="E5287" s="402"/>
      <c r="F5287" s="403">
        <f>ROUND(F5286*C5287,2)</f>
        <v>0</v>
      </c>
      <c r="J5287" s="341"/>
      <c r="L5287" s="380"/>
      <c r="M5287" s="381"/>
      <c r="N5287" s="342"/>
      <c r="R5287" s="341"/>
      <c r="S5287" s="341"/>
    </row>
    <row r="5288" spans="1:25" ht="12.75" customHeight="1">
      <c r="A5288" s="393"/>
      <c r="B5288" s="400" t="s">
        <v>53</v>
      </c>
      <c r="C5288" s="2">
        <f>$D$8</f>
        <v>0</v>
      </c>
      <c r="D5288" s="401"/>
      <c r="E5288" s="402"/>
      <c r="F5288" s="403">
        <f>ROUND(SUM(F5286:F5287)*C5288,2)</f>
        <v>0</v>
      </c>
      <c r="J5288" s="341"/>
      <c r="L5288" s="380"/>
      <c r="M5288" s="381"/>
      <c r="N5288" s="342"/>
      <c r="R5288" s="341"/>
      <c r="S5288" s="341"/>
    </row>
    <row r="5289" spans="1:25" ht="12.75" customHeight="1" thickBot="1">
      <c r="A5289" s="414"/>
      <c r="B5289" s="415" t="s">
        <v>230</v>
      </c>
      <c r="C5289" s="416"/>
      <c r="D5289" s="416"/>
      <c r="E5289" s="417"/>
      <c r="F5289" s="418">
        <f>SUM(F5286:F5288)</f>
        <v>0</v>
      </c>
      <c r="J5289" s="341"/>
      <c r="L5289" s="380"/>
      <c r="M5289" s="381"/>
      <c r="N5289" s="342"/>
      <c r="R5289" s="341"/>
      <c r="S5289" s="341"/>
    </row>
    <row r="5290" spans="1:25" ht="12.75" customHeight="1" thickBot="1">
      <c r="A5290" s="357"/>
      <c r="B5290" s="358"/>
      <c r="C5290" s="359"/>
      <c r="D5290" s="359"/>
      <c r="E5290" s="360"/>
      <c r="F5290" s="419"/>
      <c r="J5290" s="341"/>
      <c r="L5290" s="380"/>
      <c r="M5290" s="381"/>
      <c r="N5290" s="342"/>
      <c r="R5290" s="341"/>
      <c r="S5290" s="341"/>
    </row>
    <row r="5291" spans="1:25" ht="30" customHeight="1">
      <c r="A5291" s="370" t="str">
        <f>IV.A!A159</f>
        <v>7.3</v>
      </c>
      <c r="B5291" s="371" t="str">
        <f>IV.A!B159</f>
        <v>FORNECIMENTO E LANÇAMENTO DE ELETRODUTO FLEXÍVEL CORRUGADO REFORÇADO, PVC, DN 32 MM (1")</v>
      </c>
      <c r="C5291" s="871" t="s">
        <v>237</v>
      </c>
      <c r="D5291" s="872"/>
      <c r="E5291" s="372" t="str">
        <f>IV.A!C159</f>
        <v>M</v>
      </c>
      <c r="F5291" s="11">
        <f>ROUND(F5311+F5325+F5337,2)</f>
        <v>0</v>
      </c>
      <c r="G5291" s="1">
        <f>VLOOKUP(A5291,IV.A!$A$16:$L$172,4,FALSE)</f>
        <v>50</v>
      </c>
      <c r="H5291" s="361">
        <f>SUM(F5293:F5308)+F5310</f>
        <v>0</v>
      </c>
      <c r="I5291" s="361">
        <f>SUM(F5313:F5322)+F5324</f>
        <v>0</v>
      </c>
      <c r="J5291" s="361">
        <f>SUM(F5327:F5333)+F5335+F5336</f>
        <v>0</v>
      </c>
      <c r="K5291" s="361">
        <f>SUM(H5291:J5291)</f>
        <v>0</v>
      </c>
      <c r="L5291" s="362" t="str">
        <f>IF(K5291=F5291,"SIM","NÃO")</f>
        <v>SIM</v>
      </c>
      <c r="M5291" s="373">
        <f>ROUND(SUM(F5293:F5308),2)+ROUND(SUM(F5293:F5308)*C5310,2)+ROUND(SUM(F5313:F5322)*C5324,2)+ROUND(SUM(F5313:F5322),2)+ROUND(SUM(F5327:F5333)*C5335,2)+ROUND((SUM(F5327:F5333)+ROUND(SUM(F5327:F5333)*C5335,2))*C5336,2)+ROUND(SUM(F5327:F5333),2)</f>
        <v>0</v>
      </c>
      <c r="N5291" s="343" t="str">
        <f>IF(M5291=F5291,"SIM","NÃO")</f>
        <v>SIM</v>
      </c>
      <c r="O5291" s="364" t="str">
        <f>VLOOKUP(A5291,IV.A!$A$16:$E$172,3,FALSE)</f>
        <v>M</v>
      </c>
      <c r="P5291" s="344" t="str">
        <f>IF(O5291=E5291,"SIM","NÃO")</f>
        <v>SIM</v>
      </c>
      <c r="Q5291" s="365">
        <f>ROUND(G5291*F5311,2)+ROUND(G5291*F5325,2)+ROUND(G5291*F5337,2)</f>
        <v>0</v>
      </c>
      <c r="R5291" s="364">
        <f>VLOOKUP(A5291,IV.A!$A$16:$L$172,12,FALSE)</f>
        <v>0</v>
      </c>
      <c r="S5291" s="366" t="str">
        <f>IF(Q5291=R5291,"si","no")</f>
        <v>si</v>
      </c>
      <c r="T5291" s="367">
        <f>SUM(L5293:L5308)+SUM(L5313:L5322)+SUM(L5327:L5333)</f>
        <v>67.25</v>
      </c>
      <c r="U5291" s="341">
        <f>(SUM(C5293:C5308)+SUM(C5313:C5322)+SUM(C5327:C5333))*G5291</f>
        <v>67.25</v>
      </c>
      <c r="V5291" s="368" t="str">
        <f>IF(T5291=U5291,"si","no")</f>
        <v>si</v>
      </c>
      <c r="W5291" s="369">
        <f>SUM(F5293:F5308)</f>
        <v>0</v>
      </c>
      <c r="X5291" s="369">
        <f>SUM(F5313:F5322)</f>
        <v>0</v>
      </c>
      <c r="Y5291" s="369">
        <f>SUM(F5327:F5333)</f>
        <v>0</v>
      </c>
    </row>
    <row r="5292" spans="1:25" ht="12.75" customHeight="1">
      <c r="A5292" s="374" t="s">
        <v>14</v>
      </c>
      <c r="B5292" s="375" t="s">
        <v>132</v>
      </c>
      <c r="C5292" s="376" t="s">
        <v>231</v>
      </c>
      <c r="D5292" s="376" t="s">
        <v>232</v>
      </c>
      <c r="E5292" s="377" t="s">
        <v>233</v>
      </c>
      <c r="F5292" s="378" t="s">
        <v>234</v>
      </c>
      <c r="G5292" s="379"/>
      <c r="J5292" s="341"/>
      <c r="L5292" s="380"/>
      <c r="M5292" s="381"/>
      <c r="N5292" s="342"/>
      <c r="O5292" s="382"/>
      <c r="P5292" s="383"/>
      <c r="Q5292" s="383"/>
      <c r="R5292" s="383"/>
      <c r="S5292" s="383"/>
      <c r="T5292" s="382"/>
      <c r="U5292" s="341"/>
      <c r="V5292" s="384"/>
      <c r="W5292" s="384"/>
      <c r="X5292" s="384"/>
      <c r="Y5292" s="384"/>
    </row>
    <row r="5293" spans="1:25" ht="12.75" customHeight="1">
      <c r="A5293" s="385" t="str">
        <f>VII.A!$A$48</f>
        <v>1.39</v>
      </c>
      <c r="B5293" s="386" t="str">
        <f>VLOOKUP(A5293,VII.A!$A$10:$G$199,2,FALSE)</f>
        <v>ELETRODUTO PVC FLEXIVEL CORRUGADO, REFORCADO, COR LARANJA, DE 32 MM, 1"</v>
      </c>
      <c r="C5293" s="20">
        <v>1.0169999999999999</v>
      </c>
      <c r="D5293" s="342" t="str">
        <f>VLOOKUP(A5293,VII.A!$A$10:$G$199,3,FALSE)</f>
        <v>M</v>
      </c>
      <c r="E5293" s="387">
        <f>VII.A!D48</f>
        <v>0</v>
      </c>
      <c r="F5293" s="388">
        <f>ROUND(C5293*E5293,2)</f>
        <v>0</v>
      </c>
      <c r="H5293" s="341">
        <f>IF(A5293="","",VLOOKUP(A5293,VII.A!$A$10:$D$199,4,FALSE))</f>
        <v>0</v>
      </c>
      <c r="I5293" s="341" t="str">
        <f t="shared" ref="I5293:I5308" si="1359">IF(A5293="","",IF(E5293=H5293,"SIM","NÃO"))</f>
        <v>SIM</v>
      </c>
      <c r="J5293" s="341" t="str">
        <f>IF(A5293="","",VLOOKUP(A5293,VII.A!$A$10:$D$199,3,FALSE))</f>
        <v>M</v>
      </c>
      <c r="K5293" s="342" t="str">
        <f t="shared" ref="K5293:K5308" si="1360">IF(A5293="","",IF(J5293=D5293,"SIM","NÃO"))</f>
        <v>SIM</v>
      </c>
      <c r="L5293" s="380">
        <f>IF(C5293="","",G5291*C5293)</f>
        <v>50.849999999999994</v>
      </c>
      <c r="M5293" s="381" t="str">
        <f>IF(A5293="","",VLOOKUP(A5293,VII.A!$A$10:$B$199,2,FALSE))</f>
        <v>ELETRODUTO PVC FLEXIVEL CORRUGADO, REFORCADO, COR LARANJA, DE 32 MM, 1"</v>
      </c>
      <c r="N5293" s="342" t="str">
        <f t="shared" ref="N5293:N5308" si="1361">IF(B5293="","",IF(M5293=B5293,"si","no"))</f>
        <v>si</v>
      </c>
      <c r="R5293" s="341"/>
      <c r="S5293" s="341"/>
    </row>
    <row r="5294" spans="1:25" ht="12.75" customHeight="1">
      <c r="A5294" s="385"/>
      <c r="B5294" s="386"/>
      <c r="C5294" s="20"/>
      <c r="D5294" s="342"/>
      <c r="E5294" s="387"/>
      <c r="F5294" s="388">
        <f t="shared" ref="F5294:F5308" si="1362">ROUND(C5294*E5294,2)</f>
        <v>0</v>
      </c>
      <c r="H5294" s="341" t="str">
        <f>IF(A5294="","",VLOOKUP(A5294,VII.A!$A$10:$D$199,4,FALSE))</f>
        <v/>
      </c>
      <c r="I5294" s="341" t="str">
        <f t="shared" si="1359"/>
        <v/>
      </c>
      <c r="J5294" s="341" t="str">
        <f>IF(A5294="","",VLOOKUP(A5294,VII.A!$A$10:$D$199,3,FALSE))</f>
        <v/>
      </c>
      <c r="K5294" s="342" t="str">
        <f t="shared" si="1360"/>
        <v/>
      </c>
      <c r="L5294" s="380" t="str">
        <f>IF(C5294="","",G5291*C5294)</f>
        <v/>
      </c>
      <c r="M5294" s="381" t="str">
        <f>IF(A5294="","",VLOOKUP(A5294,VII.A!$A$10:$B$199,2,FALSE))</f>
        <v/>
      </c>
      <c r="N5294" s="342" t="str">
        <f t="shared" si="1361"/>
        <v/>
      </c>
      <c r="R5294" s="341"/>
      <c r="S5294" s="341"/>
    </row>
    <row r="5295" spans="1:25" ht="12.75" customHeight="1">
      <c r="A5295" s="385"/>
      <c r="B5295" s="386"/>
      <c r="C5295" s="20"/>
      <c r="D5295" s="342"/>
      <c r="E5295" s="387"/>
      <c r="F5295" s="388">
        <f t="shared" si="1362"/>
        <v>0</v>
      </c>
      <c r="H5295" s="341" t="str">
        <f>IF(A5295="","",VLOOKUP(A5295,VII.A!$A$10:$D$199,4,FALSE))</f>
        <v/>
      </c>
      <c r="I5295" s="341" t="str">
        <f t="shared" si="1359"/>
        <v/>
      </c>
      <c r="J5295" s="341" t="str">
        <f>IF(A5295="","",VLOOKUP(A5295,VII.A!$A$10:$D$199,3,FALSE))</f>
        <v/>
      </c>
      <c r="K5295" s="342" t="str">
        <f t="shared" si="1360"/>
        <v/>
      </c>
      <c r="L5295" s="380" t="str">
        <f>IF(C5295="","",G5291*C5295)</f>
        <v/>
      </c>
      <c r="M5295" s="381" t="str">
        <f>IF(A5295="","",VLOOKUP(A5295,VII.A!$A$10:$B$199,2,FALSE))</f>
        <v/>
      </c>
      <c r="N5295" s="342" t="str">
        <f t="shared" si="1361"/>
        <v/>
      </c>
      <c r="R5295" s="341"/>
      <c r="S5295" s="341"/>
    </row>
    <row r="5296" spans="1:25" ht="12.75" customHeight="1">
      <c r="A5296" s="385"/>
      <c r="B5296" s="386"/>
      <c r="C5296" s="20"/>
      <c r="D5296" s="342"/>
      <c r="E5296" s="387"/>
      <c r="F5296" s="388">
        <f t="shared" si="1362"/>
        <v>0</v>
      </c>
      <c r="H5296" s="341" t="str">
        <f>IF(A5296="","",VLOOKUP(A5296,VII.A!$A$10:$D$199,4,FALSE))</f>
        <v/>
      </c>
      <c r="I5296" s="341" t="str">
        <f t="shared" si="1359"/>
        <v/>
      </c>
      <c r="J5296" s="341" t="str">
        <f>IF(A5296="","",VLOOKUP(A5296,VII.A!$A$10:$D$199,3,FALSE))</f>
        <v/>
      </c>
      <c r="K5296" s="342" t="str">
        <f t="shared" si="1360"/>
        <v/>
      </c>
      <c r="L5296" s="380" t="str">
        <f>IF(C5296="","",G5291*C5296)</f>
        <v/>
      </c>
      <c r="M5296" s="381" t="str">
        <f>IF(A5296="","",VLOOKUP(A5296,VII.A!$A$10:$B$199,2,FALSE))</f>
        <v/>
      </c>
      <c r="N5296" s="342" t="str">
        <f t="shared" si="1361"/>
        <v/>
      </c>
      <c r="R5296" s="341"/>
      <c r="S5296" s="341"/>
    </row>
    <row r="5297" spans="1:21" ht="12.75" customHeight="1">
      <c r="A5297" s="385"/>
      <c r="B5297" s="386"/>
      <c r="C5297" s="20"/>
      <c r="D5297" s="342"/>
      <c r="E5297" s="387"/>
      <c r="F5297" s="388">
        <f t="shared" si="1362"/>
        <v>0</v>
      </c>
      <c r="H5297" s="341" t="str">
        <f>IF(A5297="","",VLOOKUP(A5297,VII.A!$A$10:$D$199,4,FALSE))</f>
        <v/>
      </c>
      <c r="I5297" s="341" t="str">
        <f t="shared" si="1359"/>
        <v/>
      </c>
      <c r="J5297" s="341" t="str">
        <f>IF(A5297="","",VLOOKUP(A5297,VII.A!$A$10:$D$199,3,FALSE))</f>
        <v/>
      </c>
      <c r="K5297" s="342" t="str">
        <f t="shared" si="1360"/>
        <v/>
      </c>
      <c r="L5297" s="380" t="str">
        <f>IF(C5297="","",G5291*C5297)</f>
        <v/>
      </c>
      <c r="M5297" s="381" t="str">
        <f>IF(A5297="","",VLOOKUP(A5297,VII.A!$A$10:$B$199,2,FALSE))</f>
        <v/>
      </c>
      <c r="N5297" s="342" t="str">
        <f t="shared" si="1361"/>
        <v/>
      </c>
      <c r="R5297" s="341"/>
      <c r="S5297" s="341"/>
    </row>
    <row r="5298" spans="1:21" ht="12.75" customHeight="1">
      <c r="A5298" s="385"/>
      <c r="B5298" s="386"/>
      <c r="C5298" s="20"/>
      <c r="D5298" s="342"/>
      <c r="E5298" s="387"/>
      <c r="F5298" s="388">
        <f t="shared" si="1362"/>
        <v>0</v>
      </c>
      <c r="H5298" s="341" t="str">
        <f>IF(A5298="","",VLOOKUP(A5298,VII.A!$A$10:$D$199,4,FALSE))</f>
        <v/>
      </c>
      <c r="I5298" s="341" t="str">
        <f t="shared" si="1359"/>
        <v/>
      </c>
      <c r="J5298" s="341" t="str">
        <f>IF(A5298="","",VLOOKUP(A5298,VII.A!$A$10:$D$199,3,FALSE))</f>
        <v/>
      </c>
      <c r="K5298" s="342" t="str">
        <f t="shared" si="1360"/>
        <v/>
      </c>
      <c r="L5298" s="380" t="str">
        <f>IF(C5298="","",G5291*C5298)</f>
        <v/>
      </c>
      <c r="M5298" s="381" t="str">
        <f>IF(A5298="","",VLOOKUP(A5298,VII.A!$A$10:$B$199,2,FALSE))</f>
        <v/>
      </c>
      <c r="N5298" s="342" t="str">
        <f t="shared" si="1361"/>
        <v/>
      </c>
      <c r="R5298" s="341"/>
      <c r="S5298" s="341"/>
      <c r="U5298" s="389"/>
    </row>
    <row r="5299" spans="1:21" ht="12.75" customHeight="1">
      <c r="A5299" s="385"/>
      <c r="B5299" s="386"/>
      <c r="C5299" s="20"/>
      <c r="D5299" s="342"/>
      <c r="E5299" s="387"/>
      <c r="F5299" s="388">
        <f t="shared" si="1362"/>
        <v>0</v>
      </c>
      <c r="H5299" s="341" t="str">
        <f>IF(A5299="","",VLOOKUP(A5299,VII.A!$A$10:$D$199,4,FALSE))</f>
        <v/>
      </c>
      <c r="I5299" s="341" t="str">
        <f t="shared" si="1359"/>
        <v/>
      </c>
      <c r="J5299" s="341" t="str">
        <f>IF(A5299="","",VLOOKUP(A5299,VII.A!$A$10:$D$199,3,FALSE))</f>
        <v/>
      </c>
      <c r="K5299" s="342" t="str">
        <f t="shared" si="1360"/>
        <v/>
      </c>
      <c r="L5299" s="380" t="str">
        <f>IF(C5299="","",G5291*C5299)</f>
        <v/>
      </c>
      <c r="M5299" s="381" t="str">
        <f>IF(A5299="","",VLOOKUP(A5299,VII.A!$A$10:$B$199,2,FALSE))</f>
        <v/>
      </c>
      <c r="N5299" s="342" t="str">
        <f t="shared" si="1361"/>
        <v/>
      </c>
      <c r="R5299" s="341"/>
      <c r="S5299" s="341"/>
    </row>
    <row r="5300" spans="1:21" ht="12.75" customHeight="1">
      <c r="A5300" s="385"/>
      <c r="B5300" s="386"/>
      <c r="C5300" s="20"/>
      <c r="D5300" s="342"/>
      <c r="E5300" s="387"/>
      <c r="F5300" s="388">
        <f t="shared" si="1362"/>
        <v>0</v>
      </c>
      <c r="G5300" s="390"/>
      <c r="H5300" s="341" t="str">
        <f>IF(A5300="","",VLOOKUP(A5300,VII.A!$A$10:$D$199,4,FALSE))</f>
        <v/>
      </c>
      <c r="I5300" s="341" t="str">
        <f t="shared" si="1359"/>
        <v/>
      </c>
      <c r="J5300" s="341" t="str">
        <f>IF(A5300="","",VLOOKUP(A5300,VII.A!$A$10:$D$199,3,FALSE))</f>
        <v/>
      </c>
      <c r="K5300" s="342" t="str">
        <f t="shared" si="1360"/>
        <v/>
      </c>
      <c r="L5300" s="380" t="str">
        <f>IF(C5300="","",G5291*C5300)</f>
        <v/>
      </c>
      <c r="M5300" s="381" t="str">
        <f>IF(A5300="","",VLOOKUP(A5300,VII.A!$A$10:$B$199,2,FALSE))</f>
        <v/>
      </c>
      <c r="N5300" s="342" t="str">
        <f t="shared" si="1361"/>
        <v/>
      </c>
      <c r="R5300" s="341"/>
      <c r="S5300" s="341"/>
    </row>
    <row r="5301" spans="1:21" ht="12.75" customHeight="1">
      <c r="A5301" s="385"/>
      <c r="B5301" s="386"/>
      <c r="C5301" s="20"/>
      <c r="D5301" s="342"/>
      <c r="E5301" s="387"/>
      <c r="F5301" s="388">
        <f t="shared" si="1362"/>
        <v>0</v>
      </c>
      <c r="G5301" s="390"/>
      <c r="H5301" s="341" t="str">
        <f>IF(A5301="","",VLOOKUP(A5301,VII.A!$A$10:$D$199,4,FALSE))</f>
        <v/>
      </c>
      <c r="I5301" s="341" t="str">
        <f t="shared" si="1359"/>
        <v/>
      </c>
      <c r="J5301" s="341" t="str">
        <f>IF(A5301="","",VLOOKUP(A5301,VII.A!$A$10:$D$199,3,FALSE))</f>
        <v/>
      </c>
      <c r="K5301" s="342" t="str">
        <f t="shared" si="1360"/>
        <v/>
      </c>
      <c r="L5301" s="380" t="str">
        <f>IF(C5301="","",G5291*C5301)</f>
        <v/>
      </c>
      <c r="M5301" s="381" t="str">
        <f>IF(A5301="","",VLOOKUP(A5301,VII.A!$A$10:$B$199,2,FALSE))</f>
        <v/>
      </c>
      <c r="N5301" s="342" t="str">
        <f t="shared" si="1361"/>
        <v/>
      </c>
      <c r="R5301" s="341"/>
      <c r="S5301" s="341"/>
    </row>
    <row r="5302" spans="1:21" ht="12.75" customHeight="1">
      <c r="A5302" s="385"/>
      <c r="B5302" s="386"/>
      <c r="C5302" s="20"/>
      <c r="D5302" s="342"/>
      <c r="E5302" s="387"/>
      <c r="F5302" s="388">
        <f t="shared" si="1362"/>
        <v>0</v>
      </c>
      <c r="G5302" s="391"/>
      <c r="H5302" s="341" t="str">
        <f>IF(A5302="","",VLOOKUP(A5302,VII.A!$A$10:$D$199,4,FALSE))</f>
        <v/>
      </c>
      <c r="I5302" s="341" t="str">
        <f t="shared" si="1359"/>
        <v/>
      </c>
      <c r="J5302" s="341" t="str">
        <f>IF(A5302="","",VLOOKUP(A5302,VII.A!$A$10:$D$199,3,FALSE))</f>
        <v/>
      </c>
      <c r="K5302" s="342" t="str">
        <f t="shared" si="1360"/>
        <v/>
      </c>
      <c r="L5302" s="380" t="str">
        <f>IF(C5302="","",G5291*C5302)</f>
        <v/>
      </c>
      <c r="M5302" s="381" t="str">
        <f>IF(A5302="","",VLOOKUP(A5302,VII.A!$A$10:$B$199,2,FALSE))</f>
        <v/>
      </c>
      <c r="N5302" s="342" t="str">
        <f t="shared" si="1361"/>
        <v/>
      </c>
      <c r="R5302" s="341"/>
      <c r="S5302" s="341"/>
    </row>
    <row r="5303" spans="1:21" ht="12.75" customHeight="1">
      <c r="A5303" s="385"/>
      <c r="B5303" s="386"/>
      <c r="C5303" s="20"/>
      <c r="D5303" s="342"/>
      <c r="E5303" s="387"/>
      <c r="F5303" s="388">
        <f t="shared" si="1362"/>
        <v>0</v>
      </c>
      <c r="H5303" s="341" t="str">
        <f>IF(A5303="","",VLOOKUP(A5303,VII.A!$A$10:$D$199,4,FALSE))</f>
        <v/>
      </c>
      <c r="I5303" s="341" t="str">
        <f t="shared" si="1359"/>
        <v/>
      </c>
      <c r="J5303" s="341" t="str">
        <f>IF(A5303="","",VLOOKUP(A5303,VII.A!$A$10:$D$199,3,FALSE))</f>
        <v/>
      </c>
      <c r="K5303" s="342" t="str">
        <f t="shared" si="1360"/>
        <v/>
      </c>
      <c r="L5303" s="380" t="str">
        <f>IF(C5303="","",G5291*C5303)</f>
        <v/>
      </c>
      <c r="M5303" s="381" t="str">
        <f>IF(A5303="","",VLOOKUP(A5303,VII.A!$A$10:$B$199,2,FALSE))</f>
        <v/>
      </c>
      <c r="N5303" s="342" t="str">
        <f t="shared" si="1361"/>
        <v/>
      </c>
      <c r="R5303" s="341"/>
      <c r="S5303" s="341"/>
    </row>
    <row r="5304" spans="1:21" ht="12.75" customHeight="1">
      <c r="A5304" s="385"/>
      <c r="B5304" s="386"/>
      <c r="C5304" s="20"/>
      <c r="D5304" s="392"/>
      <c r="E5304" s="387"/>
      <c r="F5304" s="388">
        <f t="shared" si="1362"/>
        <v>0</v>
      </c>
      <c r="H5304" s="341" t="str">
        <f>IF(A5304="","",VLOOKUP(A5304,VII.A!$A$10:$D$199,4,FALSE))</f>
        <v/>
      </c>
      <c r="I5304" s="341" t="str">
        <f t="shared" si="1359"/>
        <v/>
      </c>
      <c r="J5304" s="341" t="str">
        <f>IF(A5304="","",VLOOKUP(A5304,VII.A!$A$10:$D$199,3,FALSE))</f>
        <v/>
      </c>
      <c r="K5304" s="342" t="str">
        <f t="shared" si="1360"/>
        <v/>
      </c>
      <c r="L5304" s="380" t="str">
        <f>IF(C5304="","",G5291*C5304)</f>
        <v/>
      </c>
      <c r="M5304" s="381" t="str">
        <f>IF(A5304="","",VLOOKUP(A5304,VII.A!$A$10:$B$199,2,FALSE))</f>
        <v/>
      </c>
      <c r="N5304" s="342" t="str">
        <f t="shared" si="1361"/>
        <v/>
      </c>
      <c r="R5304" s="341"/>
      <c r="S5304" s="341"/>
    </row>
    <row r="5305" spans="1:21" ht="12.75" customHeight="1">
      <c r="A5305" s="385"/>
      <c r="B5305" s="386"/>
      <c r="C5305" s="20"/>
      <c r="D5305" s="392"/>
      <c r="E5305" s="387"/>
      <c r="F5305" s="388">
        <f t="shared" si="1362"/>
        <v>0</v>
      </c>
      <c r="H5305" s="341" t="str">
        <f>IF(A5305="","",VLOOKUP(A5305,VII.A!$A$10:$D$199,4,FALSE))</f>
        <v/>
      </c>
      <c r="I5305" s="341" t="str">
        <f t="shared" si="1359"/>
        <v/>
      </c>
      <c r="J5305" s="341" t="str">
        <f>IF(A5305="","",VLOOKUP(A5305,VII.A!$A$10:$D$199,3,FALSE))</f>
        <v/>
      </c>
      <c r="K5305" s="342" t="str">
        <f t="shared" si="1360"/>
        <v/>
      </c>
      <c r="L5305" s="380" t="str">
        <f>IF(C5305="","",G5291*C5305)</f>
        <v/>
      </c>
      <c r="M5305" s="381" t="str">
        <f>IF(A5305="","",VLOOKUP(A5305,VII.A!$A$10:$B$199,2,FALSE))</f>
        <v/>
      </c>
      <c r="N5305" s="342" t="str">
        <f t="shared" si="1361"/>
        <v/>
      </c>
      <c r="O5305" s="342"/>
      <c r="R5305" s="341"/>
      <c r="S5305" s="341"/>
    </row>
    <row r="5306" spans="1:21" ht="12.75" customHeight="1">
      <c r="A5306" s="385"/>
      <c r="B5306" s="386"/>
      <c r="C5306" s="20"/>
      <c r="D5306" s="392"/>
      <c r="E5306" s="387"/>
      <c r="F5306" s="388">
        <f t="shared" si="1362"/>
        <v>0</v>
      </c>
      <c r="H5306" s="341" t="str">
        <f>IF(A5306="","",VLOOKUP(A5306,VII.A!$A$10:$D$199,4,FALSE))</f>
        <v/>
      </c>
      <c r="I5306" s="341" t="str">
        <f t="shared" si="1359"/>
        <v/>
      </c>
      <c r="J5306" s="341" t="str">
        <f>IF(A5306="","",VLOOKUP(A5306,VII.A!$A$10:$D$199,3,FALSE))</f>
        <v/>
      </c>
      <c r="K5306" s="342" t="str">
        <f t="shared" si="1360"/>
        <v/>
      </c>
      <c r="L5306" s="380" t="str">
        <f>IF(C5306="","",G5291*C5306)</f>
        <v/>
      </c>
      <c r="M5306" s="381" t="str">
        <f>IF(A5306="","",VLOOKUP(A5306,VII.A!$A$10:$B$199,2,FALSE))</f>
        <v/>
      </c>
      <c r="N5306" s="342" t="str">
        <f t="shared" si="1361"/>
        <v/>
      </c>
      <c r="R5306" s="341"/>
      <c r="S5306" s="341"/>
    </row>
    <row r="5307" spans="1:21" ht="12.75" customHeight="1">
      <c r="A5307" s="393"/>
      <c r="C5307" s="20"/>
      <c r="E5307" s="387"/>
      <c r="F5307" s="388">
        <f t="shared" si="1362"/>
        <v>0</v>
      </c>
      <c r="H5307" s="341" t="str">
        <f>IF(A5307="","",VLOOKUP(A5307,VII.A!$A$10:$D$199,4,FALSE))</f>
        <v/>
      </c>
      <c r="I5307" s="341" t="str">
        <f t="shared" si="1359"/>
        <v/>
      </c>
      <c r="J5307" s="341" t="str">
        <f>IF(A5307="","",VLOOKUP(A5307,VII.A!$A$10:$D$199,3,FALSE))</f>
        <v/>
      </c>
      <c r="K5307" s="342" t="str">
        <f t="shared" si="1360"/>
        <v/>
      </c>
      <c r="L5307" s="380" t="str">
        <f>IF(C5307="","",G5291*C5307)</f>
        <v/>
      </c>
      <c r="M5307" s="381" t="str">
        <f>IF(A5307="","",VLOOKUP(A5307,VII.A!$A$10:$B$199,2,FALSE))</f>
        <v/>
      </c>
      <c r="N5307" s="342" t="str">
        <f t="shared" si="1361"/>
        <v/>
      </c>
      <c r="R5307" s="341"/>
      <c r="S5307" s="341"/>
    </row>
    <row r="5308" spans="1:21" ht="12.75" customHeight="1">
      <c r="A5308" s="393"/>
      <c r="C5308" s="20"/>
      <c r="E5308" s="387"/>
      <c r="F5308" s="388">
        <f t="shared" si="1362"/>
        <v>0</v>
      </c>
      <c r="H5308" s="341" t="str">
        <f>IF(A5308="","",VLOOKUP(A5308,VII.A!$A$10:$D$199,4,FALSE))</f>
        <v/>
      </c>
      <c r="I5308" s="341" t="str">
        <f t="shared" si="1359"/>
        <v/>
      </c>
      <c r="J5308" s="341" t="str">
        <f>IF(A5308="","",VLOOKUP(A5308,VII.A!$A$10:$D$199,3,FALSE))</f>
        <v/>
      </c>
      <c r="K5308" s="342" t="str">
        <f t="shared" si="1360"/>
        <v/>
      </c>
      <c r="L5308" s="380" t="str">
        <f>IF(C5308="","",G5291*C5308)</f>
        <v/>
      </c>
      <c r="M5308" s="381" t="str">
        <f>IF(A5308="","",VLOOKUP(A5308,VII.A!$A$10:$B$199,2,FALSE))</f>
        <v/>
      </c>
      <c r="N5308" s="342" t="str">
        <f t="shared" si="1361"/>
        <v/>
      </c>
      <c r="R5308" s="341"/>
      <c r="S5308" s="341"/>
    </row>
    <row r="5309" spans="1:21" ht="12.75" customHeight="1">
      <c r="A5309" s="393"/>
      <c r="B5309" s="395" t="s">
        <v>226</v>
      </c>
      <c r="C5309" s="396"/>
      <c r="D5309" s="397"/>
      <c r="E5309" s="398"/>
      <c r="F5309" s="399">
        <f>SUM(F5293:F5308)</f>
        <v>0</v>
      </c>
      <c r="H5309" s="426" t="s">
        <v>774</v>
      </c>
      <c r="J5309" s="341"/>
      <c r="L5309" s="380"/>
      <c r="M5309" s="381"/>
      <c r="N5309" s="342"/>
      <c r="R5309" s="341"/>
      <c r="S5309" s="341"/>
    </row>
    <row r="5310" spans="1:21" ht="12.75" customHeight="1">
      <c r="A5310" s="393"/>
      <c r="B5310" s="400" t="s">
        <v>53</v>
      </c>
      <c r="C5310" s="2">
        <f>$D$8</f>
        <v>0</v>
      </c>
      <c r="D5310" s="401"/>
      <c r="E5310" s="402"/>
      <c r="F5310" s="403">
        <f>ROUND(F5309*C5310,2)</f>
        <v>0</v>
      </c>
      <c r="J5310" s="341"/>
      <c r="L5310" s="380"/>
      <c r="M5310" s="381"/>
      <c r="N5310" s="342"/>
      <c r="R5310" s="341"/>
      <c r="S5310" s="341"/>
    </row>
    <row r="5311" spans="1:21" ht="12.75" customHeight="1">
      <c r="A5311" s="404"/>
      <c r="B5311" s="405" t="s">
        <v>227</v>
      </c>
      <c r="C5311" s="406"/>
      <c r="D5311" s="406"/>
      <c r="E5311" s="407"/>
      <c r="F5311" s="408">
        <f>F5309+F5310</f>
        <v>0</v>
      </c>
      <c r="J5311" s="341"/>
      <c r="L5311" s="380"/>
      <c r="M5311" s="381"/>
      <c r="N5311" s="342"/>
      <c r="R5311" s="341"/>
      <c r="S5311" s="341"/>
    </row>
    <row r="5312" spans="1:21" ht="12.75" customHeight="1">
      <c r="A5312" s="374" t="s">
        <v>2</v>
      </c>
      <c r="B5312" s="375" t="s">
        <v>235</v>
      </c>
      <c r="C5312" s="376" t="s">
        <v>231</v>
      </c>
      <c r="D5312" s="376" t="s">
        <v>232</v>
      </c>
      <c r="E5312" s="377" t="s">
        <v>233</v>
      </c>
      <c r="F5312" s="378" t="s">
        <v>234</v>
      </c>
      <c r="J5312" s="341"/>
      <c r="L5312" s="380"/>
      <c r="M5312" s="381"/>
      <c r="N5312" s="342"/>
      <c r="R5312" s="341"/>
      <c r="S5312" s="341"/>
    </row>
    <row r="5313" spans="1:19" ht="12.75" customHeight="1">
      <c r="A5313" s="393"/>
      <c r="B5313" s="423"/>
      <c r="C5313" s="20"/>
      <c r="E5313" s="387"/>
      <c r="F5313" s="388">
        <f t="shared" ref="F5313:F5322" si="1363">ROUND(C5313*E5313,2)</f>
        <v>0</v>
      </c>
      <c r="H5313" s="341" t="str">
        <f>IF(A5313="","",VLOOKUP(A5313,VII.A!$A$10:$D$199,4,FALSE))</f>
        <v/>
      </c>
      <c r="I5313" s="341" t="str">
        <f t="shared" ref="I5313:I5322" si="1364">IF(A5313="","",IF(E5313=H5313,"SIM","NÃO"))</f>
        <v/>
      </c>
      <c r="J5313" s="341" t="str">
        <f>IF(A5313="","",VLOOKUP(A5313,VII.A!$A$10:$D$199,3,FALSE))</f>
        <v/>
      </c>
      <c r="K5313" s="342" t="str">
        <f t="shared" ref="K5313:K5322" si="1365">IF(A5313="","",IF(J5313=D5313,"SIM","NÃO"))</f>
        <v/>
      </c>
      <c r="L5313" s="380" t="str">
        <f>IF(C5313="","",G5291*C5313)</f>
        <v/>
      </c>
      <c r="M5313" s="381" t="str">
        <f>IF(A5313="","",VLOOKUP(A5313,VII.A!$A$10:$B$199,2,FALSE))</f>
        <v/>
      </c>
      <c r="N5313" s="342" t="str">
        <f t="shared" ref="N5313:N5322" si="1366">IF(B5313="","",IF(M5313=B5313,"si","no"))</f>
        <v/>
      </c>
      <c r="R5313" s="341"/>
      <c r="S5313" s="341"/>
    </row>
    <row r="5314" spans="1:19" ht="12.75" customHeight="1">
      <c r="A5314" s="393"/>
      <c r="C5314" s="20"/>
      <c r="E5314" s="387"/>
      <c r="F5314" s="388">
        <f t="shared" si="1363"/>
        <v>0</v>
      </c>
      <c r="H5314" s="341" t="str">
        <f>IF(A5314="","",VLOOKUP(A5314,VII.A!$A$10:$D$199,4,FALSE))</f>
        <v/>
      </c>
      <c r="I5314" s="341" t="str">
        <f t="shared" si="1364"/>
        <v/>
      </c>
      <c r="J5314" s="341" t="str">
        <f>IF(A5314="","",VLOOKUP(A5314,VII.A!$A$10:$D$199,3,FALSE))</f>
        <v/>
      </c>
      <c r="K5314" s="342" t="str">
        <f t="shared" si="1365"/>
        <v/>
      </c>
      <c r="L5314" s="380" t="str">
        <f>IF(C5314="","",G5291*C5314)</f>
        <v/>
      </c>
      <c r="M5314" s="381" t="str">
        <f>IF(A5314="","",VLOOKUP(A5314,VII.A!$A$10:$B$199,2,FALSE))</f>
        <v/>
      </c>
      <c r="N5314" s="342" t="str">
        <f t="shared" si="1366"/>
        <v/>
      </c>
      <c r="R5314" s="341"/>
      <c r="S5314" s="341"/>
    </row>
    <row r="5315" spans="1:19" ht="12.75" customHeight="1">
      <c r="A5315" s="393"/>
      <c r="C5315" s="20"/>
      <c r="E5315" s="387"/>
      <c r="F5315" s="388">
        <f t="shared" si="1363"/>
        <v>0</v>
      </c>
      <c r="H5315" s="341" t="str">
        <f>IF(A5315="","",VLOOKUP(A5315,VII.A!$A$10:$D$199,4,FALSE))</f>
        <v/>
      </c>
      <c r="I5315" s="341" t="str">
        <f t="shared" si="1364"/>
        <v/>
      </c>
      <c r="J5315" s="341" t="str">
        <f>IF(A5315="","",VLOOKUP(A5315,VII.A!$A$10:$D$199,3,FALSE))</f>
        <v/>
      </c>
      <c r="K5315" s="342" t="str">
        <f t="shared" si="1365"/>
        <v/>
      </c>
      <c r="L5315" s="380" t="str">
        <f>IF(C5315="","",G5291*C5315)</f>
        <v/>
      </c>
      <c r="M5315" s="381" t="str">
        <f>IF(A5315="","",VLOOKUP(A5315,VII.A!$A$10:$B$199,2,FALSE))</f>
        <v/>
      </c>
      <c r="N5315" s="342" t="str">
        <f t="shared" si="1366"/>
        <v/>
      </c>
      <c r="R5315" s="341"/>
      <c r="S5315" s="341"/>
    </row>
    <row r="5316" spans="1:19" ht="12.75" customHeight="1">
      <c r="A5316" s="393"/>
      <c r="C5316" s="20"/>
      <c r="E5316" s="387"/>
      <c r="F5316" s="388">
        <f t="shared" si="1363"/>
        <v>0</v>
      </c>
      <c r="H5316" s="341" t="str">
        <f>IF(A5316="","",VLOOKUP(A5316,VII.A!$A$10:$D$199,4,FALSE))</f>
        <v/>
      </c>
      <c r="I5316" s="341" t="str">
        <f t="shared" si="1364"/>
        <v/>
      </c>
      <c r="J5316" s="341" t="str">
        <f>IF(A5316="","",VLOOKUP(A5316,VII.A!$A$10:$D$199,3,FALSE))</f>
        <v/>
      </c>
      <c r="K5316" s="342" t="str">
        <f t="shared" si="1365"/>
        <v/>
      </c>
      <c r="L5316" s="380" t="str">
        <f>IF(C5316="","",G5291*C5316)</f>
        <v/>
      </c>
      <c r="M5316" s="381" t="str">
        <f>IF(A5316="","",VLOOKUP(A5316,VII.A!$A$10:$B$199,2,FALSE))</f>
        <v/>
      </c>
      <c r="N5316" s="342" t="str">
        <f t="shared" si="1366"/>
        <v/>
      </c>
      <c r="R5316" s="341"/>
      <c r="S5316" s="341"/>
    </row>
    <row r="5317" spans="1:19" ht="12.75" customHeight="1">
      <c r="A5317" s="393"/>
      <c r="C5317" s="20"/>
      <c r="E5317" s="387"/>
      <c r="F5317" s="388">
        <f t="shared" si="1363"/>
        <v>0</v>
      </c>
      <c r="G5317" s="390"/>
      <c r="H5317" s="341" t="str">
        <f>IF(A5317="","",VLOOKUP(A5317,VII.A!$A$10:$D$199,4,FALSE))</f>
        <v/>
      </c>
      <c r="I5317" s="341" t="str">
        <f t="shared" si="1364"/>
        <v/>
      </c>
      <c r="J5317" s="341" t="str">
        <f>IF(A5317="","",VLOOKUP(A5317,VII.A!$A$10:$D$199,3,FALSE))</f>
        <v/>
      </c>
      <c r="K5317" s="342" t="str">
        <f t="shared" si="1365"/>
        <v/>
      </c>
      <c r="L5317" s="380" t="str">
        <f>IF(C5317="","",G5291*C5317)</f>
        <v/>
      </c>
      <c r="M5317" s="381" t="str">
        <f>IF(A5317="","",VLOOKUP(A5317,VII.A!$A$10:$B$199,2,FALSE))</f>
        <v/>
      </c>
      <c r="N5317" s="342" t="str">
        <f t="shared" si="1366"/>
        <v/>
      </c>
      <c r="R5317" s="341"/>
      <c r="S5317" s="341"/>
    </row>
    <row r="5318" spans="1:19" ht="12.75" customHeight="1">
      <c r="A5318" s="393"/>
      <c r="C5318" s="20"/>
      <c r="E5318" s="387"/>
      <c r="F5318" s="388">
        <f t="shared" si="1363"/>
        <v>0</v>
      </c>
      <c r="G5318" s="391"/>
      <c r="H5318" s="341" t="str">
        <f>IF(A5318="","",VLOOKUP(A5318,VII.A!$A$10:$D$199,4,FALSE))</f>
        <v/>
      </c>
      <c r="I5318" s="341" t="str">
        <f t="shared" si="1364"/>
        <v/>
      </c>
      <c r="J5318" s="341" t="str">
        <f>IF(A5318="","",VLOOKUP(A5318,VII.A!$A$10:$D$199,3,FALSE))</f>
        <v/>
      </c>
      <c r="K5318" s="342" t="str">
        <f t="shared" si="1365"/>
        <v/>
      </c>
      <c r="L5318" s="380" t="str">
        <f>IF(C5318="","",G5291*C5318)</f>
        <v/>
      </c>
      <c r="M5318" s="381" t="str">
        <f>IF(A5318="","",VLOOKUP(A5318,VII.A!$A$10:$B$199,2,FALSE))</f>
        <v/>
      </c>
      <c r="N5318" s="342" t="str">
        <f t="shared" si="1366"/>
        <v/>
      </c>
      <c r="R5318" s="341"/>
      <c r="S5318" s="341"/>
    </row>
    <row r="5319" spans="1:19" ht="12.75" customHeight="1">
      <c r="A5319" s="393"/>
      <c r="C5319" s="20"/>
      <c r="E5319" s="387"/>
      <c r="F5319" s="388">
        <f t="shared" si="1363"/>
        <v>0</v>
      </c>
      <c r="H5319" s="341" t="str">
        <f>IF(A5319="","",VLOOKUP(A5319,VII.A!$A$10:$D$199,4,FALSE))</f>
        <v/>
      </c>
      <c r="I5319" s="341" t="str">
        <f t="shared" si="1364"/>
        <v/>
      </c>
      <c r="J5319" s="341" t="str">
        <f>IF(A5319="","",VLOOKUP(A5319,VII.A!$A$10:$D$199,3,FALSE))</f>
        <v/>
      </c>
      <c r="K5319" s="342" t="str">
        <f t="shared" si="1365"/>
        <v/>
      </c>
      <c r="L5319" s="380" t="str">
        <f>IF(C5319="","",G5291*C5319)</f>
        <v/>
      </c>
      <c r="M5319" s="381" t="str">
        <f>IF(A5319="","",VLOOKUP(A5319,VII.A!$A$10:$B$199,2,FALSE))</f>
        <v/>
      </c>
      <c r="N5319" s="342" t="str">
        <f t="shared" si="1366"/>
        <v/>
      </c>
      <c r="R5319" s="341"/>
      <c r="S5319" s="341"/>
    </row>
    <row r="5320" spans="1:19" ht="12.75" customHeight="1">
      <c r="A5320" s="393"/>
      <c r="C5320" s="20"/>
      <c r="E5320" s="387"/>
      <c r="F5320" s="388">
        <f t="shared" si="1363"/>
        <v>0</v>
      </c>
      <c r="H5320" s="341" t="str">
        <f>IF(A5320="","",VLOOKUP(A5320,VII.A!$A$10:$D$199,4,FALSE))</f>
        <v/>
      </c>
      <c r="I5320" s="341" t="str">
        <f t="shared" si="1364"/>
        <v/>
      </c>
      <c r="J5320" s="341" t="str">
        <f>IF(A5320="","",VLOOKUP(A5320,VII.A!$A$10:$D$199,3,FALSE))</f>
        <v/>
      </c>
      <c r="K5320" s="342" t="str">
        <f t="shared" si="1365"/>
        <v/>
      </c>
      <c r="L5320" s="380" t="str">
        <f>IF(C5320="","",G5291*C5320)</f>
        <v/>
      </c>
      <c r="M5320" s="381" t="str">
        <f>IF(A5320="","",VLOOKUP(A5320,VII.A!$A$10:$B$199,2,FALSE))</f>
        <v/>
      </c>
      <c r="N5320" s="342" t="str">
        <f t="shared" si="1366"/>
        <v/>
      </c>
      <c r="R5320" s="341"/>
      <c r="S5320" s="341"/>
    </row>
    <row r="5321" spans="1:19" ht="12.75" customHeight="1">
      <c r="A5321" s="393"/>
      <c r="C5321" s="20"/>
      <c r="E5321" s="387"/>
      <c r="F5321" s="388">
        <f t="shared" si="1363"/>
        <v>0</v>
      </c>
      <c r="H5321" s="341" t="str">
        <f>IF(A5321="","",VLOOKUP(A5321,VII.A!$A$10:$D$199,4,FALSE))</f>
        <v/>
      </c>
      <c r="I5321" s="341" t="str">
        <f t="shared" si="1364"/>
        <v/>
      </c>
      <c r="J5321" s="341" t="str">
        <f>IF(A5321="","",VLOOKUP(A5321,VII.A!$A$10:$D$199,3,FALSE))</f>
        <v/>
      </c>
      <c r="K5321" s="342" t="str">
        <f t="shared" si="1365"/>
        <v/>
      </c>
      <c r="L5321" s="380" t="str">
        <f>IF(C5321="","",G5291*C5321)</f>
        <v/>
      </c>
      <c r="M5321" s="381" t="str">
        <f>IF(A5321="","",VLOOKUP(A5321,VII.A!$A$10:$B$199,2,FALSE))</f>
        <v/>
      </c>
      <c r="N5321" s="342" t="str">
        <f t="shared" si="1366"/>
        <v/>
      </c>
      <c r="R5321" s="341"/>
      <c r="S5321" s="341"/>
    </row>
    <row r="5322" spans="1:19" ht="12.75" customHeight="1">
      <c r="A5322" s="393"/>
      <c r="C5322" s="20"/>
      <c r="E5322" s="387"/>
      <c r="F5322" s="388">
        <f t="shared" si="1363"/>
        <v>0</v>
      </c>
      <c r="H5322" s="341" t="str">
        <f>IF(A5322="","",VLOOKUP(A5322,VII.A!$A$10:$D$199,4,FALSE))</f>
        <v/>
      </c>
      <c r="I5322" s="341" t="str">
        <f t="shared" si="1364"/>
        <v/>
      </c>
      <c r="J5322" s="341" t="str">
        <f>IF(A5322="","",VLOOKUP(A5322,VII.A!$A$10:$D$199,3,FALSE))</f>
        <v/>
      </c>
      <c r="K5322" s="342" t="str">
        <f t="shared" si="1365"/>
        <v/>
      </c>
      <c r="L5322" s="380" t="str">
        <f>IF(C5322="","",G5291*C5322)</f>
        <v/>
      </c>
      <c r="M5322" s="381" t="str">
        <f>IF(A5322="","",VLOOKUP(A5322,VII.A!$A$10:$B$199,2,FALSE))</f>
        <v/>
      </c>
      <c r="N5322" s="342" t="str">
        <f t="shared" si="1366"/>
        <v/>
      </c>
      <c r="R5322" s="341"/>
      <c r="S5322" s="341"/>
    </row>
    <row r="5323" spans="1:19" ht="12.75" customHeight="1">
      <c r="A5323" s="393"/>
      <c r="B5323" s="395" t="s">
        <v>226</v>
      </c>
      <c r="C5323" s="396"/>
      <c r="D5323" s="397"/>
      <c r="E5323" s="398"/>
      <c r="F5323" s="399">
        <f>SUM(F5313:F5322)</f>
        <v>0</v>
      </c>
      <c r="J5323" s="341"/>
      <c r="L5323" s="380"/>
      <c r="M5323" s="381"/>
      <c r="N5323" s="342"/>
      <c r="R5323" s="341"/>
      <c r="S5323" s="341"/>
    </row>
    <row r="5324" spans="1:19" ht="12.75" customHeight="1">
      <c r="A5324" s="393"/>
      <c r="B5324" s="400" t="s">
        <v>53</v>
      </c>
      <c r="C5324" s="2">
        <f>$D$8</f>
        <v>0</v>
      </c>
      <c r="D5324" s="401"/>
      <c r="E5324" s="402"/>
      <c r="F5324" s="403">
        <f>ROUND(C5324*F5323,2)</f>
        <v>0</v>
      </c>
      <c r="J5324" s="341"/>
      <c r="L5324" s="380"/>
      <c r="M5324" s="381"/>
      <c r="N5324" s="342"/>
      <c r="R5324" s="341"/>
      <c r="S5324" s="341"/>
    </row>
    <row r="5325" spans="1:19" ht="12.75" customHeight="1">
      <c r="A5325" s="404"/>
      <c r="B5325" s="405" t="s">
        <v>228</v>
      </c>
      <c r="C5325" s="406"/>
      <c r="D5325" s="406"/>
      <c r="E5325" s="407"/>
      <c r="F5325" s="408">
        <f>F5323+F5324</f>
        <v>0</v>
      </c>
      <c r="J5325" s="341"/>
      <c r="L5325" s="380"/>
      <c r="M5325" s="381"/>
      <c r="N5325" s="342"/>
      <c r="R5325" s="341"/>
      <c r="S5325" s="341"/>
    </row>
    <row r="5326" spans="1:19" ht="12.75" customHeight="1">
      <c r="A5326" s="409" t="s">
        <v>47</v>
      </c>
      <c r="B5326" s="410" t="s">
        <v>236</v>
      </c>
      <c r="C5326" s="411" t="s">
        <v>231</v>
      </c>
      <c r="D5326" s="412" t="s">
        <v>232</v>
      </c>
      <c r="E5326" s="413" t="s">
        <v>233</v>
      </c>
      <c r="F5326" s="378" t="s">
        <v>234</v>
      </c>
      <c r="J5326" s="341"/>
      <c r="L5326" s="380"/>
      <c r="M5326" s="381"/>
      <c r="N5326" s="342"/>
      <c r="R5326" s="341"/>
      <c r="S5326" s="341"/>
    </row>
    <row r="5327" spans="1:19" ht="12.75" customHeight="1">
      <c r="A5327" s="393" t="str">
        <f>VII.A!$A$181</f>
        <v>3.1</v>
      </c>
      <c r="B5327" s="394" t="s">
        <v>142</v>
      </c>
      <c r="C5327" s="20">
        <v>0.16400000000000001</v>
      </c>
      <c r="D5327" s="384" t="str">
        <f>VLOOKUP(A5327,VII.A!$A$10:$G$199,3,FALSE)</f>
        <v>H</v>
      </c>
      <c r="E5327" s="387">
        <f>VII.A!D181</f>
        <v>0</v>
      </c>
      <c r="F5327" s="388">
        <f t="shared" ref="F5327:F5333" si="1367">ROUND(C5327*E5327,2)</f>
        <v>0</v>
      </c>
      <c r="H5327" s="341">
        <f>IF(A5327="","",VLOOKUP(A5327,VII.A!$A$10:$D$199,4,FALSE))</f>
        <v>0</v>
      </c>
      <c r="I5327" s="341" t="str">
        <f t="shared" ref="I5327:I5333" si="1368">IF(A5327="","",IF(E5327=H5327,"SIM","NÃO"))</f>
        <v>SIM</v>
      </c>
      <c r="J5327" s="341" t="str">
        <f>IF(A5327="","",VLOOKUP(A5327,VII.A!$A$10:$D$199,3,FALSE))</f>
        <v>H</v>
      </c>
      <c r="K5327" s="342" t="str">
        <f t="shared" ref="K5327:K5333" si="1369">IF(A5327="","",IF(J5327=D5327,"SIM","NÃO"))</f>
        <v>SIM</v>
      </c>
      <c r="L5327" s="380">
        <f>IF(C5327="","",G5291*C5327)</f>
        <v>8.2000000000000011</v>
      </c>
      <c r="M5327" s="381" t="str">
        <f>IF(A5327="","",VLOOKUP(A5327,VII.A!$A$10:$B$199,2,FALSE))</f>
        <v>AJUDANTE COM ENCARGOS COMPLEMENTARES</v>
      </c>
      <c r="N5327" s="342" t="str">
        <f t="shared" ref="N5327:N5333" si="1370">IF(B5327="","",IF(M5327=B5327,"si","no"))</f>
        <v>si</v>
      </c>
      <c r="R5327" s="341"/>
      <c r="S5327" s="341"/>
    </row>
    <row r="5328" spans="1:19" ht="12.75" customHeight="1">
      <c r="A5328" s="393" t="str">
        <f>VII.A!$A$189</f>
        <v>3.9</v>
      </c>
      <c r="B5328" s="394" t="s">
        <v>150</v>
      </c>
      <c r="C5328" s="20">
        <v>0.16400000000000001</v>
      </c>
      <c r="D5328" s="384" t="str">
        <f>VLOOKUP(A5328,VII.A!$A$10:$G$199,3,FALSE)</f>
        <v>H</v>
      </c>
      <c r="E5328" s="387">
        <f>VII.A!D189</f>
        <v>0</v>
      </c>
      <c r="F5328" s="388">
        <f t="shared" si="1367"/>
        <v>0</v>
      </c>
      <c r="H5328" s="341">
        <f>IF(A5328="","",VLOOKUP(A5328,VII.A!$A$10:$D$199,4,FALSE))</f>
        <v>0</v>
      </c>
      <c r="I5328" s="341" t="str">
        <f t="shared" si="1368"/>
        <v>SIM</v>
      </c>
      <c r="J5328" s="341" t="str">
        <f>IF(A5328="","",VLOOKUP(A5328,VII.A!$A$10:$D$199,3,FALSE))</f>
        <v>H</v>
      </c>
      <c r="K5328" s="342" t="str">
        <f t="shared" si="1369"/>
        <v>SIM</v>
      </c>
      <c r="L5328" s="380">
        <f>IF(C5328="","",G5291*C5328)</f>
        <v>8.2000000000000011</v>
      </c>
      <c r="M5328" s="381" t="str">
        <f>IF(A5328="","",VLOOKUP(A5328,VII.A!$A$10:$B$199,2,FALSE))</f>
        <v>ELETRICISTA COM ENCARGOS COMPLEMENTARES</v>
      </c>
      <c r="N5328" s="342" t="str">
        <f t="shared" si="1370"/>
        <v>si</v>
      </c>
      <c r="R5328" s="341"/>
      <c r="S5328" s="341"/>
    </row>
    <row r="5329" spans="1:25" ht="12.75" customHeight="1">
      <c r="A5329" s="393"/>
      <c r="C5329" s="20"/>
      <c r="E5329" s="387"/>
      <c r="F5329" s="388">
        <f t="shared" si="1367"/>
        <v>0</v>
      </c>
      <c r="H5329" s="341" t="str">
        <f>IF(A5329="","",VLOOKUP(A5329,VII.A!$A$10:$D$199,4,FALSE))</f>
        <v/>
      </c>
      <c r="I5329" s="341" t="str">
        <f t="shared" si="1368"/>
        <v/>
      </c>
      <c r="J5329" s="341" t="str">
        <f>IF(A5329="","",VLOOKUP(A5329,VII.A!$A$10:$D$199,3,FALSE))</f>
        <v/>
      </c>
      <c r="K5329" s="342" t="str">
        <f t="shared" si="1369"/>
        <v/>
      </c>
      <c r="L5329" s="380" t="str">
        <f>IF(C5329="","",G5291*C5329)</f>
        <v/>
      </c>
      <c r="M5329" s="381" t="str">
        <f>IF(A5329="","",VLOOKUP(A5329,VII.A!$A$10:$B$199,2,FALSE))</f>
        <v/>
      </c>
      <c r="N5329" s="342" t="str">
        <f t="shared" si="1370"/>
        <v/>
      </c>
      <c r="R5329" s="341"/>
      <c r="S5329" s="341"/>
    </row>
    <row r="5330" spans="1:25" ht="12.75" customHeight="1">
      <c r="A5330" s="393"/>
      <c r="C5330" s="20"/>
      <c r="E5330" s="387"/>
      <c r="F5330" s="388">
        <f t="shared" si="1367"/>
        <v>0</v>
      </c>
      <c r="H5330" s="341" t="str">
        <f>IF(A5330="","",VLOOKUP(A5330,VII.A!$A$10:$D$199,4,FALSE))</f>
        <v/>
      </c>
      <c r="I5330" s="341" t="str">
        <f t="shared" si="1368"/>
        <v/>
      </c>
      <c r="J5330" s="341" t="str">
        <f>IF(A5330="","",VLOOKUP(A5330,VII.A!$A$10:$D$199,3,FALSE))</f>
        <v/>
      </c>
      <c r="K5330" s="342" t="str">
        <f t="shared" si="1369"/>
        <v/>
      </c>
      <c r="L5330" s="380" t="str">
        <f>IF(C5330="","",G5291*C5330)</f>
        <v/>
      </c>
      <c r="M5330" s="381" t="str">
        <f>IF(A5330="","",VLOOKUP(A5330,VII.A!$A$10:$B$199,2,FALSE))</f>
        <v/>
      </c>
      <c r="N5330" s="342" t="str">
        <f t="shared" si="1370"/>
        <v/>
      </c>
      <c r="R5330" s="341"/>
      <c r="S5330" s="341"/>
    </row>
    <row r="5331" spans="1:25" ht="12.75" customHeight="1">
      <c r="A5331" s="393"/>
      <c r="C5331" s="20"/>
      <c r="E5331" s="387"/>
      <c r="F5331" s="388">
        <f t="shared" si="1367"/>
        <v>0</v>
      </c>
      <c r="H5331" s="341" t="str">
        <f>IF(A5331="","",VLOOKUP(A5331,VII.A!$A$10:$D$199,4,FALSE))</f>
        <v/>
      </c>
      <c r="I5331" s="341" t="str">
        <f t="shared" si="1368"/>
        <v/>
      </c>
      <c r="J5331" s="341" t="str">
        <f>IF(A5331="","",VLOOKUP(A5331,VII.A!$A$10:$D$199,3,FALSE))</f>
        <v/>
      </c>
      <c r="K5331" s="342" t="str">
        <f t="shared" si="1369"/>
        <v/>
      </c>
      <c r="L5331" s="380" t="str">
        <f>IF(C5331="","",G5291*C5331)</f>
        <v/>
      </c>
      <c r="M5331" s="381" t="str">
        <f>IF(A5331="","",VLOOKUP(A5331,VII.A!$A$10:$B$199,2,FALSE))</f>
        <v/>
      </c>
      <c r="N5331" s="342" t="str">
        <f t="shared" si="1370"/>
        <v/>
      </c>
      <c r="R5331" s="341"/>
      <c r="S5331" s="341"/>
    </row>
    <row r="5332" spans="1:25" ht="12.75" customHeight="1">
      <c r="A5332" s="393"/>
      <c r="C5332" s="20"/>
      <c r="E5332" s="387"/>
      <c r="F5332" s="388">
        <f t="shared" si="1367"/>
        <v>0</v>
      </c>
      <c r="H5332" s="341" t="str">
        <f>IF(A5332="","",VLOOKUP(A5332,VII.A!$A$10:$D$199,4,FALSE))</f>
        <v/>
      </c>
      <c r="I5332" s="341" t="str">
        <f t="shared" si="1368"/>
        <v/>
      </c>
      <c r="J5332" s="341" t="str">
        <f>IF(A5332="","",VLOOKUP(A5332,VII.A!$A$10:$D$199,3,FALSE))</f>
        <v/>
      </c>
      <c r="K5332" s="342" t="str">
        <f t="shared" si="1369"/>
        <v/>
      </c>
      <c r="L5332" s="380" t="str">
        <f>IF(C5332="","",G5291*C5332)</f>
        <v/>
      </c>
      <c r="M5332" s="381" t="str">
        <f>IF(A5332="","",VLOOKUP(A5332,VII.A!$A$10:$B$199,2,FALSE))</f>
        <v/>
      </c>
      <c r="N5332" s="342" t="str">
        <f t="shared" si="1370"/>
        <v/>
      </c>
      <c r="R5332" s="341"/>
      <c r="S5332" s="341"/>
    </row>
    <row r="5333" spans="1:25" ht="12.75" customHeight="1">
      <c r="A5333" s="393"/>
      <c r="C5333" s="20"/>
      <c r="E5333" s="387"/>
      <c r="F5333" s="388">
        <f t="shared" si="1367"/>
        <v>0</v>
      </c>
      <c r="H5333" s="341" t="str">
        <f>IF(A5333="","",VLOOKUP(A5333,VII.A!$A$10:$D$199,4,FALSE))</f>
        <v/>
      </c>
      <c r="I5333" s="341" t="str">
        <f t="shared" si="1368"/>
        <v/>
      </c>
      <c r="J5333" s="341" t="str">
        <f>IF(A5333="","",VLOOKUP(A5333,VII.A!$A$10:$D$199,3,FALSE))</f>
        <v/>
      </c>
      <c r="K5333" s="342" t="str">
        <f t="shared" si="1369"/>
        <v/>
      </c>
      <c r="L5333" s="380" t="str">
        <f>IF(C5333="","",G5291*C5333)</f>
        <v/>
      </c>
      <c r="M5333" s="381" t="str">
        <f>IF(A5333="","",VLOOKUP(A5333,VII.A!$A$10:$B$199,2,FALSE))</f>
        <v/>
      </c>
      <c r="N5333" s="342" t="str">
        <f t="shared" si="1370"/>
        <v/>
      </c>
      <c r="R5333" s="341"/>
      <c r="S5333" s="341"/>
    </row>
    <row r="5334" spans="1:25" ht="12.75" customHeight="1">
      <c r="A5334" s="393"/>
      <c r="B5334" s="395" t="s">
        <v>226</v>
      </c>
      <c r="C5334" s="396"/>
      <c r="D5334" s="397"/>
      <c r="E5334" s="398"/>
      <c r="F5334" s="399">
        <f>SUM(F5327:F5333)</f>
        <v>0</v>
      </c>
      <c r="J5334" s="341"/>
      <c r="L5334" s="380"/>
      <c r="M5334" s="381"/>
      <c r="N5334" s="342"/>
      <c r="R5334" s="341"/>
      <c r="S5334" s="341"/>
    </row>
    <row r="5335" spans="1:25" ht="12.75" customHeight="1">
      <c r="A5335" s="393"/>
      <c r="B5335" s="400" t="s">
        <v>229</v>
      </c>
      <c r="C5335" s="2">
        <f>IX.A!$C$45</f>
        <v>0</v>
      </c>
      <c r="D5335" s="401"/>
      <c r="E5335" s="402"/>
      <c r="F5335" s="403">
        <f>ROUND(F5334*C5335,2)</f>
        <v>0</v>
      </c>
      <c r="J5335" s="341"/>
      <c r="L5335" s="380"/>
      <c r="M5335" s="381"/>
      <c r="N5335" s="342"/>
      <c r="R5335" s="341"/>
      <c r="S5335" s="341"/>
    </row>
    <row r="5336" spans="1:25" ht="12.75" customHeight="1">
      <c r="A5336" s="393"/>
      <c r="B5336" s="400" t="s">
        <v>53</v>
      </c>
      <c r="C5336" s="2">
        <f>$D$8</f>
        <v>0</v>
      </c>
      <c r="D5336" s="401"/>
      <c r="E5336" s="402"/>
      <c r="F5336" s="403">
        <f>ROUND(SUM(F5334:F5335)*C5336,2)</f>
        <v>0</v>
      </c>
      <c r="J5336" s="341"/>
      <c r="L5336" s="380"/>
      <c r="M5336" s="381"/>
      <c r="N5336" s="342"/>
      <c r="R5336" s="341"/>
      <c r="S5336" s="341"/>
    </row>
    <row r="5337" spans="1:25" ht="12.75" customHeight="1" thickBot="1">
      <c r="A5337" s="414"/>
      <c r="B5337" s="415" t="s">
        <v>230</v>
      </c>
      <c r="C5337" s="416"/>
      <c r="D5337" s="416"/>
      <c r="E5337" s="417"/>
      <c r="F5337" s="418">
        <f>SUM(F5334:F5336)</f>
        <v>0</v>
      </c>
      <c r="J5337" s="341"/>
      <c r="L5337" s="380"/>
      <c r="M5337" s="381"/>
      <c r="N5337" s="342"/>
      <c r="R5337" s="341"/>
      <c r="S5337" s="341"/>
    </row>
    <row r="5338" spans="1:25" ht="12.75" customHeight="1" thickBot="1">
      <c r="A5338" s="357"/>
      <c r="B5338" s="358"/>
      <c r="C5338" s="359"/>
      <c r="D5338" s="359"/>
      <c r="E5338" s="360"/>
      <c r="F5338" s="419"/>
      <c r="J5338" s="341"/>
      <c r="L5338" s="380"/>
      <c r="M5338" s="381"/>
      <c r="N5338" s="342"/>
      <c r="R5338" s="341"/>
      <c r="S5338" s="341"/>
    </row>
    <row r="5339" spans="1:25" ht="30" customHeight="1">
      <c r="A5339" s="370" t="str">
        <f>IV.A!A160</f>
        <v>7.4</v>
      </c>
      <c r="B5339" s="371" t="str">
        <f>IV.A!B160</f>
        <v>FORNECIMENTO E LANÇAMENTO DE ELETRODUTO FLEXÍVEL CORRUGADO, PEAD, DN 50 (1 1/2")</v>
      </c>
      <c r="C5339" s="871" t="s">
        <v>237</v>
      </c>
      <c r="D5339" s="872"/>
      <c r="E5339" s="372" t="str">
        <f>IV.A!C160</f>
        <v>M</v>
      </c>
      <c r="F5339" s="11">
        <f>ROUND(F5359+F5373+F5385,2)</f>
        <v>0</v>
      </c>
      <c r="G5339" s="1">
        <f>VLOOKUP(A5339,IV.A!$A$16:$L$172,4,FALSE)</f>
        <v>224</v>
      </c>
      <c r="H5339" s="361">
        <f>SUM(F5341:F5356)+F5358</f>
        <v>0</v>
      </c>
      <c r="I5339" s="361">
        <f>SUM(F5361:F5370)+F5372</f>
        <v>0</v>
      </c>
      <c r="J5339" s="361">
        <f>SUM(F5375:F5381)+F5383+F5384</f>
        <v>0</v>
      </c>
      <c r="K5339" s="361">
        <f>SUM(H5339:J5339)</f>
        <v>0</v>
      </c>
      <c r="L5339" s="362" t="str">
        <f>IF(K5339=F5339,"SIM","NÃO")</f>
        <v>SIM</v>
      </c>
      <c r="M5339" s="373">
        <f>ROUND(SUM(F5341:F5356),2)+ROUND(SUM(F5341:F5356)*C5358,2)+ROUND(SUM(F5361:F5370)*C5372,2)+ROUND(SUM(F5361:F5370),2)+ROUND(SUM(F5375:F5381)*C5383,2)+ROUND((SUM(F5375:F5381)+ROUND(SUM(F5375:F5381)*C5383,2))*C5384,2)+ROUND(SUM(F5375:F5381),2)</f>
        <v>0</v>
      </c>
      <c r="N5339" s="343" t="str">
        <f>IF(M5339=F5339,"SIM","NÃO")</f>
        <v>SIM</v>
      </c>
      <c r="O5339" s="364" t="str">
        <f>VLOOKUP(A5339,IV.A!$A$16:$E$172,3,FALSE)</f>
        <v>M</v>
      </c>
      <c r="P5339" s="344" t="str">
        <f>IF(O5339=E5339,"SIM","NÃO")</f>
        <v>SIM</v>
      </c>
      <c r="Q5339" s="365">
        <f>ROUND(G5339*F5359,2)+ROUND(G5339*F5373,2)+ROUND(G5339*F5385,2)</f>
        <v>0</v>
      </c>
      <c r="R5339" s="364">
        <f>VLOOKUP(A5339,IV.A!$A$16:$L$172,12,FALSE)</f>
        <v>0</v>
      </c>
      <c r="S5339" s="366" t="str">
        <f>IF(Q5339=R5339,"si","no")</f>
        <v>si</v>
      </c>
      <c r="T5339" s="367">
        <f>SUM(L5341:L5356)+SUM(L5361:L5370)+SUM(L5375:L5381)</f>
        <v>276.50560000000002</v>
      </c>
      <c r="U5339" s="341">
        <f>(SUM(C5341:C5356)+SUM(C5361:C5370)+SUM(C5375:C5381))*G5339</f>
        <v>276.50560000000002</v>
      </c>
      <c r="V5339" s="368" t="str">
        <f>IF(T5339=U5339,"si","no")</f>
        <v>si</v>
      </c>
      <c r="W5339" s="369">
        <f>SUM(F5341:F5356)</f>
        <v>0</v>
      </c>
      <c r="X5339" s="369">
        <f>SUM(F5361:F5370)</f>
        <v>0</v>
      </c>
      <c r="Y5339" s="369">
        <f>SUM(F5375:F5381)</f>
        <v>0</v>
      </c>
    </row>
    <row r="5340" spans="1:25" ht="12.75" customHeight="1">
      <c r="A5340" s="374" t="s">
        <v>14</v>
      </c>
      <c r="B5340" s="375" t="s">
        <v>132</v>
      </c>
      <c r="C5340" s="376" t="s">
        <v>231</v>
      </c>
      <c r="D5340" s="376" t="s">
        <v>232</v>
      </c>
      <c r="E5340" s="377" t="s">
        <v>233</v>
      </c>
      <c r="F5340" s="378" t="s">
        <v>234</v>
      </c>
      <c r="G5340" s="379"/>
      <c r="J5340" s="341"/>
      <c r="L5340" s="380"/>
      <c r="M5340" s="381"/>
      <c r="N5340" s="342"/>
      <c r="O5340" s="382"/>
      <c r="P5340" s="383"/>
      <c r="Q5340" s="383"/>
      <c r="R5340" s="383"/>
      <c r="S5340" s="383"/>
      <c r="T5340" s="382"/>
      <c r="U5340" s="341"/>
      <c r="V5340" s="384"/>
      <c r="W5340" s="384"/>
      <c r="X5340" s="384"/>
      <c r="Y5340" s="384"/>
    </row>
    <row r="5341" spans="1:25" ht="12.75" customHeight="1">
      <c r="A5341" s="385" t="str">
        <f>VII.A!$A$49</f>
        <v>1.40</v>
      </c>
      <c r="B5341" s="386" t="str">
        <f>VLOOKUP(A5341,VII.A!$A$10:$G$199,2,FALSE)</f>
        <v>ELETRODUTO/DUTO PEAD FLEXIVEL PAREDE SIMPLES, CORRUGACAO HELICOIDAL, COR PRETA, DE 1 1/2"</v>
      </c>
      <c r="C5341" s="20">
        <v>1.1000000000000001</v>
      </c>
      <c r="D5341" s="342" t="str">
        <f>VLOOKUP(A5341,VII.A!$A$10:$G$199,3,FALSE)</f>
        <v>M</v>
      </c>
      <c r="E5341" s="387">
        <f>VII.A!D49</f>
        <v>0</v>
      </c>
      <c r="F5341" s="388">
        <f>ROUND(C5341*E5341,2)</f>
        <v>0</v>
      </c>
      <c r="H5341" s="341">
        <f>IF(A5341="","",VLOOKUP(A5341,VII.A!$A$10:$D$199,4,FALSE))</f>
        <v>0</v>
      </c>
      <c r="I5341" s="341" t="str">
        <f t="shared" ref="I5341:I5356" si="1371">IF(A5341="","",IF(E5341=H5341,"SIM","NÃO"))</f>
        <v>SIM</v>
      </c>
      <c r="J5341" s="341" t="str">
        <f>IF(A5341="","",VLOOKUP(A5341,VII.A!$A$10:$D$199,3,FALSE))</f>
        <v>M</v>
      </c>
      <c r="K5341" s="342" t="str">
        <f t="shared" ref="K5341:K5356" si="1372">IF(A5341="","",IF(J5341=D5341,"SIM","NÃO"))</f>
        <v>SIM</v>
      </c>
      <c r="L5341" s="380">
        <f>IF(C5341="","",G5339*C5341)</f>
        <v>246.40000000000003</v>
      </c>
      <c r="M5341" s="381" t="str">
        <f>IF(A5341="","",VLOOKUP(A5341,VII.A!$A$10:$B$199,2,FALSE))</f>
        <v>ELETRODUTO/DUTO PEAD FLEXIVEL PAREDE SIMPLES, CORRUGACAO HELICOIDAL, COR PRETA, DE 1 1/2"</v>
      </c>
      <c r="N5341" s="342" t="str">
        <f t="shared" ref="N5341:N5356" si="1373">IF(B5341="","",IF(M5341=B5341,"si","no"))</f>
        <v>si</v>
      </c>
      <c r="R5341" s="341"/>
      <c r="S5341" s="341"/>
    </row>
    <row r="5342" spans="1:25" ht="12.75" customHeight="1">
      <c r="A5342" s="385"/>
      <c r="B5342" s="386"/>
      <c r="C5342" s="20"/>
      <c r="D5342" s="342"/>
      <c r="E5342" s="387"/>
      <c r="F5342" s="388">
        <f t="shared" ref="F5342:F5356" si="1374">ROUND(C5342*E5342,2)</f>
        <v>0</v>
      </c>
      <c r="H5342" s="341" t="str">
        <f>IF(A5342="","",VLOOKUP(A5342,VII.A!$A$10:$D$199,4,FALSE))</f>
        <v/>
      </c>
      <c r="I5342" s="341" t="str">
        <f t="shared" si="1371"/>
        <v/>
      </c>
      <c r="J5342" s="341" t="str">
        <f>IF(A5342="","",VLOOKUP(A5342,VII.A!$A$10:$D$199,3,FALSE))</f>
        <v/>
      </c>
      <c r="K5342" s="342" t="str">
        <f t="shared" si="1372"/>
        <v/>
      </c>
      <c r="L5342" s="380" t="str">
        <f>IF(C5342="","",G5339*C5342)</f>
        <v/>
      </c>
      <c r="M5342" s="381" t="str">
        <f>IF(A5342="","",VLOOKUP(A5342,VII.A!$A$10:$B$199,2,FALSE))</f>
        <v/>
      </c>
      <c r="N5342" s="342" t="str">
        <f t="shared" si="1373"/>
        <v/>
      </c>
      <c r="R5342" s="341"/>
      <c r="S5342" s="341"/>
    </row>
    <row r="5343" spans="1:25" ht="12.75" customHeight="1">
      <c r="A5343" s="385"/>
      <c r="B5343" s="386"/>
      <c r="C5343" s="20"/>
      <c r="D5343" s="342"/>
      <c r="E5343" s="387"/>
      <c r="F5343" s="388">
        <f t="shared" si="1374"/>
        <v>0</v>
      </c>
      <c r="H5343" s="341" t="str">
        <f>IF(A5343="","",VLOOKUP(A5343,VII.A!$A$10:$D$199,4,FALSE))</f>
        <v/>
      </c>
      <c r="I5343" s="341" t="str">
        <f t="shared" si="1371"/>
        <v/>
      </c>
      <c r="J5343" s="341" t="str">
        <f>IF(A5343="","",VLOOKUP(A5343,VII.A!$A$10:$D$199,3,FALSE))</f>
        <v/>
      </c>
      <c r="K5343" s="342" t="str">
        <f t="shared" si="1372"/>
        <v/>
      </c>
      <c r="L5343" s="380" t="str">
        <f>IF(C5343="","",G5339*C5343)</f>
        <v/>
      </c>
      <c r="M5343" s="381" t="str">
        <f>IF(A5343="","",VLOOKUP(A5343,VII.A!$A$10:$B$199,2,FALSE))</f>
        <v/>
      </c>
      <c r="N5343" s="342" t="str">
        <f t="shared" si="1373"/>
        <v/>
      </c>
      <c r="R5343" s="341"/>
      <c r="S5343" s="341"/>
    </row>
    <row r="5344" spans="1:25" ht="12.75" customHeight="1">
      <c r="A5344" s="385"/>
      <c r="B5344" s="386"/>
      <c r="C5344" s="20"/>
      <c r="D5344" s="342"/>
      <c r="E5344" s="387"/>
      <c r="F5344" s="388">
        <f t="shared" si="1374"/>
        <v>0</v>
      </c>
      <c r="H5344" s="341" t="str">
        <f>IF(A5344="","",VLOOKUP(A5344,VII.A!$A$10:$D$199,4,FALSE))</f>
        <v/>
      </c>
      <c r="I5344" s="341" t="str">
        <f t="shared" si="1371"/>
        <v/>
      </c>
      <c r="J5344" s="341" t="str">
        <f>IF(A5344="","",VLOOKUP(A5344,VII.A!$A$10:$D$199,3,FALSE))</f>
        <v/>
      </c>
      <c r="K5344" s="342" t="str">
        <f t="shared" si="1372"/>
        <v/>
      </c>
      <c r="L5344" s="380" t="str">
        <f>IF(C5344="","",G5339*C5344)</f>
        <v/>
      </c>
      <c r="M5344" s="381" t="str">
        <f>IF(A5344="","",VLOOKUP(A5344,VII.A!$A$10:$B$199,2,FALSE))</f>
        <v/>
      </c>
      <c r="N5344" s="342" t="str">
        <f t="shared" si="1373"/>
        <v/>
      </c>
      <c r="R5344" s="341"/>
      <c r="S5344" s="341"/>
    </row>
    <row r="5345" spans="1:21" ht="12.75" customHeight="1">
      <c r="A5345" s="385"/>
      <c r="B5345" s="386"/>
      <c r="C5345" s="20"/>
      <c r="D5345" s="342"/>
      <c r="E5345" s="387"/>
      <c r="F5345" s="388">
        <f t="shared" si="1374"/>
        <v>0</v>
      </c>
      <c r="H5345" s="341" t="str">
        <f>IF(A5345="","",VLOOKUP(A5345,VII.A!$A$10:$D$199,4,FALSE))</f>
        <v/>
      </c>
      <c r="I5345" s="341" t="str">
        <f t="shared" si="1371"/>
        <v/>
      </c>
      <c r="J5345" s="341" t="str">
        <f>IF(A5345="","",VLOOKUP(A5345,VII.A!$A$10:$D$199,3,FALSE))</f>
        <v/>
      </c>
      <c r="K5345" s="342" t="str">
        <f t="shared" si="1372"/>
        <v/>
      </c>
      <c r="L5345" s="380" t="str">
        <f>IF(C5345="","",G5339*C5345)</f>
        <v/>
      </c>
      <c r="M5345" s="381" t="str">
        <f>IF(A5345="","",VLOOKUP(A5345,VII.A!$A$10:$B$199,2,FALSE))</f>
        <v/>
      </c>
      <c r="N5345" s="342" t="str">
        <f t="shared" si="1373"/>
        <v/>
      </c>
      <c r="R5345" s="341"/>
      <c r="S5345" s="341"/>
    </row>
    <row r="5346" spans="1:21" ht="12.75" customHeight="1">
      <c r="A5346" s="385"/>
      <c r="B5346" s="386"/>
      <c r="C5346" s="20"/>
      <c r="D5346" s="342"/>
      <c r="E5346" s="387"/>
      <c r="F5346" s="388">
        <f t="shared" si="1374"/>
        <v>0</v>
      </c>
      <c r="H5346" s="341" t="str">
        <f>IF(A5346="","",VLOOKUP(A5346,VII.A!$A$10:$D$199,4,FALSE))</f>
        <v/>
      </c>
      <c r="I5346" s="341" t="str">
        <f t="shared" si="1371"/>
        <v/>
      </c>
      <c r="J5346" s="341" t="str">
        <f>IF(A5346="","",VLOOKUP(A5346,VII.A!$A$10:$D$199,3,FALSE))</f>
        <v/>
      </c>
      <c r="K5346" s="342" t="str">
        <f t="shared" si="1372"/>
        <v/>
      </c>
      <c r="L5346" s="380" t="str">
        <f>IF(C5346="","",G5339*C5346)</f>
        <v/>
      </c>
      <c r="M5346" s="381" t="str">
        <f>IF(A5346="","",VLOOKUP(A5346,VII.A!$A$10:$B$199,2,FALSE))</f>
        <v/>
      </c>
      <c r="N5346" s="342" t="str">
        <f t="shared" si="1373"/>
        <v/>
      </c>
      <c r="R5346" s="341"/>
      <c r="S5346" s="341"/>
      <c r="U5346" s="389"/>
    </row>
    <row r="5347" spans="1:21" ht="12.75" customHeight="1">
      <c r="A5347" s="385"/>
      <c r="B5347" s="386"/>
      <c r="C5347" s="20"/>
      <c r="D5347" s="342"/>
      <c r="E5347" s="387"/>
      <c r="F5347" s="388">
        <f t="shared" si="1374"/>
        <v>0</v>
      </c>
      <c r="H5347" s="341" t="str">
        <f>IF(A5347="","",VLOOKUP(A5347,VII.A!$A$10:$D$199,4,FALSE))</f>
        <v/>
      </c>
      <c r="I5347" s="341" t="str">
        <f t="shared" si="1371"/>
        <v/>
      </c>
      <c r="J5347" s="341" t="str">
        <f>IF(A5347="","",VLOOKUP(A5347,VII.A!$A$10:$D$199,3,FALSE))</f>
        <v/>
      </c>
      <c r="K5347" s="342" t="str">
        <f t="shared" si="1372"/>
        <v/>
      </c>
      <c r="L5347" s="380" t="str">
        <f>IF(C5347="","",G5339*C5347)</f>
        <v/>
      </c>
      <c r="M5347" s="381" t="str">
        <f>IF(A5347="","",VLOOKUP(A5347,VII.A!$A$10:$B$199,2,FALSE))</f>
        <v/>
      </c>
      <c r="N5347" s="342" t="str">
        <f t="shared" si="1373"/>
        <v/>
      </c>
      <c r="R5347" s="341"/>
      <c r="S5347" s="341"/>
    </row>
    <row r="5348" spans="1:21" ht="12.75" customHeight="1">
      <c r="A5348" s="385"/>
      <c r="B5348" s="386"/>
      <c r="C5348" s="20"/>
      <c r="D5348" s="342"/>
      <c r="E5348" s="387"/>
      <c r="F5348" s="388">
        <f t="shared" si="1374"/>
        <v>0</v>
      </c>
      <c r="G5348" s="390"/>
      <c r="H5348" s="341" t="str">
        <f>IF(A5348="","",VLOOKUP(A5348,VII.A!$A$10:$D$199,4,FALSE))</f>
        <v/>
      </c>
      <c r="I5348" s="341" t="str">
        <f t="shared" si="1371"/>
        <v/>
      </c>
      <c r="J5348" s="341" t="str">
        <f>IF(A5348="","",VLOOKUP(A5348,VII.A!$A$10:$D$199,3,FALSE))</f>
        <v/>
      </c>
      <c r="K5348" s="342" t="str">
        <f t="shared" si="1372"/>
        <v/>
      </c>
      <c r="L5348" s="380" t="str">
        <f>IF(C5348="","",G5339*C5348)</f>
        <v/>
      </c>
      <c r="M5348" s="381" t="str">
        <f>IF(A5348="","",VLOOKUP(A5348,VII.A!$A$10:$B$199,2,FALSE))</f>
        <v/>
      </c>
      <c r="N5348" s="342" t="str">
        <f t="shared" si="1373"/>
        <v/>
      </c>
      <c r="R5348" s="341"/>
      <c r="S5348" s="341"/>
    </row>
    <row r="5349" spans="1:21" ht="12.75" customHeight="1">
      <c r="A5349" s="385"/>
      <c r="B5349" s="386" t="str">
        <f>LOWER(B5344)</f>
        <v/>
      </c>
      <c r="C5349" s="20"/>
      <c r="D5349" s="342"/>
      <c r="E5349" s="387"/>
      <c r="F5349" s="388">
        <f t="shared" si="1374"/>
        <v>0</v>
      </c>
      <c r="G5349" s="390"/>
      <c r="H5349" s="341" t="str">
        <f>IF(A5349="","",VLOOKUP(A5349,VII.A!$A$10:$D$199,4,FALSE))</f>
        <v/>
      </c>
      <c r="I5349" s="341" t="str">
        <f t="shared" si="1371"/>
        <v/>
      </c>
      <c r="J5349" s="341" t="str">
        <f>IF(A5349="","",VLOOKUP(A5349,VII.A!$A$10:$D$199,3,FALSE))</f>
        <v/>
      </c>
      <c r="K5349" s="342" t="str">
        <f t="shared" si="1372"/>
        <v/>
      </c>
      <c r="L5349" s="380" t="str">
        <f>IF(C5349="","",G5339*C5349)</f>
        <v/>
      </c>
      <c r="M5349" s="381" t="str">
        <f>IF(A5349="","",VLOOKUP(A5349,VII.A!$A$10:$B$199,2,FALSE))</f>
        <v/>
      </c>
      <c r="N5349" s="342" t="str">
        <f t="shared" si="1373"/>
        <v/>
      </c>
      <c r="R5349" s="341"/>
      <c r="S5349" s="341"/>
    </row>
    <row r="5350" spans="1:21" ht="12.75" customHeight="1">
      <c r="A5350" s="385"/>
      <c r="B5350" s="386"/>
      <c r="C5350" s="20"/>
      <c r="D5350" s="342"/>
      <c r="E5350" s="387"/>
      <c r="F5350" s="388">
        <f t="shared" si="1374"/>
        <v>0</v>
      </c>
      <c r="G5350" s="391"/>
      <c r="H5350" s="341" t="str">
        <f>IF(A5350="","",VLOOKUP(A5350,VII.A!$A$10:$D$199,4,FALSE))</f>
        <v/>
      </c>
      <c r="I5350" s="341" t="str">
        <f t="shared" si="1371"/>
        <v/>
      </c>
      <c r="J5350" s="341" t="str">
        <f>IF(A5350="","",VLOOKUP(A5350,VII.A!$A$10:$D$199,3,FALSE))</f>
        <v/>
      </c>
      <c r="K5350" s="342" t="str">
        <f t="shared" si="1372"/>
        <v/>
      </c>
      <c r="L5350" s="380" t="str">
        <f>IF(C5350="","",G5339*C5350)</f>
        <v/>
      </c>
      <c r="M5350" s="381" t="str">
        <f>IF(A5350="","",VLOOKUP(A5350,VII.A!$A$10:$B$199,2,FALSE))</f>
        <v/>
      </c>
      <c r="N5350" s="342" t="str">
        <f t="shared" si="1373"/>
        <v/>
      </c>
      <c r="R5350" s="341"/>
      <c r="S5350" s="341"/>
    </row>
    <row r="5351" spans="1:21" ht="12.75" customHeight="1">
      <c r="A5351" s="385"/>
      <c r="B5351" s="386"/>
      <c r="C5351" s="20"/>
      <c r="D5351" s="342"/>
      <c r="E5351" s="387"/>
      <c r="F5351" s="388">
        <f t="shared" si="1374"/>
        <v>0</v>
      </c>
      <c r="H5351" s="341" t="str">
        <f>IF(A5351="","",VLOOKUP(A5351,VII.A!$A$10:$D$199,4,FALSE))</f>
        <v/>
      </c>
      <c r="I5351" s="341" t="str">
        <f t="shared" si="1371"/>
        <v/>
      </c>
      <c r="J5351" s="341" t="str">
        <f>IF(A5351="","",VLOOKUP(A5351,VII.A!$A$10:$D$199,3,FALSE))</f>
        <v/>
      </c>
      <c r="K5351" s="342" t="str">
        <f t="shared" si="1372"/>
        <v/>
      </c>
      <c r="L5351" s="380" t="str">
        <f>IF(C5351="","",G5339*C5351)</f>
        <v/>
      </c>
      <c r="M5351" s="381" t="str">
        <f>IF(A5351="","",VLOOKUP(A5351,VII.A!$A$10:$B$199,2,FALSE))</f>
        <v/>
      </c>
      <c r="N5351" s="342" t="str">
        <f t="shared" si="1373"/>
        <v/>
      </c>
      <c r="R5351" s="341"/>
      <c r="S5351" s="341"/>
    </row>
    <row r="5352" spans="1:21" ht="12.75" customHeight="1">
      <c r="A5352" s="385"/>
      <c r="B5352" s="386"/>
      <c r="C5352" s="20"/>
      <c r="D5352" s="392"/>
      <c r="E5352" s="387"/>
      <c r="F5352" s="388">
        <f t="shared" si="1374"/>
        <v>0</v>
      </c>
      <c r="H5352" s="341" t="str">
        <f>IF(A5352="","",VLOOKUP(A5352,VII.A!$A$10:$D$199,4,FALSE))</f>
        <v/>
      </c>
      <c r="I5352" s="341" t="str">
        <f t="shared" si="1371"/>
        <v/>
      </c>
      <c r="J5352" s="341" t="str">
        <f>IF(A5352="","",VLOOKUP(A5352,VII.A!$A$10:$D$199,3,FALSE))</f>
        <v/>
      </c>
      <c r="K5352" s="342" t="str">
        <f t="shared" si="1372"/>
        <v/>
      </c>
      <c r="L5352" s="380" t="str">
        <f>IF(C5352="","",G5339*C5352)</f>
        <v/>
      </c>
      <c r="M5352" s="381" t="str">
        <f>IF(A5352="","",VLOOKUP(A5352,VII.A!$A$10:$B$199,2,FALSE))</f>
        <v/>
      </c>
      <c r="N5352" s="342" t="str">
        <f t="shared" si="1373"/>
        <v/>
      </c>
      <c r="R5352" s="341"/>
      <c r="S5352" s="341"/>
    </row>
    <row r="5353" spans="1:21" ht="12.75" customHeight="1">
      <c r="A5353" s="385"/>
      <c r="B5353" s="386"/>
      <c r="C5353" s="20"/>
      <c r="D5353" s="392"/>
      <c r="E5353" s="387"/>
      <c r="F5353" s="388">
        <f t="shared" si="1374"/>
        <v>0</v>
      </c>
      <c r="H5353" s="341" t="str">
        <f>IF(A5353="","",VLOOKUP(A5353,VII.A!$A$10:$D$199,4,FALSE))</f>
        <v/>
      </c>
      <c r="I5353" s="341" t="str">
        <f t="shared" si="1371"/>
        <v/>
      </c>
      <c r="J5353" s="341" t="str">
        <f>IF(A5353="","",VLOOKUP(A5353,VII.A!$A$10:$D$199,3,FALSE))</f>
        <v/>
      </c>
      <c r="K5353" s="342" t="str">
        <f t="shared" si="1372"/>
        <v/>
      </c>
      <c r="L5353" s="380" t="str">
        <f>IF(C5353="","",G5339*C5353)</f>
        <v/>
      </c>
      <c r="M5353" s="381" t="str">
        <f>IF(A5353="","",VLOOKUP(A5353,VII.A!$A$10:$B$199,2,FALSE))</f>
        <v/>
      </c>
      <c r="N5353" s="342" t="str">
        <f t="shared" si="1373"/>
        <v/>
      </c>
      <c r="O5353" s="342"/>
      <c r="R5353" s="341"/>
      <c r="S5353" s="341"/>
    </row>
    <row r="5354" spans="1:21" ht="12.75" customHeight="1">
      <c r="A5354" s="385"/>
      <c r="B5354" s="386"/>
      <c r="C5354" s="20"/>
      <c r="D5354" s="392"/>
      <c r="E5354" s="387"/>
      <c r="F5354" s="388">
        <f t="shared" si="1374"/>
        <v>0</v>
      </c>
      <c r="H5354" s="341" t="str">
        <f>IF(A5354="","",VLOOKUP(A5354,VII.A!$A$10:$D$199,4,FALSE))</f>
        <v/>
      </c>
      <c r="I5354" s="341" t="str">
        <f t="shared" si="1371"/>
        <v/>
      </c>
      <c r="J5354" s="341" t="str">
        <f>IF(A5354="","",VLOOKUP(A5354,VII.A!$A$10:$D$199,3,FALSE))</f>
        <v/>
      </c>
      <c r="K5354" s="342" t="str">
        <f t="shared" si="1372"/>
        <v/>
      </c>
      <c r="L5354" s="380" t="str">
        <f>IF(C5354="","",G5339*C5354)</f>
        <v/>
      </c>
      <c r="M5354" s="381" t="str">
        <f>IF(A5354="","",VLOOKUP(A5354,VII.A!$A$10:$B$199,2,FALSE))</f>
        <v/>
      </c>
      <c r="N5354" s="342" t="str">
        <f t="shared" si="1373"/>
        <v/>
      </c>
      <c r="R5354" s="341"/>
      <c r="S5354" s="341"/>
    </row>
    <row r="5355" spans="1:21" ht="12.75" customHeight="1">
      <c r="A5355" s="393"/>
      <c r="C5355" s="20"/>
      <c r="E5355" s="387"/>
      <c r="F5355" s="388">
        <f t="shared" si="1374"/>
        <v>0</v>
      </c>
      <c r="H5355" s="341" t="str">
        <f>IF(A5355="","",VLOOKUP(A5355,VII.A!$A$10:$D$199,4,FALSE))</f>
        <v/>
      </c>
      <c r="I5355" s="341" t="str">
        <f t="shared" si="1371"/>
        <v/>
      </c>
      <c r="J5355" s="341" t="str">
        <f>IF(A5355="","",VLOOKUP(A5355,VII.A!$A$10:$D$199,3,FALSE))</f>
        <v/>
      </c>
      <c r="K5355" s="342" t="str">
        <f t="shared" si="1372"/>
        <v/>
      </c>
      <c r="L5355" s="380" t="str">
        <f>IF(C5355="","",G5339*C5355)</f>
        <v/>
      </c>
      <c r="M5355" s="381" t="str">
        <f>IF(A5355="","",VLOOKUP(A5355,VII.A!$A$10:$B$199,2,FALSE))</f>
        <v/>
      </c>
      <c r="N5355" s="342" t="str">
        <f t="shared" si="1373"/>
        <v/>
      </c>
      <c r="R5355" s="341"/>
      <c r="S5355" s="341"/>
    </row>
    <row r="5356" spans="1:21" ht="12.75" customHeight="1">
      <c r="A5356" s="393"/>
      <c r="C5356" s="20"/>
      <c r="E5356" s="387"/>
      <c r="F5356" s="388">
        <f t="shared" si="1374"/>
        <v>0</v>
      </c>
      <c r="H5356" s="341" t="str">
        <f>IF(A5356="","",VLOOKUP(A5356,VII.A!$A$10:$D$199,4,FALSE))</f>
        <v/>
      </c>
      <c r="I5356" s="341" t="str">
        <f t="shared" si="1371"/>
        <v/>
      </c>
      <c r="J5356" s="341" t="str">
        <f>IF(A5356="","",VLOOKUP(A5356,VII.A!$A$10:$D$199,3,FALSE))</f>
        <v/>
      </c>
      <c r="K5356" s="342" t="str">
        <f t="shared" si="1372"/>
        <v/>
      </c>
      <c r="L5356" s="380" t="str">
        <f>IF(C5356="","",G5339*C5356)</f>
        <v/>
      </c>
      <c r="M5356" s="381" t="str">
        <f>IF(A5356="","",VLOOKUP(A5356,VII.A!$A$10:$B$199,2,FALSE))</f>
        <v/>
      </c>
      <c r="N5356" s="342" t="str">
        <f t="shared" si="1373"/>
        <v/>
      </c>
      <c r="R5356" s="341"/>
      <c r="S5356" s="341"/>
    </row>
    <row r="5357" spans="1:21" ht="12.75" customHeight="1">
      <c r="A5357" s="393"/>
      <c r="B5357" s="395" t="s">
        <v>226</v>
      </c>
      <c r="C5357" s="396"/>
      <c r="D5357" s="397"/>
      <c r="E5357" s="398"/>
      <c r="F5357" s="399">
        <f>SUM(F5341:F5356)</f>
        <v>0</v>
      </c>
      <c r="H5357" s="426" t="s">
        <v>777</v>
      </c>
      <c r="J5357" s="341"/>
      <c r="L5357" s="380"/>
      <c r="M5357" s="381"/>
      <c r="N5357" s="342"/>
      <c r="R5357" s="341"/>
      <c r="S5357" s="341"/>
    </row>
    <row r="5358" spans="1:21" ht="12.75" customHeight="1">
      <c r="A5358" s="393"/>
      <c r="B5358" s="400" t="s">
        <v>53</v>
      </c>
      <c r="C5358" s="2">
        <f>$D$8</f>
        <v>0</v>
      </c>
      <c r="D5358" s="401"/>
      <c r="E5358" s="402"/>
      <c r="F5358" s="403">
        <f>ROUND(F5357*C5358,2)</f>
        <v>0</v>
      </c>
      <c r="J5358" s="341"/>
      <c r="L5358" s="380"/>
      <c r="M5358" s="381"/>
      <c r="N5358" s="342"/>
      <c r="R5358" s="341"/>
      <c r="S5358" s="341"/>
    </row>
    <row r="5359" spans="1:21" ht="12.75" customHeight="1">
      <c r="A5359" s="404"/>
      <c r="B5359" s="405" t="s">
        <v>227</v>
      </c>
      <c r="C5359" s="406"/>
      <c r="D5359" s="406"/>
      <c r="E5359" s="407"/>
      <c r="F5359" s="408">
        <f>F5357+F5358</f>
        <v>0</v>
      </c>
      <c r="J5359" s="341"/>
      <c r="L5359" s="380"/>
      <c r="M5359" s="381"/>
      <c r="N5359" s="342"/>
      <c r="R5359" s="341"/>
      <c r="S5359" s="341"/>
    </row>
    <row r="5360" spans="1:21" ht="12.75" customHeight="1">
      <c r="A5360" s="374" t="s">
        <v>2</v>
      </c>
      <c r="B5360" s="375" t="s">
        <v>235</v>
      </c>
      <c r="C5360" s="376" t="s">
        <v>231</v>
      </c>
      <c r="D5360" s="376" t="s">
        <v>232</v>
      </c>
      <c r="E5360" s="377" t="s">
        <v>233</v>
      </c>
      <c r="F5360" s="378" t="s">
        <v>234</v>
      </c>
      <c r="J5360" s="341"/>
      <c r="L5360" s="380"/>
      <c r="M5360" s="381"/>
      <c r="N5360" s="342"/>
      <c r="R5360" s="341"/>
      <c r="S5360" s="341"/>
    </row>
    <row r="5361" spans="1:19" ht="12.75" customHeight="1">
      <c r="A5361" s="393"/>
      <c r="B5361" s="423"/>
      <c r="C5361" s="20"/>
      <c r="E5361" s="387"/>
      <c r="F5361" s="388">
        <f t="shared" ref="F5361:F5370" si="1375">ROUND(C5361*E5361,2)</f>
        <v>0</v>
      </c>
      <c r="H5361" s="341" t="str">
        <f>IF(A5361="","",VLOOKUP(A5361,VII.A!$A$10:$D$199,4,FALSE))</f>
        <v/>
      </c>
      <c r="I5361" s="341" t="str">
        <f t="shared" ref="I5361:I5370" si="1376">IF(A5361="","",IF(E5361=H5361,"SIM","NÃO"))</f>
        <v/>
      </c>
      <c r="J5361" s="341" t="str">
        <f>IF(A5361="","",VLOOKUP(A5361,VII.A!$A$10:$D$199,3,FALSE))</f>
        <v/>
      </c>
      <c r="K5361" s="342" t="str">
        <f t="shared" ref="K5361:K5370" si="1377">IF(A5361="","",IF(J5361=D5361,"SIM","NÃO"))</f>
        <v/>
      </c>
      <c r="L5361" s="380" t="str">
        <f>IF(C5361="","",G5339*C5361)</f>
        <v/>
      </c>
      <c r="M5361" s="381" t="str">
        <f>IF(A5361="","",VLOOKUP(A5361,VII.A!$A$10:$B$199,2,FALSE))</f>
        <v/>
      </c>
      <c r="N5361" s="342" t="str">
        <f t="shared" ref="N5361:N5370" si="1378">IF(B5361="","",IF(M5361=B5361,"si","no"))</f>
        <v/>
      </c>
      <c r="R5361" s="341"/>
      <c r="S5361" s="341"/>
    </row>
    <row r="5362" spans="1:19" ht="12.75" customHeight="1">
      <c r="A5362" s="393"/>
      <c r="C5362" s="20"/>
      <c r="E5362" s="387"/>
      <c r="F5362" s="388">
        <f t="shared" si="1375"/>
        <v>0</v>
      </c>
      <c r="H5362" s="341" t="str">
        <f>IF(A5362="","",VLOOKUP(A5362,VII.A!$A$10:$D$199,4,FALSE))</f>
        <v/>
      </c>
      <c r="I5362" s="341" t="str">
        <f t="shared" si="1376"/>
        <v/>
      </c>
      <c r="J5362" s="341" t="str">
        <f>IF(A5362="","",VLOOKUP(A5362,VII.A!$A$10:$D$199,3,FALSE))</f>
        <v/>
      </c>
      <c r="K5362" s="342" t="str">
        <f t="shared" si="1377"/>
        <v/>
      </c>
      <c r="L5362" s="380" t="str">
        <f>IF(C5362="","",G5339*C5362)</f>
        <v/>
      </c>
      <c r="M5362" s="381" t="str">
        <f>IF(A5362="","",VLOOKUP(A5362,VII.A!$A$10:$B$199,2,FALSE))</f>
        <v/>
      </c>
      <c r="N5362" s="342" t="str">
        <f t="shared" si="1378"/>
        <v/>
      </c>
      <c r="R5362" s="341"/>
      <c r="S5362" s="341"/>
    </row>
    <row r="5363" spans="1:19" ht="12.75" customHeight="1">
      <c r="A5363" s="393"/>
      <c r="C5363" s="20"/>
      <c r="E5363" s="387"/>
      <c r="F5363" s="388">
        <f t="shared" si="1375"/>
        <v>0</v>
      </c>
      <c r="H5363" s="341" t="str">
        <f>IF(A5363="","",VLOOKUP(A5363,VII.A!$A$10:$D$199,4,FALSE))</f>
        <v/>
      </c>
      <c r="I5363" s="341" t="str">
        <f t="shared" si="1376"/>
        <v/>
      </c>
      <c r="J5363" s="341" t="str">
        <f>IF(A5363="","",VLOOKUP(A5363,VII.A!$A$10:$D$199,3,FALSE))</f>
        <v/>
      </c>
      <c r="K5363" s="342" t="str">
        <f t="shared" si="1377"/>
        <v/>
      </c>
      <c r="L5363" s="380" t="str">
        <f>IF(C5363="","",G5339*C5363)</f>
        <v/>
      </c>
      <c r="M5363" s="381" t="str">
        <f>IF(A5363="","",VLOOKUP(A5363,VII.A!$A$10:$B$199,2,FALSE))</f>
        <v/>
      </c>
      <c r="N5363" s="342" t="str">
        <f t="shared" si="1378"/>
        <v/>
      </c>
      <c r="R5363" s="341"/>
      <c r="S5363" s="341"/>
    </row>
    <row r="5364" spans="1:19" ht="12.75" customHeight="1">
      <c r="A5364" s="393"/>
      <c r="C5364" s="20"/>
      <c r="E5364" s="387"/>
      <c r="F5364" s="388">
        <f t="shared" si="1375"/>
        <v>0</v>
      </c>
      <c r="H5364" s="341" t="str">
        <f>IF(A5364="","",VLOOKUP(A5364,VII.A!$A$10:$D$199,4,FALSE))</f>
        <v/>
      </c>
      <c r="I5364" s="341" t="str">
        <f t="shared" si="1376"/>
        <v/>
      </c>
      <c r="J5364" s="341" t="str">
        <f>IF(A5364="","",VLOOKUP(A5364,VII.A!$A$10:$D$199,3,FALSE))</f>
        <v/>
      </c>
      <c r="K5364" s="342" t="str">
        <f t="shared" si="1377"/>
        <v/>
      </c>
      <c r="L5364" s="380" t="str">
        <f>IF(C5364="","",G5339*C5364)</f>
        <v/>
      </c>
      <c r="M5364" s="381" t="str">
        <f>IF(A5364="","",VLOOKUP(A5364,VII.A!$A$10:$B$199,2,FALSE))</f>
        <v/>
      </c>
      <c r="N5364" s="342" t="str">
        <f t="shared" si="1378"/>
        <v/>
      </c>
      <c r="R5364" s="341"/>
      <c r="S5364" s="341"/>
    </row>
    <row r="5365" spans="1:19" ht="12.75" customHeight="1">
      <c r="A5365" s="393"/>
      <c r="C5365" s="20"/>
      <c r="E5365" s="387"/>
      <c r="F5365" s="388">
        <f t="shared" si="1375"/>
        <v>0</v>
      </c>
      <c r="G5365" s="390"/>
      <c r="H5365" s="341" t="str">
        <f>IF(A5365="","",VLOOKUP(A5365,VII.A!$A$10:$D$199,4,FALSE))</f>
        <v/>
      </c>
      <c r="I5365" s="341" t="str">
        <f t="shared" si="1376"/>
        <v/>
      </c>
      <c r="J5365" s="341" t="str">
        <f>IF(A5365="","",VLOOKUP(A5365,VII.A!$A$10:$D$199,3,FALSE))</f>
        <v/>
      </c>
      <c r="K5365" s="342" t="str">
        <f t="shared" si="1377"/>
        <v/>
      </c>
      <c r="L5365" s="380" t="str">
        <f>IF(C5365="","",G5339*C5365)</f>
        <v/>
      </c>
      <c r="M5365" s="381" t="str">
        <f>IF(A5365="","",VLOOKUP(A5365,VII.A!$A$10:$B$199,2,FALSE))</f>
        <v/>
      </c>
      <c r="N5365" s="342" t="str">
        <f t="shared" si="1378"/>
        <v/>
      </c>
      <c r="R5365" s="341"/>
      <c r="S5365" s="341"/>
    </row>
    <row r="5366" spans="1:19" ht="12.75" customHeight="1">
      <c r="A5366" s="393"/>
      <c r="C5366" s="20"/>
      <c r="E5366" s="387"/>
      <c r="F5366" s="388">
        <f t="shared" si="1375"/>
        <v>0</v>
      </c>
      <c r="G5366" s="391"/>
      <c r="H5366" s="341" t="str">
        <f>IF(A5366="","",VLOOKUP(A5366,VII.A!$A$10:$D$199,4,FALSE))</f>
        <v/>
      </c>
      <c r="I5366" s="341" t="str">
        <f t="shared" si="1376"/>
        <v/>
      </c>
      <c r="J5366" s="341" t="str">
        <f>IF(A5366="","",VLOOKUP(A5366,VII.A!$A$10:$D$199,3,FALSE))</f>
        <v/>
      </c>
      <c r="K5366" s="342" t="str">
        <f t="shared" si="1377"/>
        <v/>
      </c>
      <c r="L5366" s="380" t="str">
        <f>IF(C5366="","",G5339*C5366)</f>
        <v/>
      </c>
      <c r="M5366" s="381" t="str">
        <f>IF(A5366="","",VLOOKUP(A5366,VII.A!$A$10:$B$199,2,FALSE))</f>
        <v/>
      </c>
      <c r="N5366" s="342" t="str">
        <f t="shared" si="1378"/>
        <v/>
      </c>
      <c r="R5366" s="341"/>
      <c r="S5366" s="341"/>
    </row>
    <row r="5367" spans="1:19" ht="12.75" customHeight="1">
      <c r="A5367" s="393"/>
      <c r="C5367" s="20"/>
      <c r="E5367" s="387"/>
      <c r="F5367" s="388">
        <f t="shared" si="1375"/>
        <v>0</v>
      </c>
      <c r="H5367" s="341" t="str">
        <f>IF(A5367="","",VLOOKUP(A5367,VII.A!$A$10:$D$199,4,FALSE))</f>
        <v/>
      </c>
      <c r="I5367" s="341" t="str">
        <f t="shared" si="1376"/>
        <v/>
      </c>
      <c r="J5367" s="341" t="str">
        <f>IF(A5367="","",VLOOKUP(A5367,VII.A!$A$10:$D$199,3,FALSE))</f>
        <v/>
      </c>
      <c r="K5367" s="342" t="str">
        <f t="shared" si="1377"/>
        <v/>
      </c>
      <c r="L5367" s="380" t="str">
        <f>IF(C5367="","",G5339*C5367)</f>
        <v/>
      </c>
      <c r="M5367" s="381" t="str">
        <f>IF(A5367="","",VLOOKUP(A5367,VII.A!$A$10:$B$199,2,FALSE))</f>
        <v/>
      </c>
      <c r="N5367" s="342" t="str">
        <f t="shared" si="1378"/>
        <v/>
      </c>
      <c r="R5367" s="341"/>
      <c r="S5367" s="341"/>
    </row>
    <row r="5368" spans="1:19" ht="12.75" customHeight="1">
      <c r="A5368" s="393"/>
      <c r="C5368" s="20"/>
      <c r="E5368" s="387"/>
      <c r="F5368" s="388">
        <f t="shared" si="1375"/>
        <v>0</v>
      </c>
      <c r="H5368" s="341" t="str">
        <f>IF(A5368="","",VLOOKUP(A5368,VII.A!$A$10:$D$199,4,FALSE))</f>
        <v/>
      </c>
      <c r="I5368" s="341" t="str">
        <f t="shared" si="1376"/>
        <v/>
      </c>
      <c r="J5368" s="341" t="str">
        <f>IF(A5368="","",VLOOKUP(A5368,VII.A!$A$10:$D$199,3,FALSE))</f>
        <v/>
      </c>
      <c r="K5368" s="342" t="str">
        <f t="shared" si="1377"/>
        <v/>
      </c>
      <c r="L5368" s="380" t="str">
        <f>IF(C5368="","",G5339*C5368)</f>
        <v/>
      </c>
      <c r="M5368" s="381" t="str">
        <f>IF(A5368="","",VLOOKUP(A5368,VII.A!$A$10:$B$199,2,FALSE))</f>
        <v/>
      </c>
      <c r="N5368" s="342" t="str">
        <f t="shared" si="1378"/>
        <v/>
      </c>
      <c r="R5368" s="341"/>
      <c r="S5368" s="341"/>
    </row>
    <row r="5369" spans="1:19" ht="12.75" customHeight="1">
      <c r="A5369" s="393"/>
      <c r="C5369" s="20"/>
      <c r="E5369" s="387"/>
      <c r="F5369" s="388">
        <f t="shared" si="1375"/>
        <v>0</v>
      </c>
      <c r="H5369" s="341" t="str">
        <f>IF(A5369="","",VLOOKUP(A5369,VII.A!$A$10:$D$199,4,FALSE))</f>
        <v/>
      </c>
      <c r="I5369" s="341" t="str">
        <f t="shared" si="1376"/>
        <v/>
      </c>
      <c r="J5369" s="341" t="str">
        <f>IF(A5369="","",VLOOKUP(A5369,VII.A!$A$10:$D$199,3,FALSE))</f>
        <v/>
      </c>
      <c r="K5369" s="342" t="str">
        <f t="shared" si="1377"/>
        <v/>
      </c>
      <c r="L5369" s="380" t="str">
        <f>IF(C5369="","",G5339*C5369)</f>
        <v/>
      </c>
      <c r="M5369" s="381" t="str">
        <f>IF(A5369="","",VLOOKUP(A5369,VII.A!$A$10:$B$199,2,FALSE))</f>
        <v/>
      </c>
      <c r="N5369" s="342" t="str">
        <f t="shared" si="1378"/>
        <v/>
      </c>
      <c r="R5369" s="341"/>
      <c r="S5369" s="341"/>
    </row>
    <row r="5370" spans="1:19" ht="12.75" customHeight="1">
      <c r="A5370" s="393"/>
      <c r="C5370" s="20"/>
      <c r="E5370" s="387"/>
      <c r="F5370" s="388">
        <f t="shared" si="1375"/>
        <v>0</v>
      </c>
      <c r="H5370" s="341" t="str">
        <f>IF(A5370="","",VLOOKUP(A5370,VII.A!$A$10:$D$199,4,FALSE))</f>
        <v/>
      </c>
      <c r="I5370" s="341" t="str">
        <f t="shared" si="1376"/>
        <v/>
      </c>
      <c r="J5370" s="341" t="str">
        <f>IF(A5370="","",VLOOKUP(A5370,VII.A!$A$10:$D$199,3,FALSE))</f>
        <v/>
      </c>
      <c r="K5370" s="342" t="str">
        <f t="shared" si="1377"/>
        <v/>
      </c>
      <c r="L5370" s="380" t="str">
        <f>IF(C5370="","",G5339*C5370)</f>
        <v/>
      </c>
      <c r="M5370" s="381" t="str">
        <f>IF(A5370="","",VLOOKUP(A5370,VII.A!$A$10:$B$199,2,FALSE))</f>
        <v/>
      </c>
      <c r="N5370" s="342" t="str">
        <f t="shared" si="1378"/>
        <v/>
      </c>
      <c r="R5370" s="341"/>
      <c r="S5370" s="341"/>
    </row>
    <row r="5371" spans="1:19" ht="12.75" customHeight="1">
      <c r="A5371" s="393"/>
      <c r="B5371" s="395" t="s">
        <v>226</v>
      </c>
      <c r="C5371" s="396"/>
      <c r="D5371" s="397"/>
      <c r="E5371" s="398"/>
      <c r="F5371" s="399">
        <f>SUM(F5361:F5370)</f>
        <v>0</v>
      </c>
      <c r="J5371" s="341"/>
      <c r="L5371" s="380"/>
      <c r="M5371" s="381"/>
      <c r="N5371" s="342"/>
      <c r="R5371" s="341"/>
      <c r="S5371" s="341"/>
    </row>
    <row r="5372" spans="1:19" ht="12.75" customHeight="1">
      <c r="A5372" s="393"/>
      <c r="B5372" s="400" t="s">
        <v>53</v>
      </c>
      <c r="C5372" s="2">
        <f>$D$8</f>
        <v>0</v>
      </c>
      <c r="D5372" s="401"/>
      <c r="E5372" s="402"/>
      <c r="F5372" s="403">
        <f>ROUND(C5372*F5371,2)</f>
        <v>0</v>
      </c>
      <c r="J5372" s="341"/>
      <c r="L5372" s="380"/>
      <c r="M5372" s="381"/>
      <c r="N5372" s="342"/>
      <c r="R5372" s="341"/>
      <c r="S5372" s="341"/>
    </row>
    <row r="5373" spans="1:19" ht="12.75" customHeight="1">
      <c r="A5373" s="404"/>
      <c r="B5373" s="405" t="s">
        <v>228</v>
      </c>
      <c r="C5373" s="406"/>
      <c r="D5373" s="406"/>
      <c r="E5373" s="407"/>
      <c r="F5373" s="408">
        <f>F5371+F5372</f>
        <v>0</v>
      </c>
      <c r="J5373" s="341"/>
      <c r="L5373" s="380"/>
      <c r="M5373" s="381"/>
      <c r="N5373" s="342"/>
      <c r="R5373" s="341"/>
      <c r="S5373" s="341"/>
    </row>
    <row r="5374" spans="1:19" ht="12.75" customHeight="1">
      <c r="A5374" s="409" t="s">
        <v>47</v>
      </c>
      <c r="B5374" s="410" t="s">
        <v>236</v>
      </c>
      <c r="C5374" s="411" t="s">
        <v>231</v>
      </c>
      <c r="D5374" s="412" t="s">
        <v>232</v>
      </c>
      <c r="E5374" s="413" t="s">
        <v>233</v>
      </c>
      <c r="F5374" s="378" t="s">
        <v>234</v>
      </c>
      <c r="J5374" s="341"/>
      <c r="L5374" s="380"/>
      <c r="M5374" s="381"/>
      <c r="N5374" s="342"/>
      <c r="R5374" s="341"/>
      <c r="S5374" s="341"/>
    </row>
    <row r="5375" spans="1:19" ht="12.75" customHeight="1">
      <c r="A5375" s="393" t="str">
        <f>VII.A!$A$181</f>
        <v>3.1</v>
      </c>
      <c r="B5375" s="394" t="s">
        <v>142</v>
      </c>
      <c r="C5375" s="20">
        <v>6.7199999999999996E-2</v>
      </c>
      <c r="D5375" s="384" t="str">
        <f>VLOOKUP(A5375,VII.A!$A$10:$G$199,3,FALSE)</f>
        <v>H</v>
      </c>
      <c r="E5375" s="387">
        <f>VII.A!D181</f>
        <v>0</v>
      </c>
      <c r="F5375" s="388">
        <f t="shared" ref="F5375:F5381" si="1379">ROUND(C5375*E5375,2)</f>
        <v>0</v>
      </c>
      <c r="H5375" s="341">
        <f>IF(A5375="","",VLOOKUP(A5375,VII.A!$A$10:$D$199,4,FALSE))</f>
        <v>0</v>
      </c>
      <c r="I5375" s="341" t="str">
        <f t="shared" ref="I5375:I5381" si="1380">IF(A5375="","",IF(E5375=H5375,"SIM","NÃO"))</f>
        <v>SIM</v>
      </c>
      <c r="J5375" s="341" t="str">
        <f>IF(A5375="","",VLOOKUP(A5375,VII.A!$A$10:$D$199,3,FALSE))</f>
        <v>H</v>
      </c>
      <c r="K5375" s="342" t="str">
        <f t="shared" ref="K5375:K5381" si="1381">IF(A5375="","",IF(J5375=D5375,"SIM","NÃO"))</f>
        <v>SIM</v>
      </c>
      <c r="L5375" s="380">
        <f>IF(C5375="","",G5339*C5375)</f>
        <v>15.0528</v>
      </c>
      <c r="M5375" s="381" t="str">
        <f>IF(A5375="","",VLOOKUP(A5375,VII.A!$A$10:$B$199,2,FALSE))</f>
        <v>AJUDANTE COM ENCARGOS COMPLEMENTARES</v>
      </c>
      <c r="N5375" s="342" t="str">
        <f t="shared" ref="N5375:N5381" si="1382">IF(B5375="","",IF(M5375=B5375,"si","no"))</f>
        <v>si</v>
      </c>
      <c r="R5375" s="341"/>
      <c r="S5375" s="341"/>
    </row>
    <row r="5376" spans="1:19" ht="12.75" customHeight="1">
      <c r="A5376" s="393" t="str">
        <f>VII.A!$A$189</f>
        <v>3.9</v>
      </c>
      <c r="B5376" s="394" t="s">
        <v>150</v>
      </c>
      <c r="C5376" s="20">
        <v>6.7199999999999996E-2</v>
      </c>
      <c r="D5376" s="384" t="str">
        <f>VLOOKUP(A5376,VII.A!$A$10:$G$199,3,FALSE)</f>
        <v>H</v>
      </c>
      <c r="E5376" s="387">
        <f>VII.A!D189</f>
        <v>0</v>
      </c>
      <c r="F5376" s="388">
        <f t="shared" si="1379"/>
        <v>0</v>
      </c>
      <c r="H5376" s="341">
        <f>IF(A5376="","",VLOOKUP(A5376,VII.A!$A$10:$D$199,4,FALSE))</f>
        <v>0</v>
      </c>
      <c r="I5376" s="341" t="str">
        <f t="shared" si="1380"/>
        <v>SIM</v>
      </c>
      <c r="J5376" s="341" t="str">
        <f>IF(A5376="","",VLOOKUP(A5376,VII.A!$A$10:$D$199,3,FALSE))</f>
        <v>H</v>
      </c>
      <c r="K5376" s="342" t="str">
        <f t="shared" si="1381"/>
        <v>SIM</v>
      </c>
      <c r="L5376" s="380">
        <f>IF(C5376="","",G5339*C5376)</f>
        <v>15.0528</v>
      </c>
      <c r="M5376" s="381" t="str">
        <f>IF(A5376="","",VLOOKUP(A5376,VII.A!$A$10:$B$199,2,FALSE))</f>
        <v>ELETRICISTA COM ENCARGOS COMPLEMENTARES</v>
      </c>
      <c r="N5376" s="342" t="str">
        <f t="shared" si="1382"/>
        <v>si</v>
      </c>
      <c r="R5376" s="341"/>
      <c r="S5376" s="341"/>
    </row>
    <row r="5377" spans="1:25" ht="12.75" customHeight="1">
      <c r="A5377" s="393"/>
      <c r="C5377" s="20"/>
      <c r="E5377" s="387"/>
      <c r="F5377" s="388">
        <f t="shared" si="1379"/>
        <v>0</v>
      </c>
      <c r="H5377" s="341" t="str">
        <f>IF(A5377="","",VLOOKUP(A5377,VII.A!$A$10:$D$199,4,FALSE))</f>
        <v/>
      </c>
      <c r="I5377" s="341" t="str">
        <f t="shared" si="1380"/>
        <v/>
      </c>
      <c r="J5377" s="341" t="str">
        <f>IF(A5377="","",VLOOKUP(A5377,VII.A!$A$10:$D$199,3,FALSE))</f>
        <v/>
      </c>
      <c r="K5377" s="342" t="str">
        <f t="shared" si="1381"/>
        <v/>
      </c>
      <c r="L5377" s="380" t="str">
        <f>IF(C5377="","",G5339*C5377)</f>
        <v/>
      </c>
      <c r="M5377" s="381" t="str">
        <f>IF(A5377="","",VLOOKUP(A5377,VII.A!$A$10:$B$199,2,FALSE))</f>
        <v/>
      </c>
      <c r="N5377" s="342" t="str">
        <f t="shared" si="1382"/>
        <v/>
      </c>
      <c r="R5377" s="341"/>
      <c r="S5377" s="341"/>
    </row>
    <row r="5378" spans="1:25" ht="12.75" customHeight="1">
      <c r="A5378" s="393"/>
      <c r="C5378" s="20"/>
      <c r="E5378" s="387"/>
      <c r="F5378" s="388">
        <f t="shared" si="1379"/>
        <v>0</v>
      </c>
      <c r="H5378" s="341" t="str">
        <f>IF(A5378="","",VLOOKUP(A5378,VII.A!$A$10:$D$199,4,FALSE))</f>
        <v/>
      </c>
      <c r="I5378" s="341" t="str">
        <f t="shared" si="1380"/>
        <v/>
      </c>
      <c r="J5378" s="341" t="str">
        <f>IF(A5378="","",VLOOKUP(A5378,VII.A!$A$10:$D$199,3,FALSE))</f>
        <v/>
      </c>
      <c r="K5378" s="342" t="str">
        <f t="shared" si="1381"/>
        <v/>
      </c>
      <c r="L5378" s="380" t="str">
        <f>IF(C5378="","",G5339*C5378)</f>
        <v/>
      </c>
      <c r="M5378" s="381" t="str">
        <f>IF(A5378="","",VLOOKUP(A5378,VII.A!$A$10:$B$199,2,FALSE))</f>
        <v/>
      </c>
      <c r="N5378" s="342" t="str">
        <f t="shared" si="1382"/>
        <v/>
      </c>
      <c r="R5378" s="341"/>
      <c r="S5378" s="341"/>
    </row>
    <row r="5379" spans="1:25" ht="12.75" customHeight="1">
      <c r="A5379" s="393"/>
      <c r="C5379" s="20"/>
      <c r="E5379" s="387"/>
      <c r="F5379" s="388">
        <f t="shared" si="1379"/>
        <v>0</v>
      </c>
      <c r="H5379" s="341" t="str">
        <f>IF(A5379="","",VLOOKUP(A5379,VII.A!$A$10:$D$199,4,FALSE))</f>
        <v/>
      </c>
      <c r="I5379" s="341" t="str">
        <f t="shared" si="1380"/>
        <v/>
      </c>
      <c r="J5379" s="341" t="str">
        <f>IF(A5379="","",VLOOKUP(A5379,VII.A!$A$10:$D$199,3,FALSE))</f>
        <v/>
      </c>
      <c r="K5379" s="342" t="str">
        <f t="shared" si="1381"/>
        <v/>
      </c>
      <c r="L5379" s="380" t="str">
        <f>IF(C5379="","",G5339*C5379)</f>
        <v/>
      </c>
      <c r="M5379" s="381" t="str">
        <f>IF(A5379="","",VLOOKUP(A5379,VII.A!$A$10:$B$199,2,FALSE))</f>
        <v/>
      </c>
      <c r="N5379" s="342" t="str">
        <f t="shared" si="1382"/>
        <v/>
      </c>
      <c r="R5379" s="341"/>
      <c r="S5379" s="341"/>
    </row>
    <row r="5380" spans="1:25" ht="12.75" customHeight="1">
      <c r="A5380" s="393"/>
      <c r="C5380" s="20"/>
      <c r="E5380" s="387"/>
      <c r="F5380" s="388">
        <f t="shared" si="1379"/>
        <v>0</v>
      </c>
      <c r="H5380" s="341" t="str">
        <f>IF(A5380="","",VLOOKUP(A5380,VII.A!$A$10:$D$199,4,FALSE))</f>
        <v/>
      </c>
      <c r="I5380" s="341" t="str">
        <f t="shared" si="1380"/>
        <v/>
      </c>
      <c r="J5380" s="341" t="str">
        <f>IF(A5380="","",VLOOKUP(A5380,VII.A!$A$10:$D$199,3,FALSE))</f>
        <v/>
      </c>
      <c r="K5380" s="342" t="str">
        <f t="shared" si="1381"/>
        <v/>
      </c>
      <c r="L5380" s="380" t="str">
        <f>IF(C5380="","",G5339*C5380)</f>
        <v/>
      </c>
      <c r="M5380" s="381" t="str">
        <f>IF(A5380="","",VLOOKUP(A5380,VII.A!$A$10:$B$199,2,FALSE))</f>
        <v/>
      </c>
      <c r="N5380" s="342" t="str">
        <f t="shared" si="1382"/>
        <v/>
      </c>
      <c r="R5380" s="341"/>
      <c r="S5380" s="341"/>
    </row>
    <row r="5381" spans="1:25" ht="12.75" customHeight="1">
      <c r="A5381" s="393"/>
      <c r="C5381" s="20"/>
      <c r="E5381" s="387"/>
      <c r="F5381" s="388">
        <f t="shared" si="1379"/>
        <v>0</v>
      </c>
      <c r="H5381" s="341" t="str">
        <f>IF(A5381="","",VLOOKUP(A5381,VII.A!$A$10:$D$199,4,FALSE))</f>
        <v/>
      </c>
      <c r="I5381" s="341" t="str">
        <f t="shared" si="1380"/>
        <v/>
      </c>
      <c r="J5381" s="341" t="str">
        <f>IF(A5381="","",VLOOKUP(A5381,VII.A!$A$10:$D$199,3,FALSE))</f>
        <v/>
      </c>
      <c r="K5381" s="342" t="str">
        <f t="shared" si="1381"/>
        <v/>
      </c>
      <c r="L5381" s="380" t="str">
        <f>IF(C5381="","",G5339*C5381)</f>
        <v/>
      </c>
      <c r="M5381" s="381" t="str">
        <f>IF(A5381="","",VLOOKUP(A5381,VII.A!$A$10:$B$199,2,FALSE))</f>
        <v/>
      </c>
      <c r="N5381" s="342" t="str">
        <f t="shared" si="1382"/>
        <v/>
      </c>
      <c r="R5381" s="341"/>
      <c r="S5381" s="341"/>
    </row>
    <row r="5382" spans="1:25" ht="12.75" customHeight="1">
      <c r="A5382" s="393"/>
      <c r="B5382" s="395" t="s">
        <v>226</v>
      </c>
      <c r="C5382" s="396"/>
      <c r="D5382" s="397"/>
      <c r="E5382" s="398"/>
      <c r="F5382" s="399">
        <f>SUM(F5375:F5381)</f>
        <v>0</v>
      </c>
      <c r="J5382" s="341"/>
      <c r="L5382" s="380"/>
      <c r="M5382" s="381"/>
      <c r="N5382" s="342"/>
      <c r="R5382" s="341"/>
      <c r="S5382" s="341"/>
    </row>
    <row r="5383" spans="1:25" ht="12.75" customHeight="1">
      <c r="A5383" s="393"/>
      <c r="B5383" s="400" t="s">
        <v>229</v>
      </c>
      <c r="C5383" s="2">
        <f>IX.A!$C$45</f>
        <v>0</v>
      </c>
      <c r="D5383" s="401"/>
      <c r="E5383" s="402"/>
      <c r="F5383" s="403">
        <f>ROUND(F5382*C5383,2)</f>
        <v>0</v>
      </c>
      <c r="J5383" s="341"/>
      <c r="L5383" s="380"/>
      <c r="M5383" s="381"/>
      <c r="N5383" s="342"/>
      <c r="R5383" s="341"/>
      <c r="S5383" s="341"/>
    </row>
    <row r="5384" spans="1:25" ht="12.75" customHeight="1">
      <c r="A5384" s="393"/>
      <c r="B5384" s="400" t="s">
        <v>53</v>
      </c>
      <c r="C5384" s="2">
        <f>$D$8</f>
        <v>0</v>
      </c>
      <c r="D5384" s="401"/>
      <c r="E5384" s="402"/>
      <c r="F5384" s="403">
        <f>ROUND(SUM(F5382:F5383)*C5384,2)</f>
        <v>0</v>
      </c>
      <c r="J5384" s="341"/>
      <c r="L5384" s="380"/>
      <c r="M5384" s="381"/>
      <c r="N5384" s="342"/>
      <c r="R5384" s="341"/>
      <c r="S5384" s="341"/>
    </row>
    <row r="5385" spans="1:25" ht="12.75" customHeight="1" thickBot="1">
      <c r="A5385" s="414"/>
      <c r="B5385" s="415" t="s">
        <v>230</v>
      </c>
      <c r="C5385" s="416"/>
      <c r="D5385" s="416"/>
      <c r="E5385" s="417"/>
      <c r="F5385" s="418">
        <f>SUM(F5382:F5384)</f>
        <v>0</v>
      </c>
      <c r="J5385" s="341"/>
      <c r="L5385" s="380"/>
      <c r="M5385" s="381"/>
      <c r="N5385" s="342"/>
      <c r="R5385" s="341"/>
      <c r="S5385" s="341"/>
    </row>
    <row r="5386" spans="1:25" ht="12.75" customHeight="1" thickBot="1">
      <c r="A5386" s="357"/>
      <c r="B5386" s="358"/>
      <c r="C5386" s="359"/>
      <c r="D5386" s="359"/>
      <c r="E5386" s="360"/>
      <c r="F5386" s="419"/>
      <c r="J5386" s="341"/>
      <c r="L5386" s="380"/>
      <c r="M5386" s="381"/>
      <c r="N5386" s="342"/>
      <c r="R5386" s="341"/>
      <c r="S5386" s="341"/>
    </row>
    <row r="5387" spans="1:25" ht="30" customHeight="1">
      <c r="A5387" s="370" t="str">
        <f>IV.A!A161</f>
        <v>7.5</v>
      </c>
      <c r="B5387" s="371" t="str">
        <f>IV.A!B161</f>
        <v>FORNECIMENTO E LANÇAMENTO DE ELETRODUTO FLEXÍVEL CORRUGADO, PEAD, DN 63 (2")</v>
      </c>
      <c r="C5387" s="871" t="s">
        <v>237</v>
      </c>
      <c r="D5387" s="872"/>
      <c r="E5387" s="372" t="str">
        <f>IV.A!C161</f>
        <v>M</v>
      </c>
      <c r="F5387" s="11">
        <f>ROUND(F5407+F5421+F5433,2)</f>
        <v>0</v>
      </c>
      <c r="G5387" s="1">
        <f>VLOOKUP(A5387,IV.A!$A$16:$L$172,4,FALSE)</f>
        <v>125</v>
      </c>
      <c r="H5387" s="361">
        <f>SUM(F5389:F5404)+F5406</f>
        <v>0</v>
      </c>
      <c r="I5387" s="361">
        <f>SUM(F5409:F5418)+F5420</f>
        <v>0</v>
      </c>
      <c r="J5387" s="361">
        <f>SUM(F5423:F5429)+F5431+F5432</f>
        <v>0</v>
      </c>
      <c r="K5387" s="361">
        <f>SUM(H5387:J5387)</f>
        <v>0</v>
      </c>
      <c r="L5387" s="362" t="str">
        <f>IF(K5387=F5387,"SIM","NÃO")</f>
        <v>SIM</v>
      </c>
      <c r="M5387" s="373">
        <f>ROUND(SUM(F5389:F5404),2)+ROUND(SUM(F5389:F5404)*C5406,2)+ROUND(SUM(F5409:F5418)*C5420,2)+ROUND(SUM(F5409:F5418),2)+ROUND(SUM(F5423:F5429)*C5431,2)+ROUND((SUM(F5423:F5429)+ROUND(SUM(F5423:F5429)*C5431,2))*C5432,2)+ROUND(SUM(F5423:F5429),2)</f>
        <v>0</v>
      </c>
      <c r="N5387" s="343" t="str">
        <f>IF(M5387=F5387,"SIM","NÃO")</f>
        <v>SIM</v>
      </c>
      <c r="O5387" s="364" t="str">
        <f>VLOOKUP(A5387,IV.A!$A$16:$E$172,3,FALSE)</f>
        <v>M</v>
      </c>
      <c r="P5387" s="344" t="str">
        <f>IF(O5387=E5387,"SIM","NÃO")</f>
        <v>SIM</v>
      </c>
      <c r="Q5387" s="365">
        <f>ROUND(G5387*F5407,2)+ROUND(G5387*F5421,2)+ROUND(G5387*F5433,2)</f>
        <v>0</v>
      </c>
      <c r="R5387" s="364">
        <f>VLOOKUP(A5387,IV.A!$A$16:$L$172,12,FALSE)</f>
        <v>0</v>
      </c>
      <c r="S5387" s="366" t="str">
        <f>IF(Q5387=R5387,"si","no")</f>
        <v>si</v>
      </c>
      <c r="T5387" s="367">
        <f>SUM(L5389:L5404)+SUM(L5409:L5418)+SUM(L5423:L5429)</f>
        <v>161.125</v>
      </c>
      <c r="U5387" s="341">
        <f>(SUM(C5389:C5404)+SUM(C5409:C5418)+SUM(C5423:C5429))*G5387</f>
        <v>161.12500000000003</v>
      </c>
      <c r="V5387" s="368" t="str">
        <f>IF(T5387=U5387,"si","no")</f>
        <v>si</v>
      </c>
      <c r="W5387" s="369">
        <f>SUM(F5389:F5404)</f>
        <v>0</v>
      </c>
      <c r="X5387" s="369">
        <f>SUM(F5409:F5418)</f>
        <v>0</v>
      </c>
      <c r="Y5387" s="369">
        <f>SUM(F5423:F5429)</f>
        <v>0</v>
      </c>
    </row>
    <row r="5388" spans="1:25" ht="12.75" customHeight="1">
      <c r="A5388" s="374" t="s">
        <v>14</v>
      </c>
      <c r="B5388" s="375" t="s">
        <v>132</v>
      </c>
      <c r="C5388" s="376" t="s">
        <v>231</v>
      </c>
      <c r="D5388" s="376" t="s">
        <v>232</v>
      </c>
      <c r="E5388" s="377" t="s">
        <v>233</v>
      </c>
      <c r="F5388" s="378" t="s">
        <v>234</v>
      </c>
      <c r="G5388" s="379"/>
      <c r="J5388" s="341"/>
      <c r="L5388" s="380"/>
      <c r="M5388" s="381"/>
      <c r="N5388" s="342"/>
      <c r="O5388" s="382"/>
      <c r="P5388" s="383"/>
      <c r="Q5388" s="383"/>
      <c r="R5388" s="383"/>
      <c r="S5388" s="383"/>
      <c r="T5388" s="382"/>
      <c r="U5388" s="341"/>
      <c r="V5388" s="384"/>
      <c r="W5388" s="384"/>
      <c r="X5388" s="384"/>
      <c r="Y5388" s="384"/>
    </row>
    <row r="5389" spans="1:25" ht="12.75" customHeight="1">
      <c r="A5389" s="385" t="str">
        <f>VII.A!$A$50</f>
        <v>1.41</v>
      </c>
      <c r="B5389" s="386" t="str">
        <f>VII.A!B50</f>
        <v>ELETRODUTO/DUTO PEAD FLEXIVEL PAREDE SIMPLES, CORRUGACAO HELICOIDAL, COR PRETA, DE 2"</v>
      </c>
      <c r="C5389" s="20">
        <v>1.1000000000000001</v>
      </c>
      <c r="D5389" s="342" t="str">
        <f>VII.A!C50</f>
        <v>M</v>
      </c>
      <c r="E5389" s="387">
        <f>VII.A!D50</f>
        <v>0</v>
      </c>
      <c r="F5389" s="388">
        <f>ROUND(C5389*E5389,2)</f>
        <v>0</v>
      </c>
      <c r="H5389" s="341">
        <f>IF(A5389="","",VLOOKUP(A5389,VII.A!$A$10:$D$199,4,FALSE))</f>
        <v>0</v>
      </c>
      <c r="I5389" s="341" t="str">
        <f t="shared" ref="I5389:I5404" si="1383">IF(A5389="","",IF(E5389=H5389,"SIM","NÃO"))</f>
        <v>SIM</v>
      </c>
      <c r="J5389" s="341" t="str">
        <f>IF(A5389="","",VLOOKUP(A5389,VII.A!$A$10:$D$199,3,FALSE))</f>
        <v>M</v>
      </c>
      <c r="K5389" s="342" t="str">
        <f t="shared" ref="K5389:K5404" si="1384">IF(A5389="","",IF(J5389=D5389,"SIM","NÃO"))</f>
        <v>SIM</v>
      </c>
      <c r="L5389" s="380">
        <f>IF(C5389="","",G5387*C5389)</f>
        <v>137.5</v>
      </c>
      <c r="M5389" s="381" t="str">
        <f>IF(A5389="","",VLOOKUP(A5389,VII.A!$A$10:$B$199,2,FALSE))</f>
        <v>ELETRODUTO/DUTO PEAD FLEXIVEL PAREDE SIMPLES, CORRUGACAO HELICOIDAL, COR PRETA, DE 2"</v>
      </c>
      <c r="N5389" s="342" t="str">
        <f t="shared" ref="N5389:N5404" si="1385">IF(B5389="","",IF(M5389=B5389,"si","no"))</f>
        <v>si</v>
      </c>
      <c r="R5389" s="341"/>
      <c r="S5389" s="341"/>
    </row>
    <row r="5390" spans="1:25" ht="12.75" customHeight="1">
      <c r="A5390" s="385"/>
      <c r="B5390" s="386"/>
      <c r="C5390" s="20"/>
      <c r="D5390" s="342"/>
      <c r="E5390" s="387"/>
      <c r="F5390" s="388">
        <f t="shared" ref="F5390:F5404" si="1386">ROUND(C5390*E5390,2)</f>
        <v>0</v>
      </c>
      <c r="H5390" s="341" t="str">
        <f>IF(A5390="","",VLOOKUP(A5390,VII.A!$A$10:$D$199,4,FALSE))</f>
        <v/>
      </c>
      <c r="I5390" s="341" t="str">
        <f t="shared" si="1383"/>
        <v/>
      </c>
      <c r="J5390" s="341" t="str">
        <f>IF(A5390="","",VLOOKUP(A5390,VII.A!$A$10:$D$199,3,FALSE))</f>
        <v/>
      </c>
      <c r="K5390" s="342" t="str">
        <f t="shared" si="1384"/>
        <v/>
      </c>
      <c r="L5390" s="380" t="str">
        <f>IF(C5390="","",G5387*C5390)</f>
        <v/>
      </c>
      <c r="M5390" s="381" t="str">
        <f>IF(A5390="","",VLOOKUP(A5390,VII.A!$A$10:$B$199,2,FALSE))</f>
        <v/>
      </c>
      <c r="N5390" s="342" t="str">
        <f t="shared" si="1385"/>
        <v/>
      </c>
      <c r="R5390" s="341"/>
      <c r="S5390" s="341"/>
    </row>
    <row r="5391" spans="1:25" ht="12.75" customHeight="1">
      <c r="A5391" s="385"/>
      <c r="B5391" s="386"/>
      <c r="C5391" s="20"/>
      <c r="D5391" s="342"/>
      <c r="E5391" s="387"/>
      <c r="F5391" s="388">
        <f t="shared" si="1386"/>
        <v>0</v>
      </c>
      <c r="H5391" s="341" t="str">
        <f>IF(A5391="","",VLOOKUP(A5391,VII.A!$A$10:$D$199,4,FALSE))</f>
        <v/>
      </c>
      <c r="I5391" s="341" t="str">
        <f t="shared" si="1383"/>
        <v/>
      </c>
      <c r="J5391" s="341" t="str">
        <f>IF(A5391="","",VLOOKUP(A5391,VII.A!$A$10:$D$199,3,FALSE))</f>
        <v/>
      </c>
      <c r="K5391" s="342" t="str">
        <f t="shared" si="1384"/>
        <v/>
      </c>
      <c r="L5391" s="380" t="str">
        <f>IF(C5391="","",G5387*C5391)</f>
        <v/>
      </c>
      <c r="M5391" s="381" t="str">
        <f>IF(A5391="","",VLOOKUP(A5391,VII.A!$A$10:$B$199,2,FALSE))</f>
        <v/>
      </c>
      <c r="N5391" s="342" t="str">
        <f t="shared" si="1385"/>
        <v/>
      </c>
      <c r="R5391" s="341"/>
      <c r="S5391" s="341"/>
    </row>
    <row r="5392" spans="1:25" ht="12.75" customHeight="1">
      <c r="A5392" s="385"/>
      <c r="B5392" s="386"/>
      <c r="C5392" s="20"/>
      <c r="D5392" s="342"/>
      <c r="E5392" s="387"/>
      <c r="F5392" s="388">
        <f t="shared" si="1386"/>
        <v>0</v>
      </c>
      <c r="H5392" s="341" t="str">
        <f>IF(A5392="","",VLOOKUP(A5392,VII.A!$A$10:$D$199,4,FALSE))</f>
        <v/>
      </c>
      <c r="I5392" s="341" t="str">
        <f t="shared" si="1383"/>
        <v/>
      </c>
      <c r="J5392" s="341" t="str">
        <f>IF(A5392="","",VLOOKUP(A5392,VII.A!$A$10:$D$199,3,FALSE))</f>
        <v/>
      </c>
      <c r="K5392" s="342" t="str">
        <f t="shared" si="1384"/>
        <v/>
      </c>
      <c r="L5392" s="380" t="str">
        <f>IF(C5392="","",G5387*C5392)</f>
        <v/>
      </c>
      <c r="M5392" s="381" t="str">
        <f>IF(A5392="","",VLOOKUP(A5392,VII.A!$A$10:$B$199,2,FALSE))</f>
        <v/>
      </c>
      <c r="N5392" s="342" t="str">
        <f t="shared" si="1385"/>
        <v/>
      </c>
      <c r="R5392" s="341"/>
      <c r="S5392" s="341"/>
    </row>
    <row r="5393" spans="1:21" ht="12.75" customHeight="1">
      <c r="A5393" s="385"/>
      <c r="B5393" s="386"/>
      <c r="C5393" s="20"/>
      <c r="D5393" s="342"/>
      <c r="E5393" s="387"/>
      <c r="F5393" s="388">
        <f t="shared" si="1386"/>
        <v>0</v>
      </c>
      <c r="H5393" s="341" t="str">
        <f>IF(A5393="","",VLOOKUP(A5393,VII.A!$A$10:$D$199,4,FALSE))</f>
        <v/>
      </c>
      <c r="I5393" s="341" t="str">
        <f t="shared" si="1383"/>
        <v/>
      </c>
      <c r="J5393" s="341" t="str">
        <f>IF(A5393="","",VLOOKUP(A5393,VII.A!$A$10:$D$199,3,FALSE))</f>
        <v/>
      </c>
      <c r="K5393" s="342" t="str">
        <f t="shared" si="1384"/>
        <v/>
      </c>
      <c r="L5393" s="380" t="str">
        <f>IF(C5393="","",G5387*C5393)</f>
        <v/>
      </c>
      <c r="M5393" s="381" t="str">
        <f>IF(A5393="","",VLOOKUP(A5393,VII.A!$A$10:$B$199,2,FALSE))</f>
        <v/>
      </c>
      <c r="N5393" s="342" t="str">
        <f t="shared" si="1385"/>
        <v/>
      </c>
      <c r="R5393" s="341"/>
      <c r="S5393" s="341"/>
    </row>
    <row r="5394" spans="1:21" ht="12.75" customHeight="1">
      <c r="A5394" s="385"/>
      <c r="B5394" s="386"/>
      <c r="C5394" s="20"/>
      <c r="D5394" s="342"/>
      <c r="E5394" s="387"/>
      <c r="F5394" s="388">
        <f t="shared" si="1386"/>
        <v>0</v>
      </c>
      <c r="H5394" s="341" t="str">
        <f>IF(A5394="","",VLOOKUP(A5394,VII.A!$A$10:$D$199,4,FALSE))</f>
        <v/>
      </c>
      <c r="I5394" s="341" t="str">
        <f t="shared" si="1383"/>
        <v/>
      </c>
      <c r="J5394" s="341" t="str">
        <f>IF(A5394="","",VLOOKUP(A5394,VII.A!$A$10:$D$199,3,FALSE))</f>
        <v/>
      </c>
      <c r="K5394" s="342" t="str">
        <f t="shared" si="1384"/>
        <v/>
      </c>
      <c r="L5394" s="380" t="str">
        <f>IF(C5394="","",G5387*C5394)</f>
        <v/>
      </c>
      <c r="M5394" s="381" t="str">
        <f>IF(A5394="","",VLOOKUP(A5394,VII.A!$A$10:$B$199,2,FALSE))</f>
        <v/>
      </c>
      <c r="N5394" s="342" t="str">
        <f t="shared" si="1385"/>
        <v/>
      </c>
      <c r="R5394" s="341"/>
      <c r="S5394" s="341"/>
      <c r="U5394" s="389"/>
    </row>
    <row r="5395" spans="1:21" ht="12.75" customHeight="1">
      <c r="A5395" s="385"/>
      <c r="B5395" s="386"/>
      <c r="C5395" s="20"/>
      <c r="D5395" s="342"/>
      <c r="E5395" s="387"/>
      <c r="F5395" s="388">
        <f t="shared" si="1386"/>
        <v>0</v>
      </c>
      <c r="H5395" s="341" t="str">
        <f>IF(A5395="","",VLOOKUP(A5395,VII.A!$A$10:$D$199,4,FALSE))</f>
        <v/>
      </c>
      <c r="I5395" s="341" t="str">
        <f t="shared" si="1383"/>
        <v/>
      </c>
      <c r="J5395" s="341" t="str">
        <f>IF(A5395="","",VLOOKUP(A5395,VII.A!$A$10:$D$199,3,FALSE))</f>
        <v/>
      </c>
      <c r="K5395" s="342" t="str">
        <f t="shared" si="1384"/>
        <v/>
      </c>
      <c r="L5395" s="380" t="str">
        <f>IF(C5395="","",G5387*C5395)</f>
        <v/>
      </c>
      <c r="M5395" s="381" t="str">
        <f>IF(A5395="","",VLOOKUP(A5395,VII.A!$A$10:$B$199,2,FALSE))</f>
        <v/>
      </c>
      <c r="N5395" s="342" t="str">
        <f t="shared" si="1385"/>
        <v/>
      </c>
      <c r="R5395" s="341"/>
      <c r="S5395" s="341"/>
    </row>
    <row r="5396" spans="1:21" ht="12.75" customHeight="1">
      <c r="A5396" s="385"/>
      <c r="B5396" s="386"/>
      <c r="C5396" s="20"/>
      <c r="D5396" s="342"/>
      <c r="E5396" s="387"/>
      <c r="F5396" s="388">
        <f t="shared" si="1386"/>
        <v>0</v>
      </c>
      <c r="G5396" s="390"/>
      <c r="H5396" s="341" t="str">
        <f>IF(A5396="","",VLOOKUP(A5396,VII.A!$A$10:$D$199,4,FALSE))</f>
        <v/>
      </c>
      <c r="I5396" s="341" t="str">
        <f t="shared" si="1383"/>
        <v/>
      </c>
      <c r="J5396" s="341" t="str">
        <f>IF(A5396="","",VLOOKUP(A5396,VII.A!$A$10:$D$199,3,FALSE))</f>
        <v/>
      </c>
      <c r="K5396" s="342" t="str">
        <f t="shared" si="1384"/>
        <v/>
      </c>
      <c r="L5396" s="380" t="str">
        <f>IF(C5396="","",G5387*C5396)</f>
        <v/>
      </c>
      <c r="M5396" s="381" t="str">
        <f>IF(A5396="","",VLOOKUP(A5396,VII.A!$A$10:$B$199,2,FALSE))</f>
        <v/>
      </c>
      <c r="N5396" s="342" t="str">
        <f t="shared" si="1385"/>
        <v/>
      </c>
      <c r="R5396" s="341"/>
      <c r="S5396" s="341"/>
    </row>
    <row r="5397" spans="1:21" ht="12.75" customHeight="1">
      <c r="A5397" s="385"/>
      <c r="B5397" s="386" t="str">
        <f>LOWER(B5392)</f>
        <v/>
      </c>
      <c r="C5397" s="20"/>
      <c r="D5397" s="342"/>
      <c r="E5397" s="387"/>
      <c r="F5397" s="388">
        <f t="shared" si="1386"/>
        <v>0</v>
      </c>
      <c r="G5397" s="390"/>
      <c r="H5397" s="341" t="str">
        <f>IF(A5397="","",VLOOKUP(A5397,VII.A!$A$10:$D$199,4,FALSE))</f>
        <v/>
      </c>
      <c r="I5397" s="341" t="str">
        <f t="shared" si="1383"/>
        <v/>
      </c>
      <c r="J5397" s="341" t="str">
        <f>IF(A5397="","",VLOOKUP(A5397,VII.A!$A$10:$D$199,3,FALSE))</f>
        <v/>
      </c>
      <c r="K5397" s="342" t="str">
        <f t="shared" si="1384"/>
        <v/>
      </c>
      <c r="L5397" s="380" t="str">
        <f>IF(C5397="","",G5387*C5397)</f>
        <v/>
      </c>
      <c r="M5397" s="381" t="str">
        <f>IF(A5397="","",VLOOKUP(A5397,VII.A!$A$10:$B$199,2,FALSE))</f>
        <v/>
      </c>
      <c r="N5397" s="342" t="str">
        <f t="shared" si="1385"/>
        <v/>
      </c>
      <c r="R5397" s="341"/>
      <c r="S5397" s="341"/>
    </row>
    <row r="5398" spans="1:21" ht="12.75" customHeight="1">
      <c r="A5398" s="385"/>
      <c r="B5398" s="386"/>
      <c r="C5398" s="20"/>
      <c r="D5398" s="342"/>
      <c r="E5398" s="387"/>
      <c r="F5398" s="388">
        <f t="shared" si="1386"/>
        <v>0</v>
      </c>
      <c r="G5398" s="391"/>
      <c r="H5398" s="341" t="str">
        <f>IF(A5398="","",VLOOKUP(A5398,VII.A!$A$10:$D$199,4,FALSE))</f>
        <v/>
      </c>
      <c r="I5398" s="341" t="str">
        <f t="shared" si="1383"/>
        <v/>
      </c>
      <c r="J5398" s="341" t="str">
        <f>IF(A5398="","",VLOOKUP(A5398,VII.A!$A$10:$D$199,3,FALSE))</f>
        <v/>
      </c>
      <c r="K5398" s="342" t="str">
        <f t="shared" si="1384"/>
        <v/>
      </c>
      <c r="L5398" s="380" t="str">
        <f>IF(C5398="","",G5387*C5398)</f>
        <v/>
      </c>
      <c r="M5398" s="381" t="str">
        <f>IF(A5398="","",VLOOKUP(A5398,VII.A!$A$10:$B$199,2,FALSE))</f>
        <v/>
      </c>
      <c r="N5398" s="342" t="str">
        <f t="shared" si="1385"/>
        <v/>
      </c>
      <c r="R5398" s="341"/>
      <c r="S5398" s="341"/>
    </row>
    <row r="5399" spans="1:21" ht="12.75" customHeight="1">
      <c r="A5399" s="385"/>
      <c r="B5399" s="386"/>
      <c r="C5399" s="20"/>
      <c r="D5399" s="342"/>
      <c r="E5399" s="387"/>
      <c r="F5399" s="388">
        <f t="shared" si="1386"/>
        <v>0</v>
      </c>
      <c r="H5399" s="341" t="str">
        <f>IF(A5399="","",VLOOKUP(A5399,VII.A!$A$10:$D$199,4,FALSE))</f>
        <v/>
      </c>
      <c r="I5399" s="341" t="str">
        <f t="shared" si="1383"/>
        <v/>
      </c>
      <c r="J5399" s="341" t="str">
        <f>IF(A5399="","",VLOOKUP(A5399,VII.A!$A$10:$D$199,3,FALSE))</f>
        <v/>
      </c>
      <c r="K5399" s="342" t="str">
        <f t="shared" si="1384"/>
        <v/>
      </c>
      <c r="L5399" s="380" t="str">
        <f>IF(C5399="","",G5387*C5399)</f>
        <v/>
      </c>
      <c r="M5399" s="381" t="str">
        <f>IF(A5399="","",VLOOKUP(A5399,VII.A!$A$10:$B$199,2,FALSE))</f>
        <v/>
      </c>
      <c r="N5399" s="342" t="str">
        <f t="shared" si="1385"/>
        <v/>
      </c>
      <c r="R5399" s="341"/>
      <c r="S5399" s="341"/>
    </row>
    <row r="5400" spans="1:21" ht="12.75" customHeight="1">
      <c r="A5400" s="385"/>
      <c r="B5400" s="386"/>
      <c r="C5400" s="20"/>
      <c r="D5400" s="392"/>
      <c r="E5400" s="387"/>
      <c r="F5400" s="388">
        <f t="shared" si="1386"/>
        <v>0</v>
      </c>
      <c r="H5400" s="341" t="str">
        <f>IF(A5400="","",VLOOKUP(A5400,VII.A!$A$10:$D$199,4,FALSE))</f>
        <v/>
      </c>
      <c r="I5400" s="341" t="str">
        <f t="shared" si="1383"/>
        <v/>
      </c>
      <c r="J5400" s="341" t="str">
        <f>IF(A5400="","",VLOOKUP(A5400,VII.A!$A$10:$D$199,3,FALSE))</f>
        <v/>
      </c>
      <c r="K5400" s="342" t="str">
        <f t="shared" si="1384"/>
        <v/>
      </c>
      <c r="L5400" s="380" t="str">
        <f>IF(C5400="","",G5387*C5400)</f>
        <v/>
      </c>
      <c r="M5400" s="381" t="str">
        <f>IF(A5400="","",VLOOKUP(A5400,VII.A!$A$10:$B$199,2,FALSE))</f>
        <v/>
      </c>
      <c r="N5400" s="342" t="str">
        <f t="shared" si="1385"/>
        <v/>
      </c>
      <c r="R5400" s="341"/>
      <c r="S5400" s="341"/>
    </row>
    <row r="5401" spans="1:21" ht="12.75" customHeight="1">
      <c r="A5401" s="385"/>
      <c r="B5401" s="386"/>
      <c r="C5401" s="20"/>
      <c r="D5401" s="392"/>
      <c r="E5401" s="387"/>
      <c r="F5401" s="388">
        <f t="shared" si="1386"/>
        <v>0</v>
      </c>
      <c r="H5401" s="341" t="str">
        <f>IF(A5401="","",VLOOKUP(A5401,VII.A!$A$10:$D$199,4,FALSE))</f>
        <v/>
      </c>
      <c r="I5401" s="341" t="str">
        <f t="shared" si="1383"/>
        <v/>
      </c>
      <c r="J5401" s="341" t="str">
        <f>IF(A5401="","",VLOOKUP(A5401,VII.A!$A$10:$D$199,3,FALSE))</f>
        <v/>
      </c>
      <c r="K5401" s="342" t="str">
        <f t="shared" si="1384"/>
        <v/>
      </c>
      <c r="L5401" s="380" t="str">
        <f>IF(C5401="","",G5387*C5401)</f>
        <v/>
      </c>
      <c r="M5401" s="381" t="str">
        <f>IF(A5401="","",VLOOKUP(A5401,VII.A!$A$10:$B$199,2,FALSE))</f>
        <v/>
      </c>
      <c r="N5401" s="342" t="str">
        <f t="shared" si="1385"/>
        <v/>
      </c>
      <c r="O5401" s="342"/>
      <c r="R5401" s="341"/>
      <c r="S5401" s="341"/>
    </row>
    <row r="5402" spans="1:21" ht="12.75" customHeight="1">
      <c r="A5402" s="385"/>
      <c r="B5402" s="386"/>
      <c r="C5402" s="20"/>
      <c r="D5402" s="392"/>
      <c r="E5402" s="387"/>
      <c r="F5402" s="388">
        <f t="shared" si="1386"/>
        <v>0</v>
      </c>
      <c r="H5402" s="341" t="str">
        <f>IF(A5402="","",VLOOKUP(A5402,VII.A!$A$10:$D$199,4,FALSE))</f>
        <v/>
      </c>
      <c r="I5402" s="341" t="str">
        <f t="shared" si="1383"/>
        <v/>
      </c>
      <c r="J5402" s="341" t="str">
        <f>IF(A5402="","",VLOOKUP(A5402,VII.A!$A$10:$D$199,3,FALSE))</f>
        <v/>
      </c>
      <c r="K5402" s="342" t="str">
        <f t="shared" si="1384"/>
        <v/>
      </c>
      <c r="L5402" s="380" t="str">
        <f>IF(C5402="","",G5387*C5402)</f>
        <v/>
      </c>
      <c r="M5402" s="381" t="str">
        <f>IF(A5402="","",VLOOKUP(A5402,VII.A!$A$10:$B$199,2,FALSE))</f>
        <v/>
      </c>
      <c r="N5402" s="342" t="str">
        <f t="shared" si="1385"/>
        <v/>
      </c>
      <c r="R5402" s="341"/>
      <c r="S5402" s="341"/>
    </row>
    <row r="5403" spans="1:21" ht="12.75" customHeight="1">
      <c r="A5403" s="393"/>
      <c r="C5403" s="20"/>
      <c r="E5403" s="387"/>
      <c r="F5403" s="388">
        <f t="shared" si="1386"/>
        <v>0</v>
      </c>
      <c r="H5403" s="341" t="str">
        <f>IF(A5403="","",VLOOKUP(A5403,VII.A!$A$10:$D$199,4,FALSE))</f>
        <v/>
      </c>
      <c r="I5403" s="341" t="str">
        <f t="shared" si="1383"/>
        <v/>
      </c>
      <c r="J5403" s="341" t="str">
        <f>IF(A5403="","",VLOOKUP(A5403,VII.A!$A$10:$D$199,3,FALSE))</f>
        <v/>
      </c>
      <c r="K5403" s="342" t="str">
        <f t="shared" si="1384"/>
        <v/>
      </c>
      <c r="L5403" s="380" t="str">
        <f>IF(C5403="","",G5387*C5403)</f>
        <v/>
      </c>
      <c r="M5403" s="381" t="str">
        <f>IF(A5403="","",VLOOKUP(A5403,VII.A!$A$10:$B$199,2,FALSE))</f>
        <v/>
      </c>
      <c r="N5403" s="342" t="str">
        <f t="shared" si="1385"/>
        <v/>
      </c>
      <c r="R5403" s="341"/>
      <c r="S5403" s="341"/>
    </row>
    <row r="5404" spans="1:21" ht="12.75" customHeight="1">
      <c r="A5404" s="393"/>
      <c r="C5404" s="20"/>
      <c r="E5404" s="387"/>
      <c r="F5404" s="388">
        <f t="shared" si="1386"/>
        <v>0</v>
      </c>
      <c r="H5404" s="341" t="str">
        <f>IF(A5404="","",VLOOKUP(A5404,VII.A!$A$10:$D$199,4,FALSE))</f>
        <v/>
      </c>
      <c r="I5404" s="341" t="str">
        <f t="shared" si="1383"/>
        <v/>
      </c>
      <c r="J5404" s="341" t="str">
        <f>IF(A5404="","",VLOOKUP(A5404,VII.A!$A$10:$D$199,3,FALSE))</f>
        <v/>
      </c>
      <c r="K5404" s="342" t="str">
        <f t="shared" si="1384"/>
        <v/>
      </c>
      <c r="L5404" s="380" t="str">
        <f>IF(C5404="","",G5387*C5404)</f>
        <v/>
      </c>
      <c r="M5404" s="381" t="str">
        <f>IF(A5404="","",VLOOKUP(A5404,VII.A!$A$10:$B$199,2,FALSE))</f>
        <v/>
      </c>
      <c r="N5404" s="342" t="str">
        <f t="shared" si="1385"/>
        <v/>
      </c>
      <c r="R5404" s="341"/>
      <c r="S5404" s="341"/>
    </row>
    <row r="5405" spans="1:21" ht="12.75" customHeight="1">
      <c r="A5405" s="393"/>
      <c r="B5405" s="395" t="s">
        <v>226</v>
      </c>
      <c r="C5405" s="396"/>
      <c r="D5405" s="397"/>
      <c r="E5405" s="398"/>
      <c r="F5405" s="399">
        <f>SUM(F5389:F5404)</f>
        <v>0</v>
      </c>
      <c r="H5405" s="426" t="s">
        <v>780</v>
      </c>
      <c r="J5405" s="341"/>
      <c r="L5405" s="380"/>
      <c r="M5405" s="381"/>
      <c r="N5405" s="342"/>
      <c r="R5405" s="341"/>
      <c r="S5405" s="341"/>
    </row>
    <row r="5406" spans="1:21" ht="12.75" customHeight="1">
      <c r="A5406" s="393"/>
      <c r="B5406" s="400" t="s">
        <v>53</v>
      </c>
      <c r="C5406" s="2">
        <f>$D$8</f>
        <v>0</v>
      </c>
      <c r="D5406" s="401"/>
      <c r="E5406" s="402"/>
      <c r="F5406" s="403">
        <f>ROUND(F5405*C5406,2)</f>
        <v>0</v>
      </c>
      <c r="J5406" s="341"/>
      <c r="L5406" s="380"/>
      <c r="M5406" s="381"/>
      <c r="N5406" s="342"/>
      <c r="R5406" s="341"/>
      <c r="S5406" s="341"/>
    </row>
    <row r="5407" spans="1:21" ht="12.75" customHeight="1">
      <c r="A5407" s="404"/>
      <c r="B5407" s="405" t="s">
        <v>227</v>
      </c>
      <c r="C5407" s="406"/>
      <c r="D5407" s="406"/>
      <c r="E5407" s="407"/>
      <c r="F5407" s="408">
        <f>F5405+F5406</f>
        <v>0</v>
      </c>
      <c r="J5407" s="341"/>
      <c r="L5407" s="380"/>
      <c r="M5407" s="381"/>
      <c r="N5407" s="342"/>
      <c r="R5407" s="341"/>
      <c r="S5407" s="341"/>
    </row>
    <row r="5408" spans="1:21" ht="12.75" customHeight="1">
      <c r="A5408" s="374" t="s">
        <v>2</v>
      </c>
      <c r="B5408" s="375" t="s">
        <v>235</v>
      </c>
      <c r="C5408" s="376" t="s">
        <v>231</v>
      </c>
      <c r="D5408" s="376" t="s">
        <v>232</v>
      </c>
      <c r="E5408" s="377" t="s">
        <v>233</v>
      </c>
      <c r="F5408" s="378" t="s">
        <v>234</v>
      </c>
      <c r="J5408" s="341"/>
      <c r="L5408" s="380"/>
      <c r="M5408" s="381"/>
      <c r="N5408" s="342"/>
      <c r="R5408" s="341"/>
      <c r="S5408" s="341"/>
    </row>
    <row r="5409" spans="1:19" ht="12.75" customHeight="1">
      <c r="A5409" s="393"/>
      <c r="B5409" s="423"/>
      <c r="C5409" s="20"/>
      <c r="E5409" s="387"/>
      <c r="F5409" s="388">
        <f t="shared" ref="F5409:F5418" si="1387">ROUND(C5409*E5409,2)</f>
        <v>0</v>
      </c>
      <c r="H5409" s="341" t="str">
        <f>IF(A5409="","",VLOOKUP(A5409,VII.A!$A$10:$D$199,4,FALSE))</f>
        <v/>
      </c>
      <c r="I5409" s="341" t="str">
        <f t="shared" ref="I5409:I5418" si="1388">IF(A5409="","",IF(E5409=H5409,"SIM","NÃO"))</f>
        <v/>
      </c>
      <c r="J5409" s="341" t="str">
        <f>IF(A5409="","",VLOOKUP(A5409,VII.A!$A$10:$D$199,3,FALSE))</f>
        <v/>
      </c>
      <c r="K5409" s="342" t="str">
        <f t="shared" ref="K5409:K5418" si="1389">IF(A5409="","",IF(J5409=D5409,"SIM","NÃO"))</f>
        <v/>
      </c>
      <c r="L5409" s="380" t="str">
        <f>IF(C5409="","",G5387*C5409)</f>
        <v/>
      </c>
      <c r="M5409" s="381" t="str">
        <f>IF(A5409="","",VLOOKUP(A5409,VII.A!$A$10:$B$199,2,FALSE))</f>
        <v/>
      </c>
      <c r="N5409" s="342" t="str">
        <f t="shared" ref="N5409:N5418" si="1390">IF(B5409="","",IF(M5409=B5409,"si","no"))</f>
        <v/>
      </c>
      <c r="R5409" s="341"/>
      <c r="S5409" s="341"/>
    </row>
    <row r="5410" spans="1:19" ht="12.75" customHeight="1">
      <c r="A5410" s="393"/>
      <c r="C5410" s="20"/>
      <c r="E5410" s="387"/>
      <c r="F5410" s="388">
        <f t="shared" si="1387"/>
        <v>0</v>
      </c>
      <c r="H5410" s="341" t="str">
        <f>IF(A5410="","",VLOOKUP(A5410,VII.A!$A$10:$D$199,4,FALSE))</f>
        <v/>
      </c>
      <c r="I5410" s="341" t="str">
        <f t="shared" si="1388"/>
        <v/>
      </c>
      <c r="J5410" s="341" t="str">
        <f>IF(A5410="","",VLOOKUP(A5410,VII.A!$A$10:$D$199,3,FALSE))</f>
        <v/>
      </c>
      <c r="K5410" s="342" t="str">
        <f t="shared" si="1389"/>
        <v/>
      </c>
      <c r="L5410" s="380" t="str">
        <f>IF(C5410="","",G5387*C5410)</f>
        <v/>
      </c>
      <c r="M5410" s="381" t="str">
        <f>IF(A5410="","",VLOOKUP(A5410,VII.A!$A$10:$B$199,2,FALSE))</f>
        <v/>
      </c>
      <c r="N5410" s="342" t="str">
        <f t="shared" si="1390"/>
        <v/>
      </c>
      <c r="R5410" s="341"/>
      <c r="S5410" s="341"/>
    </row>
    <row r="5411" spans="1:19" ht="12.75" customHeight="1">
      <c r="A5411" s="393"/>
      <c r="C5411" s="20"/>
      <c r="E5411" s="387"/>
      <c r="F5411" s="388">
        <f t="shared" si="1387"/>
        <v>0</v>
      </c>
      <c r="H5411" s="341" t="str">
        <f>IF(A5411="","",VLOOKUP(A5411,VII.A!$A$10:$D$199,4,FALSE))</f>
        <v/>
      </c>
      <c r="I5411" s="341" t="str">
        <f t="shared" si="1388"/>
        <v/>
      </c>
      <c r="J5411" s="341" t="str">
        <f>IF(A5411="","",VLOOKUP(A5411,VII.A!$A$10:$D$199,3,FALSE))</f>
        <v/>
      </c>
      <c r="K5411" s="342" t="str">
        <f t="shared" si="1389"/>
        <v/>
      </c>
      <c r="L5411" s="380" t="str">
        <f>IF(C5411="","",G5387*C5411)</f>
        <v/>
      </c>
      <c r="M5411" s="381" t="str">
        <f>IF(A5411="","",VLOOKUP(A5411,VII.A!$A$10:$B$199,2,FALSE))</f>
        <v/>
      </c>
      <c r="N5411" s="342" t="str">
        <f t="shared" si="1390"/>
        <v/>
      </c>
      <c r="R5411" s="341"/>
      <c r="S5411" s="341"/>
    </row>
    <row r="5412" spans="1:19" ht="12.75" customHeight="1">
      <c r="A5412" s="393"/>
      <c r="C5412" s="20"/>
      <c r="E5412" s="387"/>
      <c r="F5412" s="388">
        <f t="shared" si="1387"/>
        <v>0</v>
      </c>
      <c r="H5412" s="341" t="str">
        <f>IF(A5412="","",VLOOKUP(A5412,VII.A!$A$10:$D$199,4,FALSE))</f>
        <v/>
      </c>
      <c r="I5412" s="341" t="str">
        <f t="shared" si="1388"/>
        <v/>
      </c>
      <c r="J5412" s="341" t="str">
        <f>IF(A5412="","",VLOOKUP(A5412,VII.A!$A$10:$D$199,3,FALSE))</f>
        <v/>
      </c>
      <c r="K5412" s="342" t="str">
        <f t="shared" si="1389"/>
        <v/>
      </c>
      <c r="L5412" s="380" t="str">
        <f>IF(C5412="","",G5387*C5412)</f>
        <v/>
      </c>
      <c r="M5412" s="381" t="str">
        <f>IF(A5412="","",VLOOKUP(A5412,VII.A!$A$10:$B$199,2,FALSE))</f>
        <v/>
      </c>
      <c r="N5412" s="342" t="str">
        <f t="shared" si="1390"/>
        <v/>
      </c>
      <c r="R5412" s="341"/>
      <c r="S5412" s="341"/>
    </row>
    <row r="5413" spans="1:19" ht="12.75" customHeight="1">
      <c r="A5413" s="393"/>
      <c r="C5413" s="20"/>
      <c r="E5413" s="387"/>
      <c r="F5413" s="388">
        <f t="shared" si="1387"/>
        <v>0</v>
      </c>
      <c r="G5413" s="390"/>
      <c r="H5413" s="341" t="str">
        <f>IF(A5413="","",VLOOKUP(A5413,VII.A!$A$10:$D$199,4,FALSE))</f>
        <v/>
      </c>
      <c r="I5413" s="341" t="str">
        <f t="shared" si="1388"/>
        <v/>
      </c>
      <c r="J5413" s="341" t="str">
        <f>IF(A5413="","",VLOOKUP(A5413,VII.A!$A$10:$D$199,3,FALSE))</f>
        <v/>
      </c>
      <c r="K5413" s="342" t="str">
        <f t="shared" si="1389"/>
        <v/>
      </c>
      <c r="L5413" s="380" t="str">
        <f>IF(C5413="","",G5387*C5413)</f>
        <v/>
      </c>
      <c r="M5413" s="381" t="str">
        <f>IF(A5413="","",VLOOKUP(A5413,VII.A!$A$10:$B$199,2,FALSE))</f>
        <v/>
      </c>
      <c r="N5413" s="342" t="str">
        <f t="shared" si="1390"/>
        <v/>
      </c>
      <c r="R5413" s="341"/>
      <c r="S5413" s="341"/>
    </row>
    <row r="5414" spans="1:19" ht="12.75" customHeight="1">
      <c r="A5414" s="393"/>
      <c r="C5414" s="20"/>
      <c r="E5414" s="387"/>
      <c r="F5414" s="388">
        <f t="shared" si="1387"/>
        <v>0</v>
      </c>
      <c r="G5414" s="391"/>
      <c r="H5414" s="341" t="str">
        <f>IF(A5414="","",VLOOKUP(A5414,VII.A!$A$10:$D$199,4,FALSE))</f>
        <v/>
      </c>
      <c r="I5414" s="341" t="str">
        <f t="shared" si="1388"/>
        <v/>
      </c>
      <c r="J5414" s="341" t="str">
        <f>IF(A5414="","",VLOOKUP(A5414,VII.A!$A$10:$D$199,3,FALSE))</f>
        <v/>
      </c>
      <c r="K5414" s="342" t="str">
        <f t="shared" si="1389"/>
        <v/>
      </c>
      <c r="L5414" s="380" t="str">
        <f>IF(C5414="","",G5387*C5414)</f>
        <v/>
      </c>
      <c r="M5414" s="381" t="str">
        <f>IF(A5414="","",VLOOKUP(A5414,VII.A!$A$10:$B$199,2,FALSE))</f>
        <v/>
      </c>
      <c r="N5414" s="342" t="str">
        <f t="shared" si="1390"/>
        <v/>
      </c>
      <c r="R5414" s="341"/>
      <c r="S5414" s="341"/>
    </row>
    <row r="5415" spans="1:19" ht="12.75" customHeight="1">
      <c r="A5415" s="393"/>
      <c r="C5415" s="20"/>
      <c r="E5415" s="387"/>
      <c r="F5415" s="388">
        <f t="shared" si="1387"/>
        <v>0</v>
      </c>
      <c r="H5415" s="341" t="str">
        <f>IF(A5415="","",VLOOKUP(A5415,VII.A!$A$10:$D$199,4,FALSE))</f>
        <v/>
      </c>
      <c r="I5415" s="341" t="str">
        <f t="shared" si="1388"/>
        <v/>
      </c>
      <c r="J5415" s="341" t="str">
        <f>IF(A5415="","",VLOOKUP(A5415,VII.A!$A$10:$D$199,3,FALSE))</f>
        <v/>
      </c>
      <c r="K5415" s="342" t="str">
        <f t="shared" si="1389"/>
        <v/>
      </c>
      <c r="L5415" s="380" t="str">
        <f>IF(C5415="","",G5387*C5415)</f>
        <v/>
      </c>
      <c r="M5415" s="381" t="str">
        <f>IF(A5415="","",VLOOKUP(A5415,VII.A!$A$10:$B$199,2,FALSE))</f>
        <v/>
      </c>
      <c r="N5415" s="342" t="str">
        <f t="shared" si="1390"/>
        <v/>
      </c>
      <c r="R5415" s="341"/>
      <c r="S5415" s="341"/>
    </row>
    <row r="5416" spans="1:19" ht="12.75" customHeight="1">
      <c r="A5416" s="393"/>
      <c r="C5416" s="20"/>
      <c r="E5416" s="387"/>
      <c r="F5416" s="388">
        <f t="shared" si="1387"/>
        <v>0</v>
      </c>
      <c r="H5416" s="341" t="str">
        <f>IF(A5416="","",VLOOKUP(A5416,VII.A!$A$10:$D$199,4,FALSE))</f>
        <v/>
      </c>
      <c r="I5416" s="341" t="str">
        <f t="shared" si="1388"/>
        <v/>
      </c>
      <c r="J5416" s="341" t="str">
        <f>IF(A5416="","",VLOOKUP(A5416,VII.A!$A$10:$D$199,3,FALSE))</f>
        <v/>
      </c>
      <c r="K5416" s="342" t="str">
        <f t="shared" si="1389"/>
        <v/>
      </c>
      <c r="L5416" s="380" t="str">
        <f>IF(C5416="","",G5387*C5416)</f>
        <v/>
      </c>
      <c r="M5416" s="381" t="str">
        <f>IF(A5416="","",VLOOKUP(A5416,VII.A!$A$10:$B$199,2,FALSE))</f>
        <v/>
      </c>
      <c r="N5416" s="342" t="str">
        <f t="shared" si="1390"/>
        <v/>
      </c>
      <c r="R5416" s="341"/>
      <c r="S5416" s="341"/>
    </row>
    <row r="5417" spans="1:19" ht="12.75" customHeight="1">
      <c r="A5417" s="393"/>
      <c r="C5417" s="20"/>
      <c r="E5417" s="387"/>
      <c r="F5417" s="388">
        <f t="shared" si="1387"/>
        <v>0</v>
      </c>
      <c r="H5417" s="341" t="str">
        <f>IF(A5417="","",VLOOKUP(A5417,VII.A!$A$10:$D$199,4,FALSE))</f>
        <v/>
      </c>
      <c r="I5417" s="341" t="str">
        <f t="shared" si="1388"/>
        <v/>
      </c>
      <c r="J5417" s="341" t="str">
        <f>IF(A5417="","",VLOOKUP(A5417,VII.A!$A$10:$D$199,3,FALSE))</f>
        <v/>
      </c>
      <c r="K5417" s="342" t="str">
        <f t="shared" si="1389"/>
        <v/>
      </c>
      <c r="L5417" s="380" t="str">
        <f>IF(C5417="","",G5387*C5417)</f>
        <v/>
      </c>
      <c r="M5417" s="381" t="str">
        <f>IF(A5417="","",VLOOKUP(A5417,VII.A!$A$10:$B$199,2,FALSE))</f>
        <v/>
      </c>
      <c r="N5417" s="342" t="str">
        <f t="shared" si="1390"/>
        <v/>
      </c>
      <c r="R5417" s="341"/>
      <c r="S5417" s="341"/>
    </row>
    <row r="5418" spans="1:19" ht="12.75" customHeight="1">
      <c r="A5418" s="393"/>
      <c r="C5418" s="20"/>
      <c r="E5418" s="387"/>
      <c r="F5418" s="388">
        <f t="shared" si="1387"/>
        <v>0</v>
      </c>
      <c r="H5418" s="341" t="str">
        <f>IF(A5418="","",VLOOKUP(A5418,VII.A!$A$10:$D$199,4,FALSE))</f>
        <v/>
      </c>
      <c r="I5418" s="341" t="str">
        <f t="shared" si="1388"/>
        <v/>
      </c>
      <c r="J5418" s="341" t="str">
        <f>IF(A5418="","",VLOOKUP(A5418,VII.A!$A$10:$D$199,3,FALSE))</f>
        <v/>
      </c>
      <c r="K5418" s="342" t="str">
        <f t="shared" si="1389"/>
        <v/>
      </c>
      <c r="L5418" s="380" t="str">
        <f>IF(C5418="","",G5387*C5418)</f>
        <v/>
      </c>
      <c r="M5418" s="381" t="str">
        <f>IF(A5418="","",VLOOKUP(A5418,VII.A!$A$10:$B$199,2,FALSE))</f>
        <v/>
      </c>
      <c r="N5418" s="342" t="str">
        <f t="shared" si="1390"/>
        <v/>
      </c>
      <c r="R5418" s="341"/>
      <c r="S5418" s="341"/>
    </row>
    <row r="5419" spans="1:19" ht="12.75" customHeight="1">
      <c r="A5419" s="393"/>
      <c r="B5419" s="395" t="s">
        <v>226</v>
      </c>
      <c r="C5419" s="396"/>
      <c r="D5419" s="397"/>
      <c r="E5419" s="398"/>
      <c r="F5419" s="399">
        <f>SUM(F5409:F5418)</f>
        <v>0</v>
      </c>
      <c r="J5419" s="341"/>
      <c r="L5419" s="380"/>
      <c r="M5419" s="381"/>
      <c r="N5419" s="342"/>
      <c r="R5419" s="341"/>
      <c r="S5419" s="341"/>
    </row>
    <row r="5420" spans="1:19" ht="12.75" customHeight="1">
      <c r="A5420" s="393"/>
      <c r="B5420" s="400" t="s">
        <v>53</v>
      </c>
      <c r="C5420" s="2">
        <f>$D$8</f>
        <v>0</v>
      </c>
      <c r="D5420" s="401"/>
      <c r="E5420" s="402"/>
      <c r="F5420" s="403">
        <f>ROUND(C5420*F5419,2)</f>
        <v>0</v>
      </c>
      <c r="J5420" s="341"/>
      <c r="L5420" s="380"/>
      <c r="M5420" s="381"/>
      <c r="N5420" s="342"/>
      <c r="R5420" s="341"/>
      <c r="S5420" s="341"/>
    </row>
    <row r="5421" spans="1:19" ht="12.75" customHeight="1">
      <c r="A5421" s="404"/>
      <c r="B5421" s="405" t="s">
        <v>228</v>
      </c>
      <c r="C5421" s="406"/>
      <c r="D5421" s="406"/>
      <c r="E5421" s="407"/>
      <c r="F5421" s="408">
        <f>F5419+F5420</f>
        <v>0</v>
      </c>
      <c r="J5421" s="341"/>
      <c r="L5421" s="380"/>
      <c r="M5421" s="381"/>
      <c r="N5421" s="342"/>
      <c r="R5421" s="341"/>
      <c r="S5421" s="341"/>
    </row>
    <row r="5422" spans="1:19" ht="12.75" customHeight="1">
      <c r="A5422" s="409" t="s">
        <v>47</v>
      </c>
      <c r="B5422" s="410" t="s">
        <v>236</v>
      </c>
      <c r="C5422" s="411" t="s">
        <v>231</v>
      </c>
      <c r="D5422" s="412" t="s">
        <v>232</v>
      </c>
      <c r="E5422" s="413" t="s">
        <v>233</v>
      </c>
      <c r="F5422" s="378" t="s">
        <v>234</v>
      </c>
      <c r="J5422" s="341"/>
      <c r="L5422" s="380"/>
      <c r="M5422" s="381"/>
      <c r="N5422" s="342"/>
      <c r="R5422" s="341"/>
      <c r="S5422" s="341"/>
    </row>
    <row r="5423" spans="1:19" ht="12.75" customHeight="1">
      <c r="A5423" s="393" t="str">
        <f>VII.A!$A$181</f>
        <v>3.1</v>
      </c>
      <c r="B5423" s="394" t="str">
        <f>VII.A!B181</f>
        <v>AJUDANTE COM ENCARGOS COMPLEMENTARES</v>
      </c>
      <c r="C5423" s="20">
        <v>9.4500000000000001E-2</v>
      </c>
      <c r="D5423" s="384" t="str">
        <f>VII.A!C181</f>
        <v>H</v>
      </c>
      <c r="E5423" s="387">
        <f>VII.A!D181</f>
        <v>0</v>
      </c>
      <c r="F5423" s="388">
        <f t="shared" ref="F5423:F5429" si="1391">ROUND(C5423*E5423,2)</f>
        <v>0</v>
      </c>
      <c r="H5423" s="341">
        <f>IF(A5423="","",VLOOKUP(A5423,VII.A!$A$10:$D$199,4,FALSE))</f>
        <v>0</v>
      </c>
      <c r="I5423" s="341" t="str">
        <f t="shared" ref="I5423:I5429" si="1392">IF(A5423="","",IF(E5423=H5423,"SIM","NÃO"))</f>
        <v>SIM</v>
      </c>
      <c r="J5423" s="341" t="str">
        <f>IF(A5423="","",VLOOKUP(A5423,VII.A!$A$10:$D$199,3,FALSE))</f>
        <v>H</v>
      </c>
      <c r="K5423" s="342" t="str">
        <f t="shared" ref="K5423:K5429" si="1393">IF(A5423="","",IF(J5423=D5423,"SIM","NÃO"))</f>
        <v>SIM</v>
      </c>
      <c r="L5423" s="380">
        <f>IF(C5423="","",G5387*C5423)</f>
        <v>11.8125</v>
      </c>
      <c r="M5423" s="381" t="str">
        <f>IF(A5423="","",VLOOKUP(A5423,VII.A!$A$10:$B$199,2,FALSE))</f>
        <v>AJUDANTE COM ENCARGOS COMPLEMENTARES</v>
      </c>
      <c r="N5423" s="342" t="str">
        <f t="shared" ref="N5423:N5429" si="1394">IF(B5423="","",IF(M5423=B5423,"si","no"))</f>
        <v>si</v>
      </c>
      <c r="R5423" s="341"/>
      <c r="S5423" s="341"/>
    </row>
    <row r="5424" spans="1:19" ht="12.75" customHeight="1">
      <c r="A5424" s="393" t="str">
        <f>VII.A!$A$189</f>
        <v>3.9</v>
      </c>
      <c r="B5424" s="394" t="str">
        <f>VII.A!B189</f>
        <v>ELETRICISTA COM ENCARGOS COMPLEMENTARES</v>
      </c>
      <c r="C5424" s="20">
        <v>9.4500000000000001E-2</v>
      </c>
      <c r="D5424" s="384" t="str">
        <f>VII.A!C189</f>
        <v>H</v>
      </c>
      <c r="E5424" s="387">
        <f>VII.A!D189</f>
        <v>0</v>
      </c>
      <c r="F5424" s="388">
        <f t="shared" si="1391"/>
        <v>0</v>
      </c>
      <c r="H5424" s="341">
        <f>IF(A5424="","",VLOOKUP(A5424,VII.A!$A$10:$D$199,4,FALSE))</f>
        <v>0</v>
      </c>
      <c r="I5424" s="341" t="str">
        <f t="shared" si="1392"/>
        <v>SIM</v>
      </c>
      <c r="J5424" s="341" t="str">
        <f>IF(A5424="","",VLOOKUP(A5424,VII.A!$A$10:$D$199,3,FALSE))</f>
        <v>H</v>
      </c>
      <c r="K5424" s="342" t="str">
        <f t="shared" si="1393"/>
        <v>SIM</v>
      </c>
      <c r="L5424" s="380">
        <f>IF(C5424="","",G5387*C5424)</f>
        <v>11.8125</v>
      </c>
      <c r="M5424" s="381" t="str">
        <f>IF(A5424="","",VLOOKUP(A5424,VII.A!$A$10:$B$199,2,FALSE))</f>
        <v>ELETRICISTA COM ENCARGOS COMPLEMENTARES</v>
      </c>
      <c r="N5424" s="342" t="str">
        <f t="shared" si="1394"/>
        <v>si</v>
      </c>
      <c r="R5424" s="341"/>
      <c r="S5424" s="341"/>
    </row>
    <row r="5425" spans="1:25" ht="12.75" customHeight="1">
      <c r="A5425" s="393"/>
      <c r="C5425" s="20"/>
      <c r="E5425" s="387"/>
      <c r="F5425" s="388">
        <f t="shared" si="1391"/>
        <v>0</v>
      </c>
      <c r="H5425" s="341" t="str">
        <f>IF(A5425="","",VLOOKUP(A5425,VII.A!$A$10:$D$199,4,FALSE))</f>
        <v/>
      </c>
      <c r="I5425" s="341" t="str">
        <f t="shared" si="1392"/>
        <v/>
      </c>
      <c r="J5425" s="341" t="str">
        <f>IF(A5425="","",VLOOKUP(A5425,VII.A!$A$10:$D$199,3,FALSE))</f>
        <v/>
      </c>
      <c r="K5425" s="342" t="str">
        <f t="shared" si="1393"/>
        <v/>
      </c>
      <c r="L5425" s="380" t="str">
        <f>IF(C5425="","",G5387*C5425)</f>
        <v/>
      </c>
      <c r="M5425" s="381" t="str">
        <f>IF(A5425="","",VLOOKUP(A5425,VII.A!$A$10:$B$199,2,FALSE))</f>
        <v/>
      </c>
      <c r="N5425" s="342" t="str">
        <f t="shared" si="1394"/>
        <v/>
      </c>
      <c r="R5425" s="341"/>
      <c r="S5425" s="341"/>
    </row>
    <row r="5426" spans="1:25" ht="12.75" customHeight="1">
      <c r="A5426" s="393"/>
      <c r="C5426" s="20"/>
      <c r="E5426" s="387"/>
      <c r="F5426" s="388">
        <f t="shared" si="1391"/>
        <v>0</v>
      </c>
      <c r="H5426" s="341" t="str">
        <f>IF(A5426="","",VLOOKUP(A5426,VII.A!$A$10:$D$199,4,FALSE))</f>
        <v/>
      </c>
      <c r="I5426" s="341" t="str">
        <f t="shared" si="1392"/>
        <v/>
      </c>
      <c r="J5426" s="341" t="str">
        <f>IF(A5426="","",VLOOKUP(A5426,VII.A!$A$10:$D$199,3,FALSE))</f>
        <v/>
      </c>
      <c r="K5426" s="342" t="str">
        <f t="shared" si="1393"/>
        <v/>
      </c>
      <c r="L5426" s="380" t="str">
        <f>IF(C5426="","",G5387*C5426)</f>
        <v/>
      </c>
      <c r="M5426" s="381" t="str">
        <f>IF(A5426="","",VLOOKUP(A5426,VII.A!$A$10:$B$199,2,FALSE))</f>
        <v/>
      </c>
      <c r="N5426" s="342" t="str">
        <f t="shared" si="1394"/>
        <v/>
      </c>
      <c r="R5426" s="341"/>
      <c r="S5426" s="341"/>
    </row>
    <row r="5427" spans="1:25" ht="12.75" customHeight="1">
      <c r="A5427" s="393"/>
      <c r="C5427" s="20"/>
      <c r="E5427" s="387"/>
      <c r="F5427" s="388">
        <f t="shared" si="1391"/>
        <v>0</v>
      </c>
      <c r="H5427" s="341" t="str">
        <f>IF(A5427="","",VLOOKUP(A5427,VII.A!$A$10:$D$199,4,FALSE))</f>
        <v/>
      </c>
      <c r="I5427" s="341" t="str">
        <f t="shared" si="1392"/>
        <v/>
      </c>
      <c r="J5427" s="341" t="str">
        <f>IF(A5427="","",VLOOKUP(A5427,VII.A!$A$10:$D$199,3,FALSE))</f>
        <v/>
      </c>
      <c r="K5427" s="342" t="str">
        <f t="shared" si="1393"/>
        <v/>
      </c>
      <c r="L5427" s="380" t="str">
        <f>IF(C5427="","",G5387*C5427)</f>
        <v/>
      </c>
      <c r="M5427" s="381" t="str">
        <f>IF(A5427="","",VLOOKUP(A5427,VII.A!$A$10:$B$199,2,FALSE))</f>
        <v/>
      </c>
      <c r="N5427" s="342" t="str">
        <f t="shared" si="1394"/>
        <v/>
      </c>
      <c r="R5427" s="341"/>
      <c r="S5427" s="341"/>
    </row>
    <row r="5428" spans="1:25" ht="12.75" customHeight="1">
      <c r="A5428" s="393"/>
      <c r="C5428" s="20"/>
      <c r="E5428" s="387"/>
      <c r="F5428" s="388">
        <f t="shared" si="1391"/>
        <v>0</v>
      </c>
      <c r="H5428" s="341" t="str">
        <f>IF(A5428="","",VLOOKUP(A5428,VII.A!$A$10:$D$199,4,FALSE))</f>
        <v/>
      </c>
      <c r="I5428" s="341" t="str">
        <f t="shared" si="1392"/>
        <v/>
      </c>
      <c r="J5428" s="341" t="str">
        <f>IF(A5428="","",VLOOKUP(A5428,VII.A!$A$10:$D$199,3,FALSE))</f>
        <v/>
      </c>
      <c r="K5428" s="342" t="str">
        <f t="shared" si="1393"/>
        <v/>
      </c>
      <c r="L5428" s="380" t="str">
        <f>IF(C5428="","",G5387*C5428)</f>
        <v/>
      </c>
      <c r="M5428" s="381" t="str">
        <f>IF(A5428="","",VLOOKUP(A5428,VII.A!$A$10:$B$199,2,FALSE))</f>
        <v/>
      </c>
      <c r="N5428" s="342" t="str">
        <f t="shared" si="1394"/>
        <v/>
      </c>
      <c r="R5428" s="341"/>
      <c r="S5428" s="341"/>
    </row>
    <row r="5429" spans="1:25" ht="12.75" customHeight="1">
      <c r="A5429" s="393"/>
      <c r="C5429" s="20"/>
      <c r="E5429" s="387"/>
      <c r="F5429" s="388">
        <f t="shared" si="1391"/>
        <v>0</v>
      </c>
      <c r="H5429" s="341" t="str">
        <f>IF(A5429="","",VLOOKUP(A5429,VII.A!$A$10:$D$199,4,FALSE))</f>
        <v/>
      </c>
      <c r="I5429" s="341" t="str">
        <f t="shared" si="1392"/>
        <v/>
      </c>
      <c r="J5429" s="341" t="str">
        <f>IF(A5429="","",VLOOKUP(A5429,VII.A!$A$10:$D$199,3,FALSE))</f>
        <v/>
      </c>
      <c r="K5429" s="342" t="str">
        <f t="shared" si="1393"/>
        <v/>
      </c>
      <c r="L5429" s="380" t="str">
        <f>IF(C5429="","",G5387*C5429)</f>
        <v/>
      </c>
      <c r="M5429" s="381" t="str">
        <f>IF(A5429="","",VLOOKUP(A5429,VII.A!$A$10:$B$199,2,FALSE))</f>
        <v/>
      </c>
      <c r="N5429" s="342" t="str">
        <f t="shared" si="1394"/>
        <v/>
      </c>
      <c r="R5429" s="341"/>
      <c r="S5429" s="341"/>
    </row>
    <row r="5430" spans="1:25" ht="12.75" customHeight="1">
      <c r="A5430" s="393"/>
      <c r="B5430" s="395" t="s">
        <v>226</v>
      </c>
      <c r="C5430" s="396"/>
      <c r="D5430" s="397"/>
      <c r="E5430" s="398"/>
      <c r="F5430" s="399">
        <f>SUM(F5423:F5429)</f>
        <v>0</v>
      </c>
      <c r="J5430" s="341"/>
      <c r="L5430" s="380"/>
      <c r="M5430" s="381"/>
      <c r="N5430" s="342"/>
      <c r="R5430" s="341"/>
      <c r="S5430" s="341"/>
    </row>
    <row r="5431" spans="1:25" ht="12.75" customHeight="1">
      <c r="A5431" s="393"/>
      <c r="B5431" s="400" t="s">
        <v>229</v>
      </c>
      <c r="C5431" s="2">
        <f>IX.A!$C$45</f>
        <v>0</v>
      </c>
      <c r="D5431" s="401"/>
      <c r="E5431" s="402"/>
      <c r="F5431" s="403">
        <f>ROUND(F5430*C5431,2)</f>
        <v>0</v>
      </c>
      <c r="J5431" s="341"/>
      <c r="L5431" s="380"/>
      <c r="M5431" s="381"/>
      <c r="N5431" s="342"/>
      <c r="R5431" s="341"/>
      <c r="S5431" s="341"/>
    </row>
    <row r="5432" spans="1:25" ht="12.75" customHeight="1">
      <c r="A5432" s="393"/>
      <c r="B5432" s="400" t="s">
        <v>53</v>
      </c>
      <c r="C5432" s="2">
        <f>$D$8</f>
        <v>0</v>
      </c>
      <c r="D5432" s="401"/>
      <c r="E5432" s="402"/>
      <c r="F5432" s="403">
        <f>ROUND(SUM(F5430:F5431)*C5432,2)</f>
        <v>0</v>
      </c>
      <c r="J5432" s="341"/>
      <c r="L5432" s="380"/>
      <c r="M5432" s="381"/>
      <c r="N5432" s="342"/>
      <c r="R5432" s="341"/>
      <c r="S5432" s="341"/>
    </row>
    <row r="5433" spans="1:25" ht="12.75" customHeight="1" thickBot="1">
      <c r="A5433" s="414"/>
      <c r="B5433" s="415" t="s">
        <v>230</v>
      </c>
      <c r="C5433" s="416"/>
      <c r="D5433" s="416"/>
      <c r="E5433" s="417"/>
      <c r="F5433" s="418">
        <f>SUM(F5430:F5432)</f>
        <v>0</v>
      </c>
      <c r="J5433" s="341"/>
      <c r="L5433" s="380"/>
      <c r="M5433" s="381"/>
      <c r="N5433" s="342"/>
      <c r="R5433" s="341"/>
      <c r="S5433" s="341"/>
    </row>
    <row r="5434" spans="1:25" ht="12.75" customHeight="1" thickBot="1">
      <c r="A5434" s="427"/>
      <c r="B5434" s="428"/>
      <c r="C5434" s="429"/>
      <c r="D5434" s="429"/>
      <c r="E5434" s="430"/>
      <c r="F5434" s="431"/>
      <c r="J5434" s="341"/>
      <c r="L5434" s="380"/>
      <c r="M5434" s="381"/>
      <c r="N5434" s="342"/>
      <c r="R5434" s="341"/>
      <c r="S5434" s="341"/>
    </row>
    <row r="5435" spans="1:25" ht="30" customHeight="1">
      <c r="A5435" s="370" t="str">
        <f>IV.A!A162</f>
        <v>7.6</v>
      </c>
      <c r="B5435" s="371" t="str">
        <f>IV.A!B162</f>
        <v>FORNECIMENTO E INSTALAÇÃO DE CAIXA RETANGULAR 4"X2", DE EMBUTIR</v>
      </c>
      <c r="C5435" s="871" t="s">
        <v>237</v>
      </c>
      <c r="D5435" s="872"/>
      <c r="E5435" s="372" t="str">
        <f>IV.A!C162</f>
        <v>UN</v>
      </c>
      <c r="F5435" s="11">
        <f>ROUND(F5455+F5469+F5481,2)</f>
        <v>0</v>
      </c>
      <c r="G5435" s="1">
        <f>VLOOKUP(A5435,IV.A!$A$16:$L$172,4,FALSE)</f>
        <v>100</v>
      </c>
      <c r="H5435" s="361">
        <f>SUM(F5437:F5452)+F5454</f>
        <v>0</v>
      </c>
      <c r="I5435" s="361">
        <f>SUM(F5457:F5466)+F5468</f>
        <v>0</v>
      </c>
      <c r="J5435" s="361">
        <f>SUM(F5471:F5477)+F5479+F5480</f>
        <v>0</v>
      </c>
      <c r="K5435" s="361">
        <f>SUM(H5435:J5435)</f>
        <v>0</v>
      </c>
      <c r="L5435" s="362" t="str">
        <f>IF(K5435=F5435,"SIM","NÃO")</f>
        <v>SIM</v>
      </c>
      <c r="M5435" s="373">
        <f>ROUND(SUM(F5437:F5452),2)+ROUND(SUM(F5437:F5452)*C5454,2)+ROUND(SUM(F5457:F5466)*C5468,2)+ROUND(SUM(F5457:F5466),2)+ROUND(SUM(F5471:F5477)*C5479,2)+ROUND((SUM(F5471:F5477)+ROUND(SUM(F5471:F5477)*C5479,2))*C5480,2)+ROUND(SUM(F5471:F5477),2)</f>
        <v>0</v>
      </c>
      <c r="N5435" s="343" t="str">
        <f>IF(M5435=F5435,"SIM","NÃO")</f>
        <v>SIM</v>
      </c>
      <c r="O5435" s="364" t="str">
        <f>VLOOKUP(A5435,IV.A!$A$16:$E$172,3,FALSE)</f>
        <v>UN</v>
      </c>
      <c r="P5435" s="344" t="str">
        <f>IF(O5435=E5435,"SIM","NÃO")</f>
        <v>SIM</v>
      </c>
      <c r="Q5435" s="365">
        <f>ROUND(G5435*F5455,2)+ROUND(G5435*F5469,2)+ROUND(G5435*F5481,2)</f>
        <v>0</v>
      </c>
      <c r="R5435" s="364">
        <f>VLOOKUP(A5435,IV.A!$A$16:$L$172,12,FALSE)</f>
        <v>0</v>
      </c>
      <c r="S5435" s="366" t="str">
        <f>IF(Q5435=R5435,"si","no")</f>
        <v>si</v>
      </c>
      <c r="T5435" s="367">
        <f>SUM(L5437:L5452)+SUM(L5457:L5466)+SUM(L5471:L5477)</f>
        <v>150</v>
      </c>
      <c r="U5435" s="341">
        <f>(SUM(C5437:C5452)+SUM(C5457:C5466)+SUM(C5471:C5477))*G5435</f>
        <v>150</v>
      </c>
      <c r="V5435" s="368" t="str">
        <f>IF(T5435=U5435,"si","no")</f>
        <v>si</v>
      </c>
      <c r="W5435" s="369">
        <f>SUM(F5437:F5452)</f>
        <v>0</v>
      </c>
      <c r="X5435" s="369">
        <f>SUM(F5457:F5466)</f>
        <v>0</v>
      </c>
      <c r="Y5435" s="369">
        <f>SUM(F5471:F5477)</f>
        <v>0</v>
      </c>
    </row>
    <row r="5436" spans="1:25" ht="12.75" customHeight="1">
      <c r="A5436" s="374" t="s">
        <v>14</v>
      </c>
      <c r="B5436" s="375" t="s">
        <v>132</v>
      </c>
      <c r="C5436" s="376" t="s">
        <v>231</v>
      </c>
      <c r="D5436" s="376" t="s">
        <v>232</v>
      </c>
      <c r="E5436" s="377" t="s">
        <v>233</v>
      </c>
      <c r="F5436" s="378" t="s">
        <v>234</v>
      </c>
      <c r="G5436" s="379"/>
      <c r="J5436" s="341"/>
      <c r="L5436" s="380"/>
      <c r="M5436" s="381"/>
      <c r="N5436" s="342"/>
      <c r="O5436" s="382"/>
      <c r="P5436" s="383"/>
      <c r="Q5436" s="383"/>
      <c r="R5436" s="383"/>
      <c r="S5436" s="383"/>
      <c r="T5436" s="382"/>
      <c r="U5436" s="341"/>
      <c r="V5436" s="384"/>
      <c r="W5436" s="384"/>
      <c r="X5436" s="384"/>
      <c r="Y5436" s="384"/>
    </row>
    <row r="5437" spans="1:25" ht="12.75" customHeight="1">
      <c r="A5437" s="385" t="str">
        <f>VII.A!$A$27</f>
        <v>1.18</v>
      </c>
      <c r="B5437" s="386" t="str">
        <f>VII.A!B27</f>
        <v>CAIXA DE LUZ "4 X 2" EM ACO ESMALTADA</v>
      </c>
      <c r="C5437" s="20">
        <v>1</v>
      </c>
      <c r="D5437" s="342" t="str">
        <f>VII.A!C27</f>
        <v>UN</v>
      </c>
      <c r="E5437" s="387">
        <f>VII.A!D27</f>
        <v>0</v>
      </c>
      <c r="F5437" s="388">
        <f>ROUND(C5437*E5437,2)</f>
        <v>0</v>
      </c>
      <c r="H5437" s="341">
        <f>IF(A5437="","",VLOOKUP(A5437,VII.A!$A$10:$D$199,4,FALSE))</f>
        <v>0</v>
      </c>
      <c r="I5437" s="341" t="str">
        <f t="shared" ref="I5437:I5452" si="1395">IF(A5437="","",IF(E5437=H5437,"SIM","NÃO"))</f>
        <v>SIM</v>
      </c>
      <c r="J5437" s="341" t="str">
        <f>IF(A5437="","",VLOOKUP(A5437,VII.A!$A$10:$D$199,3,FALSE))</f>
        <v>UN</v>
      </c>
      <c r="K5437" s="342" t="str">
        <f t="shared" ref="K5437:K5452" si="1396">IF(A5437="","",IF(J5437=D5437,"SIM","NÃO"))</f>
        <v>SIM</v>
      </c>
      <c r="L5437" s="380">
        <f>IF(C5437="","",G5435*C5437)</f>
        <v>100</v>
      </c>
      <c r="M5437" s="381" t="str">
        <f>IF(A5437="","",VLOOKUP(A5437,VII.A!$A$10:$B$199,2,FALSE))</f>
        <v>CAIXA DE LUZ "4 X 2" EM ACO ESMALTADA</v>
      </c>
      <c r="N5437" s="342" t="str">
        <f t="shared" ref="N5437:N5452" si="1397">IF(B5437="","",IF(M5437=B5437,"si","no"))</f>
        <v>si</v>
      </c>
      <c r="R5437" s="341"/>
      <c r="S5437" s="341"/>
    </row>
    <row r="5438" spans="1:25" ht="12.75" customHeight="1">
      <c r="A5438" s="385"/>
      <c r="B5438" s="386"/>
      <c r="C5438" s="20"/>
      <c r="D5438" s="342"/>
      <c r="E5438" s="387"/>
      <c r="F5438" s="388">
        <f t="shared" ref="F5438:F5452" si="1398">ROUND(C5438*E5438,2)</f>
        <v>0</v>
      </c>
      <c r="H5438" s="341" t="str">
        <f>IF(A5438="","",VLOOKUP(A5438,VII.A!$A$10:$D$199,4,FALSE))</f>
        <v/>
      </c>
      <c r="I5438" s="341" t="str">
        <f t="shared" si="1395"/>
        <v/>
      </c>
      <c r="J5438" s="341" t="str">
        <f>IF(A5438="","",VLOOKUP(A5438,VII.A!$A$10:$D$199,3,FALSE))</f>
        <v/>
      </c>
      <c r="K5438" s="342" t="str">
        <f t="shared" si="1396"/>
        <v/>
      </c>
      <c r="L5438" s="380" t="str">
        <f>IF(C5438="","",G5435*C5438)</f>
        <v/>
      </c>
      <c r="M5438" s="381" t="str">
        <f>IF(A5438="","",VLOOKUP(A5438,VII.A!$A$10:$B$199,2,FALSE))</f>
        <v/>
      </c>
      <c r="N5438" s="342" t="str">
        <f t="shared" si="1397"/>
        <v/>
      </c>
      <c r="R5438" s="341"/>
      <c r="S5438" s="341"/>
    </row>
    <row r="5439" spans="1:25" ht="12.75" customHeight="1">
      <c r="A5439" s="385"/>
      <c r="B5439" s="386"/>
      <c r="C5439" s="20"/>
      <c r="D5439" s="342"/>
      <c r="E5439" s="387"/>
      <c r="F5439" s="388">
        <f t="shared" si="1398"/>
        <v>0</v>
      </c>
      <c r="H5439" s="341" t="str">
        <f>IF(A5439="","",VLOOKUP(A5439,VII.A!$A$10:$D$199,4,FALSE))</f>
        <v/>
      </c>
      <c r="I5439" s="341" t="str">
        <f t="shared" si="1395"/>
        <v/>
      </c>
      <c r="J5439" s="341" t="str">
        <f>IF(A5439="","",VLOOKUP(A5439,VII.A!$A$10:$D$199,3,FALSE))</f>
        <v/>
      </c>
      <c r="K5439" s="342" t="str">
        <f t="shared" si="1396"/>
        <v/>
      </c>
      <c r="L5439" s="380" t="str">
        <f>IF(C5439="","",G5435*C5439)</f>
        <v/>
      </c>
      <c r="M5439" s="381" t="str">
        <f>IF(A5439="","",VLOOKUP(A5439,VII.A!$A$10:$B$199,2,FALSE))</f>
        <v/>
      </c>
      <c r="N5439" s="342" t="str">
        <f t="shared" si="1397"/>
        <v/>
      </c>
      <c r="R5439" s="341"/>
      <c r="S5439" s="341"/>
    </row>
    <row r="5440" spans="1:25" ht="12.75" customHeight="1">
      <c r="A5440" s="385"/>
      <c r="B5440" s="386"/>
      <c r="C5440" s="20"/>
      <c r="D5440" s="342"/>
      <c r="E5440" s="387"/>
      <c r="F5440" s="388">
        <f t="shared" si="1398"/>
        <v>0</v>
      </c>
      <c r="H5440" s="341" t="str">
        <f>IF(A5440="","",VLOOKUP(A5440,VII.A!$A$10:$D$199,4,FALSE))</f>
        <v/>
      </c>
      <c r="I5440" s="341" t="str">
        <f t="shared" si="1395"/>
        <v/>
      </c>
      <c r="J5440" s="341" t="str">
        <f>IF(A5440="","",VLOOKUP(A5440,VII.A!$A$10:$D$199,3,FALSE))</f>
        <v/>
      </c>
      <c r="K5440" s="342" t="str">
        <f t="shared" si="1396"/>
        <v/>
      </c>
      <c r="L5440" s="380" t="str">
        <f>IF(C5440="","",G5435*C5440)</f>
        <v/>
      </c>
      <c r="M5440" s="381" t="str">
        <f>IF(A5440="","",VLOOKUP(A5440,VII.A!$A$10:$B$199,2,FALSE))</f>
        <v/>
      </c>
      <c r="N5440" s="342" t="str">
        <f t="shared" si="1397"/>
        <v/>
      </c>
      <c r="R5440" s="341"/>
      <c r="S5440" s="341"/>
    </row>
    <row r="5441" spans="1:21" ht="12.75" customHeight="1">
      <c r="A5441" s="385"/>
      <c r="B5441" s="386"/>
      <c r="C5441" s="20"/>
      <c r="D5441" s="342"/>
      <c r="E5441" s="387"/>
      <c r="F5441" s="388">
        <f t="shared" si="1398"/>
        <v>0</v>
      </c>
      <c r="H5441" s="341" t="str">
        <f>IF(A5441="","",VLOOKUP(A5441,VII.A!$A$10:$D$199,4,FALSE))</f>
        <v/>
      </c>
      <c r="I5441" s="341" t="str">
        <f t="shared" si="1395"/>
        <v/>
      </c>
      <c r="J5441" s="341" t="str">
        <f>IF(A5441="","",VLOOKUP(A5441,VII.A!$A$10:$D$199,3,FALSE))</f>
        <v/>
      </c>
      <c r="K5441" s="342" t="str">
        <f t="shared" si="1396"/>
        <v/>
      </c>
      <c r="L5441" s="380" t="str">
        <f>IF(C5441="","",G5435*C5441)</f>
        <v/>
      </c>
      <c r="M5441" s="381" t="str">
        <f>IF(A5441="","",VLOOKUP(A5441,VII.A!$A$10:$B$199,2,FALSE))</f>
        <v/>
      </c>
      <c r="N5441" s="342" t="str">
        <f t="shared" si="1397"/>
        <v/>
      </c>
      <c r="R5441" s="341"/>
      <c r="S5441" s="341"/>
    </row>
    <row r="5442" spans="1:21" ht="12.75" customHeight="1">
      <c r="A5442" s="385"/>
      <c r="B5442" s="386"/>
      <c r="C5442" s="20"/>
      <c r="D5442" s="342"/>
      <c r="E5442" s="387"/>
      <c r="F5442" s="388">
        <f t="shared" si="1398"/>
        <v>0</v>
      </c>
      <c r="H5442" s="341" t="str">
        <f>IF(A5442="","",VLOOKUP(A5442,VII.A!$A$10:$D$199,4,FALSE))</f>
        <v/>
      </c>
      <c r="I5442" s="341" t="str">
        <f t="shared" si="1395"/>
        <v/>
      </c>
      <c r="J5442" s="341" t="str">
        <f>IF(A5442="","",VLOOKUP(A5442,VII.A!$A$10:$D$199,3,FALSE))</f>
        <v/>
      </c>
      <c r="K5442" s="342" t="str">
        <f t="shared" si="1396"/>
        <v/>
      </c>
      <c r="L5442" s="380" t="str">
        <f>IF(C5442="","",G5435*C5442)</f>
        <v/>
      </c>
      <c r="M5442" s="381" t="str">
        <f>IF(A5442="","",VLOOKUP(A5442,VII.A!$A$10:$B$199,2,FALSE))</f>
        <v/>
      </c>
      <c r="N5442" s="342" t="str">
        <f t="shared" si="1397"/>
        <v/>
      </c>
      <c r="R5442" s="341"/>
      <c r="S5442" s="341"/>
      <c r="U5442" s="389"/>
    </row>
    <row r="5443" spans="1:21" ht="12.75" customHeight="1">
      <c r="A5443" s="385"/>
      <c r="B5443" s="386"/>
      <c r="C5443" s="20"/>
      <c r="D5443" s="342"/>
      <c r="E5443" s="387"/>
      <c r="F5443" s="388">
        <f t="shared" si="1398"/>
        <v>0</v>
      </c>
      <c r="H5443" s="341" t="str">
        <f>IF(A5443="","",VLOOKUP(A5443,VII.A!$A$10:$D$199,4,FALSE))</f>
        <v/>
      </c>
      <c r="I5443" s="341" t="str">
        <f t="shared" si="1395"/>
        <v/>
      </c>
      <c r="J5443" s="341" t="str">
        <f>IF(A5443="","",VLOOKUP(A5443,VII.A!$A$10:$D$199,3,FALSE))</f>
        <v/>
      </c>
      <c r="K5443" s="342" t="str">
        <f t="shared" si="1396"/>
        <v/>
      </c>
      <c r="L5443" s="380" t="str">
        <f>IF(C5443="","",G5435*C5443)</f>
        <v/>
      </c>
      <c r="M5443" s="381" t="str">
        <f>IF(A5443="","",VLOOKUP(A5443,VII.A!$A$10:$B$199,2,FALSE))</f>
        <v/>
      </c>
      <c r="N5443" s="342" t="str">
        <f t="shared" si="1397"/>
        <v/>
      </c>
      <c r="R5443" s="341"/>
      <c r="S5443" s="341"/>
    </row>
    <row r="5444" spans="1:21" ht="12.75" customHeight="1">
      <c r="A5444" s="385"/>
      <c r="B5444" s="386"/>
      <c r="C5444" s="20"/>
      <c r="D5444" s="342"/>
      <c r="E5444" s="387"/>
      <c r="F5444" s="388">
        <f t="shared" si="1398"/>
        <v>0</v>
      </c>
      <c r="G5444" s="390"/>
      <c r="H5444" s="341" t="str">
        <f>IF(A5444="","",VLOOKUP(A5444,VII.A!$A$10:$D$199,4,FALSE))</f>
        <v/>
      </c>
      <c r="I5444" s="341" t="str">
        <f t="shared" si="1395"/>
        <v/>
      </c>
      <c r="J5444" s="341" t="str">
        <f>IF(A5444="","",VLOOKUP(A5444,VII.A!$A$10:$D$199,3,FALSE))</f>
        <v/>
      </c>
      <c r="K5444" s="342" t="str">
        <f t="shared" si="1396"/>
        <v/>
      </c>
      <c r="L5444" s="380" t="str">
        <f>IF(C5444="","",G5435*C5444)</f>
        <v/>
      </c>
      <c r="M5444" s="381" t="str">
        <f>IF(A5444="","",VLOOKUP(A5444,VII.A!$A$10:$B$199,2,FALSE))</f>
        <v/>
      </c>
      <c r="N5444" s="342" t="str">
        <f t="shared" si="1397"/>
        <v/>
      </c>
      <c r="R5444" s="341"/>
      <c r="S5444" s="341"/>
    </row>
    <row r="5445" spans="1:21" ht="12.75" customHeight="1">
      <c r="A5445" s="385"/>
      <c r="B5445" s="386" t="str">
        <f>LOWER(B5440)</f>
        <v/>
      </c>
      <c r="C5445" s="20"/>
      <c r="D5445" s="342"/>
      <c r="E5445" s="387"/>
      <c r="F5445" s="388">
        <f t="shared" si="1398"/>
        <v>0</v>
      </c>
      <c r="G5445" s="390"/>
      <c r="H5445" s="341" t="str">
        <f>IF(A5445="","",VLOOKUP(A5445,VII.A!$A$10:$D$199,4,FALSE))</f>
        <v/>
      </c>
      <c r="I5445" s="341" t="str">
        <f t="shared" si="1395"/>
        <v/>
      </c>
      <c r="J5445" s="341" t="str">
        <f>IF(A5445="","",VLOOKUP(A5445,VII.A!$A$10:$D$199,3,FALSE))</f>
        <v/>
      </c>
      <c r="K5445" s="342" t="str">
        <f t="shared" si="1396"/>
        <v/>
      </c>
      <c r="L5445" s="380" t="str">
        <f>IF(C5445="","",G5435*C5445)</f>
        <v/>
      </c>
      <c r="M5445" s="381" t="str">
        <f>IF(A5445="","",VLOOKUP(A5445,VII.A!$A$10:$B$199,2,FALSE))</f>
        <v/>
      </c>
      <c r="N5445" s="342" t="str">
        <f t="shared" si="1397"/>
        <v/>
      </c>
      <c r="R5445" s="341"/>
      <c r="S5445" s="341"/>
    </row>
    <row r="5446" spans="1:21" ht="12.75" customHeight="1">
      <c r="A5446" s="385"/>
      <c r="B5446" s="386"/>
      <c r="C5446" s="20"/>
      <c r="D5446" s="342"/>
      <c r="E5446" s="387"/>
      <c r="F5446" s="388">
        <f t="shared" si="1398"/>
        <v>0</v>
      </c>
      <c r="G5446" s="391"/>
      <c r="H5446" s="341" t="str">
        <f>IF(A5446="","",VLOOKUP(A5446,VII.A!$A$10:$D$199,4,FALSE))</f>
        <v/>
      </c>
      <c r="I5446" s="341" t="str">
        <f t="shared" si="1395"/>
        <v/>
      </c>
      <c r="J5446" s="341" t="str">
        <f>IF(A5446="","",VLOOKUP(A5446,VII.A!$A$10:$D$199,3,FALSE))</f>
        <v/>
      </c>
      <c r="K5446" s="342" t="str">
        <f t="shared" si="1396"/>
        <v/>
      </c>
      <c r="L5446" s="380" t="str">
        <f>IF(C5446="","",G5435*C5446)</f>
        <v/>
      </c>
      <c r="M5446" s="381" t="str">
        <f>IF(A5446="","",VLOOKUP(A5446,VII.A!$A$10:$B$199,2,FALSE))</f>
        <v/>
      </c>
      <c r="N5446" s="342" t="str">
        <f t="shared" si="1397"/>
        <v/>
      </c>
      <c r="R5446" s="341"/>
      <c r="S5446" s="341"/>
    </row>
    <row r="5447" spans="1:21" ht="12.75" customHeight="1">
      <c r="A5447" s="385"/>
      <c r="B5447" s="386"/>
      <c r="C5447" s="20"/>
      <c r="D5447" s="342"/>
      <c r="E5447" s="387"/>
      <c r="F5447" s="388">
        <f t="shared" si="1398"/>
        <v>0</v>
      </c>
      <c r="H5447" s="341" t="str">
        <f>IF(A5447="","",VLOOKUP(A5447,VII.A!$A$10:$D$199,4,FALSE))</f>
        <v/>
      </c>
      <c r="I5447" s="341" t="str">
        <f t="shared" si="1395"/>
        <v/>
      </c>
      <c r="J5447" s="341" t="str">
        <f>IF(A5447="","",VLOOKUP(A5447,VII.A!$A$10:$D$199,3,FALSE))</f>
        <v/>
      </c>
      <c r="K5447" s="342" t="str">
        <f t="shared" si="1396"/>
        <v/>
      </c>
      <c r="L5447" s="380" t="str">
        <f>IF(C5447="","",G5435*C5447)</f>
        <v/>
      </c>
      <c r="M5447" s="381" t="str">
        <f>IF(A5447="","",VLOOKUP(A5447,VII.A!$A$10:$B$199,2,FALSE))</f>
        <v/>
      </c>
      <c r="N5447" s="342" t="str">
        <f t="shared" si="1397"/>
        <v/>
      </c>
      <c r="R5447" s="341"/>
      <c r="S5447" s="341"/>
    </row>
    <row r="5448" spans="1:21" ht="12.75" customHeight="1">
      <c r="A5448" s="385"/>
      <c r="B5448" s="386"/>
      <c r="C5448" s="20"/>
      <c r="D5448" s="392"/>
      <c r="E5448" s="387"/>
      <c r="F5448" s="388">
        <f t="shared" si="1398"/>
        <v>0</v>
      </c>
      <c r="H5448" s="341" t="str">
        <f>IF(A5448="","",VLOOKUP(A5448,VII.A!$A$10:$D$199,4,FALSE))</f>
        <v/>
      </c>
      <c r="I5448" s="341" t="str">
        <f t="shared" si="1395"/>
        <v/>
      </c>
      <c r="J5448" s="341" t="str">
        <f>IF(A5448="","",VLOOKUP(A5448,VII.A!$A$10:$D$199,3,FALSE))</f>
        <v/>
      </c>
      <c r="K5448" s="342" t="str">
        <f t="shared" si="1396"/>
        <v/>
      </c>
      <c r="L5448" s="380" t="str">
        <f>IF(C5448="","",G5435*C5448)</f>
        <v/>
      </c>
      <c r="M5448" s="381" t="str">
        <f>IF(A5448="","",VLOOKUP(A5448,VII.A!$A$10:$B$199,2,FALSE))</f>
        <v/>
      </c>
      <c r="N5448" s="342" t="str">
        <f t="shared" si="1397"/>
        <v/>
      </c>
      <c r="R5448" s="341"/>
      <c r="S5448" s="341"/>
    </row>
    <row r="5449" spans="1:21" ht="12.75" customHeight="1">
      <c r="A5449" s="385"/>
      <c r="B5449" s="386"/>
      <c r="C5449" s="20"/>
      <c r="D5449" s="392"/>
      <c r="E5449" s="387"/>
      <c r="F5449" s="388">
        <f t="shared" si="1398"/>
        <v>0</v>
      </c>
      <c r="H5449" s="341" t="str">
        <f>IF(A5449="","",VLOOKUP(A5449,VII.A!$A$10:$D$199,4,FALSE))</f>
        <v/>
      </c>
      <c r="I5449" s="341" t="str">
        <f t="shared" si="1395"/>
        <v/>
      </c>
      <c r="J5449" s="341" t="str">
        <f>IF(A5449="","",VLOOKUP(A5449,VII.A!$A$10:$D$199,3,FALSE))</f>
        <v/>
      </c>
      <c r="K5449" s="342" t="str">
        <f t="shared" si="1396"/>
        <v/>
      </c>
      <c r="L5449" s="380" t="str">
        <f>IF(C5449="","",G5435*C5449)</f>
        <v/>
      </c>
      <c r="M5449" s="381" t="str">
        <f>IF(A5449="","",VLOOKUP(A5449,VII.A!$A$10:$B$199,2,FALSE))</f>
        <v/>
      </c>
      <c r="N5449" s="342" t="str">
        <f t="shared" si="1397"/>
        <v/>
      </c>
      <c r="O5449" s="342"/>
      <c r="R5449" s="341"/>
      <c r="S5449" s="341"/>
    </row>
    <row r="5450" spans="1:21" ht="12.75" customHeight="1">
      <c r="A5450" s="385"/>
      <c r="B5450" s="386"/>
      <c r="C5450" s="20"/>
      <c r="D5450" s="392"/>
      <c r="E5450" s="387"/>
      <c r="F5450" s="388">
        <f t="shared" si="1398"/>
        <v>0</v>
      </c>
      <c r="H5450" s="341" t="str">
        <f>IF(A5450="","",VLOOKUP(A5450,VII.A!$A$10:$D$199,4,FALSE))</f>
        <v/>
      </c>
      <c r="I5450" s="341" t="str">
        <f t="shared" si="1395"/>
        <v/>
      </c>
      <c r="J5450" s="341" t="str">
        <f>IF(A5450="","",VLOOKUP(A5450,VII.A!$A$10:$D$199,3,FALSE))</f>
        <v/>
      </c>
      <c r="K5450" s="342" t="str">
        <f t="shared" si="1396"/>
        <v/>
      </c>
      <c r="L5450" s="380" t="str">
        <f>IF(C5450="","",G5435*C5450)</f>
        <v/>
      </c>
      <c r="M5450" s="381" t="str">
        <f>IF(A5450="","",VLOOKUP(A5450,VII.A!$A$10:$B$199,2,FALSE))</f>
        <v/>
      </c>
      <c r="N5450" s="342" t="str">
        <f t="shared" si="1397"/>
        <v/>
      </c>
      <c r="R5450" s="341"/>
      <c r="S5450" s="341"/>
    </row>
    <row r="5451" spans="1:21" ht="12.75" customHeight="1">
      <c r="A5451" s="393"/>
      <c r="C5451" s="20"/>
      <c r="E5451" s="387"/>
      <c r="F5451" s="388">
        <f t="shared" si="1398"/>
        <v>0</v>
      </c>
      <c r="H5451" s="341" t="str">
        <f>IF(A5451="","",VLOOKUP(A5451,VII.A!$A$10:$D$199,4,FALSE))</f>
        <v/>
      </c>
      <c r="I5451" s="341" t="str">
        <f t="shared" si="1395"/>
        <v/>
      </c>
      <c r="J5451" s="341" t="str">
        <f>IF(A5451="","",VLOOKUP(A5451,VII.A!$A$10:$D$199,3,FALSE))</f>
        <v/>
      </c>
      <c r="K5451" s="342" t="str">
        <f t="shared" si="1396"/>
        <v/>
      </c>
      <c r="L5451" s="380" t="str">
        <f>IF(C5451="","",G5435*C5451)</f>
        <v/>
      </c>
      <c r="M5451" s="381" t="str">
        <f>IF(A5451="","",VLOOKUP(A5451,VII.A!$A$10:$B$199,2,FALSE))</f>
        <v/>
      </c>
      <c r="N5451" s="342" t="str">
        <f t="shared" si="1397"/>
        <v/>
      </c>
      <c r="R5451" s="341"/>
      <c r="S5451" s="341"/>
    </row>
    <row r="5452" spans="1:21" ht="12.75" customHeight="1">
      <c r="A5452" s="393"/>
      <c r="C5452" s="20"/>
      <c r="E5452" s="387"/>
      <c r="F5452" s="388">
        <f t="shared" si="1398"/>
        <v>0</v>
      </c>
      <c r="H5452" s="341" t="str">
        <f>IF(A5452="","",VLOOKUP(A5452,VII.A!$A$10:$D$199,4,FALSE))</f>
        <v/>
      </c>
      <c r="I5452" s="341" t="str">
        <f t="shared" si="1395"/>
        <v/>
      </c>
      <c r="J5452" s="341" t="str">
        <f>IF(A5452="","",VLOOKUP(A5452,VII.A!$A$10:$D$199,3,FALSE))</f>
        <v/>
      </c>
      <c r="K5452" s="342" t="str">
        <f t="shared" si="1396"/>
        <v/>
      </c>
      <c r="L5452" s="380" t="str">
        <f>IF(C5452="","",G5435*C5452)</f>
        <v/>
      </c>
      <c r="M5452" s="381" t="str">
        <f>IF(A5452="","",VLOOKUP(A5452,VII.A!$A$10:$B$199,2,FALSE))</f>
        <v/>
      </c>
      <c r="N5452" s="342" t="str">
        <f t="shared" si="1397"/>
        <v/>
      </c>
      <c r="R5452" s="341"/>
      <c r="S5452" s="341"/>
    </row>
    <row r="5453" spans="1:21" ht="12.75" customHeight="1">
      <c r="A5453" s="393"/>
      <c r="B5453" s="395" t="s">
        <v>226</v>
      </c>
      <c r="C5453" s="396"/>
      <c r="D5453" s="397"/>
      <c r="E5453" s="398"/>
      <c r="F5453" s="399">
        <f>SUM(F5437:F5452)</f>
        <v>0</v>
      </c>
      <c r="H5453" s="433" t="s">
        <v>455</v>
      </c>
      <c r="J5453" s="341"/>
      <c r="L5453" s="380"/>
      <c r="M5453" s="381"/>
      <c r="N5453" s="342"/>
      <c r="R5453" s="341"/>
      <c r="S5453" s="341"/>
    </row>
    <row r="5454" spans="1:21" ht="12.75" customHeight="1">
      <c r="A5454" s="393"/>
      <c r="B5454" s="400" t="s">
        <v>53</v>
      </c>
      <c r="C5454" s="2">
        <f>$D$8</f>
        <v>0</v>
      </c>
      <c r="D5454" s="401"/>
      <c r="E5454" s="402"/>
      <c r="F5454" s="403">
        <f>ROUND(F5453*C5454,2)</f>
        <v>0</v>
      </c>
      <c r="J5454" s="341"/>
      <c r="L5454" s="380"/>
      <c r="M5454" s="381"/>
      <c r="N5454" s="342"/>
      <c r="R5454" s="341"/>
      <c r="S5454" s="341"/>
    </row>
    <row r="5455" spans="1:21" ht="12.75" customHeight="1">
      <c r="A5455" s="404"/>
      <c r="B5455" s="405" t="s">
        <v>227</v>
      </c>
      <c r="C5455" s="406"/>
      <c r="D5455" s="406"/>
      <c r="E5455" s="407"/>
      <c r="F5455" s="408">
        <f>F5453+F5454</f>
        <v>0</v>
      </c>
      <c r="J5455" s="341"/>
      <c r="L5455" s="380"/>
      <c r="M5455" s="381"/>
      <c r="N5455" s="342"/>
      <c r="R5455" s="341"/>
      <c r="S5455" s="341"/>
    </row>
    <row r="5456" spans="1:21" ht="12.75" customHeight="1">
      <c r="A5456" s="374" t="s">
        <v>2</v>
      </c>
      <c r="B5456" s="375" t="s">
        <v>235</v>
      </c>
      <c r="C5456" s="376" t="s">
        <v>231</v>
      </c>
      <c r="D5456" s="376" t="s">
        <v>232</v>
      </c>
      <c r="E5456" s="377" t="s">
        <v>233</v>
      </c>
      <c r="F5456" s="378" t="s">
        <v>234</v>
      </c>
      <c r="J5456" s="341"/>
      <c r="L5456" s="380"/>
      <c r="M5456" s="381"/>
      <c r="N5456" s="342"/>
      <c r="R5456" s="341"/>
      <c r="S5456" s="341"/>
    </row>
    <row r="5457" spans="1:19" ht="12.75" customHeight="1">
      <c r="A5457" s="393"/>
      <c r="B5457" s="423"/>
      <c r="C5457" s="20"/>
      <c r="E5457" s="387"/>
      <c r="F5457" s="388">
        <f t="shared" ref="F5457:F5466" si="1399">ROUND(C5457*E5457,2)</f>
        <v>0</v>
      </c>
      <c r="H5457" s="341" t="str">
        <f>IF(A5457="","",VLOOKUP(A5457,VII.A!$A$10:$D$199,4,FALSE))</f>
        <v/>
      </c>
      <c r="I5457" s="341" t="str">
        <f t="shared" ref="I5457:I5466" si="1400">IF(A5457="","",IF(E5457=H5457,"SIM","NÃO"))</f>
        <v/>
      </c>
      <c r="J5457" s="341" t="str">
        <f>IF(A5457="","",VLOOKUP(A5457,VII.A!$A$10:$D$199,3,FALSE))</f>
        <v/>
      </c>
      <c r="K5457" s="342" t="str">
        <f t="shared" ref="K5457:K5466" si="1401">IF(A5457="","",IF(J5457=D5457,"SIM","NÃO"))</f>
        <v/>
      </c>
      <c r="L5457" s="380" t="str">
        <f>IF(C5457="","",G5435*C5457)</f>
        <v/>
      </c>
      <c r="M5457" s="381" t="str">
        <f>IF(A5457="","",VLOOKUP(A5457,VII.A!$A$10:$B$199,2,FALSE))</f>
        <v/>
      </c>
      <c r="N5457" s="342" t="str">
        <f t="shared" ref="N5457:N5466" si="1402">IF(B5457="","",IF(M5457=B5457,"si","no"))</f>
        <v/>
      </c>
      <c r="R5457" s="341"/>
      <c r="S5457" s="341"/>
    </row>
    <row r="5458" spans="1:19" ht="12.75" customHeight="1">
      <c r="A5458" s="393"/>
      <c r="C5458" s="20"/>
      <c r="E5458" s="387"/>
      <c r="F5458" s="388">
        <f t="shared" si="1399"/>
        <v>0</v>
      </c>
      <c r="H5458" s="341" t="str">
        <f>IF(A5458="","",VLOOKUP(A5458,VII.A!$A$10:$D$199,4,FALSE))</f>
        <v/>
      </c>
      <c r="I5458" s="341" t="str">
        <f t="shared" si="1400"/>
        <v/>
      </c>
      <c r="J5458" s="341" t="str">
        <f>IF(A5458="","",VLOOKUP(A5458,VII.A!$A$10:$D$199,3,FALSE))</f>
        <v/>
      </c>
      <c r="K5458" s="342" t="str">
        <f t="shared" si="1401"/>
        <v/>
      </c>
      <c r="L5458" s="380" t="str">
        <f>IF(C5458="","",G5435*C5458)</f>
        <v/>
      </c>
      <c r="M5458" s="381" t="str">
        <f>IF(A5458="","",VLOOKUP(A5458,VII.A!$A$10:$B$199,2,FALSE))</f>
        <v/>
      </c>
      <c r="N5458" s="342" t="str">
        <f t="shared" si="1402"/>
        <v/>
      </c>
      <c r="R5458" s="341"/>
      <c r="S5458" s="341"/>
    </row>
    <row r="5459" spans="1:19" ht="12.75" customHeight="1">
      <c r="A5459" s="393"/>
      <c r="C5459" s="20"/>
      <c r="E5459" s="387"/>
      <c r="F5459" s="388">
        <f t="shared" si="1399"/>
        <v>0</v>
      </c>
      <c r="H5459" s="341" t="str">
        <f>IF(A5459="","",VLOOKUP(A5459,VII.A!$A$10:$D$199,4,FALSE))</f>
        <v/>
      </c>
      <c r="I5459" s="341" t="str">
        <f t="shared" si="1400"/>
        <v/>
      </c>
      <c r="J5459" s="341" t="str">
        <f>IF(A5459="","",VLOOKUP(A5459,VII.A!$A$10:$D$199,3,FALSE))</f>
        <v/>
      </c>
      <c r="K5459" s="342" t="str">
        <f t="shared" si="1401"/>
        <v/>
      </c>
      <c r="L5459" s="380" t="str">
        <f>IF(C5459="","",G5435*C5459)</f>
        <v/>
      </c>
      <c r="M5459" s="381" t="str">
        <f>IF(A5459="","",VLOOKUP(A5459,VII.A!$A$10:$B$199,2,FALSE))</f>
        <v/>
      </c>
      <c r="N5459" s="342" t="str">
        <f t="shared" si="1402"/>
        <v/>
      </c>
      <c r="R5459" s="341"/>
      <c r="S5459" s="341"/>
    </row>
    <row r="5460" spans="1:19" ht="12.75" customHeight="1">
      <c r="A5460" s="393"/>
      <c r="C5460" s="20"/>
      <c r="E5460" s="387"/>
      <c r="F5460" s="388">
        <f t="shared" si="1399"/>
        <v>0</v>
      </c>
      <c r="H5460" s="341" t="str">
        <f>IF(A5460="","",VLOOKUP(A5460,VII.A!$A$10:$D$199,4,FALSE))</f>
        <v/>
      </c>
      <c r="I5460" s="341" t="str">
        <f t="shared" si="1400"/>
        <v/>
      </c>
      <c r="J5460" s="341" t="str">
        <f>IF(A5460="","",VLOOKUP(A5460,VII.A!$A$10:$D$199,3,FALSE))</f>
        <v/>
      </c>
      <c r="K5460" s="342" t="str">
        <f t="shared" si="1401"/>
        <v/>
      </c>
      <c r="L5460" s="380" t="str">
        <f>IF(C5460="","",G5435*C5460)</f>
        <v/>
      </c>
      <c r="M5460" s="381" t="str">
        <f>IF(A5460="","",VLOOKUP(A5460,VII.A!$A$10:$B$199,2,FALSE))</f>
        <v/>
      </c>
      <c r="N5460" s="342" t="str">
        <f t="shared" si="1402"/>
        <v/>
      </c>
      <c r="R5460" s="341"/>
      <c r="S5460" s="341"/>
    </row>
    <row r="5461" spans="1:19" ht="12.75" customHeight="1">
      <c r="A5461" s="393"/>
      <c r="C5461" s="20"/>
      <c r="E5461" s="387"/>
      <c r="F5461" s="388">
        <f t="shared" si="1399"/>
        <v>0</v>
      </c>
      <c r="G5461" s="390"/>
      <c r="H5461" s="341" t="str">
        <f>IF(A5461="","",VLOOKUP(A5461,VII.A!$A$10:$D$199,4,FALSE))</f>
        <v/>
      </c>
      <c r="I5461" s="341" t="str">
        <f t="shared" si="1400"/>
        <v/>
      </c>
      <c r="J5461" s="341" t="str">
        <f>IF(A5461="","",VLOOKUP(A5461,VII.A!$A$10:$D$199,3,FALSE))</f>
        <v/>
      </c>
      <c r="K5461" s="342" t="str">
        <f t="shared" si="1401"/>
        <v/>
      </c>
      <c r="L5461" s="380" t="str">
        <f>IF(C5461="","",G5435*C5461)</f>
        <v/>
      </c>
      <c r="M5461" s="381" t="str">
        <f>IF(A5461="","",VLOOKUP(A5461,VII.A!$A$10:$B$199,2,FALSE))</f>
        <v/>
      </c>
      <c r="N5461" s="342" t="str">
        <f t="shared" si="1402"/>
        <v/>
      </c>
      <c r="R5461" s="341"/>
      <c r="S5461" s="341"/>
    </row>
    <row r="5462" spans="1:19" ht="12.75" customHeight="1">
      <c r="A5462" s="393"/>
      <c r="C5462" s="20"/>
      <c r="E5462" s="387"/>
      <c r="F5462" s="388">
        <f t="shared" si="1399"/>
        <v>0</v>
      </c>
      <c r="G5462" s="391"/>
      <c r="H5462" s="341" t="str">
        <f>IF(A5462="","",VLOOKUP(A5462,VII.A!$A$10:$D$199,4,FALSE))</f>
        <v/>
      </c>
      <c r="I5462" s="341" t="str">
        <f t="shared" si="1400"/>
        <v/>
      </c>
      <c r="J5462" s="341" t="str">
        <f>IF(A5462="","",VLOOKUP(A5462,VII.A!$A$10:$D$199,3,FALSE))</f>
        <v/>
      </c>
      <c r="K5462" s="342" t="str">
        <f t="shared" si="1401"/>
        <v/>
      </c>
      <c r="L5462" s="380" t="str">
        <f>IF(C5462="","",G5435*C5462)</f>
        <v/>
      </c>
      <c r="M5462" s="381" t="str">
        <f>IF(A5462="","",VLOOKUP(A5462,VII.A!$A$10:$B$199,2,FALSE))</f>
        <v/>
      </c>
      <c r="N5462" s="342" t="str">
        <f t="shared" si="1402"/>
        <v/>
      </c>
      <c r="R5462" s="341"/>
      <c r="S5462" s="341"/>
    </row>
    <row r="5463" spans="1:19" ht="12.75" customHeight="1">
      <c r="A5463" s="393"/>
      <c r="C5463" s="20"/>
      <c r="E5463" s="387"/>
      <c r="F5463" s="388">
        <f t="shared" si="1399"/>
        <v>0</v>
      </c>
      <c r="H5463" s="341" t="str">
        <f>IF(A5463="","",VLOOKUP(A5463,VII.A!$A$10:$D$199,4,FALSE))</f>
        <v/>
      </c>
      <c r="I5463" s="341" t="str">
        <f t="shared" si="1400"/>
        <v/>
      </c>
      <c r="J5463" s="341" t="str">
        <f>IF(A5463="","",VLOOKUP(A5463,VII.A!$A$10:$D$199,3,FALSE))</f>
        <v/>
      </c>
      <c r="K5463" s="342" t="str">
        <f t="shared" si="1401"/>
        <v/>
      </c>
      <c r="L5463" s="380" t="str">
        <f>IF(C5463="","",G5435*C5463)</f>
        <v/>
      </c>
      <c r="M5463" s="381" t="str">
        <f>IF(A5463="","",VLOOKUP(A5463,VII.A!$A$10:$B$199,2,FALSE))</f>
        <v/>
      </c>
      <c r="N5463" s="342" t="str">
        <f t="shared" si="1402"/>
        <v/>
      </c>
      <c r="R5463" s="341"/>
      <c r="S5463" s="341"/>
    </row>
    <row r="5464" spans="1:19" ht="12.75" customHeight="1">
      <c r="A5464" s="393"/>
      <c r="C5464" s="20"/>
      <c r="E5464" s="387"/>
      <c r="F5464" s="388">
        <f t="shared" si="1399"/>
        <v>0</v>
      </c>
      <c r="H5464" s="341" t="str">
        <f>IF(A5464="","",VLOOKUP(A5464,VII.A!$A$10:$D$199,4,FALSE))</f>
        <v/>
      </c>
      <c r="I5464" s="341" t="str">
        <f t="shared" si="1400"/>
        <v/>
      </c>
      <c r="J5464" s="341" t="str">
        <f>IF(A5464="","",VLOOKUP(A5464,VII.A!$A$10:$D$199,3,FALSE))</f>
        <v/>
      </c>
      <c r="K5464" s="342" t="str">
        <f t="shared" si="1401"/>
        <v/>
      </c>
      <c r="L5464" s="380" t="str">
        <f>IF(C5464="","",G5435*C5464)</f>
        <v/>
      </c>
      <c r="M5464" s="381" t="str">
        <f>IF(A5464="","",VLOOKUP(A5464,VII.A!$A$10:$B$199,2,FALSE))</f>
        <v/>
      </c>
      <c r="N5464" s="342" t="str">
        <f t="shared" si="1402"/>
        <v/>
      </c>
      <c r="R5464" s="341"/>
      <c r="S5464" s="341"/>
    </row>
    <row r="5465" spans="1:19" ht="12.75" customHeight="1">
      <c r="A5465" s="393"/>
      <c r="C5465" s="20"/>
      <c r="E5465" s="387"/>
      <c r="F5465" s="388">
        <f t="shared" si="1399"/>
        <v>0</v>
      </c>
      <c r="H5465" s="341" t="str">
        <f>IF(A5465="","",VLOOKUP(A5465,VII.A!$A$10:$D$199,4,FALSE))</f>
        <v/>
      </c>
      <c r="I5465" s="341" t="str">
        <f t="shared" si="1400"/>
        <v/>
      </c>
      <c r="J5465" s="341" t="str">
        <f>IF(A5465="","",VLOOKUP(A5465,VII.A!$A$10:$D$199,3,FALSE))</f>
        <v/>
      </c>
      <c r="K5465" s="342" t="str">
        <f t="shared" si="1401"/>
        <v/>
      </c>
      <c r="L5465" s="380" t="str">
        <f>IF(C5465="","",G5435*C5465)</f>
        <v/>
      </c>
      <c r="M5465" s="381" t="str">
        <f>IF(A5465="","",VLOOKUP(A5465,VII.A!$A$10:$B$199,2,FALSE))</f>
        <v/>
      </c>
      <c r="N5465" s="342" t="str">
        <f t="shared" si="1402"/>
        <v/>
      </c>
      <c r="R5465" s="341"/>
      <c r="S5465" s="341"/>
    </row>
    <row r="5466" spans="1:19" ht="12.75" customHeight="1">
      <c r="A5466" s="393"/>
      <c r="C5466" s="20"/>
      <c r="E5466" s="387"/>
      <c r="F5466" s="388">
        <f t="shared" si="1399"/>
        <v>0</v>
      </c>
      <c r="H5466" s="341" t="str">
        <f>IF(A5466="","",VLOOKUP(A5466,VII.A!$A$10:$D$199,4,FALSE))</f>
        <v/>
      </c>
      <c r="I5466" s="341" t="str">
        <f t="shared" si="1400"/>
        <v/>
      </c>
      <c r="J5466" s="341" t="str">
        <f>IF(A5466="","",VLOOKUP(A5466,VII.A!$A$10:$D$199,3,FALSE))</f>
        <v/>
      </c>
      <c r="K5466" s="342" t="str">
        <f t="shared" si="1401"/>
        <v/>
      </c>
      <c r="L5466" s="380" t="str">
        <f>IF(C5466="","",G5435*C5466)</f>
        <v/>
      </c>
      <c r="M5466" s="381" t="str">
        <f>IF(A5466="","",VLOOKUP(A5466,VII.A!$A$10:$B$199,2,FALSE))</f>
        <v/>
      </c>
      <c r="N5466" s="342" t="str">
        <f t="shared" si="1402"/>
        <v/>
      </c>
      <c r="R5466" s="341"/>
      <c r="S5466" s="341"/>
    </row>
    <row r="5467" spans="1:19" ht="12.75" customHeight="1">
      <c r="A5467" s="393"/>
      <c r="B5467" s="395" t="s">
        <v>226</v>
      </c>
      <c r="C5467" s="396"/>
      <c r="D5467" s="397"/>
      <c r="E5467" s="398"/>
      <c r="F5467" s="399">
        <f>SUM(F5457:F5466)</f>
        <v>0</v>
      </c>
      <c r="J5467" s="341"/>
      <c r="L5467" s="380"/>
      <c r="M5467" s="381"/>
      <c r="N5467" s="342"/>
      <c r="R5467" s="341"/>
      <c r="S5467" s="341"/>
    </row>
    <row r="5468" spans="1:19" ht="12.75" customHeight="1">
      <c r="A5468" s="393"/>
      <c r="B5468" s="400" t="s">
        <v>53</v>
      </c>
      <c r="C5468" s="2">
        <f>$D$8</f>
        <v>0</v>
      </c>
      <c r="D5468" s="401"/>
      <c r="E5468" s="402"/>
      <c r="F5468" s="403">
        <f>ROUND(C5468*F5467,2)</f>
        <v>0</v>
      </c>
      <c r="J5468" s="341"/>
      <c r="L5468" s="380"/>
      <c r="M5468" s="381"/>
      <c r="N5468" s="342"/>
      <c r="R5468" s="341"/>
      <c r="S5468" s="341"/>
    </row>
    <row r="5469" spans="1:19" ht="12.75" customHeight="1">
      <c r="A5469" s="404"/>
      <c r="B5469" s="405" t="s">
        <v>228</v>
      </c>
      <c r="C5469" s="406"/>
      <c r="D5469" s="406"/>
      <c r="E5469" s="407"/>
      <c r="F5469" s="408">
        <f>F5467+F5468</f>
        <v>0</v>
      </c>
      <c r="J5469" s="341"/>
      <c r="L5469" s="380"/>
      <c r="M5469" s="381"/>
      <c r="N5469" s="342"/>
      <c r="R5469" s="341"/>
      <c r="S5469" s="341"/>
    </row>
    <row r="5470" spans="1:19" ht="12.75" customHeight="1">
      <c r="A5470" s="409" t="s">
        <v>47</v>
      </c>
      <c r="B5470" s="410" t="s">
        <v>236</v>
      </c>
      <c r="C5470" s="411" t="s">
        <v>231</v>
      </c>
      <c r="D5470" s="412" t="s">
        <v>232</v>
      </c>
      <c r="E5470" s="413" t="s">
        <v>233</v>
      </c>
      <c r="F5470" s="378" t="s">
        <v>234</v>
      </c>
      <c r="J5470" s="341"/>
      <c r="L5470" s="380"/>
      <c r="M5470" s="381"/>
      <c r="N5470" s="342"/>
      <c r="R5470" s="341"/>
      <c r="S5470" s="341"/>
    </row>
    <row r="5471" spans="1:19" ht="12.75" customHeight="1">
      <c r="A5471" s="393" t="str">
        <f>VII.A!$A$181</f>
        <v>3.1</v>
      </c>
      <c r="B5471" s="394" t="str">
        <f>VII.A!B181</f>
        <v>AJUDANTE COM ENCARGOS COMPLEMENTARES</v>
      </c>
      <c r="C5471" s="20">
        <v>0.25</v>
      </c>
      <c r="D5471" s="384" t="str">
        <f>VII.A!C181</f>
        <v>H</v>
      </c>
      <c r="E5471" s="387">
        <f>VII.A!D181</f>
        <v>0</v>
      </c>
      <c r="F5471" s="388">
        <f t="shared" ref="F5471:F5477" si="1403">ROUND(C5471*E5471,2)</f>
        <v>0</v>
      </c>
      <c r="H5471" s="341">
        <f>IF(A5471="","",VLOOKUP(A5471,VII.A!$A$10:$D$199,4,FALSE))</f>
        <v>0</v>
      </c>
      <c r="I5471" s="341" t="str">
        <f t="shared" ref="I5471:I5477" si="1404">IF(A5471="","",IF(E5471=H5471,"SIM","NÃO"))</f>
        <v>SIM</v>
      </c>
      <c r="J5471" s="341" t="str">
        <f>IF(A5471="","",VLOOKUP(A5471,VII.A!$A$10:$D$199,3,FALSE))</f>
        <v>H</v>
      </c>
      <c r="K5471" s="342" t="str">
        <f t="shared" ref="K5471:K5477" si="1405">IF(A5471="","",IF(J5471=D5471,"SIM","NÃO"))</f>
        <v>SIM</v>
      </c>
      <c r="L5471" s="380">
        <f>IF(C5471="","",G5435*C5471)</f>
        <v>25</v>
      </c>
      <c r="M5471" s="381" t="str">
        <f>IF(A5471="","",VLOOKUP(A5471,VII.A!$A$10:$B$199,2,FALSE))</f>
        <v>AJUDANTE COM ENCARGOS COMPLEMENTARES</v>
      </c>
      <c r="N5471" s="342" t="str">
        <f t="shared" ref="N5471:N5477" si="1406">IF(B5471="","",IF(M5471=B5471,"si","no"))</f>
        <v>si</v>
      </c>
      <c r="R5471" s="341"/>
      <c r="S5471" s="341"/>
    </row>
    <row r="5472" spans="1:19" ht="12.75" customHeight="1">
      <c r="A5472" s="393" t="str">
        <f>VII.A!$A$189</f>
        <v>3.9</v>
      </c>
      <c r="B5472" s="394" t="str">
        <f>VII.A!B189</f>
        <v>ELETRICISTA COM ENCARGOS COMPLEMENTARES</v>
      </c>
      <c r="C5472" s="20">
        <v>0.25</v>
      </c>
      <c r="D5472" s="384" t="str">
        <f>VII.A!C189</f>
        <v>H</v>
      </c>
      <c r="E5472" s="387">
        <f>VII.A!D189</f>
        <v>0</v>
      </c>
      <c r="F5472" s="388">
        <f t="shared" si="1403"/>
        <v>0</v>
      </c>
      <c r="H5472" s="341">
        <f>IF(A5472="","",VLOOKUP(A5472,VII.A!$A$10:$D$199,4,FALSE))</f>
        <v>0</v>
      </c>
      <c r="I5472" s="341" t="str">
        <f t="shared" si="1404"/>
        <v>SIM</v>
      </c>
      <c r="J5472" s="341" t="str">
        <f>IF(A5472="","",VLOOKUP(A5472,VII.A!$A$10:$D$199,3,FALSE))</f>
        <v>H</v>
      </c>
      <c r="K5472" s="342" t="str">
        <f t="shared" si="1405"/>
        <v>SIM</v>
      </c>
      <c r="L5472" s="380">
        <f>IF(C5472="","",G5435*C5472)</f>
        <v>25</v>
      </c>
      <c r="M5472" s="381" t="str">
        <f>IF(A5472="","",VLOOKUP(A5472,VII.A!$A$10:$B$199,2,FALSE))</f>
        <v>ELETRICISTA COM ENCARGOS COMPLEMENTARES</v>
      </c>
      <c r="N5472" s="342" t="str">
        <f t="shared" si="1406"/>
        <v>si</v>
      </c>
      <c r="R5472" s="341"/>
      <c r="S5472" s="341"/>
    </row>
    <row r="5473" spans="1:25" ht="12.75" customHeight="1">
      <c r="A5473" s="393"/>
      <c r="C5473" s="20"/>
      <c r="E5473" s="387"/>
      <c r="F5473" s="388">
        <f t="shared" si="1403"/>
        <v>0</v>
      </c>
      <c r="H5473" s="341" t="str">
        <f>IF(A5473="","",VLOOKUP(A5473,VII.A!$A$10:$D$199,4,FALSE))</f>
        <v/>
      </c>
      <c r="I5473" s="341" t="str">
        <f t="shared" si="1404"/>
        <v/>
      </c>
      <c r="J5473" s="341" t="str">
        <f>IF(A5473="","",VLOOKUP(A5473,VII.A!$A$10:$D$199,3,FALSE))</f>
        <v/>
      </c>
      <c r="K5473" s="342" t="str">
        <f t="shared" si="1405"/>
        <v/>
      </c>
      <c r="L5473" s="380" t="str">
        <f>IF(C5473="","",G5435*C5473)</f>
        <v/>
      </c>
      <c r="M5473" s="381" t="str">
        <f>IF(A5473="","",VLOOKUP(A5473,VII.A!$A$10:$B$199,2,FALSE))</f>
        <v/>
      </c>
      <c r="N5473" s="342" t="str">
        <f t="shared" si="1406"/>
        <v/>
      </c>
      <c r="R5473" s="341"/>
      <c r="S5473" s="341"/>
    </row>
    <row r="5474" spans="1:25" ht="12.75" customHeight="1">
      <c r="A5474" s="393"/>
      <c r="C5474" s="20"/>
      <c r="E5474" s="387"/>
      <c r="F5474" s="388">
        <f t="shared" si="1403"/>
        <v>0</v>
      </c>
      <c r="H5474" s="341" t="str">
        <f>IF(A5474="","",VLOOKUP(A5474,VII.A!$A$10:$D$199,4,FALSE))</f>
        <v/>
      </c>
      <c r="I5474" s="341" t="str">
        <f t="shared" si="1404"/>
        <v/>
      </c>
      <c r="J5474" s="341" t="str">
        <f>IF(A5474="","",VLOOKUP(A5474,VII.A!$A$10:$D$199,3,FALSE))</f>
        <v/>
      </c>
      <c r="K5474" s="342" t="str">
        <f t="shared" si="1405"/>
        <v/>
      </c>
      <c r="L5474" s="380" t="str">
        <f>IF(C5474="","",G5435*C5474)</f>
        <v/>
      </c>
      <c r="M5474" s="381" t="str">
        <f>IF(A5474="","",VLOOKUP(A5474,VII.A!$A$10:$B$199,2,FALSE))</f>
        <v/>
      </c>
      <c r="N5474" s="342" t="str">
        <f t="shared" si="1406"/>
        <v/>
      </c>
      <c r="R5474" s="341"/>
      <c r="S5474" s="341"/>
    </row>
    <row r="5475" spans="1:25" ht="12.75" customHeight="1">
      <c r="A5475" s="393"/>
      <c r="C5475" s="20"/>
      <c r="E5475" s="387"/>
      <c r="F5475" s="388">
        <f t="shared" si="1403"/>
        <v>0</v>
      </c>
      <c r="H5475" s="341" t="str">
        <f>IF(A5475="","",VLOOKUP(A5475,VII.A!$A$10:$D$199,4,FALSE))</f>
        <v/>
      </c>
      <c r="I5475" s="341" t="str">
        <f t="shared" si="1404"/>
        <v/>
      </c>
      <c r="J5475" s="341" t="str">
        <f>IF(A5475="","",VLOOKUP(A5475,VII.A!$A$10:$D$199,3,FALSE))</f>
        <v/>
      </c>
      <c r="K5475" s="342" t="str">
        <f t="shared" si="1405"/>
        <v/>
      </c>
      <c r="L5475" s="380" t="str">
        <f>IF(C5475="","",G5435*C5475)</f>
        <v/>
      </c>
      <c r="M5475" s="381" t="str">
        <f>IF(A5475="","",VLOOKUP(A5475,VII.A!$A$10:$B$199,2,FALSE))</f>
        <v/>
      </c>
      <c r="N5475" s="342" t="str">
        <f t="shared" si="1406"/>
        <v/>
      </c>
      <c r="R5475" s="341"/>
      <c r="S5475" s="341"/>
    </row>
    <row r="5476" spans="1:25" ht="12.75" customHeight="1">
      <c r="A5476" s="393"/>
      <c r="C5476" s="20"/>
      <c r="E5476" s="387"/>
      <c r="F5476" s="388">
        <f t="shared" si="1403"/>
        <v>0</v>
      </c>
      <c r="H5476" s="341" t="str">
        <f>IF(A5476="","",VLOOKUP(A5476,VII.A!$A$10:$D$199,4,FALSE))</f>
        <v/>
      </c>
      <c r="I5476" s="341" t="str">
        <f t="shared" si="1404"/>
        <v/>
      </c>
      <c r="J5476" s="341" t="str">
        <f>IF(A5476="","",VLOOKUP(A5476,VII.A!$A$10:$D$199,3,FALSE))</f>
        <v/>
      </c>
      <c r="K5476" s="342" t="str">
        <f t="shared" si="1405"/>
        <v/>
      </c>
      <c r="L5476" s="380" t="str">
        <f>IF(C5476="","",G5435*C5476)</f>
        <v/>
      </c>
      <c r="M5476" s="381" t="str">
        <f>IF(A5476="","",VLOOKUP(A5476,VII.A!$A$10:$B$199,2,FALSE))</f>
        <v/>
      </c>
      <c r="N5476" s="342" t="str">
        <f t="shared" si="1406"/>
        <v/>
      </c>
      <c r="R5476" s="341"/>
      <c r="S5476" s="341"/>
    </row>
    <row r="5477" spans="1:25" ht="12.75" customHeight="1">
      <c r="A5477" s="393"/>
      <c r="C5477" s="20"/>
      <c r="E5477" s="387"/>
      <c r="F5477" s="388">
        <f t="shared" si="1403"/>
        <v>0</v>
      </c>
      <c r="H5477" s="341" t="str">
        <f>IF(A5477="","",VLOOKUP(A5477,VII.A!$A$10:$D$199,4,FALSE))</f>
        <v/>
      </c>
      <c r="I5477" s="341" t="str">
        <f t="shared" si="1404"/>
        <v/>
      </c>
      <c r="J5477" s="341" t="str">
        <f>IF(A5477="","",VLOOKUP(A5477,VII.A!$A$10:$D$199,3,FALSE))</f>
        <v/>
      </c>
      <c r="K5477" s="342" t="str">
        <f t="shared" si="1405"/>
        <v/>
      </c>
      <c r="L5477" s="380" t="str">
        <f>IF(C5477="","",G5435*C5477)</f>
        <v/>
      </c>
      <c r="M5477" s="381" t="str">
        <f>IF(A5477="","",VLOOKUP(A5477,VII.A!$A$10:$B$199,2,FALSE))</f>
        <v/>
      </c>
      <c r="N5477" s="342" t="str">
        <f t="shared" si="1406"/>
        <v/>
      </c>
      <c r="R5477" s="341"/>
      <c r="S5477" s="341"/>
    </row>
    <row r="5478" spans="1:25" ht="12.75" customHeight="1">
      <c r="A5478" s="393"/>
      <c r="B5478" s="395" t="s">
        <v>226</v>
      </c>
      <c r="C5478" s="396"/>
      <c r="D5478" s="397"/>
      <c r="E5478" s="398"/>
      <c r="F5478" s="399">
        <f>SUM(F5471:F5477)</f>
        <v>0</v>
      </c>
      <c r="J5478" s="341"/>
      <c r="L5478" s="380"/>
      <c r="M5478" s="381"/>
      <c r="N5478" s="342"/>
      <c r="R5478" s="341"/>
      <c r="S5478" s="341"/>
    </row>
    <row r="5479" spans="1:25" ht="12.75" customHeight="1">
      <c r="A5479" s="393"/>
      <c r="B5479" s="400" t="s">
        <v>229</v>
      </c>
      <c r="C5479" s="2">
        <f>IX.A!$C$45</f>
        <v>0</v>
      </c>
      <c r="D5479" s="401"/>
      <c r="E5479" s="402"/>
      <c r="F5479" s="403">
        <f>ROUND(F5478*C5479,2)</f>
        <v>0</v>
      </c>
      <c r="J5479" s="341"/>
      <c r="L5479" s="380"/>
      <c r="M5479" s="381"/>
      <c r="N5479" s="342"/>
      <c r="R5479" s="341"/>
      <c r="S5479" s="341"/>
    </row>
    <row r="5480" spans="1:25" ht="12.75" customHeight="1">
      <c r="A5480" s="393"/>
      <c r="B5480" s="400" t="s">
        <v>53</v>
      </c>
      <c r="C5480" s="2">
        <f>$D$8</f>
        <v>0</v>
      </c>
      <c r="D5480" s="401"/>
      <c r="E5480" s="402"/>
      <c r="F5480" s="403">
        <f>ROUND(SUM(F5478:F5479)*C5480,2)</f>
        <v>0</v>
      </c>
      <c r="J5480" s="341"/>
      <c r="L5480" s="380"/>
      <c r="M5480" s="381"/>
      <c r="N5480" s="342"/>
      <c r="R5480" s="341"/>
      <c r="S5480" s="341"/>
    </row>
    <row r="5481" spans="1:25" ht="12.75" customHeight="1" thickBot="1">
      <c r="A5481" s="414"/>
      <c r="B5481" s="415" t="s">
        <v>230</v>
      </c>
      <c r="C5481" s="416"/>
      <c r="D5481" s="416"/>
      <c r="E5481" s="417"/>
      <c r="F5481" s="418">
        <f>SUM(F5478:F5480)</f>
        <v>0</v>
      </c>
      <c r="J5481" s="341"/>
      <c r="L5481" s="380"/>
      <c r="M5481" s="381"/>
      <c r="N5481" s="342"/>
      <c r="R5481" s="341"/>
      <c r="S5481" s="341"/>
    </row>
    <row r="5482" spans="1:25" ht="12.75" customHeight="1" thickBot="1">
      <c r="A5482" s="427"/>
      <c r="B5482" s="428"/>
      <c r="C5482" s="429"/>
      <c r="D5482" s="429"/>
      <c r="E5482" s="430"/>
      <c r="F5482" s="431"/>
      <c r="J5482" s="341"/>
      <c r="L5482" s="380"/>
      <c r="M5482" s="381"/>
      <c r="N5482" s="342"/>
      <c r="R5482" s="341"/>
      <c r="S5482" s="341"/>
    </row>
    <row r="5483" spans="1:25" ht="30" customHeight="1">
      <c r="A5483" s="370" t="str">
        <f>IV.A!$A$163</f>
        <v>7.7</v>
      </c>
      <c r="B5483" s="371" t="str">
        <f>IV.A!$B$163</f>
        <v>LOCAÇÃO DE ANDAIMES METÁLICOS TIPO TORRE</v>
      </c>
      <c r="C5483" s="871" t="s">
        <v>237</v>
      </c>
      <c r="D5483" s="872"/>
      <c r="E5483" s="372" t="str">
        <f>IV.A!$C$163</f>
        <v>M.MÊS</v>
      </c>
      <c r="F5483" s="11">
        <f>ROUND(F5503+F5517+F5529,2)</f>
        <v>0</v>
      </c>
      <c r="G5483" s="1">
        <f>VLOOKUP(A5483,IV.A!$A$16:$L$172,4,FALSE)</f>
        <v>2000</v>
      </c>
      <c r="H5483" s="361">
        <f>SUM(F5485:F5500)+F5502</f>
        <v>0</v>
      </c>
      <c r="I5483" s="361">
        <f>SUM(F5505:F5514)+F5516</f>
        <v>0</v>
      </c>
      <c r="J5483" s="361">
        <f>SUM(F5519:F5525)+F5527+F5528</f>
        <v>0</v>
      </c>
      <c r="K5483" s="361">
        <f>SUM(H5483:J5483)</f>
        <v>0</v>
      </c>
      <c r="L5483" s="362" t="str">
        <f>IF(K5483=F5483,"SIM","NÃO")</f>
        <v>SIM</v>
      </c>
      <c r="M5483" s="373">
        <f>ROUND(SUM(F5485:F5500),2)+ROUND(SUM(F5485:F5500)*C5502,2)+ROUND(SUM(F5505:F5514)*C5516,2)+ROUND(SUM(F5505:F5514),2)+ROUND(SUM(F5519:F5525)*C5527,2)+ROUND((SUM(F5519:F5525)+ROUND(SUM(F5519:F5525)*C5527,2))*C5528,2)+ROUND(SUM(F5519:F5525),2)</f>
        <v>0</v>
      </c>
      <c r="N5483" s="343" t="str">
        <f>IF(M5483=F5483,"SIM","NÃO")</f>
        <v>SIM</v>
      </c>
      <c r="O5483" s="364" t="str">
        <f>VLOOKUP(A5483,IV.A!$A$16:$E$172,3,FALSE)</f>
        <v>M.MÊS</v>
      </c>
      <c r="P5483" s="344" t="str">
        <f>IF(O5483=E5483,"SIM","NÃO")</f>
        <v>SIM</v>
      </c>
      <c r="Q5483" s="365">
        <f>ROUND(G5483*F5503,2)+ROUND(G5483*F5517,2)+ROUND(G5483*F5529,2)</f>
        <v>0</v>
      </c>
      <c r="R5483" s="364">
        <f>VLOOKUP(A5483,IV.A!$A$16:$L$172,12,FALSE)</f>
        <v>0</v>
      </c>
      <c r="S5483" s="366" t="str">
        <f>IF(Q5483=R5483,"si","no")</f>
        <v>si</v>
      </c>
      <c r="T5483" s="367">
        <f>SUM(L5485:L5500)+SUM(L5505:L5514)+SUM(L5519:L5525)</f>
        <v>2000</v>
      </c>
      <c r="U5483" s="341">
        <f>(SUM(C5485:C5500)+SUM(C5505:C5514)+SUM(C5519:C5525))*G5483</f>
        <v>2000</v>
      </c>
      <c r="V5483" s="368" t="str">
        <f>IF(T5483=U5483,"si","no")</f>
        <v>si</v>
      </c>
      <c r="W5483" s="369">
        <f>SUM(F5485:F5500)</f>
        <v>0</v>
      </c>
      <c r="X5483" s="369">
        <f>SUM(F5505:F5514)</f>
        <v>0</v>
      </c>
      <c r="Y5483" s="369">
        <f>SUM(F5519:F5525)</f>
        <v>0</v>
      </c>
    </row>
    <row r="5484" spans="1:25" ht="12.75" customHeight="1">
      <c r="A5484" s="374" t="s">
        <v>14</v>
      </c>
      <c r="B5484" s="375" t="s">
        <v>132</v>
      </c>
      <c r="C5484" s="376" t="s">
        <v>231</v>
      </c>
      <c r="D5484" s="376" t="s">
        <v>232</v>
      </c>
      <c r="E5484" s="377" t="s">
        <v>233</v>
      </c>
      <c r="F5484" s="378" t="s">
        <v>234</v>
      </c>
      <c r="G5484" s="379"/>
      <c r="J5484" s="341"/>
      <c r="L5484" s="380"/>
      <c r="M5484" s="381"/>
      <c r="N5484" s="342"/>
      <c r="O5484" s="382"/>
      <c r="P5484" s="383"/>
      <c r="Q5484" s="383"/>
      <c r="R5484" s="383"/>
      <c r="S5484" s="383"/>
      <c r="T5484" s="382"/>
      <c r="U5484" s="341"/>
      <c r="V5484" s="384"/>
      <c r="W5484" s="384"/>
      <c r="X5484" s="384"/>
      <c r="Y5484" s="384"/>
    </row>
    <row r="5485" spans="1:25" ht="12.75" customHeight="1">
      <c r="A5485" s="385"/>
      <c r="B5485" s="386"/>
      <c r="C5485" s="20"/>
      <c r="D5485" s="342"/>
      <c r="E5485" s="387"/>
      <c r="F5485" s="388">
        <f>ROUND(C5485*E5485,2)</f>
        <v>0</v>
      </c>
      <c r="H5485" s="341" t="str">
        <f>IF(A5485="","",VLOOKUP(A5485,VII.A!$A$10:$D$199,4,FALSE))</f>
        <v/>
      </c>
      <c r="I5485" s="341" t="str">
        <f t="shared" ref="I5485:I5500" si="1407">IF(A5485="","",IF(E5485=H5485,"SIM","NÃO"))</f>
        <v/>
      </c>
      <c r="J5485" s="341" t="str">
        <f>IF(A5485="","",VLOOKUP(A5485,VII.A!$A$10:$D$199,3,FALSE))</f>
        <v/>
      </c>
      <c r="K5485" s="342" t="str">
        <f t="shared" ref="K5485:K5500" si="1408">IF(A5485="","",IF(J5485=D5485,"SIM","NÃO"))</f>
        <v/>
      </c>
      <c r="L5485" s="380" t="str">
        <f>IF(C5485="","",G5483*C5485)</f>
        <v/>
      </c>
      <c r="M5485" s="381" t="str">
        <f>IF(A5485="","",VLOOKUP(A5485,VII.A!$A$10:$B$199,2,FALSE))</f>
        <v/>
      </c>
      <c r="N5485" s="342" t="str">
        <f t="shared" ref="N5485:N5500" si="1409">IF(B5485="","",IF(M5485=B5485,"si","no"))</f>
        <v/>
      </c>
      <c r="R5485" s="341"/>
      <c r="S5485" s="341"/>
    </row>
    <row r="5486" spans="1:25" ht="12.75" customHeight="1">
      <c r="A5486" s="385"/>
      <c r="B5486" s="386"/>
      <c r="C5486" s="20"/>
      <c r="D5486" s="342"/>
      <c r="E5486" s="387"/>
      <c r="F5486" s="388">
        <f t="shared" ref="F5486:F5500" si="1410">ROUND(C5486*E5486,2)</f>
        <v>0</v>
      </c>
      <c r="H5486" s="341" t="str">
        <f>IF(A5486="","",VLOOKUP(A5486,VII.A!$A$10:$D$199,4,FALSE))</f>
        <v/>
      </c>
      <c r="I5486" s="341" t="str">
        <f t="shared" si="1407"/>
        <v/>
      </c>
      <c r="J5486" s="341" t="str">
        <f>IF(A5486="","",VLOOKUP(A5486,VII.A!$A$10:$D$199,3,FALSE))</f>
        <v/>
      </c>
      <c r="K5486" s="342" t="str">
        <f t="shared" si="1408"/>
        <v/>
      </c>
      <c r="L5486" s="380" t="str">
        <f>IF(C5486="","",G5483*C5486)</f>
        <v/>
      </c>
      <c r="M5486" s="381" t="str">
        <f>IF(A5486="","",VLOOKUP(A5486,VII.A!$A$10:$B$199,2,FALSE))</f>
        <v/>
      </c>
      <c r="N5486" s="342" t="str">
        <f t="shared" si="1409"/>
        <v/>
      </c>
      <c r="R5486" s="341"/>
      <c r="S5486" s="341"/>
    </row>
    <row r="5487" spans="1:25" ht="12.75" customHeight="1">
      <c r="A5487" s="385"/>
      <c r="B5487" s="386"/>
      <c r="C5487" s="20"/>
      <c r="D5487" s="342"/>
      <c r="E5487" s="387"/>
      <c r="F5487" s="388">
        <f t="shared" si="1410"/>
        <v>0</v>
      </c>
      <c r="H5487" s="341" t="str">
        <f>IF(A5487="","",VLOOKUP(A5487,VII.A!$A$10:$D$199,4,FALSE))</f>
        <v/>
      </c>
      <c r="I5487" s="341" t="str">
        <f t="shared" si="1407"/>
        <v/>
      </c>
      <c r="J5487" s="341" t="str">
        <f>IF(A5487="","",VLOOKUP(A5487,VII.A!$A$10:$D$199,3,FALSE))</f>
        <v/>
      </c>
      <c r="K5487" s="342" t="str">
        <f t="shared" si="1408"/>
        <v/>
      </c>
      <c r="L5487" s="380" t="str">
        <f>IF(C5487="","",G5483*C5487)</f>
        <v/>
      </c>
      <c r="M5487" s="381" t="str">
        <f>IF(A5487="","",VLOOKUP(A5487,VII.A!$A$10:$B$199,2,FALSE))</f>
        <v/>
      </c>
      <c r="N5487" s="342" t="str">
        <f t="shared" si="1409"/>
        <v/>
      </c>
      <c r="R5487" s="341"/>
      <c r="S5487" s="341"/>
    </row>
    <row r="5488" spans="1:25" ht="12.75" customHeight="1">
      <c r="A5488" s="385"/>
      <c r="B5488" s="386"/>
      <c r="C5488" s="20"/>
      <c r="D5488" s="342"/>
      <c r="E5488" s="387"/>
      <c r="F5488" s="388">
        <f t="shared" si="1410"/>
        <v>0</v>
      </c>
      <c r="H5488" s="341" t="str">
        <f>IF(A5488="","",VLOOKUP(A5488,VII.A!$A$10:$D$199,4,FALSE))</f>
        <v/>
      </c>
      <c r="I5488" s="341" t="str">
        <f t="shared" si="1407"/>
        <v/>
      </c>
      <c r="J5488" s="341" t="str">
        <f>IF(A5488="","",VLOOKUP(A5488,VII.A!$A$10:$D$199,3,FALSE))</f>
        <v/>
      </c>
      <c r="K5488" s="342" t="str">
        <f t="shared" si="1408"/>
        <v/>
      </c>
      <c r="L5488" s="380" t="str">
        <f>IF(C5488="","",G5483*C5488)</f>
        <v/>
      </c>
      <c r="M5488" s="381" t="str">
        <f>IF(A5488="","",VLOOKUP(A5488,VII.A!$A$10:$B$199,2,FALSE))</f>
        <v/>
      </c>
      <c r="N5488" s="342" t="str">
        <f t="shared" si="1409"/>
        <v/>
      </c>
      <c r="R5488" s="341"/>
      <c r="S5488" s="341"/>
    </row>
    <row r="5489" spans="1:21" ht="12.75" customHeight="1">
      <c r="A5489" s="385"/>
      <c r="B5489" s="386"/>
      <c r="C5489" s="20"/>
      <c r="D5489" s="342"/>
      <c r="E5489" s="387"/>
      <c r="F5489" s="388">
        <f t="shared" si="1410"/>
        <v>0</v>
      </c>
      <c r="H5489" s="341" t="str">
        <f>IF(A5489="","",VLOOKUP(A5489,VII.A!$A$10:$D$199,4,FALSE))</f>
        <v/>
      </c>
      <c r="I5489" s="341" t="str">
        <f t="shared" si="1407"/>
        <v/>
      </c>
      <c r="J5489" s="341" t="str">
        <f>IF(A5489="","",VLOOKUP(A5489,VII.A!$A$10:$D$199,3,FALSE))</f>
        <v/>
      </c>
      <c r="K5489" s="342" t="str">
        <f t="shared" si="1408"/>
        <v/>
      </c>
      <c r="L5489" s="380" t="str">
        <f>IF(C5489="","",G5483*C5489)</f>
        <v/>
      </c>
      <c r="M5489" s="381" t="str">
        <f>IF(A5489="","",VLOOKUP(A5489,VII.A!$A$10:$B$199,2,FALSE))</f>
        <v/>
      </c>
      <c r="N5489" s="342" t="str">
        <f t="shared" si="1409"/>
        <v/>
      </c>
      <c r="R5489" s="341"/>
      <c r="S5489" s="341"/>
    </row>
    <row r="5490" spans="1:21" ht="12.75" customHeight="1">
      <c r="A5490" s="385"/>
      <c r="B5490" s="386"/>
      <c r="C5490" s="20"/>
      <c r="D5490" s="342"/>
      <c r="E5490" s="387"/>
      <c r="F5490" s="388">
        <f t="shared" si="1410"/>
        <v>0</v>
      </c>
      <c r="H5490" s="341" t="str">
        <f>IF(A5490="","",VLOOKUP(A5490,VII.A!$A$10:$D$199,4,FALSE))</f>
        <v/>
      </c>
      <c r="I5490" s="341" t="str">
        <f t="shared" si="1407"/>
        <v/>
      </c>
      <c r="J5490" s="341" t="str">
        <f>IF(A5490="","",VLOOKUP(A5490,VII.A!$A$10:$D$199,3,FALSE))</f>
        <v/>
      </c>
      <c r="K5490" s="342" t="str">
        <f t="shared" si="1408"/>
        <v/>
      </c>
      <c r="L5490" s="380" t="str">
        <f>IF(C5490="","",G5483*C5490)</f>
        <v/>
      </c>
      <c r="M5490" s="381" t="str">
        <f>IF(A5490="","",VLOOKUP(A5490,VII.A!$A$10:$B$199,2,FALSE))</f>
        <v/>
      </c>
      <c r="N5490" s="342" t="str">
        <f t="shared" si="1409"/>
        <v/>
      </c>
      <c r="R5490" s="341"/>
      <c r="S5490" s="341"/>
      <c r="U5490" s="389"/>
    </row>
    <row r="5491" spans="1:21" ht="12.75" customHeight="1">
      <c r="A5491" s="385"/>
      <c r="B5491" s="386"/>
      <c r="C5491" s="20"/>
      <c r="D5491" s="342"/>
      <c r="E5491" s="387"/>
      <c r="F5491" s="388">
        <f t="shared" si="1410"/>
        <v>0</v>
      </c>
      <c r="H5491" s="341" t="str">
        <f>IF(A5491="","",VLOOKUP(A5491,VII.A!$A$10:$D$199,4,FALSE))</f>
        <v/>
      </c>
      <c r="I5491" s="341" t="str">
        <f t="shared" si="1407"/>
        <v/>
      </c>
      <c r="J5491" s="341" t="str">
        <f>IF(A5491="","",VLOOKUP(A5491,VII.A!$A$10:$D$199,3,FALSE))</f>
        <v/>
      </c>
      <c r="K5491" s="342" t="str">
        <f t="shared" si="1408"/>
        <v/>
      </c>
      <c r="L5491" s="380" t="str">
        <f>IF(C5491="","",G5483*C5491)</f>
        <v/>
      </c>
      <c r="M5491" s="381" t="str">
        <f>IF(A5491="","",VLOOKUP(A5491,VII.A!$A$10:$B$199,2,FALSE))</f>
        <v/>
      </c>
      <c r="N5491" s="342" t="str">
        <f t="shared" si="1409"/>
        <v/>
      </c>
      <c r="R5491" s="341"/>
      <c r="S5491" s="341"/>
    </row>
    <row r="5492" spans="1:21" ht="12.75" customHeight="1">
      <c r="A5492" s="385"/>
      <c r="B5492" s="386"/>
      <c r="C5492" s="20"/>
      <c r="D5492" s="342"/>
      <c r="E5492" s="387"/>
      <c r="F5492" s="388">
        <f t="shared" si="1410"/>
        <v>0</v>
      </c>
      <c r="G5492" s="390"/>
      <c r="H5492" s="341" t="str">
        <f>IF(A5492="","",VLOOKUP(A5492,VII.A!$A$10:$D$199,4,FALSE))</f>
        <v/>
      </c>
      <c r="I5492" s="341" t="str">
        <f t="shared" si="1407"/>
        <v/>
      </c>
      <c r="J5492" s="341" t="str">
        <f>IF(A5492="","",VLOOKUP(A5492,VII.A!$A$10:$D$199,3,FALSE))</f>
        <v/>
      </c>
      <c r="K5492" s="342" t="str">
        <f t="shared" si="1408"/>
        <v/>
      </c>
      <c r="L5492" s="380" t="str">
        <f>IF(C5492="","",G5483*C5492)</f>
        <v/>
      </c>
      <c r="M5492" s="381" t="str">
        <f>IF(A5492="","",VLOOKUP(A5492,VII.A!$A$10:$B$199,2,FALSE))</f>
        <v/>
      </c>
      <c r="N5492" s="342" t="str">
        <f t="shared" si="1409"/>
        <v/>
      </c>
      <c r="R5492" s="341"/>
      <c r="S5492" s="341"/>
    </row>
    <row r="5493" spans="1:21" ht="12.75" customHeight="1">
      <c r="A5493" s="385"/>
      <c r="B5493" s="386"/>
      <c r="C5493" s="20"/>
      <c r="D5493" s="342"/>
      <c r="E5493" s="387"/>
      <c r="F5493" s="388">
        <f t="shared" si="1410"/>
        <v>0</v>
      </c>
      <c r="G5493" s="390"/>
      <c r="H5493" s="341" t="str">
        <f>IF(A5493="","",VLOOKUP(A5493,VII.A!$A$10:$D$199,4,FALSE))</f>
        <v/>
      </c>
      <c r="I5493" s="341" t="str">
        <f t="shared" si="1407"/>
        <v/>
      </c>
      <c r="J5493" s="341" t="str">
        <f>IF(A5493="","",VLOOKUP(A5493,VII.A!$A$10:$D$199,3,FALSE))</f>
        <v/>
      </c>
      <c r="K5493" s="342" t="str">
        <f t="shared" si="1408"/>
        <v/>
      </c>
      <c r="L5493" s="380" t="str">
        <f>IF(C5493="","",G5483*C5493)</f>
        <v/>
      </c>
      <c r="M5493" s="381" t="str">
        <f>IF(A5493="","",VLOOKUP(A5493,VII.A!$A$10:$B$199,2,FALSE))</f>
        <v/>
      </c>
      <c r="N5493" s="342" t="str">
        <f t="shared" si="1409"/>
        <v/>
      </c>
      <c r="R5493" s="341"/>
      <c r="S5493" s="341"/>
    </row>
    <row r="5494" spans="1:21" ht="12.75" customHeight="1">
      <c r="A5494" s="385"/>
      <c r="B5494" s="386"/>
      <c r="C5494" s="20"/>
      <c r="D5494" s="342"/>
      <c r="E5494" s="387"/>
      <c r="F5494" s="388">
        <f t="shared" si="1410"/>
        <v>0</v>
      </c>
      <c r="G5494" s="391"/>
      <c r="H5494" s="341" t="str">
        <f>IF(A5494="","",VLOOKUP(A5494,VII.A!$A$10:$D$199,4,FALSE))</f>
        <v/>
      </c>
      <c r="I5494" s="341" t="str">
        <f t="shared" si="1407"/>
        <v/>
      </c>
      <c r="J5494" s="341" t="str">
        <f>IF(A5494="","",VLOOKUP(A5494,VII.A!$A$10:$D$199,3,FALSE))</f>
        <v/>
      </c>
      <c r="K5494" s="342" t="str">
        <f t="shared" si="1408"/>
        <v/>
      </c>
      <c r="L5494" s="380" t="str">
        <f>IF(C5494="","",G5483*C5494)</f>
        <v/>
      </c>
      <c r="M5494" s="381" t="str">
        <f>IF(A5494="","",VLOOKUP(A5494,VII.A!$A$10:$B$199,2,FALSE))</f>
        <v/>
      </c>
      <c r="N5494" s="342" t="str">
        <f t="shared" si="1409"/>
        <v/>
      </c>
      <c r="R5494" s="341"/>
      <c r="S5494" s="341"/>
    </row>
    <row r="5495" spans="1:21" ht="12.75" customHeight="1">
      <c r="A5495" s="385"/>
      <c r="B5495" s="386"/>
      <c r="C5495" s="20"/>
      <c r="D5495" s="342"/>
      <c r="E5495" s="387"/>
      <c r="F5495" s="388">
        <f t="shared" si="1410"/>
        <v>0</v>
      </c>
      <c r="H5495" s="341" t="str">
        <f>IF(A5495="","",VLOOKUP(A5495,VII.A!$A$10:$D$199,4,FALSE))</f>
        <v/>
      </c>
      <c r="I5495" s="341" t="str">
        <f t="shared" si="1407"/>
        <v/>
      </c>
      <c r="J5495" s="341" t="str">
        <f>IF(A5495="","",VLOOKUP(A5495,VII.A!$A$10:$D$199,3,FALSE))</f>
        <v/>
      </c>
      <c r="K5495" s="342" t="str">
        <f t="shared" si="1408"/>
        <v/>
      </c>
      <c r="L5495" s="380" t="str">
        <f>IF(C5495="","",G5483*C5495)</f>
        <v/>
      </c>
      <c r="M5495" s="381" t="str">
        <f>IF(A5495="","",VLOOKUP(A5495,VII.A!$A$10:$B$199,2,FALSE))</f>
        <v/>
      </c>
      <c r="N5495" s="342" t="str">
        <f t="shared" si="1409"/>
        <v/>
      </c>
      <c r="R5495" s="341"/>
      <c r="S5495" s="341"/>
    </row>
    <row r="5496" spans="1:21" ht="12.75" customHeight="1">
      <c r="A5496" s="385"/>
      <c r="B5496" s="386"/>
      <c r="C5496" s="20"/>
      <c r="D5496" s="392"/>
      <c r="E5496" s="387"/>
      <c r="F5496" s="388">
        <f t="shared" si="1410"/>
        <v>0</v>
      </c>
      <c r="H5496" s="341" t="str">
        <f>IF(A5496="","",VLOOKUP(A5496,VII.A!$A$10:$D$199,4,FALSE))</f>
        <v/>
      </c>
      <c r="I5496" s="341" t="str">
        <f t="shared" si="1407"/>
        <v/>
      </c>
      <c r="J5496" s="341" t="str">
        <f>IF(A5496="","",VLOOKUP(A5496,VII.A!$A$10:$D$199,3,FALSE))</f>
        <v/>
      </c>
      <c r="K5496" s="342" t="str">
        <f t="shared" si="1408"/>
        <v/>
      </c>
      <c r="L5496" s="380" t="str">
        <f>IF(C5496="","",G5483*C5496)</f>
        <v/>
      </c>
      <c r="M5496" s="381" t="str">
        <f>IF(A5496="","",VLOOKUP(A5496,VII.A!$A$10:$B$199,2,FALSE))</f>
        <v/>
      </c>
      <c r="N5496" s="342" t="str">
        <f t="shared" si="1409"/>
        <v/>
      </c>
      <c r="R5496" s="341"/>
      <c r="S5496" s="341"/>
    </row>
    <row r="5497" spans="1:21" ht="12.75" customHeight="1">
      <c r="A5497" s="385"/>
      <c r="B5497" s="386"/>
      <c r="C5497" s="20"/>
      <c r="D5497" s="392"/>
      <c r="E5497" s="387"/>
      <c r="F5497" s="388">
        <f t="shared" si="1410"/>
        <v>0</v>
      </c>
      <c r="H5497" s="341" t="str">
        <f>IF(A5497="","",VLOOKUP(A5497,VII.A!$A$10:$D$199,4,FALSE))</f>
        <v/>
      </c>
      <c r="I5497" s="341" t="str">
        <f t="shared" si="1407"/>
        <v/>
      </c>
      <c r="J5497" s="341" t="str">
        <f>IF(A5497="","",VLOOKUP(A5497,VII.A!$A$10:$D$199,3,FALSE))</f>
        <v/>
      </c>
      <c r="K5497" s="342" t="str">
        <f t="shared" si="1408"/>
        <v/>
      </c>
      <c r="L5497" s="380" t="str">
        <f>IF(C5497="","",G5483*C5497)</f>
        <v/>
      </c>
      <c r="M5497" s="381" t="str">
        <f>IF(A5497="","",VLOOKUP(A5497,VII.A!$A$10:$B$199,2,FALSE))</f>
        <v/>
      </c>
      <c r="N5497" s="342" t="str">
        <f t="shared" si="1409"/>
        <v/>
      </c>
      <c r="O5497" s="342"/>
      <c r="R5497" s="341"/>
      <c r="S5497" s="341"/>
    </row>
    <row r="5498" spans="1:21" ht="12.75" customHeight="1">
      <c r="A5498" s="385"/>
      <c r="B5498" s="386"/>
      <c r="C5498" s="20"/>
      <c r="D5498" s="392"/>
      <c r="E5498" s="387"/>
      <c r="F5498" s="388">
        <f t="shared" si="1410"/>
        <v>0</v>
      </c>
      <c r="H5498" s="341" t="str">
        <f>IF(A5498="","",VLOOKUP(A5498,VII.A!$A$10:$D$199,4,FALSE))</f>
        <v/>
      </c>
      <c r="I5498" s="341" t="str">
        <f t="shared" si="1407"/>
        <v/>
      </c>
      <c r="J5498" s="341" t="str">
        <f>IF(A5498="","",VLOOKUP(A5498,VII.A!$A$10:$D$199,3,FALSE))</f>
        <v/>
      </c>
      <c r="K5498" s="342" t="str">
        <f t="shared" si="1408"/>
        <v/>
      </c>
      <c r="L5498" s="380" t="str">
        <f>IF(C5498="","",G5483*C5498)</f>
        <v/>
      </c>
      <c r="M5498" s="381" t="str">
        <f>IF(A5498="","",VLOOKUP(A5498,VII.A!$A$10:$B$199,2,FALSE))</f>
        <v/>
      </c>
      <c r="N5498" s="342" t="str">
        <f t="shared" si="1409"/>
        <v/>
      </c>
      <c r="R5498" s="341"/>
      <c r="S5498" s="341"/>
    </row>
    <row r="5499" spans="1:21" ht="12.75" customHeight="1">
      <c r="A5499" s="393"/>
      <c r="C5499" s="20"/>
      <c r="E5499" s="387"/>
      <c r="F5499" s="388">
        <f t="shared" si="1410"/>
        <v>0</v>
      </c>
      <c r="H5499" s="341" t="str">
        <f>IF(A5499="","",VLOOKUP(A5499,VII.A!$A$10:$D$199,4,FALSE))</f>
        <v/>
      </c>
      <c r="I5499" s="341" t="str">
        <f t="shared" si="1407"/>
        <v/>
      </c>
      <c r="J5499" s="341" t="str">
        <f>IF(A5499="","",VLOOKUP(A5499,VII.A!$A$10:$D$199,3,FALSE))</f>
        <v/>
      </c>
      <c r="K5499" s="342" t="str">
        <f t="shared" si="1408"/>
        <v/>
      </c>
      <c r="L5499" s="380" t="str">
        <f>IF(C5499="","",G5483*C5499)</f>
        <v/>
      </c>
      <c r="M5499" s="381" t="str">
        <f>IF(A5499="","",VLOOKUP(A5499,VII.A!$A$10:$B$199,2,FALSE))</f>
        <v/>
      </c>
      <c r="N5499" s="342" t="str">
        <f t="shared" si="1409"/>
        <v/>
      </c>
      <c r="R5499" s="341"/>
      <c r="S5499" s="341"/>
    </row>
    <row r="5500" spans="1:21" ht="12.75" customHeight="1">
      <c r="A5500" s="393"/>
      <c r="C5500" s="20"/>
      <c r="E5500" s="387"/>
      <c r="F5500" s="388">
        <f t="shared" si="1410"/>
        <v>0</v>
      </c>
      <c r="H5500" s="341" t="str">
        <f>IF(A5500="","",VLOOKUP(A5500,VII.A!$A$10:$D$199,4,FALSE))</f>
        <v/>
      </c>
      <c r="I5500" s="341" t="str">
        <f t="shared" si="1407"/>
        <v/>
      </c>
      <c r="J5500" s="341" t="str">
        <f>IF(A5500="","",VLOOKUP(A5500,VII.A!$A$10:$D$199,3,FALSE))</f>
        <v/>
      </c>
      <c r="K5500" s="342" t="str">
        <f t="shared" si="1408"/>
        <v/>
      </c>
      <c r="L5500" s="380" t="str">
        <f>IF(C5500="","",G5483*C5500)</f>
        <v/>
      </c>
      <c r="M5500" s="381" t="str">
        <f>IF(A5500="","",VLOOKUP(A5500,VII.A!$A$10:$B$199,2,FALSE))</f>
        <v/>
      </c>
      <c r="N5500" s="342" t="str">
        <f t="shared" si="1409"/>
        <v/>
      </c>
      <c r="R5500" s="341"/>
      <c r="S5500" s="341"/>
    </row>
    <row r="5501" spans="1:21" ht="12.75" customHeight="1">
      <c r="A5501" s="393"/>
      <c r="B5501" s="395" t="s">
        <v>226</v>
      </c>
      <c r="C5501" s="396"/>
      <c r="D5501" s="397"/>
      <c r="E5501" s="398"/>
      <c r="F5501" s="399">
        <f>SUM(F5485:F5500)</f>
        <v>0</v>
      </c>
      <c r="H5501" s="426" t="s">
        <v>397</v>
      </c>
      <c r="J5501" s="341"/>
      <c r="L5501" s="380"/>
      <c r="M5501" s="381"/>
      <c r="N5501" s="342"/>
      <c r="R5501" s="341"/>
      <c r="S5501" s="341"/>
    </row>
    <row r="5502" spans="1:21" ht="12.75" customHeight="1">
      <c r="A5502" s="393"/>
      <c r="B5502" s="400" t="s">
        <v>53</v>
      </c>
      <c r="C5502" s="2">
        <f>$D$8</f>
        <v>0</v>
      </c>
      <c r="D5502" s="401"/>
      <c r="E5502" s="402"/>
      <c r="F5502" s="403">
        <f>ROUND(F5501*C5502,2)</f>
        <v>0</v>
      </c>
      <c r="J5502" s="341"/>
      <c r="L5502" s="380"/>
      <c r="M5502" s="381"/>
      <c r="N5502" s="342"/>
      <c r="R5502" s="341"/>
      <c r="S5502" s="341"/>
    </row>
    <row r="5503" spans="1:21" ht="12.75" customHeight="1">
      <c r="A5503" s="404"/>
      <c r="B5503" s="405" t="s">
        <v>227</v>
      </c>
      <c r="C5503" s="406"/>
      <c r="D5503" s="406"/>
      <c r="E5503" s="407"/>
      <c r="F5503" s="408">
        <f>F5501+F5502</f>
        <v>0</v>
      </c>
      <c r="J5503" s="341"/>
      <c r="L5503" s="380"/>
      <c r="M5503" s="381"/>
      <c r="N5503" s="342"/>
      <c r="R5503" s="341"/>
      <c r="S5503" s="341"/>
    </row>
    <row r="5504" spans="1:21" ht="12.75" customHeight="1">
      <c r="A5504" s="374" t="s">
        <v>2</v>
      </c>
      <c r="B5504" s="375" t="s">
        <v>235</v>
      </c>
      <c r="C5504" s="376" t="s">
        <v>231</v>
      </c>
      <c r="D5504" s="376" t="s">
        <v>232</v>
      </c>
      <c r="E5504" s="377" t="s">
        <v>233</v>
      </c>
      <c r="F5504" s="378" t="s">
        <v>234</v>
      </c>
      <c r="J5504" s="341"/>
      <c r="L5504" s="380"/>
      <c r="M5504" s="381"/>
      <c r="N5504" s="342"/>
      <c r="R5504" s="341"/>
      <c r="S5504" s="341"/>
    </row>
    <row r="5505" spans="1:19" ht="12.75" customHeight="1">
      <c r="A5505" s="393" t="str">
        <f>VII.A!$A$143</f>
        <v>2.1</v>
      </c>
      <c r="B5505" s="423" t="str">
        <f>VLOOKUP(A5505,VII.A!$A$10:$G$199,2,FALSE)</f>
        <v>ANDAIME METÁLICO TUBULAR DE ENCAIXE TIPO TORRE - LARGURA ATÉ 1,5M X ALTURA = 1,0M, INCLUINDO SAPATAS FIXAS OU RODÍZIOS</v>
      </c>
      <c r="C5505" s="20">
        <v>1</v>
      </c>
      <c r="D5505" s="384" t="str">
        <f>VLOOKUP(A5505,VII.A!$A$10:$G$199,3,FALSE)</f>
        <v>MxMÊS</v>
      </c>
      <c r="E5505" s="387">
        <f>VII.A!$D$143</f>
        <v>0</v>
      </c>
      <c r="F5505" s="388">
        <f t="shared" ref="F5505:F5514" si="1411">ROUND(C5505*E5505,2)</f>
        <v>0</v>
      </c>
      <c r="H5505" s="341">
        <f>IF(A5505="","",VLOOKUP(A5505,VII.A!$A$10:$D$199,4,FALSE))</f>
        <v>0</v>
      </c>
      <c r="I5505" s="341" t="str">
        <f t="shared" ref="I5505:I5514" si="1412">IF(A5505="","",IF(E5505=H5505,"SIM","NÃO"))</f>
        <v>SIM</v>
      </c>
      <c r="J5505" s="341" t="str">
        <f>IF(A5505="","",VLOOKUP(A5505,VII.A!$A$10:$D$199,3,FALSE))</f>
        <v>MxMÊS</v>
      </c>
      <c r="K5505" s="342" t="str">
        <f t="shared" ref="K5505:K5514" si="1413">IF(A5505="","",IF(J5505=D5505,"SIM","NÃO"))</f>
        <v>SIM</v>
      </c>
      <c r="L5505" s="380">
        <f>IF(C5505="","",G5483*C5505)</f>
        <v>2000</v>
      </c>
      <c r="M5505" s="381" t="str">
        <f>IF(A5505="","",VLOOKUP(A5505,VII.A!$A$10:$B$199,2,FALSE))</f>
        <v>ANDAIME METÁLICO TUBULAR DE ENCAIXE TIPO TORRE - LARGURA ATÉ 1,5M X ALTURA = 1,0M, INCLUINDO SAPATAS FIXAS OU RODÍZIOS</v>
      </c>
      <c r="N5505" s="342" t="str">
        <f t="shared" ref="N5505:N5514" si="1414">IF(B5505="","",IF(M5505=B5505,"si","no"))</f>
        <v>si</v>
      </c>
      <c r="R5505" s="341"/>
      <c r="S5505" s="341"/>
    </row>
    <row r="5506" spans="1:19" ht="12.75" customHeight="1">
      <c r="A5506" s="393"/>
      <c r="C5506" s="20"/>
      <c r="E5506" s="387"/>
      <c r="F5506" s="388">
        <f t="shared" si="1411"/>
        <v>0</v>
      </c>
      <c r="H5506" s="341" t="str">
        <f>IF(A5506="","",VLOOKUP(A5506,VII.A!$A$10:$D$199,4,FALSE))</f>
        <v/>
      </c>
      <c r="I5506" s="341" t="str">
        <f t="shared" si="1412"/>
        <v/>
      </c>
      <c r="J5506" s="341" t="str">
        <f>IF(A5506="","",VLOOKUP(A5506,VII.A!$A$10:$D$199,3,FALSE))</f>
        <v/>
      </c>
      <c r="K5506" s="342" t="str">
        <f t="shared" si="1413"/>
        <v/>
      </c>
      <c r="L5506" s="380" t="str">
        <f>IF(C5506="","",G5483*C5506)</f>
        <v/>
      </c>
      <c r="M5506" s="381" t="str">
        <f>IF(A5506="","",VLOOKUP(A5506,VII.A!$A$10:$B$199,2,FALSE))</f>
        <v/>
      </c>
      <c r="N5506" s="342" t="str">
        <f t="shared" si="1414"/>
        <v/>
      </c>
      <c r="R5506" s="341"/>
      <c r="S5506" s="341"/>
    </row>
    <row r="5507" spans="1:19" ht="12.75" customHeight="1">
      <c r="A5507" s="393"/>
      <c r="C5507" s="20"/>
      <c r="E5507" s="387"/>
      <c r="F5507" s="388">
        <f t="shared" si="1411"/>
        <v>0</v>
      </c>
      <c r="H5507" s="341" t="str">
        <f>IF(A5507="","",VLOOKUP(A5507,VII.A!$A$10:$D$199,4,FALSE))</f>
        <v/>
      </c>
      <c r="I5507" s="341" t="str">
        <f t="shared" si="1412"/>
        <v/>
      </c>
      <c r="J5507" s="341" t="str">
        <f>IF(A5507="","",VLOOKUP(A5507,VII.A!$A$10:$D$199,3,FALSE))</f>
        <v/>
      </c>
      <c r="K5507" s="342" t="str">
        <f t="shared" si="1413"/>
        <v/>
      </c>
      <c r="L5507" s="380" t="str">
        <f>IF(C5507="","",G5483*C5507)</f>
        <v/>
      </c>
      <c r="M5507" s="381" t="str">
        <f>IF(A5507="","",VLOOKUP(A5507,VII.A!$A$10:$B$199,2,FALSE))</f>
        <v/>
      </c>
      <c r="N5507" s="342" t="str">
        <f t="shared" si="1414"/>
        <v/>
      </c>
      <c r="R5507" s="341"/>
      <c r="S5507" s="341"/>
    </row>
    <row r="5508" spans="1:19" ht="12.75" customHeight="1">
      <c r="A5508" s="393"/>
      <c r="C5508" s="20"/>
      <c r="E5508" s="387"/>
      <c r="F5508" s="388">
        <f t="shared" si="1411"/>
        <v>0</v>
      </c>
      <c r="H5508" s="341" t="str">
        <f>IF(A5508="","",VLOOKUP(A5508,VII.A!$A$10:$D$199,4,FALSE))</f>
        <v/>
      </c>
      <c r="I5508" s="341" t="str">
        <f t="shared" si="1412"/>
        <v/>
      </c>
      <c r="J5508" s="341" t="str">
        <f>IF(A5508="","",VLOOKUP(A5508,VII.A!$A$10:$D$199,3,FALSE))</f>
        <v/>
      </c>
      <c r="K5508" s="342" t="str">
        <f t="shared" si="1413"/>
        <v/>
      </c>
      <c r="L5508" s="380" t="str">
        <f>IF(C5508="","",G5483*C5508)</f>
        <v/>
      </c>
      <c r="M5508" s="381" t="str">
        <f>IF(A5508="","",VLOOKUP(A5508,VII.A!$A$10:$B$199,2,FALSE))</f>
        <v/>
      </c>
      <c r="N5508" s="342" t="str">
        <f t="shared" si="1414"/>
        <v/>
      </c>
      <c r="R5508" s="341"/>
      <c r="S5508" s="341"/>
    </row>
    <row r="5509" spans="1:19" ht="12.75" customHeight="1">
      <c r="A5509" s="393"/>
      <c r="C5509" s="20"/>
      <c r="E5509" s="387"/>
      <c r="F5509" s="388">
        <f t="shared" si="1411"/>
        <v>0</v>
      </c>
      <c r="G5509" s="390"/>
      <c r="H5509" s="341" t="str">
        <f>IF(A5509="","",VLOOKUP(A5509,VII.A!$A$10:$D$199,4,FALSE))</f>
        <v/>
      </c>
      <c r="I5509" s="341" t="str">
        <f t="shared" si="1412"/>
        <v/>
      </c>
      <c r="J5509" s="341" t="str">
        <f>IF(A5509="","",VLOOKUP(A5509,VII.A!$A$10:$D$199,3,FALSE))</f>
        <v/>
      </c>
      <c r="K5509" s="342" t="str">
        <f t="shared" si="1413"/>
        <v/>
      </c>
      <c r="L5509" s="380" t="str">
        <f>IF(C5509="","",G5483*C5509)</f>
        <v/>
      </c>
      <c r="M5509" s="381" t="str">
        <f>IF(A5509="","",VLOOKUP(A5509,VII.A!$A$10:$B$199,2,FALSE))</f>
        <v/>
      </c>
      <c r="N5509" s="342" t="str">
        <f t="shared" si="1414"/>
        <v/>
      </c>
      <c r="R5509" s="341"/>
      <c r="S5509" s="341"/>
    </row>
    <row r="5510" spans="1:19" ht="12.75" customHeight="1">
      <c r="A5510" s="393"/>
      <c r="C5510" s="20"/>
      <c r="E5510" s="387"/>
      <c r="F5510" s="388">
        <f t="shared" si="1411"/>
        <v>0</v>
      </c>
      <c r="G5510" s="391"/>
      <c r="H5510" s="341" t="str">
        <f>IF(A5510="","",VLOOKUP(A5510,VII.A!$A$10:$D$199,4,FALSE))</f>
        <v/>
      </c>
      <c r="I5510" s="341" t="str">
        <f t="shared" si="1412"/>
        <v/>
      </c>
      <c r="J5510" s="341" t="str">
        <f>IF(A5510="","",VLOOKUP(A5510,VII.A!$A$10:$D$199,3,FALSE))</f>
        <v/>
      </c>
      <c r="K5510" s="342" t="str">
        <f t="shared" si="1413"/>
        <v/>
      </c>
      <c r="L5510" s="380" t="str">
        <f>IF(C5510="","",G5483*C5510)</f>
        <v/>
      </c>
      <c r="M5510" s="381" t="str">
        <f>IF(A5510="","",VLOOKUP(A5510,VII.A!$A$10:$B$199,2,FALSE))</f>
        <v/>
      </c>
      <c r="N5510" s="342" t="str">
        <f t="shared" si="1414"/>
        <v/>
      </c>
      <c r="R5510" s="341"/>
      <c r="S5510" s="341"/>
    </row>
    <row r="5511" spans="1:19" ht="12.75" customHeight="1">
      <c r="A5511" s="393"/>
      <c r="C5511" s="20"/>
      <c r="E5511" s="387"/>
      <c r="F5511" s="388">
        <f t="shared" si="1411"/>
        <v>0</v>
      </c>
      <c r="H5511" s="341" t="str">
        <f>IF(A5511="","",VLOOKUP(A5511,VII.A!$A$10:$D$199,4,FALSE))</f>
        <v/>
      </c>
      <c r="I5511" s="341" t="str">
        <f t="shared" si="1412"/>
        <v/>
      </c>
      <c r="J5511" s="341" t="str">
        <f>IF(A5511="","",VLOOKUP(A5511,VII.A!$A$10:$D$199,3,FALSE))</f>
        <v/>
      </c>
      <c r="K5511" s="342" t="str">
        <f t="shared" si="1413"/>
        <v/>
      </c>
      <c r="L5511" s="380" t="str">
        <f>IF(C5511="","",G5483*C5511)</f>
        <v/>
      </c>
      <c r="M5511" s="381" t="str">
        <f>IF(A5511="","",VLOOKUP(A5511,VII.A!$A$10:$B$199,2,FALSE))</f>
        <v/>
      </c>
      <c r="N5511" s="342" t="str">
        <f t="shared" si="1414"/>
        <v/>
      </c>
      <c r="R5511" s="341"/>
      <c r="S5511" s="341"/>
    </row>
    <row r="5512" spans="1:19" ht="12.75" customHeight="1">
      <c r="A5512" s="393"/>
      <c r="C5512" s="20"/>
      <c r="E5512" s="387"/>
      <c r="F5512" s="388">
        <f t="shared" si="1411"/>
        <v>0</v>
      </c>
      <c r="H5512" s="341" t="str">
        <f>IF(A5512="","",VLOOKUP(A5512,VII.A!$A$10:$D$199,4,FALSE))</f>
        <v/>
      </c>
      <c r="I5512" s="341" t="str">
        <f t="shared" si="1412"/>
        <v/>
      </c>
      <c r="J5512" s="341" t="str">
        <f>IF(A5512="","",VLOOKUP(A5512,VII.A!$A$10:$D$199,3,FALSE))</f>
        <v/>
      </c>
      <c r="K5512" s="342" t="str">
        <f t="shared" si="1413"/>
        <v/>
      </c>
      <c r="L5512" s="380" t="str">
        <f>IF(C5512="","",G5483*C5512)</f>
        <v/>
      </c>
      <c r="M5512" s="381" t="str">
        <f>IF(A5512="","",VLOOKUP(A5512,VII.A!$A$10:$B$199,2,FALSE))</f>
        <v/>
      </c>
      <c r="N5512" s="342" t="str">
        <f t="shared" si="1414"/>
        <v/>
      </c>
      <c r="R5512" s="341"/>
      <c r="S5512" s="341"/>
    </row>
    <row r="5513" spans="1:19" ht="12.75" customHeight="1">
      <c r="A5513" s="393"/>
      <c r="C5513" s="20"/>
      <c r="E5513" s="387"/>
      <c r="F5513" s="388">
        <f t="shared" si="1411"/>
        <v>0</v>
      </c>
      <c r="H5513" s="341" t="str">
        <f>IF(A5513="","",VLOOKUP(A5513,VII.A!$A$10:$D$199,4,FALSE))</f>
        <v/>
      </c>
      <c r="I5513" s="341" t="str">
        <f t="shared" si="1412"/>
        <v/>
      </c>
      <c r="J5513" s="341" t="str">
        <f>IF(A5513="","",VLOOKUP(A5513,VII.A!$A$10:$D$199,3,FALSE))</f>
        <v/>
      </c>
      <c r="K5513" s="342" t="str">
        <f t="shared" si="1413"/>
        <v/>
      </c>
      <c r="L5513" s="380" t="str">
        <f>IF(C5513="","",G5483*C5513)</f>
        <v/>
      </c>
      <c r="M5513" s="381" t="str">
        <f>IF(A5513="","",VLOOKUP(A5513,VII.A!$A$10:$B$199,2,FALSE))</f>
        <v/>
      </c>
      <c r="N5513" s="342" t="str">
        <f t="shared" si="1414"/>
        <v/>
      </c>
      <c r="R5513" s="341"/>
      <c r="S5513" s="341"/>
    </row>
    <row r="5514" spans="1:19" ht="12.75" customHeight="1">
      <c r="A5514" s="393"/>
      <c r="C5514" s="20"/>
      <c r="E5514" s="387"/>
      <c r="F5514" s="388">
        <f t="shared" si="1411"/>
        <v>0</v>
      </c>
      <c r="H5514" s="341" t="str">
        <f>IF(A5514="","",VLOOKUP(A5514,VII.A!$A$10:$D$199,4,FALSE))</f>
        <v/>
      </c>
      <c r="I5514" s="341" t="str">
        <f t="shared" si="1412"/>
        <v/>
      </c>
      <c r="J5514" s="341" t="str">
        <f>IF(A5514="","",VLOOKUP(A5514,VII.A!$A$10:$D$199,3,FALSE))</f>
        <v/>
      </c>
      <c r="K5514" s="342" t="str">
        <f t="shared" si="1413"/>
        <v/>
      </c>
      <c r="L5514" s="380" t="str">
        <f>IF(C5514="","",G5483*C5514)</f>
        <v/>
      </c>
      <c r="M5514" s="381" t="str">
        <f>IF(A5514="","",VLOOKUP(A5514,VII.A!$A$10:$B$199,2,FALSE))</f>
        <v/>
      </c>
      <c r="N5514" s="342" t="str">
        <f t="shared" si="1414"/>
        <v/>
      </c>
      <c r="R5514" s="341"/>
      <c r="S5514" s="341"/>
    </row>
    <row r="5515" spans="1:19" ht="12.75" customHeight="1">
      <c r="A5515" s="393"/>
      <c r="B5515" s="395" t="s">
        <v>226</v>
      </c>
      <c r="C5515" s="396"/>
      <c r="D5515" s="397"/>
      <c r="E5515" s="398"/>
      <c r="F5515" s="399">
        <f>SUM(F5505:F5514)</f>
        <v>0</v>
      </c>
      <c r="J5515" s="341"/>
      <c r="L5515" s="380"/>
      <c r="M5515" s="381"/>
      <c r="N5515" s="342"/>
      <c r="R5515" s="341"/>
      <c r="S5515" s="341"/>
    </row>
    <row r="5516" spans="1:19" ht="12.75" customHeight="1">
      <c r="A5516" s="393"/>
      <c r="B5516" s="400" t="s">
        <v>53</v>
      </c>
      <c r="C5516" s="2">
        <f>$D$8</f>
        <v>0</v>
      </c>
      <c r="D5516" s="401"/>
      <c r="E5516" s="402"/>
      <c r="F5516" s="403">
        <f>ROUND(C5516*F5515,2)</f>
        <v>0</v>
      </c>
      <c r="J5516" s="341"/>
      <c r="L5516" s="380"/>
      <c r="M5516" s="381"/>
      <c r="N5516" s="342"/>
      <c r="R5516" s="341"/>
      <c r="S5516" s="341"/>
    </row>
    <row r="5517" spans="1:19" ht="12.75" customHeight="1">
      <c r="A5517" s="404"/>
      <c r="B5517" s="405" t="s">
        <v>228</v>
      </c>
      <c r="C5517" s="406"/>
      <c r="D5517" s="406"/>
      <c r="E5517" s="407"/>
      <c r="F5517" s="408">
        <f>F5515+F5516</f>
        <v>0</v>
      </c>
      <c r="J5517" s="341"/>
      <c r="L5517" s="380"/>
      <c r="M5517" s="381"/>
      <c r="N5517" s="342"/>
      <c r="R5517" s="341"/>
      <c r="S5517" s="341"/>
    </row>
    <row r="5518" spans="1:19" ht="12.75" customHeight="1">
      <c r="A5518" s="409" t="s">
        <v>47</v>
      </c>
      <c r="B5518" s="410" t="s">
        <v>236</v>
      </c>
      <c r="C5518" s="411" t="s">
        <v>231</v>
      </c>
      <c r="D5518" s="412" t="s">
        <v>232</v>
      </c>
      <c r="E5518" s="413" t="s">
        <v>233</v>
      </c>
      <c r="F5518" s="378" t="s">
        <v>234</v>
      </c>
      <c r="J5518" s="341"/>
      <c r="L5518" s="380"/>
      <c r="M5518" s="381"/>
      <c r="N5518" s="342"/>
      <c r="R5518" s="341"/>
      <c r="S5518" s="341"/>
    </row>
    <row r="5519" spans="1:19" ht="12.75" customHeight="1">
      <c r="A5519" s="393"/>
      <c r="C5519" s="20"/>
      <c r="E5519" s="387"/>
      <c r="F5519" s="388">
        <f t="shared" ref="F5519:F5525" si="1415">ROUND(C5519*E5519,2)</f>
        <v>0</v>
      </c>
      <c r="H5519" s="341" t="str">
        <f>IF(A5519="","",VLOOKUP(A5519,VII.A!$A$10:$D$199,4,FALSE))</f>
        <v/>
      </c>
      <c r="I5519" s="341" t="str">
        <f t="shared" ref="I5519:I5525" si="1416">IF(A5519="","",IF(E5519=H5519,"SIM","NÃO"))</f>
        <v/>
      </c>
      <c r="J5519" s="341" t="str">
        <f>IF(A5519="","",VLOOKUP(A5519,VII.A!$A$10:$D$199,3,FALSE))</f>
        <v/>
      </c>
      <c r="K5519" s="342" t="str">
        <f t="shared" ref="K5519:K5525" si="1417">IF(A5519="","",IF(J5519=D5519,"SIM","NÃO"))</f>
        <v/>
      </c>
      <c r="L5519" s="380" t="str">
        <f>IF(C5519="","",G5483*C5519)</f>
        <v/>
      </c>
      <c r="M5519" s="381" t="str">
        <f>IF(A5519="","",VLOOKUP(A5519,VII.A!$A$10:$B$199,2,FALSE))</f>
        <v/>
      </c>
      <c r="N5519" s="342" t="str">
        <f t="shared" ref="N5519:N5525" si="1418">IF(B5519="","",IF(M5519=B5519,"si","no"))</f>
        <v/>
      </c>
      <c r="R5519" s="341"/>
      <c r="S5519" s="341"/>
    </row>
    <row r="5520" spans="1:19" ht="12.75" customHeight="1">
      <c r="A5520" s="393"/>
      <c r="C5520" s="20"/>
      <c r="E5520" s="387"/>
      <c r="F5520" s="388">
        <f t="shared" si="1415"/>
        <v>0</v>
      </c>
      <c r="H5520" s="341" t="str">
        <f>IF(A5520="","",VLOOKUP(A5520,VII.A!$A$10:$D$199,4,FALSE))</f>
        <v/>
      </c>
      <c r="I5520" s="341" t="str">
        <f t="shared" si="1416"/>
        <v/>
      </c>
      <c r="J5520" s="341" t="str">
        <f>IF(A5520="","",VLOOKUP(A5520,VII.A!$A$10:$D$199,3,FALSE))</f>
        <v/>
      </c>
      <c r="K5520" s="342" t="str">
        <f t="shared" si="1417"/>
        <v/>
      </c>
      <c r="L5520" s="380" t="str">
        <f>IF(C5520="","",G5483*C5520)</f>
        <v/>
      </c>
      <c r="M5520" s="381" t="str">
        <f>IF(A5520="","",VLOOKUP(A5520,VII.A!$A$10:$B$199,2,FALSE))</f>
        <v/>
      </c>
      <c r="N5520" s="342" t="str">
        <f t="shared" si="1418"/>
        <v/>
      </c>
      <c r="R5520" s="341"/>
      <c r="S5520" s="341"/>
    </row>
    <row r="5521" spans="1:25" ht="12.75" customHeight="1">
      <c r="A5521" s="393"/>
      <c r="C5521" s="20"/>
      <c r="E5521" s="387"/>
      <c r="F5521" s="388">
        <f t="shared" si="1415"/>
        <v>0</v>
      </c>
      <c r="H5521" s="341" t="str">
        <f>IF(A5521="","",VLOOKUP(A5521,VII.A!$A$10:$D$199,4,FALSE))</f>
        <v/>
      </c>
      <c r="I5521" s="341" t="str">
        <f t="shared" si="1416"/>
        <v/>
      </c>
      <c r="J5521" s="341" t="str">
        <f>IF(A5521="","",VLOOKUP(A5521,VII.A!$A$10:$D$199,3,FALSE))</f>
        <v/>
      </c>
      <c r="K5521" s="342" t="str">
        <f t="shared" si="1417"/>
        <v/>
      </c>
      <c r="L5521" s="380" t="str">
        <f>IF(C5521="","",G5483*C5521)</f>
        <v/>
      </c>
      <c r="M5521" s="381" t="str">
        <f>IF(A5521="","",VLOOKUP(A5521,VII.A!$A$10:$B$199,2,FALSE))</f>
        <v/>
      </c>
      <c r="N5521" s="342" t="str">
        <f t="shared" si="1418"/>
        <v/>
      </c>
      <c r="R5521" s="341"/>
      <c r="S5521" s="341"/>
    </row>
    <row r="5522" spans="1:25" ht="12.75" customHeight="1">
      <c r="A5522" s="393"/>
      <c r="C5522" s="20"/>
      <c r="E5522" s="387"/>
      <c r="F5522" s="388">
        <f t="shared" si="1415"/>
        <v>0</v>
      </c>
      <c r="H5522" s="341" t="str">
        <f>IF(A5522="","",VLOOKUP(A5522,VII.A!$A$10:$D$199,4,FALSE))</f>
        <v/>
      </c>
      <c r="I5522" s="341" t="str">
        <f t="shared" si="1416"/>
        <v/>
      </c>
      <c r="J5522" s="341" t="str">
        <f>IF(A5522="","",VLOOKUP(A5522,VII.A!$A$10:$D$199,3,FALSE))</f>
        <v/>
      </c>
      <c r="K5522" s="342" t="str">
        <f t="shared" si="1417"/>
        <v/>
      </c>
      <c r="L5522" s="380" t="str">
        <f>IF(C5522="","",G5483*C5522)</f>
        <v/>
      </c>
      <c r="M5522" s="381" t="str">
        <f>IF(A5522="","",VLOOKUP(A5522,VII.A!$A$10:$B$199,2,FALSE))</f>
        <v/>
      </c>
      <c r="N5522" s="342" t="str">
        <f t="shared" si="1418"/>
        <v/>
      </c>
      <c r="R5522" s="341"/>
      <c r="S5522" s="341"/>
    </row>
    <row r="5523" spans="1:25" ht="12.75" customHeight="1">
      <c r="A5523" s="393"/>
      <c r="C5523" s="20"/>
      <c r="E5523" s="387"/>
      <c r="F5523" s="388">
        <f t="shared" si="1415"/>
        <v>0</v>
      </c>
      <c r="H5523" s="341" t="str">
        <f>IF(A5523="","",VLOOKUP(A5523,VII.A!$A$10:$D$199,4,FALSE))</f>
        <v/>
      </c>
      <c r="I5523" s="341" t="str">
        <f t="shared" si="1416"/>
        <v/>
      </c>
      <c r="J5523" s="341" t="str">
        <f>IF(A5523="","",VLOOKUP(A5523,VII.A!$A$10:$D$199,3,FALSE))</f>
        <v/>
      </c>
      <c r="K5523" s="342" t="str">
        <f t="shared" si="1417"/>
        <v/>
      </c>
      <c r="L5523" s="380" t="str">
        <f>IF(C5523="","",G5483*C5523)</f>
        <v/>
      </c>
      <c r="M5523" s="381" t="str">
        <f>IF(A5523="","",VLOOKUP(A5523,VII.A!$A$10:$B$199,2,FALSE))</f>
        <v/>
      </c>
      <c r="N5523" s="342" t="str">
        <f t="shared" si="1418"/>
        <v/>
      </c>
      <c r="R5523" s="341"/>
      <c r="S5523" s="341"/>
    </row>
    <row r="5524" spans="1:25" ht="12.75" customHeight="1">
      <c r="A5524" s="393"/>
      <c r="C5524" s="20"/>
      <c r="E5524" s="387"/>
      <c r="F5524" s="388">
        <f t="shared" si="1415"/>
        <v>0</v>
      </c>
      <c r="H5524" s="341" t="str">
        <f>IF(A5524="","",VLOOKUP(A5524,VII.A!$A$10:$D$199,4,FALSE))</f>
        <v/>
      </c>
      <c r="I5524" s="341" t="str">
        <f t="shared" si="1416"/>
        <v/>
      </c>
      <c r="J5524" s="341" t="str">
        <f>IF(A5524="","",VLOOKUP(A5524,VII.A!$A$10:$D$199,3,FALSE))</f>
        <v/>
      </c>
      <c r="K5524" s="342" t="str">
        <f t="shared" si="1417"/>
        <v/>
      </c>
      <c r="L5524" s="380" t="str">
        <f>IF(C5524="","",G5483*C5524)</f>
        <v/>
      </c>
      <c r="M5524" s="381" t="str">
        <f>IF(A5524="","",VLOOKUP(A5524,VII.A!$A$10:$B$199,2,FALSE))</f>
        <v/>
      </c>
      <c r="N5524" s="342" t="str">
        <f t="shared" si="1418"/>
        <v/>
      </c>
      <c r="R5524" s="341"/>
      <c r="S5524" s="341"/>
    </row>
    <row r="5525" spans="1:25" ht="12.75" customHeight="1">
      <c r="A5525" s="393"/>
      <c r="C5525" s="20"/>
      <c r="E5525" s="387"/>
      <c r="F5525" s="388">
        <f t="shared" si="1415"/>
        <v>0</v>
      </c>
      <c r="H5525" s="341" t="str">
        <f>IF(A5525="","",VLOOKUP(A5525,VII.A!$A$10:$D$199,4,FALSE))</f>
        <v/>
      </c>
      <c r="I5525" s="341" t="str">
        <f t="shared" si="1416"/>
        <v/>
      </c>
      <c r="J5525" s="341" t="str">
        <f>IF(A5525="","",VLOOKUP(A5525,VII.A!$A$10:$D$199,3,FALSE))</f>
        <v/>
      </c>
      <c r="K5525" s="342" t="str">
        <f t="shared" si="1417"/>
        <v/>
      </c>
      <c r="L5525" s="380" t="str">
        <f>IF(C5525="","",G5483*C5525)</f>
        <v/>
      </c>
      <c r="M5525" s="381" t="str">
        <f>IF(A5525="","",VLOOKUP(A5525,VII.A!$A$10:$B$199,2,FALSE))</f>
        <v/>
      </c>
      <c r="N5525" s="342" t="str">
        <f t="shared" si="1418"/>
        <v/>
      </c>
      <c r="R5525" s="341"/>
      <c r="S5525" s="341"/>
    </row>
    <row r="5526" spans="1:25" ht="12.75" customHeight="1">
      <c r="A5526" s="393"/>
      <c r="B5526" s="395" t="s">
        <v>226</v>
      </c>
      <c r="C5526" s="396"/>
      <c r="D5526" s="397"/>
      <c r="E5526" s="398"/>
      <c r="F5526" s="399">
        <f>SUM(F5519:F5525)</f>
        <v>0</v>
      </c>
      <c r="J5526" s="341"/>
      <c r="L5526" s="380"/>
      <c r="M5526" s="381"/>
      <c r="N5526" s="342"/>
      <c r="R5526" s="341"/>
      <c r="S5526" s="341"/>
    </row>
    <row r="5527" spans="1:25" ht="12.75" customHeight="1">
      <c r="A5527" s="393"/>
      <c r="B5527" s="400" t="s">
        <v>229</v>
      </c>
      <c r="C5527" s="2">
        <f>IX.A!$C$45</f>
        <v>0</v>
      </c>
      <c r="D5527" s="401"/>
      <c r="E5527" s="402"/>
      <c r="F5527" s="403">
        <f>ROUND(F5526*C5527,2)</f>
        <v>0</v>
      </c>
      <c r="J5527" s="341"/>
      <c r="L5527" s="380"/>
      <c r="M5527" s="381"/>
      <c r="N5527" s="342"/>
      <c r="R5527" s="341"/>
      <c r="S5527" s="341"/>
    </row>
    <row r="5528" spans="1:25" ht="12.75" customHeight="1">
      <c r="A5528" s="393"/>
      <c r="B5528" s="400" t="s">
        <v>53</v>
      </c>
      <c r="C5528" s="2">
        <f>$D$8</f>
        <v>0</v>
      </c>
      <c r="D5528" s="401"/>
      <c r="E5528" s="402"/>
      <c r="F5528" s="403">
        <f>ROUND(SUM(F5526:F5527)*C5528,2)</f>
        <v>0</v>
      </c>
      <c r="J5528" s="341"/>
      <c r="L5528" s="380"/>
      <c r="M5528" s="381"/>
      <c r="N5528" s="342"/>
      <c r="R5528" s="341"/>
      <c r="S5528" s="341"/>
    </row>
    <row r="5529" spans="1:25" ht="12.75" customHeight="1" thickBot="1">
      <c r="A5529" s="414"/>
      <c r="B5529" s="415" t="s">
        <v>230</v>
      </c>
      <c r="C5529" s="416"/>
      <c r="D5529" s="416"/>
      <c r="E5529" s="417"/>
      <c r="F5529" s="418">
        <f>SUM(F5526:F5528)</f>
        <v>0</v>
      </c>
      <c r="J5529" s="341"/>
      <c r="L5529" s="380"/>
      <c r="M5529" s="381"/>
      <c r="N5529" s="342"/>
      <c r="R5529" s="341"/>
      <c r="S5529" s="341"/>
    </row>
    <row r="5530" spans="1:25" ht="12.75" customHeight="1" thickBot="1">
      <c r="A5530" s="357"/>
      <c r="B5530" s="358"/>
      <c r="C5530" s="359"/>
      <c r="D5530" s="359"/>
      <c r="E5530" s="360"/>
      <c r="F5530" s="419"/>
      <c r="J5530" s="341"/>
      <c r="L5530" s="380"/>
      <c r="M5530" s="381"/>
      <c r="N5530" s="342"/>
      <c r="R5530" s="341"/>
      <c r="S5530" s="341"/>
    </row>
    <row r="5531" spans="1:25" ht="30" customHeight="1">
      <c r="A5531" s="370" t="str">
        <f>IV.A!A164</f>
        <v>7.8</v>
      </c>
      <c r="B5531" s="371" t="str">
        <f>IV.A!B164</f>
        <v>ANDAIMES METÁLICOS TIPO TORRE - MONTAGEM E DESMONTAGEM</v>
      </c>
      <c r="C5531" s="871" t="s">
        <v>237</v>
      </c>
      <c r="D5531" s="872"/>
      <c r="E5531" s="372" t="str">
        <f>IV.A!$C$164</f>
        <v>M</v>
      </c>
      <c r="F5531" s="11">
        <f>ROUND(F5551+F5565+F5577,2)</f>
        <v>0</v>
      </c>
      <c r="G5531" s="1">
        <f>VLOOKUP(A5531,IV.A!$A$16:$L$172,4,FALSE)</f>
        <v>8000</v>
      </c>
      <c r="H5531" s="361">
        <f>SUM(F5533:F5548)+F5550</f>
        <v>0</v>
      </c>
      <c r="I5531" s="361">
        <f>SUM(F5553:F5562)+F5564</f>
        <v>0</v>
      </c>
      <c r="J5531" s="361">
        <f>SUM(F5567:F5573)+F5575+F5576</f>
        <v>0</v>
      </c>
      <c r="K5531" s="361">
        <f>SUM(H5531:J5531)</f>
        <v>0</v>
      </c>
      <c r="L5531" s="362" t="str">
        <f>IF(K5531=F5531,"SIM","NÃO")</f>
        <v>SIM</v>
      </c>
      <c r="M5531" s="373">
        <f>ROUND(SUM(F5533:F5548),2)+ROUND(SUM(F5533:F5548)*C5550,2)+ROUND(SUM(F5553:F5562)*C5564,2)+ROUND(SUM(F5553:F5562),2)+ROUND(SUM(F5567:F5573)*C5575,2)+ROUND((SUM(F5567:F5573)+ROUND(SUM(F5567:F5573)*C5575,2))*C5576,2)+ROUND(SUM(F5567:F5573),2)</f>
        <v>0</v>
      </c>
      <c r="N5531" s="343" t="str">
        <f>IF(M5531=F5531,"SIM","NÃO")</f>
        <v>SIM</v>
      </c>
      <c r="O5531" s="364" t="str">
        <f>VLOOKUP(A5531,IV.A!$A$16:$E$172,3,FALSE)</f>
        <v>M</v>
      </c>
      <c r="P5531" s="344" t="str">
        <f>IF(O5531=E5531,"SIM","NÃO")</f>
        <v>SIM</v>
      </c>
      <c r="Q5531" s="365">
        <f>ROUND(G5531*F5551,2)+ROUND(G5531*F5565,2)+ROUND(G5531*F5577,2)</f>
        <v>0</v>
      </c>
      <c r="R5531" s="364">
        <f>VLOOKUP(A5531,IV.A!$A$16:$L$172,12,FALSE)</f>
        <v>0</v>
      </c>
      <c r="S5531" s="366" t="str">
        <f>IF(Q5531=R5531,"si","no")</f>
        <v>si</v>
      </c>
      <c r="T5531" s="367">
        <f>SUM(L5533:L5548)+SUM(L5553:L5562)+SUM(L5567:L5573)</f>
        <v>4000</v>
      </c>
      <c r="U5531" s="341">
        <f>(SUM(C5533:C5548)+SUM(C5553:C5562)+SUM(C5567:C5573))*G5531</f>
        <v>4000</v>
      </c>
      <c r="V5531" s="368" t="str">
        <f>IF(T5531=U5531,"si","no")</f>
        <v>si</v>
      </c>
      <c r="W5531" s="369">
        <f>SUM(F5533:F5548)</f>
        <v>0</v>
      </c>
      <c r="X5531" s="369">
        <f>SUM(F5553:F5562)</f>
        <v>0</v>
      </c>
      <c r="Y5531" s="369">
        <f>SUM(F5567:F5573)</f>
        <v>0</v>
      </c>
    </row>
    <row r="5532" spans="1:25" ht="12.75" customHeight="1">
      <c r="A5532" s="374" t="s">
        <v>14</v>
      </c>
      <c r="B5532" s="375" t="s">
        <v>132</v>
      </c>
      <c r="C5532" s="376" t="s">
        <v>231</v>
      </c>
      <c r="D5532" s="376" t="s">
        <v>232</v>
      </c>
      <c r="E5532" s="377" t="s">
        <v>233</v>
      </c>
      <c r="F5532" s="378" t="s">
        <v>234</v>
      </c>
      <c r="G5532" s="379"/>
      <c r="J5532" s="341"/>
      <c r="L5532" s="380"/>
      <c r="M5532" s="381"/>
      <c r="N5532" s="342"/>
      <c r="O5532" s="382"/>
      <c r="P5532" s="383"/>
      <c r="Q5532" s="383"/>
      <c r="R5532" s="383"/>
      <c r="S5532" s="383"/>
      <c r="T5532" s="382"/>
      <c r="U5532" s="341"/>
      <c r="V5532" s="384"/>
      <c r="W5532" s="384"/>
      <c r="X5532" s="384"/>
      <c r="Y5532" s="384"/>
    </row>
    <row r="5533" spans="1:25" ht="12.75" customHeight="1">
      <c r="A5533" s="385"/>
      <c r="B5533" s="386"/>
      <c r="C5533" s="20"/>
      <c r="D5533" s="342"/>
      <c r="E5533" s="387"/>
      <c r="F5533" s="388">
        <f>ROUND(C5533*E5533,2)</f>
        <v>0</v>
      </c>
      <c r="H5533" s="341" t="str">
        <f>IF(A5533="","",VLOOKUP(A5533,VII.A!$A$10:$D$199,4,FALSE))</f>
        <v/>
      </c>
      <c r="I5533" s="341" t="str">
        <f t="shared" ref="I5533:I5548" si="1419">IF(A5533="","",IF(E5533=H5533,"SIM","NÃO"))</f>
        <v/>
      </c>
      <c r="J5533" s="341" t="str">
        <f>IF(A5533="","",VLOOKUP(A5533,VII.A!$A$10:$D$199,3,FALSE))</f>
        <v/>
      </c>
      <c r="K5533" s="342" t="str">
        <f t="shared" ref="K5533:K5548" si="1420">IF(A5533="","",IF(J5533=D5533,"SIM","NÃO"))</f>
        <v/>
      </c>
      <c r="L5533" s="380" t="str">
        <f>IF(C5533="","",G5531*C5533)</f>
        <v/>
      </c>
      <c r="M5533" s="381" t="str">
        <f>IF(A5533="","",VLOOKUP(A5533,VII.A!$A$10:$B$199,2,FALSE))</f>
        <v/>
      </c>
      <c r="N5533" s="342" t="str">
        <f t="shared" ref="N5533:N5548" si="1421">IF(B5533="","",IF(M5533=B5533,"si","no"))</f>
        <v/>
      </c>
      <c r="R5533" s="341"/>
      <c r="S5533" s="341"/>
    </row>
    <row r="5534" spans="1:25" ht="12.75" customHeight="1">
      <c r="A5534" s="385"/>
      <c r="B5534" s="386"/>
      <c r="C5534" s="20"/>
      <c r="D5534" s="342"/>
      <c r="E5534" s="387"/>
      <c r="F5534" s="388">
        <f t="shared" ref="F5534:F5548" si="1422">ROUND(C5534*E5534,2)</f>
        <v>0</v>
      </c>
      <c r="H5534" s="341" t="str">
        <f>IF(A5534="","",VLOOKUP(A5534,VII.A!$A$10:$D$199,4,FALSE))</f>
        <v/>
      </c>
      <c r="I5534" s="341" t="str">
        <f t="shared" si="1419"/>
        <v/>
      </c>
      <c r="J5534" s="341" t="str">
        <f>IF(A5534="","",VLOOKUP(A5534,VII.A!$A$10:$D$199,3,FALSE))</f>
        <v/>
      </c>
      <c r="K5534" s="342" t="str">
        <f t="shared" si="1420"/>
        <v/>
      </c>
      <c r="L5534" s="380" t="str">
        <f>IF(C5534="","",G5531*C5534)</f>
        <v/>
      </c>
      <c r="M5534" s="381" t="str">
        <f>IF(A5534="","",VLOOKUP(A5534,VII.A!$A$10:$B$199,2,FALSE))</f>
        <v/>
      </c>
      <c r="N5534" s="342" t="str">
        <f t="shared" si="1421"/>
        <v/>
      </c>
      <c r="R5534" s="341"/>
      <c r="S5534" s="341"/>
    </row>
    <row r="5535" spans="1:25" ht="12.75" customHeight="1">
      <c r="A5535" s="385"/>
      <c r="B5535" s="386"/>
      <c r="C5535" s="20"/>
      <c r="D5535" s="342"/>
      <c r="E5535" s="387"/>
      <c r="F5535" s="388">
        <f t="shared" si="1422"/>
        <v>0</v>
      </c>
      <c r="H5535" s="341" t="str">
        <f>IF(A5535="","",VLOOKUP(A5535,VII.A!$A$10:$D$199,4,FALSE))</f>
        <v/>
      </c>
      <c r="I5535" s="341" t="str">
        <f t="shared" si="1419"/>
        <v/>
      </c>
      <c r="J5535" s="341" t="str">
        <f>IF(A5535="","",VLOOKUP(A5535,VII.A!$A$10:$D$199,3,FALSE))</f>
        <v/>
      </c>
      <c r="K5535" s="342" t="str">
        <f t="shared" si="1420"/>
        <v/>
      </c>
      <c r="L5535" s="380" t="str">
        <f>IF(C5535="","",G5531*C5535)</f>
        <v/>
      </c>
      <c r="M5535" s="381" t="str">
        <f>IF(A5535="","",VLOOKUP(A5535,VII.A!$A$10:$B$199,2,FALSE))</f>
        <v/>
      </c>
      <c r="N5535" s="342" t="str">
        <f t="shared" si="1421"/>
        <v/>
      </c>
      <c r="R5535" s="341"/>
      <c r="S5535" s="341"/>
    </row>
    <row r="5536" spans="1:25" ht="12.75" customHeight="1">
      <c r="A5536" s="385"/>
      <c r="B5536" s="386"/>
      <c r="C5536" s="20"/>
      <c r="D5536" s="342"/>
      <c r="E5536" s="387"/>
      <c r="F5536" s="388">
        <f t="shared" si="1422"/>
        <v>0</v>
      </c>
      <c r="H5536" s="341" t="str">
        <f>IF(A5536="","",VLOOKUP(A5536,VII.A!$A$10:$D$199,4,FALSE))</f>
        <v/>
      </c>
      <c r="I5536" s="341" t="str">
        <f t="shared" si="1419"/>
        <v/>
      </c>
      <c r="J5536" s="341" t="str">
        <f>IF(A5536="","",VLOOKUP(A5536,VII.A!$A$10:$D$199,3,FALSE))</f>
        <v/>
      </c>
      <c r="K5536" s="342" t="str">
        <f t="shared" si="1420"/>
        <v/>
      </c>
      <c r="L5536" s="380" t="str">
        <f>IF(C5536="","",G5531*C5536)</f>
        <v/>
      </c>
      <c r="M5536" s="381" t="str">
        <f>IF(A5536="","",VLOOKUP(A5536,VII.A!$A$10:$B$199,2,FALSE))</f>
        <v/>
      </c>
      <c r="N5536" s="342" t="str">
        <f t="shared" si="1421"/>
        <v/>
      </c>
      <c r="R5536" s="341"/>
      <c r="S5536" s="341"/>
    </row>
    <row r="5537" spans="1:21" ht="12.75" customHeight="1">
      <c r="A5537" s="385"/>
      <c r="B5537" s="386"/>
      <c r="C5537" s="20"/>
      <c r="D5537" s="342"/>
      <c r="E5537" s="387"/>
      <c r="F5537" s="388">
        <f t="shared" si="1422"/>
        <v>0</v>
      </c>
      <c r="H5537" s="341" t="str">
        <f>IF(A5537="","",VLOOKUP(A5537,VII.A!$A$10:$D$199,4,FALSE))</f>
        <v/>
      </c>
      <c r="I5537" s="341" t="str">
        <f t="shared" si="1419"/>
        <v/>
      </c>
      <c r="J5537" s="341" t="str">
        <f>IF(A5537="","",VLOOKUP(A5537,VII.A!$A$10:$D$199,3,FALSE))</f>
        <v/>
      </c>
      <c r="K5537" s="342" t="str">
        <f t="shared" si="1420"/>
        <v/>
      </c>
      <c r="L5537" s="380" t="str">
        <f>IF(C5537="","",G5531*C5537)</f>
        <v/>
      </c>
      <c r="M5537" s="381" t="str">
        <f>IF(A5537="","",VLOOKUP(A5537,VII.A!$A$10:$B$199,2,FALSE))</f>
        <v/>
      </c>
      <c r="N5537" s="342" t="str">
        <f t="shared" si="1421"/>
        <v/>
      </c>
      <c r="R5537" s="341"/>
      <c r="S5537" s="341"/>
    </row>
    <row r="5538" spans="1:21" ht="12.75" customHeight="1">
      <c r="A5538" s="385"/>
      <c r="B5538" s="386"/>
      <c r="C5538" s="20"/>
      <c r="D5538" s="342"/>
      <c r="E5538" s="387"/>
      <c r="F5538" s="388">
        <f t="shared" si="1422"/>
        <v>0</v>
      </c>
      <c r="H5538" s="341" t="str">
        <f>IF(A5538="","",VLOOKUP(A5538,VII.A!$A$10:$D$199,4,FALSE))</f>
        <v/>
      </c>
      <c r="I5538" s="341" t="str">
        <f t="shared" si="1419"/>
        <v/>
      </c>
      <c r="J5538" s="341" t="str">
        <f>IF(A5538="","",VLOOKUP(A5538,VII.A!$A$10:$D$199,3,FALSE))</f>
        <v/>
      </c>
      <c r="K5538" s="342" t="str">
        <f t="shared" si="1420"/>
        <v/>
      </c>
      <c r="L5538" s="380" t="str">
        <f>IF(C5538="","",G5531*C5538)</f>
        <v/>
      </c>
      <c r="M5538" s="381" t="str">
        <f>IF(A5538="","",VLOOKUP(A5538,VII.A!$A$10:$B$199,2,FALSE))</f>
        <v/>
      </c>
      <c r="N5538" s="342" t="str">
        <f t="shared" si="1421"/>
        <v/>
      </c>
      <c r="R5538" s="341"/>
      <c r="S5538" s="341"/>
      <c r="U5538" s="389"/>
    </row>
    <row r="5539" spans="1:21" ht="12.75" customHeight="1">
      <c r="A5539" s="385"/>
      <c r="B5539" s="386"/>
      <c r="C5539" s="20"/>
      <c r="D5539" s="342"/>
      <c r="E5539" s="387"/>
      <c r="F5539" s="388">
        <f t="shared" si="1422"/>
        <v>0</v>
      </c>
      <c r="H5539" s="341" t="str">
        <f>IF(A5539="","",VLOOKUP(A5539,VII.A!$A$10:$D$199,4,FALSE))</f>
        <v/>
      </c>
      <c r="I5539" s="341" t="str">
        <f t="shared" si="1419"/>
        <v/>
      </c>
      <c r="J5539" s="341" t="str">
        <f>IF(A5539="","",VLOOKUP(A5539,VII.A!$A$10:$D$199,3,FALSE))</f>
        <v/>
      </c>
      <c r="K5539" s="342" t="str">
        <f t="shared" si="1420"/>
        <v/>
      </c>
      <c r="L5539" s="380" t="str">
        <f>IF(C5539="","",G5531*C5539)</f>
        <v/>
      </c>
      <c r="M5539" s="381" t="str">
        <f>IF(A5539="","",VLOOKUP(A5539,VII.A!$A$10:$B$199,2,FALSE))</f>
        <v/>
      </c>
      <c r="N5539" s="342" t="str">
        <f t="shared" si="1421"/>
        <v/>
      </c>
      <c r="R5539" s="341"/>
      <c r="S5539" s="341"/>
    </row>
    <row r="5540" spans="1:21" ht="12.75" customHeight="1">
      <c r="A5540" s="385"/>
      <c r="B5540" s="386"/>
      <c r="C5540" s="20"/>
      <c r="D5540" s="342"/>
      <c r="E5540" s="387"/>
      <c r="F5540" s="388">
        <f t="shared" si="1422"/>
        <v>0</v>
      </c>
      <c r="G5540" s="390"/>
      <c r="H5540" s="341" t="str">
        <f>IF(A5540="","",VLOOKUP(A5540,VII.A!$A$10:$D$199,4,FALSE))</f>
        <v/>
      </c>
      <c r="I5540" s="341" t="str">
        <f t="shared" si="1419"/>
        <v/>
      </c>
      <c r="J5540" s="341" t="str">
        <f>IF(A5540="","",VLOOKUP(A5540,VII.A!$A$10:$D$199,3,FALSE))</f>
        <v/>
      </c>
      <c r="K5540" s="342" t="str">
        <f t="shared" si="1420"/>
        <v/>
      </c>
      <c r="L5540" s="380" t="str">
        <f>IF(C5540="","",G5531*C5540)</f>
        <v/>
      </c>
      <c r="M5540" s="381" t="str">
        <f>IF(A5540="","",VLOOKUP(A5540,VII.A!$A$10:$B$199,2,FALSE))</f>
        <v/>
      </c>
      <c r="N5540" s="342" t="str">
        <f t="shared" si="1421"/>
        <v/>
      </c>
      <c r="R5540" s="341"/>
      <c r="S5540" s="341"/>
    </row>
    <row r="5541" spans="1:21" ht="12.75" customHeight="1">
      <c r="A5541" s="385"/>
      <c r="B5541" s="386"/>
      <c r="C5541" s="20"/>
      <c r="D5541" s="342"/>
      <c r="E5541" s="387"/>
      <c r="F5541" s="388">
        <f t="shared" si="1422"/>
        <v>0</v>
      </c>
      <c r="G5541" s="390"/>
      <c r="H5541" s="341" t="str">
        <f>IF(A5541="","",VLOOKUP(A5541,VII.A!$A$10:$D$199,4,FALSE))</f>
        <v/>
      </c>
      <c r="I5541" s="341" t="str">
        <f t="shared" si="1419"/>
        <v/>
      </c>
      <c r="J5541" s="341" t="str">
        <f>IF(A5541="","",VLOOKUP(A5541,VII.A!$A$10:$D$199,3,FALSE))</f>
        <v/>
      </c>
      <c r="K5541" s="342" t="str">
        <f t="shared" si="1420"/>
        <v/>
      </c>
      <c r="L5541" s="380" t="str">
        <f>IF(C5541="","",G5531*C5541)</f>
        <v/>
      </c>
      <c r="M5541" s="381" t="str">
        <f>IF(A5541="","",VLOOKUP(A5541,VII.A!$A$10:$B$199,2,FALSE))</f>
        <v/>
      </c>
      <c r="N5541" s="342" t="str">
        <f t="shared" si="1421"/>
        <v/>
      </c>
      <c r="R5541" s="341"/>
      <c r="S5541" s="341"/>
    </row>
    <row r="5542" spans="1:21" ht="12.75" customHeight="1">
      <c r="A5542" s="385"/>
      <c r="B5542" s="386"/>
      <c r="C5542" s="20"/>
      <c r="D5542" s="342"/>
      <c r="E5542" s="387"/>
      <c r="F5542" s="388">
        <f t="shared" si="1422"/>
        <v>0</v>
      </c>
      <c r="G5542" s="391"/>
      <c r="H5542" s="341" t="str">
        <f>IF(A5542="","",VLOOKUP(A5542,VII.A!$A$10:$D$199,4,FALSE))</f>
        <v/>
      </c>
      <c r="I5542" s="341" t="str">
        <f t="shared" si="1419"/>
        <v/>
      </c>
      <c r="J5542" s="341" t="str">
        <f>IF(A5542="","",VLOOKUP(A5542,VII.A!$A$10:$D$199,3,FALSE))</f>
        <v/>
      </c>
      <c r="K5542" s="342" t="str">
        <f t="shared" si="1420"/>
        <v/>
      </c>
      <c r="L5542" s="380" t="str">
        <f>IF(C5542="","",G5531*C5542)</f>
        <v/>
      </c>
      <c r="M5542" s="381" t="str">
        <f>IF(A5542="","",VLOOKUP(A5542,VII.A!$A$10:$B$199,2,FALSE))</f>
        <v/>
      </c>
      <c r="N5542" s="342" t="str">
        <f t="shared" si="1421"/>
        <v/>
      </c>
      <c r="R5542" s="341"/>
      <c r="S5542" s="341"/>
    </row>
    <row r="5543" spans="1:21" ht="12.75" customHeight="1">
      <c r="A5543" s="385"/>
      <c r="B5543" s="386"/>
      <c r="C5543" s="20"/>
      <c r="D5543" s="342"/>
      <c r="E5543" s="387"/>
      <c r="F5543" s="388">
        <f t="shared" si="1422"/>
        <v>0</v>
      </c>
      <c r="H5543" s="341" t="str">
        <f>IF(A5543="","",VLOOKUP(A5543,VII.A!$A$10:$D$199,4,FALSE))</f>
        <v/>
      </c>
      <c r="I5543" s="341" t="str">
        <f t="shared" si="1419"/>
        <v/>
      </c>
      <c r="J5543" s="341" t="str">
        <f>IF(A5543="","",VLOOKUP(A5543,VII.A!$A$10:$D$199,3,FALSE))</f>
        <v/>
      </c>
      <c r="K5543" s="342" t="str">
        <f t="shared" si="1420"/>
        <v/>
      </c>
      <c r="L5543" s="380" t="str">
        <f>IF(C5543="","",G5531*C5543)</f>
        <v/>
      </c>
      <c r="M5543" s="381" t="str">
        <f>IF(A5543="","",VLOOKUP(A5543,VII.A!$A$10:$B$199,2,FALSE))</f>
        <v/>
      </c>
      <c r="N5543" s="342" t="str">
        <f t="shared" si="1421"/>
        <v/>
      </c>
      <c r="R5543" s="341"/>
      <c r="S5543" s="341"/>
    </row>
    <row r="5544" spans="1:21" ht="12.75" customHeight="1">
      <c r="A5544" s="385"/>
      <c r="B5544" s="386"/>
      <c r="C5544" s="20"/>
      <c r="D5544" s="392"/>
      <c r="E5544" s="387"/>
      <c r="F5544" s="388">
        <f t="shared" si="1422"/>
        <v>0</v>
      </c>
      <c r="H5544" s="341" t="str">
        <f>IF(A5544="","",VLOOKUP(A5544,VII.A!$A$10:$D$199,4,FALSE))</f>
        <v/>
      </c>
      <c r="I5544" s="341" t="str">
        <f t="shared" si="1419"/>
        <v/>
      </c>
      <c r="J5544" s="341" t="str">
        <f>IF(A5544="","",VLOOKUP(A5544,VII.A!$A$10:$D$199,3,FALSE))</f>
        <v/>
      </c>
      <c r="K5544" s="342" t="str">
        <f t="shared" si="1420"/>
        <v/>
      </c>
      <c r="L5544" s="380" t="str">
        <f>IF(C5544="","",G5531*C5544)</f>
        <v/>
      </c>
      <c r="M5544" s="381" t="str">
        <f>IF(A5544="","",VLOOKUP(A5544,VII.A!$A$10:$B$199,2,FALSE))</f>
        <v/>
      </c>
      <c r="N5544" s="342" t="str">
        <f t="shared" si="1421"/>
        <v/>
      </c>
      <c r="R5544" s="341"/>
      <c r="S5544" s="341"/>
    </row>
    <row r="5545" spans="1:21" ht="12.75" customHeight="1">
      <c r="A5545" s="385"/>
      <c r="B5545" s="386"/>
      <c r="C5545" s="20"/>
      <c r="D5545" s="392"/>
      <c r="E5545" s="387"/>
      <c r="F5545" s="388">
        <f t="shared" si="1422"/>
        <v>0</v>
      </c>
      <c r="H5545" s="341" t="str">
        <f>IF(A5545="","",VLOOKUP(A5545,VII.A!$A$10:$D$199,4,FALSE))</f>
        <v/>
      </c>
      <c r="I5545" s="341" t="str">
        <f t="shared" si="1419"/>
        <v/>
      </c>
      <c r="J5545" s="341" t="str">
        <f>IF(A5545="","",VLOOKUP(A5545,VII.A!$A$10:$D$199,3,FALSE))</f>
        <v/>
      </c>
      <c r="K5545" s="342" t="str">
        <f t="shared" si="1420"/>
        <v/>
      </c>
      <c r="L5545" s="380" t="str">
        <f>IF(C5545="","",G5531*C5545)</f>
        <v/>
      </c>
      <c r="M5545" s="381" t="str">
        <f>IF(A5545="","",VLOOKUP(A5545,VII.A!$A$10:$B$199,2,FALSE))</f>
        <v/>
      </c>
      <c r="N5545" s="342" t="str">
        <f t="shared" si="1421"/>
        <v/>
      </c>
      <c r="O5545" s="342"/>
      <c r="R5545" s="341"/>
      <c r="S5545" s="341"/>
    </row>
    <row r="5546" spans="1:21" ht="12.75" customHeight="1">
      <c r="A5546" s="385"/>
      <c r="B5546" s="386"/>
      <c r="C5546" s="20"/>
      <c r="D5546" s="392"/>
      <c r="E5546" s="387"/>
      <c r="F5546" s="388">
        <f t="shared" si="1422"/>
        <v>0</v>
      </c>
      <c r="H5546" s="341" t="str">
        <f>IF(A5546="","",VLOOKUP(A5546,VII.A!$A$10:$D$199,4,FALSE))</f>
        <v/>
      </c>
      <c r="I5546" s="341" t="str">
        <f t="shared" si="1419"/>
        <v/>
      </c>
      <c r="J5546" s="341" t="str">
        <f>IF(A5546="","",VLOOKUP(A5546,VII.A!$A$10:$D$199,3,FALSE))</f>
        <v/>
      </c>
      <c r="K5546" s="342" t="str">
        <f t="shared" si="1420"/>
        <v/>
      </c>
      <c r="L5546" s="380" t="str">
        <f>IF(C5546="","",G5531*C5546)</f>
        <v/>
      </c>
      <c r="M5546" s="381" t="str">
        <f>IF(A5546="","",VLOOKUP(A5546,VII.A!$A$10:$B$199,2,FALSE))</f>
        <v/>
      </c>
      <c r="N5546" s="342" t="str">
        <f t="shared" si="1421"/>
        <v/>
      </c>
      <c r="R5546" s="341"/>
      <c r="S5546" s="341"/>
    </row>
    <row r="5547" spans="1:21" ht="12.75" customHeight="1">
      <c r="A5547" s="393"/>
      <c r="C5547" s="20"/>
      <c r="E5547" s="387"/>
      <c r="F5547" s="388">
        <f t="shared" si="1422"/>
        <v>0</v>
      </c>
      <c r="H5547" s="341" t="str">
        <f>IF(A5547="","",VLOOKUP(A5547,VII.A!$A$10:$D$199,4,FALSE))</f>
        <v/>
      </c>
      <c r="I5547" s="341" t="str">
        <f t="shared" si="1419"/>
        <v/>
      </c>
      <c r="J5547" s="341" t="str">
        <f>IF(A5547="","",VLOOKUP(A5547,VII.A!$A$10:$D$199,3,FALSE))</f>
        <v/>
      </c>
      <c r="K5547" s="342" t="str">
        <f t="shared" si="1420"/>
        <v/>
      </c>
      <c r="L5547" s="380" t="str">
        <f>IF(C5547="","",G5531*C5547)</f>
        <v/>
      </c>
      <c r="M5547" s="381" t="str">
        <f>IF(A5547="","",VLOOKUP(A5547,VII.A!$A$10:$B$199,2,FALSE))</f>
        <v/>
      </c>
      <c r="N5547" s="342" t="str">
        <f t="shared" si="1421"/>
        <v/>
      </c>
      <c r="R5547" s="341"/>
      <c r="S5547" s="341"/>
    </row>
    <row r="5548" spans="1:21" ht="12.75" customHeight="1">
      <c r="A5548" s="393"/>
      <c r="C5548" s="20"/>
      <c r="E5548" s="387"/>
      <c r="F5548" s="388">
        <f t="shared" si="1422"/>
        <v>0</v>
      </c>
      <c r="H5548" s="341" t="str">
        <f>IF(A5548="","",VLOOKUP(A5548,VII.A!$A$10:$D$199,4,FALSE))</f>
        <v/>
      </c>
      <c r="I5548" s="341" t="str">
        <f t="shared" si="1419"/>
        <v/>
      </c>
      <c r="J5548" s="341" t="str">
        <f>IF(A5548="","",VLOOKUP(A5548,VII.A!$A$10:$D$199,3,FALSE))</f>
        <v/>
      </c>
      <c r="K5548" s="342" t="str">
        <f t="shared" si="1420"/>
        <v/>
      </c>
      <c r="L5548" s="380" t="str">
        <f>IF(C5548="","",G5531*C5548)</f>
        <v/>
      </c>
      <c r="M5548" s="381" t="str">
        <f>IF(A5548="","",VLOOKUP(A5548,VII.A!$A$10:$B$199,2,FALSE))</f>
        <v/>
      </c>
      <c r="N5548" s="342" t="str">
        <f t="shared" si="1421"/>
        <v/>
      </c>
      <c r="R5548" s="341"/>
      <c r="S5548" s="341"/>
    </row>
    <row r="5549" spans="1:21" ht="12.75" customHeight="1">
      <c r="A5549" s="393"/>
      <c r="B5549" s="395" t="s">
        <v>226</v>
      </c>
      <c r="C5549" s="396"/>
      <c r="D5549" s="397"/>
      <c r="E5549" s="398"/>
      <c r="F5549" s="399">
        <f>SUM(F5533:F5548)</f>
        <v>0</v>
      </c>
      <c r="H5549" s="426" t="s">
        <v>434</v>
      </c>
      <c r="J5549" s="341"/>
      <c r="L5549" s="380"/>
      <c r="M5549" s="381"/>
      <c r="N5549" s="342"/>
      <c r="R5549" s="341"/>
      <c r="S5549" s="341"/>
    </row>
    <row r="5550" spans="1:21" ht="12.75" customHeight="1">
      <c r="A5550" s="393"/>
      <c r="B5550" s="400" t="s">
        <v>53</v>
      </c>
      <c r="C5550" s="2">
        <f>$D$8</f>
        <v>0</v>
      </c>
      <c r="D5550" s="401"/>
      <c r="E5550" s="402"/>
      <c r="F5550" s="403">
        <f>ROUND(F5549*C5550,2)</f>
        <v>0</v>
      </c>
      <c r="J5550" s="341"/>
      <c r="L5550" s="380"/>
      <c r="M5550" s="381"/>
      <c r="N5550" s="342"/>
      <c r="R5550" s="341"/>
      <c r="S5550" s="341"/>
    </row>
    <row r="5551" spans="1:21" ht="12.75" customHeight="1">
      <c r="A5551" s="404"/>
      <c r="B5551" s="405" t="s">
        <v>227</v>
      </c>
      <c r="C5551" s="406"/>
      <c r="D5551" s="406"/>
      <c r="E5551" s="407"/>
      <c r="F5551" s="408">
        <f>F5549+F5550</f>
        <v>0</v>
      </c>
      <c r="J5551" s="341"/>
      <c r="L5551" s="380"/>
      <c r="M5551" s="381"/>
      <c r="N5551" s="342"/>
      <c r="R5551" s="341"/>
      <c r="S5551" s="341"/>
    </row>
    <row r="5552" spans="1:21" ht="12.75" customHeight="1">
      <c r="A5552" s="374" t="s">
        <v>2</v>
      </c>
      <c r="B5552" s="375" t="s">
        <v>235</v>
      </c>
      <c r="C5552" s="376" t="s">
        <v>231</v>
      </c>
      <c r="D5552" s="376" t="s">
        <v>232</v>
      </c>
      <c r="E5552" s="377" t="s">
        <v>233</v>
      </c>
      <c r="F5552" s="378" t="s">
        <v>234</v>
      </c>
      <c r="J5552" s="341"/>
      <c r="L5552" s="380"/>
      <c r="M5552" s="381"/>
      <c r="N5552" s="342"/>
      <c r="R5552" s="341"/>
      <c r="S5552" s="341"/>
    </row>
    <row r="5553" spans="1:19" ht="12.75" customHeight="1">
      <c r="A5553" s="393"/>
      <c r="B5553" s="423"/>
      <c r="C5553" s="20"/>
      <c r="E5553" s="387"/>
      <c r="F5553" s="388">
        <f t="shared" ref="F5553:F5562" si="1423">ROUND(C5553*E5553,2)</f>
        <v>0</v>
      </c>
      <c r="H5553" s="341" t="str">
        <f>IF(A5553="","",VLOOKUP(A5553,VII.A!$A$10:$D$199,4,FALSE))</f>
        <v/>
      </c>
      <c r="I5553" s="341" t="str">
        <f t="shared" ref="I5553:I5562" si="1424">IF(A5553="","",IF(E5553=H5553,"SIM","NÃO"))</f>
        <v/>
      </c>
      <c r="J5553" s="341" t="str">
        <f>IF(A5553="","",VLOOKUP(A5553,VII.A!$A$10:$D$199,3,FALSE))</f>
        <v/>
      </c>
      <c r="K5553" s="342" t="str">
        <f t="shared" ref="K5553:K5562" si="1425">IF(A5553="","",IF(J5553=D5553,"SIM","NÃO"))</f>
        <v/>
      </c>
      <c r="L5553" s="380" t="str">
        <f>IF(C5553="","",G5531*C5553)</f>
        <v/>
      </c>
      <c r="M5553" s="381" t="str">
        <f>IF(A5553="","",VLOOKUP(A5553,VII.A!$A$10:$B$199,2,FALSE))</f>
        <v/>
      </c>
      <c r="N5553" s="342" t="str">
        <f t="shared" ref="N5553:N5562" si="1426">IF(B5553="","",IF(M5553=B5553,"si","no"))</f>
        <v/>
      </c>
      <c r="R5553" s="341"/>
      <c r="S5553" s="341"/>
    </row>
    <row r="5554" spans="1:19" ht="12.75" customHeight="1">
      <c r="A5554" s="393"/>
      <c r="C5554" s="20"/>
      <c r="E5554" s="387"/>
      <c r="F5554" s="388">
        <f t="shared" si="1423"/>
        <v>0</v>
      </c>
      <c r="H5554" s="341" t="str">
        <f>IF(A5554="","",VLOOKUP(A5554,VII.A!$A$10:$D$199,4,FALSE))</f>
        <v/>
      </c>
      <c r="I5554" s="341" t="str">
        <f t="shared" si="1424"/>
        <v/>
      </c>
      <c r="J5554" s="341" t="str">
        <f>IF(A5554="","",VLOOKUP(A5554,VII.A!$A$10:$D$199,3,FALSE))</f>
        <v/>
      </c>
      <c r="K5554" s="342" t="str">
        <f t="shared" si="1425"/>
        <v/>
      </c>
      <c r="L5554" s="380" t="str">
        <f>IF(C5554="","",G5531*C5554)</f>
        <v/>
      </c>
      <c r="M5554" s="381" t="str">
        <f>IF(A5554="","",VLOOKUP(A5554,VII.A!$A$10:$B$199,2,FALSE))</f>
        <v/>
      </c>
      <c r="N5554" s="342" t="str">
        <f t="shared" si="1426"/>
        <v/>
      </c>
      <c r="R5554" s="341"/>
      <c r="S5554" s="341"/>
    </row>
    <row r="5555" spans="1:19" ht="12.75" customHeight="1">
      <c r="A5555" s="393"/>
      <c r="C5555" s="20"/>
      <c r="E5555" s="387"/>
      <c r="F5555" s="388">
        <f t="shared" si="1423"/>
        <v>0</v>
      </c>
      <c r="H5555" s="341" t="str">
        <f>IF(A5555="","",VLOOKUP(A5555,VII.A!$A$10:$D$199,4,FALSE))</f>
        <v/>
      </c>
      <c r="I5555" s="341" t="str">
        <f t="shared" si="1424"/>
        <v/>
      </c>
      <c r="J5555" s="341" t="str">
        <f>IF(A5555="","",VLOOKUP(A5555,VII.A!$A$10:$D$199,3,FALSE))</f>
        <v/>
      </c>
      <c r="K5555" s="342" t="str">
        <f t="shared" si="1425"/>
        <v/>
      </c>
      <c r="L5555" s="380" t="str">
        <f>IF(C5555="","",G5531*C5555)</f>
        <v/>
      </c>
      <c r="M5555" s="381" t="str">
        <f>IF(A5555="","",VLOOKUP(A5555,VII.A!$A$10:$B$199,2,FALSE))</f>
        <v/>
      </c>
      <c r="N5555" s="342" t="str">
        <f t="shared" si="1426"/>
        <v/>
      </c>
      <c r="R5555" s="341"/>
      <c r="S5555" s="341"/>
    </row>
    <row r="5556" spans="1:19" ht="12.75" customHeight="1">
      <c r="A5556" s="393"/>
      <c r="C5556" s="20"/>
      <c r="E5556" s="387"/>
      <c r="F5556" s="388">
        <f t="shared" si="1423"/>
        <v>0</v>
      </c>
      <c r="H5556" s="341" t="str">
        <f>IF(A5556="","",VLOOKUP(A5556,VII.A!$A$10:$D$199,4,FALSE))</f>
        <v/>
      </c>
      <c r="I5556" s="341" t="str">
        <f t="shared" si="1424"/>
        <v/>
      </c>
      <c r="J5556" s="341" t="str">
        <f>IF(A5556="","",VLOOKUP(A5556,VII.A!$A$10:$D$199,3,FALSE))</f>
        <v/>
      </c>
      <c r="K5556" s="342" t="str">
        <f t="shared" si="1425"/>
        <v/>
      </c>
      <c r="L5556" s="380" t="str">
        <f>IF(C5556="","",G5531*C5556)</f>
        <v/>
      </c>
      <c r="M5556" s="381" t="str">
        <f>IF(A5556="","",VLOOKUP(A5556,VII.A!$A$10:$B$199,2,FALSE))</f>
        <v/>
      </c>
      <c r="N5556" s="342" t="str">
        <f t="shared" si="1426"/>
        <v/>
      </c>
      <c r="R5556" s="341"/>
      <c r="S5556" s="341"/>
    </row>
    <row r="5557" spans="1:19" ht="12.75" customHeight="1">
      <c r="A5557" s="393"/>
      <c r="C5557" s="20"/>
      <c r="E5557" s="387"/>
      <c r="F5557" s="388">
        <f t="shared" si="1423"/>
        <v>0</v>
      </c>
      <c r="G5557" s="390"/>
      <c r="H5557" s="341" t="str">
        <f>IF(A5557="","",VLOOKUP(A5557,VII.A!$A$10:$D$199,4,FALSE))</f>
        <v/>
      </c>
      <c r="I5557" s="341" t="str">
        <f t="shared" si="1424"/>
        <v/>
      </c>
      <c r="J5557" s="341" t="str">
        <f>IF(A5557="","",VLOOKUP(A5557,VII.A!$A$10:$D$199,3,FALSE))</f>
        <v/>
      </c>
      <c r="K5557" s="342" t="str">
        <f t="shared" si="1425"/>
        <v/>
      </c>
      <c r="L5557" s="380" t="str">
        <f>IF(C5557="","",G5531*C5557)</f>
        <v/>
      </c>
      <c r="M5557" s="381" t="str">
        <f>IF(A5557="","",VLOOKUP(A5557,VII.A!$A$10:$B$199,2,FALSE))</f>
        <v/>
      </c>
      <c r="N5557" s="342" t="str">
        <f t="shared" si="1426"/>
        <v/>
      </c>
      <c r="R5557" s="341"/>
      <c r="S5557" s="341"/>
    </row>
    <row r="5558" spans="1:19" ht="12.75" customHeight="1">
      <c r="A5558" s="393"/>
      <c r="C5558" s="20"/>
      <c r="E5558" s="387"/>
      <c r="F5558" s="388">
        <f t="shared" si="1423"/>
        <v>0</v>
      </c>
      <c r="G5558" s="391"/>
      <c r="H5558" s="341" t="str">
        <f>IF(A5558="","",VLOOKUP(A5558,VII.A!$A$10:$D$199,4,FALSE))</f>
        <v/>
      </c>
      <c r="I5558" s="341" t="str">
        <f t="shared" si="1424"/>
        <v/>
      </c>
      <c r="J5558" s="341" t="str">
        <f>IF(A5558="","",VLOOKUP(A5558,VII.A!$A$10:$D$199,3,FALSE))</f>
        <v/>
      </c>
      <c r="K5558" s="342" t="str">
        <f t="shared" si="1425"/>
        <v/>
      </c>
      <c r="L5558" s="380" t="str">
        <f>IF(C5558="","",G5531*C5558)</f>
        <v/>
      </c>
      <c r="M5558" s="381" t="str">
        <f>IF(A5558="","",VLOOKUP(A5558,VII.A!$A$10:$B$199,2,FALSE))</f>
        <v/>
      </c>
      <c r="N5558" s="342" t="str">
        <f t="shared" si="1426"/>
        <v/>
      </c>
      <c r="R5558" s="341"/>
      <c r="S5558" s="341"/>
    </row>
    <row r="5559" spans="1:19" ht="12.75" customHeight="1">
      <c r="A5559" s="393"/>
      <c r="C5559" s="20"/>
      <c r="E5559" s="387"/>
      <c r="F5559" s="388">
        <f t="shared" si="1423"/>
        <v>0</v>
      </c>
      <c r="H5559" s="341" t="str">
        <f>IF(A5559="","",VLOOKUP(A5559,VII.A!$A$10:$D$199,4,FALSE))</f>
        <v/>
      </c>
      <c r="I5559" s="341" t="str">
        <f t="shared" si="1424"/>
        <v/>
      </c>
      <c r="J5559" s="341" t="str">
        <f>IF(A5559="","",VLOOKUP(A5559,VII.A!$A$10:$D$199,3,FALSE))</f>
        <v/>
      </c>
      <c r="K5559" s="342" t="str">
        <f t="shared" si="1425"/>
        <v/>
      </c>
      <c r="L5559" s="380" t="str">
        <f>IF(C5559="","",G5531*C5559)</f>
        <v/>
      </c>
      <c r="M5559" s="381" t="str">
        <f>IF(A5559="","",VLOOKUP(A5559,VII.A!$A$10:$B$199,2,FALSE))</f>
        <v/>
      </c>
      <c r="N5559" s="342" t="str">
        <f t="shared" si="1426"/>
        <v/>
      </c>
      <c r="R5559" s="341"/>
      <c r="S5559" s="341"/>
    </row>
    <row r="5560" spans="1:19" ht="12.75" customHeight="1">
      <c r="A5560" s="393"/>
      <c r="C5560" s="20"/>
      <c r="E5560" s="387"/>
      <c r="F5560" s="388">
        <f t="shared" si="1423"/>
        <v>0</v>
      </c>
      <c r="H5560" s="341" t="str">
        <f>IF(A5560="","",VLOOKUP(A5560,VII.A!$A$10:$D$199,4,FALSE))</f>
        <v/>
      </c>
      <c r="I5560" s="341" t="str">
        <f t="shared" si="1424"/>
        <v/>
      </c>
      <c r="J5560" s="341" t="str">
        <f>IF(A5560="","",VLOOKUP(A5560,VII.A!$A$10:$D$199,3,FALSE))</f>
        <v/>
      </c>
      <c r="K5560" s="342" t="str">
        <f t="shared" si="1425"/>
        <v/>
      </c>
      <c r="L5560" s="380" t="str">
        <f>IF(C5560="","",G5531*C5560)</f>
        <v/>
      </c>
      <c r="M5560" s="381" t="str">
        <f>IF(A5560="","",VLOOKUP(A5560,VII.A!$A$10:$B$199,2,FALSE))</f>
        <v/>
      </c>
      <c r="N5560" s="342" t="str">
        <f t="shared" si="1426"/>
        <v/>
      </c>
      <c r="R5560" s="341"/>
      <c r="S5560" s="341"/>
    </row>
    <row r="5561" spans="1:19" ht="12.75" customHeight="1">
      <c r="A5561" s="393"/>
      <c r="C5561" s="20"/>
      <c r="E5561" s="387"/>
      <c r="F5561" s="388">
        <f t="shared" si="1423"/>
        <v>0</v>
      </c>
      <c r="H5561" s="341" t="str">
        <f>IF(A5561="","",VLOOKUP(A5561,VII.A!$A$10:$D$199,4,FALSE))</f>
        <v/>
      </c>
      <c r="I5561" s="341" t="str">
        <f t="shared" si="1424"/>
        <v/>
      </c>
      <c r="J5561" s="341" t="str">
        <f>IF(A5561="","",VLOOKUP(A5561,VII.A!$A$10:$D$199,3,FALSE))</f>
        <v/>
      </c>
      <c r="K5561" s="342" t="str">
        <f t="shared" si="1425"/>
        <v/>
      </c>
      <c r="L5561" s="380" t="str">
        <f>IF(C5561="","",G5531*C5561)</f>
        <v/>
      </c>
      <c r="M5561" s="381" t="str">
        <f>IF(A5561="","",VLOOKUP(A5561,VII.A!$A$10:$B$199,2,FALSE))</f>
        <v/>
      </c>
      <c r="N5561" s="342" t="str">
        <f t="shared" si="1426"/>
        <v/>
      </c>
      <c r="R5561" s="341"/>
      <c r="S5561" s="341"/>
    </row>
    <row r="5562" spans="1:19" ht="12.75" customHeight="1">
      <c r="A5562" s="393"/>
      <c r="C5562" s="20"/>
      <c r="E5562" s="387"/>
      <c r="F5562" s="388">
        <f t="shared" si="1423"/>
        <v>0</v>
      </c>
      <c r="H5562" s="341" t="str">
        <f>IF(A5562="","",VLOOKUP(A5562,VII.A!$A$10:$D$199,4,FALSE))</f>
        <v/>
      </c>
      <c r="I5562" s="341" t="str">
        <f t="shared" si="1424"/>
        <v/>
      </c>
      <c r="J5562" s="341" t="str">
        <f>IF(A5562="","",VLOOKUP(A5562,VII.A!$A$10:$D$199,3,FALSE))</f>
        <v/>
      </c>
      <c r="K5562" s="342" t="str">
        <f t="shared" si="1425"/>
        <v/>
      </c>
      <c r="L5562" s="380" t="str">
        <f>IF(C5562="","",G5531*C5562)</f>
        <v/>
      </c>
      <c r="M5562" s="381" t="str">
        <f>IF(A5562="","",VLOOKUP(A5562,VII.A!$A$10:$B$199,2,FALSE))</f>
        <v/>
      </c>
      <c r="N5562" s="342" t="str">
        <f t="shared" si="1426"/>
        <v/>
      </c>
      <c r="R5562" s="341"/>
      <c r="S5562" s="341"/>
    </row>
    <row r="5563" spans="1:19" ht="12.75" customHeight="1">
      <c r="A5563" s="393"/>
      <c r="B5563" s="395" t="s">
        <v>226</v>
      </c>
      <c r="C5563" s="396"/>
      <c r="D5563" s="397"/>
      <c r="E5563" s="398"/>
      <c r="F5563" s="399">
        <f>SUM(F5553:F5562)</f>
        <v>0</v>
      </c>
      <c r="J5563" s="341"/>
      <c r="L5563" s="380"/>
      <c r="M5563" s="381"/>
      <c r="N5563" s="342"/>
      <c r="R5563" s="341"/>
      <c r="S5563" s="341"/>
    </row>
    <row r="5564" spans="1:19" ht="12.75" customHeight="1">
      <c r="A5564" s="393"/>
      <c r="B5564" s="400" t="s">
        <v>53</v>
      </c>
      <c r="C5564" s="2">
        <f>$D$8</f>
        <v>0</v>
      </c>
      <c r="D5564" s="401"/>
      <c r="E5564" s="402"/>
      <c r="F5564" s="403">
        <f>ROUND(C5564*F5563,2)</f>
        <v>0</v>
      </c>
      <c r="J5564" s="341"/>
      <c r="L5564" s="380"/>
      <c r="M5564" s="381"/>
      <c r="N5564" s="342"/>
      <c r="R5564" s="341"/>
      <c r="S5564" s="341"/>
    </row>
    <row r="5565" spans="1:19" ht="12.75" customHeight="1">
      <c r="A5565" s="404"/>
      <c r="B5565" s="405" t="s">
        <v>228</v>
      </c>
      <c r="C5565" s="406"/>
      <c r="D5565" s="406"/>
      <c r="E5565" s="407"/>
      <c r="F5565" s="408">
        <f>F5563+F5564</f>
        <v>0</v>
      </c>
      <c r="J5565" s="341"/>
      <c r="L5565" s="380"/>
      <c r="M5565" s="381"/>
      <c r="N5565" s="342"/>
      <c r="R5565" s="341"/>
      <c r="S5565" s="341"/>
    </row>
    <row r="5566" spans="1:19" ht="12.75" customHeight="1">
      <c r="A5566" s="409" t="s">
        <v>47</v>
      </c>
      <c r="B5566" s="410" t="s">
        <v>236</v>
      </c>
      <c r="C5566" s="411" t="s">
        <v>231</v>
      </c>
      <c r="D5566" s="412" t="s">
        <v>232</v>
      </c>
      <c r="E5566" s="413" t="s">
        <v>233</v>
      </c>
      <c r="F5566" s="378" t="s">
        <v>234</v>
      </c>
      <c r="J5566" s="341"/>
      <c r="L5566" s="380"/>
      <c r="M5566" s="381"/>
      <c r="N5566" s="342"/>
      <c r="R5566" s="341"/>
      <c r="S5566" s="341"/>
    </row>
    <row r="5567" spans="1:19" ht="12.75" customHeight="1">
      <c r="A5567" s="393" t="str">
        <f>VII.A!$A$196</f>
        <v>3.16</v>
      </c>
      <c r="B5567" s="394" t="s">
        <v>157</v>
      </c>
      <c r="C5567" s="20">
        <v>0.5</v>
      </c>
      <c r="D5567" s="384" t="str">
        <f>VLOOKUP(A5567,VII.A!$A$10:$G$199,3,FALSE)</f>
        <v>H</v>
      </c>
      <c r="E5567" s="387">
        <f>VII.A!$D$196</f>
        <v>0</v>
      </c>
      <c r="F5567" s="388">
        <f t="shared" ref="F5567:F5573" si="1427">ROUND(C5567*E5567,2)</f>
        <v>0</v>
      </c>
      <c r="H5567" s="341">
        <f>IF(A5567="","",VLOOKUP(A5567,VII.A!$A$10:$D$199,4,FALSE))</f>
        <v>0</v>
      </c>
      <c r="I5567" s="341" t="str">
        <f t="shared" ref="I5567:I5573" si="1428">IF(A5567="","",IF(E5567=H5567,"SIM","NÃO"))</f>
        <v>SIM</v>
      </c>
      <c r="J5567" s="341" t="str">
        <f>IF(A5567="","",VLOOKUP(A5567,VII.A!$A$10:$D$199,3,FALSE))</f>
        <v>H</v>
      </c>
      <c r="K5567" s="342" t="str">
        <f t="shared" ref="K5567:K5573" si="1429">IF(A5567="","",IF(J5567=D5567,"SIM","NÃO"))</f>
        <v>SIM</v>
      </c>
      <c r="L5567" s="380">
        <f>IF(C5567="","",G5531*C5567)</f>
        <v>4000</v>
      </c>
      <c r="M5567" s="381" t="str">
        <f>IF(A5567="","",VLOOKUP(A5567,VII.A!$A$10:$B$199,2,FALSE))</f>
        <v>SERVENTE COM ENCARGOS COMPLEMENTARES</v>
      </c>
      <c r="N5567" s="342" t="str">
        <f t="shared" ref="N5567:N5573" si="1430">IF(B5567="","",IF(M5567=B5567,"si","no"))</f>
        <v>si</v>
      </c>
      <c r="R5567" s="341"/>
      <c r="S5567" s="341"/>
    </row>
    <row r="5568" spans="1:19" ht="12.75" customHeight="1">
      <c r="A5568" s="393"/>
      <c r="C5568" s="20"/>
      <c r="E5568" s="387"/>
      <c r="F5568" s="388">
        <f t="shared" si="1427"/>
        <v>0</v>
      </c>
      <c r="H5568" s="341" t="str">
        <f>IF(A5568="","",VLOOKUP(A5568,VII.A!$A$10:$D$199,4,FALSE))</f>
        <v/>
      </c>
      <c r="I5568" s="341" t="str">
        <f t="shared" si="1428"/>
        <v/>
      </c>
      <c r="J5568" s="341" t="str">
        <f>IF(A5568="","",VLOOKUP(A5568,VII.A!$A$10:$D$199,3,FALSE))</f>
        <v/>
      </c>
      <c r="K5568" s="342" t="str">
        <f t="shared" si="1429"/>
        <v/>
      </c>
      <c r="L5568" s="380" t="str">
        <f>IF(C5568="","",G5531*C5568)</f>
        <v/>
      </c>
      <c r="M5568" s="381" t="str">
        <f>IF(A5568="","",VLOOKUP(A5568,VII.A!$A$10:$B$199,2,FALSE))</f>
        <v/>
      </c>
      <c r="N5568" s="342" t="str">
        <f t="shared" si="1430"/>
        <v/>
      </c>
      <c r="R5568" s="341"/>
      <c r="S5568" s="341"/>
    </row>
    <row r="5569" spans="1:28" ht="12.75" customHeight="1">
      <c r="A5569" s="393"/>
      <c r="C5569" s="20"/>
      <c r="E5569" s="387"/>
      <c r="F5569" s="388">
        <f t="shared" si="1427"/>
        <v>0</v>
      </c>
      <c r="H5569" s="341" t="str">
        <f>IF(A5569="","",VLOOKUP(A5569,VII.A!$A$10:$D$199,4,FALSE))</f>
        <v/>
      </c>
      <c r="I5569" s="341" t="str">
        <f t="shared" si="1428"/>
        <v/>
      </c>
      <c r="J5569" s="341" t="str">
        <f>IF(A5569="","",VLOOKUP(A5569,VII.A!$A$10:$D$199,3,FALSE))</f>
        <v/>
      </c>
      <c r="K5569" s="342" t="str">
        <f t="shared" si="1429"/>
        <v/>
      </c>
      <c r="L5569" s="380" t="str">
        <f>IF(C5569="","",G5531*C5569)</f>
        <v/>
      </c>
      <c r="M5569" s="381" t="str">
        <f>IF(A5569="","",VLOOKUP(A5569,VII.A!$A$10:$B$199,2,FALSE))</f>
        <v/>
      </c>
      <c r="N5569" s="342" t="str">
        <f t="shared" si="1430"/>
        <v/>
      </c>
      <c r="R5569" s="341"/>
      <c r="S5569" s="341"/>
    </row>
    <row r="5570" spans="1:28" ht="12.75" customHeight="1">
      <c r="A5570" s="393"/>
      <c r="C5570" s="20"/>
      <c r="E5570" s="387"/>
      <c r="F5570" s="388">
        <f t="shared" si="1427"/>
        <v>0</v>
      </c>
      <c r="H5570" s="341" t="str">
        <f>IF(A5570="","",VLOOKUP(A5570,VII.A!$A$10:$D$199,4,FALSE))</f>
        <v/>
      </c>
      <c r="I5570" s="341" t="str">
        <f t="shared" si="1428"/>
        <v/>
      </c>
      <c r="J5570" s="341" t="str">
        <f>IF(A5570="","",VLOOKUP(A5570,VII.A!$A$10:$D$199,3,FALSE))</f>
        <v/>
      </c>
      <c r="K5570" s="342" t="str">
        <f t="shared" si="1429"/>
        <v/>
      </c>
      <c r="L5570" s="380" t="str">
        <f>IF(C5570="","",G5531*C5570)</f>
        <v/>
      </c>
      <c r="M5570" s="381" t="str">
        <f>IF(A5570="","",VLOOKUP(A5570,VII.A!$A$10:$B$199,2,FALSE))</f>
        <v/>
      </c>
      <c r="N5570" s="342" t="str">
        <f t="shared" si="1430"/>
        <v/>
      </c>
      <c r="R5570" s="341"/>
      <c r="S5570" s="341"/>
    </row>
    <row r="5571" spans="1:28" ht="12.75" customHeight="1">
      <c r="A5571" s="393"/>
      <c r="C5571" s="20"/>
      <c r="E5571" s="387"/>
      <c r="F5571" s="388">
        <f t="shared" si="1427"/>
        <v>0</v>
      </c>
      <c r="H5571" s="341" t="str">
        <f>IF(A5571="","",VLOOKUP(A5571,VII.A!$A$10:$D$199,4,FALSE))</f>
        <v/>
      </c>
      <c r="I5571" s="341" t="str">
        <f t="shared" si="1428"/>
        <v/>
      </c>
      <c r="J5571" s="341" t="str">
        <f>IF(A5571="","",VLOOKUP(A5571,VII.A!$A$10:$D$199,3,FALSE))</f>
        <v/>
      </c>
      <c r="K5571" s="342" t="str">
        <f t="shared" si="1429"/>
        <v/>
      </c>
      <c r="L5571" s="380" t="str">
        <f>IF(C5571="","",G5531*C5571)</f>
        <v/>
      </c>
      <c r="M5571" s="381" t="str">
        <f>IF(A5571="","",VLOOKUP(A5571,VII.A!$A$10:$B$199,2,FALSE))</f>
        <v/>
      </c>
      <c r="N5571" s="342" t="str">
        <f t="shared" si="1430"/>
        <v/>
      </c>
      <c r="R5571" s="341"/>
      <c r="S5571" s="341"/>
    </row>
    <row r="5572" spans="1:28" ht="12.75" customHeight="1">
      <c r="A5572" s="393"/>
      <c r="C5572" s="20"/>
      <c r="E5572" s="387"/>
      <c r="F5572" s="388">
        <f t="shared" si="1427"/>
        <v>0</v>
      </c>
      <c r="H5572" s="341" t="str">
        <f>IF(A5572="","",VLOOKUP(A5572,VII.A!$A$10:$D$199,4,FALSE))</f>
        <v/>
      </c>
      <c r="I5572" s="341" t="str">
        <f t="shared" si="1428"/>
        <v/>
      </c>
      <c r="J5572" s="341" t="str">
        <f>IF(A5572="","",VLOOKUP(A5572,VII.A!$A$10:$D$199,3,FALSE))</f>
        <v/>
      </c>
      <c r="K5572" s="342" t="str">
        <f t="shared" si="1429"/>
        <v/>
      </c>
      <c r="L5572" s="380" t="str">
        <f>IF(C5572="","",G5531*C5572)</f>
        <v/>
      </c>
      <c r="M5572" s="381" t="str">
        <f>IF(A5572="","",VLOOKUP(A5572,VII.A!$A$10:$B$199,2,FALSE))</f>
        <v/>
      </c>
      <c r="N5572" s="342" t="str">
        <f t="shared" si="1430"/>
        <v/>
      </c>
      <c r="R5572" s="341"/>
      <c r="S5572" s="341"/>
    </row>
    <row r="5573" spans="1:28" ht="12.75" customHeight="1">
      <c r="A5573" s="393"/>
      <c r="C5573" s="20"/>
      <c r="E5573" s="387"/>
      <c r="F5573" s="388">
        <f t="shared" si="1427"/>
        <v>0</v>
      </c>
      <c r="H5573" s="341" t="str">
        <f>IF(A5573="","",VLOOKUP(A5573,VII.A!$A$10:$D$199,4,FALSE))</f>
        <v/>
      </c>
      <c r="I5573" s="341" t="str">
        <f t="shared" si="1428"/>
        <v/>
      </c>
      <c r="J5573" s="341" t="str">
        <f>IF(A5573="","",VLOOKUP(A5573,VII.A!$A$10:$D$199,3,FALSE))</f>
        <v/>
      </c>
      <c r="K5573" s="342" t="str">
        <f t="shared" si="1429"/>
        <v/>
      </c>
      <c r="L5573" s="380" t="str">
        <f>IF(C5573="","",G5531*C5573)</f>
        <v/>
      </c>
      <c r="M5573" s="381" t="str">
        <f>IF(A5573="","",VLOOKUP(A5573,VII.A!$A$10:$B$199,2,FALSE))</f>
        <v/>
      </c>
      <c r="N5573" s="342" t="str">
        <f t="shared" si="1430"/>
        <v/>
      </c>
      <c r="R5573" s="341"/>
      <c r="S5573" s="341"/>
    </row>
    <row r="5574" spans="1:28" ht="12.75" customHeight="1">
      <c r="A5574" s="393"/>
      <c r="B5574" s="395" t="s">
        <v>226</v>
      </c>
      <c r="C5574" s="396"/>
      <c r="D5574" s="397"/>
      <c r="E5574" s="398"/>
      <c r="F5574" s="399">
        <f>SUM(F5567:F5573)</f>
        <v>0</v>
      </c>
      <c r="J5574" s="341"/>
      <c r="L5574" s="380"/>
      <c r="M5574" s="381"/>
      <c r="N5574" s="342"/>
      <c r="R5574" s="341"/>
      <c r="S5574" s="341"/>
    </row>
    <row r="5575" spans="1:28" ht="12.75" customHeight="1">
      <c r="A5575" s="393"/>
      <c r="B5575" s="400" t="s">
        <v>229</v>
      </c>
      <c r="C5575" s="2">
        <f>IX.A!$C$45</f>
        <v>0</v>
      </c>
      <c r="D5575" s="401"/>
      <c r="E5575" s="402"/>
      <c r="F5575" s="403">
        <f>ROUND(F5574*C5575,2)</f>
        <v>0</v>
      </c>
      <c r="J5575" s="341"/>
      <c r="L5575" s="380"/>
      <c r="M5575" s="381"/>
      <c r="N5575" s="342"/>
      <c r="R5575" s="341"/>
      <c r="S5575" s="341"/>
    </row>
    <row r="5576" spans="1:28" ht="12.75" customHeight="1">
      <c r="A5576" s="393"/>
      <c r="B5576" s="400" t="s">
        <v>53</v>
      </c>
      <c r="C5576" s="2">
        <f>$D$8</f>
        <v>0</v>
      </c>
      <c r="D5576" s="401"/>
      <c r="E5576" s="402"/>
      <c r="F5576" s="403">
        <f>ROUND(SUM(F5574:F5575)*C5576,2)</f>
        <v>0</v>
      </c>
      <c r="J5576" s="341"/>
      <c r="L5576" s="380"/>
      <c r="M5576" s="381"/>
      <c r="N5576" s="342"/>
      <c r="R5576" s="341"/>
      <c r="S5576" s="341"/>
    </row>
    <row r="5577" spans="1:28" ht="12.75" customHeight="1" thickBot="1">
      <c r="A5577" s="414"/>
      <c r="B5577" s="415" t="s">
        <v>230</v>
      </c>
      <c r="C5577" s="416"/>
      <c r="D5577" s="416"/>
      <c r="E5577" s="417"/>
      <c r="F5577" s="418">
        <f>SUM(F5574:F5576)</f>
        <v>0</v>
      </c>
      <c r="J5577" s="341"/>
      <c r="L5577" s="380"/>
      <c r="M5577" s="381"/>
      <c r="N5577" s="342"/>
      <c r="R5577" s="341"/>
      <c r="S5577" s="341"/>
    </row>
    <row r="5578" spans="1:28" ht="12.75" customHeight="1" thickBot="1">
      <c r="A5578" s="427"/>
      <c r="B5578" s="428"/>
      <c r="C5578" s="429"/>
      <c r="D5578" s="429"/>
      <c r="E5578" s="430"/>
      <c r="F5578" s="431"/>
      <c r="G5578" s="452"/>
      <c r="H5578" s="453"/>
      <c r="I5578" s="454"/>
      <c r="J5578" s="454"/>
      <c r="K5578" s="455"/>
      <c r="L5578" s="456"/>
      <c r="M5578" s="356"/>
      <c r="N5578" s="341"/>
      <c r="O5578" s="341"/>
      <c r="P5578" s="341"/>
      <c r="Q5578" s="342"/>
      <c r="R5578" s="380"/>
      <c r="S5578" s="381"/>
      <c r="U5578" s="343"/>
      <c r="V5578" s="344"/>
      <c r="W5578" s="344"/>
      <c r="X5578" s="341"/>
      <c r="Y5578" s="341"/>
      <c r="Z5578" s="342"/>
      <c r="AA5578" s="342"/>
      <c r="AB5578" s="342"/>
    </row>
    <row r="5579" spans="1:28" ht="30" customHeight="1">
      <c r="A5579" s="370" t="str">
        <f>IV.A!A165</f>
        <v>7.9</v>
      </c>
      <c r="B5579" s="457" t="str">
        <f>IV.A!B165</f>
        <v>CORTE COM SERRA CLIPPER EM PISO CIMENTADO OU PAVIMENTAÇÃO ASFÁLTICA</v>
      </c>
      <c r="C5579" s="871" t="s">
        <v>237</v>
      </c>
      <c r="D5579" s="872"/>
      <c r="E5579" s="372" t="str">
        <f>IV.A!$C$165</f>
        <v>M</v>
      </c>
      <c r="F5579" s="11">
        <f>ROUND(F5599+F5613+F5625,2)</f>
        <v>0</v>
      </c>
      <c r="G5579" s="1">
        <f>VLOOKUP(A5579,IV.A!$A$16:$L$172,4,FALSE)</f>
        <v>200</v>
      </c>
      <c r="H5579" s="361">
        <f>SUM(F5581:F5596)+F5598</f>
        <v>0</v>
      </c>
      <c r="I5579" s="361">
        <f>SUM(F5601:F5610)+F5612</f>
        <v>0</v>
      </c>
      <c r="J5579" s="361">
        <f>SUM(F5615:F5621)+F5623+F5624</f>
        <v>0</v>
      </c>
      <c r="K5579" s="361">
        <f>SUM(H5579:J5579)</f>
        <v>0</v>
      </c>
      <c r="L5579" s="362" t="str">
        <f>IF(K5579=F5579,"SIM","NÃO")</f>
        <v>SIM</v>
      </c>
      <c r="M5579" s="373">
        <f>ROUND(SUM(F5581:F5596),2)+ROUND(SUM(F5581:F5596)*C5598,2)+ROUND(SUM(F5601:F5610)*C5612,2)+ROUND(SUM(F5601:F5610),2)+ROUND(SUM(F5615:F5621)*C5623,2)+ROUND((SUM(F5615:F5621)+ROUND(SUM(F5615:F5621)*C5623,2))*C5624,2)+ROUND(SUM(F5615:F5621),2)</f>
        <v>0</v>
      </c>
      <c r="N5579" s="343" t="str">
        <f>IF(M5579=F5579,"SIM","NÃO")</f>
        <v>SIM</v>
      </c>
      <c r="O5579" s="364" t="str">
        <f>VLOOKUP(A5579,IV.A!$A$16:$E$172,3,FALSE)</f>
        <v>M</v>
      </c>
      <c r="P5579" s="344" t="str">
        <f>IF(O5579=E5579,"SIM","NÃO")</f>
        <v>SIM</v>
      </c>
      <c r="Q5579" s="365">
        <f>ROUND(G5579*F5599,2)+ROUND(G5579*F5613,2)+ROUND(G5579*F5625,2)</f>
        <v>0</v>
      </c>
      <c r="R5579" s="364">
        <f>VLOOKUP(A5579,IV.A!$A$16:$L$172,12,FALSE)</f>
        <v>0</v>
      </c>
      <c r="S5579" s="366" t="str">
        <f>IF(Q5579=R5579,"si","no")</f>
        <v>si</v>
      </c>
      <c r="T5579" s="367">
        <f>SUM(L5581:L5596)+SUM(L5601:L5610)+SUM(L5615:L5621)</f>
        <v>40</v>
      </c>
      <c r="U5579" s="341">
        <f>(SUM(C5581:C5596)+SUM(C5601:C5610)+SUM(C5615:C5621))*G5579</f>
        <v>40</v>
      </c>
      <c r="V5579" s="368" t="str">
        <f>IF(T5579=U5579,"si","no")</f>
        <v>si</v>
      </c>
      <c r="W5579" s="369">
        <f>SUM(F5581:F5596)</f>
        <v>0</v>
      </c>
      <c r="X5579" s="369">
        <f>SUM(F5601:F5610)</f>
        <v>0</v>
      </c>
      <c r="Y5579" s="369">
        <f>SUM(F5615:F5621)</f>
        <v>0</v>
      </c>
    </row>
    <row r="5580" spans="1:28" ht="12.75" customHeight="1">
      <c r="A5580" s="374" t="s">
        <v>14</v>
      </c>
      <c r="B5580" s="375" t="s">
        <v>132</v>
      </c>
      <c r="C5580" s="376" t="s">
        <v>231</v>
      </c>
      <c r="D5580" s="376" t="s">
        <v>232</v>
      </c>
      <c r="E5580" s="377" t="s">
        <v>233</v>
      </c>
      <c r="F5580" s="378" t="s">
        <v>234</v>
      </c>
      <c r="G5580" s="379"/>
      <c r="J5580" s="341"/>
      <c r="L5580" s="380"/>
      <c r="M5580" s="381"/>
      <c r="N5580" s="342"/>
      <c r="O5580" s="382"/>
      <c r="P5580" s="383"/>
      <c r="Q5580" s="383"/>
      <c r="R5580" s="383"/>
      <c r="S5580" s="383"/>
      <c r="T5580" s="382"/>
      <c r="U5580" s="341"/>
      <c r="V5580" s="384"/>
      <c r="W5580" s="384"/>
      <c r="X5580" s="384"/>
      <c r="Y5580" s="384"/>
    </row>
    <row r="5581" spans="1:28" ht="12.75" customHeight="1">
      <c r="A5581" s="385"/>
      <c r="B5581" s="386"/>
      <c r="C5581" s="20"/>
      <c r="D5581" s="342"/>
      <c r="E5581" s="387"/>
      <c r="F5581" s="388">
        <f>ROUND(C5581*E5581,2)</f>
        <v>0</v>
      </c>
      <c r="H5581" s="341" t="str">
        <f>IF(A5581="","",VLOOKUP(A5581,VII.A!$A$10:$D$199,4,FALSE))</f>
        <v/>
      </c>
      <c r="I5581" s="341" t="str">
        <f t="shared" ref="I5581:I5596" si="1431">IF(A5581="","",IF(E5581=H5581,"SIM","NÃO"))</f>
        <v/>
      </c>
      <c r="J5581" s="341" t="str">
        <f>IF(A5581="","",VLOOKUP(A5581,VII.A!$A$10:$D$199,3,FALSE))</f>
        <v/>
      </c>
      <c r="K5581" s="342" t="str">
        <f t="shared" ref="K5581:K5596" si="1432">IF(A5581="","",IF(J5581=D5581,"SIM","NÃO"))</f>
        <v/>
      </c>
      <c r="L5581" s="380" t="str">
        <f>IF(C5581="","",G5579*C5581)</f>
        <v/>
      </c>
      <c r="M5581" s="381" t="str">
        <f>IF(A5581="","",VLOOKUP(A5581,VII.A!$A$10:$B$199,2,FALSE))</f>
        <v/>
      </c>
      <c r="N5581" s="342" t="str">
        <f t="shared" ref="N5581:N5596" si="1433">IF(B5581="","",IF(M5581=B5581,"si","no"))</f>
        <v/>
      </c>
      <c r="R5581" s="341"/>
      <c r="S5581" s="341"/>
    </row>
    <row r="5582" spans="1:28" ht="12.75" customHeight="1">
      <c r="A5582" s="385"/>
      <c r="B5582" s="386"/>
      <c r="C5582" s="20"/>
      <c r="D5582" s="342"/>
      <c r="E5582" s="387"/>
      <c r="F5582" s="388">
        <f t="shared" ref="F5582:F5596" si="1434">ROUND(C5582*E5582,2)</f>
        <v>0</v>
      </c>
      <c r="H5582" s="341" t="str">
        <f>IF(A5582="","",VLOOKUP(A5582,VII.A!$A$10:$D$199,4,FALSE))</f>
        <v/>
      </c>
      <c r="I5582" s="341" t="str">
        <f t="shared" si="1431"/>
        <v/>
      </c>
      <c r="J5582" s="341" t="str">
        <f>IF(A5582="","",VLOOKUP(A5582,VII.A!$A$10:$D$199,3,FALSE))</f>
        <v/>
      </c>
      <c r="K5582" s="342" t="str">
        <f t="shared" si="1432"/>
        <v/>
      </c>
      <c r="L5582" s="380" t="str">
        <f>IF(C5582="","",G5579*C5582)</f>
        <v/>
      </c>
      <c r="M5582" s="381" t="str">
        <f>IF(A5582="","",VLOOKUP(A5582,VII.A!$A$10:$B$199,2,FALSE))</f>
        <v/>
      </c>
      <c r="N5582" s="342" t="str">
        <f t="shared" si="1433"/>
        <v/>
      </c>
      <c r="R5582" s="341"/>
      <c r="S5582" s="341"/>
    </row>
    <row r="5583" spans="1:28" ht="12.75" customHeight="1">
      <c r="A5583" s="385"/>
      <c r="B5583" s="386"/>
      <c r="C5583" s="20"/>
      <c r="D5583" s="342"/>
      <c r="E5583" s="387"/>
      <c r="F5583" s="388">
        <f t="shared" si="1434"/>
        <v>0</v>
      </c>
      <c r="H5583" s="341" t="str">
        <f>IF(A5583="","",VLOOKUP(A5583,VII.A!$A$10:$D$199,4,FALSE))</f>
        <v/>
      </c>
      <c r="I5583" s="341" t="str">
        <f t="shared" si="1431"/>
        <v/>
      </c>
      <c r="J5583" s="341" t="str">
        <f>IF(A5583="","",VLOOKUP(A5583,VII.A!$A$10:$D$199,3,FALSE))</f>
        <v/>
      </c>
      <c r="K5583" s="342" t="str">
        <f t="shared" si="1432"/>
        <v/>
      </c>
      <c r="L5583" s="380" t="str">
        <f>IF(C5583="","",G5579*C5583)</f>
        <v/>
      </c>
      <c r="M5583" s="381" t="str">
        <f>IF(A5583="","",VLOOKUP(A5583,VII.A!$A$10:$B$199,2,FALSE))</f>
        <v/>
      </c>
      <c r="N5583" s="342" t="str">
        <f t="shared" si="1433"/>
        <v/>
      </c>
      <c r="R5583" s="341"/>
      <c r="S5583" s="341"/>
    </row>
    <row r="5584" spans="1:28" ht="12.75" customHeight="1">
      <c r="A5584" s="385"/>
      <c r="B5584" s="386"/>
      <c r="C5584" s="20"/>
      <c r="D5584" s="342"/>
      <c r="E5584" s="387"/>
      <c r="F5584" s="388">
        <f t="shared" si="1434"/>
        <v>0</v>
      </c>
      <c r="H5584" s="341" t="str">
        <f>IF(A5584="","",VLOOKUP(A5584,VII.A!$A$10:$D$199,4,FALSE))</f>
        <v/>
      </c>
      <c r="I5584" s="341" t="str">
        <f t="shared" si="1431"/>
        <v/>
      </c>
      <c r="J5584" s="341" t="str">
        <f>IF(A5584="","",VLOOKUP(A5584,VII.A!$A$10:$D$199,3,FALSE))</f>
        <v/>
      </c>
      <c r="K5584" s="342" t="str">
        <f t="shared" si="1432"/>
        <v/>
      </c>
      <c r="L5584" s="380" t="str">
        <f>IF(C5584="","",G5579*C5584)</f>
        <v/>
      </c>
      <c r="M5584" s="381" t="str">
        <f>IF(A5584="","",VLOOKUP(A5584,VII.A!$A$10:$B$199,2,FALSE))</f>
        <v/>
      </c>
      <c r="N5584" s="342" t="str">
        <f t="shared" si="1433"/>
        <v/>
      </c>
      <c r="R5584" s="341"/>
      <c r="S5584" s="341"/>
    </row>
    <row r="5585" spans="1:21" ht="12.75" customHeight="1">
      <c r="A5585" s="385"/>
      <c r="B5585" s="386"/>
      <c r="C5585" s="20"/>
      <c r="D5585" s="342"/>
      <c r="E5585" s="387"/>
      <c r="F5585" s="388">
        <f t="shared" si="1434"/>
        <v>0</v>
      </c>
      <c r="H5585" s="341" t="str">
        <f>IF(A5585="","",VLOOKUP(A5585,VII.A!$A$10:$D$199,4,FALSE))</f>
        <v/>
      </c>
      <c r="I5585" s="341" t="str">
        <f t="shared" si="1431"/>
        <v/>
      </c>
      <c r="J5585" s="341" t="str">
        <f>IF(A5585="","",VLOOKUP(A5585,VII.A!$A$10:$D$199,3,FALSE))</f>
        <v/>
      </c>
      <c r="K5585" s="342" t="str">
        <f t="shared" si="1432"/>
        <v/>
      </c>
      <c r="L5585" s="380" t="str">
        <f>IF(C5585="","",G5579*C5585)</f>
        <v/>
      </c>
      <c r="M5585" s="381" t="str">
        <f>IF(A5585="","",VLOOKUP(A5585,VII.A!$A$10:$B$199,2,FALSE))</f>
        <v/>
      </c>
      <c r="N5585" s="342" t="str">
        <f t="shared" si="1433"/>
        <v/>
      </c>
      <c r="R5585" s="341"/>
      <c r="S5585" s="341"/>
    </row>
    <row r="5586" spans="1:21" ht="12.75" customHeight="1">
      <c r="A5586" s="385"/>
      <c r="B5586" s="386"/>
      <c r="C5586" s="20"/>
      <c r="D5586" s="342"/>
      <c r="E5586" s="387"/>
      <c r="F5586" s="388">
        <f t="shared" si="1434"/>
        <v>0</v>
      </c>
      <c r="H5586" s="341" t="str">
        <f>IF(A5586="","",VLOOKUP(A5586,VII.A!$A$10:$D$199,4,FALSE))</f>
        <v/>
      </c>
      <c r="I5586" s="341" t="str">
        <f t="shared" si="1431"/>
        <v/>
      </c>
      <c r="J5586" s="341" t="str">
        <f>IF(A5586="","",VLOOKUP(A5586,VII.A!$A$10:$D$199,3,FALSE))</f>
        <v/>
      </c>
      <c r="K5586" s="342" t="str">
        <f t="shared" si="1432"/>
        <v/>
      </c>
      <c r="L5586" s="380" t="str">
        <f>IF(C5586="","",G5579*C5586)</f>
        <v/>
      </c>
      <c r="M5586" s="381" t="str">
        <f>IF(A5586="","",VLOOKUP(A5586,VII.A!$A$10:$B$199,2,FALSE))</f>
        <v/>
      </c>
      <c r="N5586" s="342" t="str">
        <f t="shared" si="1433"/>
        <v/>
      </c>
      <c r="R5586" s="341"/>
      <c r="S5586" s="341"/>
      <c r="U5586" s="389"/>
    </row>
    <row r="5587" spans="1:21" ht="12.75" customHeight="1">
      <c r="A5587" s="385"/>
      <c r="B5587" s="386"/>
      <c r="C5587" s="20"/>
      <c r="D5587" s="342"/>
      <c r="E5587" s="387"/>
      <c r="F5587" s="388">
        <f t="shared" si="1434"/>
        <v>0</v>
      </c>
      <c r="H5587" s="341" t="str">
        <f>IF(A5587="","",VLOOKUP(A5587,VII.A!$A$10:$D$199,4,FALSE))</f>
        <v/>
      </c>
      <c r="I5587" s="341" t="str">
        <f t="shared" si="1431"/>
        <v/>
      </c>
      <c r="J5587" s="341" t="str">
        <f>IF(A5587="","",VLOOKUP(A5587,VII.A!$A$10:$D$199,3,FALSE))</f>
        <v/>
      </c>
      <c r="K5587" s="342" t="str">
        <f t="shared" si="1432"/>
        <v/>
      </c>
      <c r="L5587" s="380" t="str">
        <f>IF(C5587="","",G5579*C5587)</f>
        <v/>
      </c>
      <c r="M5587" s="381" t="str">
        <f>IF(A5587="","",VLOOKUP(A5587,VII.A!$A$10:$B$199,2,FALSE))</f>
        <v/>
      </c>
      <c r="N5587" s="342" t="str">
        <f t="shared" si="1433"/>
        <v/>
      </c>
      <c r="R5587" s="341"/>
      <c r="S5587" s="341"/>
    </row>
    <row r="5588" spans="1:21" ht="12.75" customHeight="1">
      <c r="A5588" s="385"/>
      <c r="B5588" s="386"/>
      <c r="C5588" s="20"/>
      <c r="D5588" s="342"/>
      <c r="E5588" s="387"/>
      <c r="F5588" s="388">
        <f t="shared" si="1434"/>
        <v>0</v>
      </c>
      <c r="G5588" s="390"/>
      <c r="H5588" s="341" t="str">
        <f>IF(A5588="","",VLOOKUP(A5588,VII.A!$A$10:$D$199,4,FALSE))</f>
        <v/>
      </c>
      <c r="I5588" s="341" t="str">
        <f t="shared" si="1431"/>
        <v/>
      </c>
      <c r="J5588" s="341" t="str">
        <f>IF(A5588="","",VLOOKUP(A5588,VII.A!$A$10:$D$199,3,FALSE))</f>
        <v/>
      </c>
      <c r="K5588" s="342" t="str">
        <f t="shared" si="1432"/>
        <v/>
      </c>
      <c r="L5588" s="380" t="str">
        <f>IF(C5588="","",G5579*C5588)</f>
        <v/>
      </c>
      <c r="M5588" s="381" t="str">
        <f>IF(A5588="","",VLOOKUP(A5588,VII.A!$A$10:$B$199,2,FALSE))</f>
        <v/>
      </c>
      <c r="N5588" s="342" t="str">
        <f t="shared" si="1433"/>
        <v/>
      </c>
      <c r="R5588" s="341"/>
      <c r="S5588" s="341"/>
    </row>
    <row r="5589" spans="1:21" ht="12.75" customHeight="1">
      <c r="A5589" s="385"/>
      <c r="B5589" s="386"/>
      <c r="C5589" s="20"/>
      <c r="D5589" s="342"/>
      <c r="E5589" s="387"/>
      <c r="F5589" s="388">
        <f t="shared" si="1434"/>
        <v>0</v>
      </c>
      <c r="G5589" s="390"/>
      <c r="H5589" s="341" t="str">
        <f>IF(A5589="","",VLOOKUP(A5589,VII.A!$A$10:$D$199,4,FALSE))</f>
        <v/>
      </c>
      <c r="I5589" s="341" t="str">
        <f t="shared" si="1431"/>
        <v/>
      </c>
      <c r="J5589" s="341" t="str">
        <f>IF(A5589="","",VLOOKUP(A5589,VII.A!$A$10:$D$199,3,FALSE))</f>
        <v/>
      </c>
      <c r="K5589" s="342" t="str">
        <f t="shared" si="1432"/>
        <v/>
      </c>
      <c r="L5589" s="380" t="str">
        <f>IF(C5589="","",G5579*C5589)</f>
        <v/>
      </c>
      <c r="M5589" s="381" t="str">
        <f>IF(A5589="","",VLOOKUP(A5589,VII.A!$A$10:$B$199,2,FALSE))</f>
        <v/>
      </c>
      <c r="N5589" s="342" t="str">
        <f t="shared" si="1433"/>
        <v/>
      </c>
      <c r="R5589" s="341"/>
      <c r="S5589" s="341"/>
    </row>
    <row r="5590" spans="1:21" ht="12.75" customHeight="1">
      <c r="A5590" s="385"/>
      <c r="B5590" s="386"/>
      <c r="C5590" s="20"/>
      <c r="D5590" s="342"/>
      <c r="E5590" s="387"/>
      <c r="F5590" s="388">
        <f t="shared" si="1434"/>
        <v>0</v>
      </c>
      <c r="G5590" s="391"/>
      <c r="H5590" s="341" t="str">
        <f>IF(A5590="","",VLOOKUP(A5590,VII.A!$A$10:$D$199,4,FALSE))</f>
        <v/>
      </c>
      <c r="I5590" s="341" t="str">
        <f t="shared" si="1431"/>
        <v/>
      </c>
      <c r="J5590" s="341" t="str">
        <f>IF(A5590="","",VLOOKUP(A5590,VII.A!$A$10:$D$199,3,FALSE))</f>
        <v/>
      </c>
      <c r="K5590" s="342" t="str">
        <f t="shared" si="1432"/>
        <v/>
      </c>
      <c r="L5590" s="380" t="str">
        <f>IF(C5590="","",G5579*C5590)</f>
        <v/>
      </c>
      <c r="M5590" s="381" t="str">
        <f>IF(A5590="","",VLOOKUP(A5590,VII.A!$A$10:$B$199,2,FALSE))</f>
        <v/>
      </c>
      <c r="N5590" s="342" t="str">
        <f t="shared" si="1433"/>
        <v/>
      </c>
      <c r="R5590" s="341"/>
      <c r="S5590" s="341"/>
    </row>
    <row r="5591" spans="1:21" ht="12.75" customHeight="1">
      <c r="A5591" s="385"/>
      <c r="B5591" s="386"/>
      <c r="C5591" s="20"/>
      <c r="D5591" s="342"/>
      <c r="E5591" s="387"/>
      <c r="F5591" s="388">
        <f t="shared" si="1434"/>
        <v>0</v>
      </c>
      <c r="H5591" s="341" t="str">
        <f>IF(A5591="","",VLOOKUP(A5591,VII.A!$A$10:$D$199,4,FALSE))</f>
        <v/>
      </c>
      <c r="I5591" s="341" t="str">
        <f t="shared" si="1431"/>
        <v/>
      </c>
      <c r="J5591" s="341" t="str">
        <f>IF(A5591="","",VLOOKUP(A5591,VII.A!$A$10:$D$199,3,FALSE))</f>
        <v/>
      </c>
      <c r="K5591" s="342" t="str">
        <f t="shared" si="1432"/>
        <v/>
      </c>
      <c r="L5591" s="380" t="str">
        <f>IF(C5591="","",G5579*C5591)</f>
        <v/>
      </c>
      <c r="M5591" s="381" t="str">
        <f>IF(A5591="","",VLOOKUP(A5591,VII.A!$A$10:$B$199,2,FALSE))</f>
        <v/>
      </c>
      <c r="N5591" s="342" t="str">
        <f t="shared" si="1433"/>
        <v/>
      </c>
      <c r="R5591" s="341"/>
      <c r="S5591" s="341"/>
    </row>
    <row r="5592" spans="1:21" ht="12.75" customHeight="1">
      <c r="A5592" s="385"/>
      <c r="B5592" s="386"/>
      <c r="C5592" s="20"/>
      <c r="D5592" s="392"/>
      <c r="E5592" s="387"/>
      <c r="F5592" s="388">
        <f t="shared" si="1434"/>
        <v>0</v>
      </c>
      <c r="H5592" s="341" t="str">
        <f>IF(A5592="","",VLOOKUP(A5592,VII.A!$A$10:$D$199,4,FALSE))</f>
        <v/>
      </c>
      <c r="I5592" s="341" t="str">
        <f t="shared" si="1431"/>
        <v/>
      </c>
      <c r="J5592" s="341" t="str">
        <f>IF(A5592="","",VLOOKUP(A5592,VII.A!$A$10:$D$199,3,FALSE))</f>
        <v/>
      </c>
      <c r="K5592" s="342" t="str">
        <f t="shared" si="1432"/>
        <v/>
      </c>
      <c r="L5592" s="380" t="str">
        <f>IF(C5592="","",G5579*C5592)</f>
        <v/>
      </c>
      <c r="M5592" s="381" t="str">
        <f>IF(A5592="","",VLOOKUP(A5592,VII.A!$A$10:$B$199,2,FALSE))</f>
        <v/>
      </c>
      <c r="N5592" s="342" t="str">
        <f t="shared" si="1433"/>
        <v/>
      </c>
      <c r="R5592" s="341"/>
      <c r="S5592" s="341"/>
    </row>
    <row r="5593" spans="1:21" ht="12.75" customHeight="1">
      <c r="A5593" s="385"/>
      <c r="B5593" s="386"/>
      <c r="C5593" s="20"/>
      <c r="D5593" s="392"/>
      <c r="E5593" s="387"/>
      <c r="F5593" s="388">
        <f t="shared" si="1434"/>
        <v>0</v>
      </c>
      <c r="H5593" s="341" t="str">
        <f>IF(A5593="","",VLOOKUP(A5593,VII.A!$A$10:$D$199,4,FALSE))</f>
        <v/>
      </c>
      <c r="I5593" s="341" t="str">
        <f t="shared" si="1431"/>
        <v/>
      </c>
      <c r="J5593" s="341" t="str">
        <f>IF(A5593="","",VLOOKUP(A5593,VII.A!$A$10:$D$199,3,FALSE))</f>
        <v/>
      </c>
      <c r="K5593" s="342" t="str">
        <f t="shared" si="1432"/>
        <v/>
      </c>
      <c r="L5593" s="380" t="str">
        <f>IF(C5593="","",G5579*C5593)</f>
        <v/>
      </c>
      <c r="M5593" s="381" t="str">
        <f>IF(A5593="","",VLOOKUP(A5593,VII.A!$A$10:$B$199,2,FALSE))</f>
        <v/>
      </c>
      <c r="N5593" s="342" t="str">
        <f t="shared" si="1433"/>
        <v/>
      </c>
      <c r="O5593" s="342"/>
      <c r="R5593" s="341"/>
      <c r="S5593" s="341"/>
    </row>
    <row r="5594" spans="1:21" ht="12.75" customHeight="1">
      <c r="A5594" s="385"/>
      <c r="B5594" s="386"/>
      <c r="C5594" s="20"/>
      <c r="D5594" s="392"/>
      <c r="E5594" s="387"/>
      <c r="F5594" s="388">
        <f t="shared" si="1434"/>
        <v>0</v>
      </c>
      <c r="H5594" s="341" t="str">
        <f>IF(A5594="","",VLOOKUP(A5594,VII.A!$A$10:$D$199,4,FALSE))</f>
        <v/>
      </c>
      <c r="I5594" s="341" t="str">
        <f t="shared" si="1431"/>
        <v/>
      </c>
      <c r="J5594" s="341" t="str">
        <f>IF(A5594="","",VLOOKUP(A5594,VII.A!$A$10:$D$199,3,FALSE))</f>
        <v/>
      </c>
      <c r="K5594" s="342" t="str">
        <f t="shared" si="1432"/>
        <v/>
      </c>
      <c r="L5594" s="380" t="str">
        <f>IF(C5594="","",G5579*C5594)</f>
        <v/>
      </c>
      <c r="M5594" s="381" t="str">
        <f>IF(A5594="","",VLOOKUP(A5594,VII.A!$A$10:$B$199,2,FALSE))</f>
        <v/>
      </c>
      <c r="N5594" s="342" t="str">
        <f t="shared" si="1433"/>
        <v/>
      </c>
      <c r="R5594" s="341"/>
      <c r="S5594" s="341"/>
    </row>
    <row r="5595" spans="1:21" ht="12.75" customHeight="1">
      <c r="A5595" s="393"/>
      <c r="C5595" s="20"/>
      <c r="E5595" s="387"/>
      <c r="F5595" s="388">
        <f t="shared" si="1434"/>
        <v>0</v>
      </c>
      <c r="H5595" s="341" t="str">
        <f>IF(A5595="","",VLOOKUP(A5595,VII.A!$A$10:$D$199,4,FALSE))</f>
        <v/>
      </c>
      <c r="I5595" s="341" t="str">
        <f t="shared" si="1431"/>
        <v/>
      </c>
      <c r="J5595" s="341" t="str">
        <f>IF(A5595="","",VLOOKUP(A5595,VII.A!$A$10:$D$199,3,FALSE))</f>
        <v/>
      </c>
      <c r="K5595" s="342" t="str">
        <f t="shared" si="1432"/>
        <v/>
      </c>
      <c r="L5595" s="380" t="str">
        <f>IF(C5595="","",G5579*C5595)</f>
        <v/>
      </c>
      <c r="M5595" s="381" t="str">
        <f>IF(A5595="","",VLOOKUP(A5595,VII.A!$A$10:$B$199,2,FALSE))</f>
        <v/>
      </c>
      <c r="N5595" s="342" t="str">
        <f t="shared" si="1433"/>
        <v/>
      </c>
      <c r="R5595" s="341"/>
      <c r="S5595" s="341"/>
    </row>
    <row r="5596" spans="1:21" ht="12.75" customHeight="1">
      <c r="A5596" s="393"/>
      <c r="C5596" s="20"/>
      <c r="E5596" s="387"/>
      <c r="F5596" s="388">
        <f t="shared" si="1434"/>
        <v>0</v>
      </c>
      <c r="H5596" s="341" t="str">
        <f>IF(A5596="","",VLOOKUP(A5596,VII.A!$A$10:$D$199,4,FALSE))</f>
        <v/>
      </c>
      <c r="I5596" s="341" t="str">
        <f t="shared" si="1431"/>
        <v/>
      </c>
      <c r="J5596" s="341" t="str">
        <f>IF(A5596="","",VLOOKUP(A5596,VII.A!$A$10:$D$199,3,FALSE))</f>
        <v/>
      </c>
      <c r="K5596" s="342" t="str">
        <f t="shared" si="1432"/>
        <v/>
      </c>
      <c r="L5596" s="380" t="str">
        <f>IF(C5596="","",G5579*C5596)</f>
        <v/>
      </c>
      <c r="M5596" s="381" t="str">
        <f>IF(A5596="","",VLOOKUP(A5596,VII.A!$A$10:$B$199,2,FALSE))</f>
        <v/>
      </c>
      <c r="N5596" s="342" t="str">
        <f t="shared" si="1433"/>
        <v/>
      </c>
      <c r="R5596" s="341"/>
      <c r="S5596" s="341"/>
    </row>
    <row r="5597" spans="1:21" ht="12.75" customHeight="1">
      <c r="A5597" s="393"/>
      <c r="B5597" s="395" t="s">
        <v>226</v>
      </c>
      <c r="C5597" s="396"/>
      <c r="D5597" s="397"/>
      <c r="E5597" s="398"/>
      <c r="F5597" s="399">
        <f>SUM(F5581:F5596)</f>
        <v>0</v>
      </c>
      <c r="H5597" s="426" t="s">
        <v>504</v>
      </c>
      <c r="J5597" s="341"/>
      <c r="L5597" s="380"/>
      <c r="M5597" s="381"/>
      <c r="N5597" s="342"/>
      <c r="R5597" s="341"/>
      <c r="S5597" s="341"/>
    </row>
    <row r="5598" spans="1:21" ht="12.75" customHeight="1">
      <c r="A5598" s="393"/>
      <c r="B5598" s="400" t="s">
        <v>53</v>
      </c>
      <c r="C5598" s="2">
        <f>$D$8</f>
        <v>0</v>
      </c>
      <c r="D5598" s="401"/>
      <c r="E5598" s="402"/>
      <c r="F5598" s="403">
        <f>ROUND(F5597*C5598,2)</f>
        <v>0</v>
      </c>
      <c r="J5598" s="341"/>
      <c r="L5598" s="380"/>
      <c r="M5598" s="381"/>
      <c r="N5598" s="342"/>
      <c r="R5598" s="341"/>
      <c r="S5598" s="341"/>
    </row>
    <row r="5599" spans="1:21" ht="12.75" customHeight="1">
      <c r="A5599" s="404"/>
      <c r="B5599" s="405" t="s">
        <v>227</v>
      </c>
      <c r="C5599" s="406"/>
      <c r="D5599" s="406"/>
      <c r="E5599" s="407"/>
      <c r="F5599" s="408">
        <f>F5597+F5598</f>
        <v>0</v>
      </c>
      <c r="J5599" s="341"/>
      <c r="L5599" s="380"/>
      <c r="M5599" s="381"/>
      <c r="N5599" s="342"/>
      <c r="R5599" s="341"/>
      <c r="S5599" s="341"/>
    </row>
    <row r="5600" spans="1:21" ht="12.75" customHeight="1">
      <c r="A5600" s="374" t="s">
        <v>2</v>
      </c>
      <c r="B5600" s="375" t="s">
        <v>235</v>
      </c>
      <c r="C5600" s="376" t="s">
        <v>231</v>
      </c>
      <c r="D5600" s="376" t="s">
        <v>232</v>
      </c>
      <c r="E5600" s="377" t="s">
        <v>233</v>
      </c>
      <c r="F5600" s="378" t="s">
        <v>234</v>
      </c>
      <c r="J5600" s="341"/>
      <c r="L5600" s="380"/>
      <c r="M5600" s="381"/>
      <c r="N5600" s="342"/>
      <c r="R5600" s="341"/>
      <c r="S5600" s="341"/>
    </row>
    <row r="5601" spans="1:19" ht="12.75" customHeight="1">
      <c r="A5601" s="393" t="str">
        <f>VII.A!$A$156</f>
        <v>2.14</v>
      </c>
      <c r="B5601" s="423" t="str">
        <f>VLOOKUP(A5601,VII.A!$A$10:$G$199,2,FALSE)</f>
        <v>CORTADORA DE PISO A GASOLINA, 13 HP, COM DISCO DE CORTE DIAMANTADO PARA CONCRETO Ø 350MM - CHP</v>
      </c>
      <c r="C5601" s="20">
        <v>0.1</v>
      </c>
      <c r="D5601" s="384" t="str">
        <f>VLOOKUP(A5601,VII.A!$A$10:$G$199,3,FALSE)</f>
        <v>CHP</v>
      </c>
      <c r="E5601" s="387">
        <f>VLOOKUP(A5601,VII.A!$A$10:$G$199,4,FALSE)</f>
        <v>0</v>
      </c>
      <c r="F5601" s="388">
        <f t="shared" ref="F5601:F5610" si="1435">ROUND(C5601*E5601,2)</f>
        <v>0</v>
      </c>
      <c r="H5601" s="341">
        <f>IF(A5601="","",VLOOKUP(A5601,VII.A!$A$10:$D$199,4,FALSE))</f>
        <v>0</v>
      </c>
      <c r="I5601" s="341" t="str">
        <f t="shared" ref="I5601:I5610" si="1436">IF(A5601="","",IF(E5601=H5601,"SIM","NÃO"))</f>
        <v>SIM</v>
      </c>
      <c r="J5601" s="341" t="str">
        <f>IF(A5601="","",VLOOKUP(A5601,VII.A!$A$10:$D$199,3,FALSE))</f>
        <v>CHP</v>
      </c>
      <c r="K5601" s="342" t="str">
        <f t="shared" ref="K5601:K5610" si="1437">IF(A5601="","",IF(J5601=D5601,"SIM","NÃO"))</f>
        <v>SIM</v>
      </c>
      <c r="L5601" s="380">
        <f>IF(C5601="","",G5579*C5601)</f>
        <v>20</v>
      </c>
      <c r="M5601" s="381" t="str">
        <f>IF(A5601="","",VLOOKUP(A5601,VII.A!$A$10:$B$199,2,FALSE))</f>
        <v>CORTADORA DE PISO A GASOLINA, 13 HP, COM DISCO DE CORTE DIAMANTADO PARA CONCRETO Ø 350MM - CHP</v>
      </c>
      <c r="N5601" s="342" t="str">
        <f t="shared" ref="N5601:N5610" si="1438">IF(B5601="","",IF(M5601=B5601,"si","no"))</f>
        <v>si</v>
      </c>
      <c r="R5601" s="341"/>
      <c r="S5601" s="341"/>
    </row>
    <row r="5602" spans="1:19" ht="12.75" customHeight="1">
      <c r="A5602" s="393"/>
      <c r="C5602" s="20"/>
      <c r="E5602" s="387"/>
      <c r="F5602" s="388">
        <f t="shared" si="1435"/>
        <v>0</v>
      </c>
      <c r="H5602" s="341" t="str">
        <f>IF(A5602="","",VLOOKUP(A5602,VII.A!$A$10:$D$199,4,FALSE))</f>
        <v/>
      </c>
      <c r="I5602" s="341" t="str">
        <f t="shared" si="1436"/>
        <v/>
      </c>
      <c r="J5602" s="341" t="str">
        <f>IF(A5602="","",VLOOKUP(A5602,VII.A!$A$10:$D$199,3,FALSE))</f>
        <v/>
      </c>
      <c r="K5602" s="342" t="str">
        <f t="shared" si="1437"/>
        <v/>
      </c>
      <c r="L5602" s="380" t="str">
        <f>IF(C5602="","",G5579*C5602)</f>
        <v/>
      </c>
      <c r="M5602" s="381" t="str">
        <f>IF(A5602="","",VLOOKUP(A5602,VII.A!$A$10:$B$199,2,FALSE))</f>
        <v/>
      </c>
      <c r="N5602" s="342" t="str">
        <f t="shared" si="1438"/>
        <v/>
      </c>
      <c r="R5602" s="341"/>
      <c r="S5602" s="341"/>
    </row>
    <row r="5603" spans="1:19" ht="12.75" customHeight="1">
      <c r="A5603" s="393"/>
      <c r="C5603" s="20"/>
      <c r="E5603" s="387"/>
      <c r="F5603" s="388">
        <f t="shared" si="1435"/>
        <v>0</v>
      </c>
      <c r="H5603" s="341" t="str">
        <f>IF(A5603="","",VLOOKUP(A5603,VII.A!$A$10:$D$199,4,FALSE))</f>
        <v/>
      </c>
      <c r="I5603" s="341" t="str">
        <f t="shared" si="1436"/>
        <v/>
      </c>
      <c r="J5603" s="341" t="str">
        <f>IF(A5603="","",VLOOKUP(A5603,VII.A!$A$10:$D$199,3,FALSE))</f>
        <v/>
      </c>
      <c r="K5603" s="342" t="str">
        <f t="shared" si="1437"/>
        <v/>
      </c>
      <c r="L5603" s="380" t="str">
        <f>IF(C5603="","",G5579*C5603)</f>
        <v/>
      </c>
      <c r="M5603" s="381" t="str">
        <f>IF(A5603="","",VLOOKUP(A5603,VII.A!$A$10:$B$199,2,FALSE))</f>
        <v/>
      </c>
      <c r="N5603" s="342" t="str">
        <f t="shared" si="1438"/>
        <v/>
      </c>
      <c r="R5603" s="341"/>
      <c r="S5603" s="341"/>
    </row>
    <row r="5604" spans="1:19" ht="12.75" customHeight="1">
      <c r="A5604" s="393"/>
      <c r="C5604" s="20"/>
      <c r="E5604" s="387"/>
      <c r="F5604" s="388">
        <f t="shared" si="1435"/>
        <v>0</v>
      </c>
      <c r="H5604" s="341" t="str">
        <f>IF(A5604="","",VLOOKUP(A5604,VII.A!$A$10:$D$199,4,FALSE))</f>
        <v/>
      </c>
      <c r="I5604" s="341" t="str">
        <f t="shared" si="1436"/>
        <v/>
      </c>
      <c r="J5604" s="341" t="str">
        <f>IF(A5604="","",VLOOKUP(A5604,VII.A!$A$10:$D$199,3,FALSE))</f>
        <v/>
      </c>
      <c r="K5604" s="342" t="str">
        <f t="shared" si="1437"/>
        <v/>
      </c>
      <c r="L5604" s="380" t="str">
        <f>IF(C5604="","",G5579*C5604)</f>
        <v/>
      </c>
      <c r="M5604" s="381" t="str">
        <f>IF(A5604="","",VLOOKUP(A5604,VII.A!$A$10:$B$199,2,FALSE))</f>
        <v/>
      </c>
      <c r="N5604" s="342" t="str">
        <f t="shared" si="1438"/>
        <v/>
      </c>
      <c r="R5604" s="341"/>
      <c r="S5604" s="341"/>
    </row>
    <row r="5605" spans="1:19" ht="12.75" customHeight="1">
      <c r="A5605" s="393"/>
      <c r="C5605" s="20"/>
      <c r="E5605" s="387"/>
      <c r="F5605" s="388">
        <f t="shared" si="1435"/>
        <v>0</v>
      </c>
      <c r="G5605" s="390"/>
      <c r="H5605" s="341" t="str">
        <f>IF(A5605="","",VLOOKUP(A5605,VII.A!$A$10:$D$199,4,FALSE))</f>
        <v/>
      </c>
      <c r="I5605" s="341" t="str">
        <f t="shared" si="1436"/>
        <v/>
      </c>
      <c r="J5605" s="341" t="str">
        <f>IF(A5605="","",VLOOKUP(A5605,VII.A!$A$10:$D$199,3,FALSE))</f>
        <v/>
      </c>
      <c r="K5605" s="342" t="str">
        <f t="shared" si="1437"/>
        <v/>
      </c>
      <c r="L5605" s="380" t="str">
        <f>IF(C5605="","",G5579*C5605)</f>
        <v/>
      </c>
      <c r="M5605" s="381" t="str">
        <f>IF(A5605="","",VLOOKUP(A5605,VII.A!$A$10:$B$199,2,FALSE))</f>
        <v/>
      </c>
      <c r="N5605" s="342" t="str">
        <f t="shared" si="1438"/>
        <v/>
      </c>
      <c r="R5605" s="341"/>
      <c r="S5605" s="341"/>
    </row>
    <row r="5606" spans="1:19" ht="12.75" customHeight="1">
      <c r="A5606" s="393"/>
      <c r="C5606" s="20"/>
      <c r="E5606" s="387"/>
      <c r="F5606" s="388">
        <f t="shared" si="1435"/>
        <v>0</v>
      </c>
      <c r="G5606" s="391"/>
      <c r="H5606" s="341" t="str">
        <f>IF(A5606="","",VLOOKUP(A5606,VII.A!$A$10:$D$199,4,FALSE))</f>
        <v/>
      </c>
      <c r="I5606" s="341" t="str">
        <f t="shared" si="1436"/>
        <v/>
      </c>
      <c r="J5606" s="341" t="str">
        <f>IF(A5606="","",VLOOKUP(A5606,VII.A!$A$10:$D$199,3,FALSE))</f>
        <v/>
      </c>
      <c r="K5606" s="342" t="str">
        <f t="shared" si="1437"/>
        <v/>
      </c>
      <c r="L5606" s="380" t="str">
        <f>IF(C5606="","",G5579*C5606)</f>
        <v/>
      </c>
      <c r="M5606" s="381" t="str">
        <f>IF(A5606="","",VLOOKUP(A5606,VII.A!$A$10:$B$199,2,FALSE))</f>
        <v/>
      </c>
      <c r="N5606" s="342" t="str">
        <f t="shared" si="1438"/>
        <v/>
      </c>
      <c r="R5606" s="341"/>
      <c r="S5606" s="341"/>
    </row>
    <row r="5607" spans="1:19" ht="12.75" customHeight="1">
      <c r="A5607" s="393"/>
      <c r="C5607" s="20"/>
      <c r="E5607" s="387"/>
      <c r="F5607" s="388">
        <f t="shared" si="1435"/>
        <v>0</v>
      </c>
      <c r="H5607" s="341" t="str">
        <f>IF(A5607="","",VLOOKUP(A5607,VII.A!$A$10:$D$199,4,FALSE))</f>
        <v/>
      </c>
      <c r="I5607" s="341" t="str">
        <f t="shared" si="1436"/>
        <v/>
      </c>
      <c r="J5607" s="341" t="str">
        <f>IF(A5607="","",VLOOKUP(A5607,VII.A!$A$10:$D$199,3,FALSE))</f>
        <v/>
      </c>
      <c r="K5607" s="342" t="str">
        <f t="shared" si="1437"/>
        <v/>
      </c>
      <c r="L5607" s="380" t="str">
        <f>IF(C5607="","",G5579*C5607)</f>
        <v/>
      </c>
      <c r="M5607" s="381" t="str">
        <f>IF(A5607="","",VLOOKUP(A5607,VII.A!$A$10:$B$199,2,FALSE))</f>
        <v/>
      </c>
      <c r="N5607" s="342" t="str">
        <f t="shared" si="1438"/>
        <v/>
      </c>
      <c r="R5607" s="341"/>
      <c r="S5607" s="341"/>
    </row>
    <row r="5608" spans="1:19" ht="12.75" customHeight="1">
      <c r="A5608" s="393"/>
      <c r="C5608" s="20"/>
      <c r="E5608" s="387"/>
      <c r="F5608" s="388">
        <f t="shared" si="1435"/>
        <v>0</v>
      </c>
      <c r="H5608" s="341" t="str">
        <f>IF(A5608="","",VLOOKUP(A5608,VII.A!$A$10:$D$199,4,FALSE))</f>
        <v/>
      </c>
      <c r="I5608" s="341" t="str">
        <f t="shared" si="1436"/>
        <v/>
      </c>
      <c r="J5608" s="341" t="str">
        <f>IF(A5608="","",VLOOKUP(A5608,VII.A!$A$10:$D$199,3,FALSE))</f>
        <v/>
      </c>
      <c r="K5608" s="342" t="str">
        <f t="shared" si="1437"/>
        <v/>
      </c>
      <c r="L5608" s="380" t="str">
        <f>IF(C5608="","",G5579*C5608)</f>
        <v/>
      </c>
      <c r="M5608" s="381" t="str">
        <f>IF(A5608="","",VLOOKUP(A5608,VII.A!$A$10:$B$199,2,FALSE))</f>
        <v/>
      </c>
      <c r="N5608" s="342" t="str">
        <f t="shared" si="1438"/>
        <v/>
      </c>
      <c r="R5608" s="341"/>
      <c r="S5608" s="341"/>
    </row>
    <row r="5609" spans="1:19" ht="12.75" customHeight="1">
      <c r="A5609" s="393"/>
      <c r="C5609" s="20"/>
      <c r="E5609" s="387"/>
      <c r="F5609" s="388">
        <f t="shared" si="1435"/>
        <v>0</v>
      </c>
      <c r="H5609" s="341" t="str">
        <f>IF(A5609="","",VLOOKUP(A5609,VII.A!$A$10:$D$199,4,FALSE))</f>
        <v/>
      </c>
      <c r="I5609" s="341" t="str">
        <f t="shared" si="1436"/>
        <v/>
      </c>
      <c r="J5609" s="341" t="str">
        <f>IF(A5609="","",VLOOKUP(A5609,VII.A!$A$10:$D$199,3,FALSE))</f>
        <v/>
      </c>
      <c r="K5609" s="342" t="str">
        <f t="shared" si="1437"/>
        <v/>
      </c>
      <c r="L5609" s="380" t="str">
        <f>IF(C5609="","",G5579*C5609)</f>
        <v/>
      </c>
      <c r="M5609" s="381" t="str">
        <f>IF(A5609="","",VLOOKUP(A5609,VII.A!$A$10:$B$199,2,FALSE))</f>
        <v/>
      </c>
      <c r="N5609" s="342" t="str">
        <f t="shared" si="1438"/>
        <v/>
      </c>
      <c r="R5609" s="341"/>
      <c r="S5609" s="341"/>
    </row>
    <row r="5610" spans="1:19" ht="12.75" customHeight="1">
      <c r="A5610" s="393"/>
      <c r="C5610" s="20"/>
      <c r="E5610" s="387"/>
      <c r="F5610" s="388">
        <f t="shared" si="1435"/>
        <v>0</v>
      </c>
      <c r="H5610" s="341" t="str">
        <f>IF(A5610="","",VLOOKUP(A5610,VII.A!$A$10:$D$199,4,FALSE))</f>
        <v/>
      </c>
      <c r="I5610" s="341" t="str">
        <f t="shared" si="1436"/>
        <v/>
      </c>
      <c r="J5610" s="341" t="str">
        <f>IF(A5610="","",VLOOKUP(A5610,VII.A!$A$10:$D$199,3,FALSE))</f>
        <v/>
      </c>
      <c r="K5610" s="342" t="str">
        <f t="shared" si="1437"/>
        <v/>
      </c>
      <c r="L5610" s="380" t="str">
        <f>IF(C5610="","",G5579*C5610)</f>
        <v/>
      </c>
      <c r="M5610" s="381" t="str">
        <f>IF(A5610="","",VLOOKUP(A5610,VII.A!$A$10:$B$199,2,FALSE))</f>
        <v/>
      </c>
      <c r="N5610" s="342" t="str">
        <f t="shared" si="1438"/>
        <v/>
      </c>
      <c r="R5610" s="341"/>
      <c r="S5610" s="341"/>
    </row>
    <row r="5611" spans="1:19" ht="12.75" customHeight="1">
      <c r="A5611" s="393"/>
      <c r="B5611" s="395" t="s">
        <v>226</v>
      </c>
      <c r="C5611" s="396"/>
      <c r="D5611" s="397"/>
      <c r="E5611" s="398"/>
      <c r="F5611" s="399">
        <f>SUM(F5601:F5610)</f>
        <v>0</v>
      </c>
      <c r="J5611" s="341"/>
      <c r="L5611" s="380"/>
      <c r="M5611" s="381"/>
      <c r="N5611" s="342"/>
      <c r="R5611" s="341"/>
      <c r="S5611" s="341"/>
    </row>
    <row r="5612" spans="1:19" ht="12.75" customHeight="1">
      <c r="A5612" s="393"/>
      <c r="B5612" s="400" t="s">
        <v>53</v>
      </c>
      <c r="C5612" s="2">
        <f>$D$8</f>
        <v>0</v>
      </c>
      <c r="D5612" s="401"/>
      <c r="E5612" s="402"/>
      <c r="F5612" s="403">
        <f>ROUND(C5612*F5611,2)</f>
        <v>0</v>
      </c>
      <c r="J5612" s="341"/>
      <c r="L5612" s="380"/>
      <c r="M5612" s="381"/>
      <c r="N5612" s="342"/>
      <c r="R5612" s="341"/>
      <c r="S5612" s="341"/>
    </row>
    <row r="5613" spans="1:19" ht="12.75" customHeight="1">
      <c r="A5613" s="404"/>
      <c r="B5613" s="405" t="s">
        <v>228</v>
      </c>
      <c r="C5613" s="406"/>
      <c r="D5613" s="406"/>
      <c r="E5613" s="407"/>
      <c r="F5613" s="408">
        <f>F5611+F5612</f>
        <v>0</v>
      </c>
      <c r="J5613" s="341"/>
      <c r="L5613" s="380"/>
      <c r="M5613" s="381"/>
      <c r="N5613" s="342"/>
      <c r="R5613" s="341"/>
      <c r="S5613" s="341"/>
    </row>
    <row r="5614" spans="1:19" ht="12.75" customHeight="1">
      <c r="A5614" s="409" t="s">
        <v>47</v>
      </c>
      <c r="B5614" s="410" t="s">
        <v>236</v>
      </c>
      <c r="C5614" s="411" t="s">
        <v>231</v>
      </c>
      <c r="D5614" s="412" t="s">
        <v>232</v>
      </c>
      <c r="E5614" s="413" t="s">
        <v>233</v>
      </c>
      <c r="F5614" s="378" t="s">
        <v>234</v>
      </c>
      <c r="J5614" s="341"/>
      <c r="L5614" s="380"/>
      <c r="M5614" s="381"/>
      <c r="N5614" s="342"/>
      <c r="R5614" s="341"/>
      <c r="S5614" s="341"/>
    </row>
    <row r="5615" spans="1:19" ht="12.75" customHeight="1">
      <c r="A5615" s="393" t="str">
        <f>VII.A!$A$196</f>
        <v>3.16</v>
      </c>
      <c r="B5615" s="423" t="str">
        <f>VLOOKUP(A5615,VII.A!$A$10:$G$199,2,FALSE)</f>
        <v>SERVENTE COM ENCARGOS COMPLEMENTARES</v>
      </c>
      <c r="C5615" s="20">
        <v>0.1</v>
      </c>
      <c r="D5615" s="384" t="str">
        <f>VLOOKUP(A5615,VII.A!$A$10:$G$199,3,FALSE)</f>
        <v>H</v>
      </c>
      <c r="E5615" s="387">
        <f>VLOOKUP(A5615,VII.A!$A$10:$G$199,4,FALSE)</f>
        <v>0</v>
      </c>
      <c r="F5615" s="388">
        <f t="shared" ref="F5615:F5621" si="1439">ROUND(C5615*E5615,2)</f>
        <v>0</v>
      </c>
      <c r="H5615" s="341">
        <f>IF(A5615="","",VLOOKUP(A5615,VII.A!$A$10:$D$199,4,FALSE))</f>
        <v>0</v>
      </c>
      <c r="I5615" s="341" t="str">
        <f t="shared" ref="I5615:I5621" si="1440">IF(A5615="","",IF(E5615=H5615,"SIM","NÃO"))</f>
        <v>SIM</v>
      </c>
      <c r="J5615" s="341" t="str">
        <f>IF(A5615="","",VLOOKUP(A5615,VII.A!$A$10:$D$199,3,FALSE))</f>
        <v>H</v>
      </c>
      <c r="K5615" s="342" t="str">
        <f t="shared" ref="K5615:K5621" si="1441">IF(A5615="","",IF(J5615=D5615,"SIM","NÃO"))</f>
        <v>SIM</v>
      </c>
      <c r="L5615" s="380">
        <f>IF(C5615="","",G5579*C5615)</f>
        <v>20</v>
      </c>
      <c r="M5615" s="381" t="str">
        <f>IF(A5615="","",VLOOKUP(A5615,VII.A!$A$10:$B$199,2,FALSE))</f>
        <v>SERVENTE COM ENCARGOS COMPLEMENTARES</v>
      </c>
      <c r="N5615" s="342" t="str">
        <f t="shared" ref="N5615:N5621" si="1442">IF(B5615="","",IF(M5615=B5615,"si","no"))</f>
        <v>si</v>
      </c>
      <c r="R5615" s="341"/>
      <c r="S5615" s="341"/>
    </row>
    <row r="5616" spans="1:19" ht="12.75" customHeight="1">
      <c r="A5616" s="393"/>
      <c r="C5616" s="20"/>
      <c r="E5616" s="387"/>
      <c r="F5616" s="388">
        <f t="shared" si="1439"/>
        <v>0</v>
      </c>
      <c r="H5616" s="341" t="str">
        <f>IF(A5616="","",VLOOKUP(A5616,VII.A!$A$10:$D$199,4,FALSE))</f>
        <v/>
      </c>
      <c r="I5616" s="341" t="str">
        <f t="shared" si="1440"/>
        <v/>
      </c>
      <c r="J5616" s="341" t="str">
        <f>IF(A5616="","",VLOOKUP(A5616,VII.A!$A$10:$D$199,3,FALSE))</f>
        <v/>
      </c>
      <c r="K5616" s="342" t="str">
        <f t="shared" si="1441"/>
        <v/>
      </c>
      <c r="L5616" s="380" t="str">
        <f>IF(C5616="","",G5579*C5616)</f>
        <v/>
      </c>
      <c r="M5616" s="381" t="str">
        <f>IF(A5616="","",VLOOKUP(A5616,VII.A!$A$10:$B$199,2,FALSE))</f>
        <v/>
      </c>
      <c r="N5616" s="342" t="str">
        <f t="shared" si="1442"/>
        <v/>
      </c>
      <c r="R5616" s="341"/>
      <c r="S5616" s="341"/>
    </row>
    <row r="5617" spans="1:25" ht="12.75" customHeight="1">
      <c r="A5617" s="393"/>
      <c r="C5617" s="20"/>
      <c r="E5617" s="387"/>
      <c r="F5617" s="388">
        <f t="shared" si="1439"/>
        <v>0</v>
      </c>
      <c r="H5617" s="341" t="str">
        <f>IF(A5617="","",VLOOKUP(A5617,VII.A!$A$10:$D$199,4,FALSE))</f>
        <v/>
      </c>
      <c r="I5617" s="341" t="str">
        <f t="shared" si="1440"/>
        <v/>
      </c>
      <c r="J5617" s="341" t="str">
        <f>IF(A5617="","",VLOOKUP(A5617,VII.A!$A$10:$D$199,3,FALSE))</f>
        <v/>
      </c>
      <c r="K5617" s="342" t="str">
        <f t="shared" si="1441"/>
        <v/>
      </c>
      <c r="L5617" s="380" t="str">
        <f>IF(C5617="","",G5579*C5617)</f>
        <v/>
      </c>
      <c r="M5617" s="381" t="str">
        <f>IF(A5617="","",VLOOKUP(A5617,VII.A!$A$10:$B$199,2,FALSE))</f>
        <v/>
      </c>
      <c r="N5617" s="342" t="str">
        <f t="shared" si="1442"/>
        <v/>
      </c>
      <c r="R5617" s="341"/>
      <c r="S5617" s="341"/>
    </row>
    <row r="5618" spans="1:25" ht="12.75" customHeight="1">
      <c r="A5618" s="393"/>
      <c r="C5618" s="20"/>
      <c r="E5618" s="387"/>
      <c r="F5618" s="388">
        <f t="shared" si="1439"/>
        <v>0</v>
      </c>
      <c r="H5618" s="341" t="str">
        <f>IF(A5618="","",VLOOKUP(A5618,VII.A!$A$10:$D$199,4,FALSE))</f>
        <v/>
      </c>
      <c r="I5618" s="341" t="str">
        <f t="shared" si="1440"/>
        <v/>
      </c>
      <c r="J5618" s="341" t="str">
        <f>IF(A5618="","",VLOOKUP(A5618,VII.A!$A$10:$D$199,3,FALSE))</f>
        <v/>
      </c>
      <c r="K5618" s="342" t="str">
        <f t="shared" si="1441"/>
        <v/>
      </c>
      <c r="L5618" s="380" t="str">
        <f>IF(C5618="","",G5579*C5618)</f>
        <v/>
      </c>
      <c r="M5618" s="381" t="str">
        <f>IF(A5618="","",VLOOKUP(A5618,VII.A!$A$10:$B$199,2,FALSE))</f>
        <v/>
      </c>
      <c r="N5618" s="342" t="str">
        <f t="shared" si="1442"/>
        <v/>
      </c>
      <c r="R5618" s="341"/>
      <c r="S5618" s="341"/>
    </row>
    <row r="5619" spans="1:25" ht="12.75" customHeight="1">
      <c r="A5619" s="393"/>
      <c r="C5619" s="20"/>
      <c r="E5619" s="387"/>
      <c r="F5619" s="388">
        <f t="shared" si="1439"/>
        <v>0</v>
      </c>
      <c r="H5619" s="341" t="str">
        <f>IF(A5619="","",VLOOKUP(A5619,VII.A!$A$10:$D$199,4,FALSE))</f>
        <v/>
      </c>
      <c r="I5619" s="341" t="str">
        <f t="shared" si="1440"/>
        <v/>
      </c>
      <c r="J5619" s="341" t="str">
        <f>IF(A5619="","",VLOOKUP(A5619,VII.A!$A$10:$D$199,3,FALSE))</f>
        <v/>
      </c>
      <c r="K5619" s="342" t="str">
        <f t="shared" si="1441"/>
        <v/>
      </c>
      <c r="L5619" s="380" t="str">
        <f>IF(C5619="","",G5579*C5619)</f>
        <v/>
      </c>
      <c r="M5619" s="381" t="str">
        <f>IF(A5619="","",VLOOKUP(A5619,VII.A!$A$10:$B$199,2,FALSE))</f>
        <v/>
      </c>
      <c r="N5619" s="342" t="str">
        <f t="shared" si="1442"/>
        <v/>
      </c>
      <c r="R5619" s="341"/>
      <c r="S5619" s="341"/>
    </row>
    <row r="5620" spans="1:25" ht="12.75" customHeight="1">
      <c r="A5620" s="393"/>
      <c r="C5620" s="20"/>
      <c r="E5620" s="387"/>
      <c r="F5620" s="388">
        <f t="shared" si="1439"/>
        <v>0</v>
      </c>
      <c r="H5620" s="341" t="str">
        <f>IF(A5620="","",VLOOKUP(A5620,VII.A!$A$10:$D$199,4,FALSE))</f>
        <v/>
      </c>
      <c r="I5620" s="341" t="str">
        <f t="shared" si="1440"/>
        <v/>
      </c>
      <c r="J5620" s="341" t="str">
        <f>IF(A5620="","",VLOOKUP(A5620,VII.A!$A$10:$D$199,3,FALSE))</f>
        <v/>
      </c>
      <c r="K5620" s="342" t="str">
        <f t="shared" si="1441"/>
        <v/>
      </c>
      <c r="L5620" s="380" t="str">
        <f>IF(C5620="","",G5579*C5620)</f>
        <v/>
      </c>
      <c r="M5620" s="381" t="str">
        <f>IF(A5620="","",VLOOKUP(A5620,VII.A!$A$10:$B$199,2,FALSE))</f>
        <v/>
      </c>
      <c r="N5620" s="342" t="str">
        <f t="shared" si="1442"/>
        <v/>
      </c>
      <c r="R5620" s="341"/>
      <c r="S5620" s="341"/>
    </row>
    <row r="5621" spans="1:25" ht="12.75" customHeight="1">
      <c r="A5621" s="393"/>
      <c r="C5621" s="20"/>
      <c r="E5621" s="387"/>
      <c r="F5621" s="388">
        <f t="shared" si="1439"/>
        <v>0</v>
      </c>
      <c r="H5621" s="341" t="str">
        <f>IF(A5621="","",VLOOKUP(A5621,VII.A!$A$10:$D$199,4,FALSE))</f>
        <v/>
      </c>
      <c r="I5621" s="341" t="str">
        <f t="shared" si="1440"/>
        <v/>
      </c>
      <c r="J5621" s="341" t="str">
        <f>IF(A5621="","",VLOOKUP(A5621,VII.A!$A$10:$D$199,3,FALSE))</f>
        <v/>
      </c>
      <c r="K5621" s="342" t="str">
        <f t="shared" si="1441"/>
        <v/>
      </c>
      <c r="L5621" s="380" t="str">
        <f>IF(C5621="","",G5579*C5621)</f>
        <v/>
      </c>
      <c r="M5621" s="381" t="str">
        <f>IF(A5621="","",VLOOKUP(A5621,VII.A!$A$10:$B$199,2,FALSE))</f>
        <v/>
      </c>
      <c r="N5621" s="342" t="str">
        <f t="shared" si="1442"/>
        <v/>
      </c>
      <c r="R5621" s="341"/>
      <c r="S5621" s="341"/>
    </row>
    <row r="5622" spans="1:25" ht="12.75" customHeight="1">
      <c r="A5622" s="393"/>
      <c r="B5622" s="395" t="s">
        <v>226</v>
      </c>
      <c r="C5622" s="396"/>
      <c r="D5622" s="397"/>
      <c r="E5622" s="398"/>
      <c r="F5622" s="399">
        <f>SUM(F5615:F5621)</f>
        <v>0</v>
      </c>
      <c r="J5622" s="341"/>
      <c r="L5622" s="380"/>
      <c r="M5622" s="381"/>
      <c r="N5622" s="342"/>
      <c r="R5622" s="341"/>
      <c r="S5622" s="341"/>
    </row>
    <row r="5623" spans="1:25" ht="12.75" customHeight="1">
      <c r="A5623" s="393"/>
      <c r="B5623" s="400" t="s">
        <v>229</v>
      </c>
      <c r="C5623" s="2">
        <f>IX.A!$C$45</f>
        <v>0</v>
      </c>
      <c r="D5623" s="401"/>
      <c r="E5623" s="402"/>
      <c r="F5623" s="403">
        <f>ROUND(F5622*C5623,2)</f>
        <v>0</v>
      </c>
      <c r="J5623" s="341"/>
      <c r="L5623" s="380"/>
      <c r="M5623" s="381"/>
      <c r="N5623" s="342"/>
      <c r="R5623" s="341"/>
      <c r="S5623" s="341"/>
    </row>
    <row r="5624" spans="1:25" ht="12.75" customHeight="1">
      <c r="A5624" s="393"/>
      <c r="B5624" s="400" t="s">
        <v>53</v>
      </c>
      <c r="C5624" s="2">
        <f>$D$8</f>
        <v>0</v>
      </c>
      <c r="D5624" s="401"/>
      <c r="E5624" s="402"/>
      <c r="F5624" s="403">
        <f>ROUND(SUM(F5622:F5623)*C5624,2)</f>
        <v>0</v>
      </c>
      <c r="J5624" s="341"/>
      <c r="L5624" s="380"/>
      <c r="M5624" s="381"/>
      <c r="N5624" s="342"/>
      <c r="R5624" s="341"/>
      <c r="S5624" s="341"/>
    </row>
    <row r="5625" spans="1:25" ht="12.75" customHeight="1" thickBot="1">
      <c r="A5625" s="414"/>
      <c r="B5625" s="415" t="s">
        <v>230</v>
      </c>
      <c r="C5625" s="416"/>
      <c r="D5625" s="416"/>
      <c r="E5625" s="417"/>
      <c r="F5625" s="418">
        <f>SUM(F5622:F5624)</f>
        <v>0</v>
      </c>
      <c r="J5625" s="341"/>
      <c r="L5625" s="380"/>
      <c r="M5625" s="381"/>
      <c r="N5625" s="342"/>
      <c r="R5625" s="341"/>
      <c r="S5625" s="341"/>
    </row>
    <row r="5626" spans="1:25" ht="12.75" customHeight="1" thickBot="1">
      <c r="A5626" s="427"/>
      <c r="B5626" s="428"/>
      <c r="C5626" s="429"/>
      <c r="D5626" s="429"/>
      <c r="E5626" s="430"/>
      <c r="F5626" s="431"/>
      <c r="G5626" s="452"/>
      <c r="H5626" s="453"/>
      <c r="I5626" s="454"/>
      <c r="J5626" s="454"/>
      <c r="K5626" s="455"/>
      <c r="L5626" s="456"/>
      <c r="M5626" s="356"/>
      <c r="N5626" s="341"/>
      <c r="O5626" s="341"/>
      <c r="P5626" s="341"/>
      <c r="Q5626" s="342"/>
      <c r="R5626" s="380"/>
      <c r="S5626" s="381"/>
      <c r="U5626" s="343"/>
      <c r="V5626" s="344"/>
      <c r="W5626" s="344"/>
      <c r="X5626" s="341"/>
      <c r="Y5626" s="341"/>
    </row>
    <row r="5627" spans="1:25" ht="30" customHeight="1">
      <c r="A5627" s="370" t="str">
        <f>IV.A!A166</f>
        <v>7.10</v>
      </c>
      <c r="B5627" s="371" t="str">
        <f>IV.A!B166</f>
        <v>ALUGUEL DE GERADOR 15 KVA, BIVOLT</v>
      </c>
      <c r="C5627" s="871" t="s">
        <v>237</v>
      </c>
      <c r="D5627" s="872"/>
      <c r="E5627" s="372" t="str">
        <f>IV.A!C166</f>
        <v>UND.MÊS</v>
      </c>
      <c r="F5627" s="11">
        <f>ROUND(F5647+F5661+F5673,2)</f>
        <v>0</v>
      </c>
      <c r="G5627" s="1">
        <f>VLOOKUP(A5627,IV.A!$A$16:$L$172,4,FALSE)</f>
        <v>12</v>
      </c>
      <c r="H5627" s="361">
        <f>SUM(F5629:F5644)+F5646</f>
        <v>0</v>
      </c>
      <c r="I5627" s="361">
        <f>SUM(F5649:F5658)+F5660</f>
        <v>0</v>
      </c>
      <c r="J5627" s="361">
        <f>SUM(F5663:F5669)+F5671+F5672</f>
        <v>0</v>
      </c>
      <c r="K5627" s="361">
        <f>SUM(H5627:J5627)</f>
        <v>0</v>
      </c>
      <c r="L5627" s="362" t="str">
        <f>IF(K5627=F5627,"SIM","NÃO")</f>
        <v>SIM</v>
      </c>
      <c r="M5627" s="373">
        <f>ROUND(SUM(F5629:F5644),2)+ROUND(SUM(F5629:F5644)*C5646,2)+ROUND(SUM(F5649:F5658)*C5660,2)+ROUND(SUM(F5649:F5658),2)+ROUND(SUM(F5663:F5669)*C5671,2)+ROUND((SUM(F5663:F5669)+ROUND(SUM(F5663:F5669)*C5671,2))*C5672,2)+ROUND(SUM(F5663:F5669),2)</f>
        <v>0</v>
      </c>
      <c r="N5627" s="343" t="str">
        <f>IF(M5627=F5627,"SIM","NÃO")</f>
        <v>SIM</v>
      </c>
      <c r="O5627" s="364" t="str">
        <f>VLOOKUP(A5627,IV.A!$A$16:$E$172,3,FALSE)</f>
        <v>UND.MÊS</v>
      </c>
      <c r="P5627" s="344" t="str">
        <f>IF(O5627=E5627,"SIM","NÃO")</f>
        <v>SIM</v>
      </c>
      <c r="Q5627" s="365">
        <f>ROUND(G5627*F5647,2)+ROUND(G5627*F5661,2)+ROUND(G5627*F5673,2)</f>
        <v>0</v>
      </c>
      <c r="R5627" s="364">
        <f>VLOOKUP(A5627,IV.A!$A$16:$L$172,12,FALSE)</f>
        <v>0</v>
      </c>
      <c r="S5627" s="366" t="str">
        <f>IF(Q5627=R5627,"si","no")</f>
        <v>si</v>
      </c>
      <c r="T5627" s="367">
        <f>SUM(L5629:L5644)+SUM(L5649:L5658)+SUM(L5663:L5669)</f>
        <v>2880</v>
      </c>
      <c r="U5627" s="341">
        <f>(SUM(C5629:C5644)+SUM(C5649:C5658)+SUM(C5663:C5669))*G5627</f>
        <v>2880</v>
      </c>
      <c r="V5627" s="368" t="str">
        <f>IF(T5627=U5627,"si","no")</f>
        <v>si</v>
      </c>
      <c r="W5627" s="369">
        <f>SUM(F5629:F5644)</f>
        <v>0</v>
      </c>
      <c r="X5627" s="369">
        <f>SUM(F5649:F5658)</f>
        <v>0</v>
      </c>
      <c r="Y5627" s="369">
        <f>SUM(F5663:F5669)</f>
        <v>0</v>
      </c>
    </row>
    <row r="5628" spans="1:25" ht="12.75" customHeight="1">
      <c r="A5628" s="374" t="s">
        <v>14</v>
      </c>
      <c r="B5628" s="375" t="s">
        <v>132</v>
      </c>
      <c r="C5628" s="376" t="s">
        <v>231</v>
      </c>
      <c r="D5628" s="376" t="s">
        <v>232</v>
      </c>
      <c r="E5628" s="377" t="s">
        <v>233</v>
      </c>
      <c r="F5628" s="378" t="s">
        <v>234</v>
      </c>
      <c r="G5628" s="379"/>
      <c r="J5628" s="341"/>
      <c r="L5628" s="380"/>
      <c r="M5628" s="381"/>
      <c r="N5628" s="342"/>
      <c r="O5628" s="382"/>
      <c r="P5628" s="383"/>
      <c r="Q5628" s="383"/>
      <c r="R5628" s="383"/>
      <c r="S5628" s="383"/>
      <c r="T5628" s="382"/>
      <c r="U5628" s="341"/>
      <c r="V5628" s="384"/>
      <c r="W5628" s="384"/>
      <c r="X5628" s="384"/>
      <c r="Y5628" s="384"/>
    </row>
    <row r="5629" spans="1:25" ht="12.75" customHeight="1">
      <c r="A5629" s="385"/>
      <c r="B5629" s="423" t="str">
        <f>IF(A5629="","",VLOOKUP(A5629,VII.A!$A$10:$G$199,2,FALSE))</f>
        <v/>
      </c>
      <c r="C5629" s="20"/>
      <c r="D5629" s="384" t="str">
        <f>IF(A5629="","",VLOOKUP(A5629,VII.A!$A$10:$G$199,3,FALSE))</f>
        <v/>
      </c>
      <c r="E5629" s="387" t="str">
        <f>IF(A5629="","",VLOOKUP(A5629,VII.A!$A$10:$G$199,4,FALSE))</f>
        <v/>
      </c>
      <c r="F5629" s="388" t="str">
        <f>IF(A5629="","",ROUND(C5629*E5629,2))</f>
        <v/>
      </c>
      <c r="H5629" s="341" t="str">
        <f>IF(A5629="","",VLOOKUP(A5629,VII.A!$A$10:$D$199,4,FALSE))</f>
        <v/>
      </c>
      <c r="I5629" s="341" t="str">
        <f t="shared" ref="I5629:I5644" si="1443">IF(A5629="","",IF(E5629=H5629,"SIM","NÃO"))</f>
        <v/>
      </c>
      <c r="J5629" s="341" t="str">
        <f>IF(A5629="","",VLOOKUP(A5629,VII.A!$A$10:$D$199,3,FALSE))</f>
        <v/>
      </c>
      <c r="K5629" s="342" t="str">
        <f t="shared" ref="K5629:K5644" si="1444">IF(A5629="","",IF(J5629=D5629,"SIM","NÃO"))</f>
        <v/>
      </c>
      <c r="L5629" s="380" t="str">
        <f>IF(C5629="","",G5627*C5629)</f>
        <v/>
      </c>
      <c r="M5629" s="381" t="str">
        <f>IF(A5629="","",VLOOKUP(A5629,VII.A!$A$10:$B$199,2,FALSE))</f>
        <v/>
      </c>
      <c r="N5629" s="342" t="str">
        <f t="shared" ref="N5629:N5644" si="1445">IF(B5629="","",IF(M5629=B5629,"si","no"))</f>
        <v/>
      </c>
      <c r="R5629" s="341"/>
      <c r="S5629" s="341"/>
    </row>
    <row r="5630" spans="1:25" ht="12.75" customHeight="1">
      <c r="A5630" s="385"/>
      <c r="B5630" s="423"/>
      <c r="C5630" s="20"/>
      <c r="D5630" s="384" t="str">
        <f>IF(A5630="","",VLOOKUP(A5630,VII.A!$A$10:$G$199,3,FALSE))</f>
        <v/>
      </c>
      <c r="E5630" s="387" t="str">
        <f>IF(A5630="","",VLOOKUP(A5630,VII.A!$A$10:$G$199,4,FALSE))</f>
        <v/>
      </c>
      <c r="F5630" s="388" t="str">
        <f t="shared" ref="F5630:F5644" si="1446">IF(A5630="","",ROUND(C5630*E5630,2))</f>
        <v/>
      </c>
      <c r="H5630" s="341" t="str">
        <f>IF(A5630="","",VLOOKUP(A5630,VII.A!$A$10:$D$199,4,FALSE))</f>
        <v/>
      </c>
      <c r="I5630" s="341" t="str">
        <f t="shared" si="1443"/>
        <v/>
      </c>
      <c r="J5630" s="341" t="str">
        <f>IF(A5630="","",VLOOKUP(A5630,VII.A!$A$10:$D$199,3,FALSE))</f>
        <v/>
      </c>
      <c r="K5630" s="342" t="str">
        <f t="shared" si="1444"/>
        <v/>
      </c>
      <c r="L5630" s="380" t="str">
        <f>IF(C5630="","",G5627*C5630)</f>
        <v/>
      </c>
      <c r="M5630" s="381" t="str">
        <f>IF(A5630="","",VLOOKUP(A5630,VII.A!$A$10:$B$199,2,FALSE))</f>
        <v/>
      </c>
      <c r="N5630" s="342" t="str">
        <f t="shared" si="1445"/>
        <v/>
      </c>
      <c r="R5630" s="341"/>
      <c r="S5630" s="341"/>
    </row>
    <row r="5631" spans="1:25" ht="12.75" customHeight="1">
      <c r="A5631" s="385"/>
      <c r="B5631" s="423"/>
      <c r="C5631" s="20"/>
      <c r="D5631" s="384" t="str">
        <f>IF(A5631="","",VLOOKUP(A5631,VII.A!$A$10:$G$199,3,FALSE))</f>
        <v/>
      </c>
      <c r="E5631" s="387" t="str">
        <f>IF(A5631="","",VLOOKUP(A5631,VII.A!$A$10:$G$199,4,FALSE))</f>
        <v/>
      </c>
      <c r="F5631" s="388" t="str">
        <f t="shared" si="1446"/>
        <v/>
      </c>
      <c r="H5631" s="341" t="str">
        <f>IF(A5631="","",VLOOKUP(A5631,VII.A!$A$10:$D$199,4,FALSE))</f>
        <v/>
      </c>
      <c r="I5631" s="341" t="str">
        <f t="shared" si="1443"/>
        <v/>
      </c>
      <c r="J5631" s="341" t="str">
        <f>IF(A5631="","",VLOOKUP(A5631,VII.A!$A$10:$D$199,3,FALSE))</f>
        <v/>
      </c>
      <c r="K5631" s="342" t="str">
        <f t="shared" si="1444"/>
        <v/>
      </c>
      <c r="L5631" s="380" t="str">
        <f>IF(C5631="","",G5627*C5631)</f>
        <v/>
      </c>
      <c r="M5631" s="381" t="str">
        <f>IF(A5631="","",VLOOKUP(A5631,VII.A!$A$10:$B$199,2,FALSE))</f>
        <v/>
      </c>
      <c r="N5631" s="342" t="str">
        <f t="shared" si="1445"/>
        <v/>
      </c>
      <c r="R5631" s="341"/>
      <c r="S5631" s="341"/>
    </row>
    <row r="5632" spans="1:25" ht="12.75" customHeight="1">
      <c r="A5632" s="385"/>
      <c r="B5632" s="423"/>
      <c r="C5632" s="20"/>
      <c r="D5632" s="384" t="str">
        <f>IF(A5632="","",VLOOKUP(A5632,VII.A!$A$10:$G$199,3,FALSE))</f>
        <v/>
      </c>
      <c r="E5632" s="387" t="str">
        <f>IF(A5632="","",VLOOKUP(A5632,VII.A!$A$10:$G$199,4,FALSE))</f>
        <v/>
      </c>
      <c r="F5632" s="388" t="str">
        <f t="shared" si="1446"/>
        <v/>
      </c>
      <c r="H5632" s="341" t="str">
        <f>IF(A5632="","",VLOOKUP(A5632,VII.A!$A$10:$D$199,4,FALSE))</f>
        <v/>
      </c>
      <c r="I5632" s="341" t="str">
        <f t="shared" si="1443"/>
        <v/>
      </c>
      <c r="J5632" s="341" t="str">
        <f>IF(A5632="","",VLOOKUP(A5632,VII.A!$A$10:$D$199,3,FALSE))</f>
        <v/>
      </c>
      <c r="K5632" s="342" t="str">
        <f t="shared" si="1444"/>
        <v/>
      </c>
      <c r="L5632" s="380" t="str">
        <f>IF(C5632="","",G5627*C5632)</f>
        <v/>
      </c>
      <c r="M5632" s="381" t="str">
        <f>IF(A5632="","",VLOOKUP(A5632,VII.A!$A$10:$B$199,2,FALSE))</f>
        <v/>
      </c>
      <c r="N5632" s="342" t="str">
        <f t="shared" si="1445"/>
        <v/>
      </c>
      <c r="R5632" s="341"/>
      <c r="S5632" s="341"/>
    </row>
    <row r="5633" spans="1:21" ht="12.75" customHeight="1">
      <c r="A5633" s="385"/>
      <c r="B5633" s="386"/>
      <c r="C5633" s="20"/>
      <c r="D5633" s="384" t="str">
        <f>IF(A5633="","",VLOOKUP(A5633,VII.A!$A$10:$G$199,3,FALSE))</f>
        <v/>
      </c>
      <c r="E5633" s="387" t="str">
        <f>IF(A5633="","",VLOOKUP(A5633,VII.A!$A$10:$G$199,4,FALSE))</f>
        <v/>
      </c>
      <c r="F5633" s="388" t="str">
        <f t="shared" si="1446"/>
        <v/>
      </c>
      <c r="H5633" s="341" t="str">
        <f>IF(A5633="","",VLOOKUP(A5633,VII.A!$A$10:$D$199,4,FALSE))</f>
        <v/>
      </c>
      <c r="I5633" s="341" t="str">
        <f t="shared" si="1443"/>
        <v/>
      </c>
      <c r="J5633" s="341" t="str">
        <f>IF(A5633="","",VLOOKUP(A5633,VII.A!$A$10:$D$199,3,FALSE))</f>
        <v/>
      </c>
      <c r="K5633" s="342" t="str">
        <f t="shared" si="1444"/>
        <v/>
      </c>
      <c r="L5633" s="380" t="str">
        <f>IF(C5633="","",G5627*C5633)</f>
        <v/>
      </c>
      <c r="M5633" s="381" t="str">
        <f>IF(A5633="","",VLOOKUP(A5633,VII.A!$A$10:$B$199,2,FALSE))</f>
        <v/>
      </c>
      <c r="N5633" s="342" t="str">
        <f t="shared" si="1445"/>
        <v/>
      </c>
      <c r="R5633" s="341"/>
      <c r="S5633" s="341"/>
    </row>
    <row r="5634" spans="1:21" ht="12.75" customHeight="1">
      <c r="A5634" s="385"/>
      <c r="B5634" s="386"/>
      <c r="C5634" s="20"/>
      <c r="D5634" s="384" t="str">
        <f>IF(A5634="","",VLOOKUP(A5634,VII.A!$A$10:$G$199,3,FALSE))</f>
        <v/>
      </c>
      <c r="E5634" s="387" t="str">
        <f>IF(A5634="","",VLOOKUP(A5634,VII.A!$A$10:$G$199,4,FALSE))</f>
        <v/>
      </c>
      <c r="F5634" s="388" t="str">
        <f t="shared" si="1446"/>
        <v/>
      </c>
      <c r="H5634" s="341" t="str">
        <f>IF(A5634="","",VLOOKUP(A5634,VII.A!$A$10:$D$199,4,FALSE))</f>
        <v/>
      </c>
      <c r="I5634" s="341" t="str">
        <f t="shared" si="1443"/>
        <v/>
      </c>
      <c r="J5634" s="341" t="str">
        <f>IF(A5634="","",VLOOKUP(A5634,VII.A!$A$10:$D$199,3,FALSE))</f>
        <v/>
      </c>
      <c r="K5634" s="342" t="str">
        <f t="shared" si="1444"/>
        <v/>
      </c>
      <c r="L5634" s="380" t="str">
        <f>IF(C5634="","",G5627*C5634)</f>
        <v/>
      </c>
      <c r="M5634" s="381" t="str">
        <f>IF(A5634="","",VLOOKUP(A5634,VII.A!$A$10:$B$199,2,FALSE))</f>
        <v/>
      </c>
      <c r="N5634" s="342" t="str">
        <f t="shared" si="1445"/>
        <v/>
      </c>
      <c r="R5634" s="341"/>
      <c r="S5634" s="341"/>
      <c r="U5634" s="389"/>
    </row>
    <row r="5635" spans="1:21" ht="12.75" customHeight="1">
      <c r="A5635" s="385"/>
      <c r="B5635" s="386"/>
      <c r="C5635" s="20"/>
      <c r="D5635" s="384" t="str">
        <f>IF(A5635="","",VLOOKUP(A5635,VII.A!$A$10:$G$199,3,FALSE))</f>
        <v/>
      </c>
      <c r="E5635" s="387" t="str">
        <f>IF(A5635="","",VLOOKUP(A5635,VII.A!$A$10:$G$199,4,FALSE))</f>
        <v/>
      </c>
      <c r="F5635" s="388" t="str">
        <f t="shared" si="1446"/>
        <v/>
      </c>
      <c r="H5635" s="341" t="str">
        <f>IF(A5635="","",VLOOKUP(A5635,VII.A!$A$10:$D$199,4,FALSE))</f>
        <v/>
      </c>
      <c r="I5635" s="341" t="str">
        <f t="shared" si="1443"/>
        <v/>
      </c>
      <c r="J5635" s="341" t="str">
        <f>IF(A5635="","",VLOOKUP(A5635,VII.A!$A$10:$D$199,3,FALSE))</f>
        <v/>
      </c>
      <c r="K5635" s="342" t="str">
        <f t="shared" si="1444"/>
        <v/>
      </c>
      <c r="L5635" s="380" t="str">
        <f>IF(C5635="","",G5627*C5635)</f>
        <v/>
      </c>
      <c r="M5635" s="381" t="str">
        <f>IF(A5635="","",VLOOKUP(A5635,VII.A!$A$10:$B$199,2,FALSE))</f>
        <v/>
      </c>
      <c r="N5635" s="342" t="str">
        <f t="shared" si="1445"/>
        <v/>
      </c>
      <c r="R5635" s="341"/>
      <c r="S5635" s="341"/>
    </row>
    <row r="5636" spans="1:21" ht="12.75" customHeight="1">
      <c r="A5636" s="385"/>
      <c r="B5636" s="386"/>
      <c r="C5636" s="20"/>
      <c r="D5636" s="384" t="str">
        <f>IF(A5636="","",VLOOKUP(A5636,VII.A!$A$10:$G$199,3,FALSE))</f>
        <v/>
      </c>
      <c r="E5636" s="387" t="str">
        <f>IF(A5636="","",VLOOKUP(A5636,VII.A!$A$10:$G$199,4,FALSE))</f>
        <v/>
      </c>
      <c r="F5636" s="388" t="str">
        <f t="shared" si="1446"/>
        <v/>
      </c>
      <c r="G5636" s="390"/>
      <c r="H5636" s="341" t="str">
        <f>IF(A5636="","",VLOOKUP(A5636,VII.A!$A$10:$D$199,4,FALSE))</f>
        <v/>
      </c>
      <c r="I5636" s="341" t="str">
        <f t="shared" si="1443"/>
        <v/>
      </c>
      <c r="J5636" s="341" t="str">
        <f>IF(A5636="","",VLOOKUP(A5636,VII.A!$A$10:$D$199,3,FALSE))</f>
        <v/>
      </c>
      <c r="K5636" s="342" t="str">
        <f t="shared" si="1444"/>
        <v/>
      </c>
      <c r="L5636" s="380" t="str">
        <f>IF(C5636="","",G5627*C5636)</f>
        <v/>
      </c>
      <c r="M5636" s="381" t="str">
        <f>IF(A5636="","",VLOOKUP(A5636,VII.A!$A$10:$B$199,2,FALSE))</f>
        <v/>
      </c>
      <c r="N5636" s="342" t="str">
        <f t="shared" si="1445"/>
        <v/>
      </c>
      <c r="R5636" s="341"/>
      <c r="S5636" s="341"/>
    </row>
    <row r="5637" spans="1:21" ht="12.75" customHeight="1">
      <c r="A5637" s="385"/>
      <c r="B5637" s="386"/>
      <c r="C5637" s="20"/>
      <c r="D5637" s="384" t="str">
        <f>IF(A5637="","",VLOOKUP(A5637,VII.A!$A$10:$G$199,3,FALSE))</f>
        <v/>
      </c>
      <c r="E5637" s="387" t="str">
        <f>IF(A5637="","",VLOOKUP(A5637,VII.A!$A$10:$G$199,4,FALSE))</f>
        <v/>
      </c>
      <c r="F5637" s="388" t="str">
        <f t="shared" si="1446"/>
        <v/>
      </c>
      <c r="G5637" s="390"/>
      <c r="H5637" s="341" t="str">
        <f>IF(A5637="","",VLOOKUP(A5637,VII.A!$A$10:$D$199,4,FALSE))</f>
        <v/>
      </c>
      <c r="I5637" s="341" t="str">
        <f t="shared" si="1443"/>
        <v/>
      </c>
      <c r="J5637" s="341" t="str">
        <f>IF(A5637="","",VLOOKUP(A5637,VII.A!$A$10:$D$199,3,FALSE))</f>
        <v/>
      </c>
      <c r="K5637" s="342" t="str">
        <f t="shared" si="1444"/>
        <v/>
      </c>
      <c r="L5637" s="380" t="str">
        <f>IF(C5637="","",G5627*C5637)</f>
        <v/>
      </c>
      <c r="M5637" s="381" t="str">
        <f>IF(A5637="","",VLOOKUP(A5637,VII.A!$A$10:$B$199,2,FALSE))</f>
        <v/>
      </c>
      <c r="N5637" s="342" t="str">
        <f t="shared" si="1445"/>
        <v/>
      </c>
      <c r="R5637" s="341"/>
      <c r="S5637" s="341"/>
    </row>
    <row r="5638" spans="1:21" ht="12.75" customHeight="1">
      <c r="A5638" s="385"/>
      <c r="B5638" s="386"/>
      <c r="C5638" s="20"/>
      <c r="D5638" s="384" t="str">
        <f>IF(A5638="","",VLOOKUP(A5638,VII.A!$A$10:$G$199,3,FALSE))</f>
        <v/>
      </c>
      <c r="E5638" s="387" t="str">
        <f>IF(A5638="","",VLOOKUP(A5638,VII.A!$A$10:$G$199,4,FALSE))</f>
        <v/>
      </c>
      <c r="F5638" s="388" t="str">
        <f t="shared" si="1446"/>
        <v/>
      </c>
      <c r="G5638" s="391"/>
      <c r="H5638" s="341" t="str">
        <f>IF(A5638="","",VLOOKUP(A5638,VII.A!$A$10:$D$199,4,FALSE))</f>
        <v/>
      </c>
      <c r="I5638" s="341" t="str">
        <f t="shared" si="1443"/>
        <v/>
      </c>
      <c r="J5638" s="341" t="str">
        <f>IF(A5638="","",VLOOKUP(A5638,VII.A!$A$10:$D$199,3,FALSE))</f>
        <v/>
      </c>
      <c r="K5638" s="342" t="str">
        <f t="shared" si="1444"/>
        <v/>
      </c>
      <c r="L5638" s="380" t="str">
        <f>IF(C5638="","",G5627*C5638)</f>
        <v/>
      </c>
      <c r="M5638" s="381" t="str">
        <f>IF(A5638="","",VLOOKUP(A5638,VII.A!$A$10:$B$199,2,FALSE))</f>
        <v/>
      </c>
      <c r="N5638" s="342" t="str">
        <f t="shared" si="1445"/>
        <v/>
      </c>
      <c r="R5638" s="341"/>
      <c r="S5638" s="341"/>
    </row>
    <row r="5639" spans="1:21" ht="12.75" customHeight="1">
      <c r="A5639" s="385"/>
      <c r="B5639" s="386"/>
      <c r="C5639" s="20"/>
      <c r="D5639" s="384" t="str">
        <f>IF(A5639="","",VLOOKUP(A5639,VII.A!$A$10:$G$199,3,FALSE))</f>
        <v/>
      </c>
      <c r="E5639" s="387" t="str">
        <f>IF(A5639="","",VLOOKUP(A5639,VII.A!$A$10:$G$199,4,FALSE))</f>
        <v/>
      </c>
      <c r="F5639" s="388" t="str">
        <f t="shared" si="1446"/>
        <v/>
      </c>
      <c r="H5639" s="341" t="str">
        <f>IF(A5639="","",VLOOKUP(A5639,VII.A!$A$10:$D$199,4,FALSE))</f>
        <v/>
      </c>
      <c r="I5639" s="341" t="str">
        <f t="shared" si="1443"/>
        <v/>
      </c>
      <c r="J5639" s="341" t="str">
        <f>IF(A5639="","",VLOOKUP(A5639,VII.A!$A$10:$D$199,3,FALSE))</f>
        <v/>
      </c>
      <c r="K5639" s="342" t="str">
        <f t="shared" si="1444"/>
        <v/>
      </c>
      <c r="L5639" s="380" t="str">
        <f>IF(C5639="","",G5627*C5639)</f>
        <v/>
      </c>
      <c r="M5639" s="381" t="str">
        <f>IF(A5639="","",VLOOKUP(A5639,VII.A!$A$10:$B$199,2,FALSE))</f>
        <v/>
      </c>
      <c r="N5639" s="342" t="str">
        <f t="shared" si="1445"/>
        <v/>
      </c>
      <c r="R5639" s="341"/>
      <c r="S5639" s="341"/>
    </row>
    <row r="5640" spans="1:21" ht="12.75" customHeight="1">
      <c r="A5640" s="385"/>
      <c r="B5640" s="386"/>
      <c r="C5640" s="20"/>
      <c r="D5640" s="384" t="str">
        <f>IF(A5640="","",VLOOKUP(A5640,VII.A!$A$10:$G$199,3,FALSE))</f>
        <v/>
      </c>
      <c r="E5640" s="387" t="str">
        <f>IF(A5640="","",VLOOKUP(A5640,VII.A!$A$10:$G$199,4,FALSE))</f>
        <v/>
      </c>
      <c r="F5640" s="388" t="str">
        <f t="shared" si="1446"/>
        <v/>
      </c>
      <c r="H5640" s="341" t="str">
        <f>IF(A5640="","",VLOOKUP(A5640,VII.A!$A$10:$D$199,4,FALSE))</f>
        <v/>
      </c>
      <c r="I5640" s="341" t="str">
        <f t="shared" si="1443"/>
        <v/>
      </c>
      <c r="J5640" s="341" t="str">
        <f>IF(A5640="","",VLOOKUP(A5640,VII.A!$A$10:$D$199,3,FALSE))</f>
        <v/>
      </c>
      <c r="K5640" s="342" t="str">
        <f t="shared" si="1444"/>
        <v/>
      </c>
      <c r="L5640" s="380" t="str">
        <f>IF(C5640="","",G5627*C5640)</f>
        <v/>
      </c>
      <c r="M5640" s="381" t="str">
        <f>IF(A5640="","",VLOOKUP(A5640,VII.A!$A$10:$B$199,2,FALSE))</f>
        <v/>
      </c>
      <c r="N5640" s="342" t="str">
        <f t="shared" si="1445"/>
        <v/>
      </c>
      <c r="R5640" s="341"/>
      <c r="S5640" s="341"/>
    </row>
    <row r="5641" spans="1:21" ht="12.75" customHeight="1">
      <c r="A5641" s="385"/>
      <c r="B5641" s="386"/>
      <c r="C5641" s="20"/>
      <c r="D5641" s="384" t="str">
        <f>IF(A5641="","",VLOOKUP(A5641,VII.A!$A$10:$G$199,3,FALSE))</f>
        <v/>
      </c>
      <c r="E5641" s="387" t="str">
        <f>IF(A5641="","",VLOOKUP(A5641,VII.A!$A$10:$G$199,4,FALSE))</f>
        <v/>
      </c>
      <c r="F5641" s="388" t="str">
        <f t="shared" si="1446"/>
        <v/>
      </c>
      <c r="H5641" s="341" t="str">
        <f>IF(A5641="","",VLOOKUP(A5641,VII.A!$A$10:$D$199,4,FALSE))</f>
        <v/>
      </c>
      <c r="I5641" s="341" t="str">
        <f t="shared" si="1443"/>
        <v/>
      </c>
      <c r="J5641" s="341" t="str">
        <f>IF(A5641="","",VLOOKUP(A5641,VII.A!$A$10:$D$199,3,FALSE))</f>
        <v/>
      </c>
      <c r="K5641" s="342" t="str">
        <f t="shared" si="1444"/>
        <v/>
      </c>
      <c r="L5641" s="380" t="str">
        <f>IF(C5641="","",G5627*C5641)</f>
        <v/>
      </c>
      <c r="M5641" s="381" t="str">
        <f>IF(A5641="","",VLOOKUP(A5641,VII.A!$A$10:$B$199,2,FALSE))</f>
        <v/>
      </c>
      <c r="N5641" s="342" t="str">
        <f t="shared" si="1445"/>
        <v/>
      </c>
      <c r="O5641" s="342"/>
      <c r="R5641" s="341"/>
      <c r="S5641" s="341"/>
    </row>
    <row r="5642" spans="1:21" ht="12.75" customHeight="1">
      <c r="A5642" s="385"/>
      <c r="B5642" s="386"/>
      <c r="C5642" s="20"/>
      <c r="D5642" s="384" t="str">
        <f>IF(A5642="","",VLOOKUP(A5642,VII.A!$A$10:$G$199,3,FALSE))</f>
        <v/>
      </c>
      <c r="E5642" s="387" t="str">
        <f>IF(A5642="","",VLOOKUP(A5642,VII.A!$A$10:$G$199,4,FALSE))</f>
        <v/>
      </c>
      <c r="F5642" s="388" t="str">
        <f t="shared" si="1446"/>
        <v/>
      </c>
      <c r="H5642" s="341" t="str">
        <f>IF(A5642="","",VLOOKUP(A5642,VII.A!$A$10:$D$199,4,FALSE))</f>
        <v/>
      </c>
      <c r="I5642" s="341" t="str">
        <f t="shared" si="1443"/>
        <v/>
      </c>
      <c r="J5642" s="341" t="str">
        <f>IF(A5642="","",VLOOKUP(A5642,VII.A!$A$10:$D$199,3,FALSE))</f>
        <v/>
      </c>
      <c r="K5642" s="342" t="str">
        <f t="shared" si="1444"/>
        <v/>
      </c>
      <c r="L5642" s="380" t="str">
        <f>IF(C5642="","",G5627*C5642)</f>
        <v/>
      </c>
      <c r="M5642" s="381" t="str">
        <f>IF(A5642="","",VLOOKUP(A5642,VII.A!$A$10:$B$199,2,FALSE))</f>
        <v/>
      </c>
      <c r="N5642" s="342" t="str">
        <f t="shared" si="1445"/>
        <v/>
      </c>
      <c r="R5642" s="341"/>
      <c r="S5642" s="341"/>
    </row>
    <row r="5643" spans="1:21" ht="12.75" customHeight="1">
      <c r="A5643" s="393"/>
      <c r="C5643" s="20"/>
      <c r="D5643" s="384" t="str">
        <f>IF(A5643="","",VLOOKUP(A5643,VII.A!$A$10:$G$199,3,FALSE))</f>
        <v/>
      </c>
      <c r="E5643" s="387" t="str">
        <f>IF(A5643="","",VLOOKUP(A5643,VII.A!$A$10:$G$199,4,FALSE))</f>
        <v/>
      </c>
      <c r="F5643" s="388" t="str">
        <f t="shared" si="1446"/>
        <v/>
      </c>
      <c r="H5643" s="341" t="str">
        <f>IF(A5643="","",VLOOKUP(A5643,VII.A!$A$10:$D$199,4,FALSE))</f>
        <v/>
      </c>
      <c r="I5643" s="341" t="str">
        <f t="shared" si="1443"/>
        <v/>
      </c>
      <c r="J5643" s="341" t="str">
        <f>IF(A5643="","",VLOOKUP(A5643,VII.A!$A$10:$D$199,3,FALSE))</f>
        <v/>
      </c>
      <c r="K5643" s="342" t="str">
        <f t="shared" si="1444"/>
        <v/>
      </c>
      <c r="L5643" s="380" t="str">
        <f>IF(C5643="","",G5627*C5643)</f>
        <v/>
      </c>
      <c r="M5643" s="381" t="str">
        <f>IF(A5643="","",VLOOKUP(A5643,VII.A!$A$10:$B$199,2,FALSE))</f>
        <v/>
      </c>
      <c r="N5643" s="342" t="str">
        <f t="shared" si="1445"/>
        <v/>
      </c>
      <c r="R5643" s="341"/>
      <c r="S5643" s="341"/>
    </row>
    <row r="5644" spans="1:21" ht="12.75" customHeight="1">
      <c r="A5644" s="393"/>
      <c r="C5644" s="20"/>
      <c r="E5644" s="387" t="str">
        <f>IF(A5644="","",VLOOKUP(A5644,VII.A!$A$10:$G$199,4,FALSE))</f>
        <v/>
      </c>
      <c r="F5644" s="388" t="str">
        <f t="shared" si="1446"/>
        <v/>
      </c>
      <c r="H5644" s="341" t="str">
        <f>IF(A5644="","",VLOOKUP(A5644,VII.A!$A$10:$D$199,4,FALSE))</f>
        <v/>
      </c>
      <c r="I5644" s="341" t="str">
        <f t="shared" si="1443"/>
        <v/>
      </c>
      <c r="J5644" s="341" t="str">
        <f>IF(A5644="","",VLOOKUP(A5644,VII.A!$A$10:$D$199,3,FALSE))</f>
        <v/>
      </c>
      <c r="K5644" s="342" t="str">
        <f t="shared" si="1444"/>
        <v/>
      </c>
      <c r="L5644" s="380" t="str">
        <f>IF(C5644="","",G5627*C5644)</f>
        <v/>
      </c>
      <c r="M5644" s="381" t="str">
        <f>IF(A5644="","",VLOOKUP(A5644,VII.A!$A$10:$B$199,2,FALSE))</f>
        <v/>
      </c>
      <c r="N5644" s="342" t="str">
        <f t="shared" si="1445"/>
        <v/>
      </c>
      <c r="R5644" s="341"/>
      <c r="S5644" s="341"/>
    </row>
    <row r="5645" spans="1:21" ht="12.75" customHeight="1">
      <c r="A5645" s="393"/>
      <c r="B5645" s="395" t="s">
        <v>226</v>
      </c>
      <c r="C5645" s="396"/>
      <c r="D5645" s="397"/>
      <c r="E5645" s="398"/>
      <c r="F5645" s="399">
        <f>SUM(F5629:F5644)</f>
        <v>0</v>
      </c>
      <c r="H5645" s="426" t="s">
        <v>850</v>
      </c>
      <c r="J5645" s="341"/>
      <c r="L5645" s="380"/>
      <c r="M5645" s="381"/>
      <c r="N5645" s="342"/>
      <c r="R5645" s="341"/>
      <c r="S5645" s="341"/>
    </row>
    <row r="5646" spans="1:21" ht="12.75" customHeight="1">
      <c r="A5646" s="393"/>
      <c r="B5646" s="400" t="s">
        <v>53</v>
      </c>
      <c r="C5646" s="2">
        <f>$D$8</f>
        <v>0</v>
      </c>
      <c r="D5646" s="401"/>
      <c r="E5646" s="402"/>
      <c r="F5646" s="403">
        <f>ROUND(F5645*C5646,2)</f>
        <v>0</v>
      </c>
      <c r="H5646" s="426"/>
      <c r="J5646" s="341"/>
      <c r="L5646" s="380"/>
      <c r="M5646" s="381"/>
      <c r="N5646" s="342"/>
      <c r="R5646" s="341"/>
      <c r="S5646" s="341"/>
    </row>
    <row r="5647" spans="1:21" ht="12.75" customHeight="1">
      <c r="A5647" s="404"/>
      <c r="B5647" s="405" t="s">
        <v>227</v>
      </c>
      <c r="C5647" s="406"/>
      <c r="D5647" s="406"/>
      <c r="E5647" s="407"/>
      <c r="F5647" s="408">
        <f>F5645+F5646</f>
        <v>0</v>
      </c>
      <c r="J5647" s="341"/>
      <c r="L5647" s="380"/>
      <c r="M5647" s="381"/>
      <c r="N5647" s="342"/>
      <c r="R5647" s="341"/>
      <c r="S5647" s="341"/>
    </row>
    <row r="5648" spans="1:21" ht="12.75" customHeight="1">
      <c r="A5648" s="374" t="s">
        <v>2</v>
      </c>
      <c r="B5648" s="375" t="s">
        <v>235</v>
      </c>
      <c r="C5648" s="376" t="s">
        <v>231</v>
      </c>
      <c r="D5648" s="376" t="s">
        <v>232</v>
      </c>
      <c r="E5648" s="377" t="s">
        <v>233</v>
      </c>
      <c r="F5648" s="378" t="s">
        <v>234</v>
      </c>
      <c r="J5648" s="341"/>
      <c r="L5648" s="380"/>
      <c r="M5648" s="381"/>
      <c r="N5648" s="342"/>
      <c r="R5648" s="341"/>
      <c r="S5648" s="341"/>
    </row>
    <row r="5649" spans="1:19" ht="12.75" customHeight="1">
      <c r="A5649" s="393" t="str">
        <f>VII.A!$A$176</f>
        <v>2.34</v>
      </c>
      <c r="B5649" s="423" t="str">
        <f>IF(A5649="","",VLOOKUP(A5649,VII.A!$A$10:$G$199,2,FALSE))</f>
        <v>GERADOR PORTÁTIL A DIESEL POTÊNCIA=10KVA MONOFÁSICO BI-VOLT</v>
      </c>
      <c r="C5649" s="20">
        <f>8*30</f>
        <v>240</v>
      </c>
      <c r="D5649" s="384" t="str">
        <f>IF(A5649="","",VLOOKUP(A5649,VII.A!$A$10:$G$199,3,FALSE))</f>
        <v>CHI</v>
      </c>
      <c r="E5649" s="387">
        <f>IF(A5649="","",VLOOKUP(A5649,VII.A!$A$10:$G$199,4,FALSE))</f>
        <v>0</v>
      </c>
      <c r="F5649" s="388">
        <f>IF(A5649="","",ROUND(C5649*E5649,2))</f>
        <v>0</v>
      </c>
      <c r="H5649" s="341">
        <f>IF(A5649="","",VLOOKUP(A5649,VII.A!$A$10:$D$199,4,FALSE))</f>
        <v>0</v>
      </c>
      <c r="I5649" s="341" t="str">
        <f t="shared" ref="I5649:I5658" si="1447">IF(A5649="","",IF(E5649=H5649,"SIM","NÃO"))</f>
        <v>SIM</v>
      </c>
      <c r="J5649" s="341" t="str">
        <f>IF(A5649="","",VLOOKUP(A5649,VII.A!$A$10:$D$199,3,FALSE))</f>
        <v>CHI</v>
      </c>
      <c r="K5649" s="342" t="str">
        <f t="shared" ref="K5649:K5658" si="1448">IF(A5649="","",IF(J5649=D5649,"SIM","NÃO"))</f>
        <v>SIM</v>
      </c>
      <c r="L5649" s="380">
        <f>IF(C5649="","",G5627*C5649)</f>
        <v>2880</v>
      </c>
      <c r="M5649" s="381" t="str">
        <f>IF(A5649="","",VLOOKUP(A5649,VII.A!$A$10:$B$199,2,FALSE))</f>
        <v>GERADOR PORTÁTIL A DIESEL POTÊNCIA=10KVA MONOFÁSICO BI-VOLT</v>
      </c>
      <c r="N5649" s="342" t="str">
        <f t="shared" ref="N5649:N5658" si="1449">IF(B5649="","",IF(M5649=B5649,"si","no"))</f>
        <v>si</v>
      </c>
      <c r="R5649" s="341"/>
      <c r="S5649" s="341"/>
    </row>
    <row r="5650" spans="1:19" ht="12.75" customHeight="1">
      <c r="A5650" s="393"/>
      <c r="B5650" s="423" t="str">
        <f>IF(A5650="","",VLOOKUP(A5650,VII.A!$A$10:$G$199,2,FALSE))</f>
        <v/>
      </c>
      <c r="C5650" s="20"/>
      <c r="D5650" s="384" t="str">
        <f>IF(A5650="","",VLOOKUP(A5650,VII.A!$A$10:$G$199,3,FALSE))</f>
        <v/>
      </c>
      <c r="E5650" s="387" t="str">
        <f>IF(A5650="","",VLOOKUP(A5650,VII.A!$A$10:$G$199,4,FALSE))</f>
        <v/>
      </c>
      <c r="F5650" s="388" t="str">
        <f t="shared" ref="F5650:F5658" si="1450">IF(A5650="","",ROUND(C5650*E5650,2))</f>
        <v/>
      </c>
      <c r="H5650" s="341" t="str">
        <f>IF(A5650="","",VLOOKUP(A5650,VII.A!$A$10:$D$199,4,FALSE))</f>
        <v/>
      </c>
      <c r="I5650" s="341" t="str">
        <f t="shared" si="1447"/>
        <v/>
      </c>
      <c r="J5650" s="341" t="str">
        <f>IF(A5650="","",VLOOKUP(A5650,VII.A!$A$10:$D$199,3,FALSE))</f>
        <v/>
      </c>
      <c r="K5650" s="342" t="str">
        <f t="shared" si="1448"/>
        <v/>
      </c>
      <c r="L5650" s="380" t="str">
        <f>IF(C5650="","",G5627*C5650)</f>
        <v/>
      </c>
      <c r="M5650" s="381" t="str">
        <f>IF(A5650="","",VLOOKUP(A5650,VII.A!$A$10:$B$199,2,FALSE))</f>
        <v/>
      </c>
      <c r="N5650" s="342" t="str">
        <f t="shared" si="1449"/>
        <v/>
      </c>
      <c r="R5650" s="341"/>
      <c r="S5650" s="341"/>
    </row>
    <row r="5651" spans="1:19" ht="12.75" customHeight="1">
      <c r="A5651" s="393"/>
      <c r="C5651" s="20"/>
      <c r="D5651" s="384" t="str">
        <f>IF(A5651="","",VLOOKUP(A5651,VII.A!$A$10:$G$199,3,FALSE))</f>
        <v/>
      </c>
      <c r="E5651" s="387" t="str">
        <f>IF(A5651="","",VLOOKUP(A5651,VII.A!$A$10:$G$199,4,FALSE))</f>
        <v/>
      </c>
      <c r="F5651" s="388" t="str">
        <f t="shared" si="1450"/>
        <v/>
      </c>
      <c r="H5651" s="341" t="str">
        <f>IF(A5651="","",VLOOKUP(A5651,VII.A!$A$10:$D$199,4,FALSE))</f>
        <v/>
      </c>
      <c r="I5651" s="341" t="str">
        <f t="shared" si="1447"/>
        <v/>
      </c>
      <c r="J5651" s="341" t="str">
        <f>IF(A5651="","",VLOOKUP(A5651,VII.A!$A$10:$D$199,3,FALSE))</f>
        <v/>
      </c>
      <c r="K5651" s="342" t="str">
        <f t="shared" si="1448"/>
        <v/>
      </c>
      <c r="L5651" s="380" t="str">
        <f>IF(C5651="","",G5627*C5651)</f>
        <v/>
      </c>
      <c r="M5651" s="381" t="str">
        <f>IF(A5651="","",VLOOKUP(A5651,VII.A!$A$10:$B$199,2,FALSE))</f>
        <v/>
      </c>
      <c r="N5651" s="342" t="str">
        <f t="shared" si="1449"/>
        <v/>
      </c>
      <c r="R5651" s="341"/>
      <c r="S5651" s="341"/>
    </row>
    <row r="5652" spans="1:19" ht="12.75" customHeight="1">
      <c r="A5652" s="393"/>
      <c r="C5652" s="20"/>
      <c r="D5652" s="384" t="str">
        <f>IF(A5652="","",VLOOKUP(A5652,VII.A!$A$10:$G$199,3,FALSE))</f>
        <v/>
      </c>
      <c r="E5652" s="387" t="str">
        <f>IF(A5652="","",VLOOKUP(A5652,VII.A!$A$10:$G$199,4,FALSE))</f>
        <v/>
      </c>
      <c r="F5652" s="388" t="str">
        <f t="shared" si="1450"/>
        <v/>
      </c>
      <c r="H5652" s="341" t="str">
        <f>IF(A5652="","",VLOOKUP(A5652,VII.A!$A$10:$D$199,4,FALSE))</f>
        <v/>
      </c>
      <c r="I5652" s="341" t="str">
        <f t="shared" si="1447"/>
        <v/>
      </c>
      <c r="J5652" s="341" t="str">
        <f>IF(A5652="","",VLOOKUP(A5652,VII.A!$A$10:$D$199,3,FALSE))</f>
        <v/>
      </c>
      <c r="K5652" s="342" t="str">
        <f t="shared" si="1448"/>
        <v/>
      </c>
      <c r="L5652" s="380" t="str">
        <f>IF(C5652="","",G5627*C5652)</f>
        <v/>
      </c>
      <c r="M5652" s="381" t="str">
        <f>IF(A5652="","",VLOOKUP(A5652,VII.A!$A$10:$B$199,2,FALSE))</f>
        <v/>
      </c>
      <c r="N5652" s="342" t="str">
        <f t="shared" si="1449"/>
        <v/>
      </c>
      <c r="R5652" s="341"/>
      <c r="S5652" s="341"/>
    </row>
    <row r="5653" spans="1:19" ht="12.75" customHeight="1">
      <c r="A5653" s="393"/>
      <c r="C5653" s="20"/>
      <c r="D5653" s="384" t="str">
        <f>IF(A5653="","",VLOOKUP(A5653,VII.A!$A$10:$G$199,3,FALSE))</f>
        <v/>
      </c>
      <c r="E5653" s="387" t="str">
        <f>IF(A5653="","",VLOOKUP(A5653,VII.A!$A$10:$G$199,4,FALSE))</f>
        <v/>
      </c>
      <c r="F5653" s="388" t="str">
        <f t="shared" si="1450"/>
        <v/>
      </c>
      <c r="G5653" s="390"/>
      <c r="H5653" s="341" t="str">
        <f>IF(A5653="","",VLOOKUP(A5653,VII.A!$A$10:$D$199,4,FALSE))</f>
        <v/>
      </c>
      <c r="I5653" s="341" t="str">
        <f t="shared" si="1447"/>
        <v/>
      </c>
      <c r="J5653" s="341" t="str">
        <f>IF(A5653="","",VLOOKUP(A5653,VII.A!$A$10:$D$199,3,FALSE))</f>
        <v/>
      </c>
      <c r="K5653" s="342" t="str">
        <f t="shared" si="1448"/>
        <v/>
      </c>
      <c r="L5653" s="380" t="str">
        <f>IF(C5653="","",G5627*C5653)</f>
        <v/>
      </c>
      <c r="M5653" s="381" t="str">
        <f>IF(A5653="","",VLOOKUP(A5653,VII.A!$A$10:$B$199,2,FALSE))</f>
        <v/>
      </c>
      <c r="N5653" s="342" t="str">
        <f t="shared" si="1449"/>
        <v/>
      </c>
      <c r="R5653" s="341"/>
      <c r="S5653" s="341"/>
    </row>
    <row r="5654" spans="1:19" ht="12.75" customHeight="1">
      <c r="A5654" s="393"/>
      <c r="C5654" s="20"/>
      <c r="D5654" s="384" t="str">
        <f>IF(A5654="","",VLOOKUP(A5654,VII.A!$A$10:$G$199,3,FALSE))</f>
        <v/>
      </c>
      <c r="E5654" s="387" t="str">
        <f>IF(A5654="","",VLOOKUP(A5654,VII.A!$A$10:$G$199,4,FALSE))</f>
        <v/>
      </c>
      <c r="F5654" s="388" t="str">
        <f t="shared" si="1450"/>
        <v/>
      </c>
      <c r="G5654" s="391"/>
      <c r="H5654" s="341" t="str">
        <f>IF(A5654="","",VLOOKUP(A5654,VII.A!$A$10:$D$199,4,FALSE))</f>
        <v/>
      </c>
      <c r="I5654" s="341" t="str">
        <f t="shared" si="1447"/>
        <v/>
      </c>
      <c r="J5654" s="341" t="str">
        <f>IF(A5654="","",VLOOKUP(A5654,VII.A!$A$10:$D$199,3,FALSE))</f>
        <v/>
      </c>
      <c r="K5654" s="342" t="str">
        <f t="shared" si="1448"/>
        <v/>
      </c>
      <c r="L5654" s="380" t="str">
        <f>IF(C5654="","",G5627*C5654)</f>
        <v/>
      </c>
      <c r="M5654" s="381" t="str">
        <f>IF(A5654="","",VLOOKUP(A5654,VII.A!$A$10:$B$199,2,FALSE))</f>
        <v/>
      </c>
      <c r="N5654" s="342" t="str">
        <f t="shared" si="1449"/>
        <v/>
      </c>
      <c r="R5654" s="341"/>
      <c r="S5654" s="341"/>
    </row>
    <row r="5655" spans="1:19" ht="12.75" customHeight="1">
      <c r="A5655" s="393"/>
      <c r="C5655" s="20"/>
      <c r="D5655" s="384" t="str">
        <f>IF(A5655="","",VLOOKUP(A5655,VII.A!$A$10:$G$199,3,FALSE))</f>
        <v/>
      </c>
      <c r="E5655" s="387" t="str">
        <f>IF(A5655="","",VLOOKUP(A5655,VII.A!$A$10:$G$199,4,FALSE))</f>
        <v/>
      </c>
      <c r="F5655" s="388" t="str">
        <f t="shared" si="1450"/>
        <v/>
      </c>
      <c r="H5655" s="341" t="str">
        <f>IF(A5655="","",VLOOKUP(A5655,VII.A!$A$10:$D$199,4,FALSE))</f>
        <v/>
      </c>
      <c r="I5655" s="341" t="str">
        <f t="shared" si="1447"/>
        <v/>
      </c>
      <c r="J5655" s="341" t="str">
        <f>IF(A5655="","",VLOOKUP(A5655,VII.A!$A$10:$D$199,3,FALSE))</f>
        <v/>
      </c>
      <c r="K5655" s="342" t="str">
        <f t="shared" si="1448"/>
        <v/>
      </c>
      <c r="L5655" s="380" t="str">
        <f>IF(C5655="","",G5627*C5655)</f>
        <v/>
      </c>
      <c r="M5655" s="381" t="str">
        <f>IF(A5655="","",VLOOKUP(A5655,VII.A!$A$10:$B$199,2,FALSE))</f>
        <v/>
      </c>
      <c r="N5655" s="342" t="str">
        <f t="shared" si="1449"/>
        <v/>
      </c>
      <c r="R5655" s="341"/>
      <c r="S5655" s="341"/>
    </row>
    <row r="5656" spans="1:19" ht="12.75" customHeight="1">
      <c r="A5656" s="393"/>
      <c r="C5656" s="20"/>
      <c r="D5656" s="384" t="str">
        <f>IF(A5656="","",VLOOKUP(A5656,VII.A!$A$10:$G$199,3,FALSE))</f>
        <v/>
      </c>
      <c r="E5656" s="387" t="str">
        <f>IF(A5656="","",VLOOKUP(A5656,VII.A!$A$10:$G$199,4,FALSE))</f>
        <v/>
      </c>
      <c r="F5656" s="388" t="str">
        <f t="shared" si="1450"/>
        <v/>
      </c>
      <c r="H5656" s="341" t="str">
        <f>IF(A5656="","",VLOOKUP(A5656,VII.A!$A$10:$D$199,4,FALSE))</f>
        <v/>
      </c>
      <c r="I5656" s="341" t="str">
        <f t="shared" si="1447"/>
        <v/>
      </c>
      <c r="J5656" s="341" t="str">
        <f>IF(A5656="","",VLOOKUP(A5656,VII.A!$A$10:$D$199,3,FALSE))</f>
        <v/>
      </c>
      <c r="K5656" s="342" t="str">
        <f t="shared" si="1448"/>
        <v/>
      </c>
      <c r="L5656" s="380" t="str">
        <f>IF(C5656="","",G5627*C5656)</f>
        <v/>
      </c>
      <c r="M5656" s="381" t="str">
        <f>IF(A5656="","",VLOOKUP(A5656,VII.A!$A$10:$B$199,2,FALSE))</f>
        <v/>
      </c>
      <c r="N5656" s="342" t="str">
        <f t="shared" si="1449"/>
        <v/>
      </c>
      <c r="R5656" s="341"/>
      <c r="S5656" s="341"/>
    </row>
    <row r="5657" spans="1:19" ht="12.75" customHeight="1">
      <c r="A5657" s="393"/>
      <c r="C5657" s="20"/>
      <c r="D5657" s="384" t="str">
        <f>IF(A5657="","",VLOOKUP(A5657,VII.A!$A$10:$G$199,3,FALSE))</f>
        <v/>
      </c>
      <c r="E5657" s="387" t="str">
        <f>IF(A5657="","",VLOOKUP(A5657,VII.A!$A$10:$G$199,4,FALSE))</f>
        <v/>
      </c>
      <c r="F5657" s="388" t="str">
        <f t="shared" si="1450"/>
        <v/>
      </c>
      <c r="H5657" s="341" t="str">
        <f>IF(A5657="","",VLOOKUP(A5657,VII.A!$A$10:$D$199,4,FALSE))</f>
        <v/>
      </c>
      <c r="I5657" s="341" t="str">
        <f t="shared" si="1447"/>
        <v/>
      </c>
      <c r="J5657" s="341" t="str">
        <f>IF(A5657="","",VLOOKUP(A5657,VII.A!$A$10:$D$199,3,FALSE))</f>
        <v/>
      </c>
      <c r="K5657" s="342" t="str">
        <f t="shared" si="1448"/>
        <v/>
      </c>
      <c r="L5657" s="380" t="str">
        <f>IF(C5657="","",G5627*C5657)</f>
        <v/>
      </c>
      <c r="M5657" s="381" t="str">
        <f>IF(A5657="","",VLOOKUP(A5657,VII.A!$A$10:$B$199,2,FALSE))</f>
        <v/>
      </c>
      <c r="N5657" s="342" t="str">
        <f t="shared" si="1449"/>
        <v/>
      </c>
      <c r="R5657" s="341"/>
      <c r="S5657" s="341"/>
    </row>
    <row r="5658" spans="1:19" ht="12.75" customHeight="1">
      <c r="A5658" s="393"/>
      <c r="C5658" s="20"/>
      <c r="D5658" s="384" t="str">
        <f>IF(A5658="","",VLOOKUP(A5658,VII.A!$A$10:$G$199,3,FALSE))</f>
        <v/>
      </c>
      <c r="E5658" s="387" t="str">
        <f>IF(A5658="","",VLOOKUP(A5658,VII.A!$A$10:$G$199,4,FALSE))</f>
        <v/>
      </c>
      <c r="F5658" s="388" t="str">
        <f t="shared" si="1450"/>
        <v/>
      </c>
      <c r="H5658" s="341" t="str">
        <f>IF(A5658="","",VLOOKUP(A5658,VII.A!$A$10:$D$199,4,FALSE))</f>
        <v/>
      </c>
      <c r="I5658" s="341" t="str">
        <f t="shared" si="1447"/>
        <v/>
      </c>
      <c r="J5658" s="341" t="str">
        <f>IF(A5658="","",VLOOKUP(A5658,VII.A!$A$10:$D$199,3,FALSE))</f>
        <v/>
      </c>
      <c r="K5658" s="342" t="str">
        <f t="shared" si="1448"/>
        <v/>
      </c>
      <c r="L5658" s="380" t="str">
        <f>IF(C5658="","",G5627*C5658)</f>
        <v/>
      </c>
      <c r="M5658" s="381" t="str">
        <f>IF(A5658="","",VLOOKUP(A5658,VII.A!$A$10:$B$199,2,FALSE))</f>
        <v/>
      </c>
      <c r="N5658" s="342" t="str">
        <f t="shared" si="1449"/>
        <v/>
      </c>
      <c r="R5658" s="341"/>
      <c r="S5658" s="341"/>
    </row>
    <row r="5659" spans="1:19" ht="12.75" customHeight="1">
      <c r="A5659" s="393"/>
      <c r="B5659" s="395" t="s">
        <v>226</v>
      </c>
      <c r="C5659" s="396"/>
      <c r="D5659" s="397"/>
      <c r="E5659" s="398"/>
      <c r="F5659" s="399">
        <f>SUM(F5649:F5658)</f>
        <v>0</v>
      </c>
      <c r="J5659" s="341"/>
      <c r="L5659" s="380"/>
      <c r="M5659" s="381"/>
      <c r="N5659" s="342"/>
      <c r="R5659" s="341"/>
      <c r="S5659" s="341"/>
    </row>
    <row r="5660" spans="1:19" ht="12.75" customHeight="1">
      <c r="A5660" s="393"/>
      <c r="B5660" s="400" t="s">
        <v>53</v>
      </c>
      <c r="C5660" s="2">
        <f>$D$8</f>
        <v>0</v>
      </c>
      <c r="D5660" s="401"/>
      <c r="E5660" s="402"/>
      <c r="F5660" s="403">
        <f>ROUND(C5660*F5659,2)</f>
        <v>0</v>
      </c>
      <c r="J5660" s="341"/>
      <c r="L5660" s="380"/>
      <c r="M5660" s="381"/>
      <c r="N5660" s="342"/>
      <c r="R5660" s="341"/>
      <c r="S5660" s="341"/>
    </row>
    <row r="5661" spans="1:19" ht="12.75" customHeight="1">
      <c r="A5661" s="404"/>
      <c r="B5661" s="405" t="s">
        <v>228</v>
      </c>
      <c r="C5661" s="406"/>
      <c r="D5661" s="406"/>
      <c r="E5661" s="407"/>
      <c r="F5661" s="408">
        <f>F5659+F5660</f>
        <v>0</v>
      </c>
      <c r="J5661" s="341"/>
      <c r="L5661" s="380"/>
      <c r="M5661" s="381"/>
      <c r="N5661" s="342"/>
      <c r="R5661" s="341"/>
      <c r="S5661" s="341"/>
    </row>
    <row r="5662" spans="1:19" ht="12.75" customHeight="1">
      <c r="A5662" s="409" t="s">
        <v>47</v>
      </c>
      <c r="B5662" s="410" t="s">
        <v>236</v>
      </c>
      <c r="C5662" s="411" t="s">
        <v>231</v>
      </c>
      <c r="D5662" s="412" t="s">
        <v>232</v>
      </c>
      <c r="E5662" s="413" t="s">
        <v>233</v>
      </c>
      <c r="F5662" s="378" t="s">
        <v>234</v>
      </c>
      <c r="J5662" s="341"/>
      <c r="L5662" s="380"/>
      <c r="M5662" s="381"/>
      <c r="N5662" s="342"/>
      <c r="R5662" s="341"/>
      <c r="S5662" s="341"/>
    </row>
    <row r="5663" spans="1:19" ht="12.75" customHeight="1">
      <c r="A5663" s="393"/>
      <c r="B5663" s="423" t="str">
        <f>IF(A5663="","",VLOOKUP(A5663,VII.A!$A$10:$G$199,2,FALSE))</f>
        <v/>
      </c>
      <c r="C5663" s="20"/>
      <c r="D5663" s="384" t="str">
        <f>IF(A5663="","",VLOOKUP(A5663,VII.A!$A$10:$G$199,3,FALSE))</f>
        <v/>
      </c>
      <c r="E5663" s="387" t="str">
        <f>IF(A5663="","",VLOOKUP(A5663,VII.A!$A$10:$G$199,4,FALSE))</f>
        <v/>
      </c>
      <c r="F5663" s="388" t="str">
        <f>IF(A5663="","",ROUND(C5663*E5663,2))</f>
        <v/>
      </c>
      <c r="H5663" s="341" t="str">
        <f>IF(A5663="","",VLOOKUP(A5663,VII.A!$A$10:$D$199,4,FALSE))</f>
        <v/>
      </c>
      <c r="I5663" s="341" t="str">
        <f t="shared" ref="I5663:I5669" si="1451">IF(A5663="","",IF(E5663=H5663,"SIM","NÃO"))</f>
        <v/>
      </c>
      <c r="J5663" s="341" t="str">
        <f>IF(A5663="","",VLOOKUP(A5663,VII.A!$A$10:$D$199,3,FALSE))</f>
        <v/>
      </c>
      <c r="K5663" s="342" t="str">
        <f t="shared" ref="K5663:K5669" si="1452">IF(A5663="","",IF(J5663=D5663,"SIM","NÃO"))</f>
        <v/>
      </c>
      <c r="L5663" s="380" t="str">
        <f>IF(C5663="","",G5627*C5663)</f>
        <v/>
      </c>
      <c r="M5663" s="381" t="str">
        <f>IF(A5663="","",VLOOKUP(A5663,VII.A!$A$10:$B$199,2,FALSE))</f>
        <v/>
      </c>
      <c r="N5663" s="342" t="str">
        <f t="shared" ref="N5663:N5669" si="1453">IF(B5663="","",IF(M5663=B5663,"si","no"))</f>
        <v/>
      </c>
      <c r="R5663" s="341"/>
      <c r="S5663" s="341"/>
    </row>
    <row r="5664" spans="1:19" ht="12.75" customHeight="1">
      <c r="A5664" s="393"/>
      <c r="C5664" s="20"/>
      <c r="D5664" s="384" t="str">
        <f>IF(A5664="","",VLOOKUP(A5664,VII.A!$A$10:$G$199,3,FALSE))</f>
        <v/>
      </c>
      <c r="E5664" s="387" t="str">
        <f>IF(A5664="","",VLOOKUP(A5664,VII.A!$A$10:$G$199,4,FALSE))</f>
        <v/>
      </c>
      <c r="F5664" s="388" t="str">
        <f t="shared" ref="F5664:F5669" si="1454">IF(A5664="","",ROUND(C5664*E5664,2))</f>
        <v/>
      </c>
      <c r="H5664" s="341" t="str">
        <f>IF(A5664="","",VLOOKUP(A5664,VII.A!$A$10:$D$199,4,FALSE))</f>
        <v/>
      </c>
      <c r="I5664" s="341" t="str">
        <f t="shared" si="1451"/>
        <v/>
      </c>
      <c r="J5664" s="341" t="str">
        <f>IF(A5664="","",VLOOKUP(A5664,VII.A!$A$10:$D$199,3,FALSE))</f>
        <v/>
      </c>
      <c r="K5664" s="342" t="str">
        <f t="shared" si="1452"/>
        <v/>
      </c>
      <c r="L5664" s="380" t="str">
        <f>IF(C5664="","",G5627*C5664)</f>
        <v/>
      </c>
      <c r="M5664" s="381" t="str">
        <f>IF(A5664="","",VLOOKUP(A5664,VII.A!$A$10:$B$199,2,FALSE))</f>
        <v/>
      </c>
      <c r="N5664" s="342" t="str">
        <f t="shared" si="1453"/>
        <v/>
      </c>
      <c r="R5664" s="341"/>
      <c r="S5664" s="341"/>
    </row>
    <row r="5665" spans="1:25" ht="12.75" customHeight="1">
      <c r="A5665" s="393"/>
      <c r="C5665" s="20"/>
      <c r="D5665" s="384" t="str">
        <f>IF(A5665="","",VLOOKUP(A5665,VII.A!$A$10:$G$199,3,FALSE))</f>
        <v/>
      </c>
      <c r="E5665" s="387" t="str">
        <f>IF(A5665="","",VLOOKUP(A5665,VII.A!$A$10:$G$199,4,FALSE))</f>
        <v/>
      </c>
      <c r="F5665" s="388" t="str">
        <f t="shared" si="1454"/>
        <v/>
      </c>
      <c r="H5665" s="341" t="str">
        <f>IF(A5665="","",VLOOKUP(A5665,VII.A!$A$10:$D$199,4,FALSE))</f>
        <v/>
      </c>
      <c r="I5665" s="341" t="str">
        <f t="shared" si="1451"/>
        <v/>
      </c>
      <c r="J5665" s="341" t="str">
        <f>IF(A5665="","",VLOOKUP(A5665,VII.A!$A$10:$D$199,3,FALSE))</f>
        <v/>
      </c>
      <c r="K5665" s="342" t="str">
        <f t="shared" si="1452"/>
        <v/>
      </c>
      <c r="L5665" s="380" t="str">
        <f>IF(C5665="","",G5627*C5665)</f>
        <v/>
      </c>
      <c r="M5665" s="381" t="str">
        <f>IF(A5665="","",VLOOKUP(A5665,VII.A!$A$10:$B$199,2,FALSE))</f>
        <v/>
      </c>
      <c r="N5665" s="342" t="str">
        <f t="shared" si="1453"/>
        <v/>
      </c>
      <c r="R5665" s="341"/>
      <c r="S5665" s="341"/>
    </row>
    <row r="5666" spans="1:25" ht="12.75" customHeight="1">
      <c r="A5666" s="393"/>
      <c r="C5666" s="20"/>
      <c r="D5666" s="384" t="str">
        <f>IF(A5666="","",VLOOKUP(A5666,VII.A!$A$10:$G$199,3,FALSE))</f>
        <v/>
      </c>
      <c r="E5666" s="387" t="str">
        <f>IF(A5666="","",VLOOKUP(A5666,VII.A!$A$10:$G$199,4,FALSE))</f>
        <v/>
      </c>
      <c r="F5666" s="388" t="str">
        <f t="shared" si="1454"/>
        <v/>
      </c>
      <c r="H5666" s="341" t="str">
        <f>IF(A5666="","",VLOOKUP(A5666,VII.A!$A$10:$D$199,4,FALSE))</f>
        <v/>
      </c>
      <c r="I5666" s="341" t="str">
        <f t="shared" si="1451"/>
        <v/>
      </c>
      <c r="J5666" s="341" t="str">
        <f>IF(A5666="","",VLOOKUP(A5666,VII.A!$A$10:$D$199,3,FALSE))</f>
        <v/>
      </c>
      <c r="K5666" s="342" t="str">
        <f t="shared" si="1452"/>
        <v/>
      </c>
      <c r="L5666" s="380" t="str">
        <f>IF(C5666="","",G5627*C5666)</f>
        <v/>
      </c>
      <c r="M5666" s="381" t="str">
        <f>IF(A5666="","",VLOOKUP(A5666,VII.A!$A$10:$B$199,2,FALSE))</f>
        <v/>
      </c>
      <c r="N5666" s="342" t="str">
        <f t="shared" si="1453"/>
        <v/>
      </c>
      <c r="R5666" s="341"/>
      <c r="S5666" s="341"/>
    </row>
    <row r="5667" spans="1:25" ht="12.75" customHeight="1">
      <c r="A5667" s="393"/>
      <c r="C5667" s="20"/>
      <c r="D5667" s="384" t="str">
        <f>IF(A5667="","",VLOOKUP(A5667,VII.A!$A$10:$G$199,3,FALSE))</f>
        <v/>
      </c>
      <c r="E5667" s="387" t="str">
        <f>IF(A5667="","",VLOOKUP(A5667,VII.A!$A$10:$G$199,4,FALSE))</f>
        <v/>
      </c>
      <c r="F5667" s="388" t="str">
        <f t="shared" si="1454"/>
        <v/>
      </c>
      <c r="H5667" s="341" t="str">
        <f>IF(A5667="","",VLOOKUP(A5667,VII.A!$A$10:$D$199,4,FALSE))</f>
        <v/>
      </c>
      <c r="I5667" s="341" t="str">
        <f t="shared" si="1451"/>
        <v/>
      </c>
      <c r="J5667" s="341" t="str">
        <f>IF(A5667="","",VLOOKUP(A5667,VII.A!$A$10:$D$199,3,FALSE))</f>
        <v/>
      </c>
      <c r="K5667" s="342" t="str">
        <f t="shared" si="1452"/>
        <v/>
      </c>
      <c r="L5667" s="380" t="str">
        <f>IF(C5667="","",G5627*C5667)</f>
        <v/>
      </c>
      <c r="M5667" s="381" t="str">
        <f>IF(A5667="","",VLOOKUP(A5667,VII.A!$A$10:$B$199,2,FALSE))</f>
        <v/>
      </c>
      <c r="N5667" s="342" t="str">
        <f t="shared" si="1453"/>
        <v/>
      </c>
      <c r="R5667" s="341"/>
      <c r="S5667" s="341"/>
    </row>
    <row r="5668" spans="1:25" ht="12.75" customHeight="1">
      <c r="A5668" s="393"/>
      <c r="C5668" s="20"/>
      <c r="D5668" s="384" t="str">
        <f>IF(A5668="","",VLOOKUP(A5668,VII.A!$A$10:$G$199,3,FALSE))</f>
        <v/>
      </c>
      <c r="E5668" s="387" t="str">
        <f>IF(A5668="","",VLOOKUP(A5668,VII.A!$A$10:$G$199,4,FALSE))</f>
        <v/>
      </c>
      <c r="F5668" s="388" t="str">
        <f t="shared" si="1454"/>
        <v/>
      </c>
      <c r="H5668" s="341" t="str">
        <f>IF(A5668="","",VLOOKUP(A5668,VII.A!$A$10:$D$199,4,FALSE))</f>
        <v/>
      </c>
      <c r="I5668" s="341" t="str">
        <f t="shared" si="1451"/>
        <v/>
      </c>
      <c r="J5668" s="341" t="str">
        <f>IF(A5668="","",VLOOKUP(A5668,VII.A!$A$10:$D$199,3,FALSE))</f>
        <v/>
      </c>
      <c r="K5668" s="342" t="str">
        <f t="shared" si="1452"/>
        <v/>
      </c>
      <c r="L5668" s="380" t="str">
        <f>IF(C5668="","",G5627*C5668)</f>
        <v/>
      </c>
      <c r="M5668" s="381" t="str">
        <f>IF(A5668="","",VLOOKUP(A5668,VII.A!$A$10:$B$199,2,FALSE))</f>
        <v/>
      </c>
      <c r="N5668" s="342" t="str">
        <f t="shared" si="1453"/>
        <v/>
      </c>
      <c r="R5668" s="341"/>
      <c r="S5668" s="341"/>
    </row>
    <row r="5669" spans="1:25" ht="12.75" customHeight="1">
      <c r="A5669" s="393"/>
      <c r="C5669" s="20"/>
      <c r="D5669" s="384" t="str">
        <f>IF(A5669="","",VLOOKUP(A5669,VII.A!$A$10:$G$199,3,FALSE))</f>
        <v/>
      </c>
      <c r="E5669" s="387" t="str">
        <f>IF(A5669="","",VLOOKUP(A5669,VII.A!$A$10:$G$199,4,FALSE))</f>
        <v/>
      </c>
      <c r="F5669" s="388" t="str">
        <f t="shared" si="1454"/>
        <v/>
      </c>
      <c r="H5669" s="341" t="str">
        <f>IF(A5669="","",VLOOKUP(A5669,VII.A!$A$10:$D$199,4,FALSE))</f>
        <v/>
      </c>
      <c r="I5669" s="341" t="str">
        <f t="shared" si="1451"/>
        <v/>
      </c>
      <c r="J5669" s="341" t="str">
        <f>IF(A5669="","",VLOOKUP(A5669,VII.A!$A$10:$D$199,3,FALSE))</f>
        <v/>
      </c>
      <c r="K5669" s="342" t="str">
        <f t="shared" si="1452"/>
        <v/>
      </c>
      <c r="L5669" s="380" t="str">
        <f>IF(C5669="","",G5627*C5669)</f>
        <v/>
      </c>
      <c r="M5669" s="381" t="str">
        <f>IF(A5669="","",VLOOKUP(A5669,VII.A!$A$10:$B$199,2,FALSE))</f>
        <v/>
      </c>
      <c r="N5669" s="342" t="str">
        <f t="shared" si="1453"/>
        <v/>
      </c>
      <c r="R5669" s="341"/>
      <c r="S5669" s="341"/>
    </row>
    <row r="5670" spans="1:25" ht="12.75" customHeight="1">
      <c r="A5670" s="393"/>
      <c r="B5670" s="395" t="s">
        <v>226</v>
      </c>
      <c r="C5670" s="396"/>
      <c r="D5670" s="397"/>
      <c r="E5670" s="398"/>
      <c r="F5670" s="399">
        <f>SUM(F5663:F5669)</f>
        <v>0</v>
      </c>
      <c r="J5670" s="341"/>
      <c r="L5670" s="380"/>
      <c r="M5670" s="381"/>
      <c r="N5670" s="342"/>
      <c r="R5670" s="341"/>
      <c r="S5670" s="341"/>
    </row>
    <row r="5671" spans="1:25" ht="12.75" customHeight="1">
      <c r="A5671" s="393"/>
      <c r="B5671" s="400" t="s">
        <v>229</v>
      </c>
      <c r="C5671" s="2">
        <f>IX.A!$C$45</f>
        <v>0</v>
      </c>
      <c r="D5671" s="401"/>
      <c r="E5671" s="402"/>
      <c r="F5671" s="403">
        <f>ROUND(F5670*C5671,2)</f>
        <v>0</v>
      </c>
      <c r="J5671" s="341"/>
      <c r="L5671" s="380"/>
      <c r="M5671" s="381"/>
      <c r="N5671" s="342"/>
      <c r="R5671" s="341"/>
      <c r="S5671" s="341"/>
    </row>
    <row r="5672" spans="1:25" ht="12.75" customHeight="1">
      <c r="A5672" s="393"/>
      <c r="B5672" s="400" t="s">
        <v>53</v>
      </c>
      <c r="C5672" s="2">
        <f>$D$8</f>
        <v>0</v>
      </c>
      <c r="D5672" s="401"/>
      <c r="E5672" s="402"/>
      <c r="F5672" s="403">
        <f>ROUND(SUM(F5670:F5671)*C5672,2)</f>
        <v>0</v>
      </c>
      <c r="J5672" s="341"/>
      <c r="L5672" s="380"/>
      <c r="M5672" s="381"/>
      <c r="N5672" s="342"/>
      <c r="R5672" s="341"/>
      <c r="S5672" s="341"/>
    </row>
    <row r="5673" spans="1:25" ht="12.75" customHeight="1" thickBot="1">
      <c r="A5673" s="414"/>
      <c r="B5673" s="415" t="s">
        <v>230</v>
      </c>
      <c r="C5673" s="416"/>
      <c r="D5673" s="416"/>
      <c r="E5673" s="417"/>
      <c r="F5673" s="418">
        <f>SUM(F5670:F5672)</f>
        <v>0</v>
      </c>
      <c r="J5673" s="341"/>
      <c r="L5673" s="380"/>
      <c r="M5673" s="381"/>
      <c r="N5673" s="342"/>
      <c r="R5673" s="341"/>
      <c r="S5673" s="341"/>
    </row>
    <row r="5674" spans="1:25" ht="12.75" customHeight="1" thickBot="1">
      <c r="A5674" s="427"/>
      <c r="B5674" s="428"/>
      <c r="C5674" s="429"/>
      <c r="D5674" s="429"/>
      <c r="E5674" s="430"/>
      <c r="F5674" s="431"/>
      <c r="G5674" s="452"/>
      <c r="H5674" s="453"/>
      <c r="I5674" s="454"/>
      <c r="J5674" s="454"/>
      <c r="K5674" s="455"/>
      <c r="L5674" s="456"/>
      <c r="M5674" s="356"/>
      <c r="N5674" s="341"/>
      <c r="O5674" s="341"/>
      <c r="P5674" s="341"/>
      <c r="Q5674" s="342"/>
      <c r="R5674" s="380"/>
      <c r="S5674" s="381"/>
      <c r="U5674" s="343"/>
      <c r="V5674" s="344"/>
      <c r="W5674" s="344"/>
      <c r="X5674" s="341"/>
      <c r="Y5674" s="341"/>
    </row>
    <row r="5675" spans="1:25" ht="30" customHeight="1">
      <c r="A5675" s="370" t="str">
        <f>IV.A!A167</f>
        <v>7.11</v>
      </c>
      <c r="B5675" s="371" t="str">
        <f>IV.A!B167</f>
        <v>OPERAÇÃO DE GERADOR - MATERIAS DE CONSUMO</v>
      </c>
      <c r="C5675" s="871" t="s">
        <v>237</v>
      </c>
      <c r="D5675" s="872"/>
      <c r="E5675" s="372" t="str">
        <f>IV.A!C167</f>
        <v>H</v>
      </c>
      <c r="F5675" s="11">
        <f>ROUND(F5695+F5709+F5721,2)</f>
        <v>0</v>
      </c>
      <c r="G5675" s="1">
        <f>VLOOKUP(A5675,IV.A!$A$16:$L$172,4,FALSE)</f>
        <v>1200</v>
      </c>
      <c r="H5675" s="361">
        <f>SUM(F5677:F5692)+F5694</f>
        <v>0</v>
      </c>
      <c r="I5675" s="361">
        <f>SUM(F5697:F5706)+F5708</f>
        <v>0</v>
      </c>
      <c r="J5675" s="361">
        <f>SUM(F5711:F5717)+F5719+F5720</f>
        <v>0</v>
      </c>
      <c r="K5675" s="361">
        <f>SUM(H5675:J5675)</f>
        <v>0</v>
      </c>
      <c r="L5675" s="362" t="str">
        <f>IF(K5675=F5675,"SIM","NÃO")</f>
        <v>SIM</v>
      </c>
      <c r="M5675" s="373">
        <f>ROUND(SUM(F5677:F5692),2)+ROUND(SUM(F5677:F5692)*C5694,2)+ROUND(SUM(F5697:F5706)*C5708,2)+ROUND(SUM(F5697:F5706),2)+ROUND(SUM(F5711:F5717)*C5719,2)+ROUND((SUM(F5711:F5717)+ROUND(SUM(F5711:F5717)*C5719,2))*C5720,2)+ROUND(SUM(F5711:F5717),2)</f>
        <v>0</v>
      </c>
      <c r="N5675" s="343" t="str">
        <f>IF(M5675=F5675,"SIM","NÃO")</f>
        <v>SIM</v>
      </c>
      <c r="O5675" s="364" t="str">
        <f>VLOOKUP(A5675,IV.A!$A$16:$E$172,3,FALSE)</f>
        <v>H</v>
      </c>
      <c r="P5675" s="344" t="str">
        <f>IF(O5675=E5675,"SIM","NÃO")</f>
        <v>SIM</v>
      </c>
      <c r="Q5675" s="365">
        <f>ROUND(G5675*F5695,2)+ROUND(G5675*F5709,2)+ROUND(G5675*F5721,2)</f>
        <v>0</v>
      </c>
      <c r="R5675" s="364">
        <f>VLOOKUP(A5675,IV.A!$A$16:$L$172,12,FALSE)</f>
        <v>0</v>
      </c>
      <c r="S5675" s="366" t="str">
        <f>IF(Q5675=R5675,"si","no")</f>
        <v>si</v>
      </c>
      <c r="T5675" s="367">
        <f>SUM(L5677:L5692)+SUM(L5697:L5706)+SUM(L5711:L5717)</f>
        <v>1200</v>
      </c>
      <c r="U5675" s="341">
        <f>(SUM(C5677:C5692)+SUM(C5697:C5706)+SUM(C5711:C5717))*G5675</f>
        <v>1200</v>
      </c>
      <c r="V5675" s="368" t="str">
        <f>IF(T5675=U5675,"si","no")</f>
        <v>si</v>
      </c>
      <c r="W5675" s="369">
        <f>SUM(F5677:F5692)</f>
        <v>0</v>
      </c>
      <c r="X5675" s="369">
        <f>SUM(F5697:F5706)</f>
        <v>0</v>
      </c>
      <c r="Y5675" s="369">
        <f>SUM(F5711:F5717)</f>
        <v>0</v>
      </c>
    </row>
    <row r="5676" spans="1:25" ht="12.75" customHeight="1">
      <c r="A5676" s="374" t="s">
        <v>14</v>
      </c>
      <c r="B5676" s="375" t="s">
        <v>132</v>
      </c>
      <c r="C5676" s="376" t="s">
        <v>231</v>
      </c>
      <c r="D5676" s="376" t="s">
        <v>232</v>
      </c>
      <c r="E5676" s="377" t="s">
        <v>233</v>
      </c>
      <c r="F5676" s="378" t="s">
        <v>234</v>
      </c>
      <c r="G5676" s="379"/>
      <c r="J5676" s="341"/>
      <c r="L5676" s="380"/>
      <c r="M5676" s="381"/>
      <c r="N5676" s="342"/>
      <c r="O5676" s="382"/>
      <c r="P5676" s="383"/>
      <c r="Q5676" s="383"/>
      <c r="R5676" s="383"/>
      <c r="S5676" s="383"/>
      <c r="T5676" s="382"/>
      <c r="U5676" s="341"/>
      <c r="V5676" s="384"/>
      <c r="W5676" s="384"/>
      <c r="X5676" s="384"/>
      <c r="Y5676" s="384"/>
    </row>
    <row r="5677" spans="1:25" ht="12.75" customHeight="1">
      <c r="A5677" s="385"/>
      <c r="B5677" s="423" t="str">
        <f>IF(A5677="","",VLOOKUP(A5677,VII.A!$A$10:$G$199,2,FALSE))</f>
        <v/>
      </c>
      <c r="C5677" s="20"/>
      <c r="D5677" s="384" t="str">
        <f>IF(A5677="","",VLOOKUP(A5677,VII.A!$A$10:$G$199,3,FALSE))</f>
        <v/>
      </c>
      <c r="E5677" s="387" t="str">
        <f>IF(A5677="","",VLOOKUP(A5677,VII.A!$A$10:$G$199,4,FALSE))</f>
        <v/>
      </c>
      <c r="F5677" s="388" t="str">
        <f>IF(A5677="","",ROUND(C5677*E5677,2))</f>
        <v/>
      </c>
      <c r="H5677" s="341" t="str">
        <f>IF(A5677="","",VLOOKUP(A5677,VII.A!$A$10:$D$199,4,FALSE))</f>
        <v/>
      </c>
      <c r="I5677" s="341" t="str">
        <f t="shared" ref="I5677:I5692" si="1455">IF(A5677="","",IF(E5677=H5677,"SIM","NÃO"))</f>
        <v/>
      </c>
      <c r="J5677" s="341" t="str">
        <f>IF(A5677="","",VLOOKUP(A5677,VII.A!$A$10:$D$199,3,FALSE))</f>
        <v/>
      </c>
      <c r="K5677" s="342" t="str">
        <f t="shared" ref="K5677:K5692" si="1456">IF(A5677="","",IF(J5677=D5677,"SIM","NÃO"))</f>
        <v/>
      </c>
      <c r="L5677" s="380" t="str">
        <f>IF(C5677="","",G5675*C5677)</f>
        <v/>
      </c>
      <c r="M5677" s="381" t="str">
        <f>IF(A5677="","",VLOOKUP(A5677,VII.A!$A$10:$B$199,2,FALSE))</f>
        <v/>
      </c>
      <c r="N5677" s="342" t="str">
        <f t="shared" ref="N5677:N5692" si="1457">IF(B5677="","",IF(M5677=B5677,"si","no"))</f>
        <v/>
      </c>
      <c r="R5677" s="341"/>
      <c r="S5677" s="341"/>
    </row>
    <row r="5678" spans="1:25" ht="12.75" customHeight="1">
      <c r="A5678" s="385"/>
      <c r="B5678" s="423" t="str">
        <f>IF(A5678="","",VLOOKUP(A5678,VII.A!$A$10:$G$199,2,FALSE))</f>
        <v/>
      </c>
      <c r="C5678" s="20"/>
      <c r="D5678" s="384" t="str">
        <f>IF(A5678="","",VLOOKUP(A5678,VII.A!$A$10:$G$199,3,FALSE))</f>
        <v/>
      </c>
      <c r="E5678" s="387" t="str">
        <f>IF(A5678="","",VLOOKUP(A5678,VII.A!$A$10:$G$199,4,FALSE))</f>
        <v/>
      </c>
      <c r="F5678" s="388" t="str">
        <f t="shared" ref="F5678:F5692" si="1458">IF(A5678="","",ROUND(C5678*E5678,2))</f>
        <v/>
      </c>
      <c r="H5678" s="341" t="str">
        <f>IF(A5678="","",VLOOKUP(A5678,VII.A!$A$10:$D$199,4,FALSE))</f>
        <v/>
      </c>
      <c r="I5678" s="341" t="str">
        <f t="shared" si="1455"/>
        <v/>
      </c>
      <c r="J5678" s="341" t="str">
        <f>IF(A5678="","",VLOOKUP(A5678,VII.A!$A$10:$D$199,3,FALSE))</f>
        <v/>
      </c>
      <c r="K5678" s="342" t="str">
        <f t="shared" si="1456"/>
        <v/>
      </c>
      <c r="L5678" s="380" t="str">
        <f>IF(C5678="","",G5675*C5678)</f>
        <v/>
      </c>
      <c r="M5678" s="381" t="str">
        <f>IF(A5678="","",VLOOKUP(A5678,VII.A!$A$10:$B$199,2,FALSE))</f>
        <v/>
      </c>
      <c r="N5678" s="342" t="str">
        <f t="shared" si="1457"/>
        <v/>
      </c>
      <c r="R5678" s="341"/>
      <c r="S5678" s="341"/>
    </row>
    <row r="5679" spans="1:25" ht="12.75" customHeight="1">
      <c r="A5679" s="385"/>
      <c r="B5679" s="423" t="str">
        <f>IF(A5679="","",VLOOKUP(A5679,VII.A!$A$10:$G$199,2,FALSE))</f>
        <v/>
      </c>
      <c r="C5679" s="20"/>
      <c r="D5679" s="384" t="str">
        <f>IF(A5679="","",VLOOKUP(A5679,VII.A!$A$10:$G$199,3,FALSE))</f>
        <v/>
      </c>
      <c r="E5679" s="387" t="str">
        <f>IF(A5679="","",VLOOKUP(A5679,VII.A!$A$10:$G$199,4,FALSE))</f>
        <v/>
      </c>
      <c r="F5679" s="388" t="str">
        <f t="shared" si="1458"/>
        <v/>
      </c>
      <c r="H5679" s="341" t="str">
        <f>IF(A5679="","",VLOOKUP(A5679,VII.A!$A$10:$D$199,4,FALSE))</f>
        <v/>
      </c>
      <c r="I5679" s="341" t="str">
        <f t="shared" si="1455"/>
        <v/>
      </c>
      <c r="J5679" s="341" t="str">
        <f>IF(A5679="","",VLOOKUP(A5679,VII.A!$A$10:$D$199,3,FALSE))</f>
        <v/>
      </c>
      <c r="K5679" s="342" t="str">
        <f t="shared" si="1456"/>
        <v/>
      </c>
      <c r="L5679" s="380" t="str">
        <f>IF(C5679="","",G5675*C5679)</f>
        <v/>
      </c>
      <c r="M5679" s="381" t="str">
        <f>IF(A5679="","",VLOOKUP(A5679,VII.A!$A$10:$B$199,2,FALSE))</f>
        <v/>
      </c>
      <c r="N5679" s="342" t="str">
        <f t="shared" si="1457"/>
        <v/>
      </c>
      <c r="R5679" s="341"/>
      <c r="S5679" s="341"/>
    </row>
    <row r="5680" spans="1:25" ht="12.75" customHeight="1">
      <c r="A5680" s="385"/>
      <c r="B5680" s="423" t="str">
        <f>IF(A5680="","",VLOOKUP(A5680,VII.A!$A$10:$G$199,2,FALSE))</f>
        <v/>
      </c>
      <c r="C5680" s="20"/>
      <c r="D5680" s="384" t="str">
        <f>IF(A5680="","",VLOOKUP(A5680,VII.A!$A$10:$G$199,3,FALSE))</f>
        <v/>
      </c>
      <c r="E5680" s="387" t="str">
        <f>IF(A5680="","",VLOOKUP(A5680,VII.A!$A$10:$G$199,4,FALSE))</f>
        <v/>
      </c>
      <c r="F5680" s="388" t="str">
        <f t="shared" si="1458"/>
        <v/>
      </c>
      <c r="H5680" s="341" t="str">
        <f>IF(A5680="","",VLOOKUP(A5680,VII.A!$A$10:$D$199,4,FALSE))</f>
        <v/>
      </c>
      <c r="I5680" s="341" t="str">
        <f t="shared" si="1455"/>
        <v/>
      </c>
      <c r="J5680" s="341" t="str">
        <f>IF(A5680="","",VLOOKUP(A5680,VII.A!$A$10:$D$199,3,FALSE))</f>
        <v/>
      </c>
      <c r="K5680" s="342" t="str">
        <f t="shared" si="1456"/>
        <v/>
      </c>
      <c r="L5680" s="380" t="str">
        <f>IF(C5680="","",G5675*C5680)</f>
        <v/>
      </c>
      <c r="M5680" s="381" t="str">
        <f>IF(A5680="","",VLOOKUP(A5680,VII.A!$A$10:$B$199,2,FALSE))</f>
        <v/>
      </c>
      <c r="N5680" s="342" t="str">
        <f t="shared" si="1457"/>
        <v/>
      </c>
      <c r="R5680" s="341"/>
      <c r="S5680" s="341"/>
    </row>
    <row r="5681" spans="1:21" ht="12.75" customHeight="1">
      <c r="A5681" s="385"/>
      <c r="B5681" s="423" t="str">
        <f>IF(A5681="","",VLOOKUP(A5681,VII.A!$A$10:$G$199,2,FALSE))</f>
        <v/>
      </c>
      <c r="C5681" s="20"/>
      <c r="D5681" s="384" t="str">
        <f>IF(A5681="","",VLOOKUP(A5681,VII.A!$A$10:$G$199,3,FALSE))</f>
        <v/>
      </c>
      <c r="E5681" s="387" t="str">
        <f>IF(A5681="","",VLOOKUP(A5681,VII.A!$A$10:$G$199,4,FALSE))</f>
        <v/>
      </c>
      <c r="F5681" s="388" t="str">
        <f t="shared" si="1458"/>
        <v/>
      </c>
      <c r="H5681" s="341" t="str">
        <f>IF(A5681="","",VLOOKUP(A5681,VII.A!$A$10:$D$199,4,FALSE))</f>
        <v/>
      </c>
      <c r="I5681" s="341" t="str">
        <f t="shared" si="1455"/>
        <v/>
      </c>
      <c r="J5681" s="341" t="str">
        <f>IF(A5681="","",VLOOKUP(A5681,VII.A!$A$10:$D$199,3,FALSE))</f>
        <v/>
      </c>
      <c r="K5681" s="342" t="str">
        <f t="shared" si="1456"/>
        <v/>
      </c>
      <c r="L5681" s="380" t="str">
        <f>IF(C5681="","",G5675*C5681)</f>
        <v/>
      </c>
      <c r="M5681" s="381" t="str">
        <f>IF(A5681="","",VLOOKUP(A5681,VII.A!$A$10:$B$199,2,FALSE))</f>
        <v/>
      </c>
      <c r="N5681" s="342" t="str">
        <f t="shared" si="1457"/>
        <v/>
      </c>
      <c r="R5681" s="341"/>
      <c r="S5681" s="341"/>
    </row>
    <row r="5682" spans="1:21" ht="12.75" customHeight="1">
      <c r="A5682" s="385"/>
      <c r="B5682" s="423" t="str">
        <f>IF(A5682="","",VLOOKUP(A5682,VII.A!$A$10:$G$199,2,FALSE))</f>
        <v/>
      </c>
      <c r="C5682" s="20"/>
      <c r="D5682" s="384" t="str">
        <f>IF(A5682="","",VLOOKUP(A5682,VII.A!$A$10:$G$199,3,FALSE))</f>
        <v/>
      </c>
      <c r="E5682" s="387" t="str">
        <f>IF(A5682="","",VLOOKUP(A5682,VII.A!$A$10:$G$199,4,FALSE))</f>
        <v/>
      </c>
      <c r="F5682" s="388" t="str">
        <f t="shared" si="1458"/>
        <v/>
      </c>
      <c r="H5682" s="341" t="str">
        <f>IF(A5682="","",VLOOKUP(A5682,VII.A!$A$10:$D$199,4,FALSE))</f>
        <v/>
      </c>
      <c r="I5682" s="341" t="str">
        <f t="shared" si="1455"/>
        <v/>
      </c>
      <c r="J5682" s="341" t="str">
        <f>IF(A5682="","",VLOOKUP(A5682,VII.A!$A$10:$D$199,3,FALSE))</f>
        <v/>
      </c>
      <c r="K5682" s="342" t="str">
        <f t="shared" si="1456"/>
        <v/>
      </c>
      <c r="L5682" s="380" t="str">
        <f>IF(C5682="","",G5675*C5682)</f>
        <v/>
      </c>
      <c r="M5682" s="381" t="str">
        <f>IF(A5682="","",VLOOKUP(A5682,VII.A!$A$10:$B$199,2,FALSE))</f>
        <v/>
      </c>
      <c r="N5682" s="342" t="str">
        <f t="shared" si="1457"/>
        <v/>
      </c>
      <c r="R5682" s="341"/>
      <c r="S5682" s="341"/>
      <c r="U5682" s="389"/>
    </row>
    <row r="5683" spans="1:21" ht="12.75" customHeight="1">
      <c r="A5683" s="385"/>
      <c r="B5683" s="423" t="str">
        <f>IF(A5683="","",VLOOKUP(A5683,VII.A!$A$10:$G$199,2,FALSE))</f>
        <v/>
      </c>
      <c r="C5683" s="20"/>
      <c r="D5683" s="384" t="str">
        <f>IF(A5683="","",VLOOKUP(A5683,VII.A!$A$10:$G$199,3,FALSE))</f>
        <v/>
      </c>
      <c r="E5683" s="387" t="str">
        <f>IF(A5683="","",VLOOKUP(A5683,VII.A!$A$10:$G$199,4,FALSE))</f>
        <v/>
      </c>
      <c r="F5683" s="388" t="str">
        <f t="shared" si="1458"/>
        <v/>
      </c>
      <c r="H5683" s="341" t="str">
        <f>IF(A5683="","",VLOOKUP(A5683,VII.A!$A$10:$D$199,4,FALSE))</f>
        <v/>
      </c>
      <c r="I5683" s="341" t="str">
        <f t="shared" si="1455"/>
        <v/>
      </c>
      <c r="J5683" s="341" t="str">
        <f>IF(A5683="","",VLOOKUP(A5683,VII.A!$A$10:$D$199,3,FALSE))</f>
        <v/>
      </c>
      <c r="K5683" s="342" t="str">
        <f t="shared" si="1456"/>
        <v/>
      </c>
      <c r="L5683" s="380" t="str">
        <f>IF(C5683="","",G5675*C5683)</f>
        <v/>
      </c>
      <c r="M5683" s="381" t="str">
        <f>IF(A5683="","",VLOOKUP(A5683,VII.A!$A$10:$B$199,2,FALSE))</f>
        <v/>
      </c>
      <c r="N5683" s="342" t="str">
        <f t="shared" si="1457"/>
        <v/>
      </c>
      <c r="R5683" s="341"/>
      <c r="S5683" s="341"/>
    </row>
    <row r="5684" spans="1:21" ht="12.75" customHeight="1">
      <c r="A5684" s="385"/>
      <c r="B5684" s="423" t="str">
        <f>IF(A5684="","",VLOOKUP(A5684,VII.A!$A$10:$G$199,2,FALSE))</f>
        <v/>
      </c>
      <c r="C5684" s="20"/>
      <c r="D5684" s="384" t="str">
        <f>IF(A5684="","",VLOOKUP(A5684,VII.A!$A$10:$G$199,3,FALSE))</f>
        <v/>
      </c>
      <c r="E5684" s="387" t="str">
        <f>IF(A5684="","",VLOOKUP(A5684,VII.A!$A$10:$G$199,4,FALSE))</f>
        <v/>
      </c>
      <c r="F5684" s="388" t="str">
        <f t="shared" si="1458"/>
        <v/>
      </c>
      <c r="G5684" s="390"/>
      <c r="H5684" s="341" t="str">
        <f>IF(A5684="","",VLOOKUP(A5684,VII.A!$A$10:$D$199,4,FALSE))</f>
        <v/>
      </c>
      <c r="I5684" s="341" t="str">
        <f t="shared" si="1455"/>
        <v/>
      </c>
      <c r="J5684" s="341" t="str">
        <f>IF(A5684="","",VLOOKUP(A5684,VII.A!$A$10:$D$199,3,FALSE))</f>
        <v/>
      </c>
      <c r="K5684" s="342" t="str">
        <f t="shared" si="1456"/>
        <v/>
      </c>
      <c r="L5684" s="380" t="str">
        <f>IF(C5684="","",G5675*C5684)</f>
        <v/>
      </c>
      <c r="M5684" s="381" t="str">
        <f>IF(A5684="","",VLOOKUP(A5684,VII.A!$A$10:$B$199,2,FALSE))</f>
        <v/>
      </c>
      <c r="N5684" s="342" t="str">
        <f t="shared" si="1457"/>
        <v/>
      </c>
      <c r="R5684" s="341"/>
      <c r="S5684" s="341"/>
    </row>
    <row r="5685" spans="1:21" ht="12.75" customHeight="1">
      <c r="A5685" s="385"/>
      <c r="B5685" s="423" t="str">
        <f>IF(A5685="","",VLOOKUP(A5685,VII.A!$A$10:$G$199,2,FALSE))</f>
        <v/>
      </c>
      <c r="C5685" s="20"/>
      <c r="D5685" s="384" t="str">
        <f>IF(A5685="","",VLOOKUP(A5685,VII.A!$A$10:$G$199,3,FALSE))</f>
        <v/>
      </c>
      <c r="E5685" s="387" t="str">
        <f>IF(A5685="","",VLOOKUP(A5685,VII.A!$A$10:$G$199,4,FALSE))</f>
        <v/>
      </c>
      <c r="F5685" s="388" t="str">
        <f t="shared" si="1458"/>
        <v/>
      </c>
      <c r="G5685" s="390"/>
      <c r="H5685" s="341" t="str">
        <f>IF(A5685="","",VLOOKUP(A5685,VII.A!$A$10:$D$199,4,FALSE))</f>
        <v/>
      </c>
      <c r="I5685" s="341" t="str">
        <f t="shared" si="1455"/>
        <v/>
      </c>
      <c r="J5685" s="341" t="str">
        <f>IF(A5685="","",VLOOKUP(A5685,VII.A!$A$10:$D$199,3,FALSE))</f>
        <v/>
      </c>
      <c r="K5685" s="342" t="str">
        <f t="shared" si="1456"/>
        <v/>
      </c>
      <c r="L5685" s="380" t="str">
        <f>IF(C5685="","",G5675*C5685)</f>
        <v/>
      </c>
      <c r="M5685" s="381" t="str">
        <f>IF(A5685="","",VLOOKUP(A5685,VII.A!$A$10:$B$199,2,FALSE))</f>
        <v/>
      </c>
      <c r="N5685" s="342" t="str">
        <f t="shared" si="1457"/>
        <v/>
      </c>
      <c r="R5685" s="341"/>
      <c r="S5685" s="341"/>
    </row>
    <row r="5686" spans="1:21" ht="12.75" customHeight="1">
      <c r="A5686" s="385"/>
      <c r="B5686" s="423" t="str">
        <f>IF(A5686="","",VLOOKUP(A5686,VII.A!$A$10:$G$199,2,FALSE))</f>
        <v/>
      </c>
      <c r="C5686" s="20"/>
      <c r="D5686" s="384" t="str">
        <f>IF(A5686="","",VLOOKUP(A5686,VII.A!$A$10:$G$199,3,FALSE))</f>
        <v/>
      </c>
      <c r="E5686" s="387" t="str">
        <f>IF(A5686="","",VLOOKUP(A5686,VII.A!$A$10:$G$199,4,FALSE))</f>
        <v/>
      </c>
      <c r="F5686" s="388" t="str">
        <f t="shared" si="1458"/>
        <v/>
      </c>
      <c r="G5686" s="391"/>
      <c r="H5686" s="341" t="str">
        <f>IF(A5686="","",VLOOKUP(A5686,VII.A!$A$10:$D$199,4,FALSE))</f>
        <v/>
      </c>
      <c r="I5686" s="341" t="str">
        <f t="shared" si="1455"/>
        <v/>
      </c>
      <c r="J5686" s="341" t="str">
        <f>IF(A5686="","",VLOOKUP(A5686,VII.A!$A$10:$D$199,3,FALSE))</f>
        <v/>
      </c>
      <c r="K5686" s="342" t="str">
        <f t="shared" si="1456"/>
        <v/>
      </c>
      <c r="L5686" s="380" t="str">
        <f>IF(C5686="","",G5675*C5686)</f>
        <v/>
      </c>
      <c r="M5686" s="381" t="str">
        <f>IF(A5686="","",VLOOKUP(A5686,VII.A!$A$10:$B$199,2,FALSE))</f>
        <v/>
      </c>
      <c r="N5686" s="342" t="str">
        <f t="shared" si="1457"/>
        <v/>
      </c>
      <c r="R5686" s="341"/>
      <c r="S5686" s="341"/>
    </row>
    <row r="5687" spans="1:21" ht="12.75" customHeight="1">
      <c r="A5687" s="385"/>
      <c r="B5687" s="423" t="str">
        <f>IF(A5687="","",VLOOKUP(A5687,VII.A!$A$10:$G$199,2,FALSE))</f>
        <v/>
      </c>
      <c r="C5687" s="20"/>
      <c r="D5687" s="384" t="str">
        <f>IF(A5687="","",VLOOKUP(A5687,VII.A!$A$10:$G$199,3,FALSE))</f>
        <v/>
      </c>
      <c r="E5687" s="387" t="str">
        <f>IF(A5687="","",VLOOKUP(A5687,VII.A!$A$10:$G$199,4,FALSE))</f>
        <v/>
      </c>
      <c r="F5687" s="388" t="str">
        <f t="shared" si="1458"/>
        <v/>
      </c>
      <c r="H5687" s="341" t="str">
        <f>IF(A5687="","",VLOOKUP(A5687,VII.A!$A$10:$D$199,4,FALSE))</f>
        <v/>
      </c>
      <c r="I5687" s="341" t="str">
        <f t="shared" si="1455"/>
        <v/>
      </c>
      <c r="J5687" s="341" t="str">
        <f>IF(A5687="","",VLOOKUP(A5687,VII.A!$A$10:$D$199,3,FALSE))</f>
        <v/>
      </c>
      <c r="K5687" s="342" t="str">
        <f t="shared" si="1456"/>
        <v/>
      </c>
      <c r="L5687" s="380" t="str">
        <f>IF(C5687="","",G5675*C5687)</f>
        <v/>
      </c>
      <c r="M5687" s="381" t="str">
        <f>IF(A5687="","",VLOOKUP(A5687,VII.A!$A$10:$B$199,2,FALSE))</f>
        <v/>
      </c>
      <c r="N5687" s="342" t="str">
        <f t="shared" si="1457"/>
        <v/>
      </c>
      <c r="R5687" s="341"/>
      <c r="S5687" s="341"/>
    </row>
    <row r="5688" spans="1:21" ht="12.75" customHeight="1">
      <c r="A5688" s="385"/>
      <c r="B5688" s="423" t="str">
        <f>IF(A5688="","",VLOOKUP(A5688,VII.A!$A$10:$G$199,2,FALSE))</f>
        <v/>
      </c>
      <c r="C5688" s="20"/>
      <c r="D5688" s="384" t="str">
        <f>IF(A5688="","",VLOOKUP(A5688,VII.A!$A$10:$G$199,3,FALSE))</f>
        <v/>
      </c>
      <c r="E5688" s="387" t="str">
        <f>IF(A5688="","",VLOOKUP(A5688,VII.A!$A$10:$G$199,4,FALSE))</f>
        <v/>
      </c>
      <c r="F5688" s="388" t="str">
        <f t="shared" si="1458"/>
        <v/>
      </c>
      <c r="H5688" s="341" t="str">
        <f>IF(A5688="","",VLOOKUP(A5688,VII.A!$A$10:$D$199,4,FALSE))</f>
        <v/>
      </c>
      <c r="I5688" s="341" t="str">
        <f t="shared" si="1455"/>
        <v/>
      </c>
      <c r="J5688" s="341" t="str">
        <f>IF(A5688="","",VLOOKUP(A5688,VII.A!$A$10:$D$199,3,FALSE))</f>
        <v/>
      </c>
      <c r="K5688" s="342" t="str">
        <f t="shared" si="1456"/>
        <v/>
      </c>
      <c r="L5688" s="380" t="str">
        <f>IF(C5688="","",G5675*C5688)</f>
        <v/>
      </c>
      <c r="M5688" s="381" t="str">
        <f>IF(A5688="","",VLOOKUP(A5688,VII.A!$A$10:$B$199,2,FALSE))</f>
        <v/>
      </c>
      <c r="N5688" s="342" t="str">
        <f t="shared" si="1457"/>
        <v/>
      </c>
      <c r="R5688" s="341"/>
      <c r="S5688" s="341"/>
    </row>
    <row r="5689" spans="1:21" ht="12.75" customHeight="1">
      <c r="A5689" s="385"/>
      <c r="B5689" s="423" t="str">
        <f>IF(A5689="","",VLOOKUP(A5689,VII.A!$A$10:$G$199,2,FALSE))</f>
        <v/>
      </c>
      <c r="C5689" s="20"/>
      <c r="D5689" s="384" t="str">
        <f>IF(A5689="","",VLOOKUP(A5689,VII.A!$A$10:$G$199,3,FALSE))</f>
        <v/>
      </c>
      <c r="E5689" s="387" t="str">
        <f>IF(A5689="","",VLOOKUP(A5689,VII.A!$A$10:$G$199,4,FALSE))</f>
        <v/>
      </c>
      <c r="F5689" s="388" t="str">
        <f t="shared" si="1458"/>
        <v/>
      </c>
      <c r="H5689" s="341" t="str">
        <f>IF(A5689="","",VLOOKUP(A5689,VII.A!$A$10:$D$199,4,FALSE))</f>
        <v/>
      </c>
      <c r="I5689" s="341" t="str">
        <f t="shared" si="1455"/>
        <v/>
      </c>
      <c r="J5689" s="341" t="str">
        <f>IF(A5689="","",VLOOKUP(A5689,VII.A!$A$10:$D$199,3,FALSE))</f>
        <v/>
      </c>
      <c r="K5689" s="342" t="str">
        <f t="shared" si="1456"/>
        <v/>
      </c>
      <c r="L5689" s="380" t="str">
        <f>IF(C5689="","",G5675*C5689)</f>
        <v/>
      </c>
      <c r="M5689" s="381" t="str">
        <f>IF(A5689="","",VLOOKUP(A5689,VII.A!$A$10:$B$199,2,FALSE))</f>
        <v/>
      </c>
      <c r="N5689" s="342" t="str">
        <f t="shared" si="1457"/>
        <v/>
      </c>
      <c r="O5689" s="342"/>
      <c r="R5689" s="341"/>
      <c r="S5689" s="341"/>
    </row>
    <row r="5690" spans="1:21" ht="12.75" customHeight="1">
      <c r="A5690" s="385"/>
      <c r="B5690" s="423" t="str">
        <f>IF(A5690="","",VLOOKUP(A5690,VII.A!$A$10:$G$199,2,FALSE))</f>
        <v/>
      </c>
      <c r="C5690" s="20"/>
      <c r="D5690" s="384" t="str">
        <f>IF(A5690="","",VLOOKUP(A5690,VII.A!$A$10:$G$199,3,FALSE))</f>
        <v/>
      </c>
      <c r="E5690" s="387" t="str">
        <f>IF(A5690="","",VLOOKUP(A5690,VII.A!$A$10:$G$199,4,FALSE))</f>
        <v/>
      </c>
      <c r="F5690" s="388" t="str">
        <f t="shared" si="1458"/>
        <v/>
      </c>
      <c r="H5690" s="341" t="str">
        <f>IF(A5690="","",VLOOKUP(A5690,VII.A!$A$10:$D$199,4,FALSE))</f>
        <v/>
      </c>
      <c r="I5690" s="341" t="str">
        <f t="shared" si="1455"/>
        <v/>
      </c>
      <c r="J5690" s="341" t="str">
        <f>IF(A5690="","",VLOOKUP(A5690,VII.A!$A$10:$D$199,3,FALSE))</f>
        <v/>
      </c>
      <c r="K5690" s="342" t="str">
        <f t="shared" si="1456"/>
        <v/>
      </c>
      <c r="L5690" s="380" t="str">
        <f>IF(C5690="","",G5675*C5690)</f>
        <v/>
      </c>
      <c r="M5690" s="381" t="str">
        <f>IF(A5690="","",VLOOKUP(A5690,VII.A!$A$10:$B$199,2,FALSE))</f>
        <v/>
      </c>
      <c r="N5690" s="342" t="str">
        <f t="shared" si="1457"/>
        <v/>
      </c>
      <c r="R5690" s="341"/>
      <c r="S5690" s="341"/>
    </row>
    <row r="5691" spans="1:21" ht="12.75" customHeight="1">
      <c r="A5691" s="393"/>
      <c r="B5691" s="423" t="str">
        <f>IF(A5691="","",VLOOKUP(A5691,VII.A!$A$10:$G$199,2,FALSE))</f>
        <v/>
      </c>
      <c r="C5691" s="20"/>
      <c r="D5691" s="384" t="str">
        <f>IF(A5691="","",VLOOKUP(A5691,VII.A!$A$10:$G$199,3,FALSE))</f>
        <v/>
      </c>
      <c r="E5691" s="387" t="str">
        <f>IF(A5691="","",VLOOKUP(A5691,VII.A!$A$10:$G$199,4,FALSE))</f>
        <v/>
      </c>
      <c r="F5691" s="388" t="str">
        <f t="shared" si="1458"/>
        <v/>
      </c>
      <c r="H5691" s="341" t="str">
        <f>IF(A5691="","",VLOOKUP(A5691,VII.A!$A$10:$D$199,4,FALSE))</f>
        <v/>
      </c>
      <c r="I5691" s="341" t="str">
        <f t="shared" si="1455"/>
        <v/>
      </c>
      <c r="J5691" s="341" t="str">
        <f>IF(A5691="","",VLOOKUP(A5691,VII.A!$A$10:$D$199,3,FALSE))</f>
        <v/>
      </c>
      <c r="K5691" s="342" t="str">
        <f t="shared" si="1456"/>
        <v/>
      </c>
      <c r="L5691" s="380" t="str">
        <f>IF(C5691="","",G5675*C5691)</f>
        <v/>
      </c>
      <c r="M5691" s="381" t="str">
        <f>IF(A5691="","",VLOOKUP(A5691,VII.A!$A$10:$B$199,2,FALSE))</f>
        <v/>
      </c>
      <c r="N5691" s="342" t="str">
        <f t="shared" si="1457"/>
        <v/>
      </c>
      <c r="R5691" s="341"/>
      <c r="S5691" s="341"/>
    </row>
    <row r="5692" spans="1:21" ht="12.75" customHeight="1">
      <c r="A5692" s="393"/>
      <c r="B5692" s="423" t="str">
        <f>IF(A5692="","",VLOOKUP(A5692,VII.A!$A$10:$G$199,2,FALSE))</f>
        <v/>
      </c>
      <c r="C5692" s="20"/>
      <c r="D5692" s="384" t="str">
        <f>IF(A5692="","",VLOOKUP(A5692,VII.A!$A$10:$G$199,3,FALSE))</f>
        <v/>
      </c>
      <c r="E5692" s="387" t="str">
        <f>IF(A5692="","",VLOOKUP(A5692,VII.A!$A$10:$G$199,4,FALSE))</f>
        <v/>
      </c>
      <c r="F5692" s="388" t="str">
        <f t="shared" si="1458"/>
        <v/>
      </c>
      <c r="H5692" s="341" t="str">
        <f>IF(A5692="","",VLOOKUP(A5692,VII.A!$A$10:$D$199,4,FALSE))</f>
        <v/>
      </c>
      <c r="I5692" s="341" t="str">
        <f t="shared" si="1455"/>
        <v/>
      </c>
      <c r="J5692" s="341" t="str">
        <f>IF(A5692="","",VLOOKUP(A5692,VII.A!$A$10:$D$199,3,FALSE))</f>
        <v/>
      </c>
      <c r="K5692" s="342" t="str">
        <f t="shared" si="1456"/>
        <v/>
      </c>
      <c r="L5692" s="380" t="str">
        <f>IF(C5692="","",G5675*C5692)</f>
        <v/>
      </c>
      <c r="M5692" s="381" t="str">
        <f>IF(A5692="","",VLOOKUP(A5692,VII.A!$A$10:$B$199,2,FALSE))</f>
        <v/>
      </c>
      <c r="N5692" s="342" t="str">
        <f t="shared" si="1457"/>
        <v/>
      </c>
      <c r="R5692" s="341"/>
      <c r="S5692" s="341"/>
    </row>
    <row r="5693" spans="1:21" ht="12.75" customHeight="1">
      <c r="A5693" s="393"/>
      <c r="B5693" s="395" t="s">
        <v>226</v>
      </c>
      <c r="C5693" s="396"/>
      <c r="D5693" s="397"/>
      <c r="E5693" s="398"/>
      <c r="F5693" s="399">
        <f>SUM(F5677:F5692)</f>
        <v>0</v>
      </c>
      <c r="H5693" s="426"/>
      <c r="J5693" s="341"/>
      <c r="L5693" s="380"/>
      <c r="M5693" s="381"/>
      <c r="N5693" s="342"/>
      <c r="R5693" s="341"/>
      <c r="S5693" s="341"/>
    </row>
    <row r="5694" spans="1:21" ht="12.75" customHeight="1">
      <c r="A5694" s="393"/>
      <c r="B5694" s="400" t="s">
        <v>53</v>
      </c>
      <c r="C5694" s="2">
        <f>$D$8</f>
        <v>0</v>
      </c>
      <c r="D5694" s="401"/>
      <c r="E5694" s="402"/>
      <c r="F5694" s="403">
        <f>ROUND(F5693*C5694,2)</f>
        <v>0</v>
      </c>
      <c r="H5694" s="426"/>
      <c r="J5694" s="341"/>
      <c r="L5694" s="380"/>
      <c r="M5694" s="381"/>
      <c r="N5694" s="342"/>
      <c r="R5694" s="341"/>
      <c r="S5694" s="341"/>
    </row>
    <row r="5695" spans="1:21" ht="12.75" customHeight="1">
      <c r="A5695" s="404"/>
      <c r="B5695" s="405" t="s">
        <v>227</v>
      </c>
      <c r="C5695" s="406"/>
      <c r="D5695" s="406"/>
      <c r="E5695" s="407"/>
      <c r="F5695" s="408">
        <f>F5693+F5694</f>
        <v>0</v>
      </c>
      <c r="J5695" s="341"/>
      <c r="L5695" s="380"/>
      <c r="M5695" s="381"/>
      <c r="N5695" s="342"/>
      <c r="R5695" s="341"/>
      <c r="S5695" s="341"/>
    </row>
    <row r="5696" spans="1:21" ht="12.75" customHeight="1">
      <c r="A5696" s="374" t="s">
        <v>2</v>
      </c>
      <c r="B5696" s="375" t="s">
        <v>235</v>
      </c>
      <c r="C5696" s="376" t="s">
        <v>231</v>
      </c>
      <c r="D5696" s="376" t="s">
        <v>232</v>
      </c>
      <c r="E5696" s="377" t="s">
        <v>233</v>
      </c>
      <c r="F5696" s="378" t="s">
        <v>234</v>
      </c>
      <c r="J5696" s="341"/>
      <c r="L5696" s="380"/>
      <c r="M5696" s="381"/>
      <c r="N5696" s="342"/>
      <c r="R5696" s="341"/>
      <c r="S5696" s="341"/>
    </row>
    <row r="5697" spans="1:19" ht="12.75" customHeight="1">
      <c r="A5697" s="393" t="str">
        <f>VII.A!$A$175</f>
        <v>2.33</v>
      </c>
      <c r="B5697" s="423" t="str">
        <f>IF(A5697="","",VLOOKUP(A5697,VII.A!$A$10:$G$199,2,FALSE))</f>
        <v>MATERIAIS DE OPERAÇÃO - GERADOR MONOFÁSICO 13CV</v>
      </c>
      <c r="C5697" s="20">
        <v>1</v>
      </c>
      <c r="D5697" s="384" t="str">
        <f>IF(A5697="","",VLOOKUP(A5697,VII.A!$A$10:$G$199,3,FALSE))</f>
        <v>H</v>
      </c>
      <c r="E5697" s="387">
        <f>IF(A5697="","",VLOOKUP(A5697,VII.A!$A$10:$G$199,4,FALSE))</f>
        <v>0</v>
      </c>
      <c r="F5697" s="388">
        <f>IF(A5697="","",ROUND(C5697*E5697,2))</f>
        <v>0</v>
      </c>
      <c r="H5697" s="341">
        <f>IF(A5697="","",VLOOKUP(A5697,VII.A!$A$10:$D$199,4,FALSE))</f>
        <v>0</v>
      </c>
      <c r="I5697" s="341" t="str">
        <f t="shared" ref="I5697:I5706" si="1459">IF(A5697="","",IF(E5697=H5697,"SIM","NÃO"))</f>
        <v>SIM</v>
      </c>
      <c r="J5697" s="341" t="str">
        <f>IF(A5697="","",VLOOKUP(A5697,VII.A!$A$10:$D$199,3,FALSE))</f>
        <v>H</v>
      </c>
      <c r="K5697" s="342" t="str">
        <f t="shared" ref="K5697:K5706" si="1460">IF(A5697="","",IF(J5697=D5697,"SIM","NÃO"))</f>
        <v>SIM</v>
      </c>
      <c r="L5697" s="380">
        <f>IF(C5697="","",G5675*C5697)</f>
        <v>1200</v>
      </c>
      <c r="M5697" s="381" t="str">
        <f>IF(A5697="","",VLOOKUP(A5697,VII.A!$A$10:$B$199,2,FALSE))</f>
        <v>MATERIAIS DE OPERAÇÃO - GERADOR MONOFÁSICO 13CV</v>
      </c>
      <c r="N5697" s="342" t="str">
        <f t="shared" ref="N5697:N5706" si="1461">IF(B5697="","",IF(M5697=B5697,"si","no"))</f>
        <v>si</v>
      </c>
      <c r="R5697" s="341"/>
      <c r="S5697" s="341"/>
    </row>
    <row r="5698" spans="1:19" ht="12.75" customHeight="1">
      <c r="A5698" s="393"/>
      <c r="B5698" s="423" t="str">
        <f>IF(A5698="","",VLOOKUP(A5698,VII.A!$A$10:$G$199,2,FALSE))</f>
        <v/>
      </c>
      <c r="C5698" s="20"/>
      <c r="D5698" s="384" t="str">
        <f>IF(A5698="","",VLOOKUP(A5698,VII.A!$A$10:$G$199,3,FALSE))</f>
        <v/>
      </c>
      <c r="E5698" s="387" t="str">
        <f>IF(A5698="","",VLOOKUP(A5698,VII.A!$A$10:$G$199,4,FALSE))</f>
        <v/>
      </c>
      <c r="F5698" s="388" t="str">
        <f t="shared" ref="F5698:F5706" si="1462">IF(A5698="","",ROUND(C5698*E5698,2))</f>
        <v/>
      </c>
      <c r="H5698" s="341" t="str">
        <f>IF(A5698="","",VLOOKUP(A5698,VII.A!$A$10:$D$199,4,FALSE))</f>
        <v/>
      </c>
      <c r="I5698" s="341" t="str">
        <f t="shared" si="1459"/>
        <v/>
      </c>
      <c r="J5698" s="341" t="str">
        <f>IF(A5698="","",VLOOKUP(A5698,VII.A!$A$10:$D$199,3,FALSE))</f>
        <v/>
      </c>
      <c r="K5698" s="342" t="str">
        <f t="shared" si="1460"/>
        <v/>
      </c>
      <c r="L5698" s="380" t="str">
        <f>IF(C5698="","",G5675*C5698)</f>
        <v/>
      </c>
      <c r="M5698" s="381" t="str">
        <f>IF(A5698="","",VLOOKUP(A5698,VII.A!$A$10:$B$199,2,FALSE))</f>
        <v/>
      </c>
      <c r="N5698" s="342" t="str">
        <f t="shared" si="1461"/>
        <v/>
      </c>
      <c r="R5698" s="341"/>
      <c r="S5698" s="341"/>
    </row>
    <row r="5699" spans="1:19" ht="12.75" customHeight="1">
      <c r="A5699" s="393"/>
      <c r="B5699" s="423" t="str">
        <f>IF(A5699="","",VLOOKUP(A5699,VII.A!$A$10:$G$199,2,FALSE))</f>
        <v/>
      </c>
      <c r="C5699" s="20"/>
      <c r="D5699" s="384" t="str">
        <f>IF(A5699="","",VLOOKUP(A5699,VII.A!$A$10:$G$199,3,FALSE))</f>
        <v/>
      </c>
      <c r="E5699" s="387" t="str">
        <f>IF(A5699="","",VLOOKUP(A5699,VII.A!$A$10:$G$199,4,FALSE))</f>
        <v/>
      </c>
      <c r="F5699" s="388" t="str">
        <f t="shared" si="1462"/>
        <v/>
      </c>
      <c r="H5699" s="341" t="str">
        <f>IF(A5699="","",VLOOKUP(A5699,VII.A!$A$10:$D$199,4,FALSE))</f>
        <v/>
      </c>
      <c r="I5699" s="341" t="str">
        <f t="shared" si="1459"/>
        <v/>
      </c>
      <c r="J5699" s="341" t="str">
        <f>IF(A5699="","",VLOOKUP(A5699,VII.A!$A$10:$D$199,3,FALSE))</f>
        <v/>
      </c>
      <c r="K5699" s="342" t="str">
        <f t="shared" si="1460"/>
        <v/>
      </c>
      <c r="L5699" s="380" t="str">
        <f>IF(C5699="","",G5675*C5699)</f>
        <v/>
      </c>
      <c r="M5699" s="381" t="str">
        <f>IF(A5699="","",VLOOKUP(A5699,VII.A!$A$10:$B$199,2,FALSE))</f>
        <v/>
      </c>
      <c r="N5699" s="342" t="str">
        <f t="shared" si="1461"/>
        <v/>
      </c>
      <c r="R5699" s="341"/>
      <c r="S5699" s="341"/>
    </row>
    <row r="5700" spans="1:19" ht="12.75" customHeight="1">
      <c r="A5700" s="393"/>
      <c r="B5700" s="423" t="str">
        <f>IF(A5700="","",VLOOKUP(A5700,VII.A!$A$10:$G$199,2,FALSE))</f>
        <v/>
      </c>
      <c r="C5700" s="20"/>
      <c r="D5700" s="384" t="str">
        <f>IF(A5700="","",VLOOKUP(A5700,VII.A!$A$10:$G$199,3,FALSE))</f>
        <v/>
      </c>
      <c r="E5700" s="387" t="str">
        <f>IF(A5700="","",VLOOKUP(A5700,VII.A!$A$10:$G$199,4,FALSE))</f>
        <v/>
      </c>
      <c r="F5700" s="388" t="str">
        <f t="shared" si="1462"/>
        <v/>
      </c>
      <c r="H5700" s="341" t="str">
        <f>IF(A5700="","",VLOOKUP(A5700,VII.A!$A$10:$D$199,4,FALSE))</f>
        <v/>
      </c>
      <c r="I5700" s="341" t="str">
        <f t="shared" si="1459"/>
        <v/>
      </c>
      <c r="J5700" s="341" t="str">
        <f>IF(A5700="","",VLOOKUP(A5700,VII.A!$A$10:$D$199,3,FALSE))</f>
        <v/>
      </c>
      <c r="K5700" s="342" t="str">
        <f t="shared" si="1460"/>
        <v/>
      </c>
      <c r="L5700" s="380" t="str">
        <f>IF(C5700="","",G5675*C5700)</f>
        <v/>
      </c>
      <c r="M5700" s="381" t="str">
        <f>IF(A5700="","",VLOOKUP(A5700,VII.A!$A$10:$B$199,2,FALSE))</f>
        <v/>
      </c>
      <c r="N5700" s="342" t="str">
        <f t="shared" si="1461"/>
        <v/>
      </c>
      <c r="R5700" s="341"/>
      <c r="S5700" s="341"/>
    </row>
    <row r="5701" spans="1:19" ht="12.75" customHeight="1">
      <c r="A5701" s="393"/>
      <c r="B5701" s="423" t="str">
        <f>IF(A5701="","",VLOOKUP(A5701,VII.A!$A$10:$G$199,2,FALSE))</f>
        <v/>
      </c>
      <c r="C5701" s="20"/>
      <c r="D5701" s="384" t="str">
        <f>IF(A5701="","",VLOOKUP(A5701,VII.A!$A$10:$G$199,3,FALSE))</f>
        <v/>
      </c>
      <c r="E5701" s="387" t="str">
        <f>IF(A5701="","",VLOOKUP(A5701,VII.A!$A$10:$G$199,4,FALSE))</f>
        <v/>
      </c>
      <c r="F5701" s="388" t="str">
        <f t="shared" si="1462"/>
        <v/>
      </c>
      <c r="G5701" s="390"/>
      <c r="H5701" s="341" t="str">
        <f>IF(A5701="","",VLOOKUP(A5701,VII.A!$A$10:$D$199,4,FALSE))</f>
        <v/>
      </c>
      <c r="I5701" s="341" t="str">
        <f t="shared" si="1459"/>
        <v/>
      </c>
      <c r="J5701" s="341" t="str">
        <f>IF(A5701="","",VLOOKUP(A5701,VII.A!$A$10:$D$199,3,FALSE))</f>
        <v/>
      </c>
      <c r="K5701" s="342" t="str">
        <f t="shared" si="1460"/>
        <v/>
      </c>
      <c r="L5701" s="380" t="str">
        <f>IF(C5701="","",G5675*C5701)</f>
        <v/>
      </c>
      <c r="M5701" s="381" t="str">
        <f>IF(A5701="","",VLOOKUP(A5701,VII.A!$A$10:$B$199,2,FALSE))</f>
        <v/>
      </c>
      <c r="N5701" s="342" t="str">
        <f t="shared" si="1461"/>
        <v/>
      </c>
      <c r="R5701" s="341"/>
      <c r="S5701" s="341"/>
    </row>
    <row r="5702" spans="1:19" ht="12.75" customHeight="1">
      <c r="A5702" s="393"/>
      <c r="B5702" s="423" t="str">
        <f>IF(A5702="","",VLOOKUP(A5702,VII.A!$A$10:$G$199,2,FALSE))</f>
        <v/>
      </c>
      <c r="C5702" s="20"/>
      <c r="D5702" s="384" t="str">
        <f>IF(A5702="","",VLOOKUP(A5702,VII.A!$A$10:$G$199,3,FALSE))</f>
        <v/>
      </c>
      <c r="E5702" s="387" t="str">
        <f>IF(A5702="","",VLOOKUP(A5702,VII.A!$A$10:$G$199,4,FALSE))</f>
        <v/>
      </c>
      <c r="F5702" s="388" t="str">
        <f t="shared" si="1462"/>
        <v/>
      </c>
      <c r="G5702" s="391"/>
      <c r="H5702" s="341" t="str">
        <f>IF(A5702="","",VLOOKUP(A5702,VII.A!$A$10:$D$199,4,FALSE))</f>
        <v/>
      </c>
      <c r="I5702" s="341" t="str">
        <f t="shared" si="1459"/>
        <v/>
      </c>
      <c r="J5702" s="341" t="str">
        <f>IF(A5702="","",VLOOKUP(A5702,VII.A!$A$10:$D$199,3,FALSE))</f>
        <v/>
      </c>
      <c r="K5702" s="342" t="str">
        <f t="shared" si="1460"/>
        <v/>
      </c>
      <c r="L5702" s="380" t="str">
        <f>IF(C5702="","",G5675*C5702)</f>
        <v/>
      </c>
      <c r="M5702" s="381" t="str">
        <f>IF(A5702="","",VLOOKUP(A5702,VII.A!$A$10:$B$199,2,FALSE))</f>
        <v/>
      </c>
      <c r="N5702" s="342" t="str">
        <f t="shared" si="1461"/>
        <v/>
      </c>
      <c r="R5702" s="341"/>
      <c r="S5702" s="341"/>
    </row>
    <row r="5703" spans="1:19" ht="12.75" customHeight="1">
      <c r="A5703" s="393"/>
      <c r="B5703" s="423" t="str">
        <f>IF(A5703="","",VLOOKUP(A5703,VII.A!$A$10:$G$199,2,FALSE))</f>
        <v/>
      </c>
      <c r="C5703" s="20"/>
      <c r="D5703" s="384" t="str">
        <f>IF(A5703="","",VLOOKUP(A5703,VII.A!$A$10:$G$199,3,FALSE))</f>
        <v/>
      </c>
      <c r="E5703" s="387" t="str">
        <f>IF(A5703="","",VLOOKUP(A5703,VII.A!$A$10:$G$199,4,FALSE))</f>
        <v/>
      </c>
      <c r="F5703" s="388" t="str">
        <f t="shared" si="1462"/>
        <v/>
      </c>
      <c r="H5703" s="341" t="str">
        <f>IF(A5703="","",VLOOKUP(A5703,VII.A!$A$10:$D$199,4,FALSE))</f>
        <v/>
      </c>
      <c r="I5703" s="341" t="str">
        <f t="shared" si="1459"/>
        <v/>
      </c>
      <c r="J5703" s="341" t="str">
        <f>IF(A5703="","",VLOOKUP(A5703,VII.A!$A$10:$D$199,3,FALSE))</f>
        <v/>
      </c>
      <c r="K5703" s="342" t="str">
        <f t="shared" si="1460"/>
        <v/>
      </c>
      <c r="L5703" s="380" t="str">
        <f>IF(C5703="","",G5675*C5703)</f>
        <v/>
      </c>
      <c r="M5703" s="381" t="str">
        <f>IF(A5703="","",VLOOKUP(A5703,VII.A!$A$10:$B$199,2,FALSE))</f>
        <v/>
      </c>
      <c r="N5703" s="342" t="str">
        <f t="shared" si="1461"/>
        <v/>
      </c>
      <c r="R5703" s="341"/>
      <c r="S5703" s="341"/>
    </row>
    <row r="5704" spans="1:19" ht="12.75" customHeight="1">
      <c r="A5704" s="393"/>
      <c r="B5704" s="423" t="str">
        <f>IF(A5704="","",VLOOKUP(A5704,VII.A!$A$10:$G$199,2,FALSE))</f>
        <v/>
      </c>
      <c r="C5704" s="20"/>
      <c r="D5704" s="384" t="str">
        <f>IF(A5704="","",VLOOKUP(A5704,VII.A!$A$10:$G$199,3,FALSE))</f>
        <v/>
      </c>
      <c r="E5704" s="387" t="str">
        <f>IF(A5704="","",VLOOKUP(A5704,VII.A!$A$10:$G$199,4,FALSE))</f>
        <v/>
      </c>
      <c r="F5704" s="388" t="str">
        <f t="shared" si="1462"/>
        <v/>
      </c>
      <c r="H5704" s="341" t="str">
        <f>IF(A5704="","",VLOOKUP(A5704,VII.A!$A$10:$D$199,4,FALSE))</f>
        <v/>
      </c>
      <c r="I5704" s="341" t="str">
        <f t="shared" si="1459"/>
        <v/>
      </c>
      <c r="J5704" s="341" t="str">
        <f>IF(A5704="","",VLOOKUP(A5704,VII.A!$A$10:$D$199,3,FALSE))</f>
        <v/>
      </c>
      <c r="K5704" s="342" t="str">
        <f t="shared" si="1460"/>
        <v/>
      </c>
      <c r="L5704" s="380" t="str">
        <f>IF(C5704="","",G5675*C5704)</f>
        <v/>
      </c>
      <c r="M5704" s="381" t="str">
        <f>IF(A5704="","",VLOOKUP(A5704,VII.A!$A$10:$B$199,2,FALSE))</f>
        <v/>
      </c>
      <c r="N5704" s="342" t="str">
        <f t="shared" si="1461"/>
        <v/>
      </c>
      <c r="R5704" s="341"/>
      <c r="S5704" s="341"/>
    </row>
    <row r="5705" spans="1:19" ht="12.75" customHeight="1">
      <c r="A5705" s="393"/>
      <c r="B5705" s="423" t="str">
        <f>IF(A5705="","",VLOOKUP(A5705,VII.A!$A$10:$G$199,2,FALSE))</f>
        <v/>
      </c>
      <c r="C5705" s="20"/>
      <c r="D5705" s="384" t="str">
        <f>IF(A5705="","",VLOOKUP(A5705,VII.A!$A$10:$G$199,3,FALSE))</f>
        <v/>
      </c>
      <c r="E5705" s="387" t="str">
        <f>IF(A5705="","",VLOOKUP(A5705,VII.A!$A$10:$G$199,4,FALSE))</f>
        <v/>
      </c>
      <c r="F5705" s="388" t="str">
        <f t="shared" si="1462"/>
        <v/>
      </c>
      <c r="H5705" s="341" t="str">
        <f>IF(A5705="","",VLOOKUP(A5705,VII.A!$A$10:$D$199,4,FALSE))</f>
        <v/>
      </c>
      <c r="I5705" s="341" t="str">
        <f t="shared" si="1459"/>
        <v/>
      </c>
      <c r="J5705" s="341" t="str">
        <f>IF(A5705="","",VLOOKUP(A5705,VII.A!$A$10:$D$199,3,FALSE))</f>
        <v/>
      </c>
      <c r="K5705" s="342" t="str">
        <f t="shared" si="1460"/>
        <v/>
      </c>
      <c r="L5705" s="380" t="str">
        <f>IF(C5705="","",G5675*C5705)</f>
        <v/>
      </c>
      <c r="M5705" s="381" t="str">
        <f>IF(A5705="","",VLOOKUP(A5705,VII.A!$A$10:$B$199,2,FALSE))</f>
        <v/>
      </c>
      <c r="N5705" s="342" t="str">
        <f t="shared" si="1461"/>
        <v/>
      </c>
      <c r="R5705" s="341"/>
      <c r="S5705" s="341"/>
    </row>
    <row r="5706" spans="1:19" ht="12.75" customHeight="1">
      <c r="A5706" s="393"/>
      <c r="B5706" s="423" t="str">
        <f>IF(A5706="","",VLOOKUP(A5706,VII.A!$A$10:$G$199,2,FALSE))</f>
        <v/>
      </c>
      <c r="C5706" s="20"/>
      <c r="D5706" s="384" t="str">
        <f>IF(A5706="","",VLOOKUP(A5706,VII.A!$A$10:$G$199,3,FALSE))</f>
        <v/>
      </c>
      <c r="E5706" s="387" t="str">
        <f>IF(A5706="","",VLOOKUP(A5706,VII.A!$A$10:$G$199,4,FALSE))</f>
        <v/>
      </c>
      <c r="F5706" s="388" t="str">
        <f t="shared" si="1462"/>
        <v/>
      </c>
      <c r="H5706" s="341" t="str">
        <f>IF(A5706="","",VLOOKUP(A5706,VII.A!$A$10:$D$199,4,FALSE))</f>
        <v/>
      </c>
      <c r="I5706" s="341" t="str">
        <f t="shared" si="1459"/>
        <v/>
      </c>
      <c r="J5706" s="341" t="str">
        <f>IF(A5706="","",VLOOKUP(A5706,VII.A!$A$10:$D$199,3,FALSE))</f>
        <v/>
      </c>
      <c r="K5706" s="342" t="str">
        <f t="shared" si="1460"/>
        <v/>
      </c>
      <c r="L5706" s="380" t="str">
        <f>IF(C5706="","",G5675*C5706)</f>
        <v/>
      </c>
      <c r="M5706" s="381" t="str">
        <f>IF(A5706="","",VLOOKUP(A5706,VII.A!$A$10:$B$199,2,FALSE))</f>
        <v/>
      </c>
      <c r="N5706" s="342" t="str">
        <f t="shared" si="1461"/>
        <v/>
      </c>
      <c r="R5706" s="341"/>
      <c r="S5706" s="341"/>
    </row>
    <row r="5707" spans="1:19" ht="12.75" customHeight="1">
      <c r="A5707" s="393"/>
      <c r="B5707" s="395" t="s">
        <v>226</v>
      </c>
      <c r="C5707" s="396"/>
      <c r="D5707" s="397"/>
      <c r="E5707" s="398"/>
      <c r="F5707" s="399">
        <f>SUM(F5697:F5706)</f>
        <v>0</v>
      </c>
      <c r="J5707" s="341"/>
      <c r="L5707" s="380"/>
      <c r="M5707" s="381"/>
      <c r="N5707" s="342"/>
      <c r="R5707" s="341"/>
      <c r="S5707" s="341"/>
    </row>
    <row r="5708" spans="1:19" ht="12.75" customHeight="1">
      <c r="A5708" s="393"/>
      <c r="B5708" s="400" t="s">
        <v>53</v>
      </c>
      <c r="C5708" s="2">
        <f>$D$8</f>
        <v>0</v>
      </c>
      <c r="D5708" s="401"/>
      <c r="E5708" s="402"/>
      <c r="F5708" s="403">
        <f>ROUND(C5708*F5707,2)</f>
        <v>0</v>
      </c>
      <c r="J5708" s="341"/>
      <c r="L5708" s="380"/>
      <c r="M5708" s="381"/>
      <c r="N5708" s="342"/>
      <c r="R5708" s="341"/>
      <c r="S5708" s="341"/>
    </row>
    <row r="5709" spans="1:19" ht="12.75" customHeight="1">
      <c r="A5709" s="404"/>
      <c r="B5709" s="405" t="s">
        <v>228</v>
      </c>
      <c r="C5709" s="406"/>
      <c r="D5709" s="406"/>
      <c r="E5709" s="407"/>
      <c r="F5709" s="408">
        <f>F5707+F5708</f>
        <v>0</v>
      </c>
      <c r="J5709" s="341"/>
      <c r="L5709" s="380"/>
      <c r="M5709" s="381"/>
      <c r="N5709" s="342"/>
      <c r="R5709" s="341"/>
      <c r="S5709" s="341"/>
    </row>
    <row r="5710" spans="1:19" ht="12.75" customHeight="1">
      <c r="A5710" s="409" t="s">
        <v>47</v>
      </c>
      <c r="B5710" s="410" t="s">
        <v>236</v>
      </c>
      <c r="C5710" s="411" t="s">
        <v>231</v>
      </c>
      <c r="D5710" s="412" t="s">
        <v>232</v>
      </c>
      <c r="E5710" s="413" t="s">
        <v>233</v>
      </c>
      <c r="F5710" s="378" t="s">
        <v>234</v>
      </c>
      <c r="J5710" s="341"/>
      <c r="L5710" s="380"/>
      <c r="M5710" s="381"/>
      <c r="N5710" s="342"/>
      <c r="R5710" s="341"/>
      <c r="S5710" s="341"/>
    </row>
    <row r="5711" spans="1:19" ht="12.75" customHeight="1">
      <c r="A5711" s="393"/>
      <c r="B5711" s="423" t="str">
        <f>IF(A5711="","",VLOOKUP(A5711,VII.A!$A$10:$G$199,2,FALSE))</f>
        <v/>
      </c>
      <c r="C5711" s="20"/>
      <c r="D5711" s="384" t="str">
        <f>IF(A5711="","",VLOOKUP(A5711,VII.A!$A$10:$G$199,3,FALSE))</f>
        <v/>
      </c>
      <c r="E5711" s="387" t="str">
        <f>IF(A5711="","",VLOOKUP(A5711,VII.A!$A$10:$G$199,4,FALSE))</f>
        <v/>
      </c>
      <c r="F5711" s="388" t="str">
        <f>IF(A5711="","",ROUND(C5711*E5711,2))</f>
        <v/>
      </c>
      <c r="H5711" s="341" t="str">
        <f>IF(A5711="","",VLOOKUP(A5711,VII.A!$A$10:$D$199,4,FALSE))</f>
        <v/>
      </c>
      <c r="I5711" s="341" t="str">
        <f t="shared" ref="I5711:I5717" si="1463">IF(A5711="","",IF(E5711=H5711,"SIM","NÃO"))</f>
        <v/>
      </c>
      <c r="J5711" s="341" t="str">
        <f>IF(A5711="","",VLOOKUP(A5711,VII.A!$A$10:$D$199,3,FALSE))</f>
        <v/>
      </c>
      <c r="K5711" s="342" t="str">
        <f t="shared" ref="K5711:K5717" si="1464">IF(A5711="","",IF(J5711=D5711,"SIM","NÃO"))</f>
        <v/>
      </c>
      <c r="L5711" s="380" t="str">
        <f>IF(C5711="","",G5675*C5711)</f>
        <v/>
      </c>
      <c r="M5711" s="381" t="str">
        <f>IF(A5711="","",VLOOKUP(A5711,VII.A!$A$10:$B$199,2,FALSE))</f>
        <v/>
      </c>
      <c r="N5711" s="342" t="str">
        <f t="shared" ref="N5711:N5717" si="1465">IF(B5711="","",IF(M5711=B5711,"si","no"))</f>
        <v/>
      </c>
      <c r="R5711" s="341"/>
      <c r="S5711" s="341"/>
    </row>
    <row r="5712" spans="1:19" ht="12.75" customHeight="1">
      <c r="A5712" s="393"/>
      <c r="C5712" s="20"/>
      <c r="E5712" s="387"/>
      <c r="F5712" s="388">
        <f t="shared" ref="F5712:F5717" si="1466">ROUND(C5712*E5712,2)</f>
        <v>0</v>
      </c>
      <c r="H5712" s="341" t="str">
        <f>IF(A5712="","",VLOOKUP(A5712,VII.A!$A$10:$D$199,4,FALSE))</f>
        <v/>
      </c>
      <c r="I5712" s="341" t="str">
        <f t="shared" si="1463"/>
        <v/>
      </c>
      <c r="J5712" s="341" t="str">
        <f>IF(A5712="","",VLOOKUP(A5712,VII.A!$A$10:$D$199,3,FALSE))</f>
        <v/>
      </c>
      <c r="K5712" s="342" t="str">
        <f t="shared" si="1464"/>
        <v/>
      </c>
      <c r="L5712" s="380" t="str">
        <f>IF(C5712="","",G5675*C5712)</f>
        <v/>
      </c>
      <c r="M5712" s="381" t="str">
        <f>IF(A5712="","",VLOOKUP(A5712,VII.A!$A$10:$B$199,2,FALSE))</f>
        <v/>
      </c>
      <c r="N5712" s="342" t="str">
        <f t="shared" si="1465"/>
        <v/>
      </c>
      <c r="R5712" s="341"/>
      <c r="S5712" s="341"/>
    </row>
    <row r="5713" spans="1:25" ht="12.75" customHeight="1">
      <c r="A5713" s="393"/>
      <c r="C5713" s="20"/>
      <c r="E5713" s="387"/>
      <c r="F5713" s="388">
        <f t="shared" si="1466"/>
        <v>0</v>
      </c>
      <c r="H5713" s="341" t="str">
        <f>IF(A5713="","",VLOOKUP(A5713,VII.A!$A$10:$D$199,4,FALSE))</f>
        <v/>
      </c>
      <c r="I5713" s="341" t="str">
        <f t="shared" si="1463"/>
        <v/>
      </c>
      <c r="J5713" s="341" t="str">
        <f>IF(A5713="","",VLOOKUP(A5713,VII.A!$A$10:$D$199,3,FALSE))</f>
        <v/>
      </c>
      <c r="K5713" s="342" t="str">
        <f t="shared" si="1464"/>
        <v/>
      </c>
      <c r="L5713" s="380" t="str">
        <f>IF(C5713="","",G5675*C5713)</f>
        <v/>
      </c>
      <c r="M5713" s="381" t="str">
        <f>IF(A5713="","",VLOOKUP(A5713,VII.A!$A$10:$B$199,2,FALSE))</f>
        <v/>
      </c>
      <c r="N5713" s="342" t="str">
        <f t="shared" si="1465"/>
        <v/>
      </c>
      <c r="R5713" s="341"/>
      <c r="S5713" s="341"/>
    </row>
    <row r="5714" spans="1:25" ht="12.75" customHeight="1">
      <c r="A5714" s="393"/>
      <c r="C5714" s="20"/>
      <c r="E5714" s="387"/>
      <c r="F5714" s="388">
        <f t="shared" si="1466"/>
        <v>0</v>
      </c>
      <c r="H5714" s="341" t="str">
        <f>IF(A5714="","",VLOOKUP(A5714,VII.A!$A$10:$D$199,4,FALSE))</f>
        <v/>
      </c>
      <c r="I5714" s="341" t="str">
        <f t="shared" si="1463"/>
        <v/>
      </c>
      <c r="J5714" s="341" t="str">
        <f>IF(A5714="","",VLOOKUP(A5714,VII.A!$A$10:$D$199,3,FALSE))</f>
        <v/>
      </c>
      <c r="K5714" s="342" t="str">
        <f t="shared" si="1464"/>
        <v/>
      </c>
      <c r="L5714" s="380" t="str">
        <f>IF(C5714="","",G5675*C5714)</f>
        <v/>
      </c>
      <c r="M5714" s="381" t="str">
        <f>IF(A5714="","",VLOOKUP(A5714,VII.A!$A$10:$B$199,2,FALSE))</f>
        <v/>
      </c>
      <c r="N5714" s="342" t="str">
        <f t="shared" si="1465"/>
        <v/>
      </c>
      <c r="R5714" s="341"/>
      <c r="S5714" s="341"/>
    </row>
    <row r="5715" spans="1:25" ht="12.75" customHeight="1">
      <c r="A5715" s="393"/>
      <c r="C5715" s="20"/>
      <c r="E5715" s="387"/>
      <c r="F5715" s="388">
        <f t="shared" si="1466"/>
        <v>0</v>
      </c>
      <c r="H5715" s="341" t="str">
        <f>IF(A5715="","",VLOOKUP(A5715,VII.A!$A$10:$D$199,4,FALSE))</f>
        <v/>
      </c>
      <c r="I5715" s="341" t="str">
        <f t="shared" si="1463"/>
        <v/>
      </c>
      <c r="J5715" s="341" t="str">
        <f>IF(A5715="","",VLOOKUP(A5715,VII.A!$A$10:$D$199,3,FALSE))</f>
        <v/>
      </c>
      <c r="K5715" s="342" t="str">
        <f t="shared" si="1464"/>
        <v/>
      </c>
      <c r="L5715" s="380" t="str">
        <f>IF(C5715="","",G5675*C5715)</f>
        <v/>
      </c>
      <c r="M5715" s="381" t="str">
        <f>IF(A5715="","",VLOOKUP(A5715,VII.A!$A$10:$B$199,2,FALSE))</f>
        <v/>
      </c>
      <c r="N5715" s="342" t="str">
        <f t="shared" si="1465"/>
        <v/>
      </c>
      <c r="R5715" s="341"/>
      <c r="S5715" s="341"/>
    </row>
    <row r="5716" spans="1:25" ht="12.75" customHeight="1">
      <c r="A5716" s="393"/>
      <c r="C5716" s="20"/>
      <c r="E5716" s="387"/>
      <c r="F5716" s="388">
        <f t="shared" si="1466"/>
        <v>0</v>
      </c>
      <c r="H5716" s="341" t="str">
        <f>IF(A5716="","",VLOOKUP(A5716,VII.A!$A$10:$D$199,4,FALSE))</f>
        <v/>
      </c>
      <c r="I5716" s="341" t="str">
        <f t="shared" si="1463"/>
        <v/>
      </c>
      <c r="J5716" s="341" t="str">
        <f>IF(A5716="","",VLOOKUP(A5716,VII.A!$A$10:$D$199,3,FALSE))</f>
        <v/>
      </c>
      <c r="K5716" s="342" t="str">
        <f t="shared" si="1464"/>
        <v/>
      </c>
      <c r="L5716" s="380" t="str">
        <f>IF(C5716="","",G5675*C5716)</f>
        <v/>
      </c>
      <c r="M5716" s="381" t="str">
        <f>IF(A5716="","",VLOOKUP(A5716,VII.A!$A$10:$B$199,2,FALSE))</f>
        <v/>
      </c>
      <c r="N5716" s="342" t="str">
        <f t="shared" si="1465"/>
        <v/>
      </c>
      <c r="R5716" s="341"/>
      <c r="S5716" s="341"/>
    </row>
    <row r="5717" spans="1:25" ht="12.75" customHeight="1">
      <c r="A5717" s="393"/>
      <c r="C5717" s="20"/>
      <c r="E5717" s="387"/>
      <c r="F5717" s="388">
        <f t="shared" si="1466"/>
        <v>0</v>
      </c>
      <c r="H5717" s="341" t="str">
        <f>IF(A5717="","",VLOOKUP(A5717,VII.A!$A$10:$D$199,4,FALSE))</f>
        <v/>
      </c>
      <c r="I5717" s="341" t="str">
        <f t="shared" si="1463"/>
        <v/>
      </c>
      <c r="J5717" s="341" t="str">
        <f>IF(A5717="","",VLOOKUP(A5717,VII.A!$A$10:$D$199,3,FALSE))</f>
        <v/>
      </c>
      <c r="K5717" s="342" t="str">
        <f t="shared" si="1464"/>
        <v/>
      </c>
      <c r="L5717" s="380" t="str">
        <f>IF(C5717="","",G5675*C5717)</f>
        <v/>
      </c>
      <c r="M5717" s="381" t="str">
        <f>IF(A5717="","",VLOOKUP(A5717,VII.A!$A$10:$B$199,2,FALSE))</f>
        <v/>
      </c>
      <c r="N5717" s="342" t="str">
        <f t="shared" si="1465"/>
        <v/>
      </c>
      <c r="R5717" s="341"/>
      <c r="S5717" s="341"/>
    </row>
    <row r="5718" spans="1:25" ht="12.75" customHeight="1">
      <c r="A5718" s="393"/>
      <c r="B5718" s="395" t="s">
        <v>226</v>
      </c>
      <c r="C5718" s="396"/>
      <c r="D5718" s="397"/>
      <c r="E5718" s="398"/>
      <c r="F5718" s="399">
        <f>SUM(F5711:F5717)</f>
        <v>0</v>
      </c>
      <c r="J5718" s="341"/>
      <c r="L5718" s="380"/>
      <c r="M5718" s="381"/>
      <c r="N5718" s="342"/>
      <c r="R5718" s="341"/>
      <c r="S5718" s="341"/>
    </row>
    <row r="5719" spans="1:25" ht="12.75" customHeight="1">
      <c r="A5719" s="393"/>
      <c r="B5719" s="400" t="s">
        <v>229</v>
      </c>
      <c r="C5719" s="2">
        <f>IX.A!$C$45</f>
        <v>0</v>
      </c>
      <c r="D5719" s="401"/>
      <c r="E5719" s="402"/>
      <c r="F5719" s="403">
        <f>ROUND(F5718*C5719,2)</f>
        <v>0</v>
      </c>
      <c r="J5719" s="341"/>
      <c r="L5719" s="380"/>
      <c r="M5719" s="381"/>
      <c r="N5719" s="342"/>
      <c r="R5719" s="341"/>
      <c r="S5719" s="341"/>
    </row>
    <row r="5720" spans="1:25" ht="12.75" customHeight="1">
      <c r="A5720" s="393"/>
      <c r="B5720" s="400" t="s">
        <v>53</v>
      </c>
      <c r="C5720" s="2">
        <f>$D$8</f>
        <v>0</v>
      </c>
      <c r="D5720" s="401"/>
      <c r="E5720" s="402"/>
      <c r="F5720" s="403">
        <f>ROUND(SUM(F5718:F5719)*C5720,2)</f>
        <v>0</v>
      </c>
      <c r="J5720" s="341"/>
      <c r="L5720" s="380"/>
      <c r="M5720" s="381"/>
      <c r="N5720" s="342"/>
      <c r="R5720" s="341"/>
      <c r="S5720" s="341"/>
    </row>
    <row r="5721" spans="1:25" ht="12.75" customHeight="1" thickBot="1">
      <c r="A5721" s="414"/>
      <c r="B5721" s="415" t="s">
        <v>230</v>
      </c>
      <c r="C5721" s="416"/>
      <c r="D5721" s="416"/>
      <c r="E5721" s="417"/>
      <c r="F5721" s="418">
        <f>SUM(F5718:F5720)</f>
        <v>0</v>
      </c>
      <c r="J5721" s="341"/>
      <c r="L5721" s="380"/>
      <c r="M5721" s="381"/>
      <c r="N5721" s="342"/>
      <c r="R5721" s="341"/>
      <c r="S5721" s="341"/>
    </row>
    <row r="5722" spans="1:25" ht="12.75" customHeight="1" thickBot="1">
      <c r="A5722" s="427"/>
      <c r="B5722" s="428"/>
      <c r="C5722" s="429"/>
      <c r="D5722" s="429"/>
      <c r="E5722" s="430"/>
      <c r="F5722" s="431"/>
      <c r="G5722" s="452"/>
      <c r="H5722" s="453"/>
      <c r="I5722" s="454"/>
      <c r="J5722" s="454"/>
      <c r="K5722" s="455"/>
      <c r="L5722" s="456"/>
      <c r="M5722" s="356"/>
      <c r="N5722" s="341"/>
      <c r="O5722" s="341"/>
      <c r="P5722" s="341"/>
      <c r="Q5722" s="342"/>
      <c r="R5722" s="380"/>
      <c r="S5722" s="381"/>
      <c r="U5722" s="343"/>
      <c r="V5722" s="344"/>
      <c r="W5722" s="344"/>
      <c r="X5722" s="341"/>
      <c r="Y5722" s="341"/>
    </row>
    <row r="5723" spans="1:25" ht="30" customHeight="1">
      <c r="A5723" s="370" t="str">
        <f>IV.A!$A$168</f>
        <v>7.12</v>
      </c>
      <c r="B5723" s="371" t="str">
        <f>IV.A!B168</f>
        <v>FORNECIMENTO E INSTALAÇÃO DE BANCO PRÉ-FABRICADO DE CONCRETO, ESTILO EUROPEU</v>
      </c>
      <c r="C5723" s="871" t="s">
        <v>237</v>
      </c>
      <c r="D5723" s="872"/>
      <c r="E5723" s="372" t="str">
        <f>IV.A!C168</f>
        <v>UN</v>
      </c>
      <c r="F5723" s="11">
        <f>ROUND(F5743+F5757+F5769,2)</f>
        <v>0</v>
      </c>
      <c r="G5723" s="1">
        <f>VLOOKUP(A5723,IV.A!$A$16:$L$172,4,FALSE)</f>
        <v>200</v>
      </c>
      <c r="H5723" s="361">
        <f>SUM(F5725:F5740)+F5742</f>
        <v>0</v>
      </c>
      <c r="I5723" s="361">
        <f>SUM(F5745:F5754)+F5756</f>
        <v>0</v>
      </c>
      <c r="J5723" s="361">
        <f>SUM(F5759:F5765)+F5767+F5768</f>
        <v>0</v>
      </c>
      <c r="K5723" s="361">
        <f>SUM(H5723:J5723)</f>
        <v>0</v>
      </c>
      <c r="L5723" s="362" t="str">
        <f>IF(K5723=F5723,"SIM","NÃO")</f>
        <v>SIM</v>
      </c>
      <c r="M5723" s="373">
        <f>ROUND(SUM(F5725:F5740),2)+ROUND(SUM(F5725:F5740)*C5742,2)+ROUND(SUM(F5745:F5754)*C5756,2)+ROUND(SUM(F5745:F5754),2)+ROUND(SUM(F5759:F5765)*C5767,2)+ROUND((SUM(F5759:F5765)+ROUND(SUM(F5759:F5765)*C5767,2))*C5768,2)+ROUND(SUM(F5759:F5765),2)</f>
        <v>0</v>
      </c>
      <c r="N5723" s="343" t="str">
        <f>IF(M5723=F5723,"SIM","NÃO")</f>
        <v>SIM</v>
      </c>
      <c r="O5723" s="364" t="str">
        <f>VLOOKUP(A5723,IV.A!$A$16:$E$172,3,FALSE)</f>
        <v>UN</v>
      </c>
      <c r="P5723" s="344" t="str">
        <f>IF(O5723=E5723,"SIM","NÃO")</f>
        <v>SIM</v>
      </c>
      <c r="Q5723" s="365">
        <f>ROUND(G5723*F5743,2)+ROUND(G5723*F5757,2)+ROUND(G5723*F5769,2)</f>
        <v>0</v>
      </c>
      <c r="R5723" s="364">
        <f>VLOOKUP(A5723,IV.A!$A$16:$L$172,12,FALSE)</f>
        <v>0</v>
      </c>
      <c r="S5723" s="366" t="str">
        <f>IF(Q5723=R5723,"si","no")</f>
        <v>si</v>
      </c>
      <c r="T5723" s="367">
        <f>SUM(L5725:L5740)+SUM(L5745:L5754)+SUM(L5759:L5765)</f>
        <v>4380.32</v>
      </c>
      <c r="U5723" s="341">
        <f>(SUM(C5725:C5740)+SUM(C5745:C5754)+SUM(C5759:C5765))*G5723</f>
        <v>4380.3200000000006</v>
      </c>
      <c r="V5723" s="368" t="str">
        <f>IF(T5723=U5723,"si","no")</f>
        <v>si</v>
      </c>
      <c r="W5723" s="369">
        <f>SUM(F5725:F5740)</f>
        <v>0</v>
      </c>
      <c r="X5723" s="369">
        <f>SUM(F5745:F5754)</f>
        <v>0</v>
      </c>
      <c r="Y5723" s="369">
        <f>SUM(F5759:F5765)</f>
        <v>0</v>
      </c>
    </row>
    <row r="5724" spans="1:25" ht="12.75" customHeight="1">
      <c r="A5724" s="374" t="s">
        <v>14</v>
      </c>
      <c r="B5724" s="375" t="s">
        <v>132</v>
      </c>
      <c r="C5724" s="376" t="s">
        <v>231</v>
      </c>
      <c r="D5724" s="376" t="s">
        <v>232</v>
      </c>
      <c r="E5724" s="377" t="s">
        <v>233</v>
      </c>
      <c r="F5724" s="378" t="s">
        <v>234</v>
      </c>
      <c r="G5724" s="379"/>
      <c r="J5724" s="341"/>
      <c r="L5724" s="380"/>
      <c r="M5724" s="381"/>
      <c r="N5724" s="342"/>
      <c r="O5724" s="382"/>
      <c r="P5724" s="383"/>
      <c r="Q5724" s="383"/>
      <c r="R5724" s="383"/>
      <c r="S5724" s="383"/>
      <c r="T5724" s="382"/>
      <c r="U5724" s="341"/>
      <c r="V5724" s="384"/>
      <c r="W5724" s="384"/>
      <c r="X5724" s="384"/>
      <c r="Y5724" s="384"/>
    </row>
    <row r="5725" spans="1:25" ht="12.75" customHeight="1">
      <c r="A5725" s="385" t="str">
        <f>VII.A!$A$22</f>
        <v>1.13</v>
      </c>
      <c r="B5725" s="423" t="str">
        <f>VLOOKUP(A5725,VII.A!$A$10:$G$199,2,FALSE)</f>
        <v>BANCO DE CONCRETO PRE-FABRICADO  (C=140CM E L= 35CM)</v>
      </c>
      <c r="C5725" s="20">
        <v>1</v>
      </c>
      <c r="D5725" s="384" t="str">
        <f>VLOOKUP(A5725,VII.A!$A$10:$G$199,3,FALSE)</f>
        <v xml:space="preserve">UN </v>
      </c>
      <c r="E5725" s="387">
        <f>VLOOKUP(A5725,VII.A!$A$10:$G$199,4,FALSE)</f>
        <v>0</v>
      </c>
      <c r="F5725" s="388">
        <f>ROUND(C5725*E5725,2)</f>
        <v>0</v>
      </c>
      <c r="H5725" s="341">
        <f>IF(A5725="","",VLOOKUP(A5725,VII.A!$A$10:$D$199,4,FALSE))</f>
        <v>0</v>
      </c>
      <c r="I5725" s="341" t="str">
        <f t="shared" ref="I5725:I5740" si="1467">IF(A5725="","",IF(E5725=H5725,"SIM","NÃO"))</f>
        <v>SIM</v>
      </c>
      <c r="J5725" s="341" t="str">
        <f>IF(A5725="","",VLOOKUP(A5725,VII.A!$A$10:$D$199,3,FALSE))</f>
        <v xml:space="preserve">UN </v>
      </c>
      <c r="K5725" s="342" t="str">
        <f t="shared" ref="K5725:K5740" si="1468">IF(A5725="","",IF(J5725=D5725,"SIM","NÃO"))</f>
        <v>SIM</v>
      </c>
      <c r="L5725" s="380">
        <f>IF(C5725="","",G5723*C5725)</f>
        <v>200</v>
      </c>
      <c r="M5725" s="381" t="str">
        <f>IF(A5725="","",VLOOKUP(A5725,VII.A!$A$10:$B$199,2,FALSE))</f>
        <v>BANCO DE CONCRETO PRE-FABRICADO  (C=140CM E L= 35CM)</v>
      </c>
      <c r="N5725" s="342" t="str">
        <f t="shared" ref="N5725:N5740" si="1469">IF(B5725="","",IF(M5725=B5725,"si","no"))</f>
        <v>si</v>
      </c>
      <c r="R5725" s="341"/>
      <c r="S5725" s="341"/>
    </row>
    <row r="5726" spans="1:25" ht="12.75" customHeight="1">
      <c r="A5726" s="385" t="str">
        <f>VII.A!$A$19</f>
        <v>1.10</v>
      </c>
      <c r="B5726" s="423" t="str">
        <f>VLOOKUP(A5726,VII.A!$A$10:$G$199,2,FALSE)</f>
        <v>AREIA MÉDIA LAVADA</v>
      </c>
      <c r="C5726" s="20">
        <v>5.4800000000000001E-2</v>
      </c>
      <c r="D5726" s="384" t="str">
        <f>VLOOKUP(A5726,VII.A!$A$10:$G$199,3,FALSE)</f>
        <v>M3</v>
      </c>
      <c r="E5726" s="387">
        <f>VLOOKUP(A5726,VII.A!$A$10:$G$199,4,FALSE)</f>
        <v>0</v>
      </c>
      <c r="F5726" s="388">
        <f t="shared" ref="F5726:F5740" si="1470">ROUND(C5726*E5726,2)</f>
        <v>0</v>
      </c>
      <c r="H5726" s="341">
        <f>IF(A5726="","",VLOOKUP(A5726,VII.A!$A$10:$D$199,4,FALSE))</f>
        <v>0</v>
      </c>
      <c r="I5726" s="341" t="str">
        <f t="shared" si="1467"/>
        <v>SIM</v>
      </c>
      <c r="J5726" s="341" t="str">
        <f>IF(A5726="","",VLOOKUP(A5726,VII.A!$A$10:$D$199,3,FALSE))</f>
        <v>M3</v>
      </c>
      <c r="K5726" s="342" t="str">
        <f t="shared" si="1468"/>
        <v>SIM</v>
      </c>
      <c r="L5726" s="380">
        <f>IF(C5726="","",G5723*C5726)</f>
        <v>10.96</v>
      </c>
      <c r="M5726" s="381" t="str">
        <f>IF(A5726="","",VLOOKUP(A5726,VII.A!$A$10:$B$199,2,FALSE))</f>
        <v>AREIA MÉDIA LAVADA</v>
      </c>
      <c r="N5726" s="342" t="str">
        <f t="shared" si="1469"/>
        <v>si</v>
      </c>
      <c r="R5726" s="341"/>
      <c r="S5726" s="341"/>
    </row>
    <row r="5727" spans="1:25" ht="12.75" customHeight="1">
      <c r="A5727" s="385" t="str">
        <f>VII.A!$A$38</f>
        <v>1.29</v>
      </c>
      <c r="B5727" s="423" t="str">
        <f>VLOOKUP(A5727,VII.A!$A$10:$G$199,2,FALSE)</f>
        <v>CIMENTO PORTLAND CP II-E-32</v>
      </c>
      <c r="C5727" s="20">
        <v>19.68</v>
      </c>
      <c r="D5727" s="384" t="str">
        <f>VLOOKUP(A5727,VII.A!$A$10:$G$199,3,FALSE)</f>
        <v>KG</v>
      </c>
      <c r="E5727" s="387">
        <f>VLOOKUP(A5727,VII.A!$A$10:$G$199,4,FALSE)</f>
        <v>0</v>
      </c>
      <c r="F5727" s="388">
        <f t="shared" si="1470"/>
        <v>0</v>
      </c>
      <c r="H5727" s="341">
        <f>IF(A5727="","",VLOOKUP(A5727,VII.A!$A$10:$D$199,4,FALSE))</f>
        <v>0</v>
      </c>
      <c r="I5727" s="341" t="str">
        <f t="shared" si="1467"/>
        <v>SIM</v>
      </c>
      <c r="J5727" s="341" t="str">
        <f>IF(A5727="","",VLOOKUP(A5727,VII.A!$A$10:$D$199,3,FALSE))</f>
        <v>KG</v>
      </c>
      <c r="K5727" s="342" t="str">
        <f t="shared" si="1468"/>
        <v>SIM</v>
      </c>
      <c r="L5727" s="380">
        <f>IF(C5727="","",G5723*C5727)</f>
        <v>3936</v>
      </c>
      <c r="M5727" s="381" t="str">
        <f>IF(A5727="","",VLOOKUP(A5727,VII.A!$A$10:$B$199,2,FALSE))</f>
        <v>CIMENTO PORTLAND CP II-E-32</v>
      </c>
      <c r="N5727" s="342" t="str">
        <f t="shared" si="1469"/>
        <v>si</v>
      </c>
      <c r="R5727" s="341"/>
      <c r="S5727" s="341"/>
    </row>
    <row r="5728" spans="1:25" ht="12.75" customHeight="1">
      <c r="A5728" s="385" t="str">
        <f>VII.A!$A$84</f>
        <v>1.74</v>
      </c>
      <c r="B5728" s="423" t="str">
        <f>VLOOKUP(A5728,VII.A!$A$10:$G$199,2,FALSE)</f>
        <v>PEDRA BRITADA Nº 2 GRANULOMETRIA ENTRE (21,0 E 32,0 MM)</v>
      </c>
      <c r="C5728" s="20">
        <v>5.1400000000000001E-2</v>
      </c>
      <c r="D5728" s="384" t="str">
        <f>VLOOKUP(A5728,VII.A!$A$10:$G$199,3,FALSE)</f>
        <v>M3</v>
      </c>
      <c r="E5728" s="387">
        <f>VLOOKUP(A5728,VII.A!$A$10:$G$199,4,FALSE)</f>
        <v>0</v>
      </c>
      <c r="F5728" s="388">
        <f t="shared" si="1470"/>
        <v>0</v>
      </c>
      <c r="H5728" s="341">
        <f>IF(A5728="","",VLOOKUP(A5728,VII.A!$A$10:$D$199,4,FALSE))</f>
        <v>0</v>
      </c>
      <c r="I5728" s="341" t="str">
        <f t="shared" si="1467"/>
        <v>SIM</v>
      </c>
      <c r="J5728" s="341" t="str">
        <f>IF(A5728="","",VLOOKUP(A5728,VII.A!$A$10:$D$199,3,FALSE))</f>
        <v>M3</v>
      </c>
      <c r="K5728" s="342" t="str">
        <f t="shared" si="1468"/>
        <v>SIM</v>
      </c>
      <c r="L5728" s="380">
        <f>IF(C5728="","",G5723*C5728)</f>
        <v>10.280000000000001</v>
      </c>
      <c r="M5728" s="381" t="str">
        <f>IF(A5728="","",VLOOKUP(A5728,VII.A!$A$10:$B$199,2,FALSE))</f>
        <v>PEDRA BRITADA Nº 2 GRANULOMETRIA ENTRE (21,0 E 32,0 MM)</v>
      </c>
      <c r="N5728" s="342" t="str">
        <f t="shared" si="1469"/>
        <v>si</v>
      </c>
      <c r="R5728" s="341"/>
      <c r="S5728" s="341"/>
    </row>
    <row r="5729" spans="1:21" ht="12.75" customHeight="1">
      <c r="A5729" s="385"/>
      <c r="B5729" s="386"/>
      <c r="C5729" s="20"/>
      <c r="D5729" s="342"/>
      <c r="E5729" s="387"/>
      <c r="F5729" s="388">
        <f t="shared" si="1470"/>
        <v>0</v>
      </c>
      <c r="H5729" s="341" t="str">
        <f>IF(A5729="","",VLOOKUP(A5729,VII.A!$A$10:$D$199,4,FALSE))</f>
        <v/>
      </c>
      <c r="I5729" s="341" t="str">
        <f t="shared" si="1467"/>
        <v/>
      </c>
      <c r="J5729" s="341" t="str">
        <f>IF(A5729="","",VLOOKUP(A5729,VII.A!$A$10:$D$199,3,FALSE))</f>
        <v/>
      </c>
      <c r="K5729" s="342" t="str">
        <f t="shared" si="1468"/>
        <v/>
      </c>
      <c r="L5729" s="380" t="str">
        <f>IF(C5729="","",G5723*C5729)</f>
        <v/>
      </c>
      <c r="M5729" s="381" t="str">
        <f>IF(A5729="","",VLOOKUP(A5729,VII.A!$A$10:$B$199,2,FALSE))</f>
        <v/>
      </c>
      <c r="N5729" s="342" t="str">
        <f t="shared" si="1469"/>
        <v/>
      </c>
      <c r="R5729" s="341"/>
      <c r="S5729" s="341"/>
    </row>
    <row r="5730" spans="1:21" ht="12.75" customHeight="1">
      <c r="A5730" s="385"/>
      <c r="B5730" s="386"/>
      <c r="C5730" s="20"/>
      <c r="D5730" s="342"/>
      <c r="E5730" s="387"/>
      <c r="F5730" s="388">
        <f t="shared" si="1470"/>
        <v>0</v>
      </c>
      <c r="H5730" s="341" t="str">
        <f>IF(A5730="","",VLOOKUP(A5730,VII.A!$A$10:$D$199,4,FALSE))</f>
        <v/>
      </c>
      <c r="I5730" s="341" t="str">
        <f t="shared" si="1467"/>
        <v/>
      </c>
      <c r="J5730" s="341" t="str">
        <f>IF(A5730="","",VLOOKUP(A5730,VII.A!$A$10:$D$199,3,FALSE))</f>
        <v/>
      </c>
      <c r="K5730" s="342" t="str">
        <f t="shared" si="1468"/>
        <v/>
      </c>
      <c r="L5730" s="380" t="str">
        <f>IF(C5730="","",G5723*C5730)</f>
        <v/>
      </c>
      <c r="M5730" s="381" t="str">
        <f>IF(A5730="","",VLOOKUP(A5730,VII.A!$A$10:$B$199,2,FALSE))</f>
        <v/>
      </c>
      <c r="N5730" s="342" t="str">
        <f t="shared" si="1469"/>
        <v/>
      </c>
      <c r="R5730" s="341"/>
      <c r="S5730" s="341"/>
      <c r="U5730" s="389"/>
    </row>
    <row r="5731" spans="1:21" ht="12.75" customHeight="1">
      <c r="A5731" s="385"/>
      <c r="B5731" s="386"/>
      <c r="C5731" s="20"/>
      <c r="D5731" s="342"/>
      <c r="E5731" s="387"/>
      <c r="F5731" s="388">
        <f t="shared" si="1470"/>
        <v>0</v>
      </c>
      <c r="H5731" s="341" t="str">
        <f>IF(A5731="","",VLOOKUP(A5731,VII.A!$A$10:$D$199,4,FALSE))</f>
        <v/>
      </c>
      <c r="I5731" s="341" t="str">
        <f t="shared" si="1467"/>
        <v/>
      </c>
      <c r="J5731" s="341" t="str">
        <f>IF(A5731="","",VLOOKUP(A5731,VII.A!$A$10:$D$199,3,FALSE))</f>
        <v/>
      </c>
      <c r="K5731" s="342" t="str">
        <f t="shared" si="1468"/>
        <v/>
      </c>
      <c r="L5731" s="380" t="str">
        <f>IF(C5731="","",G5723*C5731)</f>
        <v/>
      </c>
      <c r="M5731" s="381" t="str">
        <f>IF(A5731="","",VLOOKUP(A5731,VII.A!$A$10:$B$199,2,FALSE))</f>
        <v/>
      </c>
      <c r="N5731" s="342" t="str">
        <f t="shared" si="1469"/>
        <v/>
      </c>
      <c r="R5731" s="341"/>
      <c r="S5731" s="341"/>
    </row>
    <row r="5732" spans="1:21" ht="12.75" customHeight="1">
      <c r="A5732" s="385"/>
      <c r="B5732" s="386"/>
      <c r="C5732" s="20"/>
      <c r="D5732" s="342"/>
      <c r="E5732" s="387"/>
      <c r="F5732" s="388">
        <f t="shared" si="1470"/>
        <v>0</v>
      </c>
      <c r="G5732" s="390"/>
      <c r="H5732" s="341" t="str">
        <f>IF(A5732="","",VLOOKUP(A5732,VII.A!$A$10:$D$199,4,FALSE))</f>
        <v/>
      </c>
      <c r="I5732" s="341" t="str">
        <f t="shared" si="1467"/>
        <v/>
      </c>
      <c r="J5732" s="341" t="str">
        <f>IF(A5732="","",VLOOKUP(A5732,VII.A!$A$10:$D$199,3,FALSE))</f>
        <v/>
      </c>
      <c r="K5732" s="342" t="str">
        <f t="shared" si="1468"/>
        <v/>
      </c>
      <c r="L5732" s="380" t="str">
        <f>IF(C5732="","",G5723*C5732)</f>
        <v/>
      </c>
      <c r="M5732" s="381" t="str">
        <f>IF(A5732="","",VLOOKUP(A5732,VII.A!$A$10:$B$199,2,FALSE))</f>
        <v/>
      </c>
      <c r="N5732" s="342" t="str">
        <f t="shared" si="1469"/>
        <v/>
      </c>
      <c r="R5732" s="341"/>
      <c r="S5732" s="341"/>
    </row>
    <row r="5733" spans="1:21" ht="12.75" customHeight="1">
      <c r="A5733" s="385"/>
      <c r="B5733" s="386"/>
      <c r="C5733" s="20"/>
      <c r="D5733" s="342"/>
      <c r="E5733" s="387"/>
      <c r="F5733" s="388">
        <f t="shared" si="1470"/>
        <v>0</v>
      </c>
      <c r="G5733" s="390"/>
      <c r="H5733" s="341" t="str">
        <f>IF(A5733="","",VLOOKUP(A5733,VII.A!$A$10:$D$199,4,FALSE))</f>
        <v/>
      </c>
      <c r="I5733" s="341" t="str">
        <f t="shared" si="1467"/>
        <v/>
      </c>
      <c r="J5733" s="341" t="str">
        <f>IF(A5733="","",VLOOKUP(A5733,VII.A!$A$10:$D$199,3,FALSE))</f>
        <v/>
      </c>
      <c r="K5733" s="342" t="str">
        <f t="shared" si="1468"/>
        <v/>
      </c>
      <c r="L5733" s="380" t="str">
        <f>IF(C5733="","",G5723*C5733)</f>
        <v/>
      </c>
      <c r="M5733" s="381" t="str">
        <f>IF(A5733="","",VLOOKUP(A5733,VII.A!$A$10:$B$199,2,FALSE))</f>
        <v/>
      </c>
      <c r="N5733" s="342" t="str">
        <f t="shared" si="1469"/>
        <v/>
      </c>
      <c r="R5733" s="341"/>
      <c r="S5733" s="341"/>
    </row>
    <row r="5734" spans="1:21" ht="12.75" customHeight="1">
      <c r="A5734" s="385"/>
      <c r="B5734" s="386"/>
      <c r="C5734" s="20"/>
      <c r="D5734" s="342"/>
      <c r="E5734" s="387"/>
      <c r="F5734" s="388">
        <f t="shared" si="1470"/>
        <v>0</v>
      </c>
      <c r="G5734" s="391"/>
      <c r="H5734" s="341" t="str">
        <f>IF(A5734="","",VLOOKUP(A5734,VII.A!$A$10:$D$199,4,FALSE))</f>
        <v/>
      </c>
      <c r="I5734" s="341" t="str">
        <f t="shared" si="1467"/>
        <v/>
      </c>
      <c r="J5734" s="341" t="str">
        <f>IF(A5734="","",VLOOKUP(A5734,VII.A!$A$10:$D$199,3,FALSE))</f>
        <v/>
      </c>
      <c r="K5734" s="342" t="str">
        <f t="shared" si="1468"/>
        <v/>
      </c>
      <c r="L5734" s="380" t="str">
        <f>IF(C5734="","",G5723*C5734)</f>
        <v/>
      </c>
      <c r="M5734" s="381" t="str">
        <f>IF(A5734="","",VLOOKUP(A5734,VII.A!$A$10:$B$199,2,FALSE))</f>
        <v/>
      </c>
      <c r="N5734" s="342" t="str">
        <f t="shared" si="1469"/>
        <v/>
      </c>
      <c r="R5734" s="341"/>
      <c r="S5734" s="341"/>
    </row>
    <row r="5735" spans="1:21" ht="12.75" customHeight="1">
      <c r="A5735" s="385"/>
      <c r="B5735" s="386"/>
      <c r="C5735" s="20"/>
      <c r="D5735" s="342"/>
      <c r="E5735" s="387"/>
      <c r="F5735" s="388">
        <f t="shared" si="1470"/>
        <v>0</v>
      </c>
      <c r="H5735" s="341" t="str">
        <f>IF(A5735="","",VLOOKUP(A5735,VII.A!$A$10:$D$199,4,FALSE))</f>
        <v/>
      </c>
      <c r="I5735" s="341" t="str">
        <f t="shared" si="1467"/>
        <v/>
      </c>
      <c r="J5735" s="341" t="str">
        <f>IF(A5735="","",VLOOKUP(A5735,VII.A!$A$10:$D$199,3,FALSE))</f>
        <v/>
      </c>
      <c r="K5735" s="342" t="str">
        <f t="shared" si="1468"/>
        <v/>
      </c>
      <c r="L5735" s="380" t="str">
        <f>IF(C5735="","",G5723*C5735)</f>
        <v/>
      </c>
      <c r="M5735" s="381" t="str">
        <f>IF(A5735="","",VLOOKUP(A5735,VII.A!$A$10:$B$199,2,FALSE))</f>
        <v/>
      </c>
      <c r="N5735" s="342" t="str">
        <f t="shared" si="1469"/>
        <v/>
      </c>
      <c r="R5735" s="341"/>
      <c r="S5735" s="341"/>
    </row>
    <row r="5736" spans="1:21" ht="12.75" customHeight="1">
      <c r="A5736" s="385"/>
      <c r="B5736" s="386"/>
      <c r="C5736" s="20"/>
      <c r="D5736" s="392"/>
      <c r="E5736" s="387"/>
      <c r="F5736" s="388">
        <f t="shared" si="1470"/>
        <v>0</v>
      </c>
      <c r="H5736" s="341" t="str">
        <f>IF(A5736="","",VLOOKUP(A5736,VII.A!$A$10:$D$199,4,FALSE))</f>
        <v/>
      </c>
      <c r="I5736" s="341" t="str">
        <f t="shared" si="1467"/>
        <v/>
      </c>
      <c r="J5736" s="341" t="str">
        <f>IF(A5736="","",VLOOKUP(A5736,VII.A!$A$10:$D$199,3,FALSE))</f>
        <v/>
      </c>
      <c r="K5736" s="342" t="str">
        <f t="shared" si="1468"/>
        <v/>
      </c>
      <c r="L5736" s="380" t="str">
        <f>IF(C5736="","",G5723*C5736)</f>
        <v/>
      </c>
      <c r="M5736" s="381" t="str">
        <f>IF(A5736="","",VLOOKUP(A5736,VII.A!$A$10:$B$199,2,FALSE))</f>
        <v/>
      </c>
      <c r="N5736" s="342" t="str">
        <f t="shared" si="1469"/>
        <v/>
      </c>
      <c r="R5736" s="341"/>
      <c r="S5736" s="341"/>
    </row>
    <row r="5737" spans="1:21" ht="12.75" customHeight="1">
      <c r="A5737" s="385"/>
      <c r="B5737" s="386"/>
      <c r="C5737" s="20"/>
      <c r="D5737" s="392"/>
      <c r="E5737" s="387"/>
      <c r="F5737" s="388">
        <f t="shared" si="1470"/>
        <v>0</v>
      </c>
      <c r="H5737" s="341" t="str">
        <f>IF(A5737="","",VLOOKUP(A5737,VII.A!$A$10:$D$199,4,FALSE))</f>
        <v/>
      </c>
      <c r="I5737" s="341" t="str">
        <f t="shared" si="1467"/>
        <v/>
      </c>
      <c r="J5737" s="341" t="str">
        <f>IF(A5737="","",VLOOKUP(A5737,VII.A!$A$10:$D$199,3,FALSE))</f>
        <v/>
      </c>
      <c r="K5737" s="342" t="str">
        <f t="shared" si="1468"/>
        <v/>
      </c>
      <c r="L5737" s="380" t="str">
        <f>IF(C5737="","",G5723*C5737)</f>
        <v/>
      </c>
      <c r="M5737" s="381" t="str">
        <f>IF(A5737="","",VLOOKUP(A5737,VII.A!$A$10:$B$199,2,FALSE))</f>
        <v/>
      </c>
      <c r="N5737" s="342" t="str">
        <f t="shared" si="1469"/>
        <v/>
      </c>
      <c r="O5737" s="342"/>
      <c r="R5737" s="341"/>
      <c r="S5737" s="341"/>
    </row>
    <row r="5738" spans="1:21" ht="12.75" customHeight="1">
      <c r="A5738" s="385"/>
      <c r="B5738" s="386"/>
      <c r="C5738" s="20"/>
      <c r="D5738" s="392"/>
      <c r="E5738" s="387"/>
      <c r="F5738" s="388">
        <f t="shared" si="1470"/>
        <v>0</v>
      </c>
      <c r="H5738" s="341" t="str">
        <f>IF(A5738="","",VLOOKUP(A5738,VII.A!$A$10:$D$199,4,FALSE))</f>
        <v/>
      </c>
      <c r="I5738" s="341" t="str">
        <f t="shared" si="1467"/>
        <v/>
      </c>
      <c r="J5738" s="341" t="str">
        <f>IF(A5738="","",VLOOKUP(A5738,VII.A!$A$10:$D$199,3,FALSE))</f>
        <v/>
      </c>
      <c r="K5738" s="342" t="str">
        <f t="shared" si="1468"/>
        <v/>
      </c>
      <c r="L5738" s="380" t="str">
        <f>IF(C5738="","",G5723*C5738)</f>
        <v/>
      </c>
      <c r="M5738" s="381" t="str">
        <f>IF(A5738="","",VLOOKUP(A5738,VII.A!$A$10:$B$199,2,FALSE))</f>
        <v/>
      </c>
      <c r="N5738" s="342" t="str">
        <f t="shared" si="1469"/>
        <v/>
      </c>
      <c r="R5738" s="341"/>
      <c r="S5738" s="341"/>
    </row>
    <row r="5739" spans="1:21" ht="12.75" customHeight="1">
      <c r="A5739" s="393"/>
      <c r="C5739" s="20"/>
      <c r="E5739" s="387"/>
      <c r="F5739" s="388">
        <f t="shared" si="1470"/>
        <v>0</v>
      </c>
      <c r="H5739" s="341" t="str">
        <f>IF(A5739="","",VLOOKUP(A5739,VII.A!$A$10:$D$199,4,FALSE))</f>
        <v/>
      </c>
      <c r="I5739" s="341" t="str">
        <f t="shared" si="1467"/>
        <v/>
      </c>
      <c r="J5739" s="341" t="str">
        <f>IF(A5739="","",VLOOKUP(A5739,VII.A!$A$10:$D$199,3,FALSE))</f>
        <v/>
      </c>
      <c r="K5739" s="342" t="str">
        <f t="shared" si="1468"/>
        <v/>
      </c>
      <c r="L5739" s="380" t="str">
        <f>IF(C5739="","",G5723*C5739)</f>
        <v/>
      </c>
      <c r="M5739" s="381" t="str">
        <f>IF(A5739="","",VLOOKUP(A5739,VII.A!$A$10:$B$199,2,FALSE))</f>
        <v/>
      </c>
      <c r="N5739" s="342" t="str">
        <f t="shared" si="1469"/>
        <v/>
      </c>
      <c r="R5739" s="341"/>
      <c r="S5739" s="341"/>
    </row>
    <row r="5740" spans="1:21" ht="12.75" customHeight="1">
      <c r="A5740" s="393"/>
      <c r="C5740" s="20"/>
      <c r="E5740" s="387"/>
      <c r="F5740" s="388">
        <f t="shared" si="1470"/>
        <v>0</v>
      </c>
      <c r="H5740" s="341" t="str">
        <f>IF(A5740="","",VLOOKUP(A5740,VII.A!$A$10:$D$199,4,FALSE))</f>
        <v/>
      </c>
      <c r="I5740" s="341" t="str">
        <f t="shared" si="1467"/>
        <v/>
      </c>
      <c r="J5740" s="341" t="str">
        <f>IF(A5740="","",VLOOKUP(A5740,VII.A!$A$10:$D$199,3,FALSE))</f>
        <v/>
      </c>
      <c r="K5740" s="342" t="str">
        <f t="shared" si="1468"/>
        <v/>
      </c>
      <c r="L5740" s="380" t="str">
        <f>IF(C5740="","",G5723*C5740)</f>
        <v/>
      </c>
      <c r="M5740" s="381" t="str">
        <f>IF(A5740="","",VLOOKUP(A5740,VII.A!$A$10:$B$199,2,FALSE))</f>
        <v/>
      </c>
      <c r="N5740" s="342" t="str">
        <f t="shared" si="1469"/>
        <v/>
      </c>
      <c r="R5740" s="341"/>
      <c r="S5740" s="341"/>
    </row>
    <row r="5741" spans="1:21" ht="12.75" customHeight="1">
      <c r="A5741" s="393"/>
      <c r="B5741" s="395" t="s">
        <v>226</v>
      </c>
      <c r="C5741" s="396"/>
      <c r="D5741" s="397"/>
      <c r="E5741" s="398"/>
      <c r="F5741" s="399">
        <f>SUM(F5725:F5740)</f>
        <v>0</v>
      </c>
      <c r="H5741" s="426" t="s">
        <v>635</v>
      </c>
      <c r="J5741" s="341"/>
      <c r="L5741" s="380"/>
      <c r="M5741" s="381"/>
      <c r="N5741" s="342"/>
      <c r="R5741" s="341"/>
      <c r="S5741" s="341"/>
    </row>
    <row r="5742" spans="1:21" ht="12.75" customHeight="1">
      <c r="A5742" s="393"/>
      <c r="B5742" s="400" t="s">
        <v>53</v>
      </c>
      <c r="C5742" s="2">
        <f>$D$8</f>
        <v>0</v>
      </c>
      <c r="D5742" s="401"/>
      <c r="E5742" s="402"/>
      <c r="F5742" s="403">
        <f>ROUND(F5741*C5742,2)</f>
        <v>0</v>
      </c>
      <c r="H5742" s="426"/>
      <c r="J5742" s="341"/>
      <c r="L5742" s="380"/>
      <c r="M5742" s="381"/>
      <c r="N5742" s="342"/>
      <c r="R5742" s="341"/>
      <c r="S5742" s="341"/>
    </row>
    <row r="5743" spans="1:21" ht="12.75" customHeight="1">
      <c r="A5743" s="404"/>
      <c r="B5743" s="405" t="s">
        <v>227</v>
      </c>
      <c r="C5743" s="406"/>
      <c r="D5743" s="406"/>
      <c r="E5743" s="407"/>
      <c r="F5743" s="408">
        <f>F5741+F5742</f>
        <v>0</v>
      </c>
      <c r="J5743" s="341"/>
      <c r="L5743" s="380"/>
      <c r="M5743" s="381"/>
      <c r="N5743" s="342"/>
      <c r="R5743" s="341"/>
      <c r="S5743" s="341"/>
    </row>
    <row r="5744" spans="1:21" ht="12.75" customHeight="1">
      <c r="A5744" s="374" t="s">
        <v>2</v>
      </c>
      <c r="B5744" s="375" t="s">
        <v>235</v>
      </c>
      <c r="C5744" s="376" t="s">
        <v>231</v>
      </c>
      <c r="D5744" s="376" t="s">
        <v>232</v>
      </c>
      <c r="E5744" s="377" t="s">
        <v>233</v>
      </c>
      <c r="F5744" s="378" t="s">
        <v>234</v>
      </c>
      <c r="J5744" s="341"/>
      <c r="L5744" s="380"/>
      <c r="M5744" s="381"/>
      <c r="N5744" s="342"/>
      <c r="R5744" s="341"/>
      <c r="S5744" s="341"/>
    </row>
    <row r="5745" spans="1:19" ht="12.75" customHeight="1">
      <c r="A5745" s="393" t="str">
        <f>VII.A!$A$149</f>
        <v>2.7</v>
      </c>
      <c r="B5745" s="423" t="str">
        <f>VLOOKUP(A5745,VII.A!$A$10:$G$199,2,FALSE)</f>
        <v>BETONEIRA, CAPACIDADE NOMINAL DE 400L, MOTOR ELÉTRICO TRIFÁSICO DE  2CV - CHP</v>
      </c>
      <c r="C5745" s="20">
        <v>4.3900000000000002E-2</v>
      </c>
      <c r="D5745" s="384" t="str">
        <f>VLOOKUP(A5745,VII.A!$A$10:$G$199,3,FALSE)</f>
        <v>CHP</v>
      </c>
      <c r="E5745" s="387">
        <f>VLOOKUP(A5745,VII.A!$A$10:$G$199,4,FALSE)</f>
        <v>0</v>
      </c>
      <c r="F5745" s="388">
        <f t="shared" ref="F5745:F5754" si="1471">ROUND(C5745*E5745,2)</f>
        <v>0</v>
      </c>
      <c r="H5745" s="341">
        <f>IF(A5745="","",VLOOKUP(A5745,VII.A!$A$10:$D$199,4,FALSE))</f>
        <v>0</v>
      </c>
      <c r="I5745" s="341" t="str">
        <f t="shared" ref="I5745:I5754" si="1472">IF(A5745="","",IF(E5745=H5745,"SIM","NÃO"))</f>
        <v>SIM</v>
      </c>
      <c r="J5745" s="341" t="str">
        <f>IF(A5745="","",VLOOKUP(A5745,VII.A!$A$10:$D$199,3,FALSE))</f>
        <v>CHP</v>
      </c>
      <c r="K5745" s="342" t="str">
        <f t="shared" ref="K5745:K5754" si="1473">IF(A5745="","",IF(J5745=D5745,"SIM","NÃO"))</f>
        <v>SIM</v>
      </c>
      <c r="L5745" s="380">
        <f>IF(C5745="","",G5723*C5745)</f>
        <v>8.7800000000000011</v>
      </c>
      <c r="M5745" s="381" t="str">
        <f>IF(A5745="","",VLOOKUP(A5745,VII.A!$A$10:$B$199,2,FALSE))</f>
        <v>BETONEIRA, CAPACIDADE NOMINAL DE 400L, MOTOR ELÉTRICO TRIFÁSICO DE  2CV - CHP</v>
      </c>
      <c r="N5745" s="342" t="str">
        <f t="shared" ref="N5745:N5754" si="1474">IF(B5745="","",IF(M5745=B5745,"si","no"))</f>
        <v>si</v>
      </c>
      <c r="R5745" s="341"/>
      <c r="S5745" s="341"/>
    </row>
    <row r="5746" spans="1:19" ht="12.75" customHeight="1">
      <c r="A5746" s="393"/>
      <c r="C5746" s="20"/>
      <c r="E5746" s="387"/>
      <c r="F5746" s="388">
        <f t="shared" si="1471"/>
        <v>0</v>
      </c>
      <c r="H5746" s="341" t="str">
        <f>IF(A5746="","",VLOOKUP(A5746,VII.A!$A$10:$D$199,4,FALSE))</f>
        <v/>
      </c>
      <c r="I5746" s="341" t="str">
        <f t="shared" si="1472"/>
        <v/>
      </c>
      <c r="J5746" s="341" t="str">
        <f>IF(A5746="","",VLOOKUP(A5746,VII.A!$A$10:$D$199,3,FALSE))</f>
        <v/>
      </c>
      <c r="K5746" s="342" t="str">
        <f t="shared" si="1473"/>
        <v/>
      </c>
      <c r="L5746" s="380" t="str">
        <f>IF(C5746="","",G5723*C5746)</f>
        <v/>
      </c>
      <c r="M5746" s="381" t="str">
        <f>IF(A5746="","",VLOOKUP(A5746,VII.A!$A$10:$B$199,2,FALSE))</f>
        <v/>
      </c>
      <c r="N5746" s="342" t="str">
        <f t="shared" si="1474"/>
        <v/>
      </c>
      <c r="R5746" s="341"/>
      <c r="S5746" s="341"/>
    </row>
    <row r="5747" spans="1:19" ht="12.75" customHeight="1">
      <c r="A5747" s="393"/>
      <c r="C5747" s="20"/>
      <c r="E5747" s="387"/>
      <c r="F5747" s="388">
        <f t="shared" si="1471"/>
        <v>0</v>
      </c>
      <c r="H5747" s="341" t="str">
        <f>IF(A5747="","",VLOOKUP(A5747,VII.A!$A$10:$D$199,4,FALSE))</f>
        <v/>
      </c>
      <c r="I5747" s="341" t="str">
        <f t="shared" si="1472"/>
        <v/>
      </c>
      <c r="J5747" s="341" t="str">
        <f>IF(A5747="","",VLOOKUP(A5747,VII.A!$A$10:$D$199,3,FALSE))</f>
        <v/>
      </c>
      <c r="K5747" s="342" t="str">
        <f t="shared" si="1473"/>
        <v/>
      </c>
      <c r="L5747" s="380" t="str">
        <f>IF(C5747="","",G5723*C5747)</f>
        <v/>
      </c>
      <c r="M5747" s="381" t="str">
        <f>IF(A5747="","",VLOOKUP(A5747,VII.A!$A$10:$B$199,2,FALSE))</f>
        <v/>
      </c>
      <c r="N5747" s="342" t="str">
        <f t="shared" si="1474"/>
        <v/>
      </c>
      <c r="R5747" s="341"/>
      <c r="S5747" s="341"/>
    </row>
    <row r="5748" spans="1:19" ht="12.75" customHeight="1">
      <c r="A5748" s="393"/>
      <c r="C5748" s="20"/>
      <c r="E5748" s="387"/>
      <c r="F5748" s="388">
        <f t="shared" si="1471"/>
        <v>0</v>
      </c>
      <c r="H5748" s="341" t="str">
        <f>IF(A5748="","",VLOOKUP(A5748,VII.A!$A$10:$D$199,4,FALSE))</f>
        <v/>
      </c>
      <c r="I5748" s="341" t="str">
        <f t="shared" si="1472"/>
        <v/>
      </c>
      <c r="J5748" s="341" t="str">
        <f>IF(A5748="","",VLOOKUP(A5748,VII.A!$A$10:$D$199,3,FALSE))</f>
        <v/>
      </c>
      <c r="K5748" s="342" t="str">
        <f t="shared" si="1473"/>
        <v/>
      </c>
      <c r="L5748" s="380" t="str">
        <f>IF(C5748="","",G5723*C5748)</f>
        <v/>
      </c>
      <c r="M5748" s="381" t="str">
        <f>IF(A5748="","",VLOOKUP(A5748,VII.A!$A$10:$B$199,2,FALSE))</f>
        <v/>
      </c>
      <c r="N5748" s="342" t="str">
        <f t="shared" si="1474"/>
        <v/>
      </c>
      <c r="R5748" s="341"/>
      <c r="S5748" s="341"/>
    </row>
    <row r="5749" spans="1:19" ht="12.75" customHeight="1">
      <c r="A5749" s="393"/>
      <c r="C5749" s="20"/>
      <c r="E5749" s="387"/>
      <c r="F5749" s="388">
        <f t="shared" si="1471"/>
        <v>0</v>
      </c>
      <c r="G5749" s="390"/>
      <c r="H5749" s="341" t="str">
        <f>IF(A5749="","",VLOOKUP(A5749,VII.A!$A$10:$D$199,4,FALSE))</f>
        <v/>
      </c>
      <c r="I5749" s="341" t="str">
        <f t="shared" si="1472"/>
        <v/>
      </c>
      <c r="J5749" s="341" t="str">
        <f>IF(A5749="","",VLOOKUP(A5749,VII.A!$A$10:$D$199,3,FALSE))</f>
        <v/>
      </c>
      <c r="K5749" s="342" t="str">
        <f t="shared" si="1473"/>
        <v/>
      </c>
      <c r="L5749" s="380" t="str">
        <f>IF(C5749="","",G5723*C5749)</f>
        <v/>
      </c>
      <c r="M5749" s="381" t="str">
        <f>IF(A5749="","",VLOOKUP(A5749,VII.A!$A$10:$B$199,2,FALSE))</f>
        <v/>
      </c>
      <c r="N5749" s="342" t="str">
        <f t="shared" si="1474"/>
        <v/>
      </c>
      <c r="R5749" s="341"/>
      <c r="S5749" s="341"/>
    </row>
    <row r="5750" spans="1:19" ht="12.75" customHeight="1">
      <c r="A5750" s="393"/>
      <c r="C5750" s="20"/>
      <c r="E5750" s="387"/>
      <c r="F5750" s="388">
        <f t="shared" si="1471"/>
        <v>0</v>
      </c>
      <c r="G5750" s="391"/>
      <c r="H5750" s="341" t="str">
        <f>IF(A5750="","",VLOOKUP(A5750,VII.A!$A$10:$D$199,4,FALSE))</f>
        <v/>
      </c>
      <c r="I5750" s="341" t="str">
        <f t="shared" si="1472"/>
        <v/>
      </c>
      <c r="J5750" s="341" t="str">
        <f>IF(A5750="","",VLOOKUP(A5750,VII.A!$A$10:$D$199,3,FALSE))</f>
        <v/>
      </c>
      <c r="K5750" s="342" t="str">
        <f t="shared" si="1473"/>
        <v/>
      </c>
      <c r="L5750" s="380" t="str">
        <f>IF(C5750="","",G5723*C5750)</f>
        <v/>
      </c>
      <c r="M5750" s="381" t="str">
        <f>IF(A5750="","",VLOOKUP(A5750,VII.A!$A$10:$B$199,2,FALSE))</f>
        <v/>
      </c>
      <c r="N5750" s="342" t="str">
        <f t="shared" si="1474"/>
        <v/>
      </c>
      <c r="R5750" s="341"/>
      <c r="S5750" s="341"/>
    </row>
    <row r="5751" spans="1:19" ht="12.75" customHeight="1">
      <c r="A5751" s="393"/>
      <c r="C5751" s="20"/>
      <c r="E5751" s="387"/>
      <c r="F5751" s="388">
        <f t="shared" si="1471"/>
        <v>0</v>
      </c>
      <c r="H5751" s="341" t="str">
        <f>IF(A5751="","",VLOOKUP(A5751,VII.A!$A$10:$D$199,4,FALSE))</f>
        <v/>
      </c>
      <c r="I5751" s="341" t="str">
        <f t="shared" si="1472"/>
        <v/>
      </c>
      <c r="J5751" s="341" t="str">
        <f>IF(A5751="","",VLOOKUP(A5751,VII.A!$A$10:$D$199,3,FALSE))</f>
        <v/>
      </c>
      <c r="K5751" s="342" t="str">
        <f t="shared" si="1473"/>
        <v/>
      </c>
      <c r="L5751" s="380" t="str">
        <f>IF(C5751="","",G5723*C5751)</f>
        <v/>
      </c>
      <c r="M5751" s="381" t="str">
        <f>IF(A5751="","",VLOOKUP(A5751,VII.A!$A$10:$B$199,2,FALSE))</f>
        <v/>
      </c>
      <c r="N5751" s="342" t="str">
        <f t="shared" si="1474"/>
        <v/>
      </c>
      <c r="R5751" s="341"/>
      <c r="S5751" s="341"/>
    </row>
    <row r="5752" spans="1:19" ht="12.75" customHeight="1">
      <c r="A5752" s="393"/>
      <c r="C5752" s="20"/>
      <c r="E5752" s="387"/>
      <c r="F5752" s="388">
        <f t="shared" si="1471"/>
        <v>0</v>
      </c>
      <c r="H5752" s="341" t="str">
        <f>IF(A5752="","",VLOOKUP(A5752,VII.A!$A$10:$D$199,4,FALSE))</f>
        <v/>
      </c>
      <c r="I5752" s="341" t="str">
        <f t="shared" si="1472"/>
        <v/>
      </c>
      <c r="J5752" s="341" t="str">
        <f>IF(A5752="","",VLOOKUP(A5752,VII.A!$A$10:$D$199,3,FALSE))</f>
        <v/>
      </c>
      <c r="K5752" s="342" t="str">
        <f t="shared" si="1473"/>
        <v/>
      </c>
      <c r="L5752" s="380" t="str">
        <f>IF(C5752="","",G5723*C5752)</f>
        <v/>
      </c>
      <c r="M5752" s="381" t="str">
        <f>IF(A5752="","",VLOOKUP(A5752,VII.A!$A$10:$B$199,2,FALSE))</f>
        <v/>
      </c>
      <c r="N5752" s="342" t="str">
        <f t="shared" si="1474"/>
        <v/>
      </c>
      <c r="R5752" s="341"/>
      <c r="S5752" s="341"/>
    </row>
    <row r="5753" spans="1:19" ht="12.75" customHeight="1">
      <c r="A5753" s="393"/>
      <c r="C5753" s="20"/>
      <c r="E5753" s="387"/>
      <c r="F5753" s="388">
        <f t="shared" si="1471"/>
        <v>0</v>
      </c>
      <c r="H5753" s="341" t="str">
        <f>IF(A5753="","",VLOOKUP(A5753,VII.A!$A$10:$D$199,4,FALSE))</f>
        <v/>
      </c>
      <c r="I5753" s="341" t="str">
        <f t="shared" si="1472"/>
        <v/>
      </c>
      <c r="J5753" s="341" t="str">
        <f>IF(A5753="","",VLOOKUP(A5753,VII.A!$A$10:$D$199,3,FALSE))</f>
        <v/>
      </c>
      <c r="K5753" s="342" t="str">
        <f t="shared" si="1473"/>
        <v/>
      </c>
      <c r="L5753" s="380" t="str">
        <f>IF(C5753="","",G5723*C5753)</f>
        <v/>
      </c>
      <c r="M5753" s="381" t="str">
        <f>IF(A5753="","",VLOOKUP(A5753,VII.A!$A$10:$B$199,2,FALSE))</f>
        <v/>
      </c>
      <c r="N5753" s="342" t="str">
        <f t="shared" si="1474"/>
        <v/>
      </c>
      <c r="R5753" s="341"/>
      <c r="S5753" s="341"/>
    </row>
    <row r="5754" spans="1:19" ht="12.75" customHeight="1">
      <c r="A5754" s="393"/>
      <c r="C5754" s="20"/>
      <c r="E5754" s="387"/>
      <c r="F5754" s="388">
        <f t="shared" si="1471"/>
        <v>0</v>
      </c>
      <c r="H5754" s="341" t="str">
        <f>IF(A5754="","",VLOOKUP(A5754,VII.A!$A$10:$D$199,4,FALSE))</f>
        <v/>
      </c>
      <c r="I5754" s="341" t="str">
        <f t="shared" si="1472"/>
        <v/>
      </c>
      <c r="J5754" s="341" t="str">
        <f>IF(A5754="","",VLOOKUP(A5754,VII.A!$A$10:$D$199,3,FALSE))</f>
        <v/>
      </c>
      <c r="K5754" s="342" t="str">
        <f t="shared" si="1473"/>
        <v/>
      </c>
      <c r="L5754" s="380" t="str">
        <f>IF(C5754="","",G5723*C5754)</f>
        <v/>
      </c>
      <c r="M5754" s="381" t="str">
        <f>IF(A5754="","",VLOOKUP(A5754,VII.A!$A$10:$B$199,2,FALSE))</f>
        <v/>
      </c>
      <c r="N5754" s="342" t="str">
        <f t="shared" si="1474"/>
        <v/>
      </c>
      <c r="R5754" s="341"/>
      <c r="S5754" s="341"/>
    </row>
    <row r="5755" spans="1:19" ht="12.75" customHeight="1">
      <c r="A5755" s="393"/>
      <c r="B5755" s="395" t="s">
        <v>226</v>
      </c>
      <c r="C5755" s="396"/>
      <c r="D5755" s="397"/>
      <c r="E5755" s="398"/>
      <c r="F5755" s="399">
        <f>SUM(F5745:F5754)</f>
        <v>0</v>
      </c>
      <c r="J5755" s="341"/>
      <c r="L5755" s="380"/>
      <c r="M5755" s="381"/>
      <c r="N5755" s="342"/>
      <c r="R5755" s="341"/>
      <c r="S5755" s="341"/>
    </row>
    <row r="5756" spans="1:19" ht="12.75" customHeight="1">
      <c r="A5756" s="393"/>
      <c r="B5756" s="400" t="s">
        <v>53</v>
      </c>
      <c r="C5756" s="2">
        <f>$D$8</f>
        <v>0</v>
      </c>
      <c r="D5756" s="401"/>
      <c r="E5756" s="402"/>
      <c r="F5756" s="403">
        <f>ROUND(C5756*F5755,2)</f>
        <v>0</v>
      </c>
      <c r="J5756" s="341"/>
      <c r="L5756" s="380"/>
      <c r="M5756" s="381"/>
      <c r="N5756" s="342"/>
      <c r="R5756" s="341"/>
      <c r="S5756" s="341"/>
    </row>
    <row r="5757" spans="1:19" ht="12.75" customHeight="1">
      <c r="A5757" s="404"/>
      <c r="B5757" s="405" t="s">
        <v>228</v>
      </c>
      <c r="C5757" s="406"/>
      <c r="D5757" s="406"/>
      <c r="E5757" s="407"/>
      <c r="F5757" s="408">
        <f>F5755+F5756</f>
        <v>0</v>
      </c>
      <c r="J5757" s="341"/>
      <c r="L5757" s="380"/>
      <c r="M5757" s="381"/>
      <c r="N5757" s="342"/>
      <c r="R5757" s="341"/>
      <c r="S5757" s="341"/>
    </row>
    <row r="5758" spans="1:19" ht="12.75" customHeight="1">
      <c r="A5758" s="409" t="s">
        <v>47</v>
      </c>
      <c r="B5758" s="410" t="s">
        <v>236</v>
      </c>
      <c r="C5758" s="411" t="s">
        <v>231</v>
      </c>
      <c r="D5758" s="412" t="s">
        <v>232</v>
      </c>
      <c r="E5758" s="413" t="s">
        <v>233</v>
      </c>
      <c r="F5758" s="378" t="s">
        <v>234</v>
      </c>
      <c r="J5758" s="341"/>
      <c r="L5758" s="380"/>
      <c r="M5758" s="381"/>
      <c r="N5758" s="342"/>
      <c r="R5758" s="341"/>
      <c r="S5758" s="341"/>
    </row>
    <row r="5759" spans="1:19" ht="12.75" customHeight="1">
      <c r="A5759" s="393" t="str">
        <f>VII.A!$A$196</f>
        <v>3.16</v>
      </c>
      <c r="B5759" s="423" t="str">
        <f>VLOOKUP(A5759,VII.A!$A$10:$G$199,2,FALSE)</f>
        <v>SERVENTE COM ENCARGOS COMPLEMENTARES</v>
      </c>
      <c r="C5759" s="20">
        <v>1.0714999999999999</v>
      </c>
      <c r="D5759" s="384" t="str">
        <f>VLOOKUP(A5759,VII.A!$A$10:$G$199,3,FALSE)</f>
        <v>H</v>
      </c>
      <c r="E5759" s="387">
        <f>VLOOKUP(A5759,VII.A!$A$10:$G$199,4,FALSE)</f>
        <v>0</v>
      </c>
      <c r="F5759" s="388">
        <f t="shared" ref="F5759:F5765" si="1475">ROUND(C5759*E5759,2)</f>
        <v>0</v>
      </c>
      <c r="H5759" s="341">
        <f>IF(A5759="","",VLOOKUP(A5759,VII.A!$A$10:$D$199,4,FALSE))</f>
        <v>0</v>
      </c>
      <c r="I5759" s="341" t="str">
        <f t="shared" ref="I5759:I5765" si="1476">IF(A5759="","",IF(E5759=H5759,"SIM","NÃO"))</f>
        <v>SIM</v>
      </c>
      <c r="J5759" s="341" t="str">
        <f>IF(A5759="","",VLOOKUP(A5759,VII.A!$A$10:$D$199,3,FALSE))</f>
        <v>H</v>
      </c>
      <c r="K5759" s="342" t="str">
        <f t="shared" ref="K5759:K5765" si="1477">IF(A5759="","",IF(J5759=D5759,"SIM","NÃO"))</f>
        <v>SIM</v>
      </c>
      <c r="L5759" s="380">
        <f>IF(C5759="","",G5723*C5759)</f>
        <v>214.29999999999998</v>
      </c>
      <c r="M5759" s="381" t="str">
        <f>IF(A5759="","",VLOOKUP(A5759,VII.A!$A$10:$B$199,2,FALSE))</f>
        <v>SERVENTE COM ENCARGOS COMPLEMENTARES</v>
      </c>
      <c r="N5759" s="342" t="str">
        <f t="shared" ref="N5759:N5765" si="1478">IF(B5759="","",IF(M5759=B5759,"si","no"))</f>
        <v>si</v>
      </c>
      <c r="R5759" s="341"/>
      <c r="S5759" s="341"/>
    </row>
    <row r="5760" spans="1:19" ht="12.75" customHeight="1">
      <c r="A5760" s="393"/>
      <c r="C5760" s="20"/>
      <c r="E5760" s="387"/>
      <c r="F5760" s="388">
        <f t="shared" si="1475"/>
        <v>0</v>
      </c>
      <c r="H5760" s="341" t="str">
        <f>IF(A5760="","",VLOOKUP(A5760,VII.A!$A$10:$D$199,4,FALSE))</f>
        <v/>
      </c>
      <c r="I5760" s="341" t="str">
        <f t="shared" si="1476"/>
        <v/>
      </c>
      <c r="J5760" s="341" t="str">
        <f>IF(A5760="","",VLOOKUP(A5760,VII.A!$A$10:$D$199,3,FALSE))</f>
        <v/>
      </c>
      <c r="K5760" s="342" t="str">
        <f t="shared" si="1477"/>
        <v/>
      </c>
      <c r="L5760" s="380" t="str">
        <f>IF(C5760="","",G5723*C5760)</f>
        <v/>
      </c>
      <c r="M5760" s="381" t="str">
        <f>IF(A5760="","",VLOOKUP(A5760,VII.A!$A$10:$B$199,2,FALSE))</f>
        <v/>
      </c>
      <c r="N5760" s="342" t="str">
        <f t="shared" si="1478"/>
        <v/>
      </c>
      <c r="R5760" s="341"/>
      <c r="S5760" s="341"/>
    </row>
    <row r="5761" spans="1:25" ht="12.75" customHeight="1">
      <c r="A5761" s="393"/>
      <c r="C5761" s="20"/>
      <c r="E5761" s="387"/>
      <c r="F5761" s="388">
        <f t="shared" si="1475"/>
        <v>0</v>
      </c>
      <c r="H5761" s="341" t="str">
        <f>IF(A5761="","",VLOOKUP(A5761,VII.A!$A$10:$D$199,4,FALSE))</f>
        <v/>
      </c>
      <c r="I5761" s="341" t="str">
        <f t="shared" si="1476"/>
        <v/>
      </c>
      <c r="J5761" s="341" t="str">
        <f>IF(A5761="","",VLOOKUP(A5761,VII.A!$A$10:$D$199,3,FALSE))</f>
        <v/>
      </c>
      <c r="K5761" s="342" t="str">
        <f t="shared" si="1477"/>
        <v/>
      </c>
      <c r="L5761" s="380" t="str">
        <f>IF(C5761="","",G5723*C5761)</f>
        <v/>
      </c>
      <c r="M5761" s="381" t="str">
        <f>IF(A5761="","",VLOOKUP(A5761,VII.A!$A$10:$B$199,2,FALSE))</f>
        <v/>
      </c>
      <c r="N5761" s="342" t="str">
        <f t="shared" si="1478"/>
        <v/>
      </c>
      <c r="R5761" s="341"/>
      <c r="S5761" s="341"/>
    </row>
    <row r="5762" spans="1:25" ht="12.75" customHeight="1">
      <c r="A5762" s="393"/>
      <c r="C5762" s="20"/>
      <c r="E5762" s="387"/>
      <c r="F5762" s="388">
        <f t="shared" si="1475"/>
        <v>0</v>
      </c>
      <c r="H5762" s="341" t="str">
        <f>IF(A5762="","",VLOOKUP(A5762,VII.A!$A$10:$D$199,4,FALSE))</f>
        <v/>
      </c>
      <c r="I5762" s="341" t="str">
        <f t="shared" si="1476"/>
        <v/>
      </c>
      <c r="J5762" s="341" t="str">
        <f>IF(A5762="","",VLOOKUP(A5762,VII.A!$A$10:$D$199,3,FALSE))</f>
        <v/>
      </c>
      <c r="K5762" s="342" t="str">
        <f t="shared" si="1477"/>
        <v/>
      </c>
      <c r="L5762" s="380" t="str">
        <f>IF(C5762="","",G5723*C5762)</f>
        <v/>
      </c>
      <c r="M5762" s="381" t="str">
        <f>IF(A5762="","",VLOOKUP(A5762,VII.A!$A$10:$B$199,2,FALSE))</f>
        <v/>
      </c>
      <c r="N5762" s="342" t="str">
        <f t="shared" si="1478"/>
        <v/>
      </c>
      <c r="R5762" s="341"/>
      <c r="S5762" s="341"/>
    </row>
    <row r="5763" spans="1:25" ht="12.75" customHeight="1">
      <c r="A5763" s="393"/>
      <c r="C5763" s="20"/>
      <c r="E5763" s="387"/>
      <c r="F5763" s="388">
        <f t="shared" si="1475"/>
        <v>0</v>
      </c>
      <c r="H5763" s="341" t="str">
        <f>IF(A5763="","",VLOOKUP(A5763,VII.A!$A$10:$D$199,4,FALSE))</f>
        <v/>
      </c>
      <c r="I5763" s="341" t="str">
        <f t="shared" si="1476"/>
        <v/>
      </c>
      <c r="J5763" s="341" t="str">
        <f>IF(A5763="","",VLOOKUP(A5763,VII.A!$A$10:$D$199,3,FALSE))</f>
        <v/>
      </c>
      <c r="K5763" s="342" t="str">
        <f t="shared" si="1477"/>
        <v/>
      </c>
      <c r="L5763" s="380" t="str">
        <f>IF(C5763="","",G5723*C5763)</f>
        <v/>
      </c>
      <c r="M5763" s="381" t="str">
        <f>IF(A5763="","",VLOOKUP(A5763,VII.A!$A$10:$B$199,2,FALSE))</f>
        <v/>
      </c>
      <c r="N5763" s="342" t="str">
        <f t="shared" si="1478"/>
        <v/>
      </c>
      <c r="R5763" s="341"/>
      <c r="S5763" s="341"/>
    </row>
    <row r="5764" spans="1:25" ht="12.75" customHeight="1">
      <c r="A5764" s="393"/>
      <c r="C5764" s="20"/>
      <c r="E5764" s="387"/>
      <c r="F5764" s="388">
        <f t="shared" si="1475"/>
        <v>0</v>
      </c>
      <c r="H5764" s="341" t="str">
        <f>IF(A5764="","",VLOOKUP(A5764,VII.A!$A$10:$D$199,4,FALSE))</f>
        <v/>
      </c>
      <c r="I5764" s="341" t="str">
        <f t="shared" si="1476"/>
        <v/>
      </c>
      <c r="J5764" s="341" t="str">
        <f>IF(A5764="","",VLOOKUP(A5764,VII.A!$A$10:$D$199,3,FALSE))</f>
        <v/>
      </c>
      <c r="K5764" s="342" t="str">
        <f t="shared" si="1477"/>
        <v/>
      </c>
      <c r="L5764" s="380" t="str">
        <f>IF(C5764="","",G5723*C5764)</f>
        <v/>
      </c>
      <c r="M5764" s="381" t="str">
        <f>IF(A5764="","",VLOOKUP(A5764,VII.A!$A$10:$B$199,2,FALSE))</f>
        <v/>
      </c>
      <c r="N5764" s="342" t="str">
        <f t="shared" si="1478"/>
        <v/>
      </c>
      <c r="R5764" s="341"/>
      <c r="S5764" s="341"/>
    </row>
    <row r="5765" spans="1:25" ht="12.75" customHeight="1">
      <c r="A5765" s="393"/>
      <c r="C5765" s="20"/>
      <c r="E5765" s="387"/>
      <c r="F5765" s="388">
        <f t="shared" si="1475"/>
        <v>0</v>
      </c>
      <c r="H5765" s="341" t="str">
        <f>IF(A5765="","",VLOOKUP(A5765,VII.A!$A$10:$D$199,4,FALSE))</f>
        <v/>
      </c>
      <c r="I5765" s="341" t="str">
        <f t="shared" si="1476"/>
        <v/>
      </c>
      <c r="J5765" s="341" t="str">
        <f>IF(A5765="","",VLOOKUP(A5765,VII.A!$A$10:$D$199,3,FALSE))</f>
        <v/>
      </c>
      <c r="K5765" s="342" t="str">
        <f t="shared" si="1477"/>
        <v/>
      </c>
      <c r="L5765" s="380" t="str">
        <f>IF(C5765="","",G5723*C5765)</f>
        <v/>
      </c>
      <c r="M5765" s="381" t="str">
        <f>IF(A5765="","",VLOOKUP(A5765,VII.A!$A$10:$B$199,2,FALSE))</f>
        <v/>
      </c>
      <c r="N5765" s="342" t="str">
        <f t="shared" si="1478"/>
        <v/>
      </c>
      <c r="R5765" s="341"/>
      <c r="S5765" s="341"/>
    </row>
    <row r="5766" spans="1:25" ht="12.75" customHeight="1">
      <c r="A5766" s="393"/>
      <c r="B5766" s="395" t="s">
        <v>226</v>
      </c>
      <c r="C5766" s="396"/>
      <c r="D5766" s="397"/>
      <c r="E5766" s="398"/>
      <c r="F5766" s="399">
        <f>SUM(F5759:F5765)</f>
        <v>0</v>
      </c>
      <c r="J5766" s="341"/>
      <c r="L5766" s="380"/>
      <c r="M5766" s="381"/>
      <c r="N5766" s="342"/>
      <c r="R5766" s="341"/>
      <c r="S5766" s="341"/>
    </row>
    <row r="5767" spans="1:25" ht="12.75" customHeight="1">
      <c r="A5767" s="393"/>
      <c r="B5767" s="400" t="s">
        <v>229</v>
      </c>
      <c r="C5767" s="2">
        <f>IX.A!$C$45</f>
        <v>0</v>
      </c>
      <c r="D5767" s="401"/>
      <c r="E5767" s="402"/>
      <c r="F5767" s="403">
        <f>ROUND(F5766*C5767,2)</f>
        <v>0</v>
      </c>
      <c r="J5767" s="341"/>
      <c r="L5767" s="380"/>
      <c r="M5767" s="381"/>
      <c r="N5767" s="342"/>
      <c r="R5767" s="341"/>
      <c r="S5767" s="341"/>
    </row>
    <row r="5768" spans="1:25" ht="12.75" customHeight="1">
      <c r="A5768" s="393"/>
      <c r="B5768" s="400" t="s">
        <v>53</v>
      </c>
      <c r="C5768" s="2">
        <f>$D$8</f>
        <v>0</v>
      </c>
      <c r="D5768" s="401"/>
      <c r="E5768" s="402"/>
      <c r="F5768" s="403">
        <f>ROUND(SUM(F5766:F5767)*C5768,2)</f>
        <v>0</v>
      </c>
      <c r="J5768" s="341"/>
      <c r="L5768" s="380"/>
      <c r="M5768" s="381"/>
      <c r="N5768" s="342"/>
      <c r="R5768" s="341"/>
      <c r="S5768" s="341"/>
    </row>
    <row r="5769" spans="1:25" ht="12.75" customHeight="1" thickBot="1">
      <c r="A5769" s="414"/>
      <c r="B5769" s="415" t="s">
        <v>230</v>
      </c>
      <c r="C5769" s="416"/>
      <c r="D5769" s="416"/>
      <c r="E5769" s="417"/>
      <c r="F5769" s="418">
        <f>SUM(F5766:F5768)</f>
        <v>0</v>
      </c>
      <c r="J5769" s="341"/>
      <c r="L5769" s="380"/>
      <c r="M5769" s="381"/>
      <c r="N5769" s="342"/>
      <c r="R5769" s="341"/>
      <c r="S5769" s="341"/>
    </row>
    <row r="5770" spans="1:25" ht="12.75" customHeight="1" thickBot="1">
      <c r="A5770" s="427"/>
      <c r="B5770" s="428"/>
      <c r="C5770" s="429"/>
      <c r="D5770" s="429"/>
      <c r="E5770" s="430"/>
      <c r="F5770" s="431"/>
      <c r="J5770" s="341"/>
      <c r="L5770" s="380"/>
      <c r="M5770" s="381"/>
      <c r="N5770" s="342"/>
      <c r="R5770" s="341"/>
      <c r="S5770" s="341"/>
    </row>
    <row r="5771" spans="1:25" ht="30" customHeight="1">
      <c r="A5771" s="370" t="str">
        <f>IV.A!A169</f>
        <v>7.13</v>
      </c>
      <c r="B5771" s="371" t="str">
        <f>IV.A!B169</f>
        <v>CIMBRAMENTO DE MADEIRA</v>
      </c>
      <c r="C5771" s="871" t="s">
        <v>237</v>
      </c>
      <c r="D5771" s="872"/>
      <c r="E5771" s="372" t="str">
        <f>IV.A!C169</f>
        <v>M3</v>
      </c>
      <c r="F5771" s="11">
        <f>ROUND(F5791+F5805+F5817,2)</f>
        <v>0</v>
      </c>
      <c r="G5771" s="1">
        <f>VLOOKUP(A5771,IV.A!$A$16:$L$172,4,FALSE)</f>
        <v>35</v>
      </c>
      <c r="H5771" s="361">
        <f>SUM(F5773:F5788)+F5790</f>
        <v>0</v>
      </c>
      <c r="I5771" s="361">
        <f>SUM(F5793:F5802)+F5804</f>
        <v>0</v>
      </c>
      <c r="J5771" s="361">
        <f>SUM(F5807:F5813)+F5815+F5816</f>
        <v>0</v>
      </c>
      <c r="K5771" s="361">
        <f>SUM(H5771:J5771)</f>
        <v>0</v>
      </c>
      <c r="L5771" s="362" t="str">
        <f>IF(K5771=F5771,"SIM","NÃO")</f>
        <v>SIM</v>
      </c>
      <c r="M5771" s="373">
        <f>ROUND(SUM(F5773:F5788),2)+ROUND(SUM(F5773:F5788)*C5790,2)+ROUND(SUM(F5793:F5802)*C5804,2)+ROUND(SUM(F5793:F5802),2)+ROUND(SUM(F5807:F5813)*C5815,2)+ROUND((SUM(F5807:F5813)+ROUND(SUM(F5807:F5813)*C5815,2))*C5816,2)+ROUND(SUM(F5807:F5813),2)</f>
        <v>0</v>
      </c>
      <c r="N5771" s="343" t="str">
        <f>IF(M5771=F5771,"SIM","NÃO")</f>
        <v>SIM</v>
      </c>
      <c r="O5771" s="364" t="str">
        <f>VLOOKUP(A5771,IV.A!$A$16:$E$172,3,FALSE)</f>
        <v>M3</v>
      </c>
      <c r="P5771" s="344" t="str">
        <f>IF(O5771=E5771,"SIM","NÃO")</f>
        <v>SIM</v>
      </c>
      <c r="Q5771" s="365">
        <f>ROUND(G5771*F5791,2)+ROUND(G5771*F5805,2)+ROUND(G5771*F5817,2)</f>
        <v>0</v>
      </c>
      <c r="R5771" s="364">
        <f>VLOOKUP(A5771,IV.A!$A$16:$L$172,12,FALSE)</f>
        <v>0</v>
      </c>
      <c r="S5771" s="366" t="str">
        <f>IF(Q5771=R5771,"si","no")</f>
        <v>si</v>
      </c>
      <c r="T5771" s="367">
        <f>SUM(L5773:L5788)+SUM(L5793:L5802)+SUM(L5807:L5813)</f>
        <v>129.14895000000001</v>
      </c>
      <c r="U5771" s="341">
        <f>(SUM(C5773:C5788)+SUM(C5793:C5802)+SUM(C5807:C5813))*G5771</f>
        <v>129.14895000000001</v>
      </c>
      <c r="V5771" s="368" t="str">
        <f>IF(T5771=U5771,"si","no")</f>
        <v>si</v>
      </c>
      <c r="W5771" s="369">
        <f>SUM(F5773:F5788)</f>
        <v>0</v>
      </c>
      <c r="X5771" s="369">
        <f>SUM(F5793:F5802)</f>
        <v>0</v>
      </c>
      <c r="Y5771" s="369">
        <f>SUM(F5807:F5813)</f>
        <v>0</v>
      </c>
    </row>
    <row r="5772" spans="1:25" ht="12.75" customHeight="1">
      <c r="A5772" s="374" t="s">
        <v>14</v>
      </c>
      <c r="B5772" s="375" t="s">
        <v>132</v>
      </c>
      <c r="C5772" s="376" t="s">
        <v>231</v>
      </c>
      <c r="D5772" s="376" t="s">
        <v>232</v>
      </c>
      <c r="E5772" s="377" t="s">
        <v>233</v>
      </c>
      <c r="F5772" s="378" t="s">
        <v>234</v>
      </c>
      <c r="G5772" s="379"/>
      <c r="J5772" s="341"/>
      <c r="L5772" s="380"/>
      <c r="M5772" s="381"/>
      <c r="N5772" s="342"/>
      <c r="O5772" s="382"/>
      <c r="P5772" s="383"/>
      <c r="Q5772" s="383"/>
      <c r="R5772" s="383"/>
      <c r="S5772" s="383"/>
      <c r="T5772" s="382"/>
      <c r="U5772" s="341"/>
      <c r="V5772" s="384"/>
      <c r="W5772" s="384"/>
      <c r="X5772" s="384"/>
      <c r="Y5772" s="384"/>
    </row>
    <row r="5773" spans="1:25" ht="12.75" customHeight="1">
      <c r="A5773" s="385" t="str">
        <f>VII.A!$A$79</f>
        <v>1.70</v>
      </c>
      <c r="B5773" s="423" t="str">
        <f>VLOOKUP(A5773,VII.A!$A$10:$G$199,2,FALSE)</f>
        <v>PONTALETE DE MADEIRA NAO APARELHADA - 7,5 X 7,5 CM (3 X 3 ")</v>
      </c>
      <c r="C5773" s="20">
        <v>0.83179999999999998</v>
      </c>
      <c r="D5773" s="384" t="str">
        <f>VLOOKUP(A5773,VII.A!$A$10:$G$199,3,FALSE)</f>
        <v>M</v>
      </c>
      <c r="E5773" s="387">
        <f>VLOOKUP(A5773,VII.A!$A$10:$G$199,4,FALSE)</f>
        <v>0</v>
      </c>
      <c r="F5773" s="388">
        <f>ROUND(C5773*E5773,2)</f>
        <v>0</v>
      </c>
      <c r="H5773" s="341">
        <f>IF(A5773="","",VLOOKUP(A5773,VII.A!$A$10:$D$199,4,FALSE))</f>
        <v>0</v>
      </c>
      <c r="I5773" s="341" t="str">
        <f t="shared" ref="I5773:I5788" si="1479">IF(A5773="","",IF(E5773=H5773,"SIM","NÃO"))</f>
        <v>SIM</v>
      </c>
      <c r="J5773" s="341" t="str">
        <f>IF(A5773="","",VLOOKUP(A5773,VII.A!$A$10:$D$199,3,FALSE))</f>
        <v>M</v>
      </c>
      <c r="K5773" s="342" t="str">
        <f t="shared" ref="K5773:K5788" si="1480">IF(A5773="","",IF(J5773=D5773,"SIM","NÃO"))</f>
        <v>SIM</v>
      </c>
      <c r="L5773" s="380">
        <f>IF(C5773="","",G5771*C5773)</f>
        <v>29.113</v>
      </c>
      <c r="M5773" s="381" t="str">
        <f>IF(A5773="","",VLOOKUP(A5773,VII.A!$A$10:$B$199,2,FALSE))</f>
        <v>PONTALETE DE MADEIRA NAO APARELHADA - 7,5 X 7,5 CM (3 X 3 ")</v>
      </c>
      <c r="N5773" s="342" t="str">
        <f t="shared" ref="N5773:N5788" si="1481">IF(B5773="","",IF(M5773=B5773,"si","no"))</f>
        <v>si</v>
      </c>
      <c r="R5773" s="341"/>
      <c r="S5773" s="341"/>
    </row>
    <row r="5774" spans="1:25" ht="12.75" customHeight="1">
      <c r="A5774" s="385" t="str">
        <f>VII.A!$A$101</f>
        <v>1.91</v>
      </c>
      <c r="B5774" s="423" t="str">
        <f>VLOOKUP(A5774,VII.A!$A$10:$G$199,2,FALSE)</f>
        <v>TÁBUA MADEIRA 3A QUALIDADE 2,5 X 30CM (1X12") NÃO APARELHADA</v>
      </c>
      <c r="C5774" s="20">
        <v>5.2170000000000001E-2</v>
      </c>
      <c r="D5774" s="384" t="str">
        <f>VLOOKUP(A5774,VII.A!$A$10:$G$199,3,FALSE)</f>
        <v>M</v>
      </c>
      <c r="E5774" s="387">
        <f>VLOOKUP(A5774,VII.A!$A$10:$G$199,4,FALSE)</f>
        <v>0</v>
      </c>
      <c r="F5774" s="388">
        <f t="shared" ref="F5774:F5788" si="1482">ROUND(C5774*E5774,2)</f>
        <v>0</v>
      </c>
      <c r="H5774" s="341">
        <f>IF(A5774="","",VLOOKUP(A5774,VII.A!$A$10:$D$199,4,FALSE))</f>
        <v>0</v>
      </c>
      <c r="I5774" s="341" t="str">
        <f t="shared" si="1479"/>
        <v>SIM</v>
      </c>
      <c r="J5774" s="341" t="str">
        <f>IF(A5774="","",VLOOKUP(A5774,VII.A!$A$10:$D$199,3,FALSE))</f>
        <v>M</v>
      </c>
      <c r="K5774" s="342" t="str">
        <f t="shared" si="1480"/>
        <v>SIM</v>
      </c>
      <c r="L5774" s="380">
        <f>IF(C5774="","",G5771*C5774)</f>
        <v>1.82595</v>
      </c>
      <c r="M5774" s="381" t="str">
        <f>IF(A5774="","",VLOOKUP(A5774,VII.A!$A$10:$B$199,2,FALSE))</f>
        <v>TÁBUA MADEIRA 3A QUALIDADE 2,5 X 30CM (1X12") NÃO APARELHADA</v>
      </c>
      <c r="N5774" s="342" t="str">
        <f t="shared" si="1481"/>
        <v>si</v>
      </c>
      <c r="R5774" s="341"/>
      <c r="S5774" s="341"/>
    </row>
    <row r="5775" spans="1:25" ht="12.75" customHeight="1">
      <c r="A5775" s="385" t="str">
        <f>VII.A!$A$90</f>
        <v>1.80</v>
      </c>
      <c r="B5775" s="423" t="str">
        <f>VLOOKUP(A5775,VII.A!$A$10:$G$199,2,FALSE)</f>
        <v>PREGO EM AÇO POLIDO COM CABEÇA (MEDIA DAS BITOLAS)</v>
      </c>
      <c r="C5775" s="20">
        <v>0.2</v>
      </c>
      <c r="D5775" s="384" t="str">
        <f>VLOOKUP(A5775,VII.A!$A$10:$G$199,3,FALSE)</f>
        <v>KG</v>
      </c>
      <c r="E5775" s="387">
        <f>VLOOKUP(A5775,VII.A!$A$10:$G$199,4,FALSE)</f>
        <v>0</v>
      </c>
      <c r="F5775" s="388">
        <f t="shared" si="1482"/>
        <v>0</v>
      </c>
      <c r="H5775" s="341">
        <f>IF(A5775="","",VLOOKUP(A5775,VII.A!$A$10:$D$199,4,FALSE))</f>
        <v>0</v>
      </c>
      <c r="I5775" s="341" t="str">
        <f t="shared" si="1479"/>
        <v>SIM</v>
      </c>
      <c r="J5775" s="341" t="str">
        <f>IF(A5775="","",VLOOKUP(A5775,VII.A!$A$10:$D$199,3,FALSE))</f>
        <v>KG</v>
      </c>
      <c r="K5775" s="342" t="str">
        <f t="shared" si="1480"/>
        <v>SIM</v>
      </c>
      <c r="L5775" s="380">
        <f>IF(C5775="","",G5771*C5775)</f>
        <v>7</v>
      </c>
      <c r="M5775" s="381" t="str">
        <f>IF(A5775="","",VLOOKUP(A5775,VII.A!$A$10:$B$199,2,FALSE))</f>
        <v>PREGO EM AÇO POLIDO COM CABEÇA (MEDIA DAS BITOLAS)</v>
      </c>
      <c r="N5775" s="342" t="str">
        <f t="shared" si="1481"/>
        <v>si</v>
      </c>
      <c r="R5775" s="341"/>
      <c r="S5775" s="341"/>
    </row>
    <row r="5776" spans="1:25" ht="12.75" customHeight="1">
      <c r="A5776" s="385" t="str">
        <f>VII.A!$A$97</f>
        <v>1.87</v>
      </c>
      <c r="B5776" s="423" t="str">
        <f>VLOOKUP(A5776,VII.A!$A$10:$G$199,2,FALSE)</f>
        <v xml:space="preserve">SARRAFO 3A. CONSTRUÇÃO (SEÇÃO TRANSVERSAL: 1X4" - 2,5CM X 10,0CM) </v>
      </c>
      <c r="C5776" s="20">
        <v>0.60599999999999998</v>
      </c>
      <c r="D5776" s="384" t="str">
        <f>VLOOKUP(A5776,VII.A!$A$10:$G$199,3,FALSE)</f>
        <v>M</v>
      </c>
      <c r="E5776" s="387">
        <f>VLOOKUP(A5776,VII.A!$A$10:$G$199,4,FALSE)</f>
        <v>0</v>
      </c>
      <c r="F5776" s="388">
        <f t="shared" si="1482"/>
        <v>0</v>
      </c>
      <c r="H5776" s="341">
        <f>IF(A5776="","",VLOOKUP(A5776,VII.A!$A$10:$D$199,4,FALSE))</f>
        <v>0</v>
      </c>
      <c r="I5776" s="341" t="str">
        <f t="shared" si="1479"/>
        <v>SIM</v>
      </c>
      <c r="J5776" s="341" t="str">
        <f>IF(A5776="","",VLOOKUP(A5776,VII.A!$A$10:$D$199,3,FALSE))</f>
        <v>M</v>
      </c>
      <c r="K5776" s="342" t="str">
        <f t="shared" si="1480"/>
        <v>SIM</v>
      </c>
      <c r="L5776" s="380">
        <f>IF(C5776="","",G5771*C5776)</f>
        <v>21.21</v>
      </c>
      <c r="M5776" s="381" t="str">
        <f>IF(A5776="","",VLOOKUP(A5776,VII.A!$A$10:$B$199,2,FALSE))</f>
        <v xml:space="preserve">SARRAFO 3A. CONSTRUÇÃO (SEÇÃO TRANSVERSAL: 1X4" - 2,5CM X 10,0CM) </v>
      </c>
      <c r="N5776" s="342" t="str">
        <f t="shared" si="1481"/>
        <v>si</v>
      </c>
      <c r="R5776" s="341"/>
      <c r="S5776" s="341"/>
    </row>
    <row r="5777" spans="1:21" ht="12.75" customHeight="1">
      <c r="A5777" s="385"/>
      <c r="B5777" s="386"/>
      <c r="C5777" s="20"/>
      <c r="D5777" s="342"/>
      <c r="E5777" s="387"/>
      <c r="F5777" s="388">
        <f t="shared" si="1482"/>
        <v>0</v>
      </c>
      <c r="H5777" s="341" t="str">
        <f>IF(A5777="","",VLOOKUP(A5777,VII.A!$A$10:$D$199,4,FALSE))</f>
        <v/>
      </c>
      <c r="I5777" s="341" t="str">
        <f t="shared" si="1479"/>
        <v/>
      </c>
      <c r="J5777" s="341" t="str">
        <f>IF(A5777="","",VLOOKUP(A5777,VII.A!$A$10:$D$199,3,FALSE))</f>
        <v/>
      </c>
      <c r="K5777" s="342" t="str">
        <f t="shared" si="1480"/>
        <v/>
      </c>
      <c r="L5777" s="380" t="str">
        <f>IF(C5777="","",G5771*C5777)</f>
        <v/>
      </c>
      <c r="M5777" s="381" t="str">
        <f>IF(A5777="","",VLOOKUP(A5777,VII.A!$A$10:$B$199,2,FALSE))</f>
        <v/>
      </c>
      <c r="N5777" s="342" t="str">
        <f t="shared" si="1481"/>
        <v/>
      </c>
      <c r="R5777" s="341"/>
      <c r="S5777" s="341"/>
    </row>
    <row r="5778" spans="1:21" ht="12.75" customHeight="1">
      <c r="A5778" s="385"/>
      <c r="B5778" s="386"/>
      <c r="C5778" s="20"/>
      <c r="D5778" s="342"/>
      <c r="E5778" s="387"/>
      <c r="F5778" s="388">
        <f t="shared" si="1482"/>
        <v>0</v>
      </c>
      <c r="H5778" s="341" t="str">
        <f>IF(A5778="","",VLOOKUP(A5778,VII.A!$A$10:$D$199,4,FALSE))</f>
        <v/>
      </c>
      <c r="I5778" s="341" t="str">
        <f t="shared" si="1479"/>
        <v/>
      </c>
      <c r="J5778" s="341" t="str">
        <f>IF(A5778="","",VLOOKUP(A5778,VII.A!$A$10:$D$199,3,FALSE))</f>
        <v/>
      </c>
      <c r="K5778" s="342" t="str">
        <f t="shared" si="1480"/>
        <v/>
      </c>
      <c r="L5778" s="380" t="str">
        <f>IF(C5778="","",G5771*C5778)</f>
        <v/>
      </c>
      <c r="M5778" s="381" t="str">
        <f>IF(A5778="","",VLOOKUP(A5778,VII.A!$A$10:$B$199,2,FALSE))</f>
        <v/>
      </c>
      <c r="N5778" s="342" t="str">
        <f t="shared" si="1481"/>
        <v/>
      </c>
      <c r="R5778" s="341"/>
      <c r="S5778" s="341"/>
      <c r="U5778" s="389"/>
    </row>
    <row r="5779" spans="1:21" ht="12.75" customHeight="1">
      <c r="A5779" s="385"/>
      <c r="B5779" s="386"/>
      <c r="C5779" s="20"/>
      <c r="D5779" s="342"/>
      <c r="E5779" s="387"/>
      <c r="F5779" s="388">
        <f t="shared" si="1482"/>
        <v>0</v>
      </c>
      <c r="H5779" s="341" t="str">
        <f>IF(A5779="","",VLOOKUP(A5779,VII.A!$A$10:$D$199,4,FALSE))</f>
        <v/>
      </c>
      <c r="I5779" s="341" t="str">
        <f t="shared" si="1479"/>
        <v/>
      </c>
      <c r="J5779" s="341" t="str">
        <f>IF(A5779="","",VLOOKUP(A5779,VII.A!$A$10:$D$199,3,FALSE))</f>
        <v/>
      </c>
      <c r="K5779" s="342" t="str">
        <f t="shared" si="1480"/>
        <v/>
      </c>
      <c r="L5779" s="380" t="str">
        <f>IF(C5779="","",G5771*C5779)</f>
        <v/>
      </c>
      <c r="M5779" s="381" t="str">
        <f>IF(A5779="","",VLOOKUP(A5779,VII.A!$A$10:$B$199,2,FALSE))</f>
        <v/>
      </c>
      <c r="N5779" s="342" t="str">
        <f t="shared" si="1481"/>
        <v/>
      </c>
      <c r="R5779" s="341"/>
      <c r="S5779" s="341"/>
    </row>
    <row r="5780" spans="1:21" ht="12.75" customHeight="1">
      <c r="A5780" s="385"/>
      <c r="B5780" s="386"/>
      <c r="C5780" s="20"/>
      <c r="D5780" s="342"/>
      <c r="E5780" s="387"/>
      <c r="F5780" s="388">
        <f t="shared" si="1482"/>
        <v>0</v>
      </c>
      <c r="G5780" s="390"/>
      <c r="H5780" s="341" t="str">
        <f>IF(A5780="","",VLOOKUP(A5780,VII.A!$A$10:$D$199,4,FALSE))</f>
        <v/>
      </c>
      <c r="I5780" s="341" t="str">
        <f t="shared" si="1479"/>
        <v/>
      </c>
      <c r="J5780" s="341" t="str">
        <f>IF(A5780="","",VLOOKUP(A5780,VII.A!$A$10:$D$199,3,FALSE))</f>
        <v/>
      </c>
      <c r="K5780" s="342" t="str">
        <f t="shared" si="1480"/>
        <v/>
      </c>
      <c r="L5780" s="380" t="str">
        <f>IF(C5780="","",G5771*C5780)</f>
        <v/>
      </c>
      <c r="M5780" s="381" t="str">
        <f>IF(A5780="","",VLOOKUP(A5780,VII.A!$A$10:$B$199,2,FALSE))</f>
        <v/>
      </c>
      <c r="N5780" s="342" t="str">
        <f t="shared" si="1481"/>
        <v/>
      </c>
      <c r="R5780" s="341"/>
      <c r="S5780" s="341"/>
    </row>
    <row r="5781" spans="1:21" ht="12.75" customHeight="1">
      <c r="A5781" s="385"/>
      <c r="B5781" s="386"/>
      <c r="C5781" s="20"/>
      <c r="D5781" s="342"/>
      <c r="E5781" s="387"/>
      <c r="F5781" s="388">
        <f t="shared" si="1482"/>
        <v>0</v>
      </c>
      <c r="G5781" s="390"/>
      <c r="H5781" s="341" t="str">
        <f>IF(A5781="","",VLOOKUP(A5781,VII.A!$A$10:$D$199,4,FALSE))</f>
        <v/>
      </c>
      <c r="I5781" s="341" t="str">
        <f t="shared" si="1479"/>
        <v/>
      </c>
      <c r="J5781" s="341" t="str">
        <f>IF(A5781="","",VLOOKUP(A5781,VII.A!$A$10:$D$199,3,FALSE))</f>
        <v/>
      </c>
      <c r="K5781" s="342" t="str">
        <f t="shared" si="1480"/>
        <v/>
      </c>
      <c r="L5781" s="380" t="str">
        <f>IF(C5781="","",G5771*C5781)</f>
        <v/>
      </c>
      <c r="M5781" s="381" t="str">
        <f>IF(A5781="","",VLOOKUP(A5781,VII.A!$A$10:$B$199,2,FALSE))</f>
        <v/>
      </c>
      <c r="N5781" s="342" t="str">
        <f t="shared" si="1481"/>
        <v/>
      </c>
      <c r="R5781" s="341"/>
      <c r="S5781" s="341"/>
    </row>
    <row r="5782" spans="1:21" ht="12.75" customHeight="1">
      <c r="A5782" s="385"/>
      <c r="B5782" s="386"/>
      <c r="C5782" s="20"/>
      <c r="D5782" s="342"/>
      <c r="E5782" s="387"/>
      <c r="F5782" s="388">
        <f t="shared" si="1482"/>
        <v>0</v>
      </c>
      <c r="G5782" s="391"/>
      <c r="H5782" s="341" t="str">
        <f>IF(A5782="","",VLOOKUP(A5782,VII.A!$A$10:$D$199,4,FALSE))</f>
        <v/>
      </c>
      <c r="I5782" s="341" t="str">
        <f t="shared" si="1479"/>
        <v/>
      </c>
      <c r="J5782" s="341" t="str">
        <f>IF(A5782="","",VLOOKUP(A5782,VII.A!$A$10:$D$199,3,FALSE))</f>
        <v/>
      </c>
      <c r="K5782" s="342" t="str">
        <f t="shared" si="1480"/>
        <v/>
      </c>
      <c r="L5782" s="380" t="str">
        <f>IF(C5782="","",G5771*C5782)</f>
        <v/>
      </c>
      <c r="M5782" s="381" t="str">
        <f>IF(A5782="","",VLOOKUP(A5782,VII.A!$A$10:$B$199,2,FALSE))</f>
        <v/>
      </c>
      <c r="N5782" s="342" t="str">
        <f t="shared" si="1481"/>
        <v/>
      </c>
      <c r="R5782" s="341"/>
      <c r="S5782" s="341"/>
    </row>
    <row r="5783" spans="1:21" ht="12.75" customHeight="1">
      <c r="A5783" s="385"/>
      <c r="B5783" s="386"/>
      <c r="C5783" s="20"/>
      <c r="D5783" s="342"/>
      <c r="E5783" s="387"/>
      <c r="F5783" s="388">
        <f t="shared" si="1482"/>
        <v>0</v>
      </c>
      <c r="H5783" s="341" t="str">
        <f>IF(A5783="","",VLOOKUP(A5783,VII.A!$A$10:$D$199,4,FALSE))</f>
        <v/>
      </c>
      <c r="I5783" s="341" t="str">
        <f t="shared" si="1479"/>
        <v/>
      </c>
      <c r="J5783" s="341" t="str">
        <f>IF(A5783="","",VLOOKUP(A5783,VII.A!$A$10:$D$199,3,FALSE))</f>
        <v/>
      </c>
      <c r="K5783" s="342" t="str">
        <f t="shared" si="1480"/>
        <v/>
      </c>
      <c r="L5783" s="380" t="str">
        <f>IF(C5783="","",G5771*C5783)</f>
        <v/>
      </c>
      <c r="M5783" s="381" t="str">
        <f>IF(A5783="","",VLOOKUP(A5783,VII.A!$A$10:$B$199,2,FALSE))</f>
        <v/>
      </c>
      <c r="N5783" s="342" t="str">
        <f t="shared" si="1481"/>
        <v/>
      </c>
      <c r="R5783" s="341"/>
      <c r="S5783" s="341"/>
    </row>
    <row r="5784" spans="1:21" ht="12.75" customHeight="1">
      <c r="A5784" s="385"/>
      <c r="B5784" s="386"/>
      <c r="C5784" s="20"/>
      <c r="D5784" s="392"/>
      <c r="E5784" s="387"/>
      <c r="F5784" s="388">
        <f t="shared" si="1482"/>
        <v>0</v>
      </c>
      <c r="H5784" s="341" t="str">
        <f>IF(A5784="","",VLOOKUP(A5784,VII.A!$A$10:$D$199,4,FALSE))</f>
        <v/>
      </c>
      <c r="I5784" s="341" t="str">
        <f t="shared" si="1479"/>
        <v/>
      </c>
      <c r="J5784" s="341" t="str">
        <f>IF(A5784="","",VLOOKUP(A5784,VII.A!$A$10:$D$199,3,FALSE))</f>
        <v/>
      </c>
      <c r="K5784" s="342" t="str">
        <f t="shared" si="1480"/>
        <v/>
      </c>
      <c r="L5784" s="380" t="str">
        <f>IF(C5784="","",G5771*C5784)</f>
        <v/>
      </c>
      <c r="M5784" s="381" t="str">
        <f>IF(A5784="","",VLOOKUP(A5784,VII.A!$A$10:$B$199,2,FALSE))</f>
        <v/>
      </c>
      <c r="N5784" s="342" t="str">
        <f t="shared" si="1481"/>
        <v/>
      </c>
      <c r="R5784" s="341"/>
      <c r="S5784" s="341"/>
    </row>
    <row r="5785" spans="1:21" ht="12.75" customHeight="1">
      <c r="A5785" s="385"/>
      <c r="B5785" s="386"/>
      <c r="C5785" s="20"/>
      <c r="D5785" s="392"/>
      <c r="E5785" s="387"/>
      <c r="F5785" s="388">
        <f t="shared" si="1482"/>
        <v>0</v>
      </c>
      <c r="H5785" s="341" t="str">
        <f>IF(A5785="","",VLOOKUP(A5785,VII.A!$A$10:$D$199,4,FALSE))</f>
        <v/>
      </c>
      <c r="I5785" s="341" t="str">
        <f t="shared" si="1479"/>
        <v/>
      </c>
      <c r="J5785" s="341" t="str">
        <f>IF(A5785="","",VLOOKUP(A5785,VII.A!$A$10:$D$199,3,FALSE))</f>
        <v/>
      </c>
      <c r="K5785" s="342" t="str">
        <f t="shared" si="1480"/>
        <v/>
      </c>
      <c r="L5785" s="380" t="str">
        <f>IF(C5785="","",G5771*C5785)</f>
        <v/>
      </c>
      <c r="M5785" s="381" t="str">
        <f>IF(A5785="","",VLOOKUP(A5785,VII.A!$A$10:$B$199,2,FALSE))</f>
        <v/>
      </c>
      <c r="N5785" s="342" t="str">
        <f t="shared" si="1481"/>
        <v/>
      </c>
      <c r="O5785" s="342"/>
      <c r="R5785" s="341"/>
      <c r="S5785" s="341"/>
    </row>
    <row r="5786" spans="1:21" ht="12.75" customHeight="1">
      <c r="A5786" s="385"/>
      <c r="B5786" s="386"/>
      <c r="C5786" s="20"/>
      <c r="D5786" s="392"/>
      <c r="E5786" s="387"/>
      <c r="F5786" s="388">
        <f t="shared" si="1482"/>
        <v>0</v>
      </c>
      <c r="H5786" s="341" t="str">
        <f>IF(A5786="","",VLOOKUP(A5786,VII.A!$A$10:$D$199,4,FALSE))</f>
        <v/>
      </c>
      <c r="I5786" s="341" t="str">
        <f t="shared" si="1479"/>
        <v/>
      </c>
      <c r="J5786" s="341" t="str">
        <f>IF(A5786="","",VLOOKUP(A5786,VII.A!$A$10:$D$199,3,FALSE))</f>
        <v/>
      </c>
      <c r="K5786" s="342" t="str">
        <f t="shared" si="1480"/>
        <v/>
      </c>
      <c r="L5786" s="380" t="str">
        <f>IF(C5786="","",G5771*C5786)</f>
        <v/>
      </c>
      <c r="M5786" s="381" t="str">
        <f>IF(A5786="","",VLOOKUP(A5786,VII.A!$A$10:$B$199,2,FALSE))</f>
        <v/>
      </c>
      <c r="N5786" s="342" t="str">
        <f t="shared" si="1481"/>
        <v/>
      </c>
      <c r="R5786" s="341"/>
      <c r="S5786" s="341"/>
    </row>
    <row r="5787" spans="1:21" ht="12.75" customHeight="1">
      <c r="A5787" s="393"/>
      <c r="C5787" s="20"/>
      <c r="E5787" s="387"/>
      <c r="F5787" s="388">
        <f t="shared" si="1482"/>
        <v>0</v>
      </c>
      <c r="H5787" s="341" t="str">
        <f>IF(A5787="","",VLOOKUP(A5787,VII.A!$A$10:$D$199,4,FALSE))</f>
        <v/>
      </c>
      <c r="I5787" s="341" t="str">
        <f t="shared" si="1479"/>
        <v/>
      </c>
      <c r="J5787" s="341" t="str">
        <f>IF(A5787="","",VLOOKUP(A5787,VII.A!$A$10:$D$199,3,FALSE))</f>
        <v/>
      </c>
      <c r="K5787" s="342" t="str">
        <f t="shared" si="1480"/>
        <v/>
      </c>
      <c r="L5787" s="380" t="str">
        <f>IF(C5787="","",G5771*C5787)</f>
        <v/>
      </c>
      <c r="M5787" s="381" t="str">
        <f>IF(A5787="","",VLOOKUP(A5787,VII.A!$A$10:$B$199,2,FALSE))</f>
        <v/>
      </c>
      <c r="N5787" s="342" t="str">
        <f t="shared" si="1481"/>
        <v/>
      </c>
      <c r="R5787" s="341"/>
      <c r="S5787" s="341"/>
    </row>
    <row r="5788" spans="1:21" ht="12.75" customHeight="1">
      <c r="A5788" s="393"/>
      <c r="C5788" s="20"/>
      <c r="E5788" s="387"/>
      <c r="F5788" s="388">
        <f t="shared" si="1482"/>
        <v>0</v>
      </c>
      <c r="H5788" s="341" t="str">
        <f>IF(A5788="","",VLOOKUP(A5788,VII.A!$A$10:$D$199,4,FALSE))</f>
        <v/>
      </c>
      <c r="I5788" s="341" t="str">
        <f t="shared" si="1479"/>
        <v/>
      </c>
      <c r="J5788" s="341" t="str">
        <f>IF(A5788="","",VLOOKUP(A5788,VII.A!$A$10:$D$199,3,FALSE))</f>
        <v/>
      </c>
      <c r="K5788" s="342" t="str">
        <f t="shared" si="1480"/>
        <v/>
      </c>
      <c r="L5788" s="380" t="str">
        <f>IF(C5788="","",G5771*C5788)</f>
        <v/>
      </c>
      <c r="M5788" s="381" t="str">
        <f>IF(A5788="","",VLOOKUP(A5788,VII.A!$A$10:$B$199,2,FALSE))</f>
        <v/>
      </c>
      <c r="N5788" s="342" t="str">
        <f t="shared" si="1481"/>
        <v/>
      </c>
      <c r="R5788" s="341"/>
      <c r="S5788" s="341"/>
    </row>
    <row r="5789" spans="1:21" ht="12.75" customHeight="1">
      <c r="A5789" s="393"/>
      <c r="B5789" s="395" t="s">
        <v>226</v>
      </c>
      <c r="C5789" s="396"/>
      <c r="D5789" s="397"/>
      <c r="E5789" s="398"/>
      <c r="F5789" s="399">
        <f>SUM(F5773:F5788)</f>
        <v>0</v>
      </c>
      <c r="H5789" s="426" t="s">
        <v>636</v>
      </c>
      <c r="J5789" s="341"/>
      <c r="L5789" s="380"/>
      <c r="M5789" s="381"/>
      <c r="N5789" s="342"/>
      <c r="R5789" s="341"/>
      <c r="S5789" s="341"/>
    </row>
    <row r="5790" spans="1:21" ht="12.75" customHeight="1">
      <c r="A5790" s="393"/>
      <c r="B5790" s="400" t="s">
        <v>53</v>
      </c>
      <c r="C5790" s="2">
        <f>$D$8</f>
        <v>0</v>
      </c>
      <c r="D5790" s="401"/>
      <c r="E5790" s="402"/>
      <c r="F5790" s="403">
        <f>ROUND(F5789*C5790,2)</f>
        <v>0</v>
      </c>
      <c r="H5790" s="426"/>
      <c r="J5790" s="341"/>
      <c r="L5790" s="380"/>
      <c r="M5790" s="381"/>
      <c r="N5790" s="342"/>
      <c r="R5790" s="341"/>
      <c r="S5790" s="341"/>
    </row>
    <row r="5791" spans="1:21" ht="12.75" customHeight="1">
      <c r="A5791" s="404"/>
      <c r="B5791" s="405" t="s">
        <v>227</v>
      </c>
      <c r="C5791" s="406"/>
      <c r="D5791" s="406"/>
      <c r="E5791" s="407"/>
      <c r="F5791" s="408">
        <f>F5789+F5790</f>
        <v>0</v>
      </c>
      <c r="J5791" s="341"/>
      <c r="L5791" s="380"/>
      <c r="M5791" s="381"/>
      <c r="N5791" s="342"/>
      <c r="R5791" s="341"/>
      <c r="S5791" s="341"/>
    </row>
    <row r="5792" spans="1:21" ht="12.75" customHeight="1">
      <c r="A5792" s="374" t="s">
        <v>2</v>
      </c>
      <c r="B5792" s="375" t="s">
        <v>235</v>
      </c>
      <c r="C5792" s="376" t="s">
        <v>231</v>
      </c>
      <c r="D5792" s="376" t="s">
        <v>232</v>
      </c>
      <c r="E5792" s="377" t="s">
        <v>233</v>
      </c>
      <c r="F5792" s="378" t="s">
        <v>234</v>
      </c>
      <c r="J5792" s="341"/>
      <c r="L5792" s="380"/>
      <c r="M5792" s="381"/>
      <c r="N5792" s="342"/>
      <c r="R5792" s="341"/>
      <c r="S5792" s="341"/>
    </row>
    <row r="5793" spans="1:19" ht="12.75" customHeight="1">
      <c r="A5793" s="393"/>
      <c r="B5793" s="423"/>
      <c r="C5793" s="20"/>
      <c r="E5793" s="387"/>
      <c r="F5793" s="388">
        <f t="shared" ref="F5793:F5802" si="1483">ROUND(C5793*E5793,2)</f>
        <v>0</v>
      </c>
      <c r="H5793" s="341" t="str">
        <f>IF(A5793="","",VLOOKUP(A5793,VII.A!$A$10:$D$199,4,FALSE))</f>
        <v/>
      </c>
      <c r="I5793" s="341" t="str">
        <f t="shared" ref="I5793:I5802" si="1484">IF(A5793="","",IF(E5793=H5793,"SIM","NÃO"))</f>
        <v/>
      </c>
      <c r="J5793" s="341" t="str">
        <f>IF(A5793="","",VLOOKUP(A5793,VII.A!$A$10:$D$199,3,FALSE))</f>
        <v/>
      </c>
      <c r="K5793" s="342" t="str">
        <f t="shared" ref="K5793:K5802" si="1485">IF(A5793="","",IF(J5793=D5793,"SIM","NÃO"))</f>
        <v/>
      </c>
      <c r="L5793" s="380" t="str">
        <f>IF(C5793="","",G5771*C5793)</f>
        <v/>
      </c>
      <c r="M5793" s="381" t="str">
        <f>IF(A5793="","",VLOOKUP(A5793,VII.A!$A$10:$B$199,2,FALSE))</f>
        <v/>
      </c>
      <c r="N5793" s="342" t="str">
        <f t="shared" ref="N5793:N5802" si="1486">IF(B5793="","",IF(M5793=B5793,"si","no"))</f>
        <v/>
      </c>
      <c r="R5793" s="341"/>
      <c r="S5793" s="341"/>
    </row>
    <row r="5794" spans="1:19" ht="12.75" customHeight="1">
      <c r="A5794" s="393"/>
      <c r="C5794" s="20"/>
      <c r="E5794" s="387"/>
      <c r="F5794" s="388">
        <f t="shared" si="1483"/>
        <v>0</v>
      </c>
      <c r="H5794" s="341" t="str">
        <f>IF(A5794="","",VLOOKUP(A5794,VII.A!$A$10:$D$199,4,FALSE))</f>
        <v/>
      </c>
      <c r="I5794" s="341" t="str">
        <f t="shared" si="1484"/>
        <v/>
      </c>
      <c r="J5794" s="341" t="str">
        <f>IF(A5794="","",VLOOKUP(A5794,VII.A!$A$10:$D$199,3,FALSE))</f>
        <v/>
      </c>
      <c r="K5794" s="342" t="str">
        <f t="shared" si="1485"/>
        <v/>
      </c>
      <c r="L5794" s="380" t="str">
        <f>IF(C5794="","",G5771*C5794)</f>
        <v/>
      </c>
      <c r="M5794" s="381" t="str">
        <f>IF(A5794="","",VLOOKUP(A5794,VII.A!$A$10:$B$199,2,FALSE))</f>
        <v/>
      </c>
      <c r="N5794" s="342" t="str">
        <f t="shared" si="1486"/>
        <v/>
      </c>
      <c r="R5794" s="341"/>
      <c r="S5794" s="341"/>
    </row>
    <row r="5795" spans="1:19" ht="12.75" customHeight="1">
      <c r="A5795" s="393"/>
      <c r="C5795" s="20"/>
      <c r="E5795" s="387"/>
      <c r="F5795" s="388">
        <f t="shared" si="1483"/>
        <v>0</v>
      </c>
      <c r="H5795" s="341" t="str">
        <f>IF(A5795="","",VLOOKUP(A5795,VII.A!$A$10:$D$199,4,FALSE))</f>
        <v/>
      </c>
      <c r="I5795" s="341" t="str">
        <f t="shared" si="1484"/>
        <v/>
      </c>
      <c r="J5795" s="341" t="str">
        <f>IF(A5795="","",VLOOKUP(A5795,VII.A!$A$10:$D$199,3,FALSE))</f>
        <v/>
      </c>
      <c r="K5795" s="342" t="str">
        <f t="shared" si="1485"/>
        <v/>
      </c>
      <c r="L5795" s="380" t="str">
        <f>IF(C5795="","",G5771*C5795)</f>
        <v/>
      </c>
      <c r="M5795" s="381" t="str">
        <f>IF(A5795="","",VLOOKUP(A5795,VII.A!$A$10:$B$199,2,FALSE))</f>
        <v/>
      </c>
      <c r="N5795" s="342" t="str">
        <f t="shared" si="1486"/>
        <v/>
      </c>
      <c r="R5795" s="341"/>
      <c r="S5795" s="341"/>
    </row>
    <row r="5796" spans="1:19" ht="12.75" customHeight="1">
      <c r="A5796" s="393"/>
      <c r="C5796" s="20"/>
      <c r="E5796" s="387"/>
      <c r="F5796" s="388">
        <f t="shared" si="1483"/>
        <v>0</v>
      </c>
      <c r="H5796" s="341" t="str">
        <f>IF(A5796="","",VLOOKUP(A5796,VII.A!$A$10:$D$199,4,FALSE))</f>
        <v/>
      </c>
      <c r="I5796" s="341" t="str">
        <f t="shared" si="1484"/>
        <v/>
      </c>
      <c r="J5796" s="341" t="str">
        <f>IF(A5796="","",VLOOKUP(A5796,VII.A!$A$10:$D$199,3,FALSE))</f>
        <v/>
      </c>
      <c r="K5796" s="342" t="str">
        <f t="shared" si="1485"/>
        <v/>
      </c>
      <c r="L5796" s="380" t="str">
        <f>IF(C5796="","",G5771*C5796)</f>
        <v/>
      </c>
      <c r="M5796" s="381" t="str">
        <f>IF(A5796="","",VLOOKUP(A5796,VII.A!$A$10:$B$199,2,FALSE))</f>
        <v/>
      </c>
      <c r="N5796" s="342" t="str">
        <f t="shared" si="1486"/>
        <v/>
      </c>
      <c r="R5796" s="341"/>
      <c r="S5796" s="341"/>
    </row>
    <row r="5797" spans="1:19" ht="12.75" customHeight="1">
      <c r="A5797" s="393"/>
      <c r="C5797" s="20"/>
      <c r="E5797" s="387"/>
      <c r="F5797" s="388">
        <f t="shared" si="1483"/>
        <v>0</v>
      </c>
      <c r="G5797" s="390"/>
      <c r="H5797" s="341" t="str">
        <f>IF(A5797="","",VLOOKUP(A5797,VII.A!$A$10:$D$199,4,FALSE))</f>
        <v/>
      </c>
      <c r="I5797" s="341" t="str">
        <f t="shared" si="1484"/>
        <v/>
      </c>
      <c r="J5797" s="341" t="str">
        <f>IF(A5797="","",VLOOKUP(A5797,VII.A!$A$10:$D$199,3,FALSE))</f>
        <v/>
      </c>
      <c r="K5797" s="342" t="str">
        <f t="shared" si="1485"/>
        <v/>
      </c>
      <c r="L5797" s="380" t="str">
        <f>IF(C5797="","",G5771*C5797)</f>
        <v/>
      </c>
      <c r="M5797" s="381" t="str">
        <f>IF(A5797="","",VLOOKUP(A5797,VII.A!$A$10:$B$199,2,FALSE))</f>
        <v/>
      </c>
      <c r="N5797" s="342" t="str">
        <f t="shared" si="1486"/>
        <v/>
      </c>
      <c r="R5797" s="341"/>
      <c r="S5797" s="341"/>
    </row>
    <row r="5798" spans="1:19" ht="12.75" customHeight="1">
      <c r="A5798" s="393"/>
      <c r="C5798" s="20"/>
      <c r="E5798" s="387"/>
      <c r="F5798" s="388">
        <f t="shared" si="1483"/>
        <v>0</v>
      </c>
      <c r="G5798" s="391"/>
      <c r="H5798" s="341" t="str">
        <f>IF(A5798="","",VLOOKUP(A5798,VII.A!$A$10:$D$199,4,FALSE))</f>
        <v/>
      </c>
      <c r="I5798" s="341" t="str">
        <f t="shared" si="1484"/>
        <v/>
      </c>
      <c r="J5798" s="341" t="str">
        <f>IF(A5798="","",VLOOKUP(A5798,VII.A!$A$10:$D$199,3,FALSE))</f>
        <v/>
      </c>
      <c r="K5798" s="342" t="str">
        <f t="shared" si="1485"/>
        <v/>
      </c>
      <c r="L5798" s="380" t="str">
        <f>IF(C5798="","",G5771*C5798)</f>
        <v/>
      </c>
      <c r="M5798" s="381" t="str">
        <f>IF(A5798="","",VLOOKUP(A5798,VII.A!$A$10:$B$199,2,FALSE))</f>
        <v/>
      </c>
      <c r="N5798" s="342" t="str">
        <f t="shared" si="1486"/>
        <v/>
      </c>
      <c r="R5798" s="341"/>
      <c r="S5798" s="341"/>
    </row>
    <row r="5799" spans="1:19" ht="12.75" customHeight="1">
      <c r="A5799" s="393"/>
      <c r="C5799" s="20"/>
      <c r="E5799" s="387"/>
      <c r="F5799" s="388">
        <f t="shared" si="1483"/>
        <v>0</v>
      </c>
      <c r="H5799" s="341" t="str">
        <f>IF(A5799="","",VLOOKUP(A5799,VII.A!$A$10:$D$199,4,FALSE))</f>
        <v/>
      </c>
      <c r="I5799" s="341" t="str">
        <f t="shared" si="1484"/>
        <v/>
      </c>
      <c r="J5799" s="341" t="str">
        <f>IF(A5799="","",VLOOKUP(A5799,VII.A!$A$10:$D$199,3,FALSE))</f>
        <v/>
      </c>
      <c r="K5799" s="342" t="str">
        <f t="shared" si="1485"/>
        <v/>
      </c>
      <c r="L5799" s="380" t="str">
        <f>IF(C5799="","",G5771*C5799)</f>
        <v/>
      </c>
      <c r="M5799" s="381" t="str">
        <f>IF(A5799="","",VLOOKUP(A5799,VII.A!$A$10:$B$199,2,FALSE))</f>
        <v/>
      </c>
      <c r="N5799" s="342" t="str">
        <f t="shared" si="1486"/>
        <v/>
      </c>
      <c r="R5799" s="341"/>
      <c r="S5799" s="341"/>
    </row>
    <row r="5800" spans="1:19" ht="12.75" customHeight="1">
      <c r="A5800" s="393"/>
      <c r="C5800" s="20"/>
      <c r="E5800" s="387"/>
      <c r="F5800" s="388">
        <f t="shared" si="1483"/>
        <v>0</v>
      </c>
      <c r="H5800" s="341" t="str">
        <f>IF(A5800="","",VLOOKUP(A5800,VII.A!$A$10:$D$199,4,FALSE))</f>
        <v/>
      </c>
      <c r="I5800" s="341" t="str">
        <f t="shared" si="1484"/>
        <v/>
      </c>
      <c r="J5800" s="341" t="str">
        <f>IF(A5800="","",VLOOKUP(A5800,VII.A!$A$10:$D$199,3,FALSE))</f>
        <v/>
      </c>
      <c r="K5800" s="342" t="str">
        <f t="shared" si="1485"/>
        <v/>
      </c>
      <c r="L5800" s="380" t="str">
        <f>IF(C5800="","",G5771*C5800)</f>
        <v/>
      </c>
      <c r="M5800" s="381" t="str">
        <f>IF(A5800="","",VLOOKUP(A5800,VII.A!$A$10:$B$199,2,FALSE))</f>
        <v/>
      </c>
      <c r="N5800" s="342" t="str">
        <f t="shared" si="1486"/>
        <v/>
      </c>
      <c r="R5800" s="341"/>
      <c r="S5800" s="341"/>
    </row>
    <row r="5801" spans="1:19" ht="12.75" customHeight="1">
      <c r="A5801" s="393"/>
      <c r="C5801" s="20"/>
      <c r="E5801" s="387"/>
      <c r="F5801" s="388">
        <f t="shared" si="1483"/>
        <v>0</v>
      </c>
      <c r="H5801" s="341" t="str">
        <f>IF(A5801="","",VLOOKUP(A5801,VII.A!$A$10:$D$199,4,FALSE))</f>
        <v/>
      </c>
      <c r="I5801" s="341" t="str">
        <f t="shared" si="1484"/>
        <v/>
      </c>
      <c r="J5801" s="341" t="str">
        <f>IF(A5801="","",VLOOKUP(A5801,VII.A!$A$10:$D$199,3,FALSE))</f>
        <v/>
      </c>
      <c r="K5801" s="342" t="str">
        <f t="shared" si="1485"/>
        <v/>
      </c>
      <c r="L5801" s="380" t="str">
        <f>IF(C5801="","",G5771*C5801)</f>
        <v/>
      </c>
      <c r="M5801" s="381" t="str">
        <f>IF(A5801="","",VLOOKUP(A5801,VII.A!$A$10:$B$199,2,FALSE))</f>
        <v/>
      </c>
      <c r="N5801" s="342" t="str">
        <f t="shared" si="1486"/>
        <v/>
      </c>
      <c r="R5801" s="341"/>
      <c r="S5801" s="341"/>
    </row>
    <row r="5802" spans="1:19" ht="12.75" customHeight="1">
      <c r="A5802" s="393"/>
      <c r="C5802" s="20"/>
      <c r="E5802" s="387"/>
      <c r="F5802" s="388">
        <f t="shared" si="1483"/>
        <v>0</v>
      </c>
      <c r="H5802" s="341" t="str">
        <f>IF(A5802="","",VLOOKUP(A5802,VII.A!$A$10:$D$199,4,FALSE))</f>
        <v/>
      </c>
      <c r="I5802" s="341" t="str">
        <f t="shared" si="1484"/>
        <v/>
      </c>
      <c r="J5802" s="341" t="str">
        <f>IF(A5802="","",VLOOKUP(A5802,VII.A!$A$10:$D$199,3,FALSE))</f>
        <v/>
      </c>
      <c r="K5802" s="342" t="str">
        <f t="shared" si="1485"/>
        <v/>
      </c>
      <c r="L5802" s="380" t="str">
        <f>IF(C5802="","",G5771*C5802)</f>
        <v/>
      </c>
      <c r="M5802" s="381" t="str">
        <f>IF(A5802="","",VLOOKUP(A5802,VII.A!$A$10:$B$199,2,FALSE))</f>
        <v/>
      </c>
      <c r="N5802" s="342" t="str">
        <f t="shared" si="1486"/>
        <v/>
      </c>
      <c r="R5802" s="341"/>
      <c r="S5802" s="341"/>
    </row>
    <row r="5803" spans="1:19" ht="12.75" customHeight="1">
      <c r="A5803" s="393"/>
      <c r="B5803" s="395" t="s">
        <v>226</v>
      </c>
      <c r="C5803" s="396"/>
      <c r="D5803" s="397"/>
      <c r="E5803" s="398"/>
      <c r="F5803" s="399">
        <f>SUM(F5793:F5802)</f>
        <v>0</v>
      </c>
      <c r="J5803" s="341"/>
      <c r="L5803" s="380"/>
      <c r="M5803" s="381"/>
      <c r="N5803" s="342"/>
      <c r="R5803" s="341"/>
      <c r="S5803" s="341"/>
    </row>
    <row r="5804" spans="1:19" ht="12.75" customHeight="1">
      <c r="A5804" s="393"/>
      <c r="B5804" s="400" t="s">
        <v>53</v>
      </c>
      <c r="C5804" s="2">
        <f>$D$8</f>
        <v>0</v>
      </c>
      <c r="D5804" s="401"/>
      <c r="E5804" s="402"/>
      <c r="F5804" s="403">
        <f>ROUND(C5804*F5803,2)</f>
        <v>0</v>
      </c>
      <c r="J5804" s="341"/>
      <c r="L5804" s="380"/>
      <c r="M5804" s="381"/>
      <c r="N5804" s="342"/>
      <c r="R5804" s="341"/>
      <c r="S5804" s="341"/>
    </row>
    <row r="5805" spans="1:19" ht="12.75" customHeight="1">
      <c r="A5805" s="404"/>
      <c r="B5805" s="405" t="s">
        <v>228</v>
      </c>
      <c r="C5805" s="406"/>
      <c r="D5805" s="406"/>
      <c r="E5805" s="407"/>
      <c r="F5805" s="408">
        <f>F5803+F5804</f>
        <v>0</v>
      </c>
      <c r="J5805" s="341"/>
      <c r="L5805" s="380"/>
      <c r="M5805" s="381"/>
      <c r="N5805" s="342"/>
      <c r="R5805" s="341"/>
      <c r="S5805" s="341"/>
    </row>
    <row r="5806" spans="1:19" ht="12.75" customHeight="1">
      <c r="A5806" s="409" t="s">
        <v>47</v>
      </c>
      <c r="B5806" s="410" t="s">
        <v>236</v>
      </c>
      <c r="C5806" s="411" t="s">
        <v>231</v>
      </c>
      <c r="D5806" s="412" t="s">
        <v>232</v>
      </c>
      <c r="E5806" s="413" t="s">
        <v>233</v>
      </c>
      <c r="F5806" s="378" t="s">
        <v>234</v>
      </c>
      <c r="J5806" s="341"/>
      <c r="L5806" s="380"/>
      <c r="M5806" s="381"/>
      <c r="N5806" s="342"/>
      <c r="R5806" s="341"/>
      <c r="S5806" s="341"/>
    </row>
    <row r="5807" spans="1:19" ht="12.75" customHeight="1">
      <c r="A5807" s="393" t="str">
        <f>VII.A!$A$183</f>
        <v>3.3</v>
      </c>
      <c r="B5807" s="423" t="str">
        <f>VLOOKUP(A5807,VII.A!$A$10:$G$199,2,FALSE)</f>
        <v>AJUDANTE DE CARPINTEIRO</v>
      </c>
      <c r="C5807" s="20">
        <v>1</v>
      </c>
      <c r="D5807" s="384" t="str">
        <f>VLOOKUP(A5807,VII.A!$A$10:$G$199,3,FALSE)</f>
        <v>H</v>
      </c>
      <c r="E5807" s="387">
        <f>VLOOKUP(A5807,VII.A!$A$10:$G$199,4,FALSE)</f>
        <v>0</v>
      </c>
      <c r="F5807" s="388">
        <f t="shared" ref="F5807:F5813" si="1487">ROUND(C5807*E5807,2)</f>
        <v>0</v>
      </c>
      <c r="H5807" s="341">
        <f>IF(A5807="","",VLOOKUP(A5807,VII.A!$A$10:$D$199,4,FALSE))</f>
        <v>0</v>
      </c>
      <c r="I5807" s="341" t="str">
        <f t="shared" ref="I5807:I5813" si="1488">IF(A5807="","",IF(E5807=H5807,"SIM","NÃO"))</f>
        <v>SIM</v>
      </c>
      <c r="J5807" s="341" t="str">
        <f>IF(A5807="","",VLOOKUP(A5807,VII.A!$A$10:$D$199,3,FALSE))</f>
        <v>H</v>
      </c>
      <c r="K5807" s="342" t="str">
        <f t="shared" ref="K5807:K5813" si="1489">IF(A5807="","",IF(J5807=D5807,"SIM","NÃO"))</f>
        <v>SIM</v>
      </c>
      <c r="L5807" s="380">
        <f>IF(C5807="","",G5771*C5807)</f>
        <v>35</v>
      </c>
      <c r="M5807" s="381" t="str">
        <f>IF(A5807="","",VLOOKUP(A5807,VII.A!$A$10:$B$199,2,FALSE))</f>
        <v>AJUDANTE DE CARPINTEIRO</v>
      </c>
      <c r="N5807" s="342" t="str">
        <f t="shared" ref="N5807:N5813" si="1490">IF(B5807="","",IF(M5807=B5807,"si","no"))</f>
        <v>si</v>
      </c>
      <c r="R5807" s="341"/>
      <c r="S5807" s="341"/>
    </row>
    <row r="5808" spans="1:19" ht="12.75" customHeight="1">
      <c r="A5808" s="393" t="str">
        <f>VII.A!$A$186</f>
        <v>3.6</v>
      </c>
      <c r="B5808" s="423" t="str">
        <f>VLOOKUP(A5808,VII.A!$A$10:$G$199,2,FALSE)</f>
        <v>CARPINTEIRO COM ENCARGOS COMPLEMENTARES</v>
      </c>
      <c r="C5808" s="20">
        <v>1</v>
      </c>
      <c r="D5808" s="384" t="str">
        <f>VLOOKUP(A5808,VII.A!$A$10:$G$199,3,FALSE)</f>
        <v>H</v>
      </c>
      <c r="E5808" s="387">
        <f>VLOOKUP(A5808,VII.A!$A$10:$G$199,4,FALSE)</f>
        <v>0</v>
      </c>
      <c r="F5808" s="388">
        <f>ROUND(C5808*E5808,2)</f>
        <v>0</v>
      </c>
      <c r="H5808" s="341">
        <f>IF(A5808="","",VLOOKUP(A5808,VII.A!$A$10:$D$199,4,FALSE))</f>
        <v>0</v>
      </c>
      <c r="I5808" s="341" t="str">
        <f>IF(A5808="","",IF(E5808=H5808,"SIM","NÃO"))</f>
        <v>SIM</v>
      </c>
      <c r="J5808" s="341" t="str">
        <f>IF(A5808="","",VLOOKUP(A5808,VII.A!$A$10:$D$199,3,FALSE))</f>
        <v>H</v>
      </c>
      <c r="K5808" s="342" t="str">
        <f>IF(A5808="","",IF(J5808=D5808,"SIM","NÃO"))</f>
        <v>SIM</v>
      </c>
      <c r="L5808" s="380">
        <f>IF(C5808="","",G5771*C5808)</f>
        <v>35</v>
      </c>
      <c r="M5808" s="381" t="str">
        <f>IF(A5808="","",VLOOKUP(A5808,VII.A!$A$10:$B$199,2,FALSE))</f>
        <v>CARPINTEIRO COM ENCARGOS COMPLEMENTARES</v>
      </c>
      <c r="N5808" s="342" t="str">
        <f>IF(B5808="","",IF(M5808=B5808,"si","no"))</f>
        <v>si</v>
      </c>
      <c r="R5808" s="341"/>
      <c r="S5808" s="341"/>
    </row>
    <row r="5809" spans="1:25" ht="12.75" customHeight="1">
      <c r="A5809" s="393"/>
      <c r="C5809" s="20"/>
      <c r="E5809" s="387"/>
      <c r="F5809" s="388">
        <f t="shared" si="1487"/>
        <v>0</v>
      </c>
      <c r="H5809" s="341" t="str">
        <f>IF(A5809="","",VLOOKUP(A5809,VII.A!$A$10:$D$199,4,FALSE))</f>
        <v/>
      </c>
      <c r="I5809" s="341" t="str">
        <f t="shared" si="1488"/>
        <v/>
      </c>
      <c r="J5809" s="341" t="str">
        <f>IF(A5809="","",VLOOKUP(A5809,VII.A!$A$10:$D$199,3,FALSE))</f>
        <v/>
      </c>
      <c r="K5809" s="342" t="str">
        <f t="shared" si="1489"/>
        <v/>
      </c>
      <c r="L5809" s="380" t="str">
        <f>IF(C5809="","",G5771*C5809)</f>
        <v/>
      </c>
      <c r="M5809" s="381" t="str">
        <f>IF(A5809="","",VLOOKUP(A5809,VII.A!$A$10:$B$199,2,FALSE))</f>
        <v/>
      </c>
      <c r="N5809" s="342" t="str">
        <f t="shared" si="1490"/>
        <v/>
      </c>
      <c r="R5809" s="341"/>
      <c r="S5809" s="341"/>
    </row>
    <row r="5810" spans="1:25" ht="12.75" customHeight="1">
      <c r="A5810" s="393"/>
      <c r="C5810" s="20"/>
      <c r="E5810" s="387"/>
      <c r="F5810" s="388">
        <f t="shared" si="1487"/>
        <v>0</v>
      </c>
      <c r="H5810" s="341" t="str">
        <f>IF(A5810="","",VLOOKUP(A5810,VII.A!$A$10:$D$199,4,FALSE))</f>
        <v/>
      </c>
      <c r="I5810" s="341" t="str">
        <f t="shared" si="1488"/>
        <v/>
      </c>
      <c r="J5810" s="341" t="str">
        <f>IF(A5810="","",VLOOKUP(A5810,VII.A!$A$10:$D$199,3,FALSE))</f>
        <v/>
      </c>
      <c r="K5810" s="342" t="str">
        <f t="shared" si="1489"/>
        <v/>
      </c>
      <c r="L5810" s="380" t="str">
        <f>IF(C5810="","",G5771*C5810)</f>
        <v/>
      </c>
      <c r="M5810" s="381" t="str">
        <f>IF(A5810="","",VLOOKUP(A5810,VII.A!$A$10:$B$199,2,FALSE))</f>
        <v/>
      </c>
      <c r="N5810" s="342" t="str">
        <f t="shared" si="1490"/>
        <v/>
      </c>
      <c r="R5810" s="341"/>
      <c r="S5810" s="341"/>
    </row>
    <row r="5811" spans="1:25" ht="12.75" customHeight="1">
      <c r="A5811" s="393"/>
      <c r="C5811" s="20"/>
      <c r="E5811" s="387"/>
      <c r="F5811" s="388">
        <f t="shared" si="1487"/>
        <v>0</v>
      </c>
      <c r="H5811" s="341" t="str">
        <f>IF(A5811="","",VLOOKUP(A5811,VII.A!$A$10:$D$199,4,FALSE))</f>
        <v/>
      </c>
      <c r="I5811" s="341" t="str">
        <f t="shared" si="1488"/>
        <v/>
      </c>
      <c r="J5811" s="341" t="str">
        <f>IF(A5811="","",VLOOKUP(A5811,VII.A!$A$10:$D$199,3,FALSE))</f>
        <v/>
      </c>
      <c r="K5811" s="342" t="str">
        <f t="shared" si="1489"/>
        <v/>
      </c>
      <c r="L5811" s="380" t="str">
        <f>IF(C5811="","",G5771*C5811)</f>
        <v/>
      </c>
      <c r="M5811" s="381" t="str">
        <f>IF(A5811="","",VLOOKUP(A5811,VII.A!$A$10:$B$199,2,FALSE))</f>
        <v/>
      </c>
      <c r="N5811" s="342" t="str">
        <f t="shared" si="1490"/>
        <v/>
      </c>
      <c r="R5811" s="341"/>
      <c r="S5811" s="341"/>
    </row>
    <row r="5812" spans="1:25" ht="12.75" customHeight="1">
      <c r="A5812" s="393"/>
      <c r="C5812" s="20"/>
      <c r="E5812" s="387"/>
      <c r="F5812" s="388">
        <f t="shared" si="1487"/>
        <v>0</v>
      </c>
      <c r="H5812" s="341" t="str">
        <f>IF(A5812="","",VLOOKUP(A5812,VII.A!$A$10:$D$199,4,FALSE))</f>
        <v/>
      </c>
      <c r="I5812" s="341" t="str">
        <f t="shared" si="1488"/>
        <v/>
      </c>
      <c r="J5812" s="341" t="str">
        <f>IF(A5812="","",VLOOKUP(A5812,VII.A!$A$10:$D$199,3,FALSE))</f>
        <v/>
      </c>
      <c r="K5812" s="342" t="str">
        <f t="shared" si="1489"/>
        <v/>
      </c>
      <c r="L5812" s="380" t="str">
        <f>IF(C5812="","",G5771*C5812)</f>
        <v/>
      </c>
      <c r="M5812" s="381" t="str">
        <f>IF(A5812="","",VLOOKUP(A5812,VII.A!$A$10:$B$199,2,FALSE))</f>
        <v/>
      </c>
      <c r="N5812" s="342" t="str">
        <f t="shared" si="1490"/>
        <v/>
      </c>
      <c r="R5812" s="341"/>
      <c r="S5812" s="341"/>
    </row>
    <row r="5813" spans="1:25" ht="12.75" customHeight="1">
      <c r="A5813" s="393"/>
      <c r="C5813" s="20"/>
      <c r="E5813" s="387"/>
      <c r="F5813" s="388">
        <f t="shared" si="1487"/>
        <v>0</v>
      </c>
      <c r="H5813" s="341" t="str">
        <f>IF(A5813="","",VLOOKUP(A5813,VII.A!$A$10:$D$199,4,FALSE))</f>
        <v/>
      </c>
      <c r="I5813" s="341" t="str">
        <f t="shared" si="1488"/>
        <v/>
      </c>
      <c r="J5813" s="341" t="str">
        <f>IF(A5813="","",VLOOKUP(A5813,VII.A!$A$10:$D$199,3,FALSE))</f>
        <v/>
      </c>
      <c r="K5813" s="342" t="str">
        <f t="shared" si="1489"/>
        <v/>
      </c>
      <c r="L5813" s="380" t="str">
        <f>IF(C5813="","",G5771*C5813)</f>
        <v/>
      </c>
      <c r="M5813" s="381" t="str">
        <f>IF(A5813="","",VLOOKUP(A5813,VII.A!$A$10:$B$199,2,FALSE))</f>
        <v/>
      </c>
      <c r="N5813" s="342" t="str">
        <f t="shared" si="1490"/>
        <v/>
      </c>
      <c r="R5813" s="341"/>
      <c r="S5813" s="341"/>
    </row>
    <row r="5814" spans="1:25" ht="12.75" customHeight="1">
      <c r="A5814" s="393"/>
      <c r="B5814" s="395" t="s">
        <v>226</v>
      </c>
      <c r="C5814" s="396"/>
      <c r="D5814" s="397"/>
      <c r="E5814" s="398"/>
      <c r="F5814" s="399">
        <f>SUM(F5807:F5813)</f>
        <v>0</v>
      </c>
      <c r="J5814" s="341"/>
      <c r="L5814" s="380"/>
      <c r="M5814" s="381"/>
      <c r="N5814" s="342"/>
      <c r="R5814" s="341"/>
      <c r="S5814" s="341"/>
    </row>
    <row r="5815" spans="1:25" ht="12.75" customHeight="1">
      <c r="A5815" s="393"/>
      <c r="B5815" s="400" t="s">
        <v>229</v>
      </c>
      <c r="C5815" s="2">
        <f>IX.A!$C$45</f>
        <v>0</v>
      </c>
      <c r="D5815" s="401"/>
      <c r="E5815" s="402"/>
      <c r="F5815" s="403">
        <f>ROUND(F5814*C5815,2)</f>
        <v>0</v>
      </c>
      <c r="J5815" s="341"/>
      <c r="L5815" s="380"/>
      <c r="M5815" s="381"/>
      <c r="N5815" s="342"/>
      <c r="R5815" s="341"/>
      <c r="S5815" s="341"/>
    </row>
    <row r="5816" spans="1:25" ht="12.75" customHeight="1">
      <c r="A5816" s="393"/>
      <c r="B5816" s="400" t="s">
        <v>53</v>
      </c>
      <c r="C5816" s="2">
        <f>$D$8</f>
        <v>0</v>
      </c>
      <c r="D5816" s="401"/>
      <c r="E5816" s="402"/>
      <c r="F5816" s="403">
        <f>ROUND(SUM(F5814:F5815)*C5816,2)</f>
        <v>0</v>
      </c>
      <c r="J5816" s="341"/>
      <c r="L5816" s="380"/>
      <c r="M5816" s="381"/>
      <c r="N5816" s="342"/>
      <c r="R5816" s="341"/>
      <c r="S5816" s="341"/>
    </row>
    <row r="5817" spans="1:25" ht="12.75" customHeight="1" thickBot="1">
      <c r="A5817" s="414"/>
      <c r="B5817" s="415" t="s">
        <v>230</v>
      </c>
      <c r="C5817" s="416"/>
      <c r="D5817" s="416"/>
      <c r="E5817" s="417"/>
      <c r="F5817" s="418">
        <f>SUM(F5814:F5816)</f>
        <v>0</v>
      </c>
      <c r="J5817" s="341"/>
      <c r="L5817" s="380"/>
      <c r="M5817" s="381"/>
      <c r="N5817" s="342"/>
      <c r="R5817" s="341"/>
      <c r="S5817" s="341"/>
    </row>
    <row r="5818" spans="1:25" ht="12.75" customHeight="1" thickBot="1">
      <c r="A5818" s="427"/>
      <c r="B5818" s="428"/>
      <c r="C5818" s="429"/>
      <c r="D5818" s="429"/>
      <c r="E5818" s="430"/>
      <c r="F5818" s="431"/>
      <c r="J5818" s="341"/>
      <c r="L5818" s="380"/>
      <c r="M5818" s="381"/>
      <c r="N5818" s="342"/>
      <c r="R5818" s="341"/>
      <c r="S5818" s="341"/>
    </row>
    <row r="5819" spans="1:25" ht="30" customHeight="1">
      <c r="A5819" s="370" t="str">
        <f>IV.A!$A$170</f>
        <v>7.14</v>
      </c>
      <c r="B5819" s="371" t="str">
        <f>IV.A!$B$170</f>
        <v>GUIA PRÉ-MOLDADA PARA PASSEIOS E JARDINS INTERNOS</v>
      </c>
      <c r="C5819" s="871" t="s">
        <v>237</v>
      </c>
      <c r="D5819" s="872"/>
      <c r="E5819" s="372" t="str">
        <f>IV.A!$C$171</f>
        <v>M</v>
      </c>
      <c r="F5819" s="11">
        <f>ROUND(F5839+F5853+F5865,2)</f>
        <v>0</v>
      </c>
      <c r="G5819" s="1">
        <f>VLOOKUP(A5819,IV.A!$A$16:$L$172,4,FALSE)</f>
        <v>1300</v>
      </c>
      <c r="H5819" s="361">
        <f>SUM(F5821:F5836)+F5838</f>
        <v>0</v>
      </c>
      <c r="I5819" s="361">
        <f>SUM(F5841:F5850)+F5852</f>
        <v>0</v>
      </c>
      <c r="J5819" s="361">
        <f>SUM(F5855:F5861)+F5863+F5864</f>
        <v>0</v>
      </c>
      <c r="K5819" s="361">
        <f>SUM(H5819:J5819)</f>
        <v>0</v>
      </c>
      <c r="L5819" s="362" t="str">
        <f>IF(K5819=F5819,"SIM","NÃO")</f>
        <v>SIM</v>
      </c>
      <c r="M5819" s="373">
        <f>ROUND(SUM(F5821:F5836),2)+ROUND(SUM(F5821:F5836)*C5838,2)+ROUND(SUM(F5841:F5850)*C5852,2)+ROUND(SUM(F5841:F5850),2)+ROUND(SUM(F5855:F5861)*C5863,2)+ROUND((SUM(F5855:F5861)+ROUND(SUM(F5855:F5861)*C5863,2))*C5864,2)+ROUND(SUM(F5855:F5861),2)</f>
        <v>0</v>
      </c>
      <c r="N5819" s="343" t="str">
        <f>IF(M5819=F5819,"SIM","NÃO")</f>
        <v>SIM</v>
      </c>
      <c r="O5819" s="364" t="str">
        <f>VLOOKUP(A5819,IV.A!$A$16:$E$172,3,FALSE)</f>
        <v>M</v>
      </c>
      <c r="P5819" s="344" t="str">
        <f>IF(O5819=E5819,"SIM","NÃO")</f>
        <v>SIM</v>
      </c>
      <c r="Q5819" s="365">
        <f>ROUND(G5819*F5839,2)+ROUND(G5819*F5853,2)+ROUND(G5819*F5865,2)</f>
        <v>0</v>
      </c>
      <c r="R5819" s="364">
        <f>VLOOKUP(A5819,IV.A!$A$16:$L$172,12,FALSE)</f>
        <v>0</v>
      </c>
      <c r="S5819" s="366" t="str">
        <f>IF(Q5819=R5819,"si","no")</f>
        <v>si</v>
      </c>
      <c r="T5819" s="367">
        <f>SUM(L5821:L5836)+SUM(L5841:L5850)+SUM(L5855:L5861)</f>
        <v>7926.7448000000004</v>
      </c>
      <c r="U5819" s="341">
        <f>(SUM(C5821:C5836)+SUM(C5841:C5850)+SUM(C5855:C5861))*G5819</f>
        <v>7926.7448000000004</v>
      </c>
      <c r="V5819" s="368" t="str">
        <f>IF(T5819=U5819,"si","no")</f>
        <v>si</v>
      </c>
      <c r="W5819" s="369">
        <f>SUM(F5821:F5836)</f>
        <v>0</v>
      </c>
      <c r="X5819" s="369">
        <f>SUM(F5841:F5850)</f>
        <v>0</v>
      </c>
      <c r="Y5819" s="369">
        <f>SUM(F5855:F5861)</f>
        <v>0</v>
      </c>
    </row>
    <row r="5820" spans="1:25" ht="12.75" customHeight="1">
      <c r="A5820" s="374" t="s">
        <v>14</v>
      </c>
      <c r="B5820" s="375" t="s">
        <v>132</v>
      </c>
      <c r="C5820" s="376" t="s">
        <v>231</v>
      </c>
      <c r="D5820" s="376" t="s">
        <v>232</v>
      </c>
      <c r="E5820" s="377" t="s">
        <v>233</v>
      </c>
      <c r="F5820" s="378" t="s">
        <v>234</v>
      </c>
      <c r="G5820" s="379"/>
      <c r="J5820" s="341"/>
      <c r="L5820" s="380"/>
      <c r="M5820" s="381"/>
      <c r="N5820" s="342"/>
      <c r="O5820" s="382"/>
      <c r="P5820" s="383"/>
      <c r="Q5820" s="383"/>
      <c r="R5820" s="383"/>
      <c r="S5820" s="383"/>
      <c r="T5820" s="382"/>
      <c r="U5820" s="341"/>
      <c r="V5820" s="384"/>
      <c r="W5820" s="384"/>
      <c r="X5820" s="384"/>
      <c r="Y5820" s="384"/>
    </row>
    <row r="5821" spans="1:25" ht="12.75" customHeight="1">
      <c r="A5821" s="385" t="str">
        <f>VII.A!$A$19</f>
        <v>1.10</v>
      </c>
      <c r="B5821" s="386" t="str">
        <f>VLOOKUP(A5821,VII.A!$A$10:$G$199,2,FALSE)</f>
        <v>AREIA MÉDIA LAVADA</v>
      </c>
      <c r="C5821" s="20">
        <f>0.0137104+0.00069</f>
        <v>1.4400399999999999E-2</v>
      </c>
      <c r="D5821" s="342" t="str">
        <f>VLOOKUP(A5821,VII.A!$A$10:$G$199,3,FALSE)</f>
        <v>M3</v>
      </c>
      <c r="E5821" s="387">
        <f>VII.A!$D$19</f>
        <v>0</v>
      </c>
      <c r="F5821" s="388">
        <f>ROUND(C5821*E5821,2)</f>
        <v>0</v>
      </c>
      <c r="H5821" s="341">
        <f>IF(A5821="","",VLOOKUP(A5821,VII.A!$A$10:$D$199,4,FALSE))</f>
        <v>0</v>
      </c>
      <c r="I5821" s="341" t="str">
        <f t="shared" ref="I5821:I5836" si="1491">IF(A5821="","",IF(E5821=H5821,"SIM","NÃO"))</f>
        <v>SIM</v>
      </c>
      <c r="J5821" s="341" t="str">
        <f>IF(A5821="","",VLOOKUP(A5821,VII.A!$A$10:$D$199,3,FALSE))</f>
        <v>M3</v>
      </c>
      <c r="K5821" s="342" t="str">
        <f t="shared" ref="K5821:K5836" si="1492">IF(A5821="","",IF(J5821=D5821,"SIM","NÃO"))</f>
        <v>SIM</v>
      </c>
      <c r="L5821" s="380">
        <f>IF(C5821="","",G5819*C5821)</f>
        <v>18.720519999999997</v>
      </c>
      <c r="M5821" s="381" t="str">
        <f>IF(A5821="","",VLOOKUP(A5821,VII.A!$A$10:$B$199,2,FALSE))</f>
        <v>AREIA MÉDIA LAVADA</v>
      </c>
      <c r="N5821" s="342" t="str">
        <f t="shared" ref="N5821:N5836" si="1493">IF(B5821="","",IF(M5821=B5821,"si","no"))</f>
        <v>si</v>
      </c>
      <c r="R5821" s="341"/>
      <c r="S5821" s="341"/>
    </row>
    <row r="5822" spans="1:25" ht="12.75" customHeight="1">
      <c r="A5822" s="385" t="str">
        <f>VII.A!$A$38</f>
        <v>1.29</v>
      </c>
      <c r="B5822" s="386" t="str">
        <f>VLOOKUP(A5822,VII.A!$A$10:$G$199,2,FALSE)</f>
        <v>CIMENTO PORTLAND CP II-E-32</v>
      </c>
      <c r="C5822" s="20">
        <f>4.47818+0.2649</f>
        <v>4.74308</v>
      </c>
      <c r="D5822" s="342" t="str">
        <f>VLOOKUP(A5822,VII.A!$A$10:$G$199,3,FALSE)</f>
        <v>KG</v>
      </c>
      <c r="E5822" s="387">
        <f>VII.A!$D$38</f>
        <v>0</v>
      </c>
      <c r="F5822" s="388">
        <f t="shared" ref="F5822:F5836" si="1494">ROUND(C5822*E5822,2)</f>
        <v>0</v>
      </c>
      <c r="H5822" s="341">
        <f>IF(A5822="","",VLOOKUP(A5822,VII.A!$A$10:$D$199,4,FALSE))</f>
        <v>0</v>
      </c>
      <c r="I5822" s="341" t="str">
        <f t="shared" si="1491"/>
        <v>SIM</v>
      </c>
      <c r="J5822" s="341" t="str">
        <f>IF(A5822="","",VLOOKUP(A5822,VII.A!$A$10:$D$199,3,FALSE))</f>
        <v>KG</v>
      </c>
      <c r="K5822" s="342" t="str">
        <f t="shared" si="1492"/>
        <v>SIM</v>
      </c>
      <c r="L5822" s="380">
        <f>IF(C5822="","",G5819*C5822)</f>
        <v>6166.0039999999999</v>
      </c>
      <c r="M5822" s="381" t="str">
        <f>IF(A5822="","",VLOOKUP(A5822,VII.A!$A$10:$B$199,2,FALSE))</f>
        <v>CIMENTO PORTLAND CP II-E-32</v>
      </c>
      <c r="N5822" s="342" t="str">
        <f t="shared" si="1493"/>
        <v>si</v>
      </c>
      <c r="R5822" s="341"/>
      <c r="S5822" s="341"/>
    </row>
    <row r="5823" spans="1:25" ht="12.75" customHeight="1">
      <c r="A5823" s="385" t="str">
        <f>VII.A!$A$58</f>
        <v>1.49</v>
      </c>
      <c r="B5823" s="386" t="str">
        <f>VLOOKUP(A5823,VII.A!$A$10:$G$199,2,FALSE)</f>
        <v>GUIA DE CONCRETO PRE-MOLDADO 19 X 6,5/6,5 CM (H X L1/L2)</v>
      </c>
      <c r="C5823" s="20">
        <v>1</v>
      </c>
      <c r="D5823" s="342" t="str">
        <f>VLOOKUP(A5823,VII.A!$A$10:$G$199,3,FALSE)</f>
        <v>M</v>
      </c>
      <c r="E5823" s="387">
        <f>VII.A!D58</f>
        <v>0</v>
      </c>
      <c r="F5823" s="388">
        <f t="shared" si="1494"/>
        <v>0</v>
      </c>
      <c r="H5823" s="341">
        <f>IF(A5823="","",VLOOKUP(A5823,VII.A!$A$10:$D$199,4,FALSE))</f>
        <v>0</v>
      </c>
      <c r="I5823" s="341" t="str">
        <f t="shared" si="1491"/>
        <v>SIM</v>
      </c>
      <c r="J5823" s="341" t="str">
        <f>IF(A5823="","",VLOOKUP(A5823,VII.A!$A$10:$D$199,3,FALSE))</f>
        <v>M</v>
      </c>
      <c r="K5823" s="342" t="str">
        <f t="shared" si="1492"/>
        <v>SIM</v>
      </c>
      <c r="L5823" s="380">
        <f>IF(C5823="","",G5819*C5823)</f>
        <v>1300</v>
      </c>
      <c r="M5823" s="381" t="str">
        <f>IF(A5823="","",VLOOKUP(A5823,VII.A!$A$10:$B$199,2,FALSE))</f>
        <v>GUIA DE CONCRETO PRE-MOLDADO 19 X 6,5/6,5 CM (H X L1/L2)</v>
      </c>
      <c r="N5823" s="342" t="str">
        <f t="shared" si="1493"/>
        <v>si</v>
      </c>
      <c r="R5823" s="341"/>
      <c r="S5823" s="341"/>
    </row>
    <row r="5824" spans="1:25" ht="12.75" customHeight="1">
      <c r="A5824" s="385" t="str">
        <f>VII.A!$A$82</f>
        <v>1.73</v>
      </c>
      <c r="B5824" s="386" t="str">
        <f>VLOOKUP(A5824,VII.A!$A$10:$G$199,2,FALSE)</f>
        <v>PEDRA BRITADA Nº 1 GRANULOMETRIA ENTRE (9,5 E 25,00 MM)</v>
      </c>
      <c r="C5824" s="20">
        <v>9.4955999999999999E-3</v>
      </c>
      <c r="D5824" s="342" t="str">
        <f>VLOOKUP(A5824,VII.A!$A$10:$G$199,3,FALSE)</f>
        <v>M3</v>
      </c>
      <c r="E5824" s="387">
        <f>VII.A!$D$82</f>
        <v>0</v>
      </c>
      <c r="F5824" s="388">
        <f t="shared" si="1494"/>
        <v>0</v>
      </c>
      <c r="H5824" s="341">
        <f>IF(A5824="","",VLOOKUP(A5824,VII.A!$A$10:$D$199,4,FALSE))</f>
        <v>0</v>
      </c>
      <c r="I5824" s="341" t="str">
        <f t="shared" si="1491"/>
        <v>SIM</v>
      </c>
      <c r="J5824" s="341" t="str">
        <f>IF(A5824="","",VLOOKUP(A5824,VII.A!$A$10:$D$199,3,FALSE))</f>
        <v>M3</v>
      </c>
      <c r="K5824" s="342" t="str">
        <f t="shared" si="1492"/>
        <v>SIM</v>
      </c>
      <c r="L5824" s="380">
        <f>IF(C5824="","",G5819*C5824)</f>
        <v>12.344279999999999</v>
      </c>
      <c r="M5824" s="381" t="str">
        <f>IF(A5824="","",VLOOKUP(A5824,VII.A!$A$10:$B$199,2,FALSE))</f>
        <v>PEDRA BRITADA Nº 1 GRANULOMETRIA ENTRE (9,5 E 25,00 MM)</v>
      </c>
      <c r="N5824" s="342" t="str">
        <f t="shared" si="1493"/>
        <v>si</v>
      </c>
      <c r="R5824" s="341"/>
      <c r="S5824" s="341"/>
    </row>
    <row r="5825" spans="1:21" ht="12.75" customHeight="1">
      <c r="A5825" s="385"/>
      <c r="B5825" s="386"/>
      <c r="C5825" s="20"/>
      <c r="D5825" s="342"/>
      <c r="E5825" s="387"/>
      <c r="F5825" s="388">
        <f t="shared" si="1494"/>
        <v>0</v>
      </c>
      <c r="H5825" s="341" t="str">
        <f>IF(A5825="","",VLOOKUP(A5825,VII.A!$A$10:$D$199,4,FALSE))</f>
        <v/>
      </c>
      <c r="I5825" s="341" t="str">
        <f t="shared" si="1491"/>
        <v/>
      </c>
      <c r="J5825" s="341" t="str">
        <f>IF(A5825="","",VLOOKUP(A5825,VII.A!$A$10:$D$199,3,FALSE))</f>
        <v/>
      </c>
      <c r="K5825" s="342" t="str">
        <f t="shared" si="1492"/>
        <v/>
      </c>
      <c r="L5825" s="380" t="str">
        <f>IF(C5825="","",G5819*C5825)</f>
        <v/>
      </c>
      <c r="M5825" s="381" t="str">
        <f>IF(A5825="","",VLOOKUP(A5825,VII.A!$A$10:$B$199,2,FALSE))</f>
        <v/>
      </c>
      <c r="N5825" s="342" t="str">
        <f t="shared" si="1493"/>
        <v/>
      </c>
      <c r="R5825" s="341"/>
      <c r="S5825" s="341"/>
    </row>
    <row r="5826" spans="1:21" ht="12.75" customHeight="1">
      <c r="A5826" s="385"/>
      <c r="B5826" s="386"/>
      <c r="C5826" s="20"/>
      <c r="D5826" s="342"/>
      <c r="E5826" s="387"/>
      <c r="F5826" s="388">
        <f t="shared" si="1494"/>
        <v>0</v>
      </c>
      <c r="H5826" s="341" t="str">
        <f>IF(A5826="","",VLOOKUP(A5826,VII.A!$A$10:$D$199,4,FALSE))</f>
        <v/>
      </c>
      <c r="I5826" s="341" t="str">
        <f t="shared" si="1491"/>
        <v/>
      </c>
      <c r="J5826" s="341" t="str">
        <f>IF(A5826="","",VLOOKUP(A5826,VII.A!$A$10:$D$199,3,FALSE))</f>
        <v/>
      </c>
      <c r="K5826" s="342" t="str">
        <f t="shared" si="1492"/>
        <v/>
      </c>
      <c r="L5826" s="380" t="str">
        <f>IF(C5826="","",G5819*C5826)</f>
        <v/>
      </c>
      <c r="M5826" s="381" t="str">
        <f>IF(A5826="","",VLOOKUP(A5826,VII.A!$A$10:$B$199,2,FALSE))</f>
        <v/>
      </c>
      <c r="N5826" s="342" t="str">
        <f t="shared" si="1493"/>
        <v/>
      </c>
      <c r="R5826" s="341"/>
      <c r="S5826" s="341"/>
      <c r="U5826" s="389"/>
    </row>
    <row r="5827" spans="1:21" ht="12.75" customHeight="1">
      <c r="A5827" s="385"/>
      <c r="B5827" s="386"/>
      <c r="C5827" s="20"/>
      <c r="D5827" s="342"/>
      <c r="E5827" s="387"/>
      <c r="F5827" s="388">
        <f t="shared" si="1494"/>
        <v>0</v>
      </c>
      <c r="H5827" s="341" t="str">
        <f>IF(A5827="","",VLOOKUP(A5827,VII.A!$A$10:$D$199,4,FALSE))</f>
        <v/>
      </c>
      <c r="I5827" s="341" t="str">
        <f t="shared" si="1491"/>
        <v/>
      </c>
      <c r="J5827" s="341" t="str">
        <f>IF(A5827="","",VLOOKUP(A5827,VII.A!$A$10:$D$199,3,FALSE))</f>
        <v/>
      </c>
      <c r="K5827" s="342" t="str">
        <f t="shared" si="1492"/>
        <v/>
      </c>
      <c r="L5827" s="380" t="str">
        <f>IF(C5827="","",G5819*C5827)</f>
        <v/>
      </c>
      <c r="M5827" s="381" t="str">
        <f>IF(A5827="","",VLOOKUP(A5827,VII.A!$A$10:$B$199,2,FALSE))</f>
        <v/>
      </c>
      <c r="N5827" s="342" t="str">
        <f t="shared" si="1493"/>
        <v/>
      </c>
      <c r="R5827" s="341"/>
      <c r="S5827" s="341"/>
    </row>
    <row r="5828" spans="1:21" ht="12.75" customHeight="1">
      <c r="A5828" s="385"/>
      <c r="B5828" s="386"/>
      <c r="C5828" s="20"/>
      <c r="D5828" s="342"/>
      <c r="E5828" s="387"/>
      <c r="F5828" s="388">
        <f t="shared" si="1494"/>
        <v>0</v>
      </c>
      <c r="G5828" s="390"/>
      <c r="H5828" s="341" t="str">
        <f>IF(A5828="","",VLOOKUP(A5828,VII.A!$A$10:$D$199,4,FALSE))</f>
        <v/>
      </c>
      <c r="I5828" s="341" t="str">
        <f t="shared" si="1491"/>
        <v/>
      </c>
      <c r="J5828" s="341" t="str">
        <f>IF(A5828="","",VLOOKUP(A5828,VII.A!$A$10:$D$199,3,FALSE))</f>
        <v/>
      </c>
      <c r="K5828" s="342" t="str">
        <f t="shared" si="1492"/>
        <v/>
      </c>
      <c r="L5828" s="380" t="str">
        <f>IF(C5828="","",G5819*C5828)</f>
        <v/>
      </c>
      <c r="M5828" s="381" t="str">
        <f>IF(A5828="","",VLOOKUP(A5828,VII.A!$A$10:$B$199,2,FALSE))</f>
        <v/>
      </c>
      <c r="N5828" s="342" t="str">
        <f t="shared" si="1493"/>
        <v/>
      </c>
      <c r="R5828" s="341"/>
      <c r="S5828" s="341"/>
    </row>
    <row r="5829" spans="1:21" ht="12.75" customHeight="1">
      <c r="A5829" s="385"/>
      <c r="B5829" s="386"/>
      <c r="C5829" s="20"/>
      <c r="D5829" s="342"/>
      <c r="E5829" s="387"/>
      <c r="F5829" s="388">
        <f t="shared" si="1494"/>
        <v>0</v>
      </c>
      <c r="G5829" s="390"/>
      <c r="H5829" s="341" t="str">
        <f>IF(A5829="","",VLOOKUP(A5829,VII.A!$A$10:$D$199,4,FALSE))</f>
        <v/>
      </c>
      <c r="I5829" s="341" t="str">
        <f t="shared" si="1491"/>
        <v/>
      </c>
      <c r="J5829" s="341" t="str">
        <f>IF(A5829="","",VLOOKUP(A5829,VII.A!$A$10:$D$199,3,FALSE))</f>
        <v/>
      </c>
      <c r="K5829" s="342" t="str">
        <f t="shared" si="1492"/>
        <v/>
      </c>
      <c r="L5829" s="380" t="str">
        <f>IF(C5829="","",G5819*C5829)</f>
        <v/>
      </c>
      <c r="M5829" s="381" t="str">
        <f>IF(A5829="","",VLOOKUP(A5829,VII.A!$A$10:$B$199,2,FALSE))</f>
        <v/>
      </c>
      <c r="N5829" s="342" t="str">
        <f t="shared" si="1493"/>
        <v/>
      </c>
      <c r="R5829" s="341"/>
      <c r="S5829" s="341"/>
    </row>
    <row r="5830" spans="1:21" ht="12.75" customHeight="1">
      <c r="A5830" s="385"/>
      <c r="B5830" s="386"/>
      <c r="C5830" s="20"/>
      <c r="D5830" s="342"/>
      <c r="E5830" s="387"/>
      <c r="F5830" s="388">
        <f t="shared" si="1494"/>
        <v>0</v>
      </c>
      <c r="G5830" s="391"/>
      <c r="H5830" s="341" t="str">
        <f>IF(A5830="","",VLOOKUP(A5830,VII.A!$A$10:$D$199,4,FALSE))</f>
        <v/>
      </c>
      <c r="I5830" s="341" t="str">
        <f t="shared" si="1491"/>
        <v/>
      </c>
      <c r="J5830" s="341" t="str">
        <f>IF(A5830="","",VLOOKUP(A5830,VII.A!$A$10:$D$199,3,FALSE))</f>
        <v/>
      </c>
      <c r="K5830" s="342" t="str">
        <f t="shared" si="1492"/>
        <v/>
      </c>
      <c r="L5830" s="380" t="str">
        <f>IF(C5830="","",G5819*C5830)</f>
        <v/>
      </c>
      <c r="M5830" s="381" t="str">
        <f>IF(A5830="","",VLOOKUP(A5830,VII.A!$A$10:$B$199,2,FALSE))</f>
        <v/>
      </c>
      <c r="N5830" s="342" t="str">
        <f t="shared" si="1493"/>
        <v/>
      </c>
      <c r="R5830" s="341"/>
      <c r="S5830" s="341"/>
    </row>
    <row r="5831" spans="1:21" ht="12.75" customHeight="1">
      <c r="A5831" s="385"/>
      <c r="B5831" s="386"/>
      <c r="C5831" s="20"/>
      <c r="D5831" s="342"/>
      <c r="E5831" s="387"/>
      <c r="F5831" s="388">
        <f t="shared" si="1494"/>
        <v>0</v>
      </c>
      <c r="H5831" s="341" t="str">
        <f>IF(A5831="","",VLOOKUP(A5831,VII.A!$A$10:$D$199,4,FALSE))</f>
        <v/>
      </c>
      <c r="I5831" s="341" t="str">
        <f t="shared" si="1491"/>
        <v/>
      </c>
      <c r="J5831" s="341" t="str">
        <f>IF(A5831="","",VLOOKUP(A5831,VII.A!$A$10:$D$199,3,FALSE))</f>
        <v/>
      </c>
      <c r="K5831" s="342" t="str">
        <f t="shared" si="1492"/>
        <v/>
      </c>
      <c r="L5831" s="380" t="str">
        <f>IF(C5831="","",G5819*C5831)</f>
        <v/>
      </c>
      <c r="M5831" s="381" t="str">
        <f>IF(A5831="","",VLOOKUP(A5831,VII.A!$A$10:$B$199,2,FALSE))</f>
        <v/>
      </c>
      <c r="N5831" s="342" t="str">
        <f t="shared" si="1493"/>
        <v/>
      </c>
      <c r="R5831" s="341"/>
      <c r="S5831" s="341"/>
    </row>
    <row r="5832" spans="1:21" ht="12.75" customHeight="1">
      <c r="A5832" s="385"/>
      <c r="B5832" s="386"/>
      <c r="C5832" s="20"/>
      <c r="D5832" s="392"/>
      <c r="E5832" s="387"/>
      <c r="F5832" s="388">
        <f t="shared" si="1494"/>
        <v>0</v>
      </c>
      <c r="H5832" s="341" t="str">
        <f>IF(A5832="","",VLOOKUP(A5832,VII.A!$A$10:$D$199,4,FALSE))</f>
        <v/>
      </c>
      <c r="I5832" s="341" t="str">
        <f t="shared" si="1491"/>
        <v/>
      </c>
      <c r="J5832" s="341" t="str">
        <f>IF(A5832="","",VLOOKUP(A5832,VII.A!$A$10:$D$199,3,FALSE))</f>
        <v/>
      </c>
      <c r="K5832" s="342" t="str">
        <f t="shared" si="1492"/>
        <v/>
      </c>
      <c r="L5832" s="380" t="str">
        <f>IF(C5832="","",G5819*C5832)</f>
        <v/>
      </c>
      <c r="M5832" s="381" t="str">
        <f>IF(A5832="","",VLOOKUP(A5832,VII.A!$A$10:$B$199,2,FALSE))</f>
        <v/>
      </c>
      <c r="N5832" s="342" t="str">
        <f t="shared" si="1493"/>
        <v/>
      </c>
      <c r="R5832" s="341"/>
      <c r="S5832" s="341"/>
    </row>
    <row r="5833" spans="1:21" ht="12.75" customHeight="1">
      <c r="A5833" s="385"/>
      <c r="B5833" s="386"/>
      <c r="C5833" s="20"/>
      <c r="D5833" s="392"/>
      <c r="E5833" s="387"/>
      <c r="F5833" s="388">
        <f t="shared" si="1494"/>
        <v>0</v>
      </c>
      <c r="H5833" s="341" t="str">
        <f>IF(A5833="","",VLOOKUP(A5833,VII.A!$A$10:$D$199,4,FALSE))</f>
        <v/>
      </c>
      <c r="I5833" s="341" t="str">
        <f t="shared" si="1491"/>
        <v/>
      </c>
      <c r="J5833" s="341" t="str">
        <f>IF(A5833="","",VLOOKUP(A5833,VII.A!$A$10:$D$199,3,FALSE))</f>
        <v/>
      </c>
      <c r="K5833" s="342" t="str">
        <f t="shared" si="1492"/>
        <v/>
      </c>
      <c r="L5833" s="380" t="str">
        <f>IF(C5833="","",G5819*C5833)</f>
        <v/>
      </c>
      <c r="M5833" s="381" t="str">
        <f>IF(A5833="","",VLOOKUP(A5833,VII.A!$A$10:$B$199,2,FALSE))</f>
        <v/>
      </c>
      <c r="N5833" s="342" t="str">
        <f t="shared" si="1493"/>
        <v/>
      </c>
      <c r="O5833" s="342"/>
      <c r="R5833" s="341"/>
      <c r="S5833" s="341"/>
    </row>
    <row r="5834" spans="1:21" ht="12.75" customHeight="1">
      <c r="A5834" s="385"/>
      <c r="B5834" s="386"/>
      <c r="C5834" s="20"/>
      <c r="D5834" s="392"/>
      <c r="E5834" s="387"/>
      <c r="F5834" s="388">
        <f t="shared" si="1494"/>
        <v>0</v>
      </c>
      <c r="H5834" s="341" t="str">
        <f>IF(A5834="","",VLOOKUP(A5834,VII.A!$A$10:$D$199,4,FALSE))</f>
        <v/>
      </c>
      <c r="I5834" s="341" t="str">
        <f t="shared" si="1491"/>
        <v/>
      </c>
      <c r="J5834" s="341" t="str">
        <f>IF(A5834="","",VLOOKUP(A5834,VII.A!$A$10:$D$199,3,FALSE))</f>
        <v/>
      </c>
      <c r="K5834" s="342" t="str">
        <f t="shared" si="1492"/>
        <v/>
      </c>
      <c r="L5834" s="380" t="str">
        <f>IF(C5834="","",G5819*C5834)</f>
        <v/>
      </c>
      <c r="M5834" s="381" t="str">
        <f>IF(A5834="","",VLOOKUP(A5834,VII.A!$A$10:$B$199,2,FALSE))</f>
        <v/>
      </c>
      <c r="N5834" s="342" t="str">
        <f t="shared" si="1493"/>
        <v/>
      </c>
      <c r="R5834" s="341"/>
      <c r="S5834" s="341"/>
    </row>
    <row r="5835" spans="1:21" ht="12.75" customHeight="1">
      <c r="A5835" s="393"/>
      <c r="C5835" s="20"/>
      <c r="E5835" s="387"/>
      <c r="F5835" s="388">
        <f t="shared" si="1494"/>
        <v>0</v>
      </c>
      <c r="H5835" s="341" t="str">
        <f>IF(A5835="","",VLOOKUP(A5835,VII.A!$A$10:$D$199,4,FALSE))</f>
        <v/>
      </c>
      <c r="I5835" s="341" t="str">
        <f t="shared" si="1491"/>
        <v/>
      </c>
      <c r="J5835" s="341" t="str">
        <f>IF(A5835="","",VLOOKUP(A5835,VII.A!$A$10:$D$199,3,FALSE))</f>
        <v/>
      </c>
      <c r="K5835" s="342" t="str">
        <f t="shared" si="1492"/>
        <v/>
      </c>
      <c r="L5835" s="380" t="str">
        <f>IF(C5835="","",G5819*C5835)</f>
        <v/>
      </c>
      <c r="M5835" s="381" t="str">
        <f>IF(A5835="","",VLOOKUP(A5835,VII.A!$A$10:$B$199,2,FALSE))</f>
        <v/>
      </c>
      <c r="N5835" s="342" t="str">
        <f t="shared" si="1493"/>
        <v/>
      </c>
      <c r="R5835" s="341"/>
      <c r="S5835" s="341"/>
    </row>
    <row r="5836" spans="1:21" ht="12.75" customHeight="1">
      <c r="A5836" s="393"/>
      <c r="C5836" s="20"/>
      <c r="E5836" s="387"/>
      <c r="F5836" s="388">
        <f t="shared" si="1494"/>
        <v>0</v>
      </c>
      <c r="H5836" s="341" t="str">
        <f>IF(A5836="","",VLOOKUP(A5836,VII.A!$A$10:$D$199,4,FALSE))</f>
        <v/>
      </c>
      <c r="I5836" s="341" t="str">
        <f t="shared" si="1491"/>
        <v/>
      </c>
      <c r="J5836" s="341" t="str">
        <f>IF(A5836="","",VLOOKUP(A5836,VII.A!$A$10:$D$199,3,FALSE))</f>
        <v/>
      </c>
      <c r="K5836" s="342" t="str">
        <f t="shared" si="1492"/>
        <v/>
      </c>
      <c r="L5836" s="380" t="str">
        <f>IF(C5836="","",G5819*C5836)</f>
        <v/>
      </c>
      <c r="M5836" s="381" t="str">
        <f>IF(A5836="","",VLOOKUP(A5836,VII.A!$A$10:$B$199,2,FALSE))</f>
        <v/>
      </c>
      <c r="N5836" s="342" t="str">
        <f t="shared" si="1493"/>
        <v/>
      </c>
      <c r="R5836" s="341"/>
      <c r="S5836" s="341"/>
    </row>
    <row r="5837" spans="1:21" ht="12.75" customHeight="1">
      <c r="A5837" s="393"/>
      <c r="B5837" s="395" t="s">
        <v>226</v>
      </c>
      <c r="C5837" s="396"/>
      <c r="D5837" s="397"/>
      <c r="E5837" s="398"/>
      <c r="F5837" s="399">
        <f>SUM(F5821:F5836)</f>
        <v>0</v>
      </c>
      <c r="H5837" s="426" t="s">
        <v>434</v>
      </c>
      <c r="J5837" s="341"/>
      <c r="L5837" s="380"/>
      <c r="M5837" s="381"/>
      <c r="N5837" s="342"/>
      <c r="R5837" s="341"/>
      <c r="S5837" s="341"/>
    </row>
    <row r="5838" spans="1:21" ht="12.75" customHeight="1">
      <c r="A5838" s="393"/>
      <c r="B5838" s="400" t="s">
        <v>53</v>
      </c>
      <c r="C5838" s="2">
        <f>$D$8</f>
        <v>0</v>
      </c>
      <c r="D5838" s="401"/>
      <c r="E5838" s="402"/>
      <c r="F5838" s="403">
        <f>ROUND(F5837*C5838,2)</f>
        <v>0</v>
      </c>
      <c r="J5838" s="341"/>
      <c r="L5838" s="380"/>
      <c r="M5838" s="381"/>
      <c r="N5838" s="342"/>
      <c r="R5838" s="341"/>
      <c r="S5838" s="341"/>
    </row>
    <row r="5839" spans="1:21" ht="12.75" customHeight="1">
      <c r="A5839" s="404"/>
      <c r="B5839" s="405" t="s">
        <v>227</v>
      </c>
      <c r="C5839" s="406"/>
      <c r="D5839" s="406"/>
      <c r="E5839" s="407"/>
      <c r="F5839" s="408">
        <f>F5837+F5838</f>
        <v>0</v>
      </c>
      <c r="J5839" s="341"/>
      <c r="L5839" s="380"/>
      <c r="M5839" s="381"/>
      <c r="N5839" s="342"/>
      <c r="R5839" s="341"/>
      <c r="S5839" s="341"/>
    </row>
    <row r="5840" spans="1:21" ht="12.75" customHeight="1">
      <c r="A5840" s="374" t="s">
        <v>2</v>
      </c>
      <c r="B5840" s="375" t="s">
        <v>235</v>
      </c>
      <c r="C5840" s="376" t="s">
        <v>231</v>
      </c>
      <c r="D5840" s="376" t="s">
        <v>232</v>
      </c>
      <c r="E5840" s="377" t="s">
        <v>233</v>
      </c>
      <c r="F5840" s="378" t="s">
        <v>234</v>
      </c>
      <c r="J5840" s="341"/>
      <c r="L5840" s="380"/>
      <c r="M5840" s="381"/>
      <c r="N5840" s="342"/>
      <c r="R5840" s="341"/>
      <c r="S5840" s="341"/>
    </row>
    <row r="5841" spans="1:19" ht="12.75" customHeight="1">
      <c r="A5841" s="393" t="str">
        <f>VII.A!$A$149</f>
        <v>2.7</v>
      </c>
      <c r="B5841" s="423" t="str">
        <f>VLOOKUP(A5841,VII.A!$A$10:$G$199,2,FALSE)</f>
        <v>BETONEIRA, CAPACIDADE NOMINAL DE 400L, MOTOR ELÉTRICO TRIFÁSICO DE  2CV - CHP</v>
      </c>
      <c r="C5841" s="20">
        <f>0.012464+0.000474</f>
        <v>1.2938E-2</v>
      </c>
      <c r="D5841" s="384" t="str">
        <f>VLOOKUP(A5841,VII.A!$A$10:$G$199,3,FALSE)</f>
        <v>CHP</v>
      </c>
      <c r="E5841" s="387">
        <f>VII.A!$D$149</f>
        <v>0</v>
      </c>
      <c r="F5841" s="388">
        <f t="shared" ref="F5841:F5850" si="1495">ROUND(C5841*E5841,2)</f>
        <v>0</v>
      </c>
      <c r="H5841" s="341">
        <f>IF(A5841="","",VLOOKUP(A5841,VII.A!$A$10:$D$199,4,FALSE))</f>
        <v>0</v>
      </c>
      <c r="I5841" s="341" t="str">
        <f t="shared" ref="I5841:I5850" si="1496">IF(A5841="","",IF(E5841=H5841,"SIM","NÃO"))</f>
        <v>SIM</v>
      </c>
      <c r="J5841" s="341" t="str">
        <f>IF(A5841="","",VLOOKUP(A5841,VII.A!$A$10:$D$199,3,FALSE))</f>
        <v>CHP</v>
      </c>
      <c r="K5841" s="342" t="str">
        <f t="shared" ref="K5841:K5850" si="1497">IF(A5841="","",IF(J5841=D5841,"SIM","NÃO"))</f>
        <v>SIM</v>
      </c>
      <c r="L5841" s="380">
        <f>IF(C5841="","",G5819*C5841)</f>
        <v>16.819399999999998</v>
      </c>
      <c r="M5841" s="381" t="str">
        <f>IF(A5841="","",VLOOKUP(A5841,VII.A!$A$10:$B$199,2,FALSE))</f>
        <v>BETONEIRA, CAPACIDADE NOMINAL DE 400L, MOTOR ELÉTRICO TRIFÁSICO DE  2CV - CHP</v>
      </c>
      <c r="N5841" s="342" t="str">
        <f t="shared" ref="N5841:N5850" si="1498">IF(B5841="","",IF(M5841=B5841,"si","no"))</f>
        <v>si</v>
      </c>
      <c r="R5841" s="341"/>
      <c r="S5841" s="341"/>
    </row>
    <row r="5842" spans="1:19" ht="12.75" customHeight="1">
      <c r="A5842" s="393" t="str">
        <f>VII.A!$A$148</f>
        <v>2.6</v>
      </c>
      <c r="B5842" s="394" t="str">
        <f>VLOOKUP(A5842,VII.A!$A$10:$G$199,2,FALSE)</f>
        <v>BETONEIRA, CAPACIDADE NOMINAL DE 400L, MOTOR ELÉTRICO TRIFÁSICO DE  2CV - CHI</v>
      </c>
      <c r="C5842" s="20">
        <f>0.011644+0.001572</f>
        <v>1.3216E-2</v>
      </c>
      <c r="D5842" s="384" t="str">
        <f>VLOOKUP(A5842,VII.A!$A$10:$G$199,3,FALSE)</f>
        <v>CHI</v>
      </c>
      <c r="E5842" s="387">
        <f>VII.A!$D$148</f>
        <v>0</v>
      </c>
      <c r="F5842" s="388">
        <f t="shared" si="1495"/>
        <v>0</v>
      </c>
      <c r="H5842" s="341">
        <f>IF(A5842="","",VLOOKUP(A5842,VII.A!$A$10:$D$199,4,FALSE))</f>
        <v>0</v>
      </c>
      <c r="I5842" s="341" t="str">
        <f t="shared" si="1496"/>
        <v>SIM</v>
      </c>
      <c r="J5842" s="341" t="str">
        <f>IF(A5842="","",VLOOKUP(A5842,VII.A!$A$10:$D$199,3,FALSE))</f>
        <v>CHI</v>
      </c>
      <c r="K5842" s="342" t="str">
        <f t="shared" si="1497"/>
        <v>SIM</v>
      </c>
      <c r="L5842" s="380">
        <f>IF(C5842="","",G5819*C5842)</f>
        <v>17.180800000000001</v>
      </c>
      <c r="M5842" s="381" t="str">
        <f>IF(A5842="","",VLOOKUP(A5842,VII.A!$A$10:$B$199,2,FALSE))</f>
        <v>BETONEIRA, CAPACIDADE NOMINAL DE 400L, MOTOR ELÉTRICO TRIFÁSICO DE  2CV - CHI</v>
      </c>
      <c r="N5842" s="342" t="str">
        <f t="shared" si="1498"/>
        <v>si</v>
      </c>
      <c r="R5842" s="341"/>
      <c r="S5842" s="341"/>
    </row>
    <row r="5843" spans="1:19" ht="12.75" customHeight="1">
      <c r="A5843" s="393"/>
      <c r="C5843" s="20"/>
      <c r="E5843" s="387"/>
      <c r="F5843" s="388">
        <f t="shared" si="1495"/>
        <v>0</v>
      </c>
      <c r="H5843" s="341" t="str">
        <f>IF(A5843="","",VLOOKUP(A5843,VII.A!$A$10:$D$199,4,FALSE))</f>
        <v/>
      </c>
      <c r="I5843" s="341" t="str">
        <f t="shared" si="1496"/>
        <v/>
      </c>
      <c r="J5843" s="341" t="str">
        <f>IF(A5843="","",VLOOKUP(A5843,VII.A!$A$10:$D$199,3,FALSE))</f>
        <v/>
      </c>
      <c r="K5843" s="342" t="str">
        <f t="shared" si="1497"/>
        <v/>
      </c>
      <c r="L5843" s="380" t="str">
        <f>IF(C5843="","",G5819*C5843)</f>
        <v/>
      </c>
      <c r="M5843" s="381" t="str">
        <f>IF(A5843="","",VLOOKUP(A5843,VII.A!$A$10:$B$199,2,FALSE))</f>
        <v/>
      </c>
      <c r="N5843" s="342" t="str">
        <f t="shared" si="1498"/>
        <v/>
      </c>
      <c r="R5843" s="341"/>
      <c r="S5843" s="341"/>
    </row>
    <row r="5844" spans="1:19" ht="12.75" customHeight="1">
      <c r="A5844" s="393"/>
      <c r="C5844" s="20"/>
      <c r="E5844" s="387"/>
      <c r="F5844" s="388">
        <f t="shared" si="1495"/>
        <v>0</v>
      </c>
      <c r="H5844" s="341" t="str">
        <f>IF(A5844="","",VLOOKUP(A5844,VII.A!$A$10:$D$199,4,FALSE))</f>
        <v/>
      </c>
      <c r="I5844" s="341" t="str">
        <f t="shared" si="1496"/>
        <v/>
      </c>
      <c r="J5844" s="341" t="str">
        <f>IF(A5844="","",VLOOKUP(A5844,VII.A!$A$10:$D$199,3,FALSE))</f>
        <v/>
      </c>
      <c r="K5844" s="342" t="str">
        <f t="shared" si="1497"/>
        <v/>
      </c>
      <c r="L5844" s="380" t="str">
        <f>IF(C5844="","",G5819*C5844)</f>
        <v/>
      </c>
      <c r="M5844" s="381" t="str">
        <f>IF(A5844="","",VLOOKUP(A5844,VII.A!$A$10:$B$199,2,FALSE))</f>
        <v/>
      </c>
      <c r="N5844" s="342" t="str">
        <f t="shared" si="1498"/>
        <v/>
      </c>
      <c r="R5844" s="341"/>
      <c r="S5844" s="341"/>
    </row>
    <row r="5845" spans="1:19" ht="12.75" customHeight="1">
      <c r="A5845" s="393"/>
      <c r="C5845" s="20"/>
      <c r="E5845" s="387"/>
      <c r="F5845" s="388">
        <f t="shared" si="1495"/>
        <v>0</v>
      </c>
      <c r="G5845" s="390"/>
      <c r="H5845" s="341" t="str">
        <f>IF(A5845="","",VLOOKUP(A5845,VII.A!$A$10:$D$199,4,FALSE))</f>
        <v/>
      </c>
      <c r="I5845" s="341" t="str">
        <f t="shared" si="1496"/>
        <v/>
      </c>
      <c r="J5845" s="341" t="str">
        <f>IF(A5845="","",VLOOKUP(A5845,VII.A!$A$10:$D$199,3,FALSE))</f>
        <v/>
      </c>
      <c r="K5845" s="342" t="str">
        <f t="shared" si="1497"/>
        <v/>
      </c>
      <c r="L5845" s="380" t="str">
        <f>IF(C5845="","",G5819*C5845)</f>
        <v/>
      </c>
      <c r="M5845" s="381" t="str">
        <f>IF(A5845="","",VLOOKUP(A5845,VII.A!$A$10:$B$199,2,FALSE))</f>
        <v/>
      </c>
      <c r="N5845" s="342" t="str">
        <f t="shared" si="1498"/>
        <v/>
      </c>
      <c r="R5845" s="341"/>
      <c r="S5845" s="341"/>
    </row>
    <row r="5846" spans="1:19" ht="12.75" customHeight="1">
      <c r="A5846" s="393"/>
      <c r="C5846" s="20"/>
      <c r="E5846" s="387"/>
      <c r="F5846" s="388">
        <f t="shared" si="1495"/>
        <v>0</v>
      </c>
      <c r="G5846" s="391"/>
      <c r="H5846" s="341" t="str">
        <f>IF(A5846="","",VLOOKUP(A5846,VII.A!$A$10:$D$199,4,FALSE))</f>
        <v/>
      </c>
      <c r="I5846" s="341" t="str">
        <f t="shared" si="1496"/>
        <v/>
      </c>
      <c r="J5846" s="341" t="str">
        <f>IF(A5846="","",VLOOKUP(A5846,VII.A!$A$10:$D$199,3,FALSE))</f>
        <v/>
      </c>
      <c r="K5846" s="342" t="str">
        <f t="shared" si="1497"/>
        <v/>
      </c>
      <c r="L5846" s="380" t="str">
        <f>IF(C5846="","",G5819*C5846)</f>
        <v/>
      </c>
      <c r="M5846" s="381" t="str">
        <f>IF(A5846="","",VLOOKUP(A5846,VII.A!$A$10:$B$199,2,FALSE))</f>
        <v/>
      </c>
      <c r="N5846" s="342" t="str">
        <f t="shared" si="1498"/>
        <v/>
      </c>
      <c r="R5846" s="341"/>
      <c r="S5846" s="341"/>
    </row>
    <row r="5847" spans="1:19" ht="12.75" customHeight="1">
      <c r="A5847" s="393"/>
      <c r="C5847" s="20"/>
      <c r="E5847" s="387"/>
      <c r="F5847" s="388">
        <f t="shared" si="1495"/>
        <v>0</v>
      </c>
      <c r="H5847" s="341" t="str">
        <f>IF(A5847="","",VLOOKUP(A5847,VII.A!$A$10:$D$199,4,FALSE))</f>
        <v/>
      </c>
      <c r="I5847" s="341" t="str">
        <f t="shared" si="1496"/>
        <v/>
      </c>
      <c r="J5847" s="341" t="str">
        <f>IF(A5847="","",VLOOKUP(A5847,VII.A!$A$10:$D$199,3,FALSE))</f>
        <v/>
      </c>
      <c r="K5847" s="342" t="str">
        <f t="shared" si="1497"/>
        <v/>
      </c>
      <c r="L5847" s="380" t="str">
        <f>IF(C5847="","",G5819*C5847)</f>
        <v/>
      </c>
      <c r="M5847" s="381" t="str">
        <f>IF(A5847="","",VLOOKUP(A5847,VII.A!$A$10:$B$199,2,FALSE))</f>
        <v/>
      </c>
      <c r="N5847" s="342" t="str">
        <f t="shared" si="1498"/>
        <v/>
      </c>
      <c r="R5847" s="341"/>
      <c r="S5847" s="341"/>
    </row>
    <row r="5848" spans="1:19" ht="12.75" customHeight="1">
      <c r="A5848" s="393"/>
      <c r="C5848" s="20"/>
      <c r="E5848" s="387"/>
      <c r="F5848" s="388">
        <f t="shared" si="1495"/>
        <v>0</v>
      </c>
      <c r="H5848" s="341" t="str">
        <f>IF(A5848="","",VLOOKUP(A5848,VII.A!$A$10:$D$199,4,FALSE))</f>
        <v/>
      </c>
      <c r="I5848" s="341" t="str">
        <f t="shared" si="1496"/>
        <v/>
      </c>
      <c r="J5848" s="341" t="str">
        <f>IF(A5848="","",VLOOKUP(A5848,VII.A!$A$10:$D$199,3,FALSE))</f>
        <v/>
      </c>
      <c r="K5848" s="342" t="str">
        <f t="shared" si="1497"/>
        <v/>
      </c>
      <c r="L5848" s="380" t="str">
        <f>IF(C5848="","",G5819*C5848)</f>
        <v/>
      </c>
      <c r="M5848" s="381" t="str">
        <f>IF(A5848="","",VLOOKUP(A5848,VII.A!$A$10:$B$199,2,FALSE))</f>
        <v/>
      </c>
      <c r="N5848" s="342" t="str">
        <f t="shared" si="1498"/>
        <v/>
      </c>
      <c r="R5848" s="341"/>
      <c r="S5848" s="341"/>
    </row>
    <row r="5849" spans="1:19" ht="12.75" customHeight="1">
      <c r="A5849" s="393"/>
      <c r="C5849" s="20"/>
      <c r="E5849" s="387"/>
      <c r="F5849" s="388">
        <f t="shared" si="1495"/>
        <v>0</v>
      </c>
      <c r="H5849" s="341" t="str">
        <f>IF(A5849="","",VLOOKUP(A5849,VII.A!$A$10:$D$199,4,FALSE))</f>
        <v/>
      </c>
      <c r="I5849" s="341" t="str">
        <f t="shared" si="1496"/>
        <v/>
      </c>
      <c r="J5849" s="341" t="str">
        <f>IF(A5849="","",VLOOKUP(A5849,VII.A!$A$10:$D$199,3,FALSE))</f>
        <v/>
      </c>
      <c r="K5849" s="342" t="str">
        <f t="shared" si="1497"/>
        <v/>
      </c>
      <c r="L5849" s="380" t="str">
        <f>IF(C5849="","",G5819*C5849)</f>
        <v/>
      </c>
      <c r="M5849" s="381" t="str">
        <f>IF(A5849="","",VLOOKUP(A5849,VII.A!$A$10:$B$199,2,FALSE))</f>
        <v/>
      </c>
      <c r="N5849" s="342" t="str">
        <f t="shared" si="1498"/>
        <v/>
      </c>
      <c r="R5849" s="341"/>
      <c r="S5849" s="341"/>
    </row>
    <row r="5850" spans="1:19" ht="12.75" customHeight="1">
      <c r="A5850" s="393"/>
      <c r="C5850" s="20"/>
      <c r="E5850" s="387"/>
      <c r="F5850" s="388">
        <f t="shared" si="1495"/>
        <v>0</v>
      </c>
      <c r="H5850" s="341" t="str">
        <f>IF(A5850="","",VLOOKUP(A5850,VII.A!$A$10:$D$199,4,FALSE))</f>
        <v/>
      </c>
      <c r="I5850" s="341" t="str">
        <f t="shared" si="1496"/>
        <v/>
      </c>
      <c r="J5850" s="341" t="str">
        <f>IF(A5850="","",VLOOKUP(A5850,VII.A!$A$10:$D$199,3,FALSE))</f>
        <v/>
      </c>
      <c r="K5850" s="342" t="str">
        <f t="shared" si="1497"/>
        <v/>
      </c>
      <c r="L5850" s="380" t="str">
        <f>IF(C5850="","",G5819*C5850)</f>
        <v/>
      </c>
      <c r="M5850" s="381" t="str">
        <f>IF(A5850="","",VLOOKUP(A5850,VII.A!$A$10:$B$199,2,FALSE))</f>
        <v/>
      </c>
      <c r="N5850" s="342" t="str">
        <f t="shared" si="1498"/>
        <v/>
      </c>
      <c r="R5850" s="341"/>
      <c r="S5850" s="341"/>
    </row>
    <row r="5851" spans="1:19" ht="12.75" customHeight="1">
      <c r="A5851" s="393"/>
      <c r="B5851" s="395" t="s">
        <v>226</v>
      </c>
      <c r="C5851" s="396"/>
      <c r="D5851" s="397"/>
      <c r="E5851" s="398"/>
      <c r="F5851" s="399">
        <f>SUM(F5841:F5850)</f>
        <v>0</v>
      </c>
      <c r="J5851" s="341"/>
      <c r="L5851" s="380"/>
      <c r="M5851" s="381"/>
      <c r="N5851" s="342"/>
      <c r="R5851" s="341"/>
      <c r="S5851" s="341"/>
    </row>
    <row r="5852" spans="1:19" ht="12.75" customHeight="1">
      <c r="A5852" s="393"/>
      <c r="B5852" s="400" t="s">
        <v>53</v>
      </c>
      <c r="C5852" s="2">
        <f>$D$8</f>
        <v>0</v>
      </c>
      <c r="D5852" s="401"/>
      <c r="E5852" s="402"/>
      <c r="F5852" s="403">
        <f>ROUND(C5852*F5851,2)</f>
        <v>0</v>
      </c>
      <c r="J5852" s="341"/>
      <c r="L5852" s="380"/>
      <c r="M5852" s="381"/>
      <c r="N5852" s="342"/>
      <c r="R5852" s="341"/>
      <c r="S5852" s="341"/>
    </row>
    <row r="5853" spans="1:19" ht="12.75" customHeight="1">
      <c r="A5853" s="404"/>
      <c r="B5853" s="405" t="s">
        <v>228</v>
      </c>
      <c r="C5853" s="406"/>
      <c r="D5853" s="406"/>
      <c r="E5853" s="407"/>
      <c r="F5853" s="408">
        <f>F5851+F5852</f>
        <v>0</v>
      </c>
      <c r="J5853" s="341"/>
      <c r="L5853" s="380"/>
      <c r="M5853" s="381"/>
      <c r="N5853" s="342"/>
      <c r="R5853" s="341"/>
      <c r="S5853" s="341"/>
    </row>
    <row r="5854" spans="1:19" ht="12.75" customHeight="1">
      <c r="A5854" s="409" t="s">
        <v>47</v>
      </c>
      <c r="B5854" s="410" t="s">
        <v>236</v>
      </c>
      <c r="C5854" s="411" t="s">
        <v>231</v>
      </c>
      <c r="D5854" s="412" t="s">
        <v>232</v>
      </c>
      <c r="E5854" s="413" t="s">
        <v>233</v>
      </c>
      <c r="F5854" s="378" t="s">
        <v>234</v>
      </c>
      <c r="J5854" s="341"/>
      <c r="L5854" s="380"/>
      <c r="M5854" s="381"/>
      <c r="N5854" s="342"/>
      <c r="R5854" s="341"/>
      <c r="S5854" s="341"/>
    </row>
    <row r="5855" spans="1:19" ht="12.75" customHeight="1">
      <c r="A5855" s="393" t="str">
        <f>VII.A!$A$192</f>
        <v>3.12</v>
      </c>
      <c r="B5855" s="394" t="str">
        <f>VII.A!$B$192</f>
        <v>PEDREIRO COM ENCARGOS COMPLEMENTARES</v>
      </c>
      <c r="C5855" s="20">
        <v>0.08</v>
      </c>
      <c r="D5855" s="384" t="str">
        <f>VLOOKUP(A5855,VII.A!$A$10:$G$199,3,FALSE)</f>
        <v>H</v>
      </c>
      <c r="E5855" s="387">
        <f>VII.A!$D$192</f>
        <v>0</v>
      </c>
      <c r="F5855" s="388">
        <f t="shared" ref="F5855:F5861" si="1499">ROUND(C5855*E5855,2)</f>
        <v>0</v>
      </c>
      <c r="H5855" s="341">
        <f>IF(A5855="","",VLOOKUP(A5855,VII.A!$A$10:$D$199,4,FALSE))</f>
        <v>0</v>
      </c>
      <c r="I5855" s="341" t="str">
        <f t="shared" ref="I5855:I5861" si="1500">IF(A5855="","",IF(E5855=H5855,"SIM","NÃO"))</f>
        <v>SIM</v>
      </c>
      <c r="J5855" s="341" t="str">
        <f>IF(A5855="","",VLOOKUP(A5855,VII.A!$A$10:$D$199,3,FALSE))</f>
        <v>H</v>
      </c>
      <c r="K5855" s="342" t="str">
        <f t="shared" ref="K5855:K5861" si="1501">IF(A5855="","",IF(J5855=D5855,"SIM","NÃO"))</f>
        <v>SIM</v>
      </c>
      <c r="L5855" s="380">
        <f>IF(C5855="","",G5819*C5855)</f>
        <v>104</v>
      </c>
      <c r="M5855" s="381" t="str">
        <f>IF(A5855="","",VLOOKUP(A5855,VII.A!$A$10:$B$199,2,FALSE))</f>
        <v>PEDREIRO COM ENCARGOS COMPLEMENTARES</v>
      </c>
      <c r="N5855" s="342" t="str">
        <f t="shared" ref="N5855:N5861" si="1502">IF(B5855="","",IF(M5855=B5855,"si","no"))</f>
        <v>si</v>
      </c>
      <c r="R5855" s="341"/>
      <c r="S5855" s="341"/>
    </row>
    <row r="5856" spans="1:19" ht="12.75" customHeight="1">
      <c r="A5856" s="393" t="str">
        <f>VII.A!$A$196</f>
        <v>3.16</v>
      </c>
      <c r="B5856" s="394" t="str">
        <f>VII.A!$B$196</f>
        <v>SERVENTE COM ENCARGOS COMPLEMENTARES</v>
      </c>
      <c r="C5856" s="20">
        <f>0.06232+0.002046+0.16</f>
        <v>0.22436600000000001</v>
      </c>
      <c r="D5856" s="384" t="str">
        <f>VLOOKUP(A5856,VII.A!$A$10:$G$199,3,FALSE)</f>
        <v>H</v>
      </c>
      <c r="E5856" s="387">
        <f>VII.A!$D$196</f>
        <v>0</v>
      </c>
      <c r="F5856" s="388">
        <f>ROUND(C5856*E5856,2)</f>
        <v>0</v>
      </c>
      <c r="H5856" s="341">
        <f>IF(A5856="","",VLOOKUP(A5856,VII.A!$A$10:$D$199,4,FALSE))</f>
        <v>0</v>
      </c>
      <c r="I5856" s="341" t="str">
        <f>IF(A5856="","",IF(E5856=H5856,"SIM","NÃO"))</f>
        <v>SIM</v>
      </c>
      <c r="J5856" s="341" t="str">
        <f>IF(A5856="","",VLOOKUP(A5856,VII.A!$A$10:$D$199,3,FALSE))</f>
        <v>H</v>
      </c>
      <c r="K5856" s="342" t="str">
        <f>IF(A5856="","",IF(J5856=D5856,"SIM","NÃO"))</f>
        <v>SIM</v>
      </c>
      <c r="L5856" s="380">
        <f>IF(C5856="","",G5819*C5856)</f>
        <v>291.67580000000004</v>
      </c>
      <c r="M5856" s="381" t="str">
        <f>IF(A5856="","",VLOOKUP(A5856,VII.A!$A$10:$B$199,2,FALSE))</f>
        <v>SERVENTE COM ENCARGOS COMPLEMENTARES</v>
      </c>
      <c r="N5856" s="342" t="str">
        <f>IF(B5856="","",IF(M5856=B5856,"si","no"))</f>
        <v>si</v>
      </c>
      <c r="R5856" s="341"/>
      <c r="S5856" s="341"/>
    </row>
    <row r="5857" spans="1:25" ht="12.75" customHeight="1">
      <c r="A5857" s="393"/>
      <c r="C5857" s="20"/>
      <c r="E5857" s="387"/>
      <c r="F5857" s="388">
        <f t="shared" si="1499"/>
        <v>0</v>
      </c>
      <c r="H5857" s="341" t="str">
        <f>IF(A5857="","",VLOOKUP(A5857,VII.A!$A$10:$D$199,4,FALSE))</f>
        <v/>
      </c>
      <c r="I5857" s="341" t="str">
        <f t="shared" si="1500"/>
        <v/>
      </c>
      <c r="J5857" s="341" t="str">
        <f>IF(A5857="","",VLOOKUP(A5857,VII.A!$A$10:$D$199,3,FALSE))</f>
        <v/>
      </c>
      <c r="K5857" s="342" t="str">
        <f t="shared" si="1501"/>
        <v/>
      </c>
      <c r="L5857" s="380" t="str">
        <f>IF(C5857="","",G5819*C5857)</f>
        <v/>
      </c>
      <c r="M5857" s="381" t="str">
        <f>IF(A5857="","",VLOOKUP(A5857,VII.A!$A$10:$B$199,2,FALSE))</f>
        <v/>
      </c>
      <c r="N5857" s="342" t="str">
        <f t="shared" si="1502"/>
        <v/>
      </c>
      <c r="R5857" s="341"/>
      <c r="S5857" s="341"/>
    </row>
    <row r="5858" spans="1:25" ht="12.75" customHeight="1">
      <c r="A5858" s="393"/>
      <c r="C5858" s="20"/>
      <c r="E5858" s="387"/>
      <c r="F5858" s="388">
        <f t="shared" si="1499"/>
        <v>0</v>
      </c>
      <c r="H5858" s="341" t="str">
        <f>IF(A5858="","",VLOOKUP(A5858,VII.A!$A$10:$D$199,4,FALSE))</f>
        <v/>
      </c>
      <c r="I5858" s="341" t="str">
        <f t="shared" si="1500"/>
        <v/>
      </c>
      <c r="J5858" s="341" t="str">
        <f>IF(A5858="","",VLOOKUP(A5858,VII.A!$A$10:$D$199,3,FALSE))</f>
        <v/>
      </c>
      <c r="K5858" s="342" t="str">
        <f t="shared" si="1501"/>
        <v/>
      </c>
      <c r="L5858" s="380" t="str">
        <f>IF(C5858="","",G5819*C5858)</f>
        <v/>
      </c>
      <c r="M5858" s="381" t="str">
        <f>IF(A5858="","",VLOOKUP(A5858,VII.A!$A$10:$B$199,2,FALSE))</f>
        <v/>
      </c>
      <c r="N5858" s="342" t="str">
        <f t="shared" si="1502"/>
        <v/>
      </c>
      <c r="R5858" s="341"/>
      <c r="S5858" s="341"/>
    </row>
    <row r="5859" spans="1:25" ht="12.75" customHeight="1">
      <c r="A5859" s="393"/>
      <c r="C5859" s="20"/>
      <c r="E5859" s="387"/>
      <c r="F5859" s="388">
        <f t="shared" si="1499"/>
        <v>0</v>
      </c>
      <c r="H5859" s="341" t="str">
        <f>IF(A5859="","",VLOOKUP(A5859,VII.A!$A$10:$D$199,4,FALSE))</f>
        <v/>
      </c>
      <c r="I5859" s="341" t="str">
        <f t="shared" si="1500"/>
        <v/>
      </c>
      <c r="J5859" s="341" t="str">
        <f>IF(A5859="","",VLOOKUP(A5859,VII.A!$A$10:$D$199,3,FALSE))</f>
        <v/>
      </c>
      <c r="K5859" s="342" t="str">
        <f t="shared" si="1501"/>
        <v/>
      </c>
      <c r="L5859" s="380" t="str">
        <f>IF(C5859="","",G5819*C5859)</f>
        <v/>
      </c>
      <c r="M5859" s="381" t="str">
        <f>IF(A5859="","",VLOOKUP(A5859,VII.A!$A$10:$B$199,2,FALSE))</f>
        <v/>
      </c>
      <c r="N5859" s="342" t="str">
        <f t="shared" si="1502"/>
        <v/>
      </c>
      <c r="R5859" s="341"/>
      <c r="S5859" s="341"/>
    </row>
    <row r="5860" spans="1:25" ht="12.75" customHeight="1">
      <c r="A5860" s="393"/>
      <c r="C5860" s="20"/>
      <c r="E5860" s="387"/>
      <c r="F5860" s="388">
        <f t="shared" si="1499"/>
        <v>0</v>
      </c>
      <c r="H5860" s="341" t="str">
        <f>IF(A5860="","",VLOOKUP(A5860,VII.A!$A$10:$D$199,4,FALSE))</f>
        <v/>
      </c>
      <c r="I5860" s="341" t="str">
        <f t="shared" si="1500"/>
        <v/>
      </c>
      <c r="J5860" s="341" t="str">
        <f>IF(A5860="","",VLOOKUP(A5860,VII.A!$A$10:$D$199,3,FALSE))</f>
        <v/>
      </c>
      <c r="K5860" s="342" t="str">
        <f t="shared" si="1501"/>
        <v/>
      </c>
      <c r="L5860" s="380" t="str">
        <f>IF(C5860="","",G5819*C5860)</f>
        <v/>
      </c>
      <c r="M5860" s="381" t="str">
        <f>IF(A5860="","",VLOOKUP(A5860,VII.A!$A$10:$B$199,2,FALSE))</f>
        <v/>
      </c>
      <c r="N5860" s="342" t="str">
        <f t="shared" si="1502"/>
        <v/>
      </c>
      <c r="R5860" s="341"/>
      <c r="S5860" s="341"/>
    </row>
    <row r="5861" spans="1:25" ht="12.75" customHeight="1">
      <c r="A5861" s="393"/>
      <c r="C5861" s="20"/>
      <c r="E5861" s="387"/>
      <c r="F5861" s="388">
        <f t="shared" si="1499"/>
        <v>0</v>
      </c>
      <c r="H5861" s="341" t="str">
        <f>IF(A5861="","",VLOOKUP(A5861,VII.A!$A$10:$D$199,4,FALSE))</f>
        <v/>
      </c>
      <c r="I5861" s="341" t="str">
        <f t="shared" si="1500"/>
        <v/>
      </c>
      <c r="J5861" s="341" t="str">
        <f>IF(A5861="","",VLOOKUP(A5861,VII.A!$A$10:$D$199,3,FALSE))</f>
        <v/>
      </c>
      <c r="K5861" s="342" t="str">
        <f t="shared" si="1501"/>
        <v/>
      </c>
      <c r="L5861" s="380" t="str">
        <f>IF(C5861="","",G5819*C5861)</f>
        <v/>
      </c>
      <c r="M5861" s="381" t="str">
        <f>IF(A5861="","",VLOOKUP(A5861,VII.A!$A$10:$B$199,2,FALSE))</f>
        <v/>
      </c>
      <c r="N5861" s="342" t="str">
        <f t="shared" si="1502"/>
        <v/>
      </c>
      <c r="R5861" s="341"/>
      <c r="S5861" s="341"/>
    </row>
    <row r="5862" spans="1:25" ht="12.75" customHeight="1">
      <c r="A5862" s="393"/>
      <c r="B5862" s="395" t="s">
        <v>226</v>
      </c>
      <c r="C5862" s="396"/>
      <c r="D5862" s="397"/>
      <c r="E5862" s="398"/>
      <c r="F5862" s="399">
        <f>SUM(F5855:F5861)</f>
        <v>0</v>
      </c>
      <c r="J5862" s="341"/>
      <c r="L5862" s="380"/>
      <c r="M5862" s="381"/>
      <c r="N5862" s="342"/>
      <c r="R5862" s="341"/>
      <c r="S5862" s="341"/>
    </row>
    <row r="5863" spans="1:25" ht="12.75" customHeight="1">
      <c r="A5863" s="393"/>
      <c r="B5863" s="400" t="s">
        <v>229</v>
      </c>
      <c r="C5863" s="2">
        <f>IX.A!$C$45</f>
        <v>0</v>
      </c>
      <c r="D5863" s="401"/>
      <c r="E5863" s="402"/>
      <c r="F5863" s="403">
        <f>ROUND(F5862*C5863,2)</f>
        <v>0</v>
      </c>
      <c r="J5863" s="341"/>
      <c r="L5863" s="380"/>
      <c r="M5863" s="381"/>
      <c r="N5863" s="342"/>
      <c r="R5863" s="341"/>
      <c r="S5863" s="341"/>
    </row>
    <row r="5864" spans="1:25" ht="12.75" customHeight="1">
      <c r="A5864" s="393"/>
      <c r="B5864" s="400" t="s">
        <v>53</v>
      </c>
      <c r="C5864" s="2">
        <f>$D$8</f>
        <v>0</v>
      </c>
      <c r="D5864" s="401"/>
      <c r="E5864" s="402"/>
      <c r="F5864" s="403">
        <f>ROUND(SUM(F5862:F5863)*C5864,2)</f>
        <v>0</v>
      </c>
      <c r="J5864" s="341"/>
      <c r="L5864" s="380"/>
      <c r="M5864" s="381"/>
      <c r="N5864" s="342"/>
      <c r="R5864" s="341"/>
      <c r="S5864" s="341"/>
    </row>
    <row r="5865" spans="1:25" ht="12.75" customHeight="1" thickBot="1">
      <c r="A5865" s="414"/>
      <c r="B5865" s="415" t="s">
        <v>230</v>
      </c>
      <c r="C5865" s="416"/>
      <c r="D5865" s="416"/>
      <c r="E5865" s="417"/>
      <c r="F5865" s="418">
        <f>SUM(F5862:F5864)</f>
        <v>0</v>
      </c>
      <c r="J5865" s="341"/>
      <c r="L5865" s="380"/>
      <c r="M5865" s="381"/>
      <c r="N5865" s="342"/>
      <c r="R5865" s="341"/>
      <c r="S5865" s="341"/>
    </row>
    <row r="5866" spans="1:25" ht="12.75" customHeight="1" thickBot="1">
      <c r="A5866" s="357"/>
      <c r="B5866" s="358"/>
      <c r="C5866" s="359"/>
      <c r="D5866" s="359"/>
      <c r="E5866" s="360"/>
      <c r="F5866" s="419"/>
      <c r="J5866" s="341"/>
      <c r="L5866" s="380"/>
      <c r="M5866" s="381"/>
      <c r="N5866" s="342"/>
      <c r="R5866" s="341"/>
      <c r="S5866" s="341"/>
    </row>
    <row r="5867" spans="1:25" ht="30" customHeight="1">
      <c r="A5867" s="370" t="str">
        <f>IV.A!$A$171</f>
        <v>7.15</v>
      </c>
      <c r="B5867" s="371" t="str">
        <f>IV.A!$B$171</f>
        <v>GUIA PRÉ-MOLDADA DE CONCRETO, ASSENTADA COM CONCRETO FCK=15MPA</v>
      </c>
      <c r="C5867" s="871" t="s">
        <v>237</v>
      </c>
      <c r="D5867" s="872"/>
      <c r="E5867" s="372" t="str">
        <f>IV.A!$C$171</f>
        <v>M</v>
      </c>
      <c r="F5867" s="11">
        <f>ROUND(F5887+F5901+F5913,2)</f>
        <v>0</v>
      </c>
      <c r="G5867" s="1">
        <f>VLOOKUP(A5867,IV.A!$A$16:$L$172,4,FALSE)</f>
        <v>1200</v>
      </c>
      <c r="H5867" s="361">
        <f>SUM(F5869:F5884)+F5886</f>
        <v>0</v>
      </c>
      <c r="I5867" s="361">
        <f>SUM(F5889:F5898)+F5900</f>
        <v>0</v>
      </c>
      <c r="J5867" s="361">
        <f>SUM(F5903:F5909)+F5911+F5912</f>
        <v>0</v>
      </c>
      <c r="K5867" s="361">
        <f>SUM(H5867:J5867)</f>
        <v>0</v>
      </c>
      <c r="L5867" s="362" t="str">
        <f>IF(K5867=F5867,"SIM","NÃO")</f>
        <v>SIM</v>
      </c>
      <c r="M5867" s="373">
        <f>ROUND(SUM(F5869:F5884),2)+ROUND(SUM(F5869:F5884)*C5886,2)+ROUND(SUM(F5889:F5898)*C5900,2)+ROUND(SUM(F5889:F5898),2)+ROUND(SUM(F5903:F5909)*C5911,2)+ROUND((SUM(F5903:F5909)+ROUND(SUM(F5903:F5909)*C5911,2))*C5912,2)+ROUND(SUM(F5903:F5909),2)</f>
        <v>0</v>
      </c>
      <c r="N5867" s="343" t="str">
        <f>IF(M5867=F5867,"SIM","NÃO")</f>
        <v>SIM</v>
      </c>
      <c r="O5867" s="364" t="str">
        <f>VLOOKUP(A5867,IV.A!$A$16:$E$172,3,FALSE)</f>
        <v>M</v>
      </c>
      <c r="P5867" s="344" t="str">
        <f>IF(O5867=E5867,"SIM","NÃO")</f>
        <v>SIM</v>
      </c>
      <c r="Q5867" s="365">
        <f>ROUND(G5867*F5887,2)+ROUND(G5867*F5901,2)+ROUND(G5867*F5913,2)</f>
        <v>0</v>
      </c>
      <c r="R5867" s="364">
        <f>VLOOKUP(A5867,IV.A!$A$16:$L$172,12,FALSE)</f>
        <v>0</v>
      </c>
      <c r="S5867" s="366" t="str">
        <f>IF(Q5867=R5867,"si","no")</f>
        <v>si</v>
      </c>
      <c r="T5867" s="367">
        <f>SUM(L5869:L5884)+SUM(L5889:L5898)+SUM(L5903:L5909)</f>
        <v>7676.9952000000003</v>
      </c>
      <c r="U5867" s="341">
        <f>(SUM(C5869:C5884)+SUM(C5889:C5898)+SUM(C5903:C5909))*G5867</f>
        <v>7676.9952000000003</v>
      </c>
      <c r="V5867" s="368" t="str">
        <f>IF(T5867=U5867,"si","no")</f>
        <v>si</v>
      </c>
      <c r="W5867" s="369">
        <f>SUM(F5869:F5884)</f>
        <v>0</v>
      </c>
      <c r="X5867" s="369">
        <f>SUM(F5889:F5898)</f>
        <v>0</v>
      </c>
      <c r="Y5867" s="369">
        <f>SUM(F5903:F5909)</f>
        <v>0</v>
      </c>
    </row>
    <row r="5868" spans="1:25" ht="12.75" customHeight="1">
      <c r="A5868" s="374" t="s">
        <v>14</v>
      </c>
      <c r="B5868" s="375" t="s">
        <v>132</v>
      </c>
      <c r="C5868" s="376" t="s">
        <v>231</v>
      </c>
      <c r="D5868" s="376" t="s">
        <v>232</v>
      </c>
      <c r="E5868" s="377" t="s">
        <v>233</v>
      </c>
      <c r="F5868" s="378" t="s">
        <v>234</v>
      </c>
      <c r="G5868" s="379"/>
      <c r="J5868" s="341"/>
      <c r="L5868" s="380"/>
      <c r="M5868" s="381"/>
      <c r="N5868" s="342"/>
      <c r="O5868" s="382"/>
      <c r="P5868" s="383"/>
      <c r="Q5868" s="383"/>
      <c r="R5868" s="383"/>
      <c r="S5868" s="383"/>
      <c r="T5868" s="382"/>
      <c r="U5868" s="341"/>
      <c r="V5868" s="384"/>
      <c r="W5868" s="384"/>
      <c r="X5868" s="384"/>
      <c r="Y5868" s="384"/>
    </row>
    <row r="5869" spans="1:25" ht="12.75" customHeight="1">
      <c r="A5869" s="385" t="str">
        <f>VII.A!$A$19</f>
        <v>1.10</v>
      </c>
      <c r="B5869" s="386" t="str">
        <f>VLOOKUP(A5869,VII.A!$A$10:$G$199,2,FALSE)</f>
        <v>AREIA MÉDIA LAVADA</v>
      </c>
      <c r="C5869" s="20">
        <f>0.0137104+0.00069</f>
        <v>1.4400399999999999E-2</v>
      </c>
      <c r="D5869" s="342" t="str">
        <f>VLOOKUP(A5869,VII.A!$A$10:$G$199,3,FALSE)</f>
        <v>M3</v>
      </c>
      <c r="E5869" s="387">
        <f>VII.A!$D$19</f>
        <v>0</v>
      </c>
      <c r="F5869" s="388">
        <f>ROUND(C5869*E5869,2)</f>
        <v>0</v>
      </c>
      <c r="H5869" s="341">
        <f>IF(A5869="","",VLOOKUP(A5869,VII.A!$A$10:$D$199,4,FALSE))</f>
        <v>0</v>
      </c>
      <c r="I5869" s="341" t="str">
        <f t="shared" ref="I5869:I5884" si="1503">IF(A5869="","",IF(E5869=H5869,"SIM","NÃO"))</f>
        <v>SIM</v>
      </c>
      <c r="J5869" s="341" t="str">
        <f>IF(A5869="","",VLOOKUP(A5869,VII.A!$A$10:$D$199,3,FALSE))</f>
        <v>M3</v>
      </c>
      <c r="K5869" s="342" t="str">
        <f t="shared" ref="K5869:K5884" si="1504">IF(A5869="","",IF(J5869=D5869,"SIM","NÃO"))</f>
        <v>SIM</v>
      </c>
      <c r="L5869" s="380">
        <f>IF(C5869="","",G5867*C5869)</f>
        <v>17.280479999999997</v>
      </c>
      <c r="M5869" s="381" t="str">
        <f>IF(A5869="","",VLOOKUP(A5869,VII.A!$A$10:$B$199,2,FALSE))</f>
        <v>AREIA MÉDIA LAVADA</v>
      </c>
      <c r="N5869" s="342" t="str">
        <f t="shared" ref="N5869:N5884" si="1505">IF(B5869="","",IF(M5869=B5869,"si","no"))</f>
        <v>si</v>
      </c>
      <c r="R5869" s="341"/>
      <c r="S5869" s="341"/>
    </row>
    <row r="5870" spans="1:25" ht="12.75" customHeight="1">
      <c r="A5870" s="385" t="str">
        <f>VII.A!$A$38</f>
        <v>1.29</v>
      </c>
      <c r="B5870" s="386" t="str">
        <f>VLOOKUP(A5870,VII.A!$A$10:$G$199,2,FALSE)</f>
        <v>CIMENTO PORTLAND CP II-E-32</v>
      </c>
      <c r="C5870" s="20">
        <f>4.47818+0.2649</f>
        <v>4.74308</v>
      </c>
      <c r="D5870" s="342" t="str">
        <f>VLOOKUP(A5870,VII.A!$A$10:$G$199,3,FALSE)</f>
        <v>KG</v>
      </c>
      <c r="E5870" s="387">
        <f>VII.A!$D$38</f>
        <v>0</v>
      </c>
      <c r="F5870" s="388">
        <f t="shared" ref="F5870:F5884" si="1506">ROUND(C5870*E5870,2)</f>
        <v>0</v>
      </c>
      <c r="H5870" s="341">
        <f>IF(A5870="","",VLOOKUP(A5870,VII.A!$A$10:$D$199,4,FALSE))</f>
        <v>0</v>
      </c>
      <c r="I5870" s="341" t="str">
        <f t="shared" si="1503"/>
        <v>SIM</v>
      </c>
      <c r="J5870" s="341" t="str">
        <f>IF(A5870="","",VLOOKUP(A5870,VII.A!$A$10:$D$199,3,FALSE))</f>
        <v>KG</v>
      </c>
      <c r="K5870" s="342" t="str">
        <f t="shared" si="1504"/>
        <v>SIM</v>
      </c>
      <c r="L5870" s="380">
        <f>IF(C5870="","",G5867*C5870)</f>
        <v>5691.6959999999999</v>
      </c>
      <c r="M5870" s="381" t="str">
        <f>IF(A5870="","",VLOOKUP(A5870,VII.A!$A$10:$B$199,2,FALSE))</f>
        <v>CIMENTO PORTLAND CP II-E-32</v>
      </c>
      <c r="N5870" s="342" t="str">
        <f t="shared" si="1505"/>
        <v>si</v>
      </c>
      <c r="R5870" s="341"/>
      <c r="S5870" s="341"/>
    </row>
    <row r="5871" spans="1:25" ht="12.75" customHeight="1">
      <c r="A5871" s="385" t="str">
        <f>VII.A!$A$65</f>
        <v>1.56</v>
      </c>
      <c r="B5871" s="386" t="str">
        <f>VLOOKUP(A5871,VII.A!$A$10:$G$199,2,FALSE)</f>
        <v>MEIO-FIO OU GUIA DE CONCRETO PRÉ-MOLDADA, COMPRIMENTO DE 1,0 M - 30 X 15 X 12 CM</v>
      </c>
      <c r="C5871" s="20">
        <v>1.04</v>
      </c>
      <c r="D5871" s="342" t="str">
        <f>VLOOKUP(A5871,VII.A!$A$10:$G$199,3,FALSE)</f>
        <v>UN</v>
      </c>
      <c r="E5871" s="387">
        <f>VII.A!$D$65</f>
        <v>0</v>
      </c>
      <c r="F5871" s="388">
        <f t="shared" si="1506"/>
        <v>0</v>
      </c>
      <c r="H5871" s="341">
        <f>IF(A5871="","",VLOOKUP(A5871,VII.A!$A$10:$D$199,4,FALSE))</f>
        <v>0</v>
      </c>
      <c r="I5871" s="341" t="str">
        <f t="shared" si="1503"/>
        <v>SIM</v>
      </c>
      <c r="J5871" s="341" t="str">
        <f>IF(A5871="","",VLOOKUP(A5871,VII.A!$A$10:$D$199,3,FALSE))</f>
        <v>UN</v>
      </c>
      <c r="K5871" s="342" t="str">
        <f t="shared" si="1504"/>
        <v>SIM</v>
      </c>
      <c r="L5871" s="380">
        <f>IF(C5871="","",G5867*C5871)</f>
        <v>1248</v>
      </c>
      <c r="M5871" s="381" t="str">
        <f>IF(A5871="","",VLOOKUP(A5871,VII.A!$A$10:$B$199,2,FALSE))</f>
        <v>MEIO-FIO OU GUIA DE CONCRETO PRÉ-MOLDADA, COMPRIMENTO DE 1,0 M - 30 X 15 X 12 CM</v>
      </c>
      <c r="N5871" s="342" t="str">
        <f t="shared" si="1505"/>
        <v>si</v>
      </c>
      <c r="R5871" s="341"/>
      <c r="S5871" s="341"/>
    </row>
    <row r="5872" spans="1:25" ht="12.75" customHeight="1">
      <c r="A5872" s="385" t="str">
        <f>VII.A!$A$82</f>
        <v>1.73</v>
      </c>
      <c r="B5872" s="386" t="str">
        <f>VLOOKUP(A5872,VII.A!$A$10:$G$199,2,FALSE)</f>
        <v>PEDRA BRITADA Nº 1 GRANULOMETRIA ENTRE (9,5 E 25,00 MM)</v>
      </c>
      <c r="C5872" s="20">
        <v>9.4955999999999999E-3</v>
      </c>
      <c r="D5872" s="342" t="str">
        <f>VLOOKUP(A5872,VII.A!$A$10:$G$199,3,FALSE)</f>
        <v>M3</v>
      </c>
      <c r="E5872" s="387">
        <f>VII.A!$D$82</f>
        <v>0</v>
      </c>
      <c r="F5872" s="388">
        <f t="shared" si="1506"/>
        <v>0</v>
      </c>
      <c r="H5872" s="341">
        <f>IF(A5872="","",VLOOKUP(A5872,VII.A!$A$10:$D$199,4,FALSE))</f>
        <v>0</v>
      </c>
      <c r="I5872" s="341" t="str">
        <f t="shared" si="1503"/>
        <v>SIM</v>
      </c>
      <c r="J5872" s="341" t="str">
        <f>IF(A5872="","",VLOOKUP(A5872,VII.A!$A$10:$D$199,3,FALSE))</f>
        <v>M3</v>
      </c>
      <c r="K5872" s="342" t="str">
        <f t="shared" si="1504"/>
        <v>SIM</v>
      </c>
      <c r="L5872" s="380">
        <f>IF(C5872="","",G5867*C5872)</f>
        <v>11.39472</v>
      </c>
      <c r="M5872" s="381" t="str">
        <f>IF(A5872="","",VLOOKUP(A5872,VII.A!$A$10:$B$199,2,FALSE))</f>
        <v>PEDRA BRITADA Nº 1 GRANULOMETRIA ENTRE (9,5 E 25,00 MM)</v>
      </c>
      <c r="N5872" s="342" t="str">
        <f t="shared" si="1505"/>
        <v>si</v>
      </c>
      <c r="R5872" s="341"/>
      <c r="S5872" s="341"/>
    </row>
    <row r="5873" spans="1:21" ht="12.75" customHeight="1">
      <c r="A5873" s="385"/>
      <c r="B5873" s="386"/>
      <c r="C5873" s="20"/>
      <c r="D5873" s="342"/>
      <c r="E5873" s="387"/>
      <c r="F5873" s="388">
        <f t="shared" si="1506"/>
        <v>0</v>
      </c>
      <c r="H5873" s="341" t="str">
        <f>IF(A5873="","",VLOOKUP(A5873,VII.A!$A$10:$D$199,4,FALSE))</f>
        <v/>
      </c>
      <c r="I5873" s="341" t="str">
        <f t="shared" si="1503"/>
        <v/>
      </c>
      <c r="J5873" s="341" t="str">
        <f>IF(A5873="","",VLOOKUP(A5873,VII.A!$A$10:$D$199,3,FALSE))</f>
        <v/>
      </c>
      <c r="K5873" s="342" t="str">
        <f t="shared" si="1504"/>
        <v/>
      </c>
      <c r="L5873" s="380" t="str">
        <f>IF(C5873="","",G5867*C5873)</f>
        <v/>
      </c>
      <c r="M5873" s="381" t="str">
        <f>IF(A5873="","",VLOOKUP(A5873,VII.A!$A$10:$B$199,2,FALSE))</f>
        <v/>
      </c>
      <c r="N5873" s="342" t="str">
        <f t="shared" si="1505"/>
        <v/>
      </c>
      <c r="R5873" s="341"/>
      <c r="S5873" s="341"/>
    </row>
    <row r="5874" spans="1:21" ht="12.75" customHeight="1">
      <c r="A5874" s="385"/>
      <c r="B5874" s="386"/>
      <c r="C5874" s="20"/>
      <c r="D5874" s="342"/>
      <c r="E5874" s="387"/>
      <c r="F5874" s="388">
        <f t="shared" si="1506"/>
        <v>0</v>
      </c>
      <c r="H5874" s="341" t="str">
        <f>IF(A5874="","",VLOOKUP(A5874,VII.A!$A$10:$D$199,4,FALSE))</f>
        <v/>
      </c>
      <c r="I5874" s="341" t="str">
        <f t="shared" si="1503"/>
        <v/>
      </c>
      <c r="J5874" s="341" t="str">
        <f>IF(A5874="","",VLOOKUP(A5874,VII.A!$A$10:$D$199,3,FALSE))</f>
        <v/>
      </c>
      <c r="K5874" s="342" t="str">
        <f t="shared" si="1504"/>
        <v/>
      </c>
      <c r="L5874" s="380" t="str">
        <f>IF(C5874="","",G5867*C5874)</f>
        <v/>
      </c>
      <c r="M5874" s="381" t="str">
        <f>IF(A5874="","",VLOOKUP(A5874,VII.A!$A$10:$B$199,2,FALSE))</f>
        <v/>
      </c>
      <c r="N5874" s="342" t="str">
        <f t="shared" si="1505"/>
        <v/>
      </c>
      <c r="R5874" s="341"/>
      <c r="S5874" s="341"/>
      <c r="U5874" s="389"/>
    </row>
    <row r="5875" spans="1:21" ht="12.75" customHeight="1">
      <c r="A5875" s="385"/>
      <c r="B5875" s="386"/>
      <c r="C5875" s="20"/>
      <c r="D5875" s="342"/>
      <c r="E5875" s="387"/>
      <c r="F5875" s="388">
        <f t="shared" si="1506"/>
        <v>0</v>
      </c>
      <c r="H5875" s="341" t="str">
        <f>IF(A5875="","",VLOOKUP(A5875,VII.A!$A$10:$D$199,4,FALSE))</f>
        <v/>
      </c>
      <c r="I5875" s="341" t="str">
        <f t="shared" si="1503"/>
        <v/>
      </c>
      <c r="J5875" s="341" t="str">
        <f>IF(A5875="","",VLOOKUP(A5875,VII.A!$A$10:$D$199,3,FALSE))</f>
        <v/>
      </c>
      <c r="K5875" s="342" t="str">
        <f t="shared" si="1504"/>
        <v/>
      </c>
      <c r="L5875" s="380" t="str">
        <f>IF(C5875="","",G5867*C5875)</f>
        <v/>
      </c>
      <c r="M5875" s="381" t="str">
        <f>IF(A5875="","",VLOOKUP(A5875,VII.A!$A$10:$B$199,2,FALSE))</f>
        <v/>
      </c>
      <c r="N5875" s="342" t="str">
        <f t="shared" si="1505"/>
        <v/>
      </c>
      <c r="R5875" s="341"/>
      <c r="S5875" s="341"/>
    </row>
    <row r="5876" spans="1:21" ht="12.75" customHeight="1">
      <c r="A5876" s="385"/>
      <c r="B5876" s="386"/>
      <c r="C5876" s="20"/>
      <c r="D5876" s="342"/>
      <c r="E5876" s="387"/>
      <c r="F5876" s="388">
        <f t="shared" si="1506"/>
        <v>0</v>
      </c>
      <c r="G5876" s="390"/>
      <c r="H5876" s="341" t="str">
        <f>IF(A5876="","",VLOOKUP(A5876,VII.A!$A$10:$D$199,4,FALSE))</f>
        <v/>
      </c>
      <c r="I5876" s="341" t="str">
        <f t="shared" si="1503"/>
        <v/>
      </c>
      <c r="J5876" s="341" t="str">
        <f>IF(A5876="","",VLOOKUP(A5876,VII.A!$A$10:$D$199,3,FALSE))</f>
        <v/>
      </c>
      <c r="K5876" s="342" t="str">
        <f t="shared" si="1504"/>
        <v/>
      </c>
      <c r="L5876" s="380" t="str">
        <f>IF(C5876="","",G5867*C5876)</f>
        <v/>
      </c>
      <c r="M5876" s="381" t="str">
        <f>IF(A5876="","",VLOOKUP(A5876,VII.A!$A$10:$B$199,2,FALSE))</f>
        <v/>
      </c>
      <c r="N5876" s="342" t="str">
        <f t="shared" si="1505"/>
        <v/>
      </c>
      <c r="R5876" s="341"/>
      <c r="S5876" s="341"/>
    </row>
    <row r="5877" spans="1:21" ht="12.75" customHeight="1">
      <c r="A5877" s="385"/>
      <c r="B5877" s="386"/>
      <c r="C5877" s="20"/>
      <c r="D5877" s="342"/>
      <c r="E5877" s="387"/>
      <c r="F5877" s="388">
        <f t="shared" si="1506"/>
        <v>0</v>
      </c>
      <c r="G5877" s="390"/>
      <c r="H5877" s="341" t="str">
        <f>IF(A5877="","",VLOOKUP(A5877,VII.A!$A$10:$D$199,4,FALSE))</f>
        <v/>
      </c>
      <c r="I5877" s="341" t="str">
        <f t="shared" si="1503"/>
        <v/>
      </c>
      <c r="J5877" s="341" t="str">
        <f>IF(A5877="","",VLOOKUP(A5877,VII.A!$A$10:$D$199,3,FALSE))</f>
        <v/>
      </c>
      <c r="K5877" s="342" t="str">
        <f t="shared" si="1504"/>
        <v/>
      </c>
      <c r="L5877" s="380" t="str">
        <f>IF(C5877="","",G5867*C5877)</f>
        <v/>
      </c>
      <c r="M5877" s="381" t="str">
        <f>IF(A5877="","",VLOOKUP(A5877,VII.A!$A$10:$B$199,2,FALSE))</f>
        <v/>
      </c>
      <c r="N5877" s="342" t="str">
        <f t="shared" si="1505"/>
        <v/>
      </c>
      <c r="R5877" s="341"/>
      <c r="S5877" s="341"/>
    </row>
    <row r="5878" spans="1:21" ht="12.75" customHeight="1">
      <c r="A5878" s="385"/>
      <c r="B5878" s="386"/>
      <c r="C5878" s="20"/>
      <c r="D5878" s="342"/>
      <c r="E5878" s="387"/>
      <c r="F5878" s="388">
        <f t="shared" si="1506"/>
        <v>0</v>
      </c>
      <c r="G5878" s="391"/>
      <c r="H5878" s="341" t="str">
        <f>IF(A5878="","",VLOOKUP(A5878,VII.A!$A$10:$D$199,4,FALSE))</f>
        <v/>
      </c>
      <c r="I5878" s="341" t="str">
        <f t="shared" si="1503"/>
        <v/>
      </c>
      <c r="J5878" s="341" t="str">
        <f>IF(A5878="","",VLOOKUP(A5878,VII.A!$A$10:$D$199,3,FALSE))</f>
        <v/>
      </c>
      <c r="K5878" s="342" t="str">
        <f t="shared" si="1504"/>
        <v/>
      </c>
      <c r="L5878" s="380" t="str">
        <f>IF(C5878="","",G5867*C5878)</f>
        <v/>
      </c>
      <c r="M5878" s="381" t="str">
        <f>IF(A5878="","",VLOOKUP(A5878,VII.A!$A$10:$B$199,2,FALSE))</f>
        <v/>
      </c>
      <c r="N5878" s="342" t="str">
        <f t="shared" si="1505"/>
        <v/>
      </c>
      <c r="R5878" s="341"/>
      <c r="S5878" s="341"/>
    </row>
    <row r="5879" spans="1:21" ht="12.75" customHeight="1">
      <c r="A5879" s="385"/>
      <c r="B5879" s="386"/>
      <c r="C5879" s="20"/>
      <c r="D5879" s="342"/>
      <c r="E5879" s="387"/>
      <c r="F5879" s="388">
        <f t="shared" si="1506"/>
        <v>0</v>
      </c>
      <c r="H5879" s="341" t="str">
        <f>IF(A5879="","",VLOOKUP(A5879,VII.A!$A$10:$D$199,4,FALSE))</f>
        <v/>
      </c>
      <c r="I5879" s="341" t="str">
        <f t="shared" si="1503"/>
        <v/>
      </c>
      <c r="J5879" s="341" t="str">
        <f>IF(A5879="","",VLOOKUP(A5879,VII.A!$A$10:$D$199,3,FALSE))</f>
        <v/>
      </c>
      <c r="K5879" s="342" t="str">
        <f t="shared" si="1504"/>
        <v/>
      </c>
      <c r="L5879" s="380" t="str">
        <f>IF(C5879="","",G5867*C5879)</f>
        <v/>
      </c>
      <c r="M5879" s="381" t="str">
        <f>IF(A5879="","",VLOOKUP(A5879,VII.A!$A$10:$B$199,2,FALSE))</f>
        <v/>
      </c>
      <c r="N5879" s="342" t="str">
        <f t="shared" si="1505"/>
        <v/>
      </c>
      <c r="R5879" s="341"/>
      <c r="S5879" s="341"/>
    </row>
    <row r="5880" spans="1:21" ht="12.75" customHeight="1">
      <c r="A5880" s="385"/>
      <c r="B5880" s="386"/>
      <c r="C5880" s="20"/>
      <c r="D5880" s="392"/>
      <c r="E5880" s="387"/>
      <c r="F5880" s="388">
        <f t="shared" si="1506"/>
        <v>0</v>
      </c>
      <c r="H5880" s="341" t="str">
        <f>IF(A5880="","",VLOOKUP(A5880,VII.A!$A$10:$D$199,4,FALSE))</f>
        <v/>
      </c>
      <c r="I5880" s="341" t="str">
        <f t="shared" si="1503"/>
        <v/>
      </c>
      <c r="J5880" s="341" t="str">
        <f>IF(A5880="","",VLOOKUP(A5880,VII.A!$A$10:$D$199,3,FALSE))</f>
        <v/>
      </c>
      <c r="K5880" s="342" t="str">
        <f t="shared" si="1504"/>
        <v/>
      </c>
      <c r="L5880" s="380" t="str">
        <f>IF(C5880="","",G5867*C5880)</f>
        <v/>
      </c>
      <c r="M5880" s="381" t="str">
        <f>IF(A5880="","",VLOOKUP(A5880,VII.A!$A$10:$B$199,2,FALSE))</f>
        <v/>
      </c>
      <c r="N5880" s="342" t="str">
        <f t="shared" si="1505"/>
        <v/>
      </c>
      <c r="R5880" s="341"/>
      <c r="S5880" s="341"/>
    </row>
    <row r="5881" spans="1:21" ht="12.75" customHeight="1">
      <c r="A5881" s="385"/>
      <c r="B5881" s="386"/>
      <c r="C5881" s="20"/>
      <c r="D5881" s="392"/>
      <c r="E5881" s="387"/>
      <c r="F5881" s="388">
        <f t="shared" si="1506"/>
        <v>0</v>
      </c>
      <c r="H5881" s="341" t="str">
        <f>IF(A5881="","",VLOOKUP(A5881,VII.A!$A$10:$D$199,4,FALSE))</f>
        <v/>
      </c>
      <c r="I5881" s="341" t="str">
        <f t="shared" si="1503"/>
        <v/>
      </c>
      <c r="J5881" s="341" t="str">
        <f>IF(A5881="","",VLOOKUP(A5881,VII.A!$A$10:$D$199,3,FALSE))</f>
        <v/>
      </c>
      <c r="K5881" s="342" t="str">
        <f t="shared" si="1504"/>
        <v/>
      </c>
      <c r="L5881" s="380" t="str">
        <f>IF(C5881="","",G5867*C5881)</f>
        <v/>
      </c>
      <c r="M5881" s="381" t="str">
        <f>IF(A5881="","",VLOOKUP(A5881,VII.A!$A$10:$B$199,2,FALSE))</f>
        <v/>
      </c>
      <c r="N5881" s="342" t="str">
        <f t="shared" si="1505"/>
        <v/>
      </c>
      <c r="O5881" s="342"/>
      <c r="R5881" s="341"/>
      <c r="S5881" s="341"/>
    </row>
    <row r="5882" spans="1:21" ht="12.75" customHeight="1">
      <c r="A5882" s="385"/>
      <c r="B5882" s="386"/>
      <c r="C5882" s="20"/>
      <c r="D5882" s="392"/>
      <c r="E5882" s="387"/>
      <c r="F5882" s="388">
        <f t="shared" si="1506"/>
        <v>0</v>
      </c>
      <c r="H5882" s="341" t="str">
        <f>IF(A5882="","",VLOOKUP(A5882,VII.A!$A$10:$D$199,4,FALSE))</f>
        <v/>
      </c>
      <c r="I5882" s="341" t="str">
        <f t="shared" si="1503"/>
        <v/>
      </c>
      <c r="J5882" s="341" t="str">
        <f>IF(A5882="","",VLOOKUP(A5882,VII.A!$A$10:$D$199,3,FALSE))</f>
        <v/>
      </c>
      <c r="K5882" s="342" t="str">
        <f t="shared" si="1504"/>
        <v/>
      </c>
      <c r="L5882" s="380" t="str">
        <f>IF(C5882="","",G5867*C5882)</f>
        <v/>
      </c>
      <c r="M5882" s="381" t="str">
        <f>IF(A5882="","",VLOOKUP(A5882,VII.A!$A$10:$B$199,2,FALSE))</f>
        <v/>
      </c>
      <c r="N5882" s="342" t="str">
        <f t="shared" si="1505"/>
        <v/>
      </c>
      <c r="R5882" s="341"/>
      <c r="S5882" s="341"/>
    </row>
    <row r="5883" spans="1:21" ht="12.75" customHeight="1">
      <c r="A5883" s="393"/>
      <c r="C5883" s="20"/>
      <c r="E5883" s="387"/>
      <c r="F5883" s="388">
        <f t="shared" si="1506"/>
        <v>0</v>
      </c>
      <c r="H5883" s="341" t="str">
        <f>IF(A5883="","",VLOOKUP(A5883,VII.A!$A$10:$D$199,4,FALSE))</f>
        <v/>
      </c>
      <c r="I5883" s="341" t="str">
        <f t="shared" si="1503"/>
        <v/>
      </c>
      <c r="J5883" s="341" t="str">
        <f>IF(A5883="","",VLOOKUP(A5883,VII.A!$A$10:$D$199,3,FALSE))</f>
        <v/>
      </c>
      <c r="K5883" s="342" t="str">
        <f t="shared" si="1504"/>
        <v/>
      </c>
      <c r="L5883" s="380" t="str">
        <f>IF(C5883="","",G5867*C5883)</f>
        <v/>
      </c>
      <c r="M5883" s="381" t="str">
        <f>IF(A5883="","",VLOOKUP(A5883,VII.A!$A$10:$B$199,2,FALSE))</f>
        <v/>
      </c>
      <c r="N5883" s="342" t="str">
        <f t="shared" si="1505"/>
        <v/>
      </c>
      <c r="R5883" s="341"/>
      <c r="S5883" s="341"/>
    </row>
    <row r="5884" spans="1:21" ht="12.75" customHeight="1">
      <c r="A5884" s="393"/>
      <c r="C5884" s="20"/>
      <c r="E5884" s="387"/>
      <c r="F5884" s="388">
        <f t="shared" si="1506"/>
        <v>0</v>
      </c>
      <c r="H5884" s="341" t="str">
        <f>IF(A5884="","",VLOOKUP(A5884,VII.A!$A$10:$D$199,4,FALSE))</f>
        <v/>
      </c>
      <c r="I5884" s="341" t="str">
        <f t="shared" si="1503"/>
        <v/>
      </c>
      <c r="J5884" s="341" t="str">
        <f>IF(A5884="","",VLOOKUP(A5884,VII.A!$A$10:$D$199,3,FALSE))</f>
        <v/>
      </c>
      <c r="K5884" s="342" t="str">
        <f t="shared" si="1504"/>
        <v/>
      </c>
      <c r="L5884" s="380" t="str">
        <f>IF(C5884="","",G5867*C5884)</f>
        <v/>
      </c>
      <c r="M5884" s="381" t="str">
        <f>IF(A5884="","",VLOOKUP(A5884,VII.A!$A$10:$B$199,2,FALSE))</f>
        <v/>
      </c>
      <c r="N5884" s="342" t="str">
        <f t="shared" si="1505"/>
        <v/>
      </c>
      <c r="R5884" s="341"/>
      <c r="S5884" s="341"/>
    </row>
    <row r="5885" spans="1:21" ht="12.75" customHeight="1">
      <c r="A5885" s="393"/>
      <c r="B5885" s="395" t="s">
        <v>226</v>
      </c>
      <c r="C5885" s="396"/>
      <c r="D5885" s="397"/>
      <c r="E5885" s="398"/>
      <c r="F5885" s="399">
        <f>SUM(F5869:F5884)</f>
        <v>0</v>
      </c>
      <c r="H5885" s="426" t="s">
        <v>397</v>
      </c>
      <c r="J5885" s="341"/>
      <c r="L5885" s="380"/>
      <c r="M5885" s="381"/>
      <c r="N5885" s="342"/>
      <c r="R5885" s="341"/>
      <c r="S5885" s="341"/>
    </row>
    <row r="5886" spans="1:21" ht="12.75" customHeight="1">
      <c r="A5886" s="393"/>
      <c r="B5886" s="400" t="s">
        <v>53</v>
      </c>
      <c r="C5886" s="2">
        <f>$D$8</f>
        <v>0</v>
      </c>
      <c r="D5886" s="401"/>
      <c r="E5886" s="402"/>
      <c r="F5886" s="403">
        <f>ROUND(F5885*C5886,2)</f>
        <v>0</v>
      </c>
      <c r="J5886" s="341"/>
      <c r="L5886" s="380"/>
      <c r="M5886" s="381"/>
      <c r="N5886" s="342"/>
      <c r="R5886" s="341"/>
      <c r="S5886" s="341"/>
    </row>
    <row r="5887" spans="1:21" ht="12.75" customHeight="1">
      <c r="A5887" s="404"/>
      <c r="B5887" s="405" t="s">
        <v>227</v>
      </c>
      <c r="C5887" s="406"/>
      <c r="D5887" s="406"/>
      <c r="E5887" s="407"/>
      <c r="F5887" s="408">
        <f>F5885+F5886</f>
        <v>0</v>
      </c>
      <c r="J5887" s="341"/>
      <c r="L5887" s="380"/>
      <c r="M5887" s="381"/>
      <c r="N5887" s="342"/>
      <c r="R5887" s="341"/>
      <c r="S5887" s="341"/>
    </row>
    <row r="5888" spans="1:21" ht="12.75" customHeight="1">
      <c r="A5888" s="374" t="s">
        <v>2</v>
      </c>
      <c r="B5888" s="375" t="s">
        <v>235</v>
      </c>
      <c r="C5888" s="376" t="s">
        <v>231</v>
      </c>
      <c r="D5888" s="376" t="s">
        <v>232</v>
      </c>
      <c r="E5888" s="377" t="s">
        <v>233</v>
      </c>
      <c r="F5888" s="378" t="s">
        <v>234</v>
      </c>
      <c r="J5888" s="341"/>
      <c r="L5888" s="380"/>
      <c r="M5888" s="381"/>
      <c r="N5888" s="342"/>
      <c r="R5888" s="341"/>
      <c r="S5888" s="341"/>
    </row>
    <row r="5889" spans="1:19" ht="12.75" customHeight="1">
      <c r="A5889" s="393" t="str">
        <f>VII.A!$A$149</f>
        <v>2.7</v>
      </c>
      <c r="B5889" s="423" t="str">
        <f>VLOOKUP(A5889,VII.A!$A$10:$G$199,2,FALSE)</f>
        <v>BETONEIRA, CAPACIDADE NOMINAL DE 400L, MOTOR ELÉTRICO TRIFÁSICO DE  2CV - CHP</v>
      </c>
      <c r="C5889" s="20">
        <f>0.012464+0.000474</f>
        <v>1.2938E-2</v>
      </c>
      <c r="D5889" s="384" t="str">
        <f>VLOOKUP(A5889,VII.A!$A$10:$G$199,3,FALSE)</f>
        <v>CHP</v>
      </c>
      <c r="E5889" s="387">
        <f>VII.A!$D$149</f>
        <v>0</v>
      </c>
      <c r="F5889" s="388">
        <f t="shared" ref="F5889:F5898" si="1507">ROUND(C5889*E5889,2)</f>
        <v>0</v>
      </c>
      <c r="H5889" s="341">
        <f>IF(A5889="","",VLOOKUP(A5889,VII.A!$A$10:$D$199,4,FALSE))</f>
        <v>0</v>
      </c>
      <c r="I5889" s="341" t="str">
        <f t="shared" ref="I5889:I5898" si="1508">IF(A5889="","",IF(E5889=H5889,"SIM","NÃO"))</f>
        <v>SIM</v>
      </c>
      <c r="J5889" s="341" t="str">
        <f>IF(A5889="","",VLOOKUP(A5889,VII.A!$A$10:$D$199,3,FALSE))</f>
        <v>CHP</v>
      </c>
      <c r="K5889" s="342" t="str">
        <f t="shared" ref="K5889:K5898" si="1509">IF(A5889="","",IF(J5889=D5889,"SIM","NÃO"))</f>
        <v>SIM</v>
      </c>
      <c r="L5889" s="380">
        <f>IF(C5889="","",G5867*C5889)</f>
        <v>15.525599999999999</v>
      </c>
      <c r="M5889" s="381" t="str">
        <f>IF(A5889="","",VLOOKUP(A5889,VII.A!$A$10:$B$199,2,FALSE))</f>
        <v>BETONEIRA, CAPACIDADE NOMINAL DE 400L, MOTOR ELÉTRICO TRIFÁSICO DE  2CV - CHP</v>
      </c>
      <c r="N5889" s="342" t="str">
        <f t="shared" ref="N5889:N5898" si="1510">IF(B5889="","",IF(M5889=B5889,"si","no"))</f>
        <v>si</v>
      </c>
      <c r="R5889" s="341"/>
      <c r="S5889" s="341"/>
    </row>
    <row r="5890" spans="1:19" ht="12.75" customHeight="1">
      <c r="A5890" s="393" t="str">
        <f>VII.A!$A$148</f>
        <v>2.6</v>
      </c>
      <c r="B5890" s="423" t="str">
        <f>VLOOKUP(A5890,VII.A!$A$10:$G$199,2,FALSE)</f>
        <v>BETONEIRA, CAPACIDADE NOMINAL DE 400L, MOTOR ELÉTRICO TRIFÁSICO DE  2CV - CHI</v>
      </c>
      <c r="C5890" s="20">
        <f>0.011644+0.001572</f>
        <v>1.3216E-2</v>
      </c>
      <c r="D5890" s="384" t="str">
        <f>VLOOKUP(A5890,VII.A!$A$10:$G$199,3,FALSE)</f>
        <v>CHI</v>
      </c>
      <c r="E5890" s="387">
        <f>VII.A!$D$148</f>
        <v>0</v>
      </c>
      <c r="F5890" s="388">
        <f t="shared" si="1507"/>
        <v>0</v>
      </c>
      <c r="H5890" s="341">
        <f>IF(A5890="","",VLOOKUP(A5890,VII.A!$A$10:$D$199,4,FALSE))</f>
        <v>0</v>
      </c>
      <c r="I5890" s="341" t="str">
        <f t="shared" si="1508"/>
        <v>SIM</v>
      </c>
      <c r="J5890" s="341" t="str">
        <f>IF(A5890="","",VLOOKUP(A5890,VII.A!$A$10:$D$199,3,FALSE))</f>
        <v>CHI</v>
      </c>
      <c r="K5890" s="342" t="str">
        <f t="shared" si="1509"/>
        <v>SIM</v>
      </c>
      <c r="L5890" s="380">
        <f>IF(C5890="","",G5867*C5890)</f>
        <v>15.8592</v>
      </c>
      <c r="M5890" s="381" t="str">
        <f>IF(A5890="","",VLOOKUP(A5890,VII.A!$A$10:$B$199,2,FALSE))</f>
        <v>BETONEIRA, CAPACIDADE NOMINAL DE 400L, MOTOR ELÉTRICO TRIFÁSICO DE  2CV - CHI</v>
      </c>
      <c r="N5890" s="342" t="str">
        <f t="shared" si="1510"/>
        <v>si</v>
      </c>
      <c r="R5890" s="341"/>
      <c r="S5890" s="341"/>
    </row>
    <row r="5891" spans="1:19" ht="12.75" customHeight="1">
      <c r="A5891" s="393"/>
      <c r="C5891" s="20"/>
      <c r="E5891" s="387"/>
      <c r="F5891" s="388">
        <f t="shared" si="1507"/>
        <v>0</v>
      </c>
      <c r="H5891" s="341" t="str">
        <f>IF(A5891="","",VLOOKUP(A5891,VII.A!$A$10:$D$199,4,FALSE))</f>
        <v/>
      </c>
      <c r="I5891" s="341" t="str">
        <f t="shared" si="1508"/>
        <v/>
      </c>
      <c r="J5891" s="341" t="str">
        <f>IF(A5891="","",VLOOKUP(A5891,VII.A!$A$10:$D$199,3,FALSE))</f>
        <v/>
      </c>
      <c r="K5891" s="342" t="str">
        <f t="shared" si="1509"/>
        <v/>
      </c>
      <c r="L5891" s="380" t="str">
        <f>IF(C5891="","",G5867*C5891)</f>
        <v/>
      </c>
      <c r="M5891" s="381" t="str">
        <f>IF(A5891="","",VLOOKUP(A5891,VII.A!$A$10:$B$199,2,FALSE))</f>
        <v/>
      </c>
      <c r="N5891" s="342" t="str">
        <f t="shared" si="1510"/>
        <v/>
      </c>
      <c r="R5891" s="341"/>
      <c r="S5891" s="341"/>
    </row>
    <row r="5892" spans="1:19" ht="12.75" customHeight="1">
      <c r="A5892" s="393"/>
      <c r="C5892" s="20"/>
      <c r="E5892" s="387"/>
      <c r="F5892" s="388">
        <f t="shared" si="1507"/>
        <v>0</v>
      </c>
      <c r="H5892" s="341" t="str">
        <f>IF(A5892="","",VLOOKUP(A5892,VII.A!$A$10:$D$199,4,FALSE))</f>
        <v/>
      </c>
      <c r="I5892" s="341" t="str">
        <f t="shared" si="1508"/>
        <v/>
      </c>
      <c r="J5892" s="341" t="str">
        <f>IF(A5892="","",VLOOKUP(A5892,VII.A!$A$10:$D$199,3,FALSE))</f>
        <v/>
      </c>
      <c r="K5892" s="342" t="str">
        <f t="shared" si="1509"/>
        <v/>
      </c>
      <c r="L5892" s="380" t="str">
        <f>IF(C5892="","",G5867*C5892)</f>
        <v/>
      </c>
      <c r="M5892" s="381" t="str">
        <f>IF(A5892="","",VLOOKUP(A5892,VII.A!$A$10:$B$199,2,FALSE))</f>
        <v/>
      </c>
      <c r="N5892" s="342" t="str">
        <f t="shared" si="1510"/>
        <v/>
      </c>
      <c r="R5892" s="341"/>
      <c r="S5892" s="341"/>
    </row>
    <row r="5893" spans="1:19" ht="12.75" customHeight="1">
      <c r="A5893" s="393"/>
      <c r="C5893" s="20"/>
      <c r="E5893" s="387"/>
      <c r="F5893" s="388">
        <f t="shared" si="1507"/>
        <v>0</v>
      </c>
      <c r="G5893" s="390"/>
      <c r="H5893" s="341" t="str">
        <f>IF(A5893="","",VLOOKUP(A5893,VII.A!$A$10:$D$199,4,FALSE))</f>
        <v/>
      </c>
      <c r="I5893" s="341" t="str">
        <f t="shared" si="1508"/>
        <v/>
      </c>
      <c r="J5893" s="341" t="str">
        <f>IF(A5893="","",VLOOKUP(A5893,VII.A!$A$10:$D$199,3,FALSE))</f>
        <v/>
      </c>
      <c r="K5893" s="342" t="str">
        <f t="shared" si="1509"/>
        <v/>
      </c>
      <c r="L5893" s="380" t="str">
        <f>IF(C5893="","",G5867*C5893)</f>
        <v/>
      </c>
      <c r="M5893" s="381" t="str">
        <f>IF(A5893="","",VLOOKUP(A5893,VII.A!$A$10:$B$199,2,FALSE))</f>
        <v/>
      </c>
      <c r="N5893" s="342" t="str">
        <f t="shared" si="1510"/>
        <v/>
      </c>
      <c r="R5893" s="341"/>
      <c r="S5893" s="341"/>
    </row>
    <row r="5894" spans="1:19" ht="12.75" customHeight="1">
      <c r="A5894" s="393"/>
      <c r="C5894" s="20"/>
      <c r="E5894" s="387"/>
      <c r="F5894" s="388">
        <f t="shared" si="1507"/>
        <v>0</v>
      </c>
      <c r="G5894" s="391"/>
      <c r="H5894" s="341" t="str">
        <f>IF(A5894="","",VLOOKUP(A5894,VII.A!$A$10:$D$199,4,FALSE))</f>
        <v/>
      </c>
      <c r="I5894" s="341" t="str">
        <f t="shared" si="1508"/>
        <v/>
      </c>
      <c r="J5894" s="341" t="str">
        <f>IF(A5894="","",VLOOKUP(A5894,VII.A!$A$10:$D$199,3,FALSE))</f>
        <v/>
      </c>
      <c r="K5894" s="342" t="str">
        <f t="shared" si="1509"/>
        <v/>
      </c>
      <c r="L5894" s="380" t="str">
        <f>IF(C5894="","",G5867*C5894)</f>
        <v/>
      </c>
      <c r="M5894" s="381" t="str">
        <f>IF(A5894="","",VLOOKUP(A5894,VII.A!$A$10:$B$199,2,FALSE))</f>
        <v/>
      </c>
      <c r="N5894" s="342" t="str">
        <f t="shared" si="1510"/>
        <v/>
      </c>
      <c r="R5894" s="341"/>
      <c r="S5894" s="341"/>
    </row>
    <row r="5895" spans="1:19" ht="12.75" customHeight="1">
      <c r="A5895" s="393"/>
      <c r="C5895" s="20"/>
      <c r="E5895" s="387"/>
      <c r="F5895" s="388">
        <f t="shared" si="1507"/>
        <v>0</v>
      </c>
      <c r="H5895" s="341" t="str">
        <f>IF(A5895="","",VLOOKUP(A5895,VII.A!$A$10:$D$199,4,FALSE))</f>
        <v/>
      </c>
      <c r="I5895" s="341" t="str">
        <f t="shared" si="1508"/>
        <v/>
      </c>
      <c r="J5895" s="341" t="str">
        <f>IF(A5895="","",VLOOKUP(A5895,VII.A!$A$10:$D$199,3,FALSE))</f>
        <v/>
      </c>
      <c r="K5895" s="342" t="str">
        <f t="shared" si="1509"/>
        <v/>
      </c>
      <c r="L5895" s="380" t="str">
        <f>IF(C5895="","",G5867*C5895)</f>
        <v/>
      </c>
      <c r="M5895" s="381" t="str">
        <f>IF(A5895="","",VLOOKUP(A5895,VII.A!$A$10:$B$199,2,FALSE))</f>
        <v/>
      </c>
      <c r="N5895" s="342" t="str">
        <f t="shared" si="1510"/>
        <v/>
      </c>
      <c r="R5895" s="341"/>
      <c r="S5895" s="341"/>
    </row>
    <row r="5896" spans="1:19" ht="12.75" customHeight="1">
      <c r="A5896" s="393"/>
      <c r="C5896" s="20"/>
      <c r="E5896" s="387"/>
      <c r="F5896" s="388">
        <f t="shared" si="1507"/>
        <v>0</v>
      </c>
      <c r="H5896" s="341" t="str">
        <f>IF(A5896="","",VLOOKUP(A5896,VII.A!$A$10:$D$199,4,FALSE))</f>
        <v/>
      </c>
      <c r="I5896" s="341" t="str">
        <f t="shared" si="1508"/>
        <v/>
      </c>
      <c r="J5896" s="341" t="str">
        <f>IF(A5896="","",VLOOKUP(A5896,VII.A!$A$10:$D$199,3,FALSE))</f>
        <v/>
      </c>
      <c r="K5896" s="342" t="str">
        <f t="shared" si="1509"/>
        <v/>
      </c>
      <c r="L5896" s="380" t="str">
        <f>IF(C5896="","",G5867*C5896)</f>
        <v/>
      </c>
      <c r="M5896" s="381" t="str">
        <f>IF(A5896="","",VLOOKUP(A5896,VII.A!$A$10:$B$199,2,FALSE))</f>
        <v/>
      </c>
      <c r="N5896" s="342" t="str">
        <f t="shared" si="1510"/>
        <v/>
      </c>
      <c r="R5896" s="341"/>
      <c r="S5896" s="341"/>
    </row>
    <row r="5897" spans="1:19" ht="12.75" customHeight="1">
      <c r="A5897" s="393"/>
      <c r="C5897" s="20"/>
      <c r="E5897" s="387"/>
      <c r="F5897" s="388">
        <f t="shared" si="1507"/>
        <v>0</v>
      </c>
      <c r="H5897" s="341" t="str">
        <f>IF(A5897="","",VLOOKUP(A5897,VII.A!$A$10:$D$199,4,FALSE))</f>
        <v/>
      </c>
      <c r="I5897" s="341" t="str">
        <f t="shared" si="1508"/>
        <v/>
      </c>
      <c r="J5897" s="341" t="str">
        <f>IF(A5897="","",VLOOKUP(A5897,VII.A!$A$10:$D$199,3,FALSE))</f>
        <v/>
      </c>
      <c r="K5897" s="342" t="str">
        <f t="shared" si="1509"/>
        <v/>
      </c>
      <c r="L5897" s="380" t="str">
        <f>IF(C5897="","",G5867*C5897)</f>
        <v/>
      </c>
      <c r="M5897" s="381" t="str">
        <f>IF(A5897="","",VLOOKUP(A5897,VII.A!$A$10:$B$199,2,FALSE))</f>
        <v/>
      </c>
      <c r="N5897" s="342" t="str">
        <f t="shared" si="1510"/>
        <v/>
      </c>
      <c r="R5897" s="341"/>
      <c r="S5897" s="341"/>
    </row>
    <row r="5898" spans="1:19" ht="12.75" customHeight="1">
      <c r="A5898" s="393"/>
      <c r="C5898" s="20"/>
      <c r="E5898" s="387"/>
      <c r="F5898" s="388">
        <f t="shared" si="1507"/>
        <v>0</v>
      </c>
      <c r="H5898" s="341" t="str">
        <f>IF(A5898="","",VLOOKUP(A5898,VII.A!$A$10:$D$199,4,FALSE))</f>
        <v/>
      </c>
      <c r="I5898" s="341" t="str">
        <f t="shared" si="1508"/>
        <v/>
      </c>
      <c r="J5898" s="341" t="str">
        <f>IF(A5898="","",VLOOKUP(A5898,VII.A!$A$10:$D$199,3,FALSE))</f>
        <v/>
      </c>
      <c r="K5898" s="342" t="str">
        <f t="shared" si="1509"/>
        <v/>
      </c>
      <c r="L5898" s="380" t="str">
        <f>IF(C5898="","",G5867*C5898)</f>
        <v/>
      </c>
      <c r="M5898" s="381" t="str">
        <f>IF(A5898="","",VLOOKUP(A5898,VII.A!$A$10:$B$199,2,FALSE))</f>
        <v/>
      </c>
      <c r="N5898" s="342" t="str">
        <f t="shared" si="1510"/>
        <v/>
      </c>
      <c r="R5898" s="341"/>
      <c r="S5898" s="341"/>
    </row>
    <row r="5899" spans="1:19" ht="12.75" customHeight="1">
      <c r="A5899" s="393"/>
      <c r="B5899" s="395" t="s">
        <v>226</v>
      </c>
      <c r="C5899" s="396"/>
      <c r="D5899" s="397"/>
      <c r="E5899" s="398"/>
      <c r="F5899" s="399">
        <f>SUM(F5889:F5898)</f>
        <v>0</v>
      </c>
      <c r="J5899" s="341"/>
      <c r="L5899" s="380"/>
      <c r="M5899" s="381"/>
      <c r="N5899" s="342"/>
      <c r="R5899" s="341"/>
      <c r="S5899" s="341"/>
    </row>
    <row r="5900" spans="1:19" ht="12.75" customHeight="1">
      <c r="A5900" s="393"/>
      <c r="B5900" s="400" t="s">
        <v>53</v>
      </c>
      <c r="C5900" s="2">
        <f>$D$8</f>
        <v>0</v>
      </c>
      <c r="D5900" s="401"/>
      <c r="E5900" s="402"/>
      <c r="F5900" s="403">
        <f>ROUND(C5900*F5899,2)</f>
        <v>0</v>
      </c>
      <c r="J5900" s="341"/>
      <c r="L5900" s="380"/>
      <c r="M5900" s="381"/>
      <c r="N5900" s="342"/>
      <c r="R5900" s="341"/>
      <c r="S5900" s="341"/>
    </row>
    <row r="5901" spans="1:19" ht="12.75" customHeight="1">
      <c r="A5901" s="404"/>
      <c r="B5901" s="405" t="s">
        <v>228</v>
      </c>
      <c r="C5901" s="406"/>
      <c r="D5901" s="406"/>
      <c r="E5901" s="407"/>
      <c r="F5901" s="408">
        <f>F5899+F5900</f>
        <v>0</v>
      </c>
      <c r="J5901" s="341"/>
      <c r="L5901" s="380"/>
      <c r="M5901" s="381"/>
      <c r="N5901" s="342"/>
      <c r="R5901" s="341"/>
      <c r="S5901" s="341"/>
    </row>
    <row r="5902" spans="1:19" ht="12.75" customHeight="1">
      <c r="A5902" s="409" t="s">
        <v>47</v>
      </c>
      <c r="B5902" s="410" t="s">
        <v>236</v>
      </c>
      <c r="C5902" s="411" t="s">
        <v>231</v>
      </c>
      <c r="D5902" s="412" t="s">
        <v>232</v>
      </c>
      <c r="E5902" s="413" t="s">
        <v>233</v>
      </c>
      <c r="F5902" s="378" t="s">
        <v>234</v>
      </c>
      <c r="J5902" s="341"/>
      <c r="L5902" s="380"/>
      <c r="M5902" s="381"/>
      <c r="N5902" s="342"/>
      <c r="R5902" s="341"/>
      <c r="S5902" s="341"/>
    </row>
    <row r="5903" spans="1:19" ht="12.75" customHeight="1">
      <c r="A5903" s="393" t="str">
        <f>VII.A!$A$192</f>
        <v>3.12</v>
      </c>
      <c r="B5903" s="394" t="str">
        <f>VII.A!$B$192</f>
        <v>PEDREIRO COM ENCARGOS COMPLEMENTARES</v>
      </c>
      <c r="C5903" s="20">
        <v>0.2</v>
      </c>
      <c r="D5903" s="384" t="str">
        <f>VLOOKUP(A5903,VII.A!$A$10:$G$199,3,FALSE)</f>
        <v>H</v>
      </c>
      <c r="E5903" s="387">
        <f>VII.A!$D$192</f>
        <v>0</v>
      </c>
      <c r="F5903" s="388">
        <f t="shared" ref="F5903:F5909" si="1511">ROUND(C5903*E5903,2)</f>
        <v>0</v>
      </c>
      <c r="H5903" s="341">
        <f>IF(A5903="","",VLOOKUP(A5903,VII.A!$A$10:$D$199,4,FALSE))</f>
        <v>0</v>
      </c>
      <c r="I5903" s="341" t="str">
        <f t="shared" ref="I5903:I5909" si="1512">IF(A5903="","",IF(E5903=H5903,"SIM","NÃO"))</f>
        <v>SIM</v>
      </c>
      <c r="J5903" s="341" t="str">
        <f>IF(A5903="","",VLOOKUP(A5903,VII.A!$A$10:$D$199,3,FALSE))</f>
        <v>H</v>
      </c>
      <c r="K5903" s="342" t="str">
        <f t="shared" ref="K5903:K5909" si="1513">IF(A5903="","",IF(J5903=D5903,"SIM","NÃO"))</f>
        <v>SIM</v>
      </c>
      <c r="L5903" s="380">
        <f>IF(C5903="","",G5867*C5903)</f>
        <v>240</v>
      </c>
      <c r="M5903" s="381" t="str">
        <f>IF(A5903="","",VLOOKUP(A5903,VII.A!$A$10:$B$199,2,FALSE))</f>
        <v>PEDREIRO COM ENCARGOS COMPLEMENTARES</v>
      </c>
      <c r="N5903" s="342" t="str">
        <f t="shared" ref="N5903:N5909" si="1514">IF(B5903="","",IF(M5903=B5903,"si","no"))</f>
        <v>si</v>
      </c>
      <c r="R5903" s="341"/>
      <c r="S5903" s="341"/>
    </row>
    <row r="5904" spans="1:19" ht="12.75" customHeight="1">
      <c r="A5904" s="393" t="str">
        <f>VII.A!$A$196</f>
        <v>3.16</v>
      </c>
      <c r="B5904" s="394" t="str">
        <f>VII.A!$B$196</f>
        <v>SERVENTE COM ENCARGOS COMPLEMENTARES</v>
      </c>
      <c r="C5904" s="20">
        <f>0.06232+0.002046+0.3</f>
        <v>0.36436599999999997</v>
      </c>
      <c r="D5904" s="384" t="str">
        <f>VLOOKUP(A5904,VII.A!$A$10:$G$199,3,FALSE)</f>
        <v>H</v>
      </c>
      <c r="E5904" s="387">
        <f>VII.A!$D$196</f>
        <v>0</v>
      </c>
      <c r="F5904" s="388">
        <f>ROUND(C5904*E5904,2)</f>
        <v>0</v>
      </c>
      <c r="H5904" s="341">
        <f>IF(A5904="","",VLOOKUP(A5904,VII.A!$A$10:$D$199,4,FALSE))</f>
        <v>0</v>
      </c>
      <c r="I5904" s="341" t="str">
        <f>IF(A5904="","",IF(E5904=H5904,"SIM","NÃO"))</f>
        <v>SIM</v>
      </c>
      <c r="J5904" s="341" t="str">
        <f>IF(A5904="","",VLOOKUP(A5904,VII.A!$A$10:$D$199,3,FALSE))</f>
        <v>H</v>
      </c>
      <c r="K5904" s="342" t="str">
        <f>IF(A5904="","",IF(J5904=D5904,"SIM","NÃO"))</f>
        <v>SIM</v>
      </c>
      <c r="L5904" s="380">
        <f>IF(C5904="","",G5867*C5904)</f>
        <v>437.23919999999998</v>
      </c>
      <c r="M5904" s="381" t="str">
        <f>IF(A5904="","",VLOOKUP(A5904,VII.A!$A$10:$B$199,2,FALSE))</f>
        <v>SERVENTE COM ENCARGOS COMPLEMENTARES</v>
      </c>
      <c r="N5904" s="342" t="str">
        <f>IF(B5904="","",IF(M5904=B5904,"si","no"))</f>
        <v>si</v>
      </c>
      <c r="R5904" s="341"/>
      <c r="S5904" s="341"/>
    </row>
    <row r="5905" spans="1:25" ht="12.75" customHeight="1">
      <c r="A5905" s="393"/>
      <c r="C5905" s="20"/>
      <c r="E5905" s="387"/>
      <c r="F5905" s="388">
        <f t="shared" si="1511"/>
        <v>0</v>
      </c>
      <c r="H5905" s="341" t="str">
        <f>IF(A5905="","",VLOOKUP(A5905,VII.A!$A$10:$D$199,4,FALSE))</f>
        <v/>
      </c>
      <c r="I5905" s="341" t="str">
        <f t="shared" si="1512"/>
        <v/>
      </c>
      <c r="J5905" s="341" t="str">
        <f>IF(A5905="","",VLOOKUP(A5905,VII.A!$A$10:$D$199,3,FALSE))</f>
        <v/>
      </c>
      <c r="K5905" s="342" t="str">
        <f t="shared" si="1513"/>
        <v/>
      </c>
      <c r="L5905" s="380" t="str">
        <f>IF(C5905="","",G5867*C5905)</f>
        <v/>
      </c>
      <c r="M5905" s="381" t="str">
        <f>IF(A5905="","",VLOOKUP(A5905,VII.A!$A$10:$B$199,2,FALSE))</f>
        <v/>
      </c>
      <c r="N5905" s="342" t="str">
        <f t="shared" si="1514"/>
        <v/>
      </c>
      <c r="R5905" s="341"/>
      <c r="S5905" s="341"/>
    </row>
    <row r="5906" spans="1:25" ht="12.75" customHeight="1">
      <c r="A5906" s="393"/>
      <c r="C5906" s="20"/>
      <c r="E5906" s="387"/>
      <c r="F5906" s="388">
        <f t="shared" si="1511"/>
        <v>0</v>
      </c>
      <c r="H5906" s="341" t="str">
        <f>IF(A5906="","",VLOOKUP(A5906,VII.A!$A$10:$D$199,4,FALSE))</f>
        <v/>
      </c>
      <c r="I5906" s="341" t="str">
        <f t="shared" si="1512"/>
        <v/>
      </c>
      <c r="J5906" s="341" t="str">
        <f>IF(A5906="","",VLOOKUP(A5906,VII.A!$A$10:$D$199,3,FALSE))</f>
        <v/>
      </c>
      <c r="K5906" s="342" t="str">
        <f t="shared" si="1513"/>
        <v/>
      </c>
      <c r="L5906" s="380" t="str">
        <f>IF(C5906="","",G5867*C5906)</f>
        <v/>
      </c>
      <c r="M5906" s="381" t="str">
        <f>IF(A5906="","",VLOOKUP(A5906,VII.A!$A$10:$B$199,2,FALSE))</f>
        <v/>
      </c>
      <c r="N5906" s="342" t="str">
        <f t="shared" si="1514"/>
        <v/>
      </c>
      <c r="R5906" s="341"/>
      <c r="S5906" s="341"/>
    </row>
    <row r="5907" spans="1:25" ht="12.75" customHeight="1">
      <c r="A5907" s="393"/>
      <c r="C5907" s="20"/>
      <c r="E5907" s="387"/>
      <c r="F5907" s="388">
        <f t="shared" si="1511"/>
        <v>0</v>
      </c>
      <c r="H5907" s="341" t="str">
        <f>IF(A5907="","",VLOOKUP(A5907,VII.A!$A$10:$D$199,4,FALSE))</f>
        <v/>
      </c>
      <c r="I5907" s="341" t="str">
        <f t="shared" si="1512"/>
        <v/>
      </c>
      <c r="J5907" s="341" t="str">
        <f>IF(A5907="","",VLOOKUP(A5907,VII.A!$A$10:$D$199,3,FALSE))</f>
        <v/>
      </c>
      <c r="K5907" s="342" t="str">
        <f t="shared" si="1513"/>
        <v/>
      </c>
      <c r="L5907" s="380" t="str">
        <f>IF(C5907="","",G5867*C5907)</f>
        <v/>
      </c>
      <c r="M5907" s="381" t="str">
        <f>IF(A5907="","",VLOOKUP(A5907,VII.A!$A$10:$B$199,2,FALSE))</f>
        <v/>
      </c>
      <c r="N5907" s="342" t="str">
        <f t="shared" si="1514"/>
        <v/>
      </c>
      <c r="R5907" s="341"/>
      <c r="S5907" s="341"/>
    </row>
    <row r="5908" spans="1:25" ht="12.75" customHeight="1">
      <c r="A5908" s="393"/>
      <c r="C5908" s="20"/>
      <c r="E5908" s="387"/>
      <c r="F5908" s="388">
        <f t="shared" si="1511"/>
        <v>0</v>
      </c>
      <c r="H5908" s="341" t="str">
        <f>IF(A5908="","",VLOOKUP(A5908,VII.A!$A$10:$D$199,4,FALSE))</f>
        <v/>
      </c>
      <c r="I5908" s="341" t="str">
        <f t="shared" si="1512"/>
        <v/>
      </c>
      <c r="J5908" s="341" t="str">
        <f>IF(A5908="","",VLOOKUP(A5908,VII.A!$A$10:$D$199,3,FALSE))</f>
        <v/>
      </c>
      <c r="K5908" s="342" t="str">
        <f t="shared" si="1513"/>
        <v/>
      </c>
      <c r="L5908" s="380" t="str">
        <f>IF(C5908="","",G5867*C5908)</f>
        <v/>
      </c>
      <c r="M5908" s="381" t="str">
        <f>IF(A5908="","",VLOOKUP(A5908,VII.A!$A$10:$B$199,2,FALSE))</f>
        <v/>
      </c>
      <c r="N5908" s="342" t="str">
        <f t="shared" si="1514"/>
        <v/>
      </c>
      <c r="R5908" s="341"/>
      <c r="S5908" s="341"/>
    </row>
    <row r="5909" spans="1:25" ht="12.75" customHeight="1">
      <c r="A5909" s="393"/>
      <c r="C5909" s="20"/>
      <c r="E5909" s="387"/>
      <c r="F5909" s="388">
        <f t="shared" si="1511"/>
        <v>0</v>
      </c>
      <c r="H5909" s="341" t="str">
        <f>IF(A5909="","",VLOOKUP(A5909,VII.A!$A$10:$D$199,4,FALSE))</f>
        <v/>
      </c>
      <c r="I5909" s="341" t="str">
        <f t="shared" si="1512"/>
        <v/>
      </c>
      <c r="J5909" s="341" t="str">
        <f>IF(A5909="","",VLOOKUP(A5909,VII.A!$A$10:$D$199,3,FALSE))</f>
        <v/>
      </c>
      <c r="K5909" s="342" t="str">
        <f t="shared" si="1513"/>
        <v/>
      </c>
      <c r="L5909" s="380" t="str">
        <f>IF(C5909="","",G5867*C5909)</f>
        <v/>
      </c>
      <c r="M5909" s="381" t="str">
        <f>IF(A5909="","",VLOOKUP(A5909,VII.A!$A$10:$B$199,2,FALSE))</f>
        <v/>
      </c>
      <c r="N5909" s="342" t="str">
        <f t="shared" si="1514"/>
        <v/>
      </c>
      <c r="R5909" s="341"/>
      <c r="S5909" s="341"/>
    </row>
    <row r="5910" spans="1:25" ht="12.75" customHeight="1">
      <c r="A5910" s="393"/>
      <c r="B5910" s="395" t="s">
        <v>226</v>
      </c>
      <c r="C5910" s="396"/>
      <c r="D5910" s="397"/>
      <c r="E5910" s="398"/>
      <c r="F5910" s="399">
        <f>SUM(F5903:F5909)</f>
        <v>0</v>
      </c>
      <c r="J5910" s="341"/>
      <c r="L5910" s="380"/>
      <c r="M5910" s="381"/>
      <c r="N5910" s="342"/>
      <c r="R5910" s="341"/>
      <c r="S5910" s="341"/>
    </row>
    <row r="5911" spans="1:25" ht="12.75" customHeight="1">
      <c r="A5911" s="393"/>
      <c r="B5911" s="400" t="s">
        <v>229</v>
      </c>
      <c r="C5911" s="2">
        <f>IX.A!$C$45</f>
        <v>0</v>
      </c>
      <c r="D5911" s="401"/>
      <c r="E5911" s="402"/>
      <c r="F5911" s="403">
        <f>ROUND(F5910*C5911,2)</f>
        <v>0</v>
      </c>
      <c r="J5911" s="341"/>
      <c r="L5911" s="380"/>
      <c r="M5911" s="381"/>
      <c r="N5911" s="342"/>
      <c r="R5911" s="341"/>
      <c r="S5911" s="341"/>
    </row>
    <row r="5912" spans="1:25" ht="12.75" customHeight="1">
      <c r="A5912" s="393"/>
      <c r="B5912" s="400" t="s">
        <v>53</v>
      </c>
      <c r="C5912" s="2">
        <f>$D$8</f>
        <v>0</v>
      </c>
      <c r="D5912" s="401"/>
      <c r="E5912" s="402"/>
      <c r="F5912" s="403">
        <f>ROUND(SUM(F5910:F5911)*C5912,2)</f>
        <v>0</v>
      </c>
      <c r="J5912" s="341"/>
      <c r="L5912" s="380"/>
      <c r="M5912" s="381"/>
      <c r="N5912" s="342"/>
      <c r="R5912" s="341"/>
      <c r="S5912" s="341"/>
    </row>
    <row r="5913" spans="1:25" ht="12.75" customHeight="1" thickBot="1">
      <c r="A5913" s="414"/>
      <c r="B5913" s="415" t="s">
        <v>230</v>
      </c>
      <c r="C5913" s="416"/>
      <c r="D5913" s="416"/>
      <c r="E5913" s="417"/>
      <c r="F5913" s="418">
        <f>SUM(F5910:F5912)</f>
        <v>0</v>
      </c>
      <c r="J5913" s="341"/>
      <c r="L5913" s="380"/>
      <c r="M5913" s="381"/>
      <c r="N5913" s="342"/>
      <c r="R5913" s="341"/>
      <c r="S5913" s="341"/>
    </row>
    <row r="5914" spans="1:25" ht="12.75" customHeight="1" thickBot="1">
      <c r="A5914" s="357"/>
      <c r="B5914" s="358"/>
      <c r="C5914" s="359"/>
      <c r="D5914" s="359"/>
      <c r="E5914" s="360"/>
      <c r="F5914" s="419"/>
      <c r="J5914" s="341"/>
      <c r="L5914" s="380"/>
      <c r="M5914" s="381"/>
      <c r="N5914" s="342"/>
      <c r="R5914" s="341"/>
      <c r="S5914" s="341"/>
    </row>
    <row r="5915" spans="1:25" ht="30" customHeight="1">
      <c r="A5915" s="370" t="str">
        <f>IV.A!$A$172</f>
        <v>7.16</v>
      </c>
      <c r="B5915" s="371" t="str">
        <f>IV.A!$B$172</f>
        <v>SARJETA DE CONCRETO INCLUINDO PREPARO DE CAIXA, CONCRETO FCK=18MPA</v>
      </c>
      <c r="C5915" s="871" t="s">
        <v>237</v>
      </c>
      <c r="D5915" s="872"/>
      <c r="E5915" s="372" t="str">
        <f>IV.A!$C$172</f>
        <v>M3</v>
      </c>
      <c r="F5915" s="11">
        <f>ROUND(F5935+F5949+F5961,2)</f>
        <v>0</v>
      </c>
      <c r="G5915" s="1">
        <f>VLOOKUP(A5915,IV.A!$A$16:$L$172,4,FALSE)</f>
        <v>10</v>
      </c>
      <c r="H5915" s="361">
        <f>SUM(F5917:F5932)+F5934</f>
        <v>0</v>
      </c>
      <c r="I5915" s="361">
        <f>SUM(F5937:F5946)+F5948</f>
        <v>0</v>
      </c>
      <c r="J5915" s="361">
        <f>SUM(F5951:F5957)+F5959+F5960</f>
        <v>0</v>
      </c>
      <c r="K5915" s="361">
        <f>SUM(H5915:J5915)</f>
        <v>0</v>
      </c>
      <c r="L5915" s="362" t="str">
        <f>IF(K5915=F5915,"SIM","NÃO")</f>
        <v>SIM</v>
      </c>
      <c r="M5915" s="373">
        <f>ROUND(SUM(F5917:F5932),2)+ROUND(SUM(F5917:F5932)*C5934,2)+ROUND(SUM(F5937:F5946)*C5948,2)+ROUND(SUM(F5937:F5946),2)+ROUND(SUM(F5951:F5957)*C5959,2)+ROUND((SUM(F5951:F5957)+ROUND(SUM(F5951:F5957)*C5959,2))*C5960,2)+ROUND(SUM(F5951:F5957),2)</f>
        <v>0</v>
      </c>
      <c r="N5915" s="343" t="str">
        <f>IF(M5915=F5915,"SIM","NÃO")</f>
        <v>SIM</v>
      </c>
      <c r="O5915" s="364" t="str">
        <f>VLOOKUP(A5915,IV.A!$A$16:$E$172,3,FALSE)</f>
        <v>M3</v>
      </c>
      <c r="P5915" s="344" t="str">
        <f>IF(O5915=E5915,"SIM","NÃO")</f>
        <v>SIM</v>
      </c>
      <c r="Q5915" s="365">
        <f>ROUND(G5915*F5935,2)+ROUND(G5915*F5949,2)+ROUND(G5915*F5961,2)</f>
        <v>0</v>
      </c>
      <c r="R5915" s="364">
        <f>VLOOKUP(A5915,IV.A!$A$16:$L$172,12,FALSE)</f>
        <v>0</v>
      </c>
      <c r="S5915" s="366" t="str">
        <f>IF(Q5915=R5915,"si","no")</f>
        <v>si</v>
      </c>
      <c r="T5915" s="367">
        <f>SUM(L5917:L5932)+SUM(L5937:L5946)+SUM(L5951:L5957)</f>
        <v>3160.81</v>
      </c>
      <c r="U5915" s="341">
        <f>(SUM(C5917:C5932)+SUM(C5937:C5946)+SUM(C5951:C5957))*G5915</f>
        <v>3160.8100000000004</v>
      </c>
      <c r="V5915" s="368" t="str">
        <f>IF(T5915=U5915,"si","no")</f>
        <v>si</v>
      </c>
      <c r="W5915" s="369">
        <f>SUM(F5917:F5932)</f>
        <v>0</v>
      </c>
      <c r="X5915" s="369">
        <f>SUM(F5937:F5946)</f>
        <v>0</v>
      </c>
      <c r="Y5915" s="369">
        <f>SUM(F5951:F5957)</f>
        <v>0</v>
      </c>
    </row>
    <row r="5916" spans="1:25" ht="12.75" customHeight="1">
      <c r="A5916" s="374" t="s">
        <v>14</v>
      </c>
      <c r="B5916" s="375" t="s">
        <v>132</v>
      </c>
      <c r="C5916" s="376" t="s">
        <v>231</v>
      </c>
      <c r="D5916" s="376" t="s">
        <v>232</v>
      </c>
      <c r="E5916" s="377" t="s">
        <v>233</v>
      </c>
      <c r="F5916" s="378" t="s">
        <v>234</v>
      </c>
      <c r="G5916" s="379"/>
      <c r="J5916" s="341"/>
      <c r="L5916" s="380"/>
      <c r="M5916" s="381"/>
      <c r="N5916" s="342"/>
      <c r="O5916" s="382"/>
      <c r="P5916" s="383"/>
      <c r="Q5916" s="383"/>
      <c r="R5916" s="383"/>
      <c r="S5916" s="383"/>
      <c r="T5916" s="382"/>
      <c r="U5916" s="341"/>
      <c r="V5916" s="384"/>
      <c r="W5916" s="384"/>
      <c r="X5916" s="384"/>
      <c r="Y5916" s="384"/>
    </row>
    <row r="5917" spans="1:25" ht="12.75" customHeight="1">
      <c r="A5917" s="385" t="str">
        <f>VII.A!$A$19</f>
        <v>1.10</v>
      </c>
      <c r="B5917" s="386" t="str">
        <f>VLOOKUP(A5917,VII.A!$A$10:$G$199,2,FALSE)</f>
        <v>AREIA MÉDIA LAVADA</v>
      </c>
      <c r="C5917" s="20">
        <v>0.90400000000000003</v>
      </c>
      <c r="D5917" s="342" t="str">
        <f>VLOOKUP(A5917,VII.A!$A$10:$G$199,3,FALSE)</f>
        <v>M3</v>
      </c>
      <c r="E5917" s="387">
        <f>VII.A!D19</f>
        <v>0</v>
      </c>
      <c r="F5917" s="388">
        <f>ROUND(C5917*E5917,2)</f>
        <v>0</v>
      </c>
      <c r="H5917" s="341">
        <f>IF(A5917="","",VLOOKUP(A5917,VII.A!$A$10:$D$199,4,FALSE))</f>
        <v>0</v>
      </c>
      <c r="I5917" s="341" t="str">
        <f t="shared" ref="I5917:I5932" si="1515">IF(A5917="","",IF(E5917=H5917,"SIM","NÃO"))</f>
        <v>SIM</v>
      </c>
      <c r="J5917" s="341" t="str">
        <f>IF(A5917="","",VLOOKUP(A5917,VII.A!$A$10:$D$199,3,FALSE))</f>
        <v>M3</v>
      </c>
      <c r="K5917" s="342" t="str">
        <f t="shared" ref="K5917:K5932" si="1516">IF(A5917="","",IF(J5917=D5917,"SIM","NÃO"))</f>
        <v>SIM</v>
      </c>
      <c r="L5917" s="380">
        <f>IF(C5917="","",G5915*C5917)</f>
        <v>9.0400000000000009</v>
      </c>
      <c r="M5917" s="381" t="str">
        <f>IF(A5917="","",VLOOKUP(A5917,VII.A!$A$10:$B$199,2,FALSE))</f>
        <v>AREIA MÉDIA LAVADA</v>
      </c>
      <c r="N5917" s="342" t="str">
        <f t="shared" ref="N5917:N5932" si="1517">IF(B5917="","",IF(M5917=B5917,"si","no"))</f>
        <v>si</v>
      </c>
      <c r="R5917" s="341"/>
      <c r="S5917" s="341"/>
    </row>
    <row r="5918" spans="1:25" ht="12.75" customHeight="1">
      <c r="A5918" s="385" t="str">
        <f>VII.A!$A$101</f>
        <v>1.91</v>
      </c>
      <c r="B5918" s="386" t="str">
        <f>VLOOKUP(A5918,VII.A!$A$10:$G$199,2,FALSE)</f>
        <v>TÁBUA MADEIRA 3A QUALIDADE 2,5 X 30CM (1X12") NÃO APARELHADA</v>
      </c>
      <c r="C5918" s="20">
        <v>1.17</v>
      </c>
      <c r="D5918" s="342" t="str">
        <f>VLOOKUP(A5918,VII.A!$A$10:$G$199,3,FALSE)</f>
        <v>M</v>
      </c>
      <c r="E5918" s="387">
        <f>VII.A!$D$101</f>
        <v>0</v>
      </c>
      <c r="F5918" s="388">
        <f t="shared" ref="F5918:F5932" si="1518">ROUND(C5918*E5918,2)</f>
        <v>0</v>
      </c>
      <c r="H5918" s="341">
        <f>IF(A5918="","",VLOOKUP(A5918,VII.A!$A$10:$D$199,4,FALSE))</f>
        <v>0</v>
      </c>
      <c r="I5918" s="341" t="str">
        <f t="shared" si="1515"/>
        <v>SIM</v>
      </c>
      <c r="J5918" s="341" t="str">
        <f>IF(A5918="","",VLOOKUP(A5918,VII.A!$A$10:$D$199,3,FALSE))</f>
        <v>M</v>
      </c>
      <c r="K5918" s="342" t="str">
        <f t="shared" si="1516"/>
        <v>SIM</v>
      </c>
      <c r="L5918" s="380">
        <f>IF(C5918="","",G5915*C5918)</f>
        <v>11.7</v>
      </c>
      <c r="M5918" s="381" t="str">
        <f>IF(A5918="","",VLOOKUP(A5918,VII.A!$A$10:$B$199,2,FALSE))</f>
        <v>TÁBUA MADEIRA 3A QUALIDADE 2,5 X 30CM (1X12") NÃO APARELHADA</v>
      </c>
      <c r="N5918" s="342" t="str">
        <f t="shared" si="1517"/>
        <v>si</v>
      </c>
      <c r="R5918" s="341"/>
      <c r="S5918" s="341"/>
    </row>
    <row r="5919" spans="1:25" ht="12.75" customHeight="1">
      <c r="A5919" s="385" t="str">
        <f>VII.A!$A$82</f>
        <v>1.73</v>
      </c>
      <c r="B5919" s="386" t="str">
        <f>VLOOKUP(A5919,VII.A!$A$10:$G$199,2,FALSE)</f>
        <v>PEDRA BRITADA Nº 1 GRANULOMETRIA ENTRE (9,5 E 25,00 MM)</v>
      </c>
      <c r="C5919" s="20">
        <v>0.20899999999999999</v>
      </c>
      <c r="D5919" s="342" t="str">
        <f>VLOOKUP(A5919,VII.A!$A$10:$G$199,3,FALSE)</f>
        <v>M3</v>
      </c>
      <c r="E5919" s="387">
        <f>VII.A!D82</f>
        <v>0</v>
      </c>
      <c r="F5919" s="388">
        <f t="shared" si="1518"/>
        <v>0</v>
      </c>
      <c r="H5919" s="341">
        <f>IF(A5919="","",VLOOKUP(A5919,VII.A!$A$10:$D$199,4,FALSE))</f>
        <v>0</v>
      </c>
      <c r="I5919" s="341" t="str">
        <f t="shared" si="1515"/>
        <v>SIM</v>
      </c>
      <c r="J5919" s="341" t="str">
        <f>IF(A5919="","",VLOOKUP(A5919,VII.A!$A$10:$D$199,3,FALSE))</f>
        <v>M3</v>
      </c>
      <c r="K5919" s="342" t="str">
        <f t="shared" si="1516"/>
        <v>SIM</v>
      </c>
      <c r="L5919" s="380">
        <f>IF(C5919="","",G5915*C5919)</f>
        <v>2.09</v>
      </c>
      <c r="M5919" s="381" t="str">
        <f>IF(A5919="","",VLOOKUP(A5919,VII.A!$A$10:$B$199,2,FALSE))</f>
        <v>PEDRA BRITADA Nº 1 GRANULOMETRIA ENTRE (9,5 E 25,00 MM)</v>
      </c>
      <c r="N5919" s="342" t="str">
        <f t="shared" si="1517"/>
        <v>si</v>
      </c>
      <c r="R5919" s="341"/>
      <c r="S5919" s="341"/>
    </row>
    <row r="5920" spans="1:25" ht="12.75" customHeight="1">
      <c r="A5920" s="385" t="str">
        <f>VII.A!$A$84</f>
        <v>1.74</v>
      </c>
      <c r="B5920" s="386" t="str">
        <f>VLOOKUP(A5920,VII.A!$A$10:$G$199,2,FALSE)</f>
        <v>PEDRA BRITADA Nº 2 GRANULOMETRIA ENTRE (21,0 E 32,0 MM)</v>
      </c>
      <c r="C5920" s="20">
        <v>0.627</v>
      </c>
      <c r="D5920" s="342" t="str">
        <f>VLOOKUP(A5920,VII.A!$A$10:$G$199,3,FALSE)</f>
        <v>M3</v>
      </c>
      <c r="E5920" s="387">
        <f>VII.A!D84</f>
        <v>0</v>
      </c>
      <c r="F5920" s="388">
        <f t="shared" si="1518"/>
        <v>0</v>
      </c>
      <c r="H5920" s="341">
        <f>IF(A5920="","",VLOOKUP(A5920,VII.A!$A$10:$D$199,4,FALSE))</f>
        <v>0</v>
      </c>
      <c r="I5920" s="341" t="str">
        <f t="shared" si="1515"/>
        <v>SIM</v>
      </c>
      <c r="J5920" s="341" t="str">
        <f>IF(A5920="","",VLOOKUP(A5920,VII.A!$A$10:$D$199,3,FALSE))</f>
        <v>M3</v>
      </c>
      <c r="K5920" s="342" t="str">
        <f t="shared" si="1516"/>
        <v>SIM</v>
      </c>
      <c r="L5920" s="380">
        <f>IF(C5920="","",G5915*C5920)</f>
        <v>6.27</v>
      </c>
      <c r="M5920" s="381" t="str">
        <f>IF(A5920="","",VLOOKUP(A5920,VII.A!$A$10:$B$199,2,FALSE))</f>
        <v>PEDRA BRITADA Nº 2 GRANULOMETRIA ENTRE (21,0 E 32,0 MM)</v>
      </c>
      <c r="N5920" s="342" t="str">
        <f t="shared" si="1517"/>
        <v>si</v>
      </c>
      <c r="R5920" s="341"/>
      <c r="S5920" s="341"/>
    </row>
    <row r="5921" spans="1:21" ht="12.75" customHeight="1">
      <c r="A5921" s="385" t="str">
        <f>VII.A!$A$38</f>
        <v>1.29</v>
      </c>
      <c r="B5921" s="386" t="str">
        <f>VLOOKUP(A5921,VII.A!$A$10:$G$199,2,FALSE)</f>
        <v>CIMENTO PORTLAND CP II-E-32</v>
      </c>
      <c r="C5921" s="20">
        <v>304</v>
      </c>
      <c r="D5921" s="342" t="str">
        <f>VLOOKUP(A5921,VII.A!$A$10:$G$199,3,FALSE)</f>
        <v>KG</v>
      </c>
      <c r="E5921" s="387">
        <f>VII.A!$D$38</f>
        <v>0</v>
      </c>
      <c r="F5921" s="388">
        <f t="shared" si="1518"/>
        <v>0</v>
      </c>
      <c r="H5921" s="341">
        <f>IF(A5921="","",VLOOKUP(A5921,VII.A!$A$10:$D$199,4,FALSE))</f>
        <v>0</v>
      </c>
      <c r="I5921" s="341" t="str">
        <f t="shared" si="1515"/>
        <v>SIM</v>
      </c>
      <c r="J5921" s="341" t="str">
        <f>IF(A5921="","",VLOOKUP(A5921,VII.A!$A$10:$D$199,3,FALSE))</f>
        <v>KG</v>
      </c>
      <c r="K5921" s="342" t="str">
        <f t="shared" si="1516"/>
        <v>SIM</v>
      </c>
      <c r="L5921" s="380">
        <f>IF(C5921="","",G5915*C5921)</f>
        <v>3040</v>
      </c>
      <c r="M5921" s="381" t="str">
        <f>IF(A5921="","",VLOOKUP(A5921,VII.A!$A$10:$B$199,2,FALSE))</f>
        <v>CIMENTO PORTLAND CP II-E-32</v>
      </c>
      <c r="N5921" s="342" t="str">
        <f t="shared" si="1517"/>
        <v>si</v>
      </c>
      <c r="R5921" s="341"/>
      <c r="S5921" s="341"/>
    </row>
    <row r="5922" spans="1:21" ht="12.75" customHeight="1">
      <c r="A5922" s="385" t="str">
        <f>VII.A!$A$97</f>
        <v>1.87</v>
      </c>
      <c r="B5922" s="386" t="str">
        <f>VLOOKUP(A5922,VII.A!$A$10:$G$199,2,FALSE)</f>
        <v xml:space="preserve">SARRAFO 3A. CONSTRUÇÃO (SEÇÃO TRANSVERSAL: 1X4" - 2,5CM X 10,0CM) </v>
      </c>
      <c r="C5922" s="20">
        <v>7.4999999999999997E-2</v>
      </c>
      <c r="D5922" s="342" t="str">
        <f>VLOOKUP(A5922,VII.A!$A$10:$G$199,3,FALSE)</f>
        <v>M</v>
      </c>
      <c r="E5922" s="387">
        <f>VII.A!$D$97</f>
        <v>0</v>
      </c>
      <c r="F5922" s="388">
        <f t="shared" si="1518"/>
        <v>0</v>
      </c>
      <c r="H5922" s="341">
        <f>IF(A5922="","",VLOOKUP(A5922,VII.A!$A$10:$D$199,4,FALSE))</f>
        <v>0</v>
      </c>
      <c r="I5922" s="341" t="str">
        <f t="shared" si="1515"/>
        <v>SIM</v>
      </c>
      <c r="J5922" s="341" t="str">
        <f>IF(A5922="","",VLOOKUP(A5922,VII.A!$A$10:$D$199,3,FALSE))</f>
        <v>M</v>
      </c>
      <c r="K5922" s="342" t="str">
        <f t="shared" si="1516"/>
        <v>SIM</v>
      </c>
      <c r="L5922" s="380">
        <f>IF(C5922="","",G5915*C5922)</f>
        <v>0.75</v>
      </c>
      <c r="M5922" s="381" t="str">
        <f>IF(A5922="","",VLOOKUP(A5922,VII.A!$A$10:$B$199,2,FALSE))</f>
        <v xml:space="preserve">SARRAFO 3A. CONSTRUÇÃO (SEÇÃO TRANSVERSAL: 1X4" - 2,5CM X 10,0CM) </v>
      </c>
      <c r="N5922" s="342" t="str">
        <f t="shared" si="1517"/>
        <v>si</v>
      </c>
      <c r="R5922" s="341"/>
      <c r="S5922" s="341"/>
      <c r="U5922" s="389"/>
    </row>
    <row r="5923" spans="1:21" ht="12.75" customHeight="1">
      <c r="A5923" s="385"/>
      <c r="B5923" s="386"/>
      <c r="C5923" s="20"/>
      <c r="D5923" s="342"/>
      <c r="E5923" s="387"/>
      <c r="F5923" s="388">
        <f t="shared" si="1518"/>
        <v>0</v>
      </c>
      <c r="H5923" s="341" t="str">
        <f>IF(A5923="","",VLOOKUP(A5923,VII.A!$A$10:$D$199,4,FALSE))</f>
        <v/>
      </c>
      <c r="I5923" s="341" t="str">
        <f t="shared" si="1515"/>
        <v/>
      </c>
      <c r="J5923" s="341" t="str">
        <f>IF(A5923="","",VLOOKUP(A5923,VII.A!$A$10:$D$199,3,FALSE))</f>
        <v/>
      </c>
      <c r="K5923" s="342" t="str">
        <f t="shared" si="1516"/>
        <v/>
      </c>
      <c r="L5923" s="380" t="str">
        <f>IF(C5923="","",G5915*C5923)</f>
        <v/>
      </c>
      <c r="M5923" s="381" t="str">
        <f>IF(A5923="","",VLOOKUP(A5923,VII.A!$A$10:$B$199,2,FALSE))</f>
        <v/>
      </c>
      <c r="N5923" s="342" t="str">
        <f t="shared" si="1517"/>
        <v/>
      </c>
      <c r="R5923" s="341"/>
      <c r="S5923" s="341"/>
    </row>
    <row r="5924" spans="1:21" ht="12.75" customHeight="1">
      <c r="A5924" s="385"/>
      <c r="B5924" s="386"/>
      <c r="C5924" s="20"/>
      <c r="D5924" s="342"/>
      <c r="E5924" s="387"/>
      <c r="F5924" s="388">
        <f t="shared" si="1518"/>
        <v>0</v>
      </c>
      <c r="G5924" s="390"/>
      <c r="H5924" s="341" t="str">
        <f>IF(A5924="","",VLOOKUP(A5924,VII.A!$A$10:$D$199,4,FALSE))</f>
        <v/>
      </c>
      <c r="I5924" s="341" t="str">
        <f t="shared" si="1515"/>
        <v/>
      </c>
      <c r="J5924" s="341" t="str">
        <f>IF(A5924="","",VLOOKUP(A5924,VII.A!$A$10:$D$199,3,FALSE))</f>
        <v/>
      </c>
      <c r="K5924" s="342" t="str">
        <f t="shared" si="1516"/>
        <v/>
      </c>
      <c r="L5924" s="380" t="str">
        <f>IF(C5924="","",G5915*C5924)</f>
        <v/>
      </c>
      <c r="M5924" s="381" t="str">
        <f>IF(A5924="","",VLOOKUP(A5924,VII.A!$A$10:$B$199,2,FALSE))</f>
        <v/>
      </c>
      <c r="N5924" s="342" t="str">
        <f t="shared" si="1517"/>
        <v/>
      </c>
      <c r="R5924" s="341"/>
      <c r="S5924" s="341"/>
    </row>
    <row r="5925" spans="1:21" ht="12.75" customHeight="1">
      <c r="A5925" s="385"/>
      <c r="B5925" s="386"/>
      <c r="C5925" s="20"/>
      <c r="D5925" s="342"/>
      <c r="E5925" s="387"/>
      <c r="F5925" s="388">
        <f t="shared" si="1518"/>
        <v>0</v>
      </c>
      <c r="G5925" s="390"/>
      <c r="H5925" s="341" t="str">
        <f>IF(A5925="","",VLOOKUP(A5925,VII.A!$A$10:$D$199,4,FALSE))</f>
        <v/>
      </c>
      <c r="I5925" s="341" t="str">
        <f t="shared" si="1515"/>
        <v/>
      </c>
      <c r="J5925" s="341" t="str">
        <f>IF(A5925="","",VLOOKUP(A5925,VII.A!$A$10:$D$199,3,FALSE))</f>
        <v/>
      </c>
      <c r="K5925" s="342" t="str">
        <f t="shared" si="1516"/>
        <v/>
      </c>
      <c r="L5925" s="380" t="str">
        <f>IF(C5925="","",G5915*C5925)</f>
        <v/>
      </c>
      <c r="M5925" s="381" t="str">
        <f>IF(A5925="","",VLOOKUP(A5925,VII.A!$A$10:$B$199,2,FALSE))</f>
        <v/>
      </c>
      <c r="N5925" s="342" t="str">
        <f t="shared" si="1517"/>
        <v/>
      </c>
      <c r="R5925" s="341"/>
      <c r="S5925" s="341"/>
    </row>
    <row r="5926" spans="1:21" ht="12.75" customHeight="1">
      <c r="A5926" s="385"/>
      <c r="B5926" s="386"/>
      <c r="C5926" s="20"/>
      <c r="D5926" s="342"/>
      <c r="E5926" s="387"/>
      <c r="F5926" s="388">
        <f t="shared" si="1518"/>
        <v>0</v>
      </c>
      <c r="G5926" s="391"/>
      <c r="H5926" s="341" t="str">
        <f>IF(A5926="","",VLOOKUP(A5926,VII.A!$A$10:$D$199,4,FALSE))</f>
        <v/>
      </c>
      <c r="I5926" s="341" t="str">
        <f t="shared" si="1515"/>
        <v/>
      </c>
      <c r="J5926" s="341" t="str">
        <f>IF(A5926="","",VLOOKUP(A5926,VII.A!$A$10:$D$199,3,FALSE))</f>
        <v/>
      </c>
      <c r="K5926" s="342" t="str">
        <f t="shared" si="1516"/>
        <v/>
      </c>
      <c r="L5926" s="380" t="str">
        <f>IF(C5926="","",G5915*C5926)</f>
        <v/>
      </c>
      <c r="M5926" s="381" t="str">
        <f>IF(A5926="","",VLOOKUP(A5926,VII.A!$A$10:$B$199,2,FALSE))</f>
        <v/>
      </c>
      <c r="N5926" s="342" t="str">
        <f t="shared" si="1517"/>
        <v/>
      </c>
      <c r="R5926" s="341"/>
      <c r="S5926" s="341"/>
    </row>
    <row r="5927" spans="1:21" ht="12.75" customHeight="1">
      <c r="A5927" s="385"/>
      <c r="B5927" s="386"/>
      <c r="C5927" s="20"/>
      <c r="D5927" s="342"/>
      <c r="E5927" s="387"/>
      <c r="F5927" s="388">
        <f t="shared" si="1518"/>
        <v>0</v>
      </c>
      <c r="H5927" s="341" t="str">
        <f>IF(A5927="","",VLOOKUP(A5927,VII.A!$A$10:$D$199,4,FALSE))</f>
        <v/>
      </c>
      <c r="I5927" s="341" t="str">
        <f t="shared" si="1515"/>
        <v/>
      </c>
      <c r="J5927" s="341" t="str">
        <f>IF(A5927="","",VLOOKUP(A5927,VII.A!$A$10:$D$199,3,FALSE))</f>
        <v/>
      </c>
      <c r="K5927" s="342" t="str">
        <f t="shared" si="1516"/>
        <v/>
      </c>
      <c r="L5927" s="380" t="str">
        <f>IF(C5927="","",G5915*C5927)</f>
        <v/>
      </c>
      <c r="M5927" s="381" t="str">
        <f>IF(A5927="","",VLOOKUP(A5927,VII.A!$A$10:$B$199,2,FALSE))</f>
        <v/>
      </c>
      <c r="N5927" s="342" t="str">
        <f t="shared" si="1517"/>
        <v/>
      </c>
      <c r="R5927" s="341"/>
      <c r="S5927" s="341"/>
    </row>
    <row r="5928" spans="1:21" ht="12.75" customHeight="1">
      <c r="A5928" s="385"/>
      <c r="B5928" s="386"/>
      <c r="C5928" s="20"/>
      <c r="D5928" s="392"/>
      <c r="E5928" s="387"/>
      <c r="F5928" s="388">
        <f t="shared" si="1518"/>
        <v>0</v>
      </c>
      <c r="H5928" s="341" t="str">
        <f>IF(A5928="","",VLOOKUP(A5928,VII.A!$A$10:$D$199,4,FALSE))</f>
        <v/>
      </c>
      <c r="I5928" s="341" t="str">
        <f t="shared" si="1515"/>
        <v/>
      </c>
      <c r="J5928" s="341" t="str">
        <f>IF(A5928="","",VLOOKUP(A5928,VII.A!$A$10:$D$199,3,FALSE))</f>
        <v/>
      </c>
      <c r="K5928" s="342" t="str">
        <f t="shared" si="1516"/>
        <v/>
      </c>
      <c r="L5928" s="380" t="str">
        <f>IF(C5928="","",G5915*C5928)</f>
        <v/>
      </c>
      <c r="M5928" s="381" t="str">
        <f>IF(A5928="","",VLOOKUP(A5928,VII.A!$A$10:$B$199,2,FALSE))</f>
        <v/>
      </c>
      <c r="N5928" s="342" t="str">
        <f t="shared" si="1517"/>
        <v/>
      </c>
      <c r="R5928" s="341"/>
      <c r="S5928" s="341"/>
    </row>
    <row r="5929" spans="1:21" ht="12.75" customHeight="1">
      <c r="A5929" s="385"/>
      <c r="B5929" s="386"/>
      <c r="C5929" s="20"/>
      <c r="D5929" s="392"/>
      <c r="E5929" s="387"/>
      <c r="F5929" s="388">
        <f t="shared" si="1518"/>
        <v>0</v>
      </c>
      <c r="H5929" s="341" t="str">
        <f>IF(A5929="","",VLOOKUP(A5929,VII.A!$A$10:$D$199,4,FALSE))</f>
        <v/>
      </c>
      <c r="I5929" s="341" t="str">
        <f t="shared" si="1515"/>
        <v/>
      </c>
      <c r="J5929" s="341" t="str">
        <f>IF(A5929="","",VLOOKUP(A5929,VII.A!$A$10:$D$199,3,FALSE))</f>
        <v/>
      </c>
      <c r="K5929" s="342" t="str">
        <f t="shared" si="1516"/>
        <v/>
      </c>
      <c r="L5929" s="380" t="str">
        <f>IF(C5929="","",G5915*C5929)</f>
        <v/>
      </c>
      <c r="M5929" s="381" t="str">
        <f>IF(A5929="","",VLOOKUP(A5929,VII.A!$A$10:$B$199,2,FALSE))</f>
        <v/>
      </c>
      <c r="N5929" s="342" t="str">
        <f t="shared" si="1517"/>
        <v/>
      </c>
      <c r="O5929" s="342"/>
      <c r="R5929" s="341"/>
      <c r="S5929" s="341"/>
    </row>
    <row r="5930" spans="1:21" ht="12.75" customHeight="1">
      <c r="A5930" s="385"/>
      <c r="B5930" s="386"/>
      <c r="C5930" s="20"/>
      <c r="D5930" s="392"/>
      <c r="E5930" s="387"/>
      <c r="F5930" s="388">
        <f t="shared" si="1518"/>
        <v>0</v>
      </c>
      <c r="H5930" s="341" t="str">
        <f>IF(A5930="","",VLOOKUP(A5930,VII.A!$A$10:$D$199,4,FALSE))</f>
        <v/>
      </c>
      <c r="I5930" s="341" t="str">
        <f t="shared" si="1515"/>
        <v/>
      </c>
      <c r="J5930" s="341" t="str">
        <f>IF(A5930="","",VLOOKUP(A5930,VII.A!$A$10:$D$199,3,FALSE))</f>
        <v/>
      </c>
      <c r="K5930" s="342" t="str">
        <f t="shared" si="1516"/>
        <v/>
      </c>
      <c r="L5930" s="380" t="str">
        <f>IF(C5930="","",G5915*C5930)</f>
        <v/>
      </c>
      <c r="M5930" s="381" t="str">
        <f>IF(A5930="","",VLOOKUP(A5930,VII.A!$A$10:$B$199,2,FALSE))</f>
        <v/>
      </c>
      <c r="N5930" s="342" t="str">
        <f t="shared" si="1517"/>
        <v/>
      </c>
      <c r="R5930" s="341"/>
      <c r="S5930" s="341"/>
    </row>
    <row r="5931" spans="1:21" ht="12.75" customHeight="1">
      <c r="A5931" s="393"/>
      <c r="C5931" s="20"/>
      <c r="E5931" s="387"/>
      <c r="F5931" s="388">
        <f t="shared" si="1518"/>
        <v>0</v>
      </c>
      <c r="H5931" s="341" t="str">
        <f>IF(A5931="","",VLOOKUP(A5931,VII.A!$A$10:$D$199,4,FALSE))</f>
        <v/>
      </c>
      <c r="I5931" s="341" t="str">
        <f t="shared" si="1515"/>
        <v/>
      </c>
      <c r="J5931" s="341" t="str">
        <f>IF(A5931="","",VLOOKUP(A5931,VII.A!$A$10:$D$199,3,FALSE))</f>
        <v/>
      </c>
      <c r="K5931" s="342" t="str">
        <f t="shared" si="1516"/>
        <v/>
      </c>
      <c r="L5931" s="380" t="str">
        <f>IF(C5931="","",G5915*C5931)</f>
        <v/>
      </c>
      <c r="M5931" s="381" t="str">
        <f>IF(A5931="","",VLOOKUP(A5931,VII.A!$A$10:$B$199,2,FALSE))</f>
        <v/>
      </c>
      <c r="N5931" s="342" t="str">
        <f t="shared" si="1517"/>
        <v/>
      </c>
      <c r="R5931" s="341"/>
      <c r="S5931" s="341"/>
    </row>
    <row r="5932" spans="1:21" ht="12.75" customHeight="1">
      <c r="A5932" s="393"/>
      <c r="C5932" s="20"/>
      <c r="E5932" s="387"/>
      <c r="F5932" s="388">
        <f t="shared" si="1518"/>
        <v>0</v>
      </c>
      <c r="H5932" s="341" t="str">
        <f>IF(A5932="","",VLOOKUP(A5932,VII.A!$A$10:$D$199,4,FALSE))</f>
        <v/>
      </c>
      <c r="I5932" s="341" t="str">
        <f t="shared" si="1515"/>
        <v/>
      </c>
      <c r="J5932" s="341" t="str">
        <f>IF(A5932="","",VLOOKUP(A5932,VII.A!$A$10:$D$199,3,FALSE))</f>
        <v/>
      </c>
      <c r="K5932" s="342" t="str">
        <f t="shared" si="1516"/>
        <v/>
      </c>
      <c r="L5932" s="380" t="str">
        <f>IF(C5932="","",G5915*C5932)</f>
        <v/>
      </c>
      <c r="M5932" s="381" t="str">
        <f>IF(A5932="","",VLOOKUP(A5932,VII.A!$A$10:$B$199,2,FALSE))</f>
        <v/>
      </c>
      <c r="N5932" s="342" t="str">
        <f t="shared" si="1517"/>
        <v/>
      </c>
      <c r="R5932" s="341"/>
      <c r="S5932" s="341"/>
    </row>
    <row r="5933" spans="1:21" ht="12.75" customHeight="1">
      <c r="A5933" s="393"/>
      <c r="B5933" s="395" t="s">
        <v>226</v>
      </c>
      <c r="C5933" s="396"/>
      <c r="D5933" s="397"/>
      <c r="E5933" s="398"/>
      <c r="F5933" s="399">
        <f>SUM(F5917:F5932)</f>
        <v>0</v>
      </c>
      <c r="H5933" s="426" t="s">
        <v>434</v>
      </c>
      <c r="J5933" s="341"/>
      <c r="L5933" s="380"/>
      <c r="M5933" s="381"/>
      <c r="N5933" s="342"/>
      <c r="R5933" s="341"/>
      <c r="S5933" s="341"/>
    </row>
    <row r="5934" spans="1:21" ht="12.75" customHeight="1">
      <c r="A5934" s="393"/>
      <c r="B5934" s="400" t="s">
        <v>53</v>
      </c>
      <c r="C5934" s="2">
        <f>$D$8</f>
        <v>0</v>
      </c>
      <c r="D5934" s="401"/>
      <c r="E5934" s="402"/>
      <c r="F5934" s="403">
        <f>ROUND(F5933*C5934,2)</f>
        <v>0</v>
      </c>
      <c r="H5934" s="426" t="s">
        <v>560</v>
      </c>
      <c r="I5934" s="426"/>
      <c r="J5934" s="426" t="s">
        <v>561</v>
      </c>
      <c r="L5934" s="380"/>
      <c r="M5934" s="381"/>
      <c r="N5934" s="342"/>
      <c r="R5934" s="341"/>
      <c r="S5934" s="341"/>
    </row>
    <row r="5935" spans="1:21" ht="12.75" customHeight="1">
      <c r="A5935" s="404"/>
      <c r="B5935" s="405" t="s">
        <v>227</v>
      </c>
      <c r="C5935" s="406"/>
      <c r="D5935" s="406"/>
      <c r="E5935" s="407"/>
      <c r="F5935" s="408">
        <f>F5933+F5934</f>
        <v>0</v>
      </c>
      <c r="J5935" s="341"/>
      <c r="L5935" s="380"/>
      <c r="M5935" s="381"/>
      <c r="N5935" s="342"/>
      <c r="R5935" s="341"/>
      <c r="S5935" s="341"/>
    </row>
    <row r="5936" spans="1:21" ht="12.75" customHeight="1">
      <c r="A5936" s="374" t="s">
        <v>2</v>
      </c>
      <c r="B5936" s="375" t="s">
        <v>235</v>
      </c>
      <c r="C5936" s="376" t="s">
        <v>231</v>
      </c>
      <c r="D5936" s="376" t="s">
        <v>232</v>
      </c>
      <c r="E5936" s="377" t="s">
        <v>233</v>
      </c>
      <c r="F5936" s="378" t="s">
        <v>234</v>
      </c>
      <c r="J5936" s="341"/>
      <c r="L5936" s="380"/>
      <c r="M5936" s="381"/>
      <c r="N5936" s="342"/>
      <c r="R5936" s="341"/>
      <c r="S5936" s="341"/>
    </row>
    <row r="5937" spans="1:19" ht="12.75" customHeight="1">
      <c r="A5937" s="393" t="str">
        <f>VII.A!$A$149</f>
        <v>2.7</v>
      </c>
      <c r="B5937" s="423" t="str">
        <f>VLOOKUP(A5937,VII.A!$A$10:$G$199,2,FALSE)</f>
        <v>BETONEIRA, CAPACIDADE NOMINAL DE 400L, MOTOR ELÉTRICO TRIFÁSICO DE  2CV - CHP</v>
      </c>
      <c r="C5937" s="20">
        <v>0.30599999999999999</v>
      </c>
      <c r="D5937" s="384" t="str">
        <f>VLOOKUP(A5937,VII.A!$A$10:$G$199,3,FALSE)</f>
        <v>CHP</v>
      </c>
      <c r="E5937" s="387">
        <f>VII.A!D149</f>
        <v>0</v>
      </c>
      <c r="F5937" s="388">
        <f t="shared" ref="F5937:F5946" si="1519">ROUND(C5937*E5937,2)</f>
        <v>0</v>
      </c>
      <c r="H5937" s="341">
        <f>IF(A5937="","",VLOOKUP(A5937,VII.A!$A$10:$D$199,4,FALSE))</f>
        <v>0</v>
      </c>
      <c r="I5937" s="341" t="str">
        <f t="shared" ref="I5937:I5946" si="1520">IF(A5937="","",IF(E5937=H5937,"SIM","NÃO"))</f>
        <v>SIM</v>
      </c>
      <c r="J5937" s="341" t="str">
        <f>IF(A5937="","",VLOOKUP(A5937,VII.A!$A$10:$D$199,3,FALSE))</f>
        <v>CHP</v>
      </c>
      <c r="K5937" s="342" t="str">
        <f t="shared" ref="K5937:K5946" si="1521">IF(A5937="","",IF(J5937=D5937,"SIM","NÃO"))</f>
        <v>SIM</v>
      </c>
      <c r="L5937" s="380">
        <f>IF(C5937="","",G5915*C5937)</f>
        <v>3.06</v>
      </c>
      <c r="M5937" s="381" t="str">
        <f>IF(A5937="","",VLOOKUP(A5937,VII.A!$A$10:$B$199,2,FALSE))</f>
        <v>BETONEIRA, CAPACIDADE NOMINAL DE 400L, MOTOR ELÉTRICO TRIFÁSICO DE  2CV - CHP</v>
      </c>
      <c r="N5937" s="342" t="str">
        <f t="shared" ref="N5937:N5946" si="1522">IF(B5937="","",IF(M5937=B5937,"si","no"))</f>
        <v>si</v>
      </c>
      <c r="R5937" s="341"/>
      <c r="S5937" s="341"/>
    </row>
    <row r="5938" spans="1:19" ht="12.75" customHeight="1">
      <c r="A5938" s="393"/>
      <c r="C5938" s="20"/>
      <c r="E5938" s="387"/>
      <c r="F5938" s="388">
        <f t="shared" si="1519"/>
        <v>0</v>
      </c>
      <c r="H5938" s="341" t="str">
        <f>IF(A5938="","",VLOOKUP(A5938,VII.A!$A$10:$D$199,4,FALSE))</f>
        <v/>
      </c>
      <c r="I5938" s="341" t="str">
        <f t="shared" si="1520"/>
        <v/>
      </c>
      <c r="J5938" s="341" t="str">
        <f>IF(A5938="","",VLOOKUP(A5938,VII.A!$A$10:$D$199,3,FALSE))</f>
        <v/>
      </c>
      <c r="K5938" s="342" t="str">
        <f t="shared" si="1521"/>
        <v/>
      </c>
      <c r="L5938" s="380" t="str">
        <f>IF(C5938="","",G5915*C5938)</f>
        <v/>
      </c>
      <c r="M5938" s="381" t="str">
        <f>IF(A5938="","",VLOOKUP(A5938,VII.A!$A$10:$B$199,2,FALSE))</f>
        <v/>
      </c>
      <c r="N5938" s="342" t="str">
        <f t="shared" si="1522"/>
        <v/>
      </c>
      <c r="R5938" s="341"/>
      <c r="S5938" s="341"/>
    </row>
    <row r="5939" spans="1:19" ht="12.75" customHeight="1">
      <c r="A5939" s="393"/>
      <c r="C5939" s="20"/>
      <c r="E5939" s="387"/>
      <c r="F5939" s="388">
        <f t="shared" si="1519"/>
        <v>0</v>
      </c>
      <c r="H5939" s="341" t="str">
        <f>IF(A5939="","",VLOOKUP(A5939,VII.A!$A$10:$D$199,4,FALSE))</f>
        <v/>
      </c>
      <c r="I5939" s="341" t="str">
        <f t="shared" si="1520"/>
        <v/>
      </c>
      <c r="J5939" s="341" t="str">
        <f>IF(A5939="","",VLOOKUP(A5939,VII.A!$A$10:$D$199,3,FALSE))</f>
        <v/>
      </c>
      <c r="K5939" s="342" t="str">
        <f t="shared" si="1521"/>
        <v/>
      </c>
      <c r="L5939" s="380" t="str">
        <f>IF(C5939="","",G5915*C5939)</f>
        <v/>
      </c>
      <c r="M5939" s="381" t="str">
        <f>IF(A5939="","",VLOOKUP(A5939,VII.A!$A$10:$B$199,2,FALSE))</f>
        <v/>
      </c>
      <c r="N5939" s="342" t="str">
        <f t="shared" si="1522"/>
        <v/>
      </c>
      <c r="R5939" s="341"/>
      <c r="S5939" s="341"/>
    </row>
    <row r="5940" spans="1:19" ht="12.75" customHeight="1">
      <c r="A5940" s="393"/>
      <c r="C5940" s="20"/>
      <c r="E5940" s="387"/>
      <c r="F5940" s="388">
        <f t="shared" si="1519"/>
        <v>0</v>
      </c>
      <c r="H5940" s="341" t="str">
        <f>IF(A5940="","",VLOOKUP(A5940,VII.A!$A$10:$D$199,4,FALSE))</f>
        <v/>
      </c>
      <c r="I5940" s="341" t="str">
        <f t="shared" si="1520"/>
        <v/>
      </c>
      <c r="J5940" s="341" t="str">
        <f>IF(A5940="","",VLOOKUP(A5940,VII.A!$A$10:$D$199,3,FALSE))</f>
        <v/>
      </c>
      <c r="K5940" s="342" t="str">
        <f t="shared" si="1521"/>
        <v/>
      </c>
      <c r="L5940" s="380" t="str">
        <f>IF(C5940="","",G5915*C5940)</f>
        <v/>
      </c>
      <c r="M5940" s="381" t="str">
        <f>IF(A5940="","",VLOOKUP(A5940,VII.A!$A$10:$B$199,2,FALSE))</f>
        <v/>
      </c>
      <c r="N5940" s="342" t="str">
        <f t="shared" si="1522"/>
        <v/>
      </c>
      <c r="R5940" s="341"/>
      <c r="S5940" s="341"/>
    </row>
    <row r="5941" spans="1:19" ht="12.75" customHeight="1">
      <c r="A5941" s="393"/>
      <c r="C5941" s="20"/>
      <c r="E5941" s="387"/>
      <c r="F5941" s="388">
        <f t="shared" si="1519"/>
        <v>0</v>
      </c>
      <c r="G5941" s="390"/>
      <c r="H5941" s="341" t="str">
        <f>IF(A5941="","",VLOOKUP(A5941,VII.A!$A$10:$D$199,4,FALSE))</f>
        <v/>
      </c>
      <c r="I5941" s="341" t="str">
        <f t="shared" si="1520"/>
        <v/>
      </c>
      <c r="J5941" s="341" t="str">
        <f>IF(A5941="","",VLOOKUP(A5941,VII.A!$A$10:$D$199,3,FALSE))</f>
        <v/>
      </c>
      <c r="K5941" s="342" t="str">
        <f t="shared" si="1521"/>
        <v/>
      </c>
      <c r="L5941" s="380" t="str">
        <f>IF(C5941="","",G5915*C5941)</f>
        <v/>
      </c>
      <c r="M5941" s="381" t="str">
        <f>IF(A5941="","",VLOOKUP(A5941,VII.A!$A$10:$B$199,2,FALSE))</f>
        <v/>
      </c>
      <c r="N5941" s="342" t="str">
        <f t="shared" si="1522"/>
        <v/>
      </c>
      <c r="R5941" s="341"/>
      <c r="S5941" s="341"/>
    </row>
    <row r="5942" spans="1:19" ht="12.75" customHeight="1">
      <c r="A5942" s="393"/>
      <c r="C5942" s="20"/>
      <c r="E5942" s="387"/>
      <c r="F5942" s="388">
        <f t="shared" si="1519"/>
        <v>0</v>
      </c>
      <c r="G5942" s="391"/>
      <c r="H5942" s="341" t="str">
        <f>IF(A5942="","",VLOOKUP(A5942,VII.A!$A$10:$D$199,4,FALSE))</f>
        <v/>
      </c>
      <c r="I5942" s="341" t="str">
        <f t="shared" si="1520"/>
        <v/>
      </c>
      <c r="J5942" s="341" t="str">
        <f>IF(A5942="","",VLOOKUP(A5942,VII.A!$A$10:$D$199,3,FALSE))</f>
        <v/>
      </c>
      <c r="K5942" s="342" t="str">
        <f t="shared" si="1521"/>
        <v/>
      </c>
      <c r="L5942" s="380" t="str">
        <f>IF(C5942="","",G5915*C5942)</f>
        <v/>
      </c>
      <c r="M5942" s="381" t="str">
        <f>IF(A5942="","",VLOOKUP(A5942,VII.A!$A$10:$B$199,2,FALSE))</f>
        <v/>
      </c>
      <c r="N5942" s="342" t="str">
        <f t="shared" si="1522"/>
        <v/>
      </c>
      <c r="R5942" s="341"/>
      <c r="S5942" s="341"/>
    </row>
    <row r="5943" spans="1:19" ht="12.75" customHeight="1">
      <c r="A5943" s="393"/>
      <c r="C5943" s="20"/>
      <c r="E5943" s="387"/>
      <c r="F5943" s="388">
        <f t="shared" si="1519"/>
        <v>0</v>
      </c>
      <c r="H5943" s="341" t="str">
        <f>IF(A5943="","",VLOOKUP(A5943,VII.A!$A$10:$D$199,4,FALSE))</f>
        <v/>
      </c>
      <c r="I5943" s="341" t="str">
        <f t="shared" si="1520"/>
        <v/>
      </c>
      <c r="J5943" s="341" t="str">
        <f>IF(A5943="","",VLOOKUP(A5943,VII.A!$A$10:$D$199,3,FALSE))</f>
        <v/>
      </c>
      <c r="K5943" s="342" t="str">
        <f t="shared" si="1521"/>
        <v/>
      </c>
      <c r="L5943" s="380" t="str">
        <f>IF(C5943="","",G5915*C5943)</f>
        <v/>
      </c>
      <c r="M5943" s="381" t="str">
        <f>IF(A5943="","",VLOOKUP(A5943,VII.A!$A$10:$B$199,2,FALSE))</f>
        <v/>
      </c>
      <c r="N5943" s="342" t="str">
        <f t="shared" si="1522"/>
        <v/>
      </c>
      <c r="R5943" s="341"/>
      <c r="S5943" s="341"/>
    </row>
    <row r="5944" spans="1:19" ht="12.75" customHeight="1">
      <c r="A5944" s="393"/>
      <c r="C5944" s="20"/>
      <c r="E5944" s="387"/>
      <c r="F5944" s="388">
        <f t="shared" si="1519"/>
        <v>0</v>
      </c>
      <c r="H5944" s="341" t="str">
        <f>IF(A5944="","",VLOOKUP(A5944,VII.A!$A$10:$D$199,4,FALSE))</f>
        <v/>
      </c>
      <c r="I5944" s="341" t="str">
        <f t="shared" si="1520"/>
        <v/>
      </c>
      <c r="J5944" s="341" t="str">
        <f>IF(A5944="","",VLOOKUP(A5944,VII.A!$A$10:$D$199,3,FALSE))</f>
        <v/>
      </c>
      <c r="K5944" s="342" t="str">
        <f t="shared" si="1521"/>
        <v/>
      </c>
      <c r="L5944" s="380" t="str">
        <f>IF(C5944="","",G5915*C5944)</f>
        <v/>
      </c>
      <c r="M5944" s="381" t="str">
        <f>IF(A5944="","",VLOOKUP(A5944,VII.A!$A$10:$B$199,2,FALSE))</f>
        <v/>
      </c>
      <c r="N5944" s="342" t="str">
        <f t="shared" si="1522"/>
        <v/>
      </c>
      <c r="R5944" s="341"/>
      <c r="S5944" s="341"/>
    </row>
    <row r="5945" spans="1:19" ht="12.75" customHeight="1">
      <c r="A5945" s="393"/>
      <c r="C5945" s="20"/>
      <c r="E5945" s="387"/>
      <c r="F5945" s="388">
        <f t="shared" si="1519"/>
        <v>0</v>
      </c>
      <c r="H5945" s="341" t="str">
        <f>IF(A5945="","",VLOOKUP(A5945,VII.A!$A$10:$D$199,4,FALSE))</f>
        <v/>
      </c>
      <c r="I5945" s="341" t="str">
        <f t="shared" si="1520"/>
        <v/>
      </c>
      <c r="J5945" s="341" t="str">
        <f>IF(A5945="","",VLOOKUP(A5945,VII.A!$A$10:$D$199,3,FALSE))</f>
        <v/>
      </c>
      <c r="K5945" s="342" t="str">
        <f t="shared" si="1521"/>
        <v/>
      </c>
      <c r="L5945" s="380" t="str">
        <f>IF(C5945="","",G5915*C5945)</f>
        <v/>
      </c>
      <c r="M5945" s="381" t="str">
        <f>IF(A5945="","",VLOOKUP(A5945,VII.A!$A$10:$B$199,2,FALSE))</f>
        <v/>
      </c>
      <c r="N5945" s="342" t="str">
        <f t="shared" si="1522"/>
        <v/>
      </c>
      <c r="R5945" s="341"/>
      <c r="S5945" s="341"/>
    </row>
    <row r="5946" spans="1:19" ht="12.75" customHeight="1">
      <c r="A5946" s="393"/>
      <c r="C5946" s="20"/>
      <c r="E5946" s="387"/>
      <c r="F5946" s="388">
        <f t="shared" si="1519"/>
        <v>0</v>
      </c>
      <c r="H5946" s="341" t="str">
        <f>IF(A5946="","",VLOOKUP(A5946,VII.A!$A$10:$D$199,4,FALSE))</f>
        <v/>
      </c>
      <c r="I5946" s="341" t="str">
        <f t="shared" si="1520"/>
        <v/>
      </c>
      <c r="J5946" s="341" t="str">
        <f>IF(A5946="","",VLOOKUP(A5946,VII.A!$A$10:$D$199,3,FALSE))</f>
        <v/>
      </c>
      <c r="K5946" s="342" t="str">
        <f t="shared" si="1521"/>
        <v/>
      </c>
      <c r="L5946" s="380" t="str">
        <f>IF(C5946="","",G5915*C5946)</f>
        <v/>
      </c>
      <c r="M5946" s="381" t="str">
        <f>IF(A5946="","",VLOOKUP(A5946,VII.A!$A$10:$B$199,2,FALSE))</f>
        <v/>
      </c>
      <c r="N5946" s="342" t="str">
        <f t="shared" si="1522"/>
        <v/>
      </c>
      <c r="R5946" s="341"/>
      <c r="S5946" s="341"/>
    </row>
    <row r="5947" spans="1:19" ht="12.75" customHeight="1">
      <c r="A5947" s="393"/>
      <c r="B5947" s="395" t="s">
        <v>226</v>
      </c>
      <c r="C5947" s="396"/>
      <c r="D5947" s="397"/>
      <c r="E5947" s="398"/>
      <c r="F5947" s="399">
        <f>SUM(F5937:F5946)</f>
        <v>0</v>
      </c>
      <c r="J5947" s="341"/>
      <c r="L5947" s="380"/>
      <c r="M5947" s="381"/>
      <c r="N5947" s="342"/>
      <c r="R5947" s="341"/>
      <c r="S5947" s="341"/>
    </row>
    <row r="5948" spans="1:19" ht="12.75" customHeight="1">
      <c r="A5948" s="393"/>
      <c r="B5948" s="400" t="s">
        <v>53</v>
      </c>
      <c r="C5948" s="2">
        <f>$D$8</f>
        <v>0</v>
      </c>
      <c r="D5948" s="401"/>
      <c r="E5948" s="402"/>
      <c r="F5948" s="403">
        <f>ROUND(C5948*F5947,2)</f>
        <v>0</v>
      </c>
      <c r="J5948" s="341"/>
      <c r="L5948" s="380"/>
      <c r="M5948" s="381"/>
      <c r="N5948" s="342"/>
      <c r="R5948" s="341"/>
      <c r="S5948" s="341"/>
    </row>
    <row r="5949" spans="1:19" ht="12.75" customHeight="1">
      <c r="A5949" s="404"/>
      <c r="B5949" s="405" t="s">
        <v>228</v>
      </c>
      <c r="C5949" s="406"/>
      <c r="D5949" s="406"/>
      <c r="E5949" s="407"/>
      <c r="F5949" s="408">
        <f>F5947+F5948</f>
        <v>0</v>
      </c>
      <c r="J5949" s="341"/>
      <c r="L5949" s="380"/>
      <c r="M5949" s="381"/>
      <c r="N5949" s="342"/>
      <c r="R5949" s="341"/>
      <c r="S5949" s="341"/>
    </row>
    <row r="5950" spans="1:19" ht="12.75" customHeight="1">
      <c r="A5950" s="409" t="s">
        <v>47</v>
      </c>
      <c r="B5950" s="410" t="s">
        <v>236</v>
      </c>
      <c r="C5950" s="411" t="s">
        <v>231</v>
      </c>
      <c r="D5950" s="412" t="s">
        <v>232</v>
      </c>
      <c r="E5950" s="413" t="s">
        <v>233</v>
      </c>
      <c r="F5950" s="378" t="s">
        <v>234</v>
      </c>
      <c r="J5950" s="341"/>
      <c r="L5950" s="380"/>
      <c r="M5950" s="381"/>
      <c r="N5950" s="342"/>
      <c r="R5950" s="341"/>
      <c r="S5950" s="341"/>
    </row>
    <row r="5951" spans="1:19" ht="12.75" customHeight="1">
      <c r="A5951" s="393" t="str">
        <f>VII.A!$A$192</f>
        <v>3.12</v>
      </c>
      <c r="B5951" s="394" t="str">
        <f>VII.A!$B$192</f>
        <v>PEDREIRO COM ENCARGOS COMPLEMENTARES</v>
      </c>
      <c r="C5951" s="20">
        <v>5.4450000000000003</v>
      </c>
      <c r="D5951" s="384" t="str">
        <f>VLOOKUP(A5951,VII.A!$A$10:$G$199,3,FALSE)</f>
        <v>H</v>
      </c>
      <c r="E5951" s="387">
        <f>VII.A!$D$192</f>
        <v>0</v>
      </c>
      <c r="F5951" s="388">
        <f t="shared" ref="F5951:F5957" si="1523">ROUND(C5951*E5951,2)</f>
        <v>0</v>
      </c>
      <c r="H5951" s="341">
        <f>IF(A5951="","",VLOOKUP(A5951,VII.A!$A$10:$D$199,4,FALSE))</f>
        <v>0</v>
      </c>
      <c r="I5951" s="341" t="str">
        <f t="shared" ref="I5951:I5957" si="1524">IF(A5951="","",IF(E5951=H5951,"SIM","NÃO"))</f>
        <v>SIM</v>
      </c>
      <c r="J5951" s="341" t="str">
        <f>IF(A5951="","",VLOOKUP(A5951,VII.A!$A$10:$D$199,3,FALSE))</f>
        <v>H</v>
      </c>
      <c r="K5951" s="342" t="str">
        <f t="shared" ref="K5951:K5957" si="1525">IF(A5951="","",IF(J5951=D5951,"SIM","NÃO"))</f>
        <v>SIM</v>
      </c>
      <c r="L5951" s="380">
        <f>IF(C5951="","",G5915*C5951)</f>
        <v>54.45</v>
      </c>
      <c r="M5951" s="381" t="str">
        <f>IF(A5951="","",VLOOKUP(A5951,VII.A!$A$10:$B$199,2,FALSE))</f>
        <v>PEDREIRO COM ENCARGOS COMPLEMENTARES</v>
      </c>
      <c r="N5951" s="342" t="str">
        <f t="shared" ref="N5951:N5957" si="1526">IF(B5951="","",IF(M5951=B5951,"si","no"))</f>
        <v>si</v>
      </c>
      <c r="R5951" s="341"/>
      <c r="S5951" s="341"/>
    </row>
    <row r="5952" spans="1:19" ht="12.75" customHeight="1">
      <c r="A5952" s="393" t="str">
        <f>VII.A!$A$196</f>
        <v>3.16</v>
      </c>
      <c r="B5952" s="394" t="str">
        <f>VII.A!$B$196</f>
        <v>SERVENTE COM ENCARGOS COMPLEMENTARES</v>
      </c>
      <c r="C5952" s="20">
        <v>3.3450000000000002</v>
      </c>
      <c r="D5952" s="384" t="str">
        <f>VLOOKUP(A5952,VII.A!$A$10:$G$199,3,FALSE)</f>
        <v>H</v>
      </c>
      <c r="E5952" s="387">
        <f>VII.A!D196</f>
        <v>0</v>
      </c>
      <c r="F5952" s="388">
        <f>ROUND(C5952*E5952,2)</f>
        <v>0</v>
      </c>
      <c r="H5952" s="341">
        <f>IF(A5952="","",VLOOKUP(A5952,VII.A!$A$10:$D$199,4,FALSE))</f>
        <v>0</v>
      </c>
      <c r="I5952" s="341" t="str">
        <f>IF(A5952="","",IF(E5952=H5952,"SIM","NÃO"))</f>
        <v>SIM</v>
      </c>
      <c r="J5952" s="341" t="str">
        <f>IF(A5952="","",VLOOKUP(A5952,VII.A!$A$10:$D$199,3,FALSE))</f>
        <v>H</v>
      </c>
      <c r="K5952" s="342" t="str">
        <f>IF(A5952="","",IF(J5952=D5952,"SIM","NÃO"))</f>
        <v>SIM</v>
      </c>
      <c r="L5952" s="380">
        <f>IF(C5952="","",G5915*C5952)</f>
        <v>33.450000000000003</v>
      </c>
      <c r="M5952" s="381" t="str">
        <f>IF(A5952="","",VLOOKUP(A5952,VII.A!$A$10:$B$199,2,FALSE))</f>
        <v>SERVENTE COM ENCARGOS COMPLEMENTARES</v>
      </c>
      <c r="N5952" s="342" t="str">
        <f>IF(B5952="","",IF(M5952=B5952,"si","no"))</f>
        <v>si</v>
      </c>
      <c r="R5952" s="341"/>
      <c r="S5952" s="341"/>
    </row>
    <row r="5953" spans="1:21" ht="12.75" customHeight="1">
      <c r="A5953" s="393"/>
      <c r="C5953" s="20"/>
      <c r="E5953" s="387"/>
      <c r="F5953" s="388">
        <f t="shared" si="1523"/>
        <v>0</v>
      </c>
      <c r="H5953" s="341" t="str">
        <f>IF(A5953="","",VLOOKUP(A5953,VII.A!$A$10:$D$199,4,FALSE))</f>
        <v/>
      </c>
      <c r="I5953" s="341" t="str">
        <f t="shared" si="1524"/>
        <v/>
      </c>
      <c r="J5953" s="341" t="str">
        <f>IF(A5953="","",VLOOKUP(A5953,VII.A!$A$10:$D$199,3,FALSE))</f>
        <v/>
      </c>
      <c r="K5953" s="342" t="str">
        <f t="shared" si="1525"/>
        <v/>
      </c>
      <c r="L5953" s="380" t="str">
        <f>IF(C5953="","",G5915*C5953)</f>
        <v/>
      </c>
      <c r="M5953" s="381" t="str">
        <f>IF(A5953="","",VLOOKUP(A5953,VII.A!$A$10:$B$199,2,FALSE))</f>
        <v/>
      </c>
      <c r="N5953" s="342" t="str">
        <f t="shared" si="1526"/>
        <v/>
      </c>
      <c r="R5953" s="341"/>
      <c r="S5953" s="341"/>
    </row>
    <row r="5954" spans="1:21" ht="12.75" customHeight="1">
      <c r="A5954" s="393"/>
      <c r="C5954" s="20"/>
      <c r="E5954" s="387"/>
      <c r="F5954" s="388">
        <f t="shared" si="1523"/>
        <v>0</v>
      </c>
      <c r="H5954" s="341" t="str">
        <f>IF(A5954="","",VLOOKUP(A5954,VII.A!$A$10:$D$199,4,FALSE))</f>
        <v/>
      </c>
      <c r="I5954" s="341" t="str">
        <f t="shared" si="1524"/>
        <v/>
      </c>
      <c r="J5954" s="341" t="str">
        <f>IF(A5954="","",VLOOKUP(A5954,VII.A!$A$10:$D$199,3,FALSE))</f>
        <v/>
      </c>
      <c r="K5954" s="342" t="str">
        <f t="shared" si="1525"/>
        <v/>
      </c>
      <c r="L5954" s="380" t="str">
        <f>IF(C5954="","",G5915*C5954)</f>
        <v/>
      </c>
      <c r="M5954" s="381" t="str">
        <f>IF(A5954="","",VLOOKUP(A5954,VII.A!$A$10:$B$199,2,FALSE))</f>
        <v/>
      </c>
      <c r="N5954" s="342" t="str">
        <f t="shared" si="1526"/>
        <v/>
      </c>
      <c r="R5954" s="341"/>
      <c r="S5954" s="341"/>
    </row>
    <row r="5955" spans="1:21" ht="12.75" customHeight="1">
      <c r="A5955" s="393"/>
      <c r="C5955" s="20"/>
      <c r="E5955" s="387"/>
      <c r="F5955" s="388">
        <f t="shared" si="1523"/>
        <v>0</v>
      </c>
      <c r="H5955" s="341" t="str">
        <f>IF(A5955="","",VLOOKUP(A5955,VII.A!$A$10:$D$199,4,FALSE))</f>
        <v/>
      </c>
      <c r="I5955" s="341" t="str">
        <f t="shared" si="1524"/>
        <v/>
      </c>
      <c r="J5955" s="341" t="str">
        <f>IF(A5955="","",VLOOKUP(A5955,VII.A!$A$10:$D$199,3,FALSE))</f>
        <v/>
      </c>
      <c r="K5955" s="342" t="str">
        <f t="shared" si="1525"/>
        <v/>
      </c>
      <c r="L5955" s="380" t="str">
        <f>IF(C5955="","",G5915*C5955)</f>
        <v/>
      </c>
      <c r="M5955" s="381" t="str">
        <f>IF(A5955="","",VLOOKUP(A5955,VII.A!$A$10:$B$199,2,FALSE))</f>
        <v/>
      </c>
      <c r="N5955" s="342" t="str">
        <f t="shared" si="1526"/>
        <v/>
      </c>
      <c r="R5955" s="341"/>
      <c r="S5955" s="341"/>
    </row>
    <row r="5956" spans="1:21" ht="12.75" customHeight="1">
      <c r="A5956" s="393"/>
      <c r="C5956" s="20"/>
      <c r="E5956" s="387"/>
      <c r="F5956" s="388">
        <f t="shared" si="1523"/>
        <v>0</v>
      </c>
      <c r="H5956" s="341" t="str">
        <f>IF(A5956="","",VLOOKUP(A5956,VII.A!$A$10:$D$199,4,FALSE))</f>
        <v/>
      </c>
      <c r="I5956" s="341" t="str">
        <f t="shared" si="1524"/>
        <v/>
      </c>
      <c r="J5956" s="341" t="str">
        <f>IF(A5956="","",VLOOKUP(A5956,VII.A!$A$10:$D$199,3,FALSE))</f>
        <v/>
      </c>
      <c r="K5956" s="342" t="str">
        <f t="shared" si="1525"/>
        <v/>
      </c>
      <c r="L5956" s="380" t="str">
        <f>IF(C5956="","",G5915*C5956)</f>
        <v/>
      </c>
      <c r="M5956" s="381" t="str">
        <f>IF(A5956="","",VLOOKUP(A5956,VII.A!$A$10:$B$199,2,FALSE))</f>
        <v/>
      </c>
      <c r="N5956" s="342" t="str">
        <f t="shared" si="1526"/>
        <v/>
      </c>
      <c r="R5956" s="341"/>
      <c r="S5956" s="341"/>
    </row>
    <row r="5957" spans="1:21" ht="12.75" customHeight="1">
      <c r="A5957" s="393"/>
      <c r="C5957" s="20"/>
      <c r="E5957" s="387"/>
      <c r="F5957" s="388">
        <f t="shared" si="1523"/>
        <v>0</v>
      </c>
      <c r="H5957" s="341" t="str">
        <f>IF(A5957="","",VLOOKUP(A5957,VII.A!$A$10:$D$199,4,FALSE))</f>
        <v/>
      </c>
      <c r="I5957" s="341" t="str">
        <f t="shared" si="1524"/>
        <v/>
      </c>
      <c r="J5957" s="341" t="str">
        <f>IF(A5957="","",VLOOKUP(A5957,VII.A!$A$10:$D$199,3,FALSE))</f>
        <v/>
      </c>
      <c r="K5957" s="342" t="str">
        <f t="shared" si="1525"/>
        <v/>
      </c>
      <c r="L5957" s="380" t="str">
        <f>IF(C5957="","",G5915*C5957)</f>
        <v/>
      </c>
      <c r="M5957" s="381" t="str">
        <f>IF(A5957="","",VLOOKUP(A5957,VII.A!$A$10:$B$199,2,FALSE))</f>
        <v/>
      </c>
      <c r="N5957" s="342" t="str">
        <f t="shared" si="1526"/>
        <v/>
      </c>
      <c r="R5957" s="341"/>
      <c r="S5957" s="341"/>
    </row>
    <row r="5958" spans="1:21" ht="12.75" customHeight="1">
      <c r="A5958" s="393"/>
      <c r="B5958" s="395" t="s">
        <v>226</v>
      </c>
      <c r="C5958" s="396"/>
      <c r="D5958" s="397"/>
      <c r="E5958" s="398"/>
      <c r="F5958" s="399">
        <f>SUM(F5951:F5957)</f>
        <v>0</v>
      </c>
      <c r="J5958" s="341"/>
      <c r="L5958" s="380"/>
      <c r="M5958" s="381"/>
      <c r="N5958" s="342"/>
      <c r="R5958" s="341"/>
      <c r="S5958" s="341"/>
    </row>
    <row r="5959" spans="1:21" ht="12.75" customHeight="1">
      <c r="A5959" s="393"/>
      <c r="B5959" s="400" t="s">
        <v>229</v>
      </c>
      <c r="C5959" s="2">
        <f>IX.A!$C$45</f>
        <v>0</v>
      </c>
      <c r="D5959" s="401"/>
      <c r="E5959" s="402"/>
      <c r="F5959" s="403">
        <f>ROUND(F5958*C5959,2)</f>
        <v>0</v>
      </c>
      <c r="J5959" s="341"/>
      <c r="L5959" s="380"/>
      <c r="M5959" s="381"/>
      <c r="N5959" s="342"/>
      <c r="R5959" s="341"/>
      <c r="S5959" s="341"/>
    </row>
    <row r="5960" spans="1:21" ht="12.75" customHeight="1">
      <c r="A5960" s="393"/>
      <c r="B5960" s="400" t="s">
        <v>53</v>
      </c>
      <c r="C5960" s="2">
        <f>$D$8</f>
        <v>0</v>
      </c>
      <c r="D5960" s="401"/>
      <c r="E5960" s="402"/>
      <c r="F5960" s="403">
        <f>ROUND(SUM(F5958:F5959)*C5960,2)</f>
        <v>0</v>
      </c>
      <c r="J5960" s="341"/>
      <c r="L5960" s="380"/>
      <c r="M5960" s="381"/>
      <c r="N5960" s="342"/>
      <c r="R5960" s="341"/>
      <c r="S5960" s="341"/>
    </row>
    <row r="5961" spans="1:21" ht="12.75" customHeight="1" thickBot="1">
      <c r="A5961" s="414"/>
      <c r="B5961" s="415" t="s">
        <v>230</v>
      </c>
      <c r="C5961" s="416"/>
      <c r="D5961" s="416"/>
      <c r="E5961" s="417"/>
      <c r="F5961" s="418">
        <f>SUM(F5958:F5960)</f>
        <v>0</v>
      </c>
      <c r="J5961" s="341"/>
      <c r="L5961" s="380"/>
      <c r="M5961" s="381"/>
      <c r="N5961" s="342"/>
      <c r="R5961" s="341"/>
      <c r="S5961" s="341"/>
    </row>
    <row r="5962" spans="1:21" ht="12.75" customHeight="1">
      <c r="A5962" s="427"/>
      <c r="B5962" s="428"/>
      <c r="C5962" s="429"/>
      <c r="D5962" s="429"/>
      <c r="E5962" s="430"/>
      <c r="F5962" s="431"/>
      <c r="J5962" s="341"/>
      <c r="L5962" s="380"/>
      <c r="M5962" s="381"/>
      <c r="N5962" s="342"/>
      <c r="R5962" s="341"/>
      <c r="S5962" s="341"/>
    </row>
    <row r="5963" spans="1:21" ht="12.75" customHeight="1">
      <c r="D5963" s="383"/>
      <c r="G5963" s="356">
        <f>SUM(G1:G5962)</f>
        <v>460307.5</v>
      </c>
      <c r="J5963" s="341"/>
      <c r="L5963" s="380"/>
      <c r="M5963" s="381"/>
      <c r="N5963" s="342"/>
      <c r="R5963" s="341"/>
      <c r="S5963" s="341"/>
    </row>
    <row r="5964" spans="1:21" ht="12.75" customHeight="1">
      <c r="D5964" s="383"/>
      <c r="G5964" s="356">
        <f>SUM(IV.A!D16:D172)</f>
        <v>460307.5</v>
      </c>
    </row>
    <row r="5965" spans="1:21" ht="12.75" customHeight="1">
      <c r="D5965" s="383"/>
      <c r="G5965" s="356">
        <f>G5963-G5964</f>
        <v>0</v>
      </c>
    </row>
    <row r="5966" spans="1:21" ht="12.75" customHeight="1">
      <c r="D5966" s="383"/>
      <c r="L5966" s="368">
        <f>ROUND(SUM(L1:L5965),4)</f>
        <v>1539273.8981000001</v>
      </c>
      <c r="M5966" s="368">
        <f>ROUND(VII.A!H213,4)</f>
        <v>1514968.9713000001</v>
      </c>
      <c r="T5966" s="368">
        <f>SUM(T1:T5965)</f>
        <v>1539273.8980803085</v>
      </c>
      <c r="U5966" s="368">
        <f>SUM(U1:U5965)</f>
        <v>1539273.8980803087</v>
      </c>
    </row>
    <row r="5967" spans="1:21" ht="12.75" customHeight="1">
      <c r="D5967" s="383"/>
      <c r="L5967" s="342" t="str">
        <f>IF(L5966=M5966,"si","no")</f>
        <v>no</v>
      </c>
      <c r="M5967" s="368">
        <f>L5966-M5966</f>
        <v>24304.926800000016</v>
      </c>
    </row>
    <row r="5968" spans="1:21" ht="12.75" customHeight="1">
      <c r="D5968" s="383"/>
    </row>
    <row r="5969" spans="1:13" ht="12.75" customHeight="1">
      <c r="D5969" s="383"/>
    </row>
    <row r="5970" spans="1:13" ht="12.75" customHeight="1">
      <c r="D5970" s="383"/>
      <c r="M5970" s="368"/>
    </row>
    <row r="5971" spans="1:13" ht="12.75" customHeight="1">
      <c r="D5971" s="383"/>
    </row>
    <row r="5972" spans="1:13" ht="12.75" customHeight="1">
      <c r="D5972" s="383"/>
    </row>
    <row r="5973" spans="1:13" ht="12.75" customHeight="1">
      <c r="A5973" s="461"/>
      <c r="B5973" s="462"/>
      <c r="D5973" s="383"/>
    </row>
    <row r="5974" spans="1:13" ht="12.75" customHeight="1">
      <c r="A5974" s="461"/>
      <c r="B5974" s="462"/>
      <c r="D5974" s="383"/>
    </row>
    <row r="5975" spans="1:13" ht="12.75" customHeight="1">
      <c r="A5975" s="461"/>
      <c r="B5975" s="462"/>
      <c r="D5975" s="383"/>
    </row>
    <row r="5976" spans="1:13" ht="12.75" customHeight="1">
      <c r="A5976" s="461"/>
      <c r="B5976" s="462"/>
      <c r="D5976" s="383"/>
    </row>
    <row r="5977" spans="1:13" ht="12.75" customHeight="1">
      <c r="A5977" s="461"/>
      <c r="B5977" s="462"/>
      <c r="D5977" s="383"/>
    </row>
    <row r="5978" spans="1:13" ht="12.75" customHeight="1">
      <c r="A5978" s="461"/>
      <c r="B5978" s="462"/>
      <c r="D5978" s="383"/>
    </row>
    <row r="5979" spans="1:13" ht="12.75" customHeight="1">
      <c r="A5979" s="461"/>
      <c r="B5979" s="462"/>
      <c r="D5979" s="383"/>
    </row>
    <row r="5980" spans="1:13" ht="12.75" customHeight="1">
      <c r="A5980" s="461"/>
      <c r="B5980" s="462"/>
      <c r="D5980" s="383"/>
    </row>
    <row r="5981" spans="1:13" ht="12.75" customHeight="1">
      <c r="A5981" s="461"/>
      <c r="B5981" s="462"/>
      <c r="D5981" s="383"/>
    </row>
    <row r="5982" spans="1:13" ht="12.75" customHeight="1">
      <c r="A5982" s="461"/>
      <c r="B5982" s="462"/>
      <c r="D5982" s="383"/>
    </row>
    <row r="5983" spans="1:13" ht="12.75" customHeight="1">
      <c r="A5983" s="461"/>
      <c r="B5983" s="462"/>
      <c r="D5983" s="383"/>
    </row>
    <row r="5984" spans="1:13" ht="12.75" customHeight="1">
      <c r="A5984" s="461"/>
      <c r="B5984" s="462"/>
      <c r="D5984" s="383"/>
    </row>
    <row r="5985" spans="1:4" ht="12.75" customHeight="1">
      <c r="A5985" s="461"/>
      <c r="B5985" s="462"/>
      <c r="D5985" s="383"/>
    </row>
    <row r="5986" spans="1:4" ht="12.75" customHeight="1">
      <c r="A5986" s="461"/>
      <c r="B5986" s="462"/>
      <c r="D5986" s="383"/>
    </row>
    <row r="5987" spans="1:4" ht="12.75" customHeight="1">
      <c r="A5987" s="461"/>
      <c r="B5987" s="462"/>
      <c r="D5987" s="383"/>
    </row>
    <row r="5988" spans="1:4" ht="12.75" customHeight="1">
      <c r="A5988" s="461"/>
      <c r="B5988" s="462"/>
      <c r="D5988" s="383"/>
    </row>
    <row r="5989" spans="1:4" ht="12.75" customHeight="1">
      <c r="A5989" s="461"/>
      <c r="B5989" s="462"/>
      <c r="D5989" s="383"/>
    </row>
    <row r="5990" spans="1:4" ht="12.75" customHeight="1">
      <c r="A5990" s="461"/>
      <c r="B5990" s="462"/>
      <c r="D5990" s="383"/>
    </row>
    <row r="5991" spans="1:4" ht="12.75" customHeight="1">
      <c r="A5991" s="461"/>
      <c r="B5991" s="462"/>
      <c r="D5991" s="383"/>
    </row>
    <row r="5992" spans="1:4" ht="12.75" customHeight="1">
      <c r="A5992" s="461"/>
      <c r="B5992" s="462"/>
      <c r="D5992" s="383"/>
    </row>
    <row r="5993" spans="1:4" ht="12.75" customHeight="1">
      <c r="A5993" s="461"/>
      <c r="B5993" s="462"/>
      <c r="D5993" s="383"/>
    </row>
    <row r="5994" spans="1:4" ht="12.75" customHeight="1">
      <c r="A5994" s="461"/>
      <c r="B5994" s="462"/>
      <c r="D5994" s="383"/>
    </row>
    <row r="5995" spans="1:4" ht="12.75" customHeight="1">
      <c r="A5995" s="461"/>
      <c r="B5995" s="462"/>
      <c r="D5995" s="383"/>
    </row>
    <row r="5996" spans="1:4" ht="12.75" customHeight="1">
      <c r="A5996" s="461"/>
      <c r="B5996" s="462"/>
      <c r="D5996" s="383"/>
    </row>
    <row r="5997" spans="1:4" ht="12.75" customHeight="1">
      <c r="A5997" s="461"/>
      <c r="B5997" s="462"/>
      <c r="D5997" s="383"/>
    </row>
    <row r="5998" spans="1:4" ht="12.75" customHeight="1">
      <c r="A5998" s="461"/>
      <c r="B5998" s="462"/>
      <c r="D5998" s="383"/>
    </row>
    <row r="5999" spans="1:4" ht="12.75" customHeight="1">
      <c r="A5999" s="461"/>
      <c r="B5999" s="462"/>
      <c r="D5999" s="383"/>
    </row>
    <row r="6000" spans="1:4" ht="12.75" customHeight="1">
      <c r="A6000" s="461"/>
      <c r="B6000" s="462"/>
      <c r="D6000" s="383"/>
    </row>
    <row r="6001" spans="1:4" ht="12.75" customHeight="1">
      <c r="A6001" s="461"/>
      <c r="B6001" s="462"/>
      <c r="D6001" s="383"/>
    </row>
    <row r="6002" spans="1:4" ht="12.75" customHeight="1">
      <c r="A6002" s="461"/>
      <c r="B6002" s="462"/>
      <c r="D6002" s="383"/>
    </row>
    <row r="6003" spans="1:4" ht="12.75" customHeight="1">
      <c r="A6003" s="461"/>
      <c r="B6003" s="462"/>
      <c r="D6003" s="383"/>
    </row>
    <row r="6004" spans="1:4" ht="12.75" customHeight="1">
      <c r="A6004" s="461"/>
      <c r="B6004" s="462"/>
      <c r="D6004" s="383"/>
    </row>
    <row r="6005" spans="1:4" ht="12.75" customHeight="1">
      <c r="A6005" s="461"/>
      <c r="B6005" s="462"/>
      <c r="D6005" s="383"/>
    </row>
    <row r="6006" spans="1:4" ht="12.75" customHeight="1">
      <c r="A6006" s="461"/>
      <c r="B6006" s="462"/>
      <c r="D6006" s="383"/>
    </row>
    <row r="6007" spans="1:4" ht="12.75" customHeight="1">
      <c r="A6007" s="461"/>
      <c r="B6007" s="462"/>
      <c r="D6007" s="383"/>
    </row>
    <row r="6008" spans="1:4" ht="12.75" customHeight="1">
      <c r="A6008" s="461"/>
      <c r="B6008" s="462"/>
      <c r="D6008" s="383"/>
    </row>
    <row r="6009" spans="1:4" ht="12.75" customHeight="1">
      <c r="A6009" s="461"/>
      <c r="B6009" s="462"/>
      <c r="D6009" s="383"/>
    </row>
    <row r="6010" spans="1:4" ht="12.75" customHeight="1">
      <c r="A6010" s="461"/>
      <c r="B6010" s="462"/>
      <c r="D6010" s="383"/>
    </row>
    <row r="6011" spans="1:4" ht="12.75" customHeight="1">
      <c r="A6011" s="461"/>
      <c r="B6011" s="462"/>
      <c r="D6011" s="383"/>
    </row>
    <row r="6012" spans="1:4" ht="12.75" customHeight="1">
      <c r="A6012" s="461"/>
      <c r="B6012" s="462"/>
      <c r="D6012" s="383"/>
    </row>
    <row r="6013" spans="1:4" ht="12.75" customHeight="1">
      <c r="A6013" s="461"/>
      <c r="B6013" s="462"/>
      <c r="D6013" s="383"/>
    </row>
    <row r="6014" spans="1:4" ht="12.75" customHeight="1">
      <c r="A6014" s="461"/>
      <c r="B6014" s="462"/>
      <c r="D6014" s="383"/>
    </row>
    <row r="6015" spans="1:4" ht="12.75" customHeight="1">
      <c r="A6015" s="461"/>
      <c r="B6015" s="462"/>
      <c r="D6015" s="383"/>
    </row>
    <row r="6016" spans="1:4" ht="12.75" customHeight="1">
      <c r="A6016" s="461"/>
      <c r="B6016" s="462"/>
      <c r="D6016" s="383"/>
    </row>
    <row r="6017" spans="1:4" ht="12.75" customHeight="1">
      <c r="A6017" s="461"/>
      <c r="B6017" s="462"/>
      <c r="D6017" s="383"/>
    </row>
    <row r="6018" spans="1:4" ht="12.75" customHeight="1">
      <c r="A6018" s="461"/>
      <c r="B6018" s="462"/>
      <c r="D6018" s="383"/>
    </row>
    <row r="6019" spans="1:4" ht="12.75" customHeight="1">
      <c r="A6019" s="461"/>
      <c r="B6019" s="462"/>
      <c r="D6019" s="383"/>
    </row>
    <row r="6020" spans="1:4" ht="12.75" customHeight="1">
      <c r="A6020" s="461"/>
      <c r="B6020" s="462"/>
      <c r="D6020" s="383"/>
    </row>
    <row r="6021" spans="1:4" ht="12.75" customHeight="1">
      <c r="A6021" s="461"/>
      <c r="B6021" s="462"/>
      <c r="D6021" s="383"/>
    </row>
  </sheetData>
  <sheetProtection algorithmName="SHA-512" hashValue="WUi+VeDz79GJGnAYjpzLDHwq0UyKSnIQCMHeo5h6B782FxhPkzAVyOfP0/cXt0gjFJ2Xf73f3Ft4Er5zgpc6Mw==" saltValue="uXGqWQw4og1mFJ9BRebCIA==" spinCount="100000" sheet="1" objects="1" scenarios="1" selectLockedCells="1"/>
  <mergeCells count="135">
    <mergeCell ref="C59:D59"/>
    <mergeCell ref="A5:F5"/>
    <mergeCell ref="C11:D11"/>
    <mergeCell ref="A9:F9"/>
    <mergeCell ref="C251:D251"/>
    <mergeCell ref="C539:D539"/>
    <mergeCell ref="C299:D299"/>
    <mergeCell ref="C347:D347"/>
    <mergeCell ref="C395:D395"/>
    <mergeCell ref="C491:D491"/>
    <mergeCell ref="F7:F8"/>
    <mergeCell ref="A6:F6"/>
    <mergeCell ref="E7:E8"/>
    <mergeCell ref="A7:C7"/>
    <mergeCell ref="A8:C8"/>
    <mergeCell ref="C443:D443"/>
    <mergeCell ref="C107:D107"/>
    <mergeCell ref="C155:D155"/>
    <mergeCell ref="C203:D203"/>
    <mergeCell ref="A1:F4"/>
    <mergeCell ref="C5771:D5771"/>
    <mergeCell ref="C5723:D5723"/>
    <mergeCell ref="C3419:D3419"/>
    <mergeCell ref="C5579:D5579"/>
    <mergeCell ref="C3275:D3275"/>
    <mergeCell ref="C3323:D3323"/>
    <mergeCell ref="C3611:D3611"/>
    <mergeCell ref="C2171:D2171"/>
    <mergeCell ref="C2459:D2459"/>
    <mergeCell ref="C2219:D2219"/>
    <mergeCell ref="C2267:D2267"/>
    <mergeCell ref="C2555:D2555"/>
    <mergeCell ref="C2603:D2603"/>
    <mergeCell ref="C2651:D2651"/>
    <mergeCell ref="C2363:D2363"/>
    <mergeCell ref="C5099:D5099"/>
    <mergeCell ref="C4619:D4619"/>
    <mergeCell ref="C4715:D4715"/>
    <mergeCell ref="C3035:D3035"/>
    <mergeCell ref="C5051:D5051"/>
    <mergeCell ref="C3659:D3659"/>
    <mergeCell ref="C5003:D5003"/>
    <mergeCell ref="C5195:D5195"/>
    <mergeCell ref="C3755:D3755"/>
    <mergeCell ref="C1067:D1067"/>
    <mergeCell ref="C1163:D1163"/>
    <mergeCell ref="C875:D875"/>
    <mergeCell ref="C923:D923"/>
    <mergeCell ref="C1739:D1739"/>
    <mergeCell ref="C1787:D1787"/>
    <mergeCell ref="C1307:D1307"/>
    <mergeCell ref="C1547:D1547"/>
    <mergeCell ref="C3563:D3563"/>
    <mergeCell ref="C2843:D2843"/>
    <mergeCell ref="C1595:D1595"/>
    <mergeCell ref="C2507:D2507"/>
    <mergeCell ref="C2747:D2747"/>
    <mergeCell ref="C2411:D2411"/>
    <mergeCell ref="C3083:D3083"/>
    <mergeCell ref="C971:D971"/>
    <mergeCell ref="C1115:D1115"/>
    <mergeCell ref="C1643:D1643"/>
    <mergeCell ref="C1691:D1691"/>
    <mergeCell ref="C5867:D5867"/>
    <mergeCell ref="C2699:D2699"/>
    <mergeCell ref="C2891:D2891"/>
    <mergeCell ref="C2939:D2939"/>
    <mergeCell ref="C2987:D2987"/>
    <mergeCell ref="C3515:D3515"/>
    <mergeCell ref="C1499:D1499"/>
    <mergeCell ref="H510:M510"/>
    <mergeCell ref="H558:M558"/>
    <mergeCell ref="C1019:D1019"/>
    <mergeCell ref="H1039:K1039"/>
    <mergeCell ref="C827:D827"/>
    <mergeCell ref="C683:D683"/>
    <mergeCell ref="C587:D587"/>
    <mergeCell ref="C635:D635"/>
    <mergeCell ref="C1211:D1211"/>
    <mergeCell ref="C1451:D1451"/>
    <mergeCell ref="C779:D779"/>
    <mergeCell ref="C731:D731"/>
    <mergeCell ref="C5819:D5819"/>
    <mergeCell ref="C2795:D2795"/>
    <mergeCell ref="C5243:D5243"/>
    <mergeCell ref="C5291:D5291"/>
    <mergeCell ref="C5339:D5339"/>
    <mergeCell ref="C5915:D5915"/>
    <mergeCell ref="C4955:D4955"/>
    <mergeCell ref="C1259:D1259"/>
    <mergeCell ref="C4811:D4811"/>
    <mergeCell ref="C4859:D4859"/>
    <mergeCell ref="C4907:D4907"/>
    <mergeCell ref="C3227:D3227"/>
    <mergeCell ref="C4667:D4667"/>
    <mergeCell ref="C1883:D1883"/>
    <mergeCell ref="C1355:D1355"/>
    <mergeCell ref="C2123:D2123"/>
    <mergeCell ref="C2315:D2315"/>
    <mergeCell ref="C1403:D1403"/>
    <mergeCell ref="C1931:D1931"/>
    <mergeCell ref="C1979:D1979"/>
    <mergeCell ref="C2027:D2027"/>
    <mergeCell ref="C2075:D2075"/>
    <mergeCell ref="C5483:D5483"/>
    <mergeCell ref="C3851:D3851"/>
    <mergeCell ref="C3707:D3707"/>
    <mergeCell ref="C4091:D4091"/>
    <mergeCell ref="C3899:D3899"/>
    <mergeCell ref="C5531:D5531"/>
    <mergeCell ref="C5147:D5147"/>
    <mergeCell ref="C4571:D4571"/>
    <mergeCell ref="C4763:D4763"/>
    <mergeCell ref="C5387:D5387"/>
    <mergeCell ref="C5435:D5435"/>
    <mergeCell ref="C4235:D4235"/>
    <mergeCell ref="C4523:D4523"/>
    <mergeCell ref="C5675:D5675"/>
    <mergeCell ref="C5627:D5627"/>
    <mergeCell ref="C1835:D1835"/>
    <mergeCell ref="C3179:D3179"/>
    <mergeCell ref="C3371:D3371"/>
    <mergeCell ref="C3467:D3467"/>
    <mergeCell ref="C3947:D3947"/>
    <mergeCell ref="C4187:D4187"/>
    <mergeCell ref="C4379:D4379"/>
    <mergeCell ref="C4331:D4331"/>
    <mergeCell ref="C4283:D4283"/>
    <mergeCell ref="C3131:D3131"/>
    <mergeCell ref="C4043:D4043"/>
    <mergeCell ref="C3995:D3995"/>
    <mergeCell ref="C4139:D4139"/>
    <mergeCell ref="C4475:D4475"/>
    <mergeCell ref="C4427:D4427"/>
    <mergeCell ref="C3803:D3803"/>
  </mergeCells>
  <phoneticPr fontId="28" type="noConversion"/>
  <printOptions horizontalCentered="1"/>
  <pageMargins left="0.19685039370078741" right="0.19685039370078741" top="0.47244094488188981" bottom="0.39370078740157483" header="0" footer="0"/>
  <pageSetup paperSize="9" scale="67" firstPageNumber="0" orientation="landscape" r:id="rId1"/>
  <headerFooter>
    <oddFooter>Página &amp;P de &amp;N</oddFooter>
  </headerFooter>
  <rowBreaks count="122" manualBreakCount="122">
    <brk id="57" max="5" man="1"/>
    <brk id="105" max="5" man="1"/>
    <brk id="153" max="5" man="1"/>
    <brk id="249" max="5" man="1"/>
    <brk id="297" max="5" man="1"/>
    <brk id="345" max="5" man="1"/>
    <brk id="393" max="5" man="1"/>
    <brk id="441" max="5" man="1"/>
    <brk id="489" max="5" man="1"/>
    <brk id="537" max="5" man="1"/>
    <brk id="585" max="5" man="1"/>
    <brk id="633" max="5" man="1"/>
    <brk id="681" max="5" man="1"/>
    <brk id="729" max="5" man="1"/>
    <brk id="777" max="5" man="1"/>
    <brk id="825" max="5" man="1"/>
    <brk id="873" max="5" man="1"/>
    <brk id="921" max="5" man="1"/>
    <brk id="969" max="5" man="1"/>
    <brk id="1017" max="5" man="1"/>
    <brk id="1065" max="5" man="1"/>
    <brk id="1113" max="5" man="1"/>
    <brk id="1161" max="5" man="1"/>
    <brk id="1209" max="5" man="1"/>
    <brk id="1257" max="5" man="1"/>
    <brk id="1305" max="5" man="1"/>
    <brk id="1353" max="5" man="1"/>
    <brk id="1401" max="5" man="1"/>
    <brk id="1449" max="5" man="1"/>
    <brk id="1497" max="5" man="1"/>
    <brk id="1545" max="5" man="1"/>
    <brk id="1593" max="5" man="1"/>
    <brk id="1641" max="5" man="1"/>
    <brk id="1689" max="5" man="1"/>
    <brk id="1737" max="5" man="1"/>
    <brk id="1785" max="5" man="1"/>
    <brk id="1833" max="5" man="1"/>
    <brk id="1881" max="5" man="1"/>
    <brk id="1929" max="5" man="1"/>
    <brk id="1977" max="5" man="1"/>
    <brk id="2025" max="5" man="1"/>
    <brk id="2073" max="5" man="1"/>
    <brk id="2121" max="5" man="1"/>
    <brk id="2169" max="5" man="1"/>
    <brk id="2217" max="5" man="1"/>
    <brk id="2265" max="5" man="1"/>
    <brk id="2313" max="5" man="1"/>
    <brk id="2361" max="5" man="1"/>
    <brk id="2409" max="5" man="1"/>
    <brk id="2457" max="5" man="1"/>
    <brk id="2505" max="5" man="1"/>
    <brk id="2553" max="5" man="1"/>
    <brk id="2601" max="5" man="1"/>
    <brk id="2649" max="5" man="1"/>
    <brk id="2697" max="5" man="1"/>
    <brk id="2745" max="5" man="1"/>
    <brk id="2793" max="5" man="1"/>
    <brk id="2841" max="5" man="1"/>
    <brk id="2889" max="5" man="1"/>
    <brk id="2937" max="5" man="1"/>
    <brk id="2985" max="5" man="1"/>
    <brk id="3033" max="5" man="1"/>
    <brk id="3081" max="5" man="1"/>
    <brk id="3129" max="5" man="1"/>
    <brk id="3177" max="5" man="1"/>
    <brk id="3225" max="5" man="1"/>
    <brk id="3273" max="5" man="1"/>
    <brk id="3321" max="5" man="1"/>
    <brk id="3369" max="5" man="1"/>
    <brk id="3417" max="5" man="1"/>
    <brk id="3465" max="5" man="1"/>
    <brk id="3513" max="5" man="1"/>
    <brk id="3561" max="5" man="1"/>
    <brk id="3609" max="5" man="1"/>
    <brk id="3657" max="5" man="1"/>
    <brk id="3705" max="5" man="1"/>
    <brk id="3753" max="5" man="1"/>
    <brk id="3801" max="5" man="1"/>
    <brk id="3849" max="5" man="1"/>
    <brk id="3897" max="5" man="1"/>
    <brk id="3945" max="5" man="1"/>
    <brk id="3993" max="5" man="1"/>
    <brk id="4041" max="5" man="1"/>
    <brk id="4089" max="5" man="1"/>
    <brk id="4137" max="5" man="1"/>
    <brk id="4185" max="5" man="1"/>
    <brk id="4281" max="5" man="1"/>
    <brk id="4329" max="5" man="1"/>
    <brk id="4377" max="5" man="1"/>
    <brk id="4473" max="5" man="1"/>
    <brk id="4521" max="5" man="1"/>
    <brk id="4569" max="5" man="1"/>
    <brk id="4617" max="5" man="1"/>
    <brk id="4665" max="5" man="1"/>
    <brk id="4713" min="6" max="11" man="1"/>
    <brk id="4713" max="5" man="1"/>
    <brk id="4761" max="5" man="1"/>
    <brk id="4809" max="5" man="1"/>
    <brk id="4857" max="5" man="1"/>
    <brk id="4905" max="5" man="1"/>
    <brk id="4953" max="5" man="1"/>
    <brk id="5001" max="5" man="1"/>
    <brk id="5049" max="5" man="1"/>
    <brk id="5097" max="5" man="1"/>
    <brk id="5145" max="5" man="1"/>
    <brk id="5193" max="5" man="1"/>
    <brk id="5241" max="5" man="1"/>
    <brk id="5289" max="5" man="1"/>
    <brk id="5337" max="5" man="1"/>
    <brk id="5385" max="5" man="1"/>
    <brk id="5433" max="5" man="1"/>
    <brk id="5481" max="5" man="1"/>
    <brk id="5529" max="5" man="1"/>
    <brk id="5577" max="5" man="1"/>
    <brk id="5625" max="5" man="1"/>
    <brk id="5673" max="5" man="1"/>
    <brk id="5721" max="5" man="1"/>
    <brk id="5769" max="5" man="1"/>
    <brk id="5817" max="5" man="1"/>
    <brk id="5865" max="5" man="1"/>
    <brk id="5913" max="5" man="1"/>
    <brk id="5961" max="5" man="1"/>
  </row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M220"/>
  <sheetViews>
    <sheetView showGridLines="0" view="pageBreakPreview" zoomScale="85" zoomScaleNormal="100" zoomScaleSheetLayoutView="85" workbookViewId="0">
      <selection activeCell="D10" sqref="D10"/>
    </sheetView>
  </sheetViews>
  <sheetFormatPr defaultColWidth="11.7109375" defaultRowHeight="12.75"/>
  <cols>
    <col min="1" max="1" width="6.28515625" style="537" customWidth="1"/>
    <col min="2" max="2" width="100.140625" style="394" customWidth="1"/>
    <col min="3" max="3" width="9.28515625" style="538" bestFit="1" customWidth="1"/>
    <col min="4" max="4" width="14.7109375" style="539" bestFit="1" customWidth="1"/>
    <col min="5" max="5" width="12.42578125" style="538" hidden="1" customWidth="1"/>
    <col min="6" max="6" width="16.42578125" style="538" hidden="1" customWidth="1"/>
    <col min="7" max="7" width="11.5703125" style="537" hidden="1" customWidth="1"/>
    <col min="8" max="8" width="14.85546875" style="474" hidden="1" customWidth="1"/>
    <col min="9" max="9" width="13.140625" style="474" hidden="1" customWidth="1"/>
    <col min="10" max="10" width="13.5703125" style="474" hidden="1" customWidth="1"/>
    <col min="11" max="12" width="15" style="474" hidden="1" customWidth="1"/>
    <col min="13" max="13" width="12.28515625" style="474" hidden="1" customWidth="1"/>
    <col min="14" max="14" width="13.140625" style="474" hidden="1" customWidth="1"/>
    <col min="15" max="18" width="0" style="474" hidden="1" customWidth="1"/>
    <col min="19" max="246" width="11.7109375" style="474"/>
    <col min="247" max="16384" width="11.7109375" style="383"/>
  </cols>
  <sheetData>
    <row r="1" spans="1:246" s="346" customFormat="1" ht="20.25">
      <c r="A1" s="904" t="str">
        <f>IV.A!A1</f>
        <v>TIMBRE LICITANTE</v>
      </c>
      <c r="B1" s="904"/>
      <c r="C1" s="904"/>
      <c r="D1" s="904"/>
      <c r="E1" s="904"/>
      <c r="F1" s="904"/>
      <c r="G1" s="904"/>
      <c r="H1" s="464"/>
    </row>
    <row r="2" spans="1:246" s="346" customFormat="1" ht="20.25">
      <c r="A2" s="904"/>
      <c r="B2" s="904"/>
      <c r="C2" s="904"/>
      <c r="D2" s="904"/>
      <c r="E2" s="904"/>
      <c r="F2" s="904"/>
      <c r="G2" s="904"/>
      <c r="H2" s="464"/>
    </row>
    <row r="3" spans="1:246" s="346" customFormat="1" ht="20.25">
      <c r="A3" s="904"/>
      <c r="B3" s="904"/>
      <c r="C3" s="904"/>
      <c r="D3" s="904"/>
      <c r="E3" s="904"/>
      <c r="F3" s="904"/>
      <c r="G3" s="904"/>
      <c r="H3" s="464"/>
    </row>
    <row r="4" spans="1:246" s="346" customFormat="1" ht="26.25" customHeight="1">
      <c r="A4" s="465"/>
      <c r="B4" s="901" t="s">
        <v>943</v>
      </c>
      <c r="C4" s="901"/>
      <c r="D4" s="901"/>
      <c r="E4" s="901"/>
      <c r="F4" s="901"/>
      <c r="G4" s="901"/>
      <c r="H4" s="464"/>
    </row>
    <row r="5" spans="1:246" s="346" customFormat="1" ht="20.25">
      <c r="A5" s="902" t="str">
        <f>IV.A!$A$7</f>
        <v>EXECUÇÃO DE SERVIÇO DE REFORMA CIVIL, CONSTRUÇÕES E MANUTENÇÕES GERAIS  PARA MELHORIAS NAS ÁREAS DE PROPRIEDADE E/OU DE RESPONSABILIDADE DO SEMAE.</v>
      </c>
      <c r="B5" s="902"/>
      <c r="C5" s="902"/>
      <c r="D5" s="902"/>
      <c r="E5" s="902"/>
      <c r="F5" s="902"/>
      <c r="G5" s="902"/>
      <c r="H5" s="464"/>
    </row>
    <row r="6" spans="1:246" s="466" customFormat="1" ht="3.95" customHeight="1">
      <c r="A6" s="902"/>
      <c r="B6" s="902"/>
      <c r="C6" s="902"/>
      <c r="D6" s="902"/>
      <c r="E6" s="902"/>
      <c r="F6" s="902"/>
      <c r="G6" s="902"/>
    </row>
    <row r="7" spans="1:246" s="468" customFormat="1" ht="3" customHeight="1">
      <c r="A7" s="902"/>
      <c r="B7" s="902"/>
      <c r="C7" s="902"/>
      <c r="D7" s="902"/>
      <c r="E7" s="902"/>
      <c r="F7" s="902"/>
      <c r="G7" s="902"/>
      <c r="H7" s="900"/>
      <c r="I7" s="900"/>
      <c r="J7" s="900"/>
      <c r="K7" s="900"/>
      <c r="L7" s="467"/>
      <c r="M7" s="467"/>
      <c r="N7" s="467"/>
      <c r="O7" s="467"/>
      <c r="P7" s="467"/>
      <c r="Q7" s="467"/>
      <c r="R7" s="467"/>
      <c r="S7" s="467"/>
      <c r="T7" s="467"/>
      <c r="U7" s="467"/>
      <c r="V7" s="467"/>
      <c r="W7" s="467"/>
      <c r="X7" s="467"/>
      <c r="Y7" s="467"/>
      <c r="Z7" s="467"/>
      <c r="AA7" s="467"/>
      <c r="AB7" s="467"/>
      <c r="AC7" s="467"/>
      <c r="AD7" s="467"/>
      <c r="AE7" s="467"/>
      <c r="AF7" s="467"/>
      <c r="AG7" s="467"/>
      <c r="AH7" s="467"/>
      <c r="AI7" s="467"/>
      <c r="AJ7" s="467"/>
      <c r="AK7" s="467"/>
      <c r="AL7" s="467"/>
      <c r="AM7" s="467"/>
      <c r="AN7" s="467"/>
      <c r="AO7" s="467"/>
      <c r="AP7" s="467"/>
      <c r="AQ7" s="467"/>
      <c r="AR7" s="467"/>
      <c r="AS7" s="467"/>
      <c r="AT7" s="467"/>
      <c r="AU7" s="467"/>
      <c r="AV7" s="467"/>
      <c r="AW7" s="467"/>
      <c r="AX7" s="467"/>
      <c r="AY7" s="467"/>
      <c r="AZ7" s="467"/>
      <c r="BA7" s="467"/>
      <c r="BB7" s="467"/>
      <c r="BC7" s="467"/>
      <c r="BD7" s="467"/>
      <c r="BE7" s="467"/>
      <c r="BF7" s="467"/>
      <c r="BG7" s="467"/>
      <c r="BH7" s="467"/>
      <c r="BI7" s="467"/>
      <c r="BJ7" s="467"/>
      <c r="BK7" s="467"/>
      <c r="BL7" s="467"/>
      <c r="BM7" s="467"/>
      <c r="BN7" s="467"/>
      <c r="BO7" s="467"/>
      <c r="BP7" s="467"/>
      <c r="BQ7" s="467"/>
      <c r="BR7" s="467"/>
      <c r="BS7" s="467"/>
      <c r="BT7" s="467"/>
      <c r="BU7" s="467"/>
      <c r="BV7" s="467"/>
      <c r="BW7" s="467"/>
      <c r="BX7" s="467"/>
      <c r="BY7" s="467"/>
      <c r="BZ7" s="467"/>
      <c r="CA7" s="467"/>
      <c r="CB7" s="467"/>
      <c r="CC7" s="467"/>
      <c r="CD7" s="467"/>
      <c r="CE7" s="467"/>
      <c r="CF7" s="467"/>
      <c r="CG7" s="467"/>
      <c r="CH7" s="467"/>
      <c r="CI7" s="467"/>
      <c r="CJ7" s="467"/>
      <c r="CK7" s="467"/>
      <c r="CL7" s="467"/>
      <c r="CM7" s="467"/>
      <c r="CN7" s="467"/>
      <c r="CO7" s="467"/>
      <c r="CP7" s="467"/>
      <c r="CQ7" s="467"/>
      <c r="CR7" s="467"/>
      <c r="CS7" s="467"/>
      <c r="CT7" s="467"/>
      <c r="CU7" s="467"/>
      <c r="CV7" s="467"/>
      <c r="CW7" s="467"/>
      <c r="CX7" s="467"/>
      <c r="CY7" s="467"/>
      <c r="CZ7" s="467"/>
      <c r="DA7" s="467"/>
      <c r="DB7" s="467"/>
      <c r="DC7" s="467"/>
      <c r="DD7" s="467"/>
      <c r="DE7" s="467"/>
      <c r="DF7" s="467"/>
      <c r="DG7" s="467"/>
      <c r="DH7" s="467"/>
      <c r="DI7" s="467"/>
      <c r="DJ7" s="467"/>
      <c r="DK7" s="467"/>
      <c r="DL7" s="467"/>
      <c r="DM7" s="467"/>
      <c r="DN7" s="467"/>
      <c r="DO7" s="467"/>
      <c r="DP7" s="467"/>
      <c r="DQ7" s="467"/>
      <c r="DR7" s="467"/>
      <c r="DS7" s="467"/>
      <c r="DT7" s="467"/>
      <c r="DU7" s="467"/>
      <c r="DV7" s="467"/>
      <c r="DW7" s="467"/>
      <c r="DX7" s="467"/>
      <c r="DY7" s="467"/>
      <c r="DZ7" s="467"/>
      <c r="EA7" s="467"/>
      <c r="EB7" s="467"/>
      <c r="EC7" s="467"/>
      <c r="ED7" s="467"/>
      <c r="EE7" s="467"/>
      <c r="EF7" s="467"/>
      <c r="EG7" s="467"/>
      <c r="EH7" s="467"/>
      <c r="EI7" s="467"/>
      <c r="EJ7" s="467"/>
      <c r="EK7" s="467"/>
      <c r="EL7" s="467"/>
      <c r="EM7" s="467"/>
      <c r="EN7" s="467"/>
      <c r="EO7" s="467"/>
      <c r="EP7" s="467"/>
      <c r="EQ7" s="467"/>
      <c r="ER7" s="467"/>
      <c r="ES7" s="467"/>
      <c r="ET7" s="467"/>
      <c r="EU7" s="467"/>
      <c r="EV7" s="467"/>
      <c r="EW7" s="467"/>
      <c r="EX7" s="467"/>
      <c r="EY7" s="467"/>
      <c r="EZ7" s="467"/>
      <c r="FA7" s="467"/>
      <c r="FB7" s="467"/>
      <c r="FC7" s="467"/>
      <c r="FD7" s="467"/>
      <c r="FE7" s="467"/>
      <c r="FF7" s="467"/>
      <c r="FG7" s="467"/>
      <c r="FH7" s="467"/>
      <c r="FI7" s="467"/>
      <c r="FJ7" s="467"/>
      <c r="FK7" s="467"/>
      <c r="FL7" s="467"/>
      <c r="FM7" s="467"/>
      <c r="FN7" s="467"/>
      <c r="FO7" s="467"/>
      <c r="FP7" s="467"/>
      <c r="FQ7" s="467"/>
      <c r="FR7" s="467"/>
      <c r="FS7" s="467"/>
      <c r="FT7" s="467"/>
      <c r="FU7" s="467"/>
      <c r="FV7" s="467"/>
      <c r="FW7" s="467"/>
      <c r="FX7" s="467"/>
      <c r="FY7" s="467"/>
      <c r="FZ7" s="467"/>
      <c r="GA7" s="467"/>
      <c r="GB7" s="467"/>
      <c r="GC7" s="467"/>
      <c r="GD7" s="467"/>
      <c r="GE7" s="467"/>
      <c r="GF7" s="467"/>
      <c r="GG7" s="467"/>
      <c r="GH7" s="467"/>
      <c r="GI7" s="467"/>
      <c r="GJ7" s="467"/>
      <c r="GK7" s="467"/>
      <c r="GL7" s="467"/>
      <c r="GM7" s="467"/>
      <c r="GN7" s="467"/>
      <c r="GO7" s="467"/>
      <c r="GP7" s="467"/>
      <c r="GQ7" s="467"/>
      <c r="GR7" s="467"/>
      <c r="GS7" s="467"/>
      <c r="GT7" s="467"/>
      <c r="GU7" s="467"/>
      <c r="GV7" s="467"/>
      <c r="GW7" s="467"/>
      <c r="GX7" s="467"/>
      <c r="GY7" s="467"/>
      <c r="GZ7" s="467"/>
      <c r="HA7" s="467"/>
      <c r="HB7" s="467"/>
      <c r="HC7" s="467"/>
      <c r="HD7" s="467"/>
      <c r="HE7" s="467"/>
      <c r="HF7" s="467"/>
      <c r="HG7" s="467"/>
      <c r="HH7" s="467"/>
      <c r="HI7" s="467"/>
      <c r="HJ7" s="467"/>
    </row>
    <row r="8" spans="1:246" s="469" customFormat="1" ht="3.95" customHeight="1" thickBot="1">
      <c r="A8" s="903"/>
      <c r="B8" s="903"/>
      <c r="C8" s="903"/>
      <c r="D8" s="903"/>
      <c r="E8" s="903"/>
      <c r="F8" s="903"/>
      <c r="G8" s="903"/>
    </row>
    <row r="9" spans="1:246" ht="20.100000000000001" customHeight="1" thickBot="1">
      <c r="A9" s="470" t="s">
        <v>14</v>
      </c>
      <c r="B9" s="471" t="s">
        <v>190</v>
      </c>
      <c r="C9" s="472" t="s">
        <v>166</v>
      </c>
      <c r="D9" s="4" t="s">
        <v>811</v>
      </c>
      <c r="E9" s="4" t="s">
        <v>812</v>
      </c>
      <c r="F9" s="62" t="s">
        <v>813</v>
      </c>
      <c r="G9" s="473" t="s">
        <v>814</v>
      </c>
    </row>
    <row r="10" spans="1:246" ht="15" customHeight="1">
      <c r="A10" s="475" t="s">
        <v>54</v>
      </c>
      <c r="B10" s="476" t="s">
        <v>169</v>
      </c>
      <c r="C10" s="477" t="s">
        <v>222</v>
      </c>
      <c r="D10" s="59"/>
      <c r="E10" s="478" t="s">
        <v>377</v>
      </c>
      <c r="F10" s="478">
        <v>34</v>
      </c>
      <c r="G10" s="479" t="str">
        <f>IF(TRIM(E10)="SINAPI", "01/2026",IF(TRIM(E10)="SABESP","07/2025","OUTRO"))</f>
        <v>01/2026</v>
      </c>
      <c r="H10" s="341">
        <f>SUMIF(VI.A!$B$6:$B$5963,B10,VI.A!$L$6:$L$5963)</f>
        <v>41551.307999999997</v>
      </c>
      <c r="I10" s="341" t="str">
        <f>IF(H10=0,"no","si")</f>
        <v>si</v>
      </c>
      <c r="J10" s="383"/>
      <c r="K10" s="384">
        <f>IF(E10="SABESP","OK",VLOOKUP(F10,[6]ISD!$B$11:$F$4861,5,FALSE))</f>
        <v>6.23</v>
      </c>
      <c r="L10" s="384" t="str">
        <f>IF(D10=K10,"OK",IF(K10="OK","OK","VERIFICAR"))</f>
        <v>VERIFICAR</v>
      </c>
      <c r="M10" s="480">
        <f>IFERROR(IF(K10="não encontrado",D10,K10),D10)</f>
        <v>6.23</v>
      </c>
      <c r="N10" s="383" t="b">
        <f>_xlfn.ISFORMULA(D10)</f>
        <v>0</v>
      </c>
      <c r="O10" s="383"/>
      <c r="P10" s="383"/>
      <c r="Q10" s="383"/>
      <c r="R10" s="383"/>
      <c r="S10" s="383"/>
      <c r="T10" s="383"/>
      <c r="U10" s="383"/>
      <c r="V10" s="383"/>
      <c r="W10" s="383"/>
      <c r="X10" s="383"/>
      <c r="Y10" s="383"/>
      <c r="Z10" s="383"/>
      <c r="AA10" s="383"/>
      <c r="AB10" s="383"/>
      <c r="AC10" s="383"/>
      <c r="AD10" s="383"/>
      <c r="AE10" s="383"/>
      <c r="AF10" s="383"/>
      <c r="AG10" s="383"/>
      <c r="AH10" s="383"/>
      <c r="AI10" s="383"/>
      <c r="AJ10" s="383"/>
      <c r="AK10" s="383"/>
      <c r="AL10" s="383"/>
      <c r="AM10" s="383"/>
      <c r="AN10" s="383"/>
      <c r="AO10" s="383"/>
      <c r="AP10" s="383"/>
      <c r="AQ10" s="383"/>
      <c r="AR10" s="383"/>
      <c r="AS10" s="383"/>
      <c r="AT10" s="383"/>
      <c r="AU10" s="383"/>
      <c r="AV10" s="383"/>
      <c r="AW10" s="383"/>
      <c r="AX10" s="383"/>
      <c r="AY10" s="383"/>
      <c r="AZ10" s="383"/>
      <c r="BA10" s="383"/>
      <c r="BB10" s="383"/>
      <c r="BC10" s="383"/>
      <c r="BD10" s="383"/>
      <c r="BE10" s="383"/>
      <c r="BF10" s="383"/>
      <c r="BG10" s="383"/>
      <c r="BH10" s="383"/>
      <c r="BI10" s="383"/>
      <c r="BJ10" s="383"/>
      <c r="BK10" s="383"/>
      <c r="BL10" s="383"/>
      <c r="BM10" s="383"/>
      <c r="BN10" s="383"/>
      <c r="BO10" s="383"/>
      <c r="BP10" s="383"/>
      <c r="BQ10" s="383"/>
      <c r="BR10" s="383"/>
      <c r="BS10" s="383"/>
      <c r="BT10" s="383"/>
      <c r="BU10" s="383"/>
      <c r="BV10" s="383"/>
      <c r="BW10" s="383"/>
      <c r="BX10" s="383"/>
      <c r="BY10" s="383"/>
      <c r="BZ10" s="383"/>
      <c r="CA10" s="383"/>
      <c r="CB10" s="383"/>
      <c r="CC10" s="383"/>
      <c r="CD10" s="383"/>
      <c r="CE10" s="383"/>
      <c r="CF10" s="383"/>
      <c r="CG10" s="383"/>
      <c r="CH10" s="383"/>
      <c r="CI10" s="383"/>
      <c r="CJ10" s="383"/>
      <c r="CK10" s="383"/>
      <c r="CL10" s="383"/>
      <c r="CM10" s="383"/>
      <c r="CN10" s="383"/>
      <c r="CO10" s="383"/>
      <c r="CP10" s="383"/>
      <c r="CQ10" s="383"/>
      <c r="CR10" s="383"/>
      <c r="CS10" s="383"/>
      <c r="CT10" s="383"/>
      <c r="CU10" s="383"/>
      <c r="CV10" s="383"/>
      <c r="CW10" s="383"/>
      <c r="CX10" s="383"/>
      <c r="CY10" s="383"/>
      <c r="CZ10" s="383"/>
      <c r="DA10" s="383"/>
      <c r="DB10" s="383"/>
      <c r="DC10" s="383"/>
      <c r="DD10" s="383"/>
      <c r="DE10" s="383"/>
      <c r="DF10" s="383"/>
      <c r="DG10" s="383"/>
      <c r="DH10" s="383"/>
      <c r="DI10" s="383"/>
      <c r="DJ10" s="383"/>
      <c r="DK10" s="383"/>
      <c r="DL10" s="383"/>
      <c r="DM10" s="383"/>
      <c r="DN10" s="383"/>
      <c r="DO10" s="383"/>
      <c r="DP10" s="383"/>
      <c r="DQ10" s="383"/>
      <c r="DR10" s="383"/>
      <c r="DS10" s="383"/>
      <c r="DT10" s="383"/>
      <c r="DU10" s="383"/>
      <c r="DV10" s="383"/>
      <c r="DW10" s="383"/>
      <c r="DX10" s="383"/>
      <c r="DY10" s="383"/>
      <c r="DZ10" s="383"/>
      <c r="EA10" s="383"/>
      <c r="EB10" s="383"/>
      <c r="EC10" s="383"/>
      <c r="ED10" s="383"/>
      <c r="EE10" s="383"/>
      <c r="EF10" s="383"/>
      <c r="EG10" s="383"/>
      <c r="EH10" s="383"/>
      <c r="EI10" s="383"/>
      <c r="EJ10" s="383"/>
      <c r="EK10" s="383"/>
      <c r="EL10" s="383"/>
      <c r="EM10" s="383"/>
      <c r="EN10" s="383"/>
      <c r="EO10" s="383"/>
      <c r="EP10" s="383"/>
      <c r="EQ10" s="383"/>
      <c r="ER10" s="383"/>
      <c r="ES10" s="383"/>
      <c r="ET10" s="383"/>
      <c r="EU10" s="383"/>
      <c r="EV10" s="383"/>
      <c r="EW10" s="383"/>
      <c r="EX10" s="383"/>
      <c r="EY10" s="383"/>
      <c r="EZ10" s="383"/>
      <c r="FA10" s="383"/>
      <c r="FB10" s="383"/>
      <c r="FC10" s="383"/>
      <c r="FD10" s="383"/>
      <c r="FE10" s="383"/>
      <c r="FF10" s="383"/>
      <c r="FG10" s="383"/>
      <c r="FH10" s="383"/>
      <c r="FI10" s="383"/>
      <c r="FJ10" s="383"/>
      <c r="FK10" s="383"/>
      <c r="FL10" s="383"/>
      <c r="FM10" s="383"/>
      <c r="FN10" s="383"/>
      <c r="FO10" s="383"/>
      <c r="FP10" s="383"/>
      <c r="FQ10" s="383"/>
      <c r="FR10" s="383"/>
      <c r="FS10" s="383"/>
      <c r="FT10" s="383"/>
      <c r="FU10" s="383"/>
      <c r="FV10" s="383"/>
      <c r="FW10" s="383"/>
      <c r="FX10" s="383"/>
      <c r="FY10" s="383"/>
      <c r="FZ10" s="383"/>
      <c r="GA10" s="383"/>
      <c r="GB10" s="383"/>
      <c r="GC10" s="383"/>
      <c r="GD10" s="383"/>
      <c r="GE10" s="383"/>
      <c r="GF10" s="383"/>
      <c r="GG10" s="383"/>
      <c r="GH10" s="383"/>
      <c r="GI10" s="383"/>
      <c r="GJ10" s="383"/>
      <c r="GK10" s="383"/>
      <c r="GL10" s="383"/>
      <c r="GM10" s="383"/>
      <c r="GN10" s="383"/>
      <c r="GO10" s="383"/>
      <c r="GP10" s="383"/>
      <c r="GQ10" s="383"/>
      <c r="GR10" s="383"/>
      <c r="GS10" s="383"/>
      <c r="GT10" s="383"/>
      <c r="GU10" s="383"/>
      <c r="GV10" s="383"/>
      <c r="GW10" s="383"/>
      <c r="GX10" s="383"/>
      <c r="GY10" s="383"/>
      <c r="GZ10" s="383"/>
      <c r="HA10" s="383"/>
      <c r="HB10" s="383"/>
      <c r="HC10" s="383"/>
      <c r="HD10" s="383"/>
      <c r="HE10" s="383"/>
      <c r="HF10" s="383"/>
      <c r="HG10" s="383"/>
      <c r="HH10" s="383"/>
      <c r="HI10" s="383"/>
      <c r="HJ10" s="383"/>
      <c r="HK10" s="383"/>
      <c r="HL10" s="383"/>
      <c r="HM10" s="383"/>
      <c r="HN10" s="383"/>
      <c r="HO10" s="383"/>
      <c r="HP10" s="383"/>
      <c r="HQ10" s="383"/>
      <c r="HR10" s="383"/>
      <c r="HS10" s="383"/>
      <c r="HT10" s="383"/>
      <c r="HU10" s="383"/>
      <c r="HV10" s="383"/>
      <c r="HW10" s="383"/>
      <c r="HX10" s="383"/>
      <c r="HY10" s="383"/>
      <c r="HZ10" s="383"/>
      <c r="IA10" s="383"/>
      <c r="IB10" s="383"/>
      <c r="IC10" s="383"/>
      <c r="ID10" s="383"/>
      <c r="IE10" s="383"/>
      <c r="IF10" s="383"/>
      <c r="IG10" s="383"/>
      <c r="IH10" s="383"/>
      <c r="II10" s="383"/>
      <c r="IJ10" s="383"/>
      <c r="IK10" s="383"/>
      <c r="IL10" s="383"/>
    </row>
    <row r="11" spans="1:246" ht="15" customHeight="1">
      <c r="A11" s="481" t="s">
        <v>27</v>
      </c>
      <c r="B11" s="482" t="s">
        <v>170</v>
      </c>
      <c r="C11" s="483" t="s">
        <v>166</v>
      </c>
      <c r="D11" s="14"/>
      <c r="E11" s="484" t="s">
        <v>377</v>
      </c>
      <c r="F11" s="484">
        <v>122</v>
      </c>
      <c r="G11" s="479" t="str">
        <f t="shared" ref="G11:G74" si="0">IF(TRIM(E11)="SINAPI", "01/2026",IF(TRIM(E11)="SABESP","07/2025","OUTRO"))</f>
        <v>01/2026</v>
      </c>
      <c r="H11" s="341">
        <f>SUMIF(VI.A!$B$6:$B$5963,B11,VI.A!$L$6:$L$5963)</f>
        <v>6.9372176470588238</v>
      </c>
      <c r="I11" s="341" t="str">
        <f>IF(H11=0,"no","si")</f>
        <v>si</v>
      </c>
      <c r="J11" s="383"/>
      <c r="K11" s="384">
        <f>IF(E11="SABESP","OK",VLOOKUP(F11,[6]ISD!$B$11:$F$4861,5,FALSE))</f>
        <v>60.78</v>
      </c>
      <c r="L11" s="384" t="str">
        <f t="shared" ref="L11:L74" si="1">IF(D11=K11,"OK",IF(K11="OK","OK","VERIFICAR"))</f>
        <v>VERIFICAR</v>
      </c>
      <c r="M11" s="480">
        <f>IFERROR(IF(K11="não encontrado",D11,K11),D11)</f>
        <v>60.78</v>
      </c>
      <c r="N11" s="383" t="b">
        <f>_xlfn.ISFORMULA(D11)</f>
        <v>0</v>
      </c>
      <c r="O11" s="383"/>
      <c r="P11" s="383"/>
      <c r="Q11" s="383"/>
      <c r="R11" s="383"/>
      <c r="S11" s="383"/>
      <c r="T11" s="383"/>
      <c r="U11" s="383"/>
      <c r="V11" s="383"/>
      <c r="W11" s="383"/>
      <c r="X11" s="383"/>
      <c r="Y11" s="383"/>
      <c r="Z11" s="383"/>
      <c r="AA11" s="383"/>
      <c r="AB11" s="383"/>
      <c r="AC11" s="383"/>
      <c r="AD11" s="383"/>
      <c r="AE11" s="383"/>
      <c r="AF11" s="383"/>
      <c r="AG11" s="383"/>
      <c r="AH11" s="383"/>
      <c r="AI11" s="383"/>
      <c r="AJ11" s="383"/>
      <c r="AK11" s="383"/>
      <c r="AL11" s="383"/>
      <c r="AM11" s="383"/>
      <c r="AN11" s="383"/>
      <c r="AO11" s="383"/>
      <c r="AP11" s="383"/>
      <c r="AQ11" s="383"/>
      <c r="AR11" s="383"/>
      <c r="AS11" s="383"/>
      <c r="AT11" s="383"/>
      <c r="AU11" s="383"/>
      <c r="AV11" s="383"/>
      <c r="AW11" s="383"/>
      <c r="AX11" s="383"/>
      <c r="AY11" s="383"/>
      <c r="AZ11" s="383"/>
      <c r="BA11" s="383"/>
      <c r="BB11" s="383"/>
      <c r="BC11" s="383"/>
      <c r="BD11" s="383"/>
      <c r="BE11" s="383"/>
      <c r="BF11" s="383"/>
      <c r="BG11" s="383"/>
      <c r="BH11" s="383"/>
      <c r="BI11" s="383"/>
      <c r="BJ11" s="383"/>
      <c r="BK11" s="383"/>
      <c r="BL11" s="383"/>
      <c r="BM11" s="383"/>
      <c r="BN11" s="383"/>
      <c r="BO11" s="383"/>
      <c r="BP11" s="383"/>
      <c r="BQ11" s="383"/>
      <c r="BR11" s="383"/>
      <c r="BS11" s="383"/>
      <c r="BT11" s="383"/>
      <c r="BU11" s="383"/>
      <c r="BV11" s="383"/>
      <c r="BW11" s="383"/>
      <c r="BX11" s="383"/>
      <c r="BY11" s="383"/>
      <c r="BZ11" s="383"/>
      <c r="CA11" s="383"/>
      <c r="CB11" s="383"/>
      <c r="CC11" s="383"/>
      <c r="CD11" s="383"/>
      <c r="CE11" s="383"/>
      <c r="CF11" s="383"/>
      <c r="CG11" s="383"/>
      <c r="CH11" s="383"/>
      <c r="CI11" s="383"/>
      <c r="CJ11" s="383"/>
      <c r="CK11" s="383"/>
      <c r="CL11" s="383"/>
      <c r="CM11" s="383"/>
      <c r="CN11" s="383"/>
      <c r="CO11" s="383"/>
      <c r="CP11" s="383"/>
      <c r="CQ11" s="383"/>
      <c r="CR11" s="383"/>
      <c r="CS11" s="383"/>
      <c r="CT11" s="383"/>
      <c r="CU11" s="383"/>
      <c r="CV11" s="383"/>
      <c r="CW11" s="383"/>
      <c r="CX11" s="383"/>
      <c r="CY11" s="383"/>
      <c r="CZ11" s="383"/>
      <c r="DA11" s="383"/>
      <c r="DB11" s="383"/>
      <c r="DC11" s="383"/>
      <c r="DD11" s="383"/>
      <c r="DE11" s="383"/>
      <c r="DF11" s="383"/>
      <c r="DG11" s="383"/>
      <c r="DH11" s="383"/>
      <c r="DI11" s="383"/>
      <c r="DJ11" s="383"/>
      <c r="DK11" s="383"/>
      <c r="DL11" s="383"/>
      <c r="DM11" s="383"/>
      <c r="DN11" s="383"/>
      <c r="DO11" s="383"/>
      <c r="DP11" s="383"/>
      <c r="DQ11" s="383"/>
      <c r="DR11" s="383"/>
      <c r="DS11" s="383"/>
      <c r="DT11" s="383"/>
      <c r="DU11" s="383"/>
      <c r="DV11" s="383"/>
      <c r="DW11" s="383"/>
      <c r="DX11" s="383"/>
      <c r="DY11" s="383"/>
      <c r="DZ11" s="383"/>
      <c r="EA11" s="383"/>
      <c r="EB11" s="383"/>
      <c r="EC11" s="383"/>
      <c r="ED11" s="383"/>
      <c r="EE11" s="383"/>
      <c r="EF11" s="383"/>
      <c r="EG11" s="383"/>
      <c r="EH11" s="383"/>
      <c r="EI11" s="383"/>
      <c r="EJ11" s="383"/>
      <c r="EK11" s="383"/>
      <c r="EL11" s="383"/>
      <c r="EM11" s="383"/>
      <c r="EN11" s="383"/>
      <c r="EO11" s="383"/>
      <c r="EP11" s="383"/>
      <c r="EQ11" s="383"/>
      <c r="ER11" s="383"/>
      <c r="ES11" s="383"/>
      <c r="ET11" s="383"/>
      <c r="EU11" s="383"/>
      <c r="EV11" s="383"/>
      <c r="EW11" s="383"/>
      <c r="EX11" s="383"/>
      <c r="EY11" s="383"/>
      <c r="EZ11" s="383"/>
      <c r="FA11" s="383"/>
      <c r="FB11" s="383"/>
      <c r="FC11" s="383"/>
      <c r="FD11" s="383"/>
      <c r="FE11" s="383"/>
      <c r="FF11" s="383"/>
      <c r="FG11" s="383"/>
      <c r="FH11" s="383"/>
      <c r="FI11" s="383"/>
      <c r="FJ11" s="383"/>
      <c r="FK11" s="383"/>
      <c r="FL11" s="383"/>
      <c r="FM11" s="383"/>
      <c r="FN11" s="383"/>
      <c r="FO11" s="383"/>
      <c r="FP11" s="383"/>
      <c r="FQ11" s="383"/>
      <c r="FR11" s="383"/>
      <c r="FS11" s="383"/>
      <c r="FT11" s="383"/>
      <c r="FU11" s="383"/>
      <c r="FV11" s="383"/>
      <c r="FW11" s="383"/>
      <c r="FX11" s="383"/>
      <c r="FY11" s="383"/>
      <c r="FZ11" s="383"/>
      <c r="GA11" s="383"/>
      <c r="GB11" s="383"/>
      <c r="GC11" s="383"/>
      <c r="GD11" s="383"/>
      <c r="GE11" s="383"/>
      <c r="GF11" s="383"/>
      <c r="GG11" s="383"/>
      <c r="GH11" s="383"/>
      <c r="GI11" s="383"/>
      <c r="GJ11" s="383"/>
      <c r="GK11" s="383"/>
      <c r="GL11" s="383"/>
      <c r="GM11" s="383"/>
      <c r="GN11" s="383"/>
      <c r="GO11" s="383"/>
      <c r="GP11" s="383"/>
      <c r="GQ11" s="383"/>
      <c r="GR11" s="383"/>
      <c r="GS11" s="383"/>
      <c r="GT11" s="383"/>
      <c r="GU11" s="383"/>
      <c r="GV11" s="383"/>
      <c r="GW11" s="383"/>
      <c r="GX11" s="383"/>
      <c r="GY11" s="383"/>
      <c r="GZ11" s="383"/>
      <c r="HA11" s="383"/>
      <c r="HB11" s="383"/>
      <c r="HC11" s="383"/>
      <c r="HD11" s="383"/>
      <c r="HE11" s="383"/>
      <c r="HF11" s="383"/>
      <c r="HG11" s="383"/>
      <c r="HH11" s="383"/>
      <c r="HI11" s="383"/>
      <c r="HJ11" s="383"/>
      <c r="HK11" s="383"/>
      <c r="HL11" s="383"/>
      <c r="HM11" s="383"/>
      <c r="HN11" s="383"/>
      <c r="HO11" s="383"/>
      <c r="HP11" s="383"/>
      <c r="HQ11" s="383"/>
      <c r="HR11" s="383"/>
      <c r="HS11" s="383"/>
      <c r="HT11" s="383"/>
      <c r="HU11" s="383"/>
      <c r="HV11" s="383"/>
      <c r="HW11" s="383"/>
      <c r="HX11" s="383"/>
      <c r="HY11" s="383"/>
      <c r="HZ11" s="383"/>
      <c r="IA11" s="383"/>
      <c r="IB11" s="383"/>
      <c r="IC11" s="383"/>
      <c r="ID11" s="383"/>
      <c r="IE11" s="383"/>
      <c r="IF11" s="383"/>
      <c r="IG11" s="383"/>
      <c r="IH11" s="383"/>
      <c r="II11" s="383"/>
      <c r="IJ11" s="383"/>
      <c r="IK11" s="383"/>
      <c r="IL11" s="383"/>
    </row>
    <row r="12" spans="1:246" ht="15" customHeight="1">
      <c r="A12" s="481" t="s">
        <v>238</v>
      </c>
      <c r="B12" s="482" t="s">
        <v>376</v>
      </c>
      <c r="C12" s="483" t="s">
        <v>222</v>
      </c>
      <c r="D12" s="14"/>
      <c r="E12" s="484" t="s">
        <v>381</v>
      </c>
      <c r="F12" s="484" t="s">
        <v>425</v>
      </c>
      <c r="G12" s="479" t="str">
        <f t="shared" si="0"/>
        <v>07/2025</v>
      </c>
      <c r="H12" s="341">
        <f>SUMIF(VI.A!$B$6:$B$5963,B12,VI.A!$L$6:$L$5963)</f>
        <v>27</v>
      </c>
      <c r="I12" s="341" t="str">
        <f>IF(H12=0,"no","si")</f>
        <v>si</v>
      </c>
      <c r="J12" s="383"/>
      <c r="K12" s="384" t="str">
        <f>IF(E12="SABESP","OK",VLOOKUP(F12,[6]ISD!$B$11:$F$4861,5,FALSE))</f>
        <v>OK</v>
      </c>
      <c r="L12" s="384" t="str">
        <f t="shared" si="1"/>
        <v>OK</v>
      </c>
      <c r="M12" s="480" t="str">
        <f t="shared" ref="M12:M69" si="2">IFERROR(IF(K12="não encontrado",D12,K12),D12)</f>
        <v>OK</v>
      </c>
      <c r="N12" s="383" t="b">
        <f t="shared" ref="N12:N70" si="3">_xlfn.ISFORMULA(D12)</f>
        <v>0</v>
      </c>
      <c r="O12" s="383"/>
      <c r="P12" s="383"/>
      <c r="Q12" s="383"/>
      <c r="R12" s="383"/>
      <c r="S12" s="383"/>
      <c r="T12" s="383"/>
      <c r="U12" s="383"/>
      <c r="V12" s="383"/>
      <c r="W12" s="383"/>
      <c r="X12" s="383"/>
      <c r="Y12" s="383"/>
      <c r="Z12" s="383"/>
      <c r="AA12" s="383"/>
      <c r="AB12" s="383"/>
      <c r="AC12" s="383"/>
      <c r="AD12" s="383"/>
      <c r="AE12" s="383"/>
      <c r="AF12" s="383"/>
      <c r="AG12" s="383"/>
      <c r="AH12" s="383"/>
      <c r="AI12" s="383"/>
      <c r="AJ12" s="383"/>
      <c r="AK12" s="383"/>
      <c r="AL12" s="383"/>
      <c r="AM12" s="383"/>
      <c r="AN12" s="383"/>
      <c r="AO12" s="383"/>
      <c r="AP12" s="383"/>
      <c r="AQ12" s="383"/>
      <c r="AR12" s="383"/>
      <c r="AS12" s="383"/>
      <c r="AT12" s="383"/>
      <c r="AU12" s="383"/>
      <c r="AV12" s="383"/>
      <c r="AW12" s="383"/>
      <c r="AX12" s="383"/>
      <c r="AY12" s="383"/>
      <c r="AZ12" s="383"/>
      <c r="BA12" s="383"/>
      <c r="BB12" s="383"/>
      <c r="BC12" s="383"/>
      <c r="BD12" s="383"/>
      <c r="BE12" s="383"/>
      <c r="BF12" s="383"/>
      <c r="BG12" s="383"/>
      <c r="BH12" s="383"/>
      <c r="BI12" s="383"/>
      <c r="BJ12" s="383"/>
      <c r="BK12" s="383"/>
      <c r="BL12" s="383"/>
      <c r="BM12" s="383"/>
      <c r="BN12" s="383"/>
      <c r="BO12" s="383"/>
      <c r="BP12" s="383"/>
      <c r="BQ12" s="383"/>
      <c r="BR12" s="383"/>
      <c r="BS12" s="383"/>
      <c r="BT12" s="383"/>
      <c r="BU12" s="383"/>
      <c r="BV12" s="383"/>
      <c r="BW12" s="383"/>
      <c r="BX12" s="383"/>
      <c r="BY12" s="383"/>
      <c r="BZ12" s="383"/>
      <c r="CA12" s="383"/>
      <c r="CB12" s="383"/>
      <c r="CC12" s="383"/>
      <c r="CD12" s="383"/>
      <c r="CE12" s="383"/>
      <c r="CF12" s="383"/>
      <c r="CG12" s="383"/>
      <c r="CH12" s="383"/>
      <c r="CI12" s="383"/>
      <c r="CJ12" s="383"/>
      <c r="CK12" s="383"/>
      <c r="CL12" s="383"/>
      <c r="CM12" s="383"/>
      <c r="CN12" s="383"/>
      <c r="CO12" s="383"/>
      <c r="CP12" s="383"/>
      <c r="CQ12" s="383"/>
      <c r="CR12" s="383"/>
      <c r="CS12" s="383"/>
      <c r="CT12" s="383"/>
      <c r="CU12" s="383"/>
      <c r="CV12" s="383"/>
      <c r="CW12" s="383"/>
      <c r="CX12" s="383"/>
      <c r="CY12" s="383"/>
      <c r="CZ12" s="383"/>
      <c r="DA12" s="383"/>
      <c r="DB12" s="383"/>
      <c r="DC12" s="383"/>
      <c r="DD12" s="383"/>
      <c r="DE12" s="383"/>
      <c r="DF12" s="383"/>
      <c r="DG12" s="383"/>
      <c r="DH12" s="383"/>
      <c r="DI12" s="383"/>
      <c r="DJ12" s="383"/>
      <c r="DK12" s="383"/>
      <c r="DL12" s="383"/>
      <c r="DM12" s="383"/>
      <c r="DN12" s="383"/>
      <c r="DO12" s="383"/>
      <c r="DP12" s="383"/>
      <c r="DQ12" s="383"/>
      <c r="DR12" s="383"/>
      <c r="DS12" s="383"/>
      <c r="DT12" s="383"/>
      <c r="DU12" s="383"/>
      <c r="DV12" s="383"/>
      <c r="DW12" s="383"/>
      <c r="DX12" s="383"/>
      <c r="DY12" s="383"/>
      <c r="DZ12" s="383"/>
      <c r="EA12" s="383"/>
      <c r="EB12" s="383"/>
      <c r="EC12" s="383"/>
      <c r="ED12" s="383"/>
      <c r="EE12" s="383"/>
      <c r="EF12" s="383"/>
      <c r="EG12" s="383"/>
      <c r="EH12" s="383"/>
      <c r="EI12" s="383"/>
      <c r="EJ12" s="383"/>
      <c r="EK12" s="383"/>
      <c r="EL12" s="383"/>
      <c r="EM12" s="383"/>
      <c r="EN12" s="383"/>
      <c r="EO12" s="383"/>
      <c r="EP12" s="383"/>
      <c r="EQ12" s="383"/>
      <c r="ER12" s="383"/>
      <c r="ES12" s="383"/>
      <c r="ET12" s="383"/>
      <c r="EU12" s="383"/>
      <c r="EV12" s="383"/>
      <c r="EW12" s="383"/>
      <c r="EX12" s="383"/>
      <c r="EY12" s="383"/>
      <c r="EZ12" s="383"/>
      <c r="FA12" s="383"/>
      <c r="FB12" s="383"/>
      <c r="FC12" s="383"/>
      <c r="FD12" s="383"/>
      <c r="FE12" s="383"/>
      <c r="FF12" s="383"/>
      <c r="FG12" s="383"/>
      <c r="FH12" s="383"/>
      <c r="FI12" s="383"/>
      <c r="FJ12" s="383"/>
      <c r="FK12" s="383"/>
      <c r="FL12" s="383"/>
      <c r="FM12" s="383"/>
      <c r="FN12" s="383"/>
      <c r="FO12" s="383"/>
      <c r="FP12" s="383"/>
      <c r="FQ12" s="383"/>
      <c r="FR12" s="383"/>
      <c r="FS12" s="383"/>
      <c r="FT12" s="383"/>
      <c r="FU12" s="383"/>
      <c r="FV12" s="383"/>
      <c r="FW12" s="383"/>
      <c r="FX12" s="383"/>
      <c r="FY12" s="383"/>
      <c r="FZ12" s="383"/>
      <c r="GA12" s="383"/>
      <c r="GB12" s="383"/>
      <c r="GC12" s="383"/>
      <c r="GD12" s="383"/>
      <c r="GE12" s="383"/>
      <c r="GF12" s="383"/>
      <c r="GG12" s="383"/>
      <c r="GH12" s="383"/>
      <c r="GI12" s="383"/>
      <c r="GJ12" s="383"/>
      <c r="GK12" s="383"/>
      <c r="GL12" s="383"/>
      <c r="GM12" s="383"/>
      <c r="GN12" s="383"/>
      <c r="GO12" s="383"/>
      <c r="GP12" s="383"/>
      <c r="GQ12" s="383"/>
      <c r="GR12" s="383"/>
      <c r="GS12" s="383"/>
      <c r="GT12" s="383"/>
      <c r="GU12" s="383"/>
      <c r="GV12" s="383"/>
      <c r="GW12" s="383"/>
      <c r="GX12" s="383"/>
      <c r="GY12" s="383"/>
      <c r="GZ12" s="383"/>
      <c r="HA12" s="383"/>
      <c r="HB12" s="383"/>
      <c r="HC12" s="383"/>
      <c r="HD12" s="383"/>
      <c r="HE12" s="383"/>
      <c r="HF12" s="383"/>
      <c r="HG12" s="383"/>
      <c r="HH12" s="383"/>
      <c r="HI12" s="383"/>
      <c r="HJ12" s="383"/>
      <c r="HK12" s="383"/>
      <c r="HL12" s="383"/>
      <c r="HM12" s="383"/>
      <c r="HN12" s="383"/>
      <c r="HO12" s="383"/>
      <c r="HP12" s="383"/>
      <c r="HQ12" s="383"/>
      <c r="HR12" s="383"/>
      <c r="HS12" s="383"/>
      <c r="HT12" s="383"/>
      <c r="HU12" s="383"/>
      <c r="HV12" s="383"/>
      <c r="HW12" s="383"/>
      <c r="HX12" s="383"/>
      <c r="HY12" s="383"/>
      <c r="HZ12" s="383"/>
      <c r="IA12" s="383"/>
      <c r="IB12" s="383"/>
      <c r="IC12" s="383"/>
      <c r="ID12" s="383"/>
      <c r="IE12" s="383"/>
      <c r="IF12" s="383"/>
      <c r="IG12" s="383"/>
      <c r="IH12" s="383"/>
      <c r="II12" s="383"/>
      <c r="IJ12" s="383"/>
      <c r="IK12" s="383"/>
      <c r="IL12" s="383"/>
    </row>
    <row r="13" spans="1:246" ht="15" customHeight="1">
      <c r="A13" s="481" t="s">
        <v>239</v>
      </c>
      <c r="B13" s="482" t="s">
        <v>171</v>
      </c>
      <c r="C13" s="483" t="s">
        <v>130</v>
      </c>
      <c r="D13" s="14"/>
      <c r="E13" s="484" t="s">
        <v>377</v>
      </c>
      <c r="F13" s="484">
        <v>7334</v>
      </c>
      <c r="G13" s="479" t="str">
        <f t="shared" si="0"/>
        <v>01/2026</v>
      </c>
      <c r="H13" s="341">
        <f>SUMIF(VI.A!$B$6:$B$5963,B13,VI.A!$L$6:$L$5963)</f>
        <v>70.5</v>
      </c>
      <c r="I13" s="341" t="str">
        <f>IF(H13=0,"no","si")</f>
        <v>si</v>
      </c>
      <c r="J13" s="383"/>
      <c r="K13" s="384">
        <f>IF(E13="SABESP","OK",VLOOKUP(F13,[6]ISD!$B$11:$F$4861,5,FALSE))</f>
        <v>14.39</v>
      </c>
      <c r="L13" s="384" t="str">
        <f t="shared" si="1"/>
        <v>VERIFICAR</v>
      </c>
      <c r="M13" s="480">
        <f t="shared" si="2"/>
        <v>14.39</v>
      </c>
      <c r="N13" s="383" t="b">
        <f t="shared" si="3"/>
        <v>0</v>
      </c>
      <c r="O13" s="383"/>
      <c r="P13" s="383"/>
      <c r="Q13" s="383"/>
      <c r="R13" s="383"/>
      <c r="S13" s="383"/>
      <c r="T13" s="383"/>
      <c r="U13" s="383"/>
      <c r="V13" s="383"/>
      <c r="W13" s="383"/>
      <c r="X13" s="383"/>
      <c r="Y13" s="383"/>
      <c r="Z13" s="383"/>
      <c r="AA13" s="383"/>
      <c r="AB13" s="383"/>
      <c r="AC13" s="383"/>
      <c r="AD13" s="383"/>
      <c r="AE13" s="383"/>
      <c r="AF13" s="383"/>
      <c r="AG13" s="383"/>
      <c r="AH13" s="383"/>
      <c r="AI13" s="383"/>
      <c r="AJ13" s="383"/>
      <c r="AK13" s="383"/>
      <c r="AL13" s="383"/>
      <c r="AM13" s="383"/>
      <c r="AN13" s="383"/>
      <c r="AO13" s="383"/>
      <c r="AP13" s="383"/>
      <c r="AQ13" s="383"/>
      <c r="AR13" s="383"/>
      <c r="AS13" s="383"/>
      <c r="AT13" s="383"/>
      <c r="AU13" s="383"/>
      <c r="AV13" s="383"/>
      <c r="AW13" s="383"/>
      <c r="AX13" s="383"/>
      <c r="AY13" s="383"/>
      <c r="AZ13" s="383"/>
      <c r="BA13" s="383"/>
      <c r="BB13" s="383"/>
      <c r="BC13" s="383"/>
      <c r="BD13" s="383"/>
      <c r="BE13" s="383"/>
      <c r="BF13" s="383"/>
      <c r="BG13" s="383"/>
      <c r="BH13" s="383"/>
      <c r="BI13" s="383"/>
      <c r="BJ13" s="383"/>
      <c r="BK13" s="383"/>
      <c r="BL13" s="383"/>
      <c r="BM13" s="383"/>
      <c r="BN13" s="383"/>
      <c r="BO13" s="383"/>
      <c r="BP13" s="383"/>
      <c r="BQ13" s="383"/>
      <c r="BR13" s="383"/>
      <c r="BS13" s="383"/>
      <c r="BT13" s="383"/>
      <c r="BU13" s="383"/>
      <c r="BV13" s="383"/>
      <c r="BW13" s="383"/>
      <c r="BX13" s="383"/>
      <c r="BY13" s="383"/>
      <c r="BZ13" s="383"/>
      <c r="CA13" s="383"/>
      <c r="CB13" s="383"/>
      <c r="CC13" s="383"/>
      <c r="CD13" s="383"/>
      <c r="CE13" s="383"/>
      <c r="CF13" s="383"/>
      <c r="CG13" s="383"/>
      <c r="CH13" s="383"/>
      <c r="CI13" s="383"/>
      <c r="CJ13" s="383"/>
      <c r="CK13" s="383"/>
      <c r="CL13" s="383"/>
      <c r="CM13" s="383"/>
      <c r="CN13" s="383"/>
      <c r="CO13" s="383"/>
      <c r="CP13" s="383"/>
      <c r="CQ13" s="383"/>
      <c r="CR13" s="383"/>
      <c r="CS13" s="383"/>
      <c r="CT13" s="383"/>
      <c r="CU13" s="383"/>
      <c r="CV13" s="383"/>
      <c r="CW13" s="383"/>
      <c r="CX13" s="383"/>
      <c r="CY13" s="383"/>
      <c r="CZ13" s="383"/>
      <c r="DA13" s="383"/>
      <c r="DB13" s="383"/>
      <c r="DC13" s="383"/>
      <c r="DD13" s="383"/>
      <c r="DE13" s="383"/>
      <c r="DF13" s="383"/>
      <c r="DG13" s="383"/>
      <c r="DH13" s="383"/>
      <c r="DI13" s="383"/>
      <c r="DJ13" s="383"/>
      <c r="DK13" s="383"/>
      <c r="DL13" s="383"/>
      <c r="DM13" s="383"/>
      <c r="DN13" s="383"/>
      <c r="DO13" s="383"/>
      <c r="DP13" s="383"/>
      <c r="DQ13" s="383"/>
      <c r="DR13" s="383"/>
      <c r="DS13" s="383"/>
      <c r="DT13" s="383"/>
      <c r="DU13" s="383"/>
      <c r="DV13" s="383"/>
      <c r="DW13" s="383"/>
      <c r="DX13" s="383"/>
      <c r="DY13" s="383"/>
      <c r="DZ13" s="383"/>
      <c r="EA13" s="383"/>
      <c r="EB13" s="383"/>
      <c r="EC13" s="383"/>
      <c r="ED13" s="383"/>
      <c r="EE13" s="383"/>
      <c r="EF13" s="383"/>
      <c r="EG13" s="383"/>
      <c r="EH13" s="383"/>
      <c r="EI13" s="383"/>
      <c r="EJ13" s="383"/>
      <c r="EK13" s="383"/>
      <c r="EL13" s="383"/>
      <c r="EM13" s="383"/>
      <c r="EN13" s="383"/>
      <c r="EO13" s="383"/>
      <c r="EP13" s="383"/>
      <c r="EQ13" s="383"/>
      <c r="ER13" s="383"/>
      <c r="ES13" s="383"/>
      <c r="ET13" s="383"/>
      <c r="EU13" s="383"/>
      <c r="EV13" s="383"/>
      <c r="EW13" s="383"/>
      <c r="EX13" s="383"/>
      <c r="EY13" s="383"/>
      <c r="EZ13" s="383"/>
      <c r="FA13" s="383"/>
      <c r="FB13" s="383"/>
      <c r="FC13" s="383"/>
      <c r="FD13" s="383"/>
      <c r="FE13" s="383"/>
      <c r="FF13" s="383"/>
      <c r="FG13" s="383"/>
      <c r="FH13" s="383"/>
      <c r="FI13" s="383"/>
      <c r="FJ13" s="383"/>
      <c r="FK13" s="383"/>
      <c r="FL13" s="383"/>
      <c r="FM13" s="383"/>
      <c r="FN13" s="383"/>
      <c r="FO13" s="383"/>
      <c r="FP13" s="383"/>
      <c r="FQ13" s="383"/>
      <c r="FR13" s="383"/>
      <c r="FS13" s="383"/>
      <c r="FT13" s="383"/>
      <c r="FU13" s="383"/>
      <c r="FV13" s="383"/>
      <c r="FW13" s="383"/>
      <c r="FX13" s="383"/>
      <c r="FY13" s="383"/>
      <c r="FZ13" s="383"/>
      <c r="GA13" s="383"/>
      <c r="GB13" s="383"/>
      <c r="GC13" s="383"/>
      <c r="GD13" s="383"/>
      <c r="GE13" s="383"/>
      <c r="GF13" s="383"/>
      <c r="GG13" s="383"/>
      <c r="GH13" s="383"/>
      <c r="GI13" s="383"/>
      <c r="GJ13" s="383"/>
      <c r="GK13" s="383"/>
      <c r="GL13" s="383"/>
      <c r="GM13" s="383"/>
      <c r="GN13" s="383"/>
      <c r="GO13" s="383"/>
      <c r="GP13" s="383"/>
      <c r="GQ13" s="383"/>
      <c r="GR13" s="383"/>
      <c r="GS13" s="383"/>
      <c r="GT13" s="383"/>
      <c r="GU13" s="383"/>
      <c r="GV13" s="383"/>
      <c r="GW13" s="383"/>
      <c r="GX13" s="383"/>
      <c r="GY13" s="383"/>
      <c r="GZ13" s="383"/>
      <c r="HA13" s="383"/>
      <c r="HB13" s="383"/>
      <c r="HC13" s="383"/>
      <c r="HD13" s="383"/>
      <c r="HE13" s="383"/>
      <c r="HF13" s="383"/>
      <c r="HG13" s="383"/>
      <c r="HH13" s="383"/>
      <c r="HI13" s="383"/>
      <c r="HJ13" s="383"/>
      <c r="HK13" s="383"/>
      <c r="HL13" s="383"/>
      <c r="HM13" s="383"/>
      <c r="HN13" s="383"/>
      <c r="HO13" s="383"/>
      <c r="HP13" s="383"/>
      <c r="HQ13" s="383"/>
      <c r="HR13" s="383"/>
      <c r="HS13" s="383"/>
      <c r="HT13" s="383"/>
      <c r="HU13" s="383"/>
      <c r="HV13" s="383"/>
      <c r="HW13" s="383"/>
      <c r="HX13" s="383"/>
      <c r="HY13" s="383"/>
      <c r="HZ13" s="383"/>
      <c r="IA13" s="383"/>
      <c r="IB13" s="383"/>
      <c r="IC13" s="383"/>
      <c r="ID13" s="383"/>
      <c r="IE13" s="383"/>
      <c r="IF13" s="383"/>
      <c r="IG13" s="383"/>
      <c r="IH13" s="383"/>
      <c r="II13" s="383"/>
      <c r="IJ13" s="383"/>
      <c r="IK13" s="383"/>
      <c r="IL13" s="383"/>
    </row>
    <row r="14" spans="1:246" ht="15" customHeight="1">
      <c r="A14" s="481" t="s">
        <v>240</v>
      </c>
      <c r="B14" s="482" t="s">
        <v>378</v>
      </c>
      <c r="C14" s="483" t="s">
        <v>130</v>
      </c>
      <c r="D14" s="14"/>
      <c r="E14" s="484" t="s">
        <v>379</v>
      </c>
      <c r="F14" s="484">
        <v>5318</v>
      </c>
      <c r="G14" s="479" t="str">
        <f t="shared" si="0"/>
        <v>01/2026</v>
      </c>
      <c r="H14" s="341">
        <f>SUMIF(VI.A!$B$6:$B$5963,B14,VI.A!$L$6:$L$5963)</f>
        <v>1330.49</v>
      </c>
      <c r="I14" s="341" t="str">
        <f>IF(H14=0,"no","si")</f>
        <v>si</v>
      </c>
      <c r="J14" s="383"/>
      <c r="K14" s="384">
        <f>IF(E14="SABESP","OK",VLOOKUP(F14,[6]ISD!$B$11:$F$4861,5,FALSE))</f>
        <v>25.18</v>
      </c>
      <c r="L14" s="384" t="str">
        <f t="shared" si="1"/>
        <v>VERIFICAR</v>
      </c>
      <c r="M14" s="480">
        <f t="shared" si="2"/>
        <v>25.18</v>
      </c>
      <c r="N14" s="383" t="b">
        <f t="shared" si="3"/>
        <v>0</v>
      </c>
      <c r="O14" s="383"/>
      <c r="P14" s="383"/>
      <c r="Q14" s="383"/>
      <c r="R14" s="383"/>
      <c r="S14" s="383"/>
      <c r="T14" s="383"/>
      <c r="U14" s="383"/>
      <c r="V14" s="383"/>
      <c r="W14" s="383"/>
      <c r="X14" s="383"/>
      <c r="Y14" s="383"/>
      <c r="Z14" s="383"/>
      <c r="AA14" s="383"/>
      <c r="AB14" s="383"/>
      <c r="AC14" s="383"/>
      <c r="AD14" s="383"/>
      <c r="AE14" s="383"/>
      <c r="AF14" s="383"/>
      <c r="AG14" s="383"/>
      <c r="AH14" s="383"/>
      <c r="AI14" s="383"/>
      <c r="AJ14" s="383"/>
      <c r="AK14" s="383"/>
      <c r="AL14" s="383"/>
      <c r="AM14" s="383"/>
      <c r="AN14" s="383"/>
      <c r="AO14" s="383"/>
      <c r="AP14" s="383"/>
      <c r="AQ14" s="383"/>
      <c r="AR14" s="383"/>
      <c r="AS14" s="383"/>
      <c r="AT14" s="383"/>
      <c r="AU14" s="383"/>
      <c r="AV14" s="383"/>
      <c r="AW14" s="383"/>
      <c r="AX14" s="383"/>
      <c r="AY14" s="383"/>
      <c r="AZ14" s="383"/>
      <c r="BA14" s="383"/>
      <c r="BB14" s="383"/>
      <c r="BC14" s="383"/>
      <c r="BD14" s="383"/>
      <c r="BE14" s="383"/>
      <c r="BF14" s="383"/>
      <c r="BG14" s="383"/>
      <c r="BH14" s="383"/>
      <c r="BI14" s="383"/>
      <c r="BJ14" s="383"/>
      <c r="BK14" s="383"/>
      <c r="BL14" s="383"/>
      <c r="BM14" s="383"/>
      <c r="BN14" s="383"/>
      <c r="BO14" s="383"/>
      <c r="BP14" s="383"/>
      <c r="BQ14" s="383"/>
      <c r="BR14" s="383"/>
      <c r="BS14" s="383"/>
      <c r="BT14" s="383"/>
      <c r="BU14" s="383"/>
      <c r="BV14" s="383"/>
      <c r="BW14" s="383"/>
      <c r="BX14" s="383"/>
      <c r="BY14" s="383"/>
      <c r="BZ14" s="383"/>
      <c r="CA14" s="383"/>
      <c r="CB14" s="383"/>
      <c r="CC14" s="383"/>
      <c r="CD14" s="383"/>
      <c r="CE14" s="383"/>
      <c r="CF14" s="383"/>
      <c r="CG14" s="383"/>
      <c r="CH14" s="383"/>
      <c r="CI14" s="383"/>
      <c r="CJ14" s="383"/>
      <c r="CK14" s="383"/>
      <c r="CL14" s="383"/>
      <c r="CM14" s="383"/>
      <c r="CN14" s="383"/>
      <c r="CO14" s="383"/>
      <c r="CP14" s="383"/>
      <c r="CQ14" s="383"/>
      <c r="CR14" s="383"/>
      <c r="CS14" s="383"/>
      <c r="CT14" s="383"/>
      <c r="CU14" s="383"/>
      <c r="CV14" s="383"/>
      <c r="CW14" s="383"/>
      <c r="CX14" s="383"/>
      <c r="CY14" s="383"/>
      <c r="CZ14" s="383"/>
      <c r="DA14" s="383"/>
      <c r="DB14" s="383"/>
      <c r="DC14" s="383"/>
      <c r="DD14" s="383"/>
      <c r="DE14" s="383"/>
      <c r="DF14" s="383"/>
      <c r="DG14" s="383"/>
      <c r="DH14" s="383"/>
      <c r="DI14" s="383"/>
      <c r="DJ14" s="383"/>
      <c r="DK14" s="383"/>
      <c r="DL14" s="383"/>
      <c r="DM14" s="383"/>
      <c r="DN14" s="383"/>
      <c r="DO14" s="383"/>
      <c r="DP14" s="383"/>
      <c r="DQ14" s="383"/>
      <c r="DR14" s="383"/>
      <c r="DS14" s="383"/>
      <c r="DT14" s="383"/>
      <c r="DU14" s="383"/>
      <c r="DV14" s="383"/>
      <c r="DW14" s="383"/>
      <c r="DX14" s="383"/>
      <c r="DY14" s="383"/>
      <c r="DZ14" s="383"/>
      <c r="EA14" s="383"/>
      <c r="EB14" s="383"/>
      <c r="EC14" s="383"/>
      <c r="ED14" s="383"/>
      <c r="EE14" s="383"/>
      <c r="EF14" s="383"/>
      <c r="EG14" s="383"/>
      <c r="EH14" s="383"/>
      <c r="EI14" s="383"/>
      <c r="EJ14" s="383"/>
      <c r="EK14" s="383"/>
      <c r="EL14" s="383"/>
      <c r="EM14" s="383"/>
      <c r="EN14" s="383"/>
      <c r="EO14" s="383"/>
      <c r="EP14" s="383"/>
      <c r="EQ14" s="383"/>
      <c r="ER14" s="383"/>
      <c r="ES14" s="383"/>
      <c r="ET14" s="383"/>
      <c r="EU14" s="383"/>
      <c r="EV14" s="383"/>
      <c r="EW14" s="383"/>
      <c r="EX14" s="383"/>
      <c r="EY14" s="383"/>
      <c r="EZ14" s="383"/>
      <c r="FA14" s="383"/>
      <c r="FB14" s="383"/>
      <c r="FC14" s="383"/>
      <c r="FD14" s="383"/>
      <c r="FE14" s="383"/>
      <c r="FF14" s="383"/>
      <c r="FG14" s="383"/>
      <c r="FH14" s="383"/>
      <c r="FI14" s="383"/>
      <c r="FJ14" s="383"/>
      <c r="FK14" s="383"/>
      <c r="FL14" s="383"/>
      <c r="FM14" s="383"/>
      <c r="FN14" s="383"/>
      <c r="FO14" s="383"/>
      <c r="FP14" s="383"/>
      <c r="FQ14" s="383"/>
      <c r="FR14" s="383"/>
      <c r="FS14" s="383"/>
      <c r="FT14" s="383"/>
      <c r="FU14" s="383"/>
      <c r="FV14" s="383"/>
      <c r="FW14" s="383"/>
      <c r="FX14" s="383"/>
      <c r="FY14" s="383"/>
      <c r="FZ14" s="383"/>
      <c r="GA14" s="383"/>
      <c r="GB14" s="383"/>
      <c r="GC14" s="383"/>
      <c r="GD14" s="383"/>
      <c r="GE14" s="383"/>
      <c r="GF14" s="383"/>
      <c r="GG14" s="383"/>
      <c r="GH14" s="383"/>
      <c r="GI14" s="383"/>
      <c r="GJ14" s="383"/>
      <c r="GK14" s="383"/>
      <c r="GL14" s="383"/>
      <c r="GM14" s="383"/>
      <c r="GN14" s="383"/>
      <c r="GO14" s="383"/>
      <c r="GP14" s="383"/>
      <c r="GQ14" s="383"/>
      <c r="GR14" s="383"/>
      <c r="GS14" s="383"/>
      <c r="GT14" s="383"/>
      <c r="GU14" s="383"/>
      <c r="GV14" s="383"/>
      <c r="GW14" s="383"/>
      <c r="GX14" s="383"/>
      <c r="GY14" s="383"/>
      <c r="GZ14" s="383"/>
      <c r="HA14" s="383"/>
      <c r="HB14" s="383"/>
      <c r="HC14" s="383"/>
      <c r="HD14" s="383"/>
      <c r="HE14" s="383"/>
      <c r="HF14" s="383"/>
      <c r="HG14" s="383"/>
      <c r="HH14" s="383"/>
      <c r="HI14" s="383"/>
      <c r="HJ14" s="383"/>
      <c r="HK14" s="383"/>
      <c r="HL14" s="383"/>
      <c r="HM14" s="383"/>
      <c r="HN14" s="383"/>
      <c r="HO14" s="383"/>
      <c r="HP14" s="383"/>
      <c r="HQ14" s="383"/>
      <c r="HR14" s="383"/>
      <c r="HS14" s="383"/>
      <c r="HT14" s="383"/>
      <c r="HU14" s="383"/>
      <c r="HV14" s="383"/>
      <c r="HW14" s="383"/>
      <c r="HX14" s="383"/>
      <c r="HY14" s="383"/>
      <c r="HZ14" s="383"/>
      <c r="IA14" s="383"/>
      <c r="IB14" s="383"/>
      <c r="IC14" s="383"/>
      <c r="ID14" s="383"/>
      <c r="IE14" s="383"/>
      <c r="IF14" s="383"/>
      <c r="IG14" s="383"/>
      <c r="IH14" s="383"/>
      <c r="II14" s="383"/>
      <c r="IJ14" s="383"/>
      <c r="IK14" s="383"/>
      <c r="IL14" s="383"/>
    </row>
    <row r="15" spans="1:246" ht="15" customHeight="1">
      <c r="A15" s="481" t="s">
        <v>241</v>
      </c>
      <c r="B15" s="482" t="s">
        <v>172</v>
      </c>
      <c r="C15" s="483" t="s">
        <v>164</v>
      </c>
      <c r="D15" s="14"/>
      <c r="E15" s="484" t="s">
        <v>379</v>
      </c>
      <c r="F15" s="484">
        <v>340</v>
      </c>
      <c r="G15" s="479" t="str">
        <f t="shared" si="0"/>
        <v>01/2026</v>
      </c>
      <c r="H15" s="341">
        <f>SUMIF(VI.A!$B$6:$B$5963,B15,VI.A!$L$6:$L$5963)</f>
        <v>750</v>
      </c>
      <c r="I15" s="341" t="str">
        <f t="shared" ref="I15:I29" si="4">IF(H15=0,"no","si")</f>
        <v>si</v>
      </c>
      <c r="J15" s="383"/>
      <c r="K15" s="384">
        <f>IF(E15="SABESP","OK",VLOOKUP(F15,[6]ISD!$B$11:$F$4861,5,FALSE))</f>
        <v>1.19</v>
      </c>
      <c r="L15" s="384" t="str">
        <f t="shared" si="1"/>
        <v>VERIFICAR</v>
      </c>
      <c r="M15" s="480">
        <f t="shared" si="2"/>
        <v>1.19</v>
      </c>
      <c r="N15" s="383" t="b">
        <f t="shared" si="3"/>
        <v>0</v>
      </c>
      <c r="O15" s="383"/>
      <c r="P15" s="383"/>
      <c r="Q15" s="383"/>
      <c r="R15" s="383"/>
      <c r="S15" s="383"/>
      <c r="T15" s="383"/>
      <c r="U15" s="383"/>
      <c r="V15" s="383"/>
      <c r="W15" s="383"/>
      <c r="X15" s="383"/>
      <c r="Y15" s="383"/>
      <c r="Z15" s="383"/>
      <c r="AA15" s="383"/>
      <c r="AB15" s="383"/>
      <c r="AC15" s="383"/>
      <c r="AD15" s="383"/>
      <c r="AE15" s="383"/>
      <c r="AF15" s="383"/>
      <c r="AG15" s="383"/>
      <c r="AH15" s="383"/>
      <c r="AI15" s="383"/>
      <c r="AJ15" s="383"/>
      <c r="AK15" s="383"/>
      <c r="AL15" s="383"/>
      <c r="AM15" s="383"/>
      <c r="AN15" s="383"/>
      <c r="AO15" s="383"/>
      <c r="AP15" s="383"/>
      <c r="AQ15" s="383"/>
      <c r="AR15" s="383"/>
      <c r="AS15" s="383"/>
      <c r="AT15" s="383"/>
      <c r="AU15" s="383"/>
      <c r="AV15" s="383"/>
      <c r="AW15" s="383"/>
      <c r="AX15" s="383"/>
      <c r="AY15" s="383"/>
      <c r="AZ15" s="383"/>
      <c r="BA15" s="383"/>
      <c r="BB15" s="383"/>
      <c r="BC15" s="383"/>
      <c r="BD15" s="383"/>
      <c r="BE15" s="383"/>
      <c r="BF15" s="383"/>
      <c r="BG15" s="383"/>
      <c r="BH15" s="383"/>
      <c r="BI15" s="383"/>
      <c r="BJ15" s="383"/>
      <c r="BK15" s="383"/>
      <c r="BL15" s="383"/>
      <c r="BM15" s="383"/>
      <c r="BN15" s="383"/>
      <c r="BO15" s="383"/>
      <c r="BP15" s="383"/>
      <c r="BQ15" s="383"/>
      <c r="BR15" s="383"/>
      <c r="BS15" s="383"/>
      <c r="BT15" s="383"/>
      <c r="BU15" s="383"/>
      <c r="BV15" s="383"/>
      <c r="BW15" s="383"/>
      <c r="BX15" s="383"/>
      <c r="BY15" s="383"/>
      <c r="BZ15" s="383"/>
      <c r="CA15" s="383"/>
      <c r="CB15" s="383"/>
      <c r="CC15" s="383"/>
      <c r="CD15" s="383"/>
      <c r="CE15" s="383"/>
      <c r="CF15" s="383"/>
      <c r="CG15" s="383"/>
      <c r="CH15" s="383"/>
      <c r="CI15" s="383"/>
      <c r="CJ15" s="383"/>
      <c r="CK15" s="383"/>
      <c r="CL15" s="383"/>
      <c r="CM15" s="383"/>
      <c r="CN15" s="383"/>
      <c r="CO15" s="383"/>
      <c r="CP15" s="383"/>
      <c r="CQ15" s="383"/>
      <c r="CR15" s="383"/>
      <c r="CS15" s="383"/>
      <c r="CT15" s="383"/>
      <c r="CU15" s="383"/>
      <c r="CV15" s="383"/>
      <c r="CW15" s="383"/>
      <c r="CX15" s="383"/>
      <c r="CY15" s="383"/>
      <c r="CZ15" s="383"/>
      <c r="DA15" s="383"/>
      <c r="DB15" s="383"/>
      <c r="DC15" s="383"/>
      <c r="DD15" s="383"/>
      <c r="DE15" s="383"/>
      <c r="DF15" s="383"/>
      <c r="DG15" s="383"/>
      <c r="DH15" s="383"/>
      <c r="DI15" s="383"/>
      <c r="DJ15" s="383"/>
      <c r="DK15" s="383"/>
      <c r="DL15" s="383"/>
      <c r="DM15" s="383"/>
      <c r="DN15" s="383"/>
      <c r="DO15" s="383"/>
      <c r="DP15" s="383"/>
      <c r="DQ15" s="383"/>
      <c r="DR15" s="383"/>
      <c r="DS15" s="383"/>
      <c r="DT15" s="383"/>
      <c r="DU15" s="383"/>
      <c r="DV15" s="383"/>
      <c r="DW15" s="383"/>
      <c r="DX15" s="383"/>
      <c r="DY15" s="383"/>
      <c r="DZ15" s="383"/>
      <c r="EA15" s="383"/>
      <c r="EB15" s="383"/>
      <c r="EC15" s="383"/>
      <c r="ED15" s="383"/>
      <c r="EE15" s="383"/>
      <c r="EF15" s="383"/>
      <c r="EG15" s="383"/>
      <c r="EH15" s="383"/>
      <c r="EI15" s="383"/>
      <c r="EJ15" s="383"/>
      <c r="EK15" s="383"/>
      <c r="EL15" s="383"/>
      <c r="EM15" s="383"/>
      <c r="EN15" s="383"/>
      <c r="EO15" s="383"/>
      <c r="EP15" s="383"/>
      <c r="EQ15" s="383"/>
      <c r="ER15" s="383"/>
      <c r="ES15" s="383"/>
      <c r="ET15" s="383"/>
      <c r="EU15" s="383"/>
      <c r="EV15" s="383"/>
      <c r="EW15" s="383"/>
      <c r="EX15" s="383"/>
      <c r="EY15" s="383"/>
      <c r="EZ15" s="383"/>
      <c r="FA15" s="383"/>
      <c r="FB15" s="383"/>
      <c r="FC15" s="383"/>
      <c r="FD15" s="383"/>
      <c r="FE15" s="383"/>
      <c r="FF15" s="383"/>
      <c r="FG15" s="383"/>
      <c r="FH15" s="383"/>
      <c r="FI15" s="383"/>
      <c r="FJ15" s="383"/>
      <c r="FK15" s="383"/>
      <c r="FL15" s="383"/>
      <c r="FM15" s="383"/>
      <c r="FN15" s="383"/>
      <c r="FO15" s="383"/>
      <c r="FP15" s="383"/>
      <c r="FQ15" s="383"/>
      <c r="FR15" s="383"/>
      <c r="FS15" s="383"/>
      <c r="FT15" s="383"/>
      <c r="FU15" s="383"/>
      <c r="FV15" s="383"/>
      <c r="FW15" s="383"/>
      <c r="FX15" s="383"/>
      <c r="FY15" s="383"/>
      <c r="FZ15" s="383"/>
      <c r="GA15" s="383"/>
      <c r="GB15" s="383"/>
      <c r="GC15" s="383"/>
      <c r="GD15" s="383"/>
      <c r="GE15" s="383"/>
      <c r="GF15" s="383"/>
      <c r="GG15" s="383"/>
      <c r="GH15" s="383"/>
      <c r="GI15" s="383"/>
      <c r="GJ15" s="383"/>
      <c r="GK15" s="383"/>
      <c r="GL15" s="383"/>
      <c r="GM15" s="383"/>
      <c r="GN15" s="383"/>
      <c r="GO15" s="383"/>
      <c r="GP15" s="383"/>
      <c r="GQ15" s="383"/>
      <c r="GR15" s="383"/>
      <c r="GS15" s="383"/>
      <c r="GT15" s="383"/>
      <c r="GU15" s="383"/>
      <c r="GV15" s="383"/>
      <c r="GW15" s="383"/>
      <c r="GX15" s="383"/>
      <c r="GY15" s="383"/>
      <c r="GZ15" s="383"/>
      <c r="HA15" s="383"/>
      <c r="HB15" s="383"/>
      <c r="HC15" s="383"/>
      <c r="HD15" s="383"/>
      <c r="HE15" s="383"/>
      <c r="HF15" s="383"/>
      <c r="HG15" s="383"/>
      <c r="HH15" s="383"/>
      <c r="HI15" s="383"/>
      <c r="HJ15" s="383"/>
      <c r="HK15" s="383"/>
      <c r="HL15" s="383"/>
      <c r="HM15" s="383"/>
      <c r="HN15" s="383"/>
      <c r="HO15" s="383"/>
      <c r="HP15" s="383"/>
      <c r="HQ15" s="383"/>
      <c r="HR15" s="383"/>
      <c r="HS15" s="383"/>
      <c r="HT15" s="383"/>
      <c r="HU15" s="383"/>
      <c r="HV15" s="383"/>
      <c r="HW15" s="383"/>
      <c r="HX15" s="383"/>
      <c r="HY15" s="383"/>
      <c r="HZ15" s="383"/>
      <c r="IA15" s="383"/>
      <c r="IB15" s="383"/>
      <c r="IC15" s="383"/>
      <c r="ID15" s="383"/>
      <c r="IE15" s="383"/>
      <c r="IF15" s="383"/>
      <c r="IG15" s="383"/>
      <c r="IH15" s="383"/>
      <c r="II15" s="383"/>
      <c r="IJ15" s="383"/>
      <c r="IK15" s="383"/>
      <c r="IL15" s="383"/>
    </row>
    <row r="16" spans="1:246" ht="15" customHeight="1">
      <c r="A16" s="481" t="s">
        <v>242</v>
      </c>
      <c r="B16" s="482" t="s">
        <v>173</v>
      </c>
      <c r="C16" s="483" t="s">
        <v>222</v>
      </c>
      <c r="D16" s="14"/>
      <c r="E16" s="484" t="s">
        <v>379</v>
      </c>
      <c r="F16" s="484">
        <v>344</v>
      </c>
      <c r="G16" s="479" t="str">
        <f t="shared" si="0"/>
        <v>01/2026</v>
      </c>
      <c r="H16" s="341">
        <f>SUMIF(VI.A!$B$6:$B$5963,B16,VI.A!$L$6:$L$5963)</f>
        <v>160</v>
      </c>
      <c r="I16" s="341" t="str">
        <f t="shared" si="4"/>
        <v>si</v>
      </c>
      <c r="J16" s="383"/>
      <c r="K16" s="384">
        <f>IF(E16="SABESP","OK",VLOOKUP(F16,[6]ISD!$B$11:$F$4861,5,FALSE))</f>
        <v>28.47</v>
      </c>
      <c r="L16" s="384" t="str">
        <f t="shared" si="1"/>
        <v>VERIFICAR</v>
      </c>
      <c r="M16" s="480">
        <f t="shared" si="2"/>
        <v>28.47</v>
      </c>
      <c r="N16" s="383" t="b">
        <f t="shared" si="3"/>
        <v>0</v>
      </c>
      <c r="O16" s="383"/>
      <c r="P16" s="383"/>
      <c r="Q16" s="383"/>
      <c r="R16" s="383"/>
      <c r="S16" s="383"/>
      <c r="T16" s="383"/>
      <c r="U16" s="383"/>
      <c r="V16" s="383"/>
      <c r="W16" s="383"/>
      <c r="X16" s="383"/>
      <c r="Y16" s="383"/>
      <c r="Z16" s="383"/>
      <c r="AA16" s="383"/>
      <c r="AB16" s="383"/>
      <c r="AC16" s="383"/>
      <c r="AD16" s="383"/>
      <c r="AE16" s="383"/>
      <c r="AF16" s="383"/>
      <c r="AG16" s="383"/>
      <c r="AH16" s="383"/>
      <c r="AI16" s="383"/>
      <c r="AJ16" s="383"/>
      <c r="AK16" s="383"/>
      <c r="AL16" s="383"/>
      <c r="AM16" s="383"/>
      <c r="AN16" s="383"/>
      <c r="AO16" s="383"/>
      <c r="AP16" s="383"/>
      <c r="AQ16" s="383"/>
      <c r="AR16" s="383"/>
      <c r="AS16" s="383"/>
      <c r="AT16" s="383"/>
      <c r="AU16" s="383"/>
      <c r="AV16" s="383"/>
      <c r="AW16" s="383"/>
      <c r="AX16" s="383"/>
      <c r="AY16" s="383"/>
      <c r="AZ16" s="383"/>
      <c r="BA16" s="383"/>
      <c r="BB16" s="383"/>
      <c r="BC16" s="383"/>
      <c r="BD16" s="383"/>
      <c r="BE16" s="383"/>
      <c r="BF16" s="383"/>
      <c r="BG16" s="383"/>
      <c r="BH16" s="383"/>
      <c r="BI16" s="383"/>
      <c r="BJ16" s="383"/>
      <c r="BK16" s="383"/>
      <c r="BL16" s="383"/>
      <c r="BM16" s="383"/>
      <c r="BN16" s="383"/>
      <c r="BO16" s="383"/>
      <c r="BP16" s="383"/>
      <c r="BQ16" s="383"/>
      <c r="BR16" s="383"/>
      <c r="BS16" s="383"/>
      <c r="BT16" s="383"/>
      <c r="BU16" s="383"/>
      <c r="BV16" s="383"/>
      <c r="BW16" s="383"/>
      <c r="BX16" s="383"/>
      <c r="BY16" s="383"/>
      <c r="BZ16" s="383"/>
      <c r="CA16" s="383"/>
      <c r="CB16" s="383"/>
      <c r="CC16" s="383"/>
      <c r="CD16" s="383"/>
      <c r="CE16" s="383"/>
      <c r="CF16" s="383"/>
      <c r="CG16" s="383"/>
      <c r="CH16" s="383"/>
      <c r="CI16" s="383"/>
      <c r="CJ16" s="383"/>
      <c r="CK16" s="383"/>
      <c r="CL16" s="383"/>
      <c r="CM16" s="383"/>
      <c r="CN16" s="383"/>
      <c r="CO16" s="383"/>
      <c r="CP16" s="383"/>
      <c r="CQ16" s="383"/>
      <c r="CR16" s="383"/>
      <c r="CS16" s="383"/>
      <c r="CT16" s="383"/>
      <c r="CU16" s="383"/>
      <c r="CV16" s="383"/>
      <c r="CW16" s="383"/>
      <c r="CX16" s="383"/>
      <c r="CY16" s="383"/>
      <c r="CZ16" s="383"/>
      <c r="DA16" s="383"/>
      <c r="DB16" s="383"/>
      <c r="DC16" s="383"/>
      <c r="DD16" s="383"/>
      <c r="DE16" s="383"/>
      <c r="DF16" s="383"/>
      <c r="DG16" s="383"/>
      <c r="DH16" s="383"/>
      <c r="DI16" s="383"/>
      <c r="DJ16" s="383"/>
      <c r="DK16" s="383"/>
      <c r="DL16" s="383"/>
      <c r="DM16" s="383"/>
      <c r="DN16" s="383"/>
      <c r="DO16" s="383"/>
      <c r="DP16" s="383"/>
      <c r="DQ16" s="383"/>
      <c r="DR16" s="383"/>
      <c r="DS16" s="383"/>
      <c r="DT16" s="383"/>
      <c r="DU16" s="383"/>
      <c r="DV16" s="383"/>
      <c r="DW16" s="383"/>
      <c r="DX16" s="383"/>
      <c r="DY16" s="383"/>
      <c r="DZ16" s="383"/>
      <c r="EA16" s="383"/>
      <c r="EB16" s="383"/>
      <c r="EC16" s="383"/>
      <c r="ED16" s="383"/>
      <c r="EE16" s="383"/>
      <c r="EF16" s="383"/>
      <c r="EG16" s="383"/>
      <c r="EH16" s="383"/>
      <c r="EI16" s="383"/>
      <c r="EJ16" s="383"/>
      <c r="EK16" s="383"/>
      <c r="EL16" s="383"/>
      <c r="EM16" s="383"/>
      <c r="EN16" s="383"/>
      <c r="EO16" s="383"/>
      <c r="EP16" s="383"/>
      <c r="EQ16" s="383"/>
      <c r="ER16" s="383"/>
      <c r="ES16" s="383"/>
      <c r="ET16" s="383"/>
      <c r="EU16" s="383"/>
      <c r="EV16" s="383"/>
      <c r="EW16" s="383"/>
      <c r="EX16" s="383"/>
      <c r="EY16" s="383"/>
      <c r="EZ16" s="383"/>
      <c r="FA16" s="383"/>
      <c r="FB16" s="383"/>
      <c r="FC16" s="383"/>
      <c r="FD16" s="383"/>
      <c r="FE16" s="383"/>
      <c r="FF16" s="383"/>
      <c r="FG16" s="383"/>
      <c r="FH16" s="383"/>
      <c r="FI16" s="383"/>
      <c r="FJ16" s="383"/>
      <c r="FK16" s="383"/>
      <c r="FL16" s="383"/>
      <c r="FM16" s="383"/>
      <c r="FN16" s="383"/>
      <c r="FO16" s="383"/>
      <c r="FP16" s="383"/>
      <c r="FQ16" s="383"/>
      <c r="FR16" s="383"/>
      <c r="FS16" s="383"/>
      <c r="FT16" s="383"/>
      <c r="FU16" s="383"/>
      <c r="FV16" s="383"/>
      <c r="FW16" s="383"/>
      <c r="FX16" s="383"/>
      <c r="FY16" s="383"/>
      <c r="FZ16" s="383"/>
      <c r="GA16" s="383"/>
      <c r="GB16" s="383"/>
      <c r="GC16" s="383"/>
      <c r="GD16" s="383"/>
      <c r="GE16" s="383"/>
      <c r="GF16" s="383"/>
      <c r="GG16" s="383"/>
      <c r="GH16" s="383"/>
      <c r="GI16" s="383"/>
      <c r="GJ16" s="383"/>
      <c r="GK16" s="383"/>
      <c r="GL16" s="383"/>
      <c r="GM16" s="383"/>
      <c r="GN16" s="383"/>
      <c r="GO16" s="383"/>
      <c r="GP16" s="383"/>
      <c r="GQ16" s="383"/>
      <c r="GR16" s="383"/>
      <c r="GS16" s="383"/>
      <c r="GT16" s="383"/>
      <c r="GU16" s="383"/>
      <c r="GV16" s="383"/>
      <c r="GW16" s="383"/>
      <c r="GX16" s="383"/>
      <c r="GY16" s="383"/>
      <c r="GZ16" s="383"/>
      <c r="HA16" s="383"/>
      <c r="HB16" s="383"/>
      <c r="HC16" s="383"/>
      <c r="HD16" s="383"/>
      <c r="HE16" s="383"/>
      <c r="HF16" s="383"/>
      <c r="HG16" s="383"/>
      <c r="HH16" s="383"/>
      <c r="HI16" s="383"/>
      <c r="HJ16" s="383"/>
      <c r="HK16" s="383"/>
      <c r="HL16" s="383"/>
      <c r="HM16" s="383"/>
      <c r="HN16" s="383"/>
      <c r="HO16" s="383"/>
      <c r="HP16" s="383"/>
      <c r="HQ16" s="383"/>
      <c r="HR16" s="383"/>
      <c r="HS16" s="383"/>
      <c r="HT16" s="383"/>
      <c r="HU16" s="383"/>
      <c r="HV16" s="383"/>
      <c r="HW16" s="383"/>
      <c r="HX16" s="383"/>
      <c r="HY16" s="383"/>
      <c r="HZ16" s="383"/>
      <c r="IA16" s="383"/>
      <c r="IB16" s="383"/>
      <c r="IC16" s="383"/>
      <c r="ID16" s="383"/>
      <c r="IE16" s="383"/>
      <c r="IF16" s="383"/>
      <c r="IG16" s="383"/>
      <c r="IH16" s="383"/>
      <c r="II16" s="383"/>
      <c r="IJ16" s="383"/>
      <c r="IK16" s="383"/>
      <c r="IL16" s="383"/>
    </row>
    <row r="17" spans="1:246" ht="15" customHeight="1">
      <c r="A17" s="481" t="s">
        <v>243</v>
      </c>
      <c r="B17" s="482" t="s">
        <v>174</v>
      </c>
      <c r="C17" s="483" t="s">
        <v>222</v>
      </c>
      <c r="D17" s="14"/>
      <c r="E17" s="484" t="s">
        <v>377</v>
      </c>
      <c r="F17" s="484">
        <v>43131</v>
      </c>
      <c r="G17" s="479" t="str">
        <f t="shared" si="0"/>
        <v>01/2026</v>
      </c>
      <c r="H17" s="341">
        <f>SUMIF(VI.A!$B$6:$B$5963,B17,VI.A!$L$6:$L$5963)</f>
        <v>14.959999999999999</v>
      </c>
      <c r="I17" s="341" t="str">
        <f t="shared" si="4"/>
        <v>si</v>
      </c>
      <c r="J17" s="383"/>
      <c r="K17" s="384">
        <f>IF(E17="SABESP","OK",VLOOKUP(F17,[6]ISD!$B$11:$F$4861,5,FALSE))</f>
        <v>25.16</v>
      </c>
      <c r="L17" s="384" t="str">
        <f t="shared" si="1"/>
        <v>VERIFICAR</v>
      </c>
      <c r="M17" s="480">
        <f t="shared" si="2"/>
        <v>25.16</v>
      </c>
      <c r="N17" s="383" t="b">
        <f t="shared" si="3"/>
        <v>0</v>
      </c>
      <c r="O17" s="383"/>
      <c r="P17" s="383"/>
      <c r="Q17" s="383"/>
      <c r="R17" s="383"/>
      <c r="S17" s="383"/>
      <c r="T17" s="383"/>
      <c r="U17" s="383"/>
      <c r="V17" s="383"/>
      <c r="W17" s="383"/>
      <c r="X17" s="383"/>
      <c r="Y17" s="383"/>
      <c r="Z17" s="383"/>
      <c r="AA17" s="383"/>
      <c r="AB17" s="383"/>
      <c r="AC17" s="383"/>
      <c r="AD17" s="383"/>
      <c r="AE17" s="383"/>
      <c r="AF17" s="383"/>
      <c r="AG17" s="383"/>
      <c r="AH17" s="383"/>
      <c r="AI17" s="383"/>
      <c r="AJ17" s="383"/>
      <c r="AK17" s="383"/>
      <c r="AL17" s="383"/>
      <c r="AM17" s="383"/>
      <c r="AN17" s="383"/>
      <c r="AO17" s="383"/>
      <c r="AP17" s="383"/>
      <c r="AQ17" s="383"/>
      <c r="AR17" s="383"/>
      <c r="AS17" s="383"/>
      <c r="AT17" s="383"/>
      <c r="AU17" s="383"/>
      <c r="AV17" s="383"/>
      <c r="AW17" s="383"/>
      <c r="AX17" s="383"/>
      <c r="AY17" s="383"/>
      <c r="AZ17" s="383"/>
      <c r="BA17" s="383"/>
      <c r="BB17" s="383"/>
      <c r="BC17" s="383"/>
      <c r="BD17" s="383"/>
      <c r="BE17" s="383"/>
      <c r="BF17" s="383"/>
      <c r="BG17" s="383"/>
      <c r="BH17" s="383"/>
      <c r="BI17" s="383"/>
      <c r="BJ17" s="383"/>
      <c r="BK17" s="383"/>
      <c r="BL17" s="383"/>
      <c r="BM17" s="383"/>
      <c r="BN17" s="383"/>
      <c r="BO17" s="383"/>
      <c r="BP17" s="383"/>
      <c r="BQ17" s="383"/>
      <c r="BR17" s="383"/>
      <c r="BS17" s="383"/>
      <c r="BT17" s="383"/>
      <c r="BU17" s="383"/>
      <c r="BV17" s="383"/>
      <c r="BW17" s="383"/>
      <c r="BX17" s="383"/>
      <c r="BY17" s="383"/>
      <c r="BZ17" s="383"/>
      <c r="CA17" s="383"/>
      <c r="CB17" s="383"/>
      <c r="CC17" s="383"/>
      <c r="CD17" s="383"/>
      <c r="CE17" s="383"/>
      <c r="CF17" s="383"/>
      <c r="CG17" s="383"/>
      <c r="CH17" s="383"/>
      <c r="CI17" s="383"/>
      <c r="CJ17" s="383"/>
      <c r="CK17" s="383"/>
      <c r="CL17" s="383"/>
      <c r="CM17" s="383"/>
      <c r="CN17" s="383"/>
      <c r="CO17" s="383"/>
      <c r="CP17" s="383"/>
      <c r="CQ17" s="383"/>
      <c r="CR17" s="383"/>
      <c r="CS17" s="383"/>
      <c r="CT17" s="383"/>
      <c r="CU17" s="383"/>
      <c r="CV17" s="383"/>
      <c r="CW17" s="383"/>
      <c r="CX17" s="383"/>
      <c r="CY17" s="383"/>
      <c r="CZ17" s="383"/>
      <c r="DA17" s="383"/>
      <c r="DB17" s="383"/>
      <c r="DC17" s="383"/>
      <c r="DD17" s="383"/>
      <c r="DE17" s="383"/>
      <c r="DF17" s="383"/>
      <c r="DG17" s="383"/>
      <c r="DH17" s="383"/>
      <c r="DI17" s="383"/>
      <c r="DJ17" s="383"/>
      <c r="DK17" s="383"/>
      <c r="DL17" s="383"/>
      <c r="DM17" s="383"/>
      <c r="DN17" s="383"/>
      <c r="DO17" s="383"/>
      <c r="DP17" s="383"/>
      <c r="DQ17" s="383"/>
      <c r="DR17" s="383"/>
      <c r="DS17" s="383"/>
      <c r="DT17" s="383"/>
      <c r="DU17" s="383"/>
      <c r="DV17" s="383"/>
      <c r="DW17" s="383"/>
      <c r="DX17" s="383"/>
      <c r="DY17" s="383"/>
      <c r="DZ17" s="383"/>
      <c r="EA17" s="383"/>
      <c r="EB17" s="383"/>
      <c r="EC17" s="383"/>
      <c r="ED17" s="383"/>
      <c r="EE17" s="383"/>
      <c r="EF17" s="383"/>
      <c r="EG17" s="383"/>
      <c r="EH17" s="383"/>
      <c r="EI17" s="383"/>
      <c r="EJ17" s="383"/>
      <c r="EK17" s="383"/>
      <c r="EL17" s="383"/>
      <c r="EM17" s="383"/>
      <c r="EN17" s="383"/>
      <c r="EO17" s="383"/>
      <c r="EP17" s="383"/>
      <c r="EQ17" s="383"/>
      <c r="ER17" s="383"/>
      <c r="ES17" s="383"/>
      <c r="ET17" s="383"/>
      <c r="EU17" s="383"/>
      <c r="EV17" s="383"/>
      <c r="EW17" s="383"/>
      <c r="EX17" s="383"/>
      <c r="EY17" s="383"/>
      <c r="EZ17" s="383"/>
      <c r="FA17" s="383"/>
      <c r="FB17" s="383"/>
      <c r="FC17" s="383"/>
      <c r="FD17" s="383"/>
      <c r="FE17" s="383"/>
      <c r="FF17" s="383"/>
      <c r="FG17" s="383"/>
      <c r="FH17" s="383"/>
      <c r="FI17" s="383"/>
      <c r="FJ17" s="383"/>
      <c r="FK17" s="383"/>
      <c r="FL17" s="383"/>
      <c r="FM17" s="383"/>
      <c r="FN17" s="383"/>
      <c r="FO17" s="383"/>
      <c r="FP17" s="383"/>
      <c r="FQ17" s="383"/>
      <c r="FR17" s="383"/>
      <c r="FS17" s="383"/>
      <c r="FT17" s="383"/>
      <c r="FU17" s="383"/>
      <c r="FV17" s="383"/>
      <c r="FW17" s="383"/>
      <c r="FX17" s="383"/>
      <c r="FY17" s="383"/>
      <c r="FZ17" s="383"/>
      <c r="GA17" s="383"/>
      <c r="GB17" s="383"/>
      <c r="GC17" s="383"/>
      <c r="GD17" s="383"/>
      <c r="GE17" s="383"/>
      <c r="GF17" s="383"/>
      <c r="GG17" s="383"/>
      <c r="GH17" s="383"/>
      <c r="GI17" s="383"/>
      <c r="GJ17" s="383"/>
      <c r="GK17" s="383"/>
      <c r="GL17" s="383"/>
      <c r="GM17" s="383"/>
      <c r="GN17" s="383"/>
      <c r="GO17" s="383"/>
      <c r="GP17" s="383"/>
      <c r="GQ17" s="383"/>
      <c r="GR17" s="383"/>
      <c r="GS17" s="383"/>
      <c r="GT17" s="383"/>
      <c r="GU17" s="383"/>
      <c r="GV17" s="383"/>
      <c r="GW17" s="383"/>
      <c r="GX17" s="383"/>
      <c r="GY17" s="383"/>
      <c r="GZ17" s="383"/>
      <c r="HA17" s="383"/>
      <c r="HB17" s="383"/>
      <c r="HC17" s="383"/>
      <c r="HD17" s="383"/>
      <c r="HE17" s="383"/>
      <c r="HF17" s="383"/>
      <c r="HG17" s="383"/>
      <c r="HH17" s="383"/>
      <c r="HI17" s="383"/>
      <c r="HJ17" s="383"/>
      <c r="HK17" s="383"/>
      <c r="HL17" s="383"/>
      <c r="HM17" s="383"/>
      <c r="HN17" s="383"/>
      <c r="HO17" s="383"/>
      <c r="HP17" s="383"/>
      <c r="HQ17" s="383"/>
      <c r="HR17" s="383"/>
      <c r="HS17" s="383"/>
      <c r="HT17" s="383"/>
      <c r="HU17" s="383"/>
      <c r="HV17" s="383"/>
      <c r="HW17" s="383"/>
      <c r="HX17" s="383"/>
      <c r="HY17" s="383"/>
      <c r="HZ17" s="383"/>
      <c r="IA17" s="383"/>
      <c r="IB17" s="383"/>
      <c r="IC17" s="383"/>
      <c r="ID17" s="383"/>
      <c r="IE17" s="383"/>
      <c r="IF17" s="383"/>
      <c r="IG17" s="383"/>
      <c r="IH17" s="383"/>
      <c r="II17" s="383"/>
      <c r="IJ17" s="383"/>
      <c r="IK17" s="383"/>
      <c r="IL17" s="383"/>
    </row>
    <row r="18" spans="1:246" ht="15" customHeight="1">
      <c r="A18" s="481" t="s">
        <v>244</v>
      </c>
      <c r="B18" s="482" t="s">
        <v>175</v>
      </c>
      <c r="C18" s="483" t="s">
        <v>222</v>
      </c>
      <c r="D18" s="14"/>
      <c r="E18" s="484" t="s">
        <v>377</v>
      </c>
      <c r="F18" s="484">
        <v>43132</v>
      </c>
      <c r="G18" s="479" t="str">
        <f t="shared" si="0"/>
        <v>01/2026</v>
      </c>
      <c r="H18" s="341">
        <f>SUMIF(VI.A!$B$6:$B$5963,B18,VI.A!$L$6:$L$5963)</f>
        <v>950.50000000000011</v>
      </c>
      <c r="I18" s="341" t="str">
        <f t="shared" si="4"/>
        <v>si</v>
      </c>
      <c r="J18" s="383"/>
      <c r="K18" s="384">
        <f>IF(E18="SABESP","OK",VLOOKUP(F18,[6]ISD!$B$11:$F$4861,5,FALSE))</f>
        <v>21.66</v>
      </c>
      <c r="L18" s="384" t="str">
        <f t="shared" si="1"/>
        <v>VERIFICAR</v>
      </c>
      <c r="M18" s="480">
        <f t="shared" si="2"/>
        <v>21.66</v>
      </c>
      <c r="N18" s="383" t="b">
        <f t="shared" si="3"/>
        <v>0</v>
      </c>
      <c r="O18" s="383"/>
      <c r="P18" s="383"/>
      <c r="Q18" s="383"/>
      <c r="R18" s="383"/>
      <c r="S18" s="383"/>
      <c r="T18" s="383"/>
      <c r="U18" s="383"/>
      <c r="V18" s="383"/>
      <c r="W18" s="383"/>
      <c r="X18" s="383"/>
      <c r="Y18" s="383"/>
      <c r="Z18" s="383"/>
      <c r="AA18" s="383"/>
      <c r="AB18" s="383"/>
      <c r="AC18" s="383"/>
      <c r="AD18" s="383"/>
      <c r="AE18" s="383"/>
      <c r="AF18" s="383"/>
      <c r="AG18" s="383"/>
      <c r="AH18" s="383"/>
      <c r="AI18" s="383"/>
      <c r="AJ18" s="383"/>
      <c r="AK18" s="383"/>
      <c r="AL18" s="383"/>
      <c r="AM18" s="383"/>
      <c r="AN18" s="383"/>
      <c r="AO18" s="383"/>
      <c r="AP18" s="383"/>
      <c r="AQ18" s="383"/>
      <c r="AR18" s="383"/>
      <c r="AS18" s="383"/>
      <c r="AT18" s="383"/>
      <c r="AU18" s="383"/>
      <c r="AV18" s="383"/>
      <c r="AW18" s="383"/>
      <c r="AX18" s="383"/>
      <c r="AY18" s="383"/>
      <c r="AZ18" s="383"/>
      <c r="BA18" s="383"/>
      <c r="BB18" s="383"/>
      <c r="BC18" s="383"/>
      <c r="BD18" s="383"/>
      <c r="BE18" s="383"/>
      <c r="BF18" s="383"/>
      <c r="BG18" s="383"/>
      <c r="BH18" s="383"/>
      <c r="BI18" s="383"/>
      <c r="BJ18" s="383"/>
      <c r="BK18" s="383"/>
      <c r="BL18" s="383"/>
      <c r="BM18" s="383"/>
      <c r="BN18" s="383"/>
      <c r="BO18" s="383"/>
      <c r="BP18" s="383"/>
      <c r="BQ18" s="383"/>
      <c r="BR18" s="383"/>
      <c r="BS18" s="383"/>
      <c r="BT18" s="383"/>
      <c r="BU18" s="383"/>
      <c r="BV18" s="383"/>
      <c r="BW18" s="383"/>
      <c r="BX18" s="383"/>
      <c r="BY18" s="383"/>
      <c r="BZ18" s="383"/>
      <c r="CA18" s="383"/>
      <c r="CB18" s="383"/>
      <c r="CC18" s="383"/>
      <c r="CD18" s="383"/>
      <c r="CE18" s="383"/>
      <c r="CF18" s="383"/>
      <c r="CG18" s="383"/>
      <c r="CH18" s="383"/>
      <c r="CI18" s="383"/>
      <c r="CJ18" s="383"/>
      <c r="CK18" s="383"/>
      <c r="CL18" s="383"/>
      <c r="CM18" s="383"/>
      <c r="CN18" s="383"/>
      <c r="CO18" s="383"/>
      <c r="CP18" s="383"/>
      <c r="CQ18" s="383"/>
      <c r="CR18" s="383"/>
      <c r="CS18" s="383"/>
      <c r="CT18" s="383"/>
      <c r="CU18" s="383"/>
      <c r="CV18" s="383"/>
      <c r="CW18" s="383"/>
      <c r="CX18" s="383"/>
      <c r="CY18" s="383"/>
      <c r="CZ18" s="383"/>
      <c r="DA18" s="383"/>
      <c r="DB18" s="383"/>
      <c r="DC18" s="383"/>
      <c r="DD18" s="383"/>
      <c r="DE18" s="383"/>
      <c r="DF18" s="383"/>
      <c r="DG18" s="383"/>
      <c r="DH18" s="383"/>
      <c r="DI18" s="383"/>
      <c r="DJ18" s="383"/>
      <c r="DK18" s="383"/>
      <c r="DL18" s="383"/>
      <c r="DM18" s="383"/>
      <c r="DN18" s="383"/>
      <c r="DO18" s="383"/>
      <c r="DP18" s="383"/>
      <c r="DQ18" s="383"/>
      <c r="DR18" s="383"/>
      <c r="DS18" s="383"/>
      <c r="DT18" s="383"/>
      <c r="DU18" s="383"/>
      <c r="DV18" s="383"/>
      <c r="DW18" s="383"/>
      <c r="DX18" s="383"/>
      <c r="DY18" s="383"/>
      <c r="DZ18" s="383"/>
      <c r="EA18" s="383"/>
      <c r="EB18" s="383"/>
      <c r="EC18" s="383"/>
      <c r="ED18" s="383"/>
      <c r="EE18" s="383"/>
      <c r="EF18" s="383"/>
      <c r="EG18" s="383"/>
      <c r="EH18" s="383"/>
      <c r="EI18" s="383"/>
      <c r="EJ18" s="383"/>
      <c r="EK18" s="383"/>
      <c r="EL18" s="383"/>
      <c r="EM18" s="383"/>
      <c r="EN18" s="383"/>
      <c r="EO18" s="383"/>
      <c r="EP18" s="383"/>
      <c r="EQ18" s="383"/>
      <c r="ER18" s="383"/>
      <c r="ES18" s="383"/>
      <c r="ET18" s="383"/>
      <c r="EU18" s="383"/>
      <c r="EV18" s="383"/>
      <c r="EW18" s="383"/>
      <c r="EX18" s="383"/>
      <c r="EY18" s="383"/>
      <c r="EZ18" s="383"/>
      <c r="FA18" s="383"/>
      <c r="FB18" s="383"/>
      <c r="FC18" s="383"/>
      <c r="FD18" s="383"/>
      <c r="FE18" s="383"/>
      <c r="FF18" s="383"/>
      <c r="FG18" s="383"/>
      <c r="FH18" s="383"/>
      <c r="FI18" s="383"/>
      <c r="FJ18" s="383"/>
      <c r="FK18" s="383"/>
      <c r="FL18" s="383"/>
      <c r="FM18" s="383"/>
      <c r="FN18" s="383"/>
      <c r="FO18" s="383"/>
      <c r="FP18" s="383"/>
      <c r="FQ18" s="383"/>
      <c r="FR18" s="383"/>
      <c r="FS18" s="383"/>
      <c r="FT18" s="383"/>
      <c r="FU18" s="383"/>
      <c r="FV18" s="383"/>
      <c r="FW18" s="383"/>
      <c r="FX18" s="383"/>
      <c r="FY18" s="383"/>
      <c r="FZ18" s="383"/>
      <c r="GA18" s="383"/>
      <c r="GB18" s="383"/>
      <c r="GC18" s="383"/>
      <c r="GD18" s="383"/>
      <c r="GE18" s="383"/>
      <c r="GF18" s="383"/>
      <c r="GG18" s="383"/>
      <c r="GH18" s="383"/>
      <c r="GI18" s="383"/>
      <c r="GJ18" s="383"/>
      <c r="GK18" s="383"/>
      <c r="GL18" s="383"/>
      <c r="GM18" s="383"/>
      <c r="GN18" s="383"/>
      <c r="GO18" s="383"/>
      <c r="GP18" s="383"/>
      <c r="GQ18" s="383"/>
      <c r="GR18" s="383"/>
      <c r="GS18" s="383"/>
      <c r="GT18" s="383"/>
      <c r="GU18" s="383"/>
      <c r="GV18" s="383"/>
      <c r="GW18" s="383"/>
      <c r="GX18" s="383"/>
      <c r="GY18" s="383"/>
      <c r="GZ18" s="383"/>
      <c r="HA18" s="383"/>
      <c r="HB18" s="383"/>
      <c r="HC18" s="383"/>
      <c r="HD18" s="383"/>
      <c r="HE18" s="383"/>
      <c r="HF18" s="383"/>
      <c r="HG18" s="383"/>
      <c r="HH18" s="383"/>
      <c r="HI18" s="383"/>
      <c r="HJ18" s="383"/>
      <c r="HK18" s="383"/>
      <c r="HL18" s="383"/>
      <c r="HM18" s="383"/>
      <c r="HN18" s="383"/>
      <c r="HO18" s="383"/>
      <c r="HP18" s="383"/>
      <c r="HQ18" s="383"/>
      <c r="HR18" s="383"/>
      <c r="HS18" s="383"/>
      <c r="HT18" s="383"/>
      <c r="HU18" s="383"/>
      <c r="HV18" s="383"/>
      <c r="HW18" s="383"/>
      <c r="HX18" s="383"/>
      <c r="HY18" s="383"/>
      <c r="HZ18" s="383"/>
      <c r="IA18" s="383"/>
      <c r="IB18" s="383"/>
      <c r="IC18" s="383"/>
      <c r="ID18" s="383"/>
      <c r="IE18" s="383"/>
      <c r="IF18" s="383"/>
      <c r="IG18" s="383"/>
      <c r="IH18" s="383"/>
      <c r="II18" s="383"/>
      <c r="IJ18" s="383"/>
      <c r="IK18" s="383"/>
      <c r="IL18" s="383"/>
    </row>
    <row r="19" spans="1:246" ht="15" customHeight="1">
      <c r="A19" s="481" t="s">
        <v>245</v>
      </c>
      <c r="B19" s="482" t="s">
        <v>380</v>
      </c>
      <c r="C19" s="483" t="s">
        <v>223</v>
      </c>
      <c r="D19" s="14"/>
      <c r="E19" s="484" t="s">
        <v>381</v>
      </c>
      <c r="F19" s="484" t="s">
        <v>426</v>
      </c>
      <c r="G19" s="479" t="str">
        <f t="shared" si="0"/>
        <v>07/2025</v>
      </c>
      <c r="H19" s="341">
        <f>SUMIF(VI.A!$B$6:$B$5963,B19,VI.A!$L$6:$L$5963)</f>
        <v>1928.525828</v>
      </c>
      <c r="I19" s="341" t="str">
        <f t="shared" si="4"/>
        <v>si</v>
      </c>
      <c r="J19" s="383"/>
      <c r="K19" s="384" t="str">
        <f>IF(E19="SABESP","OK",VLOOKUP(F19,[6]ISD!$B$11:$F$4861,5,FALSE))</f>
        <v>OK</v>
      </c>
      <c r="L19" s="384" t="str">
        <f t="shared" si="1"/>
        <v>OK</v>
      </c>
      <c r="M19" s="480" t="str">
        <f t="shared" si="2"/>
        <v>OK</v>
      </c>
      <c r="N19" s="383" t="b">
        <f t="shared" si="3"/>
        <v>0</v>
      </c>
      <c r="O19" s="383"/>
      <c r="P19" s="383"/>
      <c r="Q19" s="383"/>
      <c r="R19" s="383"/>
      <c r="S19" s="383"/>
      <c r="T19" s="383"/>
      <c r="U19" s="383"/>
      <c r="V19" s="383"/>
      <c r="W19" s="383"/>
      <c r="X19" s="383"/>
      <c r="Y19" s="383"/>
      <c r="Z19" s="383"/>
      <c r="AA19" s="383"/>
      <c r="AB19" s="383"/>
      <c r="AC19" s="383"/>
      <c r="AD19" s="383"/>
      <c r="AE19" s="383"/>
      <c r="AF19" s="383"/>
      <c r="AG19" s="383"/>
      <c r="AH19" s="383"/>
      <c r="AI19" s="383"/>
      <c r="AJ19" s="383"/>
      <c r="AK19" s="383"/>
      <c r="AL19" s="383"/>
      <c r="AM19" s="383"/>
      <c r="AN19" s="383"/>
      <c r="AO19" s="383"/>
      <c r="AP19" s="383"/>
      <c r="AQ19" s="383"/>
      <c r="AR19" s="383"/>
      <c r="AS19" s="383"/>
      <c r="AT19" s="383"/>
      <c r="AU19" s="383"/>
      <c r="AV19" s="383"/>
      <c r="AW19" s="383"/>
      <c r="AX19" s="383"/>
      <c r="AY19" s="383"/>
      <c r="AZ19" s="383"/>
      <c r="BA19" s="383"/>
      <c r="BB19" s="383"/>
      <c r="BC19" s="383"/>
      <c r="BD19" s="383"/>
      <c r="BE19" s="383"/>
      <c r="BF19" s="383"/>
      <c r="BG19" s="383"/>
      <c r="BH19" s="383"/>
      <c r="BI19" s="383"/>
      <c r="BJ19" s="383"/>
      <c r="BK19" s="383"/>
      <c r="BL19" s="383"/>
      <c r="BM19" s="383"/>
      <c r="BN19" s="383"/>
      <c r="BO19" s="383"/>
      <c r="BP19" s="383"/>
      <c r="BQ19" s="383"/>
      <c r="BR19" s="383"/>
      <c r="BS19" s="383"/>
      <c r="BT19" s="383"/>
      <c r="BU19" s="383"/>
      <c r="BV19" s="383"/>
      <c r="BW19" s="383"/>
      <c r="BX19" s="383"/>
      <c r="BY19" s="383"/>
      <c r="BZ19" s="383"/>
      <c r="CA19" s="383"/>
      <c r="CB19" s="383"/>
      <c r="CC19" s="383"/>
      <c r="CD19" s="383"/>
      <c r="CE19" s="383"/>
      <c r="CF19" s="383"/>
      <c r="CG19" s="383"/>
      <c r="CH19" s="383"/>
      <c r="CI19" s="383"/>
      <c r="CJ19" s="383"/>
      <c r="CK19" s="383"/>
      <c r="CL19" s="383"/>
      <c r="CM19" s="383"/>
      <c r="CN19" s="383"/>
      <c r="CO19" s="383"/>
      <c r="CP19" s="383"/>
      <c r="CQ19" s="383"/>
      <c r="CR19" s="383"/>
      <c r="CS19" s="383"/>
      <c r="CT19" s="383"/>
      <c r="CU19" s="383"/>
      <c r="CV19" s="383"/>
      <c r="CW19" s="383"/>
      <c r="CX19" s="383"/>
      <c r="CY19" s="383"/>
      <c r="CZ19" s="383"/>
      <c r="DA19" s="383"/>
      <c r="DB19" s="383"/>
      <c r="DC19" s="383"/>
      <c r="DD19" s="383"/>
      <c r="DE19" s="383"/>
      <c r="DF19" s="383"/>
      <c r="DG19" s="383"/>
      <c r="DH19" s="383"/>
      <c r="DI19" s="383"/>
      <c r="DJ19" s="383"/>
      <c r="DK19" s="383"/>
      <c r="DL19" s="383"/>
      <c r="DM19" s="383"/>
      <c r="DN19" s="383"/>
      <c r="DO19" s="383"/>
      <c r="DP19" s="383"/>
      <c r="DQ19" s="383"/>
      <c r="DR19" s="383"/>
      <c r="DS19" s="383"/>
      <c r="DT19" s="383"/>
      <c r="DU19" s="383"/>
      <c r="DV19" s="383"/>
      <c r="DW19" s="383"/>
      <c r="DX19" s="383"/>
      <c r="DY19" s="383"/>
      <c r="DZ19" s="383"/>
      <c r="EA19" s="383"/>
      <c r="EB19" s="383"/>
      <c r="EC19" s="383"/>
      <c r="ED19" s="383"/>
      <c r="EE19" s="383"/>
      <c r="EF19" s="383"/>
      <c r="EG19" s="383"/>
      <c r="EH19" s="383"/>
      <c r="EI19" s="383"/>
      <c r="EJ19" s="383"/>
      <c r="EK19" s="383"/>
      <c r="EL19" s="383"/>
      <c r="EM19" s="383"/>
      <c r="EN19" s="383"/>
      <c r="EO19" s="383"/>
      <c r="EP19" s="383"/>
      <c r="EQ19" s="383"/>
      <c r="ER19" s="383"/>
      <c r="ES19" s="383"/>
      <c r="ET19" s="383"/>
      <c r="EU19" s="383"/>
      <c r="EV19" s="383"/>
      <c r="EW19" s="383"/>
      <c r="EX19" s="383"/>
      <c r="EY19" s="383"/>
      <c r="EZ19" s="383"/>
      <c r="FA19" s="383"/>
      <c r="FB19" s="383"/>
      <c r="FC19" s="383"/>
      <c r="FD19" s="383"/>
      <c r="FE19" s="383"/>
      <c r="FF19" s="383"/>
      <c r="FG19" s="383"/>
      <c r="FH19" s="383"/>
      <c r="FI19" s="383"/>
      <c r="FJ19" s="383"/>
      <c r="FK19" s="383"/>
      <c r="FL19" s="383"/>
      <c r="FM19" s="383"/>
      <c r="FN19" s="383"/>
      <c r="FO19" s="383"/>
      <c r="FP19" s="383"/>
      <c r="FQ19" s="383"/>
      <c r="FR19" s="383"/>
      <c r="FS19" s="383"/>
      <c r="FT19" s="383"/>
      <c r="FU19" s="383"/>
      <c r="FV19" s="383"/>
      <c r="FW19" s="383"/>
      <c r="FX19" s="383"/>
      <c r="FY19" s="383"/>
      <c r="FZ19" s="383"/>
      <c r="GA19" s="383"/>
      <c r="GB19" s="383"/>
      <c r="GC19" s="383"/>
      <c r="GD19" s="383"/>
      <c r="GE19" s="383"/>
      <c r="GF19" s="383"/>
      <c r="GG19" s="383"/>
      <c r="GH19" s="383"/>
      <c r="GI19" s="383"/>
      <c r="GJ19" s="383"/>
      <c r="GK19" s="383"/>
      <c r="GL19" s="383"/>
      <c r="GM19" s="383"/>
      <c r="GN19" s="383"/>
      <c r="GO19" s="383"/>
      <c r="GP19" s="383"/>
      <c r="GQ19" s="383"/>
      <c r="GR19" s="383"/>
      <c r="GS19" s="383"/>
      <c r="GT19" s="383"/>
      <c r="GU19" s="383"/>
      <c r="GV19" s="383"/>
      <c r="GW19" s="383"/>
      <c r="GX19" s="383"/>
      <c r="GY19" s="383"/>
      <c r="GZ19" s="383"/>
      <c r="HA19" s="383"/>
      <c r="HB19" s="383"/>
      <c r="HC19" s="383"/>
      <c r="HD19" s="383"/>
      <c r="HE19" s="383"/>
      <c r="HF19" s="383"/>
      <c r="HG19" s="383"/>
      <c r="HH19" s="383"/>
      <c r="HI19" s="383"/>
      <c r="HJ19" s="383"/>
      <c r="HK19" s="383"/>
      <c r="HL19" s="383"/>
      <c r="HM19" s="383"/>
      <c r="HN19" s="383"/>
      <c r="HO19" s="383"/>
      <c r="HP19" s="383"/>
      <c r="HQ19" s="383"/>
      <c r="HR19" s="383"/>
      <c r="HS19" s="383"/>
      <c r="HT19" s="383"/>
      <c r="HU19" s="383"/>
      <c r="HV19" s="383"/>
      <c r="HW19" s="383"/>
      <c r="HX19" s="383"/>
      <c r="HY19" s="383"/>
      <c r="HZ19" s="383"/>
      <c r="IA19" s="383"/>
      <c r="IB19" s="383"/>
      <c r="IC19" s="383"/>
      <c r="ID19" s="383"/>
      <c r="IE19" s="383"/>
      <c r="IF19" s="383"/>
      <c r="IG19" s="383"/>
      <c r="IH19" s="383"/>
      <c r="II19" s="383"/>
      <c r="IJ19" s="383"/>
      <c r="IK19" s="383"/>
      <c r="IL19" s="383"/>
    </row>
    <row r="20" spans="1:246" ht="15" customHeight="1">
      <c r="A20" s="481" t="s">
        <v>246</v>
      </c>
      <c r="B20" s="485" t="s">
        <v>176</v>
      </c>
      <c r="C20" s="483" t="s">
        <v>222</v>
      </c>
      <c r="D20" s="14"/>
      <c r="E20" s="484" t="s">
        <v>377</v>
      </c>
      <c r="F20" s="484">
        <v>37595</v>
      </c>
      <c r="G20" s="479" t="str">
        <f t="shared" si="0"/>
        <v>01/2026</v>
      </c>
      <c r="H20" s="341">
        <f>SUMIF(VI.A!$B$6:$B$5963,B20,VI.A!$L$6:$L$5963)</f>
        <v>2187</v>
      </c>
      <c r="I20" s="341" t="str">
        <f t="shared" si="4"/>
        <v>si</v>
      </c>
      <c r="J20" s="383"/>
      <c r="K20" s="384">
        <f>IF(E20="SABESP","OK",VLOOKUP(F20,[6]ISD!$B$11:$F$4861,5,FALSE))</f>
        <v>2.46</v>
      </c>
      <c r="L20" s="384" t="str">
        <f t="shared" si="1"/>
        <v>VERIFICAR</v>
      </c>
      <c r="M20" s="480">
        <f t="shared" si="2"/>
        <v>2.46</v>
      </c>
      <c r="N20" s="383" t="b">
        <f t="shared" si="3"/>
        <v>0</v>
      </c>
      <c r="O20" s="383"/>
      <c r="P20" s="383"/>
      <c r="Q20" s="383"/>
      <c r="R20" s="383"/>
      <c r="S20" s="383"/>
      <c r="T20" s="383"/>
      <c r="U20" s="383"/>
      <c r="V20" s="383"/>
      <c r="W20" s="383"/>
      <c r="X20" s="383"/>
      <c r="Y20" s="383"/>
      <c r="Z20" s="383"/>
      <c r="AA20" s="383"/>
      <c r="AB20" s="383"/>
      <c r="AC20" s="383"/>
      <c r="AD20" s="383"/>
      <c r="AE20" s="383"/>
      <c r="AF20" s="383"/>
      <c r="AG20" s="383"/>
      <c r="AH20" s="383"/>
      <c r="AI20" s="383"/>
      <c r="AJ20" s="383"/>
      <c r="AK20" s="383"/>
      <c r="AL20" s="383"/>
      <c r="AM20" s="383"/>
      <c r="AN20" s="383"/>
      <c r="AO20" s="383"/>
      <c r="AP20" s="383"/>
      <c r="AQ20" s="383"/>
      <c r="AR20" s="383"/>
      <c r="AS20" s="383"/>
      <c r="AT20" s="383"/>
      <c r="AU20" s="383"/>
      <c r="AV20" s="383"/>
      <c r="AW20" s="383"/>
      <c r="AX20" s="383"/>
      <c r="AY20" s="383"/>
      <c r="AZ20" s="383"/>
      <c r="BA20" s="383"/>
      <c r="BB20" s="383"/>
      <c r="BC20" s="383"/>
      <c r="BD20" s="383"/>
      <c r="BE20" s="383"/>
      <c r="BF20" s="383"/>
      <c r="BG20" s="383"/>
      <c r="BH20" s="383"/>
      <c r="BI20" s="383"/>
      <c r="BJ20" s="383"/>
      <c r="BK20" s="383"/>
      <c r="BL20" s="383"/>
      <c r="BM20" s="383"/>
      <c r="BN20" s="383"/>
      <c r="BO20" s="383"/>
      <c r="BP20" s="383"/>
      <c r="BQ20" s="383"/>
      <c r="BR20" s="383"/>
      <c r="BS20" s="383"/>
      <c r="BT20" s="383"/>
      <c r="BU20" s="383"/>
      <c r="BV20" s="383"/>
      <c r="BW20" s="383"/>
      <c r="BX20" s="383"/>
      <c r="BY20" s="383"/>
      <c r="BZ20" s="383"/>
      <c r="CA20" s="383"/>
      <c r="CB20" s="383"/>
      <c r="CC20" s="383"/>
      <c r="CD20" s="383"/>
      <c r="CE20" s="383"/>
      <c r="CF20" s="383"/>
      <c r="CG20" s="383"/>
      <c r="CH20" s="383"/>
      <c r="CI20" s="383"/>
      <c r="CJ20" s="383"/>
      <c r="CK20" s="383"/>
      <c r="CL20" s="383"/>
      <c r="CM20" s="383"/>
      <c r="CN20" s="383"/>
      <c r="CO20" s="383"/>
      <c r="CP20" s="383"/>
      <c r="CQ20" s="383"/>
      <c r="CR20" s="383"/>
      <c r="CS20" s="383"/>
      <c r="CT20" s="383"/>
      <c r="CU20" s="383"/>
      <c r="CV20" s="383"/>
      <c r="CW20" s="383"/>
      <c r="CX20" s="383"/>
      <c r="CY20" s="383"/>
      <c r="CZ20" s="383"/>
      <c r="DA20" s="383"/>
      <c r="DB20" s="383"/>
      <c r="DC20" s="383"/>
      <c r="DD20" s="383"/>
      <c r="DE20" s="383"/>
      <c r="DF20" s="383"/>
      <c r="DG20" s="383"/>
      <c r="DH20" s="383"/>
      <c r="DI20" s="383"/>
      <c r="DJ20" s="383"/>
      <c r="DK20" s="383"/>
      <c r="DL20" s="383"/>
      <c r="DM20" s="383"/>
      <c r="DN20" s="383"/>
      <c r="DO20" s="383"/>
      <c r="DP20" s="383"/>
      <c r="DQ20" s="383"/>
      <c r="DR20" s="383"/>
      <c r="DS20" s="383"/>
      <c r="DT20" s="383"/>
      <c r="DU20" s="383"/>
      <c r="DV20" s="383"/>
      <c r="DW20" s="383"/>
      <c r="DX20" s="383"/>
      <c r="DY20" s="383"/>
      <c r="DZ20" s="383"/>
      <c r="EA20" s="383"/>
      <c r="EB20" s="383"/>
      <c r="EC20" s="383"/>
      <c r="ED20" s="383"/>
      <c r="EE20" s="383"/>
      <c r="EF20" s="383"/>
      <c r="EG20" s="383"/>
      <c r="EH20" s="383"/>
      <c r="EI20" s="383"/>
      <c r="EJ20" s="383"/>
      <c r="EK20" s="383"/>
      <c r="EL20" s="383"/>
      <c r="EM20" s="383"/>
      <c r="EN20" s="383"/>
      <c r="EO20" s="383"/>
      <c r="EP20" s="383"/>
      <c r="EQ20" s="383"/>
      <c r="ER20" s="383"/>
      <c r="ES20" s="383"/>
      <c r="ET20" s="383"/>
      <c r="EU20" s="383"/>
      <c r="EV20" s="383"/>
      <c r="EW20" s="383"/>
      <c r="EX20" s="383"/>
      <c r="EY20" s="383"/>
      <c r="EZ20" s="383"/>
      <c r="FA20" s="383"/>
      <c r="FB20" s="383"/>
      <c r="FC20" s="383"/>
      <c r="FD20" s="383"/>
      <c r="FE20" s="383"/>
      <c r="FF20" s="383"/>
      <c r="FG20" s="383"/>
      <c r="FH20" s="383"/>
      <c r="FI20" s="383"/>
      <c r="FJ20" s="383"/>
      <c r="FK20" s="383"/>
      <c r="FL20" s="383"/>
      <c r="FM20" s="383"/>
      <c r="FN20" s="383"/>
      <c r="FO20" s="383"/>
      <c r="FP20" s="383"/>
      <c r="FQ20" s="383"/>
      <c r="FR20" s="383"/>
      <c r="FS20" s="383"/>
      <c r="FT20" s="383"/>
      <c r="FU20" s="383"/>
      <c r="FV20" s="383"/>
      <c r="FW20" s="383"/>
      <c r="FX20" s="383"/>
      <c r="FY20" s="383"/>
      <c r="FZ20" s="383"/>
      <c r="GA20" s="383"/>
      <c r="GB20" s="383"/>
      <c r="GC20" s="383"/>
      <c r="GD20" s="383"/>
      <c r="GE20" s="383"/>
      <c r="GF20" s="383"/>
      <c r="GG20" s="383"/>
      <c r="GH20" s="383"/>
      <c r="GI20" s="383"/>
      <c r="GJ20" s="383"/>
      <c r="GK20" s="383"/>
      <c r="GL20" s="383"/>
      <c r="GM20" s="383"/>
      <c r="GN20" s="383"/>
      <c r="GO20" s="383"/>
      <c r="GP20" s="383"/>
      <c r="GQ20" s="383"/>
      <c r="GR20" s="383"/>
      <c r="GS20" s="383"/>
      <c r="GT20" s="383"/>
      <c r="GU20" s="383"/>
      <c r="GV20" s="383"/>
      <c r="GW20" s="383"/>
      <c r="GX20" s="383"/>
      <c r="GY20" s="383"/>
      <c r="GZ20" s="383"/>
      <c r="HA20" s="383"/>
      <c r="HB20" s="383"/>
      <c r="HC20" s="383"/>
      <c r="HD20" s="383"/>
      <c r="HE20" s="383"/>
      <c r="HF20" s="383"/>
      <c r="HG20" s="383"/>
      <c r="HH20" s="383"/>
      <c r="HI20" s="383"/>
      <c r="HJ20" s="383"/>
      <c r="HK20" s="383"/>
      <c r="HL20" s="383"/>
      <c r="HM20" s="383"/>
      <c r="HN20" s="383"/>
      <c r="HO20" s="383"/>
      <c r="HP20" s="383"/>
      <c r="HQ20" s="383"/>
      <c r="HR20" s="383"/>
      <c r="HS20" s="383"/>
      <c r="HT20" s="383"/>
      <c r="HU20" s="383"/>
      <c r="HV20" s="383"/>
      <c r="HW20" s="383"/>
      <c r="HX20" s="383"/>
      <c r="HY20" s="383"/>
      <c r="HZ20" s="383"/>
      <c r="IA20" s="383"/>
      <c r="IB20" s="383"/>
      <c r="IC20" s="383"/>
      <c r="ID20" s="383"/>
      <c r="IE20" s="383"/>
      <c r="IF20" s="383"/>
      <c r="IG20" s="383"/>
      <c r="IH20" s="383"/>
      <c r="II20" s="383"/>
      <c r="IJ20" s="383"/>
      <c r="IK20" s="383"/>
      <c r="IL20" s="383"/>
    </row>
    <row r="21" spans="1:246" ht="15" customHeight="1">
      <c r="A21" s="481" t="s">
        <v>449</v>
      </c>
      <c r="B21" s="485" t="s">
        <v>787</v>
      </c>
      <c r="C21" s="483" t="s">
        <v>165</v>
      </c>
      <c r="D21" s="14"/>
      <c r="E21" s="484" t="s">
        <v>379</v>
      </c>
      <c r="F21" s="484">
        <v>536</v>
      </c>
      <c r="G21" s="479" t="str">
        <f t="shared" si="0"/>
        <v>01/2026</v>
      </c>
      <c r="H21" s="341">
        <f>SUMIF(VI.A!$B$6:$B$5963,B21,VI.A!$L$6:$L$5963)</f>
        <v>212</v>
      </c>
      <c r="I21" s="341" t="str">
        <f t="shared" si="4"/>
        <v>si</v>
      </c>
      <c r="J21" s="383"/>
      <c r="K21" s="384">
        <f>IF(E21="SABESP","OK",VLOOKUP(F21,[6]ISD!$B$11:$F$4861,5,FALSE))</f>
        <v>26.2</v>
      </c>
      <c r="L21" s="384" t="str">
        <f t="shared" si="1"/>
        <v>VERIFICAR</v>
      </c>
      <c r="M21" s="480">
        <f t="shared" si="2"/>
        <v>26.2</v>
      </c>
      <c r="N21" s="383" t="b">
        <f t="shared" si="3"/>
        <v>0</v>
      </c>
      <c r="O21" s="383"/>
      <c r="P21" s="383"/>
      <c r="Q21" s="383"/>
      <c r="R21" s="383"/>
      <c r="S21" s="383"/>
      <c r="T21" s="383"/>
      <c r="U21" s="383"/>
      <c r="V21" s="383"/>
      <c r="W21" s="383"/>
      <c r="X21" s="383"/>
      <c r="Y21" s="383"/>
      <c r="Z21" s="383"/>
      <c r="AA21" s="383"/>
      <c r="AB21" s="383"/>
      <c r="AC21" s="383"/>
      <c r="AD21" s="383"/>
      <c r="AE21" s="383"/>
      <c r="AF21" s="383"/>
      <c r="AG21" s="383"/>
      <c r="AH21" s="383"/>
      <c r="AI21" s="383"/>
      <c r="AJ21" s="383"/>
      <c r="AK21" s="383"/>
      <c r="AL21" s="383"/>
      <c r="AM21" s="383"/>
      <c r="AN21" s="383"/>
      <c r="AO21" s="383"/>
      <c r="AP21" s="383"/>
      <c r="AQ21" s="383"/>
      <c r="AR21" s="383"/>
      <c r="AS21" s="383"/>
      <c r="AT21" s="383"/>
      <c r="AU21" s="383"/>
      <c r="AV21" s="383"/>
      <c r="AW21" s="383"/>
      <c r="AX21" s="383"/>
      <c r="AY21" s="383"/>
      <c r="AZ21" s="383"/>
      <c r="BA21" s="383"/>
      <c r="BB21" s="383"/>
      <c r="BC21" s="383"/>
      <c r="BD21" s="383"/>
      <c r="BE21" s="383"/>
      <c r="BF21" s="383"/>
      <c r="BG21" s="383"/>
      <c r="BH21" s="383"/>
      <c r="BI21" s="383"/>
      <c r="BJ21" s="383"/>
      <c r="BK21" s="383"/>
      <c r="BL21" s="383"/>
      <c r="BM21" s="383"/>
      <c r="BN21" s="383"/>
      <c r="BO21" s="383"/>
      <c r="BP21" s="383"/>
      <c r="BQ21" s="383"/>
      <c r="BR21" s="383"/>
      <c r="BS21" s="383"/>
      <c r="BT21" s="383"/>
      <c r="BU21" s="383"/>
      <c r="BV21" s="383"/>
      <c r="BW21" s="383"/>
      <c r="BX21" s="383"/>
      <c r="BY21" s="383"/>
      <c r="BZ21" s="383"/>
      <c r="CA21" s="383"/>
      <c r="CB21" s="383"/>
      <c r="CC21" s="383"/>
      <c r="CD21" s="383"/>
      <c r="CE21" s="383"/>
      <c r="CF21" s="383"/>
      <c r="CG21" s="383"/>
      <c r="CH21" s="383"/>
      <c r="CI21" s="383"/>
      <c r="CJ21" s="383"/>
      <c r="CK21" s="383"/>
      <c r="CL21" s="383"/>
      <c r="CM21" s="383"/>
      <c r="CN21" s="383"/>
      <c r="CO21" s="383"/>
      <c r="CP21" s="383"/>
      <c r="CQ21" s="383"/>
      <c r="CR21" s="383"/>
      <c r="CS21" s="383"/>
      <c r="CT21" s="383"/>
      <c r="CU21" s="383"/>
      <c r="CV21" s="383"/>
      <c r="CW21" s="383"/>
      <c r="CX21" s="383"/>
      <c r="CY21" s="383"/>
      <c r="CZ21" s="383"/>
      <c r="DA21" s="383"/>
      <c r="DB21" s="383"/>
      <c r="DC21" s="383"/>
      <c r="DD21" s="383"/>
      <c r="DE21" s="383"/>
      <c r="DF21" s="383"/>
      <c r="DG21" s="383"/>
      <c r="DH21" s="383"/>
      <c r="DI21" s="383"/>
      <c r="DJ21" s="383"/>
      <c r="DK21" s="383"/>
      <c r="DL21" s="383"/>
      <c r="DM21" s="383"/>
      <c r="DN21" s="383"/>
      <c r="DO21" s="383"/>
      <c r="DP21" s="383"/>
      <c r="DQ21" s="383"/>
      <c r="DR21" s="383"/>
      <c r="DS21" s="383"/>
      <c r="DT21" s="383"/>
      <c r="DU21" s="383"/>
      <c r="DV21" s="383"/>
      <c r="DW21" s="383"/>
      <c r="DX21" s="383"/>
      <c r="DY21" s="383"/>
      <c r="DZ21" s="383"/>
      <c r="EA21" s="383"/>
      <c r="EB21" s="383"/>
      <c r="EC21" s="383"/>
      <c r="ED21" s="383"/>
      <c r="EE21" s="383"/>
      <c r="EF21" s="383"/>
      <c r="EG21" s="383"/>
      <c r="EH21" s="383"/>
      <c r="EI21" s="383"/>
      <c r="EJ21" s="383"/>
      <c r="EK21" s="383"/>
      <c r="EL21" s="383"/>
      <c r="EM21" s="383"/>
      <c r="EN21" s="383"/>
      <c r="EO21" s="383"/>
      <c r="EP21" s="383"/>
      <c r="EQ21" s="383"/>
      <c r="ER21" s="383"/>
      <c r="ES21" s="383"/>
      <c r="ET21" s="383"/>
      <c r="EU21" s="383"/>
      <c r="EV21" s="383"/>
      <c r="EW21" s="383"/>
      <c r="EX21" s="383"/>
      <c r="EY21" s="383"/>
      <c r="EZ21" s="383"/>
      <c r="FA21" s="383"/>
      <c r="FB21" s="383"/>
      <c r="FC21" s="383"/>
      <c r="FD21" s="383"/>
      <c r="FE21" s="383"/>
      <c r="FF21" s="383"/>
      <c r="FG21" s="383"/>
      <c r="FH21" s="383"/>
      <c r="FI21" s="383"/>
      <c r="FJ21" s="383"/>
      <c r="FK21" s="383"/>
      <c r="FL21" s="383"/>
      <c r="FM21" s="383"/>
      <c r="FN21" s="383"/>
      <c r="FO21" s="383"/>
      <c r="FP21" s="383"/>
      <c r="FQ21" s="383"/>
      <c r="FR21" s="383"/>
      <c r="FS21" s="383"/>
      <c r="FT21" s="383"/>
      <c r="FU21" s="383"/>
      <c r="FV21" s="383"/>
      <c r="FW21" s="383"/>
      <c r="FX21" s="383"/>
      <c r="FY21" s="383"/>
      <c r="FZ21" s="383"/>
      <c r="GA21" s="383"/>
      <c r="GB21" s="383"/>
      <c r="GC21" s="383"/>
      <c r="GD21" s="383"/>
      <c r="GE21" s="383"/>
      <c r="GF21" s="383"/>
      <c r="GG21" s="383"/>
      <c r="GH21" s="383"/>
      <c r="GI21" s="383"/>
      <c r="GJ21" s="383"/>
      <c r="GK21" s="383"/>
      <c r="GL21" s="383"/>
      <c r="GM21" s="383"/>
      <c r="GN21" s="383"/>
      <c r="GO21" s="383"/>
      <c r="GP21" s="383"/>
      <c r="GQ21" s="383"/>
      <c r="GR21" s="383"/>
      <c r="GS21" s="383"/>
      <c r="GT21" s="383"/>
      <c r="GU21" s="383"/>
      <c r="GV21" s="383"/>
      <c r="GW21" s="383"/>
      <c r="GX21" s="383"/>
      <c r="GY21" s="383"/>
      <c r="GZ21" s="383"/>
      <c r="HA21" s="383"/>
      <c r="HB21" s="383"/>
      <c r="HC21" s="383"/>
      <c r="HD21" s="383"/>
      <c r="HE21" s="383"/>
      <c r="HF21" s="383"/>
      <c r="HG21" s="383"/>
      <c r="HH21" s="383"/>
      <c r="HI21" s="383"/>
      <c r="HJ21" s="383"/>
      <c r="HK21" s="383"/>
      <c r="HL21" s="383"/>
      <c r="HM21" s="383"/>
      <c r="HN21" s="383"/>
      <c r="HO21" s="383"/>
      <c r="HP21" s="383"/>
      <c r="HQ21" s="383"/>
      <c r="HR21" s="383"/>
      <c r="HS21" s="383"/>
      <c r="HT21" s="383"/>
      <c r="HU21" s="383"/>
      <c r="HV21" s="383"/>
      <c r="HW21" s="383"/>
      <c r="HX21" s="383"/>
      <c r="HY21" s="383"/>
      <c r="HZ21" s="383"/>
      <c r="IA21" s="383"/>
      <c r="IB21" s="383"/>
      <c r="IC21" s="383"/>
      <c r="ID21" s="383"/>
      <c r="IE21" s="383"/>
      <c r="IF21" s="383"/>
      <c r="IG21" s="383"/>
      <c r="IH21" s="383"/>
      <c r="II21" s="383"/>
      <c r="IJ21" s="383"/>
      <c r="IK21" s="383"/>
      <c r="IL21" s="383"/>
    </row>
    <row r="22" spans="1:246" ht="15" customHeight="1">
      <c r="A22" s="481" t="s">
        <v>450</v>
      </c>
      <c r="B22" s="485" t="s">
        <v>929</v>
      </c>
      <c r="C22" s="483" t="s">
        <v>413</v>
      </c>
      <c r="D22" s="14"/>
      <c r="E22" s="484" t="s">
        <v>930</v>
      </c>
      <c r="F22" s="484">
        <v>88185</v>
      </c>
      <c r="G22" s="486" t="s">
        <v>931</v>
      </c>
      <c r="H22" s="341">
        <f>SUMIF(VI.A!$B$6:$B$5963,B22,VI.A!$L$6:$L$5963)</f>
        <v>200</v>
      </c>
      <c r="I22" s="341" t="str">
        <f t="shared" si="4"/>
        <v>si</v>
      </c>
      <c r="J22" s="383"/>
      <c r="K22" s="384">
        <v>537.14</v>
      </c>
      <c r="L22" s="384" t="str">
        <f t="shared" si="1"/>
        <v>VERIFICAR</v>
      </c>
      <c r="M22" s="480">
        <f t="shared" si="2"/>
        <v>537.14</v>
      </c>
      <c r="N22" s="383" t="b">
        <f t="shared" si="3"/>
        <v>0</v>
      </c>
      <c r="O22" s="383"/>
      <c r="P22" s="383"/>
      <c r="Q22" s="383"/>
      <c r="R22" s="383"/>
      <c r="S22" s="383"/>
      <c r="T22" s="383"/>
      <c r="U22" s="383"/>
      <c r="V22" s="383"/>
      <c r="W22" s="383"/>
      <c r="X22" s="383"/>
      <c r="Y22" s="383"/>
      <c r="Z22" s="383"/>
      <c r="AA22" s="383"/>
      <c r="AB22" s="383"/>
      <c r="AC22" s="383"/>
      <c r="AD22" s="383"/>
      <c r="AE22" s="383"/>
      <c r="AF22" s="383"/>
      <c r="AG22" s="383"/>
      <c r="AH22" s="383"/>
      <c r="AI22" s="383"/>
      <c r="AJ22" s="383"/>
      <c r="AK22" s="383"/>
      <c r="AL22" s="383"/>
      <c r="AM22" s="383"/>
      <c r="AN22" s="383"/>
      <c r="AO22" s="383"/>
      <c r="AP22" s="383"/>
      <c r="AQ22" s="383"/>
      <c r="AR22" s="383"/>
      <c r="AS22" s="383"/>
      <c r="AT22" s="383"/>
      <c r="AU22" s="383"/>
      <c r="AV22" s="383"/>
      <c r="AW22" s="383"/>
      <c r="AX22" s="383"/>
      <c r="AY22" s="383"/>
      <c r="AZ22" s="383"/>
      <c r="BA22" s="383"/>
      <c r="BB22" s="383"/>
      <c r="BC22" s="383"/>
      <c r="BD22" s="383"/>
      <c r="BE22" s="383"/>
      <c r="BF22" s="383"/>
      <c r="BG22" s="383"/>
      <c r="BH22" s="383"/>
      <c r="BI22" s="383"/>
      <c r="BJ22" s="383"/>
      <c r="BK22" s="383"/>
      <c r="BL22" s="383"/>
      <c r="BM22" s="383"/>
      <c r="BN22" s="383"/>
      <c r="BO22" s="383"/>
      <c r="BP22" s="383"/>
      <c r="BQ22" s="383"/>
      <c r="BR22" s="383"/>
      <c r="BS22" s="383"/>
      <c r="BT22" s="383"/>
      <c r="BU22" s="383"/>
      <c r="BV22" s="383"/>
      <c r="BW22" s="383"/>
      <c r="BX22" s="383"/>
      <c r="BY22" s="383"/>
      <c r="BZ22" s="383"/>
      <c r="CA22" s="383"/>
      <c r="CB22" s="383"/>
      <c r="CC22" s="383"/>
      <c r="CD22" s="383"/>
      <c r="CE22" s="383"/>
      <c r="CF22" s="383"/>
      <c r="CG22" s="383"/>
      <c r="CH22" s="383"/>
      <c r="CI22" s="383"/>
      <c r="CJ22" s="383"/>
      <c r="CK22" s="383"/>
      <c r="CL22" s="383"/>
      <c r="CM22" s="383"/>
      <c r="CN22" s="383"/>
      <c r="CO22" s="383"/>
      <c r="CP22" s="383"/>
      <c r="CQ22" s="383"/>
      <c r="CR22" s="383"/>
      <c r="CS22" s="383"/>
      <c r="CT22" s="383"/>
      <c r="CU22" s="383"/>
      <c r="CV22" s="383"/>
      <c r="CW22" s="383"/>
      <c r="CX22" s="383"/>
      <c r="CY22" s="383"/>
      <c r="CZ22" s="383"/>
      <c r="DA22" s="383"/>
      <c r="DB22" s="383"/>
      <c r="DC22" s="383"/>
      <c r="DD22" s="383"/>
      <c r="DE22" s="383"/>
      <c r="DF22" s="383"/>
      <c r="DG22" s="383"/>
      <c r="DH22" s="383"/>
      <c r="DI22" s="383"/>
      <c r="DJ22" s="383"/>
      <c r="DK22" s="383"/>
      <c r="DL22" s="383"/>
      <c r="DM22" s="383"/>
      <c r="DN22" s="383"/>
      <c r="DO22" s="383"/>
      <c r="DP22" s="383"/>
      <c r="DQ22" s="383"/>
      <c r="DR22" s="383"/>
      <c r="DS22" s="383"/>
      <c r="DT22" s="383"/>
      <c r="DU22" s="383"/>
      <c r="DV22" s="383"/>
      <c r="DW22" s="383"/>
      <c r="DX22" s="383"/>
      <c r="DY22" s="383"/>
      <c r="DZ22" s="383"/>
      <c r="EA22" s="383"/>
      <c r="EB22" s="383"/>
      <c r="EC22" s="383"/>
      <c r="ED22" s="383"/>
      <c r="EE22" s="383"/>
      <c r="EF22" s="383"/>
      <c r="EG22" s="383"/>
      <c r="EH22" s="383"/>
      <c r="EI22" s="383"/>
      <c r="EJ22" s="383"/>
      <c r="EK22" s="383"/>
      <c r="EL22" s="383"/>
      <c r="EM22" s="383"/>
      <c r="EN22" s="383"/>
      <c r="EO22" s="383"/>
      <c r="EP22" s="383"/>
      <c r="EQ22" s="383"/>
      <c r="ER22" s="383"/>
      <c r="ES22" s="383"/>
      <c r="ET22" s="383"/>
      <c r="EU22" s="383"/>
      <c r="EV22" s="383"/>
      <c r="EW22" s="383"/>
      <c r="EX22" s="383"/>
      <c r="EY22" s="383"/>
      <c r="EZ22" s="383"/>
      <c r="FA22" s="383"/>
      <c r="FB22" s="383"/>
      <c r="FC22" s="383"/>
      <c r="FD22" s="383"/>
      <c r="FE22" s="383"/>
      <c r="FF22" s="383"/>
      <c r="FG22" s="383"/>
      <c r="FH22" s="383"/>
      <c r="FI22" s="383"/>
      <c r="FJ22" s="383"/>
      <c r="FK22" s="383"/>
      <c r="FL22" s="383"/>
      <c r="FM22" s="383"/>
      <c r="FN22" s="383"/>
      <c r="FO22" s="383"/>
      <c r="FP22" s="383"/>
      <c r="FQ22" s="383"/>
      <c r="FR22" s="383"/>
      <c r="FS22" s="383"/>
      <c r="FT22" s="383"/>
      <c r="FU22" s="383"/>
      <c r="FV22" s="383"/>
      <c r="FW22" s="383"/>
      <c r="FX22" s="383"/>
      <c r="FY22" s="383"/>
      <c r="FZ22" s="383"/>
      <c r="GA22" s="383"/>
      <c r="GB22" s="383"/>
      <c r="GC22" s="383"/>
      <c r="GD22" s="383"/>
      <c r="GE22" s="383"/>
      <c r="GF22" s="383"/>
      <c r="GG22" s="383"/>
      <c r="GH22" s="383"/>
      <c r="GI22" s="383"/>
      <c r="GJ22" s="383"/>
      <c r="GK22" s="383"/>
      <c r="GL22" s="383"/>
      <c r="GM22" s="383"/>
      <c r="GN22" s="383"/>
      <c r="GO22" s="383"/>
      <c r="GP22" s="383"/>
      <c r="GQ22" s="383"/>
      <c r="GR22" s="383"/>
      <c r="GS22" s="383"/>
      <c r="GT22" s="383"/>
      <c r="GU22" s="383"/>
      <c r="GV22" s="383"/>
      <c r="GW22" s="383"/>
      <c r="GX22" s="383"/>
      <c r="GY22" s="383"/>
      <c r="GZ22" s="383"/>
      <c r="HA22" s="383"/>
      <c r="HB22" s="383"/>
      <c r="HC22" s="383"/>
      <c r="HD22" s="383"/>
      <c r="HE22" s="383"/>
      <c r="HF22" s="383"/>
      <c r="HG22" s="383"/>
      <c r="HH22" s="383"/>
      <c r="HI22" s="383"/>
      <c r="HJ22" s="383"/>
      <c r="HK22" s="383"/>
      <c r="HL22" s="383"/>
      <c r="HM22" s="383"/>
      <c r="HN22" s="383"/>
      <c r="HO22" s="383"/>
      <c r="HP22" s="383"/>
      <c r="HQ22" s="383"/>
      <c r="HR22" s="383"/>
      <c r="HS22" s="383"/>
      <c r="HT22" s="383"/>
      <c r="HU22" s="383"/>
      <c r="HV22" s="383"/>
      <c r="HW22" s="383"/>
      <c r="HX22" s="383"/>
      <c r="HY22" s="383"/>
      <c r="HZ22" s="383"/>
      <c r="IA22" s="383"/>
      <c r="IB22" s="383"/>
      <c r="IC22" s="383"/>
      <c r="ID22" s="383"/>
      <c r="IE22" s="383"/>
      <c r="IF22" s="383"/>
      <c r="IG22" s="383"/>
      <c r="IH22" s="383"/>
      <c r="II22" s="383"/>
      <c r="IJ22" s="383"/>
      <c r="IK22" s="383"/>
      <c r="IL22" s="383"/>
    </row>
    <row r="23" spans="1:246" ht="15" customHeight="1">
      <c r="A23" s="481" t="s">
        <v>247</v>
      </c>
      <c r="B23" s="485" t="s">
        <v>631</v>
      </c>
      <c r="C23" s="483" t="s">
        <v>222</v>
      </c>
      <c r="D23" s="14"/>
      <c r="E23" s="484" t="s">
        <v>379</v>
      </c>
      <c r="F23" s="484">
        <v>546</v>
      </c>
      <c r="G23" s="479" t="str">
        <f t="shared" si="0"/>
        <v>01/2026</v>
      </c>
      <c r="H23" s="341">
        <f>SUMIF(VI.A!$B$6:$B$5963,B23,VI.A!$L$6:$L$5963)</f>
        <v>4580.37</v>
      </c>
      <c r="I23" s="341" t="str">
        <f t="shared" si="4"/>
        <v>si</v>
      </c>
      <c r="J23" s="383"/>
      <c r="K23" s="384">
        <f>IF(E23="SABESP","OK",VLOOKUP(F23,[6]ISD!$B$11:$F$4861,5,FALSE))</f>
        <v>9.24</v>
      </c>
      <c r="L23" s="384" t="str">
        <f t="shared" si="1"/>
        <v>VERIFICAR</v>
      </c>
      <c r="M23" s="480">
        <f t="shared" si="2"/>
        <v>9.24</v>
      </c>
      <c r="N23" s="383" t="b">
        <f t="shared" si="3"/>
        <v>0</v>
      </c>
      <c r="O23" s="383"/>
      <c r="P23" s="383"/>
      <c r="Q23" s="383"/>
      <c r="R23" s="383"/>
      <c r="S23" s="383"/>
      <c r="T23" s="383"/>
      <c r="U23" s="383"/>
      <c r="V23" s="383"/>
      <c r="W23" s="383"/>
      <c r="X23" s="383"/>
      <c r="Y23" s="383"/>
      <c r="Z23" s="383"/>
      <c r="AA23" s="383"/>
      <c r="AB23" s="383"/>
      <c r="AC23" s="383"/>
      <c r="AD23" s="383"/>
      <c r="AE23" s="383"/>
      <c r="AF23" s="383"/>
      <c r="AG23" s="383"/>
      <c r="AH23" s="383"/>
      <c r="AI23" s="383"/>
      <c r="AJ23" s="383"/>
      <c r="AK23" s="383"/>
      <c r="AL23" s="383"/>
      <c r="AM23" s="383"/>
      <c r="AN23" s="383"/>
      <c r="AO23" s="383"/>
      <c r="AP23" s="383"/>
      <c r="AQ23" s="383"/>
      <c r="AR23" s="383"/>
      <c r="AS23" s="383"/>
      <c r="AT23" s="383"/>
      <c r="AU23" s="383"/>
      <c r="AV23" s="383"/>
      <c r="AW23" s="383"/>
      <c r="AX23" s="383"/>
      <c r="AY23" s="383"/>
      <c r="AZ23" s="383"/>
      <c r="BA23" s="383"/>
      <c r="BB23" s="383"/>
      <c r="BC23" s="383"/>
      <c r="BD23" s="383"/>
      <c r="BE23" s="383"/>
      <c r="BF23" s="383"/>
      <c r="BG23" s="383"/>
      <c r="BH23" s="383"/>
      <c r="BI23" s="383"/>
      <c r="BJ23" s="383"/>
      <c r="BK23" s="383"/>
      <c r="BL23" s="383"/>
      <c r="BM23" s="383"/>
      <c r="BN23" s="383"/>
      <c r="BO23" s="383"/>
      <c r="BP23" s="383"/>
      <c r="BQ23" s="383"/>
      <c r="BR23" s="383"/>
      <c r="BS23" s="383"/>
      <c r="BT23" s="383"/>
      <c r="BU23" s="383"/>
      <c r="BV23" s="383"/>
      <c r="BW23" s="383"/>
      <c r="BX23" s="383"/>
      <c r="BY23" s="383"/>
      <c r="BZ23" s="383"/>
      <c r="CA23" s="383"/>
      <c r="CB23" s="383"/>
      <c r="CC23" s="383"/>
      <c r="CD23" s="383"/>
      <c r="CE23" s="383"/>
      <c r="CF23" s="383"/>
      <c r="CG23" s="383"/>
      <c r="CH23" s="383"/>
      <c r="CI23" s="383"/>
      <c r="CJ23" s="383"/>
      <c r="CK23" s="383"/>
      <c r="CL23" s="383"/>
      <c r="CM23" s="383"/>
      <c r="CN23" s="383"/>
      <c r="CO23" s="383"/>
      <c r="CP23" s="383"/>
      <c r="CQ23" s="383"/>
      <c r="CR23" s="383"/>
      <c r="CS23" s="383"/>
      <c r="CT23" s="383"/>
      <c r="CU23" s="383"/>
      <c r="CV23" s="383"/>
      <c r="CW23" s="383"/>
      <c r="CX23" s="383"/>
      <c r="CY23" s="383"/>
      <c r="CZ23" s="383"/>
      <c r="DA23" s="383"/>
      <c r="DB23" s="383"/>
      <c r="DC23" s="383"/>
      <c r="DD23" s="383"/>
      <c r="DE23" s="383"/>
      <c r="DF23" s="383"/>
      <c r="DG23" s="383"/>
      <c r="DH23" s="383"/>
      <c r="DI23" s="383"/>
      <c r="DJ23" s="383"/>
      <c r="DK23" s="383"/>
      <c r="DL23" s="383"/>
      <c r="DM23" s="383"/>
      <c r="DN23" s="383"/>
      <c r="DO23" s="383"/>
      <c r="DP23" s="383"/>
      <c r="DQ23" s="383"/>
      <c r="DR23" s="383"/>
      <c r="DS23" s="383"/>
      <c r="DT23" s="383"/>
      <c r="DU23" s="383"/>
      <c r="DV23" s="383"/>
      <c r="DW23" s="383"/>
      <c r="DX23" s="383"/>
      <c r="DY23" s="383"/>
      <c r="DZ23" s="383"/>
      <c r="EA23" s="383"/>
      <c r="EB23" s="383"/>
      <c r="EC23" s="383"/>
      <c r="ED23" s="383"/>
      <c r="EE23" s="383"/>
      <c r="EF23" s="383"/>
      <c r="EG23" s="383"/>
      <c r="EH23" s="383"/>
      <c r="EI23" s="383"/>
      <c r="EJ23" s="383"/>
      <c r="EK23" s="383"/>
      <c r="EL23" s="383"/>
      <c r="EM23" s="383"/>
      <c r="EN23" s="383"/>
      <c r="EO23" s="383"/>
      <c r="EP23" s="383"/>
      <c r="EQ23" s="383"/>
      <c r="ER23" s="383"/>
      <c r="ES23" s="383"/>
      <c r="ET23" s="383"/>
      <c r="EU23" s="383"/>
      <c r="EV23" s="383"/>
      <c r="EW23" s="383"/>
      <c r="EX23" s="383"/>
      <c r="EY23" s="383"/>
      <c r="EZ23" s="383"/>
      <c r="FA23" s="383"/>
      <c r="FB23" s="383"/>
      <c r="FC23" s="383"/>
      <c r="FD23" s="383"/>
      <c r="FE23" s="383"/>
      <c r="FF23" s="383"/>
      <c r="FG23" s="383"/>
      <c r="FH23" s="383"/>
      <c r="FI23" s="383"/>
      <c r="FJ23" s="383"/>
      <c r="FK23" s="383"/>
      <c r="FL23" s="383"/>
      <c r="FM23" s="383"/>
      <c r="FN23" s="383"/>
      <c r="FO23" s="383"/>
      <c r="FP23" s="383"/>
      <c r="FQ23" s="383"/>
      <c r="FR23" s="383"/>
      <c r="FS23" s="383"/>
      <c r="FT23" s="383"/>
      <c r="FU23" s="383"/>
      <c r="FV23" s="383"/>
      <c r="FW23" s="383"/>
      <c r="FX23" s="383"/>
      <c r="FY23" s="383"/>
      <c r="FZ23" s="383"/>
      <c r="GA23" s="383"/>
      <c r="GB23" s="383"/>
      <c r="GC23" s="383"/>
      <c r="GD23" s="383"/>
      <c r="GE23" s="383"/>
      <c r="GF23" s="383"/>
      <c r="GG23" s="383"/>
      <c r="GH23" s="383"/>
      <c r="GI23" s="383"/>
      <c r="GJ23" s="383"/>
      <c r="GK23" s="383"/>
      <c r="GL23" s="383"/>
      <c r="GM23" s="383"/>
      <c r="GN23" s="383"/>
      <c r="GO23" s="383"/>
      <c r="GP23" s="383"/>
      <c r="GQ23" s="383"/>
      <c r="GR23" s="383"/>
      <c r="GS23" s="383"/>
      <c r="GT23" s="383"/>
      <c r="GU23" s="383"/>
      <c r="GV23" s="383"/>
      <c r="GW23" s="383"/>
      <c r="GX23" s="383"/>
      <c r="GY23" s="383"/>
      <c r="GZ23" s="383"/>
      <c r="HA23" s="383"/>
      <c r="HB23" s="383"/>
      <c r="HC23" s="383"/>
      <c r="HD23" s="383"/>
      <c r="HE23" s="383"/>
      <c r="HF23" s="383"/>
      <c r="HG23" s="383"/>
      <c r="HH23" s="383"/>
      <c r="HI23" s="383"/>
      <c r="HJ23" s="383"/>
      <c r="HK23" s="383"/>
      <c r="HL23" s="383"/>
      <c r="HM23" s="383"/>
      <c r="HN23" s="383"/>
      <c r="HO23" s="383"/>
      <c r="HP23" s="383"/>
      <c r="HQ23" s="383"/>
      <c r="HR23" s="383"/>
      <c r="HS23" s="383"/>
      <c r="HT23" s="383"/>
      <c r="HU23" s="383"/>
      <c r="HV23" s="383"/>
      <c r="HW23" s="383"/>
      <c r="HX23" s="383"/>
      <c r="HY23" s="383"/>
      <c r="HZ23" s="383"/>
      <c r="IA23" s="383"/>
      <c r="IB23" s="383"/>
      <c r="IC23" s="383"/>
      <c r="ID23" s="383"/>
      <c r="IE23" s="383"/>
      <c r="IF23" s="383"/>
      <c r="IG23" s="383"/>
      <c r="IH23" s="383"/>
      <c r="II23" s="383"/>
      <c r="IJ23" s="383"/>
      <c r="IK23" s="383"/>
      <c r="IL23" s="383"/>
    </row>
    <row r="24" spans="1:246" ht="15" customHeight="1">
      <c r="A24" s="481" t="s">
        <v>248</v>
      </c>
      <c r="B24" s="482" t="s">
        <v>382</v>
      </c>
      <c r="C24" s="483" t="s">
        <v>166</v>
      </c>
      <c r="D24" s="14"/>
      <c r="E24" s="484" t="s">
        <v>377</v>
      </c>
      <c r="F24" s="484">
        <v>25071</v>
      </c>
      <c r="G24" s="479" t="str">
        <f t="shared" si="0"/>
        <v>01/2026</v>
      </c>
      <c r="H24" s="341">
        <f>SUMIF(VI.A!$B$6:$B$5963,B24,VI.A!$L$6:$L$5963)</f>
        <v>680</v>
      </c>
      <c r="I24" s="341" t="str">
        <f t="shared" si="4"/>
        <v>si</v>
      </c>
      <c r="J24" s="383"/>
      <c r="K24" s="384">
        <f>IF(E24="SABESP","OK",VLOOKUP(F24,[6]ISD!$B$11:$F$4861,5,FALSE))</f>
        <v>2.98</v>
      </c>
      <c r="L24" s="384" t="str">
        <f t="shared" si="1"/>
        <v>VERIFICAR</v>
      </c>
      <c r="M24" s="480">
        <f t="shared" si="2"/>
        <v>2.98</v>
      </c>
      <c r="N24" s="383" t="b">
        <f t="shared" si="3"/>
        <v>0</v>
      </c>
      <c r="O24" s="383"/>
      <c r="P24" s="383"/>
      <c r="Q24" s="383"/>
      <c r="R24" s="383"/>
      <c r="S24" s="383"/>
      <c r="T24" s="383"/>
      <c r="U24" s="383"/>
      <c r="V24" s="383"/>
      <c r="W24" s="383"/>
      <c r="X24" s="383"/>
      <c r="Y24" s="383"/>
      <c r="Z24" s="383"/>
      <c r="AA24" s="383"/>
      <c r="AB24" s="383"/>
      <c r="AC24" s="383"/>
      <c r="AD24" s="383"/>
      <c r="AE24" s="383"/>
      <c r="AF24" s="383"/>
      <c r="AG24" s="383"/>
      <c r="AH24" s="383"/>
      <c r="AI24" s="383"/>
      <c r="AJ24" s="383"/>
      <c r="AK24" s="383"/>
      <c r="AL24" s="383"/>
      <c r="AM24" s="383"/>
      <c r="AN24" s="383"/>
      <c r="AO24" s="383"/>
      <c r="AP24" s="383"/>
      <c r="AQ24" s="383"/>
      <c r="AR24" s="383"/>
      <c r="AS24" s="383"/>
      <c r="AT24" s="383"/>
      <c r="AU24" s="383"/>
      <c r="AV24" s="383"/>
      <c r="AW24" s="383"/>
      <c r="AX24" s="383"/>
      <c r="AY24" s="383"/>
      <c r="AZ24" s="383"/>
      <c r="BA24" s="383"/>
      <c r="BB24" s="383"/>
      <c r="BC24" s="383"/>
      <c r="BD24" s="383"/>
      <c r="BE24" s="383"/>
      <c r="BF24" s="383"/>
      <c r="BG24" s="383"/>
      <c r="BH24" s="383"/>
      <c r="BI24" s="383"/>
      <c r="BJ24" s="383"/>
      <c r="BK24" s="383"/>
      <c r="BL24" s="383"/>
      <c r="BM24" s="383"/>
      <c r="BN24" s="383"/>
      <c r="BO24" s="383"/>
      <c r="BP24" s="383"/>
      <c r="BQ24" s="383"/>
      <c r="BR24" s="383"/>
      <c r="BS24" s="383"/>
      <c r="BT24" s="383"/>
      <c r="BU24" s="383"/>
      <c r="BV24" s="383"/>
      <c r="BW24" s="383"/>
      <c r="BX24" s="383"/>
      <c r="BY24" s="383"/>
      <c r="BZ24" s="383"/>
      <c r="CA24" s="383"/>
      <c r="CB24" s="383"/>
      <c r="CC24" s="383"/>
      <c r="CD24" s="383"/>
      <c r="CE24" s="383"/>
      <c r="CF24" s="383"/>
      <c r="CG24" s="383"/>
      <c r="CH24" s="383"/>
      <c r="CI24" s="383"/>
      <c r="CJ24" s="383"/>
      <c r="CK24" s="383"/>
      <c r="CL24" s="383"/>
      <c r="CM24" s="383"/>
      <c r="CN24" s="383"/>
      <c r="CO24" s="383"/>
      <c r="CP24" s="383"/>
      <c r="CQ24" s="383"/>
      <c r="CR24" s="383"/>
      <c r="CS24" s="383"/>
      <c r="CT24" s="383"/>
      <c r="CU24" s="383"/>
      <c r="CV24" s="383"/>
      <c r="CW24" s="383"/>
      <c r="CX24" s="383"/>
      <c r="CY24" s="383"/>
      <c r="CZ24" s="383"/>
      <c r="DA24" s="383"/>
      <c r="DB24" s="383"/>
      <c r="DC24" s="383"/>
      <c r="DD24" s="383"/>
      <c r="DE24" s="383"/>
      <c r="DF24" s="383"/>
      <c r="DG24" s="383"/>
      <c r="DH24" s="383"/>
      <c r="DI24" s="383"/>
      <c r="DJ24" s="383"/>
      <c r="DK24" s="383"/>
      <c r="DL24" s="383"/>
      <c r="DM24" s="383"/>
      <c r="DN24" s="383"/>
      <c r="DO24" s="383"/>
      <c r="DP24" s="383"/>
      <c r="DQ24" s="383"/>
      <c r="DR24" s="383"/>
      <c r="DS24" s="383"/>
      <c r="DT24" s="383"/>
      <c r="DU24" s="383"/>
      <c r="DV24" s="383"/>
      <c r="DW24" s="383"/>
      <c r="DX24" s="383"/>
      <c r="DY24" s="383"/>
      <c r="DZ24" s="383"/>
      <c r="EA24" s="383"/>
      <c r="EB24" s="383"/>
      <c r="EC24" s="383"/>
      <c r="ED24" s="383"/>
      <c r="EE24" s="383"/>
      <c r="EF24" s="383"/>
      <c r="EG24" s="383"/>
      <c r="EH24" s="383"/>
      <c r="EI24" s="383"/>
      <c r="EJ24" s="383"/>
      <c r="EK24" s="383"/>
      <c r="EL24" s="383"/>
      <c r="EM24" s="383"/>
      <c r="EN24" s="383"/>
      <c r="EO24" s="383"/>
      <c r="EP24" s="383"/>
      <c r="EQ24" s="383"/>
      <c r="ER24" s="383"/>
      <c r="ES24" s="383"/>
      <c r="ET24" s="383"/>
      <c r="EU24" s="383"/>
      <c r="EV24" s="383"/>
      <c r="EW24" s="383"/>
      <c r="EX24" s="383"/>
      <c r="EY24" s="383"/>
      <c r="EZ24" s="383"/>
      <c r="FA24" s="383"/>
      <c r="FB24" s="383"/>
      <c r="FC24" s="383"/>
      <c r="FD24" s="383"/>
      <c r="FE24" s="383"/>
      <c r="FF24" s="383"/>
      <c r="FG24" s="383"/>
      <c r="FH24" s="383"/>
      <c r="FI24" s="383"/>
      <c r="FJ24" s="383"/>
      <c r="FK24" s="383"/>
      <c r="FL24" s="383"/>
      <c r="FM24" s="383"/>
      <c r="FN24" s="383"/>
      <c r="FO24" s="383"/>
      <c r="FP24" s="383"/>
      <c r="FQ24" s="383"/>
      <c r="FR24" s="383"/>
      <c r="FS24" s="383"/>
      <c r="FT24" s="383"/>
      <c r="FU24" s="383"/>
      <c r="FV24" s="383"/>
      <c r="FW24" s="383"/>
      <c r="FX24" s="383"/>
      <c r="FY24" s="383"/>
      <c r="FZ24" s="383"/>
      <c r="GA24" s="383"/>
      <c r="GB24" s="383"/>
      <c r="GC24" s="383"/>
      <c r="GD24" s="383"/>
      <c r="GE24" s="383"/>
      <c r="GF24" s="383"/>
      <c r="GG24" s="383"/>
      <c r="GH24" s="383"/>
      <c r="GI24" s="383"/>
      <c r="GJ24" s="383"/>
      <c r="GK24" s="383"/>
      <c r="GL24" s="383"/>
      <c r="GM24" s="383"/>
      <c r="GN24" s="383"/>
      <c r="GO24" s="383"/>
      <c r="GP24" s="383"/>
      <c r="GQ24" s="383"/>
      <c r="GR24" s="383"/>
      <c r="GS24" s="383"/>
      <c r="GT24" s="383"/>
      <c r="GU24" s="383"/>
      <c r="GV24" s="383"/>
      <c r="GW24" s="383"/>
      <c r="GX24" s="383"/>
      <c r="GY24" s="383"/>
      <c r="GZ24" s="383"/>
      <c r="HA24" s="383"/>
      <c r="HB24" s="383"/>
      <c r="HC24" s="383"/>
      <c r="HD24" s="383"/>
      <c r="HE24" s="383"/>
      <c r="HF24" s="383"/>
      <c r="HG24" s="383"/>
      <c r="HH24" s="383"/>
      <c r="HI24" s="383"/>
      <c r="HJ24" s="383"/>
      <c r="HK24" s="383"/>
      <c r="HL24" s="383"/>
      <c r="HM24" s="383"/>
      <c r="HN24" s="383"/>
      <c r="HO24" s="383"/>
      <c r="HP24" s="383"/>
      <c r="HQ24" s="383"/>
      <c r="HR24" s="383"/>
      <c r="HS24" s="383"/>
      <c r="HT24" s="383"/>
      <c r="HU24" s="383"/>
      <c r="HV24" s="383"/>
      <c r="HW24" s="383"/>
      <c r="HX24" s="383"/>
      <c r="HY24" s="383"/>
      <c r="HZ24" s="383"/>
      <c r="IA24" s="383"/>
      <c r="IB24" s="383"/>
      <c r="IC24" s="383"/>
      <c r="ID24" s="383"/>
      <c r="IE24" s="383"/>
      <c r="IF24" s="383"/>
      <c r="IG24" s="383"/>
      <c r="IH24" s="383"/>
      <c r="II24" s="383"/>
      <c r="IJ24" s="383"/>
      <c r="IK24" s="383"/>
      <c r="IL24" s="383"/>
    </row>
    <row r="25" spans="1:246" ht="15" customHeight="1">
      <c r="A25" s="481" t="s">
        <v>249</v>
      </c>
      <c r="B25" s="482" t="s">
        <v>217</v>
      </c>
      <c r="C25" s="483" t="s">
        <v>166</v>
      </c>
      <c r="D25" s="14"/>
      <c r="E25" s="484" t="s">
        <v>379</v>
      </c>
      <c r="F25" s="484">
        <v>7568</v>
      </c>
      <c r="G25" s="479" t="str">
        <f t="shared" si="0"/>
        <v>01/2026</v>
      </c>
      <c r="H25" s="341">
        <f>SUMIF(VI.A!$B$6:$B$5963,B25,VI.A!$L$6:$L$5963)</f>
        <v>267.23</v>
      </c>
      <c r="I25" s="341" t="str">
        <f t="shared" si="4"/>
        <v>si</v>
      </c>
      <c r="J25" s="383"/>
      <c r="K25" s="384">
        <f>IF(E25="SABESP","OK",VLOOKUP(F25,[6]ISD!$B$11:$F$4861,5,FALSE))</f>
        <v>0.3</v>
      </c>
      <c r="L25" s="384" t="str">
        <f t="shared" si="1"/>
        <v>VERIFICAR</v>
      </c>
      <c r="M25" s="480">
        <f t="shared" si="2"/>
        <v>0.3</v>
      </c>
      <c r="N25" s="383" t="b">
        <f t="shared" si="3"/>
        <v>0</v>
      </c>
      <c r="O25" s="383"/>
      <c r="P25" s="383"/>
      <c r="Q25" s="383"/>
      <c r="R25" s="383"/>
      <c r="S25" s="383"/>
      <c r="T25" s="383"/>
      <c r="U25" s="383"/>
      <c r="V25" s="383"/>
      <c r="W25" s="383"/>
      <c r="X25" s="383"/>
      <c r="Y25" s="383"/>
      <c r="Z25" s="383"/>
      <c r="AA25" s="383"/>
      <c r="AB25" s="383"/>
      <c r="AC25" s="383"/>
      <c r="AD25" s="383"/>
      <c r="AE25" s="383"/>
      <c r="AF25" s="383"/>
      <c r="AG25" s="383"/>
      <c r="AH25" s="383"/>
      <c r="AI25" s="383"/>
      <c r="AJ25" s="383"/>
      <c r="AK25" s="383"/>
      <c r="AL25" s="383"/>
      <c r="AM25" s="383"/>
      <c r="AN25" s="383"/>
      <c r="AO25" s="383"/>
      <c r="AP25" s="383"/>
      <c r="AQ25" s="383"/>
      <c r="AR25" s="383"/>
      <c r="AS25" s="383"/>
      <c r="AT25" s="383"/>
      <c r="AU25" s="383"/>
      <c r="AV25" s="383"/>
      <c r="AW25" s="383"/>
      <c r="AX25" s="383"/>
      <c r="AY25" s="383"/>
      <c r="AZ25" s="383"/>
      <c r="BA25" s="383"/>
      <c r="BB25" s="383"/>
      <c r="BC25" s="383"/>
      <c r="BD25" s="383"/>
      <c r="BE25" s="383"/>
      <c r="BF25" s="383"/>
      <c r="BG25" s="383"/>
      <c r="BH25" s="383"/>
      <c r="BI25" s="383"/>
      <c r="BJ25" s="383"/>
      <c r="BK25" s="383"/>
      <c r="BL25" s="383"/>
      <c r="BM25" s="383"/>
      <c r="BN25" s="383"/>
      <c r="BO25" s="383"/>
      <c r="BP25" s="383"/>
      <c r="BQ25" s="383"/>
      <c r="BR25" s="383"/>
      <c r="BS25" s="383"/>
      <c r="BT25" s="383"/>
      <c r="BU25" s="383"/>
      <c r="BV25" s="383"/>
      <c r="BW25" s="383"/>
      <c r="BX25" s="383"/>
      <c r="BY25" s="383"/>
      <c r="BZ25" s="383"/>
      <c r="CA25" s="383"/>
      <c r="CB25" s="383"/>
      <c r="CC25" s="383"/>
      <c r="CD25" s="383"/>
      <c r="CE25" s="383"/>
      <c r="CF25" s="383"/>
      <c r="CG25" s="383"/>
      <c r="CH25" s="383"/>
      <c r="CI25" s="383"/>
      <c r="CJ25" s="383"/>
      <c r="CK25" s="383"/>
      <c r="CL25" s="383"/>
      <c r="CM25" s="383"/>
      <c r="CN25" s="383"/>
      <c r="CO25" s="383"/>
      <c r="CP25" s="383"/>
      <c r="CQ25" s="383"/>
      <c r="CR25" s="383"/>
      <c r="CS25" s="383"/>
      <c r="CT25" s="383"/>
      <c r="CU25" s="383"/>
      <c r="CV25" s="383"/>
      <c r="CW25" s="383"/>
      <c r="CX25" s="383"/>
      <c r="CY25" s="383"/>
      <c r="CZ25" s="383"/>
      <c r="DA25" s="383"/>
      <c r="DB25" s="383"/>
      <c r="DC25" s="383"/>
      <c r="DD25" s="383"/>
      <c r="DE25" s="383"/>
      <c r="DF25" s="383"/>
      <c r="DG25" s="383"/>
      <c r="DH25" s="383"/>
      <c r="DI25" s="383"/>
      <c r="DJ25" s="383"/>
      <c r="DK25" s="383"/>
      <c r="DL25" s="383"/>
      <c r="DM25" s="383"/>
      <c r="DN25" s="383"/>
      <c r="DO25" s="383"/>
      <c r="DP25" s="383"/>
      <c r="DQ25" s="383"/>
      <c r="DR25" s="383"/>
      <c r="DS25" s="383"/>
      <c r="DT25" s="383"/>
      <c r="DU25" s="383"/>
      <c r="DV25" s="383"/>
      <c r="DW25" s="383"/>
      <c r="DX25" s="383"/>
      <c r="DY25" s="383"/>
      <c r="DZ25" s="383"/>
      <c r="EA25" s="383"/>
      <c r="EB25" s="383"/>
      <c r="EC25" s="383"/>
      <c r="ED25" s="383"/>
      <c r="EE25" s="383"/>
      <c r="EF25" s="383"/>
      <c r="EG25" s="383"/>
      <c r="EH25" s="383"/>
      <c r="EI25" s="383"/>
      <c r="EJ25" s="383"/>
      <c r="EK25" s="383"/>
      <c r="EL25" s="383"/>
      <c r="EM25" s="383"/>
      <c r="EN25" s="383"/>
      <c r="EO25" s="383"/>
      <c r="EP25" s="383"/>
      <c r="EQ25" s="383"/>
      <c r="ER25" s="383"/>
      <c r="ES25" s="383"/>
      <c r="ET25" s="383"/>
      <c r="EU25" s="383"/>
      <c r="EV25" s="383"/>
      <c r="EW25" s="383"/>
      <c r="EX25" s="383"/>
      <c r="EY25" s="383"/>
      <c r="EZ25" s="383"/>
      <c r="FA25" s="383"/>
      <c r="FB25" s="383"/>
      <c r="FC25" s="383"/>
      <c r="FD25" s="383"/>
      <c r="FE25" s="383"/>
      <c r="FF25" s="383"/>
      <c r="FG25" s="383"/>
      <c r="FH25" s="383"/>
      <c r="FI25" s="383"/>
      <c r="FJ25" s="383"/>
      <c r="FK25" s="383"/>
      <c r="FL25" s="383"/>
      <c r="FM25" s="383"/>
      <c r="FN25" s="383"/>
      <c r="FO25" s="383"/>
      <c r="FP25" s="383"/>
      <c r="FQ25" s="383"/>
      <c r="FR25" s="383"/>
      <c r="FS25" s="383"/>
      <c r="FT25" s="383"/>
      <c r="FU25" s="383"/>
      <c r="FV25" s="383"/>
      <c r="FW25" s="383"/>
      <c r="FX25" s="383"/>
      <c r="FY25" s="383"/>
      <c r="FZ25" s="383"/>
      <c r="GA25" s="383"/>
      <c r="GB25" s="383"/>
      <c r="GC25" s="383"/>
      <c r="GD25" s="383"/>
      <c r="GE25" s="383"/>
      <c r="GF25" s="383"/>
      <c r="GG25" s="383"/>
      <c r="GH25" s="383"/>
      <c r="GI25" s="383"/>
      <c r="GJ25" s="383"/>
      <c r="GK25" s="383"/>
      <c r="GL25" s="383"/>
      <c r="GM25" s="383"/>
      <c r="GN25" s="383"/>
      <c r="GO25" s="383"/>
      <c r="GP25" s="383"/>
      <c r="GQ25" s="383"/>
      <c r="GR25" s="383"/>
      <c r="GS25" s="383"/>
      <c r="GT25" s="383"/>
      <c r="GU25" s="383"/>
      <c r="GV25" s="383"/>
      <c r="GW25" s="383"/>
      <c r="GX25" s="383"/>
      <c r="GY25" s="383"/>
      <c r="GZ25" s="383"/>
      <c r="HA25" s="383"/>
      <c r="HB25" s="383"/>
      <c r="HC25" s="383"/>
      <c r="HD25" s="383"/>
      <c r="HE25" s="383"/>
      <c r="HF25" s="383"/>
      <c r="HG25" s="383"/>
      <c r="HH25" s="383"/>
      <c r="HI25" s="383"/>
      <c r="HJ25" s="383"/>
      <c r="HK25" s="383"/>
      <c r="HL25" s="383"/>
      <c r="HM25" s="383"/>
      <c r="HN25" s="383"/>
      <c r="HO25" s="383"/>
      <c r="HP25" s="383"/>
      <c r="HQ25" s="383"/>
      <c r="HR25" s="383"/>
      <c r="HS25" s="383"/>
      <c r="HT25" s="383"/>
      <c r="HU25" s="383"/>
      <c r="HV25" s="383"/>
      <c r="HW25" s="383"/>
      <c r="HX25" s="383"/>
      <c r="HY25" s="383"/>
      <c r="HZ25" s="383"/>
      <c r="IA25" s="383"/>
      <c r="IB25" s="383"/>
      <c r="IC25" s="383"/>
      <c r="ID25" s="383"/>
      <c r="IE25" s="383"/>
      <c r="IF25" s="383"/>
      <c r="IG25" s="383"/>
      <c r="IH25" s="383"/>
      <c r="II25" s="383"/>
      <c r="IJ25" s="383"/>
      <c r="IK25" s="383"/>
      <c r="IL25" s="383"/>
    </row>
    <row r="26" spans="1:246" ht="25.5">
      <c r="A26" s="481" t="s">
        <v>919</v>
      </c>
      <c r="B26" s="482" t="s">
        <v>923</v>
      </c>
      <c r="C26" s="483" t="s">
        <v>166</v>
      </c>
      <c r="D26" s="14"/>
      <c r="E26" s="484" t="s">
        <v>377</v>
      </c>
      <c r="F26" s="484">
        <v>43603</v>
      </c>
      <c r="G26" s="479" t="str">
        <f t="shared" si="0"/>
        <v>01/2026</v>
      </c>
      <c r="H26" s="341">
        <f>SUMIF(VI.A!$B$6:$B$5963,B26,VI.A!$L$6:$L$5963)</f>
        <v>166</v>
      </c>
      <c r="I26" s="341" t="str">
        <f t="shared" si="4"/>
        <v>si</v>
      </c>
      <c r="J26" s="383"/>
      <c r="K26" s="384">
        <f>IF(E26="SABESP","OK",VLOOKUP(F26,[6]ISD!$B$11:$F$4861,5,FALSE))</f>
        <v>42.53</v>
      </c>
      <c r="L26" s="384" t="str">
        <f t="shared" si="1"/>
        <v>VERIFICAR</v>
      </c>
      <c r="M26" s="480">
        <f t="shared" si="2"/>
        <v>42.53</v>
      </c>
      <c r="N26" s="383" t="b">
        <f t="shared" si="3"/>
        <v>0</v>
      </c>
      <c r="O26" s="383"/>
      <c r="P26" s="383"/>
      <c r="Q26" s="383"/>
      <c r="R26" s="383"/>
      <c r="S26" s="383"/>
      <c r="T26" s="383"/>
      <c r="U26" s="383"/>
      <c r="V26" s="383"/>
      <c r="W26" s="383"/>
      <c r="X26" s="383"/>
      <c r="Y26" s="383"/>
      <c r="Z26" s="383"/>
      <c r="AA26" s="383"/>
      <c r="AB26" s="383"/>
      <c r="AC26" s="383"/>
      <c r="AD26" s="383"/>
      <c r="AE26" s="383"/>
      <c r="AF26" s="383"/>
      <c r="AG26" s="383"/>
      <c r="AH26" s="383"/>
      <c r="AI26" s="383"/>
      <c r="AJ26" s="383"/>
      <c r="AK26" s="383"/>
      <c r="AL26" s="383"/>
      <c r="AM26" s="383"/>
      <c r="AN26" s="383"/>
      <c r="AO26" s="383"/>
      <c r="AP26" s="383"/>
      <c r="AQ26" s="383"/>
      <c r="AR26" s="383"/>
      <c r="AS26" s="383"/>
      <c r="AT26" s="383"/>
      <c r="AU26" s="383"/>
      <c r="AV26" s="383"/>
      <c r="AW26" s="383"/>
      <c r="AX26" s="383"/>
      <c r="AY26" s="383"/>
      <c r="AZ26" s="383"/>
      <c r="BA26" s="383"/>
      <c r="BB26" s="383"/>
      <c r="BC26" s="383"/>
      <c r="BD26" s="383"/>
      <c r="BE26" s="383"/>
      <c r="BF26" s="383"/>
      <c r="BG26" s="383"/>
      <c r="BH26" s="383"/>
      <c r="BI26" s="383"/>
      <c r="BJ26" s="383"/>
      <c r="BK26" s="383"/>
      <c r="BL26" s="383"/>
      <c r="BM26" s="383"/>
      <c r="BN26" s="383"/>
      <c r="BO26" s="383"/>
      <c r="BP26" s="383"/>
      <c r="BQ26" s="383"/>
      <c r="BR26" s="383"/>
      <c r="BS26" s="383"/>
      <c r="BT26" s="383"/>
      <c r="BU26" s="383"/>
      <c r="BV26" s="383"/>
      <c r="BW26" s="383"/>
      <c r="BX26" s="383"/>
      <c r="BY26" s="383"/>
      <c r="BZ26" s="383"/>
      <c r="CA26" s="383"/>
      <c r="CB26" s="383"/>
      <c r="CC26" s="383"/>
      <c r="CD26" s="383"/>
      <c r="CE26" s="383"/>
      <c r="CF26" s="383"/>
      <c r="CG26" s="383"/>
      <c r="CH26" s="383"/>
      <c r="CI26" s="383"/>
      <c r="CJ26" s="383"/>
      <c r="CK26" s="383"/>
      <c r="CL26" s="383"/>
      <c r="CM26" s="383"/>
      <c r="CN26" s="383"/>
      <c r="CO26" s="383"/>
      <c r="CP26" s="383"/>
      <c r="CQ26" s="383"/>
      <c r="CR26" s="383"/>
      <c r="CS26" s="383"/>
      <c r="CT26" s="383"/>
      <c r="CU26" s="383"/>
      <c r="CV26" s="383"/>
      <c r="CW26" s="383"/>
      <c r="CX26" s="383"/>
      <c r="CY26" s="383"/>
      <c r="CZ26" s="383"/>
      <c r="DA26" s="383"/>
      <c r="DB26" s="383"/>
      <c r="DC26" s="383"/>
      <c r="DD26" s="383"/>
      <c r="DE26" s="383"/>
      <c r="DF26" s="383"/>
      <c r="DG26" s="383"/>
      <c r="DH26" s="383"/>
      <c r="DI26" s="383"/>
      <c r="DJ26" s="383"/>
      <c r="DK26" s="383"/>
      <c r="DL26" s="383"/>
      <c r="DM26" s="383"/>
      <c r="DN26" s="383"/>
      <c r="DO26" s="383"/>
      <c r="DP26" s="383"/>
      <c r="DQ26" s="383"/>
      <c r="DR26" s="383"/>
      <c r="DS26" s="383"/>
      <c r="DT26" s="383"/>
      <c r="DU26" s="383"/>
      <c r="DV26" s="383"/>
      <c r="DW26" s="383"/>
      <c r="DX26" s="383"/>
      <c r="DY26" s="383"/>
      <c r="DZ26" s="383"/>
      <c r="EA26" s="383"/>
      <c r="EB26" s="383"/>
      <c r="EC26" s="383"/>
      <c r="ED26" s="383"/>
      <c r="EE26" s="383"/>
      <c r="EF26" s="383"/>
      <c r="EG26" s="383"/>
      <c r="EH26" s="383"/>
      <c r="EI26" s="383"/>
      <c r="EJ26" s="383"/>
      <c r="EK26" s="383"/>
      <c r="EL26" s="383"/>
      <c r="EM26" s="383"/>
      <c r="EN26" s="383"/>
      <c r="EO26" s="383"/>
      <c r="EP26" s="383"/>
      <c r="EQ26" s="383"/>
      <c r="ER26" s="383"/>
      <c r="ES26" s="383"/>
      <c r="ET26" s="383"/>
      <c r="EU26" s="383"/>
      <c r="EV26" s="383"/>
      <c r="EW26" s="383"/>
      <c r="EX26" s="383"/>
      <c r="EY26" s="383"/>
      <c r="EZ26" s="383"/>
      <c r="FA26" s="383"/>
      <c r="FB26" s="383"/>
      <c r="FC26" s="383"/>
      <c r="FD26" s="383"/>
      <c r="FE26" s="383"/>
      <c r="FF26" s="383"/>
      <c r="FG26" s="383"/>
      <c r="FH26" s="383"/>
      <c r="FI26" s="383"/>
      <c r="FJ26" s="383"/>
      <c r="FK26" s="383"/>
      <c r="FL26" s="383"/>
      <c r="FM26" s="383"/>
      <c r="FN26" s="383"/>
      <c r="FO26" s="383"/>
      <c r="FP26" s="383"/>
      <c r="FQ26" s="383"/>
      <c r="FR26" s="383"/>
      <c r="FS26" s="383"/>
      <c r="FT26" s="383"/>
      <c r="FU26" s="383"/>
      <c r="FV26" s="383"/>
      <c r="FW26" s="383"/>
      <c r="FX26" s="383"/>
      <c r="FY26" s="383"/>
      <c r="FZ26" s="383"/>
      <c r="GA26" s="383"/>
      <c r="GB26" s="383"/>
      <c r="GC26" s="383"/>
      <c r="GD26" s="383"/>
      <c r="GE26" s="383"/>
      <c r="GF26" s="383"/>
      <c r="GG26" s="383"/>
      <c r="GH26" s="383"/>
      <c r="GI26" s="383"/>
      <c r="GJ26" s="383"/>
      <c r="GK26" s="383"/>
      <c r="GL26" s="383"/>
      <c r="GM26" s="383"/>
      <c r="GN26" s="383"/>
      <c r="GO26" s="383"/>
      <c r="GP26" s="383"/>
      <c r="GQ26" s="383"/>
      <c r="GR26" s="383"/>
      <c r="GS26" s="383"/>
      <c r="GT26" s="383"/>
      <c r="GU26" s="383"/>
      <c r="GV26" s="383"/>
      <c r="GW26" s="383"/>
      <c r="GX26" s="383"/>
      <c r="GY26" s="383"/>
      <c r="GZ26" s="383"/>
      <c r="HA26" s="383"/>
      <c r="HB26" s="383"/>
      <c r="HC26" s="383"/>
      <c r="HD26" s="383"/>
      <c r="HE26" s="383"/>
      <c r="HF26" s="383"/>
      <c r="HG26" s="383"/>
      <c r="HH26" s="383"/>
      <c r="HI26" s="383"/>
      <c r="HJ26" s="383"/>
      <c r="HK26" s="383"/>
      <c r="HL26" s="383"/>
      <c r="HM26" s="383"/>
      <c r="HN26" s="383"/>
      <c r="HO26" s="383"/>
      <c r="HP26" s="383"/>
      <c r="HQ26" s="383"/>
      <c r="HR26" s="383"/>
      <c r="HS26" s="383"/>
      <c r="HT26" s="383"/>
      <c r="HU26" s="383"/>
      <c r="HV26" s="383"/>
      <c r="HW26" s="383"/>
      <c r="HX26" s="383"/>
      <c r="HY26" s="383"/>
      <c r="HZ26" s="383"/>
      <c r="IA26" s="383"/>
      <c r="IB26" s="383"/>
      <c r="IC26" s="383"/>
      <c r="ID26" s="383"/>
      <c r="IE26" s="383"/>
      <c r="IF26" s="383"/>
      <c r="IG26" s="383"/>
      <c r="IH26" s="383"/>
      <c r="II26" s="383"/>
      <c r="IJ26" s="383"/>
      <c r="IK26" s="383"/>
      <c r="IL26" s="383"/>
    </row>
    <row r="27" spans="1:246" ht="15" customHeight="1">
      <c r="A27" s="481" t="s">
        <v>250</v>
      </c>
      <c r="B27" s="482" t="s">
        <v>456</v>
      </c>
      <c r="C27" s="483" t="s">
        <v>166</v>
      </c>
      <c r="D27" s="14"/>
      <c r="E27" s="484" t="s">
        <v>377</v>
      </c>
      <c r="F27" s="484">
        <v>2556</v>
      </c>
      <c r="G27" s="479" t="str">
        <f t="shared" si="0"/>
        <v>01/2026</v>
      </c>
      <c r="H27" s="341">
        <f>SUMIF(VI.A!$B$6:$B$5963,B27,VI.A!$L$6:$L$5963)</f>
        <v>100</v>
      </c>
      <c r="I27" s="341" t="str">
        <f t="shared" si="4"/>
        <v>si</v>
      </c>
      <c r="J27" s="383"/>
      <c r="K27" s="384">
        <f>IF(E27="SABESP","OK",VLOOKUP(F27,[6]ISD!$B$11:$F$4861,5,FALSE))</f>
        <v>1.33</v>
      </c>
      <c r="L27" s="384" t="str">
        <f t="shared" si="1"/>
        <v>VERIFICAR</v>
      </c>
      <c r="M27" s="480">
        <f t="shared" si="2"/>
        <v>1.33</v>
      </c>
      <c r="N27" s="383" t="b">
        <f t="shared" si="3"/>
        <v>0</v>
      </c>
      <c r="O27" s="383"/>
      <c r="P27" s="383"/>
      <c r="Q27" s="383"/>
      <c r="R27" s="383"/>
      <c r="S27" s="383"/>
      <c r="T27" s="383"/>
      <c r="U27" s="383"/>
      <c r="V27" s="383"/>
      <c r="W27" s="383"/>
      <c r="X27" s="383"/>
      <c r="Y27" s="383"/>
      <c r="Z27" s="383"/>
      <c r="AA27" s="383"/>
      <c r="AB27" s="383"/>
      <c r="AC27" s="383"/>
      <c r="AD27" s="383"/>
      <c r="AE27" s="383"/>
      <c r="AF27" s="383"/>
      <c r="AG27" s="383"/>
      <c r="AH27" s="383"/>
      <c r="AI27" s="383"/>
      <c r="AJ27" s="383"/>
      <c r="AK27" s="383"/>
      <c r="AL27" s="383"/>
      <c r="AM27" s="383"/>
      <c r="AN27" s="383"/>
      <c r="AO27" s="383"/>
      <c r="AP27" s="383"/>
      <c r="AQ27" s="383"/>
      <c r="AR27" s="383"/>
      <c r="AS27" s="383"/>
      <c r="AT27" s="383"/>
      <c r="AU27" s="383"/>
      <c r="AV27" s="383"/>
      <c r="AW27" s="383"/>
      <c r="AX27" s="383"/>
      <c r="AY27" s="383"/>
      <c r="AZ27" s="383"/>
      <c r="BA27" s="383"/>
      <c r="BB27" s="383"/>
      <c r="BC27" s="383"/>
      <c r="BD27" s="383"/>
      <c r="BE27" s="383"/>
      <c r="BF27" s="383"/>
      <c r="BG27" s="383"/>
      <c r="BH27" s="383"/>
      <c r="BI27" s="383"/>
      <c r="BJ27" s="383"/>
      <c r="BK27" s="383"/>
      <c r="BL27" s="383"/>
      <c r="BM27" s="383"/>
      <c r="BN27" s="383"/>
      <c r="BO27" s="383"/>
      <c r="BP27" s="383"/>
      <c r="BQ27" s="383"/>
      <c r="BR27" s="383"/>
      <c r="BS27" s="383"/>
      <c r="BT27" s="383"/>
      <c r="BU27" s="383"/>
      <c r="BV27" s="383"/>
      <c r="BW27" s="383"/>
      <c r="BX27" s="383"/>
      <c r="BY27" s="383"/>
      <c r="BZ27" s="383"/>
      <c r="CA27" s="383"/>
      <c r="CB27" s="383"/>
      <c r="CC27" s="383"/>
      <c r="CD27" s="383"/>
      <c r="CE27" s="383"/>
      <c r="CF27" s="383"/>
      <c r="CG27" s="383"/>
      <c r="CH27" s="383"/>
      <c r="CI27" s="383"/>
      <c r="CJ27" s="383"/>
      <c r="CK27" s="383"/>
      <c r="CL27" s="383"/>
      <c r="CM27" s="383"/>
      <c r="CN27" s="383"/>
      <c r="CO27" s="383"/>
      <c r="CP27" s="383"/>
      <c r="CQ27" s="383"/>
      <c r="CR27" s="383"/>
      <c r="CS27" s="383"/>
      <c r="CT27" s="383"/>
      <c r="CU27" s="383"/>
      <c r="CV27" s="383"/>
      <c r="CW27" s="383"/>
      <c r="CX27" s="383"/>
      <c r="CY27" s="383"/>
      <c r="CZ27" s="383"/>
      <c r="DA27" s="383"/>
      <c r="DB27" s="383"/>
      <c r="DC27" s="383"/>
      <c r="DD27" s="383"/>
      <c r="DE27" s="383"/>
      <c r="DF27" s="383"/>
      <c r="DG27" s="383"/>
      <c r="DH27" s="383"/>
      <c r="DI27" s="383"/>
      <c r="DJ27" s="383"/>
      <c r="DK27" s="383"/>
      <c r="DL27" s="383"/>
      <c r="DM27" s="383"/>
      <c r="DN27" s="383"/>
      <c r="DO27" s="383"/>
      <c r="DP27" s="383"/>
      <c r="DQ27" s="383"/>
      <c r="DR27" s="383"/>
      <c r="DS27" s="383"/>
      <c r="DT27" s="383"/>
      <c r="DU27" s="383"/>
      <c r="DV27" s="383"/>
      <c r="DW27" s="383"/>
      <c r="DX27" s="383"/>
      <c r="DY27" s="383"/>
      <c r="DZ27" s="383"/>
      <c r="EA27" s="383"/>
      <c r="EB27" s="383"/>
      <c r="EC27" s="383"/>
      <c r="ED27" s="383"/>
      <c r="EE27" s="383"/>
      <c r="EF27" s="383"/>
      <c r="EG27" s="383"/>
      <c r="EH27" s="383"/>
      <c r="EI27" s="383"/>
      <c r="EJ27" s="383"/>
      <c r="EK27" s="383"/>
      <c r="EL27" s="383"/>
      <c r="EM27" s="383"/>
      <c r="EN27" s="383"/>
      <c r="EO27" s="383"/>
      <c r="EP27" s="383"/>
      <c r="EQ27" s="383"/>
      <c r="ER27" s="383"/>
      <c r="ES27" s="383"/>
      <c r="ET27" s="383"/>
      <c r="EU27" s="383"/>
      <c r="EV27" s="383"/>
      <c r="EW27" s="383"/>
      <c r="EX27" s="383"/>
      <c r="EY27" s="383"/>
      <c r="EZ27" s="383"/>
      <c r="FA27" s="383"/>
      <c r="FB27" s="383"/>
      <c r="FC27" s="383"/>
      <c r="FD27" s="383"/>
      <c r="FE27" s="383"/>
      <c r="FF27" s="383"/>
      <c r="FG27" s="383"/>
      <c r="FH27" s="383"/>
      <c r="FI27" s="383"/>
      <c r="FJ27" s="383"/>
      <c r="FK27" s="383"/>
      <c r="FL27" s="383"/>
      <c r="FM27" s="383"/>
      <c r="FN27" s="383"/>
      <c r="FO27" s="383"/>
      <c r="FP27" s="383"/>
      <c r="FQ27" s="383"/>
      <c r="FR27" s="383"/>
      <c r="FS27" s="383"/>
      <c r="FT27" s="383"/>
      <c r="FU27" s="383"/>
      <c r="FV27" s="383"/>
      <c r="FW27" s="383"/>
      <c r="FX27" s="383"/>
      <c r="FY27" s="383"/>
      <c r="FZ27" s="383"/>
      <c r="GA27" s="383"/>
      <c r="GB27" s="383"/>
      <c r="GC27" s="383"/>
      <c r="GD27" s="383"/>
      <c r="GE27" s="383"/>
      <c r="GF27" s="383"/>
      <c r="GG27" s="383"/>
      <c r="GH27" s="383"/>
      <c r="GI27" s="383"/>
      <c r="GJ27" s="383"/>
      <c r="GK27" s="383"/>
      <c r="GL27" s="383"/>
      <c r="GM27" s="383"/>
      <c r="GN27" s="383"/>
      <c r="GO27" s="383"/>
      <c r="GP27" s="383"/>
      <c r="GQ27" s="383"/>
      <c r="GR27" s="383"/>
      <c r="GS27" s="383"/>
      <c r="GT27" s="383"/>
      <c r="GU27" s="383"/>
      <c r="GV27" s="383"/>
      <c r="GW27" s="383"/>
      <c r="GX27" s="383"/>
      <c r="GY27" s="383"/>
      <c r="GZ27" s="383"/>
      <c r="HA27" s="383"/>
      <c r="HB27" s="383"/>
      <c r="HC27" s="383"/>
      <c r="HD27" s="383"/>
      <c r="HE27" s="383"/>
      <c r="HF27" s="383"/>
      <c r="HG27" s="383"/>
      <c r="HH27" s="383"/>
      <c r="HI27" s="383"/>
      <c r="HJ27" s="383"/>
      <c r="HK27" s="383"/>
      <c r="HL27" s="383"/>
      <c r="HM27" s="383"/>
      <c r="HN27" s="383"/>
      <c r="HO27" s="383"/>
      <c r="HP27" s="383"/>
      <c r="HQ27" s="383"/>
      <c r="HR27" s="383"/>
      <c r="HS27" s="383"/>
      <c r="HT27" s="383"/>
      <c r="HU27" s="383"/>
      <c r="HV27" s="383"/>
      <c r="HW27" s="383"/>
      <c r="HX27" s="383"/>
      <c r="HY27" s="383"/>
      <c r="HZ27" s="383"/>
      <c r="IA27" s="383"/>
      <c r="IB27" s="383"/>
      <c r="IC27" s="383"/>
      <c r="ID27" s="383"/>
      <c r="IE27" s="383"/>
      <c r="IF27" s="383"/>
      <c r="IG27" s="383"/>
      <c r="IH27" s="383"/>
      <c r="II27" s="383"/>
      <c r="IJ27" s="383"/>
      <c r="IK27" s="383"/>
      <c r="IL27" s="383"/>
    </row>
    <row r="28" spans="1:246" ht="15" customHeight="1">
      <c r="A28" s="481" t="s">
        <v>251</v>
      </c>
      <c r="B28" s="482" t="s">
        <v>487</v>
      </c>
      <c r="C28" s="483" t="s">
        <v>166</v>
      </c>
      <c r="D28" s="14"/>
      <c r="E28" s="484" t="s">
        <v>377</v>
      </c>
      <c r="F28" s="484">
        <v>11717</v>
      </c>
      <c r="G28" s="479" t="str">
        <f t="shared" si="0"/>
        <v>01/2026</v>
      </c>
      <c r="H28" s="341">
        <f>SUMIF(VI.A!$B$6:$B$5963,B28,VI.A!$L$6:$L$5963)</f>
        <v>2</v>
      </c>
      <c r="I28" s="341" t="str">
        <f t="shared" si="4"/>
        <v>si</v>
      </c>
      <c r="J28" s="383"/>
      <c r="K28" s="384">
        <f>IF(E28="SABESP","OK",VLOOKUP(F28,[6]ISD!$B$11:$F$4861,5,FALSE))</f>
        <v>56.74</v>
      </c>
      <c r="L28" s="384" t="str">
        <f t="shared" si="1"/>
        <v>VERIFICAR</v>
      </c>
      <c r="M28" s="480">
        <f t="shared" si="2"/>
        <v>56.74</v>
      </c>
      <c r="N28" s="383" t="b">
        <f t="shared" si="3"/>
        <v>0</v>
      </c>
      <c r="O28" s="383"/>
      <c r="P28" s="383"/>
      <c r="Q28" s="383"/>
      <c r="R28" s="383"/>
      <c r="S28" s="383"/>
      <c r="T28" s="383"/>
      <c r="U28" s="383"/>
      <c r="V28" s="383"/>
      <c r="W28" s="383"/>
      <c r="X28" s="383"/>
      <c r="Y28" s="383"/>
      <c r="Z28" s="383"/>
      <c r="AA28" s="383"/>
      <c r="AB28" s="383"/>
      <c r="AC28" s="383"/>
      <c r="AD28" s="383"/>
      <c r="AE28" s="383"/>
      <c r="AF28" s="383"/>
      <c r="AG28" s="383"/>
      <c r="AH28" s="383"/>
      <c r="AI28" s="383"/>
      <c r="AJ28" s="383"/>
      <c r="AK28" s="383"/>
      <c r="AL28" s="383"/>
      <c r="AM28" s="383"/>
      <c r="AN28" s="383"/>
      <c r="AO28" s="383"/>
      <c r="AP28" s="383"/>
      <c r="AQ28" s="383"/>
      <c r="AR28" s="383"/>
      <c r="AS28" s="383"/>
      <c r="AT28" s="383"/>
      <c r="AU28" s="383"/>
      <c r="AV28" s="383"/>
      <c r="AW28" s="383"/>
      <c r="AX28" s="383"/>
      <c r="AY28" s="383"/>
      <c r="AZ28" s="383"/>
      <c r="BA28" s="383"/>
      <c r="BB28" s="383"/>
      <c r="BC28" s="383"/>
      <c r="BD28" s="383"/>
      <c r="BE28" s="383"/>
      <c r="BF28" s="383"/>
      <c r="BG28" s="383"/>
      <c r="BH28" s="383"/>
      <c r="BI28" s="383"/>
      <c r="BJ28" s="383"/>
      <c r="BK28" s="383"/>
      <c r="BL28" s="383"/>
      <c r="BM28" s="383"/>
      <c r="BN28" s="383"/>
      <c r="BO28" s="383"/>
      <c r="BP28" s="383"/>
      <c r="BQ28" s="383"/>
      <c r="BR28" s="383"/>
      <c r="BS28" s="383"/>
      <c r="BT28" s="383"/>
      <c r="BU28" s="383"/>
      <c r="BV28" s="383"/>
      <c r="BW28" s="383"/>
      <c r="BX28" s="383"/>
      <c r="BY28" s="383"/>
      <c r="BZ28" s="383"/>
      <c r="CA28" s="383"/>
      <c r="CB28" s="383"/>
      <c r="CC28" s="383"/>
      <c r="CD28" s="383"/>
      <c r="CE28" s="383"/>
      <c r="CF28" s="383"/>
      <c r="CG28" s="383"/>
      <c r="CH28" s="383"/>
      <c r="CI28" s="383"/>
      <c r="CJ28" s="383"/>
      <c r="CK28" s="383"/>
      <c r="CL28" s="383"/>
      <c r="CM28" s="383"/>
      <c r="CN28" s="383"/>
      <c r="CO28" s="383"/>
      <c r="CP28" s="383"/>
      <c r="CQ28" s="383"/>
      <c r="CR28" s="383"/>
      <c r="CS28" s="383"/>
      <c r="CT28" s="383"/>
      <c r="CU28" s="383"/>
      <c r="CV28" s="383"/>
      <c r="CW28" s="383"/>
      <c r="CX28" s="383"/>
      <c r="CY28" s="383"/>
      <c r="CZ28" s="383"/>
      <c r="DA28" s="383"/>
      <c r="DB28" s="383"/>
      <c r="DC28" s="383"/>
      <c r="DD28" s="383"/>
      <c r="DE28" s="383"/>
      <c r="DF28" s="383"/>
      <c r="DG28" s="383"/>
      <c r="DH28" s="383"/>
      <c r="DI28" s="383"/>
      <c r="DJ28" s="383"/>
      <c r="DK28" s="383"/>
      <c r="DL28" s="383"/>
      <c r="DM28" s="383"/>
      <c r="DN28" s="383"/>
      <c r="DO28" s="383"/>
      <c r="DP28" s="383"/>
      <c r="DQ28" s="383"/>
      <c r="DR28" s="383"/>
      <c r="DS28" s="383"/>
      <c r="DT28" s="383"/>
      <c r="DU28" s="383"/>
      <c r="DV28" s="383"/>
      <c r="DW28" s="383"/>
      <c r="DX28" s="383"/>
      <c r="DY28" s="383"/>
      <c r="DZ28" s="383"/>
      <c r="EA28" s="383"/>
      <c r="EB28" s="383"/>
      <c r="EC28" s="383"/>
      <c r="ED28" s="383"/>
      <c r="EE28" s="383"/>
      <c r="EF28" s="383"/>
      <c r="EG28" s="383"/>
      <c r="EH28" s="383"/>
      <c r="EI28" s="383"/>
      <c r="EJ28" s="383"/>
      <c r="EK28" s="383"/>
      <c r="EL28" s="383"/>
      <c r="EM28" s="383"/>
      <c r="EN28" s="383"/>
      <c r="EO28" s="383"/>
      <c r="EP28" s="383"/>
      <c r="EQ28" s="383"/>
      <c r="ER28" s="383"/>
      <c r="ES28" s="383"/>
      <c r="ET28" s="383"/>
      <c r="EU28" s="383"/>
      <c r="EV28" s="383"/>
      <c r="EW28" s="383"/>
      <c r="EX28" s="383"/>
      <c r="EY28" s="383"/>
      <c r="EZ28" s="383"/>
      <c r="FA28" s="383"/>
      <c r="FB28" s="383"/>
      <c r="FC28" s="383"/>
      <c r="FD28" s="383"/>
      <c r="FE28" s="383"/>
      <c r="FF28" s="383"/>
      <c r="FG28" s="383"/>
      <c r="FH28" s="383"/>
      <c r="FI28" s="383"/>
      <c r="FJ28" s="383"/>
      <c r="FK28" s="383"/>
      <c r="FL28" s="383"/>
      <c r="FM28" s="383"/>
      <c r="FN28" s="383"/>
      <c r="FO28" s="383"/>
      <c r="FP28" s="383"/>
      <c r="FQ28" s="383"/>
      <c r="FR28" s="383"/>
      <c r="FS28" s="383"/>
      <c r="FT28" s="383"/>
      <c r="FU28" s="383"/>
      <c r="FV28" s="383"/>
      <c r="FW28" s="383"/>
      <c r="FX28" s="383"/>
      <c r="FY28" s="383"/>
      <c r="FZ28" s="383"/>
      <c r="GA28" s="383"/>
      <c r="GB28" s="383"/>
      <c r="GC28" s="383"/>
      <c r="GD28" s="383"/>
      <c r="GE28" s="383"/>
      <c r="GF28" s="383"/>
      <c r="GG28" s="383"/>
      <c r="GH28" s="383"/>
      <c r="GI28" s="383"/>
      <c r="GJ28" s="383"/>
      <c r="GK28" s="383"/>
      <c r="GL28" s="383"/>
      <c r="GM28" s="383"/>
      <c r="GN28" s="383"/>
      <c r="GO28" s="383"/>
      <c r="GP28" s="383"/>
      <c r="GQ28" s="383"/>
      <c r="GR28" s="383"/>
      <c r="GS28" s="383"/>
      <c r="GT28" s="383"/>
      <c r="GU28" s="383"/>
      <c r="GV28" s="383"/>
      <c r="GW28" s="383"/>
      <c r="GX28" s="383"/>
      <c r="GY28" s="383"/>
      <c r="GZ28" s="383"/>
      <c r="HA28" s="383"/>
      <c r="HB28" s="383"/>
      <c r="HC28" s="383"/>
      <c r="HD28" s="383"/>
      <c r="HE28" s="383"/>
      <c r="HF28" s="383"/>
      <c r="HG28" s="383"/>
      <c r="HH28" s="383"/>
      <c r="HI28" s="383"/>
      <c r="HJ28" s="383"/>
      <c r="HK28" s="383"/>
      <c r="HL28" s="383"/>
      <c r="HM28" s="383"/>
      <c r="HN28" s="383"/>
      <c r="HO28" s="383"/>
      <c r="HP28" s="383"/>
      <c r="HQ28" s="383"/>
      <c r="HR28" s="383"/>
      <c r="HS28" s="383"/>
      <c r="HT28" s="383"/>
      <c r="HU28" s="383"/>
      <c r="HV28" s="383"/>
      <c r="HW28" s="383"/>
      <c r="HX28" s="383"/>
      <c r="HY28" s="383"/>
      <c r="HZ28" s="383"/>
      <c r="IA28" s="383"/>
      <c r="IB28" s="383"/>
      <c r="IC28" s="383"/>
      <c r="ID28" s="383"/>
      <c r="IE28" s="383"/>
      <c r="IF28" s="383"/>
      <c r="IG28" s="383"/>
      <c r="IH28" s="383"/>
      <c r="II28" s="383"/>
      <c r="IJ28" s="383"/>
      <c r="IK28" s="383"/>
      <c r="IL28" s="383"/>
    </row>
    <row r="29" spans="1:246" ht="15" customHeight="1">
      <c r="A29" s="481" t="s">
        <v>252</v>
      </c>
      <c r="B29" s="482" t="s">
        <v>427</v>
      </c>
      <c r="C29" s="483" t="s">
        <v>222</v>
      </c>
      <c r="D29" s="14"/>
      <c r="E29" s="484" t="s">
        <v>377</v>
      </c>
      <c r="F29" s="484">
        <v>1106</v>
      </c>
      <c r="G29" s="479" t="str">
        <f t="shared" si="0"/>
        <v>01/2026</v>
      </c>
      <c r="H29" s="341">
        <f>SUMIF(VI.A!$B$6:$B$5963,B29,VI.A!$L$6:$L$5963)</f>
        <v>21840.548159999998</v>
      </c>
      <c r="I29" s="341" t="str">
        <f t="shared" si="4"/>
        <v>si</v>
      </c>
      <c r="J29" s="383"/>
      <c r="K29" s="384">
        <f>IF(E29="SABESP","OK",VLOOKUP(F29,[6]ISD!$B$11:$F$4861,5,FALSE))</f>
        <v>1.1399999999999999</v>
      </c>
      <c r="L29" s="384" t="str">
        <f t="shared" si="1"/>
        <v>VERIFICAR</v>
      </c>
      <c r="M29" s="480">
        <f t="shared" si="2"/>
        <v>1.1399999999999999</v>
      </c>
      <c r="N29" s="383" t="b">
        <f t="shared" si="3"/>
        <v>0</v>
      </c>
      <c r="O29" s="383"/>
      <c r="P29" s="383"/>
      <c r="Q29" s="383"/>
      <c r="R29" s="383"/>
      <c r="S29" s="383"/>
      <c r="T29" s="383"/>
      <c r="U29" s="383"/>
      <c r="V29" s="383"/>
      <c r="W29" s="383"/>
      <c r="X29" s="383"/>
      <c r="Y29" s="383"/>
      <c r="Z29" s="383"/>
      <c r="AA29" s="383"/>
      <c r="AB29" s="383"/>
      <c r="AC29" s="383"/>
      <c r="AD29" s="383"/>
      <c r="AE29" s="383"/>
      <c r="AF29" s="383"/>
      <c r="AG29" s="383"/>
      <c r="AH29" s="383"/>
      <c r="AI29" s="383"/>
      <c r="AJ29" s="383"/>
      <c r="AK29" s="383"/>
      <c r="AL29" s="383"/>
      <c r="AM29" s="383"/>
      <c r="AN29" s="383"/>
      <c r="AO29" s="383"/>
      <c r="AP29" s="383"/>
      <c r="AQ29" s="383"/>
      <c r="AR29" s="383"/>
      <c r="AS29" s="383"/>
      <c r="AT29" s="383"/>
      <c r="AU29" s="383"/>
      <c r="AV29" s="383"/>
      <c r="AW29" s="383"/>
      <c r="AX29" s="383"/>
      <c r="AY29" s="383"/>
      <c r="AZ29" s="383"/>
      <c r="BA29" s="383"/>
      <c r="BB29" s="383"/>
      <c r="BC29" s="383"/>
      <c r="BD29" s="383"/>
      <c r="BE29" s="383"/>
      <c r="BF29" s="383"/>
      <c r="BG29" s="383"/>
      <c r="BH29" s="383"/>
      <c r="BI29" s="383"/>
      <c r="BJ29" s="383"/>
      <c r="BK29" s="383"/>
      <c r="BL29" s="383"/>
      <c r="BM29" s="383"/>
      <c r="BN29" s="383"/>
      <c r="BO29" s="383"/>
      <c r="BP29" s="383"/>
      <c r="BQ29" s="383"/>
      <c r="BR29" s="383"/>
      <c r="BS29" s="383"/>
      <c r="BT29" s="383"/>
      <c r="BU29" s="383"/>
      <c r="BV29" s="383"/>
      <c r="BW29" s="383"/>
      <c r="BX29" s="383"/>
      <c r="BY29" s="383"/>
      <c r="BZ29" s="383"/>
      <c r="CA29" s="383"/>
      <c r="CB29" s="383"/>
      <c r="CC29" s="383"/>
      <c r="CD29" s="383"/>
      <c r="CE29" s="383"/>
      <c r="CF29" s="383"/>
      <c r="CG29" s="383"/>
      <c r="CH29" s="383"/>
      <c r="CI29" s="383"/>
      <c r="CJ29" s="383"/>
      <c r="CK29" s="383"/>
      <c r="CL29" s="383"/>
      <c r="CM29" s="383"/>
      <c r="CN29" s="383"/>
      <c r="CO29" s="383"/>
      <c r="CP29" s="383"/>
      <c r="CQ29" s="383"/>
      <c r="CR29" s="383"/>
      <c r="CS29" s="383"/>
      <c r="CT29" s="383"/>
      <c r="CU29" s="383"/>
      <c r="CV29" s="383"/>
      <c r="CW29" s="383"/>
      <c r="CX29" s="383"/>
      <c r="CY29" s="383"/>
      <c r="CZ29" s="383"/>
      <c r="DA29" s="383"/>
      <c r="DB29" s="383"/>
      <c r="DC29" s="383"/>
      <c r="DD29" s="383"/>
      <c r="DE29" s="383"/>
      <c r="DF29" s="383"/>
      <c r="DG29" s="383"/>
      <c r="DH29" s="383"/>
      <c r="DI29" s="383"/>
      <c r="DJ29" s="383"/>
      <c r="DK29" s="383"/>
      <c r="DL29" s="383"/>
      <c r="DM29" s="383"/>
      <c r="DN29" s="383"/>
      <c r="DO29" s="383"/>
      <c r="DP29" s="383"/>
      <c r="DQ29" s="383"/>
      <c r="DR29" s="383"/>
      <c r="DS29" s="383"/>
      <c r="DT29" s="383"/>
      <c r="DU29" s="383"/>
      <c r="DV29" s="383"/>
      <c r="DW29" s="383"/>
      <c r="DX29" s="383"/>
      <c r="DY29" s="383"/>
      <c r="DZ29" s="383"/>
      <c r="EA29" s="383"/>
      <c r="EB29" s="383"/>
      <c r="EC29" s="383"/>
      <c r="ED29" s="383"/>
      <c r="EE29" s="383"/>
      <c r="EF29" s="383"/>
      <c r="EG29" s="383"/>
      <c r="EH29" s="383"/>
      <c r="EI29" s="383"/>
      <c r="EJ29" s="383"/>
      <c r="EK29" s="383"/>
      <c r="EL29" s="383"/>
      <c r="EM29" s="383"/>
      <c r="EN29" s="383"/>
      <c r="EO29" s="383"/>
      <c r="EP29" s="383"/>
      <c r="EQ29" s="383"/>
      <c r="ER29" s="383"/>
      <c r="ES29" s="383"/>
      <c r="ET29" s="383"/>
      <c r="EU29" s="383"/>
      <c r="EV29" s="383"/>
      <c r="EW29" s="383"/>
      <c r="EX29" s="383"/>
      <c r="EY29" s="383"/>
      <c r="EZ29" s="383"/>
      <c r="FA29" s="383"/>
      <c r="FB29" s="383"/>
      <c r="FC29" s="383"/>
      <c r="FD29" s="383"/>
      <c r="FE29" s="383"/>
      <c r="FF29" s="383"/>
      <c r="FG29" s="383"/>
      <c r="FH29" s="383"/>
      <c r="FI29" s="383"/>
      <c r="FJ29" s="383"/>
      <c r="FK29" s="383"/>
      <c r="FL29" s="383"/>
      <c r="FM29" s="383"/>
      <c r="FN29" s="383"/>
      <c r="FO29" s="383"/>
      <c r="FP29" s="383"/>
      <c r="FQ29" s="383"/>
      <c r="FR29" s="383"/>
      <c r="FS29" s="383"/>
      <c r="FT29" s="383"/>
      <c r="FU29" s="383"/>
      <c r="FV29" s="383"/>
      <c r="FW29" s="383"/>
      <c r="FX29" s="383"/>
      <c r="FY29" s="383"/>
      <c r="FZ29" s="383"/>
      <c r="GA29" s="383"/>
      <c r="GB29" s="383"/>
      <c r="GC29" s="383"/>
      <c r="GD29" s="383"/>
      <c r="GE29" s="383"/>
      <c r="GF29" s="383"/>
      <c r="GG29" s="383"/>
      <c r="GH29" s="383"/>
      <c r="GI29" s="383"/>
      <c r="GJ29" s="383"/>
      <c r="GK29" s="383"/>
      <c r="GL29" s="383"/>
      <c r="GM29" s="383"/>
      <c r="GN29" s="383"/>
      <c r="GO29" s="383"/>
      <c r="GP29" s="383"/>
      <c r="GQ29" s="383"/>
      <c r="GR29" s="383"/>
      <c r="GS29" s="383"/>
      <c r="GT29" s="383"/>
      <c r="GU29" s="383"/>
      <c r="GV29" s="383"/>
      <c r="GW29" s="383"/>
      <c r="GX29" s="383"/>
      <c r="GY29" s="383"/>
      <c r="GZ29" s="383"/>
      <c r="HA29" s="383"/>
      <c r="HB29" s="383"/>
      <c r="HC29" s="383"/>
      <c r="HD29" s="383"/>
      <c r="HE29" s="383"/>
      <c r="HF29" s="383"/>
      <c r="HG29" s="383"/>
      <c r="HH29" s="383"/>
      <c r="HI29" s="383"/>
      <c r="HJ29" s="383"/>
      <c r="HK29" s="383"/>
      <c r="HL29" s="383"/>
      <c r="HM29" s="383"/>
      <c r="HN29" s="383"/>
      <c r="HO29" s="383"/>
      <c r="HP29" s="383"/>
      <c r="HQ29" s="383"/>
      <c r="HR29" s="383"/>
      <c r="HS29" s="383"/>
      <c r="HT29" s="383"/>
      <c r="HU29" s="383"/>
      <c r="HV29" s="383"/>
      <c r="HW29" s="383"/>
      <c r="HX29" s="383"/>
      <c r="HY29" s="383"/>
      <c r="HZ29" s="383"/>
      <c r="IA29" s="383"/>
      <c r="IB29" s="383"/>
      <c r="IC29" s="383"/>
      <c r="ID29" s="383"/>
      <c r="IE29" s="383"/>
      <c r="IF29" s="383"/>
      <c r="IG29" s="383"/>
      <c r="IH29" s="383"/>
      <c r="II29" s="383"/>
      <c r="IJ29" s="383"/>
      <c r="IK29" s="383"/>
      <c r="IL29" s="383"/>
    </row>
    <row r="30" spans="1:246" ht="15" customHeight="1">
      <c r="A30" s="481" t="s">
        <v>253</v>
      </c>
      <c r="B30" s="482" t="s">
        <v>177</v>
      </c>
      <c r="C30" s="483" t="s">
        <v>164</v>
      </c>
      <c r="D30" s="14"/>
      <c r="E30" s="484" t="s">
        <v>379</v>
      </c>
      <c r="F30" s="484">
        <v>1118</v>
      </c>
      <c r="G30" s="479" t="str">
        <f t="shared" si="0"/>
        <v>01/2026</v>
      </c>
      <c r="H30" s="341">
        <f>SUMIF(VI.A!$B$6:$B$5963,B30,VI.A!$L$6:$L$5963)</f>
        <v>26.25</v>
      </c>
      <c r="I30" s="341" t="str">
        <f t="shared" ref="I30:I68" si="5">IF(H30=0,"no","si")</f>
        <v>si</v>
      </c>
      <c r="J30" s="383"/>
      <c r="K30" s="384">
        <f>IF(E30="SABESP","OK",VLOOKUP(F30,[6]ISD!$B$11:$F$4861,5,FALSE))</f>
        <v>28.97</v>
      </c>
      <c r="L30" s="384" t="str">
        <f t="shared" si="1"/>
        <v>VERIFICAR</v>
      </c>
      <c r="M30" s="480">
        <f t="shared" si="2"/>
        <v>28.97</v>
      </c>
      <c r="N30" s="383" t="b">
        <f t="shared" si="3"/>
        <v>0</v>
      </c>
      <c r="O30" s="383"/>
      <c r="P30" s="383"/>
      <c r="Q30" s="383"/>
      <c r="R30" s="383"/>
      <c r="S30" s="383"/>
      <c r="T30" s="383"/>
      <c r="U30" s="383"/>
      <c r="V30" s="383"/>
      <c r="W30" s="383"/>
      <c r="X30" s="383"/>
      <c r="Y30" s="383"/>
      <c r="Z30" s="383"/>
      <c r="AA30" s="383"/>
      <c r="AB30" s="383"/>
      <c r="AC30" s="383"/>
      <c r="AD30" s="383"/>
      <c r="AE30" s="383"/>
      <c r="AF30" s="383"/>
      <c r="AG30" s="383"/>
      <c r="AH30" s="383"/>
      <c r="AI30" s="383"/>
      <c r="AJ30" s="383"/>
      <c r="AK30" s="383"/>
      <c r="AL30" s="383"/>
      <c r="AM30" s="383"/>
      <c r="AN30" s="383"/>
      <c r="AO30" s="383"/>
      <c r="AP30" s="383"/>
      <c r="AQ30" s="383"/>
      <c r="AR30" s="383"/>
      <c r="AS30" s="383"/>
      <c r="AT30" s="383"/>
      <c r="AU30" s="383"/>
      <c r="AV30" s="383"/>
      <c r="AW30" s="383"/>
      <c r="AX30" s="383"/>
      <c r="AY30" s="383"/>
      <c r="AZ30" s="383"/>
      <c r="BA30" s="383"/>
      <c r="BB30" s="383"/>
      <c r="BC30" s="383"/>
      <c r="BD30" s="383"/>
      <c r="BE30" s="383"/>
      <c r="BF30" s="383"/>
      <c r="BG30" s="383"/>
      <c r="BH30" s="383"/>
      <c r="BI30" s="383"/>
      <c r="BJ30" s="383"/>
      <c r="BK30" s="383"/>
      <c r="BL30" s="383"/>
      <c r="BM30" s="383"/>
      <c r="BN30" s="383"/>
      <c r="BO30" s="383"/>
      <c r="BP30" s="383"/>
      <c r="BQ30" s="383"/>
      <c r="BR30" s="383"/>
      <c r="BS30" s="383"/>
      <c r="BT30" s="383"/>
      <c r="BU30" s="383"/>
      <c r="BV30" s="383"/>
      <c r="BW30" s="383"/>
      <c r="BX30" s="383"/>
      <c r="BY30" s="383"/>
      <c r="BZ30" s="383"/>
      <c r="CA30" s="383"/>
      <c r="CB30" s="383"/>
      <c r="CC30" s="383"/>
      <c r="CD30" s="383"/>
      <c r="CE30" s="383"/>
      <c r="CF30" s="383"/>
      <c r="CG30" s="383"/>
      <c r="CH30" s="383"/>
      <c r="CI30" s="383"/>
      <c r="CJ30" s="383"/>
      <c r="CK30" s="383"/>
      <c r="CL30" s="383"/>
      <c r="CM30" s="383"/>
      <c r="CN30" s="383"/>
      <c r="CO30" s="383"/>
      <c r="CP30" s="383"/>
      <c r="CQ30" s="383"/>
      <c r="CR30" s="383"/>
      <c r="CS30" s="383"/>
      <c r="CT30" s="383"/>
      <c r="CU30" s="383"/>
      <c r="CV30" s="383"/>
      <c r="CW30" s="383"/>
      <c r="CX30" s="383"/>
      <c r="CY30" s="383"/>
      <c r="CZ30" s="383"/>
      <c r="DA30" s="383"/>
      <c r="DB30" s="383"/>
      <c r="DC30" s="383"/>
      <c r="DD30" s="383"/>
      <c r="DE30" s="383"/>
      <c r="DF30" s="383"/>
      <c r="DG30" s="383"/>
      <c r="DH30" s="383"/>
      <c r="DI30" s="383"/>
      <c r="DJ30" s="383"/>
      <c r="DK30" s="383"/>
      <c r="DL30" s="383"/>
      <c r="DM30" s="383"/>
      <c r="DN30" s="383"/>
      <c r="DO30" s="383"/>
      <c r="DP30" s="383"/>
      <c r="DQ30" s="383"/>
      <c r="DR30" s="383"/>
      <c r="DS30" s="383"/>
      <c r="DT30" s="383"/>
      <c r="DU30" s="383"/>
      <c r="DV30" s="383"/>
      <c r="DW30" s="383"/>
      <c r="DX30" s="383"/>
      <c r="DY30" s="383"/>
      <c r="DZ30" s="383"/>
      <c r="EA30" s="383"/>
      <c r="EB30" s="383"/>
      <c r="EC30" s="383"/>
      <c r="ED30" s="383"/>
      <c r="EE30" s="383"/>
      <c r="EF30" s="383"/>
      <c r="EG30" s="383"/>
      <c r="EH30" s="383"/>
      <c r="EI30" s="383"/>
      <c r="EJ30" s="383"/>
      <c r="EK30" s="383"/>
      <c r="EL30" s="383"/>
      <c r="EM30" s="383"/>
      <c r="EN30" s="383"/>
      <c r="EO30" s="383"/>
      <c r="EP30" s="383"/>
      <c r="EQ30" s="383"/>
      <c r="ER30" s="383"/>
      <c r="ES30" s="383"/>
      <c r="ET30" s="383"/>
      <c r="EU30" s="383"/>
      <c r="EV30" s="383"/>
      <c r="EW30" s="383"/>
      <c r="EX30" s="383"/>
      <c r="EY30" s="383"/>
      <c r="EZ30" s="383"/>
      <c r="FA30" s="383"/>
      <c r="FB30" s="383"/>
      <c r="FC30" s="383"/>
      <c r="FD30" s="383"/>
      <c r="FE30" s="383"/>
      <c r="FF30" s="383"/>
      <c r="FG30" s="383"/>
      <c r="FH30" s="383"/>
      <c r="FI30" s="383"/>
      <c r="FJ30" s="383"/>
      <c r="FK30" s="383"/>
      <c r="FL30" s="383"/>
      <c r="FM30" s="383"/>
      <c r="FN30" s="383"/>
      <c r="FO30" s="383"/>
      <c r="FP30" s="383"/>
      <c r="FQ30" s="383"/>
      <c r="FR30" s="383"/>
      <c r="FS30" s="383"/>
      <c r="FT30" s="383"/>
      <c r="FU30" s="383"/>
      <c r="FV30" s="383"/>
      <c r="FW30" s="383"/>
      <c r="FX30" s="383"/>
      <c r="FY30" s="383"/>
      <c r="FZ30" s="383"/>
      <c r="GA30" s="383"/>
      <c r="GB30" s="383"/>
      <c r="GC30" s="383"/>
      <c r="GD30" s="383"/>
      <c r="GE30" s="383"/>
      <c r="GF30" s="383"/>
      <c r="GG30" s="383"/>
      <c r="GH30" s="383"/>
      <c r="GI30" s="383"/>
      <c r="GJ30" s="383"/>
      <c r="GK30" s="383"/>
      <c r="GL30" s="383"/>
      <c r="GM30" s="383"/>
      <c r="GN30" s="383"/>
      <c r="GO30" s="383"/>
      <c r="GP30" s="383"/>
      <c r="GQ30" s="383"/>
      <c r="GR30" s="383"/>
      <c r="GS30" s="383"/>
      <c r="GT30" s="383"/>
      <c r="GU30" s="383"/>
      <c r="GV30" s="383"/>
      <c r="GW30" s="383"/>
      <c r="GX30" s="383"/>
      <c r="GY30" s="383"/>
      <c r="GZ30" s="383"/>
      <c r="HA30" s="383"/>
      <c r="HB30" s="383"/>
      <c r="HC30" s="383"/>
      <c r="HD30" s="383"/>
      <c r="HE30" s="383"/>
      <c r="HF30" s="383"/>
      <c r="HG30" s="383"/>
      <c r="HH30" s="383"/>
      <c r="HI30" s="383"/>
      <c r="HJ30" s="383"/>
      <c r="HK30" s="383"/>
      <c r="HL30" s="383"/>
      <c r="HM30" s="383"/>
      <c r="HN30" s="383"/>
      <c r="HO30" s="383"/>
      <c r="HP30" s="383"/>
      <c r="HQ30" s="383"/>
      <c r="HR30" s="383"/>
      <c r="HS30" s="383"/>
      <c r="HT30" s="383"/>
      <c r="HU30" s="383"/>
      <c r="HV30" s="383"/>
      <c r="HW30" s="383"/>
      <c r="HX30" s="383"/>
      <c r="HY30" s="383"/>
      <c r="HZ30" s="383"/>
      <c r="IA30" s="383"/>
      <c r="IB30" s="383"/>
      <c r="IC30" s="383"/>
      <c r="ID30" s="383"/>
      <c r="IE30" s="383"/>
      <c r="IF30" s="383"/>
      <c r="IG30" s="383"/>
      <c r="IH30" s="383"/>
      <c r="II30" s="383"/>
      <c r="IJ30" s="383"/>
      <c r="IK30" s="383"/>
      <c r="IL30" s="383"/>
    </row>
    <row r="31" spans="1:246" ht="15" customHeight="1">
      <c r="A31" s="481" t="s">
        <v>254</v>
      </c>
      <c r="B31" s="482" t="s">
        <v>383</v>
      </c>
      <c r="C31" s="483" t="s">
        <v>164</v>
      </c>
      <c r="D31" s="14"/>
      <c r="E31" s="484" t="s">
        <v>379</v>
      </c>
      <c r="F31" s="484">
        <v>567</v>
      </c>
      <c r="G31" s="479" t="str">
        <f t="shared" si="0"/>
        <v>01/2026</v>
      </c>
      <c r="H31" s="341">
        <f>SUMIF(VI.A!$B$6:$B$5963,B31,VI.A!$L$6:$L$5963)</f>
        <v>300</v>
      </c>
      <c r="I31" s="341" t="str">
        <f t="shared" si="5"/>
        <v>si</v>
      </c>
      <c r="J31" s="383"/>
      <c r="K31" s="384">
        <f>IF(E31="SABESP","OK",VLOOKUP(F31,[6]ISD!$B$11:$F$4861,5,FALSE))</f>
        <v>11.72</v>
      </c>
      <c r="L31" s="384" t="str">
        <f t="shared" si="1"/>
        <v>VERIFICAR</v>
      </c>
      <c r="M31" s="480">
        <f t="shared" si="2"/>
        <v>11.72</v>
      </c>
      <c r="N31" s="383" t="b">
        <f t="shared" si="3"/>
        <v>0</v>
      </c>
      <c r="O31" s="383"/>
      <c r="P31" s="383"/>
      <c r="Q31" s="383"/>
      <c r="R31" s="383"/>
      <c r="S31" s="383"/>
      <c r="T31" s="383"/>
      <c r="U31" s="383"/>
      <c r="V31" s="383"/>
      <c r="W31" s="383"/>
      <c r="X31" s="383"/>
      <c r="Y31" s="383"/>
      <c r="Z31" s="383"/>
      <c r="AA31" s="383"/>
      <c r="AB31" s="383"/>
      <c r="AC31" s="383"/>
      <c r="AD31" s="383"/>
      <c r="AE31" s="383"/>
      <c r="AF31" s="383"/>
      <c r="AG31" s="383"/>
      <c r="AH31" s="383"/>
      <c r="AI31" s="383"/>
      <c r="AJ31" s="383"/>
      <c r="AK31" s="383"/>
      <c r="AL31" s="383"/>
      <c r="AM31" s="383"/>
      <c r="AN31" s="383"/>
      <c r="AO31" s="383"/>
      <c r="AP31" s="383"/>
      <c r="AQ31" s="383"/>
      <c r="AR31" s="383"/>
      <c r="AS31" s="383"/>
      <c r="AT31" s="383"/>
      <c r="AU31" s="383"/>
      <c r="AV31" s="383"/>
      <c r="AW31" s="383"/>
      <c r="AX31" s="383"/>
      <c r="AY31" s="383"/>
      <c r="AZ31" s="383"/>
      <c r="BA31" s="383"/>
      <c r="BB31" s="383"/>
      <c r="BC31" s="383"/>
      <c r="BD31" s="383"/>
      <c r="BE31" s="383"/>
      <c r="BF31" s="383"/>
      <c r="BG31" s="383"/>
      <c r="BH31" s="383"/>
      <c r="BI31" s="383"/>
      <c r="BJ31" s="383"/>
      <c r="BK31" s="383"/>
      <c r="BL31" s="383"/>
      <c r="BM31" s="383"/>
      <c r="BN31" s="383"/>
      <c r="BO31" s="383"/>
      <c r="BP31" s="383"/>
      <c r="BQ31" s="383"/>
      <c r="BR31" s="383"/>
      <c r="BS31" s="383"/>
      <c r="BT31" s="383"/>
      <c r="BU31" s="383"/>
      <c r="BV31" s="383"/>
      <c r="BW31" s="383"/>
      <c r="BX31" s="383"/>
      <c r="BY31" s="383"/>
      <c r="BZ31" s="383"/>
      <c r="CA31" s="383"/>
      <c r="CB31" s="383"/>
      <c r="CC31" s="383"/>
      <c r="CD31" s="383"/>
      <c r="CE31" s="383"/>
      <c r="CF31" s="383"/>
      <c r="CG31" s="383"/>
      <c r="CH31" s="383"/>
      <c r="CI31" s="383"/>
      <c r="CJ31" s="383"/>
      <c r="CK31" s="383"/>
      <c r="CL31" s="383"/>
      <c r="CM31" s="383"/>
      <c r="CN31" s="383"/>
      <c r="CO31" s="383"/>
      <c r="CP31" s="383"/>
      <c r="CQ31" s="383"/>
      <c r="CR31" s="383"/>
      <c r="CS31" s="383"/>
      <c r="CT31" s="383"/>
      <c r="CU31" s="383"/>
      <c r="CV31" s="383"/>
      <c r="CW31" s="383"/>
      <c r="CX31" s="383"/>
      <c r="CY31" s="383"/>
      <c r="CZ31" s="383"/>
      <c r="DA31" s="383"/>
      <c r="DB31" s="383"/>
      <c r="DC31" s="383"/>
      <c r="DD31" s="383"/>
      <c r="DE31" s="383"/>
      <c r="DF31" s="383"/>
      <c r="DG31" s="383"/>
      <c r="DH31" s="383"/>
      <c r="DI31" s="383"/>
      <c r="DJ31" s="383"/>
      <c r="DK31" s="383"/>
      <c r="DL31" s="383"/>
      <c r="DM31" s="383"/>
      <c r="DN31" s="383"/>
      <c r="DO31" s="383"/>
      <c r="DP31" s="383"/>
      <c r="DQ31" s="383"/>
      <c r="DR31" s="383"/>
      <c r="DS31" s="383"/>
      <c r="DT31" s="383"/>
      <c r="DU31" s="383"/>
      <c r="DV31" s="383"/>
      <c r="DW31" s="383"/>
      <c r="DX31" s="383"/>
      <c r="DY31" s="383"/>
      <c r="DZ31" s="383"/>
      <c r="EA31" s="383"/>
      <c r="EB31" s="383"/>
      <c r="EC31" s="383"/>
      <c r="ED31" s="383"/>
      <c r="EE31" s="383"/>
      <c r="EF31" s="383"/>
      <c r="EG31" s="383"/>
      <c r="EH31" s="383"/>
      <c r="EI31" s="383"/>
      <c r="EJ31" s="383"/>
      <c r="EK31" s="383"/>
      <c r="EL31" s="383"/>
      <c r="EM31" s="383"/>
      <c r="EN31" s="383"/>
      <c r="EO31" s="383"/>
      <c r="EP31" s="383"/>
      <c r="EQ31" s="383"/>
      <c r="ER31" s="383"/>
      <c r="ES31" s="383"/>
      <c r="ET31" s="383"/>
      <c r="EU31" s="383"/>
      <c r="EV31" s="383"/>
      <c r="EW31" s="383"/>
      <c r="EX31" s="383"/>
      <c r="EY31" s="383"/>
      <c r="EZ31" s="383"/>
      <c r="FA31" s="383"/>
      <c r="FB31" s="383"/>
      <c r="FC31" s="383"/>
      <c r="FD31" s="383"/>
      <c r="FE31" s="383"/>
      <c r="FF31" s="383"/>
      <c r="FG31" s="383"/>
      <c r="FH31" s="383"/>
      <c r="FI31" s="383"/>
      <c r="FJ31" s="383"/>
      <c r="FK31" s="383"/>
      <c r="FL31" s="383"/>
      <c r="FM31" s="383"/>
      <c r="FN31" s="383"/>
      <c r="FO31" s="383"/>
      <c r="FP31" s="383"/>
      <c r="FQ31" s="383"/>
      <c r="FR31" s="383"/>
      <c r="FS31" s="383"/>
      <c r="FT31" s="383"/>
      <c r="FU31" s="383"/>
      <c r="FV31" s="383"/>
      <c r="FW31" s="383"/>
      <c r="FX31" s="383"/>
      <c r="FY31" s="383"/>
      <c r="FZ31" s="383"/>
      <c r="GA31" s="383"/>
      <c r="GB31" s="383"/>
      <c r="GC31" s="383"/>
      <c r="GD31" s="383"/>
      <c r="GE31" s="383"/>
      <c r="GF31" s="383"/>
      <c r="GG31" s="383"/>
      <c r="GH31" s="383"/>
      <c r="GI31" s="383"/>
      <c r="GJ31" s="383"/>
      <c r="GK31" s="383"/>
      <c r="GL31" s="383"/>
      <c r="GM31" s="383"/>
      <c r="GN31" s="383"/>
      <c r="GO31" s="383"/>
      <c r="GP31" s="383"/>
      <c r="GQ31" s="383"/>
      <c r="GR31" s="383"/>
      <c r="GS31" s="383"/>
      <c r="GT31" s="383"/>
      <c r="GU31" s="383"/>
      <c r="GV31" s="383"/>
      <c r="GW31" s="383"/>
      <c r="GX31" s="383"/>
      <c r="GY31" s="383"/>
      <c r="GZ31" s="383"/>
      <c r="HA31" s="383"/>
      <c r="HB31" s="383"/>
      <c r="HC31" s="383"/>
      <c r="HD31" s="383"/>
      <c r="HE31" s="383"/>
      <c r="HF31" s="383"/>
      <c r="HG31" s="383"/>
      <c r="HH31" s="383"/>
      <c r="HI31" s="383"/>
      <c r="HJ31" s="383"/>
      <c r="HK31" s="383"/>
      <c r="HL31" s="383"/>
      <c r="HM31" s="383"/>
      <c r="HN31" s="383"/>
      <c r="HO31" s="383"/>
      <c r="HP31" s="383"/>
      <c r="HQ31" s="383"/>
      <c r="HR31" s="383"/>
      <c r="HS31" s="383"/>
      <c r="HT31" s="383"/>
      <c r="HU31" s="383"/>
      <c r="HV31" s="383"/>
      <c r="HW31" s="383"/>
      <c r="HX31" s="383"/>
      <c r="HY31" s="383"/>
      <c r="HZ31" s="383"/>
      <c r="IA31" s="383"/>
      <c r="IB31" s="383"/>
      <c r="IC31" s="383"/>
      <c r="ID31" s="383"/>
      <c r="IE31" s="383"/>
      <c r="IF31" s="383"/>
      <c r="IG31" s="383"/>
      <c r="IH31" s="383"/>
      <c r="II31" s="383"/>
      <c r="IJ31" s="383"/>
      <c r="IK31" s="383"/>
      <c r="IL31" s="383"/>
    </row>
    <row r="32" spans="1:246" ht="15" customHeight="1">
      <c r="A32" s="481" t="s">
        <v>255</v>
      </c>
      <c r="B32" s="482" t="s">
        <v>178</v>
      </c>
      <c r="C32" s="483" t="s">
        <v>222</v>
      </c>
      <c r="D32" s="14"/>
      <c r="E32" s="484" t="s">
        <v>379</v>
      </c>
      <c r="F32" s="484">
        <v>4777</v>
      </c>
      <c r="G32" s="479" t="str">
        <f t="shared" si="0"/>
        <v>01/2026</v>
      </c>
      <c r="H32" s="341">
        <f>SUMIF(VI.A!$B$6:$B$5963,B32,VI.A!$L$6:$L$5963)</f>
        <v>1016.0000000000001</v>
      </c>
      <c r="I32" s="341" t="str">
        <f t="shared" si="5"/>
        <v>si</v>
      </c>
      <c r="J32" s="383"/>
      <c r="K32" s="384">
        <f>IF(E32="SABESP","OK",VLOOKUP(F32,[6]ISD!$B$11:$F$4861,5,FALSE))</f>
        <v>8.02</v>
      </c>
      <c r="L32" s="384" t="str">
        <f t="shared" si="1"/>
        <v>VERIFICAR</v>
      </c>
      <c r="M32" s="480">
        <f t="shared" si="2"/>
        <v>8.02</v>
      </c>
      <c r="N32" s="383" t="b">
        <f t="shared" si="3"/>
        <v>0</v>
      </c>
      <c r="O32" s="383"/>
      <c r="P32" s="383"/>
      <c r="Q32" s="383"/>
      <c r="R32" s="383"/>
      <c r="S32" s="383"/>
      <c r="T32" s="383"/>
      <c r="U32" s="383"/>
      <c r="V32" s="383"/>
      <c r="W32" s="383"/>
      <c r="X32" s="383"/>
      <c r="Y32" s="383"/>
      <c r="Z32" s="383"/>
      <c r="AA32" s="383"/>
      <c r="AB32" s="383"/>
      <c r="AC32" s="383"/>
      <c r="AD32" s="383"/>
      <c r="AE32" s="383"/>
      <c r="AF32" s="383"/>
      <c r="AG32" s="383"/>
      <c r="AH32" s="383"/>
      <c r="AI32" s="383"/>
      <c r="AJ32" s="383"/>
      <c r="AK32" s="383"/>
      <c r="AL32" s="383"/>
      <c r="AM32" s="383"/>
      <c r="AN32" s="383"/>
      <c r="AO32" s="383"/>
      <c r="AP32" s="383"/>
      <c r="AQ32" s="383"/>
      <c r="AR32" s="383"/>
      <c r="AS32" s="383"/>
      <c r="AT32" s="383"/>
      <c r="AU32" s="383"/>
      <c r="AV32" s="383"/>
      <c r="AW32" s="383"/>
      <c r="AX32" s="383"/>
      <c r="AY32" s="383"/>
      <c r="AZ32" s="383"/>
      <c r="BA32" s="383"/>
      <c r="BB32" s="383"/>
      <c r="BC32" s="383"/>
      <c r="BD32" s="383"/>
      <c r="BE32" s="383"/>
      <c r="BF32" s="383"/>
      <c r="BG32" s="383"/>
      <c r="BH32" s="383"/>
      <c r="BI32" s="383"/>
      <c r="BJ32" s="383"/>
      <c r="BK32" s="383"/>
      <c r="BL32" s="383"/>
      <c r="BM32" s="383"/>
      <c r="BN32" s="383"/>
      <c r="BO32" s="383"/>
      <c r="BP32" s="383"/>
      <c r="BQ32" s="383"/>
      <c r="BR32" s="383"/>
      <c r="BS32" s="383"/>
      <c r="BT32" s="383"/>
      <c r="BU32" s="383"/>
      <c r="BV32" s="383"/>
      <c r="BW32" s="383"/>
      <c r="BX32" s="383"/>
      <c r="BY32" s="383"/>
      <c r="BZ32" s="383"/>
      <c r="CA32" s="383"/>
      <c r="CB32" s="383"/>
      <c r="CC32" s="383"/>
      <c r="CD32" s="383"/>
      <c r="CE32" s="383"/>
      <c r="CF32" s="383"/>
      <c r="CG32" s="383"/>
      <c r="CH32" s="383"/>
      <c r="CI32" s="383"/>
      <c r="CJ32" s="383"/>
      <c r="CK32" s="383"/>
      <c r="CL32" s="383"/>
      <c r="CM32" s="383"/>
      <c r="CN32" s="383"/>
      <c r="CO32" s="383"/>
      <c r="CP32" s="383"/>
      <c r="CQ32" s="383"/>
      <c r="CR32" s="383"/>
      <c r="CS32" s="383"/>
      <c r="CT32" s="383"/>
      <c r="CU32" s="383"/>
      <c r="CV32" s="383"/>
      <c r="CW32" s="383"/>
      <c r="CX32" s="383"/>
      <c r="CY32" s="383"/>
      <c r="CZ32" s="383"/>
      <c r="DA32" s="383"/>
      <c r="DB32" s="383"/>
      <c r="DC32" s="383"/>
      <c r="DD32" s="383"/>
      <c r="DE32" s="383"/>
      <c r="DF32" s="383"/>
      <c r="DG32" s="383"/>
      <c r="DH32" s="383"/>
      <c r="DI32" s="383"/>
      <c r="DJ32" s="383"/>
      <c r="DK32" s="383"/>
      <c r="DL32" s="383"/>
      <c r="DM32" s="383"/>
      <c r="DN32" s="383"/>
      <c r="DO32" s="383"/>
      <c r="DP32" s="383"/>
      <c r="DQ32" s="383"/>
      <c r="DR32" s="383"/>
      <c r="DS32" s="383"/>
      <c r="DT32" s="383"/>
      <c r="DU32" s="383"/>
      <c r="DV32" s="383"/>
      <c r="DW32" s="383"/>
      <c r="DX32" s="383"/>
      <c r="DY32" s="383"/>
      <c r="DZ32" s="383"/>
      <c r="EA32" s="383"/>
      <c r="EB32" s="383"/>
      <c r="EC32" s="383"/>
      <c r="ED32" s="383"/>
      <c r="EE32" s="383"/>
      <c r="EF32" s="383"/>
      <c r="EG32" s="383"/>
      <c r="EH32" s="383"/>
      <c r="EI32" s="383"/>
      <c r="EJ32" s="383"/>
      <c r="EK32" s="383"/>
      <c r="EL32" s="383"/>
      <c r="EM32" s="383"/>
      <c r="EN32" s="383"/>
      <c r="EO32" s="383"/>
      <c r="EP32" s="383"/>
      <c r="EQ32" s="383"/>
      <c r="ER32" s="383"/>
      <c r="ES32" s="383"/>
      <c r="ET32" s="383"/>
      <c r="EU32" s="383"/>
      <c r="EV32" s="383"/>
      <c r="EW32" s="383"/>
      <c r="EX32" s="383"/>
      <c r="EY32" s="383"/>
      <c r="EZ32" s="383"/>
      <c r="FA32" s="383"/>
      <c r="FB32" s="383"/>
      <c r="FC32" s="383"/>
      <c r="FD32" s="383"/>
      <c r="FE32" s="383"/>
      <c r="FF32" s="383"/>
      <c r="FG32" s="383"/>
      <c r="FH32" s="383"/>
      <c r="FI32" s="383"/>
      <c r="FJ32" s="383"/>
      <c r="FK32" s="383"/>
      <c r="FL32" s="383"/>
      <c r="FM32" s="383"/>
      <c r="FN32" s="383"/>
      <c r="FO32" s="383"/>
      <c r="FP32" s="383"/>
      <c r="FQ32" s="383"/>
      <c r="FR32" s="383"/>
      <c r="FS32" s="383"/>
      <c r="FT32" s="383"/>
      <c r="FU32" s="383"/>
      <c r="FV32" s="383"/>
      <c r="FW32" s="383"/>
      <c r="FX32" s="383"/>
      <c r="FY32" s="383"/>
      <c r="FZ32" s="383"/>
      <c r="GA32" s="383"/>
      <c r="GB32" s="383"/>
      <c r="GC32" s="383"/>
      <c r="GD32" s="383"/>
      <c r="GE32" s="383"/>
      <c r="GF32" s="383"/>
      <c r="GG32" s="383"/>
      <c r="GH32" s="383"/>
      <c r="GI32" s="383"/>
      <c r="GJ32" s="383"/>
      <c r="GK32" s="383"/>
      <c r="GL32" s="383"/>
      <c r="GM32" s="383"/>
      <c r="GN32" s="383"/>
      <c r="GO32" s="383"/>
      <c r="GP32" s="383"/>
      <c r="GQ32" s="383"/>
      <c r="GR32" s="383"/>
      <c r="GS32" s="383"/>
      <c r="GT32" s="383"/>
      <c r="GU32" s="383"/>
      <c r="GV32" s="383"/>
      <c r="GW32" s="383"/>
      <c r="GX32" s="383"/>
      <c r="GY32" s="383"/>
      <c r="GZ32" s="383"/>
      <c r="HA32" s="383"/>
      <c r="HB32" s="383"/>
      <c r="HC32" s="383"/>
      <c r="HD32" s="383"/>
      <c r="HE32" s="383"/>
      <c r="HF32" s="383"/>
      <c r="HG32" s="383"/>
      <c r="HH32" s="383"/>
      <c r="HI32" s="383"/>
      <c r="HJ32" s="383"/>
      <c r="HK32" s="383"/>
      <c r="HL32" s="383"/>
      <c r="HM32" s="383"/>
      <c r="HN32" s="383"/>
      <c r="HO32" s="383"/>
      <c r="HP32" s="383"/>
      <c r="HQ32" s="383"/>
      <c r="HR32" s="383"/>
      <c r="HS32" s="383"/>
      <c r="HT32" s="383"/>
      <c r="HU32" s="383"/>
      <c r="HV32" s="383"/>
      <c r="HW32" s="383"/>
      <c r="HX32" s="383"/>
      <c r="HY32" s="383"/>
      <c r="HZ32" s="383"/>
      <c r="IA32" s="383"/>
      <c r="IB32" s="383"/>
      <c r="IC32" s="383"/>
      <c r="ID32" s="383"/>
      <c r="IE32" s="383"/>
      <c r="IF32" s="383"/>
      <c r="IG32" s="383"/>
      <c r="IH32" s="383"/>
      <c r="II32" s="383"/>
      <c r="IJ32" s="383"/>
      <c r="IK32" s="383"/>
      <c r="IL32" s="383"/>
    </row>
    <row r="33" spans="1:246" ht="15" customHeight="1">
      <c r="A33" s="481" t="s">
        <v>256</v>
      </c>
      <c r="B33" s="485" t="s">
        <v>384</v>
      </c>
      <c r="C33" s="483" t="s">
        <v>165</v>
      </c>
      <c r="D33" s="14"/>
      <c r="E33" s="484" t="s">
        <v>379</v>
      </c>
      <c r="F33" s="484">
        <v>1287</v>
      </c>
      <c r="G33" s="479" t="str">
        <f t="shared" si="0"/>
        <v>01/2026</v>
      </c>
      <c r="H33" s="341">
        <f>SUMIF(VI.A!$B$6:$B$5963,B33,VI.A!$L$6:$L$5963)</f>
        <v>265</v>
      </c>
      <c r="I33" s="341" t="str">
        <f t="shared" si="5"/>
        <v>si</v>
      </c>
      <c r="J33" s="383"/>
      <c r="K33" s="384">
        <f>IF(E33="SABESP","OK",VLOOKUP(F33,[6]ISD!$B$11:$F$4861,5,FALSE))</f>
        <v>28.17</v>
      </c>
      <c r="L33" s="384" t="str">
        <f t="shared" si="1"/>
        <v>VERIFICAR</v>
      </c>
      <c r="M33" s="480">
        <f t="shared" si="2"/>
        <v>28.17</v>
      </c>
      <c r="N33" s="383" t="b">
        <f t="shared" si="3"/>
        <v>0</v>
      </c>
      <c r="O33" s="383"/>
      <c r="P33" s="383"/>
      <c r="Q33" s="383"/>
      <c r="R33" s="383"/>
      <c r="S33" s="383"/>
      <c r="T33" s="383"/>
      <c r="U33" s="383"/>
      <c r="V33" s="383"/>
      <c r="W33" s="383"/>
      <c r="X33" s="383"/>
      <c r="Y33" s="383"/>
      <c r="Z33" s="383"/>
      <c r="AA33" s="383"/>
      <c r="AB33" s="383"/>
      <c r="AC33" s="383"/>
      <c r="AD33" s="383"/>
      <c r="AE33" s="383"/>
      <c r="AF33" s="383"/>
      <c r="AG33" s="383"/>
      <c r="AH33" s="383"/>
      <c r="AI33" s="383"/>
      <c r="AJ33" s="383"/>
      <c r="AK33" s="383"/>
      <c r="AL33" s="383"/>
      <c r="AM33" s="383"/>
      <c r="AN33" s="383"/>
      <c r="AO33" s="383"/>
      <c r="AP33" s="383"/>
      <c r="AQ33" s="383"/>
      <c r="AR33" s="383"/>
      <c r="AS33" s="383"/>
      <c r="AT33" s="383"/>
      <c r="AU33" s="383"/>
      <c r="AV33" s="383"/>
      <c r="AW33" s="383"/>
      <c r="AX33" s="383"/>
      <c r="AY33" s="383"/>
      <c r="AZ33" s="383"/>
      <c r="BA33" s="383"/>
      <c r="BB33" s="383"/>
      <c r="BC33" s="383"/>
      <c r="BD33" s="383"/>
      <c r="BE33" s="383"/>
      <c r="BF33" s="383"/>
      <c r="BG33" s="383"/>
      <c r="BH33" s="383"/>
      <c r="BI33" s="383"/>
      <c r="BJ33" s="383"/>
      <c r="BK33" s="383"/>
      <c r="BL33" s="383"/>
      <c r="BM33" s="383"/>
      <c r="BN33" s="383"/>
      <c r="BO33" s="383"/>
      <c r="BP33" s="383"/>
      <c r="BQ33" s="383"/>
      <c r="BR33" s="383"/>
      <c r="BS33" s="383"/>
      <c r="BT33" s="383"/>
      <c r="BU33" s="383"/>
      <c r="BV33" s="383"/>
      <c r="BW33" s="383"/>
      <c r="BX33" s="383"/>
      <c r="BY33" s="383"/>
      <c r="BZ33" s="383"/>
      <c r="CA33" s="383"/>
      <c r="CB33" s="383"/>
      <c r="CC33" s="383"/>
      <c r="CD33" s="383"/>
      <c r="CE33" s="383"/>
      <c r="CF33" s="383"/>
      <c r="CG33" s="383"/>
      <c r="CH33" s="383"/>
      <c r="CI33" s="383"/>
      <c r="CJ33" s="383"/>
      <c r="CK33" s="383"/>
      <c r="CL33" s="383"/>
      <c r="CM33" s="383"/>
      <c r="CN33" s="383"/>
      <c r="CO33" s="383"/>
      <c r="CP33" s="383"/>
      <c r="CQ33" s="383"/>
      <c r="CR33" s="383"/>
      <c r="CS33" s="383"/>
      <c r="CT33" s="383"/>
      <c r="CU33" s="383"/>
      <c r="CV33" s="383"/>
      <c r="CW33" s="383"/>
      <c r="CX33" s="383"/>
      <c r="CY33" s="383"/>
      <c r="CZ33" s="383"/>
      <c r="DA33" s="383"/>
      <c r="DB33" s="383"/>
      <c r="DC33" s="383"/>
      <c r="DD33" s="383"/>
      <c r="DE33" s="383"/>
      <c r="DF33" s="383"/>
      <c r="DG33" s="383"/>
      <c r="DH33" s="383"/>
      <c r="DI33" s="383"/>
      <c r="DJ33" s="383"/>
      <c r="DK33" s="383"/>
      <c r="DL33" s="383"/>
      <c r="DM33" s="383"/>
      <c r="DN33" s="383"/>
      <c r="DO33" s="383"/>
      <c r="DP33" s="383"/>
      <c r="DQ33" s="383"/>
      <c r="DR33" s="383"/>
      <c r="DS33" s="383"/>
      <c r="DT33" s="383"/>
      <c r="DU33" s="383"/>
      <c r="DV33" s="383"/>
      <c r="DW33" s="383"/>
      <c r="DX33" s="383"/>
      <c r="DY33" s="383"/>
      <c r="DZ33" s="383"/>
      <c r="EA33" s="383"/>
      <c r="EB33" s="383"/>
      <c r="EC33" s="383"/>
      <c r="ED33" s="383"/>
      <c r="EE33" s="383"/>
      <c r="EF33" s="383"/>
      <c r="EG33" s="383"/>
      <c r="EH33" s="383"/>
      <c r="EI33" s="383"/>
      <c r="EJ33" s="383"/>
      <c r="EK33" s="383"/>
      <c r="EL33" s="383"/>
      <c r="EM33" s="383"/>
      <c r="EN33" s="383"/>
      <c r="EO33" s="383"/>
      <c r="EP33" s="383"/>
      <c r="EQ33" s="383"/>
      <c r="ER33" s="383"/>
      <c r="ES33" s="383"/>
      <c r="ET33" s="383"/>
      <c r="EU33" s="383"/>
      <c r="EV33" s="383"/>
      <c r="EW33" s="383"/>
      <c r="EX33" s="383"/>
      <c r="EY33" s="383"/>
      <c r="EZ33" s="383"/>
      <c r="FA33" s="383"/>
      <c r="FB33" s="383"/>
      <c r="FC33" s="383"/>
      <c r="FD33" s="383"/>
      <c r="FE33" s="383"/>
      <c r="FF33" s="383"/>
      <c r="FG33" s="383"/>
      <c r="FH33" s="383"/>
      <c r="FI33" s="383"/>
      <c r="FJ33" s="383"/>
      <c r="FK33" s="383"/>
      <c r="FL33" s="383"/>
      <c r="FM33" s="383"/>
      <c r="FN33" s="383"/>
      <c r="FO33" s="383"/>
      <c r="FP33" s="383"/>
      <c r="FQ33" s="383"/>
      <c r="FR33" s="383"/>
      <c r="FS33" s="383"/>
      <c r="FT33" s="383"/>
      <c r="FU33" s="383"/>
      <c r="FV33" s="383"/>
      <c r="FW33" s="383"/>
      <c r="FX33" s="383"/>
      <c r="FY33" s="383"/>
      <c r="FZ33" s="383"/>
      <c r="GA33" s="383"/>
      <c r="GB33" s="383"/>
      <c r="GC33" s="383"/>
      <c r="GD33" s="383"/>
      <c r="GE33" s="383"/>
      <c r="GF33" s="383"/>
      <c r="GG33" s="383"/>
      <c r="GH33" s="383"/>
      <c r="GI33" s="383"/>
      <c r="GJ33" s="383"/>
      <c r="GK33" s="383"/>
      <c r="GL33" s="383"/>
      <c r="GM33" s="383"/>
      <c r="GN33" s="383"/>
      <c r="GO33" s="383"/>
      <c r="GP33" s="383"/>
      <c r="GQ33" s="383"/>
      <c r="GR33" s="383"/>
      <c r="GS33" s="383"/>
      <c r="GT33" s="383"/>
      <c r="GU33" s="383"/>
      <c r="GV33" s="383"/>
      <c r="GW33" s="383"/>
      <c r="GX33" s="383"/>
      <c r="GY33" s="383"/>
      <c r="GZ33" s="383"/>
      <c r="HA33" s="383"/>
      <c r="HB33" s="383"/>
      <c r="HC33" s="383"/>
      <c r="HD33" s="383"/>
      <c r="HE33" s="383"/>
      <c r="HF33" s="383"/>
      <c r="HG33" s="383"/>
      <c r="HH33" s="383"/>
      <c r="HI33" s="383"/>
      <c r="HJ33" s="383"/>
      <c r="HK33" s="383"/>
      <c r="HL33" s="383"/>
      <c r="HM33" s="383"/>
      <c r="HN33" s="383"/>
      <c r="HO33" s="383"/>
      <c r="HP33" s="383"/>
      <c r="HQ33" s="383"/>
      <c r="HR33" s="383"/>
      <c r="HS33" s="383"/>
      <c r="HT33" s="383"/>
      <c r="HU33" s="383"/>
      <c r="HV33" s="383"/>
      <c r="HW33" s="383"/>
      <c r="HX33" s="383"/>
      <c r="HY33" s="383"/>
      <c r="HZ33" s="383"/>
      <c r="IA33" s="383"/>
      <c r="IB33" s="383"/>
      <c r="IC33" s="383"/>
      <c r="ID33" s="383"/>
      <c r="IE33" s="383"/>
      <c r="IF33" s="383"/>
      <c r="IG33" s="383"/>
      <c r="IH33" s="383"/>
      <c r="II33" s="383"/>
      <c r="IJ33" s="383"/>
      <c r="IK33" s="383"/>
      <c r="IL33" s="383"/>
    </row>
    <row r="34" spans="1:246" ht="15" customHeight="1">
      <c r="A34" s="481" t="s">
        <v>257</v>
      </c>
      <c r="B34" s="482" t="s">
        <v>179</v>
      </c>
      <c r="C34" s="483" t="s">
        <v>222</v>
      </c>
      <c r="D34" s="14"/>
      <c r="E34" s="484" t="s">
        <v>379</v>
      </c>
      <c r="F34" s="484">
        <v>1321</v>
      </c>
      <c r="G34" s="479" t="str">
        <f t="shared" si="0"/>
        <v>01/2026</v>
      </c>
      <c r="H34" s="341">
        <f>SUMIF(VI.A!$B$6:$B$5963,B34,VI.A!$L$6:$L$5963)</f>
        <v>3.28592</v>
      </c>
      <c r="I34" s="341" t="str">
        <f t="shared" si="5"/>
        <v>si</v>
      </c>
      <c r="J34" s="383"/>
      <c r="K34" s="384">
        <f>IF(E34="SABESP","OK",VLOOKUP(F34,[6]ISD!$B$11:$F$4861,5,FALSE))</f>
        <v>8.17</v>
      </c>
      <c r="L34" s="384" t="str">
        <f t="shared" si="1"/>
        <v>VERIFICAR</v>
      </c>
      <c r="M34" s="480">
        <f t="shared" si="2"/>
        <v>8.17</v>
      </c>
      <c r="N34" s="383" t="b">
        <f t="shared" si="3"/>
        <v>0</v>
      </c>
      <c r="O34" s="383"/>
      <c r="P34" s="383"/>
      <c r="Q34" s="383"/>
      <c r="R34" s="383"/>
      <c r="S34" s="383"/>
      <c r="T34" s="383"/>
      <c r="U34" s="383"/>
      <c r="V34" s="383"/>
      <c r="W34" s="383"/>
      <c r="X34" s="383"/>
      <c r="Y34" s="383"/>
      <c r="Z34" s="383"/>
      <c r="AA34" s="383"/>
      <c r="AB34" s="383"/>
      <c r="AC34" s="383"/>
      <c r="AD34" s="383"/>
      <c r="AE34" s="383"/>
      <c r="AF34" s="383"/>
      <c r="AG34" s="383"/>
      <c r="AH34" s="383"/>
      <c r="AI34" s="383"/>
      <c r="AJ34" s="383"/>
      <c r="AK34" s="383"/>
      <c r="AL34" s="383"/>
      <c r="AM34" s="383"/>
      <c r="AN34" s="383"/>
      <c r="AO34" s="383"/>
      <c r="AP34" s="383"/>
      <c r="AQ34" s="383"/>
      <c r="AR34" s="383"/>
      <c r="AS34" s="383"/>
      <c r="AT34" s="383"/>
      <c r="AU34" s="383"/>
      <c r="AV34" s="383"/>
      <c r="AW34" s="383"/>
      <c r="AX34" s="383"/>
      <c r="AY34" s="383"/>
      <c r="AZ34" s="383"/>
      <c r="BA34" s="383"/>
      <c r="BB34" s="383"/>
      <c r="BC34" s="383"/>
      <c r="BD34" s="383"/>
      <c r="BE34" s="383"/>
      <c r="BF34" s="383"/>
      <c r="BG34" s="383"/>
      <c r="BH34" s="383"/>
      <c r="BI34" s="383"/>
      <c r="BJ34" s="383"/>
      <c r="BK34" s="383"/>
      <c r="BL34" s="383"/>
      <c r="BM34" s="383"/>
      <c r="BN34" s="383"/>
      <c r="BO34" s="383"/>
      <c r="BP34" s="383"/>
      <c r="BQ34" s="383"/>
      <c r="BR34" s="383"/>
      <c r="BS34" s="383"/>
      <c r="BT34" s="383"/>
      <c r="BU34" s="383"/>
      <c r="BV34" s="383"/>
      <c r="BW34" s="383"/>
      <c r="BX34" s="383"/>
      <c r="BY34" s="383"/>
      <c r="BZ34" s="383"/>
      <c r="CA34" s="383"/>
      <c r="CB34" s="383"/>
      <c r="CC34" s="383"/>
      <c r="CD34" s="383"/>
      <c r="CE34" s="383"/>
      <c r="CF34" s="383"/>
      <c r="CG34" s="383"/>
      <c r="CH34" s="383"/>
      <c r="CI34" s="383"/>
      <c r="CJ34" s="383"/>
      <c r="CK34" s="383"/>
      <c r="CL34" s="383"/>
      <c r="CM34" s="383"/>
      <c r="CN34" s="383"/>
      <c r="CO34" s="383"/>
      <c r="CP34" s="383"/>
      <c r="CQ34" s="383"/>
      <c r="CR34" s="383"/>
      <c r="CS34" s="383"/>
      <c r="CT34" s="383"/>
      <c r="CU34" s="383"/>
      <c r="CV34" s="383"/>
      <c r="CW34" s="383"/>
      <c r="CX34" s="383"/>
      <c r="CY34" s="383"/>
      <c r="CZ34" s="383"/>
      <c r="DA34" s="383"/>
      <c r="DB34" s="383"/>
      <c r="DC34" s="383"/>
      <c r="DD34" s="383"/>
      <c r="DE34" s="383"/>
      <c r="DF34" s="383"/>
      <c r="DG34" s="383"/>
      <c r="DH34" s="383"/>
      <c r="DI34" s="383"/>
      <c r="DJ34" s="383"/>
      <c r="DK34" s="383"/>
      <c r="DL34" s="383"/>
      <c r="DM34" s="383"/>
      <c r="DN34" s="383"/>
      <c r="DO34" s="383"/>
      <c r="DP34" s="383"/>
      <c r="DQ34" s="383"/>
      <c r="DR34" s="383"/>
      <c r="DS34" s="383"/>
      <c r="DT34" s="383"/>
      <c r="DU34" s="383"/>
      <c r="DV34" s="383"/>
      <c r="DW34" s="383"/>
      <c r="DX34" s="383"/>
      <c r="DY34" s="383"/>
      <c r="DZ34" s="383"/>
      <c r="EA34" s="383"/>
      <c r="EB34" s="383"/>
      <c r="EC34" s="383"/>
      <c r="ED34" s="383"/>
      <c r="EE34" s="383"/>
      <c r="EF34" s="383"/>
      <c r="EG34" s="383"/>
      <c r="EH34" s="383"/>
      <c r="EI34" s="383"/>
      <c r="EJ34" s="383"/>
      <c r="EK34" s="383"/>
      <c r="EL34" s="383"/>
      <c r="EM34" s="383"/>
      <c r="EN34" s="383"/>
      <c r="EO34" s="383"/>
      <c r="EP34" s="383"/>
      <c r="EQ34" s="383"/>
      <c r="ER34" s="383"/>
      <c r="ES34" s="383"/>
      <c r="ET34" s="383"/>
      <c r="EU34" s="383"/>
      <c r="EV34" s="383"/>
      <c r="EW34" s="383"/>
      <c r="EX34" s="383"/>
      <c r="EY34" s="383"/>
      <c r="EZ34" s="383"/>
      <c r="FA34" s="383"/>
      <c r="FB34" s="383"/>
      <c r="FC34" s="383"/>
      <c r="FD34" s="383"/>
      <c r="FE34" s="383"/>
      <c r="FF34" s="383"/>
      <c r="FG34" s="383"/>
      <c r="FH34" s="383"/>
      <c r="FI34" s="383"/>
      <c r="FJ34" s="383"/>
      <c r="FK34" s="383"/>
      <c r="FL34" s="383"/>
      <c r="FM34" s="383"/>
      <c r="FN34" s="383"/>
      <c r="FO34" s="383"/>
      <c r="FP34" s="383"/>
      <c r="FQ34" s="383"/>
      <c r="FR34" s="383"/>
      <c r="FS34" s="383"/>
      <c r="FT34" s="383"/>
      <c r="FU34" s="383"/>
      <c r="FV34" s="383"/>
      <c r="FW34" s="383"/>
      <c r="FX34" s="383"/>
      <c r="FY34" s="383"/>
      <c r="FZ34" s="383"/>
      <c r="GA34" s="383"/>
      <c r="GB34" s="383"/>
      <c r="GC34" s="383"/>
      <c r="GD34" s="383"/>
      <c r="GE34" s="383"/>
      <c r="GF34" s="383"/>
      <c r="GG34" s="383"/>
      <c r="GH34" s="383"/>
      <c r="GI34" s="383"/>
      <c r="GJ34" s="383"/>
      <c r="GK34" s="383"/>
      <c r="GL34" s="383"/>
      <c r="GM34" s="383"/>
      <c r="GN34" s="383"/>
      <c r="GO34" s="383"/>
      <c r="GP34" s="383"/>
      <c r="GQ34" s="383"/>
      <c r="GR34" s="383"/>
      <c r="GS34" s="383"/>
      <c r="GT34" s="383"/>
      <c r="GU34" s="383"/>
      <c r="GV34" s="383"/>
      <c r="GW34" s="383"/>
      <c r="GX34" s="383"/>
      <c r="GY34" s="383"/>
      <c r="GZ34" s="383"/>
      <c r="HA34" s="383"/>
      <c r="HB34" s="383"/>
      <c r="HC34" s="383"/>
      <c r="HD34" s="383"/>
      <c r="HE34" s="383"/>
      <c r="HF34" s="383"/>
      <c r="HG34" s="383"/>
      <c r="HH34" s="383"/>
      <c r="HI34" s="383"/>
      <c r="HJ34" s="383"/>
      <c r="HK34" s="383"/>
      <c r="HL34" s="383"/>
      <c r="HM34" s="383"/>
      <c r="HN34" s="383"/>
      <c r="HO34" s="383"/>
      <c r="HP34" s="383"/>
      <c r="HQ34" s="383"/>
      <c r="HR34" s="383"/>
      <c r="HS34" s="383"/>
      <c r="HT34" s="383"/>
      <c r="HU34" s="383"/>
      <c r="HV34" s="383"/>
      <c r="HW34" s="383"/>
      <c r="HX34" s="383"/>
      <c r="HY34" s="383"/>
      <c r="HZ34" s="383"/>
      <c r="IA34" s="383"/>
      <c r="IB34" s="383"/>
      <c r="IC34" s="383"/>
      <c r="ID34" s="383"/>
      <c r="IE34" s="383"/>
      <c r="IF34" s="383"/>
      <c r="IG34" s="383"/>
      <c r="IH34" s="383"/>
      <c r="II34" s="383"/>
      <c r="IJ34" s="383"/>
      <c r="IK34" s="383"/>
      <c r="IL34" s="383"/>
    </row>
    <row r="35" spans="1:246" ht="15" customHeight="1">
      <c r="A35" s="481" t="s">
        <v>258</v>
      </c>
      <c r="B35" s="482" t="s">
        <v>180</v>
      </c>
      <c r="C35" s="483" t="s">
        <v>222</v>
      </c>
      <c r="D35" s="14"/>
      <c r="E35" s="484" t="s">
        <v>379</v>
      </c>
      <c r="F35" s="484">
        <v>11027</v>
      </c>
      <c r="G35" s="479" t="str">
        <f t="shared" si="0"/>
        <v>01/2026</v>
      </c>
      <c r="H35" s="341">
        <f>SUMIF(VI.A!$B$6:$B$5963,B35,VI.A!$L$6:$L$5963)</f>
        <v>930</v>
      </c>
      <c r="I35" s="341" t="str">
        <f t="shared" si="5"/>
        <v>si</v>
      </c>
      <c r="J35" s="383"/>
      <c r="K35" s="384">
        <f>IF(E35="SABESP","OK",VLOOKUP(F35,[6]ISD!$B$11:$F$4861,5,FALSE))</f>
        <v>10.42</v>
      </c>
      <c r="L35" s="384" t="str">
        <f t="shared" si="1"/>
        <v>VERIFICAR</v>
      </c>
      <c r="M35" s="480">
        <f t="shared" si="2"/>
        <v>10.42</v>
      </c>
      <c r="N35" s="383" t="b">
        <f t="shared" si="3"/>
        <v>0</v>
      </c>
      <c r="O35" s="383"/>
      <c r="P35" s="383"/>
      <c r="Q35" s="383"/>
      <c r="R35" s="383"/>
      <c r="S35" s="383"/>
      <c r="T35" s="383"/>
      <c r="U35" s="383"/>
      <c r="V35" s="383"/>
      <c r="W35" s="383"/>
      <c r="X35" s="383"/>
      <c r="Y35" s="383"/>
      <c r="Z35" s="383"/>
      <c r="AA35" s="383"/>
      <c r="AB35" s="383"/>
      <c r="AC35" s="383"/>
      <c r="AD35" s="383"/>
      <c r="AE35" s="383"/>
      <c r="AF35" s="383"/>
      <c r="AG35" s="383"/>
      <c r="AH35" s="383"/>
      <c r="AI35" s="383"/>
      <c r="AJ35" s="383"/>
      <c r="AK35" s="383"/>
      <c r="AL35" s="383"/>
      <c r="AM35" s="383"/>
      <c r="AN35" s="383"/>
      <c r="AO35" s="383"/>
      <c r="AP35" s="383"/>
      <c r="AQ35" s="383"/>
      <c r="AR35" s="383"/>
      <c r="AS35" s="383"/>
      <c r="AT35" s="383"/>
      <c r="AU35" s="383"/>
      <c r="AV35" s="383"/>
      <c r="AW35" s="383"/>
      <c r="AX35" s="383"/>
      <c r="AY35" s="383"/>
      <c r="AZ35" s="383"/>
      <c r="BA35" s="383"/>
      <c r="BB35" s="383"/>
      <c r="BC35" s="383"/>
      <c r="BD35" s="383"/>
      <c r="BE35" s="383"/>
      <c r="BF35" s="383"/>
      <c r="BG35" s="383"/>
      <c r="BH35" s="383"/>
      <c r="BI35" s="383"/>
      <c r="BJ35" s="383"/>
      <c r="BK35" s="383"/>
      <c r="BL35" s="383"/>
      <c r="BM35" s="383"/>
      <c r="BN35" s="383"/>
      <c r="BO35" s="383"/>
      <c r="BP35" s="383"/>
      <c r="BQ35" s="383"/>
      <c r="BR35" s="383"/>
      <c r="BS35" s="383"/>
      <c r="BT35" s="383"/>
      <c r="BU35" s="383"/>
      <c r="BV35" s="383"/>
      <c r="BW35" s="383"/>
      <c r="BX35" s="383"/>
      <c r="BY35" s="383"/>
      <c r="BZ35" s="383"/>
      <c r="CA35" s="383"/>
      <c r="CB35" s="383"/>
      <c r="CC35" s="383"/>
      <c r="CD35" s="383"/>
      <c r="CE35" s="383"/>
      <c r="CF35" s="383"/>
      <c r="CG35" s="383"/>
      <c r="CH35" s="383"/>
      <c r="CI35" s="383"/>
      <c r="CJ35" s="383"/>
      <c r="CK35" s="383"/>
      <c r="CL35" s="383"/>
      <c r="CM35" s="383"/>
      <c r="CN35" s="383"/>
      <c r="CO35" s="383"/>
      <c r="CP35" s="383"/>
      <c r="CQ35" s="383"/>
      <c r="CR35" s="383"/>
      <c r="CS35" s="383"/>
      <c r="CT35" s="383"/>
      <c r="CU35" s="383"/>
      <c r="CV35" s="383"/>
      <c r="CW35" s="383"/>
      <c r="CX35" s="383"/>
      <c r="CY35" s="383"/>
      <c r="CZ35" s="383"/>
      <c r="DA35" s="383"/>
      <c r="DB35" s="383"/>
      <c r="DC35" s="383"/>
      <c r="DD35" s="383"/>
      <c r="DE35" s="383"/>
      <c r="DF35" s="383"/>
      <c r="DG35" s="383"/>
      <c r="DH35" s="383"/>
      <c r="DI35" s="383"/>
      <c r="DJ35" s="383"/>
      <c r="DK35" s="383"/>
      <c r="DL35" s="383"/>
      <c r="DM35" s="383"/>
      <c r="DN35" s="383"/>
      <c r="DO35" s="383"/>
      <c r="DP35" s="383"/>
      <c r="DQ35" s="383"/>
      <c r="DR35" s="383"/>
      <c r="DS35" s="383"/>
      <c r="DT35" s="383"/>
      <c r="DU35" s="383"/>
      <c r="DV35" s="383"/>
      <c r="DW35" s="383"/>
      <c r="DX35" s="383"/>
      <c r="DY35" s="383"/>
      <c r="DZ35" s="383"/>
      <c r="EA35" s="383"/>
      <c r="EB35" s="383"/>
      <c r="EC35" s="383"/>
      <c r="ED35" s="383"/>
      <c r="EE35" s="383"/>
      <c r="EF35" s="383"/>
      <c r="EG35" s="383"/>
      <c r="EH35" s="383"/>
      <c r="EI35" s="383"/>
      <c r="EJ35" s="383"/>
      <c r="EK35" s="383"/>
      <c r="EL35" s="383"/>
      <c r="EM35" s="383"/>
      <c r="EN35" s="383"/>
      <c r="EO35" s="383"/>
      <c r="EP35" s="383"/>
      <c r="EQ35" s="383"/>
      <c r="ER35" s="383"/>
      <c r="ES35" s="383"/>
      <c r="ET35" s="383"/>
      <c r="EU35" s="383"/>
      <c r="EV35" s="383"/>
      <c r="EW35" s="383"/>
      <c r="EX35" s="383"/>
      <c r="EY35" s="383"/>
      <c r="EZ35" s="383"/>
      <c r="FA35" s="383"/>
      <c r="FB35" s="383"/>
      <c r="FC35" s="383"/>
      <c r="FD35" s="383"/>
      <c r="FE35" s="383"/>
      <c r="FF35" s="383"/>
      <c r="FG35" s="383"/>
      <c r="FH35" s="383"/>
      <c r="FI35" s="383"/>
      <c r="FJ35" s="383"/>
      <c r="FK35" s="383"/>
      <c r="FL35" s="383"/>
      <c r="FM35" s="383"/>
      <c r="FN35" s="383"/>
      <c r="FO35" s="383"/>
      <c r="FP35" s="383"/>
      <c r="FQ35" s="383"/>
      <c r="FR35" s="383"/>
      <c r="FS35" s="383"/>
      <c r="FT35" s="383"/>
      <c r="FU35" s="383"/>
      <c r="FV35" s="383"/>
      <c r="FW35" s="383"/>
      <c r="FX35" s="383"/>
      <c r="FY35" s="383"/>
      <c r="FZ35" s="383"/>
      <c r="GA35" s="383"/>
      <c r="GB35" s="383"/>
      <c r="GC35" s="383"/>
      <c r="GD35" s="383"/>
      <c r="GE35" s="383"/>
      <c r="GF35" s="383"/>
      <c r="GG35" s="383"/>
      <c r="GH35" s="383"/>
      <c r="GI35" s="383"/>
      <c r="GJ35" s="383"/>
      <c r="GK35" s="383"/>
      <c r="GL35" s="383"/>
      <c r="GM35" s="383"/>
      <c r="GN35" s="383"/>
      <c r="GO35" s="383"/>
      <c r="GP35" s="383"/>
      <c r="GQ35" s="383"/>
      <c r="GR35" s="383"/>
      <c r="GS35" s="383"/>
      <c r="GT35" s="383"/>
      <c r="GU35" s="383"/>
      <c r="GV35" s="383"/>
      <c r="GW35" s="383"/>
      <c r="GX35" s="383"/>
      <c r="GY35" s="383"/>
      <c r="GZ35" s="383"/>
      <c r="HA35" s="383"/>
      <c r="HB35" s="383"/>
      <c r="HC35" s="383"/>
      <c r="HD35" s="383"/>
      <c r="HE35" s="383"/>
      <c r="HF35" s="383"/>
      <c r="HG35" s="383"/>
      <c r="HH35" s="383"/>
      <c r="HI35" s="383"/>
      <c r="HJ35" s="383"/>
      <c r="HK35" s="383"/>
      <c r="HL35" s="383"/>
      <c r="HM35" s="383"/>
      <c r="HN35" s="383"/>
      <c r="HO35" s="383"/>
      <c r="HP35" s="383"/>
      <c r="HQ35" s="383"/>
      <c r="HR35" s="383"/>
      <c r="HS35" s="383"/>
      <c r="HT35" s="383"/>
      <c r="HU35" s="383"/>
      <c r="HV35" s="383"/>
      <c r="HW35" s="383"/>
      <c r="HX35" s="383"/>
      <c r="HY35" s="383"/>
      <c r="HZ35" s="383"/>
      <c r="IA35" s="383"/>
      <c r="IB35" s="383"/>
      <c r="IC35" s="383"/>
      <c r="ID35" s="383"/>
      <c r="IE35" s="383"/>
      <c r="IF35" s="383"/>
      <c r="IG35" s="383"/>
      <c r="IH35" s="383"/>
      <c r="II35" s="383"/>
      <c r="IJ35" s="383"/>
      <c r="IK35" s="383"/>
      <c r="IL35" s="383"/>
    </row>
    <row r="36" spans="1:246" ht="15" customHeight="1">
      <c r="A36" s="481" t="s">
        <v>259</v>
      </c>
      <c r="B36" s="482" t="s">
        <v>181</v>
      </c>
      <c r="C36" s="483" t="s">
        <v>222</v>
      </c>
      <c r="D36" s="14"/>
      <c r="E36" s="484" t="s">
        <v>379</v>
      </c>
      <c r="F36" s="484">
        <v>37329</v>
      </c>
      <c r="G36" s="479" t="str">
        <f t="shared" si="0"/>
        <v>01/2026</v>
      </c>
      <c r="H36" s="341">
        <f>SUMIF(VI.A!$B$6:$B$5963,B36,VI.A!$L$6:$L$5963)</f>
        <v>162.05000000000001</v>
      </c>
      <c r="I36" s="341" t="str">
        <f t="shared" si="5"/>
        <v>si</v>
      </c>
      <c r="J36" s="383"/>
      <c r="K36" s="384">
        <f>IF(E36="SABESP","OK",VLOOKUP(F36,[6]ISD!$B$11:$F$4861,5,FALSE))</f>
        <v>98.93</v>
      </c>
      <c r="L36" s="384" t="str">
        <f t="shared" si="1"/>
        <v>VERIFICAR</v>
      </c>
      <c r="M36" s="480">
        <f t="shared" si="2"/>
        <v>98.93</v>
      </c>
      <c r="N36" s="383" t="b">
        <f t="shared" si="3"/>
        <v>0</v>
      </c>
      <c r="O36" s="383"/>
      <c r="P36" s="383"/>
      <c r="Q36" s="383"/>
      <c r="R36" s="383"/>
      <c r="S36" s="383"/>
      <c r="T36" s="383"/>
      <c r="U36" s="383"/>
      <c r="V36" s="383"/>
      <c r="W36" s="383"/>
      <c r="X36" s="383"/>
      <c r="Y36" s="383"/>
      <c r="Z36" s="383"/>
      <c r="AA36" s="383"/>
      <c r="AB36" s="383"/>
      <c r="AC36" s="383"/>
      <c r="AD36" s="383"/>
      <c r="AE36" s="383"/>
      <c r="AF36" s="383"/>
      <c r="AG36" s="383"/>
      <c r="AH36" s="383"/>
      <c r="AI36" s="383"/>
      <c r="AJ36" s="383"/>
      <c r="AK36" s="383"/>
      <c r="AL36" s="383"/>
      <c r="AM36" s="383"/>
      <c r="AN36" s="383"/>
      <c r="AO36" s="383"/>
      <c r="AP36" s="383"/>
      <c r="AQ36" s="383"/>
      <c r="AR36" s="383"/>
      <c r="AS36" s="383"/>
      <c r="AT36" s="383"/>
      <c r="AU36" s="383"/>
      <c r="AV36" s="383"/>
      <c r="AW36" s="383"/>
      <c r="AX36" s="383"/>
      <c r="AY36" s="383"/>
      <c r="AZ36" s="383"/>
      <c r="BA36" s="383"/>
      <c r="BB36" s="383"/>
      <c r="BC36" s="383"/>
      <c r="BD36" s="383"/>
      <c r="BE36" s="383"/>
      <c r="BF36" s="383"/>
      <c r="BG36" s="383"/>
      <c r="BH36" s="383"/>
      <c r="BI36" s="383"/>
      <c r="BJ36" s="383"/>
      <c r="BK36" s="383"/>
      <c r="BL36" s="383"/>
      <c r="BM36" s="383"/>
      <c r="BN36" s="383"/>
      <c r="BO36" s="383"/>
      <c r="BP36" s="383"/>
      <c r="BQ36" s="383"/>
      <c r="BR36" s="383"/>
      <c r="BS36" s="383"/>
      <c r="BT36" s="383"/>
      <c r="BU36" s="383"/>
      <c r="BV36" s="383"/>
      <c r="BW36" s="383"/>
      <c r="BX36" s="383"/>
      <c r="BY36" s="383"/>
      <c r="BZ36" s="383"/>
      <c r="CA36" s="383"/>
      <c r="CB36" s="383"/>
      <c r="CC36" s="383"/>
      <c r="CD36" s="383"/>
      <c r="CE36" s="383"/>
      <c r="CF36" s="383"/>
      <c r="CG36" s="383"/>
      <c r="CH36" s="383"/>
      <c r="CI36" s="383"/>
      <c r="CJ36" s="383"/>
      <c r="CK36" s="383"/>
      <c r="CL36" s="383"/>
      <c r="CM36" s="383"/>
      <c r="CN36" s="383"/>
      <c r="CO36" s="383"/>
      <c r="CP36" s="383"/>
      <c r="CQ36" s="383"/>
      <c r="CR36" s="383"/>
      <c r="CS36" s="383"/>
      <c r="CT36" s="383"/>
      <c r="CU36" s="383"/>
      <c r="CV36" s="383"/>
      <c r="CW36" s="383"/>
      <c r="CX36" s="383"/>
      <c r="CY36" s="383"/>
      <c r="CZ36" s="383"/>
      <c r="DA36" s="383"/>
      <c r="DB36" s="383"/>
      <c r="DC36" s="383"/>
      <c r="DD36" s="383"/>
      <c r="DE36" s="383"/>
      <c r="DF36" s="383"/>
      <c r="DG36" s="383"/>
      <c r="DH36" s="383"/>
      <c r="DI36" s="383"/>
      <c r="DJ36" s="383"/>
      <c r="DK36" s="383"/>
      <c r="DL36" s="383"/>
      <c r="DM36" s="383"/>
      <c r="DN36" s="383"/>
      <c r="DO36" s="383"/>
      <c r="DP36" s="383"/>
      <c r="DQ36" s="383"/>
      <c r="DR36" s="383"/>
      <c r="DS36" s="383"/>
      <c r="DT36" s="383"/>
      <c r="DU36" s="383"/>
      <c r="DV36" s="383"/>
      <c r="DW36" s="383"/>
      <c r="DX36" s="383"/>
      <c r="DY36" s="383"/>
      <c r="DZ36" s="383"/>
      <c r="EA36" s="383"/>
      <c r="EB36" s="383"/>
      <c r="EC36" s="383"/>
      <c r="ED36" s="383"/>
      <c r="EE36" s="383"/>
      <c r="EF36" s="383"/>
      <c r="EG36" s="383"/>
      <c r="EH36" s="383"/>
      <c r="EI36" s="383"/>
      <c r="EJ36" s="383"/>
      <c r="EK36" s="383"/>
      <c r="EL36" s="383"/>
      <c r="EM36" s="383"/>
      <c r="EN36" s="383"/>
      <c r="EO36" s="383"/>
      <c r="EP36" s="383"/>
      <c r="EQ36" s="383"/>
      <c r="ER36" s="383"/>
      <c r="ES36" s="383"/>
      <c r="ET36" s="383"/>
      <c r="EU36" s="383"/>
      <c r="EV36" s="383"/>
      <c r="EW36" s="383"/>
      <c r="EX36" s="383"/>
      <c r="EY36" s="383"/>
      <c r="EZ36" s="383"/>
      <c r="FA36" s="383"/>
      <c r="FB36" s="383"/>
      <c r="FC36" s="383"/>
      <c r="FD36" s="383"/>
      <c r="FE36" s="383"/>
      <c r="FF36" s="383"/>
      <c r="FG36" s="383"/>
      <c r="FH36" s="383"/>
      <c r="FI36" s="383"/>
      <c r="FJ36" s="383"/>
      <c r="FK36" s="383"/>
      <c r="FL36" s="383"/>
      <c r="FM36" s="383"/>
      <c r="FN36" s="383"/>
      <c r="FO36" s="383"/>
      <c r="FP36" s="383"/>
      <c r="FQ36" s="383"/>
      <c r="FR36" s="383"/>
      <c r="FS36" s="383"/>
      <c r="FT36" s="383"/>
      <c r="FU36" s="383"/>
      <c r="FV36" s="383"/>
      <c r="FW36" s="383"/>
      <c r="FX36" s="383"/>
      <c r="FY36" s="383"/>
      <c r="FZ36" s="383"/>
      <c r="GA36" s="383"/>
      <c r="GB36" s="383"/>
      <c r="GC36" s="383"/>
      <c r="GD36" s="383"/>
      <c r="GE36" s="383"/>
      <c r="GF36" s="383"/>
      <c r="GG36" s="383"/>
      <c r="GH36" s="383"/>
      <c r="GI36" s="383"/>
      <c r="GJ36" s="383"/>
      <c r="GK36" s="383"/>
      <c r="GL36" s="383"/>
      <c r="GM36" s="383"/>
      <c r="GN36" s="383"/>
      <c r="GO36" s="383"/>
      <c r="GP36" s="383"/>
      <c r="GQ36" s="383"/>
      <c r="GR36" s="383"/>
      <c r="GS36" s="383"/>
      <c r="GT36" s="383"/>
      <c r="GU36" s="383"/>
      <c r="GV36" s="383"/>
      <c r="GW36" s="383"/>
      <c r="GX36" s="383"/>
      <c r="GY36" s="383"/>
      <c r="GZ36" s="383"/>
      <c r="HA36" s="383"/>
      <c r="HB36" s="383"/>
      <c r="HC36" s="383"/>
      <c r="HD36" s="383"/>
      <c r="HE36" s="383"/>
      <c r="HF36" s="383"/>
      <c r="HG36" s="383"/>
      <c r="HH36" s="383"/>
      <c r="HI36" s="383"/>
      <c r="HJ36" s="383"/>
      <c r="HK36" s="383"/>
      <c r="HL36" s="383"/>
      <c r="HM36" s="383"/>
      <c r="HN36" s="383"/>
      <c r="HO36" s="383"/>
      <c r="HP36" s="383"/>
      <c r="HQ36" s="383"/>
      <c r="HR36" s="383"/>
      <c r="HS36" s="383"/>
      <c r="HT36" s="383"/>
      <c r="HU36" s="383"/>
      <c r="HV36" s="383"/>
      <c r="HW36" s="383"/>
      <c r="HX36" s="383"/>
      <c r="HY36" s="383"/>
      <c r="HZ36" s="383"/>
      <c r="IA36" s="383"/>
      <c r="IB36" s="383"/>
      <c r="IC36" s="383"/>
      <c r="ID36" s="383"/>
      <c r="IE36" s="383"/>
      <c r="IF36" s="383"/>
      <c r="IG36" s="383"/>
      <c r="IH36" s="383"/>
      <c r="II36" s="383"/>
      <c r="IJ36" s="383"/>
      <c r="IK36" s="383"/>
      <c r="IL36" s="383"/>
    </row>
    <row r="37" spans="1:246" ht="15" customHeight="1">
      <c r="A37" s="481" t="s">
        <v>260</v>
      </c>
      <c r="B37" s="482" t="s">
        <v>448</v>
      </c>
      <c r="C37" s="483" t="s">
        <v>222</v>
      </c>
      <c r="D37" s="14"/>
      <c r="E37" s="484" t="s">
        <v>379</v>
      </c>
      <c r="F37" s="484">
        <v>1375</v>
      </c>
      <c r="G37" s="479" t="str">
        <f t="shared" si="0"/>
        <v>01/2026</v>
      </c>
      <c r="H37" s="341">
        <f>SUMIF(VI.A!$B$6:$B$5963,B37,VI.A!$L$6:$L$5963)</f>
        <v>450</v>
      </c>
      <c r="I37" s="341" t="str">
        <f t="shared" si="5"/>
        <v>si</v>
      </c>
      <c r="J37" s="383"/>
      <c r="K37" s="384">
        <f>IF(E37="SABESP","OK",VLOOKUP(F37,[6]ISD!$B$11:$F$4861,5,FALSE))</f>
        <v>15.83</v>
      </c>
      <c r="L37" s="384" t="str">
        <f t="shared" si="1"/>
        <v>VERIFICAR</v>
      </c>
      <c r="M37" s="480">
        <f t="shared" si="2"/>
        <v>15.83</v>
      </c>
      <c r="N37" s="383" t="b">
        <f t="shared" si="3"/>
        <v>0</v>
      </c>
      <c r="O37" s="383"/>
      <c r="P37" s="383"/>
      <c r="Q37" s="383"/>
      <c r="R37" s="383"/>
      <c r="S37" s="383"/>
      <c r="T37" s="383"/>
      <c r="U37" s="383"/>
      <c r="V37" s="383"/>
      <c r="W37" s="383"/>
      <c r="X37" s="383"/>
      <c r="Y37" s="383"/>
      <c r="Z37" s="383"/>
      <c r="AA37" s="383"/>
      <c r="AB37" s="383"/>
      <c r="AC37" s="383"/>
      <c r="AD37" s="383"/>
      <c r="AE37" s="383"/>
      <c r="AF37" s="383"/>
      <c r="AG37" s="383"/>
      <c r="AH37" s="383"/>
      <c r="AI37" s="383"/>
      <c r="AJ37" s="383"/>
      <c r="AK37" s="383"/>
      <c r="AL37" s="383"/>
      <c r="AM37" s="383"/>
      <c r="AN37" s="383"/>
      <c r="AO37" s="383"/>
      <c r="AP37" s="383"/>
      <c r="AQ37" s="383"/>
      <c r="AR37" s="383"/>
      <c r="AS37" s="383"/>
      <c r="AT37" s="383"/>
      <c r="AU37" s="383"/>
      <c r="AV37" s="383"/>
      <c r="AW37" s="383"/>
      <c r="AX37" s="383"/>
      <c r="AY37" s="383"/>
      <c r="AZ37" s="383"/>
      <c r="BA37" s="383"/>
      <c r="BB37" s="383"/>
      <c r="BC37" s="383"/>
      <c r="BD37" s="383"/>
      <c r="BE37" s="383"/>
      <c r="BF37" s="383"/>
      <c r="BG37" s="383"/>
      <c r="BH37" s="383"/>
      <c r="BI37" s="383"/>
      <c r="BJ37" s="383"/>
      <c r="BK37" s="383"/>
      <c r="BL37" s="383"/>
      <c r="BM37" s="383"/>
      <c r="BN37" s="383"/>
      <c r="BO37" s="383"/>
      <c r="BP37" s="383"/>
      <c r="BQ37" s="383"/>
      <c r="BR37" s="383"/>
      <c r="BS37" s="383"/>
      <c r="BT37" s="383"/>
      <c r="BU37" s="383"/>
      <c r="BV37" s="383"/>
      <c r="BW37" s="383"/>
      <c r="BX37" s="383"/>
      <c r="BY37" s="383"/>
      <c r="BZ37" s="383"/>
      <c r="CA37" s="383"/>
      <c r="CB37" s="383"/>
      <c r="CC37" s="383"/>
      <c r="CD37" s="383"/>
      <c r="CE37" s="383"/>
      <c r="CF37" s="383"/>
      <c r="CG37" s="383"/>
      <c r="CH37" s="383"/>
      <c r="CI37" s="383"/>
      <c r="CJ37" s="383"/>
      <c r="CK37" s="383"/>
      <c r="CL37" s="383"/>
      <c r="CM37" s="383"/>
      <c r="CN37" s="383"/>
      <c r="CO37" s="383"/>
      <c r="CP37" s="383"/>
      <c r="CQ37" s="383"/>
      <c r="CR37" s="383"/>
      <c r="CS37" s="383"/>
      <c r="CT37" s="383"/>
      <c r="CU37" s="383"/>
      <c r="CV37" s="383"/>
      <c r="CW37" s="383"/>
      <c r="CX37" s="383"/>
      <c r="CY37" s="383"/>
      <c r="CZ37" s="383"/>
      <c r="DA37" s="383"/>
      <c r="DB37" s="383"/>
      <c r="DC37" s="383"/>
      <c r="DD37" s="383"/>
      <c r="DE37" s="383"/>
      <c r="DF37" s="383"/>
      <c r="DG37" s="383"/>
      <c r="DH37" s="383"/>
      <c r="DI37" s="383"/>
      <c r="DJ37" s="383"/>
      <c r="DK37" s="383"/>
      <c r="DL37" s="383"/>
      <c r="DM37" s="383"/>
      <c r="DN37" s="383"/>
      <c r="DO37" s="383"/>
      <c r="DP37" s="383"/>
      <c r="DQ37" s="383"/>
      <c r="DR37" s="383"/>
      <c r="DS37" s="383"/>
      <c r="DT37" s="383"/>
      <c r="DU37" s="383"/>
      <c r="DV37" s="383"/>
      <c r="DW37" s="383"/>
      <c r="DX37" s="383"/>
      <c r="DY37" s="383"/>
      <c r="DZ37" s="383"/>
      <c r="EA37" s="383"/>
      <c r="EB37" s="383"/>
      <c r="EC37" s="383"/>
      <c r="ED37" s="383"/>
      <c r="EE37" s="383"/>
      <c r="EF37" s="383"/>
      <c r="EG37" s="383"/>
      <c r="EH37" s="383"/>
      <c r="EI37" s="383"/>
      <c r="EJ37" s="383"/>
      <c r="EK37" s="383"/>
      <c r="EL37" s="383"/>
      <c r="EM37" s="383"/>
      <c r="EN37" s="383"/>
      <c r="EO37" s="383"/>
      <c r="EP37" s="383"/>
      <c r="EQ37" s="383"/>
      <c r="ER37" s="383"/>
      <c r="ES37" s="383"/>
      <c r="ET37" s="383"/>
      <c r="EU37" s="383"/>
      <c r="EV37" s="383"/>
      <c r="EW37" s="383"/>
      <c r="EX37" s="383"/>
      <c r="EY37" s="383"/>
      <c r="EZ37" s="383"/>
      <c r="FA37" s="383"/>
      <c r="FB37" s="383"/>
      <c r="FC37" s="383"/>
      <c r="FD37" s="383"/>
      <c r="FE37" s="383"/>
      <c r="FF37" s="383"/>
      <c r="FG37" s="383"/>
      <c r="FH37" s="383"/>
      <c r="FI37" s="383"/>
      <c r="FJ37" s="383"/>
      <c r="FK37" s="383"/>
      <c r="FL37" s="383"/>
      <c r="FM37" s="383"/>
      <c r="FN37" s="383"/>
      <c r="FO37" s="383"/>
      <c r="FP37" s="383"/>
      <c r="FQ37" s="383"/>
      <c r="FR37" s="383"/>
      <c r="FS37" s="383"/>
      <c r="FT37" s="383"/>
      <c r="FU37" s="383"/>
      <c r="FV37" s="383"/>
      <c r="FW37" s="383"/>
      <c r="FX37" s="383"/>
      <c r="FY37" s="383"/>
      <c r="FZ37" s="383"/>
      <c r="GA37" s="383"/>
      <c r="GB37" s="383"/>
      <c r="GC37" s="383"/>
      <c r="GD37" s="383"/>
      <c r="GE37" s="383"/>
      <c r="GF37" s="383"/>
      <c r="GG37" s="383"/>
      <c r="GH37" s="383"/>
      <c r="GI37" s="383"/>
      <c r="GJ37" s="383"/>
      <c r="GK37" s="383"/>
      <c r="GL37" s="383"/>
      <c r="GM37" s="383"/>
      <c r="GN37" s="383"/>
      <c r="GO37" s="383"/>
      <c r="GP37" s="383"/>
      <c r="GQ37" s="383"/>
      <c r="GR37" s="383"/>
      <c r="GS37" s="383"/>
      <c r="GT37" s="383"/>
      <c r="GU37" s="383"/>
      <c r="GV37" s="383"/>
      <c r="GW37" s="383"/>
      <c r="GX37" s="383"/>
      <c r="GY37" s="383"/>
      <c r="GZ37" s="383"/>
      <c r="HA37" s="383"/>
      <c r="HB37" s="383"/>
      <c r="HC37" s="383"/>
      <c r="HD37" s="383"/>
      <c r="HE37" s="383"/>
      <c r="HF37" s="383"/>
      <c r="HG37" s="383"/>
      <c r="HH37" s="383"/>
      <c r="HI37" s="383"/>
      <c r="HJ37" s="383"/>
      <c r="HK37" s="383"/>
      <c r="HL37" s="383"/>
      <c r="HM37" s="383"/>
      <c r="HN37" s="383"/>
      <c r="HO37" s="383"/>
      <c r="HP37" s="383"/>
      <c r="HQ37" s="383"/>
      <c r="HR37" s="383"/>
      <c r="HS37" s="383"/>
      <c r="HT37" s="383"/>
      <c r="HU37" s="383"/>
      <c r="HV37" s="383"/>
      <c r="HW37" s="383"/>
      <c r="HX37" s="383"/>
      <c r="HY37" s="383"/>
      <c r="HZ37" s="383"/>
      <c r="IA37" s="383"/>
      <c r="IB37" s="383"/>
      <c r="IC37" s="383"/>
      <c r="ID37" s="383"/>
      <c r="IE37" s="383"/>
      <c r="IF37" s="383"/>
      <c r="IG37" s="383"/>
      <c r="IH37" s="383"/>
      <c r="II37" s="383"/>
      <c r="IJ37" s="383"/>
      <c r="IK37" s="383"/>
      <c r="IL37" s="383"/>
    </row>
    <row r="38" spans="1:246" ht="15" customHeight="1">
      <c r="A38" s="481" t="s">
        <v>261</v>
      </c>
      <c r="B38" s="482" t="s">
        <v>182</v>
      </c>
      <c r="C38" s="483" t="s">
        <v>222</v>
      </c>
      <c r="D38" s="14"/>
      <c r="E38" s="484" t="s">
        <v>379</v>
      </c>
      <c r="F38" s="484">
        <v>1379</v>
      </c>
      <c r="G38" s="479" t="str">
        <f t="shared" si="0"/>
        <v>01/2026</v>
      </c>
      <c r="H38" s="341">
        <f>SUMIF(VI.A!$B$6:$B$5963,B38,VI.A!$L$6:$L$5963)</f>
        <v>736533.34417399997</v>
      </c>
      <c r="I38" s="341" t="str">
        <f t="shared" si="5"/>
        <v>si</v>
      </c>
      <c r="J38" s="383"/>
      <c r="K38" s="384">
        <f>IF(E38="SABESP","OK",VLOOKUP(F38,[6]ISD!$B$11:$F$4861,5,FALSE))</f>
        <v>0.67</v>
      </c>
      <c r="L38" s="384" t="str">
        <f t="shared" si="1"/>
        <v>VERIFICAR</v>
      </c>
      <c r="M38" s="480">
        <f t="shared" si="2"/>
        <v>0.67</v>
      </c>
      <c r="N38" s="383" t="b">
        <f t="shared" si="3"/>
        <v>0</v>
      </c>
      <c r="O38" s="383"/>
      <c r="P38" s="383"/>
      <c r="Q38" s="383"/>
      <c r="R38" s="383"/>
      <c r="S38" s="383"/>
      <c r="T38" s="383"/>
      <c r="U38" s="383"/>
      <c r="V38" s="383"/>
      <c r="W38" s="383"/>
      <c r="X38" s="383"/>
      <c r="Y38" s="383"/>
      <c r="Z38" s="383"/>
      <c r="AA38" s="383"/>
      <c r="AB38" s="383"/>
      <c r="AC38" s="383"/>
      <c r="AD38" s="383"/>
      <c r="AE38" s="383"/>
      <c r="AF38" s="383"/>
      <c r="AG38" s="383"/>
      <c r="AH38" s="383"/>
      <c r="AI38" s="383"/>
      <c r="AJ38" s="383"/>
      <c r="AK38" s="383"/>
      <c r="AL38" s="383"/>
      <c r="AM38" s="383"/>
      <c r="AN38" s="383"/>
      <c r="AO38" s="383"/>
      <c r="AP38" s="383"/>
      <c r="AQ38" s="383"/>
      <c r="AR38" s="383"/>
      <c r="AS38" s="383"/>
      <c r="AT38" s="383"/>
      <c r="AU38" s="383"/>
      <c r="AV38" s="383"/>
      <c r="AW38" s="383"/>
      <c r="AX38" s="383"/>
      <c r="AY38" s="383"/>
      <c r="AZ38" s="383"/>
      <c r="BA38" s="383"/>
      <c r="BB38" s="383"/>
      <c r="BC38" s="383"/>
      <c r="BD38" s="383"/>
      <c r="BE38" s="383"/>
      <c r="BF38" s="383"/>
      <c r="BG38" s="383"/>
      <c r="BH38" s="383"/>
      <c r="BI38" s="383"/>
      <c r="BJ38" s="383"/>
      <c r="BK38" s="383"/>
      <c r="BL38" s="383"/>
      <c r="BM38" s="383"/>
      <c r="BN38" s="383"/>
      <c r="BO38" s="383"/>
      <c r="BP38" s="383"/>
      <c r="BQ38" s="383"/>
      <c r="BR38" s="383"/>
      <c r="BS38" s="383"/>
      <c r="BT38" s="383"/>
      <c r="BU38" s="383"/>
      <c r="BV38" s="383"/>
      <c r="BW38" s="383"/>
      <c r="BX38" s="383"/>
      <c r="BY38" s="383"/>
      <c r="BZ38" s="383"/>
      <c r="CA38" s="383"/>
      <c r="CB38" s="383"/>
      <c r="CC38" s="383"/>
      <c r="CD38" s="383"/>
      <c r="CE38" s="383"/>
      <c r="CF38" s="383"/>
      <c r="CG38" s="383"/>
      <c r="CH38" s="383"/>
      <c r="CI38" s="383"/>
      <c r="CJ38" s="383"/>
      <c r="CK38" s="383"/>
      <c r="CL38" s="383"/>
      <c r="CM38" s="383"/>
      <c r="CN38" s="383"/>
      <c r="CO38" s="383"/>
      <c r="CP38" s="383"/>
      <c r="CQ38" s="383"/>
      <c r="CR38" s="383"/>
      <c r="CS38" s="383"/>
      <c r="CT38" s="383"/>
      <c r="CU38" s="383"/>
      <c r="CV38" s="383"/>
      <c r="CW38" s="383"/>
      <c r="CX38" s="383"/>
      <c r="CY38" s="383"/>
      <c r="CZ38" s="383"/>
      <c r="DA38" s="383"/>
      <c r="DB38" s="383"/>
      <c r="DC38" s="383"/>
      <c r="DD38" s="383"/>
      <c r="DE38" s="383"/>
      <c r="DF38" s="383"/>
      <c r="DG38" s="383"/>
      <c r="DH38" s="383"/>
      <c r="DI38" s="383"/>
      <c r="DJ38" s="383"/>
      <c r="DK38" s="383"/>
      <c r="DL38" s="383"/>
      <c r="DM38" s="383"/>
      <c r="DN38" s="383"/>
      <c r="DO38" s="383"/>
      <c r="DP38" s="383"/>
      <c r="DQ38" s="383"/>
      <c r="DR38" s="383"/>
      <c r="DS38" s="383"/>
      <c r="DT38" s="383"/>
      <c r="DU38" s="383"/>
      <c r="DV38" s="383"/>
      <c r="DW38" s="383"/>
      <c r="DX38" s="383"/>
      <c r="DY38" s="383"/>
      <c r="DZ38" s="383"/>
      <c r="EA38" s="383"/>
      <c r="EB38" s="383"/>
      <c r="EC38" s="383"/>
      <c r="ED38" s="383"/>
      <c r="EE38" s="383"/>
      <c r="EF38" s="383"/>
      <c r="EG38" s="383"/>
      <c r="EH38" s="383"/>
      <c r="EI38" s="383"/>
      <c r="EJ38" s="383"/>
      <c r="EK38" s="383"/>
      <c r="EL38" s="383"/>
      <c r="EM38" s="383"/>
      <c r="EN38" s="383"/>
      <c r="EO38" s="383"/>
      <c r="EP38" s="383"/>
      <c r="EQ38" s="383"/>
      <c r="ER38" s="383"/>
      <c r="ES38" s="383"/>
      <c r="ET38" s="383"/>
      <c r="EU38" s="383"/>
      <c r="EV38" s="383"/>
      <c r="EW38" s="383"/>
      <c r="EX38" s="383"/>
      <c r="EY38" s="383"/>
      <c r="EZ38" s="383"/>
      <c r="FA38" s="383"/>
      <c r="FB38" s="383"/>
      <c r="FC38" s="383"/>
      <c r="FD38" s="383"/>
      <c r="FE38" s="383"/>
      <c r="FF38" s="383"/>
      <c r="FG38" s="383"/>
      <c r="FH38" s="383"/>
      <c r="FI38" s="383"/>
      <c r="FJ38" s="383"/>
      <c r="FK38" s="383"/>
      <c r="FL38" s="383"/>
      <c r="FM38" s="383"/>
      <c r="FN38" s="383"/>
      <c r="FO38" s="383"/>
      <c r="FP38" s="383"/>
      <c r="FQ38" s="383"/>
      <c r="FR38" s="383"/>
      <c r="FS38" s="383"/>
      <c r="FT38" s="383"/>
      <c r="FU38" s="383"/>
      <c r="FV38" s="383"/>
      <c r="FW38" s="383"/>
      <c r="FX38" s="383"/>
      <c r="FY38" s="383"/>
      <c r="FZ38" s="383"/>
      <c r="GA38" s="383"/>
      <c r="GB38" s="383"/>
      <c r="GC38" s="383"/>
      <c r="GD38" s="383"/>
      <c r="GE38" s="383"/>
      <c r="GF38" s="383"/>
      <c r="GG38" s="383"/>
      <c r="GH38" s="383"/>
      <c r="GI38" s="383"/>
      <c r="GJ38" s="383"/>
      <c r="GK38" s="383"/>
      <c r="GL38" s="383"/>
      <c r="GM38" s="383"/>
      <c r="GN38" s="383"/>
      <c r="GO38" s="383"/>
      <c r="GP38" s="383"/>
      <c r="GQ38" s="383"/>
      <c r="GR38" s="383"/>
      <c r="GS38" s="383"/>
      <c r="GT38" s="383"/>
      <c r="GU38" s="383"/>
      <c r="GV38" s="383"/>
      <c r="GW38" s="383"/>
      <c r="GX38" s="383"/>
      <c r="GY38" s="383"/>
      <c r="GZ38" s="383"/>
      <c r="HA38" s="383"/>
      <c r="HB38" s="383"/>
      <c r="HC38" s="383"/>
      <c r="HD38" s="383"/>
      <c r="HE38" s="383"/>
      <c r="HF38" s="383"/>
      <c r="HG38" s="383"/>
      <c r="HH38" s="383"/>
      <c r="HI38" s="383"/>
      <c r="HJ38" s="383"/>
      <c r="HK38" s="383"/>
      <c r="HL38" s="383"/>
      <c r="HM38" s="383"/>
      <c r="HN38" s="383"/>
      <c r="HO38" s="383"/>
      <c r="HP38" s="383"/>
      <c r="HQ38" s="383"/>
      <c r="HR38" s="383"/>
      <c r="HS38" s="383"/>
      <c r="HT38" s="383"/>
      <c r="HU38" s="383"/>
      <c r="HV38" s="383"/>
      <c r="HW38" s="383"/>
      <c r="HX38" s="383"/>
      <c r="HY38" s="383"/>
      <c r="HZ38" s="383"/>
      <c r="IA38" s="383"/>
      <c r="IB38" s="383"/>
      <c r="IC38" s="383"/>
      <c r="ID38" s="383"/>
      <c r="IE38" s="383"/>
      <c r="IF38" s="383"/>
      <c r="IG38" s="383"/>
      <c r="IH38" s="383"/>
      <c r="II38" s="383"/>
      <c r="IJ38" s="383"/>
      <c r="IK38" s="383"/>
      <c r="IL38" s="383"/>
    </row>
    <row r="39" spans="1:246" ht="15" customHeight="1">
      <c r="A39" s="481" t="s">
        <v>262</v>
      </c>
      <c r="B39" s="482" t="s">
        <v>756</v>
      </c>
      <c r="C39" s="483" t="s">
        <v>222</v>
      </c>
      <c r="D39" s="14"/>
      <c r="E39" s="484" t="s">
        <v>379</v>
      </c>
      <c r="F39" s="484">
        <v>44396</v>
      </c>
      <c r="G39" s="479" t="str">
        <f t="shared" si="0"/>
        <v>01/2026</v>
      </c>
      <c r="H39" s="341">
        <f>SUMIF(VI.A!$B$6:$B$5963,B39,VI.A!$L$6:$L$5963)</f>
        <v>175</v>
      </c>
      <c r="I39" s="341" t="str">
        <f t="shared" si="5"/>
        <v>si</v>
      </c>
      <c r="J39" s="383"/>
      <c r="K39" s="384">
        <f>IF(E39="SABESP","OK",VLOOKUP(F39,[6]ISD!$B$11:$F$4861,5,FALSE))</f>
        <v>48.71</v>
      </c>
      <c r="L39" s="384" t="str">
        <f t="shared" si="1"/>
        <v>VERIFICAR</v>
      </c>
      <c r="M39" s="480">
        <f t="shared" si="2"/>
        <v>48.71</v>
      </c>
      <c r="N39" s="383" t="b">
        <f t="shared" si="3"/>
        <v>0</v>
      </c>
      <c r="O39" s="383"/>
      <c r="P39" s="383"/>
      <c r="Q39" s="383"/>
      <c r="R39" s="383"/>
      <c r="S39" s="383"/>
      <c r="T39" s="383"/>
      <c r="U39" s="383"/>
      <c r="V39" s="383"/>
      <c r="W39" s="383"/>
      <c r="X39" s="383"/>
      <c r="Y39" s="383"/>
      <c r="Z39" s="383"/>
      <c r="AA39" s="383"/>
      <c r="AB39" s="383"/>
      <c r="AC39" s="383"/>
      <c r="AD39" s="383"/>
      <c r="AE39" s="383"/>
      <c r="AF39" s="383"/>
      <c r="AG39" s="383"/>
      <c r="AH39" s="383"/>
      <c r="AI39" s="383"/>
      <c r="AJ39" s="383"/>
      <c r="AK39" s="383"/>
      <c r="AL39" s="383"/>
      <c r="AM39" s="383"/>
      <c r="AN39" s="383"/>
      <c r="AO39" s="383"/>
      <c r="AP39" s="383"/>
      <c r="AQ39" s="383"/>
      <c r="AR39" s="383"/>
      <c r="AS39" s="383"/>
      <c r="AT39" s="383"/>
      <c r="AU39" s="383"/>
      <c r="AV39" s="383"/>
      <c r="AW39" s="383"/>
      <c r="AX39" s="383"/>
      <c r="AY39" s="383"/>
      <c r="AZ39" s="383"/>
      <c r="BA39" s="383"/>
      <c r="BB39" s="383"/>
      <c r="BC39" s="383"/>
      <c r="BD39" s="383"/>
      <c r="BE39" s="383"/>
      <c r="BF39" s="383"/>
      <c r="BG39" s="383"/>
      <c r="BH39" s="383"/>
      <c r="BI39" s="383"/>
      <c r="BJ39" s="383"/>
      <c r="BK39" s="383"/>
      <c r="BL39" s="383"/>
      <c r="BM39" s="383"/>
      <c r="BN39" s="383"/>
      <c r="BO39" s="383"/>
      <c r="BP39" s="383"/>
      <c r="BQ39" s="383"/>
      <c r="BR39" s="383"/>
      <c r="BS39" s="383"/>
      <c r="BT39" s="383"/>
      <c r="BU39" s="383"/>
      <c r="BV39" s="383"/>
      <c r="BW39" s="383"/>
      <c r="BX39" s="383"/>
      <c r="BY39" s="383"/>
      <c r="BZ39" s="383"/>
      <c r="CA39" s="383"/>
      <c r="CB39" s="383"/>
      <c r="CC39" s="383"/>
      <c r="CD39" s="383"/>
      <c r="CE39" s="383"/>
      <c r="CF39" s="383"/>
      <c r="CG39" s="383"/>
      <c r="CH39" s="383"/>
      <c r="CI39" s="383"/>
      <c r="CJ39" s="383"/>
      <c r="CK39" s="383"/>
      <c r="CL39" s="383"/>
      <c r="CM39" s="383"/>
      <c r="CN39" s="383"/>
      <c r="CO39" s="383"/>
      <c r="CP39" s="383"/>
      <c r="CQ39" s="383"/>
      <c r="CR39" s="383"/>
      <c r="CS39" s="383"/>
      <c r="CT39" s="383"/>
      <c r="CU39" s="383"/>
      <c r="CV39" s="383"/>
      <c r="CW39" s="383"/>
      <c r="CX39" s="383"/>
      <c r="CY39" s="383"/>
      <c r="CZ39" s="383"/>
      <c r="DA39" s="383"/>
      <c r="DB39" s="383"/>
      <c r="DC39" s="383"/>
      <c r="DD39" s="383"/>
      <c r="DE39" s="383"/>
      <c r="DF39" s="383"/>
      <c r="DG39" s="383"/>
      <c r="DH39" s="383"/>
      <c r="DI39" s="383"/>
      <c r="DJ39" s="383"/>
      <c r="DK39" s="383"/>
      <c r="DL39" s="383"/>
      <c r="DM39" s="383"/>
      <c r="DN39" s="383"/>
      <c r="DO39" s="383"/>
      <c r="DP39" s="383"/>
      <c r="DQ39" s="383"/>
      <c r="DR39" s="383"/>
      <c r="DS39" s="383"/>
      <c r="DT39" s="383"/>
      <c r="DU39" s="383"/>
      <c r="DV39" s="383"/>
      <c r="DW39" s="383"/>
      <c r="DX39" s="383"/>
      <c r="DY39" s="383"/>
      <c r="DZ39" s="383"/>
      <c r="EA39" s="383"/>
      <c r="EB39" s="383"/>
      <c r="EC39" s="383"/>
      <c r="ED39" s="383"/>
      <c r="EE39" s="383"/>
      <c r="EF39" s="383"/>
      <c r="EG39" s="383"/>
      <c r="EH39" s="383"/>
      <c r="EI39" s="383"/>
      <c r="EJ39" s="383"/>
      <c r="EK39" s="383"/>
      <c r="EL39" s="383"/>
      <c r="EM39" s="383"/>
      <c r="EN39" s="383"/>
      <c r="EO39" s="383"/>
      <c r="EP39" s="383"/>
      <c r="EQ39" s="383"/>
      <c r="ER39" s="383"/>
      <c r="ES39" s="383"/>
      <c r="ET39" s="383"/>
      <c r="EU39" s="383"/>
      <c r="EV39" s="383"/>
      <c r="EW39" s="383"/>
      <c r="EX39" s="383"/>
      <c r="EY39" s="383"/>
      <c r="EZ39" s="383"/>
      <c r="FA39" s="383"/>
      <c r="FB39" s="383"/>
      <c r="FC39" s="383"/>
      <c r="FD39" s="383"/>
      <c r="FE39" s="383"/>
      <c r="FF39" s="383"/>
      <c r="FG39" s="383"/>
      <c r="FH39" s="383"/>
      <c r="FI39" s="383"/>
      <c r="FJ39" s="383"/>
      <c r="FK39" s="383"/>
      <c r="FL39" s="383"/>
      <c r="FM39" s="383"/>
      <c r="FN39" s="383"/>
      <c r="FO39" s="383"/>
      <c r="FP39" s="383"/>
      <c r="FQ39" s="383"/>
      <c r="FR39" s="383"/>
      <c r="FS39" s="383"/>
      <c r="FT39" s="383"/>
      <c r="FU39" s="383"/>
      <c r="FV39" s="383"/>
      <c r="FW39" s="383"/>
      <c r="FX39" s="383"/>
      <c r="FY39" s="383"/>
      <c r="FZ39" s="383"/>
      <c r="GA39" s="383"/>
      <c r="GB39" s="383"/>
      <c r="GC39" s="383"/>
      <c r="GD39" s="383"/>
      <c r="GE39" s="383"/>
      <c r="GF39" s="383"/>
      <c r="GG39" s="383"/>
      <c r="GH39" s="383"/>
      <c r="GI39" s="383"/>
      <c r="GJ39" s="383"/>
      <c r="GK39" s="383"/>
      <c r="GL39" s="383"/>
      <c r="GM39" s="383"/>
      <c r="GN39" s="383"/>
      <c r="GO39" s="383"/>
      <c r="GP39" s="383"/>
      <c r="GQ39" s="383"/>
      <c r="GR39" s="383"/>
      <c r="GS39" s="383"/>
      <c r="GT39" s="383"/>
      <c r="GU39" s="383"/>
      <c r="GV39" s="383"/>
      <c r="GW39" s="383"/>
      <c r="GX39" s="383"/>
      <c r="GY39" s="383"/>
      <c r="GZ39" s="383"/>
      <c r="HA39" s="383"/>
      <c r="HB39" s="383"/>
      <c r="HC39" s="383"/>
      <c r="HD39" s="383"/>
      <c r="HE39" s="383"/>
      <c r="HF39" s="383"/>
      <c r="HG39" s="383"/>
      <c r="HH39" s="383"/>
      <c r="HI39" s="383"/>
      <c r="HJ39" s="383"/>
      <c r="HK39" s="383"/>
      <c r="HL39" s="383"/>
      <c r="HM39" s="383"/>
      <c r="HN39" s="383"/>
      <c r="HO39" s="383"/>
      <c r="HP39" s="383"/>
      <c r="HQ39" s="383"/>
      <c r="HR39" s="383"/>
      <c r="HS39" s="383"/>
      <c r="HT39" s="383"/>
      <c r="HU39" s="383"/>
      <c r="HV39" s="383"/>
      <c r="HW39" s="383"/>
      <c r="HX39" s="383"/>
      <c r="HY39" s="383"/>
      <c r="HZ39" s="383"/>
      <c r="IA39" s="383"/>
      <c r="IB39" s="383"/>
      <c r="IC39" s="383"/>
      <c r="ID39" s="383"/>
      <c r="IE39" s="383"/>
      <c r="IF39" s="383"/>
      <c r="IG39" s="383"/>
      <c r="IH39" s="383"/>
      <c r="II39" s="383"/>
      <c r="IJ39" s="383"/>
      <c r="IK39" s="383"/>
      <c r="IL39" s="383"/>
    </row>
    <row r="40" spans="1:246" ht="25.5">
      <c r="A40" s="481" t="s">
        <v>263</v>
      </c>
      <c r="B40" s="482" t="s">
        <v>802</v>
      </c>
      <c r="C40" s="483" t="s">
        <v>164</v>
      </c>
      <c r="D40" s="14"/>
      <c r="E40" s="484" t="s">
        <v>379</v>
      </c>
      <c r="F40" s="484">
        <v>34348</v>
      </c>
      <c r="G40" s="479" t="str">
        <f t="shared" si="0"/>
        <v>01/2026</v>
      </c>
      <c r="H40" s="341">
        <f>SUMIF(VI.A!$B$6:$B$5963,B40,VI.A!$L$6:$L$5963)</f>
        <v>3500</v>
      </c>
      <c r="I40" s="341" t="str">
        <f t="shared" si="5"/>
        <v>si</v>
      </c>
      <c r="J40" s="383"/>
      <c r="K40" s="384">
        <f>IF(E40="SABESP","OK",VLOOKUP(F40,[6]ISD!$B$11:$F$4861,5,FALSE))</f>
        <v>22.69</v>
      </c>
      <c r="L40" s="384" t="str">
        <f t="shared" si="1"/>
        <v>VERIFICAR</v>
      </c>
      <c r="M40" s="480">
        <f t="shared" si="2"/>
        <v>22.69</v>
      </c>
      <c r="N40" s="383" t="b">
        <f t="shared" si="3"/>
        <v>0</v>
      </c>
      <c r="O40" s="383"/>
      <c r="P40" s="383"/>
      <c r="Q40" s="383"/>
      <c r="R40" s="383"/>
      <c r="S40" s="383"/>
      <c r="T40" s="383"/>
      <c r="U40" s="383"/>
      <c r="V40" s="383"/>
      <c r="W40" s="383"/>
      <c r="X40" s="383"/>
      <c r="Y40" s="383"/>
      <c r="Z40" s="383"/>
      <c r="AA40" s="383"/>
      <c r="AB40" s="383"/>
      <c r="AC40" s="383"/>
      <c r="AD40" s="383"/>
      <c r="AE40" s="383"/>
      <c r="AF40" s="383"/>
      <c r="AG40" s="383"/>
      <c r="AH40" s="383"/>
      <c r="AI40" s="383"/>
      <c r="AJ40" s="383"/>
      <c r="AK40" s="383"/>
      <c r="AL40" s="383"/>
      <c r="AM40" s="383"/>
      <c r="AN40" s="383"/>
      <c r="AO40" s="383"/>
      <c r="AP40" s="383"/>
      <c r="AQ40" s="383"/>
      <c r="AR40" s="383"/>
      <c r="AS40" s="383"/>
      <c r="AT40" s="383"/>
      <c r="AU40" s="383"/>
      <c r="AV40" s="383"/>
      <c r="AW40" s="383"/>
      <c r="AX40" s="383"/>
      <c r="AY40" s="383"/>
      <c r="AZ40" s="383"/>
      <c r="BA40" s="383"/>
      <c r="BB40" s="383"/>
      <c r="BC40" s="383"/>
      <c r="BD40" s="383"/>
      <c r="BE40" s="383"/>
      <c r="BF40" s="383"/>
      <c r="BG40" s="383"/>
      <c r="BH40" s="383"/>
      <c r="BI40" s="383"/>
      <c r="BJ40" s="383"/>
      <c r="BK40" s="383"/>
      <c r="BL40" s="383"/>
      <c r="BM40" s="383"/>
      <c r="BN40" s="383"/>
      <c r="BO40" s="383"/>
      <c r="BP40" s="383"/>
      <c r="BQ40" s="383"/>
      <c r="BR40" s="383"/>
      <c r="BS40" s="383"/>
      <c r="BT40" s="383"/>
      <c r="BU40" s="383"/>
      <c r="BV40" s="383"/>
      <c r="BW40" s="383"/>
      <c r="BX40" s="383"/>
      <c r="BY40" s="383"/>
      <c r="BZ40" s="383"/>
      <c r="CA40" s="383"/>
      <c r="CB40" s="383"/>
      <c r="CC40" s="383"/>
      <c r="CD40" s="383"/>
      <c r="CE40" s="383"/>
      <c r="CF40" s="383"/>
      <c r="CG40" s="383"/>
      <c r="CH40" s="383"/>
      <c r="CI40" s="383"/>
      <c r="CJ40" s="383"/>
      <c r="CK40" s="383"/>
      <c r="CL40" s="383"/>
      <c r="CM40" s="383"/>
      <c r="CN40" s="383"/>
      <c r="CO40" s="383"/>
      <c r="CP40" s="383"/>
      <c r="CQ40" s="383"/>
      <c r="CR40" s="383"/>
      <c r="CS40" s="383"/>
      <c r="CT40" s="383"/>
      <c r="CU40" s="383"/>
      <c r="CV40" s="383"/>
      <c r="CW40" s="383"/>
      <c r="CX40" s="383"/>
      <c r="CY40" s="383"/>
      <c r="CZ40" s="383"/>
      <c r="DA40" s="383"/>
      <c r="DB40" s="383"/>
      <c r="DC40" s="383"/>
      <c r="DD40" s="383"/>
      <c r="DE40" s="383"/>
      <c r="DF40" s="383"/>
      <c r="DG40" s="383"/>
      <c r="DH40" s="383"/>
      <c r="DI40" s="383"/>
      <c r="DJ40" s="383"/>
      <c r="DK40" s="383"/>
      <c r="DL40" s="383"/>
      <c r="DM40" s="383"/>
      <c r="DN40" s="383"/>
      <c r="DO40" s="383"/>
      <c r="DP40" s="383"/>
      <c r="DQ40" s="383"/>
      <c r="DR40" s="383"/>
      <c r="DS40" s="383"/>
      <c r="DT40" s="383"/>
      <c r="DU40" s="383"/>
      <c r="DV40" s="383"/>
      <c r="DW40" s="383"/>
      <c r="DX40" s="383"/>
      <c r="DY40" s="383"/>
      <c r="DZ40" s="383"/>
      <c r="EA40" s="383"/>
      <c r="EB40" s="383"/>
      <c r="EC40" s="383"/>
      <c r="ED40" s="383"/>
      <c r="EE40" s="383"/>
      <c r="EF40" s="383"/>
      <c r="EG40" s="383"/>
      <c r="EH40" s="383"/>
      <c r="EI40" s="383"/>
      <c r="EJ40" s="383"/>
      <c r="EK40" s="383"/>
      <c r="EL40" s="383"/>
      <c r="EM40" s="383"/>
      <c r="EN40" s="383"/>
      <c r="EO40" s="383"/>
      <c r="EP40" s="383"/>
      <c r="EQ40" s="383"/>
      <c r="ER40" s="383"/>
      <c r="ES40" s="383"/>
      <c r="ET40" s="383"/>
      <c r="EU40" s="383"/>
      <c r="EV40" s="383"/>
      <c r="EW40" s="383"/>
      <c r="EX40" s="383"/>
      <c r="EY40" s="383"/>
      <c r="EZ40" s="383"/>
      <c r="FA40" s="383"/>
      <c r="FB40" s="383"/>
      <c r="FC40" s="383"/>
      <c r="FD40" s="383"/>
      <c r="FE40" s="383"/>
      <c r="FF40" s="383"/>
      <c r="FG40" s="383"/>
      <c r="FH40" s="383"/>
      <c r="FI40" s="383"/>
      <c r="FJ40" s="383"/>
      <c r="FK40" s="383"/>
      <c r="FL40" s="383"/>
      <c r="FM40" s="383"/>
      <c r="FN40" s="383"/>
      <c r="FO40" s="383"/>
      <c r="FP40" s="383"/>
      <c r="FQ40" s="383"/>
      <c r="FR40" s="383"/>
      <c r="FS40" s="383"/>
      <c r="FT40" s="383"/>
      <c r="FU40" s="383"/>
      <c r="FV40" s="383"/>
      <c r="FW40" s="383"/>
      <c r="FX40" s="383"/>
      <c r="FY40" s="383"/>
      <c r="FZ40" s="383"/>
      <c r="GA40" s="383"/>
      <c r="GB40" s="383"/>
      <c r="GC40" s="383"/>
      <c r="GD40" s="383"/>
      <c r="GE40" s="383"/>
      <c r="GF40" s="383"/>
      <c r="GG40" s="383"/>
      <c r="GH40" s="383"/>
      <c r="GI40" s="383"/>
      <c r="GJ40" s="383"/>
      <c r="GK40" s="383"/>
      <c r="GL40" s="383"/>
      <c r="GM40" s="383"/>
      <c r="GN40" s="383"/>
      <c r="GO40" s="383"/>
      <c r="GP40" s="383"/>
      <c r="GQ40" s="383"/>
      <c r="GR40" s="383"/>
      <c r="GS40" s="383"/>
      <c r="GT40" s="383"/>
      <c r="GU40" s="383"/>
      <c r="GV40" s="383"/>
      <c r="GW40" s="383"/>
      <c r="GX40" s="383"/>
      <c r="GY40" s="383"/>
      <c r="GZ40" s="383"/>
      <c r="HA40" s="383"/>
      <c r="HB40" s="383"/>
      <c r="HC40" s="383"/>
      <c r="HD40" s="383"/>
      <c r="HE40" s="383"/>
      <c r="HF40" s="383"/>
      <c r="HG40" s="383"/>
      <c r="HH40" s="383"/>
      <c r="HI40" s="383"/>
      <c r="HJ40" s="383"/>
      <c r="HK40" s="383"/>
      <c r="HL40" s="383"/>
      <c r="HM40" s="383"/>
      <c r="HN40" s="383"/>
      <c r="HO40" s="383"/>
      <c r="HP40" s="383"/>
      <c r="HQ40" s="383"/>
      <c r="HR40" s="383"/>
      <c r="HS40" s="383"/>
      <c r="HT40" s="383"/>
      <c r="HU40" s="383"/>
      <c r="HV40" s="383"/>
      <c r="HW40" s="383"/>
      <c r="HX40" s="383"/>
      <c r="HY40" s="383"/>
      <c r="HZ40" s="383"/>
      <c r="IA40" s="383"/>
      <c r="IB40" s="383"/>
      <c r="IC40" s="383"/>
      <c r="ID40" s="383"/>
      <c r="IE40" s="383"/>
      <c r="IF40" s="383"/>
      <c r="IG40" s="383"/>
      <c r="IH40" s="383"/>
      <c r="II40" s="383"/>
      <c r="IJ40" s="383"/>
      <c r="IK40" s="383"/>
      <c r="IL40" s="383"/>
    </row>
    <row r="41" spans="1:246" ht="15" customHeight="1">
      <c r="A41" s="481" t="s">
        <v>264</v>
      </c>
      <c r="B41" s="482" t="s">
        <v>183</v>
      </c>
      <c r="C41" s="483" t="s">
        <v>223</v>
      </c>
      <c r="D41" s="14"/>
      <c r="E41" s="484" t="s">
        <v>381</v>
      </c>
      <c r="F41" s="484" t="s">
        <v>428</v>
      </c>
      <c r="G41" s="479" t="str">
        <f t="shared" si="0"/>
        <v>07/2025</v>
      </c>
      <c r="H41" s="341">
        <f>SUMIF(VI.A!$B$6:$B$5963,B41,VI.A!$L$6:$L$5963)</f>
        <v>3135</v>
      </c>
      <c r="I41" s="341" t="str">
        <f t="shared" si="5"/>
        <v>si</v>
      </c>
      <c r="J41" s="383"/>
      <c r="K41" s="384" t="str">
        <f>IF(E41="SABESP","OK",VLOOKUP(F41,[6]ISD!$B$11:$F$4861,5,FALSE))</f>
        <v>OK</v>
      </c>
      <c r="L41" s="384" t="str">
        <f t="shared" si="1"/>
        <v>OK</v>
      </c>
      <c r="M41" s="480" t="str">
        <f t="shared" si="2"/>
        <v>OK</v>
      </c>
      <c r="N41" s="383" t="b">
        <f t="shared" si="3"/>
        <v>0</v>
      </c>
      <c r="O41" s="383"/>
      <c r="P41" s="383"/>
      <c r="Q41" s="383"/>
      <c r="R41" s="383"/>
      <c r="S41" s="383"/>
      <c r="T41" s="383"/>
      <c r="U41" s="383"/>
      <c r="V41" s="383"/>
      <c r="W41" s="383"/>
      <c r="X41" s="383"/>
      <c r="Y41" s="383"/>
      <c r="Z41" s="383"/>
      <c r="AA41" s="383"/>
      <c r="AB41" s="383"/>
      <c r="AC41" s="383"/>
      <c r="AD41" s="383"/>
      <c r="AE41" s="383"/>
      <c r="AF41" s="383"/>
      <c r="AG41" s="383"/>
      <c r="AH41" s="383"/>
      <c r="AI41" s="383"/>
      <c r="AJ41" s="383"/>
      <c r="AK41" s="383"/>
      <c r="AL41" s="383"/>
      <c r="AM41" s="383"/>
      <c r="AN41" s="383"/>
      <c r="AO41" s="383"/>
      <c r="AP41" s="383"/>
      <c r="AQ41" s="383"/>
      <c r="AR41" s="383"/>
      <c r="AS41" s="383"/>
      <c r="AT41" s="383"/>
      <c r="AU41" s="383"/>
      <c r="AV41" s="383"/>
      <c r="AW41" s="383"/>
      <c r="AX41" s="383"/>
      <c r="AY41" s="383"/>
      <c r="AZ41" s="383"/>
      <c r="BA41" s="383"/>
      <c r="BB41" s="383"/>
      <c r="BC41" s="383"/>
      <c r="BD41" s="383"/>
      <c r="BE41" s="383"/>
      <c r="BF41" s="383"/>
      <c r="BG41" s="383"/>
      <c r="BH41" s="383"/>
      <c r="BI41" s="383"/>
      <c r="BJ41" s="383"/>
      <c r="BK41" s="383"/>
      <c r="BL41" s="383"/>
      <c r="BM41" s="383"/>
      <c r="BN41" s="383"/>
      <c r="BO41" s="383"/>
      <c r="BP41" s="383"/>
      <c r="BQ41" s="383"/>
      <c r="BR41" s="383"/>
      <c r="BS41" s="383"/>
      <c r="BT41" s="383"/>
      <c r="BU41" s="383"/>
      <c r="BV41" s="383"/>
      <c r="BW41" s="383"/>
      <c r="BX41" s="383"/>
      <c r="BY41" s="383"/>
      <c r="BZ41" s="383"/>
      <c r="CA41" s="383"/>
      <c r="CB41" s="383"/>
      <c r="CC41" s="383"/>
      <c r="CD41" s="383"/>
      <c r="CE41" s="383"/>
      <c r="CF41" s="383"/>
      <c r="CG41" s="383"/>
      <c r="CH41" s="383"/>
      <c r="CI41" s="383"/>
      <c r="CJ41" s="383"/>
      <c r="CK41" s="383"/>
      <c r="CL41" s="383"/>
      <c r="CM41" s="383"/>
      <c r="CN41" s="383"/>
      <c r="CO41" s="383"/>
      <c r="CP41" s="383"/>
      <c r="CQ41" s="383"/>
      <c r="CR41" s="383"/>
      <c r="CS41" s="383"/>
      <c r="CT41" s="383"/>
      <c r="CU41" s="383"/>
      <c r="CV41" s="383"/>
      <c r="CW41" s="383"/>
      <c r="CX41" s="383"/>
      <c r="CY41" s="383"/>
      <c r="CZ41" s="383"/>
      <c r="DA41" s="383"/>
      <c r="DB41" s="383"/>
      <c r="DC41" s="383"/>
      <c r="DD41" s="383"/>
      <c r="DE41" s="383"/>
      <c r="DF41" s="383"/>
      <c r="DG41" s="383"/>
      <c r="DH41" s="383"/>
      <c r="DI41" s="383"/>
      <c r="DJ41" s="383"/>
      <c r="DK41" s="383"/>
      <c r="DL41" s="383"/>
      <c r="DM41" s="383"/>
      <c r="DN41" s="383"/>
      <c r="DO41" s="383"/>
      <c r="DP41" s="383"/>
      <c r="DQ41" s="383"/>
      <c r="DR41" s="383"/>
      <c r="DS41" s="383"/>
      <c r="DT41" s="383"/>
      <c r="DU41" s="383"/>
      <c r="DV41" s="383"/>
      <c r="DW41" s="383"/>
      <c r="DX41" s="383"/>
      <c r="DY41" s="383"/>
      <c r="DZ41" s="383"/>
      <c r="EA41" s="383"/>
      <c r="EB41" s="383"/>
      <c r="EC41" s="383"/>
      <c r="ED41" s="383"/>
      <c r="EE41" s="383"/>
      <c r="EF41" s="383"/>
      <c r="EG41" s="383"/>
      <c r="EH41" s="383"/>
      <c r="EI41" s="383"/>
      <c r="EJ41" s="383"/>
      <c r="EK41" s="383"/>
      <c r="EL41" s="383"/>
      <c r="EM41" s="383"/>
      <c r="EN41" s="383"/>
      <c r="EO41" s="383"/>
      <c r="EP41" s="383"/>
      <c r="EQ41" s="383"/>
      <c r="ER41" s="383"/>
      <c r="ES41" s="383"/>
      <c r="ET41" s="383"/>
      <c r="EU41" s="383"/>
      <c r="EV41" s="383"/>
      <c r="EW41" s="383"/>
      <c r="EX41" s="383"/>
      <c r="EY41" s="383"/>
      <c r="EZ41" s="383"/>
      <c r="FA41" s="383"/>
      <c r="FB41" s="383"/>
      <c r="FC41" s="383"/>
      <c r="FD41" s="383"/>
      <c r="FE41" s="383"/>
      <c r="FF41" s="383"/>
      <c r="FG41" s="383"/>
      <c r="FH41" s="383"/>
      <c r="FI41" s="383"/>
      <c r="FJ41" s="383"/>
      <c r="FK41" s="383"/>
      <c r="FL41" s="383"/>
      <c r="FM41" s="383"/>
      <c r="FN41" s="383"/>
      <c r="FO41" s="383"/>
      <c r="FP41" s="383"/>
      <c r="FQ41" s="383"/>
      <c r="FR41" s="383"/>
      <c r="FS41" s="383"/>
      <c r="FT41" s="383"/>
      <c r="FU41" s="383"/>
      <c r="FV41" s="383"/>
      <c r="FW41" s="383"/>
      <c r="FX41" s="383"/>
      <c r="FY41" s="383"/>
      <c r="FZ41" s="383"/>
      <c r="GA41" s="383"/>
      <c r="GB41" s="383"/>
      <c r="GC41" s="383"/>
      <c r="GD41" s="383"/>
      <c r="GE41" s="383"/>
      <c r="GF41" s="383"/>
      <c r="GG41" s="383"/>
      <c r="GH41" s="383"/>
      <c r="GI41" s="383"/>
      <c r="GJ41" s="383"/>
      <c r="GK41" s="383"/>
      <c r="GL41" s="383"/>
      <c r="GM41" s="383"/>
      <c r="GN41" s="383"/>
      <c r="GO41" s="383"/>
      <c r="GP41" s="383"/>
      <c r="GQ41" s="383"/>
      <c r="GR41" s="383"/>
      <c r="GS41" s="383"/>
      <c r="GT41" s="383"/>
      <c r="GU41" s="383"/>
      <c r="GV41" s="383"/>
      <c r="GW41" s="383"/>
      <c r="GX41" s="383"/>
      <c r="GY41" s="383"/>
      <c r="GZ41" s="383"/>
      <c r="HA41" s="383"/>
      <c r="HB41" s="383"/>
      <c r="HC41" s="383"/>
      <c r="HD41" s="383"/>
      <c r="HE41" s="383"/>
      <c r="HF41" s="383"/>
      <c r="HG41" s="383"/>
      <c r="HH41" s="383"/>
      <c r="HI41" s="383"/>
      <c r="HJ41" s="383"/>
      <c r="HK41" s="383"/>
      <c r="HL41" s="383"/>
      <c r="HM41" s="383"/>
      <c r="HN41" s="383"/>
      <c r="HO41" s="383"/>
      <c r="HP41" s="383"/>
      <c r="HQ41" s="383"/>
      <c r="HR41" s="383"/>
      <c r="HS41" s="383"/>
      <c r="HT41" s="383"/>
      <c r="HU41" s="383"/>
      <c r="HV41" s="383"/>
      <c r="HW41" s="383"/>
      <c r="HX41" s="383"/>
      <c r="HY41" s="383"/>
      <c r="HZ41" s="383"/>
      <c r="IA41" s="383"/>
      <c r="IB41" s="383"/>
      <c r="IC41" s="383"/>
      <c r="ID41" s="383"/>
      <c r="IE41" s="383"/>
      <c r="IF41" s="383"/>
      <c r="IG41" s="383"/>
      <c r="IH41" s="383"/>
      <c r="II41" s="383"/>
      <c r="IJ41" s="383"/>
      <c r="IK41" s="383"/>
      <c r="IL41" s="383"/>
    </row>
    <row r="42" spans="1:246" ht="15" customHeight="1">
      <c r="A42" s="481" t="s">
        <v>265</v>
      </c>
      <c r="B42" s="482" t="s">
        <v>544</v>
      </c>
      <c r="C42" s="483" t="s">
        <v>413</v>
      </c>
      <c r="D42" s="14"/>
      <c r="E42" s="484" t="s">
        <v>377</v>
      </c>
      <c r="F42" s="484">
        <v>13244</v>
      </c>
      <c r="G42" s="479" t="str">
        <f t="shared" si="0"/>
        <v>01/2026</v>
      </c>
      <c r="H42" s="341">
        <f>SUMIF(VI.A!$B$6:$B$5963,B42,VI.A!$L$6:$L$5963)</f>
        <v>12</v>
      </c>
      <c r="I42" s="341" t="str">
        <f t="shared" si="5"/>
        <v>si</v>
      </c>
      <c r="J42" s="383"/>
      <c r="K42" s="384">
        <f>IF(E42="SABESP","OK",VLOOKUP(F42,[6]ISD!$B$11:$F$4861,5,FALSE))</f>
        <v>49.4</v>
      </c>
      <c r="L42" s="384" t="str">
        <f t="shared" si="1"/>
        <v>VERIFICAR</v>
      </c>
      <c r="M42" s="480">
        <f t="shared" si="2"/>
        <v>49.4</v>
      </c>
      <c r="N42" s="383" t="b">
        <f t="shared" si="3"/>
        <v>0</v>
      </c>
      <c r="O42" s="383"/>
      <c r="P42" s="383"/>
      <c r="Q42" s="383"/>
      <c r="R42" s="383"/>
      <c r="S42" s="383"/>
      <c r="T42" s="383"/>
      <c r="U42" s="383"/>
      <c r="V42" s="383"/>
      <c r="W42" s="383"/>
      <c r="X42" s="383"/>
      <c r="Y42" s="383"/>
      <c r="Z42" s="383"/>
      <c r="AA42" s="383"/>
      <c r="AB42" s="383"/>
      <c r="AC42" s="383"/>
      <c r="AD42" s="383"/>
      <c r="AE42" s="383"/>
      <c r="AF42" s="383"/>
      <c r="AG42" s="383"/>
      <c r="AH42" s="383"/>
      <c r="AI42" s="383"/>
      <c r="AJ42" s="383"/>
      <c r="AK42" s="383"/>
      <c r="AL42" s="383"/>
      <c r="AM42" s="383"/>
      <c r="AN42" s="383"/>
      <c r="AO42" s="383"/>
      <c r="AP42" s="383"/>
      <c r="AQ42" s="383"/>
      <c r="AR42" s="383"/>
      <c r="AS42" s="383"/>
      <c r="AT42" s="383"/>
      <c r="AU42" s="383"/>
      <c r="AV42" s="383"/>
      <c r="AW42" s="383"/>
      <c r="AX42" s="383"/>
      <c r="AY42" s="383"/>
      <c r="AZ42" s="383"/>
      <c r="BA42" s="383"/>
      <c r="BB42" s="383"/>
      <c r="BC42" s="383"/>
      <c r="BD42" s="383"/>
      <c r="BE42" s="383"/>
      <c r="BF42" s="383"/>
      <c r="BG42" s="383"/>
      <c r="BH42" s="383"/>
      <c r="BI42" s="383"/>
      <c r="BJ42" s="383"/>
      <c r="BK42" s="383"/>
      <c r="BL42" s="383"/>
      <c r="BM42" s="383"/>
      <c r="BN42" s="383"/>
      <c r="BO42" s="383"/>
      <c r="BP42" s="383"/>
      <c r="BQ42" s="383"/>
      <c r="BR42" s="383"/>
      <c r="BS42" s="383"/>
      <c r="BT42" s="383"/>
      <c r="BU42" s="383"/>
      <c r="BV42" s="383"/>
      <c r="BW42" s="383"/>
      <c r="BX42" s="383"/>
      <c r="BY42" s="383"/>
      <c r="BZ42" s="383"/>
      <c r="CA42" s="383"/>
      <c r="CB42" s="383"/>
      <c r="CC42" s="383"/>
      <c r="CD42" s="383"/>
      <c r="CE42" s="383"/>
      <c r="CF42" s="383"/>
      <c r="CG42" s="383"/>
      <c r="CH42" s="383"/>
      <c r="CI42" s="383"/>
      <c r="CJ42" s="383"/>
      <c r="CK42" s="383"/>
      <c r="CL42" s="383"/>
      <c r="CM42" s="383"/>
      <c r="CN42" s="383"/>
      <c r="CO42" s="383"/>
      <c r="CP42" s="383"/>
      <c r="CQ42" s="383"/>
      <c r="CR42" s="383"/>
      <c r="CS42" s="383"/>
      <c r="CT42" s="383"/>
      <c r="CU42" s="383"/>
      <c r="CV42" s="383"/>
      <c r="CW42" s="383"/>
      <c r="CX42" s="383"/>
      <c r="CY42" s="383"/>
      <c r="CZ42" s="383"/>
      <c r="DA42" s="383"/>
      <c r="DB42" s="383"/>
      <c r="DC42" s="383"/>
      <c r="DD42" s="383"/>
      <c r="DE42" s="383"/>
      <c r="DF42" s="383"/>
      <c r="DG42" s="383"/>
      <c r="DH42" s="383"/>
      <c r="DI42" s="383"/>
      <c r="DJ42" s="383"/>
      <c r="DK42" s="383"/>
      <c r="DL42" s="383"/>
      <c r="DM42" s="383"/>
      <c r="DN42" s="383"/>
      <c r="DO42" s="383"/>
      <c r="DP42" s="383"/>
      <c r="DQ42" s="383"/>
      <c r="DR42" s="383"/>
      <c r="DS42" s="383"/>
      <c r="DT42" s="383"/>
      <c r="DU42" s="383"/>
      <c r="DV42" s="383"/>
      <c r="DW42" s="383"/>
      <c r="DX42" s="383"/>
      <c r="DY42" s="383"/>
      <c r="DZ42" s="383"/>
      <c r="EA42" s="383"/>
      <c r="EB42" s="383"/>
      <c r="EC42" s="383"/>
      <c r="ED42" s="383"/>
      <c r="EE42" s="383"/>
      <c r="EF42" s="383"/>
      <c r="EG42" s="383"/>
      <c r="EH42" s="383"/>
      <c r="EI42" s="383"/>
      <c r="EJ42" s="383"/>
      <c r="EK42" s="383"/>
      <c r="EL42" s="383"/>
      <c r="EM42" s="383"/>
      <c r="EN42" s="383"/>
      <c r="EO42" s="383"/>
      <c r="EP42" s="383"/>
      <c r="EQ42" s="383"/>
      <c r="ER42" s="383"/>
      <c r="ES42" s="383"/>
      <c r="ET42" s="383"/>
      <c r="EU42" s="383"/>
      <c r="EV42" s="383"/>
      <c r="EW42" s="383"/>
      <c r="EX42" s="383"/>
      <c r="EY42" s="383"/>
      <c r="EZ42" s="383"/>
      <c r="FA42" s="383"/>
      <c r="FB42" s="383"/>
      <c r="FC42" s="383"/>
      <c r="FD42" s="383"/>
      <c r="FE42" s="383"/>
      <c r="FF42" s="383"/>
      <c r="FG42" s="383"/>
      <c r="FH42" s="383"/>
      <c r="FI42" s="383"/>
      <c r="FJ42" s="383"/>
      <c r="FK42" s="383"/>
      <c r="FL42" s="383"/>
      <c r="FM42" s="383"/>
      <c r="FN42" s="383"/>
      <c r="FO42" s="383"/>
      <c r="FP42" s="383"/>
      <c r="FQ42" s="383"/>
      <c r="FR42" s="383"/>
      <c r="FS42" s="383"/>
      <c r="FT42" s="383"/>
      <c r="FU42" s="383"/>
      <c r="FV42" s="383"/>
      <c r="FW42" s="383"/>
      <c r="FX42" s="383"/>
      <c r="FY42" s="383"/>
      <c r="FZ42" s="383"/>
      <c r="GA42" s="383"/>
      <c r="GB42" s="383"/>
      <c r="GC42" s="383"/>
      <c r="GD42" s="383"/>
      <c r="GE42" s="383"/>
      <c r="GF42" s="383"/>
      <c r="GG42" s="383"/>
      <c r="GH42" s="383"/>
      <c r="GI42" s="383"/>
      <c r="GJ42" s="383"/>
      <c r="GK42" s="383"/>
      <c r="GL42" s="383"/>
      <c r="GM42" s="383"/>
      <c r="GN42" s="383"/>
      <c r="GO42" s="383"/>
      <c r="GP42" s="383"/>
      <c r="GQ42" s="383"/>
      <c r="GR42" s="383"/>
      <c r="GS42" s="383"/>
      <c r="GT42" s="383"/>
      <c r="GU42" s="383"/>
      <c r="GV42" s="383"/>
      <c r="GW42" s="383"/>
      <c r="GX42" s="383"/>
      <c r="GY42" s="383"/>
      <c r="GZ42" s="383"/>
      <c r="HA42" s="383"/>
      <c r="HB42" s="383"/>
      <c r="HC42" s="383"/>
      <c r="HD42" s="383"/>
      <c r="HE42" s="383"/>
      <c r="HF42" s="383"/>
      <c r="HG42" s="383"/>
      <c r="HH42" s="383"/>
      <c r="HI42" s="383"/>
      <c r="HJ42" s="383"/>
      <c r="HK42" s="383"/>
      <c r="HL42" s="383"/>
      <c r="HM42" s="383"/>
      <c r="HN42" s="383"/>
      <c r="HO42" s="383"/>
      <c r="HP42" s="383"/>
      <c r="HQ42" s="383"/>
      <c r="HR42" s="383"/>
      <c r="HS42" s="383"/>
      <c r="HT42" s="383"/>
      <c r="HU42" s="383"/>
      <c r="HV42" s="383"/>
      <c r="HW42" s="383"/>
      <c r="HX42" s="383"/>
      <c r="HY42" s="383"/>
      <c r="HZ42" s="383"/>
      <c r="IA42" s="383"/>
      <c r="IB42" s="383"/>
      <c r="IC42" s="383"/>
      <c r="ID42" s="383"/>
      <c r="IE42" s="383"/>
      <c r="IF42" s="383"/>
      <c r="IG42" s="383"/>
      <c r="IH42" s="383"/>
      <c r="II42" s="383"/>
      <c r="IJ42" s="383"/>
      <c r="IK42" s="383"/>
      <c r="IL42" s="383"/>
    </row>
    <row r="43" spans="1:246" ht="15" customHeight="1">
      <c r="A43" s="481" t="s">
        <v>266</v>
      </c>
      <c r="B43" s="485" t="s">
        <v>385</v>
      </c>
      <c r="C43" s="483" t="s">
        <v>130</v>
      </c>
      <c r="D43" s="14"/>
      <c r="E43" s="484" t="s">
        <v>377</v>
      </c>
      <c r="F43" s="484">
        <v>2692</v>
      </c>
      <c r="G43" s="479" t="str">
        <f t="shared" si="0"/>
        <v>01/2026</v>
      </c>
      <c r="H43" s="341">
        <f>SUMIF(VI.A!$B$6:$B$5963,B43,VI.A!$L$6:$L$5963)</f>
        <v>156.10000000000002</v>
      </c>
      <c r="I43" s="341" t="str">
        <f t="shared" si="5"/>
        <v>si</v>
      </c>
      <c r="J43" s="383"/>
      <c r="K43" s="384">
        <f>IF(E43="SABESP","OK",VLOOKUP(F43,[6]ISD!$B$11:$F$4861,5,FALSE))</f>
        <v>6.46</v>
      </c>
      <c r="L43" s="384" t="str">
        <f t="shared" si="1"/>
        <v>VERIFICAR</v>
      </c>
      <c r="M43" s="480">
        <f t="shared" si="2"/>
        <v>6.46</v>
      </c>
      <c r="N43" s="383" t="b">
        <f t="shared" si="3"/>
        <v>0</v>
      </c>
      <c r="O43" s="383"/>
      <c r="P43" s="383"/>
      <c r="Q43" s="383"/>
      <c r="R43" s="383"/>
      <c r="S43" s="383"/>
      <c r="T43" s="383"/>
      <c r="U43" s="383"/>
      <c r="V43" s="383"/>
      <c r="W43" s="383"/>
      <c r="X43" s="383"/>
      <c r="Y43" s="383"/>
      <c r="Z43" s="383"/>
      <c r="AA43" s="383"/>
      <c r="AB43" s="383"/>
      <c r="AC43" s="383"/>
      <c r="AD43" s="383"/>
      <c r="AE43" s="383"/>
      <c r="AF43" s="383"/>
      <c r="AG43" s="383"/>
      <c r="AH43" s="383"/>
      <c r="AI43" s="383"/>
      <c r="AJ43" s="383"/>
      <c r="AK43" s="383"/>
      <c r="AL43" s="383"/>
      <c r="AM43" s="383"/>
      <c r="AN43" s="383"/>
      <c r="AO43" s="383"/>
      <c r="AP43" s="383"/>
      <c r="AQ43" s="383"/>
      <c r="AR43" s="383"/>
      <c r="AS43" s="383"/>
      <c r="AT43" s="383"/>
      <c r="AU43" s="383"/>
      <c r="AV43" s="383"/>
      <c r="AW43" s="383"/>
      <c r="AX43" s="383"/>
      <c r="AY43" s="383"/>
      <c r="AZ43" s="383"/>
      <c r="BA43" s="383"/>
      <c r="BB43" s="383"/>
      <c r="BC43" s="383"/>
      <c r="BD43" s="383"/>
      <c r="BE43" s="383"/>
      <c r="BF43" s="383"/>
      <c r="BG43" s="383"/>
      <c r="BH43" s="383"/>
      <c r="BI43" s="383"/>
      <c r="BJ43" s="383"/>
      <c r="BK43" s="383"/>
      <c r="BL43" s="383"/>
      <c r="BM43" s="383"/>
      <c r="BN43" s="383"/>
      <c r="BO43" s="383"/>
      <c r="BP43" s="383"/>
      <c r="BQ43" s="383"/>
      <c r="BR43" s="383"/>
      <c r="BS43" s="383"/>
      <c r="BT43" s="383"/>
      <c r="BU43" s="383"/>
      <c r="BV43" s="383"/>
      <c r="BW43" s="383"/>
      <c r="BX43" s="383"/>
      <c r="BY43" s="383"/>
      <c r="BZ43" s="383"/>
      <c r="CA43" s="383"/>
      <c r="CB43" s="383"/>
      <c r="CC43" s="383"/>
      <c r="CD43" s="383"/>
      <c r="CE43" s="383"/>
      <c r="CF43" s="383"/>
      <c r="CG43" s="383"/>
      <c r="CH43" s="383"/>
      <c r="CI43" s="383"/>
      <c r="CJ43" s="383"/>
      <c r="CK43" s="383"/>
      <c r="CL43" s="383"/>
      <c r="CM43" s="383"/>
      <c r="CN43" s="383"/>
      <c r="CO43" s="383"/>
      <c r="CP43" s="383"/>
      <c r="CQ43" s="383"/>
      <c r="CR43" s="383"/>
      <c r="CS43" s="383"/>
      <c r="CT43" s="383"/>
      <c r="CU43" s="383"/>
      <c r="CV43" s="383"/>
      <c r="CW43" s="383"/>
      <c r="CX43" s="383"/>
      <c r="CY43" s="383"/>
      <c r="CZ43" s="383"/>
      <c r="DA43" s="383"/>
      <c r="DB43" s="383"/>
      <c r="DC43" s="383"/>
      <c r="DD43" s="383"/>
      <c r="DE43" s="383"/>
      <c r="DF43" s="383"/>
      <c r="DG43" s="383"/>
      <c r="DH43" s="383"/>
      <c r="DI43" s="383"/>
      <c r="DJ43" s="383"/>
      <c r="DK43" s="383"/>
      <c r="DL43" s="383"/>
      <c r="DM43" s="383"/>
      <c r="DN43" s="383"/>
      <c r="DO43" s="383"/>
      <c r="DP43" s="383"/>
      <c r="DQ43" s="383"/>
      <c r="DR43" s="383"/>
      <c r="DS43" s="383"/>
      <c r="DT43" s="383"/>
      <c r="DU43" s="383"/>
      <c r="DV43" s="383"/>
      <c r="DW43" s="383"/>
      <c r="DX43" s="383"/>
      <c r="DY43" s="383"/>
      <c r="DZ43" s="383"/>
      <c r="EA43" s="383"/>
      <c r="EB43" s="383"/>
      <c r="EC43" s="383"/>
      <c r="ED43" s="383"/>
      <c r="EE43" s="383"/>
      <c r="EF43" s="383"/>
      <c r="EG43" s="383"/>
      <c r="EH43" s="383"/>
      <c r="EI43" s="383"/>
      <c r="EJ43" s="383"/>
      <c r="EK43" s="383"/>
      <c r="EL43" s="383"/>
      <c r="EM43" s="383"/>
      <c r="EN43" s="383"/>
      <c r="EO43" s="383"/>
      <c r="EP43" s="383"/>
      <c r="EQ43" s="383"/>
      <c r="ER43" s="383"/>
      <c r="ES43" s="383"/>
      <c r="ET43" s="383"/>
      <c r="EU43" s="383"/>
      <c r="EV43" s="383"/>
      <c r="EW43" s="383"/>
      <c r="EX43" s="383"/>
      <c r="EY43" s="383"/>
      <c r="EZ43" s="383"/>
      <c r="FA43" s="383"/>
      <c r="FB43" s="383"/>
      <c r="FC43" s="383"/>
      <c r="FD43" s="383"/>
      <c r="FE43" s="383"/>
      <c r="FF43" s="383"/>
      <c r="FG43" s="383"/>
      <c r="FH43" s="383"/>
      <c r="FI43" s="383"/>
      <c r="FJ43" s="383"/>
      <c r="FK43" s="383"/>
      <c r="FL43" s="383"/>
      <c r="FM43" s="383"/>
      <c r="FN43" s="383"/>
      <c r="FO43" s="383"/>
      <c r="FP43" s="383"/>
      <c r="FQ43" s="383"/>
      <c r="FR43" s="383"/>
      <c r="FS43" s="383"/>
      <c r="FT43" s="383"/>
      <c r="FU43" s="383"/>
      <c r="FV43" s="383"/>
      <c r="FW43" s="383"/>
      <c r="FX43" s="383"/>
      <c r="FY43" s="383"/>
      <c r="FZ43" s="383"/>
      <c r="GA43" s="383"/>
      <c r="GB43" s="383"/>
      <c r="GC43" s="383"/>
      <c r="GD43" s="383"/>
      <c r="GE43" s="383"/>
      <c r="GF43" s="383"/>
      <c r="GG43" s="383"/>
      <c r="GH43" s="383"/>
      <c r="GI43" s="383"/>
      <c r="GJ43" s="383"/>
      <c r="GK43" s="383"/>
      <c r="GL43" s="383"/>
      <c r="GM43" s="383"/>
      <c r="GN43" s="383"/>
      <c r="GO43" s="383"/>
      <c r="GP43" s="383"/>
      <c r="GQ43" s="383"/>
      <c r="GR43" s="383"/>
      <c r="GS43" s="383"/>
      <c r="GT43" s="383"/>
      <c r="GU43" s="383"/>
      <c r="GV43" s="383"/>
      <c r="GW43" s="383"/>
      <c r="GX43" s="383"/>
      <c r="GY43" s="383"/>
      <c r="GZ43" s="383"/>
      <c r="HA43" s="383"/>
      <c r="HB43" s="383"/>
      <c r="HC43" s="383"/>
      <c r="HD43" s="383"/>
      <c r="HE43" s="383"/>
      <c r="HF43" s="383"/>
      <c r="HG43" s="383"/>
      <c r="HH43" s="383"/>
      <c r="HI43" s="383"/>
      <c r="HJ43" s="383"/>
      <c r="HK43" s="383"/>
      <c r="HL43" s="383"/>
      <c r="HM43" s="383"/>
      <c r="HN43" s="383"/>
      <c r="HO43" s="383"/>
      <c r="HP43" s="383"/>
      <c r="HQ43" s="383"/>
      <c r="HR43" s="383"/>
      <c r="HS43" s="383"/>
      <c r="HT43" s="383"/>
      <c r="HU43" s="383"/>
      <c r="HV43" s="383"/>
      <c r="HW43" s="383"/>
      <c r="HX43" s="383"/>
      <c r="HY43" s="383"/>
      <c r="HZ43" s="383"/>
      <c r="IA43" s="383"/>
      <c r="IB43" s="383"/>
      <c r="IC43" s="383"/>
      <c r="ID43" s="383"/>
      <c r="IE43" s="383"/>
      <c r="IF43" s="383"/>
      <c r="IG43" s="383"/>
      <c r="IH43" s="383"/>
      <c r="II43" s="383"/>
      <c r="IJ43" s="383"/>
      <c r="IK43" s="383"/>
      <c r="IL43" s="383"/>
    </row>
    <row r="44" spans="1:246" ht="15" customHeight="1">
      <c r="A44" s="481" t="s">
        <v>267</v>
      </c>
      <c r="B44" s="482" t="s">
        <v>551</v>
      </c>
      <c r="C44" s="483" t="s">
        <v>166</v>
      </c>
      <c r="D44" s="14"/>
      <c r="E44" s="484" t="s">
        <v>379</v>
      </c>
      <c r="F44" s="484">
        <v>2433</v>
      </c>
      <c r="G44" s="479" t="str">
        <f t="shared" si="0"/>
        <v>01/2026</v>
      </c>
      <c r="H44" s="341">
        <f>SUMIF(VI.A!$B$6:$B$5963,B44,VI.A!$L$6:$L$5963)</f>
        <v>20</v>
      </c>
      <c r="I44" s="341" t="str">
        <f t="shared" si="5"/>
        <v>si</v>
      </c>
      <c r="J44" s="383"/>
      <c r="K44" s="384">
        <f>IF(E44="SABESP","OK",VLOOKUP(F44,[6]ISD!$B$11:$F$4861,5,FALSE))</f>
        <v>10.08</v>
      </c>
      <c r="L44" s="384" t="str">
        <f t="shared" si="1"/>
        <v>VERIFICAR</v>
      </c>
      <c r="M44" s="480">
        <f t="shared" si="2"/>
        <v>10.08</v>
      </c>
      <c r="N44" s="383" t="b">
        <f t="shared" si="3"/>
        <v>0</v>
      </c>
      <c r="O44" s="383"/>
      <c r="P44" s="383"/>
      <c r="Q44" s="383"/>
      <c r="R44" s="383"/>
      <c r="S44" s="383"/>
      <c r="T44" s="383"/>
      <c r="U44" s="383"/>
      <c r="V44" s="383"/>
      <c r="W44" s="383"/>
      <c r="X44" s="383"/>
      <c r="Y44" s="383"/>
      <c r="Z44" s="383"/>
      <c r="AA44" s="383"/>
      <c r="AB44" s="383"/>
      <c r="AC44" s="383"/>
      <c r="AD44" s="383"/>
      <c r="AE44" s="383"/>
      <c r="AF44" s="383"/>
      <c r="AG44" s="383"/>
      <c r="AH44" s="383"/>
      <c r="AI44" s="383"/>
      <c r="AJ44" s="383"/>
      <c r="AK44" s="383"/>
      <c r="AL44" s="383"/>
      <c r="AM44" s="383"/>
      <c r="AN44" s="383"/>
      <c r="AO44" s="383"/>
      <c r="AP44" s="383"/>
      <c r="AQ44" s="383"/>
      <c r="AR44" s="383"/>
      <c r="AS44" s="383"/>
      <c r="AT44" s="383"/>
      <c r="AU44" s="383"/>
      <c r="AV44" s="383"/>
      <c r="AW44" s="383"/>
      <c r="AX44" s="383"/>
      <c r="AY44" s="383"/>
      <c r="AZ44" s="383"/>
      <c r="BA44" s="383"/>
      <c r="BB44" s="383"/>
      <c r="BC44" s="383"/>
      <c r="BD44" s="383"/>
      <c r="BE44" s="383"/>
      <c r="BF44" s="383"/>
      <c r="BG44" s="383"/>
      <c r="BH44" s="383"/>
      <c r="BI44" s="383"/>
      <c r="BJ44" s="383"/>
      <c r="BK44" s="383"/>
      <c r="BL44" s="383"/>
      <c r="BM44" s="383"/>
      <c r="BN44" s="383"/>
      <c r="BO44" s="383"/>
      <c r="BP44" s="383"/>
      <c r="BQ44" s="383"/>
      <c r="BR44" s="383"/>
      <c r="BS44" s="383"/>
      <c r="BT44" s="383"/>
      <c r="BU44" s="383"/>
      <c r="BV44" s="383"/>
      <c r="BW44" s="383"/>
      <c r="BX44" s="383"/>
      <c r="BY44" s="383"/>
      <c r="BZ44" s="383"/>
      <c r="CA44" s="383"/>
      <c r="CB44" s="383"/>
      <c r="CC44" s="383"/>
      <c r="CD44" s="383"/>
      <c r="CE44" s="383"/>
      <c r="CF44" s="383"/>
      <c r="CG44" s="383"/>
      <c r="CH44" s="383"/>
      <c r="CI44" s="383"/>
      <c r="CJ44" s="383"/>
      <c r="CK44" s="383"/>
      <c r="CL44" s="383"/>
      <c r="CM44" s="383"/>
      <c r="CN44" s="383"/>
      <c r="CO44" s="383"/>
      <c r="CP44" s="383"/>
      <c r="CQ44" s="383"/>
      <c r="CR44" s="383"/>
      <c r="CS44" s="383"/>
      <c r="CT44" s="383"/>
      <c r="CU44" s="383"/>
      <c r="CV44" s="383"/>
      <c r="CW44" s="383"/>
      <c r="CX44" s="383"/>
      <c r="CY44" s="383"/>
      <c r="CZ44" s="383"/>
      <c r="DA44" s="383"/>
      <c r="DB44" s="383"/>
      <c r="DC44" s="383"/>
      <c r="DD44" s="383"/>
      <c r="DE44" s="383"/>
      <c r="DF44" s="383"/>
      <c r="DG44" s="383"/>
      <c r="DH44" s="383"/>
      <c r="DI44" s="383"/>
      <c r="DJ44" s="383"/>
      <c r="DK44" s="383"/>
      <c r="DL44" s="383"/>
      <c r="DM44" s="383"/>
      <c r="DN44" s="383"/>
      <c r="DO44" s="383"/>
      <c r="DP44" s="383"/>
      <c r="DQ44" s="383"/>
      <c r="DR44" s="383"/>
      <c r="DS44" s="383"/>
      <c r="DT44" s="383"/>
      <c r="DU44" s="383"/>
      <c r="DV44" s="383"/>
      <c r="DW44" s="383"/>
      <c r="DX44" s="383"/>
      <c r="DY44" s="383"/>
      <c r="DZ44" s="383"/>
      <c r="EA44" s="383"/>
      <c r="EB44" s="383"/>
      <c r="EC44" s="383"/>
      <c r="ED44" s="383"/>
      <c r="EE44" s="383"/>
      <c r="EF44" s="383"/>
      <c r="EG44" s="383"/>
      <c r="EH44" s="383"/>
      <c r="EI44" s="383"/>
      <c r="EJ44" s="383"/>
      <c r="EK44" s="383"/>
      <c r="EL44" s="383"/>
      <c r="EM44" s="383"/>
      <c r="EN44" s="383"/>
      <c r="EO44" s="383"/>
      <c r="EP44" s="383"/>
      <c r="EQ44" s="383"/>
      <c r="ER44" s="383"/>
      <c r="ES44" s="383"/>
      <c r="ET44" s="383"/>
      <c r="EU44" s="383"/>
      <c r="EV44" s="383"/>
      <c r="EW44" s="383"/>
      <c r="EX44" s="383"/>
      <c r="EY44" s="383"/>
      <c r="EZ44" s="383"/>
      <c r="FA44" s="383"/>
      <c r="FB44" s="383"/>
      <c r="FC44" s="383"/>
      <c r="FD44" s="383"/>
      <c r="FE44" s="383"/>
      <c r="FF44" s="383"/>
      <c r="FG44" s="383"/>
      <c r="FH44" s="383"/>
      <c r="FI44" s="383"/>
      <c r="FJ44" s="383"/>
      <c r="FK44" s="383"/>
      <c r="FL44" s="383"/>
      <c r="FM44" s="383"/>
      <c r="FN44" s="383"/>
      <c r="FO44" s="383"/>
      <c r="FP44" s="383"/>
      <c r="FQ44" s="383"/>
      <c r="FR44" s="383"/>
      <c r="FS44" s="383"/>
      <c r="FT44" s="383"/>
      <c r="FU44" s="383"/>
      <c r="FV44" s="383"/>
      <c r="FW44" s="383"/>
      <c r="FX44" s="383"/>
      <c r="FY44" s="383"/>
      <c r="FZ44" s="383"/>
      <c r="GA44" s="383"/>
      <c r="GB44" s="383"/>
      <c r="GC44" s="383"/>
      <c r="GD44" s="383"/>
      <c r="GE44" s="383"/>
      <c r="GF44" s="383"/>
      <c r="GG44" s="383"/>
      <c r="GH44" s="383"/>
      <c r="GI44" s="383"/>
      <c r="GJ44" s="383"/>
      <c r="GK44" s="383"/>
      <c r="GL44" s="383"/>
      <c r="GM44" s="383"/>
      <c r="GN44" s="383"/>
      <c r="GO44" s="383"/>
      <c r="GP44" s="383"/>
      <c r="GQ44" s="383"/>
      <c r="GR44" s="383"/>
      <c r="GS44" s="383"/>
      <c r="GT44" s="383"/>
      <c r="GU44" s="383"/>
      <c r="GV44" s="383"/>
      <c r="GW44" s="383"/>
      <c r="GX44" s="383"/>
      <c r="GY44" s="383"/>
      <c r="GZ44" s="383"/>
      <c r="HA44" s="383"/>
      <c r="HB44" s="383"/>
      <c r="HC44" s="383"/>
      <c r="HD44" s="383"/>
      <c r="HE44" s="383"/>
      <c r="HF44" s="383"/>
      <c r="HG44" s="383"/>
      <c r="HH44" s="383"/>
      <c r="HI44" s="383"/>
      <c r="HJ44" s="383"/>
      <c r="HK44" s="383"/>
      <c r="HL44" s="383"/>
      <c r="HM44" s="383"/>
      <c r="HN44" s="383"/>
      <c r="HO44" s="383"/>
      <c r="HP44" s="383"/>
      <c r="HQ44" s="383"/>
      <c r="HR44" s="383"/>
      <c r="HS44" s="383"/>
      <c r="HT44" s="383"/>
      <c r="HU44" s="383"/>
      <c r="HV44" s="383"/>
      <c r="HW44" s="383"/>
      <c r="HX44" s="383"/>
      <c r="HY44" s="383"/>
      <c r="HZ44" s="383"/>
      <c r="IA44" s="383"/>
      <c r="IB44" s="383"/>
      <c r="IC44" s="383"/>
      <c r="ID44" s="383"/>
      <c r="IE44" s="383"/>
      <c r="IF44" s="383"/>
      <c r="IG44" s="383"/>
      <c r="IH44" s="383"/>
      <c r="II44" s="383"/>
      <c r="IJ44" s="383"/>
      <c r="IK44" s="383"/>
      <c r="IL44" s="383"/>
    </row>
    <row r="45" spans="1:246" ht="15" customHeight="1">
      <c r="A45" s="481" t="s">
        <v>268</v>
      </c>
      <c r="B45" s="482" t="s">
        <v>386</v>
      </c>
      <c r="C45" s="483" t="s">
        <v>166</v>
      </c>
      <c r="D45" s="14"/>
      <c r="E45" s="484" t="s">
        <v>379</v>
      </c>
      <c r="F45" s="484">
        <v>10578</v>
      </c>
      <c r="G45" s="479" t="str">
        <f t="shared" si="0"/>
        <v>01/2026</v>
      </c>
      <c r="H45" s="341">
        <f>SUMIF(VI.A!$B$6:$B$5963,B45,VI.A!$L$6:$L$5963)</f>
        <v>63</v>
      </c>
      <c r="I45" s="341" t="str">
        <f t="shared" si="5"/>
        <v>si</v>
      </c>
      <c r="J45" s="383"/>
      <c r="K45" s="384">
        <f>IF(E45="SABESP","OK",VLOOKUP(F45,[6]ISD!$B$11:$F$4861,5,FALSE))</f>
        <v>23.75</v>
      </c>
      <c r="L45" s="384" t="str">
        <f t="shared" si="1"/>
        <v>VERIFICAR</v>
      </c>
      <c r="M45" s="480">
        <f t="shared" si="2"/>
        <v>23.75</v>
      </c>
      <c r="N45" s="383" t="b">
        <f t="shared" si="3"/>
        <v>0</v>
      </c>
      <c r="O45" s="383"/>
      <c r="P45" s="383"/>
      <c r="Q45" s="383"/>
      <c r="R45" s="383"/>
      <c r="S45" s="383"/>
      <c r="T45" s="383"/>
      <c r="U45" s="383"/>
      <c r="V45" s="383"/>
      <c r="W45" s="383"/>
      <c r="X45" s="383"/>
      <c r="Y45" s="383"/>
      <c r="Z45" s="383"/>
      <c r="AA45" s="383"/>
      <c r="AB45" s="383"/>
      <c r="AC45" s="383"/>
      <c r="AD45" s="383"/>
      <c r="AE45" s="383"/>
      <c r="AF45" s="383"/>
      <c r="AG45" s="383"/>
      <c r="AH45" s="383"/>
      <c r="AI45" s="383"/>
      <c r="AJ45" s="383"/>
      <c r="AK45" s="383"/>
      <c r="AL45" s="383"/>
      <c r="AM45" s="383"/>
      <c r="AN45" s="383"/>
      <c r="AO45" s="383"/>
      <c r="AP45" s="383"/>
      <c r="AQ45" s="383"/>
      <c r="AR45" s="383"/>
      <c r="AS45" s="383"/>
      <c r="AT45" s="383"/>
      <c r="AU45" s="383"/>
      <c r="AV45" s="383"/>
      <c r="AW45" s="383"/>
      <c r="AX45" s="383"/>
      <c r="AY45" s="383"/>
      <c r="AZ45" s="383"/>
      <c r="BA45" s="383"/>
      <c r="BB45" s="383"/>
      <c r="BC45" s="383"/>
      <c r="BD45" s="383"/>
      <c r="BE45" s="383"/>
      <c r="BF45" s="383"/>
      <c r="BG45" s="383"/>
      <c r="BH45" s="383"/>
      <c r="BI45" s="383"/>
      <c r="BJ45" s="383"/>
      <c r="BK45" s="383"/>
      <c r="BL45" s="383"/>
      <c r="BM45" s="383"/>
      <c r="BN45" s="383"/>
      <c r="BO45" s="383"/>
      <c r="BP45" s="383"/>
      <c r="BQ45" s="383"/>
      <c r="BR45" s="383"/>
      <c r="BS45" s="383"/>
      <c r="BT45" s="383"/>
      <c r="BU45" s="383"/>
      <c r="BV45" s="383"/>
      <c r="BW45" s="383"/>
      <c r="BX45" s="383"/>
      <c r="BY45" s="383"/>
      <c r="BZ45" s="383"/>
      <c r="CA45" s="383"/>
      <c r="CB45" s="383"/>
      <c r="CC45" s="383"/>
      <c r="CD45" s="383"/>
      <c r="CE45" s="383"/>
      <c r="CF45" s="383"/>
      <c r="CG45" s="383"/>
      <c r="CH45" s="383"/>
      <c r="CI45" s="383"/>
      <c r="CJ45" s="383"/>
      <c r="CK45" s="383"/>
      <c r="CL45" s="383"/>
      <c r="CM45" s="383"/>
      <c r="CN45" s="383"/>
      <c r="CO45" s="383"/>
      <c r="CP45" s="383"/>
      <c r="CQ45" s="383"/>
      <c r="CR45" s="383"/>
      <c r="CS45" s="383"/>
      <c r="CT45" s="383"/>
      <c r="CU45" s="383"/>
      <c r="CV45" s="383"/>
      <c r="CW45" s="383"/>
      <c r="CX45" s="383"/>
      <c r="CY45" s="383"/>
      <c r="CZ45" s="383"/>
      <c r="DA45" s="383"/>
      <c r="DB45" s="383"/>
      <c r="DC45" s="383"/>
      <c r="DD45" s="383"/>
      <c r="DE45" s="383"/>
      <c r="DF45" s="383"/>
      <c r="DG45" s="383"/>
      <c r="DH45" s="383"/>
      <c r="DI45" s="383"/>
      <c r="DJ45" s="383"/>
      <c r="DK45" s="383"/>
      <c r="DL45" s="383"/>
      <c r="DM45" s="383"/>
      <c r="DN45" s="383"/>
      <c r="DO45" s="383"/>
      <c r="DP45" s="383"/>
      <c r="DQ45" s="383"/>
      <c r="DR45" s="383"/>
      <c r="DS45" s="383"/>
      <c r="DT45" s="383"/>
      <c r="DU45" s="383"/>
      <c r="DV45" s="383"/>
      <c r="DW45" s="383"/>
      <c r="DX45" s="383"/>
      <c r="DY45" s="383"/>
      <c r="DZ45" s="383"/>
      <c r="EA45" s="383"/>
      <c r="EB45" s="383"/>
      <c r="EC45" s="383"/>
      <c r="ED45" s="383"/>
      <c r="EE45" s="383"/>
      <c r="EF45" s="383"/>
      <c r="EG45" s="383"/>
      <c r="EH45" s="383"/>
      <c r="EI45" s="383"/>
      <c r="EJ45" s="383"/>
      <c r="EK45" s="383"/>
      <c r="EL45" s="383"/>
      <c r="EM45" s="383"/>
      <c r="EN45" s="383"/>
      <c r="EO45" s="383"/>
      <c r="EP45" s="383"/>
      <c r="EQ45" s="383"/>
      <c r="ER45" s="383"/>
      <c r="ES45" s="383"/>
      <c r="ET45" s="383"/>
      <c r="EU45" s="383"/>
      <c r="EV45" s="383"/>
      <c r="EW45" s="383"/>
      <c r="EX45" s="383"/>
      <c r="EY45" s="383"/>
      <c r="EZ45" s="383"/>
      <c r="FA45" s="383"/>
      <c r="FB45" s="383"/>
      <c r="FC45" s="383"/>
      <c r="FD45" s="383"/>
      <c r="FE45" s="383"/>
      <c r="FF45" s="383"/>
      <c r="FG45" s="383"/>
      <c r="FH45" s="383"/>
      <c r="FI45" s="383"/>
      <c r="FJ45" s="383"/>
      <c r="FK45" s="383"/>
      <c r="FL45" s="383"/>
      <c r="FM45" s="383"/>
      <c r="FN45" s="383"/>
      <c r="FO45" s="383"/>
      <c r="FP45" s="383"/>
      <c r="FQ45" s="383"/>
      <c r="FR45" s="383"/>
      <c r="FS45" s="383"/>
      <c r="FT45" s="383"/>
      <c r="FU45" s="383"/>
      <c r="FV45" s="383"/>
      <c r="FW45" s="383"/>
      <c r="FX45" s="383"/>
      <c r="FY45" s="383"/>
      <c r="FZ45" s="383"/>
      <c r="GA45" s="383"/>
      <c r="GB45" s="383"/>
      <c r="GC45" s="383"/>
      <c r="GD45" s="383"/>
      <c r="GE45" s="383"/>
      <c r="GF45" s="383"/>
      <c r="GG45" s="383"/>
      <c r="GH45" s="383"/>
      <c r="GI45" s="383"/>
      <c r="GJ45" s="383"/>
      <c r="GK45" s="383"/>
      <c r="GL45" s="383"/>
      <c r="GM45" s="383"/>
      <c r="GN45" s="383"/>
      <c r="GO45" s="383"/>
      <c r="GP45" s="383"/>
      <c r="GQ45" s="383"/>
      <c r="GR45" s="383"/>
      <c r="GS45" s="383"/>
      <c r="GT45" s="383"/>
      <c r="GU45" s="383"/>
      <c r="GV45" s="383"/>
      <c r="GW45" s="383"/>
      <c r="GX45" s="383"/>
      <c r="GY45" s="383"/>
      <c r="GZ45" s="383"/>
      <c r="HA45" s="383"/>
      <c r="HB45" s="383"/>
      <c r="HC45" s="383"/>
      <c r="HD45" s="383"/>
      <c r="HE45" s="383"/>
      <c r="HF45" s="383"/>
      <c r="HG45" s="383"/>
      <c r="HH45" s="383"/>
      <c r="HI45" s="383"/>
      <c r="HJ45" s="383"/>
      <c r="HK45" s="383"/>
      <c r="HL45" s="383"/>
      <c r="HM45" s="383"/>
      <c r="HN45" s="383"/>
      <c r="HO45" s="383"/>
      <c r="HP45" s="383"/>
      <c r="HQ45" s="383"/>
      <c r="HR45" s="383"/>
      <c r="HS45" s="383"/>
      <c r="HT45" s="383"/>
      <c r="HU45" s="383"/>
      <c r="HV45" s="383"/>
      <c r="HW45" s="383"/>
      <c r="HX45" s="383"/>
      <c r="HY45" s="383"/>
      <c r="HZ45" s="383"/>
      <c r="IA45" s="383"/>
      <c r="IB45" s="383"/>
      <c r="IC45" s="383"/>
      <c r="ID45" s="383"/>
      <c r="IE45" s="383"/>
      <c r="IF45" s="383"/>
      <c r="IG45" s="383"/>
      <c r="IH45" s="383"/>
      <c r="II45" s="383"/>
      <c r="IJ45" s="383"/>
      <c r="IK45" s="383"/>
      <c r="IL45" s="383"/>
    </row>
    <row r="46" spans="1:246" ht="15" customHeight="1">
      <c r="A46" s="481" t="s">
        <v>269</v>
      </c>
      <c r="B46" s="485" t="s">
        <v>387</v>
      </c>
      <c r="C46" s="483" t="s">
        <v>222</v>
      </c>
      <c r="D46" s="14"/>
      <c r="E46" s="484" t="s">
        <v>379</v>
      </c>
      <c r="F46" s="484">
        <v>10997</v>
      </c>
      <c r="G46" s="479" t="str">
        <f t="shared" si="0"/>
        <v>01/2026</v>
      </c>
      <c r="H46" s="341">
        <f>SUMIF(VI.A!$B$6:$B$5963,B46,VI.A!$L$6:$L$5963)</f>
        <v>35</v>
      </c>
      <c r="I46" s="341" t="str">
        <f t="shared" si="5"/>
        <v>si</v>
      </c>
      <c r="J46" s="383"/>
      <c r="K46" s="384">
        <f>IF(E46="SABESP","OK",VLOOKUP(F46,[6]ISD!$B$11:$F$4861,5,FALSE))</f>
        <v>51.84</v>
      </c>
      <c r="L46" s="384" t="str">
        <f t="shared" si="1"/>
        <v>VERIFICAR</v>
      </c>
      <c r="M46" s="480">
        <f t="shared" si="2"/>
        <v>51.84</v>
      </c>
      <c r="N46" s="383" t="b">
        <f t="shared" si="3"/>
        <v>0</v>
      </c>
      <c r="O46" s="383"/>
      <c r="P46" s="383"/>
      <c r="Q46" s="383"/>
      <c r="R46" s="383"/>
      <c r="S46" s="383"/>
      <c r="T46" s="383"/>
      <c r="U46" s="383"/>
      <c r="V46" s="383"/>
      <c r="W46" s="383"/>
      <c r="X46" s="383"/>
      <c r="Y46" s="383"/>
      <c r="Z46" s="383"/>
      <c r="AA46" s="383"/>
      <c r="AB46" s="383"/>
      <c r="AC46" s="383"/>
      <c r="AD46" s="383"/>
      <c r="AE46" s="383"/>
      <c r="AF46" s="383"/>
      <c r="AG46" s="383"/>
      <c r="AH46" s="383"/>
      <c r="AI46" s="383"/>
      <c r="AJ46" s="383"/>
      <c r="AK46" s="383"/>
      <c r="AL46" s="383"/>
      <c r="AM46" s="383"/>
      <c r="AN46" s="383"/>
      <c r="AO46" s="383"/>
      <c r="AP46" s="383"/>
      <c r="AQ46" s="383"/>
      <c r="AR46" s="383"/>
      <c r="AS46" s="383"/>
      <c r="AT46" s="383"/>
      <c r="AU46" s="383"/>
      <c r="AV46" s="383"/>
      <c r="AW46" s="383"/>
      <c r="AX46" s="383"/>
      <c r="AY46" s="383"/>
      <c r="AZ46" s="383"/>
      <c r="BA46" s="383"/>
      <c r="BB46" s="383"/>
      <c r="BC46" s="383"/>
      <c r="BD46" s="383"/>
      <c r="BE46" s="383"/>
      <c r="BF46" s="383"/>
      <c r="BG46" s="383"/>
      <c r="BH46" s="383"/>
      <c r="BI46" s="383"/>
      <c r="BJ46" s="383"/>
      <c r="BK46" s="383"/>
      <c r="BL46" s="383"/>
      <c r="BM46" s="383"/>
      <c r="BN46" s="383"/>
      <c r="BO46" s="383"/>
      <c r="BP46" s="383"/>
      <c r="BQ46" s="383"/>
      <c r="BR46" s="383"/>
      <c r="BS46" s="383"/>
      <c r="BT46" s="383"/>
      <c r="BU46" s="383"/>
      <c r="BV46" s="383"/>
      <c r="BW46" s="383"/>
      <c r="BX46" s="383"/>
      <c r="BY46" s="383"/>
      <c r="BZ46" s="383"/>
      <c r="CA46" s="383"/>
      <c r="CB46" s="383"/>
      <c r="CC46" s="383"/>
      <c r="CD46" s="383"/>
      <c r="CE46" s="383"/>
      <c r="CF46" s="383"/>
      <c r="CG46" s="383"/>
      <c r="CH46" s="383"/>
      <c r="CI46" s="383"/>
      <c r="CJ46" s="383"/>
      <c r="CK46" s="383"/>
      <c r="CL46" s="383"/>
      <c r="CM46" s="383"/>
      <c r="CN46" s="383"/>
      <c r="CO46" s="383"/>
      <c r="CP46" s="383"/>
      <c r="CQ46" s="383"/>
      <c r="CR46" s="383"/>
      <c r="CS46" s="383"/>
      <c r="CT46" s="383"/>
      <c r="CU46" s="383"/>
      <c r="CV46" s="383"/>
      <c r="CW46" s="383"/>
      <c r="CX46" s="383"/>
      <c r="CY46" s="383"/>
      <c r="CZ46" s="383"/>
      <c r="DA46" s="383"/>
      <c r="DB46" s="383"/>
      <c r="DC46" s="383"/>
      <c r="DD46" s="383"/>
      <c r="DE46" s="383"/>
      <c r="DF46" s="383"/>
      <c r="DG46" s="383"/>
      <c r="DH46" s="383"/>
      <c r="DI46" s="383"/>
      <c r="DJ46" s="383"/>
      <c r="DK46" s="383"/>
      <c r="DL46" s="383"/>
      <c r="DM46" s="383"/>
      <c r="DN46" s="383"/>
      <c r="DO46" s="383"/>
      <c r="DP46" s="383"/>
      <c r="DQ46" s="383"/>
      <c r="DR46" s="383"/>
      <c r="DS46" s="383"/>
      <c r="DT46" s="383"/>
      <c r="DU46" s="383"/>
      <c r="DV46" s="383"/>
      <c r="DW46" s="383"/>
      <c r="DX46" s="383"/>
      <c r="DY46" s="383"/>
      <c r="DZ46" s="383"/>
      <c r="EA46" s="383"/>
      <c r="EB46" s="383"/>
      <c r="EC46" s="383"/>
      <c r="ED46" s="383"/>
      <c r="EE46" s="383"/>
      <c r="EF46" s="383"/>
      <c r="EG46" s="383"/>
      <c r="EH46" s="383"/>
      <c r="EI46" s="383"/>
      <c r="EJ46" s="383"/>
      <c r="EK46" s="383"/>
      <c r="EL46" s="383"/>
      <c r="EM46" s="383"/>
      <c r="EN46" s="383"/>
      <c r="EO46" s="383"/>
      <c r="EP46" s="383"/>
      <c r="EQ46" s="383"/>
      <c r="ER46" s="383"/>
      <c r="ES46" s="383"/>
      <c r="ET46" s="383"/>
      <c r="EU46" s="383"/>
      <c r="EV46" s="383"/>
      <c r="EW46" s="383"/>
      <c r="EX46" s="383"/>
      <c r="EY46" s="383"/>
      <c r="EZ46" s="383"/>
      <c r="FA46" s="383"/>
      <c r="FB46" s="383"/>
      <c r="FC46" s="383"/>
      <c r="FD46" s="383"/>
      <c r="FE46" s="383"/>
      <c r="FF46" s="383"/>
      <c r="FG46" s="383"/>
      <c r="FH46" s="383"/>
      <c r="FI46" s="383"/>
      <c r="FJ46" s="383"/>
      <c r="FK46" s="383"/>
      <c r="FL46" s="383"/>
      <c r="FM46" s="383"/>
      <c r="FN46" s="383"/>
      <c r="FO46" s="383"/>
      <c r="FP46" s="383"/>
      <c r="FQ46" s="383"/>
      <c r="FR46" s="383"/>
      <c r="FS46" s="383"/>
      <c r="FT46" s="383"/>
      <c r="FU46" s="383"/>
      <c r="FV46" s="383"/>
      <c r="FW46" s="383"/>
      <c r="FX46" s="383"/>
      <c r="FY46" s="383"/>
      <c r="FZ46" s="383"/>
      <c r="GA46" s="383"/>
      <c r="GB46" s="383"/>
      <c r="GC46" s="383"/>
      <c r="GD46" s="383"/>
      <c r="GE46" s="383"/>
      <c r="GF46" s="383"/>
      <c r="GG46" s="383"/>
      <c r="GH46" s="383"/>
      <c r="GI46" s="383"/>
      <c r="GJ46" s="383"/>
      <c r="GK46" s="383"/>
      <c r="GL46" s="383"/>
      <c r="GM46" s="383"/>
      <c r="GN46" s="383"/>
      <c r="GO46" s="383"/>
      <c r="GP46" s="383"/>
      <c r="GQ46" s="383"/>
      <c r="GR46" s="383"/>
      <c r="GS46" s="383"/>
      <c r="GT46" s="383"/>
      <c r="GU46" s="383"/>
      <c r="GV46" s="383"/>
      <c r="GW46" s="383"/>
      <c r="GX46" s="383"/>
      <c r="GY46" s="383"/>
      <c r="GZ46" s="383"/>
      <c r="HA46" s="383"/>
      <c r="HB46" s="383"/>
      <c r="HC46" s="383"/>
      <c r="HD46" s="383"/>
      <c r="HE46" s="383"/>
      <c r="HF46" s="383"/>
      <c r="HG46" s="383"/>
      <c r="HH46" s="383"/>
      <c r="HI46" s="383"/>
      <c r="HJ46" s="383"/>
      <c r="HK46" s="383"/>
      <c r="HL46" s="383"/>
      <c r="HM46" s="383"/>
      <c r="HN46" s="383"/>
      <c r="HO46" s="383"/>
      <c r="HP46" s="383"/>
      <c r="HQ46" s="383"/>
      <c r="HR46" s="383"/>
      <c r="HS46" s="383"/>
      <c r="HT46" s="383"/>
      <c r="HU46" s="383"/>
      <c r="HV46" s="383"/>
      <c r="HW46" s="383"/>
      <c r="HX46" s="383"/>
      <c r="HY46" s="383"/>
      <c r="HZ46" s="383"/>
      <c r="IA46" s="383"/>
      <c r="IB46" s="383"/>
      <c r="IC46" s="383"/>
      <c r="ID46" s="383"/>
      <c r="IE46" s="383"/>
      <c r="IF46" s="383"/>
      <c r="IG46" s="383"/>
      <c r="IH46" s="383"/>
      <c r="II46" s="383"/>
      <c r="IJ46" s="383"/>
      <c r="IK46" s="383"/>
      <c r="IL46" s="383"/>
    </row>
    <row r="47" spans="1:246" ht="15" customHeight="1">
      <c r="A47" s="481" t="s">
        <v>270</v>
      </c>
      <c r="B47" s="485" t="s">
        <v>773</v>
      </c>
      <c r="C47" s="483" t="s">
        <v>164</v>
      </c>
      <c r="D47" s="14"/>
      <c r="E47" s="484" t="s">
        <v>379</v>
      </c>
      <c r="F47" s="484">
        <v>39244</v>
      </c>
      <c r="G47" s="479" t="str">
        <f t="shared" si="0"/>
        <v>01/2026</v>
      </c>
      <c r="H47" s="341">
        <f>SUMIF(VI.A!$B$6:$B$5963,B47,VI.A!$L$6:$L$5963)</f>
        <v>71.19</v>
      </c>
      <c r="I47" s="341" t="str">
        <f t="shared" si="5"/>
        <v>si</v>
      </c>
      <c r="J47" s="383"/>
      <c r="K47" s="384">
        <f>IF(E47="SABESP","OK",VLOOKUP(F47,[6]ISD!$B$11:$F$4861,5,FALSE))</f>
        <v>3.44</v>
      </c>
      <c r="L47" s="384" t="str">
        <f t="shared" si="1"/>
        <v>VERIFICAR</v>
      </c>
      <c r="M47" s="480">
        <f t="shared" si="2"/>
        <v>3.44</v>
      </c>
      <c r="N47" s="383" t="b">
        <f t="shared" si="3"/>
        <v>0</v>
      </c>
      <c r="O47" s="383"/>
      <c r="P47" s="383"/>
      <c r="Q47" s="383"/>
      <c r="R47" s="383"/>
      <c r="S47" s="383"/>
      <c r="T47" s="383"/>
      <c r="U47" s="383"/>
      <c r="V47" s="383"/>
      <c r="W47" s="383"/>
      <c r="X47" s="383"/>
      <c r="Y47" s="383"/>
      <c r="Z47" s="383"/>
      <c r="AA47" s="383"/>
      <c r="AB47" s="383"/>
      <c r="AC47" s="383"/>
      <c r="AD47" s="383"/>
      <c r="AE47" s="383"/>
      <c r="AF47" s="383"/>
      <c r="AG47" s="383"/>
      <c r="AH47" s="383"/>
      <c r="AI47" s="383"/>
      <c r="AJ47" s="383"/>
      <c r="AK47" s="383"/>
      <c r="AL47" s="383"/>
      <c r="AM47" s="383"/>
      <c r="AN47" s="383"/>
      <c r="AO47" s="383"/>
      <c r="AP47" s="383"/>
      <c r="AQ47" s="383"/>
      <c r="AR47" s="383"/>
      <c r="AS47" s="383"/>
      <c r="AT47" s="383"/>
      <c r="AU47" s="383"/>
      <c r="AV47" s="383"/>
      <c r="AW47" s="383"/>
      <c r="AX47" s="383"/>
      <c r="AY47" s="383"/>
      <c r="AZ47" s="383"/>
      <c r="BA47" s="383"/>
      <c r="BB47" s="383"/>
      <c r="BC47" s="383"/>
      <c r="BD47" s="383"/>
      <c r="BE47" s="383"/>
      <c r="BF47" s="383"/>
      <c r="BG47" s="383"/>
      <c r="BH47" s="383"/>
      <c r="BI47" s="383"/>
      <c r="BJ47" s="383"/>
      <c r="BK47" s="383"/>
      <c r="BL47" s="383"/>
      <c r="BM47" s="383"/>
      <c r="BN47" s="383"/>
      <c r="BO47" s="383"/>
      <c r="BP47" s="383"/>
      <c r="BQ47" s="383"/>
      <c r="BR47" s="383"/>
      <c r="BS47" s="383"/>
      <c r="BT47" s="383"/>
      <c r="BU47" s="383"/>
      <c r="BV47" s="383"/>
      <c r="BW47" s="383"/>
      <c r="BX47" s="383"/>
      <c r="BY47" s="383"/>
      <c r="BZ47" s="383"/>
      <c r="CA47" s="383"/>
      <c r="CB47" s="383"/>
      <c r="CC47" s="383"/>
      <c r="CD47" s="383"/>
      <c r="CE47" s="383"/>
      <c r="CF47" s="383"/>
      <c r="CG47" s="383"/>
      <c r="CH47" s="383"/>
      <c r="CI47" s="383"/>
      <c r="CJ47" s="383"/>
      <c r="CK47" s="383"/>
      <c r="CL47" s="383"/>
      <c r="CM47" s="383"/>
      <c r="CN47" s="383"/>
      <c r="CO47" s="383"/>
      <c r="CP47" s="383"/>
      <c r="CQ47" s="383"/>
      <c r="CR47" s="383"/>
      <c r="CS47" s="383"/>
      <c r="CT47" s="383"/>
      <c r="CU47" s="383"/>
      <c r="CV47" s="383"/>
      <c r="CW47" s="383"/>
      <c r="CX47" s="383"/>
      <c r="CY47" s="383"/>
      <c r="CZ47" s="383"/>
      <c r="DA47" s="383"/>
      <c r="DB47" s="383"/>
      <c r="DC47" s="383"/>
      <c r="DD47" s="383"/>
      <c r="DE47" s="383"/>
      <c r="DF47" s="383"/>
      <c r="DG47" s="383"/>
      <c r="DH47" s="383"/>
      <c r="DI47" s="383"/>
      <c r="DJ47" s="383"/>
      <c r="DK47" s="383"/>
      <c r="DL47" s="383"/>
      <c r="DM47" s="383"/>
      <c r="DN47" s="383"/>
      <c r="DO47" s="383"/>
      <c r="DP47" s="383"/>
      <c r="DQ47" s="383"/>
      <c r="DR47" s="383"/>
      <c r="DS47" s="383"/>
      <c r="DT47" s="383"/>
      <c r="DU47" s="383"/>
      <c r="DV47" s="383"/>
      <c r="DW47" s="383"/>
      <c r="DX47" s="383"/>
      <c r="DY47" s="383"/>
      <c r="DZ47" s="383"/>
      <c r="EA47" s="383"/>
      <c r="EB47" s="383"/>
      <c r="EC47" s="383"/>
      <c r="ED47" s="383"/>
      <c r="EE47" s="383"/>
      <c r="EF47" s="383"/>
      <c r="EG47" s="383"/>
      <c r="EH47" s="383"/>
      <c r="EI47" s="383"/>
      <c r="EJ47" s="383"/>
      <c r="EK47" s="383"/>
      <c r="EL47" s="383"/>
      <c r="EM47" s="383"/>
      <c r="EN47" s="383"/>
      <c r="EO47" s="383"/>
      <c r="EP47" s="383"/>
      <c r="EQ47" s="383"/>
      <c r="ER47" s="383"/>
      <c r="ES47" s="383"/>
      <c r="ET47" s="383"/>
      <c r="EU47" s="383"/>
      <c r="EV47" s="383"/>
      <c r="EW47" s="383"/>
      <c r="EX47" s="383"/>
      <c r="EY47" s="383"/>
      <c r="EZ47" s="383"/>
      <c r="FA47" s="383"/>
      <c r="FB47" s="383"/>
      <c r="FC47" s="383"/>
      <c r="FD47" s="383"/>
      <c r="FE47" s="383"/>
      <c r="FF47" s="383"/>
      <c r="FG47" s="383"/>
      <c r="FH47" s="383"/>
      <c r="FI47" s="383"/>
      <c r="FJ47" s="383"/>
      <c r="FK47" s="383"/>
      <c r="FL47" s="383"/>
      <c r="FM47" s="383"/>
      <c r="FN47" s="383"/>
      <c r="FO47" s="383"/>
      <c r="FP47" s="383"/>
      <c r="FQ47" s="383"/>
      <c r="FR47" s="383"/>
      <c r="FS47" s="383"/>
      <c r="FT47" s="383"/>
      <c r="FU47" s="383"/>
      <c r="FV47" s="383"/>
      <c r="FW47" s="383"/>
      <c r="FX47" s="383"/>
      <c r="FY47" s="383"/>
      <c r="FZ47" s="383"/>
      <c r="GA47" s="383"/>
      <c r="GB47" s="383"/>
      <c r="GC47" s="383"/>
      <c r="GD47" s="383"/>
      <c r="GE47" s="383"/>
      <c r="GF47" s="383"/>
      <c r="GG47" s="383"/>
      <c r="GH47" s="383"/>
      <c r="GI47" s="383"/>
      <c r="GJ47" s="383"/>
      <c r="GK47" s="383"/>
      <c r="GL47" s="383"/>
      <c r="GM47" s="383"/>
      <c r="GN47" s="383"/>
      <c r="GO47" s="383"/>
      <c r="GP47" s="383"/>
      <c r="GQ47" s="383"/>
      <c r="GR47" s="383"/>
      <c r="GS47" s="383"/>
      <c r="GT47" s="383"/>
      <c r="GU47" s="383"/>
      <c r="GV47" s="383"/>
      <c r="GW47" s="383"/>
      <c r="GX47" s="383"/>
      <c r="GY47" s="383"/>
      <c r="GZ47" s="383"/>
      <c r="HA47" s="383"/>
      <c r="HB47" s="383"/>
      <c r="HC47" s="383"/>
      <c r="HD47" s="383"/>
      <c r="HE47" s="383"/>
      <c r="HF47" s="383"/>
      <c r="HG47" s="383"/>
      <c r="HH47" s="383"/>
      <c r="HI47" s="383"/>
      <c r="HJ47" s="383"/>
      <c r="HK47" s="383"/>
      <c r="HL47" s="383"/>
      <c r="HM47" s="383"/>
      <c r="HN47" s="383"/>
      <c r="HO47" s="383"/>
      <c r="HP47" s="383"/>
      <c r="HQ47" s="383"/>
      <c r="HR47" s="383"/>
      <c r="HS47" s="383"/>
      <c r="HT47" s="383"/>
      <c r="HU47" s="383"/>
      <c r="HV47" s="383"/>
      <c r="HW47" s="383"/>
      <c r="HX47" s="383"/>
      <c r="HY47" s="383"/>
      <c r="HZ47" s="383"/>
      <c r="IA47" s="383"/>
      <c r="IB47" s="383"/>
      <c r="IC47" s="383"/>
      <c r="ID47" s="383"/>
      <c r="IE47" s="383"/>
      <c r="IF47" s="383"/>
      <c r="IG47" s="383"/>
      <c r="IH47" s="383"/>
      <c r="II47" s="383"/>
      <c r="IJ47" s="383"/>
      <c r="IK47" s="383"/>
      <c r="IL47" s="383"/>
    </row>
    <row r="48" spans="1:246" ht="15" customHeight="1">
      <c r="A48" s="481" t="s">
        <v>271</v>
      </c>
      <c r="B48" s="485" t="s">
        <v>772</v>
      </c>
      <c r="C48" s="483" t="s">
        <v>164</v>
      </c>
      <c r="D48" s="14"/>
      <c r="E48" s="484" t="s">
        <v>379</v>
      </c>
      <c r="F48" s="484">
        <v>39245</v>
      </c>
      <c r="G48" s="479" t="str">
        <f t="shared" si="0"/>
        <v>01/2026</v>
      </c>
      <c r="H48" s="341">
        <f>SUMIF(VI.A!$B$6:$B$5963,B48,VI.A!$L$6:$L$5963)</f>
        <v>50.849999999999994</v>
      </c>
      <c r="I48" s="341" t="str">
        <f t="shared" si="5"/>
        <v>si</v>
      </c>
      <c r="J48" s="383"/>
      <c r="K48" s="384">
        <f>IF(E48="SABESP","OK",VLOOKUP(F48,[6]ISD!$B$11:$F$4861,5,FALSE))</f>
        <v>6.62</v>
      </c>
      <c r="L48" s="384" t="str">
        <f t="shared" si="1"/>
        <v>VERIFICAR</v>
      </c>
      <c r="M48" s="480">
        <f t="shared" si="2"/>
        <v>6.62</v>
      </c>
      <c r="N48" s="383" t="b">
        <f t="shared" si="3"/>
        <v>0</v>
      </c>
      <c r="O48" s="383"/>
      <c r="P48" s="383"/>
      <c r="Q48" s="383"/>
      <c r="R48" s="383"/>
      <c r="S48" s="383"/>
      <c r="T48" s="383"/>
      <c r="U48" s="383"/>
      <c r="V48" s="383"/>
      <c r="W48" s="383"/>
      <c r="X48" s="383"/>
      <c r="Y48" s="383"/>
      <c r="Z48" s="383"/>
      <c r="AA48" s="383"/>
      <c r="AB48" s="383"/>
      <c r="AC48" s="383"/>
      <c r="AD48" s="383"/>
      <c r="AE48" s="383"/>
      <c r="AF48" s="383"/>
      <c r="AG48" s="383"/>
      <c r="AH48" s="383"/>
      <c r="AI48" s="383"/>
      <c r="AJ48" s="383"/>
      <c r="AK48" s="383"/>
      <c r="AL48" s="383"/>
      <c r="AM48" s="383"/>
      <c r="AN48" s="383"/>
      <c r="AO48" s="383"/>
      <c r="AP48" s="383"/>
      <c r="AQ48" s="383"/>
      <c r="AR48" s="383"/>
      <c r="AS48" s="383"/>
      <c r="AT48" s="383"/>
      <c r="AU48" s="383"/>
      <c r="AV48" s="383"/>
      <c r="AW48" s="383"/>
      <c r="AX48" s="383"/>
      <c r="AY48" s="383"/>
      <c r="AZ48" s="383"/>
      <c r="BA48" s="383"/>
      <c r="BB48" s="383"/>
      <c r="BC48" s="383"/>
      <c r="BD48" s="383"/>
      <c r="BE48" s="383"/>
      <c r="BF48" s="383"/>
      <c r="BG48" s="383"/>
      <c r="BH48" s="383"/>
      <c r="BI48" s="383"/>
      <c r="BJ48" s="383"/>
      <c r="BK48" s="383"/>
      <c r="BL48" s="383"/>
      <c r="BM48" s="383"/>
      <c r="BN48" s="383"/>
      <c r="BO48" s="383"/>
      <c r="BP48" s="383"/>
      <c r="BQ48" s="383"/>
      <c r="BR48" s="383"/>
      <c r="BS48" s="383"/>
      <c r="BT48" s="383"/>
      <c r="BU48" s="383"/>
      <c r="BV48" s="383"/>
      <c r="BW48" s="383"/>
      <c r="BX48" s="383"/>
      <c r="BY48" s="383"/>
      <c r="BZ48" s="383"/>
      <c r="CA48" s="383"/>
      <c r="CB48" s="383"/>
      <c r="CC48" s="383"/>
      <c r="CD48" s="383"/>
      <c r="CE48" s="383"/>
      <c r="CF48" s="383"/>
      <c r="CG48" s="383"/>
      <c r="CH48" s="383"/>
      <c r="CI48" s="383"/>
      <c r="CJ48" s="383"/>
      <c r="CK48" s="383"/>
      <c r="CL48" s="383"/>
      <c r="CM48" s="383"/>
      <c r="CN48" s="383"/>
      <c r="CO48" s="383"/>
      <c r="CP48" s="383"/>
      <c r="CQ48" s="383"/>
      <c r="CR48" s="383"/>
      <c r="CS48" s="383"/>
      <c r="CT48" s="383"/>
      <c r="CU48" s="383"/>
      <c r="CV48" s="383"/>
      <c r="CW48" s="383"/>
      <c r="CX48" s="383"/>
      <c r="CY48" s="383"/>
      <c r="CZ48" s="383"/>
      <c r="DA48" s="383"/>
      <c r="DB48" s="383"/>
      <c r="DC48" s="383"/>
      <c r="DD48" s="383"/>
      <c r="DE48" s="383"/>
      <c r="DF48" s="383"/>
      <c r="DG48" s="383"/>
      <c r="DH48" s="383"/>
      <c r="DI48" s="383"/>
      <c r="DJ48" s="383"/>
      <c r="DK48" s="383"/>
      <c r="DL48" s="383"/>
      <c r="DM48" s="383"/>
      <c r="DN48" s="383"/>
      <c r="DO48" s="383"/>
      <c r="DP48" s="383"/>
      <c r="DQ48" s="383"/>
      <c r="DR48" s="383"/>
      <c r="DS48" s="383"/>
      <c r="DT48" s="383"/>
      <c r="DU48" s="383"/>
      <c r="DV48" s="383"/>
      <c r="DW48" s="383"/>
      <c r="DX48" s="383"/>
      <c r="DY48" s="383"/>
      <c r="DZ48" s="383"/>
      <c r="EA48" s="383"/>
      <c r="EB48" s="383"/>
      <c r="EC48" s="383"/>
      <c r="ED48" s="383"/>
      <c r="EE48" s="383"/>
      <c r="EF48" s="383"/>
      <c r="EG48" s="383"/>
      <c r="EH48" s="383"/>
      <c r="EI48" s="383"/>
      <c r="EJ48" s="383"/>
      <c r="EK48" s="383"/>
      <c r="EL48" s="383"/>
      <c r="EM48" s="383"/>
      <c r="EN48" s="383"/>
      <c r="EO48" s="383"/>
      <c r="EP48" s="383"/>
      <c r="EQ48" s="383"/>
      <c r="ER48" s="383"/>
      <c r="ES48" s="383"/>
      <c r="ET48" s="383"/>
      <c r="EU48" s="383"/>
      <c r="EV48" s="383"/>
      <c r="EW48" s="383"/>
      <c r="EX48" s="383"/>
      <c r="EY48" s="383"/>
      <c r="EZ48" s="383"/>
      <c r="FA48" s="383"/>
      <c r="FB48" s="383"/>
      <c r="FC48" s="383"/>
      <c r="FD48" s="383"/>
      <c r="FE48" s="383"/>
      <c r="FF48" s="383"/>
      <c r="FG48" s="383"/>
      <c r="FH48" s="383"/>
      <c r="FI48" s="383"/>
      <c r="FJ48" s="383"/>
      <c r="FK48" s="383"/>
      <c r="FL48" s="383"/>
      <c r="FM48" s="383"/>
      <c r="FN48" s="383"/>
      <c r="FO48" s="383"/>
      <c r="FP48" s="383"/>
      <c r="FQ48" s="383"/>
      <c r="FR48" s="383"/>
      <c r="FS48" s="383"/>
      <c r="FT48" s="383"/>
      <c r="FU48" s="383"/>
      <c r="FV48" s="383"/>
      <c r="FW48" s="383"/>
      <c r="FX48" s="383"/>
      <c r="FY48" s="383"/>
      <c r="FZ48" s="383"/>
      <c r="GA48" s="383"/>
      <c r="GB48" s="383"/>
      <c r="GC48" s="383"/>
      <c r="GD48" s="383"/>
      <c r="GE48" s="383"/>
      <c r="GF48" s="383"/>
      <c r="GG48" s="383"/>
      <c r="GH48" s="383"/>
      <c r="GI48" s="383"/>
      <c r="GJ48" s="383"/>
      <c r="GK48" s="383"/>
      <c r="GL48" s="383"/>
      <c r="GM48" s="383"/>
      <c r="GN48" s="383"/>
      <c r="GO48" s="383"/>
      <c r="GP48" s="383"/>
      <c r="GQ48" s="383"/>
      <c r="GR48" s="383"/>
      <c r="GS48" s="383"/>
      <c r="GT48" s="383"/>
      <c r="GU48" s="383"/>
      <c r="GV48" s="383"/>
      <c r="GW48" s="383"/>
      <c r="GX48" s="383"/>
      <c r="GY48" s="383"/>
      <c r="GZ48" s="383"/>
      <c r="HA48" s="383"/>
      <c r="HB48" s="383"/>
      <c r="HC48" s="383"/>
      <c r="HD48" s="383"/>
      <c r="HE48" s="383"/>
      <c r="HF48" s="383"/>
      <c r="HG48" s="383"/>
      <c r="HH48" s="383"/>
      <c r="HI48" s="383"/>
      <c r="HJ48" s="383"/>
      <c r="HK48" s="383"/>
      <c r="HL48" s="383"/>
      <c r="HM48" s="383"/>
      <c r="HN48" s="383"/>
      <c r="HO48" s="383"/>
      <c r="HP48" s="383"/>
      <c r="HQ48" s="383"/>
      <c r="HR48" s="383"/>
      <c r="HS48" s="383"/>
      <c r="HT48" s="383"/>
      <c r="HU48" s="383"/>
      <c r="HV48" s="383"/>
      <c r="HW48" s="383"/>
      <c r="HX48" s="383"/>
      <c r="HY48" s="383"/>
      <c r="HZ48" s="383"/>
      <c r="IA48" s="383"/>
      <c r="IB48" s="383"/>
      <c r="IC48" s="383"/>
      <c r="ID48" s="383"/>
      <c r="IE48" s="383"/>
      <c r="IF48" s="383"/>
      <c r="IG48" s="383"/>
      <c r="IH48" s="383"/>
      <c r="II48" s="383"/>
      <c r="IJ48" s="383"/>
      <c r="IK48" s="383"/>
      <c r="IL48" s="383"/>
    </row>
    <row r="49" spans="1:247" ht="15" customHeight="1">
      <c r="A49" s="481" t="s">
        <v>272</v>
      </c>
      <c r="B49" s="485" t="s">
        <v>776</v>
      </c>
      <c r="C49" s="483" t="s">
        <v>164</v>
      </c>
      <c r="D49" s="14"/>
      <c r="E49" s="484" t="s">
        <v>379</v>
      </c>
      <c r="F49" s="484">
        <v>39246</v>
      </c>
      <c r="G49" s="479" t="str">
        <f t="shared" si="0"/>
        <v>01/2026</v>
      </c>
      <c r="H49" s="341">
        <f>SUMIF(VI.A!$B$6:$B$5963,B49,VI.A!$L$6:$L$5963)</f>
        <v>246.40000000000003</v>
      </c>
      <c r="I49" s="341" t="str">
        <f t="shared" si="5"/>
        <v>si</v>
      </c>
      <c r="J49" s="383"/>
      <c r="K49" s="384">
        <f>IF(E49="SABESP","OK",VLOOKUP(F49,[6]ISD!$B$11:$F$4861,5,FALSE))</f>
        <v>4.9000000000000004</v>
      </c>
      <c r="L49" s="384" t="str">
        <f t="shared" si="1"/>
        <v>VERIFICAR</v>
      </c>
      <c r="M49" s="480">
        <f t="shared" si="2"/>
        <v>4.9000000000000004</v>
      </c>
      <c r="N49" s="383" t="b">
        <f t="shared" si="3"/>
        <v>0</v>
      </c>
      <c r="O49" s="383"/>
      <c r="P49" s="383"/>
      <c r="Q49" s="383"/>
      <c r="R49" s="383"/>
      <c r="S49" s="383"/>
      <c r="T49" s="383"/>
      <c r="U49" s="383"/>
      <c r="V49" s="383"/>
      <c r="W49" s="383"/>
      <c r="X49" s="383"/>
      <c r="Y49" s="383"/>
      <c r="Z49" s="383"/>
      <c r="AA49" s="383"/>
      <c r="AB49" s="383"/>
      <c r="AC49" s="383"/>
      <c r="AD49" s="383"/>
      <c r="AE49" s="383"/>
      <c r="AF49" s="383"/>
      <c r="AG49" s="383"/>
      <c r="AH49" s="383"/>
      <c r="AI49" s="383"/>
      <c r="AJ49" s="383"/>
      <c r="AK49" s="383"/>
      <c r="AL49" s="383"/>
      <c r="AM49" s="383"/>
      <c r="AN49" s="383"/>
      <c r="AO49" s="383"/>
      <c r="AP49" s="383"/>
      <c r="AQ49" s="383"/>
      <c r="AR49" s="383"/>
      <c r="AS49" s="383"/>
      <c r="AT49" s="383"/>
      <c r="AU49" s="383"/>
      <c r="AV49" s="383"/>
      <c r="AW49" s="383"/>
      <c r="AX49" s="383"/>
      <c r="AY49" s="383"/>
      <c r="AZ49" s="383"/>
      <c r="BA49" s="383"/>
      <c r="BB49" s="383"/>
      <c r="BC49" s="383"/>
      <c r="BD49" s="383"/>
      <c r="BE49" s="383"/>
      <c r="BF49" s="383"/>
      <c r="BG49" s="383"/>
      <c r="BH49" s="383"/>
      <c r="BI49" s="383"/>
      <c r="BJ49" s="383"/>
      <c r="BK49" s="383"/>
      <c r="BL49" s="383"/>
      <c r="BM49" s="383"/>
      <c r="BN49" s="383"/>
      <c r="BO49" s="383"/>
      <c r="BP49" s="383"/>
      <c r="BQ49" s="383"/>
      <c r="BR49" s="383"/>
      <c r="BS49" s="383"/>
      <c r="BT49" s="383"/>
      <c r="BU49" s="383"/>
      <c r="BV49" s="383"/>
      <c r="BW49" s="383"/>
      <c r="BX49" s="383"/>
      <c r="BY49" s="383"/>
      <c r="BZ49" s="383"/>
      <c r="CA49" s="383"/>
      <c r="CB49" s="383"/>
      <c r="CC49" s="383"/>
      <c r="CD49" s="383"/>
      <c r="CE49" s="383"/>
      <c r="CF49" s="383"/>
      <c r="CG49" s="383"/>
      <c r="CH49" s="383"/>
      <c r="CI49" s="383"/>
      <c r="CJ49" s="383"/>
      <c r="CK49" s="383"/>
      <c r="CL49" s="383"/>
      <c r="CM49" s="383"/>
      <c r="CN49" s="383"/>
      <c r="CO49" s="383"/>
      <c r="CP49" s="383"/>
      <c r="CQ49" s="383"/>
      <c r="CR49" s="383"/>
      <c r="CS49" s="383"/>
      <c r="CT49" s="383"/>
      <c r="CU49" s="383"/>
      <c r="CV49" s="383"/>
      <c r="CW49" s="383"/>
      <c r="CX49" s="383"/>
      <c r="CY49" s="383"/>
      <c r="CZ49" s="383"/>
      <c r="DA49" s="383"/>
      <c r="DB49" s="383"/>
      <c r="DC49" s="383"/>
      <c r="DD49" s="383"/>
      <c r="DE49" s="383"/>
      <c r="DF49" s="383"/>
      <c r="DG49" s="383"/>
      <c r="DH49" s="383"/>
      <c r="DI49" s="383"/>
      <c r="DJ49" s="383"/>
      <c r="DK49" s="383"/>
      <c r="DL49" s="383"/>
      <c r="DM49" s="383"/>
      <c r="DN49" s="383"/>
      <c r="DO49" s="383"/>
      <c r="DP49" s="383"/>
      <c r="DQ49" s="383"/>
      <c r="DR49" s="383"/>
      <c r="DS49" s="383"/>
      <c r="DT49" s="383"/>
      <c r="DU49" s="383"/>
      <c r="DV49" s="383"/>
      <c r="DW49" s="383"/>
      <c r="DX49" s="383"/>
      <c r="DY49" s="383"/>
      <c r="DZ49" s="383"/>
      <c r="EA49" s="383"/>
      <c r="EB49" s="383"/>
      <c r="EC49" s="383"/>
      <c r="ED49" s="383"/>
      <c r="EE49" s="383"/>
      <c r="EF49" s="383"/>
      <c r="EG49" s="383"/>
      <c r="EH49" s="383"/>
      <c r="EI49" s="383"/>
      <c r="EJ49" s="383"/>
      <c r="EK49" s="383"/>
      <c r="EL49" s="383"/>
      <c r="EM49" s="383"/>
      <c r="EN49" s="383"/>
      <c r="EO49" s="383"/>
      <c r="EP49" s="383"/>
      <c r="EQ49" s="383"/>
      <c r="ER49" s="383"/>
      <c r="ES49" s="383"/>
      <c r="ET49" s="383"/>
      <c r="EU49" s="383"/>
      <c r="EV49" s="383"/>
      <c r="EW49" s="383"/>
      <c r="EX49" s="383"/>
      <c r="EY49" s="383"/>
      <c r="EZ49" s="383"/>
      <c r="FA49" s="383"/>
      <c r="FB49" s="383"/>
      <c r="FC49" s="383"/>
      <c r="FD49" s="383"/>
      <c r="FE49" s="383"/>
      <c r="FF49" s="383"/>
      <c r="FG49" s="383"/>
      <c r="FH49" s="383"/>
      <c r="FI49" s="383"/>
      <c r="FJ49" s="383"/>
      <c r="FK49" s="383"/>
      <c r="FL49" s="383"/>
      <c r="FM49" s="383"/>
      <c r="FN49" s="383"/>
      <c r="FO49" s="383"/>
      <c r="FP49" s="383"/>
      <c r="FQ49" s="383"/>
      <c r="FR49" s="383"/>
      <c r="FS49" s="383"/>
      <c r="FT49" s="383"/>
      <c r="FU49" s="383"/>
      <c r="FV49" s="383"/>
      <c r="FW49" s="383"/>
      <c r="FX49" s="383"/>
      <c r="FY49" s="383"/>
      <c r="FZ49" s="383"/>
      <c r="GA49" s="383"/>
      <c r="GB49" s="383"/>
      <c r="GC49" s="383"/>
      <c r="GD49" s="383"/>
      <c r="GE49" s="383"/>
      <c r="GF49" s="383"/>
      <c r="GG49" s="383"/>
      <c r="GH49" s="383"/>
      <c r="GI49" s="383"/>
      <c r="GJ49" s="383"/>
      <c r="GK49" s="383"/>
      <c r="GL49" s="383"/>
      <c r="GM49" s="383"/>
      <c r="GN49" s="383"/>
      <c r="GO49" s="383"/>
      <c r="GP49" s="383"/>
      <c r="GQ49" s="383"/>
      <c r="GR49" s="383"/>
      <c r="GS49" s="383"/>
      <c r="GT49" s="383"/>
      <c r="GU49" s="383"/>
      <c r="GV49" s="383"/>
      <c r="GW49" s="383"/>
      <c r="GX49" s="383"/>
      <c r="GY49" s="383"/>
      <c r="GZ49" s="383"/>
      <c r="HA49" s="383"/>
      <c r="HB49" s="383"/>
      <c r="HC49" s="383"/>
      <c r="HD49" s="383"/>
      <c r="HE49" s="383"/>
      <c r="HF49" s="383"/>
      <c r="HG49" s="383"/>
      <c r="HH49" s="383"/>
      <c r="HI49" s="383"/>
      <c r="HJ49" s="383"/>
      <c r="HK49" s="383"/>
      <c r="HL49" s="383"/>
      <c r="HM49" s="383"/>
      <c r="HN49" s="383"/>
      <c r="HO49" s="383"/>
      <c r="HP49" s="383"/>
      <c r="HQ49" s="383"/>
      <c r="HR49" s="383"/>
      <c r="HS49" s="383"/>
      <c r="HT49" s="383"/>
      <c r="HU49" s="383"/>
      <c r="HV49" s="383"/>
      <c r="HW49" s="383"/>
      <c r="HX49" s="383"/>
      <c r="HY49" s="383"/>
      <c r="HZ49" s="383"/>
      <c r="IA49" s="383"/>
      <c r="IB49" s="383"/>
      <c r="IC49" s="383"/>
      <c r="ID49" s="383"/>
      <c r="IE49" s="383"/>
      <c r="IF49" s="383"/>
      <c r="IG49" s="383"/>
      <c r="IH49" s="383"/>
      <c r="II49" s="383"/>
      <c r="IJ49" s="383"/>
      <c r="IK49" s="383"/>
      <c r="IL49" s="383"/>
    </row>
    <row r="50" spans="1:247" ht="15" customHeight="1">
      <c r="A50" s="481" t="s">
        <v>273</v>
      </c>
      <c r="B50" s="485" t="s">
        <v>779</v>
      </c>
      <c r="C50" s="483" t="s">
        <v>164</v>
      </c>
      <c r="D50" s="14"/>
      <c r="E50" s="484" t="s">
        <v>379</v>
      </c>
      <c r="F50" s="484">
        <v>2446</v>
      </c>
      <c r="G50" s="479" t="str">
        <f t="shared" si="0"/>
        <v>01/2026</v>
      </c>
      <c r="H50" s="341">
        <f>SUMIF(VI.A!$B$6:$B$5963,B50,VI.A!$L$6:$L$5963)</f>
        <v>137.5</v>
      </c>
      <c r="I50" s="341" t="str">
        <f t="shared" si="5"/>
        <v>si</v>
      </c>
      <c r="J50" s="383"/>
      <c r="K50" s="384">
        <f>IF(E50="SABESP","OK",VLOOKUP(F50,[6]ISD!$B$11:$F$4861,5,FALSE))</f>
        <v>7.04</v>
      </c>
      <c r="L50" s="384" t="str">
        <f t="shared" si="1"/>
        <v>VERIFICAR</v>
      </c>
      <c r="M50" s="480">
        <f t="shared" si="2"/>
        <v>7.04</v>
      </c>
      <c r="N50" s="383" t="b">
        <f t="shared" si="3"/>
        <v>0</v>
      </c>
      <c r="O50" s="383"/>
      <c r="P50" s="383"/>
      <c r="Q50" s="383"/>
      <c r="R50" s="383"/>
      <c r="S50" s="383"/>
      <c r="T50" s="383"/>
      <c r="U50" s="383"/>
      <c r="V50" s="383"/>
      <c r="W50" s="383"/>
      <c r="X50" s="383"/>
      <c r="Y50" s="383"/>
      <c r="Z50" s="383"/>
      <c r="AA50" s="383"/>
      <c r="AB50" s="383"/>
      <c r="AC50" s="383"/>
      <c r="AD50" s="383"/>
      <c r="AE50" s="383"/>
      <c r="AF50" s="383"/>
      <c r="AG50" s="383"/>
      <c r="AH50" s="383"/>
      <c r="AI50" s="383"/>
      <c r="AJ50" s="383"/>
      <c r="AK50" s="383"/>
      <c r="AL50" s="383"/>
      <c r="AM50" s="383"/>
      <c r="AN50" s="383"/>
      <c r="AO50" s="383"/>
      <c r="AP50" s="383"/>
      <c r="AQ50" s="383"/>
      <c r="AR50" s="383"/>
      <c r="AS50" s="383"/>
      <c r="AT50" s="383"/>
      <c r="AU50" s="383"/>
      <c r="AV50" s="383"/>
      <c r="AW50" s="383"/>
      <c r="AX50" s="383"/>
      <c r="AY50" s="383"/>
      <c r="AZ50" s="383"/>
      <c r="BA50" s="383"/>
      <c r="BB50" s="383"/>
      <c r="BC50" s="383"/>
      <c r="BD50" s="383"/>
      <c r="BE50" s="383"/>
      <c r="BF50" s="383"/>
      <c r="BG50" s="383"/>
      <c r="BH50" s="383"/>
      <c r="BI50" s="383"/>
      <c r="BJ50" s="383"/>
      <c r="BK50" s="383"/>
      <c r="BL50" s="383"/>
      <c r="BM50" s="383"/>
      <c r="BN50" s="383"/>
      <c r="BO50" s="383"/>
      <c r="BP50" s="383"/>
      <c r="BQ50" s="383"/>
      <c r="BR50" s="383"/>
      <c r="BS50" s="383"/>
      <c r="BT50" s="383"/>
      <c r="BU50" s="383"/>
      <c r="BV50" s="383"/>
      <c r="BW50" s="383"/>
      <c r="BX50" s="383"/>
      <c r="BY50" s="383"/>
      <c r="BZ50" s="383"/>
      <c r="CA50" s="383"/>
      <c r="CB50" s="383"/>
      <c r="CC50" s="383"/>
      <c r="CD50" s="383"/>
      <c r="CE50" s="383"/>
      <c r="CF50" s="383"/>
      <c r="CG50" s="383"/>
      <c r="CH50" s="383"/>
      <c r="CI50" s="383"/>
      <c r="CJ50" s="383"/>
      <c r="CK50" s="383"/>
      <c r="CL50" s="383"/>
      <c r="CM50" s="383"/>
      <c r="CN50" s="383"/>
      <c r="CO50" s="383"/>
      <c r="CP50" s="383"/>
      <c r="CQ50" s="383"/>
      <c r="CR50" s="383"/>
      <c r="CS50" s="383"/>
      <c r="CT50" s="383"/>
      <c r="CU50" s="383"/>
      <c r="CV50" s="383"/>
      <c r="CW50" s="383"/>
      <c r="CX50" s="383"/>
      <c r="CY50" s="383"/>
      <c r="CZ50" s="383"/>
      <c r="DA50" s="383"/>
      <c r="DB50" s="383"/>
      <c r="DC50" s="383"/>
      <c r="DD50" s="383"/>
      <c r="DE50" s="383"/>
      <c r="DF50" s="383"/>
      <c r="DG50" s="383"/>
      <c r="DH50" s="383"/>
      <c r="DI50" s="383"/>
      <c r="DJ50" s="383"/>
      <c r="DK50" s="383"/>
      <c r="DL50" s="383"/>
      <c r="DM50" s="383"/>
      <c r="DN50" s="383"/>
      <c r="DO50" s="383"/>
      <c r="DP50" s="383"/>
      <c r="DQ50" s="383"/>
      <c r="DR50" s="383"/>
      <c r="DS50" s="383"/>
      <c r="DT50" s="383"/>
      <c r="DU50" s="383"/>
      <c r="DV50" s="383"/>
      <c r="DW50" s="383"/>
      <c r="DX50" s="383"/>
      <c r="DY50" s="383"/>
      <c r="DZ50" s="383"/>
      <c r="EA50" s="383"/>
      <c r="EB50" s="383"/>
      <c r="EC50" s="383"/>
      <c r="ED50" s="383"/>
      <c r="EE50" s="383"/>
      <c r="EF50" s="383"/>
      <c r="EG50" s="383"/>
      <c r="EH50" s="383"/>
      <c r="EI50" s="383"/>
      <c r="EJ50" s="383"/>
      <c r="EK50" s="383"/>
      <c r="EL50" s="383"/>
      <c r="EM50" s="383"/>
      <c r="EN50" s="383"/>
      <c r="EO50" s="383"/>
      <c r="EP50" s="383"/>
      <c r="EQ50" s="383"/>
      <c r="ER50" s="383"/>
      <c r="ES50" s="383"/>
      <c r="ET50" s="383"/>
      <c r="EU50" s="383"/>
      <c r="EV50" s="383"/>
      <c r="EW50" s="383"/>
      <c r="EX50" s="383"/>
      <c r="EY50" s="383"/>
      <c r="EZ50" s="383"/>
      <c r="FA50" s="383"/>
      <c r="FB50" s="383"/>
      <c r="FC50" s="383"/>
      <c r="FD50" s="383"/>
      <c r="FE50" s="383"/>
      <c r="FF50" s="383"/>
      <c r="FG50" s="383"/>
      <c r="FH50" s="383"/>
      <c r="FI50" s="383"/>
      <c r="FJ50" s="383"/>
      <c r="FK50" s="383"/>
      <c r="FL50" s="383"/>
      <c r="FM50" s="383"/>
      <c r="FN50" s="383"/>
      <c r="FO50" s="383"/>
      <c r="FP50" s="383"/>
      <c r="FQ50" s="383"/>
      <c r="FR50" s="383"/>
      <c r="FS50" s="383"/>
      <c r="FT50" s="383"/>
      <c r="FU50" s="383"/>
      <c r="FV50" s="383"/>
      <c r="FW50" s="383"/>
      <c r="FX50" s="383"/>
      <c r="FY50" s="383"/>
      <c r="FZ50" s="383"/>
      <c r="GA50" s="383"/>
      <c r="GB50" s="383"/>
      <c r="GC50" s="383"/>
      <c r="GD50" s="383"/>
      <c r="GE50" s="383"/>
      <c r="GF50" s="383"/>
      <c r="GG50" s="383"/>
      <c r="GH50" s="383"/>
      <c r="GI50" s="383"/>
      <c r="GJ50" s="383"/>
      <c r="GK50" s="383"/>
      <c r="GL50" s="383"/>
      <c r="GM50" s="383"/>
      <c r="GN50" s="383"/>
      <c r="GO50" s="383"/>
      <c r="GP50" s="383"/>
      <c r="GQ50" s="383"/>
      <c r="GR50" s="383"/>
      <c r="GS50" s="383"/>
      <c r="GT50" s="383"/>
      <c r="GU50" s="383"/>
      <c r="GV50" s="383"/>
      <c r="GW50" s="383"/>
      <c r="GX50" s="383"/>
      <c r="GY50" s="383"/>
      <c r="GZ50" s="383"/>
      <c r="HA50" s="383"/>
      <c r="HB50" s="383"/>
      <c r="HC50" s="383"/>
      <c r="HD50" s="383"/>
      <c r="HE50" s="383"/>
      <c r="HF50" s="383"/>
      <c r="HG50" s="383"/>
      <c r="HH50" s="383"/>
      <c r="HI50" s="383"/>
      <c r="HJ50" s="383"/>
      <c r="HK50" s="383"/>
      <c r="HL50" s="383"/>
      <c r="HM50" s="383"/>
      <c r="HN50" s="383"/>
      <c r="HO50" s="383"/>
      <c r="HP50" s="383"/>
      <c r="HQ50" s="383"/>
      <c r="HR50" s="383"/>
      <c r="HS50" s="383"/>
      <c r="HT50" s="383"/>
      <c r="HU50" s="383"/>
      <c r="HV50" s="383"/>
      <c r="HW50" s="383"/>
      <c r="HX50" s="383"/>
      <c r="HY50" s="383"/>
      <c r="HZ50" s="383"/>
      <c r="IA50" s="383"/>
      <c r="IB50" s="383"/>
      <c r="IC50" s="383"/>
      <c r="ID50" s="383"/>
      <c r="IE50" s="383"/>
      <c r="IF50" s="383"/>
      <c r="IG50" s="383"/>
      <c r="IH50" s="383"/>
      <c r="II50" s="383"/>
      <c r="IJ50" s="383"/>
      <c r="IK50" s="383"/>
      <c r="IL50" s="383"/>
    </row>
    <row r="51" spans="1:247" ht="15" customHeight="1">
      <c r="A51" s="481" t="s">
        <v>274</v>
      </c>
      <c r="B51" s="482" t="s">
        <v>184</v>
      </c>
      <c r="C51" s="483" t="s">
        <v>222</v>
      </c>
      <c r="D51" s="14"/>
      <c r="E51" s="484" t="s">
        <v>379</v>
      </c>
      <c r="F51" s="484">
        <v>13388</v>
      </c>
      <c r="G51" s="479" t="str">
        <f t="shared" si="0"/>
        <v>01/2026</v>
      </c>
      <c r="H51" s="341">
        <f>SUMIF(VI.A!$B$6:$B$5963,B51,VI.A!$L$6:$L$5963)</f>
        <v>39.045000000000002</v>
      </c>
      <c r="I51" s="341" t="str">
        <f t="shared" si="5"/>
        <v>si</v>
      </c>
      <c r="J51" s="383"/>
      <c r="K51" s="384">
        <f>IF(E51="SABESP","OK",VLOOKUP(F51,[6]ISD!$B$11:$F$4861,5,FALSE))</f>
        <v>252.27</v>
      </c>
      <c r="L51" s="384" t="str">
        <f t="shared" si="1"/>
        <v>VERIFICAR</v>
      </c>
      <c r="M51" s="480">
        <f t="shared" si="2"/>
        <v>252.27</v>
      </c>
      <c r="N51" s="383" t="b">
        <f t="shared" si="3"/>
        <v>0</v>
      </c>
      <c r="O51" s="383"/>
      <c r="P51" s="383"/>
      <c r="Q51" s="383"/>
      <c r="R51" s="383"/>
      <c r="S51" s="383"/>
      <c r="T51" s="383"/>
      <c r="U51" s="383"/>
      <c r="V51" s="383"/>
      <c r="W51" s="383"/>
      <c r="X51" s="383"/>
      <c r="Y51" s="383"/>
      <c r="Z51" s="383"/>
      <c r="AA51" s="383"/>
      <c r="AB51" s="383"/>
      <c r="AC51" s="383"/>
      <c r="AD51" s="383"/>
      <c r="AE51" s="383"/>
      <c r="AF51" s="383"/>
      <c r="AG51" s="383"/>
      <c r="AH51" s="383"/>
      <c r="AI51" s="383"/>
      <c r="AJ51" s="383"/>
      <c r="AK51" s="383"/>
      <c r="AL51" s="383"/>
      <c r="AM51" s="383"/>
      <c r="AN51" s="383"/>
      <c r="AO51" s="383"/>
      <c r="AP51" s="383"/>
      <c r="AQ51" s="383"/>
      <c r="AR51" s="383"/>
      <c r="AS51" s="383"/>
      <c r="AT51" s="383"/>
      <c r="AU51" s="383"/>
      <c r="AV51" s="383"/>
      <c r="AW51" s="383"/>
      <c r="AX51" s="383"/>
      <c r="AY51" s="383"/>
      <c r="AZ51" s="383"/>
      <c r="BA51" s="383"/>
      <c r="BB51" s="383"/>
      <c r="BC51" s="383"/>
      <c r="BD51" s="383"/>
      <c r="BE51" s="383"/>
      <c r="BF51" s="383"/>
      <c r="BG51" s="383"/>
      <c r="BH51" s="383"/>
      <c r="BI51" s="383"/>
      <c r="BJ51" s="383"/>
      <c r="BK51" s="383"/>
      <c r="BL51" s="383"/>
      <c r="BM51" s="383"/>
      <c r="BN51" s="383"/>
      <c r="BO51" s="383"/>
      <c r="BP51" s="383"/>
      <c r="BQ51" s="383"/>
      <c r="BR51" s="383"/>
      <c r="BS51" s="383"/>
      <c r="BT51" s="383"/>
      <c r="BU51" s="383"/>
      <c r="BV51" s="383"/>
      <c r="BW51" s="383"/>
      <c r="BX51" s="383"/>
      <c r="BY51" s="383"/>
      <c r="BZ51" s="383"/>
      <c r="CA51" s="383"/>
      <c r="CB51" s="383"/>
      <c r="CC51" s="383"/>
      <c r="CD51" s="383"/>
      <c r="CE51" s="383"/>
      <c r="CF51" s="383"/>
      <c r="CG51" s="383"/>
      <c r="CH51" s="383"/>
      <c r="CI51" s="383"/>
      <c r="CJ51" s="383"/>
      <c r="CK51" s="383"/>
      <c r="CL51" s="383"/>
      <c r="CM51" s="383"/>
      <c r="CN51" s="383"/>
      <c r="CO51" s="383"/>
      <c r="CP51" s="383"/>
      <c r="CQ51" s="383"/>
      <c r="CR51" s="383"/>
      <c r="CS51" s="383"/>
      <c r="CT51" s="383"/>
      <c r="CU51" s="383"/>
      <c r="CV51" s="383"/>
      <c r="CW51" s="383"/>
      <c r="CX51" s="383"/>
      <c r="CY51" s="383"/>
      <c r="CZ51" s="383"/>
      <c r="DA51" s="383"/>
      <c r="DB51" s="383"/>
      <c r="DC51" s="383"/>
      <c r="DD51" s="383"/>
      <c r="DE51" s="383"/>
      <c r="DF51" s="383"/>
      <c r="DG51" s="383"/>
      <c r="DH51" s="383"/>
      <c r="DI51" s="383"/>
      <c r="DJ51" s="383"/>
      <c r="DK51" s="383"/>
      <c r="DL51" s="383"/>
      <c r="DM51" s="383"/>
      <c r="DN51" s="383"/>
      <c r="DO51" s="383"/>
      <c r="DP51" s="383"/>
      <c r="DQ51" s="383"/>
      <c r="DR51" s="383"/>
      <c r="DS51" s="383"/>
      <c r="DT51" s="383"/>
      <c r="DU51" s="383"/>
      <c r="DV51" s="383"/>
      <c r="DW51" s="383"/>
      <c r="DX51" s="383"/>
      <c r="DY51" s="383"/>
      <c r="DZ51" s="383"/>
      <c r="EA51" s="383"/>
      <c r="EB51" s="383"/>
      <c r="EC51" s="383"/>
      <c r="ED51" s="383"/>
      <c r="EE51" s="383"/>
      <c r="EF51" s="383"/>
      <c r="EG51" s="383"/>
      <c r="EH51" s="383"/>
      <c r="EI51" s="383"/>
      <c r="EJ51" s="383"/>
      <c r="EK51" s="383"/>
      <c r="EL51" s="383"/>
      <c r="EM51" s="383"/>
      <c r="EN51" s="383"/>
      <c r="EO51" s="383"/>
      <c r="EP51" s="383"/>
      <c r="EQ51" s="383"/>
      <c r="ER51" s="383"/>
      <c r="ES51" s="383"/>
      <c r="ET51" s="383"/>
      <c r="EU51" s="383"/>
      <c r="EV51" s="383"/>
      <c r="EW51" s="383"/>
      <c r="EX51" s="383"/>
      <c r="EY51" s="383"/>
      <c r="EZ51" s="383"/>
      <c r="FA51" s="383"/>
      <c r="FB51" s="383"/>
      <c r="FC51" s="383"/>
      <c r="FD51" s="383"/>
      <c r="FE51" s="383"/>
      <c r="FF51" s="383"/>
      <c r="FG51" s="383"/>
      <c r="FH51" s="383"/>
      <c r="FI51" s="383"/>
      <c r="FJ51" s="383"/>
      <c r="FK51" s="383"/>
      <c r="FL51" s="383"/>
      <c r="FM51" s="383"/>
      <c r="FN51" s="383"/>
      <c r="FO51" s="383"/>
      <c r="FP51" s="383"/>
      <c r="FQ51" s="383"/>
      <c r="FR51" s="383"/>
      <c r="FS51" s="383"/>
      <c r="FT51" s="383"/>
      <c r="FU51" s="383"/>
      <c r="FV51" s="383"/>
      <c r="FW51" s="383"/>
      <c r="FX51" s="383"/>
      <c r="FY51" s="383"/>
      <c r="FZ51" s="383"/>
      <c r="GA51" s="383"/>
      <c r="GB51" s="383"/>
      <c r="GC51" s="383"/>
      <c r="GD51" s="383"/>
      <c r="GE51" s="383"/>
      <c r="GF51" s="383"/>
      <c r="GG51" s="383"/>
      <c r="GH51" s="383"/>
      <c r="GI51" s="383"/>
      <c r="GJ51" s="383"/>
      <c r="GK51" s="383"/>
      <c r="GL51" s="383"/>
      <c r="GM51" s="383"/>
      <c r="GN51" s="383"/>
      <c r="GO51" s="383"/>
      <c r="GP51" s="383"/>
      <c r="GQ51" s="383"/>
      <c r="GR51" s="383"/>
      <c r="GS51" s="383"/>
      <c r="GT51" s="383"/>
      <c r="GU51" s="383"/>
      <c r="GV51" s="383"/>
      <c r="GW51" s="383"/>
      <c r="GX51" s="383"/>
      <c r="GY51" s="383"/>
      <c r="GZ51" s="383"/>
      <c r="HA51" s="383"/>
      <c r="HB51" s="383"/>
      <c r="HC51" s="383"/>
      <c r="HD51" s="383"/>
      <c r="HE51" s="383"/>
      <c r="HF51" s="383"/>
      <c r="HG51" s="383"/>
      <c r="HH51" s="383"/>
      <c r="HI51" s="383"/>
      <c r="HJ51" s="383"/>
      <c r="HK51" s="383"/>
      <c r="HL51" s="383"/>
      <c r="HM51" s="383"/>
      <c r="HN51" s="383"/>
      <c r="HO51" s="383"/>
      <c r="HP51" s="383"/>
      <c r="HQ51" s="383"/>
      <c r="HR51" s="383"/>
      <c r="HS51" s="383"/>
      <c r="HT51" s="383"/>
      <c r="HU51" s="383"/>
      <c r="HV51" s="383"/>
      <c r="HW51" s="383"/>
      <c r="HX51" s="383"/>
      <c r="HY51" s="383"/>
      <c r="HZ51" s="383"/>
      <c r="IA51" s="383"/>
      <c r="IB51" s="383"/>
      <c r="IC51" s="383"/>
      <c r="ID51" s="383"/>
      <c r="IE51" s="383"/>
      <c r="IF51" s="383"/>
      <c r="IG51" s="383"/>
      <c r="IH51" s="383"/>
      <c r="II51" s="383"/>
      <c r="IJ51" s="383"/>
      <c r="IK51" s="383"/>
      <c r="IL51" s="383"/>
    </row>
    <row r="52" spans="1:247" ht="15" customHeight="1">
      <c r="A52" s="481" t="s">
        <v>275</v>
      </c>
      <c r="B52" s="482" t="s">
        <v>388</v>
      </c>
      <c r="C52" s="483" t="s">
        <v>222</v>
      </c>
      <c r="D52" s="14"/>
      <c r="E52" s="484" t="s">
        <v>781</v>
      </c>
      <c r="F52" s="484">
        <v>4797</v>
      </c>
      <c r="G52" s="479" t="str">
        <f t="shared" si="0"/>
        <v>OUTRO</v>
      </c>
      <c r="H52" s="341">
        <f>SUMIF(VI.A!$B$6:$B$5963,B52,VI.A!$L$6:$L$5963)</f>
        <v>1</v>
      </c>
      <c r="I52" s="341" t="str">
        <f t="shared" si="5"/>
        <v>si</v>
      </c>
      <c r="J52" s="383"/>
      <c r="K52" s="384">
        <v>7.3</v>
      </c>
      <c r="L52" s="384" t="str">
        <f t="shared" si="1"/>
        <v>VERIFICAR</v>
      </c>
      <c r="M52" s="480">
        <f t="shared" si="2"/>
        <v>7.3</v>
      </c>
      <c r="N52" s="383" t="b">
        <f t="shared" si="3"/>
        <v>0</v>
      </c>
      <c r="O52" s="383"/>
      <c r="P52" s="383"/>
      <c r="Q52" s="383"/>
      <c r="R52" s="383"/>
      <c r="S52" s="383"/>
      <c r="T52" s="383"/>
      <c r="U52" s="383"/>
      <c r="V52" s="383"/>
      <c r="W52" s="383"/>
      <c r="X52" s="383"/>
      <c r="Y52" s="383"/>
      <c r="Z52" s="383"/>
      <c r="AA52" s="383"/>
      <c r="AB52" s="383"/>
      <c r="AC52" s="383"/>
      <c r="AD52" s="383"/>
      <c r="AE52" s="383"/>
      <c r="AF52" s="383"/>
      <c r="AG52" s="383"/>
      <c r="AH52" s="383"/>
      <c r="AI52" s="383"/>
      <c r="AJ52" s="383"/>
      <c r="AK52" s="383"/>
      <c r="AL52" s="383"/>
      <c r="AM52" s="383"/>
      <c r="AN52" s="383"/>
      <c r="AO52" s="383"/>
      <c r="AP52" s="383"/>
      <c r="AQ52" s="383"/>
      <c r="AR52" s="383"/>
      <c r="AS52" s="383"/>
      <c r="AT52" s="383"/>
      <c r="AU52" s="383"/>
      <c r="AV52" s="383"/>
      <c r="AW52" s="383"/>
      <c r="AX52" s="383"/>
      <c r="AY52" s="383"/>
      <c r="AZ52" s="383"/>
      <c r="BA52" s="383"/>
      <c r="BB52" s="383"/>
      <c r="BC52" s="383"/>
      <c r="BD52" s="383"/>
      <c r="BE52" s="383"/>
      <c r="BF52" s="383"/>
      <c r="BG52" s="383"/>
      <c r="BH52" s="383"/>
      <c r="BI52" s="383"/>
      <c r="BJ52" s="383"/>
      <c r="BK52" s="383"/>
      <c r="BL52" s="383"/>
      <c r="BM52" s="383"/>
      <c r="BN52" s="383"/>
      <c r="BO52" s="383"/>
      <c r="BP52" s="383"/>
      <c r="BQ52" s="383"/>
      <c r="BR52" s="383"/>
      <c r="BS52" s="383"/>
      <c r="BT52" s="383"/>
      <c r="BU52" s="383"/>
      <c r="BV52" s="383"/>
      <c r="BW52" s="383"/>
      <c r="BX52" s="383"/>
      <c r="BY52" s="383"/>
      <c r="BZ52" s="383"/>
      <c r="CA52" s="383"/>
      <c r="CB52" s="383"/>
      <c r="CC52" s="383"/>
      <c r="CD52" s="383"/>
      <c r="CE52" s="383"/>
      <c r="CF52" s="383"/>
      <c r="CG52" s="383"/>
      <c r="CH52" s="383"/>
      <c r="CI52" s="383"/>
      <c r="CJ52" s="383"/>
      <c r="CK52" s="383"/>
      <c r="CL52" s="383"/>
      <c r="CM52" s="383"/>
      <c r="CN52" s="383"/>
      <c r="CO52" s="383"/>
      <c r="CP52" s="383"/>
      <c r="CQ52" s="383"/>
      <c r="CR52" s="383"/>
      <c r="CS52" s="383"/>
      <c r="CT52" s="383"/>
      <c r="CU52" s="383"/>
      <c r="CV52" s="383"/>
      <c r="CW52" s="383"/>
      <c r="CX52" s="383"/>
      <c r="CY52" s="383"/>
      <c r="CZ52" s="383"/>
      <c r="DA52" s="383"/>
      <c r="DB52" s="383"/>
      <c r="DC52" s="383"/>
      <c r="DD52" s="383"/>
      <c r="DE52" s="383"/>
      <c r="DF52" s="383"/>
      <c r="DG52" s="383"/>
      <c r="DH52" s="383"/>
      <c r="DI52" s="383"/>
      <c r="DJ52" s="383"/>
      <c r="DK52" s="383"/>
      <c r="DL52" s="383"/>
      <c r="DM52" s="383"/>
      <c r="DN52" s="383"/>
      <c r="DO52" s="383"/>
      <c r="DP52" s="383"/>
      <c r="DQ52" s="383"/>
      <c r="DR52" s="383"/>
      <c r="DS52" s="383"/>
      <c r="DT52" s="383"/>
      <c r="DU52" s="383"/>
      <c r="DV52" s="383"/>
      <c r="DW52" s="383"/>
      <c r="DX52" s="383"/>
      <c r="DY52" s="383"/>
      <c r="DZ52" s="383"/>
      <c r="EA52" s="383"/>
      <c r="EB52" s="383"/>
      <c r="EC52" s="383"/>
      <c r="ED52" s="383"/>
      <c r="EE52" s="383"/>
      <c r="EF52" s="383"/>
      <c r="EG52" s="383"/>
      <c r="EH52" s="383"/>
      <c r="EI52" s="383"/>
      <c r="EJ52" s="383"/>
      <c r="EK52" s="383"/>
      <c r="EL52" s="383"/>
      <c r="EM52" s="383"/>
      <c r="EN52" s="383"/>
      <c r="EO52" s="383"/>
      <c r="EP52" s="383"/>
      <c r="EQ52" s="383"/>
      <c r="ER52" s="383"/>
      <c r="ES52" s="383"/>
      <c r="ET52" s="383"/>
      <c r="EU52" s="383"/>
      <c r="EV52" s="383"/>
      <c r="EW52" s="383"/>
      <c r="EX52" s="383"/>
      <c r="EY52" s="383"/>
      <c r="EZ52" s="383"/>
      <c r="FA52" s="383"/>
      <c r="FB52" s="383"/>
      <c r="FC52" s="383"/>
      <c r="FD52" s="383"/>
      <c r="FE52" s="383"/>
      <c r="FF52" s="383"/>
      <c r="FG52" s="383"/>
      <c r="FH52" s="383"/>
      <c r="FI52" s="383"/>
      <c r="FJ52" s="383"/>
      <c r="FK52" s="383"/>
      <c r="FL52" s="383"/>
      <c r="FM52" s="383"/>
      <c r="FN52" s="383"/>
      <c r="FO52" s="383"/>
      <c r="FP52" s="383"/>
      <c r="FQ52" s="383"/>
      <c r="FR52" s="383"/>
      <c r="FS52" s="383"/>
      <c r="FT52" s="383"/>
      <c r="FU52" s="383"/>
      <c r="FV52" s="383"/>
      <c r="FW52" s="383"/>
      <c r="FX52" s="383"/>
      <c r="FY52" s="383"/>
      <c r="FZ52" s="383"/>
      <c r="GA52" s="383"/>
      <c r="GB52" s="383"/>
      <c r="GC52" s="383"/>
      <c r="GD52" s="383"/>
      <c r="GE52" s="383"/>
      <c r="GF52" s="383"/>
      <c r="GG52" s="383"/>
      <c r="GH52" s="383"/>
      <c r="GI52" s="383"/>
      <c r="GJ52" s="383"/>
      <c r="GK52" s="383"/>
      <c r="GL52" s="383"/>
      <c r="GM52" s="383"/>
      <c r="GN52" s="383"/>
      <c r="GO52" s="383"/>
      <c r="GP52" s="383"/>
      <c r="GQ52" s="383"/>
      <c r="GR52" s="383"/>
      <c r="GS52" s="383"/>
      <c r="GT52" s="383"/>
      <c r="GU52" s="383"/>
      <c r="GV52" s="383"/>
      <c r="GW52" s="383"/>
      <c r="GX52" s="383"/>
      <c r="GY52" s="383"/>
      <c r="GZ52" s="383"/>
      <c r="HA52" s="383"/>
      <c r="HB52" s="383"/>
      <c r="HC52" s="383"/>
      <c r="HD52" s="383"/>
      <c r="HE52" s="383"/>
      <c r="HF52" s="383"/>
      <c r="HG52" s="383"/>
      <c r="HH52" s="383"/>
      <c r="HI52" s="383"/>
      <c r="HJ52" s="383"/>
      <c r="HK52" s="383"/>
      <c r="HL52" s="383"/>
      <c r="HM52" s="383"/>
      <c r="HN52" s="383"/>
      <c r="HO52" s="383"/>
      <c r="HP52" s="383"/>
      <c r="HQ52" s="383"/>
      <c r="HR52" s="383"/>
      <c r="HS52" s="383"/>
      <c r="HT52" s="383"/>
      <c r="HU52" s="383"/>
      <c r="HV52" s="383"/>
      <c r="HW52" s="383"/>
      <c r="HX52" s="383"/>
      <c r="HY52" s="383"/>
      <c r="HZ52" s="383"/>
      <c r="IA52" s="383"/>
      <c r="IB52" s="383"/>
      <c r="IC52" s="383"/>
      <c r="ID52" s="383"/>
      <c r="IE52" s="383"/>
      <c r="IF52" s="383"/>
      <c r="IG52" s="383"/>
      <c r="IH52" s="383"/>
      <c r="II52" s="383"/>
      <c r="IJ52" s="383"/>
      <c r="IK52" s="383"/>
      <c r="IL52" s="383"/>
    </row>
    <row r="53" spans="1:247" ht="15" customHeight="1">
      <c r="A53" s="481" t="s">
        <v>276</v>
      </c>
      <c r="B53" s="485" t="s">
        <v>546</v>
      </c>
      <c r="C53" s="483" t="s">
        <v>164</v>
      </c>
      <c r="D53" s="14"/>
      <c r="E53" s="484" t="s">
        <v>781</v>
      </c>
      <c r="F53" s="484">
        <v>977</v>
      </c>
      <c r="G53" s="479" t="str">
        <f t="shared" si="0"/>
        <v>OUTRO</v>
      </c>
      <c r="H53" s="341">
        <f>SUMIF(VI.A!$B$6:$B$5963,B53,VI.A!$L$6:$L$5963)</f>
        <v>6000</v>
      </c>
      <c r="I53" s="341" t="str">
        <f t="shared" si="5"/>
        <v>si</v>
      </c>
      <c r="J53" s="383"/>
      <c r="K53" s="384">
        <f>IF(E53="SABESP","OK",VLOOKUP(F53,[6]ISD!$B$11:$F$4861,5,FALSE))</f>
        <v>75.44</v>
      </c>
      <c r="L53" s="384" t="str">
        <f t="shared" si="1"/>
        <v>VERIFICAR</v>
      </c>
      <c r="M53" s="480">
        <f t="shared" si="2"/>
        <v>75.44</v>
      </c>
      <c r="N53" s="383" t="b">
        <f t="shared" si="3"/>
        <v>0</v>
      </c>
      <c r="O53" s="383"/>
      <c r="P53" s="383"/>
      <c r="Q53" s="383"/>
      <c r="R53" s="383"/>
      <c r="S53" s="383"/>
      <c r="T53" s="383"/>
      <c r="U53" s="383"/>
      <c r="V53" s="383"/>
      <c r="W53" s="383"/>
      <c r="X53" s="383"/>
      <c r="Y53" s="383"/>
      <c r="Z53" s="383"/>
      <c r="AA53" s="383"/>
      <c r="AB53" s="383"/>
      <c r="AC53" s="383"/>
      <c r="AD53" s="383"/>
      <c r="AE53" s="383"/>
      <c r="AF53" s="383"/>
      <c r="AG53" s="383"/>
      <c r="AH53" s="383"/>
      <c r="AI53" s="383"/>
      <c r="AJ53" s="383"/>
      <c r="AK53" s="383"/>
      <c r="AL53" s="383"/>
      <c r="AM53" s="383"/>
      <c r="AN53" s="383"/>
      <c r="AO53" s="383"/>
      <c r="AP53" s="383"/>
      <c r="AQ53" s="383"/>
      <c r="AR53" s="383"/>
      <c r="AS53" s="383"/>
      <c r="AT53" s="383"/>
      <c r="AU53" s="383"/>
      <c r="AV53" s="383"/>
      <c r="AW53" s="383"/>
      <c r="AX53" s="383"/>
      <c r="AY53" s="383"/>
      <c r="AZ53" s="383"/>
      <c r="BA53" s="383"/>
      <c r="BB53" s="383"/>
      <c r="BC53" s="383"/>
      <c r="BD53" s="383"/>
      <c r="BE53" s="383"/>
      <c r="BF53" s="383"/>
      <c r="BG53" s="383"/>
      <c r="BH53" s="383"/>
      <c r="BI53" s="383"/>
      <c r="BJ53" s="383"/>
      <c r="BK53" s="383"/>
      <c r="BL53" s="383"/>
      <c r="BM53" s="383"/>
      <c r="BN53" s="383"/>
      <c r="BO53" s="383"/>
      <c r="BP53" s="383"/>
      <c r="BQ53" s="383"/>
      <c r="BR53" s="383"/>
      <c r="BS53" s="383"/>
      <c r="BT53" s="383"/>
      <c r="BU53" s="383"/>
      <c r="BV53" s="383"/>
      <c r="BW53" s="383"/>
      <c r="BX53" s="383"/>
      <c r="BY53" s="383"/>
      <c r="BZ53" s="383"/>
      <c r="CA53" s="383"/>
      <c r="CB53" s="383"/>
      <c r="CC53" s="383"/>
      <c r="CD53" s="383"/>
      <c r="CE53" s="383"/>
      <c r="CF53" s="383"/>
      <c r="CG53" s="383"/>
      <c r="CH53" s="383"/>
      <c r="CI53" s="383"/>
      <c r="CJ53" s="383"/>
      <c r="CK53" s="383"/>
      <c r="CL53" s="383"/>
      <c r="CM53" s="383"/>
      <c r="CN53" s="383"/>
      <c r="CO53" s="383"/>
      <c r="CP53" s="383"/>
      <c r="CQ53" s="383"/>
      <c r="CR53" s="383"/>
      <c r="CS53" s="383"/>
      <c r="CT53" s="383"/>
      <c r="CU53" s="383"/>
      <c r="CV53" s="383"/>
      <c r="CW53" s="383"/>
      <c r="CX53" s="383"/>
      <c r="CY53" s="383"/>
      <c r="CZ53" s="383"/>
      <c r="DA53" s="383"/>
      <c r="DB53" s="383"/>
      <c r="DC53" s="383"/>
      <c r="DD53" s="383"/>
      <c r="DE53" s="383"/>
      <c r="DF53" s="383"/>
      <c r="DG53" s="383"/>
      <c r="DH53" s="383"/>
      <c r="DI53" s="383"/>
      <c r="DJ53" s="383"/>
      <c r="DK53" s="383"/>
      <c r="DL53" s="383"/>
      <c r="DM53" s="383"/>
      <c r="DN53" s="383"/>
      <c r="DO53" s="383"/>
      <c r="DP53" s="383"/>
      <c r="DQ53" s="383"/>
      <c r="DR53" s="383"/>
      <c r="DS53" s="383"/>
      <c r="DT53" s="383"/>
      <c r="DU53" s="383"/>
      <c r="DV53" s="383"/>
      <c r="DW53" s="383"/>
      <c r="DX53" s="383"/>
      <c r="DY53" s="383"/>
      <c r="DZ53" s="383"/>
      <c r="EA53" s="383"/>
      <c r="EB53" s="383"/>
      <c r="EC53" s="383"/>
      <c r="ED53" s="383"/>
      <c r="EE53" s="383"/>
      <c r="EF53" s="383"/>
      <c r="EG53" s="383"/>
      <c r="EH53" s="383"/>
      <c r="EI53" s="383"/>
      <c r="EJ53" s="383"/>
      <c r="EK53" s="383"/>
      <c r="EL53" s="383"/>
      <c r="EM53" s="383"/>
      <c r="EN53" s="383"/>
      <c r="EO53" s="383"/>
      <c r="EP53" s="383"/>
      <c r="EQ53" s="383"/>
      <c r="ER53" s="383"/>
      <c r="ES53" s="383"/>
      <c r="ET53" s="383"/>
      <c r="EU53" s="383"/>
      <c r="EV53" s="383"/>
      <c r="EW53" s="383"/>
      <c r="EX53" s="383"/>
      <c r="EY53" s="383"/>
      <c r="EZ53" s="383"/>
      <c r="FA53" s="383"/>
      <c r="FB53" s="383"/>
      <c r="FC53" s="383"/>
      <c r="FD53" s="383"/>
      <c r="FE53" s="383"/>
      <c r="FF53" s="383"/>
      <c r="FG53" s="383"/>
      <c r="FH53" s="383"/>
      <c r="FI53" s="383"/>
      <c r="FJ53" s="383"/>
      <c r="FK53" s="383"/>
      <c r="FL53" s="383"/>
      <c r="FM53" s="383"/>
      <c r="FN53" s="383"/>
      <c r="FO53" s="383"/>
      <c r="FP53" s="383"/>
      <c r="FQ53" s="383"/>
      <c r="FR53" s="383"/>
      <c r="FS53" s="383"/>
      <c r="FT53" s="383"/>
      <c r="FU53" s="383"/>
      <c r="FV53" s="383"/>
      <c r="FW53" s="383"/>
      <c r="FX53" s="383"/>
      <c r="FY53" s="383"/>
      <c r="FZ53" s="383"/>
      <c r="GA53" s="383"/>
      <c r="GB53" s="383"/>
      <c r="GC53" s="383"/>
      <c r="GD53" s="383"/>
      <c r="GE53" s="383"/>
      <c r="GF53" s="383"/>
      <c r="GG53" s="383"/>
      <c r="GH53" s="383"/>
      <c r="GI53" s="383"/>
      <c r="GJ53" s="383"/>
      <c r="GK53" s="383"/>
      <c r="GL53" s="383"/>
      <c r="GM53" s="383"/>
      <c r="GN53" s="383"/>
      <c r="GO53" s="383"/>
      <c r="GP53" s="383"/>
      <c r="GQ53" s="383"/>
      <c r="GR53" s="383"/>
      <c r="GS53" s="383"/>
      <c r="GT53" s="383"/>
      <c r="GU53" s="383"/>
      <c r="GV53" s="383"/>
      <c r="GW53" s="383"/>
      <c r="GX53" s="383"/>
      <c r="GY53" s="383"/>
      <c r="GZ53" s="383"/>
      <c r="HA53" s="383"/>
      <c r="HB53" s="383"/>
      <c r="HC53" s="383"/>
      <c r="HD53" s="383"/>
      <c r="HE53" s="383"/>
      <c r="HF53" s="383"/>
      <c r="HG53" s="383"/>
      <c r="HH53" s="383"/>
      <c r="HI53" s="383"/>
      <c r="HJ53" s="383"/>
      <c r="HK53" s="383"/>
      <c r="HL53" s="383"/>
      <c r="HM53" s="383"/>
      <c r="HN53" s="383"/>
      <c r="HO53" s="383"/>
      <c r="HP53" s="383"/>
      <c r="HQ53" s="383"/>
      <c r="HR53" s="383"/>
      <c r="HS53" s="383"/>
      <c r="HT53" s="383"/>
      <c r="HU53" s="383"/>
      <c r="HV53" s="383"/>
      <c r="HW53" s="383"/>
      <c r="HX53" s="383"/>
      <c r="HY53" s="383"/>
      <c r="HZ53" s="383"/>
      <c r="IA53" s="383"/>
      <c r="IB53" s="383"/>
      <c r="IC53" s="383"/>
      <c r="ID53" s="383"/>
      <c r="IE53" s="383"/>
      <c r="IF53" s="383"/>
      <c r="IG53" s="383"/>
      <c r="IH53" s="383"/>
      <c r="II53" s="383"/>
      <c r="IJ53" s="383"/>
      <c r="IK53" s="383"/>
      <c r="IL53" s="383"/>
    </row>
    <row r="54" spans="1:247" ht="15" customHeight="1">
      <c r="A54" s="481" t="s">
        <v>277</v>
      </c>
      <c r="B54" s="482" t="s">
        <v>185</v>
      </c>
      <c r="C54" s="483" t="s">
        <v>130</v>
      </c>
      <c r="D54" s="14"/>
      <c r="E54" s="484" t="s">
        <v>379</v>
      </c>
      <c r="F54" s="484">
        <v>7307</v>
      </c>
      <c r="G54" s="479" t="str">
        <f t="shared" si="0"/>
        <v>01/2026</v>
      </c>
      <c r="H54" s="341">
        <f>SUMIF(VI.A!$B$6:$B$5963,B54,VI.A!$L$6:$L$5963)</f>
        <v>239.87799999999999</v>
      </c>
      <c r="I54" s="341" t="str">
        <f t="shared" si="5"/>
        <v>si</v>
      </c>
      <c r="J54" s="383"/>
      <c r="K54" s="384">
        <f>IF(E54="SABESP","OK",VLOOKUP(F54,[6]ISD!$B$11:$F$4861,5,FALSE))</f>
        <v>49.72</v>
      </c>
      <c r="L54" s="384" t="str">
        <f t="shared" si="1"/>
        <v>VERIFICAR</v>
      </c>
      <c r="M54" s="480">
        <f t="shared" si="2"/>
        <v>49.72</v>
      </c>
      <c r="N54" s="383" t="b">
        <f t="shared" si="3"/>
        <v>0</v>
      </c>
      <c r="O54" s="383"/>
      <c r="P54" s="383"/>
      <c r="Q54" s="383"/>
      <c r="R54" s="383"/>
      <c r="S54" s="383"/>
      <c r="T54" s="383"/>
      <c r="U54" s="383"/>
      <c r="V54" s="383"/>
      <c r="W54" s="383"/>
      <c r="X54" s="383"/>
      <c r="Y54" s="383"/>
      <c r="Z54" s="383"/>
      <c r="AA54" s="383"/>
      <c r="AB54" s="383"/>
      <c r="AC54" s="383"/>
      <c r="AD54" s="383"/>
      <c r="AE54" s="383"/>
      <c r="AF54" s="383"/>
      <c r="AG54" s="383"/>
      <c r="AH54" s="383"/>
      <c r="AI54" s="383"/>
      <c r="AJ54" s="383"/>
      <c r="AK54" s="383"/>
      <c r="AL54" s="383"/>
      <c r="AM54" s="383"/>
      <c r="AN54" s="383"/>
      <c r="AO54" s="383"/>
      <c r="AP54" s="383"/>
      <c r="AQ54" s="383"/>
      <c r="AR54" s="383"/>
      <c r="AS54" s="383"/>
      <c r="AT54" s="383"/>
      <c r="AU54" s="383"/>
      <c r="AV54" s="383"/>
      <c r="AW54" s="383"/>
      <c r="AX54" s="383"/>
      <c r="AY54" s="383"/>
      <c r="AZ54" s="383"/>
      <c r="BA54" s="383"/>
      <c r="BB54" s="383"/>
      <c r="BC54" s="383"/>
      <c r="BD54" s="383"/>
      <c r="BE54" s="383"/>
      <c r="BF54" s="383"/>
      <c r="BG54" s="383"/>
      <c r="BH54" s="383"/>
      <c r="BI54" s="383"/>
      <c r="BJ54" s="383"/>
      <c r="BK54" s="383"/>
      <c r="BL54" s="383"/>
      <c r="BM54" s="383"/>
      <c r="BN54" s="383"/>
      <c r="BO54" s="383"/>
      <c r="BP54" s="383"/>
      <c r="BQ54" s="383"/>
      <c r="BR54" s="383"/>
      <c r="BS54" s="383"/>
      <c r="BT54" s="383"/>
      <c r="BU54" s="383"/>
      <c r="BV54" s="383"/>
      <c r="BW54" s="383"/>
      <c r="BX54" s="383"/>
      <c r="BY54" s="383"/>
      <c r="BZ54" s="383"/>
      <c r="CA54" s="383"/>
      <c r="CB54" s="383"/>
      <c r="CC54" s="383"/>
      <c r="CD54" s="383"/>
      <c r="CE54" s="383"/>
      <c r="CF54" s="383"/>
      <c r="CG54" s="383"/>
      <c r="CH54" s="383"/>
      <c r="CI54" s="383"/>
      <c r="CJ54" s="383"/>
      <c r="CK54" s="383"/>
      <c r="CL54" s="383"/>
      <c r="CM54" s="383"/>
      <c r="CN54" s="383"/>
      <c r="CO54" s="383"/>
      <c r="CP54" s="383"/>
      <c r="CQ54" s="383"/>
      <c r="CR54" s="383"/>
      <c r="CS54" s="383"/>
      <c r="CT54" s="383"/>
      <c r="CU54" s="383"/>
      <c r="CV54" s="383"/>
      <c r="CW54" s="383"/>
      <c r="CX54" s="383"/>
      <c r="CY54" s="383"/>
      <c r="CZ54" s="383"/>
      <c r="DA54" s="383"/>
      <c r="DB54" s="383"/>
      <c r="DC54" s="383"/>
      <c r="DD54" s="383"/>
      <c r="DE54" s="383"/>
      <c r="DF54" s="383"/>
      <c r="DG54" s="383"/>
      <c r="DH54" s="383"/>
      <c r="DI54" s="383"/>
      <c r="DJ54" s="383"/>
      <c r="DK54" s="383"/>
      <c r="DL54" s="383"/>
      <c r="DM54" s="383"/>
      <c r="DN54" s="383"/>
      <c r="DO54" s="383"/>
      <c r="DP54" s="383"/>
      <c r="DQ54" s="383"/>
      <c r="DR54" s="383"/>
      <c r="DS54" s="383"/>
      <c r="DT54" s="383"/>
      <c r="DU54" s="383"/>
      <c r="DV54" s="383"/>
      <c r="DW54" s="383"/>
      <c r="DX54" s="383"/>
      <c r="DY54" s="383"/>
      <c r="DZ54" s="383"/>
      <c r="EA54" s="383"/>
      <c r="EB54" s="383"/>
      <c r="EC54" s="383"/>
      <c r="ED54" s="383"/>
      <c r="EE54" s="383"/>
      <c r="EF54" s="383"/>
      <c r="EG54" s="383"/>
      <c r="EH54" s="383"/>
      <c r="EI54" s="383"/>
      <c r="EJ54" s="383"/>
      <c r="EK54" s="383"/>
      <c r="EL54" s="383"/>
      <c r="EM54" s="383"/>
      <c r="EN54" s="383"/>
      <c r="EO54" s="383"/>
      <c r="EP54" s="383"/>
      <c r="EQ54" s="383"/>
      <c r="ER54" s="383"/>
      <c r="ES54" s="383"/>
      <c r="ET54" s="383"/>
      <c r="EU54" s="383"/>
      <c r="EV54" s="383"/>
      <c r="EW54" s="383"/>
      <c r="EX54" s="383"/>
      <c r="EY54" s="383"/>
      <c r="EZ54" s="383"/>
      <c r="FA54" s="383"/>
      <c r="FB54" s="383"/>
      <c r="FC54" s="383"/>
      <c r="FD54" s="383"/>
      <c r="FE54" s="383"/>
      <c r="FF54" s="383"/>
      <c r="FG54" s="383"/>
      <c r="FH54" s="383"/>
      <c r="FI54" s="383"/>
      <c r="FJ54" s="383"/>
      <c r="FK54" s="383"/>
      <c r="FL54" s="383"/>
      <c r="FM54" s="383"/>
      <c r="FN54" s="383"/>
      <c r="FO54" s="383"/>
      <c r="FP54" s="383"/>
      <c r="FQ54" s="383"/>
      <c r="FR54" s="383"/>
      <c r="FS54" s="383"/>
      <c r="FT54" s="383"/>
      <c r="FU54" s="383"/>
      <c r="FV54" s="383"/>
      <c r="FW54" s="383"/>
      <c r="FX54" s="383"/>
      <c r="FY54" s="383"/>
      <c r="FZ54" s="383"/>
      <c r="GA54" s="383"/>
      <c r="GB54" s="383"/>
      <c r="GC54" s="383"/>
      <c r="GD54" s="383"/>
      <c r="GE54" s="383"/>
      <c r="GF54" s="383"/>
      <c r="GG54" s="383"/>
      <c r="GH54" s="383"/>
      <c r="GI54" s="383"/>
      <c r="GJ54" s="383"/>
      <c r="GK54" s="383"/>
      <c r="GL54" s="383"/>
      <c r="GM54" s="383"/>
      <c r="GN54" s="383"/>
      <c r="GO54" s="383"/>
      <c r="GP54" s="383"/>
      <c r="GQ54" s="383"/>
      <c r="GR54" s="383"/>
      <c r="GS54" s="383"/>
      <c r="GT54" s="383"/>
      <c r="GU54" s="383"/>
      <c r="GV54" s="383"/>
      <c r="GW54" s="383"/>
      <c r="GX54" s="383"/>
      <c r="GY54" s="383"/>
      <c r="GZ54" s="383"/>
      <c r="HA54" s="383"/>
      <c r="HB54" s="383"/>
      <c r="HC54" s="383"/>
      <c r="HD54" s="383"/>
      <c r="HE54" s="383"/>
      <c r="HF54" s="383"/>
      <c r="HG54" s="383"/>
      <c r="HH54" s="383"/>
      <c r="HI54" s="383"/>
      <c r="HJ54" s="383"/>
      <c r="HK54" s="383"/>
      <c r="HL54" s="383"/>
      <c r="HM54" s="383"/>
      <c r="HN54" s="383"/>
      <c r="HO54" s="383"/>
      <c r="HP54" s="383"/>
      <c r="HQ54" s="383"/>
      <c r="HR54" s="383"/>
      <c r="HS54" s="383"/>
      <c r="HT54" s="383"/>
      <c r="HU54" s="383"/>
      <c r="HV54" s="383"/>
      <c r="HW54" s="383"/>
      <c r="HX54" s="383"/>
      <c r="HY54" s="383"/>
      <c r="HZ54" s="383"/>
      <c r="IA54" s="383"/>
      <c r="IB54" s="383"/>
      <c r="IC54" s="383"/>
      <c r="ID54" s="383"/>
      <c r="IE54" s="383"/>
      <c r="IF54" s="383"/>
      <c r="IG54" s="383"/>
      <c r="IH54" s="383"/>
      <c r="II54" s="383"/>
      <c r="IJ54" s="383"/>
      <c r="IK54" s="383"/>
      <c r="IL54" s="383"/>
    </row>
    <row r="55" spans="1:247" ht="15" customHeight="1">
      <c r="A55" s="481" t="s">
        <v>278</v>
      </c>
      <c r="B55" s="482" t="s">
        <v>408</v>
      </c>
      <c r="C55" s="483" t="s">
        <v>130</v>
      </c>
      <c r="D55" s="14"/>
      <c r="E55" s="484" t="s">
        <v>377</v>
      </c>
      <c r="F55" s="484">
        <v>38122</v>
      </c>
      <c r="G55" s="479" t="str">
        <f t="shared" si="0"/>
        <v>01/2026</v>
      </c>
      <c r="H55" s="341">
        <f>SUMIF(VI.A!$B$6:$B$5963,B55,VI.A!$L$6:$L$5963)</f>
        <v>9072</v>
      </c>
      <c r="I55" s="341" t="str">
        <f t="shared" si="5"/>
        <v>si</v>
      </c>
      <c r="J55" s="383"/>
      <c r="K55" s="384">
        <f>IF(E55="SABESP","OK",VLOOKUP(F55,[6]ISD!$B$11:$F$4861,5,FALSE))</f>
        <v>22.39</v>
      </c>
      <c r="L55" s="384" t="str">
        <f t="shared" si="1"/>
        <v>VERIFICAR</v>
      </c>
      <c r="M55" s="480">
        <f t="shared" si="2"/>
        <v>22.39</v>
      </c>
      <c r="N55" s="383" t="b">
        <f t="shared" si="3"/>
        <v>0</v>
      </c>
      <c r="O55" s="383"/>
      <c r="P55" s="383"/>
      <c r="Q55" s="383"/>
      <c r="R55" s="383"/>
      <c r="S55" s="383"/>
      <c r="T55" s="383"/>
      <c r="U55" s="383"/>
      <c r="V55" s="383"/>
      <c r="W55" s="383"/>
      <c r="X55" s="383"/>
      <c r="Y55" s="383"/>
      <c r="Z55" s="383"/>
      <c r="AA55" s="383"/>
      <c r="AB55" s="383"/>
      <c r="AC55" s="383"/>
      <c r="AD55" s="383"/>
      <c r="AE55" s="383"/>
      <c r="AF55" s="383"/>
      <c r="AG55" s="383"/>
      <c r="AH55" s="383"/>
      <c r="AI55" s="383"/>
      <c r="AJ55" s="383"/>
      <c r="AK55" s="383"/>
      <c r="AL55" s="383"/>
      <c r="AM55" s="383"/>
      <c r="AN55" s="383"/>
      <c r="AO55" s="383"/>
      <c r="AP55" s="383"/>
      <c r="AQ55" s="383"/>
      <c r="AR55" s="383"/>
      <c r="AS55" s="383"/>
      <c r="AT55" s="383"/>
      <c r="AU55" s="383"/>
      <c r="AV55" s="383"/>
      <c r="AW55" s="383"/>
      <c r="AX55" s="383"/>
      <c r="AY55" s="383"/>
      <c r="AZ55" s="383"/>
      <c r="BA55" s="383"/>
      <c r="BB55" s="383"/>
      <c r="BC55" s="383"/>
      <c r="BD55" s="383"/>
      <c r="BE55" s="383"/>
      <c r="BF55" s="383"/>
      <c r="BG55" s="383"/>
      <c r="BH55" s="383"/>
      <c r="BI55" s="383"/>
      <c r="BJ55" s="383"/>
      <c r="BK55" s="383"/>
      <c r="BL55" s="383"/>
      <c r="BM55" s="383"/>
      <c r="BN55" s="383"/>
      <c r="BO55" s="383"/>
      <c r="BP55" s="383"/>
      <c r="BQ55" s="383"/>
      <c r="BR55" s="383"/>
      <c r="BS55" s="383"/>
      <c r="BT55" s="383"/>
      <c r="BU55" s="383"/>
      <c r="BV55" s="383"/>
      <c r="BW55" s="383"/>
      <c r="BX55" s="383"/>
      <c r="BY55" s="383"/>
      <c r="BZ55" s="383"/>
      <c r="CA55" s="383"/>
      <c r="CB55" s="383"/>
      <c r="CC55" s="383"/>
      <c r="CD55" s="383"/>
      <c r="CE55" s="383"/>
      <c r="CF55" s="383"/>
      <c r="CG55" s="383"/>
      <c r="CH55" s="383"/>
      <c r="CI55" s="383"/>
      <c r="CJ55" s="383"/>
      <c r="CK55" s="383"/>
      <c r="CL55" s="383"/>
      <c r="CM55" s="383"/>
      <c r="CN55" s="383"/>
      <c r="CO55" s="383"/>
      <c r="CP55" s="383"/>
      <c r="CQ55" s="383"/>
      <c r="CR55" s="383"/>
      <c r="CS55" s="383"/>
      <c r="CT55" s="383"/>
      <c r="CU55" s="383"/>
      <c r="CV55" s="383"/>
      <c r="CW55" s="383"/>
      <c r="CX55" s="383"/>
      <c r="CY55" s="383"/>
      <c r="CZ55" s="383"/>
      <c r="DA55" s="383"/>
      <c r="DB55" s="383"/>
      <c r="DC55" s="383"/>
      <c r="DD55" s="383"/>
      <c r="DE55" s="383"/>
      <c r="DF55" s="383"/>
      <c r="DG55" s="383"/>
      <c r="DH55" s="383"/>
      <c r="DI55" s="383"/>
      <c r="DJ55" s="383"/>
      <c r="DK55" s="383"/>
      <c r="DL55" s="383"/>
      <c r="DM55" s="383"/>
      <c r="DN55" s="383"/>
      <c r="DO55" s="383"/>
      <c r="DP55" s="383"/>
      <c r="DQ55" s="383"/>
      <c r="DR55" s="383"/>
      <c r="DS55" s="383"/>
      <c r="DT55" s="383"/>
      <c r="DU55" s="383"/>
      <c r="DV55" s="383"/>
      <c r="DW55" s="383"/>
      <c r="DX55" s="383"/>
      <c r="DY55" s="383"/>
      <c r="DZ55" s="383"/>
      <c r="EA55" s="383"/>
      <c r="EB55" s="383"/>
      <c r="EC55" s="383"/>
      <c r="ED55" s="383"/>
      <c r="EE55" s="383"/>
      <c r="EF55" s="383"/>
      <c r="EG55" s="383"/>
      <c r="EH55" s="383"/>
      <c r="EI55" s="383"/>
      <c r="EJ55" s="383"/>
      <c r="EK55" s="383"/>
      <c r="EL55" s="383"/>
      <c r="EM55" s="383"/>
      <c r="EN55" s="383"/>
      <c r="EO55" s="383"/>
      <c r="EP55" s="383"/>
      <c r="EQ55" s="383"/>
      <c r="ER55" s="383"/>
      <c r="ES55" s="383"/>
      <c r="ET55" s="383"/>
      <c r="EU55" s="383"/>
      <c r="EV55" s="383"/>
      <c r="EW55" s="383"/>
      <c r="EX55" s="383"/>
      <c r="EY55" s="383"/>
      <c r="EZ55" s="383"/>
      <c r="FA55" s="383"/>
      <c r="FB55" s="383"/>
      <c r="FC55" s="383"/>
      <c r="FD55" s="383"/>
      <c r="FE55" s="383"/>
      <c r="FF55" s="383"/>
      <c r="FG55" s="383"/>
      <c r="FH55" s="383"/>
      <c r="FI55" s="383"/>
      <c r="FJ55" s="383"/>
      <c r="FK55" s="383"/>
      <c r="FL55" s="383"/>
      <c r="FM55" s="383"/>
      <c r="FN55" s="383"/>
      <c r="FO55" s="383"/>
      <c r="FP55" s="383"/>
      <c r="FQ55" s="383"/>
      <c r="FR55" s="383"/>
      <c r="FS55" s="383"/>
      <c r="FT55" s="383"/>
      <c r="FU55" s="383"/>
      <c r="FV55" s="383"/>
      <c r="FW55" s="383"/>
      <c r="FX55" s="383"/>
      <c r="FY55" s="383"/>
      <c r="FZ55" s="383"/>
      <c r="GA55" s="383"/>
      <c r="GB55" s="383"/>
      <c r="GC55" s="383"/>
      <c r="GD55" s="383"/>
      <c r="GE55" s="383"/>
      <c r="GF55" s="383"/>
      <c r="GG55" s="383"/>
      <c r="GH55" s="383"/>
      <c r="GI55" s="383"/>
      <c r="GJ55" s="383"/>
      <c r="GK55" s="383"/>
      <c r="GL55" s="383"/>
      <c r="GM55" s="383"/>
      <c r="GN55" s="383"/>
      <c r="GO55" s="383"/>
      <c r="GP55" s="383"/>
      <c r="GQ55" s="383"/>
      <c r="GR55" s="383"/>
      <c r="GS55" s="383"/>
      <c r="GT55" s="383"/>
      <c r="GU55" s="383"/>
      <c r="GV55" s="383"/>
      <c r="GW55" s="383"/>
      <c r="GX55" s="383"/>
      <c r="GY55" s="383"/>
      <c r="GZ55" s="383"/>
      <c r="HA55" s="383"/>
      <c r="HB55" s="383"/>
      <c r="HC55" s="383"/>
      <c r="HD55" s="383"/>
      <c r="HE55" s="383"/>
      <c r="HF55" s="383"/>
      <c r="HG55" s="383"/>
      <c r="HH55" s="383"/>
      <c r="HI55" s="383"/>
      <c r="HJ55" s="383"/>
      <c r="HK55" s="383"/>
      <c r="HL55" s="383"/>
      <c r="HM55" s="383"/>
      <c r="HN55" s="383"/>
      <c r="HO55" s="383"/>
      <c r="HP55" s="383"/>
      <c r="HQ55" s="383"/>
      <c r="HR55" s="383"/>
      <c r="HS55" s="383"/>
      <c r="HT55" s="383"/>
      <c r="HU55" s="383"/>
      <c r="HV55" s="383"/>
      <c r="HW55" s="383"/>
      <c r="HX55" s="383"/>
      <c r="HY55" s="383"/>
      <c r="HZ55" s="383"/>
      <c r="IA55" s="383"/>
      <c r="IB55" s="383"/>
      <c r="IC55" s="383"/>
      <c r="ID55" s="383"/>
      <c r="IE55" s="383"/>
      <c r="IF55" s="383"/>
      <c r="IG55" s="383"/>
      <c r="IH55" s="383"/>
      <c r="II55" s="383"/>
      <c r="IJ55" s="383"/>
      <c r="IK55" s="383"/>
      <c r="IL55" s="383"/>
    </row>
    <row r="56" spans="1:247" ht="15" customHeight="1">
      <c r="A56" s="481" t="s">
        <v>279</v>
      </c>
      <c r="B56" s="482" t="s">
        <v>420</v>
      </c>
      <c r="C56" s="483" t="s">
        <v>130</v>
      </c>
      <c r="D56" s="14"/>
      <c r="E56" s="484" t="s">
        <v>377</v>
      </c>
      <c r="F56" s="484">
        <v>38122</v>
      </c>
      <c r="G56" s="479" t="str">
        <f t="shared" si="0"/>
        <v>01/2026</v>
      </c>
      <c r="H56" s="341">
        <f>SUMIF(VI.A!$B$6:$B$5963,B56,VI.A!$L$6:$L$5963)</f>
        <v>3602.4</v>
      </c>
      <c r="I56" s="341" t="str">
        <f t="shared" si="5"/>
        <v>si</v>
      </c>
      <c r="J56" s="383"/>
      <c r="K56" s="384">
        <f>IF(E56="SABESP","OK",VLOOKUP(F56,[6]ISD!$B$11:$F$4861,5,FALSE))</f>
        <v>22.39</v>
      </c>
      <c r="L56" s="384" t="str">
        <f t="shared" si="1"/>
        <v>VERIFICAR</v>
      </c>
      <c r="M56" s="480">
        <f t="shared" si="2"/>
        <v>22.39</v>
      </c>
      <c r="N56" s="383" t="b">
        <f t="shared" si="3"/>
        <v>0</v>
      </c>
      <c r="O56" s="383"/>
      <c r="P56" s="383"/>
      <c r="Q56" s="383"/>
      <c r="R56" s="383"/>
      <c r="S56" s="383"/>
      <c r="T56" s="383"/>
      <c r="U56" s="383"/>
      <c r="V56" s="383"/>
      <c r="W56" s="383"/>
      <c r="X56" s="383"/>
      <c r="Y56" s="383"/>
      <c r="Z56" s="383"/>
      <c r="AA56" s="383"/>
      <c r="AB56" s="383"/>
      <c r="AC56" s="383"/>
      <c r="AD56" s="383"/>
      <c r="AE56" s="383"/>
      <c r="AF56" s="383"/>
      <c r="AG56" s="383"/>
      <c r="AH56" s="383"/>
      <c r="AI56" s="383"/>
      <c r="AJ56" s="383"/>
      <c r="AK56" s="383"/>
      <c r="AL56" s="383"/>
      <c r="AM56" s="383"/>
      <c r="AN56" s="383"/>
      <c r="AO56" s="383"/>
      <c r="AP56" s="383"/>
      <c r="AQ56" s="383"/>
      <c r="AR56" s="383"/>
      <c r="AS56" s="383"/>
      <c r="AT56" s="383"/>
      <c r="AU56" s="383"/>
      <c r="AV56" s="383"/>
      <c r="AW56" s="383"/>
      <c r="AX56" s="383"/>
      <c r="AY56" s="383"/>
      <c r="AZ56" s="383"/>
      <c r="BA56" s="383"/>
      <c r="BB56" s="383"/>
      <c r="BC56" s="383"/>
      <c r="BD56" s="383"/>
      <c r="BE56" s="383"/>
      <c r="BF56" s="383"/>
      <c r="BG56" s="383"/>
      <c r="BH56" s="383"/>
      <c r="BI56" s="383"/>
      <c r="BJ56" s="383"/>
      <c r="BK56" s="383"/>
      <c r="BL56" s="383"/>
      <c r="BM56" s="383"/>
      <c r="BN56" s="383"/>
      <c r="BO56" s="383"/>
      <c r="BP56" s="383"/>
      <c r="BQ56" s="383"/>
      <c r="BR56" s="383"/>
      <c r="BS56" s="383"/>
      <c r="BT56" s="383"/>
      <c r="BU56" s="383"/>
      <c r="BV56" s="383"/>
      <c r="BW56" s="383"/>
      <c r="BX56" s="383"/>
      <c r="BY56" s="383"/>
      <c r="BZ56" s="383"/>
      <c r="CA56" s="383"/>
      <c r="CB56" s="383"/>
      <c r="CC56" s="383"/>
      <c r="CD56" s="383"/>
      <c r="CE56" s="383"/>
      <c r="CF56" s="383"/>
      <c r="CG56" s="383"/>
      <c r="CH56" s="383"/>
      <c r="CI56" s="383"/>
      <c r="CJ56" s="383"/>
      <c r="CK56" s="383"/>
      <c r="CL56" s="383"/>
      <c r="CM56" s="383"/>
      <c r="CN56" s="383"/>
      <c r="CO56" s="383"/>
      <c r="CP56" s="383"/>
      <c r="CQ56" s="383"/>
      <c r="CR56" s="383"/>
      <c r="CS56" s="383"/>
      <c r="CT56" s="383"/>
      <c r="CU56" s="383"/>
      <c r="CV56" s="383"/>
      <c r="CW56" s="383"/>
      <c r="CX56" s="383"/>
      <c r="CY56" s="383"/>
      <c r="CZ56" s="383"/>
      <c r="DA56" s="383"/>
      <c r="DB56" s="383"/>
      <c r="DC56" s="383"/>
      <c r="DD56" s="383"/>
      <c r="DE56" s="383"/>
      <c r="DF56" s="383"/>
      <c r="DG56" s="383"/>
      <c r="DH56" s="383"/>
      <c r="DI56" s="383"/>
      <c r="DJ56" s="383"/>
      <c r="DK56" s="383"/>
      <c r="DL56" s="383"/>
      <c r="DM56" s="383"/>
      <c r="DN56" s="383"/>
      <c r="DO56" s="383"/>
      <c r="DP56" s="383"/>
      <c r="DQ56" s="383"/>
      <c r="DR56" s="383"/>
      <c r="DS56" s="383"/>
      <c r="DT56" s="383"/>
      <c r="DU56" s="383"/>
      <c r="DV56" s="383"/>
      <c r="DW56" s="383"/>
      <c r="DX56" s="383"/>
      <c r="DY56" s="383"/>
      <c r="DZ56" s="383"/>
      <c r="EA56" s="383"/>
      <c r="EB56" s="383"/>
      <c r="EC56" s="383"/>
      <c r="ED56" s="383"/>
      <c r="EE56" s="383"/>
      <c r="EF56" s="383"/>
      <c r="EG56" s="383"/>
      <c r="EH56" s="383"/>
      <c r="EI56" s="383"/>
      <c r="EJ56" s="383"/>
      <c r="EK56" s="383"/>
      <c r="EL56" s="383"/>
      <c r="EM56" s="383"/>
      <c r="EN56" s="383"/>
      <c r="EO56" s="383"/>
      <c r="EP56" s="383"/>
      <c r="EQ56" s="383"/>
      <c r="ER56" s="383"/>
      <c r="ES56" s="383"/>
      <c r="ET56" s="383"/>
      <c r="EU56" s="383"/>
      <c r="EV56" s="383"/>
      <c r="EW56" s="383"/>
      <c r="EX56" s="383"/>
      <c r="EY56" s="383"/>
      <c r="EZ56" s="383"/>
      <c r="FA56" s="383"/>
      <c r="FB56" s="383"/>
      <c r="FC56" s="383"/>
      <c r="FD56" s="383"/>
      <c r="FE56" s="383"/>
      <c r="FF56" s="383"/>
      <c r="FG56" s="383"/>
      <c r="FH56" s="383"/>
      <c r="FI56" s="383"/>
      <c r="FJ56" s="383"/>
      <c r="FK56" s="383"/>
      <c r="FL56" s="383"/>
      <c r="FM56" s="383"/>
      <c r="FN56" s="383"/>
      <c r="FO56" s="383"/>
      <c r="FP56" s="383"/>
      <c r="FQ56" s="383"/>
      <c r="FR56" s="383"/>
      <c r="FS56" s="383"/>
      <c r="FT56" s="383"/>
      <c r="FU56" s="383"/>
      <c r="FV56" s="383"/>
      <c r="FW56" s="383"/>
      <c r="FX56" s="383"/>
      <c r="FY56" s="383"/>
      <c r="FZ56" s="383"/>
      <c r="GA56" s="383"/>
      <c r="GB56" s="383"/>
      <c r="GC56" s="383"/>
      <c r="GD56" s="383"/>
      <c r="GE56" s="383"/>
      <c r="GF56" s="383"/>
      <c r="GG56" s="383"/>
      <c r="GH56" s="383"/>
      <c r="GI56" s="383"/>
      <c r="GJ56" s="383"/>
      <c r="GK56" s="383"/>
      <c r="GL56" s="383"/>
      <c r="GM56" s="383"/>
      <c r="GN56" s="383"/>
      <c r="GO56" s="383"/>
      <c r="GP56" s="383"/>
      <c r="GQ56" s="383"/>
      <c r="GR56" s="383"/>
      <c r="GS56" s="383"/>
      <c r="GT56" s="383"/>
      <c r="GU56" s="383"/>
      <c r="GV56" s="383"/>
      <c r="GW56" s="383"/>
      <c r="GX56" s="383"/>
      <c r="GY56" s="383"/>
      <c r="GZ56" s="383"/>
      <c r="HA56" s="383"/>
      <c r="HB56" s="383"/>
      <c r="HC56" s="383"/>
      <c r="HD56" s="383"/>
      <c r="HE56" s="383"/>
      <c r="HF56" s="383"/>
      <c r="HG56" s="383"/>
      <c r="HH56" s="383"/>
      <c r="HI56" s="383"/>
      <c r="HJ56" s="383"/>
      <c r="HK56" s="383"/>
      <c r="HL56" s="383"/>
      <c r="HM56" s="383"/>
      <c r="HN56" s="383"/>
      <c r="HO56" s="383"/>
      <c r="HP56" s="383"/>
      <c r="HQ56" s="383"/>
      <c r="HR56" s="383"/>
      <c r="HS56" s="383"/>
      <c r="HT56" s="383"/>
      <c r="HU56" s="383"/>
      <c r="HV56" s="383"/>
      <c r="HW56" s="383"/>
      <c r="HX56" s="383"/>
      <c r="HY56" s="383"/>
      <c r="HZ56" s="383"/>
      <c r="IA56" s="383"/>
      <c r="IB56" s="383"/>
      <c r="IC56" s="383"/>
      <c r="ID56" s="383"/>
      <c r="IE56" s="383"/>
      <c r="IF56" s="383"/>
      <c r="IG56" s="383"/>
      <c r="IH56" s="383"/>
      <c r="II56" s="383"/>
      <c r="IJ56" s="383"/>
      <c r="IK56" s="383"/>
      <c r="IL56" s="383"/>
    </row>
    <row r="57" spans="1:247" ht="15" customHeight="1">
      <c r="A57" s="481" t="s">
        <v>280</v>
      </c>
      <c r="B57" s="482" t="s">
        <v>218</v>
      </c>
      <c r="C57" s="483" t="s">
        <v>164</v>
      </c>
      <c r="D57" s="14"/>
      <c r="E57" s="484" t="s">
        <v>377</v>
      </c>
      <c r="F57" s="484">
        <v>36888</v>
      </c>
      <c r="G57" s="479" t="str">
        <f t="shared" si="0"/>
        <v>01/2026</v>
      </c>
      <c r="H57" s="341">
        <f>SUMIF(VI.A!$B$6:$B$5963,B57,VI.A!$L$6:$L$5963)</f>
        <v>342.52</v>
      </c>
      <c r="I57" s="341" t="str">
        <f t="shared" si="5"/>
        <v>si</v>
      </c>
      <c r="J57" s="383"/>
      <c r="K57" s="384">
        <f>IF(E57="SABESP","OK",VLOOKUP(F57,[6]ISD!$B$11:$F$4861,5,FALSE))</f>
        <v>29.87</v>
      </c>
      <c r="L57" s="384" t="str">
        <f t="shared" si="1"/>
        <v>VERIFICAR</v>
      </c>
      <c r="M57" s="480">
        <f t="shared" si="2"/>
        <v>29.87</v>
      </c>
      <c r="N57" s="383" t="b">
        <f t="shared" si="3"/>
        <v>0</v>
      </c>
      <c r="IM57" s="474"/>
    </row>
    <row r="58" spans="1:247" ht="15" customHeight="1">
      <c r="A58" s="481" t="s">
        <v>281</v>
      </c>
      <c r="B58" s="482" t="s">
        <v>816</v>
      </c>
      <c r="C58" s="483" t="s">
        <v>164</v>
      </c>
      <c r="D58" s="14"/>
      <c r="E58" s="484" t="s">
        <v>377</v>
      </c>
      <c r="F58" s="484">
        <v>41680</v>
      </c>
      <c r="G58" s="479" t="str">
        <f t="shared" si="0"/>
        <v>01/2026</v>
      </c>
      <c r="H58" s="341">
        <f>SUMIF(VI.A!$B$6:$B$5963,B58,VI.A!$L$6:$L$5963)</f>
        <v>1300</v>
      </c>
      <c r="I58" s="341" t="str">
        <f t="shared" si="5"/>
        <v>si</v>
      </c>
      <c r="J58" s="383"/>
      <c r="K58" s="384">
        <f>IF(E58="SABESP","OK",VLOOKUP(F58,[6]ISD!$B$11:$F$4861,5,FALSE))</f>
        <v>11.67</v>
      </c>
      <c r="L58" s="384" t="str">
        <f t="shared" si="1"/>
        <v>VERIFICAR</v>
      </c>
      <c r="M58" s="480">
        <f t="shared" si="2"/>
        <v>11.67</v>
      </c>
      <c r="N58" s="383" t="b">
        <f t="shared" si="3"/>
        <v>0</v>
      </c>
      <c r="IM58" s="474"/>
    </row>
    <row r="59" spans="1:247" ht="15" customHeight="1">
      <c r="A59" s="481" t="s">
        <v>282</v>
      </c>
      <c r="B59" s="482" t="s">
        <v>492</v>
      </c>
      <c r="C59" s="483" t="s">
        <v>166</v>
      </c>
      <c r="D59" s="14"/>
      <c r="E59" s="484" t="s">
        <v>379</v>
      </c>
      <c r="F59" s="484">
        <v>11245</v>
      </c>
      <c r="G59" s="479" t="str">
        <f t="shared" si="0"/>
        <v>01/2026</v>
      </c>
      <c r="H59" s="341">
        <f>SUMIF(VI.A!$B$6:$B$5963,B59,VI.A!$L$6:$L$5963)</f>
        <v>33.33</v>
      </c>
      <c r="I59" s="341" t="str">
        <f t="shared" si="5"/>
        <v>si</v>
      </c>
      <c r="J59" s="383"/>
      <c r="K59" s="384">
        <f>IF(E59="SABESP","OK",VLOOKUP(F59,[6]ISD!$B$11:$F$4861,5,FALSE))</f>
        <v>322.37</v>
      </c>
      <c r="L59" s="384" t="str">
        <f t="shared" si="1"/>
        <v>VERIFICAR</v>
      </c>
      <c r="M59" s="480">
        <f t="shared" si="2"/>
        <v>322.37</v>
      </c>
      <c r="N59" s="383" t="b">
        <f t="shared" si="3"/>
        <v>0</v>
      </c>
      <c r="O59" s="383"/>
      <c r="P59" s="383"/>
      <c r="Q59" s="383"/>
      <c r="R59" s="383"/>
      <c r="S59" s="383"/>
      <c r="T59" s="383"/>
      <c r="U59" s="383"/>
      <c r="V59" s="383"/>
      <c r="W59" s="383"/>
      <c r="X59" s="383"/>
      <c r="Y59" s="383"/>
      <c r="Z59" s="383"/>
      <c r="AA59" s="383"/>
      <c r="AB59" s="383"/>
      <c r="AC59" s="383"/>
      <c r="AD59" s="383"/>
      <c r="AE59" s="383"/>
      <c r="AF59" s="383"/>
      <c r="AG59" s="383"/>
      <c r="AH59" s="383"/>
      <c r="AI59" s="383"/>
      <c r="AJ59" s="383"/>
      <c r="AK59" s="383"/>
      <c r="AL59" s="383"/>
      <c r="AM59" s="383"/>
      <c r="AN59" s="383"/>
      <c r="AO59" s="383"/>
      <c r="AP59" s="383"/>
      <c r="AQ59" s="383"/>
      <c r="AR59" s="383"/>
      <c r="AS59" s="383"/>
      <c r="AT59" s="383"/>
      <c r="AU59" s="383"/>
      <c r="AV59" s="383"/>
      <c r="AW59" s="383"/>
      <c r="AX59" s="383"/>
      <c r="AY59" s="383"/>
      <c r="AZ59" s="383"/>
      <c r="BA59" s="383"/>
      <c r="BB59" s="383"/>
      <c r="BC59" s="383"/>
      <c r="BD59" s="383"/>
      <c r="BE59" s="383"/>
      <c r="BF59" s="383"/>
      <c r="BG59" s="383"/>
      <c r="BH59" s="383"/>
      <c r="BI59" s="383"/>
      <c r="BJ59" s="383"/>
      <c r="BK59" s="383"/>
      <c r="BL59" s="383"/>
      <c r="BM59" s="383"/>
      <c r="BN59" s="383"/>
      <c r="BO59" s="383"/>
      <c r="BP59" s="383"/>
      <c r="BQ59" s="383"/>
      <c r="BR59" s="383"/>
      <c r="BS59" s="383"/>
      <c r="BT59" s="383"/>
      <c r="BU59" s="383"/>
      <c r="BV59" s="383"/>
      <c r="BW59" s="383"/>
      <c r="BX59" s="383"/>
      <c r="BY59" s="383"/>
      <c r="BZ59" s="383"/>
      <c r="CA59" s="383"/>
      <c r="CB59" s="383"/>
      <c r="CC59" s="383"/>
      <c r="CD59" s="383"/>
      <c r="CE59" s="383"/>
      <c r="CF59" s="383"/>
      <c r="CG59" s="383"/>
      <c r="CH59" s="383"/>
      <c r="CI59" s="383"/>
      <c r="CJ59" s="383"/>
      <c r="CK59" s="383"/>
      <c r="CL59" s="383"/>
      <c r="CM59" s="383"/>
      <c r="CN59" s="383"/>
      <c r="CO59" s="383"/>
      <c r="CP59" s="383"/>
      <c r="CQ59" s="383"/>
      <c r="CR59" s="383"/>
      <c r="CS59" s="383"/>
      <c r="CT59" s="383"/>
      <c r="CU59" s="383"/>
      <c r="CV59" s="383"/>
      <c r="CW59" s="383"/>
      <c r="CX59" s="383"/>
      <c r="CY59" s="383"/>
      <c r="CZ59" s="383"/>
      <c r="DA59" s="383"/>
      <c r="DB59" s="383"/>
      <c r="DC59" s="383"/>
      <c r="DD59" s="383"/>
      <c r="DE59" s="383"/>
      <c r="DF59" s="383"/>
      <c r="DG59" s="383"/>
      <c r="DH59" s="383"/>
      <c r="DI59" s="383"/>
      <c r="DJ59" s="383"/>
      <c r="DK59" s="383"/>
      <c r="DL59" s="383"/>
      <c r="DM59" s="383"/>
      <c r="DN59" s="383"/>
      <c r="DO59" s="383"/>
      <c r="DP59" s="383"/>
      <c r="DQ59" s="383"/>
      <c r="DR59" s="383"/>
      <c r="DS59" s="383"/>
      <c r="DT59" s="383"/>
      <c r="DU59" s="383"/>
      <c r="DV59" s="383"/>
      <c r="DW59" s="383"/>
      <c r="DX59" s="383"/>
      <c r="DY59" s="383"/>
      <c r="DZ59" s="383"/>
      <c r="EA59" s="383"/>
      <c r="EB59" s="383"/>
      <c r="EC59" s="383"/>
      <c r="ED59" s="383"/>
      <c r="EE59" s="383"/>
      <c r="EF59" s="383"/>
      <c r="EG59" s="383"/>
      <c r="EH59" s="383"/>
      <c r="EI59" s="383"/>
      <c r="EJ59" s="383"/>
      <c r="EK59" s="383"/>
      <c r="EL59" s="383"/>
      <c r="EM59" s="383"/>
      <c r="EN59" s="383"/>
      <c r="EO59" s="383"/>
      <c r="EP59" s="383"/>
      <c r="EQ59" s="383"/>
      <c r="ER59" s="383"/>
      <c r="ES59" s="383"/>
      <c r="ET59" s="383"/>
      <c r="EU59" s="383"/>
      <c r="EV59" s="383"/>
      <c r="EW59" s="383"/>
      <c r="EX59" s="383"/>
      <c r="EY59" s="383"/>
      <c r="EZ59" s="383"/>
      <c r="FA59" s="383"/>
      <c r="FB59" s="383"/>
      <c r="FC59" s="383"/>
      <c r="FD59" s="383"/>
      <c r="FE59" s="383"/>
      <c r="FF59" s="383"/>
      <c r="FG59" s="383"/>
      <c r="FH59" s="383"/>
      <c r="FI59" s="383"/>
      <c r="FJ59" s="383"/>
      <c r="FK59" s="383"/>
      <c r="FL59" s="383"/>
      <c r="FM59" s="383"/>
      <c r="FN59" s="383"/>
      <c r="FO59" s="383"/>
      <c r="FP59" s="383"/>
      <c r="FQ59" s="383"/>
      <c r="FR59" s="383"/>
      <c r="FS59" s="383"/>
      <c r="FT59" s="383"/>
      <c r="FU59" s="383"/>
      <c r="FV59" s="383"/>
      <c r="FW59" s="383"/>
      <c r="FX59" s="383"/>
      <c r="FY59" s="383"/>
      <c r="FZ59" s="383"/>
      <c r="GA59" s="383"/>
      <c r="GB59" s="383"/>
      <c r="GC59" s="383"/>
      <c r="GD59" s="383"/>
      <c r="GE59" s="383"/>
      <c r="GF59" s="383"/>
      <c r="GG59" s="383"/>
      <c r="GH59" s="383"/>
      <c r="GI59" s="383"/>
      <c r="GJ59" s="383"/>
      <c r="GK59" s="383"/>
      <c r="GL59" s="383"/>
      <c r="GM59" s="383"/>
      <c r="GN59" s="383"/>
      <c r="GO59" s="383"/>
      <c r="GP59" s="383"/>
      <c r="GQ59" s="383"/>
      <c r="GR59" s="383"/>
      <c r="GS59" s="383"/>
      <c r="GT59" s="383"/>
      <c r="GU59" s="383"/>
      <c r="GV59" s="383"/>
      <c r="GW59" s="383"/>
      <c r="GX59" s="383"/>
      <c r="GY59" s="383"/>
      <c r="GZ59" s="383"/>
      <c r="HA59" s="383"/>
      <c r="HB59" s="383"/>
      <c r="HC59" s="383"/>
      <c r="HD59" s="383"/>
      <c r="HE59" s="383"/>
      <c r="HF59" s="383"/>
      <c r="HG59" s="383"/>
      <c r="HH59" s="383"/>
      <c r="HI59" s="383"/>
      <c r="HJ59" s="383"/>
      <c r="HK59" s="383"/>
      <c r="HL59" s="383"/>
      <c r="HM59" s="383"/>
      <c r="HN59" s="383"/>
      <c r="HO59" s="383"/>
      <c r="HP59" s="383"/>
      <c r="HQ59" s="383"/>
      <c r="HR59" s="383"/>
      <c r="HS59" s="383"/>
      <c r="HT59" s="383"/>
      <c r="HU59" s="383"/>
      <c r="HV59" s="383"/>
      <c r="HW59" s="383"/>
      <c r="HX59" s="383"/>
      <c r="HY59" s="383"/>
      <c r="HZ59" s="383"/>
      <c r="IA59" s="383"/>
      <c r="IB59" s="383"/>
      <c r="IC59" s="383"/>
      <c r="ID59" s="383"/>
      <c r="IE59" s="383"/>
      <c r="IF59" s="383"/>
      <c r="IG59" s="383"/>
      <c r="IH59" s="383"/>
      <c r="II59" s="383"/>
      <c r="IJ59" s="383"/>
      <c r="IK59" s="383"/>
      <c r="IL59" s="383"/>
    </row>
    <row r="60" spans="1:247" ht="15" customHeight="1">
      <c r="A60" s="481" t="s">
        <v>283</v>
      </c>
      <c r="B60" s="485" t="s">
        <v>438</v>
      </c>
      <c r="C60" s="483" t="s">
        <v>166</v>
      </c>
      <c r="D60" s="14"/>
      <c r="E60" s="484" t="s">
        <v>735</v>
      </c>
      <c r="F60" s="484" t="s">
        <v>439</v>
      </c>
      <c r="G60" s="479" t="str">
        <f t="shared" si="0"/>
        <v>OUTRO</v>
      </c>
      <c r="H60" s="341">
        <f>SUMIF(VI.A!$B$6:$B$5963,B60,VI.A!$L$6:$L$5963)</f>
        <v>20</v>
      </c>
      <c r="I60" s="341" t="str">
        <f t="shared" si="5"/>
        <v>si</v>
      </c>
      <c r="J60" s="383"/>
      <c r="K60" s="384">
        <f>VLOOKUP(F60,[7]Insumos!$A$9:$D$3235,4,FALSE)</f>
        <v>22.89</v>
      </c>
      <c r="L60" s="384" t="str">
        <f t="shared" si="1"/>
        <v>VERIFICAR</v>
      </c>
      <c r="M60" s="480">
        <f t="shared" si="2"/>
        <v>22.89</v>
      </c>
      <c r="N60" s="383" t="b">
        <f t="shared" si="3"/>
        <v>0</v>
      </c>
      <c r="O60" s="383"/>
      <c r="P60" s="383"/>
      <c r="Q60" s="383"/>
      <c r="R60" s="383"/>
      <c r="S60" s="383"/>
      <c r="T60" s="383"/>
      <c r="U60" s="383"/>
      <c r="V60" s="383"/>
      <c r="W60" s="383"/>
      <c r="X60" s="383"/>
      <c r="Y60" s="383"/>
      <c r="Z60" s="383"/>
      <c r="AA60" s="383"/>
      <c r="AB60" s="383"/>
      <c r="AC60" s="383"/>
      <c r="AD60" s="383"/>
      <c r="AE60" s="383"/>
      <c r="AF60" s="383"/>
      <c r="AG60" s="383"/>
      <c r="AH60" s="383"/>
      <c r="AI60" s="383"/>
      <c r="AJ60" s="383"/>
      <c r="AK60" s="383"/>
      <c r="AL60" s="383"/>
      <c r="AM60" s="383"/>
      <c r="AN60" s="383"/>
      <c r="AO60" s="383"/>
      <c r="AP60" s="383"/>
      <c r="AQ60" s="383"/>
      <c r="AR60" s="383"/>
      <c r="AS60" s="383"/>
      <c r="AT60" s="383"/>
      <c r="AU60" s="383"/>
      <c r="AV60" s="383"/>
      <c r="AW60" s="383"/>
      <c r="AX60" s="383"/>
      <c r="AY60" s="383"/>
      <c r="AZ60" s="383"/>
      <c r="BA60" s="383"/>
      <c r="BB60" s="383"/>
      <c r="BC60" s="383"/>
      <c r="BD60" s="383"/>
      <c r="BE60" s="383"/>
      <c r="BF60" s="383"/>
      <c r="BG60" s="383"/>
      <c r="BH60" s="383"/>
      <c r="BI60" s="383"/>
      <c r="BJ60" s="383"/>
      <c r="BK60" s="383"/>
      <c r="BL60" s="383"/>
      <c r="BM60" s="383"/>
      <c r="BN60" s="383"/>
      <c r="BO60" s="383"/>
      <c r="BP60" s="383"/>
      <c r="BQ60" s="383"/>
      <c r="BR60" s="383"/>
      <c r="BS60" s="383"/>
      <c r="BT60" s="383"/>
      <c r="BU60" s="383"/>
      <c r="BV60" s="383"/>
      <c r="BW60" s="383"/>
      <c r="BX60" s="383"/>
      <c r="BY60" s="383"/>
      <c r="BZ60" s="383"/>
      <c r="CA60" s="383"/>
      <c r="CB60" s="383"/>
      <c r="CC60" s="383"/>
      <c r="CD60" s="383"/>
      <c r="CE60" s="383"/>
      <c r="CF60" s="383"/>
      <c r="CG60" s="383"/>
      <c r="CH60" s="383"/>
      <c r="CI60" s="383"/>
      <c r="CJ60" s="383"/>
      <c r="CK60" s="383"/>
      <c r="CL60" s="383"/>
      <c r="CM60" s="383"/>
      <c r="CN60" s="383"/>
      <c r="CO60" s="383"/>
      <c r="CP60" s="383"/>
      <c r="CQ60" s="383"/>
      <c r="CR60" s="383"/>
      <c r="CS60" s="383"/>
      <c r="CT60" s="383"/>
      <c r="CU60" s="383"/>
      <c r="CV60" s="383"/>
      <c r="CW60" s="383"/>
      <c r="CX60" s="383"/>
      <c r="CY60" s="383"/>
      <c r="CZ60" s="383"/>
      <c r="DA60" s="383"/>
      <c r="DB60" s="383"/>
      <c r="DC60" s="383"/>
      <c r="DD60" s="383"/>
      <c r="DE60" s="383"/>
      <c r="DF60" s="383"/>
      <c r="DG60" s="383"/>
      <c r="DH60" s="383"/>
      <c r="DI60" s="383"/>
      <c r="DJ60" s="383"/>
      <c r="DK60" s="383"/>
      <c r="DL60" s="383"/>
      <c r="DM60" s="383"/>
      <c r="DN60" s="383"/>
      <c r="DO60" s="383"/>
      <c r="DP60" s="383"/>
      <c r="DQ60" s="383"/>
      <c r="DR60" s="383"/>
      <c r="DS60" s="383"/>
      <c r="DT60" s="383"/>
      <c r="DU60" s="383"/>
      <c r="DV60" s="383"/>
      <c r="DW60" s="383"/>
      <c r="DX60" s="383"/>
      <c r="DY60" s="383"/>
      <c r="DZ60" s="383"/>
      <c r="EA60" s="383"/>
      <c r="EB60" s="383"/>
      <c r="EC60" s="383"/>
      <c r="ED60" s="383"/>
      <c r="EE60" s="383"/>
      <c r="EF60" s="383"/>
      <c r="EG60" s="383"/>
      <c r="EH60" s="383"/>
      <c r="EI60" s="383"/>
      <c r="EJ60" s="383"/>
      <c r="EK60" s="383"/>
      <c r="EL60" s="383"/>
      <c r="EM60" s="383"/>
      <c r="EN60" s="383"/>
      <c r="EO60" s="383"/>
      <c r="EP60" s="383"/>
      <c r="EQ60" s="383"/>
      <c r="ER60" s="383"/>
      <c r="ES60" s="383"/>
      <c r="ET60" s="383"/>
      <c r="EU60" s="383"/>
      <c r="EV60" s="383"/>
      <c r="EW60" s="383"/>
      <c r="EX60" s="383"/>
      <c r="EY60" s="383"/>
      <c r="EZ60" s="383"/>
      <c r="FA60" s="383"/>
      <c r="FB60" s="383"/>
      <c r="FC60" s="383"/>
      <c r="FD60" s="383"/>
      <c r="FE60" s="383"/>
      <c r="FF60" s="383"/>
      <c r="FG60" s="383"/>
      <c r="FH60" s="383"/>
      <c r="FI60" s="383"/>
      <c r="FJ60" s="383"/>
      <c r="FK60" s="383"/>
      <c r="FL60" s="383"/>
      <c r="FM60" s="383"/>
      <c r="FN60" s="383"/>
      <c r="FO60" s="383"/>
      <c r="FP60" s="383"/>
      <c r="FQ60" s="383"/>
      <c r="FR60" s="383"/>
      <c r="FS60" s="383"/>
      <c r="FT60" s="383"/>
      <c r="FU60" s="383"/>
      <c r="FV60" s="383"/>
      <c r="FW60" s="383"/>
      <c r="FX60" s="383"/>
      <c r="FY60" s="383"/>
      <c r="FZ60" s="383"/>
      <c r="GA60" s="383"/>
      <c r="GB60" s="383"/>
      <c r="GC60" s="383"/>
      <c r="GD60" s="383"/>
      <c r="GE60" s="383"/>
      <c r="GF60" s="383"/>
      <c r="GG60" s="383"/>
      <c r="GH60" s="383"/>
      <c r="GI60" s="383"/>
      <c r="GJ60" s="383"/>
      <c r="GK60" s="383"/>
      <c r="GL60" s="383"/>
      <c r="GM60" s="383"/>
      <c r="GN60" s="383"/>
      <c r="GO60" s="383"/>
      <c r="GP60" s="383"/>
      <c r="GQ60" s="383"/>
      <c r="GR60" s="383"/>
      <c r="GS60" s="383"/>
      <c r="GT60" s="383"/>
      <c r="GU60" s="383"/>
      <c r="GV60" s="383"/>
      <c r="GW60" s="383"/>
      <c r="GX60" s="383"/>
      <c r="GY60" s="383"/>
      <c r="GZ60" s="383"/>
      <c r="HA60" s="383"/>
      <c r="HB60" s="383"/>
      <c r="HC60" s="383"/>
      <c r="HD60" s="383"/>
      <c r="HE60" s="383"/>
      <c r="HF60" s="383"/>
      <c r="HG60" s="383"/>
      <c r="HH60" s="383"/>
      <c r="HI60" s="383"/>
      <c r="HJ60" s="383"/>
      <c r="HK60" s="383"/>
      <c r="HL60" s="383"/>
      <c r="HM60" s="383"/>
      <c r="HN60" s="383"/>
      <c r="HO60" s="383"/>
      <c r="HP60" s="383"/>
      <c r="HQ60" s="383"/>
      <c r="HR60" s="383"/>
      <c r="HS60" s="383"/>
      <c r="HT60" s="383"/>
      <c r="HU60" s="383"/>
      <c r="HV60" s="383"/>
      <c r="HW60" s="383"/>
      <c r="HX60" s="383"/>
      <c r="HY60" s="383"/>
      <c r="HZ60" s="383"/>
      <c r="IA60" s="383"/>
      <c r="IB60" s="383"/>
      <c r="IC60" s="383"/>
      <c r="ID60" s="383"/>
      <c r="IE60" s="383"/>
      <c r="IF60" s="383"/>
      <c r="IG60" s="383"/>
      <c r="IH60" s="383"/>
      <c r="II60" s="383"/>
      <c r="IJ60" s="383"/>
      <c r="IK60" s="383"/>
      <c r="IL60" s="383"/>
    </row>
    <row r="61" spans="1:247" ht="15" customHeight="1">
      <c r="A61" s="481" t="s">
        <v>284</v>
      </c>
      <c r="B61" s="485" t="s">
        <v>451</v>
      </c>
      <c r="C61" s="483" t="s">
        <v>222</v>
      </c>
      <c r="D61" s="14"/>
      <c r="E61" s="484" t="s">
        <v>379</v>
      </c>
      <c r="F61" s="484">
        <v>140</v>
      </c>
      <c r="G61" s="479" t="str">
        <f t="shared" si="0"/>
        <v>01/2026</v>
      </c>
      <c r="H61" s="341">
        <f>SUMIF(VI.A!$B$6:$B$5963,B61,VI.A!$L$6:$L$5963)</f>
        <v>375</v>
      </c>
      <c r="I61" s="341" t="str">
        <f t="shared" si="5"/>
        <v>si</v>
      </c>
      <c r="J61" s="383"/>
      <c r="K61" s="384">
        <f>IF(E61="SABESP","OK",VLOOKUP(F61,[6]ISD!$B$11:$F$4861,5,FALSE))</f>
        <v>17.670000000000002</v>
      </c>
      <c r="L61" s="384" t="str">
        <f t="shared" si="1"/>
        <v>VERIFICAR</v>
      </c>
      <c r="M61" s="480">
        <f t="shared" si="2"/>
        <v>17.670000000000002</v>
      </c>
      <c r="N61" s="383" t="b">
        <f t="shared" si="3"/>
        <v>0</v>
      </c>
      <c r="O61" s="383"/>
      <c r="P61" s="383"/>
      <c r="Q61" s="383"/>
      <c r="R61" s="383"/>
      <c r="S61" s="383"/>
      <c r="T61" s="383"/>
      <c r="U61" s="383"/>
      <c r="V61" s="383"/>
      <c r="W61" s="383"/>
      <c r="X61" s="383"/>
      <c r="Y61" s="383"/>
      <c r="Z61" s="383"/>
      <c r="AA61" s="383"/>
      <c r="AB61" s="383"/>
      <c r="AC61" s="383"/>
      <c r="AD61" s="383"/>
      <c r="AE61" s="383"/>
      <c r="AF61" s="383"/>
      <c r="AG61" s="383"/>
      <c r="AH61" s="383"/>
      <c r="AI61" s="383"/>
      <c r="AJ61" s="383"/>
      <c r="AK61" s="383"/>
      <c r="AL61" s="383"/>
      <c r="AM61" s="383"/>
      <c r="AN61" s="383"/>
      <c r="AO61" s="383"/>
      <c r="AP61" s="383"/>
      <c r="AQ61" s="383"/>
      <c r="AR61" s="383"/>
      <c r="AS61" s="383"/>
      <c r="AT61" s="383"/>
      <c r="AU61" s="383"/>
      <c r="AV61" s="383"/>
      <c r="AW61" s="383"/>
      <c r="AX61" s="383"/>
      <c r="AY61" s="383"/>
      <c r="AZ61" s="383"/>
      <c r="BA61" s="383"/>
      <c r="BB61" s="383"/>
      <c r="BC61" s="383"/>
      <c r="BD61" s="383"/>
      <c r="BE61" s="383"/>
      <c r="BF61" s="383"/>
      <c r="BG61" s="383"/>
      <c r="BH61" s="383"/>
      <c r="BI61" s="383"/>
      <c r="BJ61" s="383"/>
      <c r="BK61" s="383"/>
      <c r="BL61" s="383"/>
      <c r="BM61" s="383"/>
      <c r="BN61" s="383"/>
      <c r="BO61" s="383"/>
      <c r="BP61" s="383"/>
      <c r="BQ61" s="383"/>
      <c r="BR61" s="383"/>
      <c r="BS61" s="383"/>
      <c r="BT61" s="383"/>
      <c r="BU61" s="383"/>
      <c r="BV61" s="383"/>
      <c r="BW61" s="383"/>
      <c r="BX61" s="383"/>
      <c r="BY61" s="383"/>
      <c r="BZ61" s="383"/>
      <c r="CA61" s="383"/>
      <c r="CB61" s="383"/>
      <c r="CC61" s="383"/>
      <c r="CD61" s="383"/>
      <c r="CE61" s="383"/>
      <c r="CF61" s="383"/>
      <c r="CG61" s="383"/>
      <c r="CH61" s="383"/>
      <c r="CI61" s="383"/>
      <c r="CJ61" s="383"/>
      <c r="CK61" s="383"/>
      <c r="CL61" s="383"/>
      <c r="CM61" s="383"/>
      <c r="CN61" s="383"/>
      <c r="CO61" s="383"/>
      <c r="CP61" s="383"/>
      <c r="CQ61" s="383"/>
      <c r="CR61" s="383"/>
      <c r="CS61" s="383"/>
      <c r="CT61" s="383"/>
      <c r="CU61" s="383"/>
      <c r="CV61" s="383"/>
      <c r="CW61" s="383"/>
      <c r="CX61" s="383"/>
      <c r="CY61" s="383"/>
      <c r="CZ61" s="383"/>
      <c r="DA61" s="383"/>
      <c r="DB61" s="383"/>
      <c r="DC61" s="383"/>
      <c r="DD61" s="383"/>
      <c r="DE61" s="383"/>
      <c r="DF61" s="383"/>
      <c r="DG61" s="383"/>
      <c r="DH61" s="383"/>
      <c r="DI61" s="383"/>
      <c r="DJ61" s="383"/>
      <c r="DK61" s="383"/>
      <c r="DL61" s="383"/>
      <c r="DM61" s="383"/>
      <c r="DN61" s="383"/>
      <c r="DO61" s="383"/>
      <c r="DP61" s="383"/>
      <c r="DQ61" s="383"/>
      <c r="DR61" s="383"/>
      <c r="DS61" s="383"/>
      <c r="DT61" s="383"/>
      <c r="DU61" s="383"/>
      <c r="DV61" s="383"/>
      <c r="DW61" s="383"/>
      <c r="DX61" s="383"/>
      <c r="DY61" s="383"/>
      <c r="DZ61" s="383"/>
      <c r="EA61" s="383"/>
      <c r="EB61" s="383"/>
      <c r="EC61" s="383"/>
      <c r="ED61" s="383"/>
      <c r="EE61" s="383"/>
      <c r="EF61" s="383"/>
      <c r="EG61" s="383"/>
      <c r="EH61" s="383"/>
      <c r="EI61" s="383"/>
      <c r="EJ61" s="383"/>
      <c r="EK61" s="383"/>
      <c r="EL61" s="383"/>
      <c r="EM61" s="383"/>
      <c r="EN61" s="383"/>
      <c r="EO61" s="383"/>
      <c r="EP61" s="383"/>
      <c r="EQ61" s="383"/>
      <c r="ER61" s="383"/>
      <c r="ES61" s="383"/>
      <c r="ET61" s="383"/>
      <c r="EU61" s="383"/>
      <c r="EV61" s="383"/>
      <c r="EW61" s="383"/>
      <c r="EX61" s="383"/>
      <c r="EY61" s="383"/>
      <c r="EZ61" s="383"/>
      <c r="FA61" s="383"/>
      <c r="FB61" s="383"/>
      <c r="FC61" s="383"/>
      <c r="FD61" s="383"/>
      <c r="FE61" s="383"/>
      <c r="FF61" s="383"/>
      <c r="FG61" s="383"/>
      <c r="FH61" s="383"/>
      <c r="FI61" s="383"/>
      <c r="FJ61" s="383"/>
      <c r="FK61" s="383"/>
      <c r="FL61" s="383"/>
      <c r="FM61" s="383"/>
      <c r="FN61" s="383"/>
      <c r="FO61" s="383"/>
      <c r="FP61" s="383"/>
      <c r="FQ61" s="383"/>
      <c r="FR61" s="383"/>
      <c r="FS61" s="383"/>
      <c r="FT61" s="383"/>
      <c r="FU61" s="383"/>
      <c r="FV61" s="383"/>
      <c r="FW61" s="383"/>
      <c r="FX61" s="383"/>
      <c r="FY61" s="383"/>
      <c r="FZ61" s="383"/>
      <c r="GA61" s="383"/>
      <c r="GB61" s="383"/>
      <c r="GC61" s="383"/>
      <c r="GD61" s="383"/>
      <c r="GE61" s="383"/>
      <c r="GF61" s="383"/>
      <c r="GG61" s="383"/>
      <c r="GH61" s="383"/>
      <c r="GI61" s="383"/>
      <c r="GJ61" s="383"/>
      <c r="GK61" s="383"/>
      <c r="GL61" s="383"/>
      <c r="GM61" s="383"/>
      <c r="GN61" s="383"/>
      <c r="GO61" s="383"/>
      <c r="GP61" s="383"/>
      <c r="GQ61" s="383"/>
      <c r="GR61" s="383"/>
      <c r="GS61" s="383"/>
      <c r="GT61" s="383"/>
      <c r="GU61" s="383"/>
      <c r="GV61" s="383"/>
      <c r="GW61" s="383"/>
      <c r="GX61" s="383"/>
      <c r="GY61" s="383"/>
      <c r="GZ61" s="383"/>
      <c r="HA61" s="383"/>
      <c r="HB61" s="383"/>
      <c r="HC61" s="383"/>
      <c r="HD61" s="383"/>
      <c r="HE61" s="383"/>
      <c r="HF61" s="383"/>
      <c r="HG61" s="383"/>
      <c r="HH61" s="383"/>
      <c r="HI61" s="383"/>
      <c r="HJ61" s="383"/>
      <c r="HK61" s="383"/>
      <c r="HL61" s="383"/>
      <c r="HM61" s="383"/>
      <c r="HN61" s="383"/>
      <c r="HO61" s="383"/>
      <c r="HP61" s="383"/>
      <c r="HQ61" s="383"/>
      <c r="HR61" s="383"/>
      <c r="HS61" s="383"/>
      <c r="HT61" s="383"/>
      <c r="HU61" s="383"/>
      <c r="HV61" s="383"/>
      <c r="HW61" s="383"/>
      <c r="HX61" s="383"/>
      <c r="HY61" s="383"/>
      <c r="HZ61" s="383"/>
      <c r="IA61" s="383"/>
      <c r="IB61" s="383"/>
      <c r="IC61" s="383"/>
      <c r="ID61" s="383"/>
      <c r="IE61" s="383"/>
      <c r="IF61" s="383"/>
      <c r="IG61" s="383"/>
      <c r="IH61" s="383"/>
      <c r="II61" s="383"/>
      <c r="IJ61" s="383"/>
      <c r="IK61" s="383"/>
      <c r="IL61" s="383"/>
    </row>
    <row r="62" spans="1:247" ht="15" customHeight="1">
      <c r="A62" s="481" t="s">
        <v>285</v>
      </c>
      <c r="B62" s="487" t="s">
        <v>757</v>
      </c>
      <c r="C62" s="483" t="s">
        <v>166</v>
      </c>
      <c r="D62" s="14"/>
      <c r="E62" s="484" t="s">
        <v>377</v>
      </c>
      <c r="F62" s="484">
        <v>11190</v>
      </c>
      <c r="G62" s="479" t="str">
        <f t="shared" si="0"/>
        <v>01/2026</v>
      </c>
      <c r="H62" s="341">
        <f>SUMIF(VI.A!$B$6:$B$5963,B62,VI.A!$L$6:$L$5963)</f>
        <v>3.125</v>
      </c>
      <c r="I62" s="341" t="str">
        <f t="shared" si="5"/>
        <v>si</v>
      </c>
      <c r="J62" s="383"/>
      <c r="K62" s="384">
        <f>IF(E62="SABESP","OK",VLOOKUP(F62,[6]ISD!$B$11:$F$4861,5,FALSE))</f>
        <v>171.7</v>
      </c>
      <c r="L62" s="384" t="str">
        <f t="shared" si="1"/>
        <v>VERIFICAR</v>
      </c>
      <c r="M62" s="480">
        <f t="shared" si="2"/>
        <v>171.7</v>
      </c>
      <c r="N62" s="383" t="b">
        <f t="shared" si="3"/>
        <v>0</v>
      </c>
      <c r="O62" s="383"/>
      <c r="P62" s="383"/>
      <c r="Q62" s="383"/>
      <c r="R62" s="383"/>
      <c r="S62" s="383"/>
      <c r="T62" s="383"/>
      <c r="U62" s="383"/>
      <c r="V62" s="383"/>
      <c r="W62" s="383"/>
      <c r="X62" s="383"/>
      <c r="Y62" s="383"/>
      <c r="Z62" s="383"/>
      <c r="AA62" s="383"/>
      <c r="AB62" s="383"/>
      <c r="AC62" s="383"/>
      <c r="AD62" s="383"/>
      <c r="AE62" s="383"/>
      <c r="AF62" s="383"/>
      <c r="AG62" s="383"/>
      <c r="AH62" s="383"/>
      <c r="AI62" s="383"/>
      <c r="AJ62" s="383"/>
      <c r="AK62" s="383"/>
      <c r="AL62" s="383"/>
      <c r="AM62" s="383"/>
      <c r="AN62" s="383"/>
      <c r="AO62" s="383"/>
      <c r="AP62" s="383"/>
      <c r="AQ62" s="383"/>
      <c r="AR62" s="383"/>
      <c r="AS62" s="383"/>
      <c r="AT62" s="383"/>
      <c r="AU62" s="383"/>
      <c r="AV62" s="383"/>
      <c r="AW62" s="383"/>
      <c r="AX62" s="383"/>
      <c r="AY62" s="383"/>
      <c r="AZ62" s="383"/>
      <c r="BA62" s="383"/>
      <c r="BB62" s="383"/>
      <c r="BC62" s="383"/>
      <c r="BD62" s="383"/>
      <c r="BE62" s="383"/>
      <c r="BF62" s="383"/>
      <c r="BG62" s="383"/>
      <c r="BH62" s="383"/>
      <c r="BI62" s="383"/>
      <c r="BJ62" s="383"/>
      <c r="BK62" s="383"/>
      <c r="BL62" s="383"/>
      <c r="BM62" s="383"/>
      <c r="BN62" s="383"/>
      <c r="BO62" s="383"/>
      <c r="BP62" s="383"/>
      <c r="BQ62" s="383"/>
      <c r="BR62" s="383"/>
      <c r="BS62" s="383"/>
      <c r="BT62" s="383"/>
      <c r="BU62" s="383"/>
      <c r="BV62" s="383"/>
      <c r="BW62" s="383"/>
      <c r="BX62" s="383"/>
      <c r="BY62" s="383"/>
      <c r="BZ62" s="383"/>
      <c r="CA62" s="383"/>
      <c r="CB62" s="383"/>
      <c r="CC62" s="383"/>
      <c r="CD62" s="383"/>
      <c r="CE62" s="383"/>
      <c r="CF62" s="383"/>
      <c r="CG62" s="383"/>
      <c r="CH62" s="383"/>
      <c r="CI62" s="383"/>
      <c r="CJ62" s="383"/>
      <c r="CK62" s="383"/>
      <c r="CL62" s="383"/>
      <c r="CM62" s="383"/>
      <c r="CN62" s="383"/>
      <c r="CO62" s="383"/>
      <c r="CP62" s="383"/>
      <c r="CQ62" s="383"/>
      <c r="CR62" s="383"/>
      <c r="CS62" s="383"/>
      <c r="CT62" s="383"/>
      <c r="CU62" s="383"/>
      <c r="CV62" s="383"/>
      <c r="CW62" s="383"/>
      <c r="CX62" s="383"/>
      <c r="CY62" s="383"/>
      <c r="CZ62" s="383"/>
      <c r="DA62" s="383"/>
      <c r="DB62" s="383"/>
      <c r="DC62" s="383"/>
      <c r="DD62" s="383"/>
      <c r="DE62" s="383"/>
      <c r="DF62" s="383"/>
      <c r="DG62" s="383"/>
      <c r="DH62" s="383"/>
      <c r="DI62" s="383"/>
      <c r="DJ62" s="383"/>
      <c r="DK62" s="383"/>
      <c r="DL62" s="383"/>
      <c r="DM62" s="383"/>
      <c r="DN62" s="383"/>
      <c r="DO62" s="383"/>
      <c r="DP62" s="383"/>
      <c r="DQ62" s="383"/>
      <c r="DR62" s="383"/>
      <c r="DS62" s="383"/>
      <c r="DT62" s="383"/>
      <c r="DU62" s="383"/>
      <c r="DV62" s="383"/>
      <c r="DW62" s="383"/>
      <c r="DX62" s="383"/>
      <c r="DY62" s="383"/>
      <c r="DZ62" s="383"/>
      <c r="EA62" s="383"/>
      <c r="EB62" s="383"/>
      <c r="EC62" s="383"/>
      <c r="ED62" s="383"/>
      <c r="EE62" s="383"/>
      <c r="EF62" s="383"/>
      <c r="EG62" s="383"/>
      <c r="EH62" s="383"/>
      <c r="EI62" s="383"/>
      <c r="EJ62" s="383"/>
      <c r="EK62" s="383"/>
      <c r="EL62" s="383"/>
      <c r="EM62" s="383"/>
      <c r="EN62" s="383"/>
      <c r="EO62" s="383"/>
      <c r="EP62" s="383"/>
      <c r="EQ62" s="383"/>
      <c r="ER62" s="383"/>
      <c r="ES62" s="383"/>
      <c r="ET62" s="383"/>
      <c r="EU62" s="383"/>
      <c r="EV62" s="383"/>
      <c r="EW62" s="383"/>
      <c r="EX62" s="383"/>
      <c r="EY62" s="383"/>
      <c r="EZ62" s="383"/>
      <c r="FA62" s="383"/>
      <c r="FB62" s="383"/>
      <c r="FC62" s="383"/>
      <c r="FD62" s="383"/>
      <c r="FE62" s="383"/>
      <c r="FF62" s="383"/>
      <c r="FG62" s="383"/>
      <c r="FH62" s="383"/>
      <c r="FI62" s="383"/>
      <c r="FJ62" s="383"/>
      <c r="FK62" s="383"/>
      <c r="FL62" s="383"/>
      <c r="FM62" s="383"/>
      <c r="FN62" s="383"/>
      <c r="FO62" s="383"/>
      <c r="FP62" s="383"/>
      <c r="FQ62" s="383"/>
      <c r="FR62" s="383"/>
      <c r="FS62" s="383"/>
      <c r="FT62" s="383"/>
      <c r="FU62" s="383"/>
      <c r="FV62" s="383"/>
      <c r="FW62" s="383"/>
      <c r="FX62" s="383"/>
      <c r="FY62" s="383"/>
      <c r="FZ62" s="383"/>
      <c r="GA62" s="383"/>
      <c r="GB62" s="383"/>
      <c r="GC62" s="383"/>
      <c r="GD62" s="383"/>
      <c r="GE62" s="383"/>
      <c r="GF62" s="383"/>
      <c r="GG62" s="383"/>
      <c r="GH62" s="383"/>
      <c r="GI62" s="383"/>
      <c r="GJ62" s="383"/>
      <c r="GK62" s="383"/>
      <c r="GL62" s="383"/>
      <c r="GM62" s="383"/>
      <c r="GN62" s="383"/>
      <c r="GO62" s="383"/>
      <c r="GP62" s="383"/>
      <c r="GQ62" s="383"/>
      <c r="GR62" s="383"/>
      <c r="GS62" s="383"/>
      <c r="GT62" s="383"/>
      <c r="GU62" s="383"/>
      <c r="GV62" s="383"/>
      <c r="GW62" s="383"/>
      <c r="GX62" s="383"/>
      <c r="GY62" s="383"/>
      <c r="GZ62" s="383"/>
      <c r="HA62" s="383"/>
      <c r="HB62" s="383"/>
      <c r="HC62" s="383"/>
      <c r="HD62" s="383"/>
      <c r="HE62" s="383"/>
      <c r="HF62" s="383"/>
      <c r="HG62" s="383"/>
      <c r="HH62" s="383"/>
      <c r="HI62" s="383"/>
      <c r="HJ62" s="383"/>
      <c r="HK62" s="383"/>
      <c r="HL62" s="383"/>
      <c r="HM62" s="383"/>
      <c r="HN62" s="383"/>
      <c r="HO62" s="383"/>
      <c r="HP62" s="383"/>
      <c r="HQ62" s="383"/>
      <c r="HR62" s="383"/>
      <c r="HS62" s="383"/>
      <c r="HT62" s="383"/>
      <c r="HU62" s="383"/>
      <c r="HV62" s="383"/>
      <c r="HW62" s="383"/>
      <c r="HX62" s="383"/>
      <c r="HY62" s="383"/>
      <c r="HZ62" s="383"/>
      <c r="IA62" s="383"/>
      <c r="IB62" s="383"/>
      <c r="IC62" s="383"/>
      <c r="ID62" s="383"/>
      <c r="IE62" s="383"/>
      <c r="IF62" s="383"/>
      <c r="IG62" s="383"/>
      <c r="IH62" s="383"/>
      <c r="II62" s="383"/>
      <c r="IJ62" s="383"/>
      <c r="IK62" s="383"/>
      <c r="IL62" s="383"/>
    </row>
    <row r="63" spans="1:247" ht="25.5">
      <c r="A63" s="481" t="s">
        <v>286</v>
      </c>
      <c r="B63" s="487" t="s">
        <v>758</v>
      </c>
      <c r="C63" s="483" t="s">
        <v>165</v>
      </c>
      <c r="D63" s="14"/>
      <c r="E63" s="484" t="s">
        <v>377</v>
      </c>
      <c r="F63" s="484">
        <v>11199</v>
      </c>
      <c r="G63" s="479" t="str">
        <f t="shared" si="0"/>
        <v>01/2026</v>
      </c>
      <c r="H63" s="341">
        <f>SUMIF(VI.A!$B$6:$B$5963,B63,VI.A!$L$6:$L$5963)</f>
        <v>5.0024999999999995</v>
      </c>
      <c r="I63" s="341" t="str">
        <f t="shared" si="5"/>
        <v>si</v>
      </c>
      <c r="J63" s="383"/>
      <c r="K63" s="384">
        <f>IF(E63="SABESP","OK",VLOOKUP(F63,[6]ISD!$B$11:$F$4861,5,FALSE))</f>
        <v>948.26</v>
      </c>
      <c r="L63" s="384" t="str">
        <f t="shared" si="1"/>
        <v>VERIFICAR</v>
      </c>
      <c r="M63" s="480">
        <f t="shared" si="2"/>
        <v>948.26</v>
      </c>
      <c r="N63" s="383" t="b">
        <f t="shared" si="3"/>
        <v>0</v>
      </c>
      <c r="O63" s="383"/>
      <c r="P63" s="383"/>
      <c r="Q63" s="383"/>
      <c r="R63" s="383"/>
      <c r="S63" s="383"/>
      <c r="T63" s="383"/>
      <c r="U63" s="383"/>
      <c r="V63" s="383"/>
      <c r="W63" s="383"/>
      <c r="X63" s="383"/>
      <c r="Y63" s="383"/>
      <c r="Z63" s="383"/>
      <c r="AA63" s="383"/>
      <c r="AB63" s="383"/>
      <c r="AC63" s="383"/>
      <c r="AD63" s="383"/>
      <c r="AE63" s="383"/>
      <c r="AF63" s="383"/>
      <c r="AG63" s="383"/>
      <c r="AH63" s="383"/>
      <c r="AI63" s="383"/>
      <c r="AJ63" s="383"/>
      <c r="AK63" s="383"/>
      <c r="AL63" s="383"/>
      <c r="AM63" s="383"/>
      <c r="AN63" s="383"/>
      <c r="AO63" s="383"/>
      <c r="AP63" s="383"/>
      <c r="AQ63" s="383"/>
      <c r="AR63" s="383"/>
      <c r="AS63" s="383"/>
      <c r="AT63" s="383"/>
      <c r="AU63" s="383"/>
      <c r="AV63" s="383"/>
      <c r="AW63" s="383"/>
      <c r="AX63" s="383"/>
      <c r="AY63" s="383"/>
      <c r="AZ63" s="383"/>
      <c r="BA63" s="383"/>
      <c r="BB63" s="383"/>
      <c r="BC63" s="383"/>
      <c r="BD63" s="383"/>
      <c r="BE63" s="383"/>
      <c r="BF63" s="383"/>
      <c r="BG63" s="383"/>
      <c r="BH63" s="383"/>
      <c r="BI63" s="383"/>
      <c r="BJ63" s="383"/>
      <c r="BK63" s="383"/>
      <c r="BL63" s="383"/>
      <c r="BM63" s="383"/>
      <c r="BN63" s="383"/>
      <c r="BO63" s="383"/>
      <c r="BP63" s="383"/>
      <c r="BQ63" s="383"/>
      <c r="BR63" s="383"/>
      <c r="BS63" s="383"/>
      <c r="BT63" s="383"/>
      <c r="BU63" s="383"/>
      <c r="BV63" s="383"/>
      <c r="BW63" s="383"/>
      <c r="BX63" s="383"/>
      <c r="BY63" s="383"/>
      <c r="BZ63" s="383"/>
      <c r="CA63" s="383"/>
      <c r="CB63" s="383"/>
      <c r="CC63" s="383"/>
      <c r="CD63" s="383"/>
      <c r="CE63" s="383"/>
      <c r="CF63" s="383"/>
      <c r="CG63" s="383"/>
      <c r="CH63" s="383"/>
      <c r="CI63" s="383"/>
      <c r="CJ63" s="383"/>
      <c r="CK63" s="383"/>
      <c r="CL63" s="383"/>
      <c r="CM63" s="383"/>
      <c r="CN63" s="383"/>
      <c r="CO63" s="383"/>
      <c r="CP63" s="383"/>
      <c r="CQ63" s="383"/>
      <c r="CR63" s="383"/>
      <c r="CS63" s="383"/>
      <c r="CT63" s="383"/>
      <c r="CU63" s="383"/>
      <c r="CV63" s="383"/>
      <c r="CW63" s="383"/>
      <c r="CX63" s="383"/>
      <c r="CY63" s="383"/>
      <c r="CZ63" s="383"/>
      <c r="DA63" s="383"/>
      <c r="DB63" s="383"/>
      <c r="DC63" s="383"/>
      <c r="DD63" s="383"/>
      <c r="DE63" s="383"/>
      <c r="DF63" s="383"/>
      <c r="DG63" s="383"/>
      <c r="DH63" s="383"/>
      <c r="DI63" s="383"/>
      <c r="DJ63" s="383"/>
      <c r="DK63" s="383"/>
      <c r="DL63" s="383"/>
      <c r="DM63" s="383"/>
      <c r="DN63" s="383"/>
      <c r="DO63" s="383"/>
      <c r="DP63" s="383"/>
      <c r="DQ63" s="383"/>
      <c r="DR63" s="383"/>
      <c r="DS63" s="383"/>
      <c r="DT63" s="383"/>
      <c r="DU63" s="383"/>
      <c r="DV63" s="383"/>
      <c r="DW63" s="383"/>
      <c r="DX63" s="383"/>
      <c r="DY63" s="383"/>
      <c r="DZ63" s="383"/>
      <c r="EA63" s="383"/>
      <c r="EB63" s="383"/>
      <c r="EC63" s="383"/>
      <c r="ED63" s="383"/>
      <c r="EE63" s="383"/>
      <c r="EF63" s="383"/>
      <c r="EG63" s="383"/>
      <c r="EH63" s="383"/>
      <c r="EI63" s="383"/>
      <c r="EJ63" s="383"/>
      <c r="EK63" s="383"/>
      <c r="EL63" s="383"/>
      <c r="EM63" s="383"/>
      <c r="EN63" s="383"/>
      <c r="EO63" s="383"/>
      <c r="EP63" s="383"/>
      <c r="EQ63" s="383"/>
      <c r="ER63" s="383"/>
      <c r="ES63" s="383"/>
      <c r="ET63" s="383"/>
      <c r="EU63" s="383"/>
      <c r="EV63" s="383"/>
      <c r="EW63" s="383"/>
      <c r="EX63" s="383"/>
      <c r="EY63" s="383"/>
      <c r="EZ63" s="383"/>
      <c r="FA63" s="383"/>
      <c r="FB63" s="383"/>
      <c r="FC63" s="383"/>
      <c r="FD63" s="383"/>
      <c r="FE63" s="383"/>
      <c r="FF63" s="383"/>
      <c r="FG63" s="383"/>
      <c r="FH63" s="383"/>
      <c r="FI63" s="383"/>
      <c r="FJ63" s="383"/>
      <c r="FK63" s="383"/>
      <c r="FL63" s="383"/>
      <c r="FM63" s="383"/>
      <c r="FN63" s="383"/>
      <c r="FO63" s="383"/>
      <c r="FP63" s="383"/>
      <c r="FQ63" s="383"/>
      <c r="FR63" s="383"/>
      <c r="FS63" s="383"/>
      <c r="FT63" s="383"/>
      <c r="FU63" s="383"/>
      <c r="FV63" s="383"/>
      <c r="FW63" s="383"/>
      <c r="FX63" s="383"/>
      <c r="FY63" s="383"/>
      <c r="FZ63" s="383"/>
      <c r="GA63" s="383"/>
      <c r="GB63" s="383"/>
      <c r="GC63" s="383"/>
      <c r="GD63" s="383"/>
      <c r="GE63" s="383"/>
      <c r="GF63" s="383"/>
      <c r="GG63" s="383"/>
      <c r="GH63" s="383"/>
      <c r="GI63" s="383"/>
      <c r="GJ63" s="383"/>
      <c r="GK63" s="383"/>
      <c r="GL63" s="383"/>
      <c r="GM63" s="383"/>
      <c r="GN63" s="383"/>
      <c r="GO63" s="383"/>
      <c r="GP63" s="383"/>
      <c r="GQ63" s="383"/>
      <c r="GR63" s="383"/>
      <c r="GS63" s="383"/>
      <c r="GT63" s="383"/>
      <c r="GU63" s="383"/>
      <c r="GV63" s="383"/>
      <c r="GW63" s="383"/>
      <c r="GX63" s="383"/>
      <c r="GY63" s="383"/>
      <c r="GZ63" s="383"/>
      <c r="HA63" s="383"/>
      <c r="HB63" s="383"/>
      <c r="HC63" s="383"/>
      <c r="HD63" s="383"/>
      <c r="HE63" s="383"/>
      <c r="HF63" s="383"/>
      <c r="HG63" s="383"/>
      <c r="HH63" s="383"/>
      <c r="HI63" s="383"/>
      <c r="HJ63" s="383"/>
      <c r="HK63" s="383"/>
      <c r="HL63" s="383"/>
      <c r="HM63" s="383"/>
      <c r="HN63" s="383"/>
      <c r="HO63" s="383"/>
      <c r="HP63" s="383"/>
      <c r="HQ63" s="383"/>
      <c r="HR63" s="383"/>
      <c r="HS63" s="383"/>
      <c r="HT63" s="383"/>
      <c r="HU63" s="383"/>
      <c r="HV63" s="383"/>
      <c r="HW63" s="383"/>
      <c r="HX63" s="383"/>
      <c r="HY63" s="383"/>
      <c r="HZ63" s="383"/>
      <c r="IA63" s="383"/>
      <c r="IB63" s="383"/>
      <c r="IC63" s="383"/>
      <c r="ID63" s="383"/>
      <c r="IE63" s="383"/>
      <c r="IF63" s="383"/>
      <c r="IG63" s="383"/>
      <c r="IH63" s="383"/>
      <c r="II63" s="383"/>
      <c r="IJ63" s="383"/>
      <c r="IK63" s="383"/>
      <c r="IL63" s="383"/>
    </row>
    <row r="64" spans="1:247" ht="15" customHeight="1">
      <c r="A64" s="481" t="s">
        <v>287</v>
      </c>
      <c r="B64" s="485" t="s">
        <v>186</v>
      </c>
      <c r="C64" s="483" t="s">
        <v>166</v>
      </c>
      <c r="D64" s="14"/>
      <c r="E64" s="484" t="s">
        <v>379</v>
      </c>
      <c r="F64" s="484">
        <v>20157</v>
      </c>
      <c r="G64" s="479" t="str">
        <f t="shared" si="0"/>
        <v>01/2026</v>
      </c>
      <c r="H64" s="341">
        <f>SUMIF(VI.A!$B$6:$B$5963,B64,VI.A!$L$6:$L$5963)</f>
        <v>19.8</v>
      </c>
      <c r="I64" s="341" t="str">
        <f t="shared" si="5"/>
        <v>si</v>
      </c>
      <c r="J64" s="383"/>
      <c r="K64" s="384">
        <f>IF(E64="SABESP","OK",VLOOKUP(F64,[6]ISD!$B$11:$F$4861,5,FALSE))</f>
        <v>23.31</v>
      </c>
      <c r="L64" s="384" t="str">
        <f t="shared" si="1"/>
        <v>VERIFICAR</v>
      </c>
      <c r="M64" s="480">
        <f t="shared" si="2"/>
        <v>23.31</v>
      </c>
      <c r="N64" s="383" t="b">
        <f t="shared" si="3"/>
        <v>0</v>
      </c>
      <c r="O64" s="383"/>
      <c r="P64" s="383"/>
      <c r="Q64" s="383"/>
      <c r="R64" s="383"/>
      <c r="S64" s="383"/>
      <c r="T64" s="383"/>
      <c r="U64" s="383"/>
      <c r="V64" s="383"/>
      <c r="W64" s="383"/>
      <c r="X64" s="383"/>
      <c r="Y64" s="383"/>
      <c r="Z64" s="383"/>
      <c r="AA64" s="383"/>
      <c r="AB64" s="383"/>
      <c r="AC64" s="383"/>
      <c r="AD64" s="383"/>
      <c r="AE64" s="383"/>
      <c r="AF64" s="383"/>
      <c r="AG64" s="383"/>
      <c r="AH64" s="383"/>
      <c r="AI64" s="383"/>
      <c r="AJ64" s="383"/>
      <c r="AK64" s="383"/>
      <c r="AL64" s="383"/>
      <c r="AM64" s="383"/>
      <c r="AN64" s="383"/>
      <c r="AO64" s="383"/>
      <c r="AP64" s="383"/>
      <c r="AQ64" s="383"/>
      <c r="AR64" s="383"/>
      <c r="AS64" s="383"/>
      <c r="AT64" s="383"/>
      <c r="AU64" s="383"/>
      <c r="AV64" s="383"/>
      <c r="AW64" s="383"/>
      <c r="AX64" s="383"/>
      <c r="AY64" s="383"/>
      <c r="AZ64" s="383"/>
      <c r="BA64" s="383"/>
      <c r="BB64" s="383"/>
      <c r="BC64" s="383"/>
      <c r="BD64" s="383"/>
      <c r="BE64" s="383"/>
      <c r="BF64" s="383"/>
      <c r="BG64" s="383"/>
      <c r="BH64" s="383"/>
      <c r="BI64" s="383"/>
      <c r="BJ64" s="383"/>
      <c r="BK64" s="383"/>
      <c r="BL64" s="383"/>
      <c r="BM64" s="383"/>
      <c r="BN64" s="383"/>
      <c r="BO64" s="383"/>
      <c r="BP64" s="383"/>
      <c r="BQ64" s="383"/>
      <c r="BR64" s="383"/>
      <c r="BS64" s="383"/>
      <c r="BT64" s="383"/>
      <c r="BU64" s="383"/>
      <c r="BV64" s="383"/>
      <c r="BW64" s="383"/>
      <c r="BX64" s="383"/>
      <c r="BY64" s="383"/>
      <c r="BZ64" s="383"/>
      <c r="CA64" s="383"/>
      <c r="CB64" s="383"/>
      <c r="CC64" s="383"/>
      <c r="CD64" s="383"/>
      <c r="CE64" s="383"/>
      <c r="CF64" s="383"/>
      <c r="CG64" s="383"/>
      <c r="CH64" s="383"/>
      <c r="CI64" s="383"/>
      <c r="CJ64" s="383"/>
      <c r="CK64" s="383"/>
      <c r="CL64" s="383"/>
      <c r="CM64" s="383"/>
      <c r="CN64" s="383"/>
      <c r="CO64" s="383"/>
      <c r="CP64" s="383"/>
      <c r="CQ64" s="383"/>
      <c r="CR64" s="383"/>
      <c r="CS64" s="383"/>
      <c r="CT64" s="383"/>
      <c r="CU64" s="383"/>
      <c r="CV64" s="383"/>
      <c r="CW64" s="383"/>
      <c r="CX64" s="383"/>
      <c r="CY64" s="383"/>
      <c r="CZ64" s="383"/>
      <c r="DA64" s="383"/>
      <c r="DB64" s="383"/>
      <c r="DC64" s="383"/>
      <c r="DD64" s="383"/>
      <c r="DE64" s="383"/>
      <c r="DF64" s="383"/>
      <c r="DG64" s="383"/>
      <c r="DH64" s="383"/>
      <c r="DI64" s="383"/>
      <c r="DJ64" s="383"/>
      <c r="DK64" s="383"/>
      <c r="DL64" s="383"/>
      <c r="DM64" s="383"/>
      <c r="DN64" s="383"/>
      <c r="DO64" s="383"/>
      <c r="DP64" s="383"/>
      <c r="DQ64" s="383"/>
      <c r="DR64" s="383"/>
      <c r="DS64" s="383"/>
      <c r="DT64" s="383"/>
      <c r="DU64" s="383"/>
      <c r="DV64" s="383"/>
      <c r="DW64" s="383"/>
      <c r="DX64" s="383"/>
      <c r="DY64" s="383"/>
      <c r="DZ64" s="383"/>
      <c r="EA64" s="383"/>
      <c r="EB64" s="383"/>
      <c r="EC64" s="383"/>
      <c r="ED64" s="383"/>
      <c r="EE64" s="383"/>
      <c r="EF64" s="383"/>
      <c r="EG64" s="383"/>
      <c r="EH64" s="383"/>
      <c r="EI64" s="383"/>
      <c r="EJ64" s="383"/>
      <c r="EK64" s="383"/>
      <c r="EL64" s="383"/>
      <c r="EM64" s="383"/>
      <c r="EN64" s="383"/>
      <c r="EO64" s="383"/>
      <c r="EP64" s="383"/>
      <c r="EQ64" s="383"/>
      <c r="ER64" s="383"/>
      <c r="ES64" s="383"/>
      <c r="ET64" s="383"/>
      <c r="EU64" s="383"/>
      <c r="EV64" s="383"/>
      <c r="EW64" s="383"/>
      <c r="EX64" s="383"/>
      <c r="EY64" s="383"/>
      <c r="EZ64" s="383"/>
      <c r="FA64" s="383"/>
      <c r="FB64" s="383"/>
      <c r="FC64" s="383"/>
      <c r="FD64" s="383"/>
      <c r="FE64" s="383"/>
      <c r="FF64" s="383"/>
      <c r="FG64" s="383"/>
      <c r="FH64" s="383"/>
      <c r="FI64" s="383"/>
      <c r="FJ64" s="383"/>
      <c r="FK64" s="383"/>
      <c r="FL64" s="383"/>
      <c r="FM64" s="383"/>
      <c r="FN64" s="383"/>
      <c r="FO64" s="383"/>
      <c r="FP64" s="383"/>
      <c r="FQ64" s="383"/>
      <c r="FR64" s="383"/>
      <c r="FS64" s="383"/>
      <c r="FT64" s="383"/>
      <c r="FU64" s="383"/>
      <c r="FV64" s="383"/>
      <c r="FW64" s="383"/>
      <c r="FX64" s="383"/>
      <c r="FY64" s="383"/>
      <c r="FZ64" s="383"/>
      <c r="GA64" s="383"/>
      <c r="GB64" s="383"/>
      <c r="GC64" s="383"/>
      <c r="GD64" s="383"/>
      <c r="GE64" s="383"/>
      <c r="GF64" s="383"/>
      <c r="GG64" s="383"/>
      <c r="GH64" s="383"/>
      <c r="GI64" s="383"/>
      <c r="GJ64" s="383"/>
      <c r="GK64" s="383"/>
      <c r="GL64" s="383"/>
      <c r="GM64" s="383"/>
      <c r="GN64" s="383"/>
      <c r="GO64" s="383"/>
      <c r="GP64" s="383"/>
      <c r="GQ64" s="383"/>
      <c r="GR64" s="383"/>
      <c r="GS64" s="383"/>
      <c r="GT64" s="383"/>
      <c r="GU64" s="383"/>
      <c r="GV64" s="383"/>
      <c r="GW64" s="383"/>
      <c r="GX64" s="383"/>
      <c r="GY64" s="383"/>
      <c r="GZ64" s="383"/>
      <c r="HA64" s="383"/>
      <c r="HB64" s="383"/>
      <c r="HC64" s="383"/>
      <c r="HD64" s="383"/>
      <c r="HE64" s="383"/>
      <c r="HF64" s="383"/>
      <c r="HG64" s="383"/>
      <c r="HH64" s="383"/>
      <c r="HI64" s="383"/>
      <c r="HJ64" s="383"/>
      <c r="HK64" s="383"/>
      <c r="HL64" s="383"/>
      <c r="HM64" s="383"/>
      <c r="HN64" s="383"/>
      <c r="HO64" s="383"/>
      <c r="HP64" s="383"/>
      <c r="HQ64" s="383"/>
      <c r="HR64" s="383"/>
      <c r="HS64" s="383"/>
      <c r="HT64" s="383"/>
      <c r="HU64" s="383"/>
      <c r="HV64" s="383"/>
      <c r="HW64" s="383"/>
      <c r="HX64" s="383"/>
      <c r="HY64" s="383"/>
      <c r="HZ64" s="383"/>
      <c r="IA64" s="383"/>
      <c r="IB64" s="383"/>
      <c r="IC64" s="383"/>
      <c r="ID64" s="383"/>
      <c r="IE64" s="383"/>
      <c r="IF64" s="383"/>
      <c r="IG64" s="383"/>
      <c r="IH64" s="383"/>
      <c r="II64" s="383"/>
      <c r="IJ64" s="383"/>
      <c r="IK64" s="383"/>
      <c r="IL64" s="383"/>
    </row>
    <row r="65" spans="1:246" ht="15" customHeight="1">
      <c r="A65" s="481" t="s">
        <v>288</v>
      </c>
      <c r="B65" s="482" t="s">
        <v>187</v>
      </c>
      <c r="C65" s="483" t="s">
        <v>166</v>
      </c>
      <c r="D65" s="14"/>
      <c r="E65" s="484" t="s">
        <v>379</v>
      </c>
      <c r="F65" s="484">
        <v>4062</v>
      </c>
      <c r="G65" s="479" t="str">
        <f t="shared" si="0"/>
        <v>01/2026</v>
      </c>
      <c r="H65" s="341">
        <f>SUMIF(VI.A!$B$6:$B$5963,B65,VI.A!$L$6:$L$5963)</f>
        <v>1248</v>
      </c>
      <c r="I65" s="341" t="str">
        <f t="shared" si="5"/>
        <v>si</v>
      </c>
      <c r="J65" s="383"/>
      <c r="K65" s="384">
        <f>IF(E65="SABESP","OK",VLOOKUP(F65,[6]ISD!$B$11:$F$4861,5,FALSE))</f>
        <v>29.47</v>
      </c>
      <c r="L65" s="384" t="str">
        <f t="shared" si="1"/>
        <v>VERIFICAR</v>
      </c>
      <c r="M65" s="480">
        <f t="shared" si="2"/>
        <v>29.47</v>
      </c>
      <c r="N65" s="383" t="b">
        <f t="shared" si="3"/>
        <v>0</v>
      </c>
      <c r="O65" s="383"/>
      <c r="P65" s="383"/>
      <c r="Q65" s="383"/>
      <c r="R65" s="383"/>
      <c r="S65" s="383"/>
      <c r="T65" s="383"/>
      <c r="U65" s="383"/>
      <c r="V65" s="383"/>
      <c r="W65" s="383"/>
      <c r="X65" s="383"/>
      <c r="Y65" s="383"/>
      <c r="Z65" s="383"/>
      <c r="AA65" s="383"/>
      <c r="AB65" s="383"/>
      <c r="AC65" s="383"/>
      <c r="AD65" s="383"/>
      <c r="AE65" s="383"/>
      <c r="AF65" s="383"/>
      <c r="AG65" s="383"/>
      <c r="AH65" s="383"/>
      <c r="AI65" s="383"/>
      <c r="AJ65" s="383"/>
      <c r="AK65" s="383"/>
      <c r="AL65" s="383"/>
      <c r="AM65" s="383"/>
      <c r="AN65" s="383"/>
      <c r="AO65" s="383"/>
      <c r="AP65" s="383"/>
      <c r="AQ65" s="383"/>
      <c r="AR65" s="383"/>
      <c r="AS65" s="383"/>
      <c r="AT65" s="383"/>
      <c r="AU65" s="383"/>
      <c r="AV65" s="383"/>
      <c r="AW65" s="383"/>
      <c r="AX65" s="383"/>
      <c r="AY65" s="383"/>
      <c r="AZ65" s="383"/>
      <c r="BA65" s="383"/>
      <c r="BB65" s="383"/>
      <c r="BC65" s="383"/>
      <c r="BD65" s="383"/>
      <c r="BE65" s="383"/>
      <c r="BF65" s="383"/>
      <c r="BG65" s="383"/>
      <c r="BH65" s="383"/>
      <c r="BI65" s="383"/>
      <c r="BJ65" s="383"/>
      <c r="BK65" s="383"/>
      <c r="BL65" s="383"/>
      <c r="BM65" s="383"/>
      <c r="BN65" s="383"/>
      <c r="BO65" s="383"/>
      <c r="BP65" s="383"/>
      <c r="BQ65" s="383"/>
      <c r="BR65" s="383"/>
      <c r="BS65" s="383"/>
      <c r="BT65" s="383"/>
      <c r="BU65" s="383"/>
      <c r="BV65" s="383"/>
      <c r="BW65" s="383"/>
      <c r="BX65" s="383"/>
      <c r="BY65" s="383"/>
      <c r="BZ65" s="383"/>
      <c r="CA65" s="383"/>
      <c r="CB65" s="383"/>
      <c r="CC65" s="383"/>
      <c r="CD65" s="383"/>
      <c r="CE65" s="383"/>
      <c r="CF65" s="383"/>
      <c r="CG65" s="383"/>
      <c r="CH65" s="383"/>
      <c r="CI65" s="383"/>
      <c r="CJ65" s="383"/>
      <c r="CK65" s="383"/>
      <c r="CL65" s="383"/>
      <c r="CM65" s="383"/>
      <c r="CN65" s="383"/>
      <c r="CO65" s="383"/>
      <c r="CP65" s="383"/>
      <c r="CQ65" s="383"/>
      <c r="CR65" s="383"/>
      <c r="CS65" s="383"/>
      <c r="CT65" s="383"/>
      <c r="CU65" s="383"/>
      <c r="CV65" s="383"/>
      <c r="CW65" s="383"/>
      <c r="CX65" s="383"/>
      <c r="CY65" s="383"/>
      <c r="CZ65" s="383"/>
      <c r="DA65" s="383"/>
      <c r="DB65" s="383"/>
      <c r="DC65" s="383"/>
      <c r="DD65" s="383"/>
      <c r="DE65" s="383"/>
      <c r="DF65" s="383"/>
      <c r="DG65" s="383"/>
      <c r="DH65" s="383"/>
      <c r="DI65" s="383"/>
      <c r="DJ65" s="383"/>
      <c r="DK65" s="383"/>
      <c r="DL65" s="383"/>
      <c r="DM65" s="383"/>
      <c r="DN65" s="383"/>
      <c r="DO65" s="383"/>
      <c r="DP65" s="383"/>
      <c r="DQ65" s="383"/>
      <c r="DR65" s="383"/>
      <c r="DS65" s="383"/>
      <c r="DT65" s="383"/>
      <c r="DU65" s="383"/>
      <c r="DV65" s="383"/>
      <c r="DW65" s="383"/>
      <c r="DX65" s="383"/>
      <c r="DY65" s="383"/>
      <c r="DZ65" s="383"/>
      <c r="EA65" s="383"/>
      <c r="EB65" s="383"/>
      <c r="EC65" s="383"/>
      <c r="ED65" s="383"/>
      <c r="EE65" s="383"/>
      <c r="EF65" s="383"/>
      <c r="EG65" s="383"/>
      <c r="EH65" s="383"/>
      <c r="EI65" s="383"/>
      <c r="EJ65" s="383"/>
      <c r="EK65" s="383"/>
      <c r="EL65" s="383"/>
      <c r="EM65" s="383"/>
      <c r="EN65" s="383"/>
      <c r="EO65" s="383"/>
      <c r="EP65" s="383"/>
      <c r="EQ65" s="383"/>
      <c r="ER65" s="383"/>
      <c r="ES65" s="383"/>
      <c r="ET65" s="383"/>
      <c r="EU65" s="383"/>
      <c r="EV65" s="383"/>
      <c r="EW65" s="383"/>
      <c r="EX65" s="383"/>
      <c r="EY65" s="383"/>
      <c r="EZ65" s="383"/>
      <c r="FA65" s="383"/>
      <c r="FB65" s="383"/>
      <c r="FC65" s="383"/>
      <c r="FD65" s="383"/>
      <c r="FE65" s="383"/>
      <c r="FF65" s="383"/>
      <c r="FG65" s="383"/>
      <c r="FH65" s="383"/>
      <c r="FI65" s="383"/>
      <c r="FJ65" s="383"/>
      <c r="FK65" s="383"/>
      <c r="FL65" s="383"/>
      <c r="FM65" s="383"/>
      <c r="FN65" s="383"/>
      <c r="FO65" s="383"/>
      <c r="FP65" s="383"/>
      <c r="FQ65" s="383"/>
      <c r="FR65" s="383"/>
      <c r="FS65" s="383"/>
      <c r="FT65" s="383"/>
      <c r="FU65" s="383"/>
      <c r="FV65" s="383"/>
      <c r="FW65" s="383"/>
      <c r="FX65" s="383"/>
      <c r="FY65" s="383"/>
      <c r="FZ65" s="383"/>
      <c r="GA65" s="383"/>
      <c r="GB65" s="383"/>
      <c r="GC65" s="383"/>
      <c r="GD65" s="383"/>
      <c r="GE65" s="383"/>
      <c r="GF65" s="383"/>
      <c r="GG65" s="383"/>
      <c r="GH65" s="383"/>
      <c r="GI65" s="383"/>
      <c r="GJ65" s="383"/>
      <c r="GK65" s="383"/>
      <c r="GL65" s="383"/>
      <c r="GM65" s="383"/>
      <c r="GN65" s="383"/>
      <c r="GO65" s="383"/>
      <c r="GP65" s="383"/>
      <c r="GQ65" s="383"/>
      <c r="GR65" s="383"/>
      <c r="GS65" s="383"/>
      <c r="GT65" s="383"/>
      <c r="GU65" s="383"/>
      <c r="GV65" s="383"/>
      <c r="GW65" s="383"/>
      <c r="GX65" s="383"/>
      <c r="GY65" s="383"/>
      <c r="GZ65" s="383"/>
      <c r="HA65" s="383"/>
      <c r="HB65" s="383"/>
      <c r="HC65" s="383"/>
      <c r="HD65" s="383"/>
      <c r="HE65" s="383"/>
      <c r="HF65" s="383"/>
      <c r="HG65" s="383"/>
      <c r="HH65" s="383"/>
      <c r="HI65" s="383"/>
      <c r="HJ65" s="383"/>
      <c r="HK65" s="383"/>
      <c r="HL65" s="383"/>
      <c r="HM65" s="383"/>
      <c r="HN65" s="383"/>
      <c r="HO65" s="383"/>
      <c r="HP65" s="383"/>
      <c r="HQ65" s="383"/>
      <c r="HR65" s="383"/>
      <c r="HS65" s="383"/>
      <c r="HT65" s="383"/>
      <c r="HU65" s="383"/>
      <c r="HV65" s="383"/>
      <c r="HW65" s="383"/>
      <c r="HX65" s="383"/>
      <c r="HY65" s="383"/>
      <c r="HZ65" s="383"/>
      <c r="IA65" s="383"/>
      <c r="IB65" s="383"/>
      <c r="IC65" s="383"/>
      <c r="ID65" s="383"/>
      <c r="IE65" s="383"/>
      <c r="IF65" s="383"/>
      <c r="IG65" s="383"/>
      <c r="IH65" s="383"/>
      <c r="II65" s="383"/>
      <c r="IJ65" s="383"/>
      <c r="IK65" s="383"/>
      <c r="IL65" s="383"/>
    </row>
    <row r="66" spans="1:246" ht="15" customHeight="1">
      <c r="A66" s="481" t="s">
        <v>289</v>
      </c>
      <c r="B66" s="482" t="s">
        <v>188</v>
      </c>
      <c r="C66" s="483" t="s">
        <v>165</v>
      </c>
      <c r="D66" s="14"/>
      <c r="E66" s="484" t="s">
        <v>379</v>
      </c>
      <c r="F66" s="484">
        <v>3736</v>
      </c>
      <c r="G66" s="479" t="str">
        <f t="shared" si="0"/>
        <v>01/2026</v>
      </c>
      <c r="H66" s="341">
        <f>SUMIF(VI.A!$B$6:$B$5963,B66,VI.A!$L$6:$L$5963)</f>
        <v>200</v>
      </c>
      <c r="I66" s="341" t="str">
        <f t="shared" si="5"/>
        <v>si</v>
      </c>
      <c r="J66" s="383"/>
      <c r="K66" s="384">
        <f>IF(E66="SABESP","OK",VLOOKUP(F66,[6]ISD!$B$11:$F$4861,5,FALSE))</f>
        <v>38.75</v>
      </c>
      <c r="L66" s="384" t="str">
        <f t="shared" si="1"/>
        <v>VERIFICAR</v>
      </c>
      <c r="M66" s="480">
        <f t="shared" si="2"/>
        <v>38.75</v>
      </c>
      <c r="N66" s="383" t="b">
        <f t="shared" si="3"/>
        <v>0</v>
      </c>
      <c r="O66" s="383"/>
      <c r="P66" s="383"/>
      <c r="Q66" s="383"/>
      <c r="R66" s="383"/>
      <c r="S66" s="383"/>
      <c r="T66" s="383"/>
      <c r="U66" s="383"/>
      <c r="V66" s="383"/>
      <c r="W66" s="383"/>
      <c r="X66" s="383"/>
      <c r="Y66" s="383"/>
      <c r="Z66" s="383"/>
      <c r="AA66" s="383"/>
      <c r="AB66" s="383"/>
      <c r="AC66" s="383"/>
      <c r="AD66" s="383"/>
      <c r="AE66" s="383"/>
      <c r="AF66" s="383"/>
      <c r="AG66" s="383"/>
      <c r="AH66" s="383"/>
      <c r="AI66" s="383"/>
      <c r="AJ66" s="383"/>
      <c r="AK66" s="383"/>
      <c r="AL66" s="383"/>
      <c r="AM66" s="383"/>
      <c r="AN66" s="383"/>
      <c r="AO66" s="383"/>
      <c r="AP66" s="383"/>
      <c r="AQ66" s="383"/>
      <c r="AR66" s="383"/>
      <c r="AS66" s="383"/>
      <c r="AT66" s="383"/>
      <c r="AU66" s="383"/>
      <c r="AV66" s="383"/>
      <c r="AW66" s="383"/>
      <c r="AX66" s="383"/>
      <c r="AY66" s="383"/>
      <c r="AZ66" s="383"/>
      <c r="BA66" s="383"/>
      <c r="BB66" s="383"/>
      <c r="BC66" s="383"/>
      <c r="BD66" s="383"/>
      <c r="BE66" s="383"/>
      <c r="BF66" s="383"/>
      <c r="BG66" s="383"/>
      <c r="BH66" s="383"/>
      <c r="BI66" s="383"/>
      <c r="BJ66" s="383"/>
      <c r="BK66" s="383"/>
      <c r="BL66" s="383"/>
      <c r="BM66" s="383"/>
      <c r="BN66" s="383"/>
      <c r="BO66" s="383"/>
      <c r="BP66" s="383"/>
      <c r="BQ66" s="383"/>
      <c r="BR66" s="383"/>
      <c r="BS66" s="383"/>
      <c r="BT66" s="383"/>
      <c r="BU66" s="383"/>
      <c r="BV66" s="383"/>
      <c r="BW66" s="383"/>
      <c r="BX66" s="383"/>
      <c r="BY66" s="383"/>
      <c r="BZ66" s="383"/>
      <c r="CA66" s="383"/>
      <c r="CB66" s="383"/>
      <c r="CC66" s="383"/>
      <c r="CD66" s="383"/>
      <c r="CE66" s="383"/>
      <c r="CF66" s="383"/>
      <c r="CG66" s="383"/>
      <c r="CH66" s="383"/>
      <c r="CI66" s="383"/>
      <c r="CJ66" s="383"/>
      <c r="CK66" s="383"/>
      <c r="CL66" s="383"/>
      <c r="CM66" s="383"/>
      <c r="CN66" s="383"/>
      <c r="CO66" s="383"/>
      <c r="CP66" s="383"/>
      <c r="CQ66" s="383"/>
      <c r="CR66" s="383"/>
      <c r="CS66" s="383"/>
      <c r="CT66" s="383"/>
      <c r="CU66" s="383"/>
      <c r="CV66" s="383"/>
      <c r="CW66" s="383"/>
      <c r="CX66" s="383"/>
      <c r="CY66" s="383"/>
      <c r="CZ66" s="383"/>
      <c r="DA66" s="383"/>
      <c r="DB66" s="383"/>
      <c r="DC66" s="383"/>
      <c r="DD66" s="383"/>
      <c r="DE66" s="383"/>
      <c r="DF66" s="383"/>
      <c r="DG66" s="383"/>
      <c r="DH66" s="383"/>
      <c r="DI66" s="383"/>
      <c r="DJ66" s="383"/>
      <c r="DK66" s="383"/>
      <c r="DL66" s="383"/>
      <c r="DM66" s="383"/>
      <c r="DN66" s="383"/>
      <c r="DO66" s="383"/>
      <c r="DP66" s="383"/>
      <c r="DQ66" s="383"/>
      <c r="DR66" s="383"/>
      <c r="DS66" s="383"/>
      <c r="DT66" s="383"/>
      <c r="DU66" s="383"/>
      <c r="DV66" s="383"/>
      <c r="DW66" s="383"/>
      <c r="DX66" s="383"/>
      <c r="DY66" s="383"/>
      <c r="DZ66" s="383"/>
      <c r="EA66" s="383"/>
      <c r="EB66" s="383"/>
      <c r="EC66" s="383"/>
      <c r="ED66" s="383"/>
      <c r="EE66" s="383"/>
      <c r="EF66" s="383"/>
      <c r="EG66" s="383"/>
      <c r="EH66" s="383"/>
      <c r="EI66" s="383"/>
      <c r="EJ66" s="383"/>
      <c r="EK66" s="383"/>
      <c r="EL66" s="383"/>
      <c r="EM66" s="383"/>
      <c r="EN66" s="383"/>
      <c r="EO66" s="383"/>
      <c r="EP66" s="383"/>
      <c r="EQ66" s="383"/>
      <c r="ER66" s="383"/>
      <c r="ES66" s="383"/>
      <c r="ET66" s="383"/>
      <c r="EU66" s="383"/>
      <c r="EV66" s="383"/>
      <c r="EW66" s="383"/>
      <c r="EX66" s="383"/>
      <c r="EY66" s="383"/>
      <c r="EZ66" s="383"/>
      <c r="FA66" s="383"/>
      <c r="FB66" s="383"/>
      <c r="FC66" s="383"/>
      <c r="FD66" s="383"/>
      <c r="FE66" s="383"/>
      <c r="FF66" s="383"/>
      <c r="FG66" s="383"/>
      <c r="FH66" s="383"/>
      <c r="FI66" s="383"/>
      <c r="FJ66" s="383"/>
      <c r="FK66" s="383"/>
      <c r="FL66" s="383"/>
      <c r="FM66" s="383"/>
      <c r="FN66" s="383"/>
      <c r="FO66" s="383"/>
      <c r="FP66" s="383"/>
      <c r="FQ66" s="383"/>
      <c r="FR66" s="383"/>
      <c r="FS66" s="383"/>
      <c r="FT66" s="383"/>
      <c r="FU66" s="383"/>
      <c r="FV66" s="383"/>
      <c r="FW66" s="383"/>
      <c r="FX66" s="383"/>
      <c r="FY66" s="383"/>
      <c r="FZ66" s="383"/>
      <c r="GA66" s="383"/>
      <c r="GB66" s="383"/>
      <c r="GC66" s="383"/>
      <c r="GD66" s="383"/>
      <c r="GE66" s="383"/>
      <c r="GF66" s="383"/>
      <c r="GG66" s="383"/>
      <c r="GH66" s="383"/>
      <c r="GI66" s="383"/>
      <c r="GJ66" s="383"/>
      <c r="GK66" s="383"/>
      <c r="GL66" s="383"/>
      <c r="GM66" s="383"/>
      <c r="GN66" s="383"/>
      <c r="GO66" s="383"/>
      <c r="GP66" s="383"/>
      <c r="GQ66" s="383"/>
      <c r="GR66" s="383"/>
      <c r="GS66" s="383"/>
      <c r="GT66" s="383"/>
      <c r="GU66" s="383"/>
      <c r="GV66" s="383"/>
      <c r="GW66" s="383"/>
      <c r="GX66" s="383"/>
      <c r="GY66" s="383"/>
      <c r="GZ66" s="383"/>
      <c r="HA66" s="383"/>
      <c r="HB66" s="383"/>
      <c r="HC66" s="383"/>
      <c r="HD66" s="383"/>
      <c r="HE66" s="383"/>
      <c r="HF66" s="383"/>
      <c r="HG66" s="383"/>
      <c r="HH66" s="383"/>
      <c r="HI66" s="383"/>
      <c r="HJ66" s="383"/>
      <c r="HK66" s="383"/>
      <c r="HL66" s="383"/>
      <c r="HM66" s="383"/>
      <c r="HN66" s="383"/>
      <c r="HO66" s="383"/>
      <c r="HP66" s="383"/>
      <c r="HQ66" s="383"/>
      <c r="HR66" s="383"/>
      <c r="HS66" s="383"/>
      <c r="HT66" s="383"/>
      <c r="HU66" s="383"/>
      <c r="HV66" s="383"/>
      <c r="HW66" s="383"/>
      <c r="HX66" s="383"/>
      <c r="HY66" s="383"/>
      <c r="HZ66" s="383"/>
      <c r="IA66" s="383"/>
      <c r="IB66" s="383"/>
      <c r="IC66" s="383"/>
      <c r="ID66" s="383"/>
      <c r="IE66" s="383"/>
      <c r="IF66" s="383"/>
      <c r="IG66" s="383"/>
      <c r="IH66" s="383"/>
      <c r="II66" s="383"/>
      <c r="IJ66" s="383"/>
      <c r="IK66" s="383"/>
      <c r="IL66" s="383"/>
    </row>
    <row r="67" spans="1:246" ht="15" customHeight="1">
      <c r="A67" s="481" t="s">
        <v>290</v>
      </c>
      <c r="B67" s="482" t="s">
        <v>189</v>
      </c>
      <c r="C67" s="483" t="s">
        <v>166</v>
      </c>
      <c r="D67" s="14"/>
      <c r="E67" s="484" t="s">
        <v>379</v>
      </c>
      <c r="F67" s="484">
        <v>38383</v>
      </c>
      <c r="G67" s="479" t="str">
        <f t="shared" si="0"/>
        <v>01/2026</v>
      </c>
      <c r="H67" s="341">
        <f>SUMIF(VI.A!$B$6:$B$5963,B67,VI.A!$L$6:$L$5963)</f>
        <v>50.434000000000005</v>
      </c>
      <c r="I67" s="341" t="str">
        <f t="shared" si="5"/>
        <v>si</v>
      </c>
      <c r="J67" s="383"/>
      <c r="K67" s="384">
        <f>IF(E67="SABESP","OK",VLOOKUP(F67,[6]ISD!$B$11:$F$4861,5,FALSE))</f>
        <v>2.38</v>
      </c>
      <c r="L67" s="384" t="str">
        <f t="shared" si="1"/>
        <v>VERIFICAR</v>
      </c>
      <c r="M67" s="480">
        <f t="shared" si="2"/>
        <v>2.38</v>
      </c>
      <c r="N67" s="383" t="b">
        <f t="shared" si="3"/>
        <v>0</v>
      </c>
      <c r="O67" s="383"/>
      <c r="P67" s="383"/>
      <c r="Q67" s="383"/>
      <c r="R67" s="383"/>
      <c r="S67" s="383"/>
      <c r="T67" s="383"/>
      <c r="U67" s="383"/>
      <c r="V67" s="383"/>
      <c r="W67" s="383"/>
      <c r="X67" s="383"/>
      <c r="Y67" s="383"/>
      <c r="Z67" s="383"/>
      <c r="AA67" s="383"/>
      <c r="AB67" s="383"/>
      <c r="AC67" s="383"/>
      <c r="AD67" s="383"/>
      <c r="AE67" s="383"/>
      <c r="AF67" s="383"/>
      <c r="AG67" s="383"/>
      <c r="AH67" s="383"/>
      <c r="AI67" s="383"/>
      <c r="AJ67" s="383"/>
      <c r="AK67" s="383"/>
      <c r="AL67" s="383"/>
      <c r="AM67" s="383"/>
      <c r="AN67" s="383"/>
      <c r="AO67" s="383"/>
      <c r="AP67" s="383"/>
      <c r="AQ67" s="383"/>
      <c r="AR67" s="383"/>
      <c r="AS67" s="383"/>
      <c r="AT67" s="383"/>
      <c r="AU67" s="383"/>
      <c r="AV67" s="383"/>
      <c r="AW67" s="383"/>
      <c r="AX67" s="383"/>
      <c r="AY67" s="383"/>
      <c r="AZ67" s="383"/>
      <c r="BA67" s="383"/>
      <c r="BB67" s="383"/>
      <c r="BC67" s="383"/>
      <c r="BD67" s="383"/>
      <c r="BE67" s="383"/>
      <c r="BF67" s="383"/>
      <c r="BG67" s="383"/>
      <c r="BH67" s="383"/>
      <c r="BI67" s="383"/>
      <c r="BJ67" s="383"/>
      <c r="BK67" s="383"/>
      <c r="BL67" s="383"/>
      <c r="BM67" s="383"/>
      <c r="BN67" s="383"/>
      <c r="BO67" s="383"/>
      <c r="BP67" s="383"/>
      <c r="BQ67" s="383"/>
      <c r="BR67" s="383"/>
      <c r="BS67" s="383"/>
      <c r="BT67" s="383"/>
      <c r="BU67" s="383"/>
      <c r="BV67" s="383"/>
      <c r="BW67" s="383"/>
      <c r="BX67" s="383"/>
      <c r="BY67" s="383"/>
      <c r="BZ67" s="383"/>
      <c r="CA67" s="383"/>
      <c r="CB67" s="383"/>
      <c r="CC67" s="383"/>
      <c r="CD67" s="383"/>
      <c r="CE67" s="383"/>
      <c r="CF67" s="383"/>
      <c r="CG67" s="383"/>
      <c r="CH67" s="383"/>
      <c r="CI67" s="383"/>
      <c r="CJ67" s="383"/>
      <c r="CK67" s="383"/>
      <c r="CL67" s="383"/>
      <c r="CM67" s="383"/>
      <c r="CN67" s="383"/>
      <c r="CO67" s="383"/>
      <c r="CP67" s="383"/>
      <c r="CQ67" s="383"/>
      <c r="CR67" s="383"/>
      <c r="CS67" s="383"/>
      <c r="CT67" s="383"/>
      <c r="CU67" s="383"/>
      <c r="CV67" s="383"/>
      <c r="CW67" s="383"/>
      <c r="CX67" s="383"/>
      <c r="CY67" s="383"/>
      <c r="CZ67" s="383"/>
      <c r="DA67" s="383"/>
      <c r="DB67" s="383"/>
      <c r="DC67" s="383"/>
      <c r="DD67" s="383"/>
      <c r="DE67" s="383"/>
      <c r="DF67" s="383"/>
      <c r="DG67" s="383"/>
      <c r="DH67" s="383"/>
      <c r="DI67" s="383"/>
      <c r="DJ67" s="383"/>
      <c r="DK67" s="383"/>
      <c r="DL67" s="383"/>
      <c r="DM67" s="383"/>
      <c r="DN67" s="383"/>
      <c r="DO67" s="383"/>
      <c r="DP67" s="383"/>
      <c r="DQ67" s="383"/>
      <c r="DR67" s="383"/>
      <c r="DS67" s="383"/>
      <c r="DT67" s="383"/>
      <c r="DU67" s="383"/>
      <c r="DV67" s="383"/>
      <c r="DW67" s="383"/>
      <c r="DX67" s="383"/>
      <c r="DY67" s="383"/>
      <c r="DZ67" s="383"/>
      <c r="EA67" s="383"/>
      <c r="EB67" s="383"/>
      <c r="EC67" s="383"/>
      <c r="ED67" s="383"/>
      <c r="EE67" s="383"/>
      <c r="EF67" s="383"/>
      <c r="EG67" s="383"/>
      <c r="EH67" s="383"/>
      <c r="EI67" s="383"/>
      <c r="EJ67" s="383"/>
      <c r="EK67" s="383"/>
      <c r="EL67" s="383"/>
      <c r="EM67" s="383"/>
      <c r="EN67" s="383"/>
      <c r="EO67" s="383"/>
      <c r="EP67" s="383"/>
      <c r="EQ67" s="383"/>
      <c r="ER67" s="383"/>
      <c r="ES67" s="383"/>
      <c r="ET67" s="383"/>
      <c r="EU67" s="383"/>
      <c r="EV67" s="383"/>
      <c r="EW67" s="383"/>
      <c r="EX67" s="383"/>
      <c r="EY67" s="383"/>
      <c r="EZ67" s="383"/>
      <c r="FA67" s="383"/>
      <c r="FB67" s="383"/>
      <c r="FC67" s="383"/>
      <c r="FD67" s="383"/>
      <c r="FE67" s="383"/>
      <c r="FF67" s="383"/>
      <c r="FG67" s="383"/>
      <c r="FH67" s="383"/>
      <c r="FI67" s="383"/>
      <c r="FJ67" s="383"/>
      <c r="FK67" s="383"/>
      <c r="FL67" s="383"/>
      <c r="FM67" s="383"/>
      <c r="FN67" s="383"/>
      <c r="FO67" s="383"/>
      <c r="FP67" s="383"/>
      <c r="FQ67" s="383"/>
      <c r="FR67" s="383"/>
      <c r="FS67" s="383"/>
      <c r="FT67" s="383"/>
      <c r="FU67" s="383"/>
      <c r="FV67" s="383"/>
      <c r="FW67" s="383"/>
      <c r="FX67" s="383"/>
      <c r="FY67" s="383"/>
      <c r="FZ67" s="383"/>
      <c r="GA67" s="383"/>
      <c r="GB67" s="383"/>
      <c r="GC67" s="383"/>
      <c r="GD67" s="383"/>
      <c r="GE67" s="383"/>
      <c r="GF67" s="383"/>
      <c r="GG67" s="383"/>
      <c r="GH67" s="383"/>
      <c r="GI67" s="383"/>
      <c r="GJ67" s="383"/>
      <c r="GK67" s="383"/>
      <c r="GL67" s="383"/>
      <c r="GM67" s="383"/>
      <c r="GN67" s="383"/>
      <c r="GO67" s="383"/>
      <c r="GP67" s="383"/>
      <c r="GQ67" s="383"/>
      <c r="GR67" s="383"/>
      <c r="GS67" s="383"/>
      <c r="GT67" s="383"/>
      <c r="GU67" s="383"/>
      <c r="GV67" s="383"/>
      <c r="GW67" s="383"/>
      <c r="GX67" s="383"/>
      <c r="GY67" s="383"/>
      <c r="GZ67" s="383"/>
      <c r="HA67" s="383"/>
      <c r="HB67" s="383"/>
      <c r="HC67" s="383"/>
      <c r="HD67" s="383"/>
      <c r="HE67" s="383"/>
      <c r="HF67" s="383"/>
      <c r="HG67" s="383"/>
      <c r="HH67" s="383"/>
      <c r="HI67" s="383"/>
      <c r="HJ67" s="383"/>
      <c r="HK67" s="383"/>
      <c r="HL67" s="383"/>
      <c r="HM67" s="383"/>
      <c r="HN67" s="383"/>
      <c r="HO67" s="383"/>
      <c r="HP67" s="383"/>
      <c r="HQ67" s="383"/>
      <c r="HR67" s="383"/>
      <c r="HS67" s="383"/>
      <c r="HT67" s="383"/>
      <c r="HU67" s="383"/>
      <c r="HV67" s="383"/>
      <c r="HW67" s="383"/>
      <c r="HX67" s="383"/>
      <c r="HY67" s="383"/>
      <c r="HZ67" s="383"/>
      <c r="IA67" s="383"/>
      <c r="IB67" s="383"/>
      <c r="IC67" s="383"/>
      <c r="ID67" s="383"/>
      <c r="IE67" s="383"/>
      <c r="IF67" s="383"/>
      <c r="IG67" s="383"/>
      <c r="IH67" s="383"/>
      <c r="II67" s="383"/>
      <c r="IJ67" s="383"/>
      <c r="IK67" s="383"/>
      <c r="IL67" s="383"/>
    </row>
    <row r="68" spans="1:246" ht="15" customHeight="1">
      <c r="A68" s="481" t="s">
        <v>291</v>
      </c>
      <c r="B68" s="482" t="s">
        <v>405</v>
      </c>
      <c r="C68" s="483" t="s">
        <v>166</v>
      </c>
      <c r="D68" s="14"/>
      <c r="E68" s="484" t="s">
        <v>379</v>
      </c>
      <c r="F68" s="484">
        <v>3767</v>
      </c>
      <c r="G68" s="479" t="str">
        <f t="shared" si="0"/>
        <v>01/2026</v>
      </c>
      <c r="H68" s="341">
        <f>SUMIF(VI.A!$B$6:$B$5963,B68,VI.A!$L$6:$L$5963)</f>
        <v>65855</v>
      </c>
      <c r="I68" s="341" t="str">
        <f t="shared" si="5"/>
        <v>si</v>
      </c>
      <c r="J68" s="383"/>
      <c r="K68" s="384">
        <f>IF(E68="SABESP","OK",VLOOKUP(F68,[6]ISD!$B$11:$F$4861,5,FALSE))</f>
        <v>1.35</v>
      </c>
      <c r="L68" s="384" t="str">
        <f t="shared" si="1"/>
        <v>VERIFICAR</v>
      </c>
      <c r="M68" s="480">
        <f t="shared" si="2"/>
        <v>1.35</v>
      </c>
      <c r="N68" s="383" t="b">
        <f t="shared" si="3"/>
        <v>0</v>
      </c>
      <c r="O68" s="383"/>
      <c r="P68" s="383"/>
      <c r="Q68" s="383"/>
      <c r="R68" s="383"/>
      <c r="S68" s="383"/>
      <c r="T68" s="383"/>
      <c r="U68" s="383"/>
      <c r="V68" s="383"/>
      <c r="W68" s="383"/>
      <c r="X68" s="383"/>
      <c r="Y68" s="383"/>
      <c r="Z68" s="383"/>
      <c r="AA68" s="383"/>
      <c r="AB68" s="383"/>
      <c r="AC68" s="383"/>
      <c r="AD68" s="383"/>
      <c r="AE68" s="383"/>
      <c r="AF68" s="383"/>
      <c r="AG68" s="383"/>
      <c r="AH68" s="383"/>
      <c r="AI68" s="383"/>
      <c r="AJ68" s="383"/>
      <c r="AK68" s="383"/>
      <c r="AL68" s="383"/>
      <c r="AM68" s="383"/>
      <c r="AN68" s="383"/>
      <c r="AO68" s="383"/>
      <c r="AP68" s="383"/>
      <c r="AQ68" s="383"/>
      <c r="AR68" s="383"/>
      <c r="AS68" s="383"/>
      <c r="AT68" s="383"/>
      <c r="AU68" s="383"/>
      <c r="AV68" s="383"/>
      <c r="AW68" s="383"/>
      <c r="AX68" s="383"/>
      <c r="AY68" s="383"/>
      <c r="AZ68" s="383"/>
      <c r="BA68" s="383"/>
      <c r="BB68" s="383"/>
      <c r="BC68" s="383"/>
      <c r="BD68" s="383"/>
      <c r="BE68" s="383"/>
      <c r="BF68" s="383"/>
      <c r="BG68" s="383"/>
      <c r="BH68" s="383"/>
      <c r="BI68" s="383"/>
      <c r="BJ68" s="383"/>
      <c r="BK68" s="383"/>
      <c r="BL68" s="383"/>
      <c r="BM68" s="383"/>
      <c r="BN68" s="383"/>
      <c r="BO68" s="383"/>
      <c r="BP68" s="383"/>
      <c r="BQ68" s="383"/>
      <c r="BR68" s="383"/>
      <c r="BS68" s="383"/>
      <c r="BT68" s="383"/>
      <c r="BU68" s="383"/>
      <c r="BV68" s="383"/>
      <c r="BW68" s="383"/>
      <c r="BX68" s="383"/>
      <c r="BY68" s="383"/>
      <c r="BZ68" s="383"/>
      <c r="CA68" s="383"/>
      <c r="CB68" s="383"/>
      <c r="CC68" s="383"/>
      <c r="CD68" s="383"/>
      <c r="CE68" s="383"/>
      <c r="CF68" s="383"/>
      <c r="CG68" s="383"/>
      <c r="CH68" s="383"/>
      <c r="CI68" s="383"/>
      <c r="CJ68" s="383"/>
      <c r="CK68" s="383"/>
      <c r="CL68" s="383"/>
      <c r="CM68" s="383"/>
      <c r="CN68" s="383"/>
      <c r="CO68" s="383"/>
      <c r="CP68" s="383"/>
      <c r="CQ68" s="383"/>
      <c r="CR68" s="383"/>
      <c r="CS68" s="383"/>
      <c r="CT68" s="383"/>
      <c r="CU68" s="383"/>
      <c r="CV68" s="383"/>
      <c r="CW68" s="383"/>
      <c r="CX68" s="383"/>
      <c r="CY68" s="383"/>
      <c r="CZ68" s="383"/>
      <c r="DA68" s="383"/>
      <c r="DB68" s="383"/>
      <c r="DC68" s="383"/>
      <c r="DD68" s="383"/>
      <c r="DE68" s="383"/>
      <c r="DF68" s="383"/>
      <c r="DG68" s="383"/>
      <c r="DH68" s="383"/>
      <c r="DI68" s="383"/>
      <c r="DJ68" s="383"/>
      <c r="DK68" s="383"/>
      <c r="DL68" s="383"/>
      <c r="DM68" s="383"/>
      <c r="DN68" s="383"/>
      <c r="DO68" s="383"/>
      <c r="DP68" s="383"/>
      <c r="DQ68" s="383"/>
      <c r="DR68" s="383"/>
      <c r="DS68" s="383"/>
      <c r="DT68" s="383"/>
      <c r="DU68" s="383"/>
      <c r="DV68" s="383"/>
      <c r="DW68" s="383"/>
      <c r="DX68" s="383"/>
      <c r="DY68" s="383"/>
      <c r="DZ68" s="383"/>
      <c r="EA68" s="383"/>
      <c r="EB68" s="383"/>
      <c r="EC68" s="383"/>
      <c r="ED68" s="383"/>
      <c r="EE68" s="383"/>
      <c r="EF68" s="383"/>
      <c r="EG68" s="383"/>
      <c r="EH68" s="383"/>
      <c r="EI68" s="383"/>
      <c r="EJ68" s="383"/>
      <c r="EK68" s="383"/>
      <c r="EL68" s="383"/>
      <c r="EM68" s="383"/>
      <c r="EN68" s="383"/>
      <c r="EO68" s="383"/>
      <c r="EP68" s="383"/>
      <c r="EQ68" s="383"/>
      <c r="ER68" s="383"/>
      <c r="ES68" s="383"/>
      <c r="ET68" s="383"/>
      <c r="EU68" s="383"/>
      <c r="EV68" s="383"/>
      <c r="EW68" s="383"/>
      <c r="EX68" s="383"/>
      <c r="EY68" s="383"/>
      <c r="EZ68" s="383"/>
      <c r="FA68" s="383"/>
      <c r="FB68" s="383"/>
      <c r="FC68" s="383"/>
      <c r="FD68" s="383"/>
      <c r="FE68" s="383"/>
      <c r="FF68" s="383"/>
      <c r="FG68" s="383"/>
      <c r="FH68" s="383"/>
      <c r="FI68" s="383"/>
      <c r="FJ68" s="383"/>
      <c r="FK68" s="383"/>
      <c r="FL68" s="383"/>
      <c r="FM68" s="383"/>
      <c r="FN68" s="383"/>
      <c r="FO68" s="383"/>
      <c r="FP68" s="383"/>
      <c r="FQ68" s="383"/>
      <c r="FR68" s="383"/>
      <c r="FS68" s="383"/>
      <c r="FT68" s="383"/>
      <c r="FU68" s="383"/>
      <c r="FV68" s="383"/>
      <c r="FW68" s="383"/>
      <c r="FX68" s="383"/>
      <c r="FY68" s="383"/>
      <c r="FZ68" s="383"/>
      <c r="GA68" s="383"/>
      <c r="GB68" s="383"/>
      <c r="GC68" s="383"/>
      <c r="GD68" s="383"/>
      <c r="GE68" s="383"/>
      <c r="GF68" s="383"/>
      <c r="GG68" s="383"/>
      <c r="GH68" s="383"/>
      <c r="GI68" s="383"/>
      <c r="GJ68" s="383"/>
      <c r="GK68" s="383"/>
      <c r="GL68" s="383"/>
      <c r="GM68" s="383"/>
      <c r="GN68" s="383"/>
      <c r="GO68" s="383"/>
      <c r="GP68" s="383"/>
      <c r="GQ68" s="383"/>
      <c r="GR68" s="383"/>
      <c r="GS68" s="383"/>
      <c r="GT68" s="383"/>
      <c r="GU68" s="383"/>
      <c r="GV68" s="383"/>
      <c r="GW68" s="383"/>
      <c r="GX68" s="383"/>
      <c r="GY68" s="383"/>
      <c r="GZ68" s="383"/>
      <c r="HA68" s="383"/>
      <c r="HB68" s="383"/>
      <c r="HC68" s="383"/>
      <c r="HD68" s="383"/>
      <c r="HE68" s="383"/>
      <c r="HF68" s="383"/>
      <c r="HG68" s="383"/>
      <c r="HH68" s="383"/>
      <c r="HI68" s="383"/>
      <c r="HJ68" s="383"/>
      <c r="HK68" s="383"/>
      <c r="HL68" s="383"/>
      <c r="HM68" s="383"/>
      <c r="HN68" s="383"/>
      <c r="HO68" s="383"/>
      <c r="HP68" s="383"/>
      <c r="HQ68" s="383"/>
      <c r="HR68" s="383"/>
      <c r="HS68" s="383"/>
      <c r="HT68" s="383"/>
      <c r="HU68" s="383"/>
      <c r="HV68" s="383"/>
      <c r="HW68" s="383"/>
      <c r="HX68" s="383"/>
      <c r="HY68" s="383"/>
      <c r="HZ68" s="383"/>
      <c r="IA68" s="383"/>
      <c r="IB68" s="383"/>
      <c r="IC68" s="383"/>
      <c r="ID68" s="383"/>
      <c r="IE68" s="383"/>
      <c r="IF68" s="383"/>
      <c r="IG68" s="383"/>
      <c r="IH68" s="383"/>
      <c r="II68" s="383"/>
      <c r="IJ68" s="383"/>
      <c r="IK68" s="383"/>
      <c r="IL68" s="383"/>
    </row>
    <row r="69" spans="1:246" ht="15" customHeight="1">
      <c r="A69" s="481" t="s">
        <v>292</v>
      </c>
      <c r="B69" s="482" t="s">
        <v>404</v>
      </c>
      <c r="C69" s="483" t="s">
        <v>166</v>
      </c>
      <c r="D69" s="14"/>
      <c r="E69" s="484" t="s">
        <v>377</v>
      </c>
      <c r="F69" s="484">
        <v>3768</v>
      </c>
      <c r="G69" s="479" t="str">
        <f t="shared" si="0"/>
        <v>01/2026</v>
      </c>
      <c r="H69" s="341">
        <f>SUMIF(VI.A!$B$6:$B$5963,B69,VI.A!$L$6:$L$5963)</f>
        <v>15609.699999999999</v>
      </c>
      <c r="I69" s="341" t="str">
        <f t="shared" ref="I69:I110" si="6">IF(H69=0,"no","si")</f>
        <v>si</v>
      </c>
      <c r="J69" s="383"/>
      <c r="K69" s="384">
        <f>IF(E69="SABESP","OK",VLOOKUP(F69,[6]ISD!$B$11:$F$4861,5,FALSE))</f>
        <v>4.04</v>
      </c>
      <c r="L69" s="384" t="str">
        <f t="shared" si="1"/>
        <v>VERIFICAR</v>
      </c>
      <c r="M69" s="480">
        <f t="shared" si="2"/>
        <v>4.04</v>
      </c>
      <c r="N69" s="383" t="b">
        <f t="shared" si="3"/>
        <v>0</v>
      </c>
      <c r="O69" s="383"/>
      <c r="P69" s="383"/>
      <c r="Q69" s="383"/>
      <c r="R69" s="383"/>
      <c r="S69" s="383"/>
      <c r="T69" s="383"/>
      <c r="U69" s="383"/>
      <c r="V69" s="383"/>
      <c r="W69" s="383"/>
      <c r="X69" s="383"/>
      <c r="Y69" s="383"/>
      <c r="Z69" s="383"/>
      <c r="AA69" s="383"/>
      <c r="AB69" s="383"/>
      <c r="AC69" s="383"/>
      <c r="AD69" s="383"/>
      <c r="AE69" s="383"/>
      <c r="AF69" s="383"/>
      <c r="AG69" s="383"/>
      <c r="AH69" s="383"/>
      <c r="AI69" s="383"/>
      <c r="AJ69" s="383"/>
      <c r="AK69" s="383"/>
      <c r="AL69" s="383"/>
      <c r="AM69" s="383"/>
      <c r="AN69" s="383"/>
      <c r="AO69" s="383"/>
      <c r="AP69" s="383"/>
      <c r="AQ69" s="383"/>
      <c r="AR69" s="383"/>
      <c r="AS69" s="383"/>
      <c r="AT69" s="383"/>
      <c r="AU69" s="383"/>
      <c r="AV69" s="383"/>
      <c r="AW69" s="383"/>
      <c r="AX69" s="383"/>
      <c r="AY69" s="383"/>
      <c r="AZ69" s="383"/>
      <c r="BA69" s="383"/>
      <c r="BB69" s="383"/>
      <c r="BC69" s="383"/>
      <c r="BD69" s="383"/>
      <c r="BE69" s="383"/>
      <c r="BF69" s="383"/>
      <c r="BG69" s="383"/>
      <c r="BH69" s="383"/>
      <c r="BI69" s="383"/>
      <c r="BJ69" s="383"/>
      <c r="BK69" s="383"/>
      <c r="BL69" s="383"/>
      <c r="BM69" s="383"/>
      <c r="BN69" s="383"/>
      <c r="BO69" s="383"/>
      <c r="BP69" s="383"/>
      <c r="BQ69" s="383"/>
      <c r="BR69" s="383"/>
      <c r="BS69" s="383"/>
      <c r="BT69" s="383"/>
      <c r="BU69" s="383"/>
      <c r="BV69" s="383"/>
      <c r="BW69" s="383"/>
      <c r="BX69" s="383"/>
      <c r="BY69" s="383"/>
      <c r="BZ69" s="383"/>
      <c r="CA69" s="383"/>
      <c r="CB69" s="383"/>
      <c r="CC69" s="383"/>
      <c r="CD69" s="383"/>
      <c r="CE69" s="383"/>
      <c r="CF69" s="383"/>
      <c r="CG69" s="383"/>
      <c r="CH69" s="383"/>
      <c r="CI69" s="383"/>
      <c r="CJ69" s="383"/>
      <c r="CK69" s="383"/>
      <c r="CL69" s="383"/>
      <c r="CM69" s="383"/>
      <c r="CN69" s="383"/>
      <c r="CO69" s="383"/>
      <c r="CP69" s="383"/>
      <c r="CQ69" s="383"/>
      <c r="CR69" s="383"/>
      <c r="CS69" s="383"/>
      <c r="CT69" s="383"/>
      <c r="CU69" s="383"/>
      <c r="CV69" s="383"/>
      <c r="CW69" s="383"/>
      <c r="CX69" s="383"/>
      <c r="CY69" s="383"/>
      <c r="CZ69" s="383"/>
      <c r="DA69" s="383"/>
      <c r="DB69" s="383"/>
      <c r="DC69" s="383"/>
      <c r="DD69" s="383"/>
      <c r="DE69" s="383"/>
      <c r="DF69" s="383"/>
      <c r="DG69" s="383"/>
      <c r="DH69" s="383"/>
      <c r="DI69" s="383"/>
      <c r="DJ69" s="383"/>
      <c r="DK69" s="383"/>
      <c r="DL69" s="383"/>
      <c r="DM69" s="383"/>
      <c r="DN69" s="383"/>
      <c r="DO69" s="383"/>
      <c r="DP69" s="383"/>
      <c r="DQ69" s="383"/>
      <c r="DR69" s="383"/>
      <c r="DS69" s="383"/>
      <c r="DT69" s="383"/>
      <c r="DU69" s="383"/>
      <c r="DV69" s="383"/>
      <c r="DW69" s="383"/>
      <c r="DX69" s="383"/>
      <c r="DY69" s="383"/>
      <c r="DZ69" s="383"/>
      <c r="EA69" s="383"/>
      <c r="EB69" s="383"/>
      <c r="EC69" s="383"/>
      <c r="ED69" s="383"/>
      <c r="EE69" s="383"/>
      <c r="EF69" s="383"/>
      <c r="EG69" s="383"/>
      <c r="EH69" s="383"/>
      <c r="EI69" s="383"/>
      <c r="EJ69" s="383"/>
      <c r="EK69" s="383"/>
      <c r="EL69" s="383"/>
      <c r="EM69" s="383"/>
      <c r="EN69" s="383"/>
      <c r="EO69" s="383"/>
      <c r="EP69" s="383"/>
      <c r="EQ69" s="383"/>
      <c r="ER69" s="383"/>
      <c r="ES69" s="383"/>
      <c r="ET69" s="383"/>
      <c r="EU69" s="383"/>
      <c r="EV69" s="383"/>
      <c r="EW69" s="383"/>
      <c r="EX69" s="383"/>
      <c r="EY69" s="383"/>
      <c r="EZ69" s="383"/>
      <c r="FA69" s="383"/>
      <c r="FB69" s="383"/>
      <c r="FC69" s="383"/>
      <c r="FD69" s="383"/>
      <c r="FE69" s="383"/>
      <c r="FF69" s="383"/>
      <c r="FG69" s="383"/>
      <c r="FH69" s="383"/>
      <c r="FI69" s="383"/>
      <c r="FJ69" s="383"/>
      <c r="FK69" s="383"/>
      <c r="FL69" s="383"/>
      <c r="FM69" s="383"/>
      <c r="FN69" s="383"/>
      <c r="FO69" s="383"/>
      <c r="FP69" s="383"/>
      <c r="FQ69" s="383"/>
      <c r="FR69" s="383"/>
      <c r="FS69" s="383"/>
      <c r="FT69" s="383"/>
      <c r="FU69" s="383"/>
      <c r="FV69" s="383"/>
      <c r="FW69" s="383"/>
      <c r="FX69" s="383"/>
      <c r="FY69" s="383"/>
      <c r="FZ69" s="383"/>
      <c r="GA69" s="383"/>
      <c r="GB69" s="383"/>
      <c r="GC69" s="383"/>
      <c r="GD69" s="383"/>
      <c r="GE69" s="383"/>
      <c r="GF69" s="383"/>
      <c r="GG69" s="383"/>
      <c r="GH69" s="383"/>
      <c r="GI69" s="383"/>
      <c r="GJ69" s="383"/>
      <c r="GK69" s="383"/>
      <c r="GL69" s="383"/>
      <c r="GM69" s="383"/>
      <c r="GN69" s="383"/>
      <c r="GO69" s="383"/>
      <c r="GP69" s="383"/>
      <c r="GQ69" s="383"/>
      <c r="GR69" s="383"/>
      <c r="GS69" s="383"/>
      <c r="GT69" s="383"/>
      <c r="GU69" s="383"/>
      <c r="GV69" s="383"/>
      <c r="GW69" s="383"/>
      <c r="GX69" s="383"/>
      <c r="GY69" s="383"/>
      <c r="GZ69" s="383"/>
      <c r="HA69" s="383"/>
      <c r="HB69" s="383"/>
      <c r="HC69" s="383"/>
      <c r="HD69" s="383"/>
      <c r="HE69" s="383"/>
      <c r="HF69" s="383"/>
      <c r="HG69" s="383"/>
      <c r="HH69" s="383"/>
      <c r="HI69" s="383"/>
      <c r="HJ69" s="383"/>
      <c r="HK69" s="383"/>
      <c r="HL69" s="383"/>
      <c r="HM69" s="383"/>
      <c r="HN69" s="383"/>
      <c r="HO69" s="383"/>
      <c r="HP69" s="383"/>
      <c r="HQ69" s="383"/>
      <c r="HR69" s="383"/>
      <c r="HS69" s="383"/>
      <c r="HT69" s="383"/>
      <c r="HU69" s="383"/>
      <c r="HV69" s="383"/>
      <c r="HW69" s="383"/>
      <c r="HX69" s="383"/>
      <c r="HY69" s="383"/>
      <c r="HZ69" s="383"/>
      <c r="IA69" s="383"/>
      <c r="IB69" s="383"/>
      <c r="IC69" s="383"/>
      <c r="ID69" s="383"/>
      <c r="IE69" s="383"/>
      <c r="IF69" s="383"/>
      <c r="IG69" s="383"/>
      <c r="IH69" s="383"/>
      <c r="II69" s="383"/>
      <c r="IJ69" s="383"/>
      <c r="IK69" s="383"/>
      <c r="IL69" s="383"/>
    </row>
    <row r="70" spans="1:246" ht="15" customHeight="1">
      <c r="A70" s="481" t="s">
        <v>293</v>
      </c>
      <c r="B70" s="482" t="s">
        <v>453</v>
      </c>
      <c r="C70" s="483" t="s">
        <v>165</v>
      </c>
      <c r="D70" s="14"/>
      <c r="E70" s="484" t="s">
        <v>377</v>
      </c>
      <c r="F70" s="484">
        <v>3777</v>
      </c>
      <c r="G70" s="479" t="str">
        <f t="shared" si="0"/>
        <v>01/2026</v>
      </c>
      <c r="H70" s="341">
        <f>SUMIF(VI.A!$B$6:$B$5963,B70,VI.A!$L$6:$L$5963)</f>
        <v>165</v>
      </c>
      <c r="I70" s="341" t="str">
        <f t="shared" si="6"/>
        <v>si</v>
      </c>
      <c r="J70" s="383"/>
      <c r="K70" s="384">
        <f>IF(E70="SABESP","OK",VLOOKUP(F70,[6]ISD!$B$11:$F$4861,5,FALSE))</f>
        <v>2.0099999999999998</v>
      </c>
      <c r="L70" s="384" t="str">
        <f t="shared" si="1"/>
        <v>VERIFICAR</v>
      </c>
      <c r="M70" s="480">
        <f t="shared" ref="M70:M125" si="7">IFERROR(IF(K70="não encontrado",D70,K70),D70)</f>
        <v>2.0099999999999998</v>
      </c>
      <c r="N70" s="383" t="b">
        <f t="shared" si="3"/>
        <v>0</v>
      </c>
      <c r="O70" s="383"/>
      <c r="P70" s="383"/>
      <c r="Q70" s="383"/>
      <c r="R70" s="383"/>
      <c r="S70" s="383"/>
      <c r="T70" s="383"/>
      <c r="U70" s="383"/>
      <c r="V70" s="383"/>
      <c r="W70" s="383"/>
      <c r="X70" s="383"/>
      <c r="Y70" s="383"/>
      <c r="Z70" s="383"/>
      <c r="AA70" s="383"/>
      <c r="AB70" s="383"/>
      <c r="AC70" s="383"/>
      <c r="AD70" s="383"/>
      <c r="AE70" s="383"/>
      <c r="AF70" s="383"/>
      <c r="AG70" s="383"/>
      <c r="AH70" s="383"/>
      <c r="AI70" s="383"/>
      <c r="AJ70" s="383"/>
      <c r="AK70" s="383"/>
      <c r="AL70" s="383"/>
      <c r="AM70" s="383"/>
      <c r="AN70" s="383"/>
      <c r="AO70" s="383"/>
      <c r="AP70" s="383"/>
      <c r="AQ70" s="383"/>
      <c r="AR70" s="383"/>
      <c r="AS70" s="383"/>
      <c r="AT70" s="383"/>
      <c r="AU70" s="383"/>
      <c r="AV70" s="383"/>
      <c r="AW70" s="383"/>
      <c r="AX70" s="383"/>
      <c r="AY70" s="383"/>
      <c r="AZ70" s="383"/>
      <c r="BA70" s="383"/>
      <c r="BB70" s="383"/>
      <c r="BC70" s="383"/>
      <c r="BD70" s="383"/>
      <c r="BE70" s="383"/>
      <c r="BF70" s="383"/>
      <c r="BG70" s="383"/>
      <c r="BH70" s="383"/>
      <c r="BI70" s="383"/>
      <c r="BJ70" s="383"/>
      <c r="BK70" s="383"/>
      <c r="BL70" s="383"/>
      <c r="BM70" s="383"/>
      <c r="BN70" s="383"/>
      <c r="BO70" s="383"/>
      <c r="BP70" s="383"/>
      <c r="BQ70" s="383"/>
      <c r="BR70" s="383"/>
      <c r="BS70" s="383"/>
      <c r="BT70" s="383"/>
      <c r="BU70" s="383"/>
      <c r="BV70" s="383"/>
      <c r="BW70" s="383"/>
      <c r="BX70" s="383"/>
      <c r="BY70" s="383"/>
      <c r="BZ70" s="383"/>
      <c r="CA70" s="383"/>
      <c r="CB70" s="383"/>
      <c r="CC70" s="383"/>
      <c r="CD70" s="383"/>
      <c r="CE70" s="383"/>
      <c r="CF70" s="383"/>
      <c r="CG70" s="383"/>
      <c r="CH70" s="383"/>
      <c r="CI70" s="383"/>
      <c r="CJ70" s="383"/>
      <c r="CK70" s="383"/>
      <c r="CL70" s="383"/>
      <c r="CM70" s="383"/>
      <c r="CN70" s="383"/>
      <c r="CO70" s="383"/>
      <c r="CP70" s="383"/>
      <c r="CQ70" s="383"/>
      <c r="CR70" s="383"/>
      <c r="CS70" s="383"/>
      <c r="CT70" s="383"/>
      <c r="CU70" s="383"/>
      <c r="CV70" s="383"/>
      <c r="CW70" s="383"/>
      <c r="CX70" s="383"/>
      <c r="CY70" s="383"/>
      <c r="CZ70" s="383"/>
      <c r="DA70" s="383"/>
      <c r="DB70" s="383"/>
      <c r="DC70" s="383"/>
      <c r="DD70" s="383"/>
      <c r="DE70" s="383"/>
      <c r="DF70" s="383"/>
      <c r="DG70" s="383"/>
      <c r="DH70" s="383"/>
      <c r="DI70" s="383"/>
      <c r="DJ70" s="383"/>
      <c r="DK70" s="383"/>
      <c r="DL70" s="383"/>
      <c r="DM70" s="383"/>
      <c r="DN70" s="383"/>
      <c r="DO70" s="383"/>
      <c r="DP70" s="383"/>
      <c r="DQ70" s="383"/>
      <c r="DR70" s="383"/>
      <c r="DS70" s="383"/>
      <c r="DT70" s="383"/>
      <c r="DU70" s="383"/>
      <c r="DV70" s="383"/>
      <c r="DW70" s="383"/>
      <c r="DX70" s="383"/>
      <c r="DY70" s="383"/>
      <c r="DZ70" s="383"/>
      <c r="EA70" s="383"/>
      <c r="EB70" s="383"/>
      <c r="EC70" s="383"/>
      <c r="ED70" s="383"/>
      <c r="EE70" s="383"/>
      <c r="EF70" s="383"/>
      <c r="EG70" s="383"/>
      <c r="EH70" s="383"/>
      <c r="EI70" s="383"/>
      <c r="EJ70" s="383"/>
      <c r="EK70" s="383"/>
      <c r="EL70" s="383"/>
      <c r="EM70" s="383"/>
      <c r="EN70" s="383"/>
      <c r="EO70" s="383"/>
      <c r="EP70" s="383"/>
      <c r="EQ70" s="383"/>
      <c r="ER70" s="383"/>
      <c r="ES70" s="383"/>
      <c r="ET70" s="383"/>
      <c r="EU70" s="383"/>
      <c r="EV70" s="383"/>
      <c r="EW70" s="383"/>
      <c r="EX70" s="383"/>
      <c r="EY70" s="383"/>
      <c r="EZ70" s="383"/>
      <c r="FA70" s="383"/>
      <c r="FB70" s="383"/>
      <c r="FC70" s="383"/>
      <c r="FD70" s="383"/>
      <c r="FE70" s="383"/>
      <c r="FF70" s="383"/>
      <c r="FG70" s="383"/>
      <c r="FH70" s="383"/>
      <c r="FI70" s="383"/>
      <c r="FJ70" s="383"/>
      <c r="FK70" s="383"/>
      <c r="FL70" s="383"/>
      <c r="FM70" s="383"/>
      <c r="FN70" s="383"/>
      <c r="FO70" s="383"/>
      <c r="FP70" s="383"/>
      <c r="FQ70" s="383"/>
      <c r="FR70" s="383"/>
      <c r="FS70" s="383"/>
      <c r="FT70" s="383"/>
      <c r="FU70" s="383"/>
      <c r="FV70" s="383"/>
      <c r="FW70" s="383"/>
      <c r="FX70" s="383"/>
      <c r="FY70" s="383"/>
      <c r="FZ70" s="383"/>
      <c r="GA70" s="383"/>
      <c r="GB70" s="383"/>
      <c r="GC70" s="383"/>
      <c r="GD70" s="383"/>
      <c r="GE70" s="383"/>
      <c r="GF70" s="383"/>
      <c r="GG70" s="383"/>
      <c r="GH70" s="383"/>
      <c r="GI70" s="383"/>
      <c r="GJ70" s="383"/>
      <c r="GK70" s="383"/>
      <c r="GL70" s="383"/>
      <c r="GM70" s="383"/>
      <c r="GN70" s="383"/>
      <c r="GO70" s="383"/>
      <c r="GP70" s="383"/>
      <c r="GQ70" s="383"/>
      <c r="GR70" s="383"/>
      <c r="GS70" s="383"/>
      <c r="GT70" s="383"/>
      <c r="GU70" s="383"/>
      <c r="GV70" s="383"/>
      <c r="GW70" s="383"/>
      <c r="GX70" s="383"/>
      <c r="GY70" s="383"/>
      <c r="GZ70" s="383"/>
      <c r="HA70" s="383"/>
      <c r="HB70" s="383"/>
      <c r="HC70" s="383"/>
      <c r="HD70" s="383"/>
      <c r="HE70" s="383"/>
      <c r="HF70" s="383"/>
      <c r="HG70" s="383"/>
      <c r="HH70" s="383"/>
      <c r="HI70" s="383"/>
      <c r="HJ70" s="383"/>
      <c r="HK70" s="383"/>
      <c r="HL70" s="383"/>
      <c r="HM70" s="383"/>
      <c r="HN70" s="383"/>
      <c r="HO70" s="383"/>
      <c r="HP70" s="383"/>
      <c r="HQ70" s="383"/>
      <c r="HR70" s="383"/>
      <c r="HS70" s="383"/>
      <c r="HT70" s="383"/>
      <c r="HU70" s="383"/>
      <c r="HV70" s="383"/>
      <c r="HW70" s="383"/>
      <c r="HX70" s="383"/>
      <c r="HY70" s="383"/>
      <c r="HZ70" s="383"/>
      <c r="IA70" s="383"/>
      <c r="IB70" s="383"/>
      <c r="IC70" s="383"/>
      <c r="ID70" s="383"/>
      <c r="IE70" s="383"/>
      <c r="IF70" s="383"/>
      <c r="IG70" s="383"/>
      <c r="IH70" s="383"/>
      <c r="II70" s="383"/>
      <c r="IJ70" s="383"/>
      <c r="IK70" s="383"/>
      <c r="IL70" s="383"/>
    </row>
    <row r="71" spans="1:246" ht="15" customHeight="1">
      <c r="A71" s="481" t="s">
        <v>294</v>
      </c>
      <c r="B71" s="482" t="s">
        <v>191</v>
      </c>
      <c r="C71" s="483" t="s">
        <v>166</v>
      </c>
      <c r="D71" s="14"/>
      <c r="E71" s="484" t="s">
        <v>379</v>
      </c>
      <c r="F71" s="484">
        <v>20170</v>
      </c>
      <c r="G71" s="479" t="str">
        <f t="shared" si="0"/>
        <v>01/2026</v>
      </c>
      <c r="H71" s="341">
        <f>SUMIF(VI.A!$B$6:$B$5963,B71,VI.A!$L$6:$L$5963)</f>
        <v>10.200000000000001</v>
      </c>
      <c r="I71" s="341" t="str">
        <f t="shared" si="6"/>
        <v>si</v>
      </c>
      <c r="J71" s="383"/>
      <c r="K71" s="384">
        <f>IF(E71="SABESP","OK",VLOOKUP(F71,[6]ISD!$B$11:$F$4861,5,FALSE))</f>
        <v>16.3</v>
      </c>
      <c r="L71" s="384" t="str">
        <f t="shared" si="1"/>
        <v>VERIFICAR</v>
      </c>
      <c r="M71" s="480">
        <f t="shared" si="7"/>
        <v>16.3</v>
      </c>
      <c r="N71" s="383" t="b">
        <f t="shared" ref="N71:N126" si="8">_xlfn.ISFORMULA(D71)</f>
        <v>0</v>
      </c>
      <c r="O71" s="383"/>
      <c r="P71" s="383"/>
      <c r="Q71" s="383"/>
      <c r="R71" s="383"/>
      <c r="S71" s="383"/>
      <c r="T71" s="383"/>
      <c r="U71" s="383"/>
      <c r="V71" s="383"/>
      <c r="W71" s="383"/>
      <c r="X71" s="383"/>
      <c r="Y71" s="383"/>
      <c r="Z71" s="383"/>
      <c r="AA71" s="383"/>
      <c r="AB71" s="383"/>
      <c r="AC71" s="383"/>
      <c r="AD71" s="383"/>
      <c r="AE71" s="383"/>
      <c r="AF71" s="383"/>
      <c r="AG71" s="383"/>
      <c r="AH71" s="383"/>
      <c r="AI71" s="383"/>
      <c r="AJ71" s="383"/>
      <c r="AK71" s="383"/>
      <c r="AL71" s="383"/>
      <c r="AM71" s="383"/>
      <c r="AN71" s="383"/>
      <c r="AO71" s="383"/>
      <c r="AP71" s="383"/>
      <c r="AQ71" s="383"/>
      <c r="AR71" s="383"/>
      <c r="AS71" s="383"/>
      <c r="AT71" s="383"/>
      <c r="AU71" s="383"/>
      <c r="AV71" s="383"/>
      <c r="AW71" s="383"/>
      <c r="AX71" s="383"/>
      <c r="AY71" s="383"/>
      <c r="AZ71" s="383"/>
      <c r="BA71" s="383"/>
      <c r="BB71" s="383"/>
      <c r="BC71" s="383"/>
      <c r="BD71" s="383"/>
      <c r="BE71" s="383"/>
      <c r="BF71" s="383"/>
      <c r="BG71" s="383"/>
      <c r="BH71" s="383"/>
      <c r="BI71" s="383"/>
      <c r="BJ71" s="383"/>
      <c r="BK71" s="383"/>
      <c r="BL71" s="383"/>
      <c r="BM71" s="383"/>
      <c r="BN71" s="383"/>
      <c r="BO71" s="383"/>
      <c r="BP71" s="383"/>
      <c r="BQ71" s="383"/>
      <c r="BR71" s="383"/>
      <c r="BS71" s="383"/>
      <c r="BT71" s="383"/>
      <c r="BU71" s="383"/>
      <c r="BV71" s="383"/>
      <c r="BW71" s="383"/>
      <c r="BX71" s="383"/>
      <c r="BY71" s="383"/>
      <c r="BZ71" s="383"/>
      <c r="CA71" s="383"/>
      <c r="CB71" s="383"/>
      <c r="CC71" s="383"/>
      <c r="CD71" s="383"/>
      <c r="CE71" s="383"/>
      <c r="CF71" s="383"/>
      <c r="CG71" s="383"/>
      <c r="CH71" s="383"/>
      <c r="CI71" s="383"/>
      <c r="CJ71" s="383"/>
      <c r="CK71" s="383"/>
      <c r="CL71" s="383"/>
      <c r="CM71" s="383"/>
      <c r="CN71" s="383"/>
      <c r="CO71" s="383"/>
      <c r="CP71" s="383"/>
      <c r="CQ71" s="383"/>
      <c r="CR71" s="383"/>
      <c r="CS71" s="383"/>
      <c r="CT71" s="383"/>
      <c r="CU71" s="383"/>
      <c r="CV71" s="383"/>
      <c r="CW71" s="383"/>
      <c r="CX71" s="383"/>
      <c r="CY71" s="383"/>
      <c r="CZ71" s="383"/>
      <c r="DA71" s="383"/>
      <c r="DB71" s="383"/>
      <c r="DC71" s="383"/>
      <c r="DD71" s="383"/>
      <c r="DE71" s="383"/>
      <c r="DF71" s="383"/>
      <c r="DG71" s="383"/>
      <c r="DH71" s="383"/>
      <c r="DI71" s="383"/>
      <c r="DJ71" s="383"/>
      <c r="DK71" s="383"/>
      <c r="DL71" s="383"/>
      <c r="DM71" s="383"/>
      <c r="DN71" s="383"/>
      <c r="DO71" s="383"/>
      <c r="DP71" s="383"/>
      <c r="DQ71" s="383"/>
      <c r="DR71" s="383"/>
      <c r="DS71" s="383"/>
      <c r="DT71" s="383"/>
      <c r="DU71" s="383"/>
      <c r="DV71" s="383"/>
      <c r="DW71" s="383"/>
      <c r="DX71" s="383"/>
      <c r="DY71" s="383"/>
      <c r="DZ71" s="383"/>
      <c r="EA71" s="383"/>
      <c r="EB71" s="383"/>
      <c r="EC71" s="383"/>
      <c r="ED71" s="383"/>
      <c r="EE71" s="383"/>
      <c r="EF71" s="383"/>
      <c r="EG71" s="383"/>
      <c r="EH71" s="383"/>
      <c r="EI71" s="383"/>
      <c r="EJ71" s="383"/>
      <c r="EK71" s="383"/>
      <c r="EL71" s="383"/>
      <c r="EM71" s="383"/>
      <c r="EN71" s="383"/>
      <c r="EO71" s="383"/>
      <c r="EP71" s="383"/>
      <c r="EQ71" s="383"/>
      <c r="ER71" s="383"/>
      <c r="ES71" s="383"/>
      <c r="ET71" s="383"/>
      <c r="EU71" s="383"/>
      <c r="EV71" s="383"/>
      <c r="EW71" s="383"/>
      <c r="EX71" s="383"/>
      <c r="EY71" s="383"/>
      <c r="EZ71" s="383"/>
      <c r="FA71" s="383"/>
      <c r="FB71" s="383"/>
      <c r="FC71" s="383"/>
      <c r="FD71" s="383"/>
      <c r="FE71" s="383"/>
      <c r="FF71" s="383"/>
      <c r="FG71" s="383"/>
      <c r="FH71" s="383"/>
      <c r="FI71" s="383"/>
      <c r="FJ71" s="383"/>
      <c r="FK71" s="383"/>
      <c r="FL71" s="383"/>
      <c r="FM71" s="383"/>
      <c r="FN71" s="383"/>
      <c r="FO71" s="383"/>
      <c r="FP71" s="383"/>
      <c r="FQ71" s="383"/>
      <c r="FR71" s="383"/>
      <c r="FS71" s="383"/>
      <c r="FT71" s="383"/>
      <c r="FU71" s="383"/>
      <c r="FV71" s="383"/>
      <c r="FW71" s="383"/>
      <c r="FX71" s="383"/>
      <c r="FY71" s="383"/>
      <c r="FZ71" s="383"/>
      <c r="GA71" s="383"/>
      <c r="GB71" s="383"/>
      <c r="GC71" s="383"/>
      <c r="GD71" s="383"/>
      <c r="GE71" s="383"/>
      <c r="GF71" s="383"/>
      <c r="GG71" s="383"/>
      <c r="GH71" s="383"/>
      <c r="GI71" s="383"/>
      <c r="GJ71" s="383"/>
      <c r="GK71" s="383"/>
      <c r="GL71" s="383"/>
      <c r="GM71" s="383"/>
      <c r="GN71" s="383"/>
      <c r="GO71" s="383"/>
      <c r="GP71" s="383"/>
      <c r="GQ71" s="383"/>
      <c r="GR71" s="383"/>
      <c r="GS71" s="383"/>
      <c r="GT71" s="383"/>
      <c r="GU71" s="383"/>
      <c r="GV71" s="383"/>
      <c r="GW71" s="383"/>
      <c r="GX71" s="383"/>
      <c r="GY71" s="383"/>
      <c r="GZ71" s="383"/>
      <c r="HA71" s="383"/>
      <c r="HB71" s="383"/>
      <c r="HC71" s="383"/>
      <c r="HD71" s="383"/>
      <c r="HE71" s="383"/>
      <c r="HF71" s="383"/>
      <c r="HG71" s="383"/>
      <c r="HH71" s="383"/>
      <c r="HI71" s="383"/>
      <c r="HJ71" s="383"/>
      <c r="HK71" s="383"/>
      <c r="HL71" s="383"/>
      <c r="HM71" s="383"/>
      <c r="HN71" s="383"/>
      <c r="HO71" s="383"/>
      <c r="HP71" s="383"/>
      <c r="HQ71" s="383"/>
      <c r="HR71" s="383"/>
      <c r="HS71" s="383"/>
      <c r="HT71" s="383"/>
      <c r="HU71" s="383"/>
      <c r="HV71" s="383"/>
      <c r="HW71" s="383"/>
      <c r="HX71" s="383"/>
      <c r="HY71" s="383"/>
      <c r="HZ71" s="383"/>
      <c r="IA71" s="383"/>
      <c r="IB71" s="383"/>
      <c r="IC71" s="383"/>
      <c r="ID71" s="383"/>
      <c r="IE71" s="383"/>
      <c r="IF71" s="383"/>
      <c r="IG71" s="383"/>
      <c r="IH71" s="383"/>
      <c r="II71" s="383"/>
      <c r="IJ71" s="383"/>
      <c r="IK71" s="383"/>
      <c r="IL71" s="383"/>
    </row>
    <row r="72" spans="1:246" ht="15" customHeight="1">
      <c r="A72" s="481" t="s">
        <v>295</v>
      </c>
      <c r="B72" s="485" t="s">
        <v>406</v>
      </c>
      <c r="C72" s="488" t="s">
        <v>222</v>
      </c>
      <c r="D72" s="14"/>
      <c r="E72" s="484" t="s">
        <v>377</v>
      </c>
      <c r="F72" s="484">
        <v>43626</v>
      </c>
      <c r="G72" s="479" t="str">
        <f t="shared" si="0"/>
        <v>01/2026</v>
      </c>
      <c r="H72" s="341">
        <f>SUMIF(VI.A!$B$6:$B$5963,B72,VI.A!$L$6:$L$5963)</f>
        <v>44.01</v>
      </c>
      <c r="I72" s="341" t="str">
        <f t="shared" si="6"/>
        <v>si</v>
      </c>
      <c r="J72" s="383"/>
      <c r="K72" s="384">
        <f>IF(E72="SABESP","OK",VLOOKUP(F72,[6]ISD!$B$11:$F$4861,5,FALSE))</f>
        <v>4</v>
      </c>
      <c r="L72" s="384" t="str">
        <f t="shared" si="1"/>
        <v>VERIFICAR</v>
      </c>
      <c r="M72" s="480">
        <f t="shared" si="7"/>
        <v>4</v>
      </c>
      <c r="N72" s="383" t="b">
        <f t="shared" si="8"/>
        <v>0</v>
      </c>
      <c r="O72" s="383"/>
      <c r="P72" s="383"/>
      <c r="Q72" s="383"/>
      <c r="R72" s="383"/>
      <c r="S72" s="383"/>
      <c r="T72" s="383"/>
      <c r="U72" s="383"/>
      <c r="V72" s="383"/>
      <c r="W72" s="383"/>
      <c r="X72" s="383"/>
      <c r="Y72" s="383"/>
      <c r="Z72" s="383"/>
      <c r="AA72" s="383"/>
      <c r="AB72" s="383"/>
      <c r="AC72" s="383"/>
      <c r="AD72" s="383"/>
      <c r="AE72" s="383"/>
      <c r="AF72" s="383"/>
      <c r="AG72" s="383"/>
      <c r="AH72" s="383"/>
      <c r="AI72" s="383"/>
      <c r="AJ72" s="383"/>
      <c r="AK72" s="383"/>
      <c r="AL72" s="383"/>
      <c r="AM72" s="383"/>
      <c r="AN72" s="383"/>
      <c r="AO72" s="383"/>
      <c r="AP72" s="383"/>
      <c r="AQ72" s="383"/>
      <c r="AR72" s="383"/>
      <c r="AS72" s="383"/>
      <c r="AT72" s="383"/>
      <c r="AU72" s="383"/>
      <c r="AV72" s="383"/>
      <c r="AW72" s="383"/>
      <c r="AX72" s="383"/>
      <c r="AY72" s="383"/>
      <c r="AZ72" s="383"/>
      <c r="BA72" s="383"/>
      <c r="BB72" s="383"/>
      <c r="BC72" s="383"/>
      <c r="BD72" s="383"/>
      <c r="BE72" s="383"/>
      <c r="BF72" s="383"/>
      <c r="BG72" s="383"/>
      <c r="BH72" s="383"/>
      <c r="BI72" s="383"/>
      <c r="BJ72" s="383"/>
      <c r="BK72" s="383"/>
      <c r="BL72" s="383"/>
      <c r="BM72" s="383"/>
      <c r="BN72" s="383"/>
      <c r="BO72" s="383"/>
      <c r="BP72" s="383"/>
      <c r="BQ72" s="383"/>
      <c r="BR72" s="383"/>
      <c r="BS72" s="383"/>
      <c r="BT72" s="383"/>
      <c r="BU72" s="383"/>
      <c r="BV72" s="383"/>
      <c r="BW72" s="383"/>
      <c r="BX72" s="383"/>
      <c r="BY72" s="383"/>
      <c r="BZ72" s="383"/>
      <c r="CA72" s="383"/>
      <c r="CB72" s="383"/>
      <c r="CC72" s="383"/>
      <c r="CD72" s="383"/>
      <c r="CE72" s="383"/>
      <c r="CF72" s="383"/>
      <c r="CG72" s="383"/>
      <c r="CH72" s="383"/>
      <c r="CI72" s="383"/>
      <c r="CJ72" s="383"/>
      <c r="CK72" s="383"/>
      <c r="CL72" s="383"/>
      <c r="CM72" s="383"/>
      <c r="CN72" s="383"/>
      <c r="CO72" s="383"/>
      <c r="CP72" s="383"/>
      <c r="CQ72" s="383"/>
      <c r="CR72" s="383"/>
      <c r="CS72" s="383"/>
      <c r="CT72" s="383"/>
      <c r="CU72" s="383"/>
      <c r="CV72" s="383"/>
      <c r="CW72" s="383"/>
      <c r="CX72" s="383"/>
      <c r="CY72" s="383"/>
      <c r="CZ72" s="383"/>
      <c r="DA72" s="383"/>
      <c r="DB72" s="383"/>
      <c r="DC72" s="383"/>
      <c r="DD72" s="383"/>
      <c r="DE72" s="383"/>
      <c r="DF72" s="383"/>
      <c r="DG72" s="383"/>
      <c r="DH72" s="383"/>
      <c r="DI72" s="383"/>
      <c r="DJ72" s="383"/>
      <c r="DK72" s="383"/>
      <c r="DL72" s="383"/>
      <c r="DM72" s="383"/>
      <c r="DN72" s="383"/>
      <c r="DO72" s="383"/>
      <c r="DP72" s="383"/>
      <c r="DQ72" s="383"/>
      <c r="DR72" s="383"/>
      <c r="DS72" s="383"/>
      <c r="DT72" s="383"/>
      <c r="DU72" s="383"/>
      <c r="DV72" s="383"/>
      <c r="DW72" s="383"/>
      <c r="DX72" s="383"/>
      <c r="DY72" s="383"/>
      <c r="DZ72" s="383"/>
      <c r="EA72" s="383"/>
      <c r="EB72" s="383"/>
      <c r="EC72" s="383"/>
      <c r="ED72" s="383"/>
      <c r="EE72" s="383"/>
      <c r="EF72" s="383"/>
      <c r="EG72" s="383"/>
      <c r="EH72" s="383"/>
      <c r="EI72" s="383"/>
      <c r="EJ72" s="383"/>
      <c r="EK72" s="383"/>
      <c r="EL72" s="383"/>
      <c r="EM72" s="383"/>
      <c r="EN72" s="383"/>
      <c r="EO72" s="383"/>
      <c r="EP72" s="383"/>
      <c r="EQ72" s="383"/>
      <c r="ER72" s="383"/>
      <c r="ES72" s="383"/>
      <c r="ET72" s="383"/>
      <c r="EU72" s="383"/>
      <c r="EV72" s="383"/>
      <c r="EW72" s="383"/>
      <c r="EX72" s="383"/>
      <c r="EY72" s="383"/>
      <c r="EZ72" s="383"/>
      <c r="FA72" s="383"/>
      <c r="FB72" s="383"/>
      <c r="FC72" s="383"/>
      <c r="FD72" s="383"/>
      <c r="FE72" s="383"/>
      <c r="FF72" s="383"/>
      <c r="FG72" s="383"/>
      <c r="FH72" s="383"/>
      <c r="FI72" s="383"/>
      <c r="FJ72" s="383"/>
      <c r="FK72" s="383"/>
      <c r="FL72" s="383"/>
      <c r="FM72" s="383"/>
      <c r="FN72" s="383"/>
      <c r="FO72" s="383"/>
      <c r="FP72" s="383"/>
      <c r="FQ72" s="383"/>
      <c r="FR72" s="383"/>
      <c r="FS72" s="383"/>
      <c r="FT72" s="383"/>
      <c r="FU72" s="383"/>
      <c r="FV72" s="383"/>
      <c r="FW72" s="383"/>
      <c r="FX72" s="383"/>
      <c r="FY72" s="383"/>
      <c r="FZ72" s="383"/>
      <c r="GA72" s="383"/>
      <c r="GB72" s="383"/>
      <c r="GC72" s="383"/>
      <c r="GD72" s="383"/>
      <c r="GE72" s="383"/>
      <c r="GF72" s="383"/>
      <c r="GG72" s="383"/>
      <c r="GH72" s="383"/>
      <c r="GI72" s="383"/>
      <c r="GJ72" s="383"/>
      <c r="GK72" s="383"/>
      <c r="GL72" s="383"/>
      <c r="GM72" s="383"/>
      <c r="GN72" s="383"/>
      <c r="GO72" s="383"/>
      <c r="GP72" s="383"/>
      <c r="GQ72" s="383"/>
      <c r="GR72" s="383"/>
      <c r="GS72" s="383"/>
      <c r="GT72" s="383"/>
      <c r="GU72" s="383"/>
      <c r="GV72" s="383"/>
      <c r="GW72" s="383"/>
      <c r="GX72" s="383"/>
      <c r="GY72" s="383"/>
      <c r="GZ72" s="383"/>
      <c r="HA72" s="383"/>
      <c r="HB72" s="383"/>
      <c r="HC72" s="383"/>
      <c r="HD72" s="383"/>
      <c r="HE72" s="383"/>
      <c r="HF72" s="383"/>
      <c r="HG72" s="383"/>
      <c r="HH72" s="383"/>
      <c r="HI72" s="383"/>
      <c r="HJ72" s="383"/>
      <c r="HK72" s="383"/>
      <c r="HL72" s="383"/>
      <c r="HM72" s="383"/>
      <c r="HN72" s="383"/>
      <c r="HO72" s="383"/>
      <c r="HP72" s="383"/>
      <c r="HQ72" s="383"/>
      <c r="HR72" s="383"/>
      <c r="HS72" s="383"/>
      <c r="HT72" s="383"/>
      <c r="HU72" s="383"/>
      <c r="HV72" s="383"/>
      <c r="HW72" s="383"/>
      <c r="HX72" s="383"/>
      <c r="HY72" s="383"/>
      <c r="HZ72" s="383"/>
      <c r="IA72" s="383"/>
      <c r="IB72" s="383"/>
      <c r="IC72" s="383"/>
      <c r="ID72" s="383"/>
      <c r="IE72" s="383"/>
      <c r="IF72" s="383"/>
      <c r="IG72" s="383"/>
      <c r="IH72" s="383"/>
      <c r="II72" s="383"/>
      <c r="IJ72" s="383"/>
      <c r="IK72" s="383"/>
      <c r="IL72" s="383"/>
    </row>
    <row r="73" spans="1:246" ht="15" customHeight="1">
      <c r="A73" s="481" t="s">
        <v>296</v>
      </c>
      <c r="B73" s="482" t="s">
        <v>192</v>
      </c>
      <c r="C73" s="483" t="s">
        <v>222</v>
      </c>
      <c r="D73" s="14"/>
      <c r="E73" s="484" t="s">
        <v>379</v>
      </c>
      <c r="F73" s="484">
        <v>10498</v>
      </c>
      <c r="G73" s="479" t="str">
        <f t="shared" si="0"/>
        <v>01/2026</v>
      </c>
      <c r="H73" s="341">
        <f>SUMIF(VI.A!$B$6:$B$5963,B73,VI.A!$L$6:$L$5963)</f>
        <v>48</v>
      </c>
      <c r="I73" s="341" t="str">
        <f t="shared" si="6"/>
        <v>si</v>
      </c>
      <c r="J73" s="383"/>
      <c r="K73" s="384">
        <f>IF(E73="SABESP","OK",VLOOKUP(F73,[6]ISD!$B$11:$F$4861,5,FALSE))</f>
        <v>12.09</v>
      </c>
      <c r="L73" s="384" t="str">
        <f t="shared" si="1"/>
        <v>VERIFICAR</v>
      </c>
      <c r="M73" s="480">
        <f t="shared" si="7"/>
        <v>12.09</v>
      </c>
      <c r="N73" s="383" t="b">
        <f t="shared" si="8"/>
        <v>0</v>
      </c>
      <c r="O73" s="383"/>
      <c r="P73" s="383"/>
      <c r="Q73" s="383"/>
      <c r="R73" s="383"/>
      <c r="S73" s="383"/>
      <c r="T73" s="383"/>
      <c r="U73" s="383"/>
      <c r="V73" s="383"/>
      <c r="W73" s="383"/>
      <c r="X73" s="383"/>
      <c r="Y73" s="383"/>
      <c r="Z73" s="383"/>
      <c r="AA73" s="383"/>
      <c r="AB73" s="383"/>
      <c r="AC73" s="383"/>
      <c r="AD73" s="383"/>
      <c r="AE73" s="383"/>
      <c r="AF73" s="383"/>
      <c r="AG73" s="383"/>
      <c r="AH73" s="383"/>
      <c r="AI73" s="383"/>
      <c r="AJ73" s="383"/>
      <c r="AK73" s="383"/>
      <c r="AL73" s="383"/>
      <c r="AM73" s="383"/>
      <c r="AN73" s="383"/>
      <c r="AO73" s="383"/>
      <c r="AP73" s="383"/>
      <c r="AQ73" s="383"/>
      <c r="AR73" s="383"/>
      <c r="AS73" s="383"/>
      <c r="AT73" s="383"/>
      <c r="AU73" s="383"/>
      <c r="AV73" s="383"/>
      <c r="AW73" s="383"/>
      <c r="AX73" s="383"/>
      <c r="AY73" s="383"/>
      <c r="AZ73" s="383"/>
      <c r="BA73" s="383"/>
      <c r="BB73" s="383"/>
      <c r="BC73" s="383"/>
      <c r="BD73" s="383"/>
      <c r="BE73" s="383"/>
      <c r="BF73" s="383"/>
      <c r="BG73" s="383"/>
      <c r="BH73" s="383"/>
      <c r="BI73" s="383"/>
      <c r="BJ73" s="383"/>
      <c r="BK73" s="383"/>
      <c r="BL73" s="383"/>
      <c r="BM73" s="383"/>
      <c r="BN73" s="383"/>
      <c r="BO73" s="383"/>
      <c r="BP73" s="383"/>
      <c r="BQ73" s="383"/>
      <c r="BR73" s="383"/>
      <c r="BS73" s="383"/>
      <c r="BT73" s="383"/>
      <c r="BU73" s="383"/>
      <c r="BV73" s="383"/>
      <c r="BW73" s="383"/>
      <c r="BX73" s="383"/>
      <c r="BY73" s="383"/>
      <c r="BZ73" s="383"/>
      <c r="CA73" s="383"/>
      <c r="CB73" s="383"/>
      <c r="CC73" s="383"/>
      <c r="CD73" s="383"/>
      <c r="CE73" s="383"/>
      <c r="CF73" s="383"/>
      <c r="CG73" s="383"/>
      <c r="CH73" s="383"/>
      <c r="CI73" s="383"/>
      <c r="CJ73" s="383"/>
      <c r="CK73" s="383"/>
      <c r="CL73" s="383"/>
      <c r="CM73" s="383"/>
      <c r="CN73" s="383"/>
      <c r="CO73" s="383"/>
      <c r="CP73" s="383"/>
      <c r="CQ73" s="383"/>
      <c r="CR73" s="383"/>
      <c r="CS73" s="383"/>
      <c r="CT73" s="383"/>
      <c r="CU73" s="383"/>
      <c r="CV73" s="383"/>
      <c r="CW73" s="383"/>
      <c r="CX73" s="383"/>
      <c r="CY73" s="383"/>
      <c r="CZ73" s="383"/>
      <c r="DA73" s="383"/>
      <c r="DB73" s="383"/>
      <c r="DC73" s="383"/>
      <c r="DD73" s="383"/>
      <c r="DE73" s="383"/>
      <c r="DF73" s="383"/>
      <c r="DG73" s="383"/>
      <c r="DH73" s="383"/>
      <c r="DI73" s="383"/>
      <c r="DJ73" s="383"/>
      <c r="DK73" s="383"/>
      <c r="DL73" s="383"/>
      <c r="DM73" s="383"/>
      <c r="DN73" s="383"/>
      <c r="DO73" s="383"/>
      <c r="DP73" s="383"/>
      <c r="DQ73" s="383"/>
      <c r="DR73" s="383"/>
      <c r="DS73" s="383"/>
      <c r="DT73" s="383"/>
      <c r="DU73" s="383"/>
      <c r="DV73" s="383"/>
      <c r="DW73" s="383"/>
      <c r="DX73" s="383"/>
      <c r="DY73" s="383"/>
      <c r="DZ73" s="383"/>
      <c r="EA73" s="383"/>
      <c r="EB73" s="383"/>
      <c r="EC73" s="383"/>
      <c r="ED73" s="383"/>
      <c r="EE73" s="383"/>
      <c r="EF73" s="383"/>
      <c r="EG73" s="383"/>
      <c r="EH73" s="383"/>
      <c r="EI73" s="383"/>
      <c r="EJ73" s="383"/>
      <c r="EK73" s="383"/>
      <c r="EL73" s="383"/>
      <c r="EM73" s="383"/>
      <c r="EN73" s="383"/>
      <c r="EO73" s="383"/>
      <c r="EP73" s="383"/>
      <c r="EQ73" s="383"/>
      <c r="ER73" s="383"/>
      <c r="ES73" s="383"/>
      <c r="ET73" s="383"/>
      <c r="EU73" s="383"/>
      <c r="EV73" s="383"/>
      <c r="EW73" s="383"/>
      <c r="EX73" s="383"/>
      <c r="EY73" s="383"/>
      <c r="EZ73" s="383"/>
      <c r="FA73" s="383"/>
      <c r="FB73" s="383"/>
      <c r="FC73" s="383"/>
      <c r="FD73" s="383"/>
      <c r="FE73" s="383"/>
      <c r="FF73" s="383"/>
      <c r="FG73" s="383"/>
      <c r="FH73" s="383"/>
      <c r="FI73" s="383"/>
      <c r="FJ73" s="383"/>
      <c r="FK73" s="383"/>
      <c r="FL73" s="383"/>
      <c r="FM73" s="383"/>
      <c r="FN73" s="383"/>
      <c r="FO73" s="383"/>
      <c r="FP73" s="383"/>
      <c r="FQ73" s="383"/>
      <c r="FR73" s="383"/>
      <c r="FS73" s="383"/>
      <c r="FT73" s="383"/>
      <c r="FU73" s="383"/>
      <c r="FV73" s="383"/>
      <c r="FW73" s="383"/>
      <c r="FX73" s="383"/>
      <c r="FY73" s="383"/>
      <c r="FZ73" s="383"/>
      <c r="GA73" s="383"/>
      <c r="GB73" s="383"/>
      <c r="GC73" s="383"/>
      <c r="GD73" s="383"/>
      <c r="GE73" s="383"/>
      <c r="GF73" s="383"/>
      <c r="GG73" s="383"/>
      <c r="GH73" s="383"/>
      <c r="GI73" s="383"/>
      <c r="GJ73" s="383"/>
      <c r="GK73" s="383"/>
      <c r="GL73" s="383"/>
      <c r="GM73" s="383"/>
      <c r="GN73" s="383"/>
      <c r="GO73" s="383"/>
      <c r="GP73" s="383"/>
      <c r="GQ73" s="383"/>
      <c r="GR73" s="383"/>
      <c r="GS73" s="383"/>
      <c r="GT73" s="383"/>
      <c r="GU73" s="383"/>
      <c r="GV73" s="383"/>
      <c r="GW73" s="383"/>
      <c r="GX73" s="383"/>
      <c r="GY73" s="383"/>
      <c r="GZ73" s="383"/>
      <c r="HA73" s="383"/>
      <c r="HB73" s="383"/>
      <c r="HC73" s="383"/>
      <c r="HD73" s="383"/>
      <c r="HE73" s="383"/>
      <c r="HF73" s="383"/>
      <c r="HG73" s="383"/>
      <c r="HH73" s="383"/>
      <c r="HI73" s="383"/>
      <c r="HJ73" s="383"/>
      <c r="HK73" s="383"/>
      <c r="HL73" s="383"/>
      <c r="HM73" s="383"/>
      <c r="HN73" s="383"/>
      <c r="HO73" s="383"/>
      <c r="HP73" s="383"/>
      <c r="HQ73" s="383"/>
      <c r="HR73" s="383"/>
      <c r="HS73" s="383"/>
      <c r="HT73" s="383"/>
      <c r="HU73" s="383"/>
      <c r="HV73" s="383"/>
      <c r="HW73" s="383"/>
      <c r="HX73" s="383"/>
      <c r="HY73" s="383"/>
      <c r="HZ73" s="383"/>
      <c r="IA73" s="383"/>
      <c r="IB73" s="383"/>
      <c r="IC73" s="383"/>
      <c r="ID73" s="383"/>
      <c r="IE73" s="383"/>
      <c r="IF73" s="383"/>
      <c r="IG73" s="383"/>
      <c r="IH73" s="383"/>
      <c r="II73" s="383"/>
      <c r="IJ73" s="383"/>
      <c r="IK73" s="383"/>
      <c r="IL73" s="383"/>
    </row>
    <row r="74" spans="1:246" ht="15" customHeight="1">
      <c r="A74" s="481" t="s">
        <v>297</v>
      </c>
      <c r="B74" s="482" t="s">
        <v>411</v>
      </c>
      <c r="C74" s="483" t="s">
        <v>222</v>
      </c>
      <c r="D74" s="14"/>
      <c r="E74" s="484" t="s">
        <v>377</v>
      </c>
      <c r="F74" s="484">
        <v>44478</v>
      </c>
      <c r="G74" s="479" t="str">
        <f t="shared" si="0"/>
        <v>01/2026</v>
      </c>
      <c r="H74" s="341">
        <f>SUMIF(VI.A!$B$6:$B$5963,B74,VI.A!$L$6:$L$5963)</f>
        <v>200</v>
      </c>
      <c r="I74" s="341" t="str">
        <f t="shared" si="6"/>
        <v>si</v>
      </c>
      <c r="J74" s="383"/>
      <c r="K74" s="384">
        <f>IF(E74="SABESP","OK",VLOOKUP(F74,[6]ISD!$B$11:$F$4861,5,FALSE))</f>
        <v>15.83</v>
      </c>
      <c r="L74" s="384" t="str">
        <f t="shared" si="1"/>
        <v>VERIFICAR</v>
      </c>
      <c r="M74" s="480">
        <f t="shared" si="7"/>
        <v>15.83</v>
      </c>
      <c r="N74" s="383" t="b">
        <f t="shared" si="8"/>
        <v>0</v>
      </c>
      <c r="O74" s="383"/>
      <c r="P74" s="383"/>
      <c r="Q74" s="383"/>
      <c r="R74" s="383"/>
      <c r="S74" s="383"/>
      <c r="T74" s="383"/>
      <c r="U74" s="383"/>
      <c r="V74" s="383"/>
      <c r="W74" s="383"/>
      <c r="X74" s="383"/>
      <c r="Y74" s="383"/>
      <c r="Z74" s="383"/>
      <c r="AA74" s="383"/>
      <c r="AB74" s="383"/>
      <c r="AC74" s="383"/>
      <c r="AD74" s="383"/>
      <c r="AE74" s="383"/>
      <c r="AF74" s="383"/>
      <c r="AG74" s="383"/>
      <c r="AH74" s="383"/>
      <c r="AI74" s="383"/>
      <c r="AJ74" s="383"/>
      <c r="AK74" s="383"/>
      <c r="AL74" s="383"/>
      <c r="AM74" s="383"/>
      <c r="AN74" s="383"/>
      <c r="AO74" s="383"/>
      <c r="AP74" s="383"/>
      <c r="AQ74" s="383"/>
      <c r="AR74" s="383"/>
      <c r="AS74" s="383"/>
      <c r="AT74" s="383"/>
      <c r="AU74" s="383"/>
      <c r="AV74" s="383"/>
      <c r="AW74" s="383"/>
      <c r="AX74" s="383"/>
      <c r="AY74" s="383"/>
      <c r="AZ74" s="383"/>
      <c r="BA74" s="383"/>
      <c r="BB74" s="383"/>
      <c r="BC74" s="383"/>
      <c r="BD74" s="383"/>
      <c r="BE74" s="383"/>
      <c r="BF74" s="383"/>
      <c r="BG74" s="383"/>
      <c r="BH74" s="383"/>
      <c r="BI74" s="383"/>
      <c r="BJ74" s="383"/>
      <c r="BK74" s="383"/>
      <c r="BL74" s="383"/>
      <c r="BM74" s="383"/>
      <c r="BN74" s="383"/>
      <c r="BO74" s="383"/>
      <c r="BP74" s="383"/>
      <c r="BQ74" s="383"/>
      <c r="BR74" s="383"/>
      <c r="BS74" s="383"/>
      <c r="BT74" s="383"/>
      <c r="BU74" s="383"/>
      <c r="BV74" s="383"/>
      <c r="BW74" s="383"/>
      <c r="BX74" s="383"/>
      <c r="BY74" s="383"/>
      <c r="BZ74" s="383"/>
      <c r="CA74" s="383"/>
      <c r="CB74" s="383"/>
      <c r="CC74" s="383"/>
      <c r="CD74" s="383"/>
      <c r="CE74" s="383"/>
      <c r="CF74" s="383"/>
      <c r="CG74" s="383"/>
      <c r="CH74" s="383"/>
      <c r="CI74" s="383"/>
      <c r="CJ74" s="383"/>
      <c r="CK74" s="383"/>
      <c r="CL74" s="383"/>
      <c r="CM74" s="383"/>
      <c r="CN74" s="383"/>
      <c r="CO74" s="383"/>
      <c r="CP74" s="383"/>
      <c r="CQ74" s="383"/>
      <c r="CR74" s="383"/>
      <c r="CS74" s="383"/>
      <c r="CT74" s="383"/>
      <c r="CU74" s="383"/>
      <c r="CV74" s="383"/>
      <c r="CW74" s="383"/>
      <c r="CX74" s="383"/>
      <c r="CY74" s="383"/>
      <c r="CZ74" s="383"/>
      <c r="DA74" s="383"/>
      <c r="DB74" s="383"/>
      <c r="DC74" s="383"/>
      <c r="DD74" s="383"/>
      <c r="DE74" s="383"/>
      <c r="DF74" s="383"/>
      <c r="DG74" s="383"/>
      <c r="DH74" s="383"/>
      <c r="DI74" s="383"/>
      <c r="DJ74" s="383"/>
      <c r="DK74" s="383"/>
      <c r="DL74" s="383"/>
      <c r="DM74" s="383"/>
      <c r="DN74" s="383"/>
      <c r="DO74" s="383"/>
      <c r="DP74" s="383"/>
      <c r="DQ74" s="383"/>
      <c r="DR74" s="383"/>
      <c r="DS74" s="383"/>
      <c r="DT74" s="383"/>
      <c r="DU74" s="383"/>
      <c r="DV74" s="383"/>
      <c r="DW74" s="383"/>
      <c r="DX74" s="383"/>
      <c r="DY74" s="383"/>
      <c r="DZ74" s="383"/>
      <c r="EA74" s="383"/>
      <c r="EB74" s="383"/>
      <c r="EC74" s="383"/>
      <c r="ED74" s="383"/>
      <c r="EE74" s="383"/>
      <c r="EF74" s="383"/>
      <c r="EG74" s="383"/>
      <c r="EH74" s="383"/>
      <c r="EI74" s="383"/>
      <c r="EJ74" s="383"/>
      <c r="EK74" s="383"/>
      <c r="EL74" s="383"/>
      <c r="EM74" s="383"/>
      <c r="EN74" s="383"/>
      <c r="EO74" s="383"/>
      <c r="EP74" s="383"/>
      <c r="EQ74" s="383"/>
      <c r="ER74" s="383"/>
      <c r="ES74" s="383"/>
      <c r="ET74" s="383"/>
      <c r="EU74" s="383"/>
      <c r="EV74" s="383"/>
      <c r="EW74" s="383"/>
      <c r="EX74" s="383"/>
      <c r="EY74" s="383"/>
      <c r="EZ74" s="383"/>
      <c r="FA74" s="383"/>
      <c r="FB74" s="383"/>
      <c r="FC74" s="383"/>
      <c r="FD74" s="383"/>
      <c r="FE74" s="383"/>
      <c r="FF74" s="383"/>
      <c r="FG74" s="383"/>
      <c r="FH74" s="383"/>
      <c r="FI74" s="383"/>
      <c r="FJ74" s="383"/>
      <c r="FK74" s="383"/>
      <c r="FL74" s="383"/>
      <c r="FM74" s="383"/>
      <c r="FN74" s="383"/>
      <c r="FO74" s="383"/>
      <c r="FP74" s="383"/>
      <c r="FQ74" s="383"/>
      <c r="FR74" s="383"/>
      <c r="FS74" s="383"/>
      <c r="FT74" s="383"/>
      <c r="FU74" s="383"/>
      <c r="FV74" s="383"/>
      <c r="FW74" s="383"/>
      <c r="FX74" s="383"/>
      <c r="FY74" s="383"/>
      <c r="FZ74" s="383"/>
      <c r="GA74" s="383"/>
      <c r="GB74" s="383"/>
      <c r="GC74" s="383"/>
      <c r="GD74" s="383"/>
      <c r="GE74" s="383"/>
      <c r="GF74" s="383"/>
      <c r="GG74" s="383"/>
      <c r="GH74" s="383"/>
      <c r="GI74" s="383"/>
      <c r="GJ74" s="383"/>
      <c r="GK74" s="383"/>
      <c r="GL74" s="383"/>
      <c r="GM74" s="383"/>
      <c r="GN74" s="383"/>
      <c r="GO74" s="383"/>
      <c r="GP74" s="383"/>
      <c r="GQ74" s="383"/>
      <c r="GR74" s="383"/>
      <c r="GS74" s="383"/>
      <c r="GT74" s="383"/>
      <c r="GU74" s="383"/>
      <c r="GV74" s="383"/>
      <c r="GW74" s="383"/>
      <c r="GX74" s="383"/>
      <c r="GY74" s="383"/>
      <c r="GZ74" s="383"/>
      <c r="HA74" s="383"/>
      <c r="HB74" s="383"/>
      <c r="HC74" s="383"/>
      <c r="HD74" s="383"/>
      <c r="HE74" s="383"/>
      <c r="HF74" s="383"/>
      <c r="HG74" s="383"/>
      <c r="HH74" s="383"/>
      <c r="HI74" s="383"/>
      <c r="HJ74" s="383"/>
      <c r="HK74" s="383"/>
      <c r="HL74" s="383"/>
      <c r="HM74" s="383"/>
      <c r="HN74" s="383"/>
      <c r="HO74" s="383"/>
      <c r="HP74" s="383"/>
      <c r="HQ74" s="383"/>
      <c r="HR74" s="383"/>
      <c r="HS74" s="383"/>
      <c r="HT74" s="383"/>
      <c r="HU74" s="383"/>
      <c r="HV74" s="383"/>
      <c r="HW74" s="383"/>
      <c r="HX74" s="383"/>
      <c r="HY74" s="383"/>
      <c r="HZ74" s="383"/>
      <c r="IA74" s="383"/>
      <c r="IB74" s="383"/>
      <c r="IC74" s="383"/>
      <c r="ID74" s="383"/>
      <c r="IE74" s="383"/>
      <c r="IF74" s="383"/>
      <c r="IG74" s="383"/>
      <c r="IH74" s="383"/>
      <c r="II74" s="383"/>
      <c r="IJ74" s="383"/>
      <c r="IK74" s="383"/>
      <c r="IL74" s="383"/>
    </row>
    <row r="75" spans="1:246" ht="15" customHeight="1">
      <c r="A75" s="481" t="s">
        <v>298</v>
      </c>
      <c r="B75" s="482" t="s">
        <v>193</v>
      </c>
      <c r="C75" s="483" t="s">
        <v>166</v>
      </c>
      <c r="D75" s="14"/>
      <c r="E75" s="484" t="s">
        <v>379</v>
      </c>
      <c r="F75" s="484">
        <v>36797</v>
      </c>
      <c r="G75" s="479" t="str">
        <f t="shared" ref="G75:G131" si="9">IF(TRIM(E75)="SINAPI", "01/2026",IF(TRIM(E75)="SABESP","07/2025","OUTRO"))</f>
        <v>01/2026</v>
      </c>
      <c r="H75" s="341">
        <f>SUMIF(VI.A!$B$6:$B$5963,B75,VI.A!$L$6:$L$5963)</f>
        <v>100</v>
      </c>
      <c r="I75" s="341" t="str">
        <f t="shared" si="6"/>
        <v>si</v>
      </c>
      <c r="J75" s="383"/>
      <c r="K75" s="384">
        <f>IF(E75="SABESP","OK",VLOOKUP(F75,[6]ISD!$B$11:$F$4861,5,FALSE))</f>
        <v>60.15</v>
      </c>
      <c r="L75" s="384" t="str">
        <f t="shared" ref="L75:L138" si="10">IF(D75=K75,"OK",IF(K75="OK","OK","VERIFICAR"))</f>
        <v>VERIFICAR</v>
      </c>
      <c r="M75" s="480">
        <f t="shared" si="7"/>
        <v>60.15</v>
      </c>
      <c r="N75" s="383" t="b">
        <f t="shared" si="8"/>
        <v>0</v>
      </c>
      <c r="O75" s="383"/>
      <c r="P75" s="383"/>
      <c r="Q75" s="383"/>
      <c r="R75" s="383"/>
      <c r="S75" s="383"/>
      <c r="T75" s="383"/>
      <c r="U75" s="383"/>
      <c r="V75" s="383"/>
      <c r="W75" s="383"/>
      <c r="X75" s="383"/>
      <c r="Y75" s="383"/>
      <c r="Z75" s="383"/>
      <c r="AA75" s="383"/>
      <c r="AB75" s="383"/>
      <c r="AC75" s="383"/>
      <c r="AD75" s="383"/>
      <c r="AE75" s="383"/>
      <c r="AF75" s="383"/>
      <c r="AG75" s="383"/>
      <c r="AH75" s="383"/>
      <c r="AI75" s="383"/>
      <c r="AJ75" s="383"/>
      <c r="AK75" s="383"/>
      <c r="AL75" s="383"/>
      <c r="AM75" s="383"/>
      <c r="AN75" s="383"/>
      <c r="AO75" s="383"/>
      <c r="AP75" s="383"/>
      <c r="AQ75" s="383"/>
      <c r="AR75" s="383"/>
      <c r="AS75" s="383"/>
      <c r="AT75" s="383"/>
      <c r="AU75" s="383"/>
      <c r="AV75" s="383"/>
      <c r="AW75" s="383"/>
      <c r="AX75" s="383"/>
      <c r="AY75" s="383"/>
      <c r="AZ75" s="383"/>
      <c r="BA75" s="383"/>
      <c r="BB75" s="383"/>
      <c r="BC75" s="383"/>
      <c r="BD75" s="383"/>
      <c r="BE75" s="383"/>
      <c r="BF75" s="383"/>
      <c r="BG75" s="383"/>
      <c r="BH75" s="383"/>
      <c r="BI75" s="383"/>
      <c r="BJ75" s="383"/>
      <c r="BK75" s="383"/>
      <c r="BL75" s="383"/>
      <c r="BM75" s="383"/>
      <c r="BN75" s="383"/>
      <c r="BO75" s="383"/>
      <c r="BP75" s="383"/>
      <c r="BQ75" s="383"/>
      <c r="BR75" s="383"/>
      <c r="BS75" s="383"/>
      <c r="BT75" s="383"/>
      <c r="BU75" s="383"/>
      <c r="BV75" s="383"/>
      <c r="BW75" s="383"/>
      <c r="BX75" s="383"/>
      <c r="BY75" s="383"/>
      <c r="BZ75" s="383"/>
      <c r="CA75" s="383"/>
      <c r="CB75" s="383"/>
      <c r="CC75" s="383"/>
      <c r="CD75" s="383"/>
      <c r="CE75" s="383"/>
      <c r="CF75" s="383"/>
      <c r="CG75" s="383"/>
      <c r="CH75" s="383"/>
      <c r="CI75" s="383"/>
      <c r="CJ75" s="383"/>
      <c r="CK75" s="383"/>
      <c r="CL75" s="383"/>
      <c r="CM75" s="383"/>
      <c r="CN75" s="383"/>
      <c r="CO75" s="383"/>
      <c r="CP75" s="383"/>
      <c r="CQ75" s="383"/>
      <c r="CR75" s="383"/>
      <c r="CS75" s="383"/>
      <c r="CT75" s="383"/>
      <c r="CU75" s="383"/>
      <c r="CV75" s="383"/>
      <c r="CW75" s="383"/>
      <c r="CX75" s="383"/>
      <c r="CY75" s="383"/>
      <c r="CZ75" s="383"/>
      <c r="DA75" s="383"/>
      <c r="DB75" s="383"/>
      <c r="DC75" s="383"/>
      <c r="DD75" s="383"/>
      <c r="DE75" s="383"/>
      <c r="DF75" s="383"/>
      <c r="DG75" s="383"/>
      <c r="DH75" s="383"/>
      <c r="DI75" s="383"/>
      <c r="DJ75" s="383"/>
      <c r="DK75" s="383"/>
      <c r="DL75" s="383"/>
      <c r="DM75" s="383"/>
      <c r="DN75" s="383"/>
      <c r="DO75" s="383"/>
      <c r="DP75" s="383"/>
      <c r="DQ75" s="383"/>
      <c r="DR75" s="383"/>
      <c r="DS75" s="383"/>
      <c r="DT75" s="383"/>
      <c r="DU75" s="383"/>
      <c r="DV75" s="383"/>
      <c r="DW75" s="383"/>
      <c r="DX75" s="383"/>
      <c r="DY75" s="383"/>
      <c r="DZ75" s="383"/>
      <c r="EA75" s="383"/>
      <c r="EB75" s="383"/>
      <c r="EC75" s="383"/>
      <c r="ED75" s="383"/>
      <c r="EE75" s="383"/>
      <c r="EF75" s="383"/>
      <c r="EG75" s="383"/>
      <c r="EH75" s="383"/>
      <c r="EI75" s="383"/>
      <c r="EJ75" s="383"/>
      <c r="EK75" s="383"/>
      <c r="EL75" s="383"/>
      <c r="EM75" s="383"/>
      <c r="EN75" s="383"/>
      <c r="EO75" s="383"/>
      <c r="EP75" s="383"/>
      <c r="EQ75" s="383"/>
      <c r="ER75" s="383"/>
      <c r="ES75" s="383"/>
      <c r="ET75" s="383"/>
      <c r="EU75" s="383"/>
      <c r="EV75" s="383"/>
      <c r="EW75" s="383"/>
      <c r="EX75" s="383"/>
      <c r="EY75" s="383"/>
      <c r="EZ75" s="383"/>
      <c r="FA75" s="383"/>
      <c r="FB75" s="383"/>
      <c r="FC75" s="383"/>
      <c r="FD75" s="383"/>
      <c r="FE75" s="383"/>
      <c r="FF75" s="383"/>
      <c r="FG75" s="383"/>
      <c r="FH75" s="383"/>
      <c r="FI75" s="383"/>
      <c r="FJ75" s="383"/>
      <c r="FK75" s="383"/>
      <c r="FL75" s="383"/>
      <c r="FM75" s="383"/>
      <c r="FN75" s="383"/>
      <c r="FO75" s="383"/>
      <c r="FP75" s="383"/>
      <c r="FQ75" s="383"/>
      <c r="FR75" s="383"/>
      <c r="FS75" s="383"/>
      <c r="FT75" s="383"/>
      <c r="FU75" s="383"/>
      <c r="FV75" s="383"/>
      <c r="FW75" s="383"/>
      <c r="FX75" s="383"/>
      <c r="FY75" s="383"/>
      <c r="FZ75" s="383"/>
      <c r="GA75" s="383"/>
      <c r="GB75" s="383"/>
      <c r="GC75" s="383"/>
      <c r="GD75" s="383"/>
      <c r="GE75" s="383"/>
      <c r="GF75" s="383"/>
      <c r="GG75" s="383"/>
      <c r="GH75" s="383"/>
      <c r="GI75" s="383"/>
      <c r="GJ75" s="383"/>
      <c r="GK75" s="383"/>
      <c r="GL75" s="383"/>
      <c r="GM75" s="383"/>
      <c r="GN75" s="383"/>
      <c r="GO75" s="383"/>
      <c r="GP75" s="383"/>
      <c r="GQ75" s="383"/>
      <c r="GR75" s="383"/>
      <c r="GS75" s="383"/>
      <c r="GT75" s="383"/>
      <c r="GU75" s="383"/>
      <c r="GV75" s="383"/>
      <c r="GW75" s="383"/>
      <c r="GX75" s="383"/>
      <c r="GY75" s="383"/>
      <c r="GZ75" s="383"/>
      <c r="HA75" s="383"/>
      <c r="HB75" s="383"/>
      <c r="HC75" s="383"/>
      <c r="HD75" s="383"/>
      <c r="HE75" s="383"/>
      <c r="HF75" s="383"/>
      <c r="HG75" s="383"/>
      <c r="HH75" s="383"/>
      <c r="HI75" s="383"/>
      <c r="HJ75" s="383"/>
      <c r="HK75" s="383"/>
      <c r="HL75" s="383"/>
      <c r="HM75" s="383"/>
      <c r="HN75" s="383"/>
      <c r="HO75" s="383"/>
      <c r="HP75" s="383"/>
      <c r="HQ75" s="383"/>
      <c r="HR75" s="383"/>
      <c r="HS75" s="383"/>
      <c r="HT75" s="383"/>
      <c r="HU75" s="383"/>
      <c r="HV75" s="383"/>
      <c r="HW75" s="383"/>
      <c r="HX75" s="383"/>
      <c r="HY75" s="383"/>
      <c r="HZ75" s="383"/>
      <c r="IA75" s="383"/>
      <c r="IB75" s="383"/>
      <c r="IC75" s="383"/>
      <c r="ID75" s="383"/>
      <c r="IE75" s="383"/>
      <c r="IF75" s="383"/>
      <c r="IG75" s="383"/>
      <c r="IH75" s="383"/>
      <c r="II75" s="383"/>
      <c r="IJ75" s="383"/>
      <c r="IK75" s="383"/>
      <c r="IL75" s="383"/>
    </row>
    <row r="76" spans="1:246" ht="15" customHeight="1">
      <c r="A76" s="481" t="s">
        <v>299</v>
      </c>
      <c r="B76" s="482" t="s">
        <v>429</v>
      </c>
      <c r="C76" s="483" t="s">
        <v>166</v>
      </c>
      <c r="D76" s="14"/>
      <c r="E76" s="484" t="s">
        <v>379</v>
      </c>
      <c r="F76" s="484">
        <v>11963</v>
      </c>
      <c r="G76" s="479" t="str">
        <f t="shared" si="9"/>
        <v>01/2026</v>
      </c>
      <c r="H76" s="341">
        <f>SUMIF(VI.A!$B$6:$B$5963,B76,VI.A!$L$6:$L$5963)</f>
        <v>120</v>
      </c>
      <c r="I76" s="341" t="str">
        <f t="shared" si="6"/>
        <v>si</v>
      </c>
      <c r="J76" s="383"/>
      <c r="K76" s="384">
        <f>IF(E76="SABESP","OK",VLOOKUP(F76,[6]ISD!$B$11:$F$4861,5,FALSE))</f>
        <v>9.18</v>
      </c>
      <c r="L76" s="384" t="str">
        <f t="shared" si="10"/>
        <v>VERIFICAR</v>
      </c>
      <c r="M76" s="480">
        <f t="shared" si="7"/>
        <v>9.18</v>
      </c>
      <c r="N76" s="383" t="b">
        <f t="shared" si="8"/>
        <v>0</v>
      </c>
      <c r="O76" s="383"/>
      <c r="P76" s="383"/>
      <c r="Q76" s="383"/>
      <c r="R76" s="383"/>
      <c r="S76" s="383"/>
      <c r="T76" s="383"/>
      <c r="U76" s="383"/>
      <c r="V76" s="383"/>
      <c r="W76" s="383"/>
      <c r="X76" s="383"/>
      <c r="Y76" s="383"/>
      <c r="Z76" s="383"/>
      <c r="AA76" s="383"/>
      <c r="AB76" s="383"/>
      <c r="AC76" s="383"/>
      <c r="AD76" s="383"/>
      <c r="AE76" s="383"/>
      <c r="AF76" s="383"/>
      <c r="AG76" s="383"/>
      <c r="AH76" s="383"/>
      <c r="AI76" s="383"/>
      <c r="AJ76" s="383"/>
      <c r="AK76" s="383"/>
      <c r="AL76" s="383"/>
      <c r="AM76" s="383"/>
      <c r="AN76" s="383"/>
      <c r="AO76" s="383"/>
      <c r="AP76" s="383"/>
      <c r="AQ76" s="383"/>
      <c r="AR76" s="383"/>
      <c r="AS76" s="383"/>
      <c r="AT76" s="383"/>
      <c r="AU76" s="383"/>
      <c r="AV76" s="383"/>
      <c r="AW76" s="383"/>
      <c r="AX76" s="383"/>
      <c r="AY76" s="383"/>
      <c r="AZ76" s="383"/>
      <c r="BA76" s="383"/>
      <c r="BB76" s="383"/>
      <c r="BC76" s="383"/>
      <c r="BD76" s="383"/>
      <c r="BE76" s="383"/>
      <c r="BF76" s="383"/>
      <c r="BG76" s="383"/>
      <c r="BH76" s="383"/>
      <c r="BI76" s="383"/>
      <c r="BJ76" s="383"/>
      <c r="BK76" s="383"/>
      <c r="BL76" s="383"/>
      <c r="BM76" s="383"/>
      <c r="BN76" s="383"/>
      <c r="BO76" s="383"/>
      <c r="BP76" s="383"/>
      <c r="BQ76" s="383"/>
      <c r="BR76" s="383"/>
      <c r="BS76" s="383"/>
      <c r="BT76" s="383"/>
      <c r="BU76" s="383"/>
      <c r="BV76" s="383"/>
      <c r="BW76" s="383"/>
      <c r="BX76" s="383"/>
      <c r="BY76" s="383"/>
      <c r="BZ76" s="383"/>
      <c r="CA76" s="383"/>
      <c r="CB76" s="383"/>
      <c r="CC76" s="383"/>
      <c r="CD76" s="383"/>
      <c r="CE76" s="383"/>
      <c r="CF76" s="383"/>
      <c r="CG76" s="383"/>
      <c r="CH76" s="383"/>
      <c r="CI76" s="383"/>
      <c r="CJ76" s="383"/>
      <c r="CK76" s="383"/>
      <c r="CL76" s="383"/>
      <c r="CM76" s="383"/>
      <c r="CN76" s="383"/>
      <c r="CO76" s="383"/>
      <c r="CP76" s="383"/>
      <c r="CQ76" s="383"/>
      <c r="CR76" s="383"/>
      <c r="CS76" s="383"/>
      <c r="CT76" s="383"/>
      <c r="CU76" s="383"/>
      <c r="CV76" s="383"/>
      <c r="CW76" s="383"/>
      <c r="CX76" s="383"/>
      <c r="CY76" s="383"/>
      <c r="CZ76" s="383"/>
      <c r="DA76" s="383"/>
      <c r="DB76" s="383"/>
      <c r="DC76" s="383"/>
      <c r="DD76" s="383"/>
      <c r="DE76" s="383"/>
      <c r="DF76" s="383"/>
      <c r="DG76" s="383"/>
      <c r="DH76" s="383"/>
      <c r="DI76" s="383"/>
      <c r="DJ76" s="383"/>
      <c r="DK76" s="383"/>
      <c r="DL76" s="383"/>
      <c r="DM76" s="383"/>
      <c r="DN76" s="383"/>
      <c r="DO76" s="383"/>
      <c r="DP76" s="383"/>
      <c r="DQ76" s="383"/>
      <c r="DR76" s="383"/>
      <c r="DS76" s="383"/>
      <c r="DT76" s="383"/>
      <c r="DU76" s="383"/>
      <c r="DV76" s="383"/>
      <c r="DW76" s="383"/>
      <c r="DX76" s="383"/>
      <c r="DY76" s="383"/>
      <c r="DZ76" s="383"/>
      <c r="EA76" s="383"/>
      <c r="EB76" s="383"/>
      <c r="EC76" s="383"/>
      <c r="ED76" s="383"/>
      <c r="EE76" s="383"/>
      <c r="EF76" s="383"/>
      <c r="EG76" s="383"/>
      <c r="EH76" s="383"/>
      <c r="EI76" s="383"/>
      <c r="EJ76" s="383"/>
      <c r="EK76" s="383"/>
      <c r="EL76" s="383"/>
      <c r="EM76" s="383"/>
      <c r="EN76" s="383"/>
      <c r="EO76" s="383"/>
      <c r="EP76" s="383"/>
      <c r="EQ76" s="383"/>
      <c r="ER76" s="383"/>
      <c r="ES76" s="383"/>
      <c r="ET76" s="383"/>
      <c r="EU76" s="383"/>
      <c r="EV76" s="383"/>
      <c r="EW76" s="383"/>
      <c r="EX76" s="383"/>
      <c r="EY76" s="383"/>
      <c r="EZ76" s="383"/>
      <c r="FA76" s="383"/>
      <c r="FB76" s="383"/>
      <c r="FC76" s="383"/>
      <c r="FD76" s="383"/>
      <c r="FE76" s="383"/>
      <c r="FF76" s="383"/>
      <c r="FG76" s="383"/>
      <c r="FH76" s="383"/>
      <c r="FI76" s="383"/>
      <c r="FJ76" s="383"/>
      <c r="FK76" s="383"/>
      <c r="FL76" s="383"/>
      <c r="FM76" s="383"/>
      <c r="FN76" s="383"/>
      <c r="FO76" s="383"/>
      <c r="FP76" s="383"/>
      <c r="FQ76" s="383"/>
      <c r="FR76" s="383"/>
      <c r="FS76" s="383"/>
      <c r="FT76" s="383"/>
      <c r="FU76" s="383"/>
      <c r="FV76" s="383"/>
      <c r="FW76" s="383"/>
      <c r="FX76" s="383"/>
      <c r="FY76" s="383"/>
      <c r="FZ76" s="383"/>
      <c r="GA76" s="383"/>
      <c r="GB76" s="383"/>
      <c r="GC76" s="383"/>
      <c r="GD76" s="383"/>
      <c r="GE76" s="383"/>
      <c r="GF76" s="383"/>
      <c r="GG76" s="383"/>
      <c r="GH76" s="383"/>
      <c r="GI76" s="383"/>
      <c r="GJ76" s="383"/>
      <c r="GK76" s="383"/>
      <c r="GL76" s="383"/>
      <c r="GM76" s="383"/>
      <c r="GN76" s="383"/>
      <c r="GO76" s="383"/>
      <c r="GP76" s="383"/>
      <c r="GQ76" s="383"/>
      <c r="GR76" s="383"/>
      <c r="GS76" s="383"/>
      <c r="GT76" s="383"/>
      <c r="GU76" s="383"/>
      <c r="GV76" s="383"/>
      <c r="GW76" s="383"/>
      <c r="GX76" s="383"/>
      <c r="GY76" s="383"/>
      <c r="GZ76" s="383"/>
      <c r="HA76" s="383"/>
      <c r="HB76" s="383"/>
      <c r="HC76" s="383"/>
      <c r="HD76" s="383"/>
      <c r="HE76" s="383"/>
      <c r="HF76" s="383"/>
      <c r="HG76" s="383"/>
      <c r="HH76" s="383"/>
      <c r="HI76" s="383"/>
      <c r="HJ76" s="383"/>
      <c r="HK76" s="383"/>
      <c r="HL76" s="383"/>
      <c r="HM76" s="383"/>
      <c r="HN76" s="383"/>
      <c r="HO76" s="383"/>
      <c r="HP76" s="383"/>
      <c r="HQ76" s="383"/>
      <c r="HR76" s="383"/>
      <c r="HS76" s="383"/>
      <c r="HT76" s="383"/>
      <c r="HU76" s="383"/>
      <c r="HV76" s="383"/>
      <c r="HW76" s="383"/>
      <c r="HX76" s="383"/>
      <c r="HY76" s="383"/>
      <c r="HZ76" s="383"/>
      <c r="IA76" s="383"/>
      <c r="IB76" s="383"/>
      <c r="IC76" s="383"/>
      <c r="ID76" s="383"/>
      <c r="IE76" s="383"/>
      <c r="IF76" s="383"/>
      <c r="IG76" s="383"/>
      <c r="IH76" s="383"/>
      <c r="II76" s="383"/>
      <c r="IJ76" s="383"/>
      <c r="IK76" s="383"/>
      <c r="IL76" s="383"/>
    </row>
    <row r="77" spans="1:246" ht="15" customHeight="1">
      <c r="A77" s="481" t="s">
        <v>300</v>
      </c>
      <c r="B77" s="482" t="s">
        <v>548</v>
      </c>
      <c r="C77" s="483" t="s">
        <v>166</v>
      </c>
      <c r="D77" s="14"/>
      <c r="E77" s="484" t="s">
        <v>379</v>
      </c>
      <c r="F77" s="484">
        <v>4343</v>
      </c>
      <c r="G77" s="479" t="str">
        <f t="shared" si="9"/>
        <v>01/2026</v>
      </c>
      <c r="H77" s="341">
        <f>SUMIF(VI.A!$B$6:$B$5963,B77,VI.A!$L$6:$L$5963)</f>
        <v>50</v>
      </c>
      <c r="I77" s="341" t="str">
        <f t="shared" si="6"/>
        <v>si</v>
      </c>
      <c r="J77" s="383"/>
      <c r="K77" s="384">
        <f>IF(E77="SABESP","OK",VLOOKUP(F77,[6]ISD!$B$11:$F$4861,5,FALSE))</f>
        <v>4.51</v>
      </c>
      <c r="L77" s="384" t="str">
        <f t="shared" si="10"/>
        <v>VERIFICAR</v>
      </c>
      <c r="M77" s="480">
        <f t="shared" si="7"/>
        <v>4.51</v>
      </c>
      <c r="N77" s="383" t="b">
        <f t="shared" si="8"/>
        <v>0</v>
      </c>
      <c r="O77" s="383"/>
      <c r="P77" s="383"/>
      <c r="Q77" s="383"/>
      <c r="R77" s="383"/>
      <c r="S77" s="383"/>
      <c r="T77" s="383"/>
      <c r="U77" s="383"/>
      <c r="V77" s="383"/>
      <c r="W77" s="383"/>
      <c r="X77" s="383"/>
      <c r="Y77" s="383"/>
      <c r="Z77" s="383"/>
      <c r="AA77" s="383"/>
      <c r="AB77" s="383"/>
      <c r="AC77" s="383"/>
      <c r="AD77" s="383"/>
      <c r="AE77" s="383"/>
      <c r="AF77" s="383"/>
      <c r="AG77" s="383"/>
      <c r="AH77" s="383"/>
      <c r="AI77" s="383"/>
      <c r="AJ77" s="383"/>
      <c r="AK77" s="383"/>
      <c r="AL77" s="383"/>
      <c r="AM77" s="383"/>
      <c r="AN77" s="383"/>
      <c r="AO77" s="383"/>
      <c r="AP77" s="383"/>
      <c r="AQ77" s="383"/>
      <c r="AR77" s="383"/>
      <c r="AS77" s="383"/>
      <c r="AT77" s="383"/>
      <c r="AU77" s="383"/>
      <c r="AV77" s="383"/>
      <c r="AW77" s="383"/>
      <c r="AX77" s="383"/>
      <c r="AY77" s="383"/>
      <c r="AZ77" s="383"/>
      <c r="BA77" s="383"/>
      <c r="BB77" s="383"/>
      <c r="BC77" s="383"/>
      <c r="BD77" s="383"/>
      <c r="BE77" s="383"/>
      <c r="BF77" s="383"/>
      <c r="BG77" s="383"/>
      <c r="BH77" s="383"/>
      <c r="BI77" s="383"/>
      <c r="BJ77" s="383"/>
      <c r="BK77" s="383"/>
      <c r="BL77" s="383"/>
      <c r="BM77" s="383"/>
      <c r="BN77" s="383"/>
      <c r="BO77" s="383"/>
      <c r="BP77" s="383"/>
      <c r="BQ77" s="383"/>
      <c r="BR77" s="383"/>
      <c r="BS77" s="383"/>
      <c r="BT77" s="383"/>
      <c r="BU77" s="383"/>
      <c r="BV77" s="383"/>
      <c r="BW77" s="383"/>
      <c r="BX77" s="383"/>
      <c r="BY77" s="383"/>
      <c r="BZ77" s="383"/>
      <c r="CA77" s="383"/>
      <c r="CB77" s="383"/>
      <c r="CC77" s="383"/>
      <c r="CD77" s="383"/>
      <c r="CE77" s="383"/>
      <c r="CF77" s="383"/>
      <c r="CG77" s="383"/>
      <c r="CH77" s="383"/>
      <c r="CI77" s="383"/>
      <c r="CJ77" s="383"/>
      <c r="CK77" s="383"/>
      <c r="CL77" s="383"/>
      <c r="CM77" s="383"/>
      <c r="CN77" s="383"/>
      <c r="CO77" s="383"/>
      <c r="CP77" s="383"/>
      <c r="CQ77" s="383"/>
      <c r="CR77" s="383"/>
      <c r="CS77" s="383"/>
      <c r="CT77" s="383"/>
      <c r="CU77" s="383"/>
      <c r="CV77" s="383"/>
      <c r="CW77" s="383"/>
      <c r="CX77" s="383"/>
      <c r="CY77" s="383"/>
      <c r="CZ77" s="383"/>
      <c r="DA77" s="383"/>
      <c r="DB77" s="383"/>
      <c r="DC77" s="383"/>
      <c r="DD77" s="383"/>
      <c r="DE77" s="383"/>
      <c r="DF77" s="383"/>
      <c r="DG77" s="383"/>
      <c r="DH77" s="383"/>
      <c r="DI77" s="383"/>
      <c r="DJ77" s="383"/>
      <c r="DK77" s="383"/>
      <c r="DL77" s="383"/>
      <c r="DM77" s="383"/>
      <c r="DN77" s="383"/>
      <c r="DO77" s="383"/>
      <c r="DP77" s="383"/>
      <c r="DQ77" s="383"/>
      <c r="DR77" s="383"/>
      <c r="DS77" s="383"/>
      <c r="DT77" s="383"/>
      <c r="DU77" s="383"/>
      <c r="DV77" s="383"/>
      <c r="DW77" s="383"/>
      <c r="DX77" s="383"/>
      <c r="DY77" s="383"/>
      <c r="DZ77" s="383"/>
      <c r="EA77" s="383"/>
      <c r="EB77" s="383"/>
      <c r="EC77" s="383"/>
      <c r="ED77" s="383"/>
      <c r="EE77" s="383"/>
      <c r="EF77" s="383"/>
      <c r="EG77" s="383"/>
      <c r="EH77" s="383"/>
      <c r="EI77" s="383"/>
      <c r="EJ77" s="383"/>
      <c r="EK77" s="383"/>
      <c r="EL77" s="383"/>
      <c r="EM77" s="383"/>
      <c r="EN77" s="383"/>
      <c r="EO77" s="383"/>
      <c r="EP77" s="383"/>
      <c r="EQ77" s="383"/>
      <c r="ER77" s="383"/>
      <c r="ES77" s="383"/>
      <c r="ET77" s="383"/>
      <c r="EU77" s="383"/>
      <c r="EV77" s="383"/>
      <c r="EW77" s="383"/>
      <c r="EX77" s="383"/>
      <c r="EY77" s="383"/>
      <c r="EZ77" s="383"/>
      <c r="FA77" s="383"/>
      <c r="FB77" s="383"/>
      <c r="FC77" s="383"/>
      <c r="FD77" s="383"/>
      <c r="FE77" s="383"/>
      <c r="FF77" s="383"/>
      <c r="FG77" s="383"/>
      <c r="FH77" s="383"/>
      <c r="FI77" s="383"/>
      <c r="FJ77" s="383"/>
      <c r="FK77" s="383"/>
      <c r="FL77" s="383"/>
      <c r="FM77" s="383"/>
      <c r="FN77" s="383"/>
      <c r="FO77" s="383"/>
      <c r="FP77" s="383"/>
      <c r="FQ77" s="383"/>
      <c r="FR77" s="383"/>
      <c r="FS77" s="383"/>
      <c r="FT77" s="383"/>
      <c r="FU77" s="383"/>
      <c r="FV77" s="383"/>
      <c r="FW77" s="383"/>
      <c r="FX77" s="383"/>
      <c r="FY77" s="383"/>
      <c r="FZ77" s="383"/>
      <c r="GA77" s="383"/>
      <c r="GB77" s="383"/>
      <c r="GC77" s="383"/>
      <c r="GD77" s="383"/>
      <c r="GE77" s="383"/>
      <c r="GF77" s="383"/>
      <c r="GG77" s="383"/>
      <c r="GH77" s="383"/>
      <c r="GI77" s="383"/>
      <c r="GJ77" s="383"/>
      <c r="GK77" s="383"/>
      <c r="GL77" s="383"/>
      <c r="GM77" s="383"/>
      <c r="GN77" s="383"/>
      <c r="GO77" s="383"/>
      <c r="GP77" s="383"/>
      <c r="GQ77" s="383"/>
      <c r="GR77" s="383"/>
      <c r="GS77" s="383"/>
      <c r="GT77" s="383"/>
      <c r="GU77" s="383"/>
      <c r="GV77" s="383"/>
      <c r="GW77" s="383"/>
      <c r="GX77" s="383"/>
      <c r="GY77" s="383"/>
      <c r="GZ77" s="383"/>
      <c r="HA77" s="383"/>
      <c r="HB77" s="383"/>
      <c r="HC77" s="383"/>
      <c r="HD77" s="383"/>
      <c r="HE77" s="383"/>
      <c r="HF77" s="383"/>
      <c r="HG77" s="383"/>
      <c r="HH77" s="383"/>
      <c r="HI77" s="383"/>
      <c r="HJ77" s="383"/>
      <c r="HK77" s="383"/>
      <c r="HL77" s="383"/>
      <c r="HM77" s="383"/>
      <c r="HN77" s="383"/>
      <c r="HO77" s="383"/>
      <c r="HP77" s="383"/>
      <c r="HQ77" s="383"/>
      <c r="HR77" s="383"/>
      <c r="HS77" s="383"/>
      <c r="HT77" s="383"/>
      <c r="HU77" s="383"/>
      <c r="HV77" s="383"/>
      <c r="HW77" s="383"/>
      <c r="HX77" s="383"/>
      <c r="HY77" s="383"/>
      <c r="HZ77" s="383"/>
      <c r="IA77" s="383"/>
      <c r="IB77" s="383"/>
      <c r="IC77" s="383"/>
      <c r="ID77" s="383"/>
      <c r="IE77" s="383"/>
      <c r="IF77" s="383"/>
      <c r="IG77" s="383"/>
      <c r="IH77" s="383"/>
      <c r="II77" s="383"/>
      <c r="IJ77" s="383"/>
      <c r="IK77" s="383"/>
      <c r="IL77" s="383"/>
    </row>
    <row r="78" spans="1:246" ht="25.5">
      <c r="A78" s="481" t="s">
        <v>301</v>
      </c>
      <c r="B78" s="482" t="s">
        <v>219</v>
      </c>
      <c r="C78" s="483" t="s">
        <v>166</v>
      </c>
      <c r="D78" s="14"/>
      <c r="E78" s="489" t="s">
        <v>379</v>
      </c>
      <c r="F78" s="484">
        <v>4302</v>
      </c>
      <c r="G78" s="479" t="str">
        <f t="shared" si="9"/>
        <v>01/2026</v>
      </c>
      <c r="H78" s="341">
        <f>SUMIF(VI.A!$B$6:$B$5963,B78,VI.A!$L$6:$L$5963)</f>
        <v>63.5</v>
      </c>
      <c r="I78" s="341" t="str">
        <f t="shared" si="6"/>
        <v>si</v>
      </c>
      <c r="J78" s="383"/>
      <c r="K78" s="384">
        <f>IF(E78="SABESP","OK",VLOOKUP(F78,[6]ISD!$B$11:$F$4861,5,FALSE))</f>
        <v>3.91</v>
      </c>
      <c r="L78" s="384" t="str">
        <f t="shared" si="10"/>
        <v>VERIFICAR</v>
      </c>
      <c r="M78" s="480">
        <f t="shared" si="7"/>
        <v>3.91</v>
      </c>
      <c r="N78" s="383" t="b">
        <f t="shared" si="8"/>
        <v>0</v>
      </c>
      <c r="O78" s="383"/>
      <c r="P78" s="383"/>
      <c r="Q78" s="383"/>
      <c r="R78" s="383"/>
      <c r="S78" s="383"/>
      <c r="T78" s="383"/>
      <c r="U78" s="383"/>
      <c r="V78" s="383"/>
      <c r="W78" s="383"/>
      <c r="X78" s="383"/>
      <c r="Y78" s="383"/>
      <c r="Z78" s="383"/>
      <c r="AA78" s="383"/>
      <c r="AB78" s="383"/>
      <c r="AC78" s="383"/>
      <c r="AD78" s="383"/>
      <c r="AE78" s="383"/>
      <c r="AF78" s="383"/>
      <c r="AG78" s="383"/>
      <c r="AH78" s="383"/>
      <c r="AI78" s="383"/>
      <c r="AJ78" s="383"/>
      <c r="AK78" s="383"/>
      <c r="AL78" s="383"/>
      <c r="AM78" s="383"/>
      <c r="AN78" s="383"/>
      <c r="AO78" s="383"/>
      <c r="AP78" s="383"/>
      <c r="AQ78" s="383"/>
      <c r="AR78" s="383"/>
      <c r="AS78" s="383"/>
      <c r="AT78" s="383"/>
      <c r="AU78" s="383"/>
      <c r="AV78" s="383"/>
      <c r="AW78" s="383"/>
      <c r="AX78" s="383"/>
      <c r="AY78" s="383"/>
      <c r="AZ78" s="383"/>
      <c r="BA78" s="383"/>
      <c r="BB78" s="383"/>
      <c r="BC78" s="383"/>
      <c r="BD78" s="383"/>
      <c r="BE78" s="383"/>
      <c r="BF78" s="383"/>
      <c r="BG78" s="383"/>
      <c r="BH78" s="383"/>
      <c r="BI78" s="383"/>
      <c r="BJ78" s="383"/>
      <c r="BK78" s="383"/>
      <c r="BL78" s="383"/>
      <c r="BM78" s="383"/>
      <c r="BN78" s="383"/>
      <c r="BO78" s="383"/>
      <c r="BP78" s="383"/>
      <c r="BQ78" s="383"/>
      <c r="BR78" s="383"/>
      <c r="BS78" s="383"/>
      <c r="BT78" s="383"/>
      <c r="BU78" s="383"/>
      <c r="BV78" s="383"/>
      <c r="BW78" s="383"/>
      <c r="BX78" s="383"/>
      <c r="BY78" s="383"/>
      <c r="BZ78" s="383"/>
      <c r="CA78" s="383"/>
      <c r="CB78" s="383"/>
      <c r="CC78" s="383"/>
      <c r="CD78" s="383"/>
      <c r="CE78" s="383"/>
      <c r="CF78" s="383"/>
      <c r="CG78" s="383"/>
      <c r="CH78" s="383"/>
      <c r="CI78" s="383"/>
      <c r="CJ78" s="383"/>
      <c r="CK78" s="383"/>
      <c r="CL78" s="383"/>
      <c r="CM78" s="383"/>
      <c r="CN78" s="383"/>
      <c r="CO78" s="383"/>
      <c r="CP78" s="383"/>
      <c r="CQ78" s="383"/>
      <c r="CR78" s="383"/>
      <c r="CS78" s="383"/>
      <c r="CT78" s="383"/>
      <c r="CU78" s="383"/>
      <c r="CV78" s="383"/>
      <c r="CW78" s="383"/>
      <c r="CX78" s="383"/>
      <c r="CY78" s="383"/>
      <c r="CZ78" s="383"/>
      <c r="DA78" s="383"/>
      <c r="DB78" s="383"/>
      <c r="DC78" s="383"/>
      <c r="DD78" s="383"/>
      <c r="DE78" s="383"/>
      <c r="DF78" s="383"/>
      <c r="DG78" s="383"/>
      <c r="DH78" s="383"/>
      <c r="DI78" s="383"/>
      <c r="DJ78" s="383"/>
      <c r="DK78" s="383"/>
      <c r="DL78" s="383"/>
      <c r="DM78" s="383"/>
      <c r="DN78" s="383"/>
      <c r="DO78" s="383"/>
      <c r="DP78" s="383"/>
      <c r="DQ78" s="383"/>
      <c r="DR78" s="383"/>
      <c r="DS78" s="383"/>
      <c r="DT78" s="383"/>
      <c r="DU78" s="383"/>
      <c r="DV78" s="383"/>
      <c r="DW78" s="383"/>
      <c r="DX78" s="383"/>
      <c r="DY78" s="383"/>
      <c r="DZ78" s="383"/>
      <c r="EA78" s="383"/>
      <c r="EB78" s="383"/>
      <c r="EC78" s="383"/>
      <c r="ED78" s="383"/>
      <c r="EE78" s="383"/>
      <c r="EF78" s="383"/>
      <c r="EG78" s="383"/>
      <c r="EH78" s="383"/>
      <c r="EI78" s="383"/>
      <c r="EJ78" s="383"/>
      <c r="EK78" s="383"/>
      <c r="EL78" s="383"/>
      <c r="EM78" s="383"/>
      <c r="EN78" s="383"/>
      <c r="EO78" s="383"/>
      <c r="EP78" s="383"/>
      <c r="EQ78" s="383"/>
      <c r="ER78" s="383"/>
      <c r="ES78" s="383"/>
      <c r="ET78" s="383"/>
      <c r="EU78" s="383"/>
      <c r="EV78" s="383"/>
      <c r="EW78" s="383"/>
      <c r="EX78" s="383"/>
      <c r="EY78" s="383"/>
      <c r="EZ78" s="383"/>
      <c r="FA78" s="383"/>
      <c r="FB78" s="383"/>
      <c r="FC78" s="383"/>
      <c r="FD78" s="383"/>
      <c r="FE78" s="383"/>
      <c r="FF78" s="383"/>
      <c r="FG78" s="383"/>
      <c r="FH78" s="383"/>
      <c r="FI78" s="383"/>
      <c r="FJ78" s="383"/>
      <c r="FK78" s="383"/>
      <c r="FL78" s="383"/>
      <c r="FM78" s="383"/>
      <c r="FN78" s="383"/>
      <c r="FO78" s="383"/>
      <c r="FP78" s="383"/>
      <c r="FQ78" s="383"/>
      <c r="FR78" s="383"/>
      <c r="FS78" s="383"/>
      <c r="FT78" s="383"/>
      <c r="FU78" s="383"/>
      <c r="FV78" s="383"/>
      <c r="FW78" s="383"/>
      <c r="FX78" s="383"/>
      <c r="FY78" s="383"/>
      <c r="FZ78" s="383"/>
      <c r="GA78" s="383"/>
      <c r="GB78" s="383"/>
      <c r="GC78" s="383"/>
      <c r="GD78" s="383"/>
      <c r="GE78" s="383"/>
      <c r="GF78" s="383"/>
      <c r="GG78" s="383"/>
      <c r="GH78" s="383"/>
      <c r="GI78" s="383"/>
      <c r="GJ78" s="383"/>
      <c r="GK78" s="383"/>
      <c r="GL78" s="383"/>
      <c r="GM78" s="383"/>
      <c r="GN78" s="383"/>
      <c r="GO78" s="383"/>
      <c r="GP78" s="383"/>
      <c r="GQ78" s="383"/>
      <c r="GR78" s="383"/>
      <c r="GS78" s="383"/>
      <c r="GT78" s="383"/>
      <c r="GU78" s="383"/>
      <c r="GV78" s="383"/>
      <c r="GW78" s="383"/>
      <c r="GX78" s="383"/>
      <c r="GY78" s="383"/>
      <c r="GZ78" s="383"/>
      <c r="HA78" s="383"/>
      <c r="HB78" s="383"/>
      <c r="HC78" s="383"/>
      <c r="HD78" s="383"/>
      <c r="HE78" s="383"/>
      <c r="HF78" s="383"/>
      <c r="HG78" s="383"/>
      <c r="HH78" s="383"/>
      <c r="HI78" s="383"/>
      <c r="HJ78" s="383"/>
      <c r="HK78" s="383"/>
      <c r="HL78" s="383"/>
      <c r="HM78" s="383"/>
      <c r="HN78" s="383"/>
      <c r="HO78" s="383"/>
      <c r="HP78" s="383"/>
      <c r="HQ78" s="383"/>
      <c r="HR78" s="383"/>
      <c r="HS78" s="383"/>
      <c r="HT78" s="383"/>
      <c r="HU78" s="383"/>
      <c r="HV78" s="383"/>
      <c r="HW78" s="383"/>
      <c r="HX78" s="383"/>
      <c r="HY78" s="383"/>
      <c r="HZ78" s="383"/>
      <c r="IA78" s="383"/>
      <c r="IB78" s="383"/>
      <c r="IC78" s="383"/>
      <c r="ID78" s="383"/>
      <c r="IE78" s="383"/>
      <c r="IF78" s="383"/>
      <c r="IG78" s="383"/>
      <c r="IH78" s="383"/>
      <c r="II78" s="383"/>
      <c r="IJ78" s="383"/>
      <c r="IK78" s="383"/>
      <c r="IL78" s="383"/>
    </row>
    <row r="79" spans="1:246" ht="15" customHeight="1">
      <c r="A79" s="481" t="s">
        <v>302</v>
      </c>
      <c r="B79" s="482" t="s">
        <v>430</v>
      </c>
      <c r="C79" s="483" t="s">
        <v>164</v>
      </c>
      <c r="D79" s="14"/>
      <c r="E79" s="489" t="s">
        <v>377</v>
      </c>
      <c r="F79" s="484">
        <v>4491</v>
      </c>
      <c r="G79" s="479" t="str">
        <f t="shared" si="9"/>
        <v>01/2026</v>
      </c>
      <c r="H79" s="341">
        <f>SUMIF(VI.A!$B$6:$B$5963,B79,VI.A!$L$6:$L$5963)</f>
        <v>720.61300000000006</v>
      </c>
      <c r="I79" s="341" t="str">
        <f t="shared" si="6"/>
        <v>si</v>
      </c>
      <c r="J79" s="383"/>
      <c r="K79" s="384">
        <f>IF(E79="SABESP","OK",VLOOKUP(F79,[6]ISD!$B$11:$F$4861,5,FALSE))</f>
        <v>8.14</v>
      </c>
      <c r="L79" s="384" t="str">
        <f t="shared" si="10"/>
        <v>VERIFICAR</v>
      </c>
      <c r="M79" s="480">
        <f t="shared" si="7"/>
        <v>8.14</v>
      </c>
      <c r="N79" s="383" t="b">
        <f t="shared" si="8"/>
        <v>0</v>
      </c>
      <c r="O79" s="383"/>
      <c r="P79" s="383"/>
      <c r="Q79" s="383"/>
      <c r="R79" s="383"/>
      <c r="S79" s="383"/>
      <c r="T79" s="383"/>
      <c r="U79" s="383"/>
      <c r="V79" s="383"/>
      <c r="W79" s="383"/>
      <c r="X79" s="383"/>
      <c r="Y79" s="383"/>
      <c r="Z79" s="383"/>
      <c r="AA79" s="383"/>
      <c r="AB79" s="383"/>
      <c r="AC79" s="383"/>
      <c r="AD79" s="383"/>
      <c r="AE79" s="383"/>
      <c r="AF79" s="383"/>
      <c r="AG79" s="383"/>
      <c r="AH79" s="383"/>
      <c r="AI79" s="383"/>
      <c r="AJ79" s="383"/>
      <c r="AK79" s="383"/>
      <c r="AL79" s="383"/>
      <c r="AM79" s="383"/>
      <c r="AN79" s="383"/>
      <c r="AO79" s="383"/>
      <c r="AP79" s="383"/>
      <c r="AQ79" s="383"/>
      <c r="AR79" s="383"/>
      <c r="AS79" s="383"/>
      <c r="AT79" s="383"/>
      <c r="AU79" s="383"/>
      <c r="AV79" s="383"/>
      <c r="AW79" s="383"/>
      <c r="AX79" s="383"/>
      <c r="AY79" s="383"/>
      <c r="AZ79" s="383"/>
      <c r="BA79" s="383"/>
      <c r="BB79" s="383"/>
      <c r="BC79" s="383"/>
      <c r="BD79" s="383"/>
      <c r="BE79" s="383"/>
      <c r="BF79" s="383"/>
      <c r="BG79" s="383"/>
      <c r="BH79" s="383"/>
      <c r="BI79" s="383"/>
      <c r="BJ79" s="383"/>
      <c r="BK79" s="383"/>
      <c r="BL79" s="383"/>
      <c r="BM79" s="383"/>
      <c r="BN79" s="383"/>
      <c r="BO79" s="383"/>
      <c r="BP79" s="383"/>
      <c r="BQ79" s="383"/>
      <c r="BR79" s="383"/>
      <c r="BS79" s="383"/>
      <c r="BT79" s="383"/>
      <c r="BU79" s="383"/>
      <c r="BV79" s="383"/>
      <c r="BW79" s="383"/>
      <c r="BX79" s="383"/>
      <c r="BY79" s="383"/>
      <c r="BZ79" s="383"/>
      <c r="CA79" s="383"/>
      <c r="CB79" s="383"/>
      <c r="CC79" s="383"/>
      <c r="CD79" s="383"/>
      <c r="CE79" s="383"/>
      <c r="CF79" s="383"/>
      <c r="CG79" s="383"/>
      <c r="CH79" s="383"/>
      <c r="CI79" s="383"/>
      <c r="CJ79" s="383"/>
      <c r="CK79" s="383"/>
      <c r="CL79" s="383"/>
      <c r="CM79" s="383"/>
      <c r="CN79" s="383"/>
      <c r="CO79" s="383"/>
      <c r="CP79" s="383"/>
      <c r="CQ79" s="383"/>
      <c r="CR79" s="383"/>
      <c r="CS79" s="383"/>
      <c r="CT79" s="383"/>
      <c r="CU79" s="383"/>
      <c r="CV79" s="383"/>
      <c r="CW79" s="383"/>
      <c r="CX79" s="383"/>
      <c r="CY79" s="383"/>
      <c r="CZ79" s="383"/>
      <c r="DA79" s="383"/>
      <c r="DB79" s="383"/>
      <c r="DC79" s="383"/>
      <c r="DD79" s="383"/>
      <c r="DE79" s="383"/>
      <c r="DF79" s="383"/>
      <c r="DG79" s="383"/>
      <c r="DH79" s="383"/>
      <c r="DI79" s="383"/>
      <c r="DJ79" s="383"/>
      <c r="DK79" s="383"/>
      <c r="DL79" s="383"/>
      <c r="DM79" s="383"/>
      <c r="DN79" s="383"/>
      <c r="DO79" s="383"/>
      <c r="DP79" s="383"/>
      <c r="DQ79" s="383"/>
      <c r="DR79" s="383"/>
      <c r="DS79" s="383"/>
      <c r="DT79" s="383"/>
      <c r="DU79" s="383"/>
      <c r="DV79" s="383"/>
      <c r="DW79" s="383"/>
      <c r="DX79" s="383"/>
      <c r="DY79" s="383"/>
      <c r="DZ79" s="383"/>
      <c r="EA79" s="383"/>
      <c r="EB79" s="383"/>
      <c r="EC79" s="383"/>
      <c r="ED79" s="383"/>
      <c r="EE79" s="383"/>
      <c r="EF79" s="383"/>
      <c r="EG79" s="383"/>
      <c r="EH79" s="383"/>
      <c r="EI79" s="383"/>
      <c r="EJ79" s="383"/>
      <c r="EK79" s="383"/>
      <c r="EL79" s="383"/>
      <c r="EM79" s="383"/>
      <c r="EN79" s="383"/>
      <c r="EO79" s="383"/>
      <c r="EP79" s="383"/>
      <c r="EQ79" s="383"/>
      <c r="ER79" s="383"/>
      <c r="ES79" s="383"/>
      <c r="ET79" s="383"/>
      <c r="EU79" s="383"/>
      <c r="EV79" s="383"/>
      <c r="EW79" s="383"/>
      <c r="EX79" s="383"/>
      <c r="EY79" s="383"/>
      <c r="EZ79" s="383"/>
      <c r="FA79" s="383"/>
      <c r="FB79" s="383"/>
      <c r="FC79" s="383"/>
      <c r="FD79" s="383"/>
      <c r="FE79" s="383"/>
      <c r="FF79" s="383"/>
      <c r="FG79" s="383"/>
      <c r="FH79" s="383"/>
      <c r="FI79" s="383"/>
      <c r="FJ79" s="383"/>
      <c r="FK79" s="383"/>
      <c r="FL79" s="383"/>
      <c r="FM79" s="383"/>
      <c r="FN79" s="383"/>
      <c r="FO79" s="383"/>
      <c r="FP79" s="383"/>
      <c r="FQ79" s="383"/>
      <c r="FR79" s="383"/>
      <c r="FS79" s="383"/>
      <c r="FT79" s="383"/>
      <c r="FU79" s="383"/>
      <c r="FV79" s="383"/>
      <c r="FW79" s="383"/>
      <c r="FX79" s="383"/>
      <c r="FY79" s="383"/>
      <c r="FZ79" s="383"/>
      <c r="GA79" s="383"/>
      <c r="GB79" s="383"/>
      <c r="GC79" s="383"/>
      <c r="GD79" s="383"/>
      <c r="GE79" s="383"/>
      <c r="GF79" s="383"/>
      <c r="GG79" s="383"/>
      <c r="GH79" s="383"/>
      <c r="GI79" s="383"/>
      <c r="GJ79" s="383"/>
      <c r="GK79" s="383"/>
      <c r="GL79" s="383"/>
      <c r="GM79" s="383"/>
      <c r="GN79" s="383"/>
      <c r="GO79" s="383"/>
      <c r="GP79" s="383"/>
      <c r="GQ79" s="383"/>
      <c r="GR79" s="383"/>
      <c r="GS79" s="383"/>
      <c r="GT79" s="383"/>
      <c r="GU79" s="383"/>
      <c r="GV79" s="383"/>
      <c r="GW79" s="383"/>
      <c r="GX79" s="383"/>
      <c r="GY79" s="383"/>
      <c r="GZ79" s="383"/>
      <c r="HA79" s="383"/>
      <c r="HB79" s="383"/>
      <c r="HC79" s="383"/>
      <c r="HD79" s="383"/>
      <c r="HE79" s="383"/>
      <c r="HF79" s="383"/>
      <c r="HG79" s="383"/>
      <c r="HH79" s="383"/>
      <c r="HI79" s="383"/>
      <c r="HJ79" s="383"/>
      <c r="HK79" s="383"/>
      <c r="HL79" s="383"/>
      <c r="HM79" s="383"/>
      <c r="HN79" s="383"/>
      <c r="HO79" s="383"/>
      <c r="HP79" s="383"/>
      <c r="HQ79" s="383"/>
      <c r="HR79" s="383"/>
      <c r="HS79" s="383"/>
      <c r="HT79" s="383"/>
      <c r="HU79" s="383"/>
      <c r="HV79" s="383"/>
      <c r="HW79" s="383"/>
      <c r="HX79" s="383"/>
      <c r="HY79" s="383"/>
      <c r="HZ79" s="383"/>
      <c r="IA79" s="383"/>
      <c r="IB79" s="383"/>
      <c r="IC79" s="383"/>
      <c r="ID79" s="383"/>
      <c r="IE79" s="383"/>
      <c r="IF79" s="383"/>
      <c r="IG79" s="383"/>
      <c r="IH79" s="383"/>
      <c r="II79" s="383"/>
      <c r="IJ79" s="383"/>
      <c r="IK79" s="383"/>
      <c r="IL79" s="383"/>
    </row>
    <row r="80" spans="1:246" ht="15" customHeight="1">
      <c r="A80" s="481" t="s">
        <v>303</v>
      </c>
      <c r="B80" s="482" t="s">
        <v>759</v>
      </c>
      <c r="C80" s="483" t="s">
        <v>164</v>
      </c>
      <c r="D80" s="14"/>
      <c r="E80" s="489" t="s">
        <v>379</v>
      </c>
      <c r="F80" s="484">
        <v>4408</v>
      </c>
      <c r="G80" s="479" t="str">
        <f t="shared" si="9"/>
        <v>01/2026</v>
      </c>
      <c r="H80" s="341">
        <f>SUMIF(VI.A!$B$6:$B$5963,B80,VI.A!$L$6:$L$5963)</f>
        <v>5022.8</v>
      </c>
      <c r="I80" s="341" t="str">
        <f t="shared" si="6"/>
        <v>si</v>
      </c>
      <c r="J80" s="383"/>
      <c r="K80" s="384">
        <f>IF(E80="SABESP","OK",VLOOKUP(F80,[6]ISD!$B$11:$F$4861,5,FALSE))</f>
        <v>3.17</v>
      </c>
      <c r="L80" s="384" t="str">
        <f t="shared" si="10"/>
        <v>VERIFICAR</v>
      </c>
      <c r="M80" s="480">
        <f t="shared" si="7"/>
        <v>3.17</v>
      </c>
      <c r="N80" s="383" t="b">
        <f t="shared" si="8"/>
        <v>0</v>
      </c>
      <c r="O80" s="383"/>
      <c r="P80" s="383"/>
      <c r="Q80" s="383"/>
      <c r="R80" s="383"/>
      <c r="S80" s="383"/>
      <c r="T80" s="383"/>
      <c r="U80" s="383"/>
      <c r="V80" s="383"/>
      <c r="W80" s="383"/>
      <c r="X80" s="383"/>
      <c r="Y80" s="383"/>
      <c r="Z80" s="383"/>
      <c r="AA80" s="383"/>
      <c r="AB80" s="383"/>
      <c r="AC80" s="383"/>
      <c r="AD80" s="383"/>
      <c r="AE80" s="383"/>
      <c r="AF80" s="383"/>
      <c r="AG80" s="383"/>
      <c r="AH80" s="383"/>
      <c r="AI80" s="383"/>
      <c r="AJ80" s="383"/>
      <c r="AK80" s="383"/>
      <c r="AL80" s="383"/>
      <c r="AM80" s="383"/>
      <c r="AN80" s="383"/>
      <c r="AO80" s="383"/>
      <c r="AP80" s="383"/>
      <c r="AQ80" s="383"/>
      <c r="AR80" s="383"/>
      <c r="AS80" s="383"/>
      <c r="AT80" s="383"/>
      <c r="AU80" s="383"/>
      <c r="AV80" s="383"/>
      <c r="AW80" s="383"/>
      <c r="AX80" s="383"/>
      <c r="AY80" s="383"/>
      <c r="AZ80" s="383"/>
      <c r="BA80" s="383"/>
      <c r="BB80" s="383"/>
      <c r="BC80" s="383"/>
      <c r="BD80" s="383"/>
      <c r="BE80" s="383"/>
      <c r="BF80" s="383"/>
      <c r="BG80" s="383"/>
      <c r="BH80" s="383"/>
      <c r="BI80" s="383"/>
      <c r="BJ80" s="383"/>
      <c r="BK80" s="383"/>
      <c r="BL80" s="383"/>
      <c r="BM80" s="383"/>
      <c r="BN80" s="383"/>
      <c r="BO80" s="383"/>
      <c r="BP80" s="383"/>
      <c r="BQ80" s="383"/>
      <c r="BR80" s="383"/>
      <c r="BS80" s="383"/>
      <c r="BT80" s="383"/>
      <c r="BU80" s="383"/>
      <c r="BV80" s="383"/>
      <c r="BW80" s="383"/>
      <c r="BX80" s="383"/>
      <c r="BY80" s="383"/>
      <c r="BZ80" s="383"/>
      <c r="CA80" s="383"/>
      <c r="CB80" s="383"/>
      <c r="CC80" s="383"/>
      <c r="CD80" s="383"/>
      <c r="CE80" s="383"/>
      <c r="CF80" s="383"/>
      <c r="CG80" s="383"/>
      <c r="CH80" s="383"/>
      <c r="CI80" s="383"/>
      <c r="CJ80" s="383"/>
      <c r="CK80" s="383"/>
      <c r="CL80" s="383"/>
      <c r="CM80" s="383"/>
      <c r="CN80" s="383"/>
      <c r="CO80" s="383"/>
      <c r="CP80" s="383"/>
      <c r="CQ80" s="383"/>
      <c r="CR80" s="383"/>
      <c r="CS80" s="383"/>
      <c r="CT80" s="383"/>
      <c r="CU80" s="383"/>
      <c r="CV80" s="383"/>
      <c r="CW80" s="383"/>
      <c r="CX80" s="383"/>
      <c r="CY80" s="383"/>
      <c r="CZ80" s="383"/>
      <c r="DA80" s="383"/>
      <c r="DB80" s="383"/>
      <c r="DC80" s="383"/>
      <c r="DD80" s="383"/>
      <c r="DE80" s="383"/>
      <c r="DF80" s="383"/>
      <c r="DG80" s="383"/>
      <c r="DH80" s="383"/>
      <c r="DI80" s="383"/>
      <c r="DJ80" s="383"/>
      <c r="DK80" s="383"/>
      <c r="DL80" s="383"/>
      <c r="DM80" s="383"/>
      <c r="DN80" s="383"/>
      <c r="DO80" s="383"/>
      <c r="DP80" s="383"/>
      <c r="DQ80" s="383"/>
      <c r="DR80" s="383"/>
      <c r="DS80" s="383"/>
      <c r="DT80" s="383"/>
      <c r="DU80" s="383"/>
      <c r="DV80" s="383"/>
      <c r="DW80" s="383"/>
      <c r="DX80" s="383"/>
      <c r="DY80" s="383"/>
      <c r="DZ80" s="383"/>
      <c r="EA80" s="383"/>
      <c r="EB80" s="383"/>
      <c r="EC80" s="383"/>
      <c r="ED80" s="383"/>
      <c r="EE80" s="383"/>
      <c r="EF80" s="383"/>
      <c r="EG80" s="383"/>
      <c r="EH80" s="383"/>
      <c r="EI80" s="383"/>
      <c r="EJ80" s="383"/>
      <c r="EK80" s="383"/>
      <c r="EL80" s="383"/>
      <c r="EM80" s="383"/>
      <c r="EN80" s="383"/>
      <c r="EO80" s="383"/>
      <c r="EP80" s="383"/>
      <c r="EQ80" s="383"/>
      <c r="ER80" s="383"/>
      <c r="ES80" s="383"/>
      <c r="ET80" s="383"/>
      <c r="EU80" s="383"/>
      <c r="EV80" s="383"/>
      <c r="EW80" s="383"/>
      <c r="EX80" s="383"/>
      <c r="EY80" s="383"/>
      <c r="EZ80" s="383"/>
      <c r="FA80" s="383"/>
      <c r="FB80" s="383"/>
      <c r="FC80" s="383"/>
      <c r="FD80" s="383"/>
      <c r="FE80" s="383"/>
      <c r="FF80" s="383"/>
      <c r="FG80" s="383"/>
      <c r="FH80" s="383"/>
      <c r="FI80" s="383"/>
      <c r="FJ80" s="383"/>
      <c r="FK80" s="383"/>
      <c r="FL80" s="383"/>
      <c r="FM80" s="383"/>
      <c r="FN80" s="383"/>
      <c r="FO80" s="383"/>
      <c r="FP80" s="383"/>
      <c r="FQ80" s="383"/>
      <c r="FR80" s="383"/>
      <c r="FS80" s="383"/>
      <c r="FT80" s="383"/>
      <c r="FU80" s="383"/>
      <c r="FV80" s="383"/>
      <c r="FW80" s="383"/>
      <c r="FX80" s="383"/>
      <c r="FY80" s="383"/>
      <c r="FZ80" s="383"/>
      <c r="GA80" s="383"/>
      <c r="GB80" s="383"/>
      <c r="GC80" s="383"/>
      <c r="GD80" s="383"/>
      <c r="GE80" s="383"/>
      <c r="GF80" s="383"/>
      <c r="GG80" s="383"/>
      <c r="GH80" s="383"/>
      <c r="GI80" s="383"/>
      <c r="GJ80" s="383"/>
      <c r="GK80" s="383"/>
      <c r="GL80" s="383"/>
      <c r="GM80" s="383"/>
      <c r="GN80" s="383"/>
      <c r="GO80" s="383"/>
      <c r="GP80" s="383"/>
      <c r="GQ80" s="383"/>
      <c r="GR80" s="383"/>
      <c r="GS80" s="383"/>
      <c r="GT80" s="383"/>
      <c r="GU80" s="383"/>
      <c r="GV80" s="383"/>
      <c r="GW80" s="383"/>
      <c r="GX80" s="383"/>
      <c r="GY80" s="383"/>
      <c r="GZ80" s="383"/>
      <c r="HA80" s="383"/>
      <c r="HB80" s="383"/>
      <c r="HC80" s="383"/>
      <c r="HD80" s="383"/>
      <c r="HE80" s="383"/>
      <c r="HF80" s="383"/>
      <c r="HG80" s="383"/>
      <c r="HH80" s="383"/>
      <c r="HI80" s="383"/>
      <c r="HJ80" s="383"/>
      <c r="HK80" s="383"/>
      <c r="HL80" s="383"/>
      <c r="HM80" s="383"/>
      <c r="HN80" s="383"/>
      <c r="HO80" s="383"/>
      <c r="HP80" s="383"/>
      <c r="HQ80" s="383"/>
      <c r="HR80" s="383"/>
      <c r="HS80" s="383"/>
      <c r="HT80" s="383"/>
      <c r="HU80" s="383"/>
      <c r="HV80" s="383"/>
      <c r="HW80" s="383"/>
      <c r="HX80" s="383"/>
      <c r="HY80" s="383"/>
      <c r="HZ80" s="383"/>
      <c r="IA80" s="383"/>
      <c r="IB80" s="383"/>
      <c r="IC80" s="383"/>
      <c r="ID80" s="383"/>
      <c r="IE80" s="383"/>
      <c r="IF80" s="383"/>
      <c r="IG80" s="383"/>
      <c r="IH80" s="383"/>
      <c r="II80" s="383"/>
      <c r="IJ80" s="383"/>
      <c r="IK80" s="383"/>
      <c r="IL80" s="383"/>
    </row>
    <row r="81" spans="1:247" ht="15" customHeight="1">
      <c r="A81" s="481" t="s">
        <v>304</v>
      </c>
      <c r="B81" s="482" t="s">
        <v>794</v>
      </c>
      <c r="C81" s="483" t="s">
        <v>223</v>
      </c>
      <c r="D81" s="14"/>
      <c r="E81" s="489" t="s">
        <v>381</v>
      </c>
      <c r="F81" s="484" t="s">
        <v>789</v>
      </c>
      <c r="G81" s="479" t="str">
        <f t="shared" si="9"/>
        <v>07/2025</v>
      </c>
      <c r="H81" s="341">
        <f>SUMIF(VI.A!$B$6:$B$5963,B81,VI.A!$L$6:$L$5963)</f>
        <v>386.40000000000003</v>
      </c>
      <c r="I81" s="341" t="str">
        <f t="shared" si="6"/>
        <v>si</v>
      </c>
      <c r="J81" s="383"/>
      <c r="K81" s="384" t="str">
        <f>IF(E81="SABESP","OK",VLOOKUP(F81,[6]ISD!$B$11:$F$4861,5,FALSE))</f>
        <v>OK</v>
      </c>
      <c r="L81" s="384" t="str">
        <f t="shared" si="10"/>
        <v>OK</v>
      </c>
      <c r="M81" s="480" t="str">
        <f t="shared" si="7"/>
        <v>OK</v>
      </c>
      <c r="N81" s="383" t="b">
        <f t="shared" si="8"/>
        <v>0</v>
      </c>
      <c r="O81" s="383"/>
      <c r="P81" s="383"/>
      <c r="Q81" s="383"/>
      <c r="R81" s="383"/>
      <c r="S81" s="383"/>
      <c r="T81" s="383"/>
      <c r="U81" s="383"/>
      <c r="V81" s="383"/>
      <c r="W81" s="383"/>
      <c r="X81" s="383"/>
      <c r="Y81" s="383"/>
      <c r="Z81" s="383"/>
      <c r="AA81" s="383"/>
      <c r="AB81" s="383"/>
      <c r="AC81" s="383"/>
      <c r="AD81" s="383"/>
      <c r="AE81" s="383"/>
      <c r="AF81" s="383"/>
      <c r="AG81" s="383"/>
      <c r="AH81" s="383"/>
      <c r="AI81" s="383"/>
      <c r="AJ81" s="383"/>
      <c r="AK81" s="383"/>
      <c r="AL81" s="383"/>
      <c r="AM81" s="383"/>
      <c r="AN81" s="383"/>
      <c r="AO81" s="383"/>
      <c r="AP81" s="383"/>
      <c r="AQ81" s="383"/>
      <c r="AR81" s="383"/>
      <c r="AS81" s="383"/>
      <c r="AT81" s="383"/>
      <c r="AU81" s="383"/>
      <c r="AV81" s="383"/>
      <c r="AW81" s="383"/>
      <c r="AX81" s="383"/>
      <c r="AY81" s="383"/>
      <c r="AZ81" s="383"/>
      <c r="BA81" s="383"/>
      <c r="BB81" s="383"/>
      <c r="BC81" s="383"/>
      <c r="BD81" s="383"/>
      <c r="BE81" s="383"/>
      <c r="BF81" s="383"/>
      <c r="BG81" s="383"/>
      <c r="BH81" s="383"/>
      <c r="BI81" s="383"/>
      <c r="BJ81" s="383"/>
      <c r="BK81" s="383"/>
      <c r="BL81" s="383"/>
      <c r="BM81" s="383"/>
      <c r="BN81" s="383"/>
      <c r="BO81" s="383"/>
      <c r="BP81" s="383"/>
      <c r="BQ81" s="383"/>
      <c r="BR81" s="383"/>
      <c r="BS81" s="383"/>
      <c r="BT81" s="383"/>
      <c r="BU81" s="383"/>
      <c r="BV81" s="383"/>
      <c r="BW81" s="383"/>
      <c r="BX81" s="383"/>
      <c r="BY81" s="383"/>
      <c r="BZ81" s="383"/>
      <c r="CA81" s="383"/>
      <c r="CB81" s="383"/>
      <c r="CC81" s="383"/>
      <c r="CD81" s="383"/>
      <c r="CE81" s="383"/>
      <c r="CF81" s="383"/>
      <c r="CG81" s="383"/>
      <c r="CH81" s="383"/>
      <c r="CI81" s="383"/>
      <c r="CJ81" s="383"/>
      <c r="CK81" s="383"/>
      <c r="CL81" s="383"/>
      <c r="CM81" s="383"/>
      <c r="CN81" s="383"/>
      <c r="CO81" s="383"/>
      <c r="CP81" s="383"/>
      <c r="CQ81" s="383"/>
      <c r="CR81" s="383"/>
      <c r="CS81" s="383"/>
      <c r="CT81" s="383"/>
      <c r="CU81" s="383"/>
      <c r="CV81" s="383"/>
      <c r="CW81" s="383"/>
      <c r="CX81" s="383"/>
      <c r="CY81" s="383"/>
      <c r="CZ81" s="383"/>
      <c r="DA81" s="383"/>
      <c r="DB81" s="383"/>
      <c r="DC81" s="383"/>
      <c r="DD81" s="383"/>
      <c r="DE81" s="383"/>
      <c r="DF81" s="383"/>
      <c r="DG81" s="383"/>
      <c r="DH81" s="383"/>
      <c r="DI81" s="383"/>
      <c r="DJ81" s="383"/>
      <c r="DK81" s="383"/>
      <c r="DL81" s="383"/>
      <c r="DM81" s="383"/>
      <c r="DN81" s="383"/>
      <c r="DO81" s="383"/>
      <c r="DP81" s="383"/>
      <c r="DQ81" s="383"/>
      <c r="DR81" s="383"/>
      <c r="DS81" s="383"/>
      <c r="DT81" s="383"/>
      <c r="DU81" s="383"/>
      <c r="DV81" s="383"/>
      <c r="DW81" s="383"/>
      <c r="DX81" s="383"/>
      <c r="DY81" s="383"/>
      <c r="DZ81" s="383"/>
      <c r="EA81" s="383"/>
      <c r="EB81" s="383"/>
      <c r="EC81" s="383"/>
      <c r="ED81" s="383"/>
      <c r="EE81" s="383"/>
      <c r="EF81" s="383"/>
      <c r="EG81" s="383"/>
      <c r="EH81" s="383"/>
      <c r="EI81" s="383"/>
      <c r="EJ81" s="383"/>
      <c r="EK81" s="383"/>
      <c r="EL81" s="383"/>
      <c r="EM81" s="383"/>
      <c r="EN81" s="383"/>
      <c r="EO81" s="383"/>
      <c r="EP81" s="383"/>
      <c r="EQ81" s="383"/>
      <c r="ER81" s="383"/>
      <c r="ES81" s="383"/>
      <c r="ET81" s="383"/>
      <c r="EU81" s="383"/>
      <c r="EV81" s="383"/>
      <c r="EW81" s="383"/>
      <c r="EX81" s="383"/>
      <c r="EY81" s="383"/>
      <c r="EZ81" s="383"/>
      <c r="FA81" s="383"/>
      <c r="FB81" s="383"/>
      <c r="FC81" s="383"/>
      <c r="FD81" s="383"/>
      <c r="FE81" s="383"/>
      <c r="FF81" s="383"/>
      <c r="FG81" s="383"/>
      <c r="FH81" s="383"/>
      <c r="FI81" s="383"/>
      <c r="FJ81" s="383"/>
      <c r="FK81" s="383"/>
      <c r="FL81" s="383"/>
      <c r="FM81" s="383"/>
      <c r="FN81" s="383"/>
      <c r="FO81" s="383"/>
      <c r="FP81" s="383"/>
      <c r="FQ81" s="383"/>
      <c r="FR81" s="383"/>
      <c r="FS81" s="383"/>
      <c r="FT81" s="383"/>
      <c r="FU81" s="383"/>
      <c r="FV81" s="383"/>
      <c r="FW81" s="383"/>
      <c r="FX81" s="383"/>
      <c r="FY81" s="383"/>
      <c r="FZ81" s="383"/>
      <c r="GA81" s="383"/>
      <c r="GB81" s="383"/>
      <c r="GC81" s="383"/>
      <c r="GD81" s="383"/>
      <c r="GE81" s="383"/>
      <c r="GF81" s="383"/>
      <c r="GG81" s="383"/>
      <c r="GH81" s="383"/>
      <c r="GI81" s="383"/>
      <c r="GJ81" s="383"/>
      <c r="GK81" s="383"/>
      <c r="GL81" s="383"/>
      <c r="GM81" s="383"/>
      <c r="GN81" s="383"/>
      <c r="GO81" s="383"/>
      <c r="GP81" s="383"/>
      <c r="GQ81" s="383"/>
      <c r="GR81" s="383"/>
      <c r="GS81" s="383"/>
      <c r="GT81" s="383"/>
      <c r="GU81" s="383"/>
      <c r="GV81" s="383"/>
      <c r="GW81" s="383"/>
      <c r="GX81" s="383"/>
      <c r="GY81" s="383"/>
      <c r="GZ81" s="383"/>
      <c r="HA81" s="383"/>
      <c r="HB81" s="383"/>
      <c r="HC81" s="383"/>
      <c r="HD81" s="383"/>
      <c r="HE81" s="383"/>
      <c r="HF81" s="383"/>
      <c r="HG81" s="383"/>
      <c r="HH81" s="383"/>
      <c r="HI81" s="383"/>
      <c r="HJ81" s="383"/>
      <c r="HK81" s="383"/>
      <c r="HL81" s="383"/>
      <c r="HM81" s="383"/>
      <c r="HN81" s="383"/>
      <c r="HO81" s="383"/>
      <c r="HP81" s="383"/>
      <c r="HQ81" s="383"/>
      <c r="HR81" s="383"/>
      <c r="HS81" s="383"/>
      <c r="HT81" s="383"/>
      <c r="HU81" s="383"/>
      <c r="HV81" s="383"/>
      <c r="HW81" s="383"/>
      <c r="HX81" s="383"/>
      <c r="HY81" s="383"/>
      <c r="HZ81" s="383"/>
      <c r="IA81" s="383"/>
      <c r="IB81" s="383"/>
      <c r="IC81" s="383"/>
      <c r="ID81" s="383"/>
      <c r="IE81" s="383"/>
      <c r="IF81" s="383"/>
      <c r="IG81" s="383"/>
      <c r="IH81" s="383"/>
      <c r="II81" s="383"/>
      <c r="IJ81" s="383"/>
      <c r="IK81" s="383"/>
      <c r="IL81" s="383"/>
    </row>
    <row r="82" spans="1:247" ht="15" customHeight="1" thickBot="1">
      <c r="A82" s="481" t="s">
        <v>305</v>
      </c>
      <c r="B82" s="490" t="s">
        <v>792</v>
      </c>
      <c r="C82" s="491" t="s">
        <v>223</v>
      </c>
      <c r="D82" s="21"/>
      <c r="E82" s="493" t="s">
        <v>381</v>
      </c>
      <c r="F82" s="494" t="s">
        <v>791</v>
      </c>
      <c r="G82" s="479" t="str">
        <f t="shared" si="9"/>
        <v>07/2025</v>
      </c>
      <c r="H82" s="341">
        <f>SUMIF(VI.A!$B$6:$B$5963,B82,VI.A!$L$6:$L$5963)</f>
        <v>1816.1695</v>
      </c>
      <c r="I82" s="341" t="str">
        <f>IF(H82=0,"no","si")</f>
        <v>si</v>
      </c>
      <c r="J82" s="383"/>
      <c r="K82" s="384" t="str">
        <f>IF(E82="SABESP","OK",VLOOKUP(F82,[6]ISD!$B$11:$F$4861,5,FALSE))</f>
        <v>OK</v>
      </c>
      <c r="L82" s="384" t="str">
        <f t="shared" si="10"/>
        <v>OK</v>
      </c>
      <c r="M82" s="480" t="str">
        <f t="shared" si="7"/>
        <v>OK</v>
      </c>
      <c r="N82" s="383" t="b">
        <f t="shared" si="8"/>
        <v>0</v>
      </c>
      <c r="O82" s="383"/>
      <c r="P82" s="383"/>
      <c r="Q82" s="383"/>
      <c r="R82" s="383"/>
      <c r="S82" s="383"/>
      <c r="T82" s="383"/>
      <c r="U82" s="383"/>
      <c r="V82" s="383"/>
      <c r="W82" s="383"/>
      <c r="X82" s="383"/>
      <c r="Y82" s="383"/>
      <c r="Z82" s="383"/>
      <c r="AA82" s="383"/>
      <c r="AB82" s="383"/>
      <c r="AC82" s="383"/>
      <c r="AD82" s="383"/>
      <c r="AE82" s="383"/>
      <c r="AF82" s="383"/>
      <c r="AG82" s="383"/>
      <c r="AH82" s="383"/>
      <c r="AI82" s="383"/>
      <c r="AJ82" s="383"/>
      <c r="AK82" s="383"/>
      <c r="AL82" s="383"/>
      <c r="AM82" s="383"/>
      <c r="AN82" s="383"/>
      <c r="AO82" s="383"/>
      <c r="AP82" s="383"/>
      <c r="AQ82" s="383"/>
      <c r="AR82" s="383"/>
      <c r="AS82" s="383"/>
      <c r="AT82" s="383"/>
      <c r="AU82" s="383"/>
      <c r="AV82" s="383"/>
      <c r="AW82" s="383"/>
      <c r="AX82" s="383"/>
      <c r="AY82" s="383"/>
      <c r="AZ82" s="383"/>
      <c r="BA82" s="383"/>
      <c r="BB82" s="383"/>
      <c r="BC82" s="383"/>
      <c r="BD82" s="383"/>
      <c r="BE82" s="383"/>
      <c r="BF82" s="383"/>
      <c r="BG82" s="383"/>
      <c r="BH82" s="383"/>
      <c r="BI82" s="383"/>
      <c r="BJ82" s="383"/>
      <c r="BK82" s="383"/>
      <c r="BL82" s="383"/>
      <c r="BM82" s="383"/>
      <c r="BN82" s="383"/>
      <c r="BO82" s="383"/>
      <c r="BP82" s="383"/>
      <c r="BQ82" s="383"/>
      <c r="BR82" s="383"/>
      <c r="BS82" s="383"/>
      <c r="BT82" s="383"/>
      <c r="BU82" s="383"/>
      <c r="BV82" s="383"/>
      <c r="BW82" s="383"/>
      <c r="BX82" s="383"/>
      <c r="BY82" s="383"/>
      <c r="BZ82" s="383"/>
      <c r="CA82" s="383"/>
      <c r="CB82" s="383"/>
      <c r="CC82" s="383"/>
      <c r="CD82" s="383"/>
      <c r="CE82" s="383"/>
      <c r="CF82" s="383"/>
      <c r="CG82" s="383"/>
      <c r="CH82" s="383"/>
      <c r="CI82" s="383"/>
      <c r="CJ82" s="383"/>
      <c r="CK82" s="383"/>
      <c r="CL82" s="383"/>
      <c r="CM82" s="383"/>
      <c r="CN82" s="383"/>
      <c r="CO82" s="383"/>
      <c r="CP82" s="383"/>
      <c r="CQ82" s="383"/>
      <c r="CR82" s="383"/>
      <c r="CS82" s="383"/>
      <c r="CT82" s="383"/>
      <c r="CU82" s="383"/>
      <c r="CV82" s="383"/>
      <c r="CW82" s="383"/>
      <c r="CX82" s="383"/>
      <c r="CY82" s="383"/>
      <c r="CZ82" s="383"/>
      <c r="DA82" s="383"/>
      <c r="DB82" s="383"/>
      <c r="DC82" s="383"/>
      <c r="DD82" s="383"/>
      <c r="DE82" s="383"/>
      <c r="DF82" s="383"/>
      <c r="DG82" s="383"/>
      <c r="DH82" s="383"/>
      <c r="DI82" s="383"/>
      <c r="DJ82" s="383"/>
      <c r="DK82" s="383"/>
      <c r="DL82" s="383"/>
      <c r="DM82" s="383"/>
      <c r="DN82" s="383"/>
      <c r="DO82" s="383"/>
      <c r="DP82" s="383"/>
      <c r="DQ82" s="383"/>
      <c r="DR82" s="383"/>
      <c r="DS82" s="383"/>
      <c r="DT82" s="383"/>
      <c r="DU82" s="383"/>
      <c r="DV82" s="383"/>
      <c r="DW82" s="383"/>
      <c r="DX82" s="383"/>
      <c r="DY82" s="383"/>
      <c r="DZ82" s="383"/>
      <c r="EA82" s="383"/>
      <c r="EB82" s="383"/>
      <c r="EC82" s="383"/>
      <c r="ED82" s="383"/>
      <c r="EE82" s="383"/>
      <c r="EF82" s="383"/>
      <c r="EG82" s="383"/>
      <c r="EH82" s="383"/>
      <c r="EI82" s="383"/>
      <c r="EJ82" s="383"/>
      <c r="EK82" s="383"/>
      <c r="EL82" s="383"/>
      <c r="EM82" s="383"/>
      <c r="EN82" s="383"/>
      <c r="EO82" s="383"/>
      <c r="EP82" s="383"/>
      <c r="EQ82" s="383"/>
      <c r="ER82" s="383"/>
      <c r="ES82" s="383"/>
      <c r="ET82" s="383"/>
      <c r="EU82" s="383"/>
      <c r="EV82" s="383"/>
      <c r="EW82" s="383"/>
      <c r="EX82" s="383"/>
      <c r="EY82" s="383"/>
      <c r="EZ82" s="383"/>
      <c r="FA82" s="383"/>
      <c r="FB82" s="383"/>
      <c r="FC82" s="383"/>
      <c r="FD82" s="383"/>
      <c r="FE82" s="383"/>
      <c r="FF82" s="383"/>
      <c r="FG82" s="383"/>
      <c r="FH82" s="383"/>
      <c r="FI82" s="383"/>
      <c r="FJ82" s="383"/>
      <c r="FK82" s="383"/>
      <c r="FL82" s="383"/>
      <c r="FM82" s="383"/>
      <c r="FN82" s="383"/>
      <c r="FO82" s="383"/>
      <c r="FP82" s="383"/>
      <c r="FQ82" s="383"/>
      <c r="FR82" s="383"/>
      <c r="FS82" s="383"/>
      <c r="FT82" s="383"/>
      <c r="FU82" s="383"/>
      <c r="FV82" s="383"/>
      <c r="FW82" s="383"/>
      <c r="FX82" s="383"/>
      <c r="FY82" s="383"/>
      <c r="FZ82" s="383"/>
      <c r="GA82" s="383"/>
      <c r="GB82" s="383"/>
      <c r="GC82" s="383"/>
      <c r="GD82" s="383"/>
      <c r="GE82" s="383"/>
      <c r="GF82" s="383"/>
      <c r="GG82" s="383"/>
      <c r="GH82" s="383"/>
      <c r="GI82" s="383"/>
      <c r="GJ82" s="383"/>
      <c r="GK82" s="383"/>
      <c r="GL82" s="383"/>
      <c r="GM82" s="383"/>
      <c r="GN82" s="383"/>
      <c r="GO82" s="383"/>
      <c r="GP82" s="383"/>
      <c r="GQ82" s="383"/>
      <c r="GR82" s="383"/>
      <c r="GS82" s="383"/>
      <c r="GT82" s="383"/>
      <c r="GU82" s="383"/>
      <c r="GV82" s="383"/>
      <c r="GW82" s="383"/>
      <c r="GX82" s="383"/>
      <c r="GY82" s="383"/>
      <c r="GZ82" s="383"/>
      <c r="HA82" s="383"/>
      <c r="HB82" s="383"/>
      <c r="HC82" s="383"/>
      <c r="HD82" s="383"/>
      <c r="HE82" s="383"/>
      <c r="HF82" s="383"/>
      <c r="HG82" s="383"/>
      <c r="HH82" s="383"/>
      <c r="HI82" s="383"/>
      <c r="HJ82" s="383"/>
      <c r="HK82" s="383"/>
      <c r="HL82" s="383"/>
      <c r="HM82" s="383"/>
      <c r="HN82" s="383"/>
      <c r="HO82" s="383"/>
      <c r="HP82" s="383"/>
      <c r="HQ82" s="383"/>
      <c r="HR82" s="383"/>
      <c r="HS82" s="383"/>
      <c r="HT82" s="383"/>
      <c r="HU82" s="383"/>
      <c r="HV82" s="383"/>
      <c r="HW82" s="383"/>
      <c r="HX82" s="383"/>
      <c r="HY82" s="383"/>
      <c r="HZ82" s="383"/>
      <c r="IA82" s="383"/>
      <c r="IB82" s="383"/>
      <c r="IC82" s="383"/>
      <c r="ID82" s="383"/>
      <c r="IE82" s="383"/>
      <c r="IF82" s="383"/>
      <c r="IG82" s="383"/>
      <c r="IH82" s="383"/>
      <c r="II82" s="383"/>
      <c r="IJ82" s="383"/>
      <c r="IK82" s="383"/>
      <c r="IL82" s="383"/>
    </row>
    <row r="83" spans="1:247" ht="20.100000000000001" customHeight="1" thickBot="1">
      <c r="A83" s="495"/>
      <c r="B83" s="496" t="s">
        <v>190</v>
      </c>
      <c r="C83" s="497" t="s">
        <v>166</v>
      </c>
      <c r="D83" s="57" t="s">
        <v>811</v>
      </c>
      <c r="E83" s="3" t="s">
        <v>812</v>
      </c>
      <c r="F83" s="63" t="s">
        <v>813</v>
      </c>
      <c r="G83" s="479" t="str">
        <f t="shared" si="9"/>
        <v>OUTRO</v>
      </c>
      <c r="K83" s="383"/>
      <c r="L83" s="384"/>
      <c r="M83" s="480"/>
      <c r="N83" s="383"/>
      <c r="IM83" s="474"/>
    </row>
    <row r="84" spans="1:247" ht="15" customHeight="1">
      <c r="A84" s="475" t="s">
        <v>306</v>
      </c>
      <c r="B84" s="476" t="s">
        <v>793</v>
      </c>
      <c r="C84" s="477" t="s">
        <v>223</v>
      </c>
      <c r="D84" s="65"/>
      <c r="E84" s="498" t="s">
        <v>381</v>
      </c>
      <c r="F84" s="499" t="s">
        <v>790</v>
      </c>
      <c r="G84" s="479" t="str">
        <f t="shared" si="9"/>
        <v>07/2025</v>
      </c>
      <c r="H84" s="341">
        <f>SUMIF(VI.A!$B$6:$B$5963,B84,VI.A!$L$6:$L$5963)</f>
        <v>1882.0319999999997</v>
      </c>
      <c r="I84" s="341" t="str">
        <f t="shared" si="6"/>
        <v>si</v>
      </c>
      <c r="J84" s="383"/>
      <c r="K84" s="384" t="str">
        <f>IF(E84="SABESP","OK",VLOOKUP(F84,[6]ISD!$B$11:$F$4861,5,FALSE))</f>
        <v>OK</v>
      </c>
      <c r="L84" s="384" t="str">
        <f t="shared" si="10"/>
        <v>OK</v>
      </c>
      <c r="M84" s="480" t="str">
        <f t="shared" si="7"/>
        <v>OK</v>
      </c>
      <c r="N84" s="383" t="b">
        <f t="shared" si="8"/>
        <v>0</v>
      </c>
      <c r="O84" s="383"/>
      <c r="P84" s="383"/>
      <c r="Q84" s="383"/>
      <c r="R84" s="383"/>
      <c r="S84" s="383"/>
      <c r="T84" s="383"/>
      <c r="U84" s="383"/>
      <c r="V84" s="383"/>
      <c r="W84" s="383"/>
      <c r="X84" s="383"/>
      <c r="Y84" s="383"/>
      <c r="Z84" s="383"/>
      <c r="AA84" s="383"/>
      <c r="AB84" s="383"/>
      <c r="AC84" s="383"/>
      <c r="AD84" s="383"/>
      <c r="AE84" s="383"/>
      <c r="AF84" s="383"/>
      <c r="AG84" s="383"/>
      <c r="AH84" s="383"/>
      <c r="AI84" s="383"/>
      <c r="AJ84" s="383"/>
      <c r="AK84" s="383"/>
      <c r="AL84" s="383"/>
      <c r="AM84" s="383"/>
      <c r="AN84" s="383"/>
      <c r="AO84" s="383"/>
      <c r="AP84" s="383"/>
      <c r="AQ84" s="383"/>
      <c r="AR84" s="383"/>
      <c r="AS84" s="383"/>
      <c r="AT84" s="383"/>
      <c r="AU84" s="383"/>
      <c r="AV84" s="383"/>
      <c r="AW84" s="383"/>
      <c r="AX84" s="383"/>
      <c r="AY84" s="383"/>
      <c r="AZ84" s="383"/>
      <c r="BA84" s="383"/>
      <c r="BB84" s="383"/>
      <c r="BC84" s="383"/>
      <c r="BD84" s="383"/>
      <c r="BE84" s="383"/>
      <c r="BF84" s="383"/>
      <c r="BG84" s="383"/>
      <c r="BH84" s="383"/>
      <c r="BI84" s="383"/>
      <c r="BJ84" s="383"/>
      <c r="BK84" s="383"/>
      <c r="BL84" s="383"/>
      <c r="BM84" s="383"/>
      <c r="BN84" s="383"/>
      <c r="BO84" s="383"/>
      <c r="BP84" s="383"/>
      <c r="BQ84" s="383"/>
      <c r="BR84" s="383"/>
      <c r="BS84" s="383"/>
      <c r="BT84" s="383"/>
      <c r="BU84" s="383"/>
      <c r="BV84" s="383"/>
      <c r="BW84" s="383"/>
      <c r="BX84" s="383"/>
      <c r="BY84" s="383"/>
      <c r="BZ84" s="383"/>
      <c r="CA84" s="383"/>
      <c r="CB84" s="383"/>
      <c r="CC84" s="383"/>
      <c r="CD84" s="383"/>
      <c r="CE84" s="383"/>
      <c r="CF84" s="383"/>
      <c r="CG84" s="383"/>
      <c r="CH84" s="383"/>
      <c r="CI84" s="383"/>
      <c r="CJ84" s="383"/>
      <c r="CK84" s="383"/>
      <c r="CL84" s="383"/>
      <c r="CM84" s="383"/>
      <c r="CN84" s="383"/>
      <c r="CO84" s="383"/>
      <c r="CP84" s="383"/>
      <c r="CQ84" s="383"/>
      <c r="CR84" s="383"/>
      <c r="CS84" s="383"/>
      <c r="CT84" s="383"/>
      <c r="CU84" s="383"/>
      <c r="CV84" s="383"/>
      <c r="CW84" s="383"/>
      <c r="CX84" s="383"/>
      <c r="CY84" s="383"/>
      <c r="CZ84" s="383"/>
      <c r="DA84" s="383"/>
      <c r="DB84" s="383"/>
      <c r="DC84" s="383"/>
      <c r="DD84" s="383"/>
      <c r="DE84" s="383"/>
      <c r="DF84" s="383"/>
      <c r="DG84" s="383"/>
      <c r="DH84" s="383"/>
      <c r="DI84" s="383"/>
      <c r="DJ84" s="383"/>
      <c r="DK84" s="383"/>
      <c r="DL84" s="383"/>
      <c r="DM84" s="383"/>
      <c r="DN84" s="383"/>
      <c r="DO84" s="383"/>
      <c r="DP84" s="383"/>
      <c r="DQ84" s="383"/>
      <c r="DR84" s="383"/>
      <c r="DS84" s="383"/>
      <c r="DT84" s="383"/>
      <c r="DU84" s="383"/>
      <c r="DV84" s="383"/>
      <c r="DW84" s="383"/>
      <c r="DX84" s="383"/>
      <c r="DY84" s="383"/>
      <c r="DZ84" s="383"/>
      <c r="EA84" s="383"/>
      <c r="EB84" s="383"/>
      <c r="EC84" s="383"/>
      <c r="ED84" s="383"/>
      <c r="EE84" s="383"/>
      <c r="EF84" s="383"/>
      <c r="EG84" s="383"/>
      <c r="EH84" s="383"/>
      <c r="EI84" s="383"/>
      <c r="EJ84" s="383"/>
      <c r="EK84" s="383"/>
      <c r="EL84" s="383"/>
      <c r="EM84" s="383"/>
      <c r="EN84" s="383"/>
      <c r="EO84" s="383"/>
      <c r="EP84" s="383"/>
      <c r="EQ84" s="383"/>
      <c r="ER84" s="383"/>
      <c r="ES84" s="383"/>
      <c r="ET84" s="383"/>
      <c r="EU84" s="383"/>
      <c r="EV84" s="383"/>
      <c r="EW84" s="383"/>
      <c r="EX84" s="383"/>
      <c r="EY84" s="383"/>
      <c r="EZ84" s="383"/>
      <c r="FA84" s="383"/>
      <c r="FB84" s="383"/>
      <c r="FC84" s="383"/>
      <c r="FD84" s="383"/>
      <c r="FE84" s="383"/>
      <c r="FF84" s="383"/>
      <c r="FG84" s="383"/>
      <c r="FH84" s="383"/>
      <c r="FI84" s="383"/>
      <c r="FJ84" s="383"/>
      <c r="FK84" s="383"/>
      <c r="FL84" s="383"/>
      <c r="FM84" s="383"/>
      <c r="FN84" s="383"/>
      <c r="FO84" s="383"/>
      <c r="FP84" s="383"/>
      <c r="FQ84" s="383"/>
      <c r="FR84" s="383"/>
      <c r="FS84" s="383"/>
      <c r="FT84" s="383"/>
      <c r="FU84" s="383"/>
      <c r="FV84" s="383"/>
      <c r="FW84" s="383"/>
      <c r="FX84" s="383"/>
      <c r="FY84" s="383"/>
      <c r="FZ84" s="383"/>
      <c r="GA84" s="383"/>
      <c r="GB84" s="383"/>
      <c r="GC84" s="383"/>
      <c r="GD84" s="383"/>
      <c r="GE84" s="383"/>
      <c r="GF84" s="383"/>
      <c r="GG84" s="383"/>
      <c r="GH84" s="383"/>
      <c r="GI84" s="383"/>
      <c r="GJ84" s="383"/>
      <c r="GK84" s="383"/>
      <c r="GL84" s="383"/>
      <c r="GM84" s="383"/>
      <c r="GN84" s="383"/>
      <c r="GO84" s="383"/>
      <c r="GP84" s="383"/>
      <c r="GQ84" s="383"/>
      <c r="GR84" s="383"/>
      <c r="GS84" s="383"/>
      <c r="GT84" s="383"/>
      <c r="GU84" s="383"/>
      <c r="GV84" s="383"/>
      <c r="GW84" s="383"/>
      <c r="GX84" s="383"/>
      <c r="GY84" s="383"/>
      <c r="GZ84" s="383"/>
      <c r="HA84" s="383"/>
      <c r="HB84" s="383"/>
      <c r="HC84" s="383"/>
      <c r="HD84" s="383"/>
      <c r="HE84" s="383"/>
      <c r="HF84" s="383"/>
      <c r="HG84" s="383"/>
      <c r="HH84" s="383"/>
      <c r="HI84" s="383"/>
      <c r="HJ84" s="383"/>
      <c r="HK84" s="383"/>
      <c r="HL84" s="383"/>
      <c r="HM84" s="383"/>
      <c r="HN84" s="383"/>
      <c r="HO84" s="383"/>
      <c r="HP84" s="383"/>
      <c r="HQ84" s="383"/>
      <c r="HR84" s="383"/>
      <c r="HS84" s="383"/>
      <c r="HT84" s="383"/>
      <c r="HU84" s="383"/>
      <c r="HV84" s="383"/>
      <c r="HW84" s="383"/>
      <c r="HX84" s="383"/>
      <c r="HY84" s="383"/>
      <c r="HZ84" s="383"/>
      <c r="IA84" s="383"/>
      <c r="IB84" s="383"/>
      <c r="IC84" s="383"/>
      <c r="ID84" s="383"/>
      <c r="IE84" s="383"/>
      <c r="IF84" s="383"/>
      <c r="IG84" s="383"/>
      <c r="IH84" s="383"/>
      <c r="II84" s="383"/>
      <c r="IJ84" s="383"/>
      <c r="IK84" s="383"/>
      <c r="IL84" s="383"/>
    </row>
    <row r="85" spans="1:247" ht="15" customHeight="1">
      <c r="A85" s="481" t="s">
        <v>307</v>
      </c>
      <c r="B85" s="482" t="s">
        <v>221</v>
      </c>
      <c r="C85" s="483" t="s">
        <v>166</v>
      </c>
      <c r="D85" s="66"/>
      <c r="E85" s="500" t="s">
        <v>379</v>
      </c>
      <c r="F85" s="484">
        <v>39022</v>
      </c>
      <c r="G85" s="479" t="str">
        <f t="shared" si="9"/>
        <v>01/2026</v>
      </c>
      <c r="H85" s="341">
        <f>SUMIF(VI.A!$B$6:$B$5963,B85,VI.A!$L$6:$L$5963)</f>
        <v>81.105199999999996</v>
      </c>
      <c r="I85" s="341" t="str">
        <f t="shared" si="6"/>
        <v>si</v>
      </c>
      <c r="J85" s="383"/>
      <c r="K85" s="384">
        <f>IF(E85="SABESP","OK",VLOOKUP(F85,[6]ISD!$B$11:$F$4861,5,FALSE))</f>
        <v>679.9</v>
      </c>
      <c r="L85" s="384" t="str">
        <f t="shared" si="10"/>
        <v>VERIFICAR</v>
      </c>
      <c r="M85" s="480">
        <f t="shared" si="7"/>
        <v>679.9</v>
      </c>
      <c r="N85" s="383" t="b">
        <f t="shared" si="8"/>
        <v>0</v>
      </c>
      <c r="O85" s="383"/>
      <c r="P85" s="383"/>
      <c r="Q85" s="383"/>
      <c r="R85" s="383"/>
      <c r="S85" s="383"/>
      <c r="T85" s="383"/>
      <c r="U85" s="383"/>
      <c r="V85" s="383"/>
      <c r="W85" s="383"/>
      <c r="X85" s="383"/>
      <c r="Y85" s="383"/>
      <c r="Z85" s="383"/>
      <c r="AA85" s="383"/>
      <c r="AB85" s="383"/>
      <c r="AC85" s="383"/>
      <c r="AD85" s="383"/>
      <c r="AE85" s="383"/>
      <c r="AF85" s="383"/>
      <c r="AG85" s="383"/>
      <c r="AH85" s="383"/>
      <c r="AI85" s="383"/>
      <c r="AJ85" s="383"/>
      <c r="AK85" s="383"/>
      <c r="AL85" s="383"/>
      <c r="AM85" s="383"/>
      <c r="AN85" s="383"/>
      <c r="AO85" s="383"/>
      <c r="AP85" s="383"/>
      <c r="AQ85" s="383"/>
      <c r="AR85" s="383"/>
      <c r="AS85" s="383"/>
      <c r="AT85" s="383"/>
      <c r="AU85" s="383"/>
      <c r="AV85" s="383"/>
      <c r="AW85" s="383"/>
      <c r="AX85" s="383"/>
      <c r="AY85" s="383"/>
      <c r="AZ85" s="383"/>
      <c r="BA85" s="383"/>
      <c r="BB85" s="383"/>
      <c r="BC85" s="383"/>
      <c r="BD85" s="383"/>
      <c r="BE85" s="383"/>
      <c r="BF85" s="383"/>
      <c r="BG85" s="383"/>
      <c r="BH85" s="383"/>
      <c r="BI85" s="383"/>
      <c r="BJ85" s="383"/>
      <c r="BK85" s="383"/>
      <c r="BL85" s="383"/>
      <c r="BM85" s="383"/>
      <c r="BN85" s="383"/>
      <c r="BO85" s="383"/>
      <c r="BP85" s="383"/>
      <c r="BQ85" s="383"/>
      <c r="BR85" s="383"/>
      <c r="BS85" s="383"/>
      <c r="BT85" s="383"/>
      <c r="BU85" s="383"/>
      <c r="BV85" s="383"/>
      <c r="BW85" s="383"/>
      <c r="BX85" s="383"/>
      <c r="BY85" s="383"/>
      <c r="BZ85" s="383"/>
      <c r="CA85" s="383"/>
      <c r="CB85" s="383"/>
      <c r="CC85" s="383"/>
      <c r="CD85" s="383"/>
      <c r="CE85" s="383"/>
      <c r="CF85" s="383"/>
      <c r="CG85" s="383"/>
      <c r="CH85" s="383"/>
      <c r="CI85" s="383"/>
      <c r="CJ85" s="383"/>
      <c r="CK85" s="383"/>
      <c r="CL85" s="383"/>
      <c r="CM85" s="383"/>
      <c r="CN85" s="383"/>
      <c r="CO85" s="383"/>
      <c r="CP85" s="383"/>
      <c r="CQ85" s="383"/>
      <c r="CR85" s="383"/>
      <c r="CS85" s="383"/>
      <c r="CT85" s="383"/>
      <c r="CU85" s="383"/>
      <c r="CV85" s="383"/>
      <c r="CW85" s="383"/>
      <c r="CX85" s="383"/>
      <c r="CY85" s="383"/>
      <c r="CZ85" s="383"/>
      <c r="DA85" s="383"/>
      <c r="DB85" s="383"/>
      <c r="DC85" s="383"/>
      <c r="DD85" s="383"/>
      <c r="DE85" s="383"/>
      <c r="DF85" s="383"/>
      <c r="DG85" s="383"/>
      <c r="DH85" s="383"/>
      <c r="DI85" s="383"/>
      <c r="DJ85" s="383"/>
      <c r="DK85" s="383"/>
      <c r="DL85" s="383"/>
      <c r="DM85" s="383"/>
      <c r="DN85" s="383"/>
      <c r="DO85" s="383"/>
      <c r="DP85" s="383"/>
      <c r="DQ85" s="383"/>
      <c r="DR85" s="383"/>
      <c r="DS85" s="383"/>
      <c r="DT85" s="383"/>
      <c r="DU85" s="383"/>
      <c r="DV85" s="383"/>
      <c r="DW85" s="383"/>
      <c r="DX85" s="383"/>
      <c r="DY85" s="383"/>
      <c r="DZ85" s="383"/>
      <c r="EA85" s="383"/>
      <c r="EB85" s="383"/>
      <c r="EC85" s="383"/>
      <c r="ED85" s="383"/>
      <c r="EE85" s="383"/>
      <c r="EF85" s="383"/>
      <c r="EG85" s="383"/>
      <c r="EH85" s="383"/>
      <c r="EI85" s="383"/>
      <c r="EJ85" s="383"/>
      <c r="EK85" s="383"/>
      <c r="EL85" s="383"/>
      <c r="EM85" s="383"/>
      <c r="EN85" s="383"/>
      <c r="EO85" s="383"/>
      <c r="EP85" s="383"/>
      <c r="EQ85" s="383"/>
      <c r="ER85" s="383"/>
      <c r="ES85" s="383"/>
      <c r="ET85" s="383"/>
      <c r="EU85" s="383"/>
      <c r="EV85" s="383"/>
      <c r="EW85" s="383"/>
      <c r="EX85" s="383"/>
      <c r="EY85" s="383"/>
      <c r="EZ85" s="383"/>
      <c r="FA85" s="383"/>
      <c r="FB85" s="383"/>
      <c r="FC85" s="383"/>
      <c r="FD85" s="383"/>
      <c r="FE85" s="383"/>
      <c r="FF85" s="383"/>
      <c r="FG85" s="383"/>
      <c r="FH85" s="383"/>
      <c r="FI85" s="383"/>
      <c r="FJ85" s="383"/>
      <c r="FK85" s="383"/>
      <c r="FL85" s="383"/>
      <c r="FM85" s="383"/>
      <c r="FN85" s="383"/>
      <c r="FO85" s="383"/>
      <c r="FP85" s="383"/>
      <c r="FQ85" s="383"/>
      <c r="FR85" s="383"/>
      <c r="FS85" s="383"/>
      <c r="FT85" s="383"/>
      <c r="FU85" s="383"/>
      <c r="FV85" s="383"/>
      <c r="FW85" s="383"/>
      <c r="FX85" s="383"/>
      <c r="FY85" s="383"/>
      <c r="FZ85" s="383"/>
      <c r="GA85" s="383"/>
      <c r="GB85" s="383"/>
      <c r="GC85" s="383"/>
      <c r="GD85" s="383"/>
      <c r="GE85" s="383"/>
      <c r="GF85" s="383"/>
      <c r="GG85" s="383"/>
      <c r="GH85" s="383"/>
      <c r="GI85" s="383"/>
      <c r="GJ85" s="383"/>
      <c r="GK85" s="383"/>
      <c r="GL85" s="383"/>
      <c r="GM85" s="383"/>
      <c r="GN85" s="383"/>
      <c r="GO85" s="383"/>
      <c r="GP85" s="383"/>
      <c r="GQ85" s="383"/>
      <c r="GR85" s="383"/>
      <c r="GS85" s="383"/>
      <c r="GT85" s="383"/>
      <c r="GU85" s="383"/>
      <c r="GV85" s="383"/>
      <c r="GW85" s="383"/>
      <c r="GX85" s="383"/>
      <c r="GY85" s="383"/>
      <c r="GZ85" s="383"/>
      <c r="HA85" s="383"/>
      <c r="HB85" s="383"/>
      <c r="HC85" s="383"/>
      <c r="HD85" s="383"/>
      <c r="HE85" s="383"/>
      <c r="HF85" s="383"/>
      <c r="HG85" s="383"/>
      <c r="HH85" s="383"/>
      <c r="HI85" s="383"/>
      <c r="HJ85" s="383"/>
      <c r="HK85" s="383"/>
      <c r="HL85" s="383"/>
      <c r="HM85" s="383"/>
      <c r="HN85" s="383"/>
      <c r="HO85" s="383"/>
      <c r="HP85" s="383"/>
      <c r="HQ85" s="383"/>
      <c r="HR85" s="383"/>
      <c r="HS85" s="383"/>
      <c r="HT85" s="383"/>
      <c r="HU85" s="383"/>
      <c r="HV85" s="383"/>
      <c r="HW85" s="383"/>
      <c r="HX85" s="383"/>
      <c r="HY85" s="383"/>
      <c r="HZ85" s="383"/>
      <c r="IA85" s="383"/>
      <c r="IB85" s="383"/>
      <c r="IC85" s="383"/>
      <c r="ID85" s="383"/>
      <c r="IE85" s="383"/>
      <c r="IF85" s="383"/>
      <c r="IG85" s="383"/>
      <c r="IH85" s="383"/>
      <c r="II85" s="383"/>
      <c r="IJ85" s="383"/>
      <c r="IK85" s="383"/>
      <c r="IL85" s="383"/>
    </row>
    <row r="86" spans="1:247" ht="15" customHeight="1">
      <c r="A86" s="481" t="s">
        <v>308</v>
      </c>
      <c r="B86" s="485" t="s">
        <v>748</v>
      </c>
      <c r="C86" s="483" t="s">
        <v>165</v>
      </c>
      <c r="D86" s="66"/>
      <c r="E86" s="500" t="s">
        <v>379</v>
      </c>
      <c r="F86" s="484">
        <v>4813</v>
      </c>
      <c r="G86" s="479" t="str">
        <f t="shared" si="9"/>
        <v>01/2026</v>
      </c>
      <c r="H86" s="341">
        <f>SUMIF(VI.A!$B$6:$B$5963,B86,VI.A!$L$6:$L$5963)</f>
        <v>90</v>
      </c>
      <c r="I86" s="341" t="str">
        <f t="shared" si="6"/>
        <v>si</v>
      </c>
      <c r="J86" s="383"/>
      <c r="K86" s="384">
        <f>IF(E86="SABESP","OK",VLOOKUP(F86,[6]ISD!$B$11:$F$4861,5,FALSE))</f>
        <v>400</v>
      </c>
      <c r="L86" s="384" t="str">
        <f t="shared" si="10"/>
        <v>VERIFICAR</v>
      </c>
      <c r="M86" s="480">
        <f t="shared" si="7"/>
        <v>400</v>
      </c>
      <c r="N86" s="383" t="b">
        <f t="shared" si="8"/>
        <v>0</v>
      </c>
      <c r="O86" s="383"/>
      <c r="P86" s="383"/>
      <c r="Q86" s="383"/>
      <c r="R86" s="383"/>
      <c r="S86" s="383"/>
      <c r="T86" s="383"/>
      <c r="U86" s="383"/>
      <c r="V86" s="383"/>
      <c r="W86" s="383"/>
      <c r="X86" s="383"/>
      <c r="Y86" s="383"/>
      <c r="Z86" s="383"/>
      <c r="AA86" s="383"/>
      <c r="AB86" s="383"/>
      <c r="AC86" s="383"/>
      <c r="AD86" s="383"/>
      <c r="AE86" s="383"/>
      <c r="AF86" s="383"/>
      <c r="AG86" s="383"/>
      <c r="AH86" s="383"/>
      <c r="AI86" s="383"/>
      <c r="AJ86" s="383"/>
      <c r="AK86" s="383"/>
      <c r="AL86" s="383"/>
      <c r="AM86" s="383"/>
      <c r="AN86" s="383"/>
      <c r="AO86" s="383"/>
      <c r="AP86" s="383"/>
      <c r="AQ86" s="383"/>
      <c r="AR86" s="383"/>
      <c r="AS86" s="383"/>
      <c r="AT86" s="383"/>
      <c r="AU86" s="383"/>
      <c r="AV86" s="383"/>
      <c r="AW86" s="383"/>
      <c r="AX86" s="383"/>
      <c r="AY86" s="383"/>
      <c r="AZ86" s="383"/>
      <c r="BA86" s="383"/>
      <c r="BB86" s="383"/>
      <c r="BC86" s="383"/>
      <c r="BD86" s="383"/>
      <c r="BE86" s="383"/>
      <c r="BF86" s="383"/>
      <c r="BG86" s="383"/>
      <c r="BH86" s="383"/>
      <c r="BI86" s="383"/>
      <c r="BJ86" s="383"/>
      <c r="BK86" s="383"/>
      <c r="BL86" s="383"/>
      <c r="BM86" s="383"/>
      <c r="BN86" s="383"/>
      <c r="BO86" s="383"/>
      <c r="BP86" s="383"/>
      <c r="BQ86" s="383"/>
      <c r="BR86" s="383"/>
      <c r="BS86" s="383"/>
      <c r="BT86" s="383"/>
      <c r="BU86" s="383"/>
      <c r="BV86" s="383"/>
      <c r="BW86" s="383"/>
      <c r="BX86" s="383"/>
      <c r="BY86" s="383"/>
      <c r="BZ86" s="383"/>
      <c r="CA86" s="383"/>
      <c r="CB86" s="383"/>
      <c r="CC86" s="383"/>
      <c r="CD86" s="383"/>
      <c r="CE86" s="383"/>
      <c r="CF86" s="383"/>
      <c r="CG86" s="383"/>
      <c r="CH86" s="383"/>
      <c r="CI86" s="383"/>
      <c r="CJ86" s="383"/>
      <c r="CK86" s="383"/>
      <c r="CL86" s="383"/>
      <c r="CM86" s="383"/>
      <c r="CN86" s="383"/>
      <c r="CO86" s="383"/>
      <c r="CP86" s="383"/>
      <c r="CQ86" s="383"/>
      <c r="CR86" s="383"/>
      <c r="CS86" s="383"/>
      <c r="CT86" s="383"/>
      <c r="CU86" s="383"/>
      <c r="CV86" s="383"/>
      <c r="CW86" s="383"/>
      <c r="CX86" s="383"/>
      <c r="CY86" s="383"/>
      <c r="CZ86" s="383"/>
      <c r="DA86" s="383"/>
      <c r="DB86" s="383"/>
      <c r="DC86" s="383"/>
      <c r="DD86" s="383"/>
      <c r="DE86" s="383"/>
      <c r="DF86" s="383"/>
      <c r="DG86" s="383"/>
      <c r="DH86" s="383"/>
      <c r="DI86" s="383"/>
      <c r="DJ86" s="383"/>
      <c r="DK86" s="383"/>
      <c r="DL86" s="383"/>
      <c r="DM86" s="383"/>
      <c r="DN86" s="383"/>
      <c r="DO86" s="383"/>
      <c r="DP86" s="383"/>
      <c r="DQ86" s="383"/>
      <c r="DR86" s="383"/>
      <c r="DS86" s="383"/>
      <c r="DT86" s="383"/>
      <c r="DU86" s="383"/>
      <c r="DV86" s="383"/>
      <c r="DW86" s="383"/>
      <c r="DX86" s="383"/>
      <c r="DY86" s="383"/>
      <c r="DZ86" s="383"/>
      <c r="EA86" s="383"/>
      <c r="EB86" s="383"/>
      <c r="EC86" s="383"/>
      <c r="ED86" s="383"/>
      <c r="EE86" s="383"/>
      <c r="EF86" s="383"/>
      <c r="EG86" s="383"/>
      <c r="EH86" s="383"/>
      <c r="EI86" s="383"/>
      <c r="EJ86" s="383"/>
      <c r="EK86" s="383"/>
      <c r="EL86" s="383"/>
      <c r="EM86" s="383"/>
      <c r="EN86" s="383"/>
      <c r="EO86" s="383"/>
      <c r="EP86" s="383"/>
      <c r="EQ86" s="383"/>
      <c r="ER86" s="383"/>
      <c r="ES86" s="383"/>
      <c r="ET86" s="383"/>
      <c r="EU86" s="383"/>
      <c r="EV86" s="383"/>
      <c r="EW86" s="383"/>
      <c r="EX86" s="383"/>
      <c r="EY86" s="383"/>
      <c r="EZ86" s="383"/>
      <c r="FA86" s="383"/>
      <c r="FB86" s="383"/>
      <c r="FC86" s="383"/>
      <c r="FD86" s="383"/>
      <c r="FE86" s="383"/>
      <c r="FF86" s="383"/>
      <c r="FG86" s="383"/>
      <c r="FH86" s="383"/>
      <c r="FI86" s="383"/>
      <c r="FJ86" s="383"/>
      <c r="FK86" s="383"/>
      <c r="FL86" s="383"/>
      <c r="FM86" s="383"/>
      <c r="FN86" s="383"/>
      <c r="FO86" s="383"/>
      <c r="FP86" s="383"/>
      <c r="FQ86" s="383"/>
      <c r="FR86" s="383"/>
      <c r="FS86" s="383"/>
      <c r="FT86" s="383"/>
      <c r="FU86" s="383"/>
      <c r="FV86" s="383"/>
      <c r="FW86" s="383"/>
      <c r="FX86" s="383"/>
      <c r="FY86" s="383"/>
      <c r="FZ86" s="383"/>
      <c r="GA86" s="383"/>
      <c r="GB86" s="383"/>
      <c r="GC86" s="383"/>
      <c r="GD86" s="383"/>
      <c r="GE86" s="383"/>
      <c r="GF86" s="383"/>
      <c r="GG86" s="383"/>
      <c r="GH86" s="383"/>
      <c r="GI86" s="383"/>
      <c r="GJ86" s="383"/>
      <c r="GK86" s="383"/>
      <c r="GL86" s="383"/>
      <c r="GM86" s="383"/>
      <c r="GN86" s="383"/>
      <c r="GO86" s="383"/>
      <c r="GP86" s="383"/>
      <c r="GQ86" s="383"/>
      <c r="GR86" s="383"/>
      <c r="GS86" s="383"/>
      <c r="GT86" s="383"/>
      <c r="GU86" s="383"/>
      <c r="GV86" s="383"/>
      <c r="GW86" s="383"/>
      <c r="GX86" s="383"/>
      <c r="GY86" s="383"/>
      <c r="GZ86" s="383"/>
      <c r="HA86" s="383"/>
      <c r="HB86" s="383"/>
      <c r="HC86" s="383"/>
      <c r="HD86" s="383"/>
      <c r="HE86" s="383"/>
      <c r="HF86" s="383"/>
      <c r="HG86" s="383"/>
      <c r="HH86" s="383"/>
      <c r="HI86" s="383"/>
      <c r="HJ86" s="383"/>
      <c r="HK86" s="383"/>
      <c r="HL86" s="383"/>
      <c r="HM86" s="383"/>
      <c r="HN86" s="383"/>
      <c r="HO86" s="383"/>
      <c r="HP86" s="383"/>
      <c r="HQ86" s="383"/>
      <c r="HR86" s="383"/>
      <c r="HS86" s="383"/>
      <c r="HT86" s="383"/>
      <c r="HU86" s="383"/>
      <c r="HV86" s="383"/>
      <c r="HW86" s="383"/>
      <c r="HX86" s="383"/>
      <c r="HY86" s="383"/>
      <c r="HZ86" s="383"/>
      <c r="IA86" s="383"/>
      <c r="IB86" s="383"/>
      <c r="IC86" s="383"/>
      <c r="ID86" s="383"/>
      <c r="IE86" s="383"/>
      <c r="IF86" s="383"/>
      <c r="IG86" s="383"/>
      <c r="IH86" s="383"/>
      <c r="II86" s="383"/>
      <c r="IJ86" s="383"/>
      <c r="IK86" s="383"/>
      <c r="IL86" s="383"/>
    </row>
    <row r="87" spans="1:247" ht="15" customHeight="1">
      <c r="A87" s="481" t="s">
        <v>309</v>
      </c>
      <c r="B87" s="485" t="s">
        <v>549</v>
      </c>
      <c r="C87" s="483" t="s">
        <v>165</v>
      </c>
      <c r="D87" s="66"/>
      <c r="E87" s="500" t="s">
        <v>379</v>
      </c>
      <c r="F87" s="484">
        <v>34723</v>
      </c>
      <c r="G87" s="479" t="str">
        <f t="shared" si="9"/>
        <v>01/2026</v>
      </c>
      <c r="H87" s="341">
        <f>SUMIF(VI.A!$B$6:$B$5963,B87,VI.A!$L$6:$L$5963)</f>
        <v>5</v>
      </c>
      <c r="I87" s="341" t="str">
        <f t="shared" si="6"/>
        <v>si</v>
      </c>
      <c r="J87" s="383"/>
      <c r="K87" s="384">
        <f>IF(E87="SABESP","OK",VLOOKUP(F87,[6]ISD!$B$11:$F$4861,5,FALSE))</f>
        <v>924</v>
      </c>
      <c r="L87" s="384" t="str">
        <f t="shared" si="10"/>
        <v>VERIFICAR</v>
      </c>
      <c r="M87" s="480">
        <f t="shared" si="7"/>
        <v>924</v>
      </c>
      <c r="N87" s="383" t="b">
        <f t="shared" si="8"/>
        <v>0</v>
      </c>
      <c r="O87" s="383"/>
      <c r="P87" s="383"/>
      <c r="Q87" s="383"/>
      <c r="R87" s="383"/>
      <c r="S87" s="383"/>
      <c r="T87" s="383"/>
      <c r="U87" s="383"/>
      <c r="V87" s="383"/>
      <c r="W87" s="383"/>
      <c r="X87" s="383"/>
      <c r="Y87" s="383"/>
      <c r="Z87" s="383"/>
      <c r="AA87" s="383"/>
      <c r="AB87" s="383"/>
      <c r="AC87" s="383"/>
      <c r="AD87" s="383"/>
      <c r="AE87" s="383"/>
      <c r="AF87" s="383"/>
      <c r="AG87" s="383"/>
      <c r="AH87" s="383"/>
      <c r="AI87" s="383"/>
      <c r="AJ87" s="383"/>
      <c r="AK87" s="383"/>
      <c r="AL87" s="383"/>
      <c r="AM87" s="383"/>
      <c r="AN87" s="383"/>
      <c r="AO87" s="383"/>
      <c r="AP87" s="383"/>
      <c r="AQ87" s="383"/>
      <c r="AR87" s="383"/>
      <c r="AS87" s="383"/>
      <c r="AT87" s="383"/>
      <c r="AU87" s="383"/>
      <c r="AV87" s="383"/>
      <c r="AW87" s="383"/>
      <c r="AX87" s="383"/>
      <c r="AY87" s="383"/>
      <c r="AZ87" s="383"/>
      <c r="BA87" s="383"/>
      <c r="BB87" s="383"/>
      <c r="BC87" s="383"/>
      <c r="BD87" s="383"/>
      <c r="BE87" s="383"/>
      <c r="BF87" s="383"/>
      <c r="BG87" s="383"/>
      <c r="BH87" s="383"/>
      <c r="BI87" s="383"/>
      <c r="BJ87" s="383"/>
      <c r="BK87" s="383"/>
      <c r="BL87" s="383"/>
      <c r="BM87" s="383"/>
      <c r="BN87" s="383"/>
      <c r="BO87" s="383"/>
      <c r="BP87" s="383"/>
      <c r="BQ87" s="383"/>
      <c r="BR87" s="383"/>
      <c r="BS87" s="383"/>
      <c r="BT87" s="383"/>
      <c r="BU87" s="383"/>
      <c r="BV87" s="383"/>
      <c r="BW87" s="383"/>
      <c r="BX87" s="383"/>
      <c r="BY87" s="383"/>
      <c r="BZ87" s="383"/>
      <c r="CA87" s="383"/>
      <c r="CB87" s="383"/>
      <c r="CC87" s="383"/>
      <c r="CD87" s="383"/>
      <c r="CE87" s="383"/>
      <c r="CF87" s="383"/>
      <c r="CG87" s="383"/>
      <c r="CH87" s="383"/>
      <c r="CI87" s="383"/>
      <c r="CJ87" s="383"/>
      <c r="CK87" s="383"/>
      <c r="CL87" s="383"/>
      <c r="CM87" s="383"/>
      <c r="CN87" s="383"/>
      <c r="CO87" s="383"/>
      <c r="CP87" s="383"/>
      <c r="CQ87" s="383"/>
      <c r="CR87" s="383"/>
      <c r="CS87" s="383"/>
      <c r="CT87" s="383"/>
      <c r="CU87" s="383"/>
      <c r="CV87" s="383"/>
      <c r="CW87" s="383"/>
      <c r="CX87" s="383"/>
      <c r="CY87" s="383"/>
      <c r="CZ87" s="383"/>
      <c r="DA87" s="383"/>
      <c r="DB87" s="383"/>
      <c r="DC87" s="383"/>
      <c r="DD87" s="383"/>
      <c r="DE87" s="383"/>
      <c r="DF87" s="383"/>
      <c r="DG87" s="383"/>
      <c r="DH87" s="383"/>
      <c r="DI87" s="383"/>
      <c r="DJ87" s="383"/>
      <c r="DK87" s="383"/>
      <c r="DL87" s="383"/>
      <c r="DM87" s="383"/>
      <c r="DN87" s="383"/>
      <c r="DO87" s="383"/>
      <c r="DP87" s="383"/>
      <c r="DQ87" s="383"/>
      <c r="DR87" s="383"/>
      <c r="DS87" s="383"/>
      <c r="DT87" s="383"/>
      <c r="DU87" s="383"/>
      <c r="DV87" s="383"/>
      <c r="DW87" s="383"/>
      <c r="DX87" s="383"/>
      <c r="DY87" s="383"/>
      <c r="DZ87" s="383"/>
      <c r="EA87" s="383"/>
      <c r="EB87" s="383"/>
      <c r="EC87" s="383"/>
      <c r="ED87" s="383"/>
      <c r="EE87" s="383"/>
      <c r="EF87" s="383"/>
      <c r="EG87" s="383"/>
      <c r="EH87" s="383"/>
      <c r="EI87" s="383"/>
      <c r="EJ87" s="383"/>
      <c r="EK87" s="383"/>
      <c r="EL87" s="383"/>
      <c r="EM87" s="383"/>
      <c r="EN87" s="383"/>
      <c r="EO87" s="383"/>
      <c r="EP87" s="383"/>
      <c r="EQ87" s="383"/>
      <c r="ER87" s="383"/>
      <c r="ES87" s="383"/>
      <c r="ET87" s="383"/>
      <c r="EU87" s="383"/>
      <c r="EV87" s="383"/>
      <c r="EW87" s="383"/>
      <c r="EX87" s="383"/>
      <c r="EY87" s="383"/>
      <c r="EZ87" s="383"/>
      <c r="FA87" s="383"/>
      <c r="FB87" s="383"/>
      <c r="FC87" s="383"/>
      <c r="FD87" s="383"/>
      <c r="FE87" s="383"/>
      <c r="FF87" s="383"/>
      <c r="FG87" s="383"/>
      <c r="FH87" s="383"/>
      <c r="FI87" s="383"/>
      <c r="FJ87" s="383"/>
      <c r="FK87" s="383"/>
      <c r="FL87" s="383"/>
      <c r="FM87" s="383"/>
      <c r="FN87" s="383"/>
      <c r="FO87" s="383"/>
      <c r="FP87" s="383"/>
      <c r="FQ87" s="383"/>
      <c r="FR87" s="383"/>
      <c r="FS87" s="383"/>
      <c r="FT87" s="383"/>
      <c r="FU87" s="383"/>
      <c r="FV87" s="383"/>
      <c r="FW87" s="383"/>
      <c r="FX87" s="383"/>
      <c r="FY87" s="383"/>
      <c r="FZ87" s="383"/>
      <c r="GA87" s="383"/>
      <c r="GB87" s="383"/>
      <c r="GC87" s="383"/>
      <c r="GD87" s="383"/>
      <c r="GE87" s="383"/>
      <c r="GF87" s="383"/>
      <c r="GG87" s="383"/>
      <c r="GH87" s="383"/>
      <c r="GI87" s="383"/>
      <c r="GJ87" s="383"/>
      <c r="GK87" s="383"/>
      <c r="GL87" s="383"/>
      <c r="GM87" s="383"/>
      <c r="GN87" s="383"/>
      <c r="GO87" s="383"/>
      <c r="GP87" s="383"/>
      <c r="GQ87" s="383"/>
      <c r="GR87" s="383"/>
      <c r="GS87" s="383"/>
      <c r="GT87" s="383"/>
      <c r="GU87" s="383"/>
      <c r="GV87" s="383"/>
      <c r="GW87" s="383"/>
      <c r="GX87" s="383"/>
      <c r="GY87" s="383"/>
      <c r="GZ87" s="383"/>
      <c r="HA87" s="383"/>
      <c r="HB87" s="383"/>
      <c r="HC87" s="383"/>
      <c r="HD87" s="383"/>
      <c r="HE87" s="383"/>
      <c r="HF87" s="383"/>
      <c r="HG87" s="383"/>
      <c r="HH87" s="383"/>
      <c r="HI87" s="383"/>
      <c r="HJ87" s="383"/>
      <c r="HK87" s="383"/>
      <c r="HL87" s="383"/>
      <c r="HM87" s="383"/>
      <c r="HN87" s="383"/>
      <c r="HO87" s="383"/>
      <c r="HP87" s="383"/>
      <c r="HQ87" s="383"/>
      <c r="HR87" s="383"/>
      <c r="HS87" s="383"/>
      <c r="HT87" s="383"/>
      <c r="HU87" s="383"/>
      <c r="HV87" s="383"/>
      <c r="HW87" s="383"/>
      <c r="HX87" s="383"/>
      <c r="HY87" s="383"/>
      <c r="HZ87" s="383"/>
      <c r="IA87" s="383"/>
      <c r="IB87" s="383"/>
      <c r="IC87" s="383"/>
      <c r="ID87" s="383"/>
      <c r="IE87" s="383"/>
      <c r="IF87" s="383"/>
      <c r="IG87" s="383"/>
      <c r="IH87" s="383"/>
      <c r="II87" s="383"/>
      <c r="IJ87" s="383"/>
      <c r="IK87" s="383"/>
      <c r="IL87" s="383"/>
    </row>
    <row r="88" spans="1:247" ht="15" customHeight="1">
      <c r="A88" s="481" t="s">
        <v>310</v>
      </c>
      <c r="B88" s="482" t="s">
        <v>195</v>
      </c>
      <c r="C88" s="483" t="s">
        <v>166</v>
      </c>
      <c r="D88" s="66"/>
      <c r="E88" s="500" t="s">
        <v>379</v>
      </c>
      <c r="F88" s="484">
        <v>4339</v>
      </c>
      <c r="G88" s="479" t="str">
        <f t="shared" si="9"/>
        <v>01/2026</v>
      </c>
      <c r="H88" s="341">
        <f>SUMIF(VI.A!$B$6:$B$5963,B88,VI.A!$L$6:$L$5963)</f>
        <v>4</v>
      </c>
      <c r="I88" s="341" t="str">
        <f t="shared" si="6"/>
        <v>si</v>
      </c>
      <c r="J88" s="383"/>
      <c r="K88" s="384">
        <f>IF(E88="SABESP","OK",VLOOKUP(F88,[6]ISD!$B$11:$F$4861,5,FALSE))</f>
        <v>0.52</v>
      </c>
      <c r="L88" s="384" t="str">
        <f t="shared" si="10"/>
        <v>VERIFICAR</v>
      </c>
      <c r="M88" s="480">
        <f t="shared" si="7"/>
        <v>0.52</v>
      </c>
      <c r="N88" s="383" t="b">
        <f t="shared" si="8"/>
        <v>0</v>
      </c>
      <c r="O88" s="383"/>
      <c r="P88" s="383"/>
      <c r="Q88" s="383"/>
      <c r="R88" s="383"/>
      <c r="S88" s="383"/>
      <c r="T88" s="383"/>
      <c r="U88" s="383"/>
      <c r="V88" s="383"/>
      <c r="W88" s="383"/>
      <c r="X88" s="383"/>
      <c r="Y88" s="383"/>
      <c r="Z88" s="383"/>
      <c r="AA88" s="383"/>
      <c r="AB88" s="383"/>
      <c r="AC88" s="383"/>
      <c r="AD88" s="383"/>
      <c r="AE88" s="383"/>
      <c r="AF88" s="383"/>
      <c r="AG88" s="383"/>
      <c r="AH88" s="383"/>
      <c r="AI88" s="383"/>
      <c r="AJ88" s="383"/>
      <c r="AK88" s="383"/>
      <c r="AL88" s="383"/>
      <c r="AM88" s="383"/>
      <c r="AN88" s="383"/>
      <c r="AO88" s="383"/>
      <c r="AP88" s="383"/>
      <c r="AQ88" s="383"/>
      <c r="AR88" s="383"/>
      <c r="AS88" s="383"/>
      <c r="AT88" s="383"/>
      <c r="AU88" s="383"/>
      <c r="AV88" s="383"/>
      <c r="AW88" s="383"/>
      <c r="AX88" s="383"/>
      <c r="AY88" s="383"/>
      <c r="AZ88" s="383"/>
      <c r="BA88" s="383"/>
      <c r="BB88" s="383"/>
      <c r="BC88" s="383"/>
      <c r="BD88" s="383"/>
      <c r="BE88" s="383"/>
      <c r="BF88" s="383"/>
      <c r="BG88" s="383"/>
      <c r="BH88" s="383"/>
      <c r="BI88" s="383"/>
      <c r="BJ88" s="383"/>
      <c r="BK88" s="383"/>
      <c r="BL88" s="383"/>
      <c r="BM88" s="383"/>
      <c r="BN88" s="383"/>
      <c r="BO88" s="383"/>
      <c r="BP88" s="383"/>
      <c r="BQ88" s="383"/>
      <c r="BR88" s="383"/>
      <c r="BS88" s="383"/>
      <c r="BT88" s="383"/>
      <c r="BU88" s="383"/>
      <c r="BV88" s="383"/>
      <c r="BW88" s="383"/>
      <c r="BX88" s="383"/>
      <c r="BY88" s="383"/>
      <c r="BZ88" s="383"/>
      <c r="CA88" s="383"/>
      <c r="CB88" s="383"/>
      <c r="CC88" s="383"/>
      <c r="CD88" s="383"/>
      <c r="CE88" s="383"/>
      <c r="CF88" s="383"/>
      <c r="CG88" s="383"/>
      <c r="CH88" s="383"/>
      <c r="CI88" s="383"/>
      <c r="CJ88" s="383"/>
      <c r="CK88" s="383"/>
      <c r="CL88" s="383"/>
      <c r="CM88" s="383"/>
      <c r="CN88" s="383"/>
      <c r="CO88" s="383"/>
      <c r="CP88" s="383"/>
      <c r="CQ88" s="383"/>
      <c r="CR88" s="383"/>
      <c r="CS88" s="383"/>
      <c r="CT88" s="383"/>
      <c r="CU88" s="383"/>
      <c r="CV88" s="383"/>
      <c r="CW88" s="383"/>
      <c r="CX88" s="383"/>
      <c r="CY88" s="383"/>
      <c r="CZ88" s="383"/>
      <c r="DA88" s="383"/>
      <c r="DB88" s="383"/>
      <c r="DC88" s="383"/>
      <c r="DD88" s="383"/>
      <c r="DE88" s="383"/>
      <c r="DF88" s="383"/>
      <c r="DG88" s="383"/>
      <c r="DH88" s="383"/>
      <c r="DI88" s="383"/>
      <c r="DJ88" s="383"/>
      <c r="DK88" s="383"/>
      <c r="DL88" s="383"/>
      <c r="DM88" s="383"/>
      <c r="DN88" s="383"/>
      <c r="DO88" s="383"/>
      <c r="DP88" s="383"/>
      <c r="DQ88" s="383"/>
      <c r="DR88" s="383"/>
      <c r="DS88" s="383"/>
      <c r="DT88" s="383"/>
      <c r="DU88" s="383"/>
      <c r="DV88" s="383"/>
      <c r="DW88" s="383"/>
      <c r="DX88" s="383"/>
      <c r="DY88" s="383"/>
      <c r="DZ88" s="383"/>
      <c r="EA88" s="383"/>
      <c r="EB88" s="383"/>
      <c r="EC88" s="383"/>
      <c r="ED88" s="383"/>
      <c r="EE88" s="383"/>
      <c r="EF88" s="383"/>
      <c r="EG88" s="383"/>
      <c r="EH88" s="383"/>
      <c r="EI88" s="383"/>
      <c r="EJ88" s="383"/>
      <c r="EK88" s="383"/>
      <c r="EL88" s="383"/>
      <c r="EM88" s="383"/>
      <c r="EN88" s="383"/>
      <c r="EO88" s="383"/>
      <c r="EP88" s="383"/>
      <c r="EQ88" s="383"/>
      <c r="ER88" s="383"/>
      <c r="ES88" s="383"/>
      <c r="ET88" s="383"/>
      <c r="EU88" s="383"/>
      <c r="EV88" s="383"/>
      <c r="EW88" s="383"/>
      <c r="EX88" s="383"/>
      <c r="EY88" s="383"/>
      <c r="EZ88" s="383"/>
      <c r="FA88" s="383"/>
      <c r="FB88" s="383"/>
      <c r="FC88" s="383"/>
      <c r="FD88" s="383"/>
      <c r="FE88" s="383"/>
      <c r="FF88" s="383"/>
      <c r="FG88" s="383"/>
      <c r="FH88" s="383"/>
      <c r="FI88" s="383"/>
      <c r="FJ88" s="383"/>
      <c r="FK88" s="383"/>
      <c r="FL88" s="383"/>
      <c r="FM88" s="383"/>
      <c r="FN88" s="383"/>
      <c r="FO88" s="383"/>
      <c r="FP88" s="383"/>
      <c r="FQ88" s="383"/>
      <c r="FR88" s="383"/>
      <c r="FS88" s="383"/>
      <c r="FT88" s="383"/>
      <c r="FU88" s="383"/>
      <c r="FV88" s="383"/>
      <c r="FW88" s="383"/>
      <c r="FX88" s="383"/>
      <c r="FY88" s="383"/>
      <c r="FZ88" s="383"/>
      <c r="GA88" s="383"/>
      <c r="GB88" s="383"/>
      <c r="GC88" s="383"/>
      <c r="GD88" s="383"/>
      <c r="GE88" s="383"/>
      <c r="GF88" s="383"/>
      <c r="GG88" s="383"/>
      <c r="GH88" s="383"/>
      <c r="GI88" s="383"/>
      <c r="GJ88" s="383"/>
      <c r="GK88" s="383"/>
      <c r="GL88" s="383"/>
      <c r="GM88" s="383"/>
      <c r="GN88" s="383"/>
      <c r="GO88" s="383"/>
      <c r="GP88" s="383"/>
      <c r="GQ88" s="383"/>
      <c r="GR88" s="383"/>
      <c r="GS88" s="383"/>
      <c r="GT88" s="383"/>
      <c r="GU88" s="383"/>
      <c r="GV88" s="383"/>
      <c r="GW88" s="383"/>
      <c r="GX88" s="383"/>
      <c r="GY88" s="383"/>
      <c r="GZ88" s="383"/>
      <c r="HA88" s="383"/>
      <c r="HB88" s="383"/>
      <c r="HC88" s="383"/>
      <c r="HD88" s="383"/>
      <c r="HE88" s="383"/>
      <c r="HF88" s="383"/>
      <c r="HG88" s="383"/>
      <c r="HH88" s="383"/>
      <c r="HI88" s="383"/>
      <c r="HJ88" s="383"/>
      <c r="HK88" s="383"/>
      <c r="HL88" s="383"/>
      <c r="HM88" s="383"/>
      <c r="HN88" s="383"/>
      <c r="HO88" s="383"/>
      <c r="HP88" s="383"/>
      <c r="HQ88" s="383"/>
      <c r="HR88" s="383"/>
      <c r="HS88" s="383"/>
      <c r="HT88" s="383"/>
      <c r="HU88" s="383"/>
      <c r="HV88" s="383"/>
      <c r="HW88" s="383"/>
      <c r="HX88" s="383"/>
      <c r="HY88" s="383"/>
      <c r="HZ88" s="383"/>
      <c r="IA88" s="383"/>
      <c r="IB88" s="383"/>
      <c r="IC88" s="383"/>
      <c r="ID88" s="383"/>
      <c r="IE88" s="383"/>
      <c r="IF88" s="383"/>
      <c r="IG88" s="383"/>
      <c r="IH88" s="383"/>
      <c r="II88" s="383"/>
      <c r="IJ88" s="383"/>
      <c r="IK88" s="383"/>
      <c r="IL88" s="383"/>
    </row>
    <row r="89" spans="1:247" ht="25.5">
      <c r="A89" s="481" t="s">
        <v>311</v>
      </c>
      <c r="B89" s="482" t="s">
        <v>220</v>
      </c>
      <c r="C89" s="483" t="s">
        <v>165</v>
      </c>
      <c r="D89" s="66"/>
      <c r="E89" s="501" t="s">
        <v>735</v>
      </c>
      <c r="F89" s="502" t="s">
        <v>432</v>
      </c>
      <c r="G89" s="479" t="str">
        <f t="shared" si="9"/>
        <v>OUTRO</v>
      </c>
      <c r="H89" s="341">
        <f>SUMIF(VI.A!$B$6:$B$5963,B89,VI.A!$L$6:$L$5963)</f>
        <v>50</v>
      </c>
      <c r="I89" s="341" t="str">
        <f t="shared" si="6"/>
        <v>si</v>
      </c>
      <c r="J89" s="383"/>
      <c r="K89" s="384">
        <f>VLOOKUP(F89,[7]Insumos!$A$9:$D$3235,4,FALSE)</f>
        <v>557.04</v>
      </c>
      <c r="L89" s="384" t="str">
        <f t="shared" si="10"/>
        <v>VERIFICAR</v>
      </c>
      <c r="M89" s="480">
        <f t="shared" si="7"/>
        <v>557.04</v>
      </c>
      <c r="N89" s="383" t="b">
        <f t="shared" si="8"/>
        <v>0</v>
      </c>
      <c r="O89" s="383"/>
      <c r="P89" s="383"/>
      <c r="Q89" s="383"/>
      <c r="R89" s="383"/>
      <c r="S89" s="383"/>
      <c r="T89" s="383"/>
      <c r="U89" s="383"/>
      <c r="V89" s="383"/>
      <c r="W89" s="383"/>
      <c r="X89" s="383"/>
      <c r="Y89" s="383"/>
      <c r="Z89" s="383"/>
      <c r="AA89" s="383"/>
      <c r="AB89" s="383"/>
      <c r="AC89" s="383"/>
      <c r="AD89" s="383"/>
      <c r="AE89" s="383"/>
      <c r="AF89" s="383"/>
      <c r="AG89" s="383"/>
      <c r="AH89" s="383"/>
      <c r="AI89" s="383"/>
      <c r="AJ89" s="383"/>
      <c r="AK89" s="383"/>
      <c r="AL89" s="383"/>
      <c r="AM89" s="383"/>
      <c r="AN89" s="383"/>
      <c r="AO89" s="383"/>
      <c r="AP89" s="383"/>
      <c r="AQ89" s="383"/>
      <c r="AR89" s="383"/>
      <c r="AS89" s="383"/>
      <c r="AT89" s="383"/>
      <c r="AU89" s="383"/>
      <c r="AV89" s="383"/>
      <c r="AW89" s="383"/>
      <c r="AX89" s="383"/>
      <c r="AY89" s="383"/>
      <c r="AZ89" s="383"/>
      <c r="BA89" s="383"/>
      <c r="BB89" s="383"/>
      <c r="BC89" s="383"/>
      <c r="BD89" s="383"/>
      <c r="BE89" s="383"/>
      <c r="BF89" s="383"/>
      <c r="BG89" s="383"/>
      <c r="BH89" s="383"/>
      <c r="BI89" s="383"/>
      <c r="BJ89" s="383"/>
      <c r="BK89" s="383"/>
      <c r="BL89" s="383"/>
      <c r="BM89" s="383"/>
      <c r="BN89" s="383"/>
      <c r="BO89" s="383"/>
      <c r="BP89" s="383"/>
      <c r="BQ89" s="383"/>
      <c r="BR89" s="383"/>
      <c r="BS89" s="383"/>
      <c r="BT89" s="383"/>
      <c r="BU89" s="383"/>
      <c r="BV89" s="383"/>
      <c r="BW89" s="383"/>
      <c r="BX89" s="383"/>
      <c r="BY89" s="383"/>
      <c r="BZ89" s="383"/>
      <c r="CA89" s="383"/>
      <c r="CB89" s="383"/>
      <c r="CC89" s="383"/>
      <c r="CD89" s="383"/>
      <c r="CE89" s="383"/>
      <c r="CF89" s="383"/>
      <c r="CG89" s="383"/>
      <c r="CH89" s="383"/>
      <c r="CI89" s="383"/>
      <c r="CJ89" s="383"/>
      <c r="CK89" s="383"/>
      <c r="CL89" s="383"/>
      <c r="CM89" s="383"/>
      <c r="CN89" s="383"/>
      <c r="CO89" s="383"/>
      <c r="CP89" s="383"/>
      <c r="CQ89" s="383"/>
      <c r="CR89" s="383"/>
      <c r="CS89" s="383"/>
      <c r="CT89" s="383"/>
      <c r="CU89" s="383"/>
      <c r="CV89" s="383"/>
      <c r="CW89" s="383"/>
      <c r="CX89" s="383"/>
      <c r="CY89" s="383"/>
      <c r="CZ89" s="383"/>
      <c r="DA89" s="383"/>
      <c r="DB89" s="383"/>
      <c r="DC89" s="383"/>
      <c r="DD89" s="383"/>
      <c r="DE89" s="383"/>
      <c r="DF89" s="383"/>
      <c r="DG89" s="383"/>
      <c r="DH89" s="383"/>
      <c r="DI89" s="383"/>
      <c r="DJ89" s="383"/>
      <c r="DK89" s="383"/>
      <c r="DL89" s="383"/>
      <c r="DM89" s="383"/>
      <c r="DN89" s="383"/>
      <c r="DO89" s="383"/>
      <c r="DP89" s="383"/>
      <c r="DQ89" s="383"/>
      <c r="DR89" s="383"/>
      <c r="DS89" s="383"/>
      <c r="DT89" s="383"/>
      <c r="DU89" s="383"/>
      <c r="DV89" s="383"/>
      <c r="DW89" s="383"/>
      <c r="DX89" s="383"/>
      <c r="DY89" s="383"/>
      <c r="DZ89" s="383"/>
      <c r="EA89" s="383"/>
      <c r="EB89" s="383"/>
      <c r="EC89" s="383"/>
      <c r="ED89" s="383"/>
      <c r="EE89" s="383"/>
      <c r="EF89" s="383"/>
      <c r="EG89" s="383"/>
      <c r="EH89" s="383"/>
      <c r="EI89" s="383"/>
      <c r="EJ89" s="383"/>
      <c r="EK89" s="383"/>
      <c r="EL89" s="383"/>
      <c r="EM89" s="383"/>
      <c r="EN89" s="383"/>
      <c r="EO89" s="383"/>
      <c r="EP89" s="383"/>
      <c r="EQ89" s="383"/>
      <c r="ER89" s="383"/>
      <c r="ES89" s="383"/>
      <c r="ET89" s="383"/>
      <c r="EU89" s="383"/>
      <c r="EV89" s="383"/>
      <c r="EW89" s="383"/>
      <c r="EX89" s="383"/>
      <c r="EY89" s="383"/>
      <c r="EZ89" s="383"/>
      <c r="FA89" s="383"/>
      <c r="FB89" s="383"/>
      <c r="FC89" s="383"/>
      <c r="FD89" s="383"/>
      <c r="FE89" s="383"/>
      <c r="FF89" s="383"/>
      <c r="FG89" s="383"/>
      <c r="FH89" s="383"/>
      <c r="FI89" s="383"/>
      <c r="FJ89" s="383"/>
      <c r="FK89" s="383"/>
      <c r="FL89" s="383"/>
      <c r="FM89" s="383"/>
      <c r="FN89" s="383"/>
      <c r="FO89" s="383"/>
      <c r="FP89" s="383"/>
      <c r="FQ89" s="383"/>
      <c r="FR89" s="383"/>
      <c r="FS89" s="383"/>
      <c r="FT89" s="383"/>
      <c r="FU89" s="383"/>
      <c r="FV89" s="383"/>
      <c r="FW89" s="383"/>
      <c r="FX89" s="383"/>
      <c r="FY89" s="383"/>
      <c r="FZ89" s="383"/>
      <c r="GA89" s="383"/>
      <c r="GB89" s="383"/>
      <c r="GC89" s="383"/>
      <c r="GD89" s="383"/>
      <c r="GE89" s="383"/>
      <c r="GF89" s="383"/>
      <c r="GG89" s="383"/>
      <c r="GH89" s="383"/>
      <c r="GI89" s="383"/>
      <c r="GJ89" s="383"/>
      <c r="GK89" s="383"/>
      <c r="GL89" s="383"/>
      <c r="GM89" s="383"/>
      <c r="GN89" s="383"/>
      <c r="GO89" s="383"/>
      <c r="GP89" s="383"/>
      <c r="GQ89" s="383"/>
      <c r="GR89" s="383"/>
      <c r="GS89" s="383"/>
      <c r="GT89" s="383"/>
      <c r="GU89" s="383"/>
      <c r="GV89" s="383"/>
      <c r="GW89" s="383"/>
      <c r="GX89" s="383"/>
      <c r="GY89" s="383"/>
      <c r="GZ89" s="383"/>
      <c r="HA89" s="383"/>
      <c r="HB89" s="383"/>
      <c r="HC89" s="383"/>
      <c r="HD89" s="383"/>
      <c r="HE89" s="383"/>
      <c r="HF89" s="383"/>
      <c r="HG89" s="383"/>
      <c r="HH89" s="383"/>
      <c r="HI89" s="383"/>
      <c r="HJ89" s="383"/>
      <c r="HK89" s="383"/>
      <c r="HL89" s="383"/>
      <c r="HM89" s="383"/>
      <c r="HN89" s="383"/>
      <c r="HO89" s="383"/>
      <c r="HP89" s="383"/>
      <c r="HQ89" s="383"/>
      <c r="HR89" s="383"/>
      <c r="HS89" s="383"/>
      <c r="HT89" s="383"/>
      <c r="HU89" s="383"/>
      <c r="HV89" s="383"/>
      <c r="HW89" s="383"/>
      <c r="HX89" s="383"/>
      <c r="HY89" s="383"/>
      <c r="HZ89" s="383"/>
      <c r="IA89" s="383"/>
      <c r="IB89" s="383"/>
      <c r="IC89" s="383"/>
      <c r="ID89" s="383"/>
      <c r="IE89" s="383"/>
      <c r="IF89" s="383"/>
      <c r="IG89" s="383"/>
      <c r="IH89" s="383"/>
      <c r="II89" s="383"/>
      <c r="IJ89" s="383"/>
      <c r="IK89" s="383"/>
      <c r="IL89" s="383"/>
    </row>
    <row r="90" spans="1:247" ht="15" customHeight="1">
      <c r="A90" s="481" t="s">
        <v>312</v>
      </c>
      <c r="B90" s="482" t="s">
        <v>196</v>
      </c>
      <c r="C90" s="483" t="s">
        <v>222</v>
      </c>
      <c r="D90" s="66"/>
      <c r="E90" s="498" t="s">
        <v>381</v>
      </c>
      <c r="F90" s="502" t="s">
        <v>431</v>
      </c>
      <c r="G90" s="479" t="str">
        <f t="shared" si="9"/>
        <v>07/2025</v>
      </c>
      <c r="H90" s="341">
        <f>SUMIF(VI.A!$B$6:$B$5963,B90,VI.A!$L$6:$L$5963)</f>
        <v>666.16500000000008</v>
      </c>
      <c r="I90" s="341" t="str">
        <f t="shared" si="6"/>
        <v>si</v>
      </c>
      <c r="J90" s="383"/>
      <c r="K90" s="384" t="str">
        <f>IF(E90="SABESP","OK",VLOOKUP(F90,[6]ISD!$B$11:$F$4861,5,FALSE))</f>
        <v>OK</v>
      </c>
      <c r="L90" s="384" t="str">
        <f t="shared" si="10"/>
        <v>OK</v>
      </c>
      <c r="M90" s="480" t="str">
        <f t="shared" si="7"/>
        <v>OK</v>
      </c>
      <c r="N90" s="383" t="b">
        <f t="shared" si="8"/>
        <v>0</v>
      </c>
      <c r="O90" s="383"/>
      <c r="P90" s="383"/>
      <c r="Q90" s="383"/>
      <c r="R90" s="383"/>
      <c r="S90" s="383"/>
      <c r="T90" s="383"/>
      <c r="U90" s="383"/>
      <c r="V90" s="383"/>
      <c r="W90" s="383"/>
      <c r="X90" s="383"/>
      <c r="Y90" s="383"/>
      <c r="Z90" s="383"/>
      <c r="AA90" s="383"/>
      <c r="AB90" s="383"/>
      <c r="AC90" s="383"/>
      <c r="AD90" s="383"/>
      <c r="AE90" s="383"/>
      <c r="AF90" s="383"/>
      <c r="AG90" s="383"/>
      <c r="AH90" s="383"/>
      <c r="AI90" s="383"/>
      <c r="AJ90" s="383"/>
      <c r="AK90" s="383"/>
      <c r="AL90" s="383"/>
      <c r="AM90" s="383"/>
      <c r="AN90" s="383"/>
      <c r="AO90" s="383"/>
      <c r="AP90" s="383"/>
      <c r="AQ90" s="383"/>
      <c r="AR90" s="383"/>
      <c r="AS90" s="383"/>
      <c r="AT90" s="383"/>
      <c r="AU90" s="383"/>
      <c r="AV90" s="383"/>
      <c r="AW90" s="383"/>
      <c r="AX90" s="383"/>
      <c r="AY90" s="383"/>
      <c r="AZ90" s="383"/>
      <c r="BA90" s="383"/>
      <c r="BB90" s="383"/>
      <c r="BC90" s="383"/>
      <c r="BD90" s="383"/>
      <c r="BE90" s="383"/>
      <c r="BF90" s="383"/>
      <c r="BG90" s="383"/>
      <c r="BH90" s="383"/>
      <c r="BI90" s="383"/>
      <c r="BJ90" s="383"/>
      <c r="BK90" s="383"/>
      <c r="BL90" s="383"/>
      <c r="BM90" s="383"/>
      <c r="BN90" s="383"/>
      <c r="BO90" s="383"/>
      <c r="BP90" s="383"/>
      <c r="BQ90" s="383"/>
      <c r="BR90" s="383"/>
      <c r="BS90" s="383"/>
      <c r="BT90" s="383"/>
      <c r="BU90" s="383"/>
      <c r="BV90" s="383"/>
      <c r="BW90" s="383"/>
      <c r="BX90" s="383"/>
      <c r="BY90" s="383"/>
      <c r="BZ90" s="383"/>
      <c r="CA90" s="383"/>
      <c r="CB90" s="383"/>
      <c r="CC90" s="383"/>
      <c r="CD90" s="383"/>
      <c r="CE90" s="383"/>
      <c r="CF90" s="383"/>
      <c r="CG90" s="383"/>
      <c r="CH90" s="383"/>
      <c r="CI90" s="383"/>
      <c r="CJ90" s="383"/>
      <c r="CK90" s="383"/>
      <c r="CL90" s="383"/>
      <c r="CM90" s="383"/>
      <c r="CN90" s="383"/>
      <c r="CO90" s="383"/>
      <c r="CP90" s="383"/>
      <c r="CQ90" s="383"/>
      <c r="CR90" s="383"/>
      <c r="CS90" s="383"/>
      <c r="CT90" s="383"/>
      <c r="CU90" s="383"/>
      <c r="CV90" s="383"/>
      <c r="CW90" s="383"/>
      <c r="CX90" s="383"/>
      <c r="CY90" s="383"/>
      <c r="CZ90" s="383"/>
      <c r="DA90" s="383"/>
      <c r="DB90" s="383"/>
      <c r="DC90" s="383"/>
      <c r="DD90" s="383"/>
      <c r="DE90" s="383"/>
      <c r="DF90" s="383"/>
      <c r="DG90" s="383"/>
      <c r="DH90" s="383"/>
      <c r="DI90" s="383"/>
      <c r="DJ90" s="383"/>
      <c r="DK90" s="383"/>
      <c r="DL90" s="383"/>
      <c r="DM90" s="383"/>
      <c r="DN90" s="383"/>
      <c r="DO90" s="383"/>
      <c r="DP90" s="383"/>
      <c r="DQ90" s="383"/>
      <c r="DR90" s="383"/>
      <c r="DS90" s="383"/>
      <c r="DT90" s="383"/>
      <c r="DU90" s="383"/>
      <c r="DV90" s="383"/>
      <c r="DW90" s="383"/>
      <c r="DX90" s="383"/>
      <c r="DY90" s="383"/>
      <c r="DZ90" s="383"/>
      <c r="EA90" s="383"/>
      <c r="EB90" s="383"/>
      <c r="EC90" s="383"/>
      <c r="ED90" s="383"/>
      <c r="EE90" s="383"/>
      <c r="EF90" s="383"/>
      <c r="EG90" s="383"/>
      <c r="EH90" s="383"/>
      <c r="EI90" s="383"/>
      <c r="EJ90" s="383"/>
      <c r="EK90" s="383"/>
      <c r="EL90" s="383"/>
      <c r="EM90" s="383"/>
      <c r="EN90" s="383"/>
      <c r="EO90" s="383"/>
      <c r="EP90" s="383"/>
      <c r="EQ90" s="383"/>
      <c r="ER90" s="383"/>
      <c r="ES90" s="383"/>
      <c r="ET90" s="383"/>
      <c r="EU90" s="383"/>
      <c r="EV90" s="383"/>
      <c r="EW90" s="383"/>
      <c r="EX90" s="383"/>
      <c r="EY90" s="383"/>
      <c r="EZ90" s="383"/>
      <c r="FA90" s="383"/>
      <c r="FB90" s="383"/>
      <c r="FC90" s="383"/>
      <c r="FD90" s="383"/>
      <c r="FE90" s="383"/>
      <c r="FF90" s="383"/>
      <c r="FG90" s="383"/>
      <c r="FH90" s="383"/>
      <c r="FI90" s="383"/>
      <c r="FJ90" s="383"/>
      <c r="FK90" s="383"/>
      <c r="FL90" s="383"/>
      <c r="FM90" s="383"/>
      <c r="FN90" s="383"/>
      <c r="FO90" s="383"/>
      <c r="FP90" s="383"/>
      <c r="FQ90" s="383"/>
      <c r="FR90" s="383"/>
      <c r="FS90" s="383"/>
      <c r="FT90" s="383"/>
      <c r="FU90" s="383"/>
      <c r="FV90" s="383"/>
      <c r="FW90" s="383"/>
      <c r="FX90" s="383"/>
      <c r="FY90" s="383"/>
      <c r="FZ90" s="383"/>
      <c r="GA90" s="383"/>
      <c r="GB90" s="383"/>
      <c r="GC90" s="383"/>
      <c r="GD90" s="383"/>
      <c r="GE90" s="383"/>
      <c r="GF90" s="383"/>
      <c r="GG90" s="383"/>
      <c r="GH90" s="383"/>
      <c r="GI90" s="383"/>
      <c r="GJ90" s="383"/>
      <c r="GK90" s="383"/>
      <c r="GL90" s="383"/>
      <c r="GM90" s="383"/>
      <c r="GN90" s="383"/>
      <c r="GO90" s="383"/>
      <c r="GP90" s="383"/>
      <c r="GQ90" s="383"/>
      <c r="GR90" s="383"/>
      <c r="GS90" s="383"/>
      <c r="GT90" s="383"/>
      <c r="GU90" s="383"/>
      <c r="GV90" s="383"/>
      <c r="GW90" s="383"/>
      <c r="GX90" s="383"/>
      <c r="GY90" s="383"/>
      <c r="GZ90" s="383"/>
      <c r="HA90" s="383"/>
      <c r="HB90" s="383"/>
      <c r="HC90" s="383"/>
      <c r="HD90" s="383"/>
      <c r="HE90" s="383"/>
      <c r="HF90" s="383"/>
      <c r="HG90" s="383"/>
      <c r="HH90" s="383"/>
      <c r="HI90" s="383"/>
      <c r="HJ90" s="383"/>
      <c r="HK90" s="383"/>
      <c r="HL90" s="383"/>
      <c r="HM90" s="383"/>
      <c r="HN90" s="383"/>
      <c r="HO90" s="383"/>
      <c r="HP90" s="383"/>
      <c r="HQ90" s="383"/>
      <c r="HR90" s="383"/>
      <c r="HS90" s="383"/>
      <c r="HT90" s="383"/>
      <c r="HU90" s="383"/>
      <c r="HV90" s="383"/>
      <c r="HW90" s="383"/>
      <c r="HX90" s="383"/>
      <c r="HY90" s="383"/>
      <c r="HZ90" s="383"/>
      <c r="IA90" s="383"/>
      <c r="IB90" s="383"/>
      <c r="IC90" s="383"/>
      <c r="ID90" s="383"/>
      <c r="IE90" s="383"/>
      <c r="IF90" s="383"/>
      <c r="IG90" s="383"/>
      <c r="IH90" s="383"/>
      <c r="II90" s="383"/>
      <c r="IJ90" s="383"/>
      <c r="IK90" s="383"/>
      <c r="IL90" s="383"/>
    </row>
    <row r="91" spans="1:247" ht="15" customHeight="1">
      <c r="A91" s="481" t="s">
        <v>313</v>
      </c>
      <c r="B91" s="485" t="s">
        <v>437</v>
      </c>
      <c r="C91" s="483" t="s">
        <v>166</v>
      </c>
      <c r="D91" s="66"/>
      <c r="E91" s="500" t="s">
        <v>377</v>
      </c>
      <c r="F91" s="484">
        <v>11711</v>
      </c>
      <c r="G91" s="479" t="str">
        <f t="shared" si="9"/>
        <v>01/2026</v>
      </c>
      <c r="H91" s="341">
        <f>SUMIF(VI.A!$B$6:$B$5963,B91,VI.A!$L$6:$L$5963)</f>
        <v>20</v>
      </c>
      <c r="I91" s="341" t="str">
        <f t="shared" si="6"/>
        <v>si</v>
      </c>
      <c r="J91" s="383"/>
      <c r="K91" s="384">
        <f>IF(E91="SABESP","OK",VLOOKUP(F91,[6]ISD!$B$11:$F$4861,5,FALSE))</f>
        <v>11.59</v>
      </c>
      <c r="L91" s="384" t="str">
        <f t="shared" si="10"/>
        <v>VERIFICAR</v>
      </c>
      <c r="M91" s="480">
        <f t="shared" si="7"/>
        <v>11.59</v>
      </c>
      <c r="N91" s="383" t="b">
        <f t="shared" si="8"/>
        <v>0</v>
      </c>
      <c r="O91" s="383"/>
      <c r="P91" s="383"/>
      <c r="Q91" s="383"/>
      <c r="R91" s="383"/>
      <c r="S91" s="383"/>
      <c r="T91" s="383"/>
      <c r="U91" s="383"/>
      <c r="V91" s="383"/>
      <c r="W91" s="383"/>
      <c r="X91" s="383"/>
      <c r="Y91" s="383"/>
      <c r="Z91" s="383"/>
      <c r="AA91" s="383"/>
      <c r="AB91" s="383"/>
      <c r="AC91" s="383"/>
      <c r="AD91" s="383"/>
      <c r="AE91" s="383"/>
      <c r="AF91" s="383"/>
      <c r="AG91" s="383"/>
      <c r="AH91" s="383"/>
      <c r="AI91" s="383"/>
      <c r="AJ91" s="383"/>
      <c r="AK91" s="383"/>
      <c r="AL91" s="383"/>
      <c r="AM91" s="383"/>
      <c r="AN91" s="383"/>
      <c r="AO91" s="383"/>
      <c r="AP91" s="383"/>
      <c r="AQ91" s="383"/>
      <c r="AR91" s="383"/>
      <c r="AS91" s="383"/>
      <c r="AT91" s="383"/>
      <c r="AU91" s="383"/>
      <c r="AV91" s="383"/>
      <c r="AW91" s="383"/>
      <c r="AX91" s="383"/>
      <c r="AY91" s="383"/>
      <c r="AZ91" s="383"/>
      <c r="BA91" s="383"/>
      <c r="BB91" s="383"/>
      <c r="BC91" s="383"/>
      <c r="BD91" s="383"/>
      <c r="BE91" s="383"/>
      <c r="BF91" s="383"/>
      <c r="BG91" s="383"/>
      <c r="BH91" s="383"/>
      <c r="BI91" s="383"/>
      <c r="BJ91" s="383"/>
      <c r="BK91" s="383"/>
      <c r="BL91" s="383"/>
      <c r="BM91" s="383"/>
      <c r="BN91" s="383"/>
      <c r="BO91" s="383"/>
      <c r="BP91" s="383"/>
      <c r="BQ91" s="383"/>
      <c r="BR91" s="383"/>
      <c r="BS91" s="383"/>
      <c r="BT91" s="383"/>
      <c r="BU91" s="383"/>
      <c r="BV91" s="383"/>
      <c r="BW91" s="383"/>
      <c r="BX91" s="383"/>
      <c r="BY91" s="383"/>
      <c r="BZ91" s="383"/>
      <c r="CA91" s="383"/>
      <c r="CB91" s="383"/>
      <c r="CC91" s="383"/>
      <c r="CD91" s="383"/>
      <c r="CE91" s="383"/>
      <c r="CF91" s="383"/>
      <c r="CG91" s="383"/>
      <c r="CH91" s="383"/>
      <c r="CI91" s="383"/>
      <c r="CJ91" s="383"/>
      <c r="CK91" s="383"/>
      <c r="CL91" s="383"/>
      <c r="CM91" s="383"/>
      <c r="CN91" s="383"/>
      <c r="CO91" s="383"/>
      <c r="CP91" s="383"/>
      <c r="CQ91" s="383"/>
      <c r="CR91" s="383"/>
      <c r="CS91" s="383"/>
      <c r="CT91" s="383"/>
      <c r="CU91" s="383"/>
      <c r="CV91" s="383"/>
      <c r="CW91" s="383"/>
      <c r="CX91" s="383"/>
      <c r="CY91" s="383"/>
      <c r="CZ91" s="383"/>
      <c r="DA91" s="383"/>
      <c r="DB91" s="383"/>
      <c r="DC91" s="383"/>
      <c r="DD91" s="383"/>
      <c r="DE91" s="383"/>
      <c r="DF91" s="383"/>
      <c r="DG91" s="383"/>
      <c r="DH91" s="383"/>
      <c r="DI91" s="383"/>
      <c r="DJ91" s="383"/>
      <c r="DK91" s="383"/>
      <c r="DL91" s="383"/>
      <c r="DM91" s="383"/>
      <c r="DN91" s="383"/>
      <c r="DO91" s="383"/>
      <c r="DP91" s="383"/>
      <c r="DQ91" s="383"/>
      <c r="DR91" s="383"/>
      <c r="DS91" s="383"/>
      <c r="DT91" s="383"/>
      <c r="DU91" s="383"/>
      <c r="DV91" s="383"/>
      <c r="DW91" s="383"/>
      <c r="DX91" s="383"/>
      <c r="DY91" s="383"/>
      <c r="DZ91" s="383"/>
      <c r="EA91" s="383"/>
      <c r="EB91" s="383"/>
      <c r="EC91" s="383"/>
      <c r="ED91" s="383"/>
      <c r="EE91" s="383"/>
      <c r="EF91" s="383"/>
      <c r="EG91" s="383"/>
      <c r="EH91" s="383"/>
      <c r="EI91" s="383"/>
      <c r="EJ91" s="383"/>
      <c r="EK91" s="383"/>
      <c r="EL91" s="383"/>
      <c r="EM91" s="383"/>
      <c r="EN91" s="383"/>
      <c r="EO91" s="383"/>
      <c r="EP91" s="383"/>
      <c r="EQ91" s="383"/>
      <c r="ER91" s="383"/>
      <c r="ES91" s="383"/>
      <c r="ET91" s="383"/>
      <c r="EU91" s="383"/>
      <c r="EV91" s="383"/>
      <c r="EW91" s="383"/>
      <c r="EX91" s="383"/>
      <c r="EY91" s="383"/>
      <c r="EZ91" s="383"/>
      <c r="FA91" s="383"/>
      <c r="FB91" s="383"/>
      <c r="FC91" s="383"/>
      <c r="FD91" s="383"/>
      <c r="FE91" s="383"/>
      <c r="FF91" s="383"/>
      <c r="FG91" s="383"/>
      <c r="FH91" s="383"/>
      <c r="FI91" s="383"/>
      <c r="FJ91" s="383"/>
      <c r="FK91" s="383"/>
      <c r="FL91" s="383"/>
      <c r="FM91" s="383"/>
      <c r="FN91" s="383"/>
      <c r="FO91" s="383"/>
      <c r="FP91" s="383"/>
      <c r="FQ91" s="383"/>
      <c r="FR91" s="383"/>
      <c r="FS91" s="383"/>
      <c r="FT91" s="383"/>
      <c r="FU91" s="383"/>
      <c r="FV91" s="383"/>
      <c r="FW91" s="383"/>
      <c r="FX91" s="383"/>
      <c r="FY91" s="383"/>
      <c r="FZ91" s="383"/>
      <c r="GA91" s="383"/>
      <c r="GB91" s="383"/>
      <c r="GC91" s="383"/>
      <c r="GD91" s="383"/>
      <c r="GE91" s="383"/>
      <c r="GF91" s="383"/>
      <c r="GG91" s="383"/>
      <c r="GH91" s="383"/>
      <c r="GI91" s="383"/>
      <c r="GJ91" s="383"/>
      <c r="GK91" s="383"/>
      <c r="GL91" s="383"/>
      <c r="GM91" s="383"/>
      <c r="GN91" s="383"/>
      <c r="GO91" s="383"/>
      <c r="GP91" s="383"/>
      <c r="GQ91" s="383"/>
      <c r="GR91" s="383"/>
      <c r="GS91" s="383"/>
      <c r="GT91" s="383"/>
      <c r="GU91" s="383"/>
      <c r="GV91" s="383"/>
      <c r="GW91" s="383"/>
      <c r="GX91" s="383"/>
      <c r="GY91" s="383"/>
      <c r="GZ91" s="383"/>
      <c r="HA91" s="383"/>
      <c r="HB91" s="383"/>
      <c r="HC91" s="383"/>
      <c r="HD91" s="383"/>
      <c r="HE91" s="383"/>
      <c r="HF91" s="383"/>
      <c r="HG91" s="383"/>
      <c r="HH91" s="383"/>
      <c r="HI91" s="383"/>
      <c r="HJ91" s="383"/>
      <c r="HK91" s="383"/>
      <c r="HL91" s="383"/>
      <c r="HM91" s="383"/>
      <c r="HN91" s="383"/>
      <c r="HO91" s="383"/>
      <c r="HP91" s="383"/>
      <c r="HQ91" s="383"/>
      <c r="HR91" s="383"/>
      <c r="HS91" s="383"/>
      <c r="HT91" s="383"/>
      <c r="HU91" s="383"/>
      <c r="HV91" s="383"/>
      <c r="HW91" s="383"/>
      <c r="HX91" s="383"/>
      <c r="HY91" s="383"/>
      <c r="HZ91" s="383"/>
      <c r="IA91" s="383"/>
      <c r="IB91" s="383"/>
      <c r="IC91" s="383"/>
      <c r="ID91" s="383"/>
      <c r="IE91" s="383"/>
      <c r="IF91" s="383"/>
      <c r="IG91" s="383"/>
      <c r="IH91" s="383"/>
      <c r="II91" s="383"/>
      <c r="IJ91" s="383"/>
      <c r="IK91" s="383"/>
      <c r="IL91" s="383"/>
    </row>
    <row r="92" spans="1:247" ht="15" customHeight="1">
      <c r="A92" s="481" t="s">
        <v>314</v>
      </c>
      <c r="B92" s="485" t="s">
        <v>197</v>
      </c>
      <c r="C92" s="483" t="s">
        <v>166</v>
      </c>
      <c r="D92" s="66"/>
      <c r="E92" s="500" t="s">
        <v>379</v>
      </c>
      <c r="F92" s="484">
        <v>5102</v>
      </c>
      <c r="G92" s="479" t="str">
        <f t="shared" si="9"/>
        <v>01/2026</v>
      </c>
      <c r="H92" s="341">
        <f>SUMIF(VI.A!$B$6:$B$5963,B92,VI.A!$L$6:$L$5963)</f>
        <v>20</v>
      </c>
      <c r="I92" s="341" t="str">
        <f t="shared" si="6"/>
        <v>si</v>
      </c>
      <c r="J92" s="383"/>
      <c r="K92" s="384">
        <f>IF(E92="SABESP","OK",VLOOKUP(F92,[6]ISD!$B$11:$F$4861,5,FALSE))</f>
        <v>13.91</v>
      </c>
      <c r="L92" s="384" t="str">
        <f t="shared" si="10"/>
        <v>VERIFICAR</v>
      </c>
      <c r="M92" s="480">
        <f t="shared" si="7"/>
        <v>13.91</v>
      </c>
      <c r="N92" s="383" t="b">
        <f t="shared" si="8"/>
        <v>0</v>
      </c>
      <c r="O92" s="383"/>
      <c r="P92" s="383"/>
      <c r="Q92" s="383"/>
      <c r="R92" s="383"/>
      <c r="S92" s="383"/>
      <c r="T92" s="383"/>
      <c r="U92" s="383"/>
      <c r="V92" s="383"/>
      <c r="W92" s="383"/>
      <c r="X92" s="383"/>
      <c r="Y92" s="383"/>
      <c r="Z92" s="383"/>
      <c r="AA92" s="383"/>
      <c r="AB92" s="383"/>
      <c r="AC92" s="383"/>
      <c r="AD92" s="383"/>
      <c r="AE92" s="383"/>
      <c r="AF92" s="383"/>
      <c r="AG92" s="383"/>
      <c r="AH92" s="383"/>
      <c r="AI92" s="383"/>
      <c r="AJ92" s="383"/>
      <c r="AK92" s="383"/>
      <c r="AL92" s="383"/>
      <c r="AM92" s="383"/>
      <c r="AN92" s="383"/>
      <c r="AO92" s="383"/>
      <c r="AP92" s="383"/>
      <c r="AQ92" s="383"/>
      <c r="AR92" s="383"/>
      <c r="AS92" s="383"/>
      <c r="AT92" s="383"/>
      <c r="AU92" s="383"/>
      <c r="AV92" s="383"/>
      <c r="AW92" s="383"/>
      <c r="AX92" s="383"/>
      <c r="AY92" s="383"/>
      <c r="AZ92" s="383"/>
      <c r="BA92" s="383"/>
      <c r="BB92" s="383"/>
      <c r="BC92" s="383"/>
      <c r="BD92" s="383"/>
      <c r="BE92" s="383"/>
      <c r="BF92" s="383"/>
      <c r="BG92" s="383"/>
      <c r="BH92" s="383"/>
      <c r="BI92" s="383"/>
      <c r="BJ92" s="383"/>
      <c r="BK92" s="383"/>
      <c r="BL92" s="383"/>
      <c r="BM92" s="383"/>
      <c r="BN92" s="383"/>
      <c r="BO92" s="383"/>
      <c r="BP92" s="383"/>
      <c r="BQ92" s="383"/>
      <c r="BR92" s="383"/>
      <c r="BS92" s="383"/>
      <c r="BT92" s="383"/>
      <c r="BU92" s="383"/>
      <c r="BV92" s="383"/>
      <c r="BW92" s="383"/>
      <c r="BX92" s="383"/>
      <c r="BY92" s="383"/>
      <c r="BZ92" s="383"/>
      <c r="CA92" s="383"/>
      <c r="CB92" s="383"/>
      <c r="CC92" s="383"/>
      <c r="CD92" s="383"/>
      <c r="CE92" s="383"/>
      <c r="CF92" s="383"/>
      <c r="CG92" s="383"/>
      <c r="CH92" s="383"/>
      <c r="CI92" s="383"/>
      <c r="CJ92" s="383"/>
      <c r="CK92" s="383"/>
      <c r="CL92" s="383"/>
      <c r="CM92" s="383"/>
      <c r="CN92" s="383"/>
      <c r="CO92" s="383"/>
      <c r="CP92" s="383"/>
      <c r="CQ92" s="383"/>
      <c r="CR92" s="383"/>
      <c r="CS92" s="383"/>
      <c r="CT92" s="383"/>
      <c r="CU92" s="383"/>
      <c r="CV92" s="383"/>
      <c r="CW92" s="383"/>
      <c r="CX92" s="383"/>
      <c r="CY92" s="383"/>
      <c r="CZ92" s="383"/>
      <c r="DA92" s="383"/>
      <c r="DB92" s="383"/>
      <c r="DC92" s="383"/>
      <c r="DD92" s="383"/>
      <c r="DE92" s="383"/>
      <c r="DF92" s="383"/>
      <c r="DG92" s="383"/>
      <c r="DH92" s="383"/>
      <c r="DI92" s="383"/>
      <c r="DJ92" s="383"/>
      <c r="DK92" s="383"/>
      <c r="DL92" s="383"/>
      <c r="DM92" s="383"/>
      <c r="DN92" s="383"/>
      <c r="DO92" s="383"/>
      <c r="DP92" s="383"/>
      <c r="DQ92" s="383"/>
      <c r="DR92" s="383"/>
      <c r="DS92" s="383"/>
      <c r="DT92" s="383"/>
      <c r="DU92" s="383"/>
      <c r="DV92" s="383"/>
      <c r="DW92" s="383"/>
      <c r="DX92" s="383"/>
      <c r="DY92" s="383"/>
      <c r="DZ92" s="383"/>
      <c r="EA92" s="383"/>
      <c r="EB92" s="383"/>
      <c r="EC92" s="383"/>
      <c r="ED92" s="383"/>
      <c r="EE92" s="383"/>
      <c r="EF92" s="383"/>
      <c r="EG92" s="383"/>
      <c r="EH92" s="383"/>
      <c r="EI92" s="383"/>
      <c r="EJ92" s="383"/>
      <c r="EK92" s="383"/>
      <c r="EL92" s="383"/>
      <c r="EM92" s="383"/>
      <c r="EN92" s="383"/>
      <c r="EO92" s="383"/>
      <c r="EP92" s="383"/>
      <c r="EQ92" s="383"/>
      <c r="ER92" s="383"/>
      <c r="ES92" s="383"/>
      <c r="ET92" s="383"/>
      <c r="EU92" s="383"/>
      <c r="EV92" s="383"/>
      <c r="EW92" s="383"/>
      <c r="EX92" s="383"/>
      <c r="EY92" s="383"/>
      <c r="EZ92" s="383"/>
      <c r="FA92" s="383"/>
      <c r="FB92" s="383"/>
      <c r="FC92" s="383"/>
      <c r="FD92" s="383"/>
      <c r="FE92" s="383"/>
      <c r="FF92" s="383"/>
      <c r="FG92" s="383"/>
      <c r="FH92" s="383"/>
      <c r="FI92" s="383"/>
      <c r="FJ92" s="383"/>
      <c r="FK92" s="383"/>
      <c r="FL92" s="383"/>
      <c r="FM92" s="383"/>
      <c r="FN92" s="383"/>
      <c r="FO92" s="383"/>
      <c r="FP92" s="383"/>
      <c r="FQ92" s="383"/>
      <c r="FR92" s="383"/>
      <c r="FS92" s="383"/>
      <c r="FT92" s="383"/>
      <c r="FU92" s="383"/>
      <c r="FV92" s="383"/>
      <c r="FW92" s="383"/>
      <c r="FX92" s="383"/>
      <c r="FY92" s="383"/>
      <c r="FZ92" s="383"/>
      <c r="GA92" s="383"/>
      <c r="GB92" s="383"/>
      <c r="GC92" s="383"/>
      <c r="GD92" s="383"/>
      <c r="GE92" s="383"/>
      <c r="GF92" s="383"/>
      <c r="GG92" s="383"/>
      <c r="GH92" s="383"/>
      <c r="GI92" s="383"/>
      <c r="GJ92" s="383"/>
      <c r="GK92" s="383"/>
      <c r="GL92" s="383"/>
      <c r="GM92" s="383"/>
      <c r="GN92" s="383"/>
      <c r="GO92" s="383"/>
      <c r="GP92" s="383"/>
      <c r="GQ92" s="383"/>
      <c r="GR92" s="383"/>
      <c r="GS92" s="383"/>
      <c r="GT92" s="383"/>
      <c r="GU92" s="383"/>
      <c r="GV92" s="383"/>
      <c r="GW92" s="383"/>
      <c r="GX92" s="383"/>
      <c r="GY92" s="383"/>
      <c r="GZ92" s="383"/>
      <c r="HA92" s="383"/>
      <c r="HB92" s="383"/>
      <c r="HC92" s="383"/>
      <c r="HD92" s="383"/>
      <c r="HE92" s="383"/>
      <c r="HF92" s="383"/>
      <c r="HG92" s="383"/>
      <c r="HH92" s="383"/>
      <c r="HI92" s="383"/>
      <c r="HJ92" s="383"/>
      <c r="HK92" s="383"/>
      <c r="HL92" s="383"/>
      <c r="HM92" s="383"/>
      <c r="HN92" s="383"/>
      <c r="HO92" s="383"/>
      <c r="HP92" s="383"/>
      <c r="HQ92" s="383"/>
      <c r="HR92" s="383"/>
      <c r="HS92" s="383"/>
      <c r="HT92" s="383"/>
      <c r="HU92" s="383"/>
      <c r="HV92" s="383"/>
      <c r="HW92" s="383"/>
      <c r="HX92" s="383"/>
      <c r="HY92" s="383"/>
      <c r="HZ92" s="383"/>
      <c r="IA92" s="383"/>
      <c r="IB92" s="383"/>
      <c r="IC92" s="383"/>
      <c r="ID92" s="383"/>
      <c r="IE92" s="383"/>
      <c r="IF92" s="383"/>
      <c r="IG92" s="383"/>
      <c r="IH92" s="383"/>
      <c r="II92" s="383"/>
      <c r="IJ92" s="383"/>
      <c r="IK92" s="383"/>
      <c r="IL92" s="383"/>
    </row>
    <row r="93" spans="1:247" ht="15" customHeight="1">
      <c r="A93" s="481" t="s">
        <v>315</v>
      </c>
      <c r="B93" s="485" t="s">
        <v>198</v>
      </c>
      <c r="C93" s="483" t="s">
        <v>222</v>
      </c>
      <c r="D93" s="66"/>
      <c r="E93" s="500" t="s">
        <v>379</v>
      </c>
      <c r="F93" s="484">
        <v>5104</v>
      </c>
      <c r="G93" s="479" t="str">
        <f t="shared" si="9"/>
        <v>01/2026</v>
      </c>
      <c r="H93" s="341">
        <f>SUMIF(VI.A!$B$6:$B$5963,B93,VI.A!$L$6:$L$5963)</f>
        <v>0.09</v>
      </c>
      <c r="I93" s="341" t="str">
        <f t="shared" si="6"/>
        <v>si</v>
      </c>
      <c r="J93" s="383"/>
      <c r="K93" s="384">
        <f>IF(E93="SABESP","OK",VLOOKUP(F93,[6]ISD!$B$11:$F$4861,5,FALSE))</f>
        <v>70.37</v>
      </c>
      <c r="L93" s="384" t="str">
        <f t="shared" si="10"/>
        <v>VERIFICAR</v>
      </c>
      <c r="M93" s="480">
        <f t="shared" si="7"/>
        <v>70.37</v>
      </c>
      <c r="N93" s="383" t="b">
        <f t="shared" si="8"/>
        <v>0</v>
      </c>
      <c r="O93" s="383"/>
      <c r="P93" s="383"/>
      <c r="Q93" s="383"/>
      <c r="R93" s="383"/>
      <c r="S93" s="383"/>
      <c r="T93" s="383"/>
      <c r="U93" s="383"/>
      <c r="V93" s="383"/>
      <c r="W93" s="383"/>
      <c r="X93" s="383"/>
      <c r="Y93" s="383"/>
      <c r="Z93" s="383"/>
      <c r="AA93" s="383"/>
      <c r="AB93" s="383"/>
      <c r="AC93" s="383"/>
      <c r="AD93" s="383"/>
      <c r="AE93" s="383"/>
      <c r="AF93" s="383"/>
      <c r="AG93" s="383"/>
      <c r="AH93" s="383"/>
      <c r="AI93" s="383"/>
      <c r="AJ93" s="383"/>
      <c r="AK93" s="383"/>
      <c r="AL93" s="383"/>
      <c r="AM93" s="383"/>
      <c r="AN93" s="383"/>
      <c r="AO93" s="383"/>
      <c r="AP93" s="383"/>
      <c r="AQ93" s="383"/>
      <c r="AR93" s="383"/>
      <c r="AS93" s="383"/>
      <c r="AT93" s="383"/>
      <c r="AU93" s="383"/>
      <c r="AV93" s="383"/>
      <c r="AW93" s="383"/>
      <c r="AX93" s="383"/>
      <c r="AY93" s="383"/>
      <c r="AZ93" s="383"/>
      <c r="BA93" s="383"/>
      <c r="BB93" s="383"/>
      <c r="BC93" s="383"/>
      <c r="BD93" s="383"/>
      <c r="BE93" s="383"/>
      <c r="BF93" s="383"/>
      <c r="BG93" s="383"/>
      <c r="BH93" s="383"/>
      <c r="BI93" s="383"/>
      <c r="BJ93" s="383"/>
      <c r="BK93" s="383"/>
      <c r="BL93" s="383"/>
      <c r="BM93" s="383"/>
      <c r="BN93" s="383"/>
      <c r="BO93" s="383"/>
      <c r="BP93" s="383"/>
      <c r="BQ93" s="383"/>
      <c r="BR93" s="383"/>
      <c r="BS93" s="383"/>
      <c r="BT93" s="383"/>
      <c r="BU93" s="383"/>
      <c r="BV93" s="383"/>
      <c r="BW93" s="383"/>
      <c r="BX93" s="383"/>
      <c r="BY93" s="383"/>
      <c r="BZ93" s="383"/>
      <c r="CA93" s="383"/>
      <c r="CB93" s="383"/>
      <c r="CC93" s="383"/>
      <c r="CD93" s="383"/>
      <c r="CE93" s="383"/>
      <c r="CF93" s="383"/>
      <c r="CG93" s="383"/>
      <c r="CH93" s="383"/>
      <c r="CI93" s="383"/>
      <c r="CJ93" s="383"/>
      <c r="CK93" s="383"/>
      <c r="CL93" s="383"/>
      <c r="CM93" s="383"/>
      <c r="CN93" s="383"/>
      <c r="CO93" s="383"/>
      <c r="CP93" s="383"/>
      <c r="CQ93" s="383"/>
      <c r="CR93" s="383"/>
      <c r="CS93" s="383"/>
      <c r="CT93" s="383"/>
      <c r="CU93" s="383"/>
      <c r="CV93" s="383"/>
      <c r="CW93" s="383"/>
      <c r="CX93" s="383"/>
      <c r="CY93" s="383"/>
      <c r="CZ93" s="383"/>
      <c r="DA93" s="383"/>
      <c r="DB93" s="383"/>
      <c r="DC93" s="383"/>
      <c r="DD93" s="383"/>
      <c r="DE93" s="383"/>
      <c r="DF93" s="383"/>
      <c r="DG93" s="383"/>
      <c r="DH93" s="383"/>
      <c r="DI93" s="383"/>
      <c r="DJ93" s="383"/>
      <c r="DK93" s="383"/>
      <c r="DL93" s="383"/>
      <c r="DM93" s="383"/>
      <c r="DN93" s="383"/>
      <c r="DO93" s="383"/>
      <c r="DP93" s="383"/>
      <c r="DQ93" s="383"/>
      <c r="DR93" s="383"/>
      <c r="DS93" s="383"/>
      <c r="DT93" s="383"/>
      <c r="DU93" s="383"/>
      <c r="DV93" s="383"/>
      <c r="DW93" s="383"/>
      <c r="DX93" s="383"/>
      <c r="DY93" s="383"/>
      <c r="DZ93" s="383"/>
      <c r="EA93" s="383"/>
      <c r="EB93" s="383"/>
      <c r="EC93" s="383"/>
      <c r="ED93" s="383"/>
      <c r="EE93" s="383"/>
      <c r="EF93" s="383"/>
      <c r="EG93" s="383"/>
      <c r="EH93" s="383"/>
      <c r="EI93" s="383"/>
      <c r="EJ93" s="383"/>
      <c r="EK93" s="383"/>
      <c r="EL93" s="383"/>
      <c r="EM93" s="383"/>
      <c r="EN93" s="383"/>
      <c r="EO93" s="383"/>
      <c r="EP93" s="383"/>
      <c r="EQ93" s="383"/>
      <c r="ER93" s="383"/>
      <c r="ES93" s="383"/>
      <c r="ET93" s="383"/>
      <c r="EU93" s="383"/>
      <c r="EV93" s="383"/>
      <c r="EW93" s="383"/>
      <c r="EX93" s="383"/>
      <c r="EY93" s="383"/>
      <c r="EZ93" s="383"/>
      <c r="FA93" s="383"/>
      <c r="FB93" s="383"/>
      <c r="FC93" s="383"/>
      <c r="FD93" s="383"/>
      <c r="FE93" s="383"/>
      <c r="FF93" s="383"/>
      <c r="FG93" s="383"/>
      <c r="FH93" s="383"/>
      <c r="FI93" s="383"/>
      <c r="FJ93" s="383"/>
      <c r="FK93" s="383"/>
      <c r="FL93" s="383"/>
      <c r="FM93" s="383"/>
      <c r="FN93" s="383"/>
      <c r="FO93" s="383"/>
      <c r="FP93" s="383"/>
      <c r="FQ93" s="383"/>
      <c r="FR93" s="383"/>
      <c r="FS93" s="383"/>
      <c r="FT93" s="383"/>
      <c r="FU93" s="383"/>
      <c r="FV93" s="383"/>
      <c r="FW93" s="383"/>
      <c r="FX93" s="383"/>
      <c r="FY93" s="383"/>
      <c r="FZ93" s="383"/>
      <c r="GA93" s="383"/>
      <c r="GB93" s="383"/>
      <c r="GC93" s="383"/>
      <c r="GD93" s="383"/>
      <c r="GE93" s="383"/>
      <c r="GF93" s="383"/>
      <c r="GG93" s="383"/>
      <c r="GH93" s="383"/>
      <c r="GI93" s="383"/>
      <c r="GJ93" s="383"/>
      <c r="GK93" s="383"/>
      <c r="GL93" s="383"/>
      <c r="GM93" s="383"/>
      <c r="GN93" s="383"/>
      <c r="GO93" s="383"/>
      <c r="GP93" s="383"/>
      <c r="GQ93" s="383"/>
      <c r="GR93" s="383"/>
      <c r="GS93" s="383"/>
      <c r="GT93" s="383"/>
      <c r="GU93" s="383"/>
      <c r="GV93" s="383"/>
      <c r="GW93" s="383"/>
      <c r="GX93" s="383"/>
      <c r="GY93" s="383"/>
      <c r="GZ93" s="383"/>
      <c r="HA93" s="383"/>
      <c r="HB93" s="383"/>
      <c r="HC93" s="383"/>
      <c r="HD93" s="383"/>
      <c r="HE93" s="383"/>
      <c r="HF93" s="383"/>
      <c r="HG93" s="383"/>
      <c r="HH93" s="383"/>
      <c r="HI93" s="383"/>
      <c r="HJ93" s="383"/>
      <c r="HK93" s="383"/>
      <c r="HL93" s="383"/>
      <c r="HM93" s="383"/>
      <c r="HN93" s="383"/>
      <c r="HO93" s="383"/>
      <c r="HP93" s="383"/>
      <c r="HQ93" s="383"/>
      <c r="HR93" s="383"/>
      <c r="HS93" s="383"/>
      <c r="HT93" s="383"/>
      <c r="HU93" s="383"/>
      <c r="HV93" s="383"/>
      <c r="HW93" s="383"/>
      <c r="HX93" s="383"/>
      <c r="HY93" s="383"/>
      <c r="HZ93" s="383"/>
      <c r="IA93" s="383"/>
      <c r="IB93" s="383"/>
      <c r="IC93" s="383"/>
      <c r="ID93" s="383"/>
      <c r="IE93" s="383"/>
      <c r="IF93" s="383"/>
      <c r="IG93" s="383"/>
      <c r="IH93" s="383"/>
      <c r="II93" s="383"/>
      <c r="IJ93" s="383"/>
      <c r="IK93" s="383"/>
      <c r="IL93" s="383"/>
    </row>
    <row r="94" spans="1:247" ht="15" customHeight="1">
      <c r="A94" s="481" t="s">
        <v>316</v>
      </c>
      <c r="B94" s="485" t="s">
        <v>444</v>
      </c>
      <c r="C94" s="483" t="s">
        <v>413</v>
      </c>
      <c r="D94" s="66"/>
      <c r="E94" s="500" t="s">
        <v>379</v>
      </c>
      <c r="F94" s="484">
        <v>11676</v>
      </c>
      <c r="G94" s="479" t="str">
        <f t="shared" si="9"/>
        <v>01/2026</v>
      </c>
      <c r="H94" s="341">
        <f>SUMIF(VI.A!$B$6:$B$5963,B94,VI.A!$L$6:$L$5963)</f>
        <v>25</v>
      </c>
      <c r="I94" s="341" t="str">
        <f t="shared" si="6"/>
        <v>si</v>
      </c>
      <c r="J94" s="383"/>
      <c r="K94" s="384">
        <f>IF(E94="SABESP","OK",VLOOKUP(F94,[6]ISD!$B$11:$F$4861,5,FALSE))</f>
        <v>67.88</v>
      </c>
      <c r="L94" s="384" t="str">
        <f t="shared" si="10"/>
        <v>VERIFICAR</v>
      </c>
      <c r="M94" s="480">
        <f t="shared" si="7"/>
        <v>67.88</v>
      </c>
      <c r="N94" s="383" t="b">
        <f t="shared" si="8"/>
        <v>0</v>
      </c>
      <c r="O94" s="383"/>
      <c r="P94" s="383"/>
      <c r="Q94" s="383"/>
      <c r="R94" s="383"/>
      <c r="S94" s="383"/>
      <c r="T94" s="383"/>
      <c r="U94" s="383"/>
      <c r="V94" s="383"/>
      <c r="W94" s="383"/>
      <c r="X94" s="383"/>
      <c r="Y94" s="383"/>
      <c r="Z94" s="383"/>
      <c r="AA94" s="383"/>
      <c r="AB94" s="383"/>
      <c r="AC94" s="383"/>
      <c r="AD94" s="383"/>
      <c r="AE94" s="383"/>
      <c r="AF94" s="383"/>
      <c r="AG94" s="383"/>
      <c r="AH94" s="383"/>
      <c r="AI94" s="383"/>
      <c r="AJ94" s="383"/>
      <c r="AK94" s="383"/>
      <c r="AL94" s="383"/>
      <c r="AM94" s="383"/>
      <c r="AN94" s="383"/>
      <c r="AO94" s="383"/>
      <c r="AP94" s="383"/>
      <c r="AQ94" s="383"/>
      <c r="AR94" s="383"/>
      <c r="AS94" s="383"/>
      <c r="AT94" s="383"/>
      <c r="AU94" s="383"/>
      <c r="AV94" s="383"/>
      <c r="AW94" s="383"/>
      <c r="AX94" s="383"/>
      <c r="AY94" s="383"/>
      <c r="AZ94" s="383"/>
      <c r="BA94" s="383"/>
      <c r="BB94" s="383"/>
      <c r="BC94" s="383"/>
      <c r="BD94" s="383"/>
      <c r="BE94" s="383"/>
      <c r="BF94" s="383"/>
      <c r="BG94" s="383"/>
      <c r="BH94" s="383"/>
      <c r="BI94" s="383"/>
      <c r="BJ94" s="383"/>
      <c r="BK94" s="383"/>
      <c r="BL94" s="383"/>
      <c r="BM94" s="383"/>
      <c r="BN94" s="383"/>
      <c r="BO94" s="383"/>
      <c r="BP94" s="383"/>
      <c r="BQ94" s="383"/>
      <c r="BR94" s="383"/>
      <c r="BS94" s="383"/>
      <c r="BT94" s="383"/>
      <c r="BU94" s="383"/>
      <c r="BV94" s="383"/>
      <c r="BW94" s="383"/>
      <c r="BX94" s="383"/>
      <c r="BY94" s="383"/>
      <c r="BZ94" s="383"/>
      <c r="CA94" s="383"/>
      <c r="CB94" s="383"/>
      <c r="CC94" s="383"/>
      <c r="CD94" s="383"/>
      <c r="CE94" s="383"/>
      <c r="CF94" s="383"/>
      <c r="CG94" s="383"/>
      <c r="CH94" s="383"/>
      <c r="CI94" s="383"/>
      <c r="CJ94" s="383"/>
      <c r="CK94" s="383"/>
      <c r="CL94" s="383"/>
      <c r="CM94" s="383"/>
      <c r="CN94" s="383"/>
      <c r="CO94" s="383"/>
      <c r="CP94" s="383"/>
      <c r="CQ94" s="383"/>
      <c r="CR94" s="383"/>
      <c r="CS94" s="383"/>
      <c r="CT94" s="383"/>
      <c r="CU94" s="383"/>
      <c r="CV94" s="383"/>
      <c r="CW94" s="383"/>
      <c r="CX94" s="383"/>
      <c r="CY94" s="383"/>
      <c r="CZ94" s="383"/>
      <c r="DA94" s="383"/>
      <c r="DB94" s="383"/>
      <c r="DC94" s="383"/>
      <c r="DD94" s="383"/>
      <c r="DE94" s="383"/>
      <c r="DF94" s="383"/>
      <c r="DG94" s="383"/>
      <c r="DH94" s="383"/>
      <c r="DI94" s="383"/>
      <c r="DJ94" s="383"/>
      <c r="DK94" s="383"/>
      <c r="DL94" s="383"/>
      <c r="DM94" s="383"/>
      <c r="DN94" s="383"/>
      <c r="DO94" s="383"/>
      <c r="DP94" s="383"/>
      <c r="DQ94" s="383"/>
      <c r="DR94" s="383"/>
      <c r="DS94" s="383"/>
      <c r="DT94" s="383"/>
      <c r="DU94" s="383"/>
      <c r="DV94" s="383"/>
      <c r="DW94" s="383"/>
      <c r="DX94" s="383"/>
      <c r="DY94" s="383"/>
      <c r="DZ94" s="383"/>
      <c r="EA94" s="383"/>
      <c r="EB94" s="383"/>
      <c r="EC94" s="383"/>
      <c r="ED94" s="383"/>
      <c r="EE94" s="383"/>
      <c r="EF94" s="383"/>
      <c r="EG94" s="383"/>
      <c r="EH94" s="383"/>
      <c r="EI94" s="383"/>
      <c r="EJ94" s="383"/>
      <c r="EK94" s="383"/>
      <c r="EL94" s="383"/>
      <c r="EM94" s="383"/>
      <c r="EN94" s="383"/>
      <c r="EO94" s="383"/>
      <c r="EP94" s="383"/>
      <c r="EQ94" s="383"/>
      <c r="ER94" s="383"/>
      <c r="ES94" s="383"/>
      <c r="ET94" s="383"/>
      <c r="EU94" s="383"/>
      <c r="EV94" s="383"/>
      <c r="EW94" s="383"/>
      <c r="EX94" s="383"/>
      <c r="EY94" s="383"/>
      <c r="EZ94" s="383"/>
      <c r="FA94" s="383"/>
      <c r="FB94" s="383"/>
      <c r="FC94" s="383"/>
      <c r="FD94" s="383"/>
      <c r="FE94" s="383"/>
      <c r="FF94" s="383"/>
      <c r="FG94" s="383"/>
      <c r="FH94" s="383"/>
      <c r="FI94" s="383"/>
      <c r="FJ94" s="383"/>
      <c r="FK94" s="383"/>
      <c r="FL94" s="383"/>
      <c r="FM94" s="383"/>
      <c r="FN94" s="383"/>
      <c r="FO94" s="383"/>
      <c r="FP94" s="383"/>
      <c r="FQ94" s="383"/>
      <c r="FR94" s="383"/>
      <c r="FS94" s="383"/>
      <c r="FT94" s="383"/>
      <c r="FU94" s="383"/>
      <c r="FV94" s="383"/>
      <c r="FW94" s="383"/>
      <c r="FX94" s="383"/>
      <c r="FY94" s="383"/>
      <c r="FZ94" s="383"/>
      <c r="GA94" s="383"/>
      <c r="GB94" s="383"/>
      <c r="GC94" s="383"/>
      <c r="GD94" s="383"/>
      <c r="GE94" s="383"/>
      <c r="GF94" s="383"/>
      <c r="GG94" s="383"/>
      <c r="GH94" s="383"/>
      <c r="GI94" s="383"/>
      <c r="GJ94" s="383"/>
      <c r="GK94" s="383"/>
      <c r="GL94" s="383"/>
      <c r="GM94" s="383"/>
      <c r="GN94" s="383"/>
      <c r="GO94" s="383"/>
      <c r="GP94" s="383"/>
      <c r="GQ94" s="383"/>
      <c r="GR94" s="383"/>
      <c r="GS94" s="383"/>
      <c r="GT94" s="383"/>
      <c r="GU94" s="383"/>
      <c r="GV94" s="383"/>
      <c r="GW94" s="383"/>
      <c r="GX94" s="383"/>
      <c r="GY94" s="383"/>
      <c r="GZ94" s="383"/>
      <c r="HA94" s="383"/>
      <c r="HB94" s="383"/>
      <c r="HC94" s="383"/>
      <c r="HD94" s="383"/>
      <c r="HE94" s="383"/>
      <c r="HF94" s="383"/>
      <c r="HG94" s="383"/>
      <c r="HH94" s="383"/>
      <c r="HI94" s="383"/>
      <c r="HJ94" s="383"/>
      <c r="HK94" s="383"/>
      <c r="HL94" s="383"/>
      <c r="HM94" s="383"/>
      <c r="HN94" s="383"/>
      <c r="HO94" s="383"/>
      <c r="HP94" s="383"/>
      <c r="HQ94" s="383"/>
      <c r="HR94" s="383"/>
      <c r="HS94" s="383"/>
      <c r="HT94" s="383"/>
      <c r="HU94" s="383"/>
      <c r="HV94" s="383"/>
      <c r="HW94" s="383"/>
      <c r="HX94" s="383"/>
      <c r="HY94" s="383"/>
      <c r="HZ94" s="383"/>
      <c r="IA94" s="383"/>
      <c r="IB94" s="383"/>
      <c r="IC94" s="383"/>
      <c r="ID94" s="383"/>
      <c r="IE94" s="383"/>
      <c r="IF94" s="383"/>
      <c r="IG94" s="383"/>
      <c r="IH94" s="383"/>
      <c r="II94" s="383"/>
      <c r="IJ94" s="383"/>
      <c r="IK94" s="383"/>
      <c r="IL94" s="383"/>
    </row>
    <row r="95" spans="1:247" ht="15" customHeight="1">
      <c r="A95" s="481" t="s">
        <v>317</v>
      </c>
      <c r="B95" s="485" t="s">
        <v>199</v>
      </c>
      <c r="C95" s="483" t="s">
        <v>164</v>
      </c>
      <c r="D95" s="66"/>
      <c r="E95" s="500" t="s">
        <v>379</v>
      </c>
      <c r="F95" s="484">
        <v>1116</v>
      </c>
      <c r="G95" s="479" t="str">
        <f t="shared" si="9"/>
        <v>01/2026</v>
      </c>
      <c r="H95" s="341">
        <f>SUMIF(VI.A!$B$6:$B$5963,B95,VI.A!$L$6:$L$5963)</f>
        <v>25.75</v>
      </c>
      <c r="I95" s="341" t="str">
        <f t="shared" si="6"/>
        <v>si</v>
      </c>
      <c r="J95" s="383"/>
      <c r="K95" s="384">
        <f>IF(E95="SABESP","OK",VLOOKUP(F95,[6]ISD!$B$11:$F$4861,5,FALSE))</f>
        <v>17.36</v>
      </c>
      <c r="L95" s="384" t="str">
        <f t="shared" si="10"/>
        <v>VERIFICAR</v>
      </c>
      <c r="M95" s="480">
        <f t="shared" si="7"/>
        <v>17.36</v>
      </c>
      <c r="N95" s="383" t="b">
        <f t="shared" si="8"/>
        <v>0</v>
      </c>
      <c r="O95" s="383"/>
      <c r="P95" s="383"/>
      <c r="Q95" s="383"/>
      <c r="R95" s="383"/>
      <c r="S95" s="383"/>
      <c r="T95" s="383"/>
      <c r="U95" s="383"/>
      <c r="V95" s="383"/>
      <c r="W95" s="383"/>
      <c r="X95" s="383"/>
      <c r="Y95" s="383"/>
      <c r="Z95" s="383"/>
      <c r="AA95" s="383"/>
      <c r="AB95" s="383"/>
      <c r="AC95" s="383"/>
      <c r="AD95" s="383"/>
      <c r="AE95" s="383"/>
      <c r="AF95" s="383"/>
      <c r="AG95" s="383"/>
      <c r="AH95" s="383"/>
      <c r="AI95" s="383"/>
      <c r="AJ95" s="383"/>
      <c r="AK95" s="383"/>
      <c r="AL95" s="383"/>
      <c r="AM95" s="383"/>
      <c r="AN95" s="383"/>
      <c r="AO95" s="383"/>
      <c r="AP95" s="383"/>
      <c r="AQ95" s="383"/>
      <c r="AR95" s="383"/>
      <c r="AS95" s="383"/>
      <c r="AT95" s="383"/>
      <c r="AU95" s="383"/>
      <c r="AV95" s="383"/>
      <c r="AW95" s="383"/>
      <c r="AX95" s="383"/>
      <c r="AY95" s="383"/>
      <c r="AZ95" s="383"/>
      <c r="BA95" s="383"/>
      <c r="BB95" s="383"/>
      <c r="BC95" s="383"/>
      <c r="BD95" s="383"/>
      <c r="BE95" s="383"/>
      <c r="BF95" s="383"/>
      <c r="BG95" s="383"/>
      <c r="BH95" s="383"/>
      <c r="BI95" s="383"/>
      <c r="BJ95" s="383"/>
      <c r="BK95" s="383"/>
      <c r="BL95" s="383"/>
      <c r="BM95" s="383"/>
      <c r="BN95" s="383"/>
      <c r="BO95" s="383"/>
      <c r="BP95" s="383"/>
      <c r="BQ95" s="383"/>
      <c r="BR95" s="383"/>
      <c r="BS95" s="383"/>
      <c r="BT95" s="383"/>
      <c r="BU95" s="383"/>
      <c r="BV95" s="383"/>
      <c r="BW95" s="383"/>
      <c r="BX95" s="383"/>
      <c r="BY95" s="383"/>
      <c r="BZ95" s="383"/>
      <c r="CA95" s="383"/>
      <c r="CB95" s="383"/>
      <c r="CC95" s="383"/>
      <c r="CD95" s="383"/>
      <c r="CE95" s="383"/>
      <c r="CF95" s="383"/>
      <c r="CG95" s="383"/>
      <c r="CH95" s="383"/>
      <c r="CI95" s="383"/>
      <c r="CJ95" s="383"/>
      <c r="CK95" s="383"/>
      <c r="CL95" s="383"/>
      <c r="CM95" s="383"/>
      <c r="CN95" s="383"/>
      <c r="CO95" s="383"/>
      <c r="CP95" s="383"/>
      <c r="CQ95" s="383"/>
      <c r="CR95" s="383"/>
      <c r="CS95" s="383"/>
      <c r="CT95" s="383"/>
      <c r="CU95" s="383"/>
      <c r="CV95" s="383"/>
      <c r="CW95" s="383"/>
      <c r="CX95" s="383"/>
      <c r="CY95" s="383"/>
      <c r="CZ95" s="383"/>
      <c r="DA95" s="383"/>
      <c r="DB95" s="383"/>
      <c r="DC95" s="383"/>
      <c r="DD95" s="383"/>
      <c r="DE95" s="383"/>
      <c r="DF95" s="383"/>
      <c r="DG95" s="383"/>
      <c r="DH95" s="383"/>
      <c r="DI95" s="383"/>
      <c r="DJ95" s="383"/>
      <c r="DK95" s="383"/>
      <c r="DL95" s="383"/>
      <c r="DM95" s="383"/>
      <c r="DN95" s="383"/>
      <c r="DO95" s="383"/>
      <c r="DP95" s="383"/>
      <c r="DQ95" s="383"/>
      <c r="DR95" s="383"/>
      <c r="DS95" s="383"/>
      <c r="DT95" s="383"/>
      <c r="DU95" s="383"/>
      <c r="DV95" s="383"/>
      <c r="DW95" s="383"/>
      <c r="DX95" s="383"/>
      <c r="DY95" s="383"/>
      <c r="DZ95" s="383"/>
      <c r="EA95" s="383"/>
      <c r="EB95" s="383"/>
      <c r="EC95" s="383"/>
      <c r="ED95" s="383"/>
      <c r="EE95" s="383"/>
      <c r="EF95" s="383"/>
      <c r="EG95" s="383"/>
      <c r="EH95" s="383"/>
      <c r="EI95" s="383"/>
      <c r="EJ95" s="383"/>
      <c r="EK95" s="383"/>
      <c r="EL95" s="383"/>
      <c r="EM95" s="383"/>
      <c r="EN95" s="383"/>
      <c r="EO95" s="383"/>
      <c r="EP95" s="383"/>
      <c r="EQ95" s="383"/>
      <c r="ER95" s="383"/>
      <c r="ES95" s="383"/>
      <c r="ET95" s="383"/>
      <c r="EU95" s="383"/>
      <c r="EV95" s="383"/>
      <c r="EW95" s="383"/>
      <c r="EX95" s="383"/>
      <c r="EY95" s="383"/>
      <c r="EZ95" s="383"/>
      <c r="FA95" s="383"/>
      <c r="FB95" s="383"/>
      <c r="FC95" s="383"/>
      <c r="FD95" s="383"/>
      <c r="FE95" s="383"/>
      <c r="FF95" s="383"/>
      <c r="FG95" s="383"/>
      <c r="FH95" s="383"/>
      <c r="FI95" s="383"/>
      <c r="FJ95" s="383"/>
      <c r="FK95" s="383"/>
      <c r="FL95" s="383"/>
      <c r="FM95" s="383"/>
      <c r="FN95" s="383"/>
      <c r="FO95" s="383"/>
      <c r="FP95" s="383"/>
      <c r="FQ95" s="383"/>
      <c r="FR95" s="383"/>
      <c r="FS95" s="383"/>
      <c r="FT95" s="383"/>
      <c r="FU95" s="383"/>
      <c r="FV95" s="383"/>
      <c r="FW95" s="383"/>
      <c r="FX95" s="383"/>
      <c r="FY95" s="383"/>
      <c r="FZ95" s="383"/>
      <c r="GA95" s="383"/>
      <c r="GB95" s="383"/>
      <c r="GC95" s="383"/>
      <c r="GD95" s="383"/>
      <c r="GE95" s="383"/>
      <c r="GF95" s="383"/>
      <c r="GG95" s="383"/>
      <c r="GH95" s="383"/>
      <c r="GI95" s="383"/>
      <c r="GJ95" s="383"/>
      <c r="GK95" s="383"/>
      <c r="GL95" s="383"/>
      <c r="GM95" s="383"/>
      <c r="GN95" s="383"/>
      <c r="GO95" s="383"/>
      <c r="GP95" s="383"/>
      <c r="GQ95" s="383"/>
      <c r="GR95" s="383"/>
      <c r="GS95" s="383"/>
      <c r="GT95" s="383"/>
      <c r="GU95" s="383"/>
      <c r="GV95" s="383"/>
      <c r="GW95" s="383"/>
      <c r="GX95" s="383"/>
      <c r="GY95" s="383"/>
      <c r="GZ95" s="383"/>
      <c r="HA95" s="383"/>
      <c r="HB95" s="383"/>
      <c r="HC95" s="383"/>
      <c r="HD95" s="383"/>
      <c r="HE95" s="383"/>
      <c r="HF95" s="383"/>
      <c r="HG95" s="383"/>
      <c r="HH95" s="383"/>
      <c r="HI95" s="383"/>
      <c r="HJ95" s="383"/>
      <c r="HK95" s="383"/>
      <c r="HL95" s="383"/>
      <c r="HM95" s="383"/>
      <c r="HN95" s="383"/>
      <c r="HO95" s="383"/>
      <c r="HP95" s="383"/>
      <c r="HQ95" s="383"/>
      <c r="HR95" s="383"/>
      <c r="HS95" s="383"/>
      <c r="HT95" s="383"/>
      <c r="HU95" s="383"/>
      <c r="HV95" s="383"/>
      <c r="HW95" s="383"/>
      <c r="HX95" s="383"/>
      <c r="HY95" s="383"/>
      <c r="HZ95" s="383"/>
      <c r="IA95" s="383"/>
      <c r="IB95" s="383"/>
      <c r="IC95" s="383"/>
      <c r="ID95" s="383"/>
      <c r="IE95" s="383"/>
      <c r="IF95" s="383"/>
      <c r="IG95" s="383"/>
      <c r="IH95" s="383"/>
      <c r="II95" s="383"/>
      <c r="IJ95" s="383"/>
      <c r="IK95" s="383"/>
      <c r="IL95" s="383"/>
    </row>
    <row r="96" spans="1:247" ht="15" customHeight="1">
      <c r="A96" s="481" t="s">
        <v>318</v>
      </c>
      <c r="B96" s="482" t="s">
        <v>547</v>
      </c>
      <c r="C96" s="483" t="s">
        <v>164</v>
      </c>
      <c r="D96" s="66"/>
      <c r="E96" s="500" t="s">
        <v>379</v>
      </c>
      <c r="F96" s="484">
        <v>4415</v>
      </c>
      <c r="G96" s="479" t="str">
        <f t="shared" si="9"/>
        <v>01/2026</v>
      </c>
      <c r="H96" s="341">
        <f>SUMIF(VI.A!$B$6:$B$5963,B96,VI.A!$L$6:$L$5963)</f>
        <v>60</v>
      </c>
      <c r="I96" s="341" t="str">
        <f t="shared" si="6"/>
        <v>si</v>
      </c>
      <c r="J96" s="383"/>
      <c r="K96" s="384">
        <f>IF(E96="SABESP","OK",VLOOKUP(F96,[6]ISD!$B$11:$F$4861,5,FALSE))</f>
        <v>6.3</v>
      </c>
      <c r="L96" s="384" t="str">
        <f t="shared" si="10"/>
        <v>VERIFICAR</v>
      </c>
      <c r="M96" s="480">
        <f t="shared" si="7"/>
        <v>6.3</v>
      </c>
      <c r="N96" s="383" t="b">
        <f t="shared" si="8"/>
        <v>0</v>
      </c>
      <c r="O96" s="383"/>
      <c r="P96" s="383"/>
      <c r="Q96" s="383"/>
      <c r="R96" s="383"/>
      <c r="S96" s="383"/>
      <c r="T96" s="383"/>
      <c r="U96" s="383"/>
      <c r="V96" s="383"/>
      <c r="W96" s="383"/>
      <c r="X96" s="383"/>
      <c r="Y96" s="383"/>
      <c r="Z96" s="383"/>
      <c r="AA96" s="383"/>
      <c r="AB96" s="383"/>
      <c r="AC96" s="383"/>
      <c r="AD96" s="383"/>
      <c r="AE96" s="383"/>
      <c r="AF96" s="383"/>
      <c r="AG96" s="383"/>
      <c r="AH96" s="383"/>
      <c r="AI96" s="383"/>
      <c r="AJ96" s="383"/>
      <c r="AK96" s="383"/>
      <c r="AL96" s="383"/>
      <c r="AM96" s="383"/>
      <c r="AN96" s="383"/>
      <c r="AO96" s="383"/>
      <c r="AP96" s="383"/>
      <c r="AQ96" s="383"/>
      <c r="AR96" s="383"/>
      <c r="AS96" s="383"/>
      <c r="AT96" s="383"/>
      <c r="AU96" s="383"/>
      <c r="AV96" s="383"/>
      <c r="AW96" s="383"/>
      <c r="AX96" s="383"/>
      <c r="AY96" s="383"/>
      <c r="AZ96" s="383"/>
      <c r="BA96" s="383"/>
      <c r="BB96" s="383"/>
      <c r="BC96" s="383"/>
      <c r="BD96" s="383"/>
      <c r="BE96" s="383"/>
      <c r="BF96" s="383"/>
      <c r="BG96" s="383"/>
      <c r="BH96" s="383"/>
      <c r="BI96" s="383"/>
      <c r="BJ96" s="383"/>
      <c r="BK96" s="383"/>
      <c r="BL96" s="383"/>
      <c r="BM96" s="383"/>
      <c r="BN96" s="383"/>
      <c r="BO96" s="383"/>
      <c r="BP96" s="383"/>
      <c r="BQ96" s="383"/>
      <c r="BR96" s="383"/>
      <c r="BS96" s="383"/>
      <c r="BT96" s="383"/>
      <c r="BU96" s="383"/>
      <c r="BV96" s="383"/>
      <c r="BW96" s="383"/>
      <c r="BX96" s="383"/>
      <c r="BY96" s="383"/>
      <c r="BZ96" s="383"/>
      <c r="CA96" s="383"/>
      <c r="CB96" s="383"/>
      <c r="CC96" s="383"/>
      <c r="CD96" s="383"/>
      <c r="CE96" s="383"/>
      <c r="CF96" s="383"/>
      <c r="CG96" s="383"/>
      <c r="CH96" s="383"/>
      <c r="CI96" s="383"/>
      <c r="CJ96" s="383"/>
      <c r="CK96" s="383"/>
      <c r="CL96" s="383"/>
      <c r="CM96" s="383"/>
      <c r="CN96" s="383"/>
      <c r="CO96" s="383"/>
      <c r="CP96" s="383"/>
      <c r="CQ96" s="383"/>
      <c r="CR96" s="383"/>
      <c r="CS96" s="383"/>
      <c r="CT96" s="383"/>
      <c r="CU96" s="383"/>
      <c r="CV96" s="383"/>
      <c r="CW96" s="383"/>
      <c r="CX96" s="383"/>
      <c r="CY96" s="383"/>
      <c r="CZ96" s="383"/>
      <c r="DA96" s="383"/>
      <c r="DB96" s="383"/>
      <c r="DC96" s="383"/>
      <c r="DD96" s="383"/>
      <c r="DE96" s="383"/>
      <c r="DF96" s="383"/>
      <c r="DG96" s="383"/>
      <c r="DH96" s="383"/>
      <c r="DI96" s="383"/>
      <c r="DJ96" s="383"/>
      <c r="DK96" s="383"/>
      <c r="DL96" s="383"/>
      <c r="DM96" s="383"/>
      <c r="DN96" s="383"/>
      <c r="DO96" s="383"/>
      <c r="DP96" s="383"/>
      <c r="DQ96" s="383"/>
      <c r="DR96" s="383"/>
      <c r="DS96" s="383"/>
      <c r="DT96" s="383"/>
      <c r="DU96" s="383"/>
      <c r="DV96" s="383"/>
      <c r="DW96" s="383"/>
      <c r="DX96" s="383"/>
      <c r="DY96" s="383"/>
      <c r="DZ96" s="383"/>
      <c r="EA96" s="383"/>
      <c r="EB96" s="383"/>
      <c r="EC96" s="383"/>
      <c r="ED96" s="383"/>
      <c r="EE96" s="383"/>
      <c r="EF96" s="383"/>
      <c r="EG96" s="383"/>
      <c r="EH96" s="383"/>
      <c r="EI96" s="383"/>
      <c r="EJ96" s="383"/>
      <c r="EK96" s="383"/>
      <c r="EL96" s="383"/>
      <c r="EM96" s="383"/>
      <c r="EN96" s="383"/>
      <c r="EO96" s="383"/>
      <c r="EP96" s="383"/>
      <c r="EQ96" s="383"/>
      <c r="ER96" s="383"/>
      <c r="ES96" s="383"/>
      <c r="ET96" s="383"/>
      <c r="EU96" s="383"/>
      <c r="EV96" s="383"/>
      <c r="EW96" s="383"/>
      <c r="EX96" s="383"/>
      <c r="EY96" s="383"/>
      <c r="EZ96" s="383"/>
      <c r="FA96" s="383"/>
      <c r="FB96" s="383"/>
      <c r="FC96" s="383"/>
      <c r="FD96" s="383"/>
      <c r="FE96" s="383"/>
      <c r="FF96" s="383"/>
      <c r="FG96" s="383"/>
      <c r="FH96" s="383"/>
      <c r="FI96" s="383"/>
      <c r="FJ96" s="383"/>
      <c r="FK96" s="383"/>
      <c r="FL96" s="383"/>
      <c r="FM96" s="383"/>
      <c r="FN96" s="383"/>
      <c r="FO96" s="383"/>
      <c r="FP96" s="383"/>
      <c r="FQ96" s="383"/>
      <c r="FR96" s="383"/>
      <c r="FS96" s="383"/>
      <c r="FT96" s="383"/>
      <c r="FU96" s="383"/>
      <c r="FV96" s="383"/>
      <c r="FW96" s="383"/>
      <c r="FX96" s="383"/>
      <c r="FY96" s="383"/>
      <c r="FZ96" s="383"/>
      <c r="GA96" s="383"/>
      <c r="GB96" s="383"/>
      <c r="GC96" s="383"/>
      <c r="GD96" s="383"/>
      <c r="GE96" s="383"/>
      <c r="GF96" s="383"/>
      <c r="GG96" s="383"/>
      <c r="GH96" s="383"/>
      <c r="GI96" s="383"/>
      <c r="GJ96" s="383"/>
      <c r="GK96" s="383"/>
      <c r="GL96" s="383"/>
      <c r="GM96" s="383"/>
      <c r="GN96" s="383"/>
      <c r="GO96" s="383"/>
      <c r="GP96" s="383"/>
      <c r="GQ96" s="383"/>
      <c r="GR96" s="383"/>
      <c r="GS96" s="383"/>
      <c r="GT96" s="383"/>
      <c r="GU96" s="383"/>
      <c r="GV96" s="383"/>
      <c r="GW96" s="383"/>
      <c r="GX96" s="383"/>
      <c r="GY96" s="383"/>
      <c r="GZ96" s="383"/>
      <c r="HA96" s="383"/>
      <c r="HB96" s="383"/>
      <c r="HC96" s="383"/>
      <c r="HD96" s="383"/>
      <c r="HE96" s="383"/>
      <c r="HF96" s="383"/>
      <c r="HG96" s="383"/>
      <c r="HH96" s="383"/>
      <c r="HI96" s="383"/>
      <c r="HJ96" s="383"/>
      <c r="HK96" s="383"/>
      <c r="HL96" s="383"/>
      <c r="HM96" s="383"/>
      <c r="HN96" s="383"/>
      <c r="HO96" s="383"/>
      <c r="HP96" s="383"/>
      <c r="HQ96" s="383"/>
      <c r="HR96" s="383"/>
      <c r="HS96" s="383"/>
      <c r="HT96" s="383"/>
      <c r="HU96" s="383"/>
      <c r="HV96" s="383"/>
      <c r="HW96" s="383"/>
      <c r="HX96" s="383"/>
      <c r="HY96" s="383"/>
      <c r="HZ96" s="383"/>
      <c r="IA96" s="383"/>
      <c r="IB96" s="383"/>
      <c r="IC96" s="383"/>
      <c r="ID96" s="383"/>
      <c r="IE96" s="383"/>
      <c r="IF96" s="383"/>
      <c r="IG96" s="383"/>
      <c r="IH96" s="383"/>
      <c r="II96" s="383"/>
      <c r="IJ96" s="383"/>
      <c r="IK96" s="383"/>
      <c r="IL96" s="383"/>
    </row>
    <row r="97" spans="1:246" ht="15" customHeight="1">
      <c r="A97" s="481" t="s">
        <v>319</v>
      </c>
      <c r="B97" s="482" t="s">
        <v>200</v>
      </c>
      <c r="C97" s="483" t="s">
        <v>164</v>
      </c>
      <c r="D97" s="66"/>
      <c r="E97" s="500" t="s">
        <v>379</v>
      </c>
      <c r="F97" s="484">
        <v>4460</v>
      </c>
      <c r="G97" s="479" t="str">
        <f t="shared" si="9"/>
        <v>01/2026</v>
      </c>
      <c r="H97" s="341">
        <f>SUMIF(VI.A!$B$6:$B$5963,B97,VI.A!$L$6:$L$5963)</f>
        <v>6768.71</v>
      </c>
      <c r="I97" s="341" t="str">
        <f t="shared" si="6"/>
        <v>si</v>
      </c>
      <c r="J97" s="383"/>
      <c r="K97" s="384">
        <f>IF(E97="SABESP","OK",VLOOKUP(F97,[6]ISD!$B$11:$F$4861,5,FALSE))</f>
        <v>11.76</v>
      </c>
      <c r="L97" s="384" t="str">
        <f t="shared" si="10"/>
        <v>VERIFICAR</v>
      </c>
      <c r="M97" s="480">
        <f t="shared" si="7"/>
        <v>11.76</v>
      </c>
      <c r="N97" s="383" t="b">
        <f t="shared" si="8"/>
        <v>0</v>
      </c>
      <c r="O97" s="383"/>
      <c r="P97" s="383"/>
      <c r="Q97" s="383"/>
      <c r="R97" s="383"/>
      <c r="S97" s="383"/>
      <c r="T97" s="383"/>
      <c r="U97" s="383"/>
      <c r="V97" s="383"/>
      <c r="W97" s="383"/>
      <c r="X97" s="383"/>
      <c r="Y97" s="383"/>
      <c r="Z97" s="383"/>
      <c r="AA97" s="383"/>
      <c r="AB97" s="383"/>
      <c r="AC97" s="383"/>
      <c r="AD97" s="383"/>
      <c r="AE97" s="383"/>
      <c r="AF97" s="383"/>
      <c r="AG97" s="383"/>
      <c r="AH97" s="383"/>
      <c r="AI97" s="383"/>
      <c r="AJ97" s="383"/>
      <c r="AK97" s="383"/>
      <c r="AL97" s="383"/>
      <c r="AM97" s="383"/>
      <c r="AN97" s="383"/>
      <c r="AO97" s="383"/>
      <c r="AP97" s="383"/>
      <c r="AQ97" s="383"/>
      <c r="AR97" s="383"/>
      <c r="AS97" s="383"/>
      <c r="AT97" s="383"/>
      <c r="AU97" s="383"/>
      <c r="AV97" s="383"/>
      <c r="AW97" s="383"/>
      <c r="AX97" s="383"/>
      <c r="AY97" s="383"/>
      <c r="AZ97" s="383"/>
      <c r="BA97" s="383"/>
      <c r="BB97" s="383"/>
      <c r="BC97" s="383"/>
      <c r="BD97" s="383"/>
      <c r="BE97" s="383"/>
      <c r="BF97" s="383"/>
      <c r="BG97" s="383"/>
      <c r="BH97" s="383"/>
      <c r="BI97" s="383"/>
      <c r="BJ97" s="383"/>
      <c r="BK97" s="383"/>
      <c r="BL97" s="383"/>
      <c r="BM97" s="383"/>
      <c r="BN97" s="383"/>
      <c r="BO97" s="383"/>
      <c r="BP97" s="383"/>
      <c r="BQ97" s="383"/>
      <c r="BR97" s="383"/>
      <c r="BS97" s="383"/>
      <c r="BT97" s="383"/>
      <c r="BU97" s="383"/>
      <c r="BV97" s="383"/>
      <c r="BW97" s="383"/>
      <c r="BX97" s="383"/>
      <c r="BY97" s="383"/>
      <c r="BZ97" s="383"/>
      <c r="CA97" s="383"/>
      <c r="CB97" s="383"/>
      <c r="CC97" s="383"/>
      <c r="CD97" s="383"/>
      <c r="CE97" s="383"/>
      <c r="CF97" s="383"/>
      <c r="CG97" s="383"/>
      <c r="CH97" s="383"/>
      <c r="CI97" s="383"/>
      <c r="CJ97" s="383"/>
      <c r="CK97" s="383"/>
      <c r="CL97" s="383"/>
      <c r="CM97" s="383"/>
      <c r="CN97" s="383"/>
      <c r="CO97" s="383"/>
      <c r="CP97" s="383"/>
      <c r="CQ97" s="383"/>
      <c r="CR97" s="383"/>
      <c r="CS97" s="383"/>
      <c r="CT97" s="383"/>
      <c r="CU97" s="383"/>
      <c r="CV97" s="383"/>
      <c r="CW97" s="383"/>
      <c r="CX97" s="383"/>
      <c r="CY97" s="383"/>
      <c r="CZ97" s="383"/>
      <c r="DA97" s="383"/>
      <c r="DB97" s="383"/>
      <c r="DC97" s="383"/>
      <c r="DD97" s="383"/>
      <c r="DE97" s="383"/>
      <c r="DF97" s="383"/>
      <c r="DG97" s="383"/>
      <c r="DH97" s="383"/>
      <c r="DI97" s="383"/>
      <c r="DJ97" s="383"/>
      <c r="DK97" s="383"/>
      <c r="DL97" s="383"/>
      <c r="DM97" s="383"/>
      <c r="DN97" s="383"/>
      <c r="DO97" s="383"/>
      <c r="DP97" s="383"/>
      <c r="DQ97" s="383"/>
      <c r="DR97" s="383"/>
      <c r="DS97" s="383"/>
      <c r="DT97" s="383"/>
      <c r="DU97" s="383"/>
      <c r="DV97" s="383"/>
      <c r="DW97" s="383"/>
      <c r="DX97" s="383"/>
      <c r="DY97" s="383"/>
      <c r="DZ97" s="383"/>
      <c r="EA97" s="383"/>
      <c r="EB97" s="383"/>
      <c r="EC97" s="383"/>
      <c r="ED97" s="383"/>
      <c r="EE97" s="383"/>
      <c r="EF97" s="383"/>
      <c r="EG97" s="383"/>
      <c r="EH97" s="383"/>
      <c r="EI97" s="383"/>
      <c r="EJ97" s="383"/>
      <c r="EK97" s="383"/>
      <c r="EL97" s="383"/>
      <c r="EM97" s="383"/>
      <c r="EN97" s="383"/>
      <c r="EO97" s="383"/>
      <c r="EP97" s="383"/>
      <c r="EQ97" s="383"/>
      <c r="ER97" s="383"/>
      <c r="ES97" s="383"/>
      <c r="ET97" s="383"/>
      <c r="EU97" s="383"/>
      <c r="EV97" s="383"/>
      <c r="EW97" s="383"/>
      <c r="EX97" s="383"/>
      <c r="EY97" s="383"/>
      <c r="EZ97" s="383"/>
      <c r="FA97" s="383"/>
      <c r="FB97" s="383"/>
      <c r="FC97" s="383"/>
      <c r="FD97" s="383"/>
      <c r="FE97" s="383"/>
      <c r="FF97" s="383"/>
      <c r="FG97" s="383"/>
      <c r="FH97" s="383"/>
      <c r="FI97" s="383"/>
      <c r="FJ97" s="383"/>
      <c r="FK97" s="383"/>
      <c r="FL97" s="383"/>
      <c r="FM97" s="383"/>
      <c r="FN97" s="383"/>
      <c r="FO97" s="383"/>
      <c r="FP97" s="383"/>
      <c r="FQ97" s="383"/>
      <c r="FR97" s="383"/>
      <c r="FS97" s="383"/>
      <c r="FT97" s="383"/>
      <c r="FU97" s="383"/>
      <c r="FV97" s="383"/>
      <c r="FW97" s="383"/>
      <c r="FX97" s="383"/>
      <c r="FY97" s="383"/>
      <c r="FZ97" s="383"/>
      <c r="GA97" s="383"/>
      <c r="GB97" s="383"/>
      <c r="GC97" s="383"/>
      <c r="GD97" s="383"/>
      <c r="GE97" s="383"/>
      <c r="GF97" s="383"/>
      <c r="GG97" s="383"/>
      <c r="GH97" s="383"/>
      <c r="GI97" s="383"/>
      <c r="GJ97" s="383"/>
      <c r="GK97" s="383"/>
      <c r="GL97" s="383"/>
      <c r="GM97" s="383"/>
      <c r="GN97" s="383"/>
      <c r="GO97" s="383"/>
      <c r="GP97" s="383"/>
      <c r="GQ97" s="383"/>
      <c r="GR97" s="383"/>
      <c r="GS97" s="383"/>
      <c r="GT97" s="383"/>
      <c r="GU97" s="383"/>
      <c r="GV97" s="383"/>
      <c r="GW97" s="383"/>
      <c r="GX97" s="383"/>
      <c r="GY97" s="383"/>
      <c r="GZ97" s="383"/>
      <c r="HA97" s="383"/>
      <c r="HB97" s="383"/>
      <c r="HC97" s="383"/>
      <c r="HD97" s="383"/>
      <c r="HE97" s="383"/>
      <c r="HF97" s="383"/>
      <c r="HG97" s="383"/>
      <c r="HH97" s="383"/>
      <c r="HI97" s="383"/>
      <c r="HJ97" s="383"/>
      <c r="HK97" s="383"/>
      <c r="HL97" s="383"/>
      <c r="HM97" s="383"/>
      <c r="HN97" s="383"/>
      <c r="HO97" s="383"/>
      <c r="HP97" s="383"/>
      <c r="HQ97" s="383"/>
      <c r="HR97" s="383"/>
      <c r="HS97" s="383"/>
      <c r="HT97" s="383"/>
      <c r="HU97" s="383"/>
      <c r="HV97" s="383"/>
      <c r="HW97" s="383"/>
      <c r="HX97" s="383"/>
      <c r="HY97" s="383"/>
      <c r="HZ97" s="383"/>
      <c r="IA97" s="383"/>
      <c r="IB97" s="383"/>
      <c r="IC97" s="383"/>
      <c r="ID97" s="383"/>
      <c r="IE97" s="383"/>
      <c r="IF97" s="383"/>
      <c r="IG97" s="383"/>
      <c r="IH97" s="383"/>
      <c r="II97" s="383"/>
      <c r="IJ97" s="383"/>
      <c r="IK97" s="383"/>
      <c r="IL97" s="383"/>
    </row>
    <row r="98" spans="1:246" ht="15" customHeight="1">
      <c r="A98" s="481" t="s">
        <v>320</v>
      </c>
      <c r="B98" s="485" t="s">
        <v>201</v>
      </c>
      <c r="C98" s="483" t="s">
        <v>130</v>
      </c>
      <c r="D98" s="66"/>
      <c r="E98" s="500" t="s">
        <v>379</v>
      </c>
      <c r="F98" s="484">
        <v>6085</v>
      </c>
      <c r="G98" s="479" t="str">
        <f t="shared" si="9"/>
        <v>01/2026</v>
      </c>
      <c r="H98" s="341">
        <f>SUMIF(VI.A!$B$6:$B$5963,B98,VI.A!$L$6:$L$5963)</f>
        <v>504</v>
      </c>
      <c r="I98" s="341" t="str">
        <f t="shared" si="6"/>
        <v>si</v>
      </c>
      <c r="J98" s="383"/>
      <c r="K98" s="384">
        <f>IF(E98="SABESP","OK",VLOOKUP(F98,[6]ISD!$B$11:$F$4861,5,FALSE))</f>
        <v>12.51</v>
      </c>
      <c r="L98" s="384" t="str">
        <f t="shared" si="10"/>
        <v>VERIFICAR</v>
      </c>
      <c r="M98" s="480">
        <f t="shared" si="7"/>
        <v>12.51</v>
      </c>
      <c r="N98" s="383" t="b">
        <f t="shared" si="8"/>
        <v>0</v>
      </c>
      <c r="O98" s="383"/>
      <c r="P98" s="383"/>
      <c r="Q98" s="383"/>
      <c r="R98" s="383"/>
      <c r="S98" s="383"/>
      <c r="T98" s="383"/>
      <c r="U98" s="383"/>
      <c r="V98" s="383"/>
      <c r="W98" s="383"/>
      <c r="X98" s="383"/>
      <c r="Y98" s="383"/>
      <c r="Z98" s="383"/>
      <c r="AA98" s="383"/>
      <c r="AB98" s="383"/>
      <c r="AC98" s="383"/>
      <c r="AD98" s="383"/>
      <c r="AE98" s="383"/>
      <c r="AF98" s="383"/>
      <c r="AG98" s="383"/>
      <c r="AH98" s="383"/>
      <c r="AI98" s="383"/>
      <c r="AJ98" s="383"/>
      <c r="AK98" s="383"/>
      <c r="AL98" s="383"/>
      <c r="AM98" s="383"/>
      <c r="AN98" s="383"/>
      <c r="AO98" s="383"/>
      <c r="AP98" s="383"/>
      <c r="AQ98" s="383"/>
      <c r="AR98" s="383"/>
      <c r="AS98" s="383"/>
      <c r="AT98" s="383"/>
      <c r="AU98" s="383"/>
      <c r="AV98" s="383"/>
      <c r="AW98" s="383"/>
      <c r="AX98" s="383"/>
      <c r="AY98" s="383"/>
      <c r="AZ98" s="383"/>
      <c r="BA98" s="383"/>
      <c r="BB98" s="383"/>
      <c r="BC98" s="383"/>
      <c r="BD98" s="383"/>
      <c r="BE98" s="383"/>
      <c r="BF98" s="383"/>
      <c r="BG98" s="383"/>
      <c r="BH98" s="383"/>
      <c r="BI98" s="383"/>
      <c r="BJ98" s="383"/>
      <c r="BK98" s="383"/>
      <c r="BL98" s="383"/>
      <c r="BM98" s="383"/>
      <c r="BN98" s="383"/>
      <c r="BO98" s="383"/>
      <c r="BP98" s="383"/>
      <c r="BQ98" s="383"/>
      <c r="BR98" s="383"/>
      <c r="BS98" s="383"/>
      <c r="BT98" s="383"/>
      <c r="BU98" s="383"/>
      <c r="BV98" s="383"/>
      <c r="BW98" s="383"/>
      <c r="BX98" s="383"/>
      <c r="BY98" s="383"/>
      <c r="BZ98" s="383"/>
      <c r="CA98" s="383"/>
      <c r="CB98" s="383"/>
      <c r="CC98" s="383"/>
      <c r="CD98" s="383"/>
      <c r="CE98" s="383"/>
      <c r="CF98" s="383"/>
      <c r="CG98" s="383"/>
      <c r="CH98" s="383"/>
      <c r="CI98" s="383"/>
      <c r="CJ98" s="383"/>
      <c r="CK98" s="383"/>
      <c r="CL98" s="383"/>
      <c r="CM98" s="383"/>
      <c r="CN98" s="383"/>
      <c r="CO98" s="383"/>
      <c r="CP98" s="383"/>
      <c r="CQ98" s="383"/>
      <c r="CR98" s="383"/>
      <c r="CS98" s="383"/>
      <c r="CT98" s="383"/>
      <c r="CU98" s="383"/>
      <c r="CV98" s="383"/>
      <c r="CW98" s="383"/>
      <c r="CX98" s="383"/>
      <c r="CY98" s="383"/>
      <c r="CZ98" s="383"/>
      <c r="DA98" s="383"/>
      <c r="DB98" s="383"/>
      <c r="DC98" s="383"/>
      <c r="DD98" s="383"/>
      <c r="DE98" s="383"/>
      <c r="DF98" s="383"/>
      <c r="DG98" s="383"/>
      <c r="DH98" s="383"/>
      <c r="DI98" s="383"/>
      <c r="DJ98" s="383"/>
      <c r="DK98" s="383"/>
      <c r="DL98" s="383"/>
      <c r="DM98" s="383"/>
      <c r="DN98" s="383"/>
      <c r="DO98" s="383"/>
      <c r="DP98" s="383"/>
      <c r="DQ98" s="383"/>
      <c r="DR98" s="383"/>
      <c r="DS98" s="383"/>
      <c r="DT98" s="383"/>
      <c r="DU98" s="383"/>
      <c r="DV98" s="383"/>
      <c r="DW98" s="383"/>
      <c r="DX98" s="383"/>
      <c r="DY98" s="383"/>
      <c r="DZ98" s="383"/>
      <c r="EA98" s="383"/>
      <c r="EB98" s="383"/>
      <c r="EC98" s="383"/>
      <c r="ED98" s="383"/>
      <c r="EE98" s="383"/>
      <c r="EF98" s="383"/>
      <c r="EG98" s="383"/>
      <c r="EH98" s="383"/>
      <c r="EI98" s="383"/>
      <c r="EJ98" s="383"/>
      <c r="EK98" s="383"/>
      <c r="EL98" s="383"/>
      <c r="EM98" s="383"/>
      <c r="EN98" s="383"/>
      <c r="EO98" s="383"/>
      <c r="EP98" s="383"/>
      <c r="EQ98" s="383"/>
      <c r="ER98" s="383"/>
      <c r="ES98" s="383"/>
      <c r="ET98" s="383"/>
      <c r="EU98" s="383"/>
      <c r="EV98" s="383"/>
      <c r="EW98" s="383"/>
      <c r="EX98" s="383"/>
      <c r="EY98" s="383"/>
      <c r="EZ98" s="383"/>
      <c r="FA98" s="383"/>
      <c r="FB98" s="383"/>
      <c r="FC98" s="383"/>
      <c r="FD98" s="383"/>
      <c r="FE98" s="383"/>
      <c r="FF98" s="383"/>
      <c r="FG98" s="383"/>
      <c r="FH98" s="383"/>
      <c r="FI98" s="383"/>
      <c r="FJ98" s="383"/>
      <c r="FK98" s="383"/>
      <c r="FL98" s="383"/>
      <c r="FM98" s="383"/>
      <c r="FN98" s="383"/>
      <c r="FO98" s="383"/>
      <c r="FP98" s="383"/>
      <c r="FQ98" s="383"/>
      <c r="FR98" s="383"/>
      <c r="FS98" s="383"/>
      <c r="FT98" s="383"/>
      <c r="FU98" s="383"/>
      <c r="FV98" s="383"/>
      <c r="FW98" s="383"/>
      <c r="FX98" s="383"/>
      <c r="FY98" s="383"/>
      <c r="FZ98" s="383"/>
      <c r="GA98" s="383"/>
      <c r="GB98" s="383"/>
      <c r="GC98" s="383"/>
      <c r="GD98" s="383"/>
      <c r="GE98" s="383"/>
      <c r="GF98" s="383"/>
      <c r="GG98" s="383"/>
      <c r="GH98" s="383"/>
      <c r="GI98" s="383"/>
      <c r="GJ98" s="383"/>
      <c r="GK98" s="383"/>
      <c r="GL98" s="383"/>
      <c r="GM98" s="383"/>
      <c r="GN98" s="383"/>
      <c r="GO98" s="383"/>
      <c r="GP98" s="383"/>
      <c r="GQ98" s="383"/>
      <c r="GR98" s="383"/>
      <c r="GS98" s="383"/>
      <c r="GT98" s="383"/>
      <c r="GU98" s="383"/>
      <c r="GV98" s="383"/>
      <c r="GW98" s="383"/>
      <c r="GX98" s="383"/>
      <c r="GY98" s="383"/>
      <c r="GZ98" s="383"/>
      <c r="HA98" s="383"/>
      <c r="HB98" s="383"/>
      <c r="HC98" s="383"/>
      <c r="HD98" s="383"/>
      <c r="HE98" s="383"/>
      <c r="HF98" s="383"/>
      <c r="HG98" s="383"/>
      <c r="HH98" s="383"/>
      <c r="HI98" s="383"/>
      <c r="HJ98" s="383"/>
      <c r="HK98" s="383"/>
      <c r="HL98" s="383"/>
      <c r="HM98" s="383"/>
      <c r="HN98" s="383"/>
      <c r="HO98" s="383"/>
      <c r="HP98" s="383"/>
      <c r="HQ98" s="383"/>
      <c r="HR98" s="383"/>
      <c r="HS98" s="383"/>
      <c r="HT98" s="383"/>
      <c r="HU98" s="383"/>
      <c r="HV98" s="383"/>
      <c r="HW98" s="383"/>
      <c r="HX98" s="383"/>
      <c r="HY98" s="383"/>
      <c r="HZ98" s="383"/>
      <c r="IA98" s="383"/>
      <c r="IB98" s="383"/>
      <c r="IC98" s="383"/>
      <c r="ID98" s="383"/>
      <c r="IE98" s="383"/>
      <c r="IF98" s="383"/>
      <c r="IG98" s="383"/>
      <c r="IH98" s="383"/>
      <c r="II98" s="383"/>
      <c r="IJ98" s="383"/>
      <c r="IK98" s="383"/>
      <c r="IL98" s="383"/>
    </row>
    <row r="99" spans="1:246" ht="15" customHeight="1">
      <c r="A99" s="481" t="s">
        <v>321</v>
      </c>
      <c r="B99" s="485" t="s">
        <v>202</v>
      </c>
      <c r="C99" s="483" t="s">
        <v>225</v>
      </c>
      <c r="D99" s="66"/>
      <c r="E99" s="500" t="s">
        <v>379</v>
      </c>
      <c r="F99" s="484">
        <v>142</v>
      </c>
      <c r="G99" s="479" t="str">
        <f t="shared" si="9"/>
        <v>01/2026</v>
      </c>
      <c r="H99" s="341">
        <f>SUMIF(VI.A!$B$6:$B$5963,B99,VI.A!$L$6:$L$5963)</f>
        <v>72.009</v>
      </c>
      <c r="I99" s="341" t="str">
        <f t="shared" si="6"/>
        <v>si</v>
      </c>
      <c r="J99" s="383"/>
      <c r="K99" s="384">
        <f>IF(E99="SABESP","OK",VLOOKUP(F99,[6]ISD!$B$11:$F$4861,5,FALSE))</f>
        <v>32.229999999999997</v>
      </c>
      <c r="L99" s="384" t="str">
        <f t="shared" si="10"/>
        <v>VERIFICAR</v>
      </c>
      <c r="M99" s="480">
        <f t="shared" si="7"/>
        <v>32.229999999999997</v>
      </c>
      <c r="N99" s="383" t="b">
        <f t="shared" si="8"/>
        <v>0</v>
      </c>
      <c r="O99" s="383"/>
      <c r="P99" s="383"/>
      <c r="Q99" s="383"/>
      <c r="R99" s="383"/>
      <c r="S99" s="383"/>
      <c r="T99" s="383"/>
      <c r="U99" s="383"/>
      <c r="V99" s="383"/>
      <c r="W99" s="383"/>
      <c r="X99" s="383"/>
      <c r="Y99" s="383"/>
      <c r="Z99" s="383"/>
      <c r="AA99" s="383"/>
      <c r="AB99" s="383"/>
      <c r="AC99" s="383"/>
      <c r="AD99" s="383"/>
      <c r="AE99" s="383"/>
      <c r="AF99" s="383"/>
      <c r="AG99" s="383"/>
      <c r="AH99" s="383"/>
      <c r="AI99" s="383"/>
      <c r="AJ99" s="383"/>
      <c r="AK99" s="383"/>
      <c r="AL99" s="383"/>
      <c r="AM99" s="383"/>
      <c r="AN99" s="383"/>
      <c r="AO99" s="383"/>
      <c r="AP99" s="383"/>
      <c r="AQ99" s="383"/>
      <c r="AR99" s="383"/>
      <c r="AS99" s="383"/>
      <c r="AT99" s="383"/>
      <c r="AU99" s="383"/>
      <c r="AV99" s="383"/>
      <c r="AW99" s="383"/>
      <c r="AX99" s="383"/>
      <c r="AY99" s="383"/>
      <c r="AZ99" s="383"/>
      <c r="BA99" s="383"/>
      <c r="BB99" s="383"/>
      <c r="BC99" s="383"/>
      <c r="BD99" s="383"/>
      <c r="BE99" s="383"/>
      <c r="BF99" s="383"/>
      <c r="BG99" s="383"/>
      <c r="BH99" s="383"/>
      <c r="BI99" s="383"/>
      <c r="BJ99" s="383"/>
      <c r="BK99" s="383"/>
      <c r="BL99" s="383"/>
      <c r="BM99" s="383"/>
      <c r="BN99" s="383"/>
      <c r="BO99" s="383"/>
      <c r="BP99" s="383"/>
      <c r="BQ99" s="383"/>
      <c r="BR99" s="383"/>
      <c r="BS99" s="383"/>
      <c r="BT99" s="383"/>
      <c r="BU99" s="383"/>
      <c r="BV99" s="383"/>
      <c r="BW99" s="383"/>
      <c r="BX99" s="383"/>
      <c r="BY99" s="383"/>
      <c r="BZ99" s="383"/>
      <c r="CA99" s="383"/>
      <c r="CB99" s="383"/>
      <c r="CC99" s="383"/>
      <c r="CD99" s="383"/>
      <c r="CE99" s="383"/>
      <c r="CF99" s="383"/>
      <c r="CG99" s="383"/>
      <c r="CH99" s="383"/>
      <c r="CI99" s="383"/>
      <c r="CJ99" s="383"/>
      <c r="CK99" s="383"/>
      <c r="CL99" s="383"/>
      <c r="CM99" s="383"/>
      <c r="CN99" s="383"/>
      <c r="CO99" s="383"/>
      <c r="CP99" s="383"/>
      <c r="CQ99" s="383"/>
      <c r="CR99" s="383"/>
      <c r="CS99" s="383"/>
      <c r="CT99" s="383"/>
      <c r="CU99" s="383"/>
      <c r="CV99" s="383"/>
      <c r="CW99" s="383"/>
      <c r="CX99" s="383"/>
      <c r="CY99" s="383"/>
      <c r="CZ99" s="383"/>
      <c r="DA99" s="383"/>
      <c r="DB99" s="383"/>
      <c r="DC99" s="383"/>
      <c r="DD99" s="383"/>
      <c r="DE99" s="383"/>
      <c r="DF99" s="383"/>
      <c r="DG99" s="383"/>
      <c r="DH99" s="383"/>
      <c r="DI99" s="383"/>
      <c r="DJ99" s="383"/>
      <c r="DK99" s="383"/>
      <c r="DL99" s="383"/>
      <c r="DM99" s="383"/>
      <c r="DN99" s="383"/>
      <c r="DO99" s="383"/>
      <c r="DP99" s="383"/>
      <c r="DQ99" s="383"/>
      <c r="DR99" s="383"/>
      <c r="DS99" s="383"/>
      <c r="DT99" s="383"/>
      <c r="DU99" s="383"/>
      <c r="DV99" s="383"/>
      <c r="DW99" s="383"/>
      <c r="DX99" s="383"/>
      <c r="DY99" s="383"/>
      <c r="DZ99" s="383"/>
      <c r="EA99" s="383"/>
      <c r="EB99" s="383"/>
      <c r="EC99" s="383"/>
      <c r="ED99" s="383"/>
      <c r="EE99" s="383"/>
      <c r="EF99" s="383"/>
      <c r="EG99" s="383"/>
      <c r="EH99" s="383"/>
      <c r="EI99" s="383"/>
      <c r="EJ99" s="383"/>
      <c r="EK99" s="383"/>
      <c r="EL99" s="383"/>
      <c r="EM99" s="383"/>
      <c r="EN99" s="383"/>
      <c r="EO99" s="383"/>
      <c r="EP99" s="383"/>
      <c r="EQ99" s="383"/>
      <c r="ER99" s="383"/>
      <c r="ES99" s="383"/>
      <c r="ET99" s="383"/>
      <c r="EU99" s="383"/>
      <c r="EV99" s="383"/>
      <c r="EW99" s="383"/>
      <c r="EX99" s="383"/>
      <c r="EY99" s="383"/>
      <c r="EZ99" s="383"/>
      <c r="FA99" s="383"/>
      <c r="FB99" s="383"/>
      <c r="FC99" s="383"/>
      <c r="FD99" s="383"/>
      <c r="FE99" s="383"/>
      <c r="FF99" s="383"/>
      <c r="FG99" s="383"/>
      <c r="FH99" s="383"/>
      <c r="FI99" s="383"/>
      <c r="FJ99" s="383"/>
      <c r="FK99" s="383"/>
      <c r="FL99" s="383"/>
      <c r="FM99" s="383"/>
      <c r="FN99" s="383"/>
      <c r="FO99" s="383"/>
      <c r="FP99" s="383"/>
      <c r="FQ99" s="383"/>
      <c r="FR99" s="383"/>
      <c r="FS99" s="383"/>
      <c r="FT99" s="383"/>
      <c r="FU99" s="383"/>
      <c r="FV99" s="383"/>
      <c r="FW99" s="383"/>
      <c r="FX99" s="383"/>
      <c r="FY99" s="383"/>
      <c r="FZ99" s="383"/>
      <c r="GA99" s="383"/>
      <c r="GB99" s="383"/>
      <c r="GC99" s="383"/>
      <c r="GD99" s="383"/>
      <c r="GE99" s="383"/>
      <c r="GF99" s="383"/>
      <c r="GG99" s="383"/>
      <c r="GH99" s="383"/>
      <c r="GI99" s="383"/>
      <c r="GJ99" s="383"/>
      <c r="GK99" s="383"/>
      <c r="GL99" s="383"/>
      <c r="GM99" s="383"/>
      <c r="GN99" s="383"/>
      <c r="GO99" s="383"/>
      <c r="GP99" s="383"/>
      <c r="GQ99" s="383"/>
      <c r="GR99" s="383"/>
      <c r="GS99" s="383"/>
      <c r="GT99" s="383"/>
      <c r="GU99" s="383"/>
      <c r="GV99" s="383"/>
      <c r="GW99" s="383"/>
      <c r="GX99" s="383"/>
      <c r="GY99" s="383"/>
      <c r="GZ99" s="383"/>
      <c r="HA99" s="383"/>
      <c r="HB99" s="383"/>
      <c r="HC99" s="383"/>
      <c r="HD99" s="383"/>
      <c r="HE99" s="383"/>
      <c r="HF99" s="383"/>
      <c r="HG99" s="383"/>
      <c r="HH99" s="383"/>
      <c r="HI99" s="383"/>
      <c r="HJ99" s="383"/>
      <c r="HK99" s="383"/>
      <c r="HL99" s="383"/>
      <c r="HM99" s="383"/>
      <c r="HN99" s="383"/>
      <c r="HO99" s="383"/>
      <c r="HP99" s="383"/>
      <c r="HQ99" s="383"/>
      <c r="HR99" s="383"/>
      <c r="HS99" s="383"/>
      <c r="HT99" s="383"/>
      <c r="HU99" s="383"/>
      <c r="HV99" s="383"/>
      <c r="HW99" s="383"/>
      <c r="HX99" s="383"/>
      <c r="HY99" s="383"/>
      <c r="HZ99" s="383"/>
      <c r="IA99" s="383"/>
      <c r="IB99" s="383"/>
      <c r="IC99" s="383"/>
      <c r="ID99" s="383"/>
      <c r="IE99" s="383"/>
      <c r="IF99" s="383"/>
      <c r="IG99" s="383"/>
      <c r="IH99" s="383"/>
      <c r="II99" s="383"/>
      <c r="IJ99" s="383"/>
      <c r="IK99" s="383"/>
      <c r="IL99" s="383"/>
    </row>
    <row r="100" spans="1:246" ht="15" customHeight="1">
      <c r="A100" s="481" t="s">
        <v>322</v>
      </c>
      <c r="B100" s="485" t="s">
        <v>203</v>
      </c>
      <c r="C100" s="483" t="s">
        <v>413</v>
      </c>
      <c r="D100" s="66"/>
      <c r="E100" s="500" t="s">
        <v>379</v>
      </c>
      <c r="F100" s="484">
        <v>20083</v>
      </c>
      <c r="G100" s="479" t="str">
        <f t="shared" si="9"/>
        <v>01/2026</v>
      </c>
      <c r="H100" s="341">
        <f>SUMIF(VI.A!$B$6:$B$5963,B100,VI.A!$L$6:$L$5963)</f>
        <v>11.161</v>
      </c>
      <c r="I100" s="341" t="str">
        <f t="shared" si="6"/>
        <v>si</v>
      </c>
      <c r="J100" s="383"/>
      <c r="K100" s="384">
        <f>IF(E100="SABESP","OK",VLOOKUP(F100,[6]ISD!$B$11:$F$4861,5,FALSE))</f>
        <v>68.86</v>
      </c>
      <c r="L100" s="384" t="str">
        <f t="shared" si="10"/>
        <v>VERIFICAR</v>
      </c>
      <c r="M100" s="480">
        <f t="shared" si="7"/>
        <v>68.86</v>
      </c>
      <c r="N100" s="383" t="b">
        <f t="shared" si="8"/>
        <v>0</v>
      </c>
      <c r="O100" s="383"/>
      <c r="P100" s="383"/>
      <c r="Q100" s="383"/>
      <c r="R100" s="383"/>
      <c r="S100" s="383"/>
      <c r="T100" s="383"/>
      <c r="U100" s="383"/>
      <c r="V100" s="383"/>
      <c r="W100" s="383"/>
      <c r="X100" s="383"/>
      <c r="Y100" s="383"/>
      <c r="Z100" s="383"/>
      <c r="AA100" s="383"/>
      <c r="AB100" s="383"/>
      <c r="AC100" s="383"/>
      <c r="AD100" s="383"/>
      <c r="AE100" s="383"/>
      <c r="AF100" s="383"/>
      <c r="AG100" s="383"/>
      <c r="AH100" s="383"/>
      <c r="AI100" s="383"/>
      <c r="AJ100" s="383"/>
      <c r="AK100" s="383"/>
      <c r="AL100" s="383"/>
      <c r="AM100" s="383"/>
      <c r="AN100" s="383"/>
      <c r="AO100" s="383"/>
      <c r="AP100" s="383"/>
      <c r="AQ100" s="383"/>
      <c r="AR100" s="383"/>
      <c r="AS100" s="383"/>
      <c r="AT100" s="383"/>
      <c r="AU100" s="383"/>
      <c r="AV100" s="383"/>
      <c r="AW100" s="383"/>
      <c r="AX100" s="383"/>
      <c r="AY100" s="383"/>
      <c r="AZ100" s="383"/>
      <c r="BA100" s="383"/>
      <c r="BB100" s="383"/>
      <c r="BC100" s="383"/>
      <c r="BD100" s="383"/>
      <c r="BE100" s="383"/>
      <c r="BF100" s="383"/>
      <c r="BG100" s="383"/>
      <c r="BH100" s="383"/>
      <c r="BI100" s="383"/>
      <c r="BJ100" s="383"/>
      <c r="BK100" s="383"/>
      <c r="BL100" s="383"/>
      <c r="BM100" s="383"/>
      <c r="BN100" s="383"/>
      <c r="BO100" s="383"/>
      <c r="BP100" s="383"/>
      <c r="BQ100" s="383"/>
      <c r="BR100" s="383"/>
      <c r="BS100" s="383"/>
      <c r="BT100" s="383"/>
      <c r="BU100" s="383"/>
      <c r="BV100" s="383"/>
      <c r="BW100" s="383"/>
      <c r="BX100" s="383"/>
      <c r="BY100" s="383"/>
      <c r="BZ100" s="383"/>
      <c r="CA100" s="383"/>
      <c r="CB100" s="383"/>
      <c r="CC100" s="383"/>
      <c r="CD100" s="383"/>
      <c r="CE100" s="383"/>
      <c r="CF100" s="383"/>
      <c r="CG100" s="383"/>
      <c r="CH100" s="383"/>
      <c r="CI100" s="383"/>
      <c r="CJ100" s="383"/>
      <c r="CK100" s="383"/>
      <c r="CL100" s="383"/>
      <c r="CM100" s="383"/>
      <c r="CN100" s="383"/>
      <c r="CO100" s="383"/>
      <c r="CP100" s="383"/>
      <c r="CQ100" s="383"/>
      <c r="CR100" s="383"/>
      <c r="CS100" s="383"/>
      <c r="CT100" s="383"/>
      <c r="CU100" s="383"/>
      <c r="CV100" s="383"/>
      <c r="CW100" s="383"/>
      <c r="CX100" s="383"/>
      <c r="CY100" s="383"/>
      <c r="CZ100" s="383"/>
      <c r="DA100" s="383"/>
      <c r="DB100" s="383"/>
      <c r="DC100" s="383"/>
      <c r="DD100" s="383"/>
      <c r="DE100" s="383"/>
      <c r="DF100" s="383"/>
      <c r="DG100" s="383"/>
      <c r="DH100" s="383"/>
      <c r="DI100" s="383"/>
      <c r="DJ100" s="383"/>
      <c r="DK100" s="383"/>
      <c r="DL100" s="383"/>
      <c r="DM100" s="383"/>
      <c r="DN100" s="383"/>
      <c r="DO100" s="383"/>
      <c r="DP100" s="383"/>
      <c r="DQ100" s="383"/>
      <c r="DR100" s="383"/>
      <c r="DS100" s="383"/>
      <c r="DT100" s="383"/>
      <c r="DU100" s="383"/>
      <c r="DV100" s="383"/>
      <c r="DW100" s="383"/>
      <c r="DX100" s="383"/>
      <c r="DY100" s="383"/>
      <c r="DZ100" s="383"/>
      <c r="EA100" s="383"/>
      <c r="EB100" s="383"/>
      <c r="EC100" s="383"/>
      <c r="ED100" s="383"/>
      <c r="EE100" s="383"/>
      <c r="EF100" s="383"/>
      <c r="EG100" s="383"/>
      <c r="EH100" s="383"/>
      <c r="EI100" s="383"/>
      <c r="EJ100" s="383"/>
      <c r="EK100" s="383"/>
      <c r="EL100" s="383"/>
      <c r="EM100" s="383"/>
      <c r="EN100" s="383"/>
      <c r="EO100" s="383"/>
      <c r="EP100" s="383"/>
      <c r="EQ100" s="383"/>
      <c r="ER100" s="383"/>
      <c r="ES100" s="383"/>
      <c r="ET100" s="383"/>
      <c r="EU100" s="383"/>
      <c r="EV100" s="383"/>
      <c r="EW100" s="383"/>
      <c r="EX100" s="383"/>
      <c r="EY100" s="383"/>
      <c r="EZ100" s="383"/>
      <c r="FA100" s="383"/>
      <c r="FB100" s="383"/>
      <c r="FC100" s="383"/>
      <c r="FD100" s="383"/>
      <c r="FE100" s="383"/>
      <c r="FF100" s="383"/>
      <c r="FG100" s="383"/>
      <c r="FH100" s="383"/>
      <c r="FI100" s="383"/>
      <c r="FJ100" s="383"/>
      <c r="FK100" s="383"/>
      <c r="FL100" s="383"/>
      <c r="FM100" s="383"/>
      <c r="FN100" s="383"/>
      <c r="FO100" s="383"/>
      <c r="FP100" s="383"/>
      <c r="FQ100" s="383"/>
      <c r="FR100" s="383"/>
      <c r="FS100" s="383"/>
      <c r="FT100" s="383"/>
      <c r="FU100" s="383"/>
      <c r="FV100" s="383"/>
      <c r="FW100" s="383"/>
      <c r="FX100" s="383"/>
      <c r="FY100" s="383"/>
      <c r="FZ100" s="383"/>
      <c r="GA100" s="383"/>
      <c r="GB100" s="383"/>
      <c r="GC100" s="383"/>
      <c r="GD100" s="383"/>
      <c r="GE100" s="383"/>
      <c r="GF100" s="383"/>
      <c r="GG100" s="383"/>
      <c r="GH100" s="383"/>
      <c r="GI100" s="383"/>
      <c r="GJ100" s="383"/>
      <c r="GK100" s="383"/>
      <c r="GL100" s="383"/>
      <c r="GM100" s="383"/>
      <c r="GN100" s="383"/>
      <c r="GO100" s="383"/>
      <c r="GP100" s="383"/>
      <c r="GQ100" s="383"/>
      <c r="GR100" s="383"/>
      <c r="GS100" s="383"/>
      <c r="GT100" s="383"/>
      <c r="GU100" s="383"/>
      <c r="GV100" s="383"/>
      <c r="GW100" s="383"/>
      <c r="GX100" s="383"/>
      <c r="GY100" s="383"/>
      <c r="GZ100" s="383"/>
      <c r="HA100" s="383"/>
      <c r="HB100" s="383"/>
      <c r="HC100" s="383"/>
      <c r="HD100" s="383"/>
      <c r="HE100" s="383"/>
      <c r="HF100" s="383"/>
      <c r="HG100" s="383"/>
      <c r="HH100" s="383"/>
      <c r="HI100" s="383"/>
      <c r="HJ100" s="383"/>
      <c r="HK100" s="383"/>
      <c r="HL100" s="383"/>
      <c r="HM100" s="383"/>
      <c r="HN100" s="383"/>
      <c r="HO100" s="383"/>
      <c r="HP100" s="383"/>
      <c r="HQ100" s="383"/>
      <c r="HR100" s="383"/>
      <c r="HS100" s="383"/>
      <c r="HT100" s="383"/>
      <c r="HU100" s="383"/>
      <c r="HV100" s="383"/>
      <c r="HW100" s="383"/>
      <c r="HX100" s="383"/>
      <c r="HY100" s="383"/>
      <c r="HZ100" s="383"/>
      <c r="IA100" s="383"/>
      <c r="IB100" s="383"/>
      <c r="IC100" s="383"/>
      <c r="ID100" s="383"/>
      <c r="IE100" s="383"/>
      <c r="IF100" s="383"/>
      <c r="IG100" s="383"/>
      <c r="IH100" s="383"/>
      <c r="II100" s="383"/>
      <c r="IJ100" s="383"/>
      <c r="IK100" s="383"/>
      <c r="IL100" s="383"/>
    </row>
    <row r="101" spans="1:246" ht="15" customHeight="1">
      <c r="A101" s="481" t="s">
        <v>323</v>
      </c>
      <c r="B101" s="482" t="s">
        <v>204</v>
      </c>
      <c r="C101" s="483" t="s">
        <v>164</v>
      </c>
      <c r="D101" s="66"/>
      <c r="E101" s="500" t="s">
        <v>379</v>
      </c>
      <c r="F101" s="484">
        <v>6212</v>
      </c>
      <c r="G101" s="479" t="str">
        <f t="shared" si="9"/>
        <v>01/2026</v>
      </c>
      <c r="H101" s="341">
        <f>SUMIF(VI.A!$B$6:$B$5963,B101,VI.A!$L$6:$L$5963)</f>
        <v>374.07661666666661</v>
      </c>
      <c r="I101" s="341" t="str">
        <f t="shared" si="6"/>
        <v>si</v>
      </c>
      <c r="J101" s="383"/>
      <c r="K101" s="384">
        <f>IF(E101="SABESP","OK",VLOOKUP(F101,[6]ISD!$B$11:$F$4861,5,FALSE))</f>
        <v>13.5</v>
      </c>
      <c r="L101" s="384" t="str">
        <f t="shared" si="10"/>
        <v>VERIFICAR</v>
      </c>
      <c r="M101" s="480">
        <f t="shared" si="7"/>
        <v>13.5</v>
      </c>
      <c r="N101" s="383" t="b">
        <f t="shared" si="8"/>
        <v>0</v>
      </c>
      <c r="O101" s="383"/>
      <c r="P101" s="383"/>
      <c r="Q101" s="383"/>
      <c r="R101" s="383"/>
      <c r="S101" s="383"/>
      <c r="T101" s="383"/>
      <c r="U101" s="383"/>
      <c r="V101" s="383"/>
      <c r="W101" s="383"/>
      <c r="X101" s="383"/>
      <c r="Y101" s="383"/>
      <c r="Z101" s="383"/>
      <c r="AA101" s="383"/>
      <c r="AB101" s="383"/>
      <c r="AC101" s="383"/>
      <c r="AD101" s="383"/>
      <c r="AE101" s="383"/>
      <c r="AF101" s="383"/>
      <c r="AG101" s="383"/>
      <c r="AH101" s="383"/>
      <c r="AI101" s="383"/>
      <c r="AJ101" s="383"/>
      <c r="AK101" s="383"/>
      <c r="AL101" s="383"/>
      <c r="AM101" s="383"/>
      <c r="AN101" s="383"/>
      <c r="AO101" s="383"/>
      <c r="AP101" s="383"/>
      <c r="AQ101" s="383"/>
      <c r="AR101" s="383"/>
      <c r="AS101" s="383"/>
      <c r="AT101" s="383"/>
      <c r="AU101" s="383"/>
      <c r="AV101" s="383"/>
      <c r="AW101" s="383"/>
      <c r="AX101" s="383"/>
      <c r="AY101" s="383"/>
      <c r="AZ101" s="383"/>
      <c r="BA101" s="383"/>
      <c r="BB101" s="383"/>
      <c r="BC101" s="383"/>
      <c r="BD101" s="383"/>
      <c r="BE101" s="383"/>
      <c r="BF101" s="383"/>
      <c r="BG101" s="383"/>
      <c r="BH101" s="383"/>
      <c r="BI101" s="383"/>
      <c r="BJ101" s="383"/>
      <c r="BK101" s="383"/>
      <c r="BL101" s="383"/>
      <c r="BM101" s="383"/>
      <c r="BN101" s="383"/>
      <c r="BO101" s="383"/>
      <c r="BP101" s="383"/>
      <c r="BQ101" s="383"/>
      <c r="BR101" s="383"/>
      <c r="BS101" s="383"/>
      <c r="BT101" s="383"/>
      <c r="BU101" s="383"/>
      <c r="BV101" s="383"/>
      <c r="BW101" s="383"/>
      <c r="BX101" s="383"/>
      <c r="BY101" s="383"/>
      <c r="BZ101" s="383"/>
      <c r="CA101" s="383"/>
      <c r="CB101" s="383"/>
      <c r="CC101" s="383"/>
      <c r="CD101" s="383"/>
      <c r="CE101" s="383"/>
      <c r="CF101" s="383"/>
      <c r="CG101" s="383"/>
      <c r="CH101" s="383"/>
      <c r="CI101" s="383"/>
      <c r="CJ101" s="383"/>
      <c r="CK101" s="383"/>
      <c r="CL101" s="383"/>
      <c r="CM101" s="383"/>
      <c r="CN101" s="383"/>
      <c r="CO101" s="383"/>
      <c r="CP101" s="383"/>
      <c r="CQ101" s="383"/>
      <c r="CR101" s="383"/>
      <c r="CS101" s="383"/>
      <c r="CT101" s="383"/>
      <c r="CU101" s="383"/>
      <c r="CV101" s="383"/>
      <c r="CW101" s="383"/>
      <c r="CX101" s="383"/>
      <c r="CY101" s="383"/>
      <c r="CZ101" s="383"/>
      <c r="DA101" s="383"/>
      <c r="DB101" s="383"/>
      <c r="DC101" s="383"/>
      <c r="DD101" s="383"/>
      <c r="DE101" s="383"/>
      <c r="DF101" s="383"/>
      <c r="DG101" s="383"/>
      <c r="DH101" s="383"/>
      <c r="DI101" s="383"/>
      <c r="DJ101" s="383"/>
      <c r="DK101" s="383"/>
      <c r="DL101" s="383"/>
      <c r="DM101" s="383"/>
      <c r="DN101" s="383"/>
      <c r="DO101" s="383"/>
      <c r="DP101" s="383"/>
      <c r="DQ101" s="383"/>
      <c r="DR101" s="383"/>
      <c r="DS101" s="383"/>
      <c r="DT101" s="383"/>
      <c r="DU101" s="383"/>
      <c r="DV101" s="383"/>
      <c r="DW101" s="383"/>
      <c r="DX101" s="383"/>
      <c r="DY101" s="383"/>
      <c r="DZ101" s="383"/>
      <c r="EA101" s="383"/>
      <c r="EB101" s="383"/>
      <c r="EC101" s="383"/>
      <c r="ED101" s="383"/>
      <c r="EE101" s="383"/>
      <c r="EF101" s="383"/>
      <c r="EG101" s="383"/>
      <c r="EH101" s="383"/>
      <c r="EI101" s="383"/>
      <c r="EJ101" s="383"/>
      <c r="EK101" s="383"/>
      <c r="EL101" s="383"/>
      <c r="EM101" s="383"/>
      <c r="EN101" s="383"/>
      <c r="EO101" s="383"/>
      <c r="EP101" s="383"/>
      <c r="EQ101" s="383"/>
      <c r="ER101" s="383"/>
      <c r="ES101" s="383"/>
      <c r="ET101" s="383"/>
      <c r="EU101" s="383"/>
      <c r="EV101" s="383"/>
      <c r="EW101" s="383"/>
      <c r="EX101" s="383"/>
      <c r="EY101" s="383"/>
      <c r="EZ101" s="383"/>
      <c r="FA101" s="383"/>
      <c r="FB101" s="383"/>
      <c r="FC101" s="383"/>
      <c r="FD101" s="383"/>
      <c r="FE101" s="383"/>
      <c r="FF101" s="383"/>
      <c r="FG101" s="383"/>
      <c r="FH101" s="383"/>
      <c r="FI101" s="383"/>
      <c r="FJ101" s="383"/>
      <c r="FK101" s="383"/>
      <c r="FL101" s="383"/>
      <c r="FM101" s="383"/>
      <c r="FN101" s="383"/>
      <c r="FO101" s="383"/>
      <c r="FP101" s="383"/>
      <c r="FQ101" s="383"/>
      <c r="FR101" s="383"/>
      <c r="FS101" s="383"/>
      <c r="FT101" s="383"/>
      <c r="FU101" s="383"/>
      <c r="FV101" s="383"/>
      <c r="FW101" s="383"/>
      <c r="FX101" s="383"/>
      <c r="FY101" s="383"/>
      <c r="FZ101" s="383"/>
      <c r="GA101" s="383"/>
      <c r="GB101" s="383"/>
      <c r="GC101" s="383"/>
      <c r="GD101" s="383"/>
      <c r="GE101" s="383"/>
      <c r="GF101" s="383"/>
      <c r="GG101" s="383"/>
      <c r="GH101" s="383"/>
      <c r="GI101" s="383"/>
      <c r="GJ101" s="383"/>
      <c r="GK101" s="383"/>
      <c r="GL101" s="383"/>
      <c r="GM101" s="383"/>
      <c r="GN101" s="383"/>
      <c r="GO101" s="383"/>
      <c r="GP101" s="383"/>
      <c r="GQ101" s="383"/>
      <c r="GR101" s="383"/>
      <c r="GS101" s="383"/>
      <c r="GT101" s="383"/>
      <c r="GU101" s="383"/>
      <c r="GV101" s="383"/>
      <c r="GW101" s="383"/>
      <c r="GX101" s="383"/>
      <c r="GY101" s="383"/>
      <c r="GZ101" s="383"/>
      <c r="HA101" s="383"/>
      <c r="HB101" s="383"/>
      <c r="HC101" s="383"/>
      <c r="HD101" s="383"/>
      <c r="HE101" s="383"/>
      <c r="HF101" s="383"/>
      <c r="HG101" s="383"/>
      <c r="HH101" s="383"/>
      <c r="HI101" s="383"/>
      <c r="HJ101" s="383"/>
      <c r="HK101" s="383"/>
      <c r="HL101" s="383"/>
      <c r="HM101" s="383"/>
      <c r="HN101" s="383"/>
      <c r="HO101" s="383"/>
      <c r="HP101" s="383"/>
      <c r="HQ101" s="383"/>
      <c r="HR101" s="383"/>
      <c r="HS101" s="383"/>
      <c r="HT101" s="383"/>
      <c r="HU101" s="383"/>
      <c r="HV101" s="383"/>
      <c r="HW101" s="383"/>
      <c r="HX101" s="383"/>
      <c r="HY101" s="383"/>
      <c r="HZ101" s="383"/>
      <c r="IA101" s="383"/>
      <c r="IB101" s="383"/>
      <c r="IC101" s="383"/>
      <c r="ID101" s="383"/>
      <c r="IE101" s="383"/>
      <c r="IF101" s="383"/>
      <c r="IG101" s="383"/>
      <c r="IH101" s="383"/>
      <c r="II101" s="383"/>
      <c r="IJ101" s="383"/>
      <c r="IK101" s="383"/>
      <c r="IL101" s="383"/>
    </row>
    <row r="102" spans="1:246" ht="15" customHeight="1">
      <c r="A102" s="481" t="s">
        <v>324</v>
      </c>
      <c r="B102" s="482" t="s">
        <v>205</v>
      </c>
      <c r="C102" s="483" t="s">
        <v>165</v>
      </c>
      <c r="D102" s="66"/>
      <c r="E102" s="500" t="s">
        <v>379</v>
      </c>
      <c r="F102" s="484">
        <v>7158</v>
      </c>
      <c r="G102" s="479" t="str">
        <f t="shared" si="9"/>
        <v>01/2026</v>
      </c>
      <c r="H102" s="341">
        <f>SUMIF(VI.A!$B$6:$B$5963,B102,VI.A!$L$6:$L$5963)</f>
        <v>475</v>
      </c>
      <c r="I102" s="341" t="str">
        <f t="shared" si="6"/>
        <v>si</v>
      </c>
      <c r="J102" s="383"/>
      <c r="K102" s="384">
        <f>IF(E102="SABESP","OK",VLOOKUP(F102,[6]ISD!$B$11:$F$4861,5,FALSE))</f>
        <v>39.03</v>
      </c>
      <c r="L102" s="384" t="str">
        <f t="shared" si="10"/>
        <v>VERIFICAR</v>
      </c>
      <c r="M102" s="480">
        <f t="shared" si="7"/>
        <v>39.03</v>
      </c>
      <c r="N102" s="383" t="b">
        <f t="shared" si="8"/>
        <v>0</v>
      </c>
      <c r="O102" s="383"/>
      <c r="P102" s="383"/>
      <c r="Q102" s="383"/>
      <c r="R102" s="383"/>
      <c r="S102" s="383"/>
      <c r="T102" s="383"/>
      <c r="U102" s="383"/>
      <c r="V102" s="383"/>
      <c r="W102" s="383"/>
      <c r="X102" s="383"/>
      <c r="Y102" s="383"/>
      <c r="Z102" s="383"/>
      <c r="AA102" s="383"/>
      <c r="AB102" s="383"/>
      <c r="AC102" s="383"/>
      <c r="AD102" s="383"/>
      <c r="AE102" s="383"/>
      <c r="AF102" s="383"/>
      <c r="AG102" s="383"/>
      <c r="AH102" s="383"/>
      <c r="AI102" s="383"/>
      <c r="AJ102" s="383"/>
      <c r="AK102" s="383"/>
      <c r="AL102" s="383"/>
      <c r="AM102" s="383"/>
      <c r="AN102" s="383"/>
      <c r="AO102" s="383"/>
      <c r="AP102" s="383"/>
      <c r="AQ102" s="383"/>
      <c r="AR102" s="383"/>
      <c r="AS102" s="383"/>
      <c r="AT102" s="383"/>
      <c r="AU102" s="383"/>
      <c r="AV102" s="383"/>
      <c r="AW102" s="383"/>
      <c r="AX102" s="383"/>
      <c r="AY102" s="383"/>
      <c r="AZ102" s="383"/>
      <c r="BA102" s="383"/>
      <c r="BB102" s="383"/>
      <c r="BC102" s="383"/>
      <c r="BD102" s="383"/>
      <c r="BE102" s="383"/>
      <c r="BF102" s="383"/>
      <c r="BG102" s="383"/>
      <c r="BH102" s="383"/>
      <c r="BI102" s="383"/>
      <c r="BJ102" s="383"/>
      <c r="BK102" s="383"/>
      <c r="BL102" s="383"/>
      <c r="BM102" s="383"/>
      <c r="BN102" s="383"/>
      <c r="BO102" s="383"/>
      <c r="BP102" s="383"/>
      <c r="BQ102" s="383"/>
      <c r="BR102" s="383"/>
      <c r="BS102" s="383"/>
      <c r="BT102" s="383"/>
      <c r="BU102" s="383"/>
      <c r="BV102" s="383"/>
      <c r="BW102" s="383"/>
      <c r="BX102" s="383"/>
      <c r="BY102" s="383"/>
      <c r="BZ102" s="383"/>
      <c r="CA102" s="383"/>
      <c r="CB102" s="383"/>
      <c r="CC102" s="383"/>
      <c r="CD102" s="383"/>
      <c r="CE102" s="383"/>
      <c r="CF102" s="383"/>
      <c r="CG102" s="383"/>
      <c r="CH102" s="383"/>
      <c r="CI102" s="383"/>
      <c r="CJ102" s="383"/>
      <c r="CK102" s="383"/>
      <c r="CL102" s="383"/>
      <c r="CM102" s="383"/>
      <c r="CN102" s="383"/>
      <c r="CO102" s="383"/>
      <c r="CP102" s="383"/>
      <c r="CQ102" s="383"/>
      <c r="CR102" s="383"/>
      <c r="CS102" s="383"/>
      <c r="CT102" s="383"/>
      <c r="CU102" s="383"/>
      <c r="CV102" s="383"/>
      <c r="CW102" s="383"/>
      <c r="CX102" s="383"/>
      <c r="CY102" s="383"/>
      <c r="CZ102" s="383"/>
      <c r="DA102" s="383"/>
      <c r="DB102" s="383"/>
      <c r="DC102" s="383"/>
      <c r="DD102" s="383"/>
      <c r="DE102" s="383"/>
      <c r="DF102" s="383"/>
      <c r="DG102" s="383"/>
      <c r="DH102" s="383"/>
      <c r="DI102" s="383"/>
      <c r="DJ102" s="383"/>
      <c r="DK102" s="383"/>
      <c r="DL102" s="383"/>
      <c r="DM102" s="383"/>
      <c r="DN102" s="383"/>
      <c r="DO102" s="383"/>
      <c r="DP102" s="383"/>
      <c r="DQ102" s="383"/>
      <c r="DR102" s="383"/>
      <c r="DS102" s="383"/>
      <c r="DT102" s="383"/>
      <c r="DU102" s="383"/>
      <c r="DV102" s="383"/>
      <c r="DW102" s="383"/>
      <c r="DX102" s="383"/>
      <c r="DY102" s="383"/>
      <c r="DZ102" s="383"/>
      <c r="EA102" s="383"/>
      <c r="EB102" s="383"/>
      <c r="EC102" s="383"/>
      <c r="ED102" s="383"/>
      <c r="EE102" s="383"/>
      <c r="EF102" s="383"/>
      <c r="EG102" s="383"/>
      <c r="EH102" s="383"/>
      <c r="EI102" s="383"/>
      <c r="EJ102" s="383"/>
      <c r="EK102" s="383"/>
      <c r="EL102" s="383"/>
      <c r="EM102" s="383"/>
      <c r="EN102" s="383"/>
      <c r="EO102" s="383"/>
      <c r="EP102" s="383"/>
      <c r="EQ102" s="383"/>
      <c r="ER102" s="383"/>
      <c r="ES102" s="383"/>
      <c r="ET102" s="383"/>
      <c r="EU102" s="383"/>
      <c r="EV102" s="383"/>
      <c r="EW102" s="383"/>
      <c r="EX102" s="383"/>
      <c r="EY102" s="383"/>
      <c r="EZ102" s="383"/>
      <c r="FA102" s="383"/>
      <c r="FB102" s="383"/>
      <c r="FC102" s="383"/>
      <c r="FD102" s="383"/>
      <c r="FE102" s="383"/>
      <c r="FF102" s="383"/>
      <c r="FG102" s="383"/>
      <c r="FH102" s="383"/>
      <c r="FI102" s="383"/>
      <c r="FJ102" s="383"/>
      <c r="FK102" s="383"/>
      <c r="FL102" s="383"/>
      <c r="FM102" s="383"/>
      <c r="FN102" s="383"/>
      <c r="FO102" s="383"/>
      <c r="FP102" s="383"/>
      <c r="FQ102" s="383"/>
      <c r="FR102" s="383"/>
      <c r="FS102" s="383"/>
      <c r="FT102" s="383"/>
      <c r="FU102" s="383"/>
      <c r="FV102" s="383"/>
      <c r="FW102" s="383"/>
      <c r="FX102" s="383"/>
      <c r="FY102" s="383"/>
      <c r="FZ102" s="383"/>
      <c r="GA102" s="383"/>
      <c r="GB102" s="383"/>
      <c r="GC102" s="383"/>
      <c r="GD102" s="383"/>
      <c r="GE102" s="383"/>
      <c r="GF102" s="383"/>
      <c r="GG102" s="383"/>
      <c r="GH102" s="383"/>
      <c r="GI102" s="383"/>
      <c r="GJ102" s="383"/>
      <c r="GK102" s="383"/>
      <c r="GL102" s="383"/>
      <c r="GM102" s="383"/>
      <c r="GN102" s="383"/>
      <c r="GO102" s="383"/>
      <c r="GP102" s="383"/>
      <c r="GQ102" s="383"/>
      <c r="GR102" s="383"/>
      <c r="GS102" s="383"/>
      <c r="GT102" s="383"/>
      <c r="GU102" s="383"/>
      <c r="GV102" s="383"/>
      <c r="GW102" s="383"/>
      <c r="GX102" s="383"/>
      <c r="GY102" s="383"/>
      <c r="GZ102" s="383"/>
      <c r="HA102" s="383"/>
      <c r="HB102" s="383"/>
      <c r="HC102" s="383"/>
      <c r="HD102" s="383"/>
      <c r="HE102" s="383"/>
      <c r="HF102" s="383"/>
      <c r="HG102" s="383"/>
      <c r="HH102" s="383"/>
      <c r="HI102" s="383"/>
      <c r="HJ102" s="383"/>
      <c r="HK102" s="383"/>
      <c r="HL102" s="383"/>
      <c r="HM102" s="383"/>
      <c r="HN102" s="383"/>
      <c r="HO102" s="383"/>
      <c r="HP102" s="383"/>
      <c r="HQ102" s="383"/>
      <c r="HR102" s="383"/>
      <c r="HS102" s="383"/>
      <c r="HT102" s="383"/>
      <c r="HU102" s="383"/>
      <c r="HV102" s="383"/>
      <c r="HW102" s="383"/>
      <c r="HX102" s="383"/>
      <c r="HY102" s="383"/>
      <c r="HZ102" s="383"/>
      <c r="IA102" s="383"/>
      <c r="IB102" s="383"/>
      <c r="IC102" s="383"/>
      <c r="ID102" s="383"/>
      <c r="IE102" s="383"/>
      <c r="IF102" s="383"/>
      <c r="IG102" s="383"/>
      <c r="IH102" s="383"/>
      <c r="II102" s="383"/>
      <c r="IJ102" s="383"/>
      <c r="IK102" s="383"/>
      <c r="IL102" s="383"/>
    </row>
    <row r="103" spans="1:246" ht="15" customHeight="1">
      <c r="A103" s="481" t="s">
        <v>325</v>
      </c>
      <c r="B103" s="482" t="s">
        <v>483</v>
      </c>
      <c r="C103" s="483" t="s">
        <v>222</v>
      </c>
      <c r="D103" s="66"/>
      <c r="E103" s="500" t="s">
        <v>735</v>
      </c>
      <c r="F103" s="484" t="s">
        <v>800</v>
      </c>
      <c r="G103" s="479" t="str">
        <f t="shared" si="9"/>
        <v>OUTRO</v>
      </c>
      <c r="H103" s="341">
        <f>SUMIF(VI.A!$B$6:$B$5963,B103,VI.A!$L$6:$L$5963)</f>
        <v>5500</v>
      </c>
      <c r="I103" s="341" t="str">
        <f t="shared" si="6"/>
        <v>si</v>
      </c>
      <c r="J103" s="383"/>
      <c r="K103" s="384">
        <f>VLOOKUP(F103,[7]Insumos!$A$9:$D$3235,4,FALSE)</f>
        <v>7.55</v>
      </c>
      <c r="L103" s="384" t="str">
        <f t="shared" si="10"/>
        <v>VERIFICAR</v>
      </c>
      <c r="M103" s="480">
        <f t="shared" si="7"/>
        <v>7.55</v>
      </c>
      <c r="N103" s="383" t="b">
        <f t="shared" si="8"/>
        <v>0</v>
      </c>
      <c r="O103" s="383"/>
      <c r="P103" s="383"/>
      <c r="Q103" s="383"/>
      <c r="R103" s="383"/>
      <c r="S103" s="383"/>
      <c r="T103" s="383"/>
      <c r="U103" s="383"/>
      <c r="V103" s="383"/>
      <c r="W103" s="383"/>
      <c r="X103" s="383"/>
      <c r="Y103" s="383"/>
      <c r="Z103" s="383"/>
      <c r="AA103" s="383"/>
      <c r="AB103" s="383"/>
      <c r="AC103" s="383"/>
      <c r="AD103" s="383"/>
      <c r="AE103" s="383"/>
      <c r="AF103" s="383"/>
      <c r="AG103" s="383"/>
      <c r="AH103" s="383"/>
      <c r="AI103" s="383"/>
      <c r="AJ103" s="383"/>
      <c r="AK103" s="383"/>
      <c r="AL103" s="383"/>
      <c r="AM103" s="383"/>
      <c r="AN103" s="383"/>
      <c r="AO103" s="383"/>
      <c r="AP103" s="383"/>
      <c r="AQ103" s="383"/>
      <c r="AR103" s="383"/>
      <c r="AS103" s="383"/>
      <c r="AT103" s="383"/>
      <c r="AU103" s="383"/>
      <c r="AV103" s="383"/>
      <c r="AW103" s="383"/>
      <c r="AX103" s="383"/>
      <c r="AY103" s="383"/>
      <c r="AZ103" s="383"/>
      <c r="BA103" s="383"/>
      <c r="BB103" s="383"/>
      <c r="BC103" s="383"/>
      <c r="BD103" s="383"/>
      <c r="BE103" s="383"/>
      <c r="BF103" s="383"/>
      <c r="BG103" s="383"/>
      <c r="BH103" s="383"/>
      <c r="BI103" s="383"/>
      <c r="BJ103" s="383"/>
      <c r="BK103" s="383"/>
      <c r="BL103" s="383"/>
      <c r="BM103" s="383"/>
      <c r="BN103" s="383"/>
      <c r="BO103" s="383"/>
      <c r="BP103" s="383"/>
      <c r="BQ103" s="383"/>
      <c r="BR103" s="383"/>
      <c r="BS103" s="383"/>
      <c r="BT103" s="383"/>
      <c r="BU103" s="383"/>
      <c r="BV103" s="383"/>
      <c r="BW103" s="383"/>
      <c r="BX103" s="383"/>
      <c r="BY103" s="383"/>
      <c r="BZ103" s="383"/>
      <c r="CA103" s="383"/>
      <c r="CB103" s="383"/>
      <c r="CC103" s="383"/>
      <c r="CD103" s="383"/>
      <c r="CE103" s="383"/>
      <c r="CF103" s="383"/>
      <c r="CG103" s="383"/>
      <c r="CH103" s="383"/>
      <c r="CI103" s="383"/>
      <c r="CJ103" s="383"/>
      <c r="CK103" s="383"/>
      <c r="CL103" s="383"/>
      <c r="CM103" s="383"/>
      <c r="CN103" s="383"/>
      <c r="CO103" s="383"/>
      <c r="CP103" s="383"/>
      <c r="CQ103" s="383"/>
      <c r="CR103" s="383"/>
      <c r="CS103" s="383"/>
      <c r="CT103" s="383"/>
      <c r="CU103" s="383"/>
      <c r="CV103" s="383"/>
      <c r="CW103" s="383"/>
      <c r="CX103" s="383"/>
      <c r="CY103" s="383"/>
      <c r="CZ103" s="383"/>
      <c r="DA103" s="383"/>
      <c r="DB103" s="383"/>
      <c r="DC103" s="383"/>
      <c r="DD103" s="383"/>
      <c r="DE103" s="383"/>
      <c r="DF103" s="383"/>
      <c r="DG103" s="383"/>
      <c r="DH103" s="383"/>
      <c r="DI103" s="383"/>
      <c r="DJ103" s="383"/>
      <c r="DK103" s="383"/>
      <c r="DL103" s="383"/>
      <c r="DM103" s="383"/>
      <c r="DN103" s="383"/>
      <c r="DO103" s="383"/>
      <c r="DP103" s="383"/>
      <c r="DQ103" s="383"/>
      <c r="DR103" s="383"/>
      <c r="DS103" s="383"/>
      <c r="DT103" s="383"/>
      <c r="DU103" s="383"/>
      <c r="DV103" s="383"/>
      <c r="DW103" s="383"/>
      <c r="DX103" s="383"/>
      <c r="DY103" s="383"/>
      <c r="DZ103" s="383"/>
      <c r="EA103" s="383"/>
      <c r="EB103" s="383"/>
      <c r="EC103" s="383"/>
      <c r="ED103" s="383"/>
      <c r="EE103" s="383"/>
      <c r="EF103" s="383"/>
      <c r="EG103" s="383"/>
      <c r="EH103" s="383"/>
      <c r="EI103" s="383"/>
      <c r="EJ103" s="383"/>
      <c r="EK103" s="383"/>
      <c r="EL103" s="383"/>
      <c r="EM103" s="383"/>
      <c r="EN103" s="383"/>
      <c r="EO103" s="383"/>
      <c r="EP103" s="383"/>
      <c r="EQ103" s="383"/>
      <c r="ER103" s="383"/>
      <c r="ES103" s="383"/>
      <c r="ET103" s="383"/>
      <c r="EU103" s="383"/>
      <c r="EV103" s="383"/>
      <c r="EW103" s="383"/>
      <c r="EX103" s="383"/>
      <c r="EY103" s="383"/>
      <c r="EZ103" s="383"/>
      <c r="FA103" s="383"/>
      <c r="FB103" s="383"/>
      <c r="FC103" s="383"/>
      <c r="FD103" s="383"/>
      <c r="FE103" s="383"/>
      <c r="FF103" s="383"/>
      <c r="FG103" s="383"/>
      <c r="FH103" s="383"/>
      <c r="FI103" s="383"/>
      <c r="FJ103" s="383"/>
      <c r="FK103" s="383"/>
      <c r="FL103" s="383"/>
      <c r="FM103" s="383"/>
      <c r="FN103" s="383"/>
      <c r="FO103" s="383"/>
      <c r="FP103" s="383"/>
      <c r="FQ103" s="383"/>
      <c r="FR103" s="383"/>
      <c r="FS103" s="383"/>
      <c r="FT103" s="383"/>
      <c r="FU103" s="383"/>
      <c r="FV103" s="383"/>
      <c r="FW103" s="383"/>
      <c r="FX103" s="383"/>
      <c r="FY103" s="383"/>
      <c r="FZ103" s="383"/>
      <c r="GA103" s="383"/>
      <c r="GB103" s="383"/>
      <c r="GC103" s="383"/>
      <c r="GD103" s="383"/>
      <c r="GE103" s="383"/>
      <c r="GF103" s="383"/>
      <c r="GG103" s="383"/>
      <c r="GH103" s="383"/>
      <c r="GI103" s="383"/>
      <c r="GJ103" s="383"/>
      <c r="GK103" s="383"/>
      <c r="GL103" s="383"/>
      <c r="GM103" s="383"/>
      <c r="GN103" s="383"/>
      <c r="GO103" s="383"/>
      <c r="GP103" s="383"/>
      <c r="GQ103" s="383"/>
      <c r="GR103" s="383"/>
      <c r="GS103" s="383"/>
      <c r="GT103" s="383"/>
      <c r="GU103" s="383"/>
      <c r="GV103" s="383"/>
      <c r="GW103" s="383"/>
      <c r="GX103" s="383"/>
      <c r="GY103" s="383"/>
      <c r="GZ103" s="383"/>
      <c r="HA103" s="383"/>
      <c r="HB103" s="383"/>
      <c r="HC103" s="383"/>
      <c r="HD103" s="383"/>
      <c r="HE103" s="383"/>
      <c r="HF103" s="383"/>
      <c r="HG103" s="383"/>
      <c r="HH103" s="383"/>
      <c r="HI103" s="383"/>
      <c r="HJ103" s="383"/>
      <c r="HK103" s="383"/>
      <c r="HL103" s="383"/>
      <c r="HM103" s="383"/>
      <c r="HN103" s="383"/>
      <c r="HO103" s="383"/>
      <c r="HP103" s="383"/>
      <c r="HQ103" s="383"/>
      <c r="HR103" s="383"/>
      <c r="HS103" s="383"/>
      <c r="HT103" s="383"/>
      <c r="HU103" s="383"/>
      <c r="HV103" s="383"/>
      <c r="HW103" s="383"/>
      <c r="HX103" s="383"/>
      <c r="HY103" s="383"/>
      <c r="HZ103" s="383"/>
      <c r="IA103" s="383"/>
      <c r="IB103" s="383"/>
      <c r="IC103" s="383"/>
      <c r="ID103" s="383"/>
      <c r="IE103" s="383"/>
      <c r="IF103" s="383"/>
      <c r="IG103" s="383"/>
      <c r="IH103" s="383"/>
      <c r="II103" s="383"/>
      <c r="IJ103" s="383"/>
      <c r="IK103" s="383"/>
      <c r="IL103" s="383"/>
    </row>
    <row r="104" spans="1:246" ht="25.5">
      <c r="A104" s="481" t="s">
        <v>326</v>
      </c>
      <c r="B104" s="482" t="s">
        <v>465</v>
      </c>
      <c r="C104" s="483" t="s">
        <v>164</v>
      </c>
      <c r="D104" s="66"/>
      <c r="E104" s="500" t="s">
        <v>379</v>
      </c>
      <c r="F104" s="484">
        <v>34557</v>
      </c>
      <c r="G104" s="479" t="str">
        <f t="shared" si="9"/>
        <v>01/2026</v>
      </c>
      <c r="H104" s="341">
        <f>SUMIF(VI.A!$B$6:$B$5963,B104,VI.A!$L$6:$L$5963)</f>
        <v>3568.6780000000003</v>
      </c>
      <c r="I104" s="341" t="str">
        <f t="shared" si="6"/>
        <v>si</v>
      </c>
      <c r="J104" s="383"/>
      <c r="K104" s="384">
        <f>IF(E104="SABESP","OK",VLOOKUP(F104,[6]ISD!$B$11:$F$4861,5,FALSE))</f>
        <v>2.08</v>
      </c>
      <c r="L104" s="384" t="str">
        <f t="shared" si="10"/>
        <v>VERIFICAR</v>
      </c>
      <c r="M104" s="480">
        <f t="shared" si="7"/>
        <v>2.08</v>
      </c>
      <c r="N104" s="383" t="b">
        <f t="shared" si="8"/>
        <v>0</v>
      </c>
      <c r="O104" s="383"/>
      <c r="P104" s="383"/>
      <c r="Q104" s="383"/>
      <c r="R104" s="383"/>
      <c r="S104" s="383"/>
      <c r="T104" s="383"/>
      <c r="U104" s="383"/>
      <c r="V104" s="383"/>
      <c r="W104" s="383"/>
      <c r="X104" s="383"/>
      <c r="Y104" s="383"/>
      <c r="Z104" s="383"/>
      <c r="AA104" s="383"/>
      <c r="AB104" s="383"/>
      <c r="AC104" s="383"/>
      <c r="AD104" s="383"/>
      <c r="AE104" s="383"/>
      <c r="AF104" s="383"/>
      <c r="AG104" s="383"/>
      <c r="AH104" s="383"/>
      <c r="AI104" s="383"/>
      <c r="AJ104" s="383"/>
      <c r="AK104" s="383"/>
      <c r="AL104" s="383"/>
      <c r="AM104" s="383"/>
      <c r="AN104" s="383"/>
      <c r="AO104" s="383"/>
      <c r="AP104" s="383"/>
      <c r="AQ104" s="383"/>
      <c r="AR104" s="383"/>
      <c r="AS104" s="383"/>
      <c r="AT104" s="383"/>
      <c r="AU104" s="383"/>
      <c r="AV104" s="383"/>
      <c r="AW104" s="383"/>
      <c r="AX104" s="383"/>
      <c r="AY104" s="383"/>
      <c r="AZ104" s="383"/>
      <c r="BA104" s="383"/>
      <c r="BB104" s="383"/>
      <c r="BC104" s="383"/>
      <c r="BD104" s="383"/>
      <c r="BE104" s="383"/>
      <c r="BF104" s="383"/>
      <c r="BG104" s="383"/>
      <c r="BH104" s="383"/>
      <c r="BI104" s="383"/>
      <c r="BJ104" s="383"/>
      <c r="BK104" s="383"/>
      <c r="BL104" s="383"/>
      <c r="BM104" s="383"/>
      <c r="BN104" s="383"/>
      <c r="BO104" s="383"/>
      <c r="BP104" s="383"/>
      <c r="BQ104" s="383"/>
      <c r="BR104" s="383"/>
      <c r="BS104" s="383"/>
      <c r="BT104" s="383"/>
      <c r="BU104" s="383"/>
      <c r="BV104" s="383"/>
      <c r="BW104" s="383"/>
      <c r="BX104" s="383"/>
      <c r="BY104" s="383"/>
      <c r="BZ104" s="383"/>
      <c r="CA104" s="383"/>
      <c r="CB104" s="383"/>
      <c r="CC104" s="383"/>
      <c r="CD104" s="383"/>
      <c r="CE104" s="383"/>
      <c r="CF104" s="383"/>
      <c r="CG104" s="383"/>
      <c r="CH104" s="383"/>
      <c r="CI104" s="383"/>
      <c r="CJ104" s="383"/>
      <c r="CK104" s="383"/>
      <c r="CL104" s="383"/>
      <c r="CM104" s="383"/>
      <c r="CN104" s="383"/>
      <c r="CO104" s="383"/>
      <c r="CP104" s="383"/>
      <c r="CQ104" s="383"/>
      <c r="CR104" s="383"/>
      <c r="CS104" s="383"/>
      <c r="CT104" s="383"/>
      <c r="CU104" s="383"/>
      <c r="CV104" s="383"/>
      <c r="CW104" s="383"/>
      <c r="CX104" s="383"/>
      <c r="CY104" s="383"/>
      <c r="CZ104" s="383"/>
      <c r="DA104" s="383"/>
      <c r="DB104" s="383"/>
      <c r="DC104" s="383"/>
      <c r="DD104" s="383"/>
      <c r="DE104" s="383"/>
      <c r="DF104" s="383"/>
      <c r="DG104" s="383"/>
      <c r="DH104" s="383"/>
      <c r="DI104" s="383"/>
      <c r="DJ104" s="383"/>
      <c r="DK104" s="383"/>
      <c r="DL104" s="383"/>
      <c r="DM104" s="383"/>
      <c r="DN104" s="383"/>
      <c r="DO104" s="383"/>
      <c r="DP104" s="383"/>
      <c r="DQ104" s="383"/>
      <c r="DR104" s="383"/>
      <c r="DS104" s="383"/>
      <c r="DT104" s="383"/>
      <c r="DU104" s="383"/>
      <c r="DV104" s="383"/>
      <c r="DW104" s="383"/>
      <c r="DX104" s="383"/>
      <c r="DY104" s="383"/>
      <c r="DZ104" s="383"/>
      <c r="EA104" s="383"/>
      <c r="EB104" s="383"/>
      <c r="EC104" s="383"/>
      <c r="ED104" s="383"/>
      <c r="EE104" s="383"/>
      <c r="EF104" s="383"/>
      <c r="EG104" s="383"/>
      <c r="EH104" s="383"/>
      <c r="EI104" s="383"/>
      <c r="EJ104" s="383"/>
      <c r="EK104" s="383"/>
      <c r="EL104" s="383"/>
      <c r="EM104" s="383"/>
      <c r="EN104" s="383"/>
      <c r="EO104" s="383"/>
      <c r="EP104" s="383"/>
      <c r="EQ104" s="383"/>
      <c r="ER104" s="383"/>
      <c r="ES104" s="383"/>
      <c r="ET104" s="383"/>
      <c r="EU104" s="383"/>
      <c r="EV104" s="383"/>
      <c r="EW104" s="383"/>
      <c r="EX104" s="383"/>
      <c r="EY104" s="383"/>
      <c r="EZ104" s="383"/>
      <c r="FA104" s="383"/>
      <c r="FB104" s="383"/>
      <c r="FC104" s="383"/>
      <c r="FD104" s="383"/>
      <c r="FE104" s="383"/>
      <c r="FF104" s="383"/>
      <c r="FG104" s="383"/>
      <c r="FH104" s="383"/>
      <c r="FI104" s="383"/>
      <c r="FJ104" s="383"/>
      <c r="FK104" s="383"/>
      <c r="FL104" s="383"/>
      <c r="FM104" s="383"/>
      <c r="FN104" s="383"/>
      <c r="FO104" s="383"/>
      <c r="FP104" s="383"/>
      <c r="FQ104" s="383"/>
      <c r="FR104" s="383"/>
      <c r="FS104" s="383"/>
      <c r="FT104" s="383"/>
      <c r="FU104" s="383"/>
      <c r="FV104" s="383"/>
      <c r="FW104" s="383"/>
      <c r="FX104" s="383"/>
      <c r="FY104" s="383"/>
      <c r="FZ104" s="383"/>
      <c r="GA104" s="383"/>
      <c r="GB104" s="383"/>
      <c r="GC104" s="383"/>
      <c r="GD104" s="383"/>
      <c r="GE104" s="383"/>
      <c r="GF104" s="383"/>
      <c r="GG104" s="383"/>
      <c r="GH104" s="383"/>
      <c r="GI104" s="383"/>
      <c r="GJ104" s="383"/>
      <c r="GK104" s="383"/>
      <c r="GL104" s="383"/>
      <c r="GM104" s="383"/>
      <c r="GN104" s="383"/>
      <c r="GO104" s="383"/>
      <c r="GP104" s="383"/>
      <c r="GQ104" s="383"/>
      <c r="GR104" s="383"/>
      <c r="GS104" s="383"/>
      <c r="GT104" s="383"/>
      <c r="GU104" s="383"/>
      <c r="GV104" s="383"/>
      <c r="GW104" s="383"/>
      <c r="GX104" s="383"/>
      <c r="GY104" s="383"/>
      <c r="GZ104" s="383"/>
      <c r="HA104" s="383"/>
      <c r="HB104" s="383"/>
      <c r="HC104" s="383"/>
      <c r="HD104" s="383"/>
      <c r="HE104" s="383"/>
      <c r="HF104" s="383"/>
      <c r="HG104" s="383"/>
      <c r="HH104" s="383"/>
      <c r="HI104" s="383"/>
      <c r="HJ104" s="383"/>
      <c r="HK104" s="383"/>
      <c r="HL104" s="383"/>
      <c r="HM104" s="383"/>
      <c r="HN104" s="383"/>
      <c r="HO104" s="383"/>
      <c r="HP104" s="383"/>
      <c r="HQ104" s="383"/>
      <c r="HR104" s="383"/>
      <c r="HS104" s="383"/>
      <c r="HT104" s="383"/>
      <c r="HU104" s="383"/>
      <c r="HV104" s="383"/>
      <c r="HW104" s="383"/>
      <c r="HX104" s="383"/>
      <c r="HY104" s="383"/>
      <c r="HZ104" s="383"/>
      <c r="IA104" s="383"/>
      <c r="IB104" s="383"/>
      <c r="IC104" s="383"/>
      <c r="ID104" s="383"/>
      <c r="IE104" s="383"/>
      <c r="IF104" s="383"/>
      <c r="IG104" s="383"/>
      <c r="IH104" s="383"/>
      <c r="II104" s="383"/>
      <c r="IJ104" s="383"/>
      <c r="IK104" s="383"/>
      <c r="IL104" s="383"/>
    </row>
    <row r="105" spans="1:246" ht="25.5">
      <c r="A105" s="481" t="s">
        <v>327</v>
      </c>
      <c r="B105" s="482" t="s">
        <v>545</v>
      </c>
      <c r="C105" s="483" t="s">
        <v>164</v>
      </c>
      <c r="D105" s="66"/>
      <c r="E105" s="500" t="s">
        <v>379</v>
      </c>
      <c r="F105" s="484">
        <v>37525</v>
      </c>
      <c r="G105" s="479" t="str">
        <f t="shared" si="9"/>
        <v>01/2026</v>
      </c>
      <c r="H105" s="341">
        <f>SUMIF(VI.A!$B$6:$B$5963,B105,VI.A!$L$6:$L$5963)</f>
        <v>3000</v>
      </c>
      <c r="I105" s="341" t="str">
        <f t="shared" si="6"/>
        <v>si</v>
      </c>
      <c r="J105" s="383"/>
      <c r="K105" s="384">
        <f>IF(E105="SABESP","OK",VLOOKUP(F105,[6]ISD!$B$11:$F$4861,5,FALSE))</f>
        <v>2.58</v>
      </c>
      <c r="L105" s="384" t="str">
        <f t="shared" si="10"/>
        <v>VERIFICAR</v>
      </c>
      <c r="M105" s="480">
        <f t="shared" si="7"/>
        <v>2.58</v>
      </c>
      <c r="N105" s="383" t="b">
        <f t="shared" si="8"/>
        <v>0</v>
      </c>
      <c r="O105" s="383"/>
      <c r="P105" s="383"/>
      <c r="Q105" s="383"/>
      <c r="R105" s="383"/>
      <c r="S105" s="383"/>
      <c r="T105" s="383"/>
      <c r="U105" s="383"/>
      <c r="V105" s="383"/>
      <c r="W105" s="383"/>
      <c r="X105" s="383"/>
      <c r="Y105" s="383"/>
      <c r="Z105" s="383"/>
      <c r="AA105" s="383"/>
      <c r="AB105" s="383"/>
      <c r="AC105" s="383"/>
      <c r="AD105" s="383"/>
      <c r="AE105" s="383"/>
      <c r="AF105" s="383"/>
      <c r="AG105" s="383"/>
      <c r="AH105" s="383"/>
      <c r="AI105" s="383"/>
      <c r="AJ105" s="383"/>
      <c r="AK105" s="383"/>
      <c r="AL105" s="383"/>
      <c r="AM105" s="383"/>
      <c r="AN105" s="383"/>
      <c r="AO105" s="383"/>
      <c r="AP105" s="383"/>
      <c r="AQ105" s="383"/>
      <c r="AR105" s="383"/>
      <c r="AS105" s="383"/>
      <c r="AT105" s="383"/>
      <c r="AU105" s="383"/>
      <c r="AV105" s="383"/>
      <c r="AW105" s="383"/>
      <c r="AX105" s="383"/>
      <c r="AY105" s="383"/>
      <c r="AZ105" s="383"/>
      <c r="BA105" s="383"/>
      <c r="BB105" s="383"/>
      <c r="BC105" s="383"/>
      <c r="BD105" s="383"/>
      <c r="BE105" s="383"/>
      <c r="BF105" s="383"/>
      <c r="BG105" s="383"/>
      <c r="BH105" s="383"/>
      <c r="BI105" s="383"/>
      <c r="BJ105" s="383"/>
      <c r="BK105" s="383"/>
      <c r="BL105" s="383"/>
      <c r="BM105" s="383"/>
      <c r="BN105" s="383"/>
      <c r="BO105" s="383"/>
      <c r="BP105" s="383"/>
      <c r="BQ105" s="383"/>
      <c r="BR105" s="383"/>
      <c r="BS105" s="383"/>
      <c r="BT105" s="383"/>
      <c r="BU105" s="383"/>
      <c r="BV105" s="383"/>
      <c r="BW105" s="383"/>
      <c r="BX105" s="383"/>
      <c r="BY105" s="383"/>
      <c r="BZ105" s="383"/>
      <c r="CA105" s="383"/>
      <c r="CB105" s="383"/>
      <c r="CC105" s="383"/>
      <c r="CD105" s="383"/>
      <c r="CE105" s="383"/>
      <c r="CF105" s="383"/>
      <c r="CG105" s="383"/>
      <c r="CH105" s="383"/>
      <c r="CI105" s="383"/>
      <c r="CJ105" s="383"/>
      <c r="CK105" s="383"/>
      <c r="CL105" s="383"/>
      <c r="CM105" s="383"/>
      <c r="CN105" s="383"/>
      <c r="CO105" s="383"/>
      <c r="CP105" s="383"/>
      <c r="CQ105" s="383"/>
      <c r="CR105" s="383"/>
      <c r="CS105" s="383"/>
      <c r="CT105" s="383"/>
      <c r="CU105" s="383"/>
      <c r="CV105" s="383"/>
      <c r="CW105" s="383"/>
      <c r="CX105" s="383"/>
      <c r="CY105" s="383"/>
      <c r="CZ105" s="383"/>
      <c r="DA105" s="383"/>
      <c r="DB105" s="383"/>
      <c r="DC105" s="383"/>
      <c r="DD105" s="383"/>
      <c r="DE105" s="383"/>
      <c r="DF105" s="383"/>
      <c r="DG105" s="383"/>
      <c r="DH105" s="383"/>
      <c r="DI105" s="383"/>
      <c r="DJ105" s="383"/>
      <c r="DK105" s="383"/>
      <c r="DL105" s="383"/>
      <c r="DM105" s="383"/>
      <c r="DN105" s="383"/>
      <c r="DO105" s="383"/>
      <c r="DP105" s="383"/>
      <c r="DQ105" s="383"/>
      <c r="DR105" s="383"/>
      <c r="DS105" s="383"/>
      <c r="DT105" s="383"/>
      <c r="DU105" s="383"/>
      <c r="DV105" s="383"/>
      <c r="DW105" s="383"/>
      <c r="DX105" s="383"/>
      <c r="DY105" s="383"/>
      <c r="DZ105" s="383"/>
      <c r="EA105" s="383"/>
      <c r="EB105" s="383"/>
      <c r="EC105" s="383"/>
      <c r="ED105" s="383"/>
      <c r="EE105" s="383"/>
      <c r="EF105" s="383"/>
      <c r="EG105" s="383"/>
      <c r="EH105" s="383"/>
      <c r="EI105" s="383"/>
      <c r="EJ105" s="383"/>
      <c r="EK105" s="383"/>
      <c r="EL105" s="383"/>
      <c r="EM105" s="383"/>
      <c r="EN105" s="383"/>
      <c r="EO105" s="383"/>
      <c r="EP105" s="383"/>
      <c r="EQ105" s="383"/>
      <c r="ER105" s="383"/>
      <c r="ES105" s="383"/>
      <c r="ET105" s="383"/>
      <c r="EU105" s="383"/>
      <c r="EV105" s="383"/>
      <c r="EW105" s="383"/>
      <c r="EX105" s="383"/>
      <c r="EY105" s="383"/>
      <c r="EZ105" s="383"/>
      <c r="FA105" s="383"/>
      <c r="FB105" s="383"/>
      <c r="FC105" s="383"/>
      <c r="FD105" s="383"/>
      <c r="FE105" s="383"/>
      <c r="FF105" s="383"/>
      <c r="FG105" s="383"/>
      <c r="FH105" s="383"/>
      <c r="FI105" s="383"/>
      <c r="FJ105" s="383"/>
      <c r="FK105" s="383"/>
      <c r="FL105" s="383"/>
      <c r="FM105" s="383"/>
      <c r="FN105" s="383"/>
      <c r="FO105" s="383"/>
      <c r="FP105" s="383"/>
      <c r="FQ105" s="383"/>
      <c r="FR105" s="383"/>
      <c r="FS105" s="383"/>
      <c r="FT105" s="383"/>
      <c r="FU105" s="383"/>
      <c r="FV105" s="383"/>
      <c r="FW105" s="383"/>
      <c r="FX105" s="383"/>
      <c r="FY105" s="383"/>
      <c r="FZ105" s="383"/>
      <c r="GA105" s="383"/>
      <c r="GB105" s="383"/>
      <c r="GC105" s="383"/>
      <c r="GD105" s="383"/>
      <c r="GE105" s="383"/>
      <c r="GF105" s="383"/>
      <c r="GG105" s="383"/>
      <c r="GH105" s="383"/>
      <c r="GI105" s="383"/>
      <c r="GJ105" s="383"/>
      <c r="GK105" s="383"/>
      <c r="GL105" s="383"/>
      <c r="GM105" s="383"/>
      <c r="GN105" s="383"/>
      <c r="GO105" s="383"/>
      <c r="GP105" s="383"/>
      <c r="GQ105" s="383"/>
      <c r="GR105" s="383"/>
      <c r="GS105" s="383"/>
      <c r="GT105" s="383"/>
      <c r="GU105" s="383"/>
      <c r="GV105" s="383"/>
      <c r="GW105" s="383"/>
      <c r="GX105" s="383"/>
      <c r="GY105" s="383"/>
      <c r="GZ105" s="383"/>
      <c r="HA105" s="383"/>
      <c r="HB105" s="383"/>
      <c r="HC105" s="383"/>
      <c r="HD105" s="383"/>
      <c r="HE105" s="383"/>
      <c r="HF105" s="383"/>
      <c r="HG105" s="383"/>
      <c r="HH105" s="383"/>
      <c r="HI105" s="383"/>
      <c r="HJ105" s="383"/>
      <c r="HK105" s="383"/>
      <c r="HL105" s="383"/>
      <c r="HM105" s="383"/>
      <c r="HN105" s="383"/>
      <c r="HO105" s="383"/>
      <c r="HP105" s="383"/>
      <c r="HQ105" s="383"/>
      <c r="HR105" s="383"/>
      <c r="HS105" s="383"/>
      <c r="HT105" s="383"/>
      <c r="HU105" s="383"/>
      <c r="HV105" s="383"/>
      <c r="HW105" s="383"/>
      <c r="HX105" s="383"/>
      <c r="HY105" s="383"/>
      <c r="HZ105" s="383"/>
      <c r="IA105" s="383"/>
      <c r="IB105" s="383"/>
      <c r="IC105" s="383"/>
      <c r="ID105" s="383"/>
      <c r="IE105" s="383"/>
      <c r="IF105" s="383"/>
      <c r="IG105" s="383"/>
      <c r="IH105" s="383"/>
      <c r="II105" s="383"/>
      <c r="IJ105" s="383"/>
      <c r="IK105" s="383"/>
      <c r="IL105" s="383"/>
    </row>
    <row r="106" spans="1:246" ht="15" customHeight="1">
      <c r="A106" s="481" t="s">
        <v>328</v>
      </c>
      <c r="B106" s="482" t="s">
        <v>206</v>
      </c>
      <c r="C106" s="483" t="s">
        <v>165</v>
      </c>
      <c r="D106" s="67"/>
      <c r="E106" s="500" t="s">
        <v>379</v>
      </c>
      <c r="F106" s="484">
        <v>7194</v>
      </c>
      <c r="G106" s="479" t="str">
        <f t="shared" si="9"/>
        <v>01/2026</v>
      </c>
      <c r="H106" s="341">
        <f>SUMIF(VI.A!$B$6:$B$5963,B106,VI.A!$L$6:$L$5963)</f>
        <v>63.749999999999993</v>
      </c>
      <c r="I106" s="341" t="str">
        <f t="shared" si="6"/>
        <v>si</v>
      </c>
      <c r="J106" s="383"/>
      <c r="K106" s="384">
        <f>IF(E106="SABESP","OK",VLOOKUP(F106,[6]ISD!$B$11:$F$4861,5,FALSE))</f>
        <v>24.87</v>
      </c>
      <c r="L106" s="384" t="str">
        <f t="shared" si="10"/>
        <v>VERIFICAR</v>
      </c>
      <c r="M106" s="480">
        <f t="shared" si="7"/>
        <v>24.87</v>
      </c>
      <c r="N106" s="383" t="b">
        <f t="shared" si="8"/>
        <v>0</v>
      </c>
      <c r="O106" s="383"/>
      <c r="P106" s="383"/>
      <c r="Q106" s="383"/>
      <c r="R106" s="383"/>
      <c r="S106" s="383"/>
      <c r="T106" s="383"/>
      <c r="U106" s="383"/>
      <c r="V106" s="383"/>
      <c r="W106" s="383"/>
      <c r="X106" s="383"/>
      <c r="Y106" s="383"/>
      <c r="Z106" s="383"/>
      <c r="AA106" s="383"/>
      <c r="AB106" s="383"/>
      <c r="AC106" s="383"/>
      <c r="AD106" s="383"/>
      <c r="AE106" s="383"/>
      <c r="AF106" s="383"/>
      <c r="AG106" s="383"/>
      <c r="AH106" s="383"/>
      <c r="AI106" s="383"/>
      <c r="AJ106" s="383"/>
      <c r="AK106" s="383"/>
      <c r="AL106" s="383"/>
      <c r="AM106" s="383"/>
      <c r="AN106" s="383"/>
      <c r="AO106" s="383"/>
      <c r="AP106" s="383"/>
      <c r="AQ106" s="383"/>
      <c r="AR106" s="383"/>
      <c r="AS106" s="383"/>
      <c r="AT106" s="383"/>
      <c r="AU106" s="383"/>
      <c r="AV106" s="383"/>
      <c r="AW106" s="383"/>
      <c r="AX106" s="383"/>
      <c r="AY106" s="383"/>
      <c r="AZ106" s="383"/>
      <c r="BA106" s="383"/>
      <c r="BB106" s="383"/>
      <c r="BC106" s="383"/>
      <c r="BD106" s="383"/>
      <c r="BE106" s="383"/>
      <c r="BF106" s="383"/>
      <c r="BG106" s="383"/>
      <c r="BH106" s="383"/>
      <c r="BI106" s="383"/>
      <c r="BJ106" s="383"/>
      <c r="BK106" s="383"/>
      <c r="BL106" s="383"/>
      <c r="BM106" s="383"/>
      <c r="BN106" s="383"/>
      <c r="BO106" s="383"/>
      <c r="BP106" s="383"/>
      <c r="BQ106" s="383"/>
      <c r="BR106" s="383"/>
      <c r="BS106" s="383"/>
      <c r="BT106" s="383"/>
      <c r="BU106" s="383"/>
      <c r="BV106" s="383"/>
      <c r="BW106" s="383"/>
      <c r="BX106" s="383"/>
      <c r="BY106" s="383"/>
      <c r="BZ106" s="383"/>
      <c r="CA106" s="383"/>
      <c r="CB106" s="383"/>
      <c r="CC106" s="383"/>
      <c r="CD106" s="383"/>
      <c r="CE106" s="383"/>
      <c r="CF106" s="383"/>
      <c r="CG106" s="383"/>
      <c r="CH106" s="383"/>
      <c r="CI106" s="383"/>
      <c r="CJ106" s="383"/>
      <c r="CK106" s="383"/>
      <c r="CL106" s="383"/>
      <c r="CM106" s="383"/>
      <c r="CN106" s="383"/>
      <c r="CO106" s="383"/>
      <c r="CP106" s="383"/>
      <c r="CQ106" s="383"/>
      <c r="CR106" s="383"/>
      <c r="CS106" s="383"/>
      <c r="CT106" s="383"/>
      <c r="CU106" s="383"/>
      <c r="CV106" s="383"/>
      <c r="CW106" s="383"/>
      <c r="CX106" s="383"/>
      <c r="CY106" s="383"/>
      <c r="CZ106" s="383"/>
      <c r="DA106" s="383"/>
      <c r="DB106" s="383"/>
      <c r="DC106" s="383"/>
      <c r="DD106" s="383"/>
      <c r="DE106" s="383"/>
      <c r="DF106" s="383"/>
      <c r="DG106" s="383"/>
      <c r="DH106" s="383"/>
      <c r="DI106" s="383"/>
      <c r="DJ106" s="383"/>
      <c r="DK106" s="383"/>
      <c r="DL106" s="383"/>
      <c r="DM106" s="383"/>
      <c r="DN106" s="383"/>
      <c r="DO106" s="383"/>
      <c r="DP106" s="383"/>
      <c r="DQ106" s="383"/>
      <c r="DR106" s="383"/>
      <c r="DS106" s="383"/>
      <c r="DT106" s="383"/>
      <c r="DU106" s="383"/>
      <c r="DV106" s="383"/>
      <c r="DW106" s="383"/>
      <c r="DX106" s="383"/>
      <c r="DY106" s="383"/>
      <c r="DZ106" s="383"/>
      <c r="EA106" s="383"/>
      <c r="EB106" s="383"/>
      <c r="EC106" s="383"/>
      <c r="ED106" s="383"/>
      <c r="EE106" s="383"/>
      <c r="EF106" s="383"/>
      <c r="EG106" s="383"/>
      <c r="EH106" s="383"/>
      <c r="EI106" s="383"/>
      <c r="EJ106" s="383"/>
      <c r="EK106" s="383"/>
      <c r="EL106" s="383"/>
      <c r="EM106" s="383"/>
      <c r="EN106" s="383"/>
      <c r="EO106" s="383"/>
      <c r="EP106" s="383"/>
      <c r="EQ106" s="383"/>
      <c r="ER106" s="383"/>
      <c r="ES106" s="383"/>
      <c r="ET106" s="383"/>
      <c r="EU106" s="383"/>
      <c r="EV106" s="383"/>
      <c r="EW106" s="383"/>
      <c r="EX106" s="383"/>
      <c r="EY106" s="383"/>
      <c r="EZ106" s="383"/>
      <c r="FA106" s="383"/>
      <c r="FB106" s="383"/>
      <c r="FC106" s="383"/>
      <c r="FD106" s="383"/>
      <c r="FE106" s="383"/>
      <c r="FF106" s="383"/>
      <c r="FG106" s="383"/>
      <c r="FH106" s="383"/>
      <c r="FI106" s="383"/>
      <c r="FJ106" s="383"/>
      <c r="FK106" s="383"/>
      <c r="FL106" s="383"/>
      <c r="FM106" s="383"/>
      <c r="FN106" s="383"/>
      <c r="FO106" s="383"/>
      <c r="FP106" s="383"/>
      <c r="FQ106" s="383"/>
      <c r="FR106" s="383"/>
      <c r="FS106" s="383"/>
      <c r="FT106" s="383"/>
      <c r="FU106" s="383"/>
      <c r="FV106" s="383"/>
      <c r="FW106" s="383"/>
      <c r="FX106" s="383"/>
      <c r="FY106" s="383"/>
      <c r="FZ106" s="383"/>
      <c r="GA106" s="383"/>
      <c r="GB106" s="383"/>
      <c r="GC106" s="383"/>
      <c r="GD106" s="383"/>
      <c r="GE106" s="383"/>
      <c r="GF106" s="383"/>
      <c r="GG106" s="383"/>
      <c r="GH106" s="383"/>
      <c r="GI106" s="383"/>
      <c r="GJ106" s="383"/>
      <c r="GK106" s="383"/>
      <c r="GL106" s="383"/>
      <c r="GM106" s="383"/>
      <c r="GN106" s="383"/>
      <c r="GO106" s="383"/>
      <c r="GP106" s="383"/>
      <c r="GQ106" s="383"/>
      <c r="GR106" s="383"/>
      <c r="GS106" s="383"/>
      <c r="GT106" s="383"/>
      <c r="GU106" s="383"/>
      <c r="GV106" s="383"/>
      <c r="GW106" s="383"/>
      <c r="GX106" s="383"/>
      <c r="GY106" s="383"/>
      <c r="GZ106" s="383"/>
      <c r="HA106" s="383"/>
      <c r="HB106" s="383"/>
      <c r="HC106" s="383"/>
      <c r="HD106" s="383"/>
      <c r="HE106" s="383"/>
      <c r="HF106" s="383"/>
      <c r="HG106" s="383"/>
      <c r="HH106" s="383"/>
      <c r="HI106" s="383"/>
      <c r="HJ106" s="383"/>
      <c r="HK106" s="383"/>
      <c r="HL106" s="383"/>
      <c r="HM106" s="383"/>
      <c r="HN106" s="383"/>
      <c r="HO106" s="383"/>
      <c r="HP106" s="383"/>
      <c r="HQ106" s="383"/>
      <c r="HR106" s="383"/>
      <c r="HS106" s="383"/>
      <c r="HT106" s="383"/>
      <c r="HU106" s="383"/>
      <c r="HV106" s="383"/>
      <c r="HW106" s="383"/>
      <c r="HX106" s="383"/>
      <c r="HY106" s="383"/>
      <c r="HZ106" s="383"/>
      <c r="IA106" s="383"/>
      <c r="IB106" s="383"/>
      <c r="IC106" s="383"/>
      <c r="ID106" s="383"/>
      <c r="IE106" s="383"/>
      <c r="IF106" s="383"/>
      <c r="IG106" s="383"/>
      <c r="IH106" s="383"/>
      <c r="II106" s="383"/>
      <c r="IJ106" s="383"/>
      <c r="IK106" s="383"/>
      <c r="IL106" s="383"/>
    </row>
    <row r="107" spans="1:246" ht="15" customHeight="1">
      <c r="A107" s="481" t="s">
        <v>440</v>
      </c>
      <c r="B107" s="482" t="s">
        <v>924</v>
      </c>
      <c r="C107" s="483" t="s">
        <v>165</v>
      </c>
      <c r="D107" s="67"/>
      <c r="E107" s="500" t="s">
        <v>377</v>
      </c>
      <c r="F107" s="484">
        <v>7224</v>
      </c>
      <c r="G107" s="479" t="str">
        <f t="shared" si="9"/>
        <v>01/2026</v>
      </c>
      <c r="H107" s="341">
        <f>SUMIF(VI.A!$B$6:$B$5963,B107,VI.A!$L$6:$L$5963)</f>
        <v>22</v>
      </c>
      <c r="I107" s="341" t="str">
        <f t="shared" si="6"/>
        <v>si</v>
      </c>
      <c r="J107" s="383"/>
      <c r="K107" s="384">
        <f>IF(E107="SABESP","OK",VLOOKUP(F107,[6]ISD!$B$11:$F$4861,5,FALSE))</f>
        <v>228.65</v>
      </c>
      <c r="L107" s="384" t="str">
        <f t="shared" si="10"/>
        <v>VERIFICAR</v>
      </c>
      <c r="M107" s="480">
        <f t="shared" si="7"/>
        <v>228.65</v>
      </c>
      <c r="N107" s="383" t="b">
        <f t="shared" si="8"/>
        <v>0</v>
      </c>
      <c r="O107" s="383"/>
      <c r="P107" s="383"/>
      <c r="Q107" s="383"/>
      <c r="R107" s="383"/>
      <c r="S107" s="383"/>
      <c r="T107" s="383"/>
      <c r="U107" s="383"/>
      <c r="V107" s="383"/>
      <c r="W107" s="383"/>
      <c r="X107" s="383"/>
      <c r="Y107" s="383"/>
      <c r="Z107" s="383"/>
      <c r="AA107" s="383"/>
      <c r="AB107" s="383"/>
      <c r="AC107" s="383"/>
      <c r="AD107" s="383"/>
      <c r="AE107" s="383"/>
      <c r="AF107" s="383"/>
      <c r="AG107" s="383"/>
      <c r="AH107" s="383"/>
      <c r="AI107" s="383"/>
      <c r="AJ107" s="383"/>
      <c r="AK107" s="383"/>
      <c r="AL107" s="383"/>
      <c r="AM107" s="383"/>
      <c r="AN107" s="383"/>
      <c r="AO107" s="383"/>
      <c r="AP107" s="383"/>
      <c r="AQ107" s="383"/>
      <c r="AR107" s="383"/>
      <c r="AS107" s="383"/>
      <c r="AT107" s="383"/>
      <c r="AU107" s="383"/>
      <c r="AV107" s="383"/>
      <c r="AW107" s="383"/>
      <c r="AX107" s="383"/>
      <c r="AY107" s="383"/>
      <c r="AZ107" s="383"/>
      <c r="BA107" s="383"/>
      <c r="BB107" s="383"/>
      <c r="BC107" s="383"/>
      <c r="BD107" s="383"/>
      <c r="BE107" s="383"/>
      <c r="BF107" s="383"/>
      <c r="BG107" s="383"/>
      <c r="BH107" s="383"/>
      <c r="BI107" s="383"/>
      <c r="BJ107" s="383"/>
      <c r="BK107" s="383"/>
      <c r="BL107" s="383"/>
      <c r="BM107" s="383"/>
      <c r="BN107" s="383"/>
      <c r="BO107" s="383"/>
      <c r="BP107" s="383"/>
      <c r="BQ107" s="383"/>
      <c r="BR107" s="383"/>
      <c r="BS107" s="383"/>
      <c r="BT107" s="383"/>
      <c r="BU107" s="383"/>
      <c r="BV107" s="383"/>
      <c r="BW107" s="383"/>
      <c r="BX107" s="383"/>
      <c r="BY107" s="383"/>
      <c r="BZ107" s="383"/>
      <c r="CA107" s="383"/>
      <c r="CB107" s="383"/>
      <c r="CC107" s="383"/>
      <c r="CD107" s="383"/>
      <c r="CE107" s="383"/>
      <c r="CF107" s="383"/>
      <c r="CG107" s="383"/>
      <c r="CH107" s="383"/>
      <c r="CI107" s="383"/>
      <c r="CJ107" s="383"/>
      <c r="CK107" s="383"/>
      <c r="CL107" s="383"/>
      <c r="CM107" s="383"/>
      <c r="CN107" s="383"/>
      <c r="CO107" s="383"/>
      <c r="CP107" s="383"/>
      <c r="CQ107" s="383"/>
      <c r="CR107" s="383"/>
      <c r="CS107" s="383"/>
      <c r="CT107" s="383"/>
      <c r="CU107" s="383"/>
      <c r="CV107" s="383"/>
      <c r="CW107" s="383"/>
      <c r="CX107" s="383"/>
      <c r="CY107" s="383"/>
      <c r="CZ107" s="383"/>
      <c r="DA107" s="383"/>
      <c r="DB107" s="383"/>
      <c r="DC107" s="383"/>
      <c r="DD107" s="383"/>
      <c r="DE107" s="383"/>
      <c r="DF107" s="383"/>
      <c r="DG107" s="383"/>
      <c r="DH107" s="383"/>
      <c r="DI107" s="383"/>
      <c r="DJ107" s="383"/>
      <c r="DK107" s="383"/>
      <c r="DL107" s="383"/>
      <c r="DM107" s="383"/>
      <c r="DN107" s="383"/>
      <c r="DO107" s="383"/>
      <c r="DP107" s="383"/>
      <c r="DQ107" s="383"/>
      <c r="DR107" s="383"/>
      <c r="DS107" s="383"/>
      <c r="DT107" s="383"/>
      <c r="DU107" s="383"/>
      <c r="DV107" s="383"/>
      <c r="DW107" s="383"/>
      <c r="DX107" s="383"/>
      <c r="DY107" s="383"/>
      <c r="DZ107" s="383"/>
      <c r="EA107" s="383"/>
      <c r="EB107" s="383"/>
      <c r="EC107" s="383"/>
      <c r="ED107" s="383"/>
      <c r="EE107" s="383"/>
      <c r="EF107" s="383"/>
      <c r="EG107" s="383"/>
      <c r="EH107" s="383"/>
      <c r="EI107" s="383"/>
      <c r="EJ107" s="383"/>
      <c r="EK107" s="383"/>
      <c r="EL107" s="383"/>
      <c r="EM107" s="383"/>
      <c r="EN107" s="383"/>
      <c r="EO107" s="383"/>
      <c r="EP107" s="383"/>
      <c r="EQ107" s="383"/>
      <c r="ER107" s="383"/>
      <c r="ES107" s="383"/>
      <c r="ET107" s="383"/>
      <c r="EU107" s="383"/>
      <c r="EV107" s="383"/>
      <c r="EW107" s="383"/>
      <c r="EX107" s="383"/>
      <c r="EY107" s="383"/>
      <c r="EZ107" s="383"/>
      <c r="FA107" s="383"/>
      <c r="FB107" s="383"/>
      <c r="FC107" s="383"/>
      <c r="FD107" s="383"/>
      <c r="FE107" s="383"/>
      <c r="FF107" s="383"/>
      <c r="FG107" s="383"/>
      <c r="FH107" s="383"/>
      <c r="FI107" s="383"/>
      <c r="FJ107" s="383"/>
      <c r="FK107" s="383"/>
      <c r="FL107" s="383"/>
      <c r="FM107" s="383"/>
      <c r="FN107" s="383"/>
      <c r="FO107" s="383"/>
      <c r="FP107" s="383"/>
      <c r="FQ107" s="383"/>
      <c r="FR107" s="383"/>
      <c r="FS107" s="383"/>
      <c r="FT107" s="383"/>
      <c r="FU107" s="383"/>
      <c r="FV107" s="383"/>
      <c r="FW107" s="383"/>
      <c r="FX107" s="383"/>
      <c r="FY107" s="383"/>
      <c r="FZ107" s="383"/>
      <c r="GA107" s="383"/>
      <c r="GB107" s="383"/>
      <c r="GC107" s="383"/>
      <c r="GD107" s="383"/>
      <c r="GE107" s="383"/>
      <c r="GF107" s="383"/>
      <c r="GG107" s="383"/>
      <c r="GH107" s="383"/>
      <c r="GI107" s="383"/>
      <c r="GJ107" s="383"/>
      <c r="GK107" s="383"/>
      <c r="GL107" s="383"/>
      <c r="GM107" s="383"/>
      <c r="GN107" s="383"/>
      <c r="GO107" s="383"/>
      <c r="GP107" s="383"/>
      <c r="GQ107" s="383"/>
      <c r="GR107" s="383"/>
      <c r="GS107" s="383"/>
      <c r="GT107" s="383"/>
      <c r="GU107" s="383"/>
      <c r="GV107" s="383"/>
      <c r="GW107" s="383"/>
      <c r="GX107" s="383"/>
      <c r="GY107" s="383"/>
      <c r="GZ107" s="383"/>
      <c r="HA107" s="383"/>
      <c r="HB107" s="383"/>
      <c r="HC107" s="383"/>
      <c r="HD107" s="383"/>
      <c r="HE107" s="383"/>
      <c r="HF107" s="383"/>
      <c r="HG107" s="383"/>
      <c r="HH107" s="383"/>
      <c r="HI107" s="383"/>
      <c r="HJ107" s="383"/>
      <c r="HK107" s="383"/>
      <c r="HL107" s="383"/>
      <c r="HM107" s="383"/>
      <c r="HN107" s="383"/>
      <c r="HO107" s="383"/>
      <c r="HP107" s="383"/>
      <c r="HQ107" s="383"/>
      <c r="HR107" s="383"/>
      <c r="HS107" s="383"/>
      <c r="HT107" s="383"/>
      <c r="HU107" s="383"/>
      <c r="HV107" s="383"/>
      <c r="HW107" s="383"/>
      <c r="HX107" s="383"/>
      <c r="HY107" s="383"/>
      <c r="HZ107" s="383"/>
      <c r="IA107" s="383"/>
      <c r="IB107" s="383"/>
      <c r="IC107" s="383"/>
      <c r="ID107" s="383"/>
      <c r="IE107" s="383"/>
      <c r="IF107" s="383"/>
      <c r="IG107" s="383"/>
      <c r="IH107" s="383"/>
      <c r="II107" s="383"/>
      <c r="IJ107" s="383"/>
      <c r="IK107" s="383"/>
      <c r="IL107" s="383"/>
    </row>
    <row r="108" spans="1:246" ht="15" customHeight="1">
      <c r="A108" s="481" t="s">
        <v>747</v>
      </c>
      <c r="B108" s="485" t="s">
        <v>207</v>
      </c>
      <c r="C108" s="483" t="s">
        <v>166</v>
      </c>
      <c r="D108" s="66"/>
      <c r="E108" s="500" t="s">
        <v>379</v>
      </c>
      <c r="F108" s="484">
        <v>7258</v>
      </c>
      <c r="G108" s="479" t="str">
        <f t="shared" si="9"/>
        <v>01/2026</v>
      </c>
      <c r="H108" s="341">
        <f>SUMIF(VI.A!$B$6:$B$5963,B108,VI.A!$L$6:$L$5963)</f>
        <v>6075</v>
      </c>
      <c r="I108" s="341" t="str">
        <f>IF(H108=0,"no","si")</f>
        <v>si</v>
      </c>
      <c r="J108" s="383"/>
      <c r="K108" s="384">
        <f>IF(E108="SABESP","OK",VLOOKUP(F108,[6]ISD!$B$11:$F$4861,5,FALSE))</f>
        <v>0.56000000000000005</v>
      </c>
      <c r="L108" s="384" t="str">
        <f t="shared" si="10"/>
        <v>VERIFICAR</v>
      </c>
      <c r="M108" s="480">
        <f t="shared" si="7"/>
        <v>0.56000000000000005</v>
      </c>
      <c r="N108" s="383" t="b">
        <f t="shared" si="8"/>
        <v>0</v>
      </c>
      <c r="O108" s="383"/>
      <c r="P108" s="383"/>
      <c r="Q108" s="383"/>
      <c r="R108" s="383"/>
      <c r="S108" s="383"/>
      <c r="T108" s="383"/>
      <c r="U108" s="383"/>
      <c r="V108" s="383"/>
      <c r="W108" s="383"/>
      <c r="X108" s="383"/>
      <c r="Y108" s="383"/>
      <c r="Z108" s="383"/>
      <c r="AA108" s="383"/>
      <c r="AB108" s="383"/>
      <c r="AC108" s="383"/>
      <c r="AD108" s="383"/>
      <c r="AE108" s="383"/>
      <c r="AF108" s="383"/>
      <c r="AG108" s="383"/>
      <c r="AH108" s="383"/>
      <c r="AI108" s="383"/>
      <c r="AJ108" s="383"/>
      <c r="AK108" s="383"/>
      <c r="AL108" s="383"/>
      <c r="AM108" s="383"/>
      <c r="AN108" s="383"/>
      <c r="AO108" s="383"/>
      <c r="AP108" s="383"/>
      <c r="AQ108" s="383"/>
      <c r="AR108" s="383"/>
      <c r="AS108" s="383"/>
      <c r="AT108" s="383"/>
      <c r="AU108" s="383"/>
      <c r="AV108" s="383"/>
      <c r="AW108" s="383"/>
      <c r="AX108" s="383"/>
      <c r="AY108" s="383"/>
      <c r="AZ108" s="383"/>
      <c r="BA108" s="383"/>
      <c r="BB108" s="383"/>
      <c r="BC108" s="383"/>
      <c r="BD108" s="383"/>
      <c r="BE108" s="383"/>
      <c r="BF108" s="383"/>
      <c r="BG108" s="383"/>
      <c r="BH108" s="383"/>
      <c r="BI108" s="383"/>
      <c r="BJ108" s="383"/>
      <c r="BK108" s="383"/>
      <c r="BL108" s="383"/>
      <c r="BM108" s="383"/>
      <c r="BN108" s="383"/>
      <c r="BO108" s="383"/>
      <c r="BP108" s="383"/>
      <c r="BQ108" s="383"/>
      <c r="BR108" s="383"/>
      <c r="BS108" s="383"/>
      <c r="BT108" s="383"/>
      <c r="BU108" s="383"/>
      <c r="BV108" s="383"/>
      <c r="BW108" s="383"/>
      <c r="BX108" s="383"/>
      <c r="BY108" s="383"/>
      <c r="BZ108" s="383"/>
      <c r="CA108" s="383"/>
      <c r="CB108" s="383"/>
      <c r="CC108" s="383"/>
      <c r="CD108" s="383"/>
      <c r="CE108" s="383"/>
      <c r="CF108" s="383"/>
      <c r="CG108" s="383"/>
      <c r="CH108" s="383"/>
      <c r="CI108" s="383"/>
      <c r="CJ108" s="383"/>
      <c r="CK108" s="383"/>
      <c r="CL108" s="383"/>
      <c r="CM108" s="383"/>
      <c r="CN108" s="383"/>
      <c r="CO108" s="383"/>
      <c r="CP108" s="383"/>
      <c r="CQ108" s="383"/>
      <c r="CR108" s="383"/>
      <c r="CS108" s="383"/>
      <c r="CT108" s="383"/>
      <c r="CU108" s="383"/>
      <c r="CV108" s="383"/>
      <c r="CW108" s="383"/>
      <c r="CX108" s="383"/>
      <c r="CY108" s="383"/>
      <c r="CZ108" s="383"/>
      <c r="DA108" s="383"/>
      <c r="DB108" s="383"/>
      <c r="DC108" s="383"/>
      <c r="DD108" s="383"/>
      <c r="DE108" s="383"/>
      <c r="DF108" s="383"/>
      <c r="DG108" s="383"/>
      <c r="DH108" s="383"/>
      <c r="DI108" s="383"/>
      <c r="DJ108" s="383"/>
      <c r="DK108" s="383"/>
      <c r="DL108" s="383"/>
      <c r="DM108" s="383"/>
      <c r="DN108" s="383"/>
      <c r="DO108" s="383"/>
      <c r="DP108" s="383"/>
      <c r="DQ108" s="383"/>
      <c r="DR108" s="383"/>
      <c r="DS108" s="383"/>
      <c r="DT108" s="383"/>
      <c r="DU108" s="383"/>
      <c r="DV108" s="383"/>
      <c r="DW108" s="383"/>
      <c r="DX108" s="383"/>
      <c r="DY108" s="383"/>
      <c r="DZ108" s="383"/>
      <c r="EA108" s="383"/>
      <c r="EB108" s="383"/>
      <c r="EC108" s="383"/>
      <c r="ED108" s="383"/>
      <c r="EE108" s="383"/>
      <c r="EF108" s="383"/>
      <c r="EG108" s="383"/>
      <c r="EH108" s="383"/>
      <c r="EI108" s="383"/>
      <c r="EJ108" s="383"/>
      <c r="EK108" s="383"/>
      <c r="EL108" s="383"/>
      <c r="EM108" s="383"/>
      <c r="EN108" s="383"/>
      <c r="EO108" s="383"/>
      <c r="EP108" s="383"/>
      <c r="EQ108" s="383"/>
      <c r="ER108" s="383"/>
      <c r="ES108" s="383"/>
      <c r="ET108" s="383"/>
      <c r="EU108" s="383"/>
      <c r="EV108" s="383"/>
      <c r="EW108" s="383"/>
      <c r="EX108" s="383"/>
      <c r="EY108" s="383"/>
      <c r="EZ108" s="383"/>
      <c r="FA108" s="383"/>
      <c r="FB108" s="383"/>
      <c r="FC108" s="383"/>
      <c r="FD108" s="383"/>
      <c r="FE108" s="383"/>
      <c r="FF108" s="383"/>
      <c r="FG108" s="383"/>
      <c r="FH108" s="383"/>
      <c r="FI108" s="383"/>
      <c r="FJ108" s="383"/>
      <c r="FK108" s="383"/>
      <c r="FL108" s="383"/>
      <c r="FM108" s="383"/>
      <c r="FN108" s="383"/>
      <c r="FO108" s="383"/>
      <c r="FP108" s="383"/>
      <c r="FQ108" s="383"/>
      <c r="FR108" s="383"/>
      <c r="FS108" s="383"/>
      <c r="FT108" s="383"/>
      <c r="FU108" s="383"/>
      <c r="FV108" s="383"/>
      <c r="FW108" s="383"/>
      <c r="FX108" s="383"/>
      <c r="FY108" s="383"/>
      <c r="FZ108" s="383"/>
      <c r="GA108" s="383"/>
      <c r="GB108" s="383"/>
      <c r="GC108" s="383"/>
      <c r="GD108" s="383"/>
      <c r="GE108" s="383"/>
      <c r="GF108" s="383"/>
      <c r="GG108" s="383"/>
      <c r="GH108" s="383"/>
      <c r="GI108" s="383"/>
      <c r="GJ108" s="383"/>
      <c r="GK108" s="383"/>
      <c r="GL108" s="383"/>
      <c r="GM108" s="383"/>
      <c r="GN108" s="383"/>
      <c r="GO108" s="383"/>
      <c r="GP108" s="383"/>
      <c r="GQ108" s="383"/>
      <c r="GR108" s="383"/>
      <c r="GS108" s="383"/>
      <c r="GT108" s="383"/>
      <c r="GU108" s="383"/>
      <c r="GV108" s="383"/>
      <c r="GW108" s="383"/>
      <c r="GX108" s="383"/>
      <c r="GY108" s="383"/>
      <c r="GZ108" s="383"/>
      <c r="HA108" s="383"/>
      <c r="HB108" s="383"/>
      <c r="HC108" s="383"/>
      <c r="HD108" s="383"/>
      <c r="HE108" s="383"/>
      <c r="HF108" s="383"/>
      <c r="HG108" s="383"/>
      <c r="HH108" s="383"/>
      <c r="HI108" s="383"/>
      <c r="HJ108" s="383"/>
      <c r="HK108" s="383"/>
      <c r="HL108" s="383"/>
      <c r="HM108" s="383"/>
      <c r="HN108" s="383"/>
      <c r="HO108" s="383"/>
      <c r="HP108" s="383"/>
      <c r="HQ108" s="383"/>
      <c r="HR108" s="383"/>
      <c r="HS108" s="383"/>
      <c r="HT108" s="383"/>
      <c r="HU108" s="383"/>
      <c r="HV108" s="383"/>
      <c r="HW108" s="383"/>
      <c r="HX108" s="383"/>
      <c r="HY108" s="383"/>
      <c r="HZ108" s="383"/>
      <c r="IA108" s="383"/>
      <c r="IB108" s="383"/>
      <c r="IC108" s="383"/>
      <c r="ID108" s="383"/>
      <c r="IE108" s="383"/>
      <c r="IF108" s="383"/>
      <c r="IG108" s="383"/>
      <c r="IH108" s="383"/>
      <c r="II108" s="383"/>
      <c r="IJ108" s="383"/>
      <c r="IK108" s="383"/>
      <c r="IL108" s="383"/>
    </row>
    <row r="109" spans="1:246" ht="15" customHeight="1">
      <c r="A109" s="481" t="s">
        <v>815</v>
      </c>
      <c r="B109" s="482" t="s">
        <v>208</v>
      </c>
      <c r="C109" s="483" t="s">
        <v>130</v>
      </c>
      <c r="D109" s="66"/>
      <c r="E109" s="500" t="s">
        <v>379</v>
      </c>
      <c r="F109" s="484">
        <v>7348</v>
      </c>
      <c r="G109" s="479" t="str">
        <f t="shared" si="9"/>
        <v>01/2026</v>
      </c>
      <c r="H109" s="341">
        <f>SUMIF(VI.A!$B$6:$B$5963,B109,VI.A!$L$6:$L$5963)</f>
        <v>7331.5000000000009</v>
      </c>
      <c r="I109" s="341" t="str">
        <f t="shared" si="6"/>
        <v>si</v>
      </c>
      <c r="J109" s="383"/>
      <c r="K109" s="384">
        <f>IF(E109="SABESP","OK",VLOOKUP(F109,[6]ISD!$B$11:$F$4861,5,FALSE))</f>
        <v>22.53</v>
      </c>
      <c r="L109" s="384" t="str">
        <f t="shared" si="10"/>
        <v>VERIFICAR</v>
      </c>
      <c r="M109" s="480">
        <f t="shared" si="7"/>
        <v>22.53</v>
      </c>
      <c r="N109" s="383" t="b">
        <f t="shared" si="8"/>
        <v>0</v>
      </c>
      <c r="O109" s="383"/>
      <c r="P109" s="383"/>
      <c r="Q109" s="383"/>
      <c r="R109" s="383"/>
      <c r="S109" s="383"/>
      <c r="T109" s="383"/>
      <c r="U109" s="383"/>
      <c r="V109" s="383"/>
      <c r="W109" s="383"/>
      <c r="X109" s="383"/>
      <c r="Y109" s="383"/>
      <c r="Z109" s="383"/>
      <c r="AA109" s="383"/>
      <c r="AB109" s="383"/>
      <c r="AC109" s="383"/>
      <c r="AD109" s="383"/>
      <c r="AE109" s="383"/>
      <c r="AF109" s="383"/>
      <c r="AG109" s="383"/>
      <c r="AH109" s="383"/>
      <c r="AI109" s="383"/>
      <c r="AJ109" s="383"/>
      <c r="AK109" s="383"/>
      <c r="AL109" s="383"/>
      <c r="AM109" s="383"/>
      <c r="AN109" s="383"/>
      <c r="AO109" s="383"/>
      <c r="AP109" s="383"/>
      <c r="AQ109" s="383"/>
      <c r="AR109" s="383"/>
      <c r="AS109" s="383"/>
      <c r="AT109" s="383"/>
      <c r="AU109" s="383"/>
      <c r="AV109" s="383"/>
      <c r="AW109" s="383"/>
      <c r="AX109" s="383"/>
      <c r="AY109" s="383"/>
      <c r="AZ109" s="383"/>
      <c r="BA109" s="383"/>
      <c r="BB109" s="383"/>
      <c r="BC109" s="383"/>
      <c r="BD109" s="383"/>
      <c r="BE109" s="383"/>
      <c r="BF109" s="383"/>
      <c r="BG109" s="383"/>
      <c r="BH109" s="383"/>
      <c r="BI109" s="383"/>
      <c r="BJ109" s="383"/>
      <c r="BK109" s="383"/>
      <c r="BL109" s="383"/>
      <c r="BM109" s="383"/>
      <c r="BN109" s="383"/>
      <c r="BO109" s="383"/>
      <c r="BP109" s="383"/>
      <c r="BQ109" s="383"/>
      <c r="BR109" s="383"/>
      <c r="BS109" s="383"/>
      <c r="BT109" s="383"/>
      <c r="BU109" s="383"/>
      <c r="BV109" s="383"/>
      <c r="BW109" s="383"/>
      <c r="BX109" s="383"/>
      <c r="BY109" s="383"/>
      <c r="BZ109" s="383"/>
      <c r="CA109" s="383"/>
      <c r="CB109" s="383"/>
      <c r="CC109" s="383"/>
      <c r="CD109" s="383"/>
      <c r="CE109" s="383"/>
      <c r="CF109" s="383"/>
      <c r="CG109" s="383"/>
      <c r="CH109" s="383"/>
      <c r="CI109" s="383"/>
      <c r="CJ109" s="383"/>
      <c r="CK109" s="383"/>
      <c r="CL109" s="383"/>
      <c r="CM109" s="383"/>
      <c r="CN109" s="383"/>
      <c r="CO109" s="383"/>
      <c r="CP109" s="383"/>
      <c r="CQ109" s="383"/>
      <c r="CR109" s="383"/>
      <c r="CS109" s="383"/>
      <c r="CT109" s="383"/>
      <c r="CU109" s="383"/>
      <c r="CV109" s="383"/>
      <c r="CW109" s="383"/>
      <c r="CX109" s="383"/>
      <c r="CY109" s="383"/>
      <c r="CZ109" s="383"/>
      <c r="DA109" s="383"/>
      <c r="DB109" s="383"/>
      <c r="DC109" s="383"/>
      <c r="DD109" s="383"/>
      <c r="DE109" s="383"/>
      <c r="DF109" s="383"/>
      <c r="DG109" s="383"/>
      <c r="DH109" s="383"/>
      <c r="DI109" s="383"/>
      <c r="DJ109" s="383"/>
      <c r="DK109" s="383"/>
      <c r="DL109" s="383"/>
      <c r="DM109" s="383"/>
      <c r="DN109" s="383"/>
      <c r="DO109" s="383"/>
      <c r="DP109" s="383"/>
      <c r="DQ109" s="383"/>
      <c r="DR109" s="383"/>
      <c r="DS109" s="383"/>
      <c r="DT109" s="383"/>
      <c r="DU109" s="383"/>
      <c r="DV109" s="383"/>
      <c r="DW109" s="383"/>
      <c r="DX109" s="383"/>
      <c r="DY109" s="383"/>
      <c r="DZ109" s="383"/>
      <c r="EA109" s="383"/>
      <c r="EB109" s="383"/>
      <c r="EC109" s="383"/>
      <c r="ED109" s="383"/>
      <c r="EE109" s="383"/>
      <c r="EF109" s="383"/>
      <c r="EG109" s="383"/>
      <c r="EH109" s="383"/>
      <c r="EI109" s="383"/>
      <c r="EJ109" s="383"/>
      <c r="EK109" s="383"/>
      <c r="EL109" s="383"/>
      <c r="EM109" s="383"/>
      <c r="EN109" s="383"/>
      <c r="EO109" s="383"/>
      <c r="EP109" s="383"/>
      <c r="EQ109" s="383"/>
      <c r="ER109" s="383"/>
      <c r="ES109" s="383"/>
      <c r="ET109" s="383"/>
      <c r="EU109" s="383"/>
      <c r="EV109" s="383"/>
      <c r="EW109" s="383"/>
      <c r="EX109" s="383"/>
      <c r="EY109" s="383"/>
      <c r="EZ109" s="383"/>
      <c r="FA109" s="383"/>
      <c r="FB109" s="383"/>
      <c r="FC109" s="383"/>
      <c r="FD109" s="383"/>
      <c r="FE109" s="383"/>
      <c r="FF109" s="383"/>
      <c r="FG109" s="383"/>
      <c r="FH109" s="383"/>
      <c r="FI109" s="383"/>
      <c r="FJ109" s="383"/>
      <c r="FK109" s="383"/>
      <c r="FL109" s="383"/>
      <c r="FM109" s="383"/>
      <c r="FN109" s="383"/>
      <c r="FO109" s="383"/>
      <c r="FP109" s="383"/>
      <c r="FQ109" s="383"/>
      <c r="FR109" s="383"/>
      <c r="FS109" s="383"/>
      <c r="FT109" s="383"/>
      <c r="FU109" s="383"/>
      <c r="FV109" s="383"/>
      <c r="FW109" s="383"/>
      <c r="FX109" s="383"/>
      <c r="FY109" s="383"/>
      <c r="FZ109" s="383"/>
      <c r="GA109" s="383"/>
      <c r="GB109" s="383"/>
      <c r="GC109" s="383"/>
      <c r="GD109" s="383"/>
      <c r="GE109" s="383"/>
      <c r="GF109" s="383"/>
      <c r="GG109" s="383"/>
      <c r="GH109" s="383"/>
      <c r="GI109" s="383"/>
      <c r="GJ109" s="383"/>
      <c r="GK109" s="383"/>
      <c r="GL109" s="383"/>
      <c r="GM109" s="383"/>
      <c r="GN109" s="383"/>
      <c r="GO109" s="383"/>
      <c r="GP109" s="383"/>
      <c r="GQ109" s="383"/>
      <c r="GR109" s="383"/>
      <c r="GS109" s="383"/>
      <c r="GT109" s="383"/>
      <c r="GU109" s="383"/>
      <c r="GV109" s="383"/>
      <c r="GW109" s="383"/>
      <c r="GX109" s="383"/>
      <c r="GY109" s="383"/>
      <c r="GZ109" s="383"/>
      <c r="HA109" s="383"/>
      <c r="HB109" s="383"/>
      <c r="HC109" s="383"/>
      <c r="HD109" s="383"/>
      <c r="HE109" s="383"/>
      <c r="HF109" s="383"/>
      <c r="HG109" s="383"/>
      <c r="HH109" s="383"/>
      <c r="HI109" s="383"/>
      <c r="HJ109" s="383"/>
      <c r="HK109" s="383"/>
      <c r="HL109" s="383"/>
      <c r="HM109" s="383"/>
      <c r="HN109" s="383"/>
      <c r="HO109" s="383"/>
      <c r="HP109" s="383"/>
      <c r="HQ109" s="383"/>
      <c r="HR109" s="383"/>
      <c r="HS109" s="383"/>
      <c r="HT109" s="383"/>
      <c r="HU109" s="383"/>
      <c r="HV109" s="383"/>
      <c r="HW109" s="383"/>
      <c r="HX109" s="383"/>
      <c r="HY109" s="383"/>
      <c r="HZ109" s="383"/>
      <c r="IA109" s="383"/>
      <c r="IB109" s="383"/>
      <c r="IC109" s="383"/>
      <c r="ID109" s="383"/>
      <c r="IE109" s="383"/>
      <c r="IF109" s="383"/>
      <c r="IG109" s="383"/>
      <c r="IH109" s="383"/>
      <c r="II109" s="383"/>
      <c r="IJ109" s="383"/>
      <c r="IK109" s="383"/>
      <c r="IL109" s="383"/>
    </row>
    <row r="110" spans="1:246" ht="15" customHeight="1">
      <c r="A110" s="481" t="s">
        <v>329</v>
      </c>
      <c r="B110" s="482" t="s">
        <v>532</v>
      </c>
      <c r="C110" s="483" t="s">
        <v>130</v>
      </c>
      <c r="D110" s="66"/>
      <c r="E110" s="500" t="s">
        <v>379</v>
      </c>
      <c r="F110" s="484">
        <v>7311</v>
      </c>
      <c r="G110" s="479" t="str">
        <f t="shared" si="9"/>
        <v>01/2026</v>
      </c>
      <c r="H110" s="341">
        <f>SUMIF(VI.A!$B$6:$B$5963,B110,VI.A!$L$6:$L$5963)</f>
        <v>8405.34</v>
      </c>
      <c r="I110" s="341" t="str">
        <f t="shared" si="6"/>
        <v>si</v>
      </c>
      <c r="J110" s="383"/>
      <c r="K110" s="384">
        <f>IF(E110="SABESP","OK",VLOOKUP(F110,[6]ISD!$B$11:$F$4861,5,FALSE))</f>
        <v>47.62</v>
      </c>
      <c r="L110" s="384" t="str">
        <f t="shared" si="10"/>
        <v>VERIFICAR</v>
      </c>
      <c r="M110" s="480">
        <f t="shared" si="7"/>
        <v>47.62</v>
      </c>
      <c r="N110" s="383" t="b">
        <f t="shared" si="8"/>
        <v>0</v>
      </c>
      <c r="O110" s="383"/>
      <c r="P110" s="383"/>
      <c r="Q110" s="383"/>
      <c r="R110" s="383"/>
      <c r="S110" s="383"/>
      <c r="T110" s="383"/>
      <c r="U110" s="383"/>
      <c r="V110" s="383"/>
      <c r="W110" s="383"/>
      <c r="X110" s="383"/>
      <c r="Y110" s="383"/>
      <c r="Z110" s="383"/>
      <c r="AA110" s="383"/>
      <c r="AB110" s="383"/>
      <c r="AC110" s="383"/>
      <c r="AD110" s="383"/>
      <c r="AE110" s="383"/>
      <c r="AF110" s="383"/>
      <c r="AG110" s="383"/>
      <c r="AH110" s="383"/>
      <c r="AI110" s="383"/>
      <c r="AJ110" s="383"/>
      <c r="AK110" s="383"/>
      <c r="AL110" s="383"/>
      <c r="AM110" s="383"/>
      <c r="AN110" s="383"/>
      <c r="AO110" s="383"/>
      <c r="AP110" s="383"/>
      <c r="AQ110" s="383"/>
      <c r="AR110" s="383"/>
      <c r="AS110" s="383"/>
      <c r="AT110" s="383"/>
      <c r="AU110" s="383"/>
      <c r="AV110" s="383"/>
      <c r="AW110" s="383"/>
      <c r="AX110" s="383"/>
      <c r="AY110" s="383"/>
      <c r="AZ110" s="383"/>
      <c r="BA110" s="383"/>
      <c r="BB110" s="383"/>
      <c r="BC110" s="383"/>
      <c r="BD110" s="383"/>
      <c r="BE110" s="383"/>
      <c r="BF110" s="383"/>
      <c r="BG110" s="383"/>
      <c r="BH110" s="383"/>
      <c r="BI110" s="383"/>
      <c r="BJ110" s="383"/>
      <c r="BK110" s="383"/>
      <c r="BL110" s="383"/>
      <c r="BM110" s="383"/>
      <c r="BN110" s="383"/>
      <c r="BO110" s="383"/>
      <c r="BP110" s="383"/>
      <c r="BQ110" s="383"/>
      <c r="BR110" s="383"/>
      <c r="BS110" s="383"/>
      <c r="BT110" s="383"/>
      <c r="BU110" s="383"/>
      <c r="BV110" s="383"/>
      <c r="BW110" s="383"/>
      <c r="BX110" s="383"/>
      <c r="BY110" s="383"/>
      <c r="BZ110" s="383"/>
      <c r="CA110" s="383"/>
      <c r="CB110" s="383"/>
      <c r="CC110" s="383"/>
      <c r="CD110" s="383"/>
      <c r="CE110" s="383"/>
      <c r="CF110" s="383"/>
      <c r="CG110" s="383"/>
      <c r="CH110" s="383"/>
      <c r="CI110" s="383"/>
      <c r="CJ110" s="383"/>
      <c r="CK110" s="383"/>
      <c r="CL110" s="383"/>
      <c r="CM110" s="383"/>
      <c r="CN110" s="383"/>
      <c r="CO110" s="383"/>
      <c r="CP110" s="383"/>
      <c r="CQ110" s="383"/>
      <c r="CR110" s="383"/>
      <c r="CS110" s="383"/>
      <c r="CT110" s="383"/>
      <c r="CU110" s="383"/>
      <c r="CV110" s="383"/>
      <c r="CW110" s="383"/>
      <c r="CX110" s="383"/>
      <c r="CY110" s="383"/>
      <c r="CZ110" s="383"/>
      <c r="DA110" s="383"/>
      <c r="DB110" s="383"/>
      <c r="DC110" s="383"/>
      <c r="DD110" s="383"/>
      <c r="DE110" s="383"/>
      <c r="DF110" s="383"/>
      <c r="DG110" s="383"/>
      <c r="DH110" s="383"/>
      <c r="DI110" s="383"/>
      <c r="DJ110" s="383"/>
      <c r="DK110" s="383"/>
      <c r="DL110" s="383"/>
      <c r="DM110" s="383"/>
      <c r="DN110" s="383"/>
      <c r="DO110" s="383"/>
      <c r="DP110" s="383"/>
      <c r="DQ110" s="383"/>
      <c r="DR110" s="383"/>
      <c r="DS110" s="383"/>
      <c r="DT110" s="383"/>
      <c r="DU110" s="383"/>
      <c r="DV110" s="383"/>
      <c r="DW110" s="383"/>
      <c r="DX110" s="383"/>
      <c r="DY110" s="383"/>
      <c r="DZ110" s="383"/>
      <c r="EA110" s="383"/>
      <c r="EB110" s="383"/>
      <c r="EC110" s="383"/>
      <c r="ED110" s="383"/>
      <c r="EE110" s="383"/>
      <c r="EF110" s="383"/>
      <c r="EG110" s="383"/>
      <c r="EH110" s="383"/>
      <c r="EI110" s="383"/>
      <c r="EJ110" s="383"/>
      <c r="EK110" s="383"/>
      <c r="EL110" s="383"/>
      <c r="EM110" s="383"/>
      <c r="EN110" s="383"/>
      <c r="EO110" s="383"/>
      <c r="EP110" s="383"/>
      <c r="EQ110" s="383"/>
      <c r="ER110" s="383"/>
      <c r="ES110" s="383"/>
      <c r="ET110" s="383"/>
      <c r="EU110" s="383"/>
      <c r="EV110" s="383"/>
      <c r="EW110" s="383"/>
      <c r="EX110" s="383"/>
      <c r="EY110" s="383"/>
      <c r="EZ110" s="383"/>
      <c r="FA110" s="383"/>
      <c r="FB110" s="383"/>
      <c r="FC110" s="383"/>
      <c r="FD110" s="383"/>
      <c r="FE110" s="383"/>
      <c r="FF110" s="383"/>
      <c r="FG110" s="383"/>
      <c r="FH110" s="383"/>
      <c r="FI110" s="383"/>
      <c r="FJ110" s="383"/>
      <c r="FK110" s="383"/>
      <c r="FL110" s="383"/>
      <c r="FM110" s="383"/>
      <c r="FN110" s="383"/>
      <c r="FO110" s="383"/>
      <c r="FP110" s="383"/>
      <c r="FQ110" s="383"/>
      <c r="FR110" s="383"/>
      <c r="FS110" s="383"/>
      <c r="FT110" s="383"/>
      <c r="FU110" s="383"/>
      <c r="FV110" s="383"/>
      <c r="FW110" s="383"/>
      <c r="FX110" s="383"/>
      <c r="FY110" s="383"/>
      <c r="FZ110" s="383"/>
      <c r="GA110" s="383"/>
      <c r="GB110" s="383"/>
      <c r="GC110" s="383"/>
      <c r="GD110" s="383"/>
      <c r="GE110" s="383"/>
      <c r="GF110" s="383"/>
      <c r="GG110" s="383"/>
      <c r="GH110" s="383"/>
      <c r="GI110" s="383"/>
      <c r="GJ110" s="383"/>
      <c r="GK110" s="383"/>
      <c r="GL110" s="383"/>
      <c r="GM110" s="383"/>
      <c r="GN110" s="383"/>
      <c r="GO110" s="383"/>
      <c r="GP110" s="383"/>
      <c r="GQ110" s="383"/>
      <c r="GR110" s="383"/>
      <c r="GS110" s="383"/>
      <c r="GT110" s="383"/>
      <c r="GU110" s="383"/>
      <c r="GV110" s="383"/>
      <c r="GW110" s="383"/>
      <c r="GX110" s="383"/>
      <c r="GY110" s="383"/>
      <c r="GZ110" s="383"/>
      <c r="HA110" s="383"/>
      <c r="HB110" s="383"/>
      <c r="HC110" s="383"/>
      <c r="HD110" s="383"/>
      <c r="HE110" s="383"/>
      <c r="HF110" s="383"/>
      <c r="HG110" s="383"/>
      <c r="HH110" s="383"/>
      <c r="HI110" s="383"/>
      <c r="HJ110" s="383"/>
      <c r="HK110" s="383"/>
      <c r="HL110" s="383"/>
      <c r="HM110" s="383"/>
      <c r="HN110" s="383"/>
      <c r="HO110" s="383"/>
      <c r="HP110" s="383"/>
      <c r="HQ110" s="383"/>
      <c r="HR110" s="383"/>
      <c r="HS110" s="383"/>
      <c r="HT110" s="383"/>
      <c r="HU110" s="383"/>
      <c r="HV110" s="383"/>
      <c r="HW110" s="383"/>
      <c r="HX110" s="383"/>
      <c r="HY110" s="383"/>
      <c r="HZ110" s="383"/>
      <c r="IA110" s="383"/>
      <c r="IB110" s="383"/>
      <c r="IC110" s="383"/>
      <c r="ID110" s="383"/>
      <c r="IE110" s="383"/>
      <c r="IF110" s="383"/>
      <c r="IG110" s="383"/>
      <c r="IH110" s="383"/>
      <c r="II110" s="383"/>
      <c r="IJ110" s="383"/>
      <c r="IK110" s="383"/>
      <c r="IL110" s="383"/>
    </row>
    <row r="111" spans="1:246" ht="15" customHeight="1">
      <c r="A111" s="481" t="s">
        <v>330</v>
      </c>
      <c r="B111" s="485" t="s">
        <v>209</v>
      </c>
      <c r="C111" s="483" t="s">
        <v>130</v>
      </c>
      <c r="D111" s="66"/>
      <c r="E111" s="500" t="s">
        <v>379</v>
      </c>
      <c r="F111" s="484">
        <v>7304</v>
      </c>
      <c r="G111" s="479" t="str">
        <f t="shared" si="9"/>
        <v>01/2026</v>
      </c>
      <c r="H111" s="341">
        <f>SUMIF(VI.A!$B$6:$B$5963,B111,VI.A!$L$6:$L$5963)</f>
        <v>150</v>
      </c>
      <c r="I111" s="341" t="str">
        <f t="shared" ref="I111:I128" si="11">IF(H111=0,"no","si")</f>
        <v>si</v>
      </c>
      <c r="J111" s="383"/>
      <c r="K111" s="384">
        <f>IF(E111="SABESP","OK",VLOOKUP(F111,[6]ISD!$B$11:$F$4861,5,FALSE))</f>
        <v>95.11</v>
      </c>
      <c r="L111" s="384" t="str">
        <f t="shared" si="10"/>
        <v>VERIFICAR</v>
      </c>
      <c r="M111" s="480">
        <f t="shared" si="7"/>
        <v>95.11</v>
      </c>
      <c r="N111" s="383" t="b">
        <f t="shared" si="8"/>
        <v>0</v>
      </c>
      <c r="O111" s="383"/>
      <c r="P111" s="383"/>
      <c r="Q111" s="383"/>
      <c r="R111" s="383"/>
      <c r="S111" s="383"/>
      <c r="T111" s="383"/>
      <c r="U111" s="383"/>
      <c r="V111" s="383"/>
      <c r="W111" s="383"/>
      <c r="X111" s="383"/>
      <c r="Y111" s="383"/>
      <c r="Z111" s="383"/>
      <c r="AA111" s="383"/>
      <c r="AB111" s="383"/>
      <c r="AC111" s="383"/>
      <c r="AD111" s="383"/>
      <c r="AE111" s="383"/>
      <c r="AF111" s="383"/>
      <c r="AG111" s="383"/>
      <c r="AH111" s="383"/>
      <c r="AI111" s="383"/>
      <c r="AJ111" s="383"/>
      <c r="AK111" s="383"/>
      <c r="AL111" s="383"/>
      <c r="AM111" s="383"/>
      <c r="AN111" s="383"/>
      <c r="AO111" s="383"/>
      <c r="AP111" s="383"/>
      <c r="AQ111" s="383"/>
      <c r="AR111" s="383"/>
      <c r="AS111" s="383"/>
      <c r="AT111" s="383"/>
      <c r="AU111" s="383"/>
      <c r="AV111" s="383"/>
      <c r="AW111" s="383"/>
      <c r="AX111" s="383"/>
      <c r="AY111" s="383"/>
      <c r="AZ111" s="383"/>
      <c r="BA111" s="383"/>
      <c r="BB111" s="383"/>
      <c r="BC111" s="383"/>
      <c r="BD111" s="383"/>
      <c r="BE111" s="383"/>
      <c r="BF111" s="383"/>
      <c r="BG111" s="383"/>
      <c r="BH111" s="383"/>
      <c r="BI111" s="383"/>
      <c r="BJ111" s="383"/>
      <c r="BK111" s="383"/>
      <c r="BL111" s="383"/>
      <c r="BM111" s="383"/>
      <c r="BN111" s="383"/>
      <c r="BO111" s="383"/>
      <c r="BP111" s="383"/>
      <c r="BQ111" s="383"/>
      <c r="BR111" s="383"/>
      <c r="BS111" s="383"/>
      <c r="BT111" s="383"/>
      <c r="BU111" s="383"/>
      <c r="BV111" s="383"/>
      <c r="BW111" s="383"/>
      <c r="BX111" s="383"/>
      <c r="BY111" s="383"/>
      <c r="BZ111" s="383"/>
      <c r="CA111" s="383"/>
      <c r="CB111" s="383"/>
      <c r="CC111" s="383"/>
      <c r="CD111" s="383"/>
      <c r="CE111" s="383"/>
      <c r="CF111" s="383"/>
      <c r="CG111" s="383"/>
      <c r="CH111" s="383"/>
      <c r="CI111" s="383"/>
      <c r="CJ111" s="383"/>
      <c r="CK111" s="383"/>
      <c r="CL111" s="383"/>
      <c r="CM111" s="383"/>
      <c r="CN111" s="383"/>
      <c r="CO111" s="383"/>
      <c r="CP111" s="383"/>
      <c r="CQ111" s="383"/>
      <c r="CR111" s="383"/>
      <c r="CS111" s="383"/>
      <c r="CT111" s="383"/>
      <c r="CU111" s="383"/>
      <c r="CV111" s="383"/>
      <c r="CW111" s="383"/>
      <c r="CX111" s="383"/>
      <c r="CY111" s="383"/>
      <c r="CZ111" s="383"/>
      <c r="DA111" s="383"/>
      <c r="DB111" s="383"/>
      <c r="DC111" s="383"/>
      <c r="DD111" s="383"/>
      <c r="DE111" s="383"/>
      <c r="DF111" s="383"/>
      <c r="DG111" s="383"/>
      <c r="DH111" s="383"/>
      <c r="DI111" s="383"/>
      <c r="DJ111" s="383"/>
      <c r="DK111" s="383"/>
      <c r="DL111" s="383"/>
      <c r="DM111" s="383"/>
      <c r="DN111" s="383"/>
      <c r="DO111" s="383"/>
      <c r="DP111" s="383"/>
      <c r="DQ111" s="383"/>
      <c r="DR111" s="383"/>
      <c r="DS111" s="383"/>
      <c r="DT111" s="383"/>
      <c r="DU111" s="383"/>
      <c r="DV111" s="383"/>
      <c r="DW111" s="383"/>
      <c r="DX111" s="383"/>
      <c r="DY111" s="383"/>
      <c r="DZ111" s="383"/>
      <c r="EA111" s="383"/>
      <c r="EB111" s="383"/>
      <c r="EC111" s="383"/>
      <c r="ED111" s="383"/>
      <c r="EE111" s="383"/>
      <c r="EF111" s="383"/>
      <c r="EG111" s="383"/>
      <c r="EH111" s="383"/>
      <c r="EI111" s="383"/>
      <c r="EJ111" s="383"/>
      <c r="EK111" s="383"/>
      <c r="EL111" s="383"/>
      <c r="EM111" s="383"/>
      <c r="EN111" s="383"/>
      <c r="EO111" s="383"/>
      <c r="EP111" s="383"/>
      <c r="EQ111" s="383"/>
      <c r="ER111" s="383"/>
      <c r="ES111" s="383"/>
      <c r="ET111" s="383"/>
      <c r="EU111" s="383"/>
      <c r="EV111" s="383"/>
      <c r="EW111" s="383"/>
      <c r="EX111" s="383"/>
      <c r="EY111" s="383"/>
      <c r="EZ111" s="383"/>
      <c r="FA111" s="383"/>
      <c r="FB111" s="383"/>
      <c r="FC111" s="383"/>
      <c r="FD111" s="383"/>
      <c r="FE111" s="383"/>
      <c r="FF111" s="383"/>
      <c r="FG111" s="383"/>
      <c r="FH111" s="383"/>
      <c r="FI111" s="383"/>
      <c r="FJ111" s="383"/>
      <c r="FK111" s="383"/>
      <c r="FL111" s="383"/>
      <c r="FM111" s="383"/>
      <c r="FN111" s="383"/>
      <c r="FO111" s="383"/>
      <c r="FP111" s="383"/>
      <c r="FQ111" s="383"/>
      <c r="FR111" s="383"/>
      <c r="FS111" s="383"/>
      <c r="FT111" s="383"/>
      <c r="FU111" s="383"/>
      <c r="FV111" s="383"/>
      <c r="FW111" s="383"/>
      <c r="FX111" s="383"/>
      <c r="FY111" s="383"/>
      <c r="FZ111" s="383"/>
      <c r="GA111" s="383"/>
      <c r="GB111" s="383"/>
      <c r="GC111" s="383"/>
      <c r="GD111" s="383"/>
      <c r="GE111" s="383"/>
      <c r="GF111" s="383"/>
      <c r="GG111" s="383"/>
      <c r="GH111" s="383"/>
      <c r="GI111" s="383"/>
      <c r="GJ111" s="383"/>
      <c r="GK111" s="383"/>
      <c r="GL111" s="383"/>
      <c r="GM111" s="383"/>
      <c r="GN111" s="383"/>
      <c r="GO111" s="383"/>
      <c r="GP111" s="383"/>
      <c r="GQ111" s="383"/>
      <c r="GR111" s="383"/>
      <c r="GS111" s="383"/>
      <c r="GT111" s="383"/>
      <c r="GU111" s="383"/>
      <c r="GV111" s="383"/>
      <c r="GW111" s="383"/>
      <c r="GX111" s="383"/>
      <c r="GY111" s="383"/>
      <c r="GZ111" s="383"/>
      <c r="HA111" s="383"/>
      <c r="HB111" s="383"/>
      <c r="HC111" s="383"/>
      <c r="HD111" s="383"/>
      <c r="HE111" s="383"/>
      <c r="HF111" s="383"/>
      <c r="HG111" s="383"/>
      <c r="HH111" s="383"/>
      <c r="HI111" s="383"/>
      <c r="HJ111" s="383"/>
      <c r="HK111" s="383"/>
      <c r="HL111" s="383"/>
      <c r="HM111" s="383"/>
      <c r="HN111" s="383"/>
      <c r="HO111" s="383"/>
      <c r="HP111" s="383"/>
      <c r="HQ111" s="383"/>
      <c r="HR111" s="383"/>
      <c r="HS111" s="383"/>
      <c r="HT111" s="383"/>
      <c r="HU111" s="383"/>
      <c r="HV111" s="383"/>
      <c r="HW111" s="383"/>
      <c r="HX111" s="383"/>
      <c r="HY111" s="383"/>
      <c r="HZ111" s="383"/>
      <c r="IA111" s="383"/>
      <c r="IB111" s="383"/>
      <c r="IC111" s="383"/>
      <c r="ID111" s="383"/>
      <c r="IE111" s="383"/>
      <c r="IF111" s="383"/>
      <c r="IG111" s="383"/>
      <c r="IH111" s="383"/>
      <c r="II111" s="383"/>
      <c r="IJ111" s="383"/>
      <c r="IK111" s="383"/>
      <c r="IL111" s="383"/>
    </row>
    <row r="112" spans="1:246" ht="15" customHeight="1">
      <c r="A112" s="481" t="s">
        <v>331</v>
      </c>
      <c r="B112" s="482" t="s">
        <v>372</v>
      </c>
      <c r="C112" s="483" t="s">
        <v>130</v>
      </c>
      <c r="D112" s="66"/>
      <c r="E112" s="498" t="s">
        <v>381</v>
      </c>
      <c r="F112" s="484" t="s">
        <v>407</v>
      </c>
      <c r="G112" s="479" t="str">
        <f t="shared" si="9"/>
        <v>07/2025</v>
      </c>
      <c r="H112" s="341">
        <f>SUMIF(VI.A!$B$6:$B$5963,B112,VI.A!$L$6:$L$5963)</f>
        <v>44454.6</v>
      </c>
      <c r="I112" s="341" t="str">
        <f t="shared" si="11"/>
        <v>si</v>
      </c>
      <c r="J112" s="383"/>
      <c r="K112" s="384" t="str">
        <f>IF(E112="SABESP","OK",VLOOKUP(F112,[6]ISD!$B$11:$F$4861,5,FALSE))</f>
        <v>OK</v>
      </c>
      <c r="L112" s="384" t="str">
        <f t="shared" si="10"/>
        <v>OK</v>
      </c>
      <c r="M112" s="480" t="str">
        <f t="shared" si="7"/>
        <v>OK</v>
      </c>
      <c r="N112" s="383" t="b">
        <f t="shared" si="8"/>
        <v>0</v>
      </c>
      <c r="O112" s="383"/>
      <c r="P112" s="383"/>
      <c r="Q112" s="383"/>
      <c r="R112" s="383"/>
      <c r="S112" s="383"/>
      <c r="T112" s="383"/>
      <c r="U112" s="383"/>
      <c r="V112" s="383"/>
      <c r="W112" s="383"/>
      <c r="X112" s="383"/>
      <c r="Y112" s="383"/>
      <c r="Z112" s="383"/>
      <c r="AA112" s="383"/>
      <c r="AB112" s="383"/>
      <c r="AC112" s="383"/>
      <c r="AD112" s="383"/>
      <c r="AE112" s="383"/>
      <c r="AF112" s="383"/>
      <c r="AG112" s="383"/>
      <c r="AH112" s="383"/>
      <c r="AI112" s="383"/>
      <c r="AJ112" s="383"/>
      <c r="AK112" s="383"/>
      <c r="AL112" s="383"/>
      <c r="AM112" s="383"/>
      <c r="AN112" s="383"/>
      <c r="AO112" s="383"/>
      <c r="AP112" s="383"/>
      <c r="AQ112" s="383"/>
      <c r="AR112" s="383"/>
      <c r="AS112" s="383"/>
      <c r="AT112" s="383"/>
      <c r="AU112" s="383"/>
      <c r="AV112" s="383"/>
      <c r="AW112" s="383"/>
      <c r="AX112" s="383"/>
      <c r="AY112" s="383"/>
      <c r="AZ112" s="383"/>
      <c r="BA112" s="383"/>
      <c r="BB112" s="383"/>
      <c r="BC112" s="383"/>
      <c r="BD112" s="383"/>
      <c r="BE112" s="383"/>
      <c r="BF112" s="383"/>
      <c r="BG112" s="383"/>
      <c r="BH112" s="383"/>
      <c r="BI112" s="383"/>
      <c r="BJ112" s="383"/>
      <c r="BK112" s="383"/>
      <c r="BL112" s="383"/>
      <c r="BM112" s="383"/>
      <c r="BN112" s="383"/>
      <c r="BO112" s="383"/>
      <c r="BP112" s="383"/>
      <c r="BQ112" s="383"/>
      <c r="BR112" s="383"/>
      <c r="BS112" s="383"/>
      <c r="BT112" s="383"/>
      <c r="BU112" s="383"/>
      <c r="BV112" s="383"/>
      <c r="BW112" s="383"/>
      <c r="BX112" s="383"/>
      <c r="BY112" s="383"/>
      <c r="BZ112" s="383"/>
      <c r="CA112" s="383"/>
      <c r="CB112" s="383"/>
      <c r="CC112" s="383"/>
      <c r="CD112" s="383"/>
      <c r="CE112" s="383"/>
      <c r="CF112" s="383"/>
      <c r="CG112" s="383"/>
      <c r="CH112" s="383"/>
      <c r="CI112" s="383"/>
      <c r="CJ112" s="383"/>
      <c r="CK112" s="383"/>
      <c r="CL112" s="383"/>
      <c r="CM112" s="383"/>
      <c r="CN112" s="383"/>
      <c r="CO112" s="383"/>
      <c r="CP112" s="383"/>
      <c r="CQ112" s="383"/>
      <c r="CR112" s="383"/>
      <c r="CS112" s="383"/>
      <c r="CT112" s="383"/>
      <c r="CU112" s="383"/>
      <c r="CV112" s="383"/>
      <c r="CW112" s="383"/>
      <c r="CX112" s="383"/>
      <c r="CY112" s="383"/>
      <c r="CZ112" s="383"/>
      <c r="DA112" s="383"/>
      <c r="DB112" s="383"/>
      <c r="DC112" s="383"/>
      <c r="DD112" s="383"/>
      <c r="DE112" s="383"/>
      <c r="DF112" s="383"/>
      <c r="DG112" s="383"/>
      <c r="DH112" s="383"/>
      <c r="DI112" s="383"/>
      <c r="DJ112" s="383"/>
      <c r="DK112" s="383"/>
      <c r="DL112" s="383"/>
      <c r="DM112" s="383"/>
      <c r="DN112" s="383"/>
      <c r="DO112" s="383"/>
      <c r="DP112" s="383"/>
      <c r="DQ112" s="383"/>
      <c r="DR112" s="383"/>
      <c r="DS112" s="383"/>
      <c r="DT112" s="383"/>
      <c r="DU112" s="383"/>
      <c r="DV112" s="383"/>
      <c r="DW112" s="383"/>
      <c r="DX112" s="383"/>
      <c r="DY112" s="383"/>
      <c r="DZ112" s="383"/>
      <c r="EA112" s="383"/>
      <c r="EB112" s="383"/>
      <c r="EC112" s="383"/>
      <c r="ED112" s="383"/>
      <c r="EE112" s="383"/>
      <c r="EF112" s="383"/>
      <c r="EG112" s="383"/>
      <c r="EH112" s="383"/>
      <c r="EI112" s="383"/>
      <c r="EJ112" s="383"/>
      <c r="EK112" s="383"/>
      <c r="EL112" s="383"/>
      <c r="EM112" s="383"/>
      <c r="EN112" s="383"/>
      <c r="EO112" s="383"/>
      <c r="EP112" s="383"/>
      <c r="EQ112" s="383"/>
      <c r="ER112" s="383"/>
      <c r="ES112" s="383"/>
      <c r="ET112" s="383"/>
      <c r="EU112" s="383"/>
      <c r="EV112" s="383"/>
      <c r="EW112" s="383"/>
      <c r="EX112" s="383"/>
      <c r="EY112" s="383"/>
      <c r="EZ112" s="383"/>
      <c r="FA112" s="383"/>
      <c r="FB112" s="383"/>
      <c r="FC112" s="383"/>
      <c r="FD112" s="383"/>
      <c r="FE112" s="383"/>
      <c r="FF112" s="383"/>
      <c r="FG112" s="383"/>
      <c r="FH112" s="383"/>
      <c r="FI112" s="383"/>
      <c r="FJ112" s="383"/>
      <c r="FK112" s="383"/>
      <c r="FL112" s="383"/>
      <c r="FM112" s="383"/>
      <c r="FN112" s="383"/>
      <c r="FO112" s="383"/>
      <c r="FP112" s="383"/>
      <c r="FQ112" s="383"/>
      <c r="FR112" s="383"/>
      <c r="FS112" s="383"/>
      <c r="FT112" s="383"/>
      <c r="FU112" s="383"/>
      <c r="FV112" s="383"/>
      <c r="FW112" s="383"/>
      <c r="FX112" s="383"/>
      <c r="FY112" s="383"/>
      <c r="FZ112" s="383"/>
      <c r="GA112" s="383"/>
      <c r="GB112" s="383"/>
      <c r="GC112" s="383"/>
      <c r="GD112" s="383"/>
      <c r="GE112" s="383"/>
      <c r="GF112" s="383"/>
      <c r="GG112" s="383"/>
      <c r="GH112" s="383"/>
      <c r="GI112" s="383"/>
      <c r="GJ112" s="383"/>
      <c r="GK112" s="383"/>
      <c r="GL112" s="383"/>
      <c r="GM112" s="383"/>
      <c r="GN112" s="383"/>
      <c r="GO112" s="383"/>
      <c r="GP112" s="383"/>
      <c r="GQ112" s="383"/>
      <c r="GR112" s="383"/>
      <c r="GS112" s="383"/>
      <c r="GT112" s="383"/>
      <c r="GU112" s="383"/>
      <c r="GV112" s="383"/>
      <c r="GW112" s="383"/>
      <c r="GX112" s="383"/>
      <c r="GY112" s="383"/>
      <c r="GZ112" s="383"/>
      <c r="HA112" s="383"/>
      <c r="HB112" s="383"/>
      <c r="HC112" s="383"/>
      <c r="HD112" s="383"/>
      <c r="HE112" s="383"/>
      <c r="HF112" s="383"/>
      <c r="HG112" s="383"/>
      <c r="HH112" s="383"/>
      <c r="HI112" s="383"/>
      <c r="HJ112" s="383"/>
      <c r="HK112" s="383"/>
      <c r="HL112" s="383"/>
      <c r="HM112" s="383"/>
      <c r="HN112" s="383"/>
      <c r="HO112" s="383"/>
      <c r="HP112" s="383"/>
      <c r="HQ112" s="383"/>
      <c r="HR112" s="383"/>
      <c r="HS112" s="383"/>
      <c r="HT112" s="383"/>
      <c r="HU112" s="383"/>
      <c r="HV112" s="383"/>
      <c r="HW112" s="383"/>
      <c r="HX112" s="383"/>
      <c r="HY112" s="383"/>
      <c r="HZ112" s="383"/>
      <c r="IA112" s="383"/>
      <c r="IB112" s="383"/>
      <c r="IC112" s="383"/>
      <c r="ID112" s="383"/>
      <c r="IE112" s="383"/>
      <c r="IF112" s="383"/>
      <c r="IG112" s="383"/>
      <c r="IH112" s="383"/>
      <c r="II112" s="383"/>
      <c r="IJ112" s="383"/>
      <c r="IK112" s="383"/>
      <c r="IL112" s="383"/>
    </row>
    <row r="113" spans="1:246" ht="15" customHeight="1">
      <c r="A113" s="481" t="s">
        <v>332</v>
      </c>
      <c r="B113" s="482" t="s">
        <v>210</v>
      </c>
      <c r="C113" s="483" t="s">
        <v>130</v>
      </c>
      <c r="D113" s="66"/>
      <c r="E113" s="500" t="s">
        <v>379</v>
      </c>
      <c r="F113" s="484">
        <v>7343</v>
      </c>
      <c r="G113" s="479" t="str">
        <f t="shared" si="9"/>
        <v>01/2026</v>
      </c>
      <c r="H113" s="341">
        <f>SUMIF(VI.A!$B$6:$B$5963,B113,VI.A!$L$6:$L$5963)</f>
        <v>300</v>
      </c>
      <c r="I113" s="341" t="str">
        <f t="shared" si="11"/>
        <v>si</v>
      </c>
      <c r="J113" s="383"/>
      <c r="K113" s="384">
        <f>IF(E113="SABESP","OK",VLOOKUP(F113,[6]ISD!$B$11:$F$4861,5,FALSE))</f>
        <v>38.49</v>
      </c>
      <c r="L113" s="384" t="str">
        <f t="shared" si="10"/>
        <v>VERIFICAR</v>
      </c>
      <c r="M113" s="480">
        <f t="shared" si="7"/>
        <v>38.49</v>
      </c>
      <c r="N113" s="383" t="b">
        <f t="shared" si="8"/>
        <v>0</v>
      </c>
      <c r="O113" s="383"/>
      <c r="P113" s="383"/>
      <c r="Q113" s="383"/>
      <c r="R113" s="383"/>
      <c r="S113" s="383"/>
      <c r="T113" s="383"/>
      <c r="U113" s="383"/>
      <c r="V113" s="383"/>
      <c r="W113" s="383"/>
      <c r="X113" s="383"/>
      <c r="Y113" s="383"/>
      <c r="Z113" s="383"/>
      <c r="AA113" s="383"/>
      <c r="AB113" s="383"/>
      <c r="AC113" s="383"/>
      <c r="AD113" s="383"/>
      <c r="AE113" s="383"/>
      <c r="AF113" s="383"/>
      <c r="AG113" s="383"/>
      <c r="AH113" s="383"/>
      <c r="AI113" s="383"/>
      <c r="AJ113" s="383"/>
      <c r="AK113" s="383"/>
      <c r="AL113" s="383"/>
      <c r="AM113" s="383"/>
      <c r="AN113" s="383"/>
      <c r="AO113" s="383"/>
      <c r="AP113" s="383"/>
      <c r="AQ113" s="383"/>
      <c r="AR113" s="383"/>
      <c r="AS113" s="383"/>
      <c r="AT113" s="383"/>
      <c r="AU113" s="383"/>
      <c r="AV113" s="383"/>
      <c r="AW113" s="383"/>
      <c r="AX113" s="383"/>
      <c r="AY113" s="383"/>
      <c r="AZ113" s="383"/>
      <c r="BA113" s="383"/>
      <c r="BB113" s="383"/>
      <c r="BC113" s="383"/>
      <c r="BD113" s="383"/>
      <c r="BE113" s="383"/>
      <c r="BF113" s="383"/>
      <c r="BG113" s="383"/>
      <c r="BH113" s="383"/>
      <c r="BI113" s="383"/>
      <c r="BJ113" s="383"/>
      <c r="BK113" s="383"/>
      <c r="BL113" s="383"/>
      <c r="BM113" s="383"/>
      <c r="BN113" s="383"/>
      <c r="BO113" s="383"/>
      <c r="BP113" s="383"/>
      <c r="BQ113" s="383"/>
      <c r="BR113" s="383"/>
      <c r="BS113" s="383"/>
      <c r="BT113" s="383"/>
      <c r="BU113" s="383"/>
      <c r="BV113" s="383"/>
      <c r="BW113" s="383"/>
      <c r="BX113" s="383"/>
      <c r="BY113" s="383"/>
      <c r="BZ113" s="383"/>
      <c r="CA113" s="383"/>
      <c r="CB113" s="383"/>
      <c r="CC113" s="383"/>
      <c r="CD113" s="383"/>
      <c r="CE113" s="383"/>
      <c r="CF113" s="383"/>
      <c r="CG113" s="383"/>
      <c r="CH113" s="383"/>
      <c r="CI113" s="383"/>
      <c r="CJ113" s="383"/>
      <c r="CK113" s="383"/>
      <c r="CL113" s="383"/>
      <c r="CM113" s="383"/>
      <c r="CN113" s="383"/>
      <c r="CO113" s="383"/>
      <c r="CP113" s="383"/>
      <c r="CQ113" s="383"/>
      <c r="CR113" s="383"/>
      <c r="CS113" s="383"/>
      <c r="CT113" s="383"/>
      <c r="CU113" s="383"/>
      <c r="CV113" s="383"/>
      <c r="CW113" s="383"/>
      <c r="CX113" s="383"/>
      <c r="CY113" s="383"/>
      <c r="CZ113" s="383"/>
      <c r="DA113" s="383"/>
      <c r="DB113" s="383"/>
      <c r="DC113" s="383"/>
      <c r="DD113" s="383"/>
      <c r="DE113" s="383"/>
      <c r="DF113" s="383"/>
      <c r="DG113" s="383"/>
      <c r="DH113" s="383"/>
      <c r="DI113" s="383"/>
      <c r="DJ113" s="383"/>
      <c r="DK113" s="383"/>
      <c r="DL113" s="383"/>
      <c r="DM113" s="383"/>
      <c r="DN113" s="383"/>
      <c r="DO113" s="383"/>
      <c r="DP113" s="383"/>
      <c r="DQ113" s="383"/>
      <c r="DR113" s="383"/>
      <c r="DS113" s="383"/>
      <c r="DT113" s="383"/>
      <c r="DU113" s="383"/>
      <c r="DV113" s="383"/>
      <c r="DW113" s="383"/>
      <c r="DX113" s="383"/>
      <c r="DY113" s="383"/>
      <c r="DZ113" s="383"/>
      <c r="EA113" s="383"/>
      <c r="EB113" s="383"/>
      <c r="EC113" s="383"/>
      <c r="ED113" s="383"/>
      <c r="EE113" s="383"/>
      <c r="EF113" s="383"/>
      <c r="EG113" s="383"/>
      <c r="EH113" s="383"/>
      <c r="EI113" s="383"/>
      <c r="EJ113" s="383"/>
      <c r="EK113" s="383"/>
      <c r="EL113" s="383"/>
      <c r="EM113" s="383"/>
      <c r="EN113" s="383"/>
      <c r="EO113" s="383"/>
      <c r="EP113" s="383"/>
      <c r="EQ113" s="383"/>
      <c r="ER113" s="383"/>
      <c r="ES113" s="383"/>
      <c r="ET113" s="383"/>
      <c r="EU113" s="383"/>
      <c r="EV113" s="383"/>
      <c r="EW113" s="383"/>
      <c r="EX113" s="383"/>
      <c r="EY113" s="383"/>
      <c r="EZ113" s="383"/>
      <c r="FA113" s="383"/>
      <c r="FB113" s="383"/>
      <c r="FC113" s="383"/>
      <c r="FD113" s="383"/>
      <c r="FE113" s="383"/>
      <c r="FF113" s="383"/>
      <c r="FG113" s="383"/>
      <c r="FH113" s="383"/>
      <c r="FI113" s="383"/>
      <c r="FJ113" s="383"/>
      <c r="FK113" s="383"/>
      <c r="FL113" s="383"/>
      <c r="FM113" s="383"/>
      <c r="FN113" s="383"/>
      <c r="FO113" s="383"/>
      <c r="FP113" s="383"/>
      <c r="FQ113" s="383"/>
      <c r="FR113" s="383"/>
      <c r="FS113" s="383"/>
      <c r="FT113" s="383"/>
      <c r="FU113" s="383"/>
      <c r="FV113" s="383"/>
      <c r="FW113" s="383"/>
      <c r="FX113" s="383"/>
      <c r="FY113" s="383"/>
      <c r="FZ113" s="383"/>
      <c r="GA113" s="383"/>
      <c r="GB113" s="383"/>
      <c r="GC113" s="383"/>
      <c r="GD113" s="383"/>
      <c r="GE113" s="383"/>
      <c r="GF113" s="383"/>
      <c r="GG113" s="383"/>
      <c r="GH113" s="383"/>
      <c r="GI113" s="383"/>
      <c r="GJ113" s="383"/>
      <c r="GK113" s="383"/>
      <c r="GL113" s="383"/>
      <c r="GM113" s="383"/>
      <c r="GN113" s="383"/>
      <c r="GO113" s="383"/>
      <c r="GP113" s="383"/>
      <c r="GQ113" s="383"/>
      <c r="GR113" s="383"/>
      <c r="GS113" s="383"/>
      <c r="GT113" s="383"/>
      <c r="GU113" s="383"/>
      <c r="GV113" s="383"/>
      <c r="GW113" s="383"/>
      <c r="GX113" s="383"/>
      <c r="GY113" s="383"/>
      <c r="GZ113" s="383"/>
      <c r="HA113" s="383"/>
      <c r="HB113" s="383"/>
      <c r="HC113" s="383"/>
      <c r="HD113" s="383"/>
      <c r="HE113" s="383"/>
      <c r="HF113" s="383"/>
      <c r="HG113" s="383"/>
      <c r="HH113" s="383"/>
      <c r="HI113" s="383"/>
      <c r="HJ113" s="383"/>
      <c r="HK113" s="383"/>
      <c r="HL113" s="383"/>
      <c r="HM113" s="383"/>
      <c r="HN113" s="383"/>
      <c r="HO113" s="383"/>
      <c r="HP113" s="383"/>
      <c r="HQ113" s="383"/>
      <c r="HR113" s="383"/>
      <c r="HS113" s="383"/>
      <c r="HT113" s="383"/>
      <c r="HU113" s="383"/>
      <c r="HV113" s="383"/>
      <c r="HW113" s="383"/>
      <c r="HX113" s="383"/>
      <c r="HY113" s="383"/>
      <c r="HZ113" s="383"/>
      <c r="IA113" s="383"/>
      <c r="IB113" s="383"/>
      <c r="IC113" s="383"/>
      <c r="ID113" s="383"/>
      <c r="IE113" s="383"/>
      <c r="IF113" s="383"/>
      <c r="IG113" s="383"/>
      <c r="IH113" s="383"/>
      <c r="II113" s="383"/>
      <c r="IJ113" s="383"/>
      <c r="IK113" s="383"/>
      <c r="IL113" s="383"/>
    </row>
    <row r="114" spans="1:246" ht="15" customHeight="1">
      <c r="A114" s="481" t="s">
        <v>333</v>
      </c>
      <c r="B114" s="482" t="s">
        <v>211</v>
      </c>
      <c r="C114" s="483" t="s">
        <v>166</v>
      </c>
      <c r="D114" s="66"/>
      <c r="E114" s="500" t="s">
        <v>735</v>
      </c>
      <c r="F114" s="484" t="s">
        <v>928</v>
      </c>
      <c r="G114" s="479" t="str">
        <f t="shared" si="9"/>
        <v>OUTRO</v>
      </c>
      <c r="H114" s="341">
        <f>SUMIF(VI.A!$B$6:$B$5963,B114,VI.A!$L$6:$L$5963)</f>
        <v>166.79362999452655</v>
      </c>
      <c r="I114" s="341" t="str">
        <f t="shared" si="11"/>
        <v>si</v>
      </c>
      <c r="J114" s="383"/>
      <c r="K114" s="384">
        <f>VLOOKUP(F114,[7]Insumos!$A$9:$D$3235,4,FALSE)</f>
        <v>425.63</v>
      </c>
      <c r="L114" s="384" t="str">
        <f t="shared" si="10"/>
        <v>VERIFICAR</v>
      </c>
      <c r="M114" s="480">
        <f t="shared" si="7"/>
        <v>425.63</v>
      </c>
      <c r="N114" s="383" t="b">
        <f t="shared" si="8"/>
        <v>0</v>
      </c>
      <c r="O114" s="383"/>
      <c r="P114" s="383"/>
      <c r="Q114" s="383"/>
      <c r="R114" s="383"/>
      <c r="S114" s="383"/>
      <c r="T114" s="383"/>
      <c r="U114" s="383"/>
      <c r="V114" s="383"/>
      <c r="W114" s="383"/>
      <c r="X114" s="383"/>
      <c r="Y114" s="383"/>
      <c r="Z114" s="383"/>
      <c r="AA114" s="383"/>
      <c r="AB114" s="383"/>
      <c r="AC114" s="383"/>
      <c r="AD114" s="383"/>
      <c r="AE114" s="383"/>
      <c r="AF114" s="383"/>
      <c r="AG114" s="383"/>
      <c r="AH114" s="383"/>
      <c r="AI114" s="383"/>
      <c r="AJ114" s="383"/>
      <c r="AK114" s="383"/>
      <c r="AL114" s="383"/>
      <c r="AM114" s="383"/>
      <c r="AN114" s="383"/>
      <c r="AO114" s="383"/>
      <c r="AP114" s="383"/>
      <c r="AQ114" s="383"/>
      <c r="AR114" s="383"/>
      <c r="AS114" s="383"/>
      <c r="AT114" s="383"/>
      <c r="AU114" s="383"/>
      <c r="AV114" s="383"/>
      <c r="AW114" s="383"/>
      <c r="AX114" s="383"/>
      <c r="AY114" s="383"/>
      <c r="AZ114" s="383"/>
      <c r="BA114" s="383"/>
      <c r="BB114" s="383"/>
      <c r="BC114" s="383"/>
      <c r="BD114" s="383"/>
      <c r="BE114" s="383"/>
      <c r="BF114" s="383"/>
      <c r="BG114" s="383"/>
      <c r="BH114" s="383"/>
      <c r="BI114" s="383"/>
      <c r="BJ114" s="383"/>
      <c r="BK114" s="383"/>
      <c r="BL114" s="383"/>
      <c r="BM114" s="383"/>
      <c r="BN114" s="383"/>
      <c r="BO114" s="383"/>
      <c r="BP114" s="383"/>
      <c r="BQ114" s="383"/>
      <c r="BR114" s="383"/>
      <c r="BS114" s="383"/>
      <c r="BT114" s="383"/>
      <c r="BU114" s="383"/>
      <c r="BV114" s="383"/>
      <c r="BW114" s="383"/>
      <c r="BX114" s="383"/>
      <c r="BY114" s="383"/>
      <c r="BZ114" s="383"/>
      <c r="CA114" s="383"/>
      <c r="CB114" s="383"/>
      <c r="CC114" s="383"/>
      <c r="CD114" s="383"/>
      <c r="CE114" s="383"/>
      <c r="CF114" s="383"/>
      <c r="CG114" s="383"/>
      <c r="CH114" s="383"/>
      <c r="CI114" s="383"/>
      <c r="CJ114" s="383"/>
      <c r="CK114" s="383"/>
      <c r="CL114" s="383"/>
      <c r="CM114" s="383"/>
      <c r="CN114" s="383"/>
      <c r="CO114" s="383"/>
      <c r="CP114" s="383"/>
      <c r="CQ114" s="383"/>
      <c r="CR114" s="383"/>
      <c r="CS114" s="383"/>
      <c r="CT114" s="383"/>
      <c r="CU114" s="383"/>
      <c r="CV114" s="383"/>
      <c r="CW114" s="383"/>
      <c r="CX114" s="383"/>
      <c r="CY114" s="383"/>
      <c r="CZ114" s="383"/>
      <c r="DA114" s="383"/>
      <c r="DB114" s="383"/>
      <c r="DC114" s="383"/>
      <c r="DD114" s="383"/>
      <c r="DE114" s="383"/>
      <c r="DF114" s="383"/>
      <c r="DG114" s="383"/>
      <c r="DH114" s="383"/>
      <c r="DI114" s="383"/>
      <c r="DJ114" s="383"/>
      <c r="DK114" s="383"/>
      <c r="DL114" s="383"/>
      <c r="DM114" s="383"/>
      <c r="DN114" s="383"/>
      <c r="DO114" s="383"/>
      <c r="DP114" s="383"/>
      <c r="DQ114" s="383"/>
      <c r="DR114" s="383"/>
      <c r="DS114" s="383"/>
      <c r="DT114" s="383"/>
      <c r="DU114" s="383"/>
      <c r="DV114" s="383"/>
      <c r="DW114" s="383"/>
      <c r="DX114" s="383"/>
      <c r="DY114" s="383"/>
      <c r="DZ114" s="383"/>
      <c r="EA114" s="383"/>
      <c r="EB114" s="383"/>
      <c r="EC114" s="383"/>
      <c r="ED114" s="383"/>
      <c r="EE114" s="383"/>
      <c r="EF114" s="383"/>
      <c r="EG114" s="383"/>
      <c r="EH114" s="383"/>
      <c r="EI114" s="383"/>
      <c r="EJ114" s="383"/>
      <c r="EK114" s="383"/>
      <c r="EL114" s="383"/>
      <c r="EM114" s="383"/>
      <c r="EN114" s="383"/>
      <c r="EO114" s="383"/>
      <c r="EP114" s="383"/>
      <c r="EQ114" s="383"/>
      <c r="ER114" s="383"/>
      <c r="ES114" s="383"/>
      <c r="ET114" s="383"/>
      <c r="EU114" s="383"/>
      <c r="EV114" s="383"/>
      <c r="EW114" s="383"/>
      <c r="EX114" s="383"/>
      <c r="EY114" s="383"/>
      <c r="EZ114" s="383"/>
      <c r="FA114" s="383"/>
      <c r="FB114" s="383"/>
      <c r="FC114" s="383"/>
      <c r="FD114" s="383"/>
      <c r="FE114" s="383"/>
      <c r="FF114" s="383"/>
      <c r="FG114" s="383"/>
      <c r="FH114" s="383"/>
      <c r="FI114" s="383"/>
      <c r="FJ114" s="383"/>
      <c r="FK114" s="383"/>
      <c r="FL114" s="383"/>
      <c r="FM114" s="383"/>
      <c r="FN114" s="383"/>
      <c r="FO114" s="383"/>
      <c r="FP114" s="383"/>
      <c r="FQ114" s="383"/>
      <c r="FR114" s="383"/>
      <c r="FS114" s="383"/>
      <c r="FT114" s="383"/>
      <c r="FU114" s="383"/>
      <c r="FV114" s="383"/>
      <c r="FW114" s="383"/>
      <c r="FX114" s="383"/>
      <c r="FY114" s="383"/>
      <c r="FZ114" s="383"/>
      <c r="GA114" s="383"/>
      <c r="GB114" s="383"/>
      <c r="GC114" s="383"/>
      <c r="GD114" s="383"/>
      <c r="GE114" s="383"/>
      <c r="GF114" s="383"/>
      <c r="GG114" s="383"/>
      <c r="GH114" s="383"/>
      <c r="GI114" s="383"/>
      <c r="GJ114" s="383"/>
      <c r="GK114" s="383"/>
      <c r="GL114" s="383"/>
      <c r="GM114" s="383"/>
      <c r="GN114" s="383"/>
      <c r="GO114" s="383"/>
      <c r="GP114" s="383"/>
      <c r="GQ114" s="383"/>
      <c r="GR114" s="383"/>
      <c r="GS114" s="383"/>
      <c r="GT114" s="383"/>
      <c r="GU114" s="383"/>
      <c r="GV114" s="383"/>
      <c r="GW114" s="383"/>
      <c r="GX114" s="383"/>
      <c r="GY114" s="383"/>
      <c r="GZ114" s="383"/>
      <c r="HA114" s="383"/>
      <c r="HB114" s="383"/>
      <c r="HC114" s="383"/>
      <c r="HD114" s="383"/>
      <c r="HE114" s="383"/>
      <c r="HF114" s="383"/>
      <c r="HG114" s="383"/>
      <c r="HH114" s="383"/>
      <c r="HI114" s="383"/>
      <c r="HJ114" s="383"/>
      <c r="HK114" s="383"/>
      <c r="HL114" s="383"/>
      <c r="HM114" s="383"/>
      <c r="HN114" s="383"/>
      <c r="HO114" s="383"/>
      <c r="HP114" s="383"/>
      <c r="HQ114" s="383"/>
      <c r="HR114" s="383"/>
      <c r="HS114" s="383"/>
      <c r="HT114" s="383"/>
      <c r="HU114" s="383"/>
      <c r="HV114" s="383"/>
      <c r="HW114" s="383"/>
      <c r="HX114" s="383"/>
      <c r="HY114" s="383"/>
      <c r="HZ114" s="383"/>
      <c r="IA114" s="383"/>
      <c r="IB114" s="383"/>
      <c r="IC114" s="383"/>
      <c r="ID114" s="383"/>
      <c r="IE114" s="383"/>
      <c r="IF114" s="383"/>
      <c r="IG114" s="383"/>
      <c r="IH114" s="383"/>
      <c r="II114" s="383"/>
      <c r="IJ114" s="383"/>
      <c r="IK114" s="383"/>
      <c r="IL114" s="383"/>
    </row>
    <row r="115" spans="1:246" ht="15" customHeight="1">
      <c r="A115" s="481" t="s">
        <v>334</v>
      </c>
      <c r="B115" s="482" t="s">
        <v>512</v>
      </c>
      <c r="C115" s="483" t="s">
        <v>164</v>
      </c>
      <c r="D115" s="66"/>
      <c r="E115" s="500" t="s">
        <v>381</v>
      </c>
      <c r="F115" s="484" t="s">
        <v>517</v>
      </c>
      <c r="G115" s="479" t="str">
        <f t="shared" si="9"/>
        <v>07/2025</v>
      </c>
      <c r="H115" s="341">
        <f>SUMIF(VI.A!$B$6:$B$5963,B115,VI.A!$L$6:$L$5963)</f>
        <v>30</v>
      </c>
      <c r="I115" s="341" t="str">
        <f t="shared" si="11"/>
        <v>si</v>
      </c>
      <c r="J115" s="383"/>
      <c r="K115" s="384" t="str">
        <f>IF(E115="SABESP","OK",VLOOKUP(F115,[6]ISD!$B$11:$F$4861,5,FALSE))</f>
        <v>OK</v>
      </c>
      <c r="L115" s="384" t="str">
        <f t="shared" si="10"/>
        <v>OK</v>
      </c>
      <c r="M115" s="480" t="str">
        <f t="shared" si="7"/>
        <v>OK</v>
      </c>
      <c r="N115" s="383" t="b">
        <f t="shared" si="8"/>
        <v>0</v>
      </c>
      <c r="O115" s="383"/>
      <c r="P115" s="383"/>
      <c r="Q115" s="383"/>
      <c r="R115" s="383"/>
      <c r="S115" s="383"/>
      <c r="T115" s="383"/>
      <c r="U115" s="383"/>
      <c r="V115" s="383"/>
      <c r="W115" s="383"/>
      <c r="X115" s="383"/>
      <c r="Y115" s="383"/>
      <c r="Z115" s="383"/>
      <c r="AA115" s="383"/>
      <c r="AB115" s="383"/>
      <c r="AC115" s="383"/>
      <c r="AD115" s="383"/>
      <c r="AE115" s="383"/>
      <c r="AF115" s="383"/>
      <c r="AG115" s="383"/>
      <c r="AH115" s="383"/>
      <c r="AI115" s="383"/>
      <c r="AJ115" s="383"/>
      <c r="AK115" s="383"/>
      <c r="AL115" s="383"/>
      <c r="AM115" s="383"/>
      <c r="AN115" s="383"/>
      <c r="AO115" s="383"/>
      <c r="AP115" s="383"/>
      <c r="AQ115" s="383"/>
      <c r="AR115" s="383"/>
      <c r="AS115" s="383"/>
      <c r="AT115" s="383"/>
      <c r="AU115" s="383"/>
      <c r="AV115" s="383"/>
      <c r="AW115" s="383"/>
      <c r="AX115" s="383"/>
      <c r="AY115" s="383"/>
      <c r="AZ115" s="383"/>
      <c r="BA115" s="383"/>
      <c r="BB115" s="383"/>
      <c r="BC115" s="383"/>
      <c r="BD115" s="383"/>
      <c r="BE115" s="383"/>
      <c r="BF115" s="383"/>
      <c r="BG115" s="383"/>
      <c r="BH115" s="383"/>
      <c r="BI115" s="383"/>
      <c r="BJ115" s="383"/>
      <c r="BK115" s="383"/>
      <c r="BL115" s="383"/>
      <c r="BM115" s="383"/>
      <c r="BN115" s="383"/>
      <c r="BO115" s="383"/>
      <c r="BP115" s="383"/>
      <c r="BQ115" s="383"/>
      <c r="BR115" s="383"/>
      <c r="BS115" s="383"/>
      <c r="BT115" s="383"/>
      <c r="BU115" s="383"/>
      <c r="BV115" s="383"/>
      <c r="BW115" s="383"/>
      <c r="BX115" s="383"/>
      <c r="BY115" s="383"/>
      <c r="BZ115" s="383"/>
      <c r="CA115" s="383"/>
      <c r="CB115" s="383"/>
      <c r="CC115" s="383"/>
      <c r="CD115" s="383"/>
      <c r="CE115" s="383"/>
      <c r="CF115" s="383"/>
      <c r="CG115" s="383"/>
      <c r="CH115" s="383"/>
      <c r="CI115" s="383"/>
      <c r="CJ115" s="383"/>
      <c r="CK115" s="383"/>
      <c r="CL115" s="383"/>
      <c r="CM115" s="383"/>
      <c r="CN115" s="383"/>
      <c r="CO115" s="383"/>
      <c r="CP115" s="383"/>
      <c r="CQ115" s="383"/>
      <c r="CR115" s="383"/>
      <c r="CS115" s="383"/>
      <c r="CT115" s="383"/>
      <c r="CU115" s="383"/>
      <c r="CV115" s="383"/>
      <c r="CW115" s="383"/>
      <c r="CX115" s="383"/>
      <c r="CY115" s="383"/>
      <c r="CZ115" s="383"/>
      <c r="DA115" s="383"/>
      <c r="DB115" s="383"/>
      <c r="DC115" s="383"/>
      <c r="DD115" s="383"/>
      <c r="DE115" s="383"/>
      <c r="DF115" s="383"/>
      <c r="DG115" s="383"/>
      <c r="DH115" s="383"/>
      <c r="DI115" s="383"/>
      <c r="DJ115" s="383"/>
      <c r="DK115" s="383"/>
      <c r="DL115" s="383"/>
      <c r="DM115" s="383"/>
      <c r="DN115" s="383"/>
      <c r="DO115" s="383"/>
      <c r="DP115" s="383"/>
      <c r="DQ115" s="383"/>
      <c r="DR115" s="383"/>
      <c r="DS115" s="383"/>
      <c r="DT115" s="383"/>
      <c r="DU115" s="383"/>
      <c r="DV115" s="383"/>
      <c r="DW115" s="383"/>
      <c r="DX115" s="383"/>
      <c r="DY115" s="383"/>
      <c r="DZ115" s="383"/>
      <c r="EA115" s="383"/>
      <c r="EB115" s="383"/>
      <c r="EC115" s="383"/>
      <c r="ED115" s="383"/>
      <c r="EE115" s="383"/>
      <c r="EF115" s="383"/>
      <c r="EG115" s="383"/>
      <c r="EH115" s="383"/>
      <c r="EI115" s="383"/>
      <c r="EJ115" s="383"/>
      <c r="EK115" s="383"/>
      <c r="EL115" s="383"/>
      <c r="EM115" s="383"/>
      <c r="EN115" s="383"/>
      <c r="EO115" s="383"/>
      <c r="EP115" s="383"/>
      <c r="EQ115" s="383"/>
      <c r="ER115" s="383"/>
      <c r="ES115" s="383"/>
      <c r="ET115" s="383"/>
      <c r="EU115" s="383"/>
      <c r="EV115" s="383"/>
      <c r="EW115" s="383"/>
      <c r="EX115" s="383"/>
      <c r="EY115" s="383"/>
      <c r="EZ115" s="383"/>
      <c r="FA115" s="383"/>
      <c r="FB115" s="383"/>
      <c r="FC115" s="383"/>
      <c r="FD115" s="383"/>
      <c r="FE115" s="383"/>
      <c r="FF115" s="383"/>
      <c r="FG115" s="383"/>
      <c r="FH115" s="383"/>
      <c r="FI115" s="383"/>
      <c r="FJ115" s="383"/>
      <c r="FK115" s="383"/>
      <c r="FL115" s="383"/>
      <c r="FM115" s="383"/>
      <c r="FN115" s="383"/>
      <c r="FO115" s="383"/>
      <c r="FP115" s="383"/>
      <c r="FQ115" s="383"/>
      <c r="FR115" s="383"/>
      <c r="FS115" s="383"/>
      <c r="FT115" s="383"/>
      <c r="FU115" s="383"/>
      <c r="FV115" s="383"/>
      <c r="FW115" s="383"/>
      <c r="FX115" s="383"/>
      <c r="FY115" s="383"/>
      <c r="FZ115" s="383"/>
      <c r="GA115" s="383"/>
      <c r="GB115" s="383"/>
      <c r="GC115" s="383"/>
      <c r="GD115" s="383"/>
      <c r="GE115" s="383"/>
      <c r="GF115" s="383"/>
      <c r="GG115" s="383"/>
      <c r="GH115" s="383"/>
      <c r="GI115" s="383"/>
      <c r="GJ115" s="383"/>
      <c r="GK115" s="383"/>
      <c r="GL115" s="383"/>
      <c r="GM115" s="383"/>
      <c r="GN115" s="383"/>
      <c r="GO115" s="383"/>
      <c r="GP115" s="383"/>
      <c r="GQ115" s="383"/>
      <c r="GR115" s="383"/>
      <c r="GS115" s="383"/>
      <c r="GT115" s="383"/>
      <c r="GU115" s="383"/>
      <c r="GV115" s="383"/>
      <c r="GW115" s="383"/>
      <c r="GX115" s="383"/>
      <c r="GY115" s="383"/>
      <c r="GZ115" s="383"/>
      <c r="HA115" s="383"/>
      <c r="HB115" s="383"/>
      <c r="HC115" s="383"/>
      <c r="HD115" s="383"/>
      <c r="HE115" s="383"/>
      <c r="HF115" s="383"/>
      <c r="HG115" s="383"/>
      <c r="HH115" s="383"/>
      <c r="HI115" s="383"/>
      <c r="HJ115" s="383"/>
      <c r="HK115" s="383"/>
      <c r="HL115" s="383"/>
      <c r="HM115" s="383"/>
      <c r="HN115" s="383"/>
      <c r="HO115" s="383"/>
      <c r="HP115" s="383"/>
      <c r="HQ115" s="383"/>
      <c r="HR115" s="383"/>
      <c r="HS115" s="383"/>
      <c r="HT115" s="383"/>
      <c r="HU115" s="383"/>
      <c r="HV115" s="383"/>
      <c r="HW115" s="383"/>
      <c r="HX115" s="383"/>
      <c r="HY115" s="383"/>
      <c r="HZ115" s="383"/>
      <c r="IA115" s="383"/>
      <c r="IB115" s="383"/>
      <c r="IC115" s="383"/>
      <c r="ID115" s="383"/>
      <c r="IE115" s="383"/>
      <c r="IF115" s="383"/>
      <c r="IG115" s="383"/>
      <c r="IH115" s="383"/>
      <c r="II115" s="383"/>
      <c r="IJ115" s="383"/>
      <c r="IK115" s="383"/>
      <c r="IL115" s="383"/>
    </row>
    <row r="116" spans="1:246" ht="15" customHeight="1">
      <c r="A116" s="481" t="s">
        <v>335</v>
      </c>
      <c r="B116" s="482" t="s">
        <v>513</v>
      </c>
      <c r="C116" s="483" t="s">
        <v>164</v>
      </c>
      <c r="D116" s="66"/>
      <c r="E116" s="500" t="s">
        <v>381</v>
      </c>
      <c r="F116" s="484" t="s">
        <v>518</v>
      </c>
      <c r="G116" s="479" t="str">
        <f t="shared" si="9"/>
        <v>07/2025</v>
      </c>
      <c r="H116" s="341">
        <f>SUMIF(VI.A!$B$6:$B$5963,B116,VI.A!$L$6:$L$5963)</f>
        <v>15</v>
      </c>
      <c r="I116" s="341" t="str">
        <f t="shared" si="11"/>
        <v>si</v>
      </c>
      <c r="J116" s="383"/>
      <c r="K116" s="384" t="str">
        <f>IF(E116="SABESP","OK",VLOOKUP(F116,[6]ISD!$B$11:$F$4861,5,FALSE))</f>
        <v>OK</v>
      </c>
      <c r="L116" s="384" t="str">
        <f t="shared" si="10"/>
        <v>OK</v>
      </c>
      <c r="M116" s="480" t="str">
        <f t="shared" si="7"/>
        <v>OK</v>
      </c>
      <c r="N116" s="383" t="b">
        <f t="shared" si="8"/>
        <v>0</v>
      </c>
      <c r="O116" s="383"/>
      <c r="P116" s="383"/>
      <c r="Q116" s="383"/>
      <c r="R116" s="383"/>
      <c r="S116" s="383"/>
      <c r="T116" s="383"/>
      <c r="U116" s="383"/>
      <c r="V116" s="383"/>
      <c r="W116" s="383"/>
      <c r="X116" s="383"/>
      <c r="Y116" s="383"/>
      <c r="Z116" s="383"/>
      <c r="AA116" s="383"/>
      <c r="AB116" s="383"/>
      <c r="AC116" s="383"/>
      <c r="AD116" s="383"/>
      <c r="AE116" s="383"/>
      <c r="AF116" s="383"/>
      <c r="AG116" s="383"/>
      <c r="AH116" s="383"/>
      <c r="AI116" s="383"/>
      <c r="AJ116" s="383"/>
      <c r="AK116" s="383"/>
      <c r="AL116" s="383"/>
      <c r="AM116" s="383"/>
      <c r="AN116" s="383"/>
      <c r="AO116" s="383"/>
      <c r="AP116" s="383"/>
      <c r="AQ116" s="383"/>
      <c r="AR116" s="383"/>
      <c r="AS116" s="383"/>
      <c r="AT116" s="383"/>
      <c r="AU116" s="383"/>
      <c r="AV116" s="383"/>
      <c r="AW116" s="383"/>
      <c r="AX116" s="383"/>
      <c r="AY116" s="383"/>
      <c r="AZ116" s="383"/>
      <c r="BA116" s="383"/>
      <c r="BB116" s="383"/>
      <c r="BC116" s="383"/>
      <c r="BD116" s="383"/>
      <c r="BE116" s="383"/>
      <c r="BF116" s="383"/>
      <c r="BG116" s="383"/>
      <c r="BH116" s="383"/>
      <c r="BI116" s="383"/>
      <c r="BJ116" s="383"/>
      <c r="BK116" s="383"/>
      <c r="BL116" s="383"/>
      <c r="BM116" s="383"/>
      <c r="BN116" s="383"/>
      <c r="BO116" s="383"/>
      <c r="BP116" s="383"/>
      <c r="BQ116" s="383"/>
      <c r="BR116" s="383"/>
      <c r="BS116" s="383"/>
      <c r="BT116" s="383"/>
      <c r="BU116" s="383"/>
      <c r="BV116" s="383"/>
      <c r="BW116" s="383"/>
      <c r="BX116" s="383"/>
      <c r="BY116" s="383"/>
      <c r="BZ116" s="383"/>
      <c r="CA116" s="383"/>
      <c r="CB116" s="383"/>
      <c r="CC116" s="383"/>
      <c r="CD116" s="383"/>
      <c r="CE116" s="383"/>
      <c r="CF116" s="383"/>
      <c r="CG116" s="383"/>
      <c r="CH116" s="383"/>
      <c r="CI116" s="383"/>
      <c r="CJ116" s="383"/>
      <c r="CK116" s="383"/>
      <c r="CL116" s="383"/>
      <c r="CM116" s="383"/>
      <c r="CN116" s="383"/>
      <c r="CO116" s="383"/>
      <c r="CP116" s="383"/>
      <c r="CQ116" s="383"/>
      <c r="CR116" s="383"/>
      <c r="CS116" s="383"/>
      <c r="CT116" s="383"/>
      <c r="CU116" s="383"/>
      <c r="CV116" s="383"/>
      <c r="CW116" s="383"/>
      <c r="CX116" s="383"/>
      <c r="CY116" s="383"/>
      <c r="CZ116" s="383"/>
      <c r="DA116" s="383"/>
      <c r="DB116" s="383"/>
      <c r="DC116" s="383"/>
      <c r="DD116" s="383"/>
      <c r="DE116" s="383"/>
      <c r="DF116" s="383"/>
      <c r="DG116" s="383"/>
      <c r="DH116" s="383"/>
      <c r="DI116" s="383"/>
      <c r="DJ116" s="383"/>
      <c r="DK116" s="383"/>
      <c r="DL116" s="383"/>
      <c r="DM116" s="383"/>
      <c r="DN116" s="383"/>
      <c r="DO116" s="383"/>
      <c r="DP116" s="383"/>
      <c r="DQ116" s="383"/>
      <c r="DR116" s="383"/>
      <c r="DS116" s="383"/>
      <c r="DT116" s="383"/>
      <c r="DU116" s="383"/>
      <c r="DV116" s="383"/>
      <c r="DW116" s="383"/>
      <c r="DX116" s="383"/>
      <c r="DY116" s="383"/>
      <c r="DZ116" s="383"/>
      <c r="EA116" s="383"/>
      <c r="EB116" s="383"/>
      <c r="EC116" s="383"/>
      <c r="ED116" s="383"/>
      <c r="EE116" s="383"/>
      <c r="EF116" s="383"/>
      <c r="EG116" s="383"/>
      <c r="EH116" s="383"/>
      <c r="EI116" s="383"/>
      <c r="EJ116" s="383"/>
      <c r="EK116" s="383"/>
      <c r="EL116" s="383"/>
      <c r="EM116" s="383"/>
      <c r="EN116" s="383"/>
      <c r="EO116" s="383"/>
      <c r="EP116" s="383"/>
      <c r="EQ116" s="383"/>
      <c r="ER116" s="383"/>
      <c r="ES116" s="383"/>
      <c r="ET116" s="383"/>
      <c r="EU116" s="383"/>
      <c r="EV116" s="383"/>
      <c r="EW116" s="383"/>
      <c r="EX116" s="383"/>
      <c r="EY116" s="383"/>
      <c r="EZ116" s="383"/>
      <c r="FA116" s="383"/>
      <c r="FB116" s="383"/>
      <c r="FC116" s="383"/>
      <c r="FD116" s="383"/>
      <c r="FE116" s="383"/>
      <c r="FF116" s="383"/>
      <c r="FG116" s="383"/>
      <c r="FH116" s="383"/>
      <c r="FI116" s="383"/>
      <c r="FJ116" s="383"/>
      <c r="FK116" s="383"/>
      <c r="FL116" s="383"/>
      <c r="FM116" s="383"/>
      <c r="FN116" s="383"/>
      <c r="FO116" s="383"/>
      <c r="FP116" s="383"/>
      <c r="FQ116" s="383"/>
      <c r="FR116" s="383"/>
      <c r="FS116" s="383"/>
      <c r="FT116" s="383"/>
      <c r="FU116" s="383"/>
      <c r="FV116" s="383"/>
      <c r="FW116" s="383"/>
      <c r="FX116" s="383"/>
      <c r="FY116" s="383"/>
      <c r="FZ116" s="383"/>
      <c r="GA116" s="383"/>
      <c r="GB116" s="383"/>
      <c r="GC116" s="383"/>
      <c r="GD116" s="383"/>
      <c r="GE116" s="383"/>
      <c r="GF116" s="383"/>
      <c r="GG116" s="383"/>
      <c r="GH116" s="383"/>
      <c r="GI116" s="383"/>
      <c r="GJ116" s="383"/>
      <c r="GK116" s="383"/>
      <c r="GL116" s="383"/>
      <c r="GM116" s="383"/>
      <c r="GN116" s="383"/>
      <c r="GO116" s="383"/>
      <c r="GP116" s="383"/>
      <c r="GQ116" s="383"/>
      <c r="GR116" s="383"/>
      <c r="GS116" s="383"/>
      <c r="GT116" s="383"/>
      <c r="GU116" s="383"/>
      <c r="GV116" s="383"/>
      <c r="GW116" s="383"/>
      <c r="GX116" s="383"/>
      <c r="GY116" s="383"/>
      <c r="GZ116" s="383"/>
      <c r="HA116" s="383"/>
      <c r="HB116" s="383"/>
      <c r="HC116" s="383"/>
      <c r="HD116" s="383"/>
      <c r="HE116" s="383"/>
      <c r="HF116" s="383"/>
      <c r="HG116" s="383"/>
      <c r="HH116" s="383"/>
      <c r="HI116" s="383"/>
      <c r="HJ116" s="383"/>
      <c r="HK116" s="383"/>
      <c r="HL116" s="383"/>
      <c r="HM116" s="383"/>
      <c r="HN116" s="383"/>
      <c r="HO116" s="383"/>
      <c r="HP116" s="383"/>
      <c r="HQ116" s="383"/>
      <c r="HR116" s="383"/>
      <c r="HS116" s="383"/>
      <c r="HT116" s="383"/>
      <c r="HU116" s="383"/>
      <c r="HV116" s="383"/>
      <c r="HW116" s="383"/>
      <c r="HX116" s="383"/>
      <c r="HY116" s="383"/>
      <c r="HZ116" s="383"/>
      <c r="IA116" s="383"/>
      <c r="IB116" s="383"/>
      <c r="IC116" s="383"/>
      <c r="ID116" s="383"/>
      <c r="IE116" s="383"/>
      <c r="IF116" s="383"/>
      <c r="IG116" s="383"/>
      <c r="IH116" s="383"/>
      <c r="II116" s="383"/>
      <c r="IJ116" s="383"/>
      <c r="IK116" s="383"/>
      <c r="IL116" s="383"/>
    </row>
    <row r="117" spans="1:246" ht="15" customHeight="1">
      <c r="A117" s="481" t="s">
        <v>336</v>
      </c>
      <c r="B117" s="482" t="s">
        <v>514</v>
      </c>
      <c r="C117" s="483" t="s">
        <v>164</v>
      </c>
      <c r="D117" s="66"/>
      <c r="E117" s="500" t="s">
        <v>381</v>
      </c>
      <c r="F117" s="484" t="s">
        <v>519</v>
      </c>
      <c r="G117" s="479" t="str">
        <f t="shared" si="9"/>
        <v>07/2025</v>
      </c>
      <c r="H117" s="341">
        <f>SUMIF(VI.A!$B$6:$B$5963,B117,VI.A!$L$6:$L$5963)</f>
        <v>56</v>
      </c>
      <c r="I117" s="341" t="str">
        <f t="shared" si="11"/>
        <v>si</v>
      </c>
      <c r="J117" s="383"/>
      <c r="K117" s="384" t="str">
        <f>IF(E117="SABESP","OK",VLOOKUP(F117,[6]ISD!$B$11:$F$4861,5,FALSE))</f>
        <v>OK</v>
      </c>
      <c r="L117" s="384" t="str">
        <f t="shared" si="10"/>
        <v>OK</v>
      </c>
      <c r="M117" s="480" t="str">
        <f t="shared" si="7"/>
        <v>OK</v>
      </c>
      <c r="N117" s="383" t="b">
        <f t="shared" si="8"/>
        <v>0</v>
      </c>
      <c r="O117" s="383"/>
      <c r="P117" s="383"/>
      <c r="Q117" s="383"/>
      <c r="R117" s="383"/>
      <c r="S117" s="383"/>
      <c r="T117" s="383"/>
      <c r="U117" s="383"/>
      <c r="V117" s="383"/>
      <c r="W117" s="383"/>
      <c r="X117" s="383"/>
      <c r="Y117" s="383"/>
      <c r="Z117" s="383"/>
      <c r="AA117" s="383"/>
      <c r="AB117" s="383"/>
      <c r="AC117" s="383"/>
      <c r="AD117" s="383"/>
      <c r="AE117" s="383"/>
      <c r="AF117" s="383"/>
      <c r="AG117" s="383"/>
      <c r="AH117" s="383"/>
      <c r="AI117" s="383"/>
      <c r="AJ117" s="383"/>
      <c r="AK117" s="383"/>
      <c r="AL117" s="383"/>
      <c r="AM117" s="383"/>
      <c r="AN117" s="383"/>
      <c r="AO117" s="383"/>
      <c r="AP117" s="383"/>
      <c r="AQ117" s="383"/>
      <c r="AR117" s="383"/>
      <c r="AS117" s="383"/>
      <c r="AT117" s="383"/>
      <c r="AU117" s="383"/>
      <c r="AV117" s="383"/>
      <c r="AW117" s="383"/>
      <c r="AX117" s="383"/>
      <c r="AY117" s="383"/>
      <c r="AZ117" s="383"/>
      <c r="BA117" s="383"/>
      <c r="BB117" s="383"/>
      <c r="BC117" s="383"/>
      <c r="BD117" s="383"/>
      <c r="BE117" s="383"/>
      <c r="BF117" s="383"/>
      <c r="BG117" s="383"/>
      <c r="BH117" s="383"/>
      <c r="BI117" s="383"/>
      <c r="BJ117" s="383"/>
      <c r="BK117" s="383"/>
      <c r="BL117" s="383"/>
      <c r="BM117" s="383"/>
      <c r="BN117" s="383"/>
      <c r="BO117" s="383"/>
      <c r="BP117" s="383"/>
      <c r="BQ117" s="383"/>
      <c r="BR117" s="383"/>
      <c r="BS117" s="383"/>
      <c r="BT117" s="383"/>
      <c r="BU117" s="383"/>
      <c r="BV117" s="383"/>
      <c r="BW117" s="383"/>
      <c r="BX117" s="383"/>
      <c r="BY117" s="383"/>
      <c r="BZ117" s="383"/>
      <c r="CA117" s="383"/>
      <c r="CB117" s="383"/>
      <c r="CC117" s="383"/>
      <c r="CD117" s="383"/>
      <c r="CE117" s="383"/>
      <c r="CF117" s="383"/>
      <c r="CG117" s="383"/>
      <c r="CH117" s="383"/>
      <c r="CI117" s="383"/>
      <c r="CJ117" s="383"/>
      <c r="CK117" s="383"/>
      <c r="CL117" s="383"/>
      <c r="CM117" s="383"/>
      <c r="CN117" s="383"/>
      <c r="CO117" s="383"/>
      <c r="CP117" s="383"/>
      <c r="CQ117" s="383"/>
      <c r="CR117" s="383"/>
      <c r="CS117" s="383"/>
      <c r="CT117" s="383"/>
      <c r="CU117" s="383"/>
      <c r="CV117" s="383"/>
      <c r="CW117" s="383"/>
      <c r="CX117" s="383"/>
      <c r="CY117" s="383"/>
      <c r="CZ117" s="383"/>
      <c r="DA117" s="383"/>
      <c r="DB117" s="383"/>
      <c r="DC117" s="383"/>
      <c r="DD117" s="383"/>
      <c r="DE117" s="383"/>
      <c r="DF117" s="383"/>
      <c r="DG117" s="383"/>
      <c r="DH117" s="383"/>
      <c r="DI117" s="383"/>
      <c r="DJ117" s="383"/>
      <c r="DK117" s="383"/>
      <c r="DL117" s="383"/>
      <c r="DM117" s="383"/>
      <c r="DN117" s="383"/>
      <c r="DO117" s="383"/>
      <c r="DP117" s="383"/>
      <c r="DQ117" s="383"/>
      <c r="DR117" s="383"/>
      <c r="DS117" s="383"/>
      <c r="DT117" s="383"/>
      <c r="DU117" s="383"/>
      <c r="DV117" s="383"/>
      <c r="DW117" s="383"/>
      <c r="DX117" s="383"/>
      <c r="DY117" s="383"/>
      <c r="DZ117" s="383"/>
      <c r="EA117" s="383"/>
      <c r="EB117" s="383"/>
      <c r="EC117" s="383"/>
      <c r="ED117" s="383"/>
      <c r="EE117" s="383"/>
      <c r="EF117" s="383"/>
      <c r="EG117" s="383"/>
      <c r="EH117" s="383"/>
      <c r="EI117" s="383"/>
      <c r="EJ117" s="383"/>
      <c r="EK117" s="383"/>
      <c r="EL117" s="383"/>
      <c r="EM117" s="383"/>
      <c r="EN117" s="383"/>
      <c r="EO117" s="383"/>
      <c r="EP117" s="383"/>
      <c r="EQ117" s="383"/>
      <c r="ER117" s="383"/>
      <c r="ES117" s="383"/>
      <c r="ET117" s="383"/>
      <c r="EU117" s="383"/>
      <c r="EV117" s="383"/>
      <c r="EW117" s="383"/>
      <c r="EX117" s="383"/>
      <c r="EY117" s="383"/>
      <c r="EZ117" s="383"/>
      <c r="FA117" s="383"/>
      <c r="FB117" s="383"/>
      <c r="FC117" s="383"/>
      <c r="FD117" s="383"/>
      <c r="FE117" s="383"/>
      <c r="FF117" s="383"/>
      <c r="FG117" s="383"/>
      <c r="FH117" s="383"/>
      <c r="FI117" s="383"/>
      <c r="FJ117" s="383"/>
      <c r="FK117" s="383"/>
      <c r="FL117" s="383"/>
      <c r="FM117" s="383"/>
      <c r="FN117" s="383"/>
      <c r="FO117" s="383"/>
      <c r="FP117" s="383"/>
      <c r="FQ117" s="383"/>
      <c r="FR117" s="383"/>
      <c r="FS117" s="383"/>
      <c r="FT117" s="383"/>
      <c r="FU117" s="383"/>
      <c r="FV117" s="383"/>
      <c r="FW117" s="383"/>
      <c r="FX117" s="383"/>
      <c r="FY117" s="383"/>
      <c r="FZ117" s="383"/>
      <c r="GA117" s="383"/>
      <c r="GB117" s="383"/>
      <c r="GC117" s="383"/>
      <c r="GD117" s="383"/>
      <c r="GE117" s="383"/>
      <c r="GF117" s="383"/>
      <c r="GG117" s="383"/>
      <c r="GH117" s="383"/>
      <c r="GI117" s="383"/>
      <c r="GJ117" s="383"/>
      <c r="GK117" s="383"/>
      <c r="GL117" s="383"/>
      <c r="GM117" s="383"/>
      <c r="GN117" s="383"/>
      <c r="GO117" s="383"/>
      <c r="GP117" s="383"/>
      <c r="GQ117" s="383"/>
      <c r="GR117" s="383"/>
      <c r="GS117" s="383"/>
      <c r="GT117" s="383"/>
      <c r="GU117" s="383"/>
      <c r="GV117" s="383"/>
      <c r="GW117" s="383"/>
      <c r="GX117" s="383"/>
      <c r="GY117" s="383"/>
      <c r="GZ117" s="383"/>
      <c r="HA117" s="383"/>
      <c r="HB117" s="383"/>
      <c r="HC117" s="383"/>
      <c r="HD117" s="383"/>
      <c r="HE117" s="383"/>
      <c r="HF117" s="383"/>
      <c r="HG117" s="383"/>
      <c r="HH117" s="383"/>
      <c r="HI117" s="383"/>
      <c r="HJ117" s="383"/>
      <c r="HK117" s="383"/>
      <c r="HL117" s="383"/>
      <c r="HM117" s="383"/>
      <c r="HN117" s="383"/>
      <c r="HO117" s="383"/>
      <c r="HP117" s="383"/>
      <c r="HQ117" s="383"/>
      <c r="HR117" s="383"/>
      <c r="HS117" s="383"/>
      <c r="HT117" s="383"/>
      <c r="HU117" s="383"/>
      <c r="HV117" s="383"/>
      <c r="HW117" s="383"/>
      <c r="HX117" s="383"/>
      <c r="HY117" s="383"/>
      <c r="HZ117" s="383"/>
      <c r="IA117" s="383"/>
      <c r="IB117" s="383"/>
      <c r="IC117" s="383"/>
      <c r="ID117" s="383"/>
      <c r="IE117" s="383"/>
      <c r="IF117" s="383"/>
      <c r="IG117" s="383"/>
      <c r="IH117" s="383"/>
      <c r="II117" s="383"/>
      <c r="IJ117" s="383"/>
      <c r="IK117" s="383"/>
      <c r="IL117" s="383"/>
    </row>
    <row r="118" spans="1:246" ht="15" customHeight="1">
      <c r="A118" s="481" t="s">
        <v>337</v>
      </c>
      <c r="B118" s="482" t="s">
        <v>524</v>
      </c>
      <c r="C118" s="483" t="s">
        <v>164</v>
      </c>
      <c r="D118" s="66"/>
      <c r="E118" s="500" t="s">
        <v>379</v>
      </c>
      <c r="F118" s="484">
        <v>9841</v>
      </c>
      <c r="G118" s="479" t="str">
        <f t="shared" si="9"/>
        <v>01/2026</v>
      </c>
      <c r="H118" s="341">
        <f>SUMIF(VI.A!$B$6:$B$5963,B118,VI.A!$L$6:$L$5963)</f>
        <v>62.400000000000006</v>
      </c>
      <c r="I118" s="341" t="str">
        <f t="shared" si="11"/>
        <v>si</v>
      </c>
      <c r="J118" s="383"/>
      <c r="K118" s="384">
        <f>IF(E118="SABESP","OK",VLOOKUP(F118,[6]ISD!$B$11:$F$4861,5,FALSE))</f>
        <v>33.71</v>
      </c>
      <c r="L118" s="384" t="str">
        <f t="shared" si="10"/>
        <v>VERIFICAR</v>
      </c>
      <c r="M118" s="480">
        <f t="shared" si="7"/>
        <v>33.71</v>
      </c>
      <c r="N118" s="383" t="b">
        <f t="shared" si="8"/>
        <v>0</v>
      </c>
      <c r="O118" s="383"/>
      <c r="P118" s="383"/>
      <c r="Q118" s="383"/>
      <c r="R118" s="383"/>
      <c r="S118" s="383"/>
      <c r="T118" s="383"/>
      <c r="U118" s="383"/>
      <c r="V118" s="383"/>
      <c r="W118" s="383"/>
      <c r="X118" s="383"/>
      <c r="Y118" s="383"/>
      <c r="Z118" s="383"/>
      <c r="AA118" s="383"/>
      <c r="AB118" s="383"/>
      <c r="AC118" s="383"/>
      <c r="AD118" s="383"/>
      <c r="AE118" s="383"/>
      <c r="AF118" s="383"/>
      <c r="AG118" s="383"/>
      <c r="AH118" s="383"/>
      <c r="AI118" s="383"/>
      <c r="AJ118" s="383"/>
      <c r="AK118" s="383"/>
      <c r="AL118" s="383"/>
      <c r="AM118" s="383"/>
      <c r="AN118" s="383"/>
      <c r="AO118" s="383"/>
      <c r="AP118" s="383"/>
      <c r="AQ118" s="383"/>
      <c r="AR118" s="383"/>
      <c r="AS118" s="383"/>
      <c r="AT118" s="383"/>
      <c r="AU118" s="383"/>
      <c r="AV118" s="383"/>
      <c r="AW118" s="383"/>
      <c r="AX118" s="383"/>
      <c r="AY118" s="383"/>
      <c r="AZ118" s="383"/>
      <c r="BA118" s="383"/>
      <c r="BB118" s="383"/>
      <c r="BC118" s="383"/>
      <c r="BD118" s="383"/>
      <c r="BE118" s="383"/>
      <c r="BF118" s="383"/>
      <c r="BG118" s="383"/>
      <c r="BH118" s="383"/>
      <c r="BI118" s="383"/>
      <c r="BJ118" s="383"/>
      <c r="BK118" s="383"/>
      <c r="BL118" s="383"/>
      <c r="BM118" s="383"/>
      <c r="BN118" s="383"/>
      <c r="BO118" s="383"/>
      <c r="BP118" s="383"/>
      <c r="BQ118" s="383"/>
      <c r="BR118" s="383"/>
      <c r="BS118" s="383"/>
      <c r="BT118" s="383"/>
      <c r="BU118" s="383"/>
      <c r="BV118" s="383"/>
      <c r="BW118" s="383"/>
      <c r="BX118" s="383"/>
      <c r="BY118" s="383"/>
      <c r="BZ118" s="383"/>
      <c r="CA118" s="383"/>
      <c r="CB118" s="383"/>
      <c r="CC118" s="383"/>
      <c r="CD118" s="383"/>
      <c r="CE118" s="383"/>
      <c r="CF118" s="383"/>
      <c r="CG118" s="383"/>
      <c r="CH118" s="383"/>
      <c r="CI118" s="383"/>
      <c r="CJ118" s="383"/>
      <c r="CK118" s="383"/>
      <c r="CL118" s="383"/>
      <c r="CM118" s="383"/>
      <c r="CN118" s="383"/>
      <c r="CO118" s="383"/>
      <c r="CP118" s="383"/>
      <c r="CQ118" s="383"/>
      <c r="CR118" s="383"/>
      <c r="CS118" s="383"/>
      <c r="CT118" s="383"/>
      <c r="CU118" s="383"/>
      <c r="CV118" s="383"/>
      <c r="CW118" s="383"/>
      <c r="CX118" s="383"/>
      <c r="CY118" s="383"/>
      <c r="CZ118" s="383"/>
      <c r="DA118" s="383"/>
      <c r="DB118" s="383"/>
      <c r="DC118" s="383"/>
      <c r="DD118" s="383"/>
      <c r="DE118" s="383"/>
      <c r="DF118" s="383"/>
      <c r="DG118" s="383"/>
      <c r="DH118" s="383"/>
      <c r="DI118" s="383"/>
      <c r="DJ118" s="383"/>
      <c r="DK118" s="383"/>
      <c r="DL118" s="383"/>
      <c r="DM118" s="383"/>
      <c r="DN118" s="383"/>
      <c r="DO118" s="383"/>
      <c r="DP118" s="383"/>
      <c r="DQ118" s="383"/>
      <c r="DR118" s="383"/>
      <c r="DS118" s="383"/>
      <c r="DT118" s="383"/>
      <c r="DU118" s="383"/>
      <c r="DV118" s="383"/>
      <c r="DW118" s="383"/>
      <c r="DX118" s="383"/>
      <c r="DY118" s="383"/>
      <c r="DZ118" s="383"/>
      <c r="EA118" s="383"/>
      <c r="EB118" s="383"/>
      <c r="EC118" s="383"/>
      <c r="ED118" s="383"/>
      <c r="EE118" s="383"/>
      <c r="EF118" s="383"/>
      <c r="EG118" s="383"/>
      <c r="EH118" s="383"/>
      <c r="EI118" s="383"/>
      <c r="EJ118" s="383"/>
      <c r="EK118" s="383"/>
      <c r="EL118" s="383"/>
      <c r="EM118" s="383"/>
      <c r="EN118" s="383"/>
      <c r="EO118" s="383"/>
      <c r="EP118" s="383"/>
      <c r="EQ118" s="383"/>
      <c r="ER118" s="383"/>
      <c r="ES118" s="383"/>
      <c r="ET118" s="383"/>
      <c r="EU118" s="383"/>
      <c r="EV118" s="383"/>
      <c r="EW118" s="383"/>
      <c r="EX118" s="383"/>
      <c r="EY118" s="383"/>
      <c r="EZ118" s="383"/>
      <c r="FA118" s="383"/>
      <c r="FB118" s="383"/>
      <c r="FC118" s="383"/>
      <c r="FD118" s="383"/>
      <c r="FE118" s="383"/>
      <c r="FF118" s="383"/>
      <c r="FG118" s="383"/>
      <c r="FH118" s="383"/>
      <c r="FI118" s="383"/>
      <c r="FJ118" s="383"/>
      <c r="FK118" s="383"/>
      <c r="FL118" s="383"/>
      <c r="FM118" s="383"/>
      <c r="FN118" s="383"/>
      <c r="FO118" s="383"/>
      <c r="FP118" s="383"/>
      <c r="FQ118" s="383"/>
      <c r="FR118" s="383"/>
      <c r="FS118" s="383"/>
      <c r="FT118" s="383"/>
      <c r="FU118" s="383"/>
      <c r="FV118" s="383"/>
      <c r="FW118" s="383"/>
      <c r="FX118" s="383"/>
      <c r="FY118" s="383"/>
      <c r="FZ118" s="383"/>
      <c r="GA118" s="383"/>
      <c r="GB118" s="383"/>
      <c r="GC118" s="383"/>
      <c r="GD118" s="383"/>
      <c r="GE118" s="383"/>
      <c r="GF118" s="383"/>
      <c r="GG118" s="383"/>
      <c r="GH118" s="383"/>
      <c r="GI118" s="383"/>
      <c r="GJ118" s="383"/>
      <c r="GK118" s="383"/>
      <c r="GL118" s="383"/>
      <c r="GM118" s="383"/>
      <c r="GN118" s="383"/>
      <c r="GO118" s="383"/>
      <c r="GP118" s="383"/>
      <c r="GQ118" s="383"/>
      <c r="GR118" s="383"/>
      <c r="GS118" s="383"/>
      <c r="GT118" s="383"/>
      <c r="GU118" s="383"/>
      <c r="GV118" s="383"/>
      <c r="GW118" s="383"/>
      <c r="GX118" s="383"/>
      <c r="GY118" s="383"/>
      <c r="GZ118" s="383"/>
      <c r="HA118" s="383"/>
      <c r="HB118" s="383"/>
      <c r="HC118" s="383"/>
      <c r="HD118" s="383"/>
      <c r="HE118" s="383"/>
      <c r="HF118" s="383"/>
      <c r="HG118" s="383"/>
      <c r="HH118" s="383"/>
      <c r="HI118" s="383"/>
      <c r="HJ118" s="383"/>
      <c r="HK118" s="383"/>
      <c r="HL118" s="383"/>
      <c r="HM118" s="383"/>
      <c r="HN118" s="383"/>
      <c r="HO118" s="383"/>
      <c r="HP118" s="383"/>
      <c r="HQ118" s="383"/>
      <c r="HR118" s="383"/>
      <c r="HS118" s="383"/>
      <c r="HT118" s="383"/>
      <c r="HU118" s="383"/>
      <c r="HV118" s="383"/>
      <c r="HW118" s="383"/>
      <c r="HX118" s="383"/>
      <c r="HY118" s="383"/>
      <c r="HZ118" s="383"/>
      <c r="IA118" s="383"/>
      <c r="IB118" s="383"/>
      <c r="IC118" s="383"/>
      <c r="ID118" s="383"/>
      <c r="IE118" s="383"/>
      <c r="IF118" s="383"/>
      <c r="IG118" s="383"/>
      <c r="IH118" s="383"/>
      <c r="II118" s="383"/>
      <c r="IJ118" s="383"/>
      <c r="IK118" s="383"/>
      <c r="IL118" s="383"/>
    </row>
    <row r="119" spans="1:246" ht="15" customHeight="1">
      <c r="A119" s="481" t="s">
        <v>338</v>
      </c>
      <c r="B119" s="482" t="s">
        <v>523</v>
      </c>
      <c r="C119" s="483" t="s">
        <v>164</v>
      </c>
      <c r="D119" s="66"/>
      <c r="E119" s="500" t="s">
        <v>379</v>
      </c>
      <c r="F119" s="484">
        <v>9835</v>
      </c>
      <c r="G119" s="479" t="str">
        <f t="shared" si="9"/>
        <v>01/2026</v>
      </c>
      <c r="H119" s="341">
        <f>SUMIF(VI.A!$B$6:$B$5963,B119,VI.A!$L$6:$L$5963)</f>
        <v>28.749999999999996</v>
      </c>
      <c r="I119" s="341" t="str">
        <f t="shared" si="11"/>
        <v>si</v>
      </c>
      <c r="J119" s="383"/>
      <c r="K119" s="384">
        <f>IF(E119="SABESP","OK",VLOOKUP(F119,[6]ISD!$B$11:$F$4861,5,FALSE))</f>
        <v>7.82</v>
      </c>
      <c r="L119" s="384" t="str">
        <f t="shared" si="10"/>
        <v>VERIFICAR</v>
      </c>
      <c r="M119" s="480">
        <f t="shared" si="7"/>
        <v>7.82</v>
      </c>
      <c r="N119" s="383" t="b">
        <f t="shared" si="8"/>
        <v>0</v>
      </c>
      <c r="O119" s="383"/>
      <c r="P119" s="383"/>
      <c r="Q119" s="383"/>
      <c r="R119" s="383"/>
      <c r="S119" s="383"/>
      <c r="T119" s="383"/>
      <c r="U119" s="383"/>
      <c r="V119" s="383"/>
      <c r="W119" s="383"/>
      <c r="X119" s="383"/>
      <c r="Y119" s="383"/>
      <c r="Z119" s="383"/>
      <c r="AA119" s="383"/>
      <c r="AB119" s="383"/>
      <c r="AC119" s="383"/>
      <c r="AD119" s="383"/>
      <c r="AE119" s="383"/>
      <c r="AF119" s="383"/>
      <c r="AG119" s="383"/>
      <c r="AH119" s="383"/>
      <c r="AI119" s="383"/>
      <c r="AJ119" s="383"/>
      <c r="AK119" s="383"/>
      <c r="AL119" s="383"/>
      <c r="AM119" s="383"/>
      <c r="AN119" s="383"/>
      <c r="AO119" s="383"/>
      <c r="AP119" s="383"/>
      <c r="AQ119" s="383"/>
      <c r="AR119" s="383"/>
      <c r="AS119" s="383"/>
      <c r="AT119" s="383"/>
      <c r="AU119" s="383"/>
      <c r="AV119" s="383"/>
      <c r="AW119" s="383"/>
      <c r="AX119" s="383"/>
      <c r="AY119" s="383"/>
      <c r="AZ119" s="383"/>
      <c r="BA119" s="383"/>
      <c r="BB119" s="383"/>
      <c r="BC119" s="383"/>
      <c r="BD119" s="383"/>
      <c r="BE119" s="383"/>
      <c r="BF119" s="383"/>
      <c r="BG119" s="383"/>
      <c r="BH119" s="383"/>
      <c r="BI119" s="383"/>
      <c r="BJ119" s="383"/>
      <c r="BK119" s="383"/>
      <c r="BL119" s="383"/>
      <c r="BM119" s="383"/>
      <c r="BN119" s="383"/>
      <c r="BO119" s="383"/>
      <c r="BP119" s="383"/>
      <c r="BQ119" s="383"/>
      <c r="BR119" s="383"/>
      <c r="BS119" s="383"/>
      <c r="BT119" s="383"/>
      <c r="BU119" s="383"/>
      <c r="BV119" s="383"/>
      <c r="BW119" s="383"/>
      <c r="BX119" s="383"/>
      <c r="BY119" s="383"/>
      <c r="BZ119" s="383"/>
      <c r="CA119" s="383"/>
      <c r="CB119" s="383"/>
      <c r="CC119" s="383"/>
      <c r="CD119" s="383"/>
      <c r="CE119" s="383"/>
      <c r="CF119" s="383"/>
      <c r="CG119" s="383"/>
      <c r="CH119" s="383"/>
      <c r="CI119" s="383"/>
      <c r="CJ119" s="383"/>
      <c r="CK119" s="383"/>
      <c r="CL119" s="383"/>
      <c r="CM119" s="383"/>
      <c r="CN119" s="383"/>
      <c r="CO119" s="383"/>
      <c r="CP119" s="383"/>
      <c r="CQ119" s="383"/>
      <c r="CR119" s="383"/>
      <c r="CS119" s="383"/>
      <c r="CT119" s="383"/>
      <c r="CU119" s="383"/>
      <c r="CV119" s="383"/>
      <c r="CW119" s="383"/>
      <c r="CX119" s="383"/>
      <c r="CY119" s="383"/>
      <c r="CZ119" s="383"/>
      <c r="DA119" s="383"/>
      <c r="DB119" s="383"/>
      <c r="DC119" s="383"/>
      <c r="DD119" s="383"/>
      <c r="DE119" s="383"/>
      <c r="DF119" s="383"/>
      <c r="DG119" s="383"/>
      <c r="DH119" s="383"/>
      <c r="DI119" s="383"/>
      <c r="DJ119" s="383"/>
      <c r="DK119" s="383"/>
      <c r="DL119" s="383"/>
      <c r="DM119" s="383"/>
      <c r="DN119" s="383"/>
      <c r="DO119" s="383"/>
      <c r="DP119" s="383"/>
      <c r="DQ119" s="383"/>
      <c r="DR119" s="383"/>
      <c r="DS119" s="383"/>
      <c r="DT119" s="383"/>
      <c r="DU119" s="383"/>
      <c r="DV119" s="383"/>
      <c r="DW119" s="383"/>
      <c r="DX119" s="383"/>
      <c r="DY119" s="383"/>
      <c r="DZ119" s="383"/>
      <c r="EA119" s="383"/>
      <c r="EB119" s="383"/>
      <c r="EC119" s="383"/>
      <c r="ED119" s="383"/>
      <c r="EE119" s="383"/>
      <c r="EF119" s="383"/>
      <c r="EG119" s="383"/>
      <c r="EH119" s="383"/>
      <c r="EI119" s="383"/>
      <c r="EJ119" s="383"/>
      <c r="EK119" s="383"/>
      <c r="EL119" s="383"/>
      <c r="EM119" s="383"/>
      <c r="EN119" s="383"/>
      <c r="EO119" s="383"/>
      <c r="EP119" s="383"/>
      <c r="EQ119" s="383"/>
      <c r="ER119" s="383"/>
      <c r="ES119" s="383"/>
      <c r="ET119" s="383"/>
      <c r="EU119" s="383"/>
      <c r="EV119" s="383"/>
      <c r="EW119" s="383"/>
      <c r="EX119" s="383"/>
      <c r="EY119" s="383"/>
      <c r="EZ119" s="383"/>
      <c r="FA119" s="383"/>
      <c r="FB119" s="383"/>
      <c r="FC119" s="383"/>
      <c r="FD119" s="383"/>
      <c r="FE119" s="383"/>
      <c r="FF119" s="383"/>
      <c r="FG119" s="383"/>
      <c r="FH119" s="383"/>
      <c r="FI119" s="383"/>
      <c r="FJ119" s="383"/>
      <c r="FK119" s="383"/>
      <c r="FL119" s="383"/>
      <c r="FM119" s="383"/>
      <c r="FN119" s="383"/>
      <c r="FO119" s="383"/>
      <c r="FP119" s="383"/>
      <c r="FQ119" s="383"/>
      <c r="FR119" s="383"/>
      <c r="FS119" s="383"/>
      <c r="FT119" s="383"/>
      <c r="FU119" s="383"/>
      <c r="FV119" s="383"/>
      <c r="FW119" s="383"/>
      <c r="FX119" s="383"/>
      <c r="FY119" s="383"/>
      <c r="FZ119" s="383"/>
      <c r="GA119" s="383"/>
      <c r="GB119" s="383"/>
      <c r="GC119" s="383"/>
      <c r="GD119" s="383"/>
      <c r="GE119" s="383"/>
      <c r="GF119" s="383"/>
      <c r="GG119" s="383"/>
      <c r="GH119" s="383"/>
      <c r="GI119" s="383"/>
      <c r="GJ119" s="383"/>
      <c r="GK119" s="383"/>
      <c r="GL119" s="383"/>
      <c r="GM119" s="383"/>
      <c r="GN119" s="383"/>
      <c r="GO119" s="383"/>
      <c r="GP119" s="383"/>
      <c r="GQ119" s="383"/>
      <c r="GR119" s="383"/>
      <c r="GS119" s="383"/>
      <c r="GT119" s="383"/>
      <c r="GU119" s="383"/>
      <c r="GV119" s="383"/>
      <c r="GW119" s="383"/>
      <c r="GX119" s="383"/>
      <c r="GY119" s="383"/>
      <c r="GZ119" s="383"/>
      <c r="HA119" s="383"/>
      <c r="HB119" s="383"/>
      <c r="HC119" s="383"/>
      <c r="HD119" s="383"/>
      <c r="HE119" s="383"/>
      <c r="HF119" s="383"/>
      <c r="HG119" s="383"/>
      <c r="HH119" s="383"/>
      <c r="HI119" s="383"/>
      <c r="HJ119" s="383"/>
      <c r="HK119" s="383"/>
      <c r="HL119" s="383"/>
      <c r="HM119" s="383"/>
      <c r="HN119" s="383"/>
      <c r="HO119" s="383"/>
      <c r="HP119" s="383"/>
      <c r="HQ119" s="383"/>
      <c r="HR119" s="383"/>
      <c r="HS119" s="383"/>
      <c r="HT119" s="383"/>
      <c r="HU119" s="383"/>
      <c r="HV119" s="383"/>
      <c r="HW119" s="383"/>
      <c r="HX119" s="383"/>
      <c r="HY119" s="383"/>
      <c r="HZ119" s="383"/>
      <c r="IA119" s="383"/>
      <c r="IB119" s="383"/>
      <c r="IC119" s="383"/>
      <c r="ID119" s="383"/>
      <c r="IE119" s="383"/>
      <c r="IF119" s="383"/>
      <c r="IG119" s="383"/>
      <c r="IH119" s="383"/>
      <c r="II119" s="383"/>
      <c r="IJ119" s="383"/>
      <c r="IK119" s="383"/>
      <c r="IL119" s="383"/>
    </row>
    <row r="120" spans="1:246" ht="15" customHeight="1">
      <c r="A120" s="481" t="s">
        <v>339</v>
      </c>
      <c r="B120" s="482" t="s">
        <v>527</v>
      </c>
      <c r="C120" s="483" t="s">
        <v>164</v>
      </c>
      <c r="D120" s="66"/>
      <c r="E120" s="500" t="s">
        <v>379</v>
      </c>
      <c r="F120" s="484">
        <v>9838</v>
      </c>
      <c r="G120" s="479" t="str">
        <f t="shared" si="9"/>
        <v>01/2026</v>
      </c>
      <c r="H120" s="341">
        <f>SUMIF(VI.A!$B$6:$B$5963,B120,VI.A!$L$6:$L$5963)</f>
        <v>34.5</v>
      </c>
      <c r="I120" s="341" t="str">
        <f t="shared" si="11"/>
        <v>si</v>
      </c>
      <c r="J120" s="383"/>
      <c r="K120" s="384">
        <f>IF(E120="SABESP","OK",VLOOKUP(F120,[6]ISD!$B$11:$F$4861,5,FALSE))</f>
        <v>12.91</v>
      </c>
      <c r="L120" s="384" t="str">
        <f t="shared" si="10"/>
        <v>VERIFICAR</v>
      </c>
      <c r="M120" s="480">
        <f t="shared" si="7"/>
        <v>12.91</v>
      </c>
      <c r="N120" s="383" t="b">
        <f t="shared" si="8"/>
        <v>0</v>
      </c>
      <c r="O120" s="383"/>
      <c r="P120" s="383"/>
      <c r="Q120" s="383"/>
      <c r="R120" s="383"/>
      <c r="S120" s="383"/>
      <c r="T120" s="383"/>
      <c r="U120" s="383"/>
      <c r="V120" s="383"/>
      <c r="W120" s="383"/>
      <c r="X120" s="383"/>
      <c r="Y120" s="383"/>
      <c r="Z120" s="383"/>
      <c r="AA120" s="383"/>
      <c r="AB120" s="383"/>
      <c r="AC120" s="383"/>
      <c r="AD120" s="383"/>
      <c r="AE120" s="383"/>
      <c r="AF120" s="383"/>
      <c r="AG120" s="383"/>
      <c r="AH120" s="383"/>
      <c r="AI120" s="383"/>
      <c r="AJ120" s="383"/>
      <c r="AK120" s="383"/>
      <c r="AL120" s="383"/>
      <c r="AM120" s="383"/>
      <c r="AN120" s="383"/>
      <c r="AO120" s="383"/>
      <c r="AP120" s="383"/>
      <c r="AQ120" s="383"/>
      <c r="AR120" s="383"/>
      <c r="AS120" s="383"/>
      <c r="AT120" s="383"/>
      <c r="AU120" s="383"/>
      <c r="AV120" s="383"/>
      <c r="AW120" s="383"/>
      <c r="AX120" s="383"/>
      <c r="AY120" s="383"/>
      <c r="AZ120" s="383"/>
      <c r="BA120" s="383"/>
      <c r="BB120" s="383"/>
      <c r="BC120" s="383"/>
      <c r="BD120" s="383"/>
      <c r="BE120" s="383"/>
      <c r="BF120" s="383"/>
      <c r="BG120" s="383"/>
      <c r="BH120" s="383"/>
      <c r="BI120" s="383"/>
      <c r="BJ120" s="383"/>
      <c r="BK120" s="383"/>
      <c r="BL120" s="383"/>
      <c r="BM120" s="383"/>
      <c r="BN120" s="383"/>
      <c r="BO120" s="383"/>
      <c r="BP120" s="383"/>
      <c r="BQ120" s="383"/>
      <c r="BR120" s="383"/>
      <c r="BS120" s="383"/>
      <c r="BT120" s="383"/>
      <c r="BU120" s="383"/>
      <c r="BV120" s="383"/>
      <c r="BW120" s="383"/>
      <c r="BX120" s="383"/>
      <c r="BY120" s="383"/>
      <c r="BZ120" s="383"/>
      <c r="CA120" s="383"/>
      <c r="CB120" s="383"/>
      <c r="CC120" s="383"/>
      <c r="CD120" s="383"/>
      <c r="CE120" s="383"/>
      <c r="CF120" s="383"/>
      <c r="CG120" s="383"/>
      <c r="CH120" s="383"/>
      <c r="CI120" s="383"/>
      <c r="CJ120" s="383"/>
      <c r="CK120" s="383"/>
      <c r="CL120" s="383"/>
      <c r="CM120" s="383"/>
      <c r="CN120" s="383"/>
      <c r="CO120" s="383"/>
      <c r="CP120" s="383"/>
      <c r="CQ120" s="383"/>
      <c r="CR120" s="383"/>
      <c r="CS120" s="383"/>
      <c r="CT120" s="383"/>
      <c r="CU120" s="383"/>
      <c r="CV120" s="383"/>
      <c r="CW120" s="383"/>
      <c r="CX120" s="383"/>
      <c r="CY120" s="383"/>
      <c r="CZ120" s="383"/>
      <c r="DA120" s="383"/>
      <c r="DB120" s="383"/>
      <c r="DC120" s="383"/>
      <c r="DD120" s="383"/>
      <c r="DE120" s="383"/>
      <c r="DF120" s="383"/>
      <c r="DG120" s="383"/>
      <c r="DH120" s="383"/>
      <c r="DI120" s="383"/>
      <c r="DJ120" s="383"/>
      <c r="DK120" s="383"/>
      <c r="DL120" s="383"/>
      <c r="DM120" s="383"/>
      <c r="DN120" s="383"/>
      <c r="DO120" s="383"/>
      <c r="DP120" s="383"/>
      <c r="DQ120" s="383"/>
      <c r="DR120" s="383"/>
      <c r="DS120" s="383"/>
      <c r="DT120" s="383"/>
      <c r="DU120" s="383"/>
      <c r="DV120" s="383"/>
      <c r="DW120" s="383"/>
      <c r="DX120" s="383"/>
      <c r="DY120" s="383"/>
      <c r="DZ120" s="383"/>
      <c r="EA120" s="383"/>
      <c r="EB120" s="383"/>
      <c r="EC120" s="383"/>
      <c r="ED120" s="383"/>
      <c r="EE120" s="383"/>
      <c r="EF120" s="383"/>
      <c r="EG120" s="383"/>
      <c r="EH120" s="383"/>
      <c r="EI120" s="383"/>
      <c r="EJ120" s="383"/>
      <c r="EK120" s="383"/>
      <c r="EL120" s="383"/>
      <c r="EM120" s="383"/>
      <c r="EN120" s="383"/>
      <c r="EO120" s="383"/>
      <c r="EP120" s="383"/>
      <c r="EQ120" s="383"/>
      <c r="ER120" s="383"/>
      <c r="ES120" s="383"/>
      <c r="ET120" s="383"/>
      <c r="EU120" s="383"/>
      <c r="EV120" s="383"/>
      <c r="EW120" s="383"/>
      <c r="EX120" s="383"/>
      <c r="EY120" s="383"/>
      <c r="EZ120" s="383"/>
      <c r="FA120" s="383"/>
      <c r="FB120" s="383"/>
      <c r="FC120" s="383"/>
      <c r="FD120" s="383"/>
      <c r="FE120" s="383"/>
      <c r="FF120" s="383"/>
      <c r="FG120" s="383"/>
      <c r="FH120" s="383"/>
      <c r="FI120" s="383"/>
      <c r="FJ120" s="383"/>
      <c r="FK120" s="383"/>
      <c r="FL120" s="383"/>
      <c r="FM120" s="383"/>
      <c r="FN120" s="383"/>
      <c r="FO120" s="383"/>
      <c r="FP120" s="383"/>
      <c r="FQ120" s="383"/>
      <c r="FR120" s="383"/>
      <c r="FS120" s="383"/>
      <c r="FT120" s="383"/>
      <c r="FU120" s="383"/>
      <c r="FV120" s="383"/>
      <c r="FW120" s="383"/>
      <c r="FX120" s="383"/>
      <c r="FY120" s="383"/>
      <c r="FZ120" s="383"/>
      <c r="GA120" s="383"/>
      <c r="GB120" s="383"/>
      <c r="GC120" s="383"/>
      <c r="GD120" s="383"/>
      <c r="GE120" s="383"/>
      <c r="GF120" s="383"/>
      <c r="GG120" s="383"/>
      <c r="GH120" s="383"/>
      <c r="GI120" s="383"/>
      <c r="GJ120" s="383"/>
      <c r="GK120" s="383"/>
      <c r="GL120" s="383"/>
      <c r="GM120" s="383"/>
      <c r="GN120" s="383"/>
      <c r="GO120" s="383"/>
      <c r="GP120" s="383"/>
      <c r="GQ120" s="383"/>
      <c r="GR120" s="383"/>
      <c r="GS120" s="383"/>
      <c r="GT120" s="383"/>
      <c r="GU120" s="383"/>
      <c r="GV120" s="383"/>
      <c r="GW120" s="383"/>
      <c r="GX120" s="383"/>
      <c r="GY120" s="383"/>
      <c r="GZ120" s="383"/>
      <c r="HA120" s="383"/>
      <c r="HB120" s="383"/>
      <c r="HC120" s="383"/>
      <c r="HD120" s="383"/>
      <c r="HE120" s="383"/>
      <c r="HF120" s="383"/>
      <c r="HG120" s="383"/>
      <c r="HH120" s="383"/>
      <c r="HI120" s="383"/>
      <c r="HJ120" s="383"/>
      <c r="HK120" s="383"/>
      <c r="HL120" s="383"/>
      <c r="HM120" s="383"/>
      <c r="HN120" s="383"/>
      <c r="HO120" s="383"/>
      <c r="HP120" s="383"/>
      <c r="HQ120" s="383"/>
      <c r="HR120" s="383"/>
      <c r="HS120" s="383"/>
      <c r="HT120" s="383"/>
      <c r="HU120" s="383"/>
      <c r="HV120" s="383"/>
      <c r="HW120" s="383"/>
      <c r="HX120" s="383"/>
      <c r="HY120" s="383"/>
      <c r="HZ120" s="383"/>
      <c r="IA120" s="383"/>
      <c r="IB120" s="383"/>
      <c r="IC120" s="383"/>
      <c r="ID120" s="383"/>
      <c r="IE120" s="383"/>
      <c r="IF120" s="383"/>
      <c r="IG120" s="383"/>
      <c r="IH120" s="383"/>
      <c r="II120" s="383"/>
      <c r="IJ120" s="383"/>
      <c r="IK120" s="383"/>
      <c r="IL120" s="383"/>
    </row>
    <row r="121" spans="1:246" ht="15" customHeight="1">
      <c r="A121" s="481" t="s">
        <v>340</v>
      </c>
      <c r="B121" s="482" t="s">
        <v>528</v>
      </c>
      <c r="C121" s="483" t="s">
        <v>164</v>
      </c>
      <c r="D121" s="66"/>
      <c r="E121" s="500" t="s">
        <v>379</v>
      </c>
      <c r="F121" s="484">
        <v>9836</v>
      </c>
      <c r="G121" s="479" t="str">
        <f t="shared" si="9"/>
        <v>01/2026</v>
      </c>
      <c r="H121" s="341">
        <f>SUMIF(VI.A!$B$6:$B$5963,B121,VI.A!$L$6:$L$5963)</f>
        <v>172.5</v>
      </c>
      <c r="I121" s="341" t="str">
        <f t="shared" si="11"/>
        <v>si</v>
      </c>
      <c r="J121" s="383"/>
      <c r="K121" s="384">
        <f>IF(E121="SABESP","OK",VLOOKUP(F121,[6]ISD!$B$11:$F$4861,5,FALSE))</f>
        <v>17.899999999999999</v>
      </c>
      <c r="L121" s="384" t="str">
        <f t="shared" si="10"/>
        <v>VERIFICAR</v>
      </c>
      <c r="M121" s="480">
        <f t="shared" si="7"/>
        <v>17.899999999999999</v>
      </c>
      <c r="N121" s="383" t="b">
        <f t="shared" si="8"/>
        <v>0</v>
      </c>
      <c r="O121" s="383"/>
      <c r="P121" s="383"/>
      <c r="Q121" s="383"/>
      <c r="R121" s="383"/>
      <c r="S121" s="383"/>
      <c r="T121" s="383"/>
      <c r="U121" s="383"/>
      <c r="V121" s="383"/>
      <c r="W121" s="383"/>
      <c r="X121" s="383"/>
      <c r="Y121" s="383"/>
      <c r="Z121" s="383"/>
      <c r="AA121" s="383"/>
      <c r="AB121" s="383"/>
      <c r="AC121" s="383"/>
      <c r="AD121" s="383"/>
      <c r="AE121" s="383"/>
      <c r="AF121" s="383"/>
      <c r="AG121" s="383"/>
      <c r="AH121" s="383"/>
      <c r="AI121" s="383"/>
      <c r="AJ121" s="383"/>
      <c r="AK121" s="383"/>
      <c r="AL121" s="383"/>
      <c r="AM121" s="383"/>
      <c r="AN121" s="383"/>
      <c r="AO121" s="383"/>
      <c r="AP121" s="383"/>
      <c r="AQ121" s="383"/>
      <c r="AR121" s="383"/>
      <c r="AS121" s="383"/>
      <c r="AT121" s="383"/>
      <c r="AU121" s="383"/>
      <c r="AV121" s="383"/>
      <c r="AW121" s="383"/>
      <c r="AX121" s="383"/>
      <c r="AY121" s="383"/>
      <c r="AZ121" s="383"/>
      <c r="BA121" s="383"/>
      <c r="BB121" s="383"/>
      <c r="BC121" s="383"/>
      <c r="BD121" s="383"/>
      <c r="BE121" s="383"/>
      <c r="BF121" s="383"/>
      <c r="BG121" s="383"/>
      <c r="BH121" s="383"/>
      <c r="BI121" s="383"/>
      <c r="BJ121" s="383"/>
      <c r="BK121" s="383"/>
      <c r="BL121" s="383"/>
      <c r="BM121" s="383"/>
      <c r="BN121" s="383"/>
      <c r="BO121" s="383"/>
      <c r="BP121" s="383"/>
      <c r="BQ121" s="383"/>
      <c r="BR121" s="383"/>
      <c r="BS121" s="383"/>
      <c r="BT121" s="383"/>
      <c r="BU121" s="383"/>
      <c r="BV121" s="383"/>
      <c r="BW121" s="383"/>
      <c r="BX121" s="383"/>
      <c r="BY121" s="383"/>
      <c r="BZ121" s="383"/>
      <c r="CA121" s="383"/>
      <c r="CB121" s="383"/>
      <c r="CC121" s="383"/>
      <c r="CD121" s="383"/>
      <c r="CE121" s="383"/>
      <c r="CF121" s="383"/>
      <c r="CG121" s="383"/>
      <c r="CH121" s="383"/>
      <c r="CI121" s="383"/>
      <c r="CJ121" s="383"/>
      <c r="CK121" s="383"/>
      <c r="CL121" s="383"/>
      <c r="CM121" s="383"/>
      <c r="CN121" s="383"/>
      <c r="CO121" s="383"/>
      <c r="CP121" s="383"/>
      <c r="CQ121" s="383"/>
      <c r="CR121" s="383"/>
      <c r="CS121" s="383"/>
      <c r="CT121" s="383"/>
      <c r="CU121" s="383"/>
      <c r="CV121" s="383"/>
      <c r="CW121" s="383"/>
      <c r="CX121" s="383"/>
      <c r="CY121" s="383"/>
      <c r="CZ121" s="383"/>
      <c r="DA121" s="383"/>
      <c r="DB121" s="383"/>
      <c r="DC121" s="383"/>
      <c r="DD121" s="383"/>
      <c r="DE121" s="383"/>
      <c r="DF121" s="383"/>
      <c r="DG121" s="383"/>
      <c r="DH121" s="383"/>
      <c r="DI121" s="383"/>
      <c r="DJ121" s="383"/>
      <c r="DK121" s="383"/>
      <c r="DL121" s="383"/>
      <c r="DM121" s="383"/>
      <c r="DN121" s="383"/>
      <c r="DO121" s="383"/>
      <c r="DP121" s="383"/>
      <c r="DQ121" s="383"/>
      <c r="DR121" s="383"/>
      <c r="DS121" s="383"/>
      <c r="DT121" s="383"/>
      <c r="DU121" s="383"/>
      <c r="DV121" s="383"/>
      <c r="DW121" s="383"/>
      <c r="DX121" s="383"/>
      <c r="DY121" s="383"/>
      <c r="DZ121" s="383"/>
      <c r="EA121" s="383"/>
      <c r="EB121" s="383"/>
      <c r="EC121" s="383"/>
      <c r="ED121" s="383"/>
      <c r="EE121" s="383"/>
      <c r="EF121" s="383"/>
      <c r="EG121" s="383"/>
      <c r="EH121" s="383"/>
      <c r="EI121" s="383"/>
      <c r="EJ121" s="383"/>
      <c r="EK121" s="383"/>
      <c r="EL121" s="383"/>
      <c r="EM121" s="383"/>
      <c r="EN121" s="383"/>
      <c r="EO121" s="383"/>
      <c r="EP121" s="383"/>
      <c r="EQ121" s="383"/>
      <c r="ER121" s="383"/>
      <c r="ES121" s="383"/>
      <c r="ET121" s="383"/>
      <c r="EU121" s="383"/>
      <c r="EV121" s="383"/>
      <c r="EW121" s="383"/>
      <c r="EX121" s="383"/>
      <c r="EY121" s="383"/>
      <c r="EZ121" s="383"/>
      <c r="FA121" s="383"/>
      <c r="FB121" s="383"/>
      <c r="FC121" s="383"/>
      <c r="FD121" s="383"/>
      <c r="FE121" s="383"/>
      <c r="FF121" s="383"/>
      <c r="FG121" s="383"/>
      <c r="FH121" s="383"/>
      <c r="FI121" s="383"/>
      <c r="FJ121" s="383"/>
      <c r="FK121" s="383"/>
      <c r="FL121" s="383"/>
      <c r="FM121" s="383"/>
      <c r="FN121" s="383"/>
      <c r="FO121" s="383"/>
      <c r="FP121" s="383"/>
      <c r="FQ121" s="383"/>
      <c r="FR121" s="383"/>
      <c r="FS121" s="383"/>
      <c r="FT121" s="383"/>
      <c r="FU121" s="383"/>
      <c r="FV121" s="383"/>
      <c r="FW121" s="383"/>
      <c r="FX121" s="383"/>
      <c r="FY121" s="383"/>
      <c r="FZ121" s="383"/>
      <c r="GA121" s="383"/>
      <c r="GB121" s="383"/>
      <c r="GC121" s="383"/>
      <c r="GD121" s="383"/>
      <c r="GE121" s="383"/>
      <c r="GF121" s="383"/>
      <c r="GG121" s="383"/>
      <c r="GH121" s="383"/>
      <c r="GI121" s="383"/>
      <c r="GJ121" s="383"/>
      <c r="GK121" s="383"/>
      <c r="GL121" s="383"/>
      <c r="GM121" s="383"/>
      <c r="GN121" s="383"/>
      <c r="GO121" s="383"/>
      <c r="GP121" s="383"/>
      <c r="GQ121" s="383"/>
      <c r="GR121" s="383"/>
      <c r="GS121" s="383"/>
      <c r="GT121" s="383"/>
      <c r="GU121" s="383"/>
      <c r="GV121" s="383"/>
      <c r="GW121" s="383"/>
      <c r="GX121" s="383"/>
      <c r="GY121" s="383"/>
      <c r="GZ121" s="383"/>
      <c r="HA121" s="383"/>
      <c r="HB121" s="383"/>
      <c r="HC121" s="383"/>
      <c r="HD121" s="383"/>
      <c r="HE121" s="383"/>
      <c r="HF121" s="383"/>
      <c r="HG121" s="383"/>
      <c r="HH121" s="383"/>
      <c r="HI121" s="383"/>
      <c r="HJ121" s="383"/>
      <c r="HK121" s="383"/>
      <c r="HL121" s="383"/>
      <c r="HM121" s="383"/>
      <c r="HN121" s="383"/>
      <c r="HO121" s="383"/>
      <c r="HP121" s="383"/>
      <c r="HQ121" s="383"/>
      <c r="HR121" s="383"/>
      <c r="HS121" s="383"/>
      <c r="HT121" s="383"/>
      <c r="HU121" s="383"/>
      <c r="HV121" s="383"/>
      <c r="HW121" s="383"/>
      <c r="HX121" s="383"/>
      <c r="HY121" s="383"/>
      <c r="HZ121" s="383"/>
      <c r="IA121" s="383"/>
      <c r="IB121" s="383"/>
      <c r="IC121" s="383"/>
      <c r="ID121" s="383"/>
      <c r="IE121" s="383"/>
      <c r="IF121" s="383"/>
      <c r="IG121" s="383"/>
      <c r="IH121" s="383"/>
      <c r="II121" s="383"/>
      <c r="IJ121" s="383"/>
      <c r="IK121" s="383"/>
      <c r="IL121" s="383"/>
    </row>
    <row r="122" spans="1:246" ht="15" customHeight="1">
      <c r="A122" s="481" t="s">
        <v>341</v>
      </c>
      <c r="B122" s="482" t="s">
        <v>212</v>
      </c>
      <c r="C122" s="483" t="s">
        <v>224</v>
      </c>
      <c r="D122" s="66"/>
      <c r="E122" s="500" t="s">
        <v>379</v>
      </c>
      <c r="F122" s="484">
        <v>1607</v>
      </c>
      <c r="G122" s="479" t="str">
        <f t="shared" si="9"/>
        <v>01/2026</v>
      </c>
      <c r="H122" s="341">
        <f>SUMIF(VI.A!$B$6:$B$5963,B122,VI.A!$L$6:$L$5963)</f>
        <v>63.5</v>
      </c>
      <c r="I122" s="341" t="str">
        <f t="shared" si="11"/>
        <v>si</v>
      </c>
      <c r="J122" s="383"/>
      <c r="K122" s="384">
        <f>IF(E122="SABESP","OK",VLOOKUP(F122,[6]ISD!$B$11:$F$4861,5,FALSE))</f>
        <v>0.26</v>
      </c>
      <c r="L122" s="384" t="str">
        <f t="shared" si="10"/>
        <v>VERIFICAR</v>
      </c>
      <c r="M122" s="480">
        <f t="shared" si="7"/>
        <v>0.26</v>
      </c>
      <c r="N122" s="383" t="b">
        <f t="shared" si="8"/>
        <v>0</v>
      </c>
      <c r="O122" s="383"/>
      <c r="P122" s="383"/>
      <c r="Q122" s="383"/>
      <c r="R122" s="383"/>
      <c r="S122" s="383"/>
      <c r="T122" s="383"/>
      <c r="U122" s="383"/>
      <c r="V122" s="383"/>
      <c r="W122" s="383"/>
      <c r="X122" s="383"/>
      <c r="Y122" s="383"/>
      <c r="Z122" s="383"/>
      <c r="AA122" s="383"/>
      <c r="AB122" s="383"/>
      <c r="AC122" s="383"/>
      <c r="AD122" s="383"/>
      <c r="AE122" s="383"/>
      <c r="AF122" s="383"/>
      <c r="AG122" s="383"/>
      <c r="AH122" s="383"/>
      <c r="AI122" s="383"/>
      <c r="AJ122" s="383"/>
      <c r="AK122" s="383"/>
      <c r="AL122" s="383"/>
      <c r="AM122" s="383"/>
      <c r="AN122" s="383"/>
      <c r="AO122" s="383"/>
      <c r="AP122" s="383"/>
      <c r="AQ122" s="383"/>
      <c r="AR122" s="383"/>
      <c r="AS122" s="383"/>
      <c r="AT122" s="383"/>
      <c r="AU122" s="383"/>
      <c r="AV122" s="383"/>
      <c r="AW122" s="383"/>
      <c r="AX122" s="383"/>
      <c r="AY122" s="383"/>
      <c r="AZ122" s="383"/>
      <c r="BA122" s="383"/>
      <c r="BB122" s="383"/>
      <c r="BC122" s="383"/>
      <c r="BD122" s="383"/>
      <c r="BE122" s="383"/>
      <c r="BF122" s="383"/>
      <c r="BG122" s="383"/>
      <c r="BH122" s="383"/>
      <c r="BI122" s="383"/>
      <c r="BJ122" s="383"/>
      <c r="BK122" s="383"/>
      <c r="BL122" s="383"/>
      <c r="BM122" s="383"/>
      <c r="BN122" s="383"/>
      <c r="BO122" s="383"/>
      <c r="BP122" s="383"/>
      <c r="BQ122" s="383"/>
      <c r="BR122" s="383"/>
      <c r="BS122" s="383"/>
      <c r="BT122" s="383"/>
      <c r="BU122" s="383"/>
      <c r="BV122" s="383"/>
      <c r="BW122" s="383"/>
      <c r="BX122" s="383"/>
      <c r="BY122" s="383"/>
      <c r="BZ122" s="383"/>
      <c r="CA122" s="383"/>
      <c r="CB122" s="383"/>
      <c r="CC122" s="383"/>
      <c r="CD122" s="383"/>
      <c r="CE122" s="383"/>
      <c r="CF122" s="383"/>
      <c r="CG122" s="383"/>
      <c r="CH122" s="383"/>
      <c r="CI122" s="383"/>
      <c r="CJ122" s="383"/>
      <c r="CK122" s="383"/>
      <c r="CL122" s="383"/>
      <c r="CM122" s="383"/>
      <c r="CN122" s="383"/>
      <c r="CO122" s="383"/>
      <c r="CP122" s="383"/>
      <c r="CQ122" s="383"/>
      <c r="CR122" s="383"/>
      <c r="CS122" s="383"/>
      <c r="CT122" s="383"/>
      <c r="CU122" s="383"/>
      <c r="CV122" s="383"/>
      <c r="CW122" s="383"/>
      <c r="CX122" s="383"/>
      <c r="CY122" s="383"/>
      <c r="CZ122" s="383"/>
      <c r="DA122" s="383"/>
      <c r="DB122" s="383"/>
      <c r="DC122" s="383"/>
      <c r="DD122" s="383"/>
      <c r="DE122" s="383"/>
      <c r="DF122" s="383"/>
      <c r="DG122" s="383"/>
      <c r="DH122" s="383"/>
      <c r="DI122" s="383"/>
      <c r="DJ122" s="383"/>
      <c r="DK122" s="383"/>
      <c r="DL122" s="383"/>
      <c r="DM122" s="383"/>
      <c r="DN122" s="383"/>
      <c r="DO122" s="383"/>
      <c r="DP122" s="383"/>
      <c r="DQ122" s="383"/>
      <c r="DR122" s="383"/>
      <c r="DS122" s="383"/>
      <c r="DT122" s="383"/>
      <c r="DU122" s="383"/>
      <c r="DV122" s="383"/>
      <c r="DW122" s="383"/>
      <c r="DX122" s="383"/>
      <c r="DY122" s="383"/>
      <c r="DZ122" s="383"/>
      <c r="EA122" s="383"/>
      <c r="EB122" s="383"/>
      <c r="EC122" s="383"/>
      <c r="ED122" s="383"/>
      <c r="EE122" s="383"/>
      <c r="EF122" s="383"/>
      <c r="EG122" s="383"/>
      <c r="EH122" s="383"/>
      <c r="EI122" s="383"/>
      <c r="EJ122" s="383"/>
      <c r="EK122" s="383"/>
      <c r="EL122" s="383"/>
      <c r="EM122" s="383"/>
      <c r="EN122" s="383"/>
      <c r="EO122" s="383"/>
      <c r="EP122" s="383"/>
      <c r="EQ122" s="383"/>
      <c r="ER122" s="383"/>
      <c r="ES122" s="383"/>
      <c r="ET122" s="383"/>
      <c r="EU122" s="383"/>
      <c r="EV122" s="383"/>
      <c r="EW122" s="383"/>
      <c r="EX122" s="383"/>
      <c r="EY122" s="383"/>
      <c r="EZ122" s="383"/>
      <c r="FA122" s="383"/>
      <c r="FB122" s="383"/>
      <c r="FC122" s="383"/>
      <c r="FD122" s="383"/>
      <c r="FE122" s="383"/>
      <c r="FF122" s="383"/>
      <c r="FG122" s="383"/>
      <c r="FH122" s="383"/>
      <c r="FI122" s="383"/>
      <c r="FJ122" s="383"/>
      <c r="FK122" s="383"/>
      <c r="FL122" s="383"/>
      <c r="FM122" s="383"/>
      <c r="FN122" s="383"/>
      <c r="FO122" s="383"/>
      <c r="FP122" s="383"/>
      <c r="FQ122" s="383"/>
      <c r="FR122" s="383"/>
      <c r="FS122" s="383"/>
      <c r="FT122" s="383"/>
      <c r="FU122" s="383"/>
      <c r="FV122" s="383"/>
      <c r="FW122" s="383"/>
      <c r="FX122" s="383"/>
      <c r="FY122" s="383"/>
      <c r="FZ122" s="383"/>
      <c r="GA122" s="383"/>
      <c r="GB122" s="383"/>
      <c r="GC122" s="383"/>
      <c r="GD122" s="383"/>
      <c r="GE122" s="383"/>
      <c r="GF122" s="383"/>
      <c r="GG122" s="383"/>
      <c r="GH122" s="383"/>
      <c r="GI122" s="383"/>
      <c r="GJ122" s="383"/>
      <c r="GK122" s="383"/>
      <c r="GL122" s="383"/>
      <c r="GM122" s="383"/>
      <c r="GN122" s="383"/>
      <c r="GO122" s="383"/>
      <c r="GP122" s="383"/>
      <c r="GQ122" s="383"/>
      <c r="GR122" s="383"/>
      <c r="GS122" s="383"/>
      <c r="GT122" s="383"/>
      <c r="GU122" s="383"/>
      <c r="GV122" s="383"/>
      <c r="GW122" s="383"/>
      <c r="GX122" s="383"/>
      <c r="GY122" s="383"/>
      <c r="GZ122" s="383"/>
      <c r="HA122" s="383"/>
      <c r="HB122" s="383"/>
      <c r="HC122" s="383"/>
      <c r="HD122" s="383"/>
      <c r="HE122" s="383"/>
      <c r="HF122" s="383"/>
      <c r="HG122" s="383"/>
      <c r="HH122" s="383"/>
      <c r="HI122" s="383"/>
      <c r="HJ122" s="383"/>
      <c r="HK122" s="383"/>
      <c r="HL122" s="383"/>
      <c r="HM122" s="383"/>
      <c r="HN122" s="383"/>
      <c r="HO122" s="383"/>
      <c r="HP122" s="383"/>
      <c r="HQ122" s="383"/>
      <c r="HR122" s="383"/>
      <c r="HS122" s="383"/>
      <c r="HT122" s="383"/>
      <c r="HU122" s="383"/>
      <c r="HV122" s="383"/>
      <c r="HW122" s="383"/>
      <c r="HX122" s="383"/>
      <c r="HY122" s="383"/>
      <c r="HZ122" s="383"/>
      <c r="IA122" s="383"/>
      <c r="IB122" s="383"/>
      <c r="IC122" s="383"/>
      <c r="ID122" s="383"/>
      <c r="IE122" s="383"/>
      <c r="IF122" s="383"/>
      <c r="IG122" s="383"/>
      <c r="IH122" s="383"/>
      <c r="II122" s="383"/>
      <c r="IJ122" s="383"/>
      <c r="IK122" s="383"/>
      <c r="IL122" s="383"/>
    </row>
    <row r="123" spans="1:246" ht="15" customHeight="1">
      <c r="A123" s="481" t="s">
        <v>342</v>
      </c>
      <c r="B123" s="482" t="s">
        <v>213</v>
      </c>
      <c r="C123" s="483" t="s">
        <v>130</v>
      </c>
      <c r="D123" s="66"/>
      <c r="E123" s="500" t="s">
        <v>379</v>
      </c>
      <c r="F123" s="484">
        <v>151</v>
      </c>
      <c r="G123" s="479" t="str">
        <f t="shared" si="9"/>
        <v>01/2026</v>
      </c>
      <c r="H123" s="341">
        <f>SUMIF(VI.A!$B$6:$B$5963,B123,VI.A!$L$6:$L$5963)</f>
        <v>28.999999999999996</v>
      </c>
      <c r="I123" s="341" t="str">
        <f t="shared" si="11"/>
        <v>si</v>
      </c>
      <c r="J123" s="383"/>
      <c r="K123" s="384">
        <f>IF(E123="SABESP","OK",VLOOKUP(F123,[6]ISD!$B$11:$F$4861,5,FALSE))</f>
        <v>26.07</v>
      </c>
      <c r="L123" s="384" t="str">
        <f t="shared" si="10"/>
        <v>VERIFICAR</v>
      </c>
      <c r="M123" s="480">
        <f t="shared" si="7"/>
        <v>26.07</v>
      </c>
      <c r="N123" s="383" t="b">
        <f t="shared" si="8"/>
        <v>0</v>
      </c>
      <c r="O123" s="383"/>
      <c r="P123" s="383"/>
      <c r="Q123" s="383"/>
      <c r="R123" s="383"/>
      <c r="S123" s="383"/>
      <c r="T123" s="383"/>
      <c r="U123" s="383"/>
      <c r="V123" s="383"/>
      <c r="W123" s="383"/>
      <c r="X123" s="383"/>
      <c r="Y123" s="383"/>
      <c r="Z123" s="383"/>
      <c r="AA123" s="383"/>
      <c r="AB123" s="383"/>
      <c r="AC123" s="383"/>
      <c r="AD123" s="383"/>
      <c r="AE123" s="383"/>
      <c r="AF123" s="383"/>
      <c r="AG123" s="383"/>
      <c r="AH123" s="383"/>
      <c r="AI123" s="383"/>
      <c r="AJ123" s="383"/>
      <c r="AK123" s="383"/>
      <c r="AL123" s="383"/>
      <c r="AM123" s="383"/>
      <c r="AN123" s="383"/>
      <c r="AO123" s="383"/>
      <c r="AP123" s="383"/>
      <c r="AQ123" s="383"/>
      <c r="AR123" s="383"/>
      <c r="AS123" s="383"/>
      <c r="AT123" s="383"/>
      <c r="AU123" s="383"/>
      <c r="AV123" s="383"/>
      <c r="AW123" s="383"/>
      <c r="AX123" s="383"/>
      <c r="AY123" s="383"/>
      <c r="AZ123" s="383"/>
      <c r="BA123" s="383"/>
      <c r="BB123" s="383"/>
      <c r="BC123" s="383"/>
      <c r="BD123" s="383"/>
      <c r="BE123" s="383"/>
      <c r="BF123" s="383"/>
      <c r="BG123" s="383"/>
      <c r="BH123" s="383"/>
      <c r="BI123" s="383"/>
      <c r="BJ123" s="383"/>
      <c r="BK123" s="383"/>
      <c r="BL123" s="383"/>
      <c r="BM123" s="383"/>
      <c r="BN123" s="383"/>
      <c r="BO123" s="383"/>
      <c r="BP123" s="383"/>
      <c r="BQ123" s="383"/>
      <c r="BR123" s="383"/>
      <c r="BS123" s="383"/>
      <c r="BT123" s="383"/>
      <c r="BU123" s="383"/>
      <c r="BV123" s="383"/>
      <c r="BW123" s="383"/>
      <c r="BX123" s="383"/>
      <c r="BY123" s="383"/>
      <c r="BZ123" s="383"/>
      <c r="CA123" s="383"/>
      <c r="CB123" s="383"/>
      <c r="CC123" s="383"/>
      <c r="CD123" s="383"/>
      <c r="CE123" s="383"/>
      <c r="CF123" s="383"/>
      <c r="CG123" s="383"/>
      <c r="CH123" s="383"/>
      <c r="CI123" s="383"/>
      <c r="CJ123" s="383"/>
      <c r="CK123" s="383"/>
      <c r="CL123" s="383"/>
      <c r="CM123" s="383"/>
      <c r="CN123" s="383"/>
      <c r="CO123" s="383"/>
      <c r="CP123" s="383"/>
      <c r="CQ123" s="383"/>
      <c r="CR123" s="383"/>
      <c r="CS123" s="383"/>
      <c r="CT123" s="383"/>
      <c r="CU123" s="383"/>
      <c r="CV123" s="383"/>
      <c r="CW123" s="383"/>
      <c r="CX123" s="383"/>
      <c r="CY123" s="383"/>
      <c r="CZ123" s="383"/>
      <c r="DA123" s="383"/>
      <c r="DB123" s="383"/>
      <c r="DC123" s="383"/>
      <c r="DD123" s="383"/>
      <c r="DE123" s="383"/>
      <c r="DF123" s="383"/>
      <c r="DG123" s="383"/>
      <c r="DH123" s="383"/>
      <c r="DI123" s="383"/>
      <c r="DJ123" s="383"/>
      <c r="DK123" s="383"/>
      <c r="DL123" s="383"/>
      <c r="DM123" s="383"/>
      <c r="DN123" s="383"/>
      <c r="DO123" s="383"/>
      <c r="DP123" s="383"/>
      <c r="DQ123" s="383"/>
      <c r="DR123" s="383"/>
      <c r="DS123" s="383"/>
      <c r="DT123" s="383"/>
      <c r="DU123" s="383"/>
      <c r="DV123" s="383"/>
      <c r="DW123" s="383"/>
      <c r="DX123" s="383"/>
      <c r="DY123" s="383"/>
      <c r="DZ123" s="383"/>
      <c r="EA123" s="383"/>
      <c r="EB123" s="383"/>
      <c r="EC123" s="383"/>
      <c r="ED123" s="383"/>
      <c r="EE123" s="383"/>
      <c r="EF123" s="383"/>
      <c r="EG123" s="383"/>
      <c r="EH123" s="383"/>
      <c r="EI123" s="383"/>
      <c r="EJ123" s="383"/>
      <c r="EK123" s="383"/>
      <c r="EL123" s="383"/>
      <c r="EM123" s="383"/>
      <c r="EN123" s="383"/>
      <c r="EO123" s="383"/>
      <c r="EP123" s="383"/>
      <c r="EQ123" s="383"/>
      <c r="ER123" s="383"/>
      <c r="ES123" s="383"/>
      <c r="ET123" s="383"/>
      <c r="EU123" s="383"/>
      <c r="EV123" s="383"/>
      <c r="EW123" s="383"/>
      <c r="EX123" s="383"/>
      <c r="EY123" s="383"/>
      <c r="EZ123" s="383"/>
      <c r="FA123" s="383"/>
      <c r="FB123" s="383"/>
      <c r="FC123" s="383"/>
      <c r="FD123" s="383"/>
      <c r="FE123" s="383"/>
      <c r="FF123" s="383"/>
      <c r="FG123" s="383"/>
      <c r="FH123" s="383"/>
      <c r="FI123" s="383"/>
      <c r="FJ123" s="383"/>
      <c r="FK123" s="383"/>
      <c r="FL123" s="383"/>
      <c r="FM123" s="383"/>
      <c r="FN123" s="383"/>
      <c r="FO123" s="383"/>
      <c r="FP123" s="383"/>
      <c r="FQ123" s="383"/>
      <c r="FR123" s="383"/>
      <c r="FS123" s="383"/>
      <c r="FT123" s="383"/>
      <c r="FU123" s="383"/>
      <c r="FV123" s="383"/>
      <c r="FW123" s="383"/>
      <c r="FX123" s="383"/>
      <c r="FY123" s="383"/>
      <c r="FZ123" s="383"/>
      <c r="GA123" s="383"/>
      <c r="GB123" s="383"/>
      <c r="GC123" s="383"/>
      <c r="GD123" s="383"/>
      <c r="GE123" s="383"/>
      <c r="GF123" s="383"/>
      <c r="GG123" s="383"/>
      <c r="GH123" s="383"/>
      <c r="GI123" s="383"/>
      <c r="GJ123" s="383"/>
      <c r="GK123" s="383"/>
      <c r="GL123" s="383"/>
      <c r="GM123" s="383"/>
      <c r="GN123" s="383"/>
      <c r="GO123" s="383"/>
      <c r="GP123" s="383"/>
      <c r="GQ123" s="383"/>
      <c r="GR123" s="383"/>
      <c r="GS123" s="383"/>
      <c r="GT123" s="383"/>
      <c r="GU123" s="383"/>
      <c r="GV123" s="383"/>
      <c r="GW123" s="383"/>
      <c r="GX123" s="383"/>
      <c r="GY123" s="383"/>
      <c r="GZ123" s="383"/>
      <c r="HA123" s="383"/>
      <c r="HB123" s="383"/>
      <c r="HC123" s="383"/>
      <c r="HD123" s="383"/>
      <c r="HE123" s="383"/>
      <c r="HF123" s="383"/>
      <c r="HG123" s="383"/>
      <c r="HH123" s="383"/>
      <c r="HI123" s="383"/>
      <c r="HJ123" s="383"/>
      <c r="HK123" s="383"/>
      <c r="HL123" s="383"/>
      <c r="HM123" s="383"/>
      <c r="HN123" s="383"/>
      <c r="HO123" s="383"/>
      <c r="HP123" s="383"/>
      <c r="HQ123" s="383"/>
      <c r="HR123" s="383"/>
      <c r="HS123" s="383"/>
      <c r="HT123" s="383"/>
      <c r="HU123" s="383"/>
      <c r="HV123" s="383"/>
      <c r="HW123" s="383"/>
      <c r="HX123" s="383"/>
      <c r="HY123" s="383"/>
      <c r="HZ123" s="383"/>
      <c r="IA123" s="383"/>
      <c r="IB123" s="383"/>
      <c r="IC123" s="383"/>
      <c r="ID123" s="383"/>
      <c r="IE123" s="383"/>
      <c r="IF123" s="383"/>
      <c r="IG123" s="383"/>
      <c r="IH123" s="383"/>
      <c r="II123" s="383"/>
      <c r="IJ123" s="383"/>
      <c r="IK123" s="383"/>
      <c r="IL123" s="383"/>
    </row>
    <row r="124" spans="1:246" ht="15" customHeight="1">
      <c r="A124" s="481" t="s">
        <v>343</v>
      </c>
      <c r="B124" s="482" t="s">
        <v>214</v>
      </c>
      <c r="C124" s="483" t="s">
        <v>165</v>
      </c>
      <c r="D124" s="66"/>
      <c r="E124" s="500" t="s">
        <v>379</v>
      </c>
      <c r="F124" s="484">
        <v>10490</v>
      </c>
      <c r="G124" s="479" t="str">
        <f t="shared" si="9"/>
        <v>01/2026</v>
      </c>
      <c r="H124" s="341">
        <f>SUMIF(VI.A!$B$6:$B$5963,B124,VI.A!$L$6:$L$5963)</f>
        <v>16</v>
      </c>
      <c r="I124" s="341" t="str">
        <f t="shared" si="11"/>
        <v>si</v>
      </c>
      <c r="J124" s="383"/>
      <c r="K124" s="384">
        <f>IF(E124="SABESP","OK",VLOOKUP(F124,[6]ISD!$B$11:$F$4861,5,FALSE))</f>
        <v>166.25</v>
      </c>
      <c r="L124" s="384" t="str">
        <f t="shared" si="10"/>
        <v>VERIFICAR</v>
      </c>
      <c r="M124" s="480">
        <f t="shared" si="7"/>
        <v>166.25</v>
      </c>
      <c r="N124" s="383" t="b">
        <f t="shared" si="8"/>
        <v>0</v>
      </c>
      <c r="O124" s="383"/>
      <c r="P124" s="383"/>
      <c r="Q124" s="383"/>
      <c r="R124" s="383"/>
      <c r="S124" s="383"/>
      <c r="T124" s="383"/>
      <c r="U124" s="383"/>
      <c r="V124" s="383"/>
      <c r="W124" s="383"/>
      <c r="X124" s="383"/>
      <c r="Y124" s="383"/>
      <c r="Z124" s="383"/>
      <c r="AA124" s="383"/>
      <c r="AB124" s="383"/>
      <c r="AC124" s="383"/>
      <c r="AD124" s="383"/>
      <c r="AE124" s="383"/>
      <c r="AF124" s="383"/>
      <c r="AG124" s="383"/>
      <c r="AH124" s="383"/>
      <c r="AI124" s="383"/>
      <c r="AJ124" s="383"/>
      <c r="AK124" s="383"/>
      <c r="AL124" s="383"/>
      <c r="AM124" s="383"/>
      <c r="AN124" s="383"/>
      <c r="AO124" s="383"/>
      <c r="AP124" s="383"/>
      <c r="AQ124" s="383"/>
      <c r="AR124" s="383"/>
      <c r="AS124" s="383"/>
      <c r="AT124" s="383"/>
      <c r="AU124" s="383"/>
      <c r="AV124" s="383"/>
      <c r="AW124" s="383"/>
      <c r="AX124" s="383"/>
      <c r="AY124" s="383"/>
      <c r="AZ124" s="383"/>
      <c r="BA124" s="383"/>
      <c r="BB124" s="383"/>
      <c r="BC124" s="383"/>
      <c r="BD124" s="383"/>
      <c r="BE124" s="383"/>
      <c r="BF124" s="383"/>
      <c r="BG124" s="383"/>
      <c r="BH124" s="383"/>
      <c r="BI124" s="383"/>
      <c r="BJ124" s="383"/>
      <c r="BK124" s="383"/>
      <c r="BL124" s="383"/>
      <c r="BM124" s="383"/>
      <c r="BN124" s="383"/>
      <c r="BO124" s="383"/>
      <c r="BP124" s="383"/>
      <c r="BQ124" s="383"/>
      <c r="BR124" s="383"/>
      <c r="BS124" s="383"/>
      <c r="BT124" s="383"/>
      <c r="BU124" s="383"/>
      <c r="BV124" s="383"/>
      <c r="BW124" s="383"/>
      <c r="BX124" s="383"/>
      <c r="BY124" s="383"/>
      <c r="BZ124" s="383"/>
      <c r="CA124" s="383"/>
      <c r="CB124" s="383"/>
      <c r="CC124" s="383"/>
      <c r="CD124" s="383"/>
      <c r="CE124" s="383"/>
      <c r="CF124" s="383"/>
      <c r="CG124" s="383"/>
      <c r="CH124" s="383"/>
      <c r="CI124" s="383"/>
      <c r="CJ124" s="383"/>
      <c r="CK124" s="383"/>
      <c r="CL124" s="383"/>
      <c r="CM124" s="383"/>
      <c r="CN124" s="383"/>
      <c r="CO124" s="383"/>
      <c r="CP124" s="383"/>
      <c r="CQ124" s="383"/>
      <c r="CR124" s="383"/>
      <c r="CS124" s="383"/>
      <c r="CT124" s="383"/>
      <c r="CU124" s="383"/>
      <c r="CV124" s="383"/>
      <c r="CW124" s="383"/>
      <c r="CX124" s="383"/>
      <c r="CY124" s="383"/>
      <c r="CZ124" s="383"/>
      <c r="DA124" s="383"/>
      <c r="DB124" s="383"/>
      <c r="DC124" s="383"/>
      <c r="DD124" s="383"/>
      <c r="DE124" s="383"/>
      <c r="DF124" s="383"/>
      <c r="DG124" s="383"/>
      <c r="DH124" s="383"/>
      <c r="DI124" s="383"/>
      <c r="DJ124" s="383"/>
      <c r="DK124" s="383"/>
      <c r="DL124" s="383"/>
      <c r="DM124" s="383"/>
      <c r="DN124" s="383"/>
      <c r="DO124" s="383"/>
      <c r="DP124" s="383"/>
      <c r="DQ124" s="383"/>
      <c r="DR124" s="383"/>
      <c r="DS124" s="383"/>
      <c r="DT124" s="383"/>
      <c r="DU124" s="383"/>
      <c r="DV124" s="383"/>
      <c r="DW124" s="383"/>
      <c r="DX124" s="383"/>
      <c r="DY124" s="383"/>
      <c r="DZ124" s="383"/>
      <c r="EA124" s="383"/>
      <c r="EB124" s="383"/>
      <c r="EC124" s="383"/>
      <c r="ED124" s="383"/>
      <c r="EE124" s="383"/>
      <c r="EF124" s="383"/>
      <c r="EG124" s="383"/>
      <c r="EH124" s="383"/>
      <c r="EI124" s="383"/>
      <c r="EJ124" s="383"/>
      <c r="EK124" s="383"/>
      <c r="EL124" s="383"/>
      <c r="EM124" s="383"/>
      <c r="EN124" s="383"/>
      <c r="EO124" s="383"/>
      <c r="EP124" s="383"/>
      <c r="EQ124" s="383"/>
      <c r="ER124" s="383"/>
      <c r="ES124" s="383"/>
      <c r="ET124" s="383"/>
      <c r="EU124" s="383"/>
      <c r="EV124" s="383"/>
      <c r="EW124" s="383"/>
      <c r="EX124" s="383"/>
      <c r="EY124" s="383"/>
      <c r="EZ124" s="383"/>
      <c r="FA124" s="383"/>
      <c r="FB124" s="383"/>
      <c r="FC124" s="383"/>
      <c r="FD124" s="383"/>
      <c r="FE124" s="383"/>
      <c r="FF124" s="383"/>
      <c r="FG124" s="383"/>
      <c r="FH124" s="383"/>
      <c r="FI124" s="383"/>
      <c r="FJ124" s="383"/>
      <c r="FK124" s="383"/>
      <c r="FL124" s="383"/>
      <c r="FM124" s="383"/>
      <c r="FN124" s="383"/>
      <c r="FO124" s="383"/>
      <c r="FP124" s="383"/>
      <c r="FQ124" s="383"/>
      <c r="FR124" s="383"/>
      <c r="FS124" s="383"/>
      <c r="FT124" s="383"/>
      <c r="FU124" s="383"/>
      <c r="FV124" s="383"/>
      <c r="FW124" s="383"/>
      <c r="FX124" s="383"/>
      <c r="FY124" s="383"/>
      <c r="FZ124" s="383"/>
      <c r="GA124" s="383"/>
      <c r="GB124" s="383"/>
      <c r="GC124" s="383"/>
      <c r="GD124" s="383"/>
      <c r="GE124" s="383"/>
      <c r="GF124" s="383"/>
      <c r="GG124" s="383"/>
      <c r="GH124" s="383"/>
      <c r="GI124" s="383"/>
      <c r="GJ124" s="383"/>
      <c r="GK124" s="383"/>
      <c r="GL124" s="383"/>
      <c r="GM124" s="383"/>
      <c r="GN124" s="383"/>
      <c r="GO124" s="383"/>
      <c r="GP124" s="383"/>
      <c r="GQ124" s="383"/>
      <c r="GR124" s="383"/>
      <c r="GS124" s="383"/>
      <c r="GT124" s="383"/>
      <c r="GU124" s="383"/>
      <c r="GV124" s="383"/>
      <c r="GW124" s="383"/>
      <c r="GX124" s="383"/>
      <c r="GY124" s="383"/>
      <c r="GZ124" s="383"/>
      <c r="HA124" s="383"/>
      <c r="HB124" s="383"/>
      <c r="HC124" s="383"/>
      <c r="HD124" s="383"/>
      <c r="HE124" s="383"/>
      <c r="HF124" s="383"/>
      <c r="HG124" s="383"/>
      <c r="HH124" s="383"/>
      <c r="HI124" s="383"/>
      <c r="HJ124" s="383"/>
      <c r="HK124" s="383"/>
      <c r="HL124" s="383"/>
      <c r="HM124" s="383"/>
      <c r="HN124" s="383"/>
      <c r="HO124" s="383"/>
      <c r="HP124" s="383"/>
      <c r="HQ124" s="383"/>
      <c r="HR124" s="383"/>
      <c r="HS124" s="383"/>
      <c r="HT124" s="383"/>
      <c r="HU124" s="383"/>
      <c r="HV124" s="383"/>
      <c r="HW124" s="383"/>
      <c r="HX124" s="383"/>
      <c r="HY124" s="383"/>
      <c r="HZ124" s="383"/>
      <c r="IA124" s="383"/>
      <c r="IB124" s="383"/>
      <c r="IC124" s="383"/>
      <c r="ID124" s="383"/>
      <c r="IE124" s="383"/>
      <c r="IF124" s="383"/>
      <c r="IG124" s="383"/>
      <c r="IH124" s="383"/>
      <c r="II124" s="383"/>
      <c r="IJ124" s="383"/>
      <c r="IK124" s="383"/>
      <c r="IL124" s="383"/>
    </row>
    <row r="125" spans="1:246" ht="15" customHeight="1">
      <c r="A125" s="481" t="s">
        <v>344</v>
      </c>
      <c r="B125" s="482" t="s">
        <v>215</v>
      </c>
      <c r="C125" s="483" t="s">
        <v>165</v>
      </c>
      <c r="D125" s="66"/>
      <c r="E125" s="500" t="s">
        <v>379</v>
      </c>
      <c r="F125" s="484">
        <v>10499</v>
      </c>
      <c r="G125" s="479" t="str">
        <f t="shared" si="9"/>
        <v>01/2026</v>
      </c>
      <c r="H125" s="341">
        <f>SUMIF(VI.A!$B$6:$B$5963,B125,VI.A!$L$6:$L$5963)</f>
        <v>16</v>
      </c>
      <c r="I125" s="341" t="str">
        <f t="shared" si="11"/>
        <v>si</v>
      </c>
      <c r="J125" s="383"/>
      <c r="K125" s="384">
        <f>IF(E125="SABESP","OK",VLOOKUP(F125,[6]ISD!$B$11:$F$4861,5,FALSE))</f>
        <v>158.33000000000001</v>
      </c>
      <c r="L125" s="384" t="str">
        <f t="shared" si="10"/>
        <v>VERIFICAR</v>
      </c>
      <c r="M125" s="480">
        <f t="shared" si="7"/>
        <v>158.33000000000001</v>
      </c>
      <c r="N125" s="383" t="b">
        <f t="shared" si="8"/>
        <v>0</v>
      </c>
      <c r="O125" s="383"/>
      <c r="P125" s="383"/>
      <c r="Q125" s="383"/>
      <c r="R125" s="383"/>
      <c r="S125" s="383"/>
      <c r="T125" s="383"/>
      <c r="U125" s="383"/>
      <c r="V125" s="383"/>
      <c r="W125" s="383"/>
      <c r="X125" s="383"/>
      <c r="Y125" s="383"/>
      <c r="Z125" s="383"/>
      <c r="AA125" s="383"/>
      <c r="AB125" s="383"/>
      <c r="AC125" s="383"/>
      <c r="AD125" s="383"/>
      <c r="AE125" s="383"/>
      <c r="AF125" s="383"/>
      <c r="AG125" s="383"/>
      <c r="AH125" s="383"/>
      <c r="AI125" s="383"/>
      <c r="AJ125" s="383"/>
      <c r="AK125" s="383"/>
      <c r="AL125" s="383"/>
      <c r="AM125" s="383"/>
      <c r="AN125" s="383"/>
      <c r="AO125" s="383"/>
      <c r="AP125" s="383"/>
      <c r="AQ125" s="383"/>
      <c r="AR125" s="383"/>
      <c r="AS125" s="383"/>
      <c r="AT125" s="383"/>
      <c r="AU125" s="383"/>
      <c r="AV125" s="383"/>
      <c r="AW125" s="383"/>
      <c r="AX125" s="383"/>
      <c r="AY125" s="383"/>
      <c r="AZ125" s="383"/>
      <c r="BA125" s="383"/>
      <c r="BB125" s="383"/>
      <c r="BC125" s="383"/>
      <c r="BD125" s="383"/>
      <c r="BE125" s="383"/>
      <c r="BF125" s="383"/>
      <c r="BG125" s="383"/>
      <c r="BH125" s="383"/>
      <c r="BI125" s="383"/>
      <c r="BJ125" s="383"/>
      <c r="BK125" s="383"/>
      <c r="BL125" s="383"/>
      <c r="BM125" s="383"/>
      <c r="BN125" s="383"/>
      <c r="BO125" s="383"/>
      <c r="BP125" s="383"/>
      <c r="BQ125" s="383"/>
      <c r="BR125" s="383"/>
      <c r="BS125" s="383"/>
      <c r="BT125" s="383"/>
      <c r="BU125" s="383"/>
      <c r="BV125" s="383"/>
      <c r="BW125" s="383"/>
      <c r="BX125" s="383"/>
      <c r="BY125" s="383"/>
      <c r="BZ125" s="383"/>
      <c r="CA125" s="383"/>
      <c r="CB125" s="383"/>
      <c r="CC125" s="383"/>
      <c r="CD125" s="383"/>
      <c r="CE125" s="383"/>
      <c r="CF125" s="383"/>
      <c r="CG125" s="383"/>
      <c r="CH125" s="383"/>
      <c r="CI125" s="383"/>
      <c r="CJ125" s="383"/>
      <c r="CK125" s="383"/>
      <c r="CL125" s="383"/>
      <c r="CM125" s="383"/>
      <c r="CN125" s="383"/>
      <c r="CO125" s="383"/>
      <c r="CP125" s="383"/>
      <c r="CQ125" s="383"/>
      <c r="CR125" s="383"/>
      <c r="CS125" s="383"/>
      <c r="CT125" s="383"/>
      <c r="CU125" s="383"/>
      <c r="CV125" s="383"/>
      <c r="CW125" s="383"/>
      <c r="CX125" s="383"/>
      <c r="CY125" s="383"/>
      <c r="CZ125" s="383"/>
      <c r="DA125" s="383"/>
      <c r="DB125" s="383"/>
      <c r="DC125" s="383"/>
      <c r="DD125" s="383"/>
      <c r="DE125" s="383"/>
      <c r="DF125" s="383"/>
      <c r="DG125" s="383"/>
      <c r="DH125" s="383"/>
      <c r="DI125" s="383"/>
      <c r="DJ125" s="383"/>
      <c r="DK125" s="383"/>
      <c r="DL125" s="383"/>
      <c r="DM125" s="383"/>
      <c r="DN125" s="383"/>
      <c r="DO125" s="383"/>
      <c r="DP125" s="383"/>
      <c r="DQ125" s="383"/>
      <c r="DR125" s="383"/>
      <c r="DS125" s="383"/>
      <c r="DT125" s="383"/>
      <c r="DU125" s="383"/>
      <c r="DV125" s="383"/>
      <c r="DW125" s="383"/>
      <c r="DX125" s="383"/>
      <c r="DY125" s="383"/>
      <c r="DZ125" s="383"/>
      <c r="EA125" s="383"/>
      <c r="EB125" s="383"/>
      <c r="EC125" s="383"/>
      <c r="ED125" s="383"/>
      <c r="EE125" s="383"/>
      <c r="EF125" s="383"/>
      <c r="EG125" s="383"/>
      <c r="EH125" s="383"/>
      <c r="EI125" s="383"/>
      <c r="EJ125" s="383"/>
      <c r="EK125" s="383"/>
      <c r="EL125" s="383"/>
      <c r="EM125" s="383"/>
      <c r="EN125" s="383"/>
      <c r="EO125" s="383"/>
      <c r="EP125" s="383"/>
      <c r="EQ125" s="383"/>
      <c r="ER125" s="383"/>
      <c r="ES125" s="383"/>
      <c r="ET125" s="383"/>
      <c r="EU125" s="383"/>
      <c r="EV125" s="383"/>
      <c r="EW125" s="383"/>
      <c r="EX125" s="383"/>
      <c r="EY125" s="383"/>
      <c r="EZ125" s="383"/>
      <c r="FA125" s="383"/>
      <c r="FB125" s="383"/>
      <c r="FC125" s="383"/>
      <c r="FD125" s="383"/>
      <c r="FE125" s="383"/>
      <c r="FF125" s="383"/>
      <c r="FG125" s="383"/>
      <c r="FH125" s="383"/>
      <c r="FI125" s="383"/>
      <c r="FJ125" s="383"/>
      <c r="FK125" s="383"/>
      <c r="FL125" s="383"/>
      <c r="FM125" s="383"/>
      <c r="FN125" s="383"/>
      <c r="FO125" s="383"/>
      <c r="FP125" s="383"/>
      <c r="FQ125" s="383"/>
      <c r="FR125" s="383"/>
      <c r="FS125" s="383"/>
      <c r="FT125" s="383"/>
      <c r="FU125" s="383"/>
      <c r="FV125" s="383"/>
      <c r="FW125" s="383"/>
      <c r="FX125" s="383"/>
      <c r="FY125" s="383"/>
      <c r="FZ125" s="383"/>
      <c r="GA125" s="383"/>
      <c r="GB125" s="383"/>
      <c r="GC125" s="383"/>
      <c r="GD125" s="383"/>
      <c r="GE125" s="383"/>
      <c r="GF125" s="383"/>
      <c r="GG125" s="383"/>
      <c r="GH125" s="383"/>
      <c r="GI125" s="383"/>
      <c r="GJ125" s="383"/>
      <c r="GK125" s="383"/>
      <c r="GL125" s="383"/>
      <c r="GM125" s="383"/>
      <c r="GN125" s="383"/>
      <c r="GO125" s="383"/>
      <c r="GP125" s="383"/>
      <c r="GQ125" s="383"/>
      <c r="GR125" s="383"/>
      <c r="GS125" s="383"/>
      <c r="GT125" s="383"/>
      <c r="GU125" s="383"/>
      <c r="GV125" s="383"/>
      <c r="GW125" s="383"/>
      <c r="GX125" s="383"/>
      <c r="GY125" s="383"/>
      <c r="GZ125" s="383"/>
      <c r="HA125" s="383"/>
      <c r="HB125" s="383"/>
      <c r="HC125" s="383"/>
      <c r="HD125" s="383"/>
      <c r="HE125" s="383"/>
      <c r="HF125" s="383"/>
      <c r="HG125" s="383"/>
      <c r="HH125" s="383"/>
      <c r="HI125" s="383"/>
      <c r="HJ125" s="383"/>
      <c r="HK125" s="383"/>
      <c r="HL125" s="383"/>
      <c r="HM125" s="383"/>
      <c r="HN125" s="383"/>
      <c r="HO125" s="383"/>
      <c r="HP125" s="383"/>
      <c r="HQ125" s="383"/>
      <c r="HR125" s="383"/>
      <c r="HS125" s="383"/>
      <c r="HT125" s="383"/>
      <c r="HU125" s="383"/>
      <c r="HV125" s="383"/>
      <c r="HW125" s="383"/>
      <c r="HX125" s="383"/>
      <c r="HY125" s="383"/>
      <c r="HZ125" s="383"/>
      <c r="IA125" s="383"/>
      <c r="IB125" s="383"/>
      <c r="IC125" s="383"/>
      <c r="ID125" s="383"/>
      <c r="IE125" s="383"/>
      <c r="IF125" s="383"/>
      <c r="IG125" s="383"/>
      <c r="IH125" s="383"/>
      <c r="II125" s="383"/>
      <c r="IJ125" s="383"/>
      <c r="IK125" s="383"/>
      <c r="IL125" s="383"/>
    </row>
    <row r="126" spans="1:246" ht="15" customHeight="1">
      <c r="A126" s="481" t="s">
        <v>345</v>
      </c>
      <c r="B126" s="482" t="s">
        <v>216</v>
      </c>
      <c r="C126" s="483" t="s">
        <v>164</v>
      </c>
      <c r="D126" s="66"/>
      <c r="E126" s="500" t="s">
        <v>379</v>
      </c>
      <c r="F126" s="484">
        <v>4425</v>
      </c>
      <c r="G126" s="479" t="str">
        <f t="shared" si="9"/>
        <v>01/2026</v>
      </c>
      <c r="H126" s="341">
        <f>SUMIF(VI.A!$B$6:$B$5963,B126,VI.A!$L$6:$L$5963)</f>
        <v>31.55</v>
      </c>
      <c r="I126" s="341" t="str">
        <f t="shared" si="11"/>
        <v>si</v>
      </c>
      <c r="J126" s="383"/>
      <c r="K126" s="384">
        <f>IF(E126="SABESP","OK",VLOOKUP(F126,[6]ISD!$B$11:$F$4861,5,FALSE))</f>
        <v>35.24</v>
      </c>
      <c r="L126" s="384" t="str">
        <f t="shared" si="10"/>
        <v>VERIFICAR</v>
      </c>
      <c r="M126" s="480">
        <f t="shared" ref="M126:M182" si="12">IFERROR(IF(K126="não encontrado",D126,K126),D126)</f>
        <v>35.24</v>
      </c>
      <c r="N126" s="383" t="b">
        <f t="shared" si="8"/>
        <v>0</v>
      </c>
      <c r="O126" s="383"/>
      <c r="P126" s="383"/>
      <c r="Q126" s="383"/>
      <c r="R126" s="383"/>
      <c r="S126" s="383"/>
      <c r="T126" s="383"/>
      <c r="U126" s="383"/>
      <c r="V126" s="383"/>
      <c r="W126" s="383"/>
      <c r="X126" s="383"/>
      <c r="Y126" s="383"/>
      <c r="Z126" s="383"/>
      <c r="AA126" s="383"/>
      <c r="AB126" s="383"/>
      <c r="AC126" s="383"/>
      <c r="AD126" s="383"/>
      <c r="AE126" s="383"/>
      <c r="AF126" s="383"/>
      <c r="AG126" s="383"/>
      <c r="AH126" s="383"/>
      <c r="AI126" s="383"/>
      <c r="AJ126" s="383"/>
      <c r="AK126" s="383"/>
      <c r="AL126" s="383"/>
      <c r="AM126" s="383"/>
      <c r="AN126" s="383"/>
      <c r="AO126" s="383"/>
      <c r="AP126" s="383"/>
      <c r="AQ126" s="383"/>
      <c r="AR126" s="383"/>
      <c r="AS126" s="383"/>
      <c r="AT126" s="383"/>
      <c r="AU126" s="383"/>
      <c r="AV126" s="383"/>
      <c r="AW126" s="383"/>
      <c r="AX126" s="383"/>
      <c r="AY126" s="383"/>
      <c r="AZ126" s="383"/>
      <c r="BA126" s="383"/>
      <c r="BB126" s="383"/>
      <c r="BC126" s="383"/>
      <c r="BD126" s="383"/>
      <c r="BE126" s="383"/>
      <c r="BF126" s="383"/>
      <c r="BG126" s="383"/>
      <c r="BH126" s="383"/>
      <c r="BI126" s="383"/>
      <c r="BJ126" s="383"/>
      <c r="BK126" s="383"/>
      <c r="BL126" s="383"/>
      <c r="BM126" s="383"/>
      <c r="BN126" s="383"/>
      <c r="BO126" s="383"/>
      <c r="BP126" s="383"/>
      <c r="BQ126" s="383"/>
      <c r="BR126" s="383"/>
      <c r="BS126" s="383"/>
      <c r="BT126" s="383"/>
      <c r="BU126" s="383"/>
      <c r="BV126" s="383"/>
      <c r="BW126" s="383"/>
      <c r="BX126" s="383"/>
      <c r="BY126" s="383"/>
      <c r="BZ126" s="383"/>
      <c r="CA126" s="383"/>
      <c r="CB126" s="383"/>
      <c r="CC126" s="383"/>
      <c r="CD126" s="383"/>
      <c r="CE126" s="383"/>
      <c r="CF126" s="383"/>
      <c r="CG126" s="383"/>
      <c r="CH126" s="383"/>
      <c r="CI126" s="383"/>
      <c r="CJ126" s="383"/>
      <c r="CK126" s="383"/>
      <c r="CL126" s="383"/>
      <c r="CM126" s="383"/>
      <c r="CN126" s="383"/>
      <c r="CO126" s="383"/>
      <c r="CP126" s="383"/>
      <c r="CQ126" s="383"/>
      <c r="CR126" s="383"/>
      <c r="CS126" s="383"/>
      <c r="CT126" s="383"/>
      <c r="CU126" s="383"/>
      <c r="CV126" s="383"/>
      <c r="CW126" s="383"/>
      <c r="CX126" s="383"/>
      <c r="CY126" s="383"/>
      <c r="CZ126" s="383"/>
      <c r="DA126" s="383"/>
      <c r="DB126" s="383"/>
      <c r="DC126" s="383"/>
      <c r="DD126" s="383"/>
      <c r="DE126" s="383"/>
      <c r="DF126" s="383"/>
      <c r="DG126" s="383"/>
      <c r="DH126" s="383"/>
      <c r="DI126" s="383"/>
      <c r="DJ126" s="383"/>
      <c r="DK126" s="383"/>
      <c r="DL126" s="383"/>
      <c r="DM126" s="383"/>
      <c r="DN126" s="383"/>
      <c r="DO126" s="383"/>
      <c r="DP126" s="383"/>
      <c r="DQ126" s="383"/>
      <c r="DR126" s="383"/>
      <c r="DS126" s="383"/>
      <c r="DT126" s="383"/>
      <c r="DU126" s="383"/>
      <c r="DV126" s="383"/>
      <c r="DW126" s="383"/>
      <c r="DX126" s="383"/>
      <c r="DY126" s="383"/>
      <c r="DZ126" s="383"/>
      <c r="EA126" s="383"/>
      <c r="EB126" s="383"/>
      <c r="EC126" s="383"/>
      <c r="ED126" s="383"/>
      <c r="EE126" s="383"/>
      <c r="EF126" s="383"/>
      <c r="EG126" s="383"/>
      <c r="EH126" s="383"/>
      <c r="EI126" s="383"/>
      <c r="EJ126" s="383"/>
      <c r="EK126" s="383"/>
      <c r="EL126" s="383"/>
      <c r="EM126" s="383"/>
      <c r="EN126" s="383"/>
      <c r="EO126" s="383"/>
      <c r="EP126" s="383"/>
      <c r="EQ126" s="383"/>
      <c r="ER126" s="383"/>
      <c r="ES126" s="383"/>
      <c r="ET126" s="383"/>
      <c r="EU126" s="383"/>
      <c r="EV126" s="383"/>
      <c r="EW126" s="383"/>
      <c r="EX126" s="383"/>
      <c r="EY126" s="383"/>
      <c r="EZ126" s="383"/>
      <c r="FA126" s="383"/>
      <c r="FB126" s="383"/>
      <c r="FC126" s="383"/>
      <c r="FD126" s="383"/>
      <c r="FE126" s="383"/>
      <c r="FF126" s="383"/>
      <c r="FG126" s="383"/>
      <c r="FH126" s="383"/>
      <c r="FI126" s="383"/>
      <c r="FJ126" s="383"/>
      <c r="FK126" s="383"/>
      <c r="FL126" s="383"/>
      <c r="FM126" s="383"/>
      <c r="FN126" s="383"/>
      <c r="FO126" s="383"/>
      <c r="FP126" s="383"/>
      <c r="FQ126" s="383"/>
      <c r="FR126" s="383"/>
      <c r="FS126" s="383"/>
      <c r="FT126" s="383"/>
      <c r="FU126" s="383"/>
      <c r="FV126" s="383"/>
      <c r="FW126" s="383"/>
      <c r="FX126" s="383"/>
      <c r="FY126" s="383"/>
      <c r="FZ126" s="383"/>
      <c r="GA126" s="383"/>
      <c r="GB126" s="383"/>
      <c r="GC126" s="383"/>
      <c r="GD126" s="383"/>
      <c r="GE126" s="383"/>
      <c r="GF126" s="383"/>
      <c r="GG126" s="383"/>
      <c r="GH126" s="383"/>
      <c r="GI126" s="383"/>
      <c r="GJ126" s="383"/>
      <c r="GK126" s="383"/>
      <c r="GL126" s="383"/>
      <c r="GM126" s="383"/>
      <c r="GN126" s="383"/>
      <c r="GO126" s="383"/>
      <c r="GP126" s="383"/>
      <c r="GQ126" s="383"/>
      <c r="GR126" s="383"/>
      <c r="GS126" s="383"/>
      <c r="GT126" s="383"/>
      <c r="GU126" s="383"/>
      <c r="GV126" s="383"/>
      <c r="GW126" s="383"/>
      <c r="GX126" s="383"/>
      <c r="GY126" s="383"/>
      <c r="GZ126" s="383"/>
      <c r="HA126" s="383"/>
      <c r="HB126" s="383"/>
      <c r="HC126" s="383"/>
      <c r="HD126" s="383"/>
      <c r="HE126" s="383"/>
      <c r="HF126" s="383"/>
      <c r="HG126" s="383"/>
      <c r="HH126" s="383"/>
      <c r="HI126" s="383"/>
      <c r="HJ126" s="383"/>
      <c r="HK126" s="383"/>
      <c r="HL126" s="383"/>
      <c r="HM126" s="383"/>
      <c r="HN126" s="383"/>
      <c r="HO126" s="383"/>
      <c r="HP126" s="383"/>
      <c r="HQ126" s="383"/>
      <c r="HR126" s="383"/>
      <c r="HS126" s="383"/>
      <c r="HT126" s="383"/>
      <c r="HU126" s="383"/>
      <c r="HV126" s="383"/>
      <c r="HW126" s="383"/>
      <c r="HX126" s="383"/>
      <c r="HY126" s="383"/>
      <c r="HZ126" s="383"/>
      <c r="IA126" s="383"/>
      <c r="IB126" s="383"/>
      <c r="IC126" s="383"/>
      <c r="ID126" s="383"/>
      <c r="IE126" s="383"/>
      <c r="IF126" s="383"/>
      <c r="IG126" s="383"/>
      <c r="IH126" s="383"/>
      <c r="II126" s="383"/>
      <c r="IJ126" s="383"/>
      <c r="IK126" s="383"/>
      <c r="IL126" s="383"/>
    </row>
    <row r="127" spans="1:246" ht="15" customHeight="1">
      <c r="A127" s="481" t="s">
        <v>346</v>
      </c>
      <c r="B127" s="482" t="s">
        <v>765</v>
      </c>
      <c r="C127" s="483" t="s">
        <v>166</v>
      </c>
      <c r="D127" s="66"/>
      <c r="E127" s="500" t="s">
        <v>377</v>
      </c>
      <c r="F127" s="484">
        <v>34571</v>
      </c>
      <c r="G127" s="479" t="str">
        <f t="shared" si="9"/>
        <v>01/2026</v>
      </c>
      <c r="H127" s="341">
        <f>SUMIF(VI.A!$B$6:$B$5963,B127,VI.A!$L$6:$L$5963)</f>
        <v>113010.56</v>
      </c>
      <c r="I127" s="341" t="str">
        <f t="shared" si="11"/>
        <v>si</v>
      </c>
      <c r="J127" s="383"/>
      <c r="K127" s="384">
        <f>IF(E127="SABESP","OK",VLOOKUP(F127,[6]ISD!$B$11:$F$4861,5,FALSE))</f>
        <v>4.34</v>
      </c>
      <c r="L127" s="384" t="str">
        <f t="shared" si="10"/>
        <v>VERIFICAR</v>
      </c>
      <c r="M127" s="480">
        <f t="shared" si="12"/>
        <v>4.34</v>
      </c>
      <c r="N127" s="383" t="b">
        <f t="shared" ref="N127:N183" si="13">_xlfn.ISFORMULA(D127)</f>
        <v>0</v>
      </c>
      <c r="O127" s="383"/>
      <c r="P127" s="383"/>
      <c r="Q127" s="383"/>
      <c r="R127" s="383"/>
      <c r="S127" s="383"/>
      <c r="T127" s="383"/>
      <c r="U127" s="383"/>
      <c r="V127" s="383"/>
      <c r="W127" s="383"/>
      <c r="X127" s="383"/>
      <c r="Y127" s="383"/>
      <c r="Z127" s="383"/>
      <c r="AA127" s="383"/>
      <c r="AB127" s="383"/>
      <c r="AC127" s="383"/>
      <c r="AD127" s="383"/>
      <c r="AE127" s="383"/>
      <c r="AF127" s="383"/>
      <c r="AG127" s="383"/>
      <c r="AH127" s="383"/>
      <c r="AI127" s="383"/>
      <c r="AJ127" s="383"/>
      <c r="AK127" s="383"/>
      <c r="AL127" s="383"/>
      <c r="AM127" s="383"/>
      <c r="AN127" s="383"/>
      <c r="AO127" s="383"/>
      <c r="AP127" s="383"/>
      <c r="AQ127" s="383"/>
      <c r="AR127" s="383"/>
      <c r="AS127" s="383"/>
      <c r="AT127" s="383"/>
      <c r="AU127" s="383"/>
      <c r="AV127" s="383"/>
      <c r="AW127" s="383"/>
      <c r="AX127" s="383"/>
      <c r="AY127" s="383"/>
      <c r="AZ127" s="383"/>
      <c r="BA127" s="383"/>
      <c r="BB127" s="383"/>
      <c r="BC127" s="383"/>
      <c r="BD127" s="383"/>
      <c r="BE127" s="383"/>
      <c r="BF127" s="383"/>
      <c r="BG127" s="383"/>
      <c r="BH127" s="383"/>
      <c r="BI127" s="383"/>
      <c r="BJ127" s="383"/>
      <c r="BK127" s="383"/>
      <c r="BL127" s="383"/>
      <c r="BM127" s="383"/>
      <c r="BN127" s="383"/>
      <c r="BO127" s="383"/>
      <c r="BP127" s="383"/>
      <c r="BQ127" s="383"/>
      <c r="BR127" s="383"/>
      <c r="BS127" s="383"/>
      <c r="BT127" s="383"/>
      <c r="BU127" s="383"/>
      <c r="BV127" s="383"/>
      <c r="BW127" s="383"/>
      <c r="BX127" s="383"/>
      <c r="BY127" s="383"/>
      <c r="BZ127" s="383"/>
      <c r="CA127" s="383"/>
      <c r="CB127" s="383"/>
      <c r="CC127" s="383"/>
      <c r="CD127" s="383"/>
      <c r="CE127" s="383"/>
      <c r="CF127" s="383"/>
      <c r="CG127" s="383"/>
      <c r="CH127" s="383"/>
      <c r="CI127" s="383"/>
      <c r="CJ127" s="383"/>
      <c r="CK127" s="383"/>
      <c r="CL127" s="383"/>
      <c r="CM127" s="383"/>
      <c r="CN127" s="383"/>
      <c r="CO127" s="383"/>
      <c r="CP127" s="383"/>
      <c r="CQ127" s="383"/>
      <c r="CR127" s="383"/>
      <c r="CS127" s="383"/>
      <c r="CT127" s="383"/>
      <c r="CU127" s="383"/>
      <c r="CV127" s="383"/>
      <c r="CW127" s="383"/>
      <c r="CX127" s="383"/>
      <c r="CY127" s="383"/>
      <c r="CZ127" s="383"/>
      <c r="DA127" s="383"/>
      <c r="DB127" s="383"/>
      <c r="DC127" s="383"/>
      <c r="DD127" s="383"/>
      <c r="DE127" s="383"/>
      <c r="DF127" s="383"/>
      <c r="DG127" s="383"/>
      <c r="DH127" s="383"/>
      <c r="DI127" s="383"/>
      <c r="DJ127" s="383"/>
      <c r="DK127" s="383"/>
      <c r="DL127" s="383"/>
      <c r="DM127" s="383"/>
      <c r="DN127" s="383"/>
      <c r="DO127" s="383"/>
      <c r="DP127" s="383"/>
      <c r="DQ127" s="383"/>
      <c r="DR127" s="383"/>
      <c r="DS127" s="383"/>
      <c r="DT127" s="383"/>
      <c r="DU127" s="383"/>
      <c r="DV127" s="383"/>
      <c r="DW127" s="383"/>
      <c r="DX127" s="383"/>
      <c r="DY127" s="383"/>
      <c r="DZ127" s="383"/>
      <c r="EA127" s="383"/>
      <c r="EB127" s="383"/>
      <c r="EC127" s="383"/>
      <c r="ED127" s="383"/>
      <c r="EE127" s="383"/>
      <c r="EF127" s="383"/>
      <c r="EG127" s="383"/>
      <c r="EH127" s="383"/>
      <c r="EI127" s="383"/>
      <c r="EJ127" s="383"/>
      <c r="EK127" s="383"/>
      <c r="EL127" s="383"/>
      <c r="EM127" s="383"/>
      <c r="EN127" s="383"/>
      <c r="EO127" s="383"/>
      <c r="EP127" s="383"/>
      <c r="EQ127" s="383"/>
      <c r="ER127" s="383"/>
      <c r="ES127" s="383"/>
      <c r="ET127" s="383"/>
      <c r="EU127" s="383"/>
      <c r="EV127" s="383"/>
      <c r="EW127" s="383"/>
      <c r="EX127" s="383"/>
      <c r="EY127" s="383"/>
      <c r="EZ127" s="383"/>
      <c r="FA127" s="383"/>
      <c r="FB127" s="383"/>
      <c r="FC127" s="383"/>
      <c r="FD127" s="383"/>
      <c r="FE127" s="383"/>
      <c r="FF127" s="383"/>
      <c r="FG127" s="383"/>
      <c r="FH127" s="383"/>
      <c r="FI127" s="383"/>
      <c r="FJ127" s="383"/>
      <c r="FK127" s="383"/>
      <c r="FL127" s="383"/>
      <c r="FM127" s="383"/>
      <c r="FN127" s="383"/>
      <c r="FO127" s="383"/>
      <c r="FP127" s="383"/>
      <c r="FQ127" s="383"/>
      <c r="FR127" s="383"/>
      <c r="FS127" s="383"/>
      <c r="FT127" s="383"/>
      <c r="FU127" s="383"/>
      <c r="FV127" s="383"/>
      <c r="FW127" s="383"/>
      <c r="FX127" s="383"/>
      <c r="FY127" s="383"/>
      <c r="FZ127" s="383"/>
      <c r="GA127" s="383"/>
      <c r="GB127" s="383"/>
      <c r="GC127" s="383"/>
      <c r="GD127" s="383"/>
      <c r="GE127" s="383"/>
      <c r="GF127" s="383"/>
      <c r="GG127" s="383"/>
      <c r="GH127" s="383"/>
      <c r="GI127" s="383"/>
      <c r="GJ127" s="383"/>
      <c r="GK127" s="383"/>
      <c r="GL127" s="383"/>
      <c r="GM127" s="383"/>
      <c r="GN127" s="383"/>
      <c r="GO127" s="383"/>
      <c r="GP127" s="383"/>
      <c r="GQ127" s="383"/>
      <c r="GR127" s="383"/>
      <c r="GS127" s="383"/>
      <c r="GT127" s="383"/>
      <c r="GU127" s="383"/>
      <c r="GV127" s="383"/>
      <c r="GW127" s="383"/>
      <c r="GX127" s="383"/>
      <c r="GY127" s="383"/>
      <c r="GZ127" s="383"/>
      <c r="HA127" s="383"/>
      <c r="HB127" s="383"/>
      <c r="HC127" s="383"/>
      <c r="HD127" s="383"/>
      <c r="HE127" s="383"/>
      <c r="HF127" s="383"/>
      <c r="HG127" s="383"/>
      <c r="HH127" s="383"/>
      <c r="HI127" s="383"/>
      <c r="HJ127" s="383"/>
      <c r="HK127" s="383"/>
      <c r="HL127" s="383"/>
      <c r="HM127" s="383"/>
      <c r="HN127" s="383"/>
      <c r="HO127" s="383"/>
      <c r="HP127" s="383"/>
      <c r="HQ127" s="383"/>
      <c r="HR127" s="383"/>
      <c r="HS127" s="383"/>
      <c r="HT127" s="383"/>
      <c r="HU127" s="383"/>
      <c r="HV127" s="383"/>
      <c r="HW127" s="383"/>
      <c r="HX127" s="383"/>
      <c r="HY127" s="383"/>
      <c r="HZ127" s="383"/>
      <c r="IA127" s="383"/>
      <c r="IB127" s="383"/>
      <c r="IC127" s="383"/>
      <c r="ID127" s="383"/>
      <c r="IE127" s="383"/>
      <c r="IF127" s="383"/>
      <c r="IG127" s="383"/>
      <c r="IH127" s="383"/>
      <c r="II127" s="383"/>
      <c r="IJ127" s="383"/>
      <c r="IK127" s="383"/>
      <c r="IL127" s="383"/>
    </row>
    <row r="128" spans="1:246" ht="15" customHeight="1">
      <c r="A128" s="481" t="s">
        <v>347</v>
      </c>
      <c r="B128" s="482" t="s">
        <v>766</v>
      </c>
      <c r="C128" s="483" t="s">
        <v>166</v>
      </c>
      <c r="D128" s="66"/>
      <c r="E128" s="500" t="s">
        <v>377</v>
      </c>
      <c r="F128" s="484">
        <v>34576</v>
      </c>
      <c r="G128" s="479" t="str">
        <f t="shared" si="9"/>
        <v>01/2026</v>
      </c>
      <c r="H128" s="341">
        <f>SUMIF(VI.A!$B$6:$B$5963,B128,VI.A!$L$6:$L$5963)</f>
        <v>680</v>
      </c>
      <c r="I128" s="341" t="str">
        <f t="shared" si="11"/>
        <v>si</v>
      </c>
      <c r="J128" s="383"/>
      <c r="K128" s="384">
        <f>IF(E128="SABESP","OK",VLOOKUP(F128,[6]ISD!$B$11:$F$4861,5,FALSE))</f>
        <v>6.65</v>
      </c>
      <c r="L128" s="384" t="str">
        <f t="shared" si="10"/>
        <v>VERIFICAR</v>
      </c>
      <c r="M128" s="480">
        <f t="shared" si="12"/>
        <v>6.65</v>
      </c>
      <c r="N128" s="383" t="b">
        <f t="shared" si="13"/>
        <v>0</v>
      </c>
      <c r="O128" s="383"/>
      <c r="P128" s="383"/>
      <c r="Q128" s="383"/>
      <c r="R128" s="383"/>
      <c r="S128" s="383"/>
      <c r="T128" s="383"/>
      <c r="U128" s="383"/>
      <c r="V128" s="383"/>
      <c r="W128" s="383"/>
      <c r="X128" s="383"/>
      <c r="Y128" s="383"/>
      <c r="Z128" s="383"/>
      <c r="AA128" s="383"/>
      <c r="AB128" s="383"/>
      <c r="AC128" s="383"/>
      <c r="AD128" s="383"/>
      <c r="AE128" s="383"/>
      <c r="AF128" s="383"/>
      <c r="AG128" s="383"/>
      <c r="AH128" s="383"/>
      <c r="AI128" s="383"/>
      <c r="AJ128" s="383"/>
      <c r="AK128" s="383"/>
      <c r="AL128" s="383"/>
      <c r="AM128" s="383"/>
      <c r="AN128" s="383"/>
      <c r="AO128" s="383"/>
      <c r="AP128" s="383"/>
      <c r="AQ128" s="383"/>
      <c r="AR128" s="383"/>
      <c r="AS128" s="383"/>
      <c r="AT128" s="383"/>
      <c r="AU128" s="383"/>
      <c r="AV128" s="383"/>
      <c r="AW128" s="383"/>
      <c r="AX128" s="383"/>
      <c r="AY128" s="383"/>
      <c r="AZ128" s="383"/>
      <c r="BA128" s="383"/>
      <c r="BB128" s="383"/>
      <c r="BC128" s="383"/>
      <c r="BD128" s="383"/>
      <c r="BE128" s="383"/>
      <c r="BF128" s="383"/>
      <c r="BG128" s="383"/>
      <c r="BH128" s="383"/>
      <c r="BI128" s="383"/>
      <c r="BJ128" s="383"/>
      <c r="BK128" s="383"/>
      <c r="BL128" s="383"/>
      <c r="BM128" s="383"/>
      <c r="BN128" s="383"/>
      <c r="BO128" s="383"/>
      <c r="BP128" s="383"/>
      <c r="BQ128" s="383"/>
      <c r="BR128" s="383"/>
      <c r="BS128" s="383"/>
      <c r="BT128" s="383"/>
      <c r="BU128" s="383"/>
      <c r="BV128" s="383"/>
      <c r="BW128" s="383"/>
      <c r="BX128" s="383"/>
      <c r="BY128" s="383"/>
      <c r="BZ128" s="383"/>
      <c r="CA128" s="383"/>
      <c r="CB128" s="383"/>
      <c r="CC128" s="383"/>
      <c r="CD128" s="383"/>
      <c r="CE128" s="383"/>
      <c r="CF128" s="383"/>
      <c r="CG128" s="383"/>
      <c r="CH128" s="383"/>
      <c r="CI128" s="383"/>
      <c r="CJ128" s="383"/>
      <c r="CK128" s="383"/>
      <c r="CL128" s="383"/>
      <c r="CM128" s="383"/>
      <c r="CN128" s="383"/>
      <c r="CO128" s="383"/>
      <c r="CP128" s="383"/>
      <c r="CQ128" s="383"/>
      <c r="CR128" s="383"/>
      <c r="CS128" s="383"/>
      <c r="CT128" s="383"/>
      <c r="CU128" s="383"/>
      <c r="CV128" s="383"/>
      <c r="CW128" s="383"/>
      <c r="CX128" s="383"/>
      <c r="CY128" s="383"/>
      <c r="CZ128" s="383"/>
      <c r="DA128" s="383"/>
      <c r="DB128" s="383"/>
      <c r="DC128" s="383"/>
      <c r="DD128" s="383"/>
      <c r="DE128" s="383"/>
      <c r="DF128" s="383"/>
      <c r="DG128" s="383"/>
      <c r="DH128" s="383"/>
      <c r="DI128" s="383"/>
      <c r="DJ128" s="383"/>
      <c r="DK128" s="383"/>
      <c r="DL128" s="383"/>
      <c r="DM128" s="383"/>
      <c r="DN128" s="383"/>
      <c r="DO128" s="383"/>
      <c r="DP128" s="383"/>
      <c r="DQ128" s="383"/>
      <c r="DR128" s="383"/>
      <c r="DS128" s="383"/>
      <c r="DT128" s="383"/>
      <c r="DU128" s="383"/>
      <c r="DV128" s="383"/>
      <c r="DW128" s="383"/>
      <c r="DX128" s="383"/>
      <c r="DY128" s="383"/>
      <c r="DZ128" s="383"/>
      <c r="EA128" s="383"/>
      <c r="EB128" s="383"/>
      <c r="EC128" s="383"/>
      <c r="ED128" s="383"/>
      <c r="EE128" s="383"/>
      <c r="EF128" s="383"/>
      <c r="EG128" s="383"/>
      <c r="EH128" s="383"/>
      <c r="EI128" s="383"/>
      <c r="EJ128" s="383"/>
      <c r="EK128" s="383"/>
      <c r="EL128" s="383"/>
      <c r="EM128" s="383"/>
      <c r="EN128" s="383"/>
      <c r="EO128" s="383"/>
      <c r="EP128" s="383"/>
      <c r="EQ128" s="383"/>
      <c r="ER128" s="383"/>
      <c r="ES128" s="383"/>
      <c r="ET128" s="383"/>
      <c r="EU128" s="383"/>
      <c r="EV128" s="383"/>
      <c r="EW128" s="383"/>
      <c r="EX128" s="383"/>
      <c r="EY128" s="383"/>
      <c r="EZ128" s="383"/>
      <c r="FA128" s="383"/>
      <c r="FB128" s="383"/>
      <c r="FC128" s="383"/>
      <c r="FD128" s="383"/>
      <c r="FE128" s="383"/>
      <c r="FF128" s="383"/>
      <c r="FG128" s="383"/>
      <c r="FH128" s="383"/>
      <c r="FI128" s="383"/>
      <c r="FJ128" s="383"/>
      <c r="FK128" s="383"/>
      <c r="FL128" s="383"/>
      <c r="FM128" s="383"/>
      <c r="FN128" s="383"/>
      <c r="FO128" s="383"/>
      <c r="FP128" s="383"/>
      <c r="FQ128" s="383"/>
      <c r="FR128" s="383"/>
      <c r="FS128" s="383"/>
      <c r="FT128" s="383"/>
      <c r="FU128" s="383"/>
      <c r="FV128" s="383"/>
      <c r="FW128" s="383"/>
      <c r="FX128" s="383"/>
      <c r="FY128" s="383"/>
      <c r="FZ128" s="383"/>
      <c r="GA128" s="383"/>
      <c r="GB128" s="383"/>
      <c r="GC128" s="383"/>
      <c r="GD128" s="383"/>
      <c r="GE128" s="383"/>
      <c r="GF128" s="383"/>
      <c r="GG128" s="383"/>
      <c r="GH128" s="383"/>
      <c r="GI128" s="383"/>
      <c r="GJ128" s="383"/>
      <c r="GK128" s="383"/>
      <c r="GL128" s="383"/>
      <c r="GM128" s="383"/>
      <c r="GN128" s="383"/>
      <c r="GO128" s="383"/>
      <c r="GP128" s="383"/>
      <c r="GQ128" s="383"/>
      <c r="GR128" s="383"/>
      <c r="GS128" s="383"/>
      <c r="GT128" s="383"/>
      <c r="GU128" s="383"/>
      <c r="GV128" s="383"/>
      <c r="GW128" s="383"/>
      <c r="GX128" s="383"/>
      <c r="GY128" s="383"/>
      <c r="GZ128" s="383"/>
      <c r="HA128" s="383"/>
      <c r="HB128" s="383"/>
      <c r="HC128" s="383"/>
      <c r="HD128" s="383"/>
      <c r="HE128" s="383"/>
      <c r="HF128" s="383"/>
      <c r="HG128" s="383"/>
      <c r="HH128" s="383"/>
      <c r="HI128" s="383"/>
      <c r="HJ128" s="383"/>
      <c r="HK128" s="383"/>
      <c r="HL128" s="383"/>
      <c r="HM128" s="383"/>
      <c r="HN128" s="383"/>
      <c r="HO128" s="383"/>
      <c r="HP128" s="383"/>
      <c r="HQ128" s="383"/>
      <c r="HR128" s="383"/>
      <c r="HS128" s="383"/>
      <c r="HT128" s="383"/>
      <c r="HU128" s="383"/>
      <c r="HV128" s="383"/>
      <c r="HW128" s="383"/>
      <c r="HX128" s="383"/>
      <c r="HY128" s="383"/>
      <c r="HZ128" s="383"/>
      <c r="IA128" s="383"/>
      <c r="IB128" s="383"/>
      <c r="IC128" s="383"/>
      <c r="ID128" s="383"/>
      <c r="IE128" s="383"/>
      <c r="IF128" s="383"/>
      <c r="IG128" s="383"/>
      <c r="IH128" s="383"/>
      <c r="II128" s="383"/>
      <c r="IJ128" s="383"/>
      <c r="IK128" s="383"/>
      <c r="IL128" s="383"/>
    </row>
    <row r="129" spans="1:247" ht="25.5">
      <c r="A129" s="481" t="s">
        <v>348</v>
      </c>
      <c r="B129" s="482" t="s">
        <v>925</v>
      </c>
      <c r="C129" s="483" t="s">
        <v>166</v>
      </c>
      <c r="D129" s="66"/>
      <c r="E129" s="500" t="s">
        <v>377</v>
      </c>
      <c r="F129" s="484">
        <v>4314</v>
      </c>
      <c r="G129" s="479" t="str">
        <f t="shared" si="9"/>
        <v>01/2026</v>
      </c>
      <c r="H129" s="341">
        <f>SUMIF(VI.A!$B$6:$B$5963,B129,VI.A!$L$6:$L$5963)</f>
        <v>60</v>
      </c>
      <c r="I129" s="341" t="str">
        <f t="shared" ref="I129" si="14">IF(H129=0,"no","si")</f>
        <v>si</v>
      </c>
      <c r="J129" s="383"/>
      <c r="K129" s="384">
        <f>IF(E129="SABESP","OK",VLOOKUP(F129,[6]ISD!$B$11:$F$4861,5,FALSE))</f>
        <v>3.74</v>
      </c>
      <c r="L129" s="384" t="str">
        <f t="shared" si="10"/>
        <v>VERIFICAR</v>
      </c>
      <c r="M129" s="480">
        <f t="shared" si="12"/>
        <v>3.74</v>
      </c>
      <c r="N129" s="383" t="b">
        <f t="shared" si="13"/>
        <v>0</v>
      </c>
      <c r="O129" s="383"/>
      <c r="P129" s="383"/>
      <c r="Q129" s="383"/>
      <c r="R129" s="383"/>
      <c r="S129" s="383"/>
      <c r="T129" s="383"/>
      <c r="U129" s="383"/>
      <c r="V129" s="383"/>
      <c r="W129" s="383"/>
      <c r="X129" s="383"/>
      <c r="Y129" s="383"/>
      <c r="Z129" s="383"/>
      <c r="AA129" s="383"/>
      <c r="AB129" s="383"/>
      <c r="AC129" s="383"/>
      <c r="AD129" s="383"/>
      <c r="AE129" s="383"/>
      <c r="AF129" s="383"/>
      <c r="AG129" s="383"/>
      <c r="AH129" s="383"/>
      <c r="AI129" s="383"/>
      <c r="AJ129" s="383"/>
      <c r="AK129" s="383"/>
      <c r="AL129" s="383"/>
      <c r="AM129" s="383"/>
      <c r="AN129" s="383"/>
      <c r="AO129" s="383"/>
      <c r="AP129" s="383"/>
      <c r="AQ129" s="383"/>
      <c r="AR129" s="383"/>
      <c r="AS129" s="383"/>
      <c r="AT129" s="383"/>
      <c r="AU129" s="383"/>
      <c r="AV129" s="383"/>
      <c r="AW129" s="383"/>
      <c r="AX129" s="383"/>
      <c r="AY129" s="383"/>
      <c r="AZ129" s="383"/>
      <c r="BA129" s="383"/>
      <c r="BB129" s="383"/>
      <c r="BC129" s="383"/>
      <c r="BD129" s="383"/>
      <c r="BE129" s="383"/>
      <c r="BF129" s="383"/>
      <c r="BG129" s="383"/>
      <c r="BH129" s="383"/>
      <c r="BI129" s="383"/>
      <c r="BJ129" s="383"/>
      <c r="BK129" s="383"/>
      <c r="BL129" s="383"/>
      <c r="BM129" s="383"/>
      <c r="BN129" s="383"/>
      <c r="BO129" s="383"/>
      <c r="BP129" s="383"/>
      <c r="BQ129" s="383"/>
      <c r="BR129" s="383"/>
      <c r="BS129" s="383"/>
      <c r="BT129" s="383"/>
      <c r="BU129" s="383"/>
      <c r="BV129" s="383"/>
      <c r="BW129" s="383"/>
      <c r="BX129" s="383"/>
      <c r="BY129" s="383"/>
      <c r="BZ129" s="383"/>
      <c r="CA129" s="383"/>
      <c r="CB129" s="383"/>
      <c r="CC129" s="383"/>
      <c r="CD129" s="383"/>
      <c r="CE129" s="383"/>
      <c r="CF129" s="383"/>
      <c r="CG129" s="383"/>
      <c r="CH129" s="383"/>
      <c r="CI129" s="383"/>
      <c r="CJ129" s="383"/>
      <c r="CK129" s="383"/>
      <c r="CL129" s="383"/>
      <c r="CM129" s="383"/>
      <c r="CN129" s="383"/>
      <c r="CO129" s="383"/>
      <c r="CP129" s="383"/>
      <c r="CQ129" s="383"/>
      <c r="CR129" s="383"/>
      <c r="CS129" s="383"/>
      <c r="CT129" s="383"/>
      <c r="CU129" s="383"/>
      <c r="CV129" s="383"/>
      <c r="CW129" s="383"/>
      <c r="CX129" s="383"/>
      <c r="CY129" s="383"/>
      <c r="CZ129" s="383"/>
      <c r="DA129" s="383"/>
      <c r="DB129" s="383"/>
      <c r="DC129" s="383"/>
      <c r="DD129" s="383"/>
      <c r="DE129" s="383"/>
      <c r="DF129" s="383"/>
      <c r="DG129" s="383"/>
      <c r="DH129" s="383"/>
      <c r="DI129" s="383"/>
      <c r="DJ129" s="383"/>
      <c r="DK129" s="383"/>
      <c r="DL129" s="383"/>
      <c r="DM129" s="383"/>
      <c r="DN129" s="383"/>
      <c r="DO129" s="383"/>
      <c r="DP129" s="383"/>
      <c r="DQ129" s="383"/>
      <c r="DR129" s="383"/>
      <c r="DS129" s="383"/>
      <c r="DT129" s="383"/>
      <c r="DU129" s="383"/>
      <c r="DV129" s="383"/>
      <c r="DW129" s="383"/>
      <c r="DX129" s="383"/>
      <c r="DY129" s="383"/>
      <c r="DZ129" s="383"/>
      <c r="EA129" s="383"/>
      <c r="EB129" s="383"/>
      <c r="EC129" s="383"/>
      <c r="ED129" s="383"/>
      <c r="EE129" s="383"/>
      <c r="EF129" s="383"/>
      <c r="EG129" s="383"/>
      <c r="EH129" s="383"/>
      <c r="EI129" s="383"/>
      <c r="EJ129" s="383"/>
      <c r="EK129" s="383"/>
      <c r="EL129" s="383"/>
      <c r="EM129" s="383"/>
      <c r="EN129" s="383"/>
      <c r="EO129" s="383"/>
      <c r="EP129" s="383"/>
      <c r="EQ129" s="383"/>
      <c r="ER129" s="383"/>
      <c r="ES129" s="383"/>
      <c r="ET129" s="383"/>
      <c r="EU129" s="383"/>
      <c r="EV129" s="383"/>
      <c r="EW129" s="383"/>
      <c r="EX129" s="383"/>
      <c r="EY129" s="383"/>
      <c r="EZ129" s="383"/>
      <c r="FA129" s="383"/>
      <c r="FB129" s="383"/>
      <c r="FC129" s="383"/>
      <c r="FD129" s="383"/>
      <c r="FE129" s="383"/>
      <c r="FF129" s="383"/>
      <c r="FG129" s="383"/>
      <c r="FH129" s="383"/>
      <c r="FI129" s="383"/>
      <c r="FJ129" s="383"/>
      <c r="FK129" s="383"/>
      <c r="FL129" s="383"/>
      <c r="FM129" s="383"/>
      <c r="FN129" s="383"/>
      <c r="FO129" s="383"/>
      <c r="FP129" s="383"/>
      <c r="FQ129" s="383"/>
      <c r="FR129" s="383"/>
      <c r="FS129" s="383"/>
      <c r="FT129" s="383"/>
      <c r="FU129" s="383"/>
      <c r="FV129" s="383"/>
      <c r="FW129" s="383"/>
      <c r="FX129" s="383"/>
      <c r="FY129" s="383"/>
      <c r="FZ129" s="383"/>
      <c r="GA129" s="383"/>
      <c r="GB129" s="383"/>
      <c r="GC129" s="383"/>
      <c r="GD129" s="383"/>
      <c r="GE129" s="383"/>
      <c r="GF129" s="383"/>
      <c r="GG129" s="383"/>
      <c r="GH129" s="383"/>
      <c r="GI129" s="383"/>
      <c r="GJ129" s="383"/>
      <c r="GK129" s="383"/>
      <c r="GL129" s="383"/>
      <c r="GM129" s="383"/>
      <c r="GN129" s="383"/>
      <c r="GO129" s="383"/>
      <c r="GP129" s="383"/>
      <c r="GQ129" s="383"/>
      <c r="GR129" s="383"/>
      <c r="GS129" s="383"/>
      <c r="GT129" s="383"/>
      <c r="GU129" s="383"/>
      <c r="GV129" s="383"/>
      <c r="GW129" s="383"/>
      <c r="GX129" s="383"/>
      <c r="GY129" s="383"/>
      <c r="GZ129" s="383"/>
      <c r="HA129" s="383"/>
      <c r="HB129" s="383"/>
      <c r="HC129" s="383"/>
      <c r="HD129" s="383"/>
      <c r="HE129" s="383"/>
      <c r="HF129" s="383"/>
      <c r="HG129" s="383"/>
      <c r="HH129" s="383"/>
      <c r="HI129" s="383"/>
      <c r="HJ129" s="383"/>
      <c r="HK129" s="383"/>
      <c r="HL129" s="383"/>
      <c r="HM129" s="383"/>
      <c r="HN129" s="383"/>
      <c r="HO129" s="383"/>
      <c r="HP129" s="383"/>
      <c r="HQ129" s="383"/>
      <c r="HR129" s="383"/>
      <c r="HS129" s="383"/>
      <c r="HT129" s="383"/>
      <c r="HU129" s="383"/>
      <c r="HV129" s="383"/>
      <c r="HW129" s="383"/>
      <c r="HX129" s="383"/>
      <c r="HY129" s="383"/>
      <c r="HZ129" s="383"/>
      <c r="IA129" s="383"/>
      <c r="IB129" s="383"/>
      <c r="IC129" s="383"/>
      <c r="ID129" s="383"/>
      <c r="IE129" s="383"/>
      <c r="IF129" s="383"/>
      <c r="IG129" s="383"/>
      <c r="IH129" s="383"/>
      <c r="II129" s="383"/>
      <c r="IJ129" s="383"/>
      <c r="IK129" s="383"/>
      <c r="IL129" s="383"/>
    </row>
    <row r="130" spans="1:247" ht="15" customHeight="1">
      <c r="A130" s="481" t="s">
        <v>349</v>
      </c>
      <c r="B130" s="482" t="s">
        <v>404</v>
      </c>
      <c r="C130" s="483" t="s">
        <v>166</v>
      </c>
      <c r="D130" s="66"/>
      <c r="E130" s="500" t="s">
        <v>377</v>
      </c>
      <c r="F130" s="484">
        <v>3768</v>
      </c>
      <c r="G130" s="479" t="str">
        <f t="shared" si="9"/>
        <v>01/2026</v>
      </c>
      <c r="H130" s="341">
        <f>SUMIF(VI.A!$B$6:$B$5963,B130,VI.A!$L$6:$L$5963)</f>
        <v>15609.699999999999</v>
      </c>
      <c r="I130" s="341" t="str">
        <f t="shared" ref="I130" si="15">IF(H130=0,"no","si")</f>
        <v>si</v>
      </c>
      <c r="J130" s="383"/>
      <c r="K130" s="384">
        <f>IF(E130="SABESP","OK",VLOOKUP(F130,[6]ISD!$B$11:$F$4861,5,FALSE))</f>
        <v>4.04</v>
      </c>
      <c r="L130" s="384" t="str">
        <f t="shared" si="10"/>
        <v>VERIFICAR</v>
      </c>
      <c r="M130" s="480">
        <f t="shared" si="12"/>
        <v>4.04</v>
      </c>
      <c r="N130" s="383" t="b">
        <f t="shared" si="13"/>
        <v>0</v>
      </c>
      <c r="O130" s="383"/>
      <c r="P130" s="383"/>
      <c r="Q130" s="383"/>
      <c r="R130" s="383"/>
      <c r="S130" s="383"/>
      <c r="T130" s="383"/>
      <c r="U130" s="383"/>
      <c r="V130" s="383"/>
      <c r="W130" s="383"/>
      <c r="X130" s="383"/>
      <c r="Y130" s="383"/>
      <c r="Z130" s="383"/>
      <c r="AA130" s="383"/>
      <c r="AB130" s="383"/>
      <c r="AC130" s="383"/>
      <c r="AD130" s="383"/>
      <c r="AE130" s="383"/>
      <c r="AF130" s="383"/>
      <c r="AG130" s="383"/>
      <c r="AH130" s="383"/>
      <c r="AI130" s="383"/>
      <c r="AJ130" s="383"/>
      <c r="AK130" s="383"/>
      <c r="AL130" s="383"/>
      <c r="AM130" s="383"/>
      <c r="AN130" s="383"/>
      <c r="AO130" s="383"/>
      <c r="AP130" s="383"/>
      <c r="AQ130" s="383"/>
      <c r="AR130" s="383"/>
      <c r="AS130" s="383"/>
      <c r="AT130" s="383"/>
      <c r="AU130" s="383"/>
      <c r="AV130" s="383"/>
      <c r="AW130" s="383"/>
      <c r="AX130" s="383"/>
      <c r="AY130" s="383"/>
      <c r="AZ130" s="383"/>
      <c r="BA130" s="383"/>
      <c r="BB130" s="383"/>
      <c r="BC130" s="383"/>
      <c r="BD130" s="383"/>
      <c r="BE130" s="383"/>
      <c r="BF130" s="383"/>
      <c r="BG130" s="383"/>
      <c r="BH130" s="383"/>
      <c r="BI130" s="383"/>
      <c r="BJ130" s="383"/>
      <c r="BK130" s="383"/>
      <c r="BL130" s="383"/>
      <c r="BM130" s="383"/>
      <c r="BN130" s="383"/>
      <c r="BO130" s="383"/>
      <c r="BP130" s="383"/>
      <c r="BQ130" s="383"/>
      <c r="BR130" s="383"/>
      <c r="BS130" s="383"/>
      <c r="BT130" s="383"/>
      <c r="BU130" s="383"/>
      <c r="BV130" s="383"/>
      <c r="BW130" s="383"/>
      <c r="BX130" s="383"/>
      <c r="BY130" s="383"/>
      <c r="BZ130" s="383"/>
      <c r="CA130" s="383"/>
      <c r="CB130" s="383"/>
      <c r="CC130" s="383"/>
      <c r="CD130" s="383"/>
      <c r="CE130" s="383"/>
      <c r="CF130" s="383"/>
      <c r="CG130" s="383"/>
      <c r="CH130" s="383"/>
      <c r="CI130" s="383"/>
      <c r="CJ130" s="383"/>
      <c r="CK130" s="383"/>
      <c r="CL130" s="383"/>
      <c r="CM130" s="383"/>
      <c r="CN130" s="383"/>
      <c r="CO130" s="383"/>
      <c r="CP130" s="383"/>
      <c r="CQ130" s="383"/>
      <c r="CR130" s="383"/>
      <c r="CS130" s="383"/>
      <c r="CT130" s="383"/>
      <c r="CU130" s="383"/>
      <c r="CV130" s="383"/>
      <c r="CW130" s="383"/>
      <c r="CX130" s="383"/>
      <c r="CY130" s="383"/>
      <c r="CZ130" s="383"/>
      <c r="DA130" s="383"/>
      <c r="DB130" s="383"/>
      <c r="DC130" s="383"/>
      <c r="DD130" s="383"/>
      <c r="DE130" s="383"/>
      <c r="DF130" s="383"/>
      <c r="DG130" s="383"/>
      <c r="DH130" s="383"/>
      <c r="DI130" s="383"/>
      <c r="DJ130" s="383"/>
      <c r="DK130" s="383"/>
      <c r="DL130" s="383"/>
      <c r="DM130" s="383"/>
      <c r="DN130" s="383"/>
      <c r="DO130" s="383"/>
      <c r="DP130" s="383"/>
      <c r="DQ130" s="383"/>
      <c r="DR130" s="383"/>
      <c r="DS130" s="383"/>
      <c r="DT130" s="383"/>
      <c r="DU130" s="383"/>
      <c r="DV130" s="383"/>
      <c r="DW130" s="383"/>
      <c r="DX130" s="383"/>
      <c r="DY130" s="383"/>
      <c r="DZ130" s="383"/>
      <c r="EA130" s="383"/>
      <c r="EB130" s="383"/>
      <c r="EC130" s="383"/>
      <c r="ED130" s="383"/>
      <c r="EE130" s="383"/>
      <c r="EF130" s="383"/>
      <c r="EG130" s="383"/>
      <c r="EH130" s="383"/>
      <c r="EI130" s="383"/>
      <c r="EJ130" s="383"/>
      <c r="EK130" s="383"/>
      <c r="EL130" s="383"/>
      <c r="EM130" s="383"/>
      <c r="EN130" s="383"/>
      <c r="EO130" s="383"/>
      <c r="EP130" s="383"/>
      <c r="EQ130" s="383"/>
      <c r="ER130" s="383"/>
      <c r="ES130" s="383"/>
      <c r="ET130" s="383"/>
      <c r="EU130" s="383"/>
      <c r="EV130" s="383"/>
      <c r="EW130" s="383"/>
      <c r="EX130" s="383"/>
      <c r="EY130" s="383"/>
      <c r="EZ130" s="383"/>
      <c r="FA130" s="383"/>
      <c r="FB130" s="383"/>
      <c r="FC130" s="383"/>
      <c r="FD130" s="383"/>
      <c r="FE130" s="383"/>
      <c r="FF130" s="383"/>
      <c r="FG130" s="383"/>
      <c r="FH130" s="383"/>
      <c r="FI130" s="383"/>
      <c r="FJ130" s="383"/>
      <c r="FK130" s="383"/>
      <c r="FL130" s="383"/>
      <c r="FM130" s="383"/>
      <c r="FN130" s="383"/>
      <c r="FO130" s="383"/>
      <c r="FP130" s="383"/>
      <c r="FQ130" s="383"/>
      <c r="FR130" s="383"/>
      <c r="FS130" s="383"/>
      <c r="FT130" s="383"/>
      <c r="FU130" s="383"/>
      <c r="FV130" s="383"/>
      <c r="FW130" s="383"/>
      <c r="FX130" s="383"/>
      <c r="FY130" s="383"/>
      <c r="FZ130" s="383"/>
      <c r="GA130" s="383"/>
      <c r="GB130" s="383"/>
      <c r="GC130" s="383"/>
      <c r="GD130" s="383"/>
      <c r="GE130" s="383"/>
      <c r="GF130" s="383"/>
      <c r="GG130" s="383"/>
      <c r="GH130" s="383"/>
      <c r="GI130" s="383"/>
      <c r="GJ130" s="383"/>
      <c r="GK130" s="383"/>
      <c r="GL130" s="383"/>
      <c r="GM130" s="383"/>
      <c r="GN130" s="383"/>
      <c r="GO130" s="383"/>
      <c r="GP130" s="383"/>
      <c r="GQ130" s="383"/>
      <c r="GR130" s="383"/>
      <c r="GS130" s="383"/>
      <c r="GT130" s="383"/>
      <c r="GU130" s="383"/>
      <c r="GV130" s="383"/>
      <c r="GW130" s="383"/>
      <c r="GX130" s="383"/>
      <c r="GY130" s="383"/>
      <c r="GZ130" s="383"/>
      <c r="HA130" s="383"/>
      <c r="HB130" s="383"/>
      <c r="HC130" s="383"/>
      <c r="HD130" s="383"/>
      <c r="HE130" s="383"/>
      <c r="HF130" s="383"/>
      <c r="HG130" s="383"/>
      <c r="HH130" s="383"/>
      <c r="HI130" s="383"/>
      <c r="HJ130" s="383"/>
      <c r="HK130" s="383"/>
      <c r="HL130" s="383"/>
      <c r="HM130" s="383"/>
      <c r="HN130" s="383"/>
      <c r="HO130" s="383"/>
      <c r="HP130" s="383"/>
      <c r="HQ130" s="383"/>
      <c r="HR130" s="383"/>
      <c r="HS130" s="383"/>
      <c r="HT130" s="383"/>
      <c r="HU130" s="383"/>
      <c r="HV130" s="383"/>
      <c r="HW130" s="383"/>
      <c r="HX130" s="383"/>
      <c r="HY130" s="383"/>
      <c r="HZ130" s="383"/>
      <c r="IA130" s="383"/>
      <c r="IB130" s="383"/>
      <c r="IC130" s="383"/>
      <c r="ID130" s="383"/>
      <c r="IE130" s="383"/>
      <c r="IF130" s="383"/>
      <c r="IG130" s="383"/>
      <c r="IH130" s="383"/>
      <c r="II130" s="383"/>
      <c r="IJ130" s="383"/>
      <c r="IK130" s="383"/>
      <c r="IL130" s="383"/>
    </row>
    <row r="131" spans="1:247" ht="26.25" thickBot="1">
      <c r="A131" s="503" t="s">
        <v>932</v>
      </c>
      <c r="B131" s="490" t="s">
        <v>933</v>
      </c>
      <c r="C131" s="491" t="s">
        <v>166</v>
      </c>
      <c r="D131" s="68"/>
      <c r="E131" s="500" t="s">
        <v>377</v>
      </c>
      <c r="F131" s="484">
        <v>34349</v>
      </c>
      <c r="G131" s="479" t="str">
        <f t="shared" si="9"/>
        <v>01/2026</v>
      </c>
      <c r="H131" s="341"/>
      <c r="I131" s="341"/>
      <c r="J131" s="383"/>
      <c r="K131" s="383">
        <f>VLOOKUP(F131,[6]ISD!$B$11:$F$4861,5,FALSE)</f>
        <v>27.77</v>
      </c>
      <c r="L131" s="384" t="str">
        <f t="shared" si="10"/>
        <v>VERIFICAR</v>
      </c>
      <c r="M131" s="480">
        <f t="shared" si="12"/>
        <v>27.77</v>
      </c>
      <c r="N131" s="383" t="b">
        <f t="shared" si="13"/>
        <v>0</v>
      </c>
      <c r="O131" s="383"/>
      <c r="P131" s="383"/>
      <c r="Q131" s="383"/>
      <c r="R131" s="383"/>
      <c r="S131" s="383"/>
      <c r="T131" s="383"/>
      <c r="U131" s="383"/>
      <c r="V131" s="383"/>
      <c r="W131" s="383"/>
      <c r="X131" s="383"/>
      <c r="Y131" s="383"/>
      <c r="Z131" s="383"/>
      <c r="AA131" s="383"/>
      <c r="AB131" s="383"/>
      <c r="AC131" s="383"/>
      <c r="AD131" s="383"/>
      <c r="AE131" s="383"/>
      <c r="AF131" s="383"/>
      <c r="AG131" s="383"/>
      <c r="AH131" s="383"/>
      <c r="AI131" s="383"/>
      <c r="AJ131" s="383"/>
      <c r="AK131" s="383"/>
      <c r="AL131" s="383"/>
      <c r="AM131" s="383"/>
      <c r="AN131" s="383"/>
      <c r="AO131" s="383"/>
      <c r="AP131" s="383"/>
      <c r="AQ131" s="383"/>
      <c r="AR131" s="383"/>
      <c r="AS131" s="383"/>
      <c r="AT131" s="383"/>
      <c r="AU131" s="383"/>
      <c r="AV131" s="383"/>
      <c r="AW131" s="383"/>
      <c r="AX131" s="383"/>
      <c r="AY131" s="383"/>
      <c r="AZ131" s="383"/>
      <c r="BA131" s="383"/>
      <c r="BB131" s="383"/>
      <c r="BC131" s="383"/>
      <c r="BD131" s="383"/>
      <c r="BE131" s="383"/>
      <c r="BF131" s="383"/>
      <c r="BG131" s="383"/>
      <c r="BH131" s="383"/>
      <c r="BI131" s="383"/>
      <c r="BJ131" s="383"/>
      <c r="BK131" s="383"/>
      <c r="BL131" s="383"/>
      <c r="BM131" s="383"/>
      <c r="BN131" s="383"/>
      <c r="BO131" s="383"/>
      <c r="BP131" s="383"/>
      <c r="BQ131" s="383"/>
      <c r="BR131" s="383"/>
      <c r="BS131" s="383"/>
      <c r="BT131" s="383"/>
      <c r="BU131" s="383"/>
      <c r="BV131" s="383"/>
      <c r="BW131" s="383"/>
      <c r="BX131" s="383"/>
      <c r="BY131" s="383"/>
      <c r="BZ131" s="383"/>
      <c r="CA131" s="383"/>
      <c r="CB131" s="383"/>
      <c r="CC131" s="383"/>
      <c r="CD131" s="383"/>
      <c r="CE131" s="383"/>
      <c r="CF131" s="383"/>
      <c r="CG131" s="383"/>
      <c r="CH131" s="383"/>
      <c r="CI131" s="383"/>
      <c r="CJ131" s="383"/>
      <c r="CK131" s="383"/>
      <c r="CL131" s="383"/>
      <c r="CM131" s="383"/>
      <c r="CN131" s="383"/>
      <c r="CO131" s="383"/>
      <c r="CP131" s="383"/>
      <c r="CQ131" s="383"/>
      <c r="CR131" s="383"/>
      <c r="CS131" s="383"/>
      <c r="CT131" s="383"/>
      <c r="CU131" s="383"/>
      <c r="CV131" s="383"/>
      <c r="CW131" s="383"/>
      <c r="CX131" s="383"/>
      <c r="CY131" s="383"/>
      <c r="CZ131" s="383"/>
      <c r="DA131" s="383"/>
      <c r="DB131" s="383"/>
      <c r="DC131" s="383"/>
      <c r="DD131" s="383"/>
      <c r="DE131" s="383"/>
      <c r="DF131" s="383"/>
      <c r="DG131" s="383"/>
      <c r="DH131" s="383"/>
      <c r="DI131" s="383"/>
      <c r="DJ131" s="383"/>
      <c r="DK131" s="383"/>
      <c r="DL131" s="383"/>
      <c r="DM131" s="383"/>
      <c r="DN131" s="383"/>
      <c r="DO131" s="383"/>
      <c r="DP131" s="383"/>
      <c r="DQ131" s="383"/>
      <c r="DR131" s="383"/>
      <c r="DS131" s="383"/>
      <c r="DT131" s="383"/>
      <c r="DU131" s="383"/>
      <c r="DV131" s="383"/>
      <c r="DW131" s="383"/>
      <c r="DX131" s="383"/>
      <c r="DY131" s="383"/>
      <c r="DZ131" s="383"/>
      <c r="EA131" s="383"/>
      <c r="EB131" s="383"/>
      <c r="EC131" s="383"/>
      <c r="ED131" s="383"/>
      <c r="EE131" s="383"/>
      <c r="EF131" s="383"/>
      <c r="EG131" s="383"/>
      <c r="EH131" s="383"/>
      <c r="EI131" s="383"/>
      <c r="EJ131" s="383"/>
      <c r="EK131" s="383"/>
      <c r="EL131" s="383"/>
      <c r="EM131" s="383"/>
      <c r="EN131" s="383"/>
      <c r="EO131" s="383"/>
      <c r="EP131" s="383"/>
      <c r="EQ131" s="383"/>
      <c r="ER131" s="383"/>
      <c r="ES131" s="383"/>
      <c r="ET131" s="383"/>
      <c r="EU131" s="383"/>
      <c r="EV131" s="383"/>
      <c r="EW131" s="383"/>
      <c r="EX131" s="383"/>
      <c r="EY131" s="383"/>
      <c r="EZ131" s="383"/>
      <c r="FA131" s="383"/>
      <c r="FB131" s="383"/>
      <c r="FC131" s="383"/>
      <c r="FD131" s="383"/>
      <c r="FE131" s="383"/>
      <c r="FF131" s="383"/>
      <c r="FG131" s="383"/>
      <c r="FH131" s="383"/>
      <c r="FI131" s="383"/>
      <c r="FJ131" s="383"/>
      <c r="FK131" s="383"/>
      <c r="FL131" s="383"/>
      <c r="FM131" s="383"/>
      <c r="FN131" s="383"/>
      <c r="FO131" s="383"/>
      <c r="FP131" s="383"/>
      <c r="FQ131" s="383"/>
      <c r="FR131" s="383"/>
      <c r="FS131" s="383"/>
      <c r="FT131" s="383"/>
      <c r="FU131" s="383"/>
      <c r="FV131" s="383"/>
      <c r="FW131" s="383"/>
      <c r="FX131" s="383"/>
      <c r="FY131" s="383"/>
      <c r="FZ131" s="383"/>
      <c r="GA131" s="383"/>
      <c r="GB131" s="383"/>
      <c r="GC131" s="383"/>
      <c r="GD131" s="383"/>
      <c r="GE131" s="383"/>
      <c r="GF131" s="383"/>
      <c r="GG131" s="383"/>
      <c r="GH131" s="383"/>
      <c r="GI131" s="383"/>
      <c r="GJ131" s="383"/>
      <c r="GK131" s="383"/>
      <c r="GL131" s="383"/>
      <c r="GM131" s="383"/>
      <c r="GN131" s="383"/>
      <c r="GO131" s="383"/>
      <c r="GP131" s="383"/>
      <c r="GQ131" s="383"/>
      <c r="GR131" s="383"/>
      <c r="GS131" s="383"/>
      <c r="GT131" s="383"/>
      <c r="GU131" s="383"/>
      <c r="GV131" s="383"/>
      <c r="GW131" s="383"/>
      <c r="GX131" s="383"/>
      <c r="GY131" s="383"/>
      <c r="GZ131" s="383"/>
      <c r="HA131" s="383"/>
      <c r="HB131" s="383"/>
      <c r="HC131" s="383"/>
      <c r="HD131" s="383"/>
      <c r="HE131" s="383"/>
      <c r="HF131" s="383"/>
      <c r="HG131" s="383"/>
      <c r="HH131" s="383"/>
      <c r="HI131" s="383"/>
      <c r="HJ131" s="383"/>
      <c r="HK131" s="383"/>
      <c r="HL131" s="383"/>
      <c r="HM131" s="383"/>
      <c r="HN131" s="383"/>
      <c r="HO131" s="383"/>
      <c r="HP131" s="383"/>
      <c r="HQ131" s="383"/>
      <c r="HR131" s="383"/>
      <c r="HS131" s="383"/>
      <c r="HT131" s="383"/>
      <c r="HU131" s="383"/>
      <c r="HV131" s="383"/>
      <c r="HW131" s="383"/>
      <c r="HX131" s="383"/>
      <c r="HY131" s="383"/>
      <c r="HZ131" s="383"/>
      <c r="IA131" s="383"/>
      <c r="IB131" s="383"/>
      <c r="IC131" s="383"/>
      <c r="ID131" s="383"/>
      <c r="IE131" s="383"/>
      <c r="IF131" s="383"/>
      <c r="IG131" s="383"/>
      <c r="IH131" s="383"/>
      <c r="II131" s="383"/>
      <c r="IJ131" s="383"/>
      <c r="IK131" s="383"/>
      <c r="IL131" s="383"/>
    </row>
    <row r="132" spans="1:247" ht="15" hidden="1" customHeight="1">
      <c r="A132" s="504"/>
      <c r="B132" s="505"/>
      <c r="C132" s="506"/>
      <c r="D132" s="507"/>
      <c r="E132" s="484"/>
      <c r="F132" s="484"/>
      <c r="G132" s="479"/>
      <c r="H132" s="341"/>
      <c r="I132" s="341"/>
      <c r="J132" s="383"/>
      <c r="K132" s="383" t="e">
        <f>VLOOKUP(F132,[6]ISD!$B$11:$F$4861,5,FALSE)</f>
        <v>#N/A</v>
      </c>
      <c r="L132" s="384" t="e">
        <f t="shared" si="10"/>
        <v>#N/A</v>
      </c>
      <c r="M132" s="480"/>
      <c r="N132" s="383" t="b">
        <f t="shared" si="13"/>
        <v>0</v>
      </c>
      <c r="O132" s="383"/>
      <c r="P132" s="383"/>
      <c r="Q132" s="383"/>
      <c r="R132" s="383"/>
      <c r="S132" s="383"/>
      <c r="T132" s="383"/>
      <c r="U132" s="383"/>
      <c r="V132" s="383"/>
      <c r="W132" s="383"/>
      <c r="X132" s="383"/>
      <c r="Y132" s="383"/>
      <c r="Z132" s="383"/>
      <c r="AA132" s="383"/>
      <c r="AB132" s="383"/>
      <c r="AC132" s="383"/>
      <c r="AD132" s="383"/>
      <c r="AE132" s="383"/>
      <c r="AF132" s="383"/>
      <c r="AG132" s="383"/>
      <c r="AH132" s="383"/>
      <c r="AI132" s="383"/>
      <c r="AJ132" s="383"/>
      <c r="AK132" s="383"/>
      <c r="AL132" s="383"/>
      <c r="AM132" s="383"/>
      <c r="AN132" s="383"/>
      <c r="AO132" s="383"/>
      <c r="AP132" s="383"/>
      <c r="AQ132" s="383"/>
      <c r="AR132" s="383"/>
      <c r="AS132" s="383"/>
      <c r="AT132" s="383"/>
      <c r="AU132" s="383"/>
      <c r="AV132" s="383"/>
      <c r="AW132" s="383"/>
      <c r="AX132" s="383"/>
      <c r="AY132" s="383"/>
      <c r="AZ132" s="383"/>
      <c r="BA132" s="383"/>
      <c r="BB132" s="383"/>
      <c r="BC132" s="383"/>
      <c r="BD132" s="383"/>
      <c r="BE132" s="383"/>
      <c r="BF132" s="383"/>
      <c r="BG132" s="383"/>
      <c r="BH132" s="383"/>
      <c r="BI132" s="383"/>
      <c r="BJ132" s="383"/>
      <c r="BK132" s="383"/>
      <c r="BL132" s="383"/>
      <c r="BM132" s="383"/>
      <c r="BN132" s="383"/>
      <c r="BO132" s="383"/>
      <c r="BP132" s="383"/>
      <c r="BQ132" s="383"/>
      <c r="BR132" s="383"/>
      <c r="BS132" s="383"/>
      <c r="BT132" s="383"/>
      <c r="BU132" s="383"/>
      <c r="BV132" s="383"/>
      <c r="BW132" s="383"/>
      <c r="BX132" s="383"/>
      <c r="BY132" s="383"/>
      <c r="BZ132" s="383"/>
      <c r="CA132" s="383"/>
      <c r="CB132" s="383"/>
      <c r="CC132" s="383"/>
      <c r="CD132" s="383"/>
      <c r="CE132" s="383"/>
      <c r="CF132" s="383"/>
      <c r="CG132" s="383"/>
      <c r="CH132" s="383"/>
      <c r="CI132" s="383"/>
      <c r="CJ132" s="383"/>
      <c r="CK132" s="383"/>
      <c r="CL132" s="383"/>
      <c r="CM132" s="383"/>
      <c r="CN132" s="383"/>
      <c r="CO132" s="383"/>
      <c r="CP132" s="383"/>
      <c r="CQ132" s="383"/>
      <c r="CR132" s="383"/>
      <c r="CS132" s="383"/>
      <c r="CT132" s="383"/>
      <c r="CU132" s="383"/>
      <c r="CV132" s="383"/>
      <c r="CW132" s="383"/>
      <c r="CX132" s="383"/>
      <c r="CY132" s="383"/>
      <c r="CZ132" s="383"/>
      <c r="DA132" s="383"/>
      <c r="DB132" s="383"/>
      <c r="DC132" s="383"/>
      <c r="DD132" s="383"/>
      <c r="DE132" s="383"/>
      <c r="DF132" s="383"/>
      <c r="DG132" s="383"/>
      <c r="DH132" s="383"/>
      <c r="DI132" s="383"/>
      <c r="DJ132" s="383"/>
      <c r="DK132" s="383"/>
      <c r="DL132" s="383"/>
      <c r="DM132" s="383"/>
      <c r="DN132" s="383"/>
      <c r="DO132" s="383"/>
      <c r="DP132" s="383"/>
      <c r="DQ132" s="383"/>
      <c r="DR132" s="383"/>
      <c r="DS132" s="383"/>
      <c r="DT132" s="383"/>
      <c r="DU132" s="383"/>
      <c r="DV132" s="383"/>
      <c r="DW132" s="383"/>
      <c r="DX132" s="383"/>
      <c r="DY132" s="383"/>
      <c r="DZ132" s="383"/>
      <c r="EA132" s="383"/>
      <c r="EB132" s="383"/>
      <c r="EC132" s="383"/>
      <c r="ED132" s="383"/>
      <c r="EE132" s="383"/>
      <c r="EF132" s="383"/>
      <c r="EG132" s="383"/>
      <c r="EH132" s="383"/>
      <c r="EI132" s="383"/>
      <c r="EJ132" s="383"/>
      <c r="EK132" s="383"/>
      <c r="EL132" s="383"/>
      <c r="EM132" s="383"/>
      <c r="EN132" s="383"/>
      <c r="EO132" s="383"/>
      <c r="EP132" s="383"/>
      <c r="EQ132" s="383"/>
      <c r="ER132" s="383"/>
      <c r="ES132" s="383"/>
      <c r="ET132" s="383"/>
      <c r="EU132" s="383"/>
      <c r="EV132" s="383"/>
      <c r="EW132" s="383"/>
      <c r="EX132" s="383"/>
      <c r="EY132" s="383"/>
      <c r="EZ132" s="383"/>
      <c r="FA132" s="383"/>
      <c r="FB132" s="383"/>
      <c r="FC132" s="383"/>
      <c r="FD132" s="383"/>
      <c r="FE132" s="383"/>
      <c r="FF132" s="383"/>
      <c r="FG132" s="383"/>
      <c r="FH132" s="383"/>
      <c r="FI132" s="383"/>
      <c r="FJ132" s="383"/>
      <c r="FK132" s="383"/>
      <c r="FL132" s="383"/>
      <c r="FM132" s="383"/>
      <c r="FN132" s="383"/>
      <c r="FO132" s="383"/>
      <c r="FP132" s="383"/>
      <c r="FQ132" s="383"/>
      <c r="FR132" s="383"/>
      <c r="FS132" s="383"/>
      <c r="FT132" s="383"/>
      <c r="FU132" s="383"/>
      <c r="FV132" s="383"/>
      <c r="FW132" s="383"/>
      <c r="FX132" s="383"/>
      <c r="FY132" s="383"/>
      <c r="FZ132" s="383"/>
      <c r="GA132" s="383"/>
      <c r="GB132" s="383"/>
      <c r="GC132" s="383"/>
      <c r="GD132" s="383"/>
      <c r="GE132" s="383"/>
      <c r="GF132" s="383"/>
      <c r="GG132" s="383"/>
      <c r="GH132" s="383"/>
      <c r="GI132" s="383"/>
      <c r="GJ132" s="383"/>
      <c r="GK132" s="383"/>
      <c r="GL132" s="383"/>
      <c r="GM132" s="383"/>
      <c r="GN132" s="383"/>
      <c r="GO132" s="383"/>
      <c r="GP132" s="383"/>
      <c r="GQ132" s="383"/>
      <c r="GR132" s="383"/>
      <c r="GS132" s="383"/>
      <c r="GT132" s="383"/>
      <c r="GU132" s="383"/>
      <c r="GV132" s="383"/>
      <c r="GW132" s="383"/>
      <c r="GX132" s="383"/>
      <c r="GY132" s="383"/>
      <c r="GZ132" s="383"/>
      <c r="HA132" s="383"/>
      <c r="HB132" s="383"/>
      <c r="HC132" s="383"/>
      <c r="HD132" s="383"/>
      <c r="HE132" s="383"/>
      <c r="HF132" s="383"/>
      <c r="HG132" s="383"/>
      <c r="HH132" s="383"/>
      <c r="HI132" s="383"/>
      <c r="HJ132" s="383"/>
      <c r="HK132" s="383"/>
      <c r="HL132" s="383"/>
      <c r="HM132" s="383"/>
      <c r="HN132" s="383"/>
      <c r="HO132" s="383"/>
      <c r="HP132" s="383"/>
      <c r="HQ132" s="383"/>
      <c r="HR132" s="383"/>
      <c r="HS132" s="383"/>
      <c r="HT132" s="383"/>
      <c r="HU132" s="383"/>
      <c r="HV132" s="383"/>
      <c r="HW132" s="383"/>
      <c r="HX132" s="383"/>
      <c r="HY132" s="383"/>
      <c r="HZ132" s="383"/>
      <c r="IA132" s="383"/>
      <c r="IB132" s="383"/>
      <c r="IC132" s="383"/>
      <c r="ID132" s="383"/>
      <c r="IE132" s="383"/>
      <c r="IF132" s="383"/>
      <c r="IG132" s="383"/>
      <c r="IH132" s="383"/>
      <c r="II132" s="383"/>
      <c r="IJ132" s="383"/>
      <c r="IK132" s="383"/>
      <c r="IL132" s="383"/>
    </row>
    <row r="133" spans="1:247" ht="15" hidden="1" customHeight="1">
      <c r="A133" s="481"/>
      <c r="B133" s="482"/>
      <c r="C133" s="483"/>
      <c r="D133" s="508"/>
      <c r="E133" s="484"/>
      <c r="F133" s="484"/>
      <c r="G133" s="479"/>
      <c r="H133" s="341"/>
      <c r="I133" s="341"/>
      <c r="J133" s="383"/>
      <c r="K133" s="383" t="e">
        <f>VLOOKUP(F133,[6]ISD!$B$11:$F$4861,5,FALSE)</f>
        <v>#N/A</v>
      </c>
      <c r="L133" s="384" t="e">
        <f t="shared" si="10"/>
        <v>#N/A</v>
      </c>
      <c r="M133" s="480"/>
      <c r="N133" s="383" t="b">
        <f t="shared" si="13"/>
        <v>0</v>
      </c>
      <c r="O133" s="383"/>
      <c r="P133" s="383"/>
      <c r="Q133" s="383"/>
      <c r="R133" s="383"/>
      <c r="S133" s="383"/>
      <c r="T133" s="383"/>
      <c r="U133" s="383"/>
      <c r="V133" s="383"/>
      <c r="W133" s="383"/>
      <c r="X133" s="383"/>
      <c r="Y133" s="383"/>
      <c r="Z133" s="383"/>
      <c r="AA133" s="383"/>
      <c r="AB133" s="383"/>
      <c r="AC133" s="383"/>
      <c r="AD133" s="383"/>
      <c r="AE133" s="383"/>
      <c r="AF133" s="383"/>
      <c r="AG133" s="383"/>
      <c r="AH133" s="383"/>
      <c r="AI133" s="383"/>
      <c r="AJ133" s="383"/>
      <c r="AK133" s="383"/>
      <c r="AL133" s="383"/>
      <c r="AM133" s="383"/>
      <c r="AN133" s="383"/>
      <c r="AO133" s="383"/>
      <c r="AP133" s="383"/>
      <c r="AQ133" s="383"/>
      <c r="AR133" s="383"/>
      <c r="AS133" s="383"/>
      <c r="AT133" s="383"/>
      <c r="AU133" s="383"/>
      <c r="AV133" s="383"/>
      <c r="AW133" s="383"/>
      <c r="AX133" s="383"/>
      <c r="AY133" s="383"/>
      <c r="AZ133" s="383"/>
      <c r="BA133" s="383"/>
      <c r="BB133" s="383"/>
      <c r="BC133" s="383"/>
      <c r="BD133" s="383"/>
      <c r="BE133" s="383"/>
      <c r="BF133" s="383"/>
      <c r="BG133" s="383"/>
      <c r="BH133" s="383"/>
      <c r="BI133" s="383"/>
      <c r="BJ133" s="383"/>
      <c r="BK133" s="383"/>
      <c r="BL133" s="383"/>
      <c r="BM133" s="383"/>
      <c r="BN133" s="383"/>
      <c r="BO133" s="383"/>
      <c r="BP133" s="383"/>
      <c r="BQ133" s="383"/>
      <c r="BR133" s="383"/>
      <c r="BS133" s="383"/>
      <c r="BT133" s="383"/>
      <c r="BU133" s="383"/>
      <c r="BV133" s="383"/>
      <c r="BW133" s="383"/>
      <c r="BX133" s="383"/>
      <c r="BY133" s="383"/>
      <c r="BZ133" s="383"/>
      <c r="CA133" s="383"/>
      <c r="CB133" s="383"/>
      <c r="CC133" s="383"/>
      <c r="CD133" s="383"/>
      <c r="CE133" s="383"/>
      <c r="CF133" s="383"/>
      <c r="CG133" s="383"/>
      <c r="CH133" s="383"/>
      <c r="CI133" s="383"/>
      <c r="CJ133" s="383"/>
      <c r="CK133" s="383"/>
      <c r="CL133" s="383"/>
      <c r="CM133" s="383"/>
      <c r="CN133" s="383"/>
      <c r="CO133" s="383"/>
      <c r="CP133" s="383"/>
      <c r="CQ133" s="383"/>
      <c r="CR133" s="383"/>
      <c r="CS133" s="383"/>
      <c r="CT133" s="383"/>
      <c r="CU133" s="383"/>
      <c r="CV133" s="383"/>
      <c r="CW133" s="383"/>
      <c r="CX133" s="383"/>
      <c r="CY133" s="383"/>
      <c r="CZ133" s="383"/>
      <c r="DA133" s="383"/>
      <c r="DB133" s="383"/>
      <c r="DC133" s="383"/>
      <c r="DD133" s="383"/>
      <c r="DE133" s="383"/>
      <c r="DF133" s="383"/>
      <c r="DG133" s="383"/>
      <c r="DH133" s="383"/>
      <c r="DI133" s="383"/>
      <c r="DJ133" s="383"/>
      <c r="DK133" s="383"/>
      <c r="DL133" s="383"/>
      <c r="DM133" s="383"/>
      <c r="DN133" s="383"/>
      <c r="DO133" s="383"/>
      <c r="DP133" s="383"/>
      <c r="DQ133" s="383"/>
      <c r="DR133" s="383"/>
      <c r="DS133" s="383"/>
      <c r="DT133" s="383"/>
      <c r="DU133" s="383"/>
      <c r="DV133" s="383"/>
      <c r="DW133" s="383"/>
      <c r="DX133" s="383"/>
      <c r="DY133" s="383"/>
      <c r="DZ133" s="383"/>
      <c r="EA133" s="383"/>
      <c r="EB133" s="383"/>
      <c r="EC133" s="383"/>
      <c r="ED133" s="383"/>
      <c r="EE133" s="383"/>
      <c r="EF133" s="383"/>
      <c r="EG133" s="383"/>
      <c r="EH133" s="383"/>
      <c r="EI133" s="383"/>
      <c r="EJ133" s="383"/>
      <c r="EK133" s="383"/>
      <c r="EL133" s="383"/>
      <c r="EM133" s="383"/>
      <c r="EN133" s="383"/>
      <c r="EO133" s="383"/>
      <c r="EP133" s="383"/>
      <c r="EQ133" s="383"/>
      <c r="ER133" s="383"/>
      <c r="ES133" s="383"/>
      <c r="ET133" s="383"/>
      <c r="EU133" s="383"/>
      <c r="EV133" s="383"/>
      <c r="EW133" s="383"/>
      <c r="EX133" s="383"/>
      <c r="EY133" s="383"/>
      <c r="EZ133" s="383"/>
      <c r="FA133" s="383"/>
      <c r="FB133" s="383"/>
      <c r="FC133" s="383"/>
      <c r="FD133" s="383"/>
      <c r="FE133" s="383"/>
      <c r="FF133" s="383"/>
      <c r="FG133" s="383"/>
      <c r="FH133" s="383"/>
      <c r="FI133" s="383"/>
      <c r="FJ133" s="383"/>
      <c r="FK133" s="383"/>
      <c r="FL133" s="383"/>
      <c r="FM133" s="383"/>
      <c r="FN133" s="383"/>
      <c r="FO133" s="383"/>
      <c r="FP133" s="383"/>
      <c r="FQ133" s="383"/>
      <c r="FR133" s="383"/>
      <c r="FS133" s="383"/>
      <c r="FT133" s="383"/>
      <c r="FU133" s="383"/>
      <c r="FV133" s="383"/>
      <c r="FW133" s="383"/>
      <c r="FX133" s="383"/>
      <c r="FY133" s="383"/>
      <c r="FZ133" s="383"/>
      <c r="GA133" s="383"/>
      <c r="GB133" s="383"/>
      <c r="GC133" s="383"/>
      <c r="GD133" s="383"/>
      <c r="GE133" s="383"/>
      <c r="GF133" s="383"/>
      <c r="GG133" s="383"/>
      <c r="GH133" s="383"/>
      <c r="GI133" s="383"/>
      <c r="GJ133" s="383"/>
      <c r="GK133" s="383"/>
      <c r="GL133" s="383"/>
      <c r="GM133" s="383"/>
      <c r="GN133" s="383"/>
      <c r="GO133" s="383"/>
      <c r="GP133" s="383"/>
      <c r="GQ133" s="383"/>
      <c r="GR133" s="383"/>
      <c r="GS133" s="383"/>
      <c r="GT133" s="383"/>
      <c r="GU133" s="383"/>
      <c r="GV133" s="383"/>
      <c r="GW133" s="383"/>
      <c r="GX133" s="383"/>
      <c r="GY133" s="383"/>
      <c r="GZ133" s="383"/>
      <c r="HA133" s="383"/>
      <c r="HB133" s="383"/>
      <c r="HC133" s="383"/>
      <c r="HD133" s="383"/>
      <c r="HE133" s="383"/>
      <c r="HF133" s="383"/>
      <c r="HG133" s="383"/>
      <c r="HH133" s="383"/>
      <c r="HI133" s="383"/>
      <c r="HJ133" s="383"/>
      <c r="HK133" s="383"/>
      <c r="HL133" s="383"/>
      <c r="HM133" s="383"/>
      <c r="HN133" s="383"/>
      <c r="HO133" s="383"/>
      <c r="HP133" s="383"/>
      <c r="HQ133" s="383"/>
      <c r="HR133" s="383"/>
      <c r="HS133" s="383"/>
      <c r="HT133" s="383"/>
      <c r="HU133" s="383"/>
      <c r="HV133" s="383"/>
      <c r="HW133" s="383"/>
      <c r="HX133" s="383"/>
      <c r="HY133" s="383"/>
      <c r="HZ133" s="383"/>
      <c r="IA133" s="383"/>
      <c r="IB133" s="383"/>
      <c r="IC133" s="383"/>
      <c r="ID133" s="383"/>
      <c r="IE133" s="383"/>
      <c r="IF133" s="383"/>
      <c r="IG133" s="383"/>
      <c r="IH133" s="383"/>
      <c r="II133" s="383"/>
      <c r="IJ133" s="383"/>
      <c r="IK133" s="383"/>
      <c r="IL133" s="383"/>
    </row>
    <row r="134" spans="1:247" ht="15" hidden="1" customHeight="1">
      <c r="A134" s="481"/>
      <c r="B134" s="482"/>
      <c r="C134" s="483"/>
      <c r="D134" s="508"/>
      <c r="E134" s="484"/>
      <c r="F134" s="484"/>
      <c r="G134" s="479"/>
      <c r="H134" s="341"/>
      <c r="I134" s="341"/>
      <c r="J134" s="383"/>
      <c r="K134" s="383" t="e">
        <f>VLOOKUP(F134,[6]ISD!$B$11:$F$4861,5,FALSE)</f>
        <v>#N/A</v>
      </c>
      <c r="L134" s="384" t="e">
        <f t="shared" si="10"/>
        <v>#N/A</v>
      </c>
      <c r="M134" s="480"/>
      <c r="N134" s="383" t="b">
        <f t="shared" si="13"/>
        <v>0</v>
      </c>
      <c r="O134" s="383"/>
      <c r="P134" s="383"/>
      <c r="Q134" s="383"/>
      <c r="R134" s="383"/>
      <c r="S134" s="383"/>
      <c r="T134" s="383"/>
      <c r="U134" s="383"/>
      <c r="V134" s="383"/>
      <c r="W134" s="383"/>
      <c r="X134" s="383"/>
      <c r="Y134" s="383"/>
      <c r="Z134" s="383"/>
      <c r="AA134" s="383"/>
      <c r="AB134" s="383"/>
      <c r="AC134" s="383"/>
      <c r="AD134" s="383"/>
      <c r="AE134" s="383"/>
      <c r="AF134" s="383"/>
      <c r="AG134" s="383"/>
      <c r="AH134" s="383"/>
      <c r="AI134" s="383"/>
      <c r="AJ134" s="383"/>
      <c r="AK134" s="383"/>
      <c r="AL134" s="383"/>
      <c r="AM134" s="383"/>
      <c r="AN134" s="383"/>
      <c r="AO134" s="383"/>
      <c r="AP134" s="383"/>
      <c r="AQ134" s="383"/>
      <c r="AR134" s="383"/>
      <c r="AS134" s="383"/>
      <c r="AT134" s="383"/>
      <c r="AU134" s="383"/>
      <c r="AV134" s="383"/>
      <c r="AW134" s="383"/>
      <c r="AX134" s="383"/>
      <c r="AY134" s="383"/>
      <c r="AZ134" s="383"/>
      <c r="BA134" s="383"/>
      <c r="BB134" s="383"/>
      <c r="BC134" s="383"/>
      <c r="BD134" s="383"/>
      <c r="BE134" s="383"/>
      <c r="BF134" s="383"/>
      <c r="BG134" s="383"/>
      <c r="BH134" s="383"/>
      <c r="BI134" s="383"/>
      <c r="BJ134" s="383"/>
      <c r="BK134" s="383"/>
      <c r="BL134" s="383"/>
      <c r="BM134" s="383"/>
      <c r="BN134" s="383"/>
      <c r="BO134" s="383"/>
      <c r="BP134" s="383"/>
      <c r="BQ134" s="383"/>
      <c r="BR134" s="383"/>
      <c r="BS134" s="383"/>
      <c r="BT134" s="383"/>
      <c r="BU134" s="383"/>
      <c r="BV134" s="383"/>
      <c r="BW134" s="383"/>
      <c r="BX134" s="383"/>
      <c r="BY134" s="383"/>
      <c r="BZ134" s="383"/>
      <c r="CA134" s="383"/>
      <c r="CB134" s="383"/>
      <c r="CC134" s="383"/>
      <c r="CD134" s="383"/>
      <c r="CE134" s="383"/>
      <c r="CF134" s="383"/>
      <c r="CG134" s="383"/>
      <c r="CH134" s="383"/>
      <c r="CI134" s="383"/>
      <c r="CJ134" s="383"/>
      <c r="CK134" s="383"/>
      <c r="CL134" s="383"/>
      <c r="CM134" s="383"/>
      <c r="CN134" s="383"/>
      <c r="CO134" s="383"/>
      <c r="CP134" s="383"/>
      <c r="CQ134" s="383"/>
      <c r="CR134" s="383"/>
      <c r="CS134" s="383"/>
      <c r="CT134" s="383"/>
      <c r="CU134" s="383"/>
      <c r="CV134" s="383"/>
      <c r="CW134" s="383"/>
      <c r="CX134" s="383"/>
      <c r="CY134" s="383"/>
      <c r="CZ134" s="383"/>
      <c r="DA134" s="383"/>
      <c r="DB134" s="383"/>
      <c r="DC134" s="383"/>
      <c r="DD134" s="383"/>
      <c r="DE134" s="383"/>
      <c r="DF134" s="383"/>
      <c r="DG134" s="383"/>
      <c r="DH134" s="383"/>
      <c r="DI134" s="383"/>
      <c r="DJ134" s="383"/>
      <c r="DK134" s="383"/>
      <c r="DL134" s="383"/>
      <c r="DM134" s="383"/>
      <c r="DN134" s="383"/>
      <c r="DO134" s="383"/>
      <c r="DP134" s="383"/>
      <c r="DQ134" s="383"/>
      <c r="DR134" s="383"/>
      <c r="DS134" s="383"/>
      <c r="DT134" s="383"/>
      <c r="DU134" s="383"/>
      <c r="DV134" s="383"/>
      <c r="DW134" s="383"/>
      <c r="DX134" s="383"/>
      <c r="DY134" s="383"/>
      <c r="DZ134" s="383"/>
      <c r="EA134" s="383"/>
      <c r="EB134" s="383"/>
      <c r="EC134" s="383"/>
      <c r="ED134" s="383"/>
      <c r="EE134" s="383"/>
      <c r="EF134" s="383"/>
      <c r="EG134" s="383"/>
      <c r="EH134" s="383"/>
      <c r="EI134" s="383"/>
      <c r="EJ134" s="383"/>
      <c r="EK134" s="383"/>
      <c r="EL134" s="383"/>
      <c r="EM134" s="383"/>
      <c r="EN134" s="383"/>
      <c r="EO134" s="383"/>
      <c r="EP134" s="383"/>
      <c r="EQ134" s="383"/>
      <c r="ER134" s="383"/>
      <c r="ES134" s="383"/>
      <c r="ET134" s="383"/>
      <c r="EU134" s="383"/>
      <c r="EV134" s="383"/>
      <c r="EW134" s="383"/>
      <c r="EX134" s="383"/>
      <c r="EY134" s="383"/>
      <c r="EZ134" s="383"/>
      <c r="FA134" s="383"/>
      <c r="FB134" s="383"/>
      <c r="FC134" s="383"/>
      <c r="FD134" s="383"/>
      <c r="FE134" s="383"/>
      <c r="FF134" s="383"/>
      <c r="FG134" s="383"/>
      <c r="FH134" s="383"/>
      <c r="FI134" s="383"/>
      <c r="FJ134" s="383"/>
      <c r="FK134" s="383"/>
      <c r="FL134" s="383"/>
      <c r="FM134" s="383"/>
      <c r="FN134" s="383"/>
      <c r="FO134" s="383"/>
      <c r="FP134" s="383"/>
      <c r="FQ134" s="383"/>
      <c r="FR134" s="383"/>
      <c r="FS134" s="383"/>
      <c r="FT134" s="383"/>
      <c r="FU134" s="383"/>
      <c r="FV134" s="383"/>
      <c r="FW134" s="383"/>
      <c r="FX134" s="383"/>
      <c r="FY134" s="383"/>
      <c r="FZ134" s="383"/>
      <c r="GA134" s="383"/>
      <c r="GB134" s="383"/>
      <c r="GC134" s="383"/>
      <c r="GD134" s="383"/>
      <c r="GE134" s="383"/>
      <c r="GF134" s="383"/>
      <c r="GG134" s="383"/>
      <c r="GH134" s="383"/>
      <c r="GI134" s="383"/>
      <c r="GJ134" s="383"/>
      <c r="GK134" s="383"/>
      <c r="GL134" s="383"/>
      <c r="GM134" s="383"/>
      <c r="GN134" s="383"/>
      <c r="GO134" s="383"/>
      <c r="GP134" s="383"/>
      <c r="GQ134" s="383"/>
      <c r="GR134" s="383"/>
      <c r="GS134" s="383"/>
      <c r="GT134" s="383"/>
      <c r="GU134" s="383"/>
      <c r="GV134" s="383"/>
      <c r="GW134" s="383"/>
      <c r="GX134" s="383"/>
      <c r="GY134" s="383"/>
      <c r="GZ134" s="383"/>
      <c r="HA134" s="383"/>
      <c r="HB134" s="383"/>
      <c r="HC134" s="383"/>
      <c r="HD134" s="383"/>
      <c r="HE134" s="383"/>
      <c r="HF134" s="383"/>
      <c r="HG134" s="383"/>
      <c r="HH134" s="383"/>
      <c r="HI134" s="383"/>
      <c r="HJ134" s="383"/>
      <c r="HK134" s="383"/>
      <c r="HL134" s="383"/>
      <c r="HM134" s="383"/>
      <c r="HN134" s="383"/>
      <c r="HO134" s="383"/>
      <c r="HP134" s="383"/>
      <c r="HQ134" s="383"/>
      <c r="HR134" s="383"/>
      <c r="HS134" s="383"/>
      <c r="HT134" s="383"/>
      <c r="HU134" s="383"/>
      <c r="HV134" s="383"/>
      <c r="HW134" s="383"/>
      <c r="HX134" s="383"/>
      <c r="HY134" s="383"/>
      <c r="HZ134" s="383"/>
      <c r="IA134" s="383"/>
      <c r="IB134" s="383"/>
      <c r="IC134" s="383"/>
      <c r="ID134" s="383"/>
      <c r="IE134" s="383"/>
      <c r="IF134" s="383"/>
      <c r="IG134" s="383"/>
      <c r="IH134" s="383"/>
      <c r="II134" s="383"/>
      <c r="IJ134" s="383"/>
      <c r="IK134" s="383"/>
      <c r="IL134" s="383"/>
    </row>
    <row r="135" spans="1:247" ht="15" hidden="1" customHeight="1">
      <c r="A135" s="481"/>
      <c r="B135" s="482"/>
      <c r="C135" s="483"/>
      <c r="D135" s="508"/>
      <c r="E135" s="484"/>
      <c r="F135" s="484"/>
      <c r="G135" s="479"/>
      <c r="H135" s="341"/>
      <c r="I135" s="341"/>
      <c r="J135" s="383"/>
      <c r="K135" s="383" t="e">
        <f>VLOOKUP(F135,[6]ISD!$B$11:$F$4861,5,FALSE)</f>
        <v>#N/A</v>
      </c>
      <c r="L135" s="384" t="e">
        <f t="shared" si="10"/>
        <v>#N/A</v>
      </c>
      <c r="M135" s="480"/>
      <c r="N135" s="383" t="b">
        <f t="shared" si="13"/>
        <v>0</v>
      </c>
      <c r="O135" s="383"/>
      <c r="P135" s="383"/>
      <c r="Q135" s="383"/>
      <c r="R135" s="383"/>
      <c r="S135" s="383"/>
      <c r="T135" s="383"/>
      <c r="U135" s="383"/>
      <c r="V135" s="383"/>
      <c r="W135" s="383"/>
      <c r="X135" s="383"/>
      <c r="Y135" s="383"/>
      <c r="Z135" s="383"/>
      <c r="AA135" s="383"/>
      <c r="AB135" s="383"/>
      <c r="AC135" s="383"/>
      <c r="AD135" s="383"/>
      <c r="AE135" s="383"/>
      <c r="AF135" s="383"/>
      <c r="AG135" s="383"/>
      <c r="AH135" s="383"/>
      <c r="AI135" s="383"/>
      <c r="AJ135" s="383"/>
      <c r="AK135" s="383"/>
      <c r="AL135" s="383"/>
      <c r="AM135" s="383"/>
      <c r="AN135" s="383"/>
      <c r="AO135" s="383"/>
      <c r="AP135" s="383"/>
      <c r="AQ135" s="383"/>
      <c r="AR135" s="383"/>
      <c r="AS135" s="383"/>
      <c r="AT135" s="383"/>
      <c r="AU135" s="383"/>
      <c r="AV135" s="383"/>
      <c r="AW135" s="383"/>
      <c r="AX135" s="383"/>
      <c r="AY135" s="383"/>
      <c r="AZ135" s="383"/>
      <c r="BA135" s="383"/>
      <c r="BB135" s="383"/>
      <c r="BC135" s="383"/>
      <c r="BD135" s="383"/>
      <c r="BE135" s="383"/>
      <c r="BF135" s="383"/>
      <c r="BG135" s="383"/>
      <c r="BH135" s="383"/>
      <c r="BI135" s="383"/>
      <c r="BJ135" s="383"/>
      <c r="BK135" s="383"/>
      <c r="BL135" s="383"/>
      <c r="BM135" s="383"/>
      <c r="BN135" s="383"/>
      <c r="BO135" s="383"/>
      <c r="BP135" s="383"/>
      <c r="BQ135" s="383"/>
      <c r="BR135" s="383"/>
      <c r="BS135" s="383"/>
      <c r="BT135" s="383"/>
      <c r="BU135" s="383"/>
      <c r="BV135" s="383"/>
      <c r="BW135" s="383"/>
      <c r="BX135" s="383"/>
      <c r="BY135" s="383"/>
      <c r="BZ135" s="383"/>
      <c r="CA135" s="383"/>
      <c r="CB135" s="383"/>
      <c r="CC135" s="383"/>
      <c r="CD135" s="383"/>
      <c r="CE135" s="383"/>
      <c r="CF135" s="383"/>
      <c r="CG135" s="383"/>
      <c r="CH135" s="383"/>
      <c r="CI135" s="383"/>
      <c r="CJ135" s="383"/>
      <c r="CK135" s="383"/>
      <c r="CL135" s="383"/>
      <c r="CM135" s="383"/>
      <c r="CN135" s="383"/>
      <c r="CO135" s="383"/>
      <c r="CP135" s="383"/>
      <c r="CQ135" s="383"/>
      <c r="CR135" s="383"/>
      <c r="CS135" s="383"/>
      <c r="CT135" s="383"/>
      <c r="CU135" s="383"/>
      <c r="CV135" s="383"/>
      <c r="CW135" s="383"/>
      <c r="CX135" s="383"/>
      <c r="CY135" s="383"/>
      <c r="CZ135" s="383"/>
      <c r="DA135" s="383"/>
      <c r="DB135" s="383"/>
      <c r="DC135" s="383"/>
      <c r="DD135" s="383"/>
      <c r="DE135" s="383"/>
      <c r="DF135" s="383"/>
      <c r="DG135" s="383"/>
      <c r="DH135" s="383"/>
      <c r="DI135" s="383"/>
      <c r="DJ135" s="383"/>
      <c r="DK135" s="383"/>
      <c r="DL135" s="383"/>
      <c r="DM135" s="383"/>
      <c r="DN135" s="383"/>
      <c r="DO135" s="383"/>
      <c r="DP135" s="383"/>
      <c r="DQ135" s="383"/>
      <c r="DR135" s="383"/>
      <c r="DS135" s="383"/>
      <c r="DT135" s="383"/>
      <c r="DU135" s="383"/>
      <c r="DV135" s="383"/>
      <c r="DW135" s="383"/>
      <c r="DX135" s="383"/>
      <c r="DY135" s="383"/>
      <c r="DZ135" s="383"/>
      <c r="EA135" s="383"/>
      <c r="EB135" s="383"/>
      <c r="EC135" s="383"/>
      <c r="ED135" s="383"/>
      <c r="EE135" s="383"/>
      <c r="EF135" s="383"/>
      <c r="EG135" s="383"/>
      <c r="EH135" s="383"/>
      <c r="EI135" s="383"/>
      <c r="EJ135" s="383"/>
      <c r="EK135" s="383"/>
      <c r="EL135" s="383"/>
      <c r="EM135" s="383"/>
      <c r="EN135" s="383"/>
      <c r="EO135" s="383"/>
      <c r="EP135" s="383"/>
      <c r="EQ135" s="383"/>
      <c r="ER135" s="383"/>
      <c r="ES135" s="383"/>
      <c r="ET135" s="383"/>
      <c r="EU135" s="383"/>
      <c r="EV135" s="383"/>
      <c r="EW135" s="383"/>
      <c r="EX135" s="383"/>
      <c r="EY135" s="383"/>
      <c r="EZ135" s="383"/>
      <c r="FA135" s="383"/>
      <c r="FB135" s="383"/>
      <c r="FC135" s="383"/>
      <c r="FD135" s="383"/>
      <c r="FE135" s="383"/>
      <c r="FF135" s="383"/>
      <c r="FG135" s="383"/>
      <c r="FH135" s="383"/>
      <c r="FI135" s="383"/>
      <c r="FJ135" s="383"/>
      <c r="FK135" s="383"/>
      <c r="FL135" s="383"/>
      <c r="FM135" s="383"/>
      <c r="FN135" s="383"/>
      <c r="FO135" s="383"/>
      <c r="FP135" s="383"/>
      <c r="FQ135" s="383"/>
      <c r="FR135" s="383"/>
      <c r="FS135" s="383"/>
      <c r="FT135" s="383"/>
      <c r="FU135" s="383"/>
      <c r="FV135" s="383"/>
      <c r="FW135" s="383"/>
      <c r="FX135" s="383"/>
      <c r="FY135" s="383"/>
      <c r="FZ135" s="383"/>
      <c r="GA135" s="383"/>
      <c r="GB135" s="383"/>
      <c r="GC135" s="383"/>
      <c r="GD135" s="383"/>
      <c r="GE135" s="383"/>
      <c r="GF135" s="383"/>
      <c r="GG135" s="383"/>
      <c r="GH135" s="383"/>
      <c r="GI135" s="383"/>
      <c r="GJ135" s="383"/>
      <c r="GK135" s="383"/>
      <c r="GL135" s="383"/>
      <c r="GM135" s="383"/>
      <c r="GN135" s="383"/>
      <c r="GO135" s="383"/>
      <c r="GP135" s="383"/>
      <c r="GQ135" s="383"/>
      <c r="GR135" s="383"/>
      <c r="GS135" s="383"/>
      <c r="GT135" s="383"/>
      <c r="GU135" s="383"/>
      <c r="GV135" s="383"/>
      <c r="GW135" s="383"/>
      <c r="GX135" s="383"/>
      <c r="GY135" s="383"/>
      <c r="GZ135" s="383"/>
      <c r="HA135" s="383"/>
      <c r="HB135" s="383"/>
      <c r="HC135" s="383"/>
      <c r="HD135" s="383"/>
      <c r="HE135" s="383"/>
      <c r="HF135" s="383"/>
      <c r="HG135" s="383"/>
      <c r="HH135" s="383"/>
      <c r="HI135" s="383"/>
      <c r="HJ135" s="383"/>
      <c r="HK135" s="383"/>
      <c r="HL135" s="383"/>
      <c r="HM135" s="383"/>
      <c r="HN135" s="383"/>
      <c r="HO135" s="383"/>
      <c r="HP135" s="383"/>
      <c r="HQ135" s="383"/>
      <c r="HR135" s="383"/>
      <c r="HS135" s="383"/>
      <c r="HT135" s="383"/>
      <c r="HU135" s="383"/>
      <c r="HV135" s="383"/>
      <c r="HW135" s="383"/>
      <c r="HX135" s="383"/>
      <c r="HY135" s="383"/>
      <c r="HZ135" s="383"/>
      <c r="IA135" s="383"/>
      <c r="IB135" s="383"/>
      <c r="IC135" s="383"/>
      <c r="ID135" s="383"/>
      <c r="IE135" s="383"/>
      <c r="IF135" s="383"/>
      <c r="IG135" s="383"/>
      <c r="IH135" s="383"/>
      <c r="II135" s="383"/>
      <c r="IJ135" s="383"/>
      <c r="IK135" s="383"/>
      <c r="IL135" s="383"/>
    </row>
    <row r="136" spans="1:247" ht="15" hidden="1" customHeight="1">
      <c r="A136" s="481"/>
      <c r="B136" s="482"/>
      <c r="C136" s="483"/>
      <c r="D136" s="508"/>
      <c r="E136" s="484"/>
      <c r="F136" s="484"/>
      <c r="G136" s="479"/>
      <c r="H136" s="341"/>
      <c r="I136" s="341"/>
      <c r="J136" s="383"/>
      <c r="K136" s="383" t="e">
        <f>VLOOKUP(F136,[6]ISD!$B$11:$F$4861,5,FALSE)</f>
        <v>#N/A</v>
      </c>
      <c r="L136" s="384" t="e">
        <f t="shared" si="10"/>
        <v>#N/A</v>
      </c>
      <c r="M136" s="480"/>
      <c r="N136" s="383" t="b">
        <f t="shared" si="13"/>
        <v>0</v>
      </c>
      <c r="O136" s="383"/>
      <c r="P136" s="383"/>
      <c r="Q136" s="383"/>
      <c r="R136" s="383"/>
      <c r="S136" s="383"/>
      <c r="T136" s="383"/>
      <c r="U136" s="383"/>
      <c r="V136" s="383"/>
      <c r="W136" s="383"/>
      <c r="X136" s="383"/>
      <c r="Y136" s="383"/>
      <c r="Z136" s="383"/>
      <c r="AA136" s="383"/>
      <c r="AB136" s="383"/>
      <c r="AC136" s="383"/>
      <c r="AD136" s="383"/>
      <c r="AE136" s="383"/>
      <c r="AF136" s="383"/>
      <c r="AG136" s="383"/>
      <c r="AH136" s="383"/>
      <c r="AI136" s="383"/>
      <c r="AJ136" s="383"/>
      <c r="AK136" s="383"/>
      <c r="AL136" s="383"/>
      <c r="AM136" s="383"/>
      <c r="AN136" s="383"/>
      <c r="AO136" s="383"/>
      <c r="AP136" s="383"/>
      <c r="AQ136" s="383"/>
      <c r="AR136" s="383"/>
      <c r="AS136" s="383"/>
      <c r="AT136" s="383"/>
      <c r="AU136" s="383"/>
      <c r="AV136" s="383"/>
      <c r="AW136" s="383"/>
      <c r="AX136" s="383"/>
      <c r="AY136" s="383"/>
      <c r="AZ136" s="383"/>
      <c r="BA136" s="383"/>
      <c r="BB136" s="383"/>
      <c r="BC136" s="383"/>
      <c r="BD136" s="383"/>
      <c r="BE136" s="383"/>
      <c r="BF136" s="383"/>
      <c r="BG136" s="383"/>
      <c r="BH136" s="383"/>
      <c r="BI136" s="383"/>
      <c r="BJ136" s="383"/>
      <c r="BK136" s="383"/>
      <c r="BL136" s="383"/>
      <c r="BM136" s="383"/>
      <c r="BN136" s="383"/>
      <c r="BO136" s="383"/>
      <c r="BP136" s="383"/>
      <c r="BQ136" s="383"/>
      <c r="BR136" s="383"/>
      <c r="BS136" s="383"/>
      <c r="BT136" s="383"/>
      <c r="BU136" s="383"/>
      <c r="BV136" s="383"/>
      <c r="BW136" s="383"/>
      <c r="BX136" s="383"/>
      <c r="BY136" s="383"/>
      <c r="BZ136" s="383"/>
      <c r="CA136" s="383"/>
      <c r="CB136" s="383"/>
      <c r="CC136" s="383"/>
      <c r="CD136" s="383"/>
      <c r="CE136" s="383"/>
      <c r="CF136" s="383"/>
      <c r="CG136" s="383"/>
      <c r="CH136" s="383"/>
      <c r="CI136" s="383"/>
      <c r="CJ136" s="383"/>
      <c r="CK136" s="383"/>
      <c r="CL136" s="383"/>
      <c r="CM136" s="383"/>
      <c r="CN136" s="383"/>
      <c r="CO136" s="383"/>
      <c r="CP136" s="383"/>
      <c r="CQ136" s="383"/>
      <c r="CR136" s="383"/>
      <c r="CS136" s="383"/>
      <c r="CT136" s="383"/>
      <c r="CU136" s="383"/>
      <c r="CV136" s="383"/>
      <c r="CW136" s="383"/>
      <c r="CX136" s="383"/>
      <c r="CY136" s="383"/>
      <c r="CZ136" s="383"/>
      <c r="DA136" s="383"/>
      <c r="DB136" s="383"/>
      <c r="DC136" s="383"/>
      <c r="DD136" s="383"/>
      <c r="DE136" s="383"/>
      <c r="DF136" s="383"/>
      <c r="DG136" s="383"/>
      <c r="DH136" s="383"/>
      <c r="DI136" s="383"/>
      <c r="DJ136" s="383"/>
      <c r="DK136" s="383"/>
      <c r="DL136" s="383"/>
      <c r="DM136" s="383"/>
      <c r="DN136" s="383"/>
      <c r="DO136" s="383"/>
      <c r="DP136" s="383"/>
      <c r="DQ136" s="383"/>
      <c r="DR136" s="383"/>
      <c r="DS136" s="383"/>
      <c r="DT136" s="383"/>
      <c r="DU136" s="383"/>
      <c r="DV136" s="383"/>
      <c r="DW136" s="383"/>
      <c r="DX136" s="383"/>
      <c r="DY136" s="383"/>
      <c r="DZ136" s="383"/>
      <c r="EA136" s="383"/>
      <c r="EB136" s="383"/>
      <c r="EC136" s="383"/>
      <c r="ED136" s="383"/>
      <c r="EE136" s="383"/>
      <c r="EF136" s="383"/>
      <c r="EG136" s="383"/>
      <c r="EH136" s="383"/>
      <c r="EI136" s="383"/>
      <c r="EJ136" s="383"/>
      <c r="EK136" s="383"/>
      <c r="EL136" s="383"/>
      <c r="EM136" s="383"/>
      <c r="EN136" s="383"/>
      <c r="EO136" s="383"/>
      <c r="EP136" s="383"/>
      <c r="EQ136" s="383"/>
      <c r="ER136" s="383"/>
      <c r="ES136" s="383"/>
      <c r="ET136" s="383"/>
      <c r="EU136" s="383"/>
      <c r="EV136" s="383"/>
      <c r="EW136" s="383"/>
      <c r="EX136" s="383"/>
      <c r="EY136" s="383"/>
      <c r="EZ136" s="383"/>
      <c r="FA136" s="383"/>
      <c r="FB136" s="383"/>
      <c r="FC136" s="383"/>
      <c r="FD136" s="383"/>
      <c r="FE136" s="383"/>
      <c r="FF136" s="383"/>
      <c r="FG136" s="383"/>
      <c r="FH136" s="383"/>
      <c r="FI136" s="383"/>
      <c r="FJ136" s="383"/>
      <c r="FK136" s="383"/>
      <c r="FL136" s="383"/>
      <c r="FM136" s="383"/>
      <c r="FN136" s="383"/>
      <c r="FO136" s="383"/>
      <c r="FP136" s="383"/>
      <c r="FQ136" s="383"/>
      <c r="FR136" s="383"/>
      <c r="FS136" s="383"/>
      <c r="FT136" s="383"/>
      <c r="FU136" s="383"/>
      <c r="FV136" s="383"/>
      <c r="FW136" s="383"/>
      <c r="FX136" s="383"/>
      <c r="FY136" s="383"/>
      <c r="FZ136" s="383"/>
      <c r="GA136" s="383"/>
      <c r="GB136" s="383"/>
      <c r="GC136" s="383"/>
      <c r="GD136" s="383"/>
      <c r="GE136" s="383"/>
      <c r="GF136" s="383"/>
      <c r="GG136" s="383"/>
      <c r="GH136" s="383"/>
      <c r="GI136" s="383"/>
      <c r="GJ136" s="383"/>
      <c r="GK136" s="383"/>
      <c r="GL136" s="383"/>
      <c r="GM136" s="383"/>
      <c r="GN136" s="383"/>
      <c r="GO136" s="383"/>
      <c r="GP136" s="383"/>
      <c r="GQ136" s="383"/>
      <c r="GR136" s="383"/>
      <c r="GS136" s="383"/>
      <c r="GT136" s="383"/>
      <c r="GU136" s="383"/>
      <c r="GV136" s="383"/>
      <c r="GW136" s="383"/>
      <c r="GX136" s="383"/>
      <c r="GY136" s="383"/>
      <c r="GZ136" s="383"/>
      <c r="HA136" s="383"/>
      <c r="HB136" s="383"/>
      <c r="HC136" s="383"/>
      <c r="HD136" s="383"/>
      <c r="HE136" s="383"/>
      <c r="HF136" s="383"/>
      <c r="HG136" s="383"/>
      <c r="HH136" s="383"/>
      <c r="HI136" s="383"/>
      <c r="HJ136" s="383"/>
      <c r="HK136" s="383"/>
      <c r="HL136" s="383"/>
      <c r="HM136" s="383"/>
      <c r="HN136" s="383"/>
      <c r="HO136" s="383"/>
      <c r="HP136" s="383"/>
      <c r="HQ136" s="383"/>
      <c r="HR136" s="383"/>
      <c r="HS136" s="383"/>
      <c r="HT136" s="383"/>
      <c r="HU136" s="383"/>
      <c r="HV136" s="383"/>
      <c r="HW136" s="383"/>
      <c r="HX136" s="383"/>
      <c r="HY136" s="383"/>
      <c r="HZ136" s="383"/>
      <c r="IA136" s="383"/>
      <c r="IB136" s="383"/>
      <c r="IC136" s="383"/>
      <c r="ID136" s="383"/>
      <c r="IE136" s="383"/>
      <c r="IF136" s="383"/>
      <c r="IG136" s="383"/>
      <c r="IH136" s="383"/>
      <c r="II136" s="383"/>
      <c r="IJ136" s="383"/>
      <c r="IK136" s="383"/>
      <c r="IL136" s="383"/>
    </row>
    <row r="137" spans="1:247" ht="15" hidden="1" customHeight="1">
      <c r="A137" s="481"/>
      <c r="B137" s="482"/>
      <c r="C137" s="483"/>
      <c r="D137" s="508"/>
      <c r="E137" s="484"/>
      <c r="F137" s="484"/>
      <c r="G137" s="479"/>
      <c r="H137" s="341"/>
      <c r="I137" s="341"/>
      <c r="J137" s="383"/>
      <c r="K137" s="383" t="e">
        <f>VLOOKUP(F137,[6]ISD!$B$11:$F$4861,5,FALSE)</f>
        <v>#N/A</v>
      </c>
      <c r="L137" s="384" t="e">
        <f t="shared" si="10"/>
        <v>#N/A</v>
      </c>
      <c r="M137" s="480"/>
      <c r="N137" s="383" t="b">
        <f t="shared" si="13"/>
        <v>0</v>
      </c>
      <c r="O137" s="383"/>
      <c r="P137" s="383"/>
      <c r="Q137" s="383"/>
      <c r="R137" s="383"/>
      <c r="S137" s="383"/>
      <c r="T137" s="383"/>
      <c r="U137" s="383"/>
      <c r="V137" s="383"/>
      <c r="W137" s="383"/>
      <c r="X137" s="383"/>
      <c r="Y137" s="383"/>
      <c r="Z137" s="383"/>
      <c r="AA137" s="383"/>
      <c r="AB137" s="383"/>
      <c r="AC137" s="383"/>
      <c r="AD137" s="383"/>
      <c r="AE137" s="383"/>
      <c r="AF137" s="383"/>
      <c r="AG137" s="383"/>
      <c r="AH137" s="383"/>
      <c r="AI137" s="383"/>
      <c r="AJ137" s="383"/>
      <c r="AK137" s="383"/>
      <c r="AL137" s="383"/>
      <c r="AM137" s="383"/>
      <c r="AN137" s="383"/>
      <c r="AO137" s="383"/>
      <c r="AP137" s="383"/>
      <c r="AQ137" s="383"/>
      <c r="AR137" s="383"/>
      <c r="AS137" s="383"/>
      <c r="AT137" s="383"/>
      <c r="AU137" s="383"/>
      <c r="AV137" s="383"/>
      <c r="AW137" s="383"/>
      <c r="AX137" s="383"/>
      <c r="AY137" s="383"/>
      <c r="AZ137" s="383"/>
      <c r="BA137" s="383"/>
      <c r="BB137" s="383"/>
      <c r="BC137" s="383"/>
      <c r="BD137" s="383"/>
      <c r="BE137" s="383"/>
      <c r="BF137" s="383"/>
      <c r="BG137" s="383"/>
      <c r="BH137" s="383"/>
      <c r="BI137" s="383"/>
      <c r="BJ137" s="383"/>
      <c r="BK137" s="383"/>
      <c r="BL137" s="383"/>
      <c r="BM137" s="383"/>
      <c r="BN137" s="383"/>
      <c r="BO137" s="383"/>
      <c r="BP137" s="383"/>
      <c r="BQ137" s="383"/>
      <c r="BR137" s="383"/>
      <c r="BS137" s="383"/>
      <c r="BT137" s="383"/>
      <c r="BU137" s="383"/>
      <c r="BV137" s="383"/>
      <c r="BW137" s="383"/>
      <c r="BX137" s="383"/>
      <c r="BY137" s="383"/>
      <c r="BZ137" s="383"/>
      <c r="CA137" s="383"/>
      <c r="CB137" s="383"/>
      <c r="CC137" s="383"/>
      <c r="CD137" s="383"/>
      <c r="CE137" s="383"/>
      <c r="CF137" s="383"/>
      <c r="CG137" s="383"/>
      <c r="CH137" s="383"/>
      <c r="CI137" s="383"/>
      <c r="CJ137" s="383"/>
      <c r="CK137" s="383"/>
      <c r="CL137" s="383"/>
      <c r="CM137" s="383"/>
      <c r="CN137" s="383"/>
      <c r="CO137" s="383"/>
      <c r="CP137" s="383"/>
      <c r="CQ137" s="383"/>
      <c r="CR137" s="383"/>
      <c r="CS137" s="383"/>
      <c r="CT137" s="383"/>
      <c r="CU137" s="383"/>
      <c r="CV137" s="383"/>
      <c r="CW137" s="383"/>
      <c r="CX137" s="383"/>
      <c r="CY137" s="383"/>
      <c r="CZ137" s="383"/>
      <c r="DA137" s="383"/>
      <c r="DB137" s="383"/>
      <c r="DC137" s="383"/>
      <c r="DD137" s="383"/>
      <c r="DE137" s="383"/>
      <c r="DF137" s="383"/>
      <c r="DG137" s="383"/>
      <c r="DH137" s="383"/>
      <c r="DI137" s="383"/>
      <c r="DJ137" s="383"/>
      <c r="DK137" s="383"/>
      <c r="DL137" s="383"/>
      <c r="DM137" s="383"/>
      <c r="DN137" s="383"/>
      <c r="DO137" s="383"/>
      <c r="DP137" s="383"/>
      <c r="DQ137" s="383"/>
      <c r="DR137" s="383"/>
      <c r="DS137" s="383"/>
      <c r="DT137" s="383"/>
      <c r="DU137" s="383"/>
      <c r="DV137" s="383"/>
      <c r="DW137" s="383"/>
      <c r="DX137" s="383"/>
      <c r="DY137" s="383"/>
      <c r="DZ137" s="383"/>
      <c r="EA137" s="383"/>
      <c r="EB137" s="383"/>
      <c r="EC137" s="383"/>
      <c r="ED137" s="383"/>
      <c r="EE137" s="383"/>
      <c r="EF137" s="383"/>
      <c r="EG137" s="383"/>
      <c r="EH137" s="383"/>
      <c r="EI137" s="383"/>
      <c r="EJ137" s="383"/>
      <c r="EK137" s="383"/>
      <c r="EL137" s="383"/>
      <c r="EM137" s="383"/>
      <c r="EN137" s="383"/>
      <c r="EO137" s="383"/>
      <c r="EP137" s="383"/>
      <c r="EQ137" s="383"/>
      <c r="ER137" s="383"/>
      <c r="ES137" s="383"/>
      <c r="ET137" s="383"/>
      <c r="EU137" s="383"/>
      <c r="EV137" s="383"/>
      <c r="EW137" s="383"/>
      <c r="EX137" s="383"/>
      <c r="EY137" s="383"/>
      <c r="EZ137" s="383"/>
      <c r="FA137" s="383"/>
      <c r="FB137" s="383"/>
      <c r="FC137" s="383"/>
      <c r="FD137" s="383"/>
      <c r="FE137" s="383"/>
      <c r="FF137" s="383"/>
      <c r="FG137" s="383"/>
      <c r="FH137" s="383"/>
      <c r="FI137" s="383"/>
      <c r="FJ137" s="383"/>
      <c r="FK137" s="383"/>
      <c r="FL137" s="383"/>
      <c r="FM137" s="383"/>
      <c r="FN137" s="383"/>
      <c r="FO137" s="383"/>
      <c r="FP137" s="383"/>
      <c r="FQ137" s="383"/>
      <c r="FR137" s="383"/>
      <c r="FS137" s="383"/>
      <c r="FT137" s="383"/>
      <c r="FU137" s="383"/>
      <c r="FV137" s="383"/>
      <c r="FW137" s="383"/>
      <c r="FX137" s="383"/>
      <c r="FY137" s="383"/>
      <c r="FZ137" s="383"/>
      <c r="GA137" s="383"/>
      <c r="GB137" s="383"/>
      <c r="GC137" s="383"/>
      <c r="GD137" s="383"/>
      <c r="GE137" s="383"/>
      <c r="GF137" s="383"/>
      <c r="GG137" s="383"/>
      <c r="GH137" s="383"/>
      <c r="GI137" s="383"/>
      <c r="GJ137" s="383"/>
      <c r="GK137" s="383"/>
      <c r="GL137" s="383"/>
      <c r="GM137" s="383"/>
      <c r="GN137" s="383"/>
      <c r="GO137" s="383"/>
      <c r="GP137" s="383"/>
      <c r="GQ137" s="383"/>
      <c r="GR137" s="383"/>
      <c r="GS137" s="383"/>
      <c r="GT137" s="383"/>
      <c r="GU137" s="383"/>
      <c r="GV137" s="383"/>
      <c r="GW137" s="383"/>
      <c r="GX137" s="383"/>
      <c r="GY137" s="383"/>
      <c r="GZ137" s="383"/>
      <c r="HA137" s="383"/>
      <c r="HB137" s="383"/>
      <c r="HC137" s="383"/>
      <c r="HD137" s="383"/>
      <c r="HE137" s="383"/>
      <c r="HF137" s="383"/>
      <c r="HG137" s="383"/>
      <c r="HH137" s="383"/>
      <c r="HI137" s="383"/>
      <c r="HJ137" s="383"/>
      <c r="HK137" s="383"/>
      <c r="HL137" s="383"/>
      <c r="HM137" s="383"/>
      <c r="HN137" s="383"/>
      <c r="HO137" s="383"/>
      <c r="HP137" s="383"/>
      <c r="HQ137" s="383"/>
      <c r="HR137" s="383"/>
      <c r="HS137" s="383"/>
      <c r="HT137" s="383"/>
      <c r="HU137" s="383"/>
      <c r="HV137" s="383"/>
      <c r="HW137" s="383"/>
      <c r="HX137" s="383"/>
      <c r="HY137" s="383"/>
      <c r="HZ137" s="383"/>
      <c r="IA137" s="383"/>
      <c r="IB137" s="383"/>
      <c r="IC137" s="383"/>
      <c r="ID137" s="383"/>
      <c r="IE137" s="383"/>
      <c r="IF137" s="383"/>
      <c r="IG137" s="383"/>
      <c r="IH137" s="383"/>
      <c r="II137" s="383"/>
      <c r="IJ137" s="383"/>
      <c r="IK137" s="383"/>
      <c r="IL137" s="383"/>
    </row>
    <row r="138" spans="1:247" ht="15" hidden="1" customHeight="1">
      <c r="A138" s="481"/>
      <c r="B138" s="482"/>
      <c r="C138" s="483"/>
      <c r="D138" s="508"/>
      <c r="E138" s="484"/>
      <c r="F138" s="484"/>
      <c r="G138" s="479"/>
      <c r="H138" s="341"/>
      <c r="I138" s="341"/>
      <c r="J138" s="383"/>
      <c r="K138" s="383" t="e">
        <f>VLOOKUP(F138,[6]ISD!$B$11:$F$4861,5,FALSE)</f>
        <v>#N/A</v>
      </c>
      <c r="L138" s="384" t="e">
        <f t="shared" si="10"/>
        <v>#N/A</v>
      </c>
      <c r="M138" s="480"/>
      <c r="N138" s="383" t="b">
        <f t="shared" si="13"/>
        <v>0</v>
      </c>
      <c r="O138" s="383"/>
      <c r="P138" s="383"/>
      <c r="Q138" s="383"/>
      <c r="R138" s="383"/>
      <c r="S138" s="383"/>
      <c r="T138" s="383"/>
      <c r="U138" s="383"/>
      <c r="V138" s="383"/>
      <c r="W138" s="383"/>
      <c r="X138" s="383"/>
      <c r="Y138" s="383"/>
      <c r="Z138" s="383"/>
      <c r="AA138" s="383"/>
      <c r="AB138" s="383"/>
      <c r="AC138" s="383"/>
      <c r="AD138" s="383"/>
      <c r="AE138" s="383"/>
      <c r="AF138" s="383"/>
      <c r="AG138" s="383"/>
      <c r="AH138" s="383"/>
      <c r="AI138" s="383"/>
      <c r="AJ138" s="383"/>
      <c r="AK138" s="383"/>
      <c r="AL138" s="383"/>
      <c r="AM138" s="383"/>
      <c r="AN138" s="383"/>
      <c r="AO138" s="383"/>
      <c r="AP138" s="383"/>
      <c r="AQ138" s="383"/>
      <c r="AR138" s="383"/>
      <c r="AS138" s="383"/>
      <c r="AT138" s="383"/>
      <c r="AU138" s="383"/>
      <c r="AV138" s="383"/>
      <c r="AW138" s="383"/>
      <c r="AX138" s="383"/>
      <c r="AY138" s="383"/>
      <c r="AZ138" s="383"/>
      <c r="BA138" s="383"/>
      <c r="BB138" s="383"/>
      <c r="BC138" s="383"/>
      <c r="BD138" s="383"/>
      <c r="BE138" s="383"/>
      <c r="BF138" s="383"/>
      <c r="BG138" s="383"/>
      <c r="BH138" s="383"/>
      <c r="BI138" s="383"/>
      <c r="BJ138" s="383"/>
      <c r="BK138" s="383"/>
      <c r="BL138" s="383"/>
      <c r="BM138" s="383"/>
      <c r="BN138" s="383"/>
      <c r="BO138" s="383"/>
      <c r="BP138" s="383"/>
      <c r="BQ138" s="383"/>
      <c r="BR138" s="383"/>
      <c r="BS138" s="383"/>
      <c r="BT138" s="383"/>
      <c r="BU138" s="383"/>
      <c r="BV138" s="383"/>
      <c r="BW138" s="383"/>
      <c r="BX138" s="383"/>
      <c r="BY138" s="383"/>
      <c r="BZ138" s="383"/>
      <c r="CA138" s="383"/>
      <c r="CB138" s="383"/>
      <c r="CC138" s="383"/>
      <c r="CD138" s="383"/>
      <c r="CE138" s="383"/>
      <c r="CF138" s="383"/>
      <c r="CG138" s="383"/>
      <c r="CH138" s="383"/>
      <c r="CI138" s="383"/>
      <c r="CJ138" s="383"/>
      <c r="CK138" s="383"/>
      <c r="CL138" s="383"/>
      <c r="CM138" s="383"/>
      <c r="CN138" s="383"/>
      <c r="CO138" s="383"/>
      <c r="CP138" s="383"/>
      <c r="CQ138" s="383"/>
      <c r="CR138" s="383"/>
      <c r="CS138" s="383"/>
      <c r="CT138" s="383"/>
      <c r="CU138" s="383"/>
      <c r="CV138" s="383"/>
      <c r="CW138" s="383"/>
      <c r="CX138" s="383"/>
      <c r="CY138" s="383"/>
      <c r="CZ138" s="383"/>
      <c r="DA138" s="383"/>
      <c r="DB138" s="383"/>
      <c r="DC138" s="383"/>
      <c r="DD138" s="383"/>
      <c r="DE138" s="383"/>
      <c r="DF138" s="383"/>
      <c r="DG138" s="383"/>
      <c r="DH138" s="383"/>
      <c r="DI138" s="383"/>
      <c r="DJ138" s="383"/>
      <c r="DK138" s="383"/>
      <c r="DL138" s="383"/>
      <c r="DM138" s="383"/>
      <c r="DN138" s="383"/>
      <c r="DO138" s="383"/>
      <c r="DP138" s="383"/>
      <c r="DQ138" s="383"/>
      <c r="DR138" s="383"/>
      <c r="DS138" s="383"/>
      <c r="DT138" s="383"/>
      <c r="DU138" s="383"/>
      <c r="DV138" s="383"/>
      <c r="DW138" s="383"/>
      <c r="DX138" s="383"/>
      <c r="DY138" s="383"/>
      <c r="DZ138" s="383"/>
      <c r="EA138" s="383"/>
      <c r="EB138" s="383"/>
      <c r="EC138" s="383"/>
      <c r="ED138" s="383"/>
      <c r="EE138" s="383"/>
      <c r="EF138" s="383"/>
      <c r="EG138" s="383"/>
      <c r="EH138" s="383"/>
      <c r="EI138" s="383"/>
      <c r="EJ138" s="383"/>
      <c r="EK138" s="383"/>
      <c r="EL138" s="383"/>
      <c r="EM138" s="383"/>
      <c r="EN138" s="383"/>
      <c r="EO138" s="383"/>
      <c r="EP138" s="383"/>
      <c r="EQ138" s="383"/>
      <c r="ER138" s="383"/>
      <c r="ES138" s="383"/>
      <c r="ET138" s="383"/>
      <c r="EU138" s="383"/>
      <c r="EV138" s="383"/>
      <c r="EW138" s="383"/>
      <c r="EX138" s="383"/>
      <c r="EY138" s="383"/>
      <c r="EZ138" s="383"/>
      <c r="FA138" s="383"/>
      <c r="FB138" s="383"/>
      <c r="FC138" s="383"/>
      <c r="FD138" s="383"/>
      <c r="FE138" s="383"/>
      <c r="FF138" s="383"/>
      <c r="FG138" s="383"/>
      <c r="FH138" s="383"/>
      <c r="FI138" s="383"/>
      <c r="FJ138" s="383"/>
      <c r="FK138" s="383"/>
      <c r="FL138" s="383"/>
      <c r="FM138" s="383"/>
      <c r="FN138" s="383"/>
      <c r="FO138" s="383"/>
      <c r="FP138" s="383"/>
      <c r="FQ138" s="383"/>
      <c r="FR138" s="383"/>
      <c r="FS138" s="383"/>
      <c r="FT138" s="383"/>
      <c r="FU138" s="383"/>
      <c r="FV138" s="383"/>
      <c r="FW138" s="383"/>
      <c r="FX138" s="383"/>
      <c r="FY138" s="383"/>
      <c r="FZ138" s="383"/>
      <c r="GA138" s="383"/>
      <c r="GB138" s="383"/>
      <c r="GC138" s="383"/>
      <c r="GD138" s="383"/>
      <c r="GE138" s="383"/>
      <c r="GF138" s="383"/>
      <c r="GG138" s="383"/>
      <c r="GH138" s="383"/>
      <c r="GI138" s="383"/>
      <c r="GJ138" s="383"/>
      <c r="GK138" s="383"/>
      <c r="GL138" s="383"/>
      <c r="GM138" s="383"/>
      <c r="GN138" s="383"/>
      <c r="GO138" s="383"/>
      <c r="GP138" s="383"/>
      <c r="GQ138" s="383"/>
      <c r="GR138" s="383"/>
      <c r="GS138" s="383"/>
      <c r="GT138" s="383"/>
      <c r="GU138" s="383"/>
      <c r="GV138" s="383"/>
      <c r="GW138" s="383"/>
      <c r="GX138" s="383"/>
      <c r="GY138" s="383"/>
      <c r="GZ138" s="383"/>
      <c r="HA138" s="383"/>
      <c r="HB138" s="383"/>
      <c r="HC138" s="383"/>
      <c r="HD138" s="383"/>
      <c r="HE138" s="383"/>
      <c r="HF138" s="383"/>
      <c r="HG138" s="383"/>
      <c r="HH138" s="383"/>
      <c r="HI138" s="383"/>
      <c r="HJ138" s="383"/>
      <c r="HK138" s="383"/>
      <c r="HL138" s="383"/>
      <c r="HM138" s="383"/>
      <c r="HN138" s="383"/>
      <c r="HO138" s="383"/>
      <c r="HP138" s="383"/>
      <c r="HQ138" s="383"/>
      <c r="HR138" s="383"/>
      <c r="HS138" s="383"/>
      <c r="HT138" s="383"/>
      <c r="HU138" s="383"/>
      <c r="HV138" s="383"/>
      <c r="HW138" s="383"/>
      <c r="HX138" s="383"/>
      <c r="HY138" s="383"/>
      <c r="HZ138" s="383"/>
      <c r="IA138" s="383"/>
      <c r="IB138" s="383"/>
      <c r="IC138" s="383"/>
      <c r="ID138" s="383"/>
      <c r="IE138" s="383"/>
      <c r="IF138" s="383"/>
      <c r="IG138" s="383"/>
      <c r="IH138" s="383"/>
      <c r="II138" s="383"/>
      <c r="IJ138" s="383"/>
      <c r="IK138" s="383"/>
      <c r="IL138" s="383"/>
    </row>
    <row r="139" spans="1:247" ht="15" hidden="1" customHeight="1">
      <c r="A139" s="481"/>
      <c r="B139" s="482"/>
      <c r="C139" s="483"/>
      <c r="D139" s="508"/>
      <c r="E139" s="484"/>
      <c r="F139" s="484"/>
      <c r="G139" s="479"/>
      <c r="H139" s="341"/>
      <c r="I139" s="341"/>
      <c r="J139" s="383"/>
      <c r="K139" s="383" t="e">
        <f>VLOOKUP(F139,[6]ISD!$B$11:$F$4861,5,FALSE)</f>
        <v>#N/A</v>
      </c>
      <c r="L139" s="384" t="e">
        <f t="shared" ref="L139:L178" si="16">IF(D139=K139,"OK",IF(K139="OK","OK","VERIFICAR"))</f>
        <v>#N/A</v>
      </c>
      <c r="M139" s="480"/>
      <c r="N139" s="383" t="b">
        <f t="shared" si="13"/>
        <v>0</v>
      </c>
      <c r="O139" s="383"/>
      <c r="P139" s="383"/>
      <c r="Q139" s="383"/>
      <c r="R139" s="383"/>
      <c r="S139" s="383"/>
      <c r="T139" s="383"/>
      <c r="U139" s="383"/>
      <c r="V139" s="383"/>
      <c r="W139" s="383"/>
      <c r="X139" s="383"/>
      <c r="Y139" s="383"/>
      <c r="Z139" s="383"/>
      <c r="AA139" s="383"/>
      <c r="AB139" s="383"/>
      <c r="AC139" s="383"/>
      <c r="AD139" s="383"/>
      <c r="AE139" s="383"/>
      <c r="AF139" s="383"/>
      <c r="AG139" s="383"/>
      <c r="AH139" s="383"/>
      <c r="AI139" s="383"/>
      <c r="AJ139" s="383"/>
      <c r="AK139" s="383"/>
      <c r="AL139" s="383"/>
      <c r="AM139" s="383"/>
      <c r="AN139" s="383"/>
      <c r="AO139" s="383"/>
      <c r="AP139" s="383"/>
      <c r="AQ139" s="383"/>
      <c r="AR139" s="383"/>
      <c r="AS139" s="383"/>
      <c r="AT139" s="383"/>
      <c r="AU139" s="383"/>
      <c r="AV139" s="383"/>
      <c r="AW139" s="383"/>
      <c r="AX139" s="383"/>
      <c r="AY139" s="383"/>
      <c r="AZ139" s="383"/>
      <c r="BA139" s="383"/>
      <c r="BB139" s="383"/>
      <c r="BC139" s="383"/>
      <c r="BD139" s="383"/>
      <c r="BE139" s="383"/>
      <c r="BF139" s="383"/>
      <c r="BG139" s="383"/>
      <c r="BH139" s="383"/>
      <c r="BI139" s="383"/>
      <c r="BJ139" s="383"/>
      <c r="BK139" s="383"/>
      <c r="BL139" s="383"/>
      <c r="BM139" s="383"/>
      <c r="BN139" s="383"/>
      <c r="BO139" s="383"/>
      <c r="BP139" s="383"/>
      <c r="BQ139" s="383"/>
      <c r="BR139" s="383"/>
      <c r="BS139" s="383"/>
      <c r="BT139" s="383"/>
      <c r="BU139" s="383"/>
      <c r="BV139" s="383"/>
      <c r="BW139" s="383"/>
      <c r="BX139" s="383"/>
      <c r="BY139" s="383"/>
      <c r="BZ139" s="383"/>
      <c r="CA139" s="383"/>
      <c r="CB139" s="383"/>
      <c r="CC139" s="383"/>
      <c r="CD139" s="383"/>
      <c r="CE139" s="383"/>
      <c r="CF139" s="383"/>
      <c r="CG139" s="383"/>
      <c r="CH139" s="383"/>
      <c r="CI139" s="383"/>
      <c r="CJ139" s="383"/>
      <c r="CK139" s="383"/>
      <c r="CL139" s="383"/>
      <c r="CM139" s="383"/>
      <c r="CN139" s="383"/>
      <c r="CO139" s="383"/>
      <c r="CP139" s="383"/>
      <c r="CQ139" s="383"/>
      <c r="CR139" s="383"/>
      <c r="CS139" s="383"/>
      <c r="CT139" s="383"/>
      <c r="CU139" s="383"/>
      <c r="CV139" s="383"/>
      <c r="CW139" s="383"/>
      <c r="CX139" s="383"/>
      <c r="CY139" s="383"/>
      <c r="CZ139" s="383"/>
      <c r="DA139" s="383"/>
      <c r="DB139" s="383"/>
      <c r="DC139" s="383"/>
      <c r="DD139" s="383"/>
      <c r="DE139" s="383"/>
      <c r="DF139" s="383"/>
      <c r="DG139" s="383"/>
      <c r="DH139" s="383"/>
      <c r="DI139" s="383"/>
      <c r="DJ139" s="383"/>
      <c r="DK139" s="383"/>
      <c r="DL139" s="383"/>
      <c r="DM139" s="383"/>
      <c r="DN139" s="383"/>
      <c r="DO139" s="383"/>
      <c r="DP139" s="383"/>
      <c r="DQ139" s="383"/>
      <c r="DR139" s="383"/>
      <c r="DS139" s="383"/>
      <c r="DT139" s="383"/>
      <c r="DU139" s="383"/>
      <c r="DV139" s="383"/>
      <c r="DW139" s="383"/>
      <c r="DX139" s="383"/>
      <c r="DY139" s="383"/>
      <c r="DZ139" s="383"/>
      <c r="EA139" s="383"/>
      <c r="EB139" s="383"/>
      <c r="EC139" s="383"/>
      <c r="ED139" s="383"/>
      <c r="EE139" s="383"/>
      <c r="EF139" s="383"/>
      <c r="EG139" s="383"/>
      <c r="EH139" s="383"/>
      <c r="EI139" s="383"/>
      <c r="EJ139" s="383"/>
      <c r="EK139" s="383"/>
      <c r="EL139" s="383"/>
      <c r="EM139" s="383"/>
      <c r="EN139" s="383"/>
      <c r="EO139" s="383"/>
      <c r="EP139" s="383"/>
      <c r="EQ139" s="383"/>
      <c r="ER139" s="383"/>
      <c r="ES139" s="383"/>
      <c r="ET139" s="383"/>
      <c r="EU139" s="383"/>
      <c r="EV139" s="383"/>
      <c r="EW139" s="383"/>
      <c r="EX139" s="383"/>
      <c r="EY139" s="383"/>
      <c r="EZ139" s="383"/>
      <c r="FA139" s="383"/>
      <c r="FB139" s="383"/>
      <c r="FC139" s="383"/>
      <c r="FD139" s="383"/>
      <c r="FE139" s="383"/>
      <c r="FF139" s="383"/>
      <c r="FG139" s="383"/>
      <c r="FH139" s="383"/>
      <c r="FI139" s="383"/>
      <c r="FJ139" s="383"/>
      <c r="FK139" s="383"/>
      <c r="FL139" s="383"/>
      <c r="FM139" s="383"/>
      <c r="FN139" s="383"/>
      <c r="FO139" s="383"/>
      <c r="FP139" s="383"/>
      <c r="FQ139" s="383"/>
      <c r="FR139" s="383"/>
      <c r="FS139" s="383"/>
      <c r="FT139" s="383"/>
      <c r="FU139" s="383"/>
      <c r="FV139" s="383"/>
      <c r="FW139" s="383"/>
      <c r="FX139" s="383"/>
      <c r="FY139" s="383"/>
      <c r="FZ139" s="383"/>
      <c r="GA139" s="383"/>
      <c r="GB139" s="383"/>
      <c r="GC139" s="383"/>
      <c r="GD139" s="383"/>
      <c r="GE139" s="383"/>
      <c r="GF139" s="383"/>
      <c r="GG139" s="383"/>
      <c r="GH139" s="383"/>
      <c r="GI139" s="383"/>
      <c r="GJ139" s="383"/>
      <c r="GK139" s="383"/>
      <c r="GL139" s="383"/>
      <c r="GM139" s="383"/>
      <c r="GN139" s="383"/>
      <c r="GO139" s="383"/>
      <c r="GP139" s="383"/>
      <c r="GQ139" s="383"/>
      <c r="GR139" s="383"/>
      <c r="GS139" s="383"/>
      <c r="GT139" s="383"/>
      <c r="GU139" s="383"/>
      <c r="GV139" s="383"/>
      <c r="GW139" s="383"/>
      <c r="GX139" s="383"/>
      <c r="GY139" s="383"/>
      <c r="GZ139" s="383"/>
      <c r="HA139" s="383"/>
      <c r="HB139" s="383"/>
      <c r="HC139" s="383"/>
      <c r="HD139" s="383"/>
      <c r="HE139" s="383"/>
      <c r="HF139" s="383"/>
      <c r="HG139" s="383"/>
      <c r="HH139" s="383"/>
      <c r="HI139" s="383"/>
      <c r="HJ139" s="383"/>
      <c r="HK139" s="383"/>
      <c r="HL139" s="383"/>
      <c r="HM139" s="383"/>
      <c r="HN139" s="383"/>
      <c r="HO139" s="383"/>
      <c r="HP139" s="383"/>
      <c r="HQ139" s="383"/>
      <c r="HR139" s="383"/>
      <c r="HS139" s="383"/>
      <c r="HT139" s="383"/>
      <c r="HU139" s="383"/>
      <c r="HV139" s="383"/>
      <c r="HW139" s="383"/>
      <c r="HX139" s="383"/>
      <c r="HY139" s="383"/>
      <c r="HZ139" s="383"/>
      <c r="IA139" s="383"/>
      <c r="IB139" s="383"/>
      <c r="IC139" s="383"/>
      <c r="ID139" s="383"/>
      <c r="IE139" s="383"/>
      <c r="IF139" s="383"/>
      <c r="IG139" s="383"/>
      <c r="IH139" s="383"/>
      <c r="II139" s="383"/>
      <c r="IJ139" s="383"/>
      <c r="IK139" s="383"/>
      <c r="IL139" s="383"/>
    </row>
    <row r="140" spans="1:247" ht="15" hidden="1" customHeight="1" thickBot="1">
      <c r="A140" s="503"/>
      <c r="B140" s="490"/>
      <c r="C140" s="491"/>
      <c r="D140" s="492"/>
      <c r="E140" s="494"/>
      <c r="F140" s="494"/>
      <c r="G140" s="509"/>
      <c r="H140" s="341"/>
      <c r="I140" s="341"/>
      <c r="J140" s="383"/>
      <c r="K140" s="383" t="e">
        <f>VLOOKUP(F140,[6]ISD!$B$11:$F$4861,5,FALSE)</f>
        <v>#N/A</v>
      </c>
      <c r="L140" s="384" t="e">
        <f t="shared" si="16"/>
        <v>#N/A</v>
      </c>
      <c r="M140" s="480"/>
      <c r="N140" s="383" t="b">
        <f t="shared" si="13"/>
        <v>0</v>
      </c>
      <c r="O140" s="383"/>
      <c r="P140" s="383"/>
      <c r="Q140" s="383"/>
      <c r="R140" s="383"/>
      <c r="S140" s="383"/>
      <c r="T140" s="383"/>
      <c r="U140" s="383"/>
      <c r="V140" s="383"/>
      <c r="W140" s="383"/>
      <c r="X140" s="383"/>
      <c r="Y140" s="383"/>
      <c r="Z140" s="383"/>
      <c r="AA140" s="383"/>
      <c r="AB140" s="383"/>
      <c r="AC140" s="383"/>
      <c r="AD140" s="383"/>
      <c r="AE140" s="383"/>
      <c r="AF140" s="383"/>
      <c r="AG140" s="383"/>
      <c r="AH140" s="383"/>
      <c r="AI140" s="383"/>
      <c r="AJ140" s="383"/>
      <c r="AK140" s="383"/>
      <c r="AL140" s="383"/>
      <c r="AM140" s="383"/>
      <c r="AN140" s="383"/>
      <c r="AO140" s="383"/>
      <c r="AP140" s="383"/>
      <c r="AQ140" s="383"/>
      <c r="AR140" s="383"/>
      <c r="AS140" s="383"/>
      <c r="AT140" s="383"/>
      <c r="AU140" s="383"/>
      <c r="AV140" s="383"/>
      <c r="AW140" s="383"/>
      <c r="AX140" s="383"/>
      <c r="AY140" s="383"/>
      <c r="AZ140" s="383"/>
      <c r="BA140" s="383"/>
      <c r="BB140" s="383"/>
      <c r="BC140" s="383"/>
      <c r="BD140" s="383"/>
      <c r="BE140" s="383"/>
      <c r="BF140" s="383"/>
      <c r="BG140" s="383"/>
      <c r="BH140" s="383"/>
      <c r="BI140" s="383"/>
      <c r="BJ140" s="383"/>
      <c r="BK140" s="383"/>
      <c r="BL140" s="383"/>
      <c r="BM140" s="383"/>
      <c r="BN140" s="383"/>
      <c r="BO140" s="383"/>
      <c r="BP140" s="383"/>
      <c r="BQ140" s="383"/>
      <c r="BR140" s="383"/>
      <c r="BS140" s="383"/>
      <c r="BT140" s="383"/>
      <c r="BU140" s="383"/>
      <c r="BV140" s="383"/>
      <c r="BW140" s="383"/>
      <c r="BX140" s="383"/>
      <c r="BY140" s="383"/>
      <c r="BZ140" s="383"/>
      <c r="CA140" s="383"/>
      <c r="CB140" s="383"/>
      <c r="CC140" s="383"/>
      <c r="CD140" s="383"/>
      <c r="CE140" s="383"/>
      <c r="CF140" s="383"/>
      <c r="CG140" s="383"/>
      <c r="CH140" s="383"/>
      <c r="CI140" s="383"/>
      <c r="CJ140" s="383"/>
      <c r="CK140" s="383"/>
      <c r="CL140" s="383"/>
      <c r="CM140" s="383"/>
      <c r="CN140" s="383"/>
      <c r="CO140" s="383"/>
      <c r="CP140" s="383"/>
      <c r="CQ140" s="383"/>
      <c r="CR140" s="383"/>
      <c r="CS140" s="383"/>
      <c r="CT140" s="383"/>
      <c r="CU140" s="383"/>
      <c r="CV140" s="383"/>
      <c r="CW140" s="383"/>
      <c r="CX140" s="383"/>
      <c r="CY140" s="383"/>
      <c r="CZ140" s="383"/>
      <c r="DA140" s="383"/>
      <c r="DB140" s="383"/>
      <c r="DC140" s="383"/>
      <c r="DD140" s="383"/>
      <c r="DE140" s="383"/>
      <c r="DF140" s="383"/>
      <c r="DG140" s="383"/>
      <c r="DH140" s="383"/>
      <c r="DI140" s="383"/>
      <c r="DJ140" s="383"/>
      <c r="DK140" s="383"/>
      <c r="DL140" s="383"/>
      <c r="DM140" s="383"/>
      <c r="DN140" s="383"/>
      <c r="DO140" s="383"/>
      <c r="DP140" s="383"/>
      <c r="DQ140" s="383"/>
      <c r="DR140" s="383"/>
      <c r="DS140" s="383"/>
      <c r="DT140" s="383"/>
      <c r="DU140" s="383"/>
      <c r="DV140" s="383"/>
      <c r="DW140" s="383"/>
      <c r="DX140" s="383"/>
      <c r="DY140" s="383"/>
      <c r="DZ140" s="383"/>
      <c r="EA140" s="383"/>
      <c r="EB140" s="383"/>
      <c r="EC140" s="383"/>
      <c r="ED140" s="383"/>
      <c r="EE140" s="383"/>
      <c r="EF140" s="383"/>
      <c r="EG140" s="383"/>
      <c r="EH140" s="383"/>
      <c r="EI140" s="383"/>
      <c r="EJ140" s="383"/>
      <c r="EK140" s="383"/>
      <c r="EL140" s="383"/>
      <c r="EM140" s="383"/>
      <c r="EN140" s="383"/>
      <c r="EO140" s="383"/>
      <c r="EP140" s="383"/>
      <c r="EQ140" s="383"/>
      <c r="ER140" s="383"/>
      <c r="ES140" s="383"/>
      <c r="ET140" s="383"/>
      <c r="EU140" s="383"/>
      <c r="EV140" s="383"/>
      <c r="EW140" s="383"/>
      <c r="EX140" s="383"/>
      <c r="EY140" s="383"/>
      <c r="EZ140" s="383"/>
      <c r="FA140" s="383"/>
      <c r="FB140" s="383"/>
      <c r="FC140" s="383"/>
      <c r="FD140" s="383"/>
      <c r="FE140" s="383"/>
      <c r="FF140" s="383"/>
      <c r="FG140" s="383"/>
      <c r="FH140" s="383"/>
      <c r="FI140" s="383"/>
      <c r="FJ140" s="383"/>
      <c r="FK140" s="383"/>
      <c r="FL140" s="383"/>
      <c r="FM140" s="383"/>
      <c r="FN140" s="383"/>
      <c r="FO140" s="383"/>
      <c r="FP140" s="383"/>
      <c r="FQ140" s="383"/>
      <c r="FR140" s="383"/>
      <c r="FS140" s="383"/>
      <c r="FT140" s="383"/>
      <c r="FU140" s="383"/>
      <c r="FV140" s="383"/>
      <c r="FW140" s="383"/>
      <c r="FX140" s="383"/>
      <c r="FY140" s="383"/>
      <c r="FZ140" s="383"/>
      <c r="GA140" s="383"/>
      <c r="GB140" s="383"/>
      <c r="GC140" s="383"/>
      <c r="GD140" s="383"/>
      <c r="GE140" s="383"/>
      <c r="GF140" s="383"/>
      <c r="GG140" s="383"/>
      <c r="GH140" s="383"/>
      <c r="GI140" s="383"/>
      <c r="GJ140" s="383"/>
      <c r="GK140" s="383"/>
      <c r="GL140" s="383"/>
      <c r="GM140" s="383"/>
      <c r="GN140" s="383"/>
      <c r="GO140" s="383"/>
      <c r="GP140" s="383"/>
      <c r="GQ140" s="383"/>
      <c r="GR140" s="383"/>
      <c r="GS140" s="383"/>
      <c r="GT140" s="383"/>
      <c r="GU140" s="383"/>
      <c r="GV140" s="383"/>
      <c r="GW140" s="383"/>
      <c r="GX140" s="383"/>
      <c r="GY140" s="383"/>
      <c r="GZ140" s="383"/>
      <c r="HA140" s="383"/>
      <c r="HB140" s="383"/>
      <c r="HC140" s="383"/>
      <c r="HD140" s="383"/>
      <c r="HE140" s="383"/>
      <c r="HF140" s="383"/>
      <c r="HG140" s="383"/>
      <c r="HH140" s="383"/>
      <c r="HI140" s="383"/>
      <c r="HJ140" s="383"/>
      <c r="HK140" s="383"/>
      <c r="HL140" s="383"/>
      <c r="HM140" s="383"/>
      <c r="HN140" s="383"/>
      <c r="HO140" s="383"/>
      <c r="HP140" s="383"/>
      <c r="HQ140" s="383"/>
      <c r="HR140" s="383"/>
      <c r="HS140" s="383"/>
      <c r="HT140" s="383"/>
      <c r="HU140" s="383"/>
      <c r="HV140" s="383"/>
      <c r="HW140" s="383"/>
      <c r="HX140" s="383"/>
      <c r="HY140" s="383"/>
      <c r="HZ140" s="383"/>
      <c r="IA140" s="383"/>
      <c r="IB140" s="383"/>
      <c r="IC140" s="383"/>
      <c r="ID140" s="383"/>
      <c r="IE140" s="383"/>
      <c r="IF140" s="383"/>
      <c r="IG140" s="383"/>
      <c r="IH140" s="383"/>
      <c r="II140" s="383"/>
      <c r="IJ140" s="383"/>
      <c r="IK140" s="383"/>
      <c r="IL140" s="383"/>
    </row>
    <row r="141" spans="1:247" ht="15" customHeight="1" thickBot="1">
      <c r="A141" s="899"/>
      <c r="B141" s="899"/>
      <c r="C141" s="899"/>
      <c r="D141" s="899"/>
      <c r="E141" s="899"/>
      <c r="F141" s="899"/>
      <c r="G141" s="899"/>
      <c r="J141" s="383"/>
      <c r="K141" s="383" t="e">
        <f>VLOOKUP(F141,[6]ISD!$B$11:$F$4861,5,FALSE)</f>
        <v>#N/A</v>
      </c>
      <c r="L141" s="384" t="e">
        <f t="shared" si="16"/>
        <v>#N/A</v>
      </c>
      <c r="M141" s="480"/>
      <c r="N141" s="383" t="b">
        <f t="shared" si="13"/>
        <v>0</v>
      </c>
      <c r="IM141" s="474"/>
    </row>
    <row r="142" spans="1:247" s="513" customFormat="1" ht="20.100000000000001" customHeight="1" thickBot="1">
      <c r="A142" s="510" t="s">
        <v>2</v>
      </c>
      <c r="B142" s="496" t="s">
        <v>371</v>
      </c>
      <c r="C142" s="497" t="s">
        <v>166</v>
      </c>
      <c r="D142" s="3" t="s">
        <v>811</v>
      </c>
      <c r="E142" s="3" t="s">
        <v>812</v>
      </c>
      <c r="F142" s="64" t="s">
        <v>813</v>
      </c>
      <c r="G142" s="511" t="s">
        <v>814</v>
      </c>
      <c r="H142" s="512"/>
      <c r="I142" s="512"/>
      <c r="J142" s="383"/>
      <c r="K142" s="383" t="e">
        <f>VLOOKUP(F142,[6]ISD!$B$11:$F$4861,5,FALSE)</f>
        <v>#N/A</v>
      </c>
      <c r="L142" s="384" t="e">
        <f t="shared" si="16"/>
        <v>#N/A</v>
      </c>
      <c r="M142" s="480" t="str">
        <f t="shared" si="12"/>
        <v>VALOR</v>
      </c>
      <c r="N142" s="383" t="b">
        <f t="shared" si="13"/>
        <v>0</v>
      </c>
      <c r="O142" s="512"/>
      <c r="P142" s="512"/>
      <c r="Q142" s="512"/>
      <c r="R142" s="512"/>
      <c r="S142" s="512"/>
      <c r="T142" s="512"/>
      <c r="U142" s="512"/>
      <c r="V142" s="512"/>
      <c r="W142" s="512"/>
      <c r="X142" s="512"/>
      <c r="Y142" s="512"/>
      <c r="Z142" s="512"/>
      <c r="AA142" s="512"/>
      <c r="AB142" s="512"/>
      <c r="AC142" s="512"/>
      <c r="AD142" s="512"/>
      <c r="AE142" s="512"/>
      <c r="AF142" s="512"/>
      <c r="AG142" s="512"/>
      <c r="AH142" s="512"/>
      <c r="AI142" s="512"/>
      <c r="AJ142" s="512"/>
      <c r="AK142" s="512"/>
      <c r="AL142" s="512"/>
      <c r="AM142" s="512"/>
      <c r="AN142" s="512"/>
      <c r="AO142" s="512"/>
      <c r="AP142" s="512"/>
      <c r="AQ142" s="512"/>
      <c r="AR142" s="512"/>
      <c r="AS142" s="512"/>
      <c r="AT142" s="512"/>
      <c r="AU142" s="512"/>
      <c r="AV142" s="512"/>
      <c r="AW142" s="512"/>
      <c r="AX142" s="512"/>
      <c r="AY142" s="512"/>
      <c r="AZ142" s="512"/>
      <c r="BA142" s="512"/>
      <c r="BB142" s="512"/>
      <c r="BC142" s="512"/>
      <c r="BD142" s="512"/>
      <c r="BE142" s="512"/>
      <c r="BF142" s="512"/>
      <c r="BG142" s="512"/>
      <c r="BH142" s="512"/>
      <c r="BI142" s="512"/>
      <c r="BJ142" s="512"/>
      <c r="BK142" s="512"/>
      <c r="BL142" s="512"/>
      <c r="BM142" s="512"/>
      <c r="BN142" s="512"/>
      <c r="BO142" s="512"/>
      <c r="BP142" s="512"/>
      <c r="BQ142" s="512"/>
      <c r="BR142" s="512"/>
      <c r="BS142" s="512"/>
      <c r="BT142" s="512"/>
      <c r="BU142" s="512"/>
      <c r="BV142" s="512"/>
      <c r="BW142" s="512"/>
      <c r="BX142" s="512"/>
      <c r="BY142" s="512"/>
      <c r="BZ142" s="512"/>
      <c r="CA142" s="512"/>
      <c r="CB142" s="512"/>
      <c r="CC142" s="512"/>
      <c r="CD142" s="512"/>
      <c r="CE142" s="512"/>
      <c r="CF142" s="512"/>
      <c r="CG142" s="512"/>
      <c r="CH142" s="512"/>
      <c r="CI142" s="512"/>
      <c r="CJ142" s="512"/>
      <c r="CK142" s="512"/>
      <c r="CL142" s="512"/>
      <c r="CM142" s="512"/>
      <c r="CN142" s="512"/>
      <c r="CO142" s="512"/>
      <c r="CP142" s="512"/>
      <c r="CQ142" s="512"/>
      <c r="CR142" s="512"/>
      <c r="CS142" s="512"/>
      <c r="CT142" s="512"/>
      <c r="CU142" s="512"/>
      <c r="CV142" s="512"/>
      <c r="CW142" s="512"/>
      <c r="CX142" s="512"/>
      <c r="CY142" s="512"/>
      <c r="CZ142" s="512"/>
      <c r="DA142" s="512"/>
      <c r="DB142" s="512"/>
      <c r="DC142" s="512"/>
      <c r="DD142" s="512"/>
      <c r="DE142" s="512"/>
      <c r="DF142" s="512"/>
      <c r="DG142" s="512"/>
      <c r="DH142" s="512"/>
      <c r="DI142" s="512"/>
      <c r="DJ142" s="512"/>
      <c r="DK142" s="512"/>
      <c r="DL142" s="512"/>
      <c r="DM142" s="512"/>
      <c r="DN142" s="512"/>
      <c r="DO142" s="512"/>
      <c r="DP142" s="512"/>
      <c r="DQ142" s="512"/>
      <c r="DR142" s="512"/>
      <c r="DS142" s="512"/>
      <c r="DT142" s="512"/>
      <c r="DU142" s="512"/>
      <c r="DV142" s="512"/>
      <c r="DW142" s="512"/>
      <c r="DX142" s="512"/>
      <c r="DY142" s="512"/>
      <c r="DZ142" s="512"/>
      <c r="EA142" s="512"/>
      <c r="EB142" s="512"/>
      <c r="EC142" s="512"/>
      <c r="ED142" s="512"/>
      <c r="EE142" s="512"/>
      <c r="EF142" s="512"/>
      <c r="EG142" s="512"/>
      <c r="EH142" s="512"/>
      <c r="EI142" s="512"/>
      <c r="EJ142" s="512"/>
      <c r="EK142" s="512"/>
      <c r="EL142" s="512"/>
      <c r="EM142" s="512"/>
      <c r="EN142" s="512"/>
      <c r="EO142" s="512"/>
      <c r="EP142" s="512"/>
      <c r="EQ142" s="512"/>
      <c r="ER142" s="512"/>
      <c r="ES142" s="512"/>
      <c r="ET142" s="512"/>
      <c r="EU142" s="512"/>
      <c r="EV142" s="512"/>
      <c r="EW142" s="512"/>
      <c r="EX142" s="512"/>
      <c r="EY142" s="512"/>
      <c r="EZ142" s="512"/>
      <c r="FA142" s="512"/>
      <c r="FB142" s="512"/>
      <c r="FC142" s="512"/>
      <c r="FD142" s="512"/>
      <c r="FE142" s="512"/>
      <c r="FF142" s="512"/>
      <c r="FG142" s="512"/>
      <c r="FH142" s="512"/>
      <c r="FI142" s="512"/>
      <c r="FJ142" s="512"/>
      <c r="FK142" s="512"/>
      <c r="FL142" s="512"/>
      <c r="FM142" s="512"/>
      <c r="FN142" s="512"/>
      <c r="FO142" s="512"/>
      <c r="FP142" s="512"/>
      <c r="FQ142" s="512"/>
      <c r="FR142" s="512"/>
      <c r="FS142" s="512"/>
      <c r="FT142" s="512"/>
      <c r="FU142" s="512"/>
      <c r="FV142" s="512"/>
      <c r="FW142" s="512"/>
      <c r="FX142" s="512"/>
      <c r="FY142" s="512"/>
      <c r="FZ142" s="512"/>
      <c r="GA142" s="512"/>
      <c r="GB142" s="512"/>
      <c r="GC142" s="512"/>
      <c r="GD142" s="512"/>
      <c r="GE142" s="512"/>
      <c r="GF142" s="512"/>
      <c r="GG142" s="512"/>
      <c r="GH142" s="512"/>
      <c r="GI142" s="512"/>
      <c r="GJ142" s="512"/>
      <c r="GK142" s="512"/>
      <c r="GL142" s="512"/>
      <c r="GM142" s="512"/>
      <c r="GN142" s="512"/>
      <c r="GO142" s="512"/>
      <c r="GP142" s="512"/>
      <c r="GQ142" s="512"/>
      <c r="GR142" s="512"/>
      <c r="GS142" s="512"/>
      <c r="GT142" s="512"/>
      <c r="GU142" s="512"/>
      <c r="GV142" s="512"/>
      <c r="GW142" s="512"/>
      <c r="GX142" s="512"/>
      <c r="GY142" s="512"/>
      <c r="GZ142" s="512"/>
      <c r="HA142" s="512"/>
      <c r="HB142" s="512"/>
      <c r="HC142" s="512"/>
      <c r="HD142" s="512"/>
      <c r="HE142" s="512"/>
      <c r="HF142" s="512"/>
      <c r="HG142" s="512"/>
      <c r="HH142" s="512"/>
      <c r="HI142" s="512"/>
      <c r="HJ142" s="512"/>
      <c r="HK142" s="512"/>
      <c r="HL142" s="512"/>
      <c r="HM142" s="512"/>
      <c r="HN142" s="512"/>
      <c r="HO142" s="512"/>
      <c r="HP142" s="512"/>
      <c r="HQ142" s="512"/>
      <c r="HR142" s="512"/>
      <c r="HS142" s="512"/>
      <c r="HT142" s="512"/>
      <c r="HU142" s="512"/>
      <c r="HV142" s="512"/>
      <c r="HW142" s="512"/>
      <c r="HX142" s="512"/>
      <c r="HY142" s="512"/>
      <c r="HZ142" s="512"/>
      <c r="IA142" s="512"/>
      <c r="IB142" s="512"/>
      <c r="IC142" s="512"/>
      <c r="ID142" s="512"/>
      <c r="IE142" s="512"/>
      <c r="IF142" s="512"/>
      <c r="IG142" s="512"/>
      <c r="IH142" s="512"/>
      <c r="II142" s="512"/>
      <c r="IJ142" s="512"/>
      <c r="IK142" s="512"/>
      <c r="IL142" s="512"/>
      <c r="IM142" s="512"/>
    </row>
    <row r="143" spans="1:247" ht="25.5">
      <c r="A143" s="514" t="s">
        <v>59</v>
      </c>
      <c r="B143" s="515" t="s">
        <v>738</v>
      </c>
      <c r="C143" s="506" t="s">
        <v>737</v>
      </c>
      <c r="D143" s="60"/>
      <c r="E143" s="499" t="s">
        <v>379</v>
      </c>
      <c r="F143" s="499">
        <v>10527</v>
      </c>
      <c r="G143" s="479" t="str">
        <f t="shared" ref="G143:G178" si="17">IF(TRIM(E143)="SINAPI", "01/2026",IF(TRIM(E143)="SABESP","07/2025","OUTRO"))</f>
        <v>01/2026</v>
      </c>
      <c r="H143" s="341">
        <f>SUMIF(VI.A!$B$6:$B$5963,B143,VI.A!$L$6:$L$5963)</f>
        <v>2000</v>
      </c>
      <c r="I143" s="341" t="str">
        <f t="shared" ref="I143:I152" si="18">IF(H143=0,"no","si")</f>
        <v>si</v>
      </c>
      <c r="J143" s="383"/>
      <c r="K143" s="384">
        <f>IF(E143="SABESP","OK",VLOOKUP(F143,[6]ISD!$B$11:$F$4861,5,FALSE))</f>
        <v>30</v>
      </c>
      <c r="L143" s="384" t="str">
        <f t="shared" si="16"/>
        <v>VERIFICAR</v>
      </c>
      <c r="M143" s="480">
        <f t="shared" si="12"/>
        <v>30</v>
      </c>
      <c r="N143" s="383" t="b">
        <f t="shared" si="13"/>
        <v>0</v>
      </c>
      <c r="O143" s="383"/>
      <c r="P143" s="383"/>
      <c r="Q143" s="383"/>
      <c r="R143" s="383"/>
      <c r="S143" s="383"/>
      <c r="T143" s="383"/>
      <c r="U143" s="383"/>
      <c r="V143" s="383"/>
      <c r="W143" s="383"/>
      <c r="X143" s="383"/>
      <c r="Y143" s="383"/>
      <c r="Z143" s="383"/>
      <c r="AA143" s="383"/>
      <c r="AB143" s="383"/>
      <c r="AC143" s="383"/>
      <c r="AD143" s="383"/>
      <c r="AE143" s="383"/>
      <c r="AF143" s="383"/>
      <c r="AG143" s="383"/>
      <c r="AH143" s="383"/>
      <c r="AI143" s="383"/>
      <c r="AJ143" s="383"/>
      <c r="AK143" s="383"/>
      <c r="AL143" s="383"/>
      <c r="AM143" s="383"/>
      <c r="AN143" s="383"/>
      <c r="AO143" s="383"/>
      <c r="AP143" s="383"/>
      <c r="AQ143" s="383"/>
      <c r="AR143" s="383"/>
      <c r="AS143" s="383"/>
      <c r="AT143" s="383"/>
      <c r="AU143" s="383"/>
      <c r="AV143" s="383"/>
      <c r="AW143" s="383"/>
      <c r="AX143" s="383"/>
      <c r="AY143" s="383"/>
      <c r="AZ143" s="383"/>
      <c r="BA143" s="383"/>
      <c r="BB143" s="383"/>
      <c r="BC143" s="383"/>
      <c r="BD143" s="383"/>
      <c r="BE143" s="383"/>
      <c r="BF143" s="383"/>
      <c r="BG143" s="383"/>
      <c r="BH143" s="383"/>
      <c r="BI143" s="383"/>
      <c r="BJ143" s="383"/>
      <c r="BK143" s="383"/>
      <c r="BL143" s="383"/>
      <c r="BM143" s="383"/>
      <c r="BN143" s="383"/>
      <c r="BO143" s="383"/>
      <c r="BP143" s="383"/>
      <c r="BQ143" s="383"/>
      <c r="BR143" s="383"/>
      <c r="BS143" s="383"/>
      <c r="BT143" s="383"/>
      <c r="BU143" s="383"/>
      <c r="BV143" s="383"/>
      <c r="BW143" s="383"/>
      <c r="BX143" s="383"/>
      <c r="BY143" s="383"/>
      <c r="BZ143" s="383"/>
      <c r="CA143" s="383"/>
      <c r="CB143" s="383"/>
      <c r="CC143" s="383"/>
      <c r="CD143" s="383"/>
      <c r="CE143" s="383"/>
      <c r="CF143" s="383"/>
      <c r="CG143" s="383"/>
      <c r="CH143" s="383"/>
      <c r="CI143" s="383"/>
      <c r="CJ143" s="383"/>
      <c r="CK143" s="383"/>
      <c r="CL143" s="383"/>
      <c r="CM143" s="383"/>
      <c r="CN143" s="383"/>
      <c r="CO143" s="383"/>
      <c r="CP143" s="383"/>
      <c r="CQ143" s="383"/>
      <c r="CR143" s="383"/>
      <c r="CS143" s="383"/>
      <c r="CT143" s="383"/>
      <c r="CU143" s="383"/>
      <c r="CV143" s="383"/>
      <c r="CW143" s="383"/>
      <c r="CX143" s="383"/>
      <c r="CY143" s="383"/>
      <c r="CZ143" s="383"/>
      <c r="DA143" s="383"/>
      <c r="DB143" s="383"/>
      <c r="DC143" s="383"/>
      <c r="DD143" s="383"/>
      <c r="DE143" s="383"/>
      <c r="DF143" s="383"/>
      <c r="DG143" s="383"/>
      <c r="DH143" s="383"/>
      <c r="DI143" s="383"/>
      <c r="DJ143" s="383"/>
      <c r="DK143" s="383"/>
      <c r="DL143" s="383"/>
      <c r="DM143" s="383"/>
      <c r="DN143" s="383"/>
      <c r="DO143" s="383"/>
      <c r="DP143" s="383"/>
      <c r="DQ143" s="383"/>
      <c r="DR143" s="383"/>
      <c r="DS143" s="383"/>
      <c r="DT143" s="383"/>
      <c r="DU143" s="383"/>
      <c r="DV143" s="383"/>
      <c r="DW143" s="383"/>
      <c r="DX143" s="383"/>
      <c r="DY143" s="383"/>
      <c r="DZ143" s="383"/>
      <c r="EA143" s="383"/>
      <c r="EB143" s="383"/>
      <c r="EC143" s="383"/>
      <c r="ED143" s="383"/>
      <c r="EE143" s="383"/>
      <c r="EF143" s="383"/>
      <c r="EG143" s="383"/>
      <c r="EH143" s="383"/>
      <c r="EI143" s="383"/>
      <c r="EJ143" s="383"/>
      <c r="EK143" s="383"/>
      <c r="EL143" s="383"/>
      <c r="EM143" s="383"/>
      <c r="EN143" s="383"/>
      <c r="EO143" s="383"/>
      <c r="EP143" s="383"/>
      <c r="EQ143" s="383"/>
      <c r="ER143" s="383"/>
      <c r="ES143" s="383"/>
      <c r="ET143" s="383"/>
      <c r="EU143" s="383"/>
      <c r="EV143" s="383"/>
      <c r="EW143" s="383"/>
      <c r="EX143" s="383"/>
      <c r="EY143" s="383"/>
      <c r="EZ143" s="383"/>
      <c r="FA143" s="383"/>
      <c r="FB143" s="383"/>
      <c r="FC143" s="383"/>
      <c r="FD143" s="383"/>
      <c r="FE143" s="383"/>
      <c r="FF143" s="383"/>
      <c r="FG143" s="383"/>
      <c r="FH143" s="383"/>
      <c r="FI143" s="383"/>
      <c r="FJ143" s="383"/>
      <c r="FK143" s="383"/>
      <c r="FL143" s="383"/>
      <c r="FM143" s="383"/>
      <c r="FN143" s="383"/>
      <c r="FO143" s="383"/>
      <c r="FP143" s="383"/>
      <c r="FQ143" s="383"/>
      <c r="FR143" s="383"/>
      <c r="FS143" s="383"/>
      <c r="FT143" s="383"/>
      <c r="FU143" s="383"/>
      <c r="FV143" s="383"/>
      <c r="FW143" s="383"/>
      <c r="FX143" s="383"/>
      <c r="FY143" s="383"/>
      <c r="FZ143" s="383"/>
      <c r="GA143" s="383"/>
      <c r="GB143" s="383"/>
      <c r="GC143" s="383"/>
      <c r="GD143" s="383"/>
      <c r="GE143" s="383"/>
      <c r="GF143" s="383"/>
      <c r="GG143" s="383"/>
      <c r="GH143" s="383"/>
      <c r="GI143" s="383"/>
      <c r="GJ143" s="383"/>
      <c r="GK143" s="383"/>
      <c r="GL143" s="383"/>
      <c r="GM143" s="383"/>
      <c r="GN143" s="383"/>
      <c r="GO143" s="383"/>
      <c r="GP143" s="383"/>
      <c r="GQ143" s="383"/>
      <c r="GR143" s="383"/>
      <c r="GS143" s="383"/>
      <c r="GT143" s="383"/>
      <c r="GU143" s="383"/>
      <c r="GV143" s="383"/>
      <c r="GW143" s="383"/>
      <c r="GX143" s="383"/>
      <c r="GY143" s="383"/>
      <c r="GZ143" s="383"/>
      <c r="HA143" s="383"/>
      <c r="HB143" s="383"/>
      <c r="HC143" s="383"/>
      <c r="HD143" s="383"/>
      <c r="HE143" s="383"/>
      <c r="HF143" s="383"/>
      <c r="HG143" s="383"/>
      <c r="HH143" s="383"/>
      <c r="HI143" s="383"/>
      <c r="HJ143" s="383"/>
      <c r="HK143" s="383"/>
      <c r="HL143" s="383"/>
      <c r="HM143" s="383"/>
      <c r="HN143" s="383"/>
      <c r="HO143" s="383"/>
      <c r="HP143" s="383"/>
      <c r="HQ143" s="383"/>
      <c r="HR143" s="383"/>
      <c r="HS143" s="383"/>
      <c r="HT143" s="383"/>
      <c r="HU143" s="383"/>
      <c r="HV143" s="383"/>
      <c r="HW143" s="383"/>
      <c r="HX143" s="383"/>
      <c r="HY143" s="383"/>
      <c r="HZ143" s="383"/>
      <c r="IA143" s="383"/>
      <c r="IB143" s="383"/>
      <c r="IC143" s="383"/>
      <c r="ID143" s="383"/>
      <c r="IE143" s="383"/>
      <c r="IF143" s="383"/>
      <c r="IG143" s="383"/>
      <c r="IH143" s="383"/>
      <c r="II143" s="383"/>
      <c r="IJ143" s="383"/>
      <c r="IK143" s="383"/>
      <c r="IL143" s="383"/>
    </row>
    <row r="144" spans="1:247" ht="25.5">
      <c r="A144" s="516" t="s">
        <v>30</v>
      </c>
      <c r="B144" s="485" t="s">
        <v>801</v>
      </c>
      <c r="C144" s="483" t="s">
        <v>734</v>
      </c>
      <c r="D144" s="14"/>
      <c r="E144" s="517" t="s">
        <v>377</v>
      </c>
      <c r="F144" s="517">
        <v>10776</v>
      </c>
      <c r="G144" s="479" t="str">
        <f t="shared" si="17"/>
        <v>01/2026</v>
      </c>
      <c r="H144" s="341">
        <f>SUMIF(VI.A!$B$6:$B$5963,B144,VI.A!$L$6:$L$5963)</f>
        <v>48</v>
      </c>
      <c r="I144" s="341" t="str">
        <f t="shared" si="18"/>
        <v>si</v>
      </c>
      <c r="J144" s="383"/>
      <c r="K144" s="384">
        <f>IF(E144="SABESP","OK",VLOOKUP(F144,[6]ISD!$B$11:$F$4861,5,FALSE))</f>
        <v>725.58</v>
      </c>
      <c r="L144" s="384" t="str">
        <f t="shared" si="16"/>
        <v>VERIFICAR</v>
      </c>
      <c r="M144" s="480">
        <f t="shared" si="12"/>
        <v>725.58</v>
      </c>
      <c r="N144" s="383" t="b">
        <f t="shared" si="13"/>
        <v>0</v>
      </c>
      <c r="O144" s="383"/>
      <c r="P144" s="383"/>
      <c r="Q144" s="383"/>
      <c r="R144" s="383"/>
      <c r="S144" s="383"/>
      <c r="T144" s="383"/>
      <c r="U144" s="383"/>
      <c r="V144" s="383"/>
      <c r="W144" s="383"/>
      <c r="X144" s="383"/>
      <c r="Y144" s="383"/>
      <c r="Z144" s="383"/>
      <c r="AA144" s="383"/>
      <c r="AB144" s="383"/>
      <c r="AC144" s="383"/>
      <c r="AD144" s="383"/>
      <c r="AE144" s="383"/>
      <c r="AF144" s="383"/>
      <c r="AG144" s="383"/>
      <c r="AH144" s="383"/>
      <c r="AI144" s="383"/>
      <c r="AJ144" s="383"/>
      <c r="AK144" s="383"/>
      <c r="AL144" s="383"/>
      <c r="AM144" s="383"/>
      <c r="AN144" s="383"/>
      <c r="AO144" s="383"/>
      <c r="AP144" s="383"/>
      <c r="AQ144" s="383"/>
      <c r="AR144" s="383"/>
      <c r="AS144" s="383"/>
      <c r="AT144" s="383"/>
      <c r="AU144" s="383"/>
      <c r="AV144" s="383"/>
      <c r="AW144" s="383"/>
      <c r="AX144" s="383"/>
      <c r="AY144" s="383"/>
      <c r="AZ144" s="383"/>
      <c r="BA144" s="383"/>
      <c r="BB144" s="383"/>
      <c r="BC144" s="383"/>
      <c r="BD144" s="383"/>
      <c r="BE144" s="383"/>
      <c r="BF144" s="383"/>
      <c r="BG144" s="383"/>
      <c r="BH144" s="383"/>
      <c r="BI144" s="383"/>
      <c r="BJ144" s="383"/>
      <c r="BK144" s="383"/>
      <c r="BL144" s="383"/>
      <c r="BM144" s="383"/>
      <c r="BN144" s="383"/>
      <c r="BO144" s="383"/>
      <c r="BP144" s="383"/>
      <c r="BQ144" s="383"/>
      <c r="BR144" s="383"/>
      <c r="BS144" s="383"/>
      <c r="BT144" s="383"/>
      <c r="BU144" s="383"/>
      <c r="BV144" s="383"/>
      <c r="BW144" s="383"/>
      <c r="BX144" s="383"/>
      <c r="BY144" s="383"/>
      <c r="BZ144" s="383"/>
      <c r="CA144" s="383"/>
      <c r="CB144" s="383"/>
      <c r="CC144" s="383"/>
      <c r="CD144" s="383"/>
      <c r="CE144" s="383"/>
      <c r="CF144" s="383"/>
      <c r="CG144" s="383"/>
      <c r="CH144" s="383"/>
      <c r="CI144" s="383"/>
      <c r="CJ144" s="383"/>
      <c r="CK144" s="383"/>
      <c r="CL144" s="383"/>
      <c r="CM144" s="383"/>
      <c r="CN144" s="383"/>
      <c r="CO144" s="383"/>
      <c r="CP144" s="383"/>
      <c r="CQ144" s="383"/>
      <c r="CR144" s="383"/>
      <c r="CS144" s="383"/>
      <c r="CT144" s="383"/>
      <c r="CU144" s="383"/>
      <c r="CV144" s="383"/>
      <c r="CW144" s="383"/>
      <c r="CX144" s="383"/>
      <c r="CY144" s="383"/>
      <c r="CZ144" s="383"/>
      <c r="DA144" s="383"/>
      <c r="DB144" s="383"/>
      <c r="DC144" s="383"/>
      <c r="DD144" s="383"/>
      <c r="DE144" s="383"/>
      <c r="DF144" s="383"/>
      <c r="DG144" s="383"/>
      <c r="DH144" s="383"/>
      <c r="DI144" s="383"/>
      <c r="DJ144" s="383"/>
      <c r="DK144" s="383"/>
      <c r="DL144" s="383"/>
      <c r="DM144" s="383"/>
      <c r="DN144" s="383"/>
      <c r="DO144" s="383"/>
      <c r="DP144" s="383"/>
      <c r="DQ144" s="383"/>
      <c r="DR144" s="383"/>
      <c r="DS144" s="383"/>
      <c r="DT144" s="383"/>
      <c r="DU144" s="383"/>
      <c r="DV144" s="383"/>
      <c r="DW144" s="383"/>
      <c r="DX144" s="383"/>
      <c r="DY144" s="383"/>
      <c r="DZ144" s="383"/>
      <c r="EA144" s="383"/>
      <c r="EB144" s="383"/>
      <c r="EC144" s="383"/>
      <c r="ED144" s="383"/>
      <c r="EE144" s="383"/>
      <c r="EF144" s="383"/>
      <c r="EG144" s="383"/>
      <c r="EH144" s="383"/>
      <c r="EI144" s="383"/>
      <c r="EJ144" s="383"/>
      <c r="EK144" s="383"/>
      <c r="EL144" s="383"/>
      <c r="EM144" s="383"/>
      <c r="EN144" s="383"/>
      <c r="EO144" s="383"/>
      <c r="EP144" s="383"/>
      <c r="EQ144" s="383"/>
      <c r="ER144" s="383"/>
      <c r="ES144" s="383"/>
      <c r="ET144" s="383"/>
      <c r="EU144" s="383"/>
      <c r="EV144" s="383"/>
      <c r="EW144" s="383"/>
      <c r="EX144" s="383"/>
      <c r="EY144" s="383"/>
      <c r="EZ144" s="383"/>
      <c r="FA144" s="383"/>
      <c r="FB144" s="383"/>
      <c r="FC144" s="383"/>
      <c r="FD144" s="383"/>
      <c r="FE144" s="383"/>
      <c r="FF144" s="383"/>
      <c r="FG144" s="383"/>
      <c r="FH144" s="383"/>
      <c r="FI144" s="383"/>
      <c r="FJ144" s="383"/>
      <c r="FK144" s="383"/>
      <c r="FL144" s="383"/>
      <c r="FM144" s="383"/>
      <c r="FN144" s="383"/>
      <c r="FO144" s="383"/>
      <c r="FP144" s="383"/>
      <c r="FQ144" s="383"/>
      <c r="FR144" s="383"/>
      <c r="FS144" s="383"/>
      <c r="FT144" s="383"/>
      <c r="FU144" s="383"/>
      <c r="FV144" s="383"/>
      <c r="FW144" s="383"/>
      <c r="FX144" s="383"/>
      <c r="FY144" s="383"/>
      <c r="FZ144" s="383"/>
      <c r="GA144" s="383"/>
      <c r="GB144" s="383"/>
      <c r="GC144" s="383"/>
      <c r="GD144" s="383"/>
      <c r="GE144" s="383"/>
      <c r="GF144" s="383"/>
      <c r="GG144" s="383"/>
      <c r="GH144" s="383"/>
      <c r="GI144" s="383"/>
      <c r="GJ144" s="383"/>
      <c r="GK144" s="383"/>
      <c r="GL144" s="383"/>
      <c r="GM144" s="383"/>
      <c r="GN144" s="383"/>
      <c r="GO144" s="383"/>
      <c r="GP144" s="383"/>
      <c r="GQ144" s="383"/>
      <c r="GR144" s="383"/>
      <c r="GS144" s="383"/>
      <c r="GT144" s="383"/>
      <c r="GU144" s="383"/>
      <c r="GV144" s="383"/>
      <c r="GW144" s="383"/>
      <c r="GX144" s="383"/>
      <c r="GY144" s="383"/>
      <c r="GZ144" s="383"/>
      <c r="HA144" s="383"/>
      <c r="HB144" s="383"/>
      <c r="HC144" s="383"/>
      <c r="HD144" s="383"/>
      <c r="HE144" s="383"/>
      <c r="HF144" s="383"/>
      <c r="HG144" s="383"/>
      <c r="HH144" s="383"/>
      <c r="HI144" s="383"/>
      <c r="HJ144" s="383"/>
      <c r="HK144" s="383"/>
      <c r="HL144" s="383"/>
      <c r="HM144" s="383"/>
      <c r="HN144" s="383"/>
      <c r="HO144" s="383"/>
      <c r="HP144" s="383"/>
      <c r="HQ144" s="383"/>
      <c r="HR144" s="383"/>
      <c r="HS144" s="383"/>
      <c r="HT144" s="383"/>
      <c r="HU144" s="383"/>
      <c r="HV144" s="383"/>
      <c r="HW144" s="383"/>
      <c r="HX144" s="383"/>
      <c r="HY144" s="383"/>
      <c r="HZ144" s="383"/>
      <c r="IA144" s="383"/>
      <c r="IB144" s="383"/>
      <c r="IC144" s="383"/>
      <c r="ID144" s="383"/>
      <c r="IE144" s="383"/>
      <c r="IF144" s="383"/>
      <c r="IG144" s="383"/>
      <c r="IH144" s="383"/>
      <c r="II144" s="383"/>
      <c r="IJ144" s="383"/>
      <c r="IK144" s="383"/>
      <c r="IL144" s="383"/>
    </row>
    <row r="145" spans="1:246" ht="15" customHeight="1">
      <c r="A145" s="516" t="s">
        <v>31</v>
      </c>
      <c r="B145" s="485" t="s">
        <v>373</v>
      </c>
      <c r="C145" s="483" t="s">
        <v>163</v>
      </c>
      <c r="D145" s="14"/>
      <c r="E145" s="517" t="s">
        <v>861</v>
      </c>
      <c r="F145" s="517" t="s">
        <v>862</v>
      </c>
      <c r="G145" s="479" t="str">
        <f t="shared" si="17"/>
        <v>OUTRO</v>
      </c>
      <c r="H145" s="341">
        <f>SUMIF(VI.A!$B$6:$B$5963,B145,VI.A!$L$6:$L$5963)</f>
        <v>844.80000000000007</v>
      </c>
      <c r="I145" s="341" t="str">
        <f t="shared" si="18"/>
        <v>si</v>
      </c>
      <c r="J145" s="383"/>
      <c r="K145" s="383" t="e">
        <f>VLOOKUP(F145,[6]ISD!$B$11:$F$4861,5,FALSE)</f>
        <v>#N/A</v>
      </c>
      <c r="L145" s="384" t="e">
        <f t="shared" si="16"/>
        <v>#N/A</v>
      </c>
      <c r="M145" s="480">
        <f t="shared" si="12"/>
        <v>0</v>
      </c>
      <c r="N145" s="383" t="b">
        <f t="shared" si="13"/>
        <v>0</v>
      </c>
      <c r="O145" s="383"/>
      <c r="P145" s="383"/>
      <c r="Q145" s="383"/>
      <c r="R145" s="383"/>
      <c r="S145" s="383"/>
      <c r="T145" s="383"/>
      <c r="U145" s="383"/>
      <c r="V145" s="383"/>
      <c r="W145" s="383"/>
      <c r="X145" s="383"/>
      <c r="Y145" s="383"/>
      <c r="Z145" s="383"/>
      <c r="AA145" s="383"/>
      <c r="AB145" s="383"/>
      <c r="AC145" s="383"/>
      <c r="AD145" s="383"/>
      <c r="AE145" s="383"/>
      <c r="AF145" s="383"/>
      <c r="AG145" s="383"/>
      <c r="AH145" s="383"/>
      <c r="AI145" s="383"/>
      <c r="AJ145" s="383"/>
      <c r="AK145" s="383"/>
      <c r="AL145" s="383"/>
      <c r="AM145" s="383"/>
      <c r="AN145" s="383"/>
      <c r="AO145" s="383"/>
      <c r="AP145" s="383"/>
      <c r="AQ145" s="383"/>
      <c r="AR145" s="383"/>
      <c r="AS145" s="383"/>
      <c r="AT145" s="383"/>
      <c r="AU145" s="383"/>
      <c r="AV145" s="383"/>
      <c r="AW145" s="383"/>
      <c r="AX145" s="383"/>
      <c r="AY145" s="383"/>
      <c r="AZ145" s="383"/>
      <c r="BA145" s="383"/>
      <c r="BB145" s="383"/>
      <c r="BC145" s="383"/>
      <c r="BD145" s="383"/>
      <c r="BE145" s="383"/>
      <c r="BF145" s="383"/>
      <c r="BG145" s="383"/>
      <c r="BH145" s="383"/>
      <c r="BI145" s="383"/>
      <c r="BJ145" s="383"/>
      <c r="BK145" s="383"/>
      <c r="BL145" s="383"/>
      <c r="BM145" s="383"/>
      <c r="BN145" s="383"/>
      <c r="BO145" s="383"/>
      <c r="BP145" s="383"/>
      <c r="BQ145" s="383"/>
      <c r="BR145" s="383"/>
      <c r="BS145" s="383"/>
      <c r="BT145" s="383"/>
      <c r="BU145" s="383"/>
      <c r="BV145" s="383"/>
      <c r="BW145" s="383"/>
      <c r="BX145" s="383"/>
      <c r="BY145" s="383"/>
      <c r="BZ145" s="383"/>
      <c r="CA145" s="383"/>
      <c r="CB145" s="383"/>
      <c r="CC145" s="383"/>
      <c r="CD145" s="383"/>
      <c r="CE145" s="383"/>
      <c r="CF145" s="383"/>
      <c r="CG145" s="383"/>
      <c r="CH145" s="383"/>
      <c r="CI145" s="383"/>
      <c r="CJ145" s="383"/>
      <c r="CK145" s="383"/>
      <c r="CL145" s="383"/>
      <c r="CM145" s="383"/>
      <c r="CN145" s="383"/>
      <c r="CO145" s="383"/>
      <c r="CP145" s="383"/>
      <c r="CQ145" s="383"/>
      <c r="CR145" s="383"/>
      <c r="CS145" s="383"/>
      <c r="CT145" s="383"/>
      <c r="CU145" s="383"/>
      <c r="CV145" s="383"/>
      <c r="CW145" s="383"/>
      <c r="CX145" s="383"/>
      <c r="CY145" s="383"/>
      <c r="CZ145" s="383"/>
      <c r="DA145" s="383"/>
      <c r="DB145" s="383"/>
      <c r="DC145" s="383"/>
      <c r="DD145" s="383"/>
      <c r="DE145" s="383"/>
      <c r="DF145" s="383"/>
      <c r="DG145" s="383"/>
      <c r="DH145" s="383"/>
      <c r="DI145" s="383"/>
      <c r="DJ145" s="383"/>
      <c r="DK145" s="383"/>
      <c r="DL145" s="383"/>
      <c r="DM145" s="383"/>
      <c r="DN145" s="383"/>
      <c r="DO145" s="383"/>
      <c r="DP145" s="383"/>
      <c r="DQ145" s="383"/>
      <c r="DR145" s="383"/>
      <c r="DS145" s="383"/>
      <c r="DT145" s="383"/>
      <c r="DU145" s="383"/>
      <c r="DV145" s="383"/>
      <c r="DW145" s="383"/>
      <c r="DX145" s="383"/>
      <c r="DY145" s="383"/>
      <c r="DZ145" s="383"/>
      <c r="EA145" s="383"/>
      <c r="EB145" s="383"/>
      <c r="EC145" s="383"/>
      <c r="ED145" s="383"/>
      <c r="EE145" s="383"/>
      <c r="EF145" s="383"/>
      <c r="EG145" s="383"/>
      <c r="EH145" s="383"/>
      <c r="EI145" s="383"/>
      <c r="EJ145" s="383"/>
      <c r="EK145" s="383"/>
      <c r="EL145" s="383"/>
      <c r="EM145" s="383"/>
      <c r="EN145" s="383"/>
      <c r="EO145" s="383"/>
      <c r="EP145" s="383"/>
      <c r="EQ145" s="383"/>
      <c r="ER145" s="383"/>
      <c r="ES145" s="383"/>
      <c r="ET145" s="383"/>
      <c r="EU145" s="383"/>
      <c r="EV145" s="383"/>
      <c r="EW145" s="383"/>
      <c r="EX145" s="383"/>
      <c r="EY145" s="383"/>
      <c r="EZ145" s="383"/>
      <c r="FA145" s="383"/>
      <c r="FB145" s="383"/>
      <c r="FC145" s="383"/>
      <c r="FD145" s="383"/>
      <c r="FE145" s="383"/>
      <c r="FF145" s="383"/>
      <c r="FG145" s="383"/>
      <c r="FH145" s="383"/>
      <c r="FI145" s="383"/>
      <c r="FJ145" s="383"/>
      <c r="FK145" s="383"/>
      <c r="FL145" s="383"/>
      <c r="FM145" s="383"/>
      <c r="FN145" s="383"/>
      <c r="FO145" s="383"/>
      <c r="FP145" s="383"/>
      <c r="FQ145" s="383"/>
      <c r="FR145" s="383"/>
      <c r="FS145" s="383"/>
      <c r="FT145" s="383"/>
      <c r="FU145" s="383"/>
      <c r="FV145" s="383"/>
      <c r="FW145" s="383"/>
      <c r="FX145" s="383"/>
      <c r="FY145" s="383"/>
      <c r="FZ145" s="383"/>
      <c r="GA145" s="383"/>
      <c r="GB145" s="383"/>
      <c r="GC145" s="383"/>
      <c r="GD145" s="383"/>
      <c r="GE145" s="383"/>
      <c r="GF145" s="383"/>
      <c r="GG145" s="383"/>
      <c r="GH145" s="383"/>
      <c r="GI145" s="383"/>
      <c r="GJ145" s="383"/>
      <c r="GK145" s="383"/>
      <c r="GL145" s="383"/>
      <c r="GM145" s="383"/>
      <c r="GN145" s="383"/>
      <c r="GO145" s="383"/>
      <c r="GP145" s="383"/>
      <c r="GQ145" s="383"/>
      <c r="GR145" s="383"/>
      <c r="GS145" s="383"/>
      <c r="GT145" s="383"/>
      <c r="GU145" s="383"/>
      <c r="GV145" s="383"/>
      <c r="GW145" s="383"/>
      <c r="GX145" s="383"/>
      <c r="GY145" s="383"/>
      <c r="GZ145" s="383"/>
      <c r="HA145" s="383"/>
      <c r="HB145" s="383"/>
      <c r="HC145" s="383"/>
      <c r="HD145" s="383"/>
      <c r="HE145" s="383"/>
      <c r="HF145" s="383"/>
      <c r="HG145" s="383"/>
      <c r="HH145" s="383"/>
      <c r="HI145" s="383"/>
      <c r="HJ145" s="383"/>
      <c r="HK145" s="383"/>
      <c r="HL145" s="383"/>
      <c r="HM145" s="383"/>
      <c r="HN145" s="383"/>
      <c r="HO145" s="383"/>
      <c r="HP145" s="383"/>
      <c r="HQ145" s="383"/>
      <c r="HR145" s="383"/>
      <c r="HS145" s="383"/>
      <c r="HT145" s="383"/>
      <c r="HU145" s="383"/>
      <c r="HV145" s="383"/>
      <c r="HW145" s="383"/>
      <c r="HX145" s="383"/>
      <c r="HY145" s="383"/>
      <c r="HZ145" s="383"/>
      <c r="IA145" s="383"/>
      <c r="IB145" s="383"/>
      <c r="IC145" s="383"/>
      <c r="ID145" s="383"/>
      <c r="IE145" s="383"/>
      <c r="IF145" s="383"/>
      <c r="IG145" s="383"/>
      <c r="IH145" s="383"/>
      <c r="II145" s="383"/>
      <c r="IJ145" s="383"/>
      <c r="IK145" s="383"/>
      <c r="IL145" s="383"/>
    </row>
    <row r="146" spans="1:246" ht="15" customHeight="1">
      <c r="A146" s="516" t="s">
        <v>32</v>
      </c>
      <c r="B146" s="485" t="s">
        <v>374</v>
      </c>
      <c r="C146" s="483" t="s">
        <v>162</v>
      </c>
      <c r="D146" s="14"/>
      <c r="E146" s="517" t="s">
        <v>861</v>
      </c>
      <c r="F146" s="517" t="s">
        <v>863</v>
      </c>
      <c r="G146" s="479" t="str">
        <f t="shared" si="17"/>
        <v>OUTRO</v>
      </c>
      <c r="H146" s="341">
        <f>SUMIF(VI.A!$B$6:$B$5963,B146,VI.A!$L$6:$L$5963)</f>
        <v>3379.2000000000003</v>
      </c>
      <c r="I146" s="341" t="str">
        <f t="shared" si="18"/>
        <v>si</v>
      </c>
      <c r="J146" s="383"/>
      <c r="K146" s="383" t="e">
        <f>VLOOKUP(F146,[6]ISD!$B$11:$F$4861,5,FALSE)</f>
        <v>#N/A</v>
      </c>
      <c r="L146" s="384" t="e">
        <f t="shared" si="16"/>
        <v>#N/A</v>
      </c>
      <c r="M146" s="480">
        <f t="shared" si="12"/>
        <v>0</v>
      </c>
      <c r="N146" s="383" t="b">
        <f t="shared" si="13"/>
        <v>0</v>
      </c>
      <c r="O146" s="383"/>
      <c r="P146" s="383"/>
      <c r="Q146" s="383"/>
      <c r="R146" s="383"/>
      <c r="S146" s="383"/>
      <c r="T146" s="383"/>
      <c r="U146" s="383"/>
      <c r="V146" s="383"/>
      <c r="W146" s="383"/>
      <c r="X146" s="383"/>
      <c r="Y146" s="383"/>
      <c r="Z146" s="383"/>
      <c r="AA146" s="383"/>
      <c r="AB146" s="383"/>
      <c r="AC146" s="383"/>
      <c r="AD146" s="383"/>
      <c r="AE146" s="383"/>
      <c r="AF146" s="383"/>
      <c r="AG146" s="383"/>
      <c r="AH146" s="383"/>
      <c r="AI146" s="383"/>
      <c r="AJ146" s="383"/>
      <c r="AK146" s="383"/>
      <c r="AL146" s="383"/>
      <c r="AM146" s="383"/>
      <c r="AN146" s="383"/>
      <c r="AO146" s="383"/>
      <c r="AP146" s="383"/>
      <c r="AQ146" s="383"/>
      <c r="AR146" s="383"/>
      <c r="AS146" s="383"/>
      <c r="AT146" s="383"/>
      <c r="AU146" s="383"/>
      <c r="AV146" s="383"/>
      <c r="AW146" s="383"/>
      <c r="AX146" s="383"/>
      <c r="AY146" s="383"/>
      <c r="AZ146" s="383"/>
      <c r="BA146" s="383"/>
      <c r="BB146" s="383"/>
      <c r="BC146" s="383"/>
      <c r="BD146" s="383"/>
      <c r="BE146" s="383"/>
      <c r="BF146" s="383"/>
      <c r="BG146" s="383"/>
      <c r="BH146" s="383"/>
      <c r="BI146" s="383"/>
      <c r="BJ146" s="383"/>
      <c r="BK146" s="383"/>
      <c r="BL146" s="383"/>
      <c r="BM146" s="383"/>
      <c r="BN146" s="383"/>
      <c r="BO146" s="383"/>
      <c r="BP146" s="383"/>
      <c r="BQ146" s="383"/>
      <c r="BR146" s="383"/>
      <c r="BS146" s="383"/>
      <c r="BT146" s="383"/>
      <c r="BU146" s="383"/>
      <c r="BV146" s="383"/>
      <c r="BW146" s="383"/>
      <c r="BX146" s="383"/>
      <c r="BY146" s="383"/>
      <c r="BZ146" s="383"/>
      <c r="CA146" s="383"/>
      <c r="CB146" s="383"/>
      <c r="CC146" s="383"/>
      <c r="CD146" s="383"/>
      <c r="CE146" s="383"/>
      <c r="CF146" s="383"/>
      <c r="CG146" s="383"/>
      <c r="CH146" s="383"/>
      <c r="CI146" s="383"/>
      <c r="CJ146" s="383"/>
      <c r="CK146" s="383"/>
      <c r="CL146" s="383"/>
      <c r="CM146" s="383"/>
      <c r="CN146" s="383"/>
      <c r="CO146" s="383"/>
      <c r="CP146" s="383"/>
      <c r="CQ146" s="383"/>
      <c r="CR146" s="383"/>
      <c r="CS146" s="383"/>
      <c r="CT146" s="383"/>
      <c r="CU146" s="383"/>
      <c r="CV146" s="383"/>
      <c r="CW146" s="383"/>
      <c r="CX146" s="383"/>
      <c r="CY146" s="383"/>
      <c r="CZ146" s="383"/>
      <c r="DA146" s="383"/>
      <c r="DB146" s="383"/>
      <c r="DC146" s="383"/>
      <c r="DD146" s="383"/>
      <c r="DE146" s="383"/>
      <c r="DF146" s="383"/>
      <c r="DG146" s="383"/>
      <c r="DH146" s="383"/>
      <c r="DI146" s="383"/>
      <c r="DJ146" s="383"/>
      <c r="DK146" s="383"/>
      <c r="DL146" s="383"/>
      <c r="DM146" s="383"/>
      <c r="DN146" s="383"/>
      <c r="DO146" s="383"/>
      <c r="DP146" s="383"/>
      <c r="DQ146" s="383"/>
      <c r="DR146" s="383"/>
      <c r="DS146" s="383"/>
      <c r="DT146" s="383"/>
      <c r="DU146" s="383"/>
      <c r="DV146" s="383"/>
      <c r="DW146" s="383"/>
      <c r="DX146" s="383"/>
      <c r="DY146" s="383"/>
      <c r="DZ146" s="383"/>
      <c r="EA146" s="383"/>
      <c r="EB146" s="383"/>
      <c r="EC146" s="383"/>
      <c r="ED146" s="383"/>
      <c r="EE146" s="383"/>
      <c r="EF146" s="383"/>
      <c r="EG146" s="383"/>
      <c r="EH146" s="383"/>
      <c r="EI146" s="383"/>
      <c r="EJ146" s="383"/>
      <c r="EK146" s="383"/>
      <c r="EL146" s="383"/>
      <c r="EM146" s="383"/>
      <c r="EN146" s="383"/>
      <c r="EO146" s="383"/>
      <c r="EP146" s="383"/>
      <c r="EQ146" s="383"/>
      <c r="ER146" s="383"/>
      <c r="ES146" s="383"/>
      <c r="ET146" s="383"/>
      <c r="EU146" s="383"/>
      <c r="EV146" s="383"/>
      <c r="EW146" s="383"/>
      <c r="EX146" s="383"/>
      <c r="EY146" s="383"/>
      <c r="EZ146" s="383"/>
      <c r="FA146" s="383"/>
      <c r="FB146" s="383"/>
      <c r="FC146" s="383"/>
      <c r="FD146" s="383"/>
      <c r="FE146" s="383"/>
      <c r="FF146" s="383"/>
      <c r="FG146" s="383"/>
      <c r="FH146" s="383"/>
      <c r="FI146" s="383"/>
      <c r="FJ146" s="383"/>
      <c r="FK146" s="383"/>
      <c r="FL146" s="383"/>
      <c r="FM146" s="383"/>
      <c r="FN146" s="383"/>
      <c r="FO146" s="383"/>
      <c r="FP146" s="383"/>
      <c r="FQ146" s="383"/>
      <c r="FR146" s="383"/>
      <c r="FS146" s="383"/>
      <c r="FT146" s="383"/>
      <c r="FU146" s="383"/>
      <c r="FV146" s="383"/>
      <c r="FW146" s="383"/>
      <c r="FX146" s="383"/>
      <c r="FY146" s="383"/>
      <c r="FZ146" s="383"/>
      <c r="GA146" s="383"/>
      <c r="GB146" s="383"/>
      <c r="GC146" s="383"/>
      <c r="GD146" s="383"/>
      <c r="GE146" s="383"/>
      <c r="GF146" s="383"/>
      <c r="GG146" s="383"/>
      <c r="GH146" s="383"/>
      <c r="GI146" s="383"/>
      <c r="GJ146" s="383"/>
      <c r="GK146" s="383"/>
      <c r="GL146" s="383"/>
      <c r="GM146" s="383"/>
      <c r="GN146" s="383"/>
      <c r="GO146" s="383"/>
      <c r="GP146" s="383"/>
      <c r="GQ146" s="383"/>
      <c r="GR146" s="383"/>
      <c r="GS146" s="383"/>
      <c r="GT146" s="383"/>
      <c r="GU146" s="383"/>
      <c r="GV146" s="383"/>
      <c r="GW146" s="383"/>
      <c r="GX146" s="383"/>
      <c r="GY146" s="383"/>
      <c r="GZ146" s="383"/>
      <c r="HA146" s="383"/>
      <c r="HB146" s="383"/>
      <c r="HC146" s="383"/>
      <c r="HD146" s="383"/>
      <c r="HE146" s="383"/>
      <c r="HF146" s="383"/>
      <c r="HG146" s="383"/>
      <c r="HH146" s="383"/>
      <c r="HI146" s="383"/>
      <c r="HJ146" s="383"/>
      <c r="HK146" s="383"/>
      <c r="HL146" s="383"/>
      <c r="HM146" s="383"/>
      <c r="HN146" s="383"/>
      <c r="HO146" s="383"/>
      <c r="HP146" s="383"/>
      <c r="HQ146" s="383"/>
      <c r="HR146" s="383"/>
      <c r="HS146" s="383"/>
      <c r="HT146" s="383"/>
      <c r="HU146" s="383"/>
      <c r="HV146" s="383"/>
      <c r="HW146" s="383"/>
      <c r="HX146" s="383"/>
      <c r="HY146" s="383"/>
      <c r="HZ146" s="383"/>
      <c r="IA146" s="383"/>
      <c r="IB146" s="383"/>
      <c r="IC146" s="383"/>
      <c r="ID146" s="383"/>
      <c r="IE146" s="383"/>
      <c r="IF146" s="383"/>
      <c r="IG146" s="383"/>
      <c r="IH146" s="383"/>
      <c r="II146" s="383"/>
      <c r="IJ146" s="383"/>
      <c r="IK146" s="383"/>
      <c r="IL146" s="383"/>
    </row>
    <row r="147" spans="1:246" ht="25.5">
      <c r="A147" s="516" t="s">
        <v>60</v>
      </c>
      <c r="B147" s="485" t="s">
        <v>418</v>
      </c>
      <c r="C147" s="483" t="s">
        <v>161</v>
      </c>
      <c r="D147" s="14"/>
      <c r="E147" s="484" t="s">
        <v>381</v>
      </c>
      <c r="F147" s="484" t="s">
        <v>417</v>
      </c>
      <c r="G147" s="479" t="str">
        <f t="shared" si="17"/>
        <v>07/2025</v>
      </c>
      <c r="H147" s="341">
        <f>SUMIF(VI.A!$B$6:$B$5963,B147,VI.A!$L$6:$L$5963)</f>
        <v>212.91974999999996</v>
      </c>
      <c r="I147" s="341" t="str">
        <f t="shared" si="18"/>
        <v>si</v>
      </c>
      <c r="J147" s="383"/>
      <c r="K147" s="383" t="e">
        <f>VLOOKUP(F147,[6]ISD!$B$11:$F$4861,5,FALSE)</f>
        <v>#N/A</v>
      </c>
      <c r="L147" s="384" t="e">
        <f t="shared" si="16"/>
        <v>#N/A</v>
      </c>
      <c r="M147" s="480">
        <f t="shared" si="12"/>
        <v>0</v>
      </c>
      <c r="N147" s="383" t="b">
        <f t="shared" si="13"/>
        <v>0</v>
      </c>
      <c r="O147" s="383"/>
      <c r="P147" s="383"/>
      <c r="Q147" s="383"/>
      <c r="R147" s="383"/>
      <c r="S147" s="383"/>
      <c r="T147" s="383"/>
      <c r="U147" s="383"/>
      <c r="V147" s="383"/>
      <c r="W147" s="383"/>
      <c r="X147" s="383"/>
      <c r="Y147" s="383"/>
      <c r="Z147" s="383"/>
      <c r="AA147" s="383"/>
      <c r="AB147" s="383"/>
      <c r="AC147" s="383"/>
      <c r="AD147" s="383"/>
      <c r="AE147" s="383"/>
      <c r="AF147" s="383"/>
      <c r="AG147" s="383"/>
      <c r="AH147" s="383"/>
      <c r="AI147" s="383"/>
      <c r="AJ147" s="383"/>
      <c r="AK147" s="383"/>
      <c r="AL147" s="383"/>
      <c r="AM147" s="383"/>
      <c r="AN147" s="383"/>
      <c r="AO147" s="383"/>
      <c r="AP147" s="383"/>
      <c r="AQ147" s="383"/>
      <c r="AR147" s="383"/>
      <c r="AS147" s="383"/>
      <c r="AT147" s="383"/>
      <c r="AU147" s="383"/>
      <c r="AV147" s="383"/>
      <c r="AW147" s="383"/>
      <c r="AX147" s="383"/>
      <c r="AY147" s="383"/>
      <c r="AZ147" s="383"/>
      <c r="BA147" s="383"/>
      <c r="BB147" s="383"/>
      <c r="BC147" s="383"/>
      <c r="BD147" s="383"/>
      <c r="BE147" s="383"/>
      <c r="BF147" s="383"/>
      <c r="BG147" s="383"/>
      <c r="BH147" s="383"/>
      <c r="BI147" s="383"/>
      <c r="BJ147" s="383"/>
      <c r="BK147" s="383"/>
      <c r="BL147" s="383"/>
      <c r="BM147" s="383"/>
      <c r="BN147" s="383"/>
      <c r="BO147" s="383"/>
      <c r="BP147" s="383"/>
      <c r="BQ147" s="383"/>
      <c r="BR147" s="383"/>
      <c r="BS147" s="383"/>
      <c r="BT147" s="383"/>
      <c r="BU147" s="383"/>
      <c r="BV147" s="383"/>
      <c r="BW147" s="383"/>
      <c r="BX147" s="383"/>
      <c r="BY147" s="383"/>
      <c r="BZ147" s="383"/>
      <c r="CA147" s="383"/>
      <c r="CB147" s="383"/>
      <c r="CC147" s="383"/>
      <c r="CD147" s="383"/>
      <c r="CE147" s="383"/>
      <c r="CF147" s="383"/>
      <c r="CG147" s="383"/>
      <c r="CH147" s="383"/>
      <c r="CI147" s="383"/>
      <c r="CJ147" s="383"/>
      <c r="CK147" s="383"/>
      <c r="CL147" s="383"/>
      <c r="CM147" s="383"/>
      <c r="CN147" s="383"/>
      <c r="CO147" s="383"/>
      <c r="CP147" s="383"/>
      <c r="CQ147" s="383"/>
      <c r="CR147" s="383"/>
      <c r="CS147" s="383"/>
      <c r="CT147" s="383"/>
      <c r="CU147" s="383"/>
      <c r="CV147" s="383"/>
      <c r="CW147" s="383"/>
      <c r="CX147" s="383"/>
      <c r="CY147" s="383"/>
      <c r="CZ147" s="383"/>
      <c r="DA147" s="383"/>
      <c r="DB147" s="383"/>
      <c r="DC147" s="383"/>
      <c r="DD147" s="383"/>
      <c r="DE147" s="383"/>
      <c r="DF147" s="383"/>
      <c r="DG147" s="383"/>
      <c r="DH147" s="383"/>
      <c r="DI147" s="383"/>
      <c r="DJ147" s="383"/>
      <c r="DK147" s="383"/>
      <c r="DL147" s="383"/>
      <c r="DM147" s="383"/>
      <c r="DN147" s="383"/>
      <c r="DO147" s="383"/>
      <c r="DP147" s="383"/>
      <c r="DQ147" s="383"/>
      <c r="DR147" s="383"/>
      <c r="DS147" s="383"/>
      <c r="DT147" s="383"/>
      <c r="DU147" s="383"/>
      <c r="DV147" s="383"/>
      <c r="DW147" s="383"/>
      <c r="DX147" s="383"/>
      <c r="DY147" s="383"/>
      <c r="DZ147" s="383"/>
      <c r="EA147" s="383"/>
      <c r="EB147" s="383"/>
      <c r="EC147" s="383"/>
      <c r="ED147" s="383"/>
      <c r="EE147" s="383"/>
      <c r="EF147" s="383"/>
      <c r="EG147" s="383"/>
      <c r="EH147" s="383"/>
      <c r="EI147" s="383"/>
      <c r="EJ147" s="383"/>
      <c r="EK147" s="383"/>
      <c r="EL147" s="383"/>
      <c r="EM147" s="383"/>
      <c r="EN147" s="383"/>
      <c r="EO147" s="383"/>
      <c r="EP147" s="383"/>
      <c r="EQ147" s="383"/>
      <c r="ER147" s="383"/>
      <c r="ES147" s="383"/>
      <c r="ET147" s="383"/>
      <c r="EU147" s="383"/>
      <c r="EV147" s="383"/>
      <c r="EW147" s="383"/>
      <c r="EX147" s="383"/>
      <c r="EY147" s="383"/>
      <c r="EZ147" s="383"/>
      <c r="FA147" s="383"/>
      <c r="FB147" s="383"/>
      <c r="FC147" s="383"/>
      <c r="FD147" s="383"/>
      <c r="FE147" s="383"/>
      <c r="FF147" s="383"/>
      <c r="FG147" s="383"/>
      <c r="FH147" s="383"/>
      <c r="FI147" s="383"/>
      <c r="FJ147" s="383"/>
      <c r="FK147" s="383"/>
      <c r="FL147" s="383"/>
      <c r="FM147" s="383"/>
      <c r="FN147" s="383"/>
      <c r="FO147" s="383"/>
      <c r="FP147" s="383"/>
      <c r="FQ147" s="383"/>
      <c r="FR147" s="383"/>
      <c r="FS147" s="383"/>
      <c r="FT147" s="383"/>
      <c r="FU147" s="383"/>
      <c r="FV147" s="383"/>
      <c r="FW147" s="383"/>
      <c r="FX147" s="383"/>
      <c r="FY147" s="383"/>
      <c r="FZ147" s="383"/>
      <c r="GA147" s="383"/>
      <c r="GB147" s="383"/>
      <c r="GC147" s="383"/>
      <c r="GD147" s="383"/>
      <c r="GE147" s="383"/>
      <c r="GF147" s="383"/>
      <c r="GG147" s="383"/>
      <c r="GH147" s="383"/>
      <c r="GI147" s="383"/>
      <c r="GJ147" s="383"/>
      <c r="GK147" s="383"/>
      <c r="GL147" s="383"/>
      <c r="GM147" s="383"/>
      <c r="GN147" s="383"/>
      <c r="GO147" s="383"/>
      <c r="GP147" s="383"/>
      <c r="GQ147" s="383"/>
      <c r="GR147" s="383"/>
      <c r="GS147" s="383"/>
      <c r="GT147" s="383"/>
      <c r="GU147" s="383"/>
      <c r="GV147" s="383"/>
      <c r="GW147" s="383"/>
      <c r="GX147" s="383"/>
      <c r="GY147" s="383"/>
      <c r="GZ147" s="383"/>
      <c r="HA147" s="383"/>
      <c r="HB147" s="383"/>
      <c r="HC147" s="383"/>
      <c r="HD147" s="383"/>
      <c r="HE147" s="383"/>
      <c r="HF147" s="383"/>
      <c r="HG147" s="383"/>
      <c r="HH147" s="383"/>
      <c r="HI147" s="383"/>
      <c r="HJ147" s="383"/>
      <c r="HK147" s="383"/>
      <c r="HL147" s="383"/>
      <c r="HM147" s="383"/>
      <c r="HN147" s="383"/>
      <c r="HO147" s="383"/>
      <c r="HP147" s="383"/>
      <c r="HQ147" s="383"/>
      <c r="HR147" s="383"/>
      <c r="HS147" s="383"/>
      <c r="HT147" s="383"/>
      <c r="HU147" s="383"/>
      <c r="HV147" s="383"/>
      <c r="HW147" s="383"/>
      <c r="HX147" s="383"/>
      <c r="HY147" s="383"/>
      <c r="HZ147" s="383"/>
      <c r="IA147" s="383"/>
      <c r="IB147" s="383"/>
      <c r="IC147" s="383"/>
      <c r="ID147" s="383"/>
      <c r="IE147" s="383"/>
      <c r="IF147" s="383"/>
      <c r="IG147" s="383"/>
      <c r="IH147" s="383"/>
      <c r="II147" s="383"/>
      <c r="IJ147" s="383"/>
      <c r="IK147" s="383"/>
      <c r="IL147" s="383"/>
    </row>
    <row r="148" spans="1:246" ht="15" customHeight="1">
      <c r="A148" s="516" t="s">
        <v>25</v>
      </c>
      <c r="B148" s="485" t="s">
        <v>739</v>
      </c>
      <c r="C148" s="483" t="s">
        <v>162</v>
      </c>
      <c r="D148" s="14"/>
      <c r="E148" s="484" t="s">
        <v>379</v>
      </c>
      <c r="F148" s="484">
        <v>88831</v>
      </c>
      <c r="G148" s="479" t="str">
        <f t="shared" si="17"/>
        <v>01/2026</v>
      </c>
      <c r="H148" s="341">
        <f>SUMIF(VI.A!$B$6:$B$5963,B148,VI.A!$L$6:$L$5963)</f>
        <v>11895.435100000001</v>
      </c>
      <c r="I148" s="341" t="str">
        <f t="shared" si="18"/>
        <v>si</v>
      </c>
      <c r="J148" s="383"/>
      <c r="K148" s="384">
        <f>IF(E148="SABESP","OK",VLOOKUP(F148,[6]CSD!$B$11:$F$10265,4,FALSE))</f>
        <v>0.41</v>
      </c>
      <c r="L148" s="384" t="str">
        <f t="shared" si="16"/>
        <v>VERIFICAR</v>
      </c>
      <c r="M148" s="480">
        <f t="shared" si="12"/>
        <v>0.41</v>
      </c>
      <c r="N148" s="383" t="b">
        <f t="shared" si="13"/>
        <v>0</v>
      </c>
      <c r="O148" s="383"/>
      <c r="P148" s="383"/>
      <c r="Q148" s="383"/>
      <c r="R148" s="383"/>
      <c r="S148" s="383"/>
      <c r="T148" s="383"/>
      <c r="U148" s="383"/>
      <c r="V148" s="383"/>
      <c r="W148" s="383"/>
      <c r="X148" s="383"/>
      <c r="Y148" s="383"/>
      <c r="Z148" s="383"/>
      <c r="AA148" s="383"/>
      <c r="AB148" s="383"/>
      <c r="AC148" s="383"/>
      <c r="AD148" s="383"/>
      <c r="AE148" s="383"/>
      <c r="AF148" s="383"/>
      <c r="AG148" s="383"/>
      <c r="AH148" s="383"/>
      <c r="AI148" s="383"/>
      <c r="AJ148" s="383"/>
      <c r="AK148" s="383"/>
      <c r="AL148" s="383"/>
      <c r="AM148" s="383"/>
      <c r="AN148" s="383"/>
      <c r="AO148" s="383"/>
      <c r="AP148" s="383"/>
      <c r="AQ148" s="383"/>
      <c r="AR148" s="383"/>
      <c r="AS148" s="383"/>
      <c r="AT148" s="383"/>
      <c r="AU148" s="383"/>
      <c r="AV148" s="383"/>
      <c r="AW148" s="383"/>
      <c r="AX148" s="383"/>
      <c r="AY148" s="383"/>
      <c r="AZ148" s="383"/>
      <c r="BA148" s="383"/>
      <c r="BB148" s="383"/>
      <c r="BC148" s="383"/>
      <c r="BD148" s="383"/>
      <c r="BE148" s="383"/>
      <c r="BF148" s="383"/>
      <c r="BG148" s="383"/>
      <c r="BH148" s="383"/>
      <c r="BI148" s="383"/>
      <c r="BJ148" s="383"/>
      <c r="BK148" s="383"/>
      <c r="BL148" s="383"/>
      <c r="BM148" s="383"/>
      <c r="BN148" s="383"/>
      <c r="BO148" s="383"/>
      <c r="BP148" s="383"/>
      <c r="BQ148" s="383"/>
      <c r="BR148" s="383"/>
      <c r="BS148" s="383"/>
      <c r="BT148" s="383"/>
      <c r="BU148" s="383"/>
      <c r="BV148" s="383"/>
      <c r="BW148" s="383"/>
      <c r="BX148" s="383"/>
      <c r="BY148" s="383"/>
      <c r="BZ148" s="383"/>
      <c r="CA148" s="383"/>
      <c r="CB148" s="383"/>
      <c r="CC148" s="383"/>
      <c r="CD148" s="383"/>
      <c r="CE148" s="383"/>
      <c r="CF148" s="383"/>
      <c r="CG148" s="383"/>
      <c r="CH148" s="383"/>
      <c r="CI148" s="383"/>
      <c r="CJ148" s="383"/>
      <c r="CK148" s="383"/>
      <c r="CL148" s="383"/>
      <c r="CM148" s="383"/>
      <c r="CN148" s="383"/>
      <c r="CO148" s="383"/>
      <c r="CP148" s="383"/>
      <c r="CQ148" s="383"/>
      <c r="CR148" s="383"/>
      <c r="CS148" s="383"/>
      <c r="CT148" s="383"/>
      <c r="CU148" s="383"/>
      <c r="CV148" s="383"/>
      <c r="CW148" s="383"/>
      <c r="CX148" s="383"/>
      <c r="CY148" s="383"/>
      <c r="CZ148" s="383"/>
      <c r="DA148" s="383"/>
      <c r="DB148" s="383"/>
      <c r="DC148" s="383"/>
      <c r="DD148" s="383"/>
      <c r="DE148" s="383"/>
      <c r="DF148" s="383"/>
      <c r="DG148" s="383"/>
      <c r="DH148" s="383"/>
      <c r="DI148" s="383"/>
      <c r="DJ148" s="383"/>
      <c r="DK148" s="383"/>
      <c r="DL148" s="383"/>
      <c r="DM148" s="383"/>
      <c r="DN148" s="383"/>
      <c r="DO148" s="383"/>
      <c r="DP148" s="383"/>
      <c r="DQ148" s="383"/>
      <c r="DR148" s="383"/>
      <c r="DS148" s="383"/>
      <c r="DT148" s="383"/>
      <c r="DU148" s="383"/>
      <c r="DV148" s="383"/>
      <c r="DW148" s="383"/>
      <c r="DX148" s="383"/>
      <c r="DY148" s="383"/>
      <c r="DZ148" s="383"/>
      <c r="EA148" s="383"/>
      <c r="EB148" s="383"/>
      <c r="EC148" s="383"/>
      <c r="ED148" s="383"/>
      <c r="EE148" s="383"/>
      <c r="EF148" s="383"/>
      <c r="EG148" s="383"/>
      <c r="EH148" s="383"/>
      <c r="EI148" s="383"/>
      <c r="EJ148" s="383"/>
      <c r="EK148" s="383"/>
      <c r="EL148" s="383"/>
      <c r="EM148" s="383"/>
      <c r="EN148" s="383"/>
      <c r="EO148" s="383"/>
      <c r="EP148" s="383"/>
      <c r="EQ148" s="383"/>
      <c r="ER148" s="383"/>
      <c r="ES148" s="383"/>
      <c r="ET148" s="383"/>
      <c r="EU148" s="383"/>
      <c r="EV148" s="383"/>
      <c r="EW148" s="383"/>
      <c r="EX148" s="383"/>
      <c r="EY148" s="383"/>
      <c r="EZ148" s="383"/>
      <c r="FA148" s="383"/>
      <c r="FB148" s="383"/>
      <c r="FC148" s="383"/>
      <c r="FD148" s="383"/>
      <c r="FE148" s="383"/>
      <c r="FF148" s="383"/>
      <c r="FG148" s="383"/>
      <c r="FH148" s="383"/>
      <c r="FI148" s="383"/>
      <c r="FJ148" s="383"/>
      <c r="FK148" s="383"/>
      <c r="FL148" s="383"/>
      <c r="FM148" s="383"/>
      <c r="FN148" s="383"/>
      <c r="FO148" s="383"/>
      <c r="FP148" s="383"/>
      <c r="FQ148" s="383"/>
      <c r="FR148" s="383"/>
      <c r="FS148" s="383"/>
      <c r="FT148" s="383"/>
      <c r="FU148" s="383"/>
      <c r="FV148" s="383"/>
      <c r="FW148" s="383"/>
      <c r="FX148" s="383"/>
      <c r="FY148" s="383"/>
      <c r="FZ148" s="383"/>
      <c r="GA148" s="383"/>
      <c r="GB148" s="383"/>
      <c r="GC148" s="383"/>
      <c r="GD148" s="383"/>
      <c r="GE148" s="383"/>
      <c r="GF148" s="383"/>
      <c r="GG148" s="383"/>
      <c r="GH148" s="383"/>
      <c r="GI148" s="383"/>
      <c r="GJ148" s="383"/>
      <c r="GK148" s="383"/>
      <c r="GL148" s="383"/>
      <c r="GM148" s="383"/>
      <c r="GN148" s="383"/>
      <c r="GO148" s="383"/>
      <c r="GP148" s="383"/>
      <c r="GQ148" s="383"/>
      <c r="GR148" s="383"/>
      <c r="GS148" s="383"/>
      <c r="GT148" s="383"/>
      <c r="GU148" s="383"/>
      <c r="GV148" s="383"/>
      <c r="GW148" s="383"/>
      <c r="GX148" s="383"/>
      <c r="GY148" s="383"/>
      <c r="GZ148" s="383"/>
      <c r="HA148" s="383"/>
      <c r="HB148" s="383"/>
      <c r="HC148" s="383"/>
      <c r="HD148" s="383"/>
      <c r="HE148" s="383"/>
      <c r="HF148" s="383"/>
      <c r="HG148" s="383"/>
      <c r="HH148" s="383"/>
      <c r="HI148" s="383"/>
      <c r="HJ148" s="383"/>
      <c r="HK148" s="383"/>
      <c r="HL148" s="383"/>
      <c r="HM148" s="383"/>
      <c r="HN148" s="383"/>
      <c r="HO148" s="383"/>
      <c r="HP148" s="383"/>
      <c r="HQ148" s="383"/>
      <c r="HR148" s="383"/>
      <c r="HS148" s="383"/>
      <c r="HT148" s="383"/>
      <c r="HU148" s="383"/>
      <c r="HV148" s="383"/>
      <c r="HW148" s="383"/>
      <c r="HX148" s="383"/>
      <c r="HY148" s="383"/>
      <c r="HZ148" s="383"/>
      <c r="IA148" s="383"/>
      <c r="IB148" s="383"/>
      <c r="IC148" s="383"/>
      <c r="ID148" s="383"/>
      <c r="IE148" s="383"/>
      <c r="IF148" s="383"/>
      <c r="IG148" s="383"/>
      <c r="IH148" s="383"/>
      <c r="II148" s="383"/>
      <c r="IJ148" s="383"/>
      <c r="IK148" s="383"/>
      <c r="IL148" s="383"/>
    </row>
    <row r="149" spans="1:246" ht="15" customHeight="1">
      <c r="A149" s="516" t="s">
        <v>61</v>
      </c>
      <c r="B149" s="485" t="s">
        <v>740</v>
      </c>
      <c r="C149" s="483" t="s">
        <v>163</v>
      </c>
      <c r="D149" s="14"/>
      <c r="E149" s="484" t="s">
        <v>379</v>
      </c>
      <c r="F149" s="484">
        <v>88830</v>
      </c>
      <c r="G149" s="479" t="str">
        <f t="shared" si="17"/>
        <v>01/2026</v>
      </c>
      <c r="H149" s="341">
        <f>SUMIF(VI.A!$B$6:$B$5963,B149,VI.A!$L$6:$L$5963)</f>
        <v>4129.4400999999998</v>
      </c>
      <c r="I149" s="341" t="str">
        <f t="shared" si="18"/>
        <v>si</v>
      </c>
      <c r="J149" s="383"/>
      <c r="K149" s="384">
        <f>IF(E149="SABESP","OK",VLOOKUP(F149,[6]CSD!$B$11:$F$10265,4,FALSE))</f>
        <v>1.86</v>
      </c>
      <c r="L149" s="384" t="str">
        <f t="shared" si="16"/>
        <v>VERIFICAR</v>
      </c>
      <c r="M149" s="480">
        <f t="shared" si="12"/>
        <v>1.86</v>
      </c>
      <c r="N149" s="383" t="b">
        <f t="shared" si="13"/>
        <v>0</v>
      </c>
      <c r="O149" s="383"/>
      <c r="P149" s="383"/>
      <c r="Q149" s="383"/>
      <c r="R149" s="383"/>
      <c r="S149" s="383"/>
      <c r="T149" s="383"/>
      <c r="U149" s="383"/>
      <c r="V149" s="383"/>
      <c r="W149" s="383"/>
      <c r="X149" s="383"/>
      <c r="Y149" s="383"/>
      <c r="Z149" s="383"/>
      <c r="AA149" s="383"/>
      <c r="AB149" s="383"/>
      <c r="AC149" s="383"/>
      <c r="AD149" s="383"/>
      <c r="AE149" s="383"/>
      <c r="AF149" s="383"/>
      <c r="AG149" s="383"/>
      <c r="AH149" s="383"/>
      <c r="AI149" s="383"/>
      <c r="AJ149" s="383"/>
      <c r="AK149" s="383"/>
      <c r="AL149" s="383"/>
      <c r="AM149" s="383"/>
      <c r="AN149" s="383"/>
      <c r="AO149" s="383"/>
      <c r="AP149" s="383"/>
      <c r="AQ149" s="383"/>
      <c r="AR149" s="383"/>
      <c r="AS149" s="383"/>
      <c r="AT149" s="383"/>
      <c r="AU149" s="383"/>
      <c r="AV149" s="383"/>
      <c r="AW149" s="383"/>
      <c r="AX149" s="383"/>
      <c r="AY149" s="383"/>
      <c r="AZ149" s="383"/>
      <c r="BA149" s="383"/>
      <c r="BB149" s="383"/>
      <c r="BC149" s="383"/>
      <c r="BD149" s="383"/>
      <c r="BE149" s="383"/>
      <c r="BF149" s="383"/>
      <c r="BG149" s="383"/>
      <c r="BH149" s="383"/>
      <c r="BI149" s="383"/>
      <c r="BJ149" s="383"/>
      <c r="BK149" s="383"/>
      <c r="BL149" s="383"/>
      <c r="BM149" s="383"/>
      <c r="BN149" s="383"/>
      <c r="BO149" s="383"/>
      <c r="BP149" s="383"/>
      <c r="BQ149" s="383"/>
      <c r="BR149" s="383"/>
      <c r="BS149" s="383"/>
      <c r="BT149" s="383"/>
      <c r="BU149" s="383"/>
      <c r="BV149" s="383"/>
      <c r="BW149" s="383"/>
      <c r="BX149" s="383"/>
      <c r="BY149" s="383"/>
      <c r="BZ149" s="383"/>
      <c r="CA149" s="383"/>
      <c r="CB149" s="383"/>
      <c r="CC149" s="383"/>
      <c r="CD149" s="383"/>
      <c r="CE149" s="383"/>
      <c r="CF149" s="383"/>
      <c r="CG149" s="383"/>
      <c r="CH149" s="383"/>
      <c r="CI149" s="383"/>
      <c r="CJ149" s="383"/>
      <c r="CK149" s="383"/>
      <c r="CL149" s="383"/>
      <c r="CM149" s="383"/>
      <c r="CN149" s="383"/>
      <c r="CO149" s="383"/>
      <c r="CP149" s="383"/>
      <c r="CQ149" s="383"/>
      <c r="CR149" s="383"/>
      <c r="CS149" s="383"/>
      <c r="CT149" s="383"/>
      <c r="CU149" s="383"/>
      <c r="CV149" s="383"/>
      <c r="CW149" s="383"/>
      <c r="CX149" s="383"/>
      <c r="CY149" s="383"/>
      <c r="CZ149" s="383"/>
      <c r="DA149" s="383"/>
      <c r="DB149" s="383"/>
      <c r="DC149" s="383"/>
      <c r="DD149" s="383"/>
      <c r="DE149" s="383"/>
      <c r="DF149" s="383"/>
      <c r="DG149" s="383"/>
      <c r="DH149" s="383"/>
      <c r="DI149" s="383"/>
      <c r="DJ149" s="383"/>
      <c r="DK149" s="383"/>
      <c r="DL149" s="383"/>
      <c r="DM149" s="383"/>
      <c r="DN149" s="383"/>
      <c r="DO149" s="383"/>
      <c r="DP149" s="383"/>
      <c r="DQ149" s="383"/>
      <c r="DR149" s="383"/>
      <c r="DS149" s="383"/>
      <c r="DT149" s="383"/>
      <c r="DU149" s="383"/>
      <c r="DV149" s="383"/>
      <c r="DW149" s="383"/>
      <c r="DX149" s="383"/>
      <c r="DY149" s="383"/>
      <c r="DZ149" s="383"/>
      <c r="EA149" s="383"/>
      <c r="EB149" s="383"/>
      <c r="EC149" s="383"/>
      <c r="ED149" s="383"/>
      <c r="EE149" s="383"/>
      <c r="EF149" s="383"/>
      <c r="EG149" s="383"/>
      <c r="EH149" s="383"/>
      <c r="EI149" s="383"/>
      <c r="EJ149" s="383"/>
      <c r="EK149" s="383"/>
      <c r="EL149" s="383"/>
      <c r="EM149" s="383"/>
      <c r="EN149" s="383"/>
      <c r="EO149" s="383"/>
      <c r="EP149" s="383"/>
      <c r="EQ149" s="383"/>
      <c r="ER149" s="383"/>
      <c r="ES149" s="383"/>
      <c r="ET149" s="383"/>
      <c r="EU149" s="383"/>
      <c r="EV149" s="383"/>
      <c r="EW149" s="383"/>
      <c r="EX149" s="383"/>
      <c r="EY149" s="383"/>
      <c r="EZ149" s="383"/>
      <c r="FA149" s="383"/>
      <c r="FB149" s="383"/>
      <c r="FC149" s="383"/>
      <c r="FD149" s="383"/>
      <c r="FE149" s="383"/>
      <c r="FF149" s="383"/>
      <c r="FG149" s="383"/>
      <c r="FH149" s="383"/>
      <c r="FI149" s="383"/>
      <c r="FJ149" s="383"/>
      <c r="FK149" s="383"/>
      <c r="FL149" s="383"/>
      <c r="FM149" s="383"/>
      <c r="FN149" s="383"/>
      <c r="FO149" s="383"/>
      <c r="FP149" s="383"/>
      <c r="FQ149" s="383"/>
      <c r="FR149" s="383"/>
      <c r="FS149" s="383"/>
      <c r="FT149" s="383"/>
      <c r="FU149" s="383"/>
      <c r="FV149" s="383"/>
      <c r="FW149" s="383"/>
      <c r="FX149" s="383"/>
      <c r="FY149" s="383"/>
      <c r="FZ149" s="383"/>
      <c r="GA149" s="383"/>
      <c r="GB149" s="383"/>
      <c r="GC149" s="383"/>
      <c r="GD149" s="383"/>
      <c r="GE149" s="383"/>
      <c r="GF149" s="383"/>
      <c r="GG149" s="383"/>
      <c r="GH149" s="383"/>
      <c r="GI149" s="383"/>
      <c r="GJ149" s="383"/>
      <c r="GK149" s="383"/>
      <c r="GL149" s="383"/>
      <c r="GM149" s="383"/>
      <c r="GN149" s="383"/>
      <c r="GO149" s="383"/>
      <c r="GP149" s="383"/>
      <c r="GQ149" s="383"/>
      <c r="GR149" s="383"/>
      <c r="GS149" s="383"/>
      <c r="GT149" s="383"/>
      <c r="GU149" s="383"/>
      <c r="GV149" s="383"/>
      <c r="GW149" s="383"/>
      <c r="GX149" s="383"/>
      <c r="GY149" s="383"/>
      <c r="GZ149" s="383"/>
      <c r="HA149" s="383"/>
      <c r="HB149" s="383"/>
      <c r="HC149" s="383"/>
      <c r="HD149" s="383"/>
      <c r="HE149" s="383"/>
      <c r="HF149" s="383"/>
      <c r="HG149" s="383"/>
      <c r="HH149" s="383"/>
      <c r="HI149" s="383"/>
      <c r="HJ149" s="383"/>
      <c r="HK149" s="383"/>
      <c r="HL149" s="383"/>
      <c r="HM149" s="383"/>
      <c r="HN149" s="383"/>
      <c r="HO149" s="383"/>
      <c r="HP149" s="383"/>
      <c r="HQ149" s="383"/>
      <c r="HR149" s="383"/>
      <c r="HS149" s="383"/>
      <c r="HT149" s="383"/>
      <c r="HU149" s="383"/>
      <c r="HV149" s="383"/>
      <c r="HW149" s="383"/>
      <c r="HX149" s="383"/>
      <c r="HY149" s="383"/>
      <c r="HZ149" s="383"/>
      <c r="IA149" s="383"/>
      <c r="IB149" s="383"/>
      <c r="IC149" s="383"/>
      <c r="ID149" s="383"/>
      <c r="IE149" s="383"/>
      <c r="IF149" s="383"/>
      <c r="IG149" s="383"/>
      <c r="IH149" s="383"/>
      <c r="II149" s="383"/>
      <c r="IJ149" s="383"/>
      <c r="IK149" s="383"/>
      <c r="IL149" s="383"/>
    </row>
    <row r="150" spans="1:246" ht="15" customHeight="1">
      <c r="A150" s="516" t="s">
        <v>62</v>
      </c>
      <c r="B150" s="482" t="s">
        <v>732</v>
      </c>
      <c r="C150" s="483" t="s">
        <v>163</v>
      </c>
      <c r="D150" s="14"/>
      <c r="E150" s="484" t="s">
        <v>379</v>
      </c>
      <c r="F150" s="484">
        <v>5811</v>
      </c>
      <c r="G150" s="479" t="str">
        <f t="shared" si="17"/>
        <v>01/2026</v>
      </c>
      <c r="H150" s="341">
        <f>SUMIF(VI.A!$B$6:$B$5963,B150,VI.A!$L$6:$L$5963)</f>
        <v>96.59999999999998</v>
      </c>
      <c r="I150" s="341" t="str">
        <f t="shared" si="18"/>
        <v>si</v>
      </c>
      <c r="J150" s="383"/>
      <c r="K150" s="384">
        <f>IF(E150="SABESP","OK",VLOOKUP(F150,[6]CSD!$B$11:$F$10265,4,FALSE))</f>
        <v>218.49</v>
      </c>
      <c r="L150" s="384" t="str">
        <f t="shared" si="16"/>
        <v>VERIFICAR</v>
      </c>
      <c r="M150" s="480">
        <f t="shared" si="12"/>
        <v>218.49</v>
      </c>
      <c r="N150" s="383" t="b">
        <f t="shared" si="13"/>
        <v>0</v>
      </c>
      <c r="O150" s="383"/>
      <c r="P150" s="383"/>
      <c r="Q150" s="383"/>
      <c r="R150" s="383"/>
      <c r="S150" s="383"/>
      <c r="T150" s="383"/>
      <c r="U150" s="383"/>
      <c r="V150" s="383"/>
      <c r="W150" s="383"/>
      <c r="X150" s="383"/>
      <c r="Y150" s="383"/>
      <c r="Z150" s="383"/>
      <c r="AA150" s="383"/>
      <c r="AB150" s="383"/>
      <c r="AC150" s="383"/>
      <c r="AD150" s="383"/>
      <c r="AE150" s="383"/>
      <c r="AF150" s="383"/>
      <c r="AG150" s="383"/>
      <c r="AH150" s="383"/>
      <c r="AI150" s="383"/>
      <c r="AJ150" s="383"/>
      <c r="AK150" s="383"/>
      <c r="AL150" s="383"/>
      <c r="AM150" s="383"/>
      <c r="AN150" s="383"/>
      <c r="AO150" s="383"/>
      <c r="AP150" s="383"/>
      <c r="AQ150" s="383"/>
      <c r="AR150" s="383"/>
      <c r="AS150" s="383"/>
      <c r="AT150" s="383"/>
      <c r="AU150" s="383"/>
      <c r="AV150" s="383"/>
      <c r="AW150" s="383"/>
      <c r="AX150" s="383"/>
      <c r="AY150" s="383"/>
      <c r="AZ150" s="383"/>
      <c r="BA150" s="383"/>
      <c r="BB150" s="383"/>
      <c r="BC150" s="383"/>
      <c r="BD150" s="383"/>
      <c r="BE150" s="383"/>
      <c r="BF150" s="383"/>
      <c r="BG150" s="383"/>
      <c r="BH150" s="383"/>
      <c r="BI150" s="383"/>
      <c r="BJ150" s="383"/>
      <c r="BK150" s="383"/>
      <c r="BL150" s="383"/>
      <c r="BM150" s="383"/>
      <c r="BN150" s="383"/>
      <c r="BO150" s="383"/>
      <c r="BP150" s="383"/>
      <c r="BQ150" s="383"/>
      <c r="BR150" s="383"/>
      <c r="BS150" s="383"/>
      <c r="BT150" s="383"/>
      <c r="BU150" s="383"/>
      <c r="BV150" s="383"/>
      <c r="BW150" s="383"/>
      <c r="BX150" s="383"/>
      <c r="BY150" s="383"/>
      <c r="BZ150" s="383"/>
      <c r="CA150" s="383"/>
      <c r="CB150" s="383"/>
      <c r="CC150" s="383"/>
      <c r="CD150" s="383"/>
      <c r="CE150" s="383"/>
      <c r="CF150" s="383"/>
      <c r="CG150" s="383"/>
      <c r="CH150" s="383"/>
      <c r="CI150" s="383"/>
      <c r="CJ150" s="383"/>
      <c r="CK150" s="383"/>
      <c r="CL150" s="383"/>
      <c r="CM150" s="383"/>
      <c r="CN150" s="383"/>
      <c r="CO150" s="383"/>
      <c r="CP150" s="383"/>
      <c r="CQ150" s="383"/>
      <c r="CR150" s="383"/>
      <c r="CS150" s="383"/>
      <c r="CT150" s="383"/>
      <c r="CU150" s="383"/>
      <c r="CV150" s="383"/>
      <c r="CW150" s="383"/>
      <c r="CX150" s="383"/>
      <c r="CY150" s="383"/>
      <c r="CZ150" s="383"/>
      <c r="DA150" s="383"/>
      <c r="DB150" s="383"/>
      <c r="DC150" s="383"/>
      <c r="DD150" s="383"/>
      <c r="DE150" s="383"/>
      <c r="DF150" s="383"/>
      <c r="DG150" s="383"/>
      <c r="DH150" s="383"/>
      <c r="DI150" s="383"/>
      <c r="DJ150" s="383"/>
      <c r="DK150" s="383"/>
      <c r="DL150" s="383"/>
      <c r="DM150" s="383"/>
      <c r="DN150" s="383"/>
      <c r="DO150" s="383"/>
      <c r="DP150" s="383"/>
      <c r="DQ150" s="383"/>
      <c r="DR150" s="383"/>
      <c r="DS150" s="383"/>
      <c r="DT150" s="383"/>
      <c r="DU150" s="383"/>
      <c r="DV150" s="383"/>
      <c r="DW150" s="383"/>
      <c r="DX150" s="383"/>
      <c r="DY150" s="383"/>
      <c r="DZ150" s="383"/>
      <c r="EA150" s="383"/>
      <c r="EB150" s="383"/>
      <c r="EC150" s="383"/>
      <c r="ED150" s="383"/>
      <c r="EE150" s="383"/>
      <c r="EF150" s="383"/>
      <c r="EG150" s="383"/>
      <c r="EH150" s="383"/>
      <c r="EI150" s="383"/>
      <c r="EJ150" s="383"/>
      <c r="EK150" s="383"/>
      <c r="EL150" s="383"/>
      <c r="EM150" s="383"/>
      <c r="EN150" s="383"/>
      <c r="EO150" s="383"/>
      <c r="EP150" s="383"/>
      <c r="EQ150" s="383"/>
      <c r="ER150" s="383"/>
      <c r="ES150" s="383"/>
      <c r="ET150" s="383"/>
      <c r="EU150" s="383"/>
      <c r="EV150" s="383"/>
      <c r="EW150" s="383"/>
      <c r="EX150" s="383"/>
      <c r="EY150" s="383"/>
      <c r="EZ150" s="383"/>
      <c r="FA150" s="383"/>
      <c r="FB150" s="383"/>
      <c r="FC150" s="383"/>
      <c r="FD150" s="383"/>
      <c r="FE150" s="383"/>
      <c r="FF150" s="383"/>
      <c r="FG150" s="383"/>
      <c r="FH150" s="383"/>
      <c r="FI150" s="383"/>
      <c r="FJ150" s="383"/>
      <c r="FK150" s="383"/>
      <c r="FL150" s="383"/>
      <c r="FM150" s="383"/>
      <c r="FN150" s="383"/>
      <c r="FO150" s="383"/>
      <c r="FP150" s="383"/>
      <c r="FQ150" s="383"/>
      <c r="FR150" s="383"/>
      <c r="FS150" s="383"/>
      <c r="FT150" s="383"/>
      <c r="FU150" s="383"/>
      <c r="FV150" s="383"/>
      <c r="FW150" s="383"/>
      <c r="FX150" s="383"/>
      <c r="FY150" s="383"/>
      <c r="FZ150" s="383"/>
      <c r="GA150" s="383"/>
      <c r="GB150" s="383"/>
      <c r="GC150" s="383"/>
      <c r="GD150" s="383"/>
      <c r="GE150" s="383"/>
      <c r="GF150" s="383"/>
      <c r="GG150" s="383"/>
      <c r="GH150" s="383"/>
      <c r="GI150" s="383"/>
      <c r="GJ150" s="383"/>
      <c r="GK150" s="383"/>
      <c r="GL150" s="383"/>
      <c r="GM150" s="383"/>
      <c r="GN150" s="383"/>
      <c r="GO150" s="383"/>
      <c r="GP150" s="383"/>
      <c r="GQ150" s="383"/>
      <c r="GR150" s="383"/>
      <c r="GS150" s="383"/>
      <c r="GT150" s="383"/>
      <c r="GU150" s="383"/>
      <c r="GV150" s="383"/>
      <c r="GW150" s="383"/>
      <c r="GX150" s="383"/>
      <c r="GY150" s="383"/>
      <c r="GZ150" s="383"/>
      <c r="HA150" s="383"/>
      <c r="HB150" s="383"/>
      <c r="HC150" s="383"/>
      <c r="HD150" s="383"/>
      <c r="HE150" s="383"/>
      <c r="HF150" s="383"/>
      <c r="HG150" s="383"/>
      <c r="HH150" s="383"/>
      <c r="HI150" s="383"/>
      <c r="HJ150" s="383"/>
      <c r="HK150" s="383"/>
      <c r="HL150" s="383"/>
      <c r="HM150" s="383"/>
      <c r="HN150" s="383"/>
      <c r="HO150" s="383"/>
      <c r="HP150" s="383"/>
      <c r="HQ150" s="383"/>
      <c r="HR150" s="383"/>
      <c r="HS150" s="383"/>
      <c r="HT150" s="383"/>
      <c r="HU150" s="383"/>
      <c r="HV150" s="383"/>
      <c r="HW150" s="383"/>
      <c r="HX150" s="383"/>
      <c r="HY150" s="383"/>
      <c r="HZ150" s="383"/>
      <c r="IA150" s="383"/>
      <c r="IB150" s="383"/>
      <c r="IC150" s="383"/>
      <c r="ID150" s="383"/>
      <c r="IE150" s="383"/>
      <c r="IF150" s="383"/>
      <c r="IG150" s="383"/>
      <c r="IH150" s="383"/>
      <c r="II150" s="383"/>
      <c r="IJ150" s="383"/>
      <c r="IK150" s="383"/>
      <c r="IL150" s="383"/>
    </row>
    <row r="151" spans="1:246" ht="15" customHeight="1" thickBot="1">
      <c r="A151" s="516" t="s">
        <v>26</v>
      </c>
      <c r="B151" s="482" t="s">
        <v>733</v>
      </c>
      <c r="C151" s="483" t="s">
        <v>162</v>
      </c>
      <c r="D151" s="14"/>
      <c r="E151" s="484" t="s">
        <v>379</v>
      </c>
      <c r="F151" s="484">
        <v>5961</v>
      </c>
      <c r="G151" s="479" t="str">
        <f t="shared" si="17"/>
        <v>01/2026</v>
      </c>
      <c r="H151" s="341">
        <f>SUMIF(VI.A!$B$6:$B$5963,B151,VI.A!$L$6:$L$5963)</f>
        <v>12.5</v>
      </c>
      <c r="I151" s="341" t="str">
        <f t="shared" si="18"/>
        <v>si</v>
      </c>
      <c r="J151" s="383"/>
      <c r="K151" s="384">
        <f>IF(E151="SABESP","OK",VLOOKUP(F151,[6]CSD!$B$11:$F$10265,4,FALSE))</f>
        <v>74.209999999999994</v>
      </c>
      <c r="L151" s="384" t="str">
        <f t="shared" si="16"/>
        <v>VERIFICAR</v>
      </c>
      <c r="M151" s="480">
        <f t="shared" si="12"/>
        <v>74.209999999999994</v>
      </c>
      <c r="N151" s="383" t="b">
        <f t="shared" si="13"/>
        <v>0</v>
      </c>
      <c r="O151" s="383"/>
      <c r="P151" s="383"/>
      <c r="Q151" s="383"/>
      <c r="R151" s="383"/>
      <c r="S151" s="383"/>
      <c r="T151" s="383"/>
      <c r="U151" s="383"/>
      <c r="V151" s="383"/>
      <c r="W151" s="383"/>
      <c r="X151" s="383"/>
      <c r="Y151" s="383"/>
      <c r="Z151" s="383"/>
      <c r="AA151" s="383"/>
      <c r="AB151" s="383"/>
      <c r="AC151" s="383"/>
      <c r="AD151" s="383"/>
      <c r="AE151" s="383"/>
      <c r="AF151" s="383"/>
      <c r="AG151" s="383"/>
      <c r="AH151" s="383"/>
      <c r="AI151" s="383"/>
      <c r="AJ151" s="383"/>
      <c r="AK151" s="383"/>
      <c r="AL151" s="383"/>
      <c r="AM151" s="383"/>
      <c r="AN151" s="383"/>
      <c r="AO151" s="383"/>
      <c r="AP151" s="383"/>
      <c r="AQ151" s="383"/>
      <c r="AR151" s="383"/>
      <c r="AS151" s="383"/>
      <c r="AT151" s="383"/>
      <c r="AU151" s="383"/>
      <c r="AV151" s="383"/>
      <c r="AW151" s="383"/>
      <c r="AX151" s="383"/>
      <c r="AY151" s="383"/>
      <c r="AZ151" s="383"/>
      <c r="BA151" s="383"/>
      <c r="BB151" s="383"/>
      <c r="BC151" s="383"/>
      <c r="BD151" s="383"/>
      <c r="BE151" s="383"/>
      <c r="BF151" s="383"/>
      <c r="BG151" s="383"/>
      <c r="BH151" s="383"/>
      <c r="BI151" s="383"/>
      <c r="BJ151" s="383"/>
      <c r="BK151" s="383"/>
      <c r="BL151" s="383"/>
      <c r="BM151" s="383"/>
      <c r="BN151" s="383"/>
      <c r="BO151" s="383"/>
      <c r="BP151" s="383"/>
      <c r="BQ151" s="383"/>
      <c r="BR151" s="383"/>
      <c r="BS151" s="383"/>
      <c r="BT151" s="383"/>
      <c r="BU151" s="383"/>
      <c r="BV151" s="383"/>
      <c r="BW151" s="383"/>
      <c r="BX151" s="383"/>
      <c r="BY151" s="383"/>
      <c r="BZ151" s="383"/>
      <c r="CA151" s="383"/>
      <c r="CB151" s="383"/>
      <c r="CC151" s="383"/>
      <c r="CD151" s="383"/>
      <c r="CE151" s="383"/>
      <c r="CF151" s="383"/>
      <c r="CG151" s="383"/>
      <c r="CH151" s="383"/>
      <c r="CI151" s="383"/>
      <c r="CJ151" s="383"/>
      <c r="CK151" s="383"/>
      <c r="CL151" s="383"/>
      <c r="CM151" s="383"/>
      <c r="CN151" s="383"/>
      <c r="CO151" s="383"/>
      <c r="CP151" s="383"/>
      <c r="CQ151" s="383"/>
      <c r="CR151" s="383"/>
      <c r="CS151" s="383"/>
      <c r="CT151" s="383"/>
      <c r="CU151" s="383"/>
      <c r="CV151" s="383"/>
      <c r="CW151" s="383"/>
      <c r="CX151" s="383"/>
      <c r="CY151" s="383"/>
      <c r="CZ151" s="383"/>
      <c r="DA151" s="383"/>
      <c r="DB151" s="383"/>
      <c r="DC151" s="383"/>
      <c r="DD151" s="383"/>
      <c r="DE151" s="383"/>
      <c r="DF151" s="383"/>
      <c r="DG151" s="383"/>
      <c r="DH151" s="383"/>
      <c r="DI151" s="383"/>
      <c r="DJ151" s="383"/>
      <c r="DK151" s="383"/>
      <c r="DL151" s="383"/>
      <c r="DM151" s="383"/>
      <c r="DN151" s="383"/>
      <c r="DO151" s="383"/>
      <c r="DP151" s="383"/>
      <c r="DQ151" s="383"/>
      <c r="DR151" s="383"/>
      <c r="DS151" s="383"/>
      <c r="DT151" s="383"/>
      <c r="DU151" s="383"/>
      <c r="DV151" s="383"/>
      <c r="DW151" s="383"/>
      <c r="DX151" s="383"/>
      <c r="DY151" s="383"/>
      <c r="DZ151" s="383"/>
      <c r="EA151" s="383"/>
      <c r="EB151" s="383"/>
      <c r="EC151" s="383"/>
      <c r="ED151" s="383"/>
      <c r="EE151" s="383"/>
      <c r="EF151" s="383"/>
      <c r="EG151" s="383"/>
      <c r="EH151" s="383"/>
      <c r="EI151" s="383"/>
      <c r="EJ151" s="383"/>
      <c r="EK151" s="383"/>
      <c r="EL151" s="383"/>
      <c r="EM151" s="383"/>
      <c r="EN151" s="383"/>
      <c r="EO151" s="383"/>
      <c r="EP151" s="383"/>
      <c r="EQ151" s="383"/>
      <c r="ER151" s="383"/>
      <c r="ES151" s="383"/>
      <c r="ET151" s="383"/>
      <c r="EU151" s="383"/>
      <c r="EV151" s="383"/>
      <c r="EW151" s="383"/>
      <c r="EX151" s="383"/>
      <c r="EY151" s="383"/>
      <c r="EZ151" s="383"/>
      <c r="FA151" s="383"/>
      <c r="FB151" s="383"/>
      <c r="FC151" s="383"/>
      <c r="FD151" s="383"/>
      <c r="FE151" s="383"/>
      <c r="FF151" s="383"/>
      <c r="FG151" s="383"/>
      <c r="FH151" s="383"/>
      <c r="FI151" s="383"/>
      <c r="FJ151" s="383"/>
      <c r="FK151" s="383"/>
      <c r="FL151" s="383"/>
      <c r="FM151" s="383"/>
      <c r="FN151" s="383"/>
      <c r="FO151" s="383"/>
      <c r="FP151" s="383"/>
      <c r="FQ151" s="383"/>
      <c r="FR151" s="383"/>
      <c r="FS151" s="383"/>
      <c r="FT151" s="383"/>
      <c r="FU151" s="383"/>
      <c r="FV151" s="383"/>
      <c r="FW151" s="383"/>
      <c r="FX151" s="383"/>
      <c r="FY151" s="383"/>
      <c r="FZ151" s="383"/>
      <c r="GA151" s="383"/>
      <c r="GB151" s="383"/>
      <c r="GC151" s="383"/>
      <c r="GD151" s="383"/>
      <c r="GE151" s="383"/>
      <c r="GF151" s="383"/>
      <c r="GG151" s="383"/>
      <c r="GH151" s="383"/>
      <c r="GI151" s="383"/>
      <c r="GJ151" s="383"/>
      <c r="GK151" s="383"/>
      <c r="GL151" s="383"/>
      <c r="GM151" s="383"/>
      <c r="GN151" s="383"/>
      <c r="GO151" s="383"/>
      <c r="GP151" s="383"/>
      <c r="GQ151" s="383"/>
      <c r="GR151" s="383"/>
      <c r="GS151" s="383"/>
      <c r="GT151" s="383"/>
      <c r="GU151" s="383"/>
      <c r="GV151" s="383"/>
      <c r="GW151" s="383"/>
      <c r="GX151" s="383"/>
      <c r="GY151" s="383"/>
      <c r="GZ151" s="383"/>
      <c r="HA151" s="383"/>
      <c r="HB151" s="383"/>
      <c r="HC151" s="383"/>
      <c r="HD151" s="383"/>
      <c r="HE151" s="383"/>
      <c r="HF151" s="383"/>
      <c r="HG151" s="383"/>
      <c r="HH151" s="383"/>
      <c r="HI151" s="383"/>
      <c r="HJ151" s="383"/>
      <c r="HK151" s="383"/>
      <c r="HL151" s="383"/>
      <c r="HM151" s="383"/>
      <c r="HN151" s="383"/>
      <c r="HO151" s="383"/>
      <c r="HP151" s="383"/>
      <c r="HQ151" s="383"/>
      <c r="HR151" s="383"/>
      <c r="HS151" s="383"/>
      <c r="HT151" s="383"/>
      <c r="HU151" s="383"/>
      <c r="HV151" s="383"/>
      <c r="HW151" s="383"/>
      <c r="HX151" s="383"/>
      <c r="HY151" s="383"/>
      <c r="HZ151" s="383"/>
      <c r="IA151" s="383"/>
      <c r="IB151" s="383"/>
      <c r="IC151" s="383"/>
      <c r="ID151" s="383"/>
      <c r="IE151" s="383"/>
      <c r="IF151" s="383"/>
      <c r="IG151" s="383"/>
      <c r="IH151" s="383"/>
      <c r="II151" s="383"/>
      <c r="IJ151" s="383"/>
      <c r="IK151" s="383"/>
      <c r="IL151" s="383"/>
    </row>
    <row r="152" spans="1:246" ht="15" customHeight="1" thickBot="1">
      <c r="A152" s="516" t="s">
        <v>63</v>
      </c>
      <c r="B152" s="482" t="s">
        <v>865</v>
      </c>
      <c r="C152" s="483" t="s">
        <v>163</v>
      </c>
      <c r="D152" s="14"/>
      <c r="E152" s="484" t="s">
        <v>381</v>
      </c>
      <c r="F152" s="518" t="s">
        <v>867</v>
      </c>
      <c r="G152" s="479" t="str">
        <f t="shared" si="17"/>
        <v>07/2025</v>
      </c>
      <c r="H152" s="341">
        <f>SUMIF(VI.A!$B$6:$B$5963,B152,VI.A!$L$6:$L$5963)</f>
        <v>859.30000000000007</v>
      </c>
      <c r="I152" s="341" t="str">
        <f t="shared" si="18"/>
        <v>si</v>
      </c>
      <c r="J152" s="519" t="s">
        <v>833</v>
      </c>
      <c r="K152" s="384" t="str">
        <f>IF(E152="SABESP","OK",VLOOKUP(F152,[6]CSD!$B$11:$F$10265,4,FALSE))</f>
        <v>OK</v>
      </c>
      <c r="L152" s="384" t="str">
        <f t="shared" si="16"/>
        <v>OK</v>
      </c>
      <c r="M152" s="480" t="str">
        <f t="shared" si="12"/>
        <v>OK</v>
      </c>
      <c r="N152" s="383" t="b">
        <f t="shared" si="13"/>
        <v>0</v>
      </c>
      <c r="O152" s="383"/>
      <c r="P152" s="383"/>
      <c r="Q152" s="383"/>
      <c r="R152" s="383"/>
      <c r="S152" s="383"/>
      <c r="T152" s="383"/>
      <c r="U152" s="383"/>
      <c r="V152" s="383"/>
      <c r="W152" s="383"/>
      <c r="X152" s="383"/>
      <c r="Y152" s="383"/>
      <c r="Z152" s="383"/>
      <c r="AA152" s="383"/>
      <c r="AB152" s="383"/>
      <c r="AC152" s="383"/>
      <c r="AD152" s="383"/>
      <c r="AE152" s="383"/>
      <c r="AF152" s="383"/>
      <c r="AG152" s="383"/>
      <c r="AH152" s="383"/>
      <c r="AI152" s="383"/>
      <c r="AJ152" s="383"/>
      <c r="AK152" s="383"/>
      <c r="AL152" s="383"/>
      <c r="AM152" s="383"/>
      <c r="AN152" s="383"/>
      <c r="AO152" s="383"/>
      <c r="AP152" s="383"/>
      <c r="AQ152" s="383"/>
      <c r="AR152" s="383"/>
      <c r="AS152" s="383"/>
      <c r="AT152" s="383"/>
      <c r="AU152" s="383"/>
      <c r="AV152" s="383"/>
      <c r="AW152" s="383"/>
      <c r="AX152" s="383"/>
      <c r="AY152" s="383"/>
      <c r="AZ152" s="383"/>
      <c r="BA152" s="383"/>
      <c r="BB152" s="383"/>
      <c r="BC152" s="383"/>
      <c r="BD152" s="383"/>
      <c r="BE152" s="383"/>
      <c r="BF152" s="383"/>
      <c r="BG152" s="383"/>
      <c r="BH152" s="383"/>
      <c r="BI152" s="383"/>
      <c r="BJ152" s="383"/>
      <c r="BK152" s="383"/>
      <c r="BL152" s="383"/>
      <c r="BM152" s="383"/>
      <c r="BN152" s="383"/>
      <c r="BO152" s="383"/>
      <c r="BP152" s="383"/>
      <c r="BQ152" s="383"/>
      <c r="BR152" s="383"/>
      <c r="BS152" s="383"/>
      <c r="BT152" s="383"/>
      <c r="BU152" s="383"/>
      <c r="BV152" s="383"/>
      <c r="BW152" s="383"/>
      <c r="BX152" s="383"/>
      <c r="BY152" s="383"/>
      <c r="BZ152" s="383"/>
      <c r="CA152" s="383"/>
      <c r="CB152" s="383"/>
      <c r="CC152" s="383"/>
      <c r="CD152" s="383"/>
      <c r="CE152" s="383"/>
      <c r="CF152" s="383"/>
      <c r="CG152" s="383"/>
      <c r="CH152" s="383"/>
      <c r="CI152" s="383"/>
      <c r="CJ152" s="383"/>
      <c r="CK152" s="383"/>
      <c r="CL152" s="383"/>
      <c r="CM152" s="383"/>
      <c r="CN152" s="383"/>
      <c r="CO152" s="383"/>
      <c r="CP152" s="383"/>
      <c r="CQ152" s="383"/>
      <c r="CR152" s="383"/>
      <c r="CS152" s="383"/>
      <c r="CT152" s="383"/>
      <c r="CU152" s="383"/>
      <c r="CV152" s="383"/>
      <c r="CW152" s="383"/>
      <c r="CX152" s="383"/>
      <c r="CY152" s="383"/>
      <c r="CZ152" s="383"/>
      <c r="DA152" s="383"/>
      <c r="DB152" s="383"/>
      <c r="DC152" s="383"/>
      <c r="DD152" s="383"/>
      <c r="DE152" s="383"/>
      <c r="DF152" s="383"/>
      <c r="DG152" s="383"/>
      <c r="DH152" s="383"/>
      <c r="DI152" s="383"/>
      <c r="DJ152" s="383"/>
      <c r="DK152" s="383"/>
      <c r="DL152" s="383"/>
      <c r="DM152" s="383"/>
      <c r="DN152" s="383"/>
      <c r="DO152" s="383"/>
      <c r="DP152" s="383"/>
      <c r="DQ152" s="383"/>
      <c r="DR152" s="383"/>
      <c r="DS152" s="383"/>
      <c r="DT152" s="383"/>
      <c r="DU152" s="383"/>
      <c r="DV152" s="383"/>
      <c r="DW152" s="383"/>
      <c r="DX152" s="383"/>
      <c r="DY152" s="383"/>
      <c r="DZ152" s="383"/>
      <c r="EA152" s="383"/>
      <c r="EB152" s="383"/>
      <c r="EC152" s="383"/>
      <c r="ED152" s="383"/>
      <c r="EE152" s="383"/>
      <c r="EF152" s="383"/>
      <c r="EG152" s="383"/>
      <c r="EH152" s="383"/>
      <c r="EI152" s="383"/>
      <c r="EJ152" s="383"/>
      <c r="EK152" s="383"/>
      <c r="EL152" s="383"/>
      <c r="EM152" s="383"/>
      <c r="EN152" s="383"/>
      <c r="EO152" s="383"/>
      <c r="EP152" s="383"/>
      <c r="EQ152" s="383"/>
      <c r="ER152" s="383"/>
      <c r="ES152" s="383"/>
      <c r="ET152" s="383"/>
      <c r="EU152" s="383"/>
      <c r="EV152" s="383"/>
      <c r="EW152" s="383"/>
      <c r="EX152" s="383"/>
      <c r="EY152" s="383"/>
      <c r="EZ152" s="383"/>
      <c r="FA152" s="383"/>
      <c r="FB152" s="383"/>
      <c r="FC152" s="383"/>
      <c r="FD152" s="383"/>
      <c r="FE152" s="383"/>
      <c r="FF152" s="383"/>
      <c r="FG152" s="383"/>
      <c r="FH152" s="383"/>
      <c r="FI152" s="383"/>
      <c r="FJ152" s="383"/>
      <c r="FK152" s="383"/>
      <c r="FL152" s="383"/>
      <c r="FM152" s="383"/>
      <c r="FN152" s="383"/>
      <c r="FO152" s="383"/>
      <c r="FP152" s="383"/>
      <c r="FQ152" s="383"/>
      <c r="FR152" s="383"/>
      <c r="FS152" s="383"/>
      <c r="FT152" s="383"/>
      <c r="FU152" s="383"/>
      <c r="FV152" s="383"/>
      <c r="FW152" s="383"/>
      <c r="FX152" s="383"/>
      <c r="FY152" s="383"/>
      <c r="FZ152" s="383"/>
      <c r="GA152" s="383"/>
      <c r="GB152" s="383"/>
      <c r="GC152" s="383"/>
      <c r="GD152" s="383"/>
      <c r="GE152" s="383"/>
      <c r="GF152" s="383"/>
      <c r="GG152" s="383"/>
      <c r="GH152" s="383"/>
      <c r="GI152" s="383"/>
      <c r="GJ152" s="383"/>
      <c r="GK152" s="383"/>
      <c r="GL152" s="383"/>
      <c r="GM152" s="383"/>
      <c r="GN152" s="383"/>
      <c r="GO152" s="383"/>
      <c r="GP152" s="383"/>
      <c r="GQ152" s="383"/>
      <c r="GR152" s="383"/>
      <c r="GS152" s="383"/>
      <c r="GT152" s="383"/>
      <c r="GU152" s="383"/>
      <c r="GV152" s="383"/>
      <c r="GW152" s="383"/>
      <c r="GX152" s="383"/>
      <c r="GY152" s="383"/>
      <c r="GZ152" s="383"/>
      <c r="HA152" s="383"/>
      <c r="HB152" s="383"/>
      <c r="HC152" s="383"/>
      <c r="HD152" s="383"/>
      <c r="HE152" s="383"/>
      <c r="HF152" s="383"/>
      <c r="HG152" s="383"/>
      <c r="HH152" s="383"/>
      <c r="HI152" s="383"/>
      <c r="HJ152" s="383"/>
      <c r="HK152" s="383"/>
      <c r="HL152" s="383"/>
      <c r="HM152" s="383"/>
      <c r="HN152" s="383"/>
      <c r="HO152" s="383"/>
      <c r="HP152" s="383"/>
      <c r="HQ152" s="383"/>
      <c r="HR152" s="383"/>
      <c r="HS152" s="383"/>
      <c r="HT152" s="383"/>
      <c r="HU152" s="383"/>
      <c r="HV152" s="383"/>
      <c r="HW152" s="383"/>
      <c r="HX152" s="383"/>
      <c r="HY152" s="383"/>
      <c r="HZ152" s="383"/>
      <c r="IA152" s="383"/>
      <c r="IB152" s="383"/>
      <c r="IC152" s="383"/>
      <c r="ID152" s="383"/>
      <c r="IE152" s="383"/>
      <c r="IF152" s="383"/>
      <c r="IG152" s="383"/>
      <c r="IH152" s="383"/>
      <c r="II152" s="383"/>
      <c r="IJ152" s="383"/>
      <c r="IK152" s="383"/>
      <c r="IL152" s="383"/>
    </row>
    <row r="153" spans="1:246" ht="15" customHeight="1" thickBot="1">
      <c r="A153" s="516" t="s">
        <v>64</v>
      </c>
      <c r="B153" s="482" t="s">
        <v>866</v>
      </c>
      <c r="C153" s="483" t="s">
        <v>162</v>
      </c>
      <c r="D153" s="14"/>
      <c r="E153" s="484" t="s">
        <v>381</v>
      </c>
      <c r="F153" s="518" t="s">
        <v>868</v>
      </c>
      <c r="G153" s="479" t="str">
        <f t="shared" si="17"/>
        <v>07/2025</v>
      </c>
      <c r="H153" s="341">
        <f>SUMIF(VI.A!$B$6:$B$5963,B153,VI.A!$L$6:$L$5963)</f>
        <v>3380.8665000000001</v>
      </c>
      <c r="I153" s="341" t="str">
        <f>IF(H153=0,"no","si")</f>
        <v>si</v>
      </c>
      <c r="J153" s="519" t="s">
        <v>834</v>
      </c>
      <c r="K153" s="384" t="str">
        <f>IF(E153="SABESP","OK",VLOOKUP(F153,[6]CSD!$B$11:$F$10265,4,FALSE))</f>
        <v>OK</v>
      </c>
      <c r="L153" s="384" t="str">
        <f t="shared" si="16"/>
        <v>OK</v>
      </c>
      <c r="M153" s="480" t="str">
        <f t="shared" si="12"/>
        <v>OK</v>
      </c>
      <c r="N153" s="383" t="b">
        <f t="shared" si="13"/>
        <v>0</v>
      </c>
      <c r="O153" s="383"/>
      <c r="P153" s="383"/>
      <c r="Q153" s="383"/>
      <c r="R153" s="383"/>
      <c r="S153" s="383"/>
      <c r="T153" s="383"/>
      <c r="U153" s="383"/>
      <c r="V153" s="383"/>
      <c r="W153" s="383"/>
      <c r="X153" s="383"/>
      <c r="Y153" s="383"/>
      <c r="Z153" s="383"/>
      <c r="AA153" s="383"/>
      <c r="AB153" s="383"/>
      <c r="AC153" s="383"/>
      <c r="AD153" s="383"/>
      <c r="AE153" s="383"/>
      <c r="AF153" s="383"/>
      <c r="AG153" s="383"/>
      <c r="AH153" s="383"/>
      <c r="AI153" s="383"/>
      <c r="AJ153" s="383"/>
      <c r="AK153" s="383"/>
      <c r="AL153" s="383"/>
      <c r="AM153" s="383"/>
      <c r="AN153" s="383"/>
      <c r="AO153" s="383"/>
      <c r="AP153" s="383"/>
      <c r="AQ153" s="383"/>
      <c r="AR153" s="383"/>
      <c r="AS153" s="383"/>
      <c r="AT153" s="383"/>
      <c r="AU153" s="383"/>
      <c r="AV153" s="383"/>
      <c r="AW153" s="383"/>
      <c r="AX153" s="383"/>
      <c r="AY153" s="383"/>
      <c r="AZ153" s="383"/>
      <c r="BA153" s="383"/>
      <c r="BB153" s="383"/>
      <c r="BC153" s="383"/>
      <c r="BD153" s="383"/>
      <c r="BE153" s="383"/>
      <c r="BF153" s="383"/>
      <c r="BG153" s="383"/>
      <c r="BH153" s="383"/>
      <c r="BI153" s="383"/>
      <c r="BJ153" s="383"/>
      <c r="BK153" s="383"/>
      <c r="BL153" s="383"/>
      <c r="BM153" s="383"/>
      <c r="BN153" s="383"/>
      <c r="BO153" s="383"/>
      <c r="BP153" s="383"/>
      <c r="BQ153" s="383"/>
      <c r="BR153" s="383"/>
      <c r="BS153" s="383"/>
      <c r="BT153" s="383"/>
      <c r="BU153" s="383"/>
      <c r="BV153" s="383"/>
      <c r="BW153" s="383"/>
      <c r="BX153" s="383"/>
      <c r="BY153" s="383"/>
      <c r="BZ153" s="383"/>
      <c r="CA153" s="383"/>
      <c r="CB153" s="383"/>
      <c r="CC153" s="383"/>
      <c r="CD153" s="383"/>
      <c r="CE153" s="383"/>
      <c r="CF153" s="383"/>
      <c r="CG153" s="383"/>
      <c r="CH153" s="383"/>
      <c r="CI153" s="383"/>
      <c r="CJ153" s="383"/>
      <c r="CK153" s="383"/>
      <c r="CL153" s="383"/>
      <c r="CM153" s="383"/>
      <c r="CN153" s="383"/>
      <c r="CO153" s="383"/>
      <c r="CP153" s="383"/>
      <c r="CQ153" s="383"/>
      <c r="CR153" s="383"/>
      <c r="CS153" s="383"/>
      <c r="CT153" s="383"/>
      <c r="CU153" s="383"/>
      <c r="CV153" s="383"/>
      <c r="CW153" s="383"/>
      <c r="CX153" s="383"/>
      <c r="CY153" s="383"/>
      <c r="CZ153" s="383"/>
      <c r="DA153" s="383"/>
      <c r="DB153" s="383"/>
      <c r="DC153" s="383"/>
      <c r="DD153" s="383"/>
      <c r="DE153" s="383"/>
      <c r="DF153" s="383"/>
      <c r="DG153" s="383"/>
      <c r="DH153" s="383"/>
      <c r="DI153" s="383"/>
      <c r="DJ153" s="383"/>
      <c r="DK153" s="383"/>
      <c r="DL153" s="383"/>
      <c r="DM153" s="383"/>
      <c r="DN153" s="383"/>
      <c r="DO153" s="383"/>
      <c r="DP153" s="383"/>
      <c r="DQ153" s="383"/>
      <c r="DR153" s="383"/>
      <c r="DS153" s="383"/>
      <c r="DT153" s="383"/>
      <c r="DU153" s="383"/>
      <c r="DV153" s="383"/>
      <c r="DW153" s="383"/>
      <c r="DX153" s="383"/>
      <c r="DY153" s="383"/>
      <c r="DZ153" s="383"/>
      <c r="EA153" s="383"/>
      <c r="EB153" s="383"/>
      <c r="EC153" s="383"/>
      <c r="ED153" s="383"/>
      <c r="EE153" s="383"/>
      <c r="EF153" s="383"/>
      <c r="EG153" s="383"/>
      <c r="EH153" s="383"/>
      <c r="EI153" s="383"/>
      <c r="EJ153" s="383"/>
      <c r="EK153" s="383"/>
      <c r="EL153" s="383"/>
      <c r="EM153" s="383"/>
      <c r="EN153" s="383"/>
      <c r="EO153" s="383"/>
      <c r="EP153" s="383"/>
      <c r="EQ153" s="383"/>
      <c r="ER153" s="383"/>
      <c r="ES153" s="383"/>
      <c r="ET153" s="383"/>
      <c r="EU153" s="383"/>
      <c r="EV153" s="383"/>
      <c r="EW153" s="383"/>
      <c r="EX153" s="383"/>
      <c r="EY153" s="383"/>
      <c r="EZ153" s="383"/>
      <c r="FA153" s="383"/>
      <c r="FB153" s="383"/>
      <c r="FC153" s="383"/>
      <c r="FD153" s="383"/>
      <c r="FE153" s="383"/>
      <c r="FF153" s="383"/>
      <c r="FG153" s="383"/>
      <c r="FH153" s="383"/>
      <c r="FI153" s="383"/>
      <c r="FJ153" s="383"/>
      <c r="FK153" s="383"/>
      <c r="FL153" s="383"/>
      <c r="FM153" s="383"/>
      <c r="FN153" s="383"/>
      <c r="FO153" s="383"/>
      <c r="FP153" s="383"/>
      <c r="FQ153" s="383"/>
      <c r="FR153" s="383"/>
      <c r="FS153" s="383"/>
      <c r="FT153" s="383"/>
      <c r="FU153" s="383"/>
      <c r="FV153" s="383"/>
      <c r="FW153" s="383"/>
      <c r="FX153" s="383"/>
      <c r="FY153" s="383"/>
      <c r="FZ153" s="383"/>
      <c r="GA153" s="383"/>
      <c r="GB153" s="383"/>
      <c r="GC153" s="383"/>
      <c r="GD153" s="383"/>
      <c r="GE153" s="383"/>
      <c r="GF153" s="383"/>
      <c r="GG153" s="383"/>
      <c r="GH153" s="383"/>
      <c r="GI153" s="383"/>
      <c r="GJ153" s="383"/>
      <c r="GK153" s="383"/>
      <c r="GL153" s="383"/>
      <c r="GM153" s="383"/>
      <c r="GN153" s="383"/>
      <c r="GO153" s="383"/>
      <c r="GP153" s="383"/>
      <c r="GQ153" s="383"/>
      <c r="GR153" s="383"/>
      <c r="GS153" s="383"/>
      <c r="GT153" s="383"/>
      <c r="GU153" s="383"/>
      <c r="GV153" s="383"/>
      <c r="GW153" s="383"/>
      <c r="GX153" s="383"/>
      <c r="GY153" s="383"/>
      <c r="GZ153" s="383"/>
      <c r="HA153" s="383"/>
      <c r="HB153" s="383"/>
      <c r="HC153" s="383"/>
      <c r="HD153" s="383"/>
      <c r="HE153" s="383"/>
      <c r="HF153" s="383"/>
      <c r="HG153" s="383"/>
      <c r="HH153" s="383"/>
      <c r="HI153" s="383"/>
      <c r="HJ153" s="383"/>
      <c r="HK153" s="383"/>
      <c r="HL153" s="383"/>
      <c r="HM153" s="383"/>
      <c r="HN153" s="383"/>
      <c r="HO153" s="383"/>
      <c r="HP153" s="383"/>
      <c r="HQ153" s="383"/>
      <c r="HR153" s="383"/>
      <c r="HS153" s="383"/>
      <c r="HT153" s="383"/>
      <c r="HU153" s="383"/>
      <c r="HV153" s="383"/>
      <c r="HW153" s="383"/>
      <c r="HX153" s="383"/>
      <c r="HY153" s="383"/>
      <c r="HZ153" s="383"/>
      <c r="IA153" s="383"/>
      <c r="IB153" s="383"/>
      <c r="IC153" s="383"/>
      <c r="ID153" s="383"/>
      <c r="IE153" s="383"/>
      <c r="IF153" s="383"/>
      <c r="IG153" s="383"/>
      <c r="IH153" s="383"/>
      <c r="II153" s="383"/>
      <c r="IJ153" s="383"/>
      <c r="IK153" s="383"/>
      <c r="IL153" s="383"/>
    </row>
    <row r="154" spans="1:246" ht="15" customHeight="1">
      <c r="A154" s="516" t="s">
        <v>920</v>
      </c>
      <c r="B154" s="482" t="s">
        <v>741</v>
      </c>
      <c r="C154" s="483" t="s">
        <v>163</v>
      </c>
      <c r="D154" s="14"/>
      <c r="E154" s="484" t="s">
        <v>377</v>
      </c>
      <c r="F154" s="484">
        <v>95264</v>
      </c>
      <c r="G154" s="479" t="str">
        <f t="shared" si="17"/>
        <v>01/2026</v>
      </c>
      <c r="H154" s="341">
        <f>SUMIF(VI.A!$B$6:$B$5963,B154,VI.A!$L$6:$L$5963)</f>
        <v>60</v>
      </c>
      <c r="I154" s="341" t="str">
        <f t="shared" ref="I154:I160" si="19">IF(H154=0,"no","si")</f>
        <v>si</v>
      </c>
      <c r="J154" s="383"/>
      <c r="K154" s="384">
        <f>IF(E154="SABESP","OK",VLOOKUP(F154,[6]CSD!$B$11:$F$10265,4,FALSE))</f>
        <v>6.63</v>
      </c>
      <c r="L154" s="384" t="str">
        <f t="shared" si="16"/>
        <v>VERIFICAR</v>
      </c>
      <c r="M154" s="480">
        <f t="shared" si="12"/>
        <v>6.63</v>
      </c>
      <c r="N154" s="383" t="b">
        <f t="shared" si="13"/>
        <v>0</v>
      </c>
      <c r="O154" s="383"/>
      <c r="P154" s="383"/>
      <c r="Q154" s="383"/>
      <c r="R154" s="383"/>
      <c r="S154" s="383"/>
      <c r="T154" s="383"/>
      <c r="U154" s="383"/>
      <c r="V154" s="383"/>
      <c r="W154" s="383"/>
      <c r="X154" s="383"/>
      <c r="Y154" s="383"/>
      <c r="Z154" s="383"/>
      <c r="AA154" s="383"/>
      <c r="AB154" s="383"/>
      <c r="AC154" s="383"/>
      <c r="AD154" s="383"/>
      <c r="AE154" s="383"/>
      <c r="AF154" s="383"/>
      <c r="AG154" s="383"/>
      <c r="AH154" s="383"/>
      <c r="AI154" s="383"/>
      <c r="AJ154" s="383"/>
      <c r="AK154" s="383"/>
      <c r="AL154" s="383"/>
      <c r="AM154" s="383"/>
      <c r="AN154" s="383"/>
      <c r="AO154" s="383"/>
      <c r="AP154" s="383"/>
      <c r="AQ154" s="383"/>
      <c r="AR154" s="383"/>
      <c r="AS154" s="383"/>
      <c r="AT154" s="383"/>
      <c r="AU154" s="383"/>
      <c r="AV154" s="383"/>
      <c r="AW154" s="383"/>
      <c r="AX154" s="383"/>
      <c r="AY154" s="383"/>
      <c r="AZ154" s="383"/>
      <c r="BA154" s="383"/>
      <c r="BB154" s="383"/>
      <c r="BC154" s="383"/>
      <c r="BD154" s="383"/>
      <c r="BE154" s="383"/>
      <c r="BF154" s="383"/>
      <c r="BG154" s="383"/>
      <c r="BH154" s="383"/>
      <c r="BI154" s="383"/>
      <c r="BJ154" s="383"/>
      <c r="BK154" s="383"/>
      <c r="BL154" s="383"/>
      <c r="BM154" s="383"/>
      <c r="BN154" s="383"/>
      <c r="BO154" s="383"/>
      <c r="BP154" s="383"/>
      <c r="BQ154" s="383"/>
      <c r="BR154" s="383"/>
      <c r="BS154" s="383"/>
      <c r="BT154" s="383"/>
      <c r="BU154" s="383"/>
      <c r="BV154" s="383"/>
      <c r="BW154" s="383"/>
      <c r="BX154" s="383"/>
      <c r="BY154" s="383"/>
      <c r="BZ154" s="383"/>
      <c r="CA154" s="383"/>
      <c r="CB154" s="383"/>
      <c r="CC154" s="383"/>
      <c r="CD154" s="383"/>
      <c r="CE154" s="383"/>
      <c r="CF154" s="383"/>
      <c r="CG154" s="383"/>
      <c r="CH154" s="383"/>
      <c r="CI154" s="383"/>
      <c r="CJ154" s="383"/>
      <c r="CK154" s="383"/>
      <c r="CL154" s="383"/>
      <c r="CM154" s="383"/>
      <c r="CN154" s="383"/>
      <c r="CO154" s="383"/>
      <c r="CP154" s="383"/>
      <c r="CQ154" s="383"/>
      <c r="CR154" s="383"/>
      <c r="CS154" s="383"/>
      <c r="CT154" s="383"/>
      <c r="CU154" s="383"/>
      <c r="CV154" s="383"/>
      <c r="CW154" s="383"/>
      <c r="CX154" s="383"/>
      <c r="CY154" s="383"/>
      <c r="CZ154" s="383"/>
      <c r="DA154" s="383"/>
      <c r="DB154" s="383"/>
      <c r="DC154" s="383"/>
      <c r="DD154" s="383"/>
      <c r="DE154" s="383"/>
      <c r="DF154" s="383"/>
      <c r="DG154" s="383"/>
      <c r="DH154" s="383"/>
      <c r="DI154" s="383"/>
      <c r="DJ154" s="383"/>
      <c r="DK154" s="383"/>
      <c r="DL154" s="383"/>
      <c r="DM154" s="383"/>
      <c r="DN154" s="383"/>
      <c r="DO154" s="383"/>
      <c r="DP154" s="383"/>
      <c r="DQ154" s="383"/>
      <c r="DR154" s="383"/>
      <c r="DS154" s="383"/>
      <c r="DT154" s="383"/>
      <c r="DU154" s="383"/>
      <c r="DV154" s="383"/>
      <c r="DW154" s="383"/>
      <c r="DX154" s="383"/>
      <c r="DY154" s="383"/>
      <c r="DZ154" s="383"/>
      <c r="EA154" s="383"/>
      <c r="EB154" s="383"/>
      <c r="EC154" s="383"/>
      <c r="ED154" s="383"/>
      <c r="EE154" s="383"/>
      <c r="EF154" s="383"/>
      <c r="EG154" s="383"/>
      <c r="EH154" s="383"/>
      <c r="EI154" s="383"/>
      <c r="EJ154" s="383"/>
      <c r="EK154" s="383"/>
      <c r="EL154" s="383"/>
      <c r="EM154" s="383"/>
      <c r="EN154" s="383"/>
      <c r="EO154" s="383"/>
      <c r="EP154" s="383"/>
      <c r="EQ154" s="383"/>
      <c r="ER154" s="383"/>
      <c r="ES154" s="383"/>
      <c r="ET154" s="383"/>
      <c r="EU154" s="383"/>
      <c r="EV154" s="383"/>
      <c r="EW154" s="383"/>
      <c r="EX154" s="383"/>
      <c r="EY154" s="383"/>
      <c r="EZ154" s="383"/>
      <c r="FA154" s="383"/>
      <c r="FB154" s="383"/>
      <c r="FC154" s="383"/>
      <c r="FD154" s="383"/>
      <c r="FE154" s="383"/>
      <c r="FF154" s="383"/>
      <c r="FG154" s="383"/>
      <c r="FH154" s="383"/>
      <c r="FI154" s="383"/>
      <c r="FJ154" s="383"/>
      <c r="FK154" s="383"/>
      <c r="FL154" s="383"/>
      <c r="FM154" s="383"/>
      <c r="FN154" s="383"/>
      <c r="FO154" s="383"/>
      <c r="FP154" s="383"/>
      <c r="FQ154" s="383"/>
      <c r="FR154" s="383"/>
      <c r="FS154" s="383"/>
      <c r="FT154" s="383"/>
      <c r="FU154" s="383"/>
      <c r="FV154" s="383"/>
      <c r="FW154" s="383"/>
      <c r="FX154" s="383"/>
      <c r="FY154" s="383"/>
      <c r="FZ154" s="383"/>
      <c r="GA154" s="383"/>
      <c r="GB154" s="383"/>
      <c r="GC154" s="383"/>
      <c r="GD154" s="383"/>
      <c r="GE154" s="383"/>
      <c r="GF154" s="383"/>
      <c r="GG154" s="383"/>
      <c r="GH154" s="383"/>
      <c r="GI154" s="383"/>
      <c r="GJ154" s="383"/>
      <c r="GK154" s="383"/>
      <c r="GL154" s="383"/>
      <c r="GM154" s="383"/>
      <c r="GN154" s="383"/>
      <c r="GO154" s="383"/>
      <c r="GP154" s="383"/>
      <c r="GQ154" s="383"/>
      <c r="GR154" s="383"/>
      <c r="GS154" s="383"/>
      <c r="GT154" s="383"/>
      <c r="GU154" s="383"/>
      <c r="GV154" s="383"/>
      <c r="GW154" s="383"/>
      <c r="GX154" s="383"/>
      <c r="GY154" s="383"/>
      <c r="GZ154" s="383"/>
      <c r="HA154" s="383"/>
      <c r="HB154" s="383"/>
      <c r="HC154" s="383"/>
      <c r="HD154" s="383"/>
      <c r="HE154" s="383"/>
      <c r="HF154" s="383"/>
      <c r="HG154" s="383"/>
      <c r="HH154" s="383"/>
      <c r="HI154" s="383"/>
      <c r="HJ154" s="383"/>
      <c r="HK154" s="383"/>
      <c r="HL154" s="383"/>
      <c r="HM154" s="383"/>
      <c r="HN154" s="383"/>
      <c r="HO154" s="383"/>
      <c r="HP154" s="383"/>
      <c r="HQ154" s="383"/>
      <c r="HR154" s="383"/>
      <c r="HS154" s="383"/>
      <c r="HT154" s="383"/>
      <c r="HU154" s="383"/>
      <c r="HV154" s="383"/>
      <c r="HW154" s="383"/>
      <c r="HX154" s="383"/>
      <c r="HY154" s="383"/>
      <c r="HZ154" s="383"/>
      <c r="IA154" s="383"/>
      <c r="IB154" s="383"/>
      <c r="IC154" s="383"/>
      <c r="ID154" s="383"/>
      <c r="IE154" s="383"/>
      <c r="IF154" s="383"/>
      <c r="IG154" s="383"/>
      <c r="IH154" s="383"/>
      <c r="II154" s="383"/>
      <c r="IJ154" s="383"/>
      <c r="IK154" s="383"/>
      <c r="IL154" s="383"/>
    </row>
    <row r="155" spans="1:246" ht="25.5">
      <c r="A155" s="516" t="s">
        <v>122</v>
      </c>
      <c r="B155" s="485" t="s">
        <v>742</v>
      </c>
      <c r="C155" s="483" t="s">
        <v>163</v>
      </c>
      <c r="D155" s="14"/>
      <c r="E155" s="484" t="s">
        <v>379</v>
      </c>
      <c r="F155" s="484">
        <v>5953</v>
      </c>
      <c r="G155" s="479" t="str">
        <f t="shared" si="17"/>
        <v>01/2026</v>
      </c>
      <c r="H155" s="341">
        <f>SUMIF(VI.A!$B$6:$B$5963,B155,VI.A!$L$6:$L$5963)</f>
        <v>220</v>
      </c>
      <c r="I155" s="341" t="str">
        <f t="shared" si="19"/>
        <v>si</v>
      </c>
      <c r="J155" s="383"/>
      <c r="K155" s="384">
        <f>IF(E155="SABESP","OK",VLOOKUP(F155,[6]CSD!$B$11:$F$10265,4,FALSE))</f>
        <v>61</v>
      </c>
      <c r="L155" s="384" t="str">
        <f t="shared" si="16"/>
        <v>VERIFICAR</v>
      </c>
      <c r="M155" s="480">
        <f t="shared" si="12"/>
        <v>61</v>
      </c>
      <c r="N155" s="383" t="b">
        <f t="shared" si="13"/>
        <v>0</v>
      </c>
      <c r="O155" s="383"/>
      <c r="P155" s="383"/>
      <c r="Q155" s="383"/>
      <c r="R155" s="383"/>
      <c r="S155" s="383"/>
      <c r="T155" s="383"/>
      <c r="U155" s="383"/>
      <c r="V155" s="383"/>
      <c r="W155" s="383"/>
      <c r="X155" s="383"/>
      <c r="Y155" s="383"/>
      <c r="Z155" s="383"/>
      <c r="AA155" s="383"/>
      <c r="AB155" s="383"/>
      <c r="AC155" s="383"/>
      <c r="AD155" s="383"/>
      <c r="AE155" s="383"/>
      <c r="AF155" s="383"/>
      <c r="AG155" s="383"/>
      <c r="AH155" s="383"/>
      <c r="AI155" s="383"/>
      <c r="AJ155" s="383"/>
      <c r="AK155" s="383"/>
      <c r="AL155" s="383"/>
      <c r="AM155" s="383"/>
      <c r="AN155" s="383"/>
      <c r="AO155" s="383"/>
      <c r="AP155" s="383"/>
      <c r="AQ155" s="383"/>
      <c r="AR155" s="383"/>
      <c r="AS155" s="383"/>
      <c r="AT155" s="383"/>
      <c r="AU155" s="383"/>
      <c r="AV155" s="383"/>
      <c r="AW155" s="383"/>
      <c r="AX155" s="383"/>
      <c r="AY155" s="383"/>
      <c r="AZ155" s="383"/>
      <c r="BA155" s="383"/>
      <c r="BB155" s="383"/>
      <c r="BC155" s="383"/>
      <c r="BD155" s="383"/>
      <c r="BE155" s="383"/>
      <c r="BF155" s="383"/>
      <c r="BG155" s="383"/>
      <c r="BH155" s="383"/>
      <c r="BI155" s="383"/>
      <c r="BJ155" s="383"/>
      <c r="BK155" s="383"/>
      <c r="BL155" s="383"/>
      <c r="BM155" s="383"/>
      <c r="BN155" s="383"/>
      <c r="BO155" s="383"/>
      <c r="BP155" s="383"/>
      <c r="BQ155" s="383"/>
      <c r="BR155" s="383"/>
      <c r="BS155" s="383"/>
      <c r="BT155" s="383"/>
      <c r="BU155" s="383"/>
      <c r="BV155" s="383"/>
      <c r="BW155" s="383"/>
      <c r="BX155" s="383"/>
      <c r="BY155" s="383"/>
      <c r="BZ155" s="383"/>
      <c r="CA155" s="383"/>
      <c r="CB155" s="383"/>
      <c r="CC155" s="383"/>
      <c r="CD155" s="383"/>
      <c r="CE155" s="383"/>
      <c r="CF155" s="383"/>
      <c r="CG155" s="383"/>
      <c r="CH155" s="383"/>
      <c r="CI155" s="383"/>
      <c r="CJ155" s="383"/>
      <c r="CK155" s="383"/>
      <c r="CL155" s="383"/>
      <c r="CM155" s="383"/>
      <c r="CN155" s="383"/>
      <c r="CO155" s="383"/>
      <c r="CP155" s="383"/>
      <c r="CQ155" s="383"/>
      <c r="CR155" s="383"/>
      <c r="CS155" s="383"/>
      <c r="CT155" s="383"/>
      <c r="CU155" s="383"/>
      <c r="CV155" s="383"/>
      <c r="CW155" s="383"/>
      <c r="CX155" s="383"/>
      <c r="CY155" s="383"/>
      <c r="CZ155" s="383"/>
      <c r="DA155" s="383"/>
      <c r="DB155" s="383"/>
      <c r="DC155" s="383"/>
      <c r="DD155" s="383"/>
      <c r="DE155" s="383"/>
      <c r="DF155" s="383"/>
      <c r="DG155" s="383"/>
      <c r="DH155" s="383"/>
      <c r="DI155" s="383"/>
      <c r="DJ155" s="383"/>
      <c r="DK155" s="383"/>
      <c r="DL155" s="383"/>
      <c r="DM155" s="383"/>
      <c r="DN155" s="383"/>
      <c r="DO155" s="383"/>
      <c r="DP155" s="383"/>
      <c r="DQ155" s="383"/>
      <c r="DR155" s="383"/>
      <c r="DS155" s="383"/>
      <c r="DT155" s="383"/>
      <c r="DU155" s="383"/>
      <c r="DV155" s="383"/>
      <c r="DW155" s="383"/>
      <c r="DX155" s="383"/>
      <c r="DY155" s="383"/>
      <c r="DZ155" s="383"/>
      <c r="EA155" s="383"/>
      <c r="EB155" s="383"/>
      <c r="EC155" s="383"/>
      <c r="ED155" s="383"/>
      <c r="EE155" s="383"/>
      <c r="EF155" s="383"/>
      <c r="EG155" s="383"/>
      <c r="EH155" s="383"/>
      <c r="EI155" s="383"/>
      <c r="EJ155" s="383"/>
      <c r="EK155" s="383"/>
      <c r="EL155" s="383"/>
      <c r="EM155" s="383"/>
      <c r="EN155" s="383"/>
      <c r="EO155" s="383"/>
      <c r="EP155" s="383"/>
      <c r="EQ155" s="383"/>
      <c r="ER155" s="383"/>
      <c r="ES155" s="383"/>
      <c r="ET155" s="383"/>
      <c r="EU155" s="383"/>
      <c r="EV155" s="383"/>
      <c r="EW155" s="383"/>
      <c r="EX155" s="383"/>
      <c r="EY155" s="383"/>
      <c r="EZ155" s="383"/>
      <c r="FA155" s="383"/>
      <c r="FB155" s="383"/>
      <c r="FC155" s="383"/>
      <c r="FD155" s="383"/>
      <c r="FE155" s="383"/>
      <c r="FF155" s="383"/>
      <c r="FG155" s="383"/>
      <c r="FH155" s="383"/>
      <c r="FI155" s="383"/>
      <c r="FJ155" s="383"/>
      <c r="FK155" s="383"/>
      <c r="FL155" s="383"/>
      <c r="FM155" s="383"/>
      <c r="FN155" s="383"/>
      <c r="FO155" s="383"/>
      <c r="FP155" s="383"/>
      <c r="FQ155" s="383"/>
      <c r="FR155" s="383"/>
      <c r="FS155" s="383"/>
      <c r="FT155" s="383"/>
      <c r="FU155" s="383"/>
      <c r="FV155" s="383"/>
      <c r="FW155" s="383"/>
      <c r="FX155" s="383"/>
      <c r="FY155" s="383"/>
      <c r="FZ155" s="383"/>
      <c r="GA155" s="383"/>
      <c r="GB155" s="383"/>
      <c r="GC155" s="383"/>
      <c r="GD155" s="383"/>
      <c r="GE155" s="383"/>
      <c r="GF155" s="383"/>
      <c r="GG155" s="383"/>
      <c r="GH155" s="383"/>
      <c r="GI155" s="383"/>
      <c r="GJ155" s="383"/>
      <c r="GK155" s="383"/>
      <c r="GL155" s="383"/>
      <c r="GM155" s="383"/>
      <c r="GN155" s="383"/>
      <c r="GO155" s="383"/>
      <c r="GP155" s="383"/>
      <c r="GQ155" s="383"/>
      <c r="GR155" s="383"/>
      <c r="GS155" s="383"/>
      <c r="GT155" s="383"/>
      <c r="GU155" s="383"/>
      <c r="GV155" s="383"/>
      <c r="GW155" s="383"/>
      <c r="GX155" s="383"/>
      <c r="GY155" s="383"/>
      <c r="GZ155" s="383"/>
      <c r="HA155" s="383"/>
      <c r="HB155" s="383"/>
      <c r="HC155" s="383"/>
      <c r="HD155" s="383"/>
      <c r="HE155" s="383"/>
      <c r="HF155" s="383"/>
      <c r="HG155" s="383"/>
      <c r="HH155" s="383"/>
      <c r="HI155" s="383"/>
      <c r="HJ155" s="383"/>
      <c r="HK155" s="383"/>
      <c r="HL155" s="383"/>
      <c r="HM155" s="383"/>
      <c r="HN155" s="383"/>
      <c r="HO155" s="383"/>
      <c r="HP155" s="383"/>
      <c r="HQ155" s="383"/>
      <c r="HR155" s="383"/>
      <c r="HS155" s="383"/>
      <c r="HT155" s="383"/>
      <c r="HU155" s="383"/>
      <c r="HV155" s="383"/>
      <c r="HW155" s="383"/>
      <c r="HX155" s="383"/>
      <c r="HY155" s="383"/>
      <c r="HZ155" s="383"/>
      <c r="IA155" s="383"/>
      <c r="IB155" s="383"/>
      <c r="IC155" s="383"/>
      <c r="ID155" s="383"/>
      <c r="IE155" s="383"/>
      <c r="IF155" s="383"/>
      <c r="IG155" s="383"/>
      <c r="IH155" s="383"/>
      <c r="II155" s="383"/>
      <c r="IJ155" s="383"/>
      <c r="IK155" s="383"/>
      <c r="IL155" s="383"/>
    </row>
    <row r="156" spans="1:246" s="520" customFormat="1" ht="25.5">
      <c r="A156" s="516" t="s">
        <v>123</v>
      </c>
      <c r="B156" s="485" t="s">
        <v>804</v>
      </c>
      <c r="C156" s="483" t="s">
        <v>163</v>
      </c>
      <c r="D156" s="14"/>
      <c r="E156" s="484" t="s">
        <v>379</v>
      </c>
      <c r="F156" s="484">
        <v>91283</v>
      </c>
      <c r="G156" s="479" t="str">
        <f t="shared" si="17"/>
        <v>01/2026</v>
      </c>
      <c r="H156" s="341">
        <f>SUMIF(VI.A!$B$6:$B$5963,B156,VI.A!$L$6:$L$5963)</f>
        <v>20</v>
      </c>
      <c r="I156" s="341" t="str">
        <f t="shared" si="19"/>
        <v>si</v>
      </c>
      <c r="K156" s="384">
        <f>IF(E156="SABESP","OK",VLOOKUP(F156,[6]CSD!$B$11:$F$10265,4,FALSE))</f>
        <v>9.91</v>
      </c>
      <c r="L156" s="384" t="str">
        <f t="shared" si="16"/>
        <v>VERIFICAR</v>
      </c>
      <c r="M156" s="480">
        <f t="shared" si="12"/>
        <v>9.91</v>
      </c>
      <c r="N156" s="383" t="b">
        <f t="shared" si="13"/>
        <v>0</v>
      </c>
    </row>
    <row r="157" spans="1:246">
      <c r="A157" s="516" t="s">
        <v>124</v>
      </c>
      <c r="B157" s="485" t="s">
        <v>167</v>
      </c>
      <c r="C157" s="483" t="s">
        <v>163</v>
      </c>
      <c r="D157" s="14"/>
      <c r="E157" s="484" t="s">
        <v>379</v>
      </c>
      <c r="F157" s="484">
        <v>93281</v>
      </c>
      <c r="G157" s="479" t="str">
        <f t="shared" si="17"/>
        <v>01/2026</v>
      </c>
      <c r="H157" s="341">
        <f>SUMIF(VI.A!$B$6:$B$5963,B157,VI.A!$L$6:$L$5963)</f>
        <v>1.1400000000000001</v>
      </c>
      <c r="I157" s="341" t="str">
        <f t="shared" si="19"/>
        <v>si</v>
      </c>
      <c r="J157" s="383"/>
      <c r="K157" s="384">
        <f>IF(E157="SABESP","OK",VLOOKUP(F157,[6]CSD!$B$11:$F$10265,4,FALSE))</f>
        <v>36.119999999999997</v>
      </c>
      <c r="L157" s="384" t="str">
        <f t="shared" si="16"/>
        <v>VERIFICAR</v>
      </c>
      <c r="M157" s="480">
        <f t="shared" si="12"/>
        <v>36.119999999999997</v>
      </c>
      <c r="N157" s="383" t="b">
        <f t="shared" si="13"/>
        <v>0</v>
      </c>
      <c r="O157" s="383"/>
      <c r="P157" s="383"/>
      <c r="Q157" s="383"/>
      <c r="R157" s="383"/>
      <c r="S157" s="383"/>
      <c r="T157" s="383"/>
      <c r="U157" s="383"/>
      <c r="V157" s="383"/>
      <c r="W157" s="383"/>
      <c r="X157" s="383"/>
      <c r="Y157" s="383"/>
      <c r="Z157" s="383"/>
      <c r="AA157" s="383"/>
      <c r="AB157" s="383"/>
      <c r="AC157" s="383"/>
      <c r="AD157" s="383"/>
      <c r="AE157" s="383"/>
      <c r="AF157" s="383"/>
      <c r="AG157" s="383"/>
      <c r="AH157" s="383"/>
      <c r="AI157" s="383"/>
      <c r="AJ157" s="383"/>
      <c r="AK157" s="383"/>
      <c r="AL157" s="383"/>
      <c r="AM157" s="383"/>
      <c r="AN157" s="383"/>
      <c r="AO157" s="383"/>
      <c r="AP157" s="383"/>
      <c r="AQ157" s="383"/>
      <c r="AR157" s="383"/>
      <c r="AS157" s="383"/>
      <c r="AT157" s="383"/>
      <c r="AU157" s="383"/>
      <c r="AV157" s="383"/>
      <c r="AW157" s="383"/>
      <c r="AX157" s="383"/>
      <c r="AY157" s="383"/>
      <c r="AZ157" s="383"/>
      <c r="BA157" s="383"/>
      <c r="BB157" s="383"/>
      <c r="BC157" s="383"/>
      <c r="BD157" s="383"/>
      <c r="BE157" s="383"/>
      <c r="BF157" s="383"/>
      <c r="BG157" s="383"/>
      <c r="BH157" s="383"/>
      <c r="BI157" s="383"/>
      <c r="BJ157" s="383"/>
      <c r="BK157" s="383"/>
      <c r="BL157" s="383"/>
      <c r="BM157" s="383"/>
      <c r="BN157" s="383"/>
      <c r="BO157" s="383"/>
      <c r="BP157" s="383"/>
      <c r="BQ157" s="383"/>
      <c r="BR157" s="383"/>
      <c r="BS157" s="383"/>
      <c r="BT157" s="383"/>
      <c r="BU157" s="383"/>
      <c r="BV157" s="383"/>
      <c r="BW157" s="383"/>
      <c r="BX157" s="383"/>
      <c r="BY157" s="383"/>
      <c r="BZ157" s="383"/>
      <c r="CA157" s="383"/>
      <c r="CB157" s="383"/>
      <c r="CC157" s="383"/>
      <c r="CD157" s="383"/>
      <c r="CE157" s="383"/>
      <c r="CF157" s="383"/>
      <c r="CG157" s="383"/>
      <c r="CH157" s="383"/>
      <c r="CI157" s="383"/>
      <c r="CJ157" s="383"/>
      <c r="CK157" s="383"/>
      <c r="CL157" s="383"/>
      <c r="CM157" s="383"/>
      <c r="CN157" s="383"/>
      <c r="CO157" s="383"/>
      <c r="CP157" s="383"/>
      <c r="CQ157" s="383"/>
      <c r="CR157" s="383"/>
      <c r="CS157" s="383"/>
      <c r="CT157" s="383"/>
      <c r="CU157" s="383"/>
      <c r="CV157" s="383"/>
      <c r="CW157" s="383"/>
      <c r="CX157" s="383"/>
      <c r="CY157" s="383"/>
      <c r="CZ157" s="383"/>
      <c r="DA157" s="383"/>
      <c r="DB157" s="383"/>
      <c r="DC157" s="383"/>
      <c r="DD157" s="383"/>
      <c r="DE157" s="383"/>
      <c r="DF157" s="383"/>
      <c r="DG157" s="383"/>
      <c r="DH157" s="383"/>
      <c r="DI157" s="383"/>
      <c r="DJ157" s="383"/>
      <c r="DK157" s="383"/>
      <c r="DL157" s="383"/>
      <c r="DM157" s="383"/>
      <c r="DN157" s="383"/>
      <c r="DO157" s="383"/>
      <c r="DP157" s="383"/>
      <c r="DQ157" s="383"/>
      <c r="DR157" s="383"/>
      <c r="DS157" s="383"/>
      <c r="DT157" s="383"/>
      <c r="DU157" s="383"/>
      <c r="DV157" s="383"/>
      <c r="DW157" s="383"/>
      <c r="DX157" s="383"/>
      <c r="DY157" s="383"/>
      <c r="DZ157" s="383"/>
      <c r="EA157" s="383"/>
      <c r="EB157" s="383"/>
      <c r="EC157" s="383"/>
      <c r="ED157" s="383"/>
      <c r="EE157" s="383"/>
      <c r="EF157" s="383"/>
      <c r="EG157" s="383"/>
      <c r="EH157" s="383"/>
      <c r="EI157" s="383"/>
      <c r="EJ157" s="383"/>
      <c r="EK157" s="383"/>
      <c r="EL157" s="383"/>
      <c r="EM157" s="383"/>
      <c r="EN157" s="383"/>
      <c r="EO157" s="383"/>
      <c r="EP157" s="383"/>
      <c r="EQ157" s="383"/>
      <c r="ER157" s="383"/>
      <c r="ES157" s="383"/>
      <c r="ET157" s="383"/>
      <c r="EU157" s="383"/>
      <c r="EV157" s="383"/>
      <c r="EW157" s="383"/>
      <c r="EX157" s="383"/>
      <c r="EY157" s="383"/>
      <c r="EZ157" s="383"/>
      <c r="FA157" s="383"/>
      <c r="FB157" s="383"/>
      <c r="FC157" s="383"/>
      <c r="FD157" s="383"/>
      <c r="FE157" s="383"/>
      <c r="FF157" s="383"/>
      <c r="FG157" s="383"/>
      <c r="FH157" s="383"/>
      <c r="FI157" s="383"/>
      <c r="FJ157" s="383"/>
      <c r="FK157" s="383"/>
      <c r="FL157" s="383"/>
      <c r="FM157" s="383"/>
      <c r="FN157" s="383"/>
      <c r="FO157" s="383"/>
      <c r="FP157" s="383"/>
      <c r="FQ157" s="383"/>
      <c r="FR157" s="383"/>
      <c r="FS157" s="383"/>
      <c r="FT157" s="383"/>
      <c r="FU157" s="383"/>
      <c r="FV157" s="383"/>
      <c r="FW157" s="383"/>
      <c r="FX157" s="383"/>
      <c r="FY157" s="383"/>
      <c r="FZ157" s="383"/>
      <c r="GA157" s="383"/>
      <c r="GB157" s="383"/>
      <c r="GC157" s="383"/>
      <c r="GD157" s="383"/>
      <c r="GE157" s="383"/>
      <c r="GF157" s="383"/>
      <c r="GG157" s="383"/>
      <c r="GH157" s="383"/>
      <c r="GI157" s="383"/>
      <c r="GJ157" s="383"/>
      <c r="GK157" s="383"/>
      <c r="GL157" s="383"/>
      <c r="GM157" s="383"/>
      <c r="GN157" s="383"/>
      <c r="GO157" s="383"/>
      <c r="GP157" s="383"/>
      <c r="GQ157" s="383"/>
      <c r="GR157" s="383"/>
      <c r="GS157" s="383"/>
      <c r="GT157" s="383"/>
      <c r="GU157" s="383"/>
      <c r="GV157" s="383"/>
      <c r="GW157" s="383"/>
      <c r="GX157" s="383"/>
      <c r="GY157" s="383"/>
      <c r="GZ157" s="383"/>
      <c r="HA157" s="383"/>
      <c r="HB157" s="383"/>
      <c r="HC157" s="383"/>
      <c r="HD157" s="383"/>
      <c r="HE157" s="383"/>
      <c r="HF157" s="383"/>
      <c r="HG157" s="383"/>
      <c r="HH157" s="383"/>
      <c r="HI157" s="383"/>
      <c r="HJ157" s="383"/>
      <c r="HK157" s="383"/>
      <c r="HL157" s="383"/>
      <c r="HM157" s="383"/>
      <c r="HN157" s="383"/>
      <c r="HO157" s="383"/>
      <c r="HP157" s="383"/>
      <c r="HQ157" s="383"/>
      <c r="HR157" s="383"/>
      <c r="HS157" s="383"/>
      <c r="HT157" s="383"/>
      <c r="HU157" s="383"/>
      <c r="HV157" s="383"/>
      <c r="HW157" s="383"/>
      <c r="HX157" s="383"/>
      <c r="HY157" s="383"/>
      <c r="HZ157" s="383"/>
      <c r="IA157" s="383"/>
      <c r="IB157" s="383"/>
      <c r="IC157" s="383"/>
      <c r="ID157" s="383"/>
      <c r="IE157" s="383"/>
      <c r="IF157" s="383"/>
      <c r="IG157" s="383"/>
      <c r="IH157" s="383"/>
      <c r="II157" s="383"/>
      <c r="IJ157" s="383"/>
      <c r="IK157" s="383"/>
      <c r="IL157" s="383"/>
    </row>
    <row r="158" spans="1:246" ht="15" customHeight="1">
      <c r="A158" s="516" t="s">
        <v>745</v>
      </c>
      <c r="B158" s="485" t="s">
        <v>168</v>
      </c>
      <c r="C158" s="483" t="s">
        <v>162</v>
      </c>
      <c r="D158" s="14"/>
      <c r="E158" s="484" t="s">
        <v>377</v>
      </c>
      <c r="F158" s="484">
        <v>93282</v>
      </c>
      <c r="G158" s="479" t="str">
        <f t="shared" si="17"/>
        <v>01/2026</v>
      </c>
      <c r="H158" s="341">
        <f>SUMIF(VI.A!$B$6:$B$5963,B158,VI.A!$L$6:$L$5963)</f>
        <v>1.58</v>
      </c>
      <c r="I158" s="341" t="str">
        <f t="shared" si="19"/>
        <v>si</v>
      </c>
      <c r="J158" s="383"/>
      <c r="K158" s="384">
        <f>IF(E158="SABESP","OK",VLOOKUP(F158,[6]CSD!$B$11:$F$10265,4,FALSE))</f>
        <v>35.229999999999997</v>
      </c>
      <c r="L158" s="384" t="str">
        <f t="shared" si="16"/>
        <v>VERIFICAR</v>
      </c>
      <c r="M158" s="480">
        <f t="shared" si="12"/>
        <v>35.229999999999997</v>
      </c>
      <c r="N158" s="383" t="b">
        <f t="shared" si="13"/>
        <v>0</v>
      </c>
      <c r="O158" s="383"/>
      <c r="P158" s="383"/>
      <c r="Q158" s="383"/>
      <c r="R158" s="383"/>
      <c r="S158" s="383"/>
      <c r="T158" s="383"/>
      <c r="U158" s="383"/>
      <c r="V158" s="383"/>
      <c r="W158" s="383"/>
      <c r="X158" s="383"/>
      <c r="Y158" s="383"/>
      <c r="Z158" s="383"/>
      <c r="AA158" s="383"/>
      <c r="AB158" s="383"/>
      <c r="AC158" s="383"/>
      <c r="AD158" s="383"/>
      <c r="AE158" s="383"/>
      <c r="AF158" s="383"/>
      <c r="AG158" s="383"/>
      <c r="AH158" s="383"/>
      <c r="AI158" s="383"/>
      <c r="AJ158" s="383"/>
      <c r="AK158" s="383"/>
      <c r="AL158" s="383"/>
      <c r="AM158" s="383"/>
      <c r="AN158" s="383"/>
      <c r="AO158" s="383"/>
      <c r="AP158" s="383"/>
      <c r="AQ158" s="383"/>
      <c r="AR158" s="383"/>
      <c r="AS158" s="383"/>
      <c r="AT158" s="383"/>
      <c r="AU158" s="383"/>
      <c r="AV158" s="383"/>
      <c r="AW158" s="383"/>
      <c r="AX158" s="383"/>
      <c r="AY158" s="383"/>
      <c r="AZ158" s="383"/>
      <c r="BA158" s="383"/>
      <c r="BB158" s="383"/>
      <c r="BC158" s="383"/>
      <c r="BD158" s="383"/>
      <c r="BE158" s="383"/>
      <c r="BF158" s="383"/>
      <c r="BG158" s="383"/>
      <c r="BH158" s="383"/>
      <c r="BI158" s="383"/>
      <c r="BJ158" s="383"/>
      <c r="BK158" s="383"/>
      <c r="BL158" s="383"/>
      <c r="BM158" s="383"/>
      <c r="BN158" s="383"/>
      <c r="BO158" s="383"/>
      <c r="BP158" s="383"/>
      <c r="BQ158" s="383"/>
      <c r="BR158" s="383"/>
      <c r="BS158" s="383"/>
      <c r="BT158" s="383"/>
      <c r="BU158" s="383"/>
      <c r="BV158" s="383"/>
      <c r="BW158" s="383"/>
      <c r="BX158" s="383"/>
      <c r="BY158" s="383"/>
      <c r="BZ158" s="383"/>
      <c r="CA158" s="383"/>
      <c r="CB158" s="383"/>
      <c r="CC158" s="383"/>
      <c r="CD158" s="383"/>
      <c r="CE158" s="383"/>
      <c r="CF158" s="383"/>
      <c r="CG158" s="383"/>
      <c r="CH158" s="383"/>
      <c r="CI158" s="383"/>
      <c r="CJ158" s="383"/>
      <c r="CK158" s="383"/>
      <c r="CL158" s="383"/>
      <c r="CM158" s="383"/>
      <c r="CN158" s="383"/>
      <c r="CO158" s="383"/>
      <c r="CP158" s="383"/>
      <c r="CQ158" s="383"/>
      <c r="CR158" s="383"/>
      <c r="CS158" s="383"/>
      <c r="CT158" s="383"/>
      <c r="CU158" s="383"/>
      <c r="CV158" s="383"/>
      <c r="CW158" s="383"/>
      <c r="CX158" s="383"/>
      <c r="CY158" s="383"/>
      <c r="CZ158" s="383"/>
      <c r="DA158" s="383"/>
      <c r="DB158" s="383"/>
      <c r="DC158" s="383"/>
      <c r="DD158" s="383"/>
      <c r="DE158" s="383"/>
      <c r="DF158" s="383"/>
      <c r="DG158" s="383"/>
      <c r="DH158" s="383"/>
      <c r="DI158" s="383"/>
      <c r="DJ158" s="383"/>
      <c r="DK158" s="383"/>
      <c r="DL158" s="383"/>
      <c r="DM158" s="383"/>
      <c r="DN158" s="383"/>
      <c r="DO158" s="383"/>
      <c r="DP158" s="383"/>
      <c r="DQ158" s="383"/>
      <c r="DR158" s="383"/>
      <c r="DS158" s="383"/>
      <c r="DT158" s="383"/>
      <c r="DU158" s="383"/>
      <c r="DV158" s="383"/>
      <c r="DW158" s="383"/>
      <c r="DX158" s="383"/>
      <c r="DY158" s="383"/>
      <c r="DZ158" s="383"/>
      <c r="EA158" s="383"/>
      <c r="EB158" s="383"/>
      <c r="EC158" s="383"/>
      <c r="ED158" s="383"/>
      <c r="EE158" s="383"/>
      <c r="EF158" s="383"/>
      <c r="EG158" s="383"/>
      <c r="EH158" s="383"/>
      <c r="EI158" s="383"/>
      <c r="EJ158" s="383"/>
      <c r="EK158" s="383"/>
      <c r="EL158" s="383"/>
      <c r="EM158" s="383"/>
      <c r="EN158" s="383"/>
      <c r="EO158" s="383"/>
      <c r="EP158" s="383"/>
      <c r="EQ158" s="383"/>
      <c r="ER158" s="383"/>
      <c r="ES158" s="383"/>
      <c r="ET158" s="383"/>
      <c r="EU158" s="383"/>
      <c r="EV158" s="383"/>
      <c r="EW158" s="383"/>
      <c r="EX158" s="383"/>
      <c r="EY158" s="383"/>
      <c r="EZ158" s="383"/>
      <c r="FA158" s="383"/>
      <c r="FB158" s="383"/>
      <c r="FC158" s="383"/>
      <c r="FD158" s="383"/>
      <c r="FE158" s="383"/>
      <c r="FF158" s="383"/>
      <c r="FG158" s="383"/>
      <c r="FH158" s="383"/>
      <c r="FI158" s="383"/>
      <c r="FJ158" s="383"/>
      <c r="FK158" s="383"/>
      <c r="FL158" s="383"/>
      <c r="FM158" s="383"/>
      <c r="FN158" s="383"/>
      <c r="FO158" s="383"/>
      <c r="FP158" s="383"/>
      <c r="FQ158" s="383"/>
      <c r="FR158" s="383"/>
      <c r="FS158" s="383"/>
      <c r="FT158" s="383"/>
      <c r="FU158" s="383"/>
      <c r="FV158" s="383"/>
      <c r="FW158" s="383"/>
      <c r="FX158" s="383"/>
      <c r="FY158" s="383"/>
      <c r="FZ158" s="383"/>
      <c r="GA158" s="383"/>
      <c r="GB158" s="383"/>
      <c r="GC158" s="383"/>
      <c r="GD158" s="383"/>
      <c r="GE158" s="383"/>
      <c r="GF158" s="383"/>
      <c r="GG158" s="383"/>
      <c r="GH158" s="383"/>
      <c r="GI158" s="383"/>
      <c r="GJ158" s="383"/>
      <c r="GK158" s="383"/>
      <c r="GL158" s="383"/>
      <c r="GM158" s="383"/>
      <c r="GN158" s="383"/>
      <c r="GO158" s="383"/>
      <c r="GP158" s="383"/>
      <c r="GQ158" s="383"/>
      <c r="GR158" s="383"/>
      <c r="GS158" s="383"/>
      <c r="GT158" s="383"/>
      <c r="GU158" s="383"/>
      <c r="GV158" s="383"/>
      <c r="GW158" s="383"/>
      <c r="GX158" s="383"/>
      <c r="GY158" s="383"/>
      <c r="GZ158" s="383"/>
      <c r="HA158" s="383"/>
      <c r="HB158" s="383"/>
      <c r="HC158" s="383"/>
      <c r="HD158" s="383"/>
      <c r="HE158" s="383"/>
      <c r="HF158" s="383"/>
      <c r="HG158" s="383"/>
      <c r="HH158" s="383"/>
      <c r="HI158" s="383"/>
      <c r="HJ158" s="383"/>
      <c r="HK158" s="383"/>
      <c r="HL158" s="383"/>
      <c r="HM158" s="383"/>
      <c r="HN158" s="383"/>
      <c r="HO158" s="383"/>
      <c r="HP158" s="383"/>
      <c r="HQ158" s="383"/>
      <c r="HR158" s="383"/>
      <c r="HS158" s="383"/>
      <c r="HT158" s="383"/>
      <c r="HU158" s="383"/>
      <c r="HV158" s="383"/>
      <c r="HW158" s="383"/>
      <c r="HX158" s="383"/>
      <c r="HY158" s="383"/>
      <c r="HZ158" s="383"/>
      <c r="IA158" s="383"/>
      <c r="IB158" s="383"/>
      <c r="IC158" s="383"/>
      <c r="ID158" s="383"/>
      <c r="IE158" s="383"/>
      <c r="IF158" s="383"/>
      <c r="IG158" s="383"/>
      <c r="IH158" s="383"/>
      <c r="II158" s="383"/>
      <c r="IJ158" s="383"/>
      <c r="IK158" s="383"/>
      <c r="IL158" s="383"/>
    </row>
    <row r="159" spans="1:246" ht="25.5">
      <c r="A159" s="516" t="s">
        <v>350</v>
      </c>
      <c r="B159" s="485" t="s">
        <v>743</v>
      </c>
      <c r="C159" s="483" t="s">
        <v>163</v>
      </c>
      <c r="D159" s="14"/>
      <c r="E159" s="484" t="s">
        <v>377</v>
      </c>
      <c r="F159" s="484">
        <v>83765</v>
      </c>
      <c r="G159" s="479" t="str">
        <f t="shared" si="17"/>
        <v>01/2026</v>
      </c>
      <c r="H159" s="341">
        <f>SUMIF(VI.A!$B$6:$B$5963,B159,VI.A!$L$6:$L$5963)</f>
        <v>322.89999999999998</v>
      </c>
      <c r="I159" s="341" t="str">
        <f t="shared" si="19"/>
        <v>si</v>
      </c>
      <c r="J159" s="383"/>
      <c r="K159" s="384">
        <f>IF(E159="SABESP","OK",VLOOKUP(F159,[6]CSD!$B$11:$F$10265,4,FALSE))</f>
        <v>114.2</v>
      </c>
      <c r="L159" s="384" t="str">
        <f t="shared" si="16"/>
        <v>VERIFICAR</v>
      </c>
      <c r="M159" s="480">
        <f t="shared" si="12"/>
        <v>114.2</v>
      </c>
      <c r="N159" s="383" t="b">
        <f t="shared" si="13"/>
        <v>0</v>
      </c>
      <c r="O159" s="383"/>
      <c r="P159" s="383"/>
      <c r="Q159" s="383"/>
      <c r="R159" s="383"/>
      <c r="S159" s="383"/>
      <c r="T159" s="383"/>
      <c r="U159" s="383"/>
      <c r="V159" s="383"/>
      <c r="W159" s="383"/>
      <c r="X159" s="383"/>
      <c r="Y159" s="383"/>
      <c r="Z159" s="383"/>
      <c r="AA159" s="383"/>
      <c r="AB159" s="383"/>
      <c r="AC159" s="383"/>
      <c r="AD159" s="383"/>
      <c r="AE159" s="383"/>
      <c r="AF159" s="383"/>
      <c r="AG159" s="383"/>
      <c r="AH159" s="383"/>
      <c r="AI159" s="383"/>
      <c r="AJ159" s="383"/>
      <c r="AK159" s="383"/>
      <c r="AL159" s="383"/>
      <c r="AM159" s="383"/>
      <c r="AN159" s="383"/>
      <c r="AO159" s="383"/>
      <c r="AP159" s="383"/>
      <c r="AQ159" s="383"/>
      <c r="AR159" s="383"/>
      <c r="AS159" s="383"/>
      <c r="AT159" s="383"/>
      <c r="AU159" s="383"/>
      <c r="AV159" s="383"/>
      <c r="AW159" s="383"/>
      <c r="AX159" s="383"/>
      <c r="AY159" s="383"/>
      <c r="AZ159" s="383"/>
      <c r="BA159" s="383"/>
      <c r="BB159" s="383"/>
      <c r="BC159" s="383"/>
      <c r="BD159" s="383"/>
      <c r="BE159" s="383"/>
      <c r="BF159" s="383"/>
      <c r="BG159" s="383"/>
      <c r="BH159" s="383"/>
      <c r="BI159" s="383"/>
      <c r="BJ159" s="383"/>
      <c r="BK159" s="383"/>
      <c r="BL159" s="383"/>
      <c r="BM159" s="383"/>
      <c r="BN159" s="383"/>
      <c r="BO159" s="383"/>
      <c r="BP159" s="383"/>
      <c r="BQ159" s="383"/>
      <c r="BR159" s="383"/>
      <c r="BS159" s="383"/>
      <c r="BT159" s="383"/>
      <c r="BU159" s="383"/>
      <c r="BV159" s="383"/>
      <c r="BW159" s="383"/>
      <c r="BX159" s="383"/>
      <c r="BY159" s="383"/>
      <c r="BZ159" s="383"/>
      <c r="CA159" s="383"/>
      <c r="CB159" s="383"/>
      <c r="CC159" s="383"/>
      <c r="CD159" s="383"/>
      <c r="CE159" s="383"/>
      <c r="CF159" s="383"/>
      <c r="CG159" s="383"/>
      <c r="CH159" s="383"/>
      <c r="CI159" s="383"/>
      <c r="CJ159" s="383"/>
      <c r="CK159" s="383"/>
      <c r="CL159" s="383"/>
      <c r="CM159" s="383"/>
      <c r="CN159" s="383"/>
      <c r="CO159" s="383"/>
      <c r="CP159" s="383"/>
      <c r="CQ159" s="383"/>
      <c r="CR159" s="383"/>
      <c r="CS159" s="383"/>
      <c r="CT159" s="383"/>
      <c r="CU159" s="383"/>
      <c r="CV159" s="383"/>
      <c r="CW159" s="383"/>
      <c r="CX159" s="383"/>
      <c r="CY159" s="383"/>
      <c r="CZ159" s="383"/>
      <c r="DA159" s="383"/>
      <c r="DB159" s="383"/>
      <c r="DC159" s="383"/>
      <c r="DD159" s="383"/>
      <c r="DE159" s="383"/>
      <c r="DF159" s="383"/>
      <c r="DG159" s="383"/>
      <c r="DH159" s="383"/>
      <c r="DI159" s="383"/>
      <c r="DJ159" s="383"/>
      <c r="DK159" s="383"/>
      <c r="DL159" s="383"/>
      <c r="DM159" s="383"/>
      <c r="DN159" s="383"/>
      <c r="DO159" s="383"/>
      <c r="DP159" s="383"/>
      <c r="DQ159" s="383"/>
      <c r="DR159" s="383"/>
      <c r="DS159" s="383"/>
      <c r="DT159" s="383"/>
      <c r="DU159" s="383"/>
      <c r="DV159" s="383"/>
      <c r="DW159" s="383"/>
      <c r="DX159" s="383"/>
      <c r="DY159" s="383"/>
      <c r="DZ159" s="383"/>
      <c r="EA159" s="383"/>
      <c r="EB159" s="383"/>
      <c r="EC159" s="383"/>
      <c r="ED159" s="383"/>
      <c r="EE159" s="383"/>
      <c r="EF159" s="383"/>
      <c r="EG159" s="383"/>
      <c r="EH159" s="383"/>
      <c r="EI159" s="383"/>
      <c r="EJ159" s="383"/>
      <c r="EK159" s="383"/>
      <c r="EL159" s="383"/>
      <c r="EM159" s="383"/>
      <c r="EN159" s="383"/>
      <c r="EO159" s="383"/>
      <c r="EP159" s="383"/>
      <c r="EQ159" s="383"/>
      <c r="ER159" s="383"/>
      <c r="ES159" s="383"/>
      <c r="ET159" s="383"/>
      <c r="EU159" s="383"/>
      <c r="EV159" s="383"/>
      <c r="EW159" s="383"/>
      <c r="EX159" s="383"/>
      <c r="EY159" s="383"/>
      <c r="EZ159" s="383"/>
      <c r="FA159" s="383"/>
      <c r="FB159" s="383"/>
      <c r="FC159" s="383"/>
      <c r="FD159" s="383"/>
      <c r="FE159" s="383"/>
      <c r="FF159" s="383"/>
      <c r="FG159" s="383"/>
      <c r="FH159" s="383"/>
      <c r="FI159" s="383"/>
      <c r="FJ159" s="383"/>
      <c r="FK159" s="383"/>
      <c r="FL159" s="383"/>
      <c r="FM159" s="383"/>
      <c r="FN159" s="383"/>
      <c r="FO159" s="383"/>
      <c r="FP159" s="383"/>
      <c r="FQ159" s="383"/>
      <c r="FR159" s="383"/>
      <c r="FS159" s="383"/>
      <c r="FT159" s="383"/>
      <c r="FU159" s="383"/>
      <c r="FV159" s="383"/>
      <c r="FW159" s="383"/>
      <c r="FX159" s="383"/>
      <c r="FY159" s="383"/>
      <c r="FZ159" s="383"/>
      <c r="GA159" s="383"/>
      <c r="GB159" s="383"/>
      <c r="GC159" s="383"/>
      <c r="GD159" s="383"/>
      <c r="GE159" s="383"/>
      <c r="GF159" s="383"/>
      <c r="GG159" s="383"/>
      <c r="GH159" s="383"/>
      <c r="GI159" s="383"/>
      <c r="GJ159" s="383"/>
      <c r="GK159" s="383"/>
      <c r="GL159" s="383"/>
      <c r="GM159" s="383"/>
      <c r="GN159" s="383"/>
      <c r="GO159" s="383"/>
      <c r="GP159" s="383"/>
      <c r="GQ159" s="383"/>
      <c r="GR159" s="383"/>
      <c r="GS159" s="383"/>
      <c r="GT159" s="383"/>
      <c r="GU159" s="383"/>
      <c r="GV159" s="383"/>
      <c r="GW159" s="383"/>
      <c r="GX159" s="383"/>
      <c r="GY159" s="383"/>
      <c r="GZ159" s="383"/>
      <c r="HA159" s="383"/>
      <c r="HB159" s="383"/>
      <c r="HC159" s="383"/>
      <c r="HD159" s="383"/>
      <c r="HE159" s="383"/>
      <c r="HF159" s="383"/>
      <c r="HG159" s="383"/>
      <c r="HH159" s="383"/>
      <c r="HI159" s="383"/>
      <c r="HJ159" s="383"/>
      <c r="HK159" s="383"/>
      <c r="HL159" s="383"/>
      <c r="HM159" s="383"/>
      <c r="HN159" s="383"/>
      <c r="HO159" s="383"/>
      <c r="HP159" s="383"/>
      <c r="HQ159" s="383"/>
      <c r="HR159" s="383"/>
      <c r="HS159" s="383"/>
      <c r="HT159" s="383"/>
      <c r="HU159" s="383"/>
      <c r="HV159" s="383"/>
      <c r="HW159" s="383"/>
      <c r="HX159" s="383"/>
      <c r="HY159" s="383"/>
      <c r="HZ159" s="383"/>
      <c r="IA159" s="383"/>
      <c r="IB159" s="383"/>
      <c r="IC159" s="383"/>
      <c r="ID159" s="383"/>
      <c r="IE159" s="383"/>
      <c r="IF159" s="383"/>
      <c r="IG159" s="383"/>
      <c r="IH159" s="383"/>
      <c r="II159" s="383"/>
      <c r="IJ159" s="383"/>
      <c r="IK159" s="383"/>
      <c r="IL159" s="383"/>
    </row>
    <row r="160" spans="1:246" ht="15" customHeight="1">
      <c r="A160" s="516" t="s">
        <v>351</v>
      </c>
      <c r="B160" s="485" t="s">
        <v>402</v>
      </c>
      <c r="C160" s="483" t="s">
        <v>165</v>
      </c>
      <c r="D160" s="14"/>
      <c r="E160" s="484" t="s">
        <v>381</v>
      </c>
      <c r="F160" s="518">
        <v>70190009</v>
      </c>
      <c r="G160" s="479" t="str">
        <f t="shared" si="17"/>
        <v>07/2025</v>
      </c>
      <c r="H160" s="341">
        <f>SUMIF(VI.A!$B$6:$B$5963,B160,VI.A!$L$6:$L$5963)</f>
        <v>51300</v>
      </c>
      <c r="I160" s="341" t="str">
        <f t="shared" si="19"/>
        <v>si</v>
      </c>
      <c r="J160" s="383"/>
      <c r="K160" s="384" t="str">
        <f>IF(E160="SABESP","OK",VLOOKUP(F160,[6]CSD!$B$11:$F$10265,4,FALSE))</f>
        <v>OK</v>
      </c>
      <c r="L160" s="384" t="str">
        <f t="shared" si="16"/>
        <v>OK</v>
      </c>
      <c r="M160" s="480" t="str">
        <f t="shared" si="12"/>
        <v>OK</v>
      </c>
      <c r="N160" s="383" t="b">
        <f t="shared" si="13"/>
        <v>0</v>
      </c>
      <c r="O160" s="383"/>
      <c r="P160" s="383"/>
      <c r="Q160" s="383"/>
      <c r="R160" s="383"/>
      <c r="S160" s="383"/>
      <c r="T160" s="383"/>
      <c r="U160" s="383"/>
      <c r="V160" s="383"/>
      <c r="W160" s="383"/>
      <c r="X160" s="383"/>
      <c r="Y160" s="383"/>
      <c r="Z160" s="383"/>
      <c r="AA160" s="383"/>
      <c r="AB160" s="383"/>
      <c r="AC160" s="383"/>
      <c r="AD160" s="383"/>
      <c r="AE160" s="383"/>
      <c r="AF160" s="383"/>
      <c r="AG160" s="383"/>
      <c r="AH160" s="383"/>
      <c r="AI160" s="383"/>
      <c r="AJ160" s="383"/>
      <c r="AK160" s="383"/>
      <c r="AL160" s="383"/>
      <c r="AM160" s="383"/>
      <c r="AN160" s="383"/>
      <c r="AO160" s="383"/>
      <c r="AP160" s="383"/>
      <c r="AQ160" s="383"/>
      <c r="AR160" s="383"/>
      <c r="AS160" s="383"/>
      <c r="AT160" s="383"/>
      <c r="AU160" s="383"/>
      <c r="AV160" s="383"/>
      <c r="AW160" s="383"/>
      <c r="AX160" s="383"/>
      <c r="AY160" s="383"/>
      <c r="AZ160" s="383"/>
      <c r="BA160" s="383"/>
      <c r="BB160" s="383"/>
      <c r="BC160" s="383"/>
      <c r="BD160" s="383"/>
      <c r="BE160" s="383"/>
      <c r="BF160" s="383"/>
      <c r="BG160" s="383"/>
      <c r="BH160" s="383"/>
      <c r="BI160" s="383"/>
      <c r="BJ160" s="383"/>
      <c r="BK160" s="383"/>
      <c r="BL160" s="383"/>
      <c r="BM160" s="383"/>
      <c r="BN160" s="383"/>
      <c r="BO160" s="383"/>
      <c r="BP160" s="383"/>
      <c r="BQ160" s="383"/>
      <c r="BR160" s="383"/>
      <c r="BS160" s="383"/>
      <c r="BT160" s="383"/>
      <c r="BU160" s="383"/>
      <c r="BV160" s="383"/>
      <c r="BW160" s="383"/>
      <c r="BX160" s="383"/>
      <c r="BY160" s="383"/>
      <c r="BZ160" s="383"/>
      <c r="CA160" s="383"/>
      <c r="CB160" s="383"/>
      <c r="CC160" s="383"/>
      <c r="CD160" s="383"/>
      <c r="CE160" s="383"/>
      <c r="CF160" s="383"/>
      <c r="CG160" s="383"/>
      <c r="CH160" s="383"/>
      <c r="CI160" s="383"/>
      <c r="CJ160" s="383"/>
      <c r="CK160" s="383"/>
      <c r="CL160" s="383"/>
      <c r="CM160" s="383"/>
      <c r="CN160" s="383"/>
      <c r="CO160" s="383"/>
      <c r="CP160" s="383"/>
      <c r="CQ160" s="383"/>
      <c r="CR160" s="383"/>
      <c r="CS160" s="383"/>
      <c r="CT160" s="383"/>
      <c r="CU160" s="383"/>
      <c r="CV160" s="383"/>
      <c r="CW160" s="383"/>
      <c r="CX160" s="383"/>
      <c r="CY160" s="383"/>
      <c r="CZ160" s="383"/>
      <c r="DA160" s="383"/>
      <c r="DB160" s="383"/>
      <c r="DC160" s="383"/>
      <c r="DD160" s="383"/>
      <c r="DE160" s="383"/>
      <c r="DF160" s="383"/>
      <c r="DG160" s="383"/>
      <c r="DH160" s="383"/>
      <c r="DI160" s="383"/>
      <c r="DJ160" s="383"/>
      <c r="DK160" s="383"/>
      <c r="DL160" s="383"/>
      <c r="DM160" s="383"/>
      <c r="DN160" s="383"/>
      <c r="DO160" s="383"/>
      <c r="DP160" s="383"/>
      <c r="DQ160" s="383"/>
      <c r="DR160" s="383"/>
      <c r="DS160" s="383"/>
      <c r="DT160" s="383"/>
      <c r="DU160" s="383"/>
      <c r="DV160" s="383"/>
      <c r="DW160" s="383"/>
      <c r="DX160" s="383"/>
      <c r="DY160" s="383"/>
      <c r="DZ160" s="383"/>
      <c r="EA160" s="383"/>
      <c r="EB160" s="383"/>
      <c r="EC160" s="383"/>
      <c r="ED160" s="383"/>
      <c r="EE160" s="383"/>
      <c r="EF160" s="383"/>
      <c r="EG160" s="383"/>
      <c r="EH160" s="383"/>
      <c r="EI160" s="383"/>
      <c r="EJ160" s="383"/>
      <c r="EK160" s="383"/>
      <c r="EL160" s="383"/>
      <c r="EM160" s="383"/>
      <c r="EN160" s="383"/>
      <c r="EO160" s="383"/>
      <c r="EP160" s="383"/>
      <c r="EQ160" s="383"/>
      <c r="ER160" s="383"/>
      <c r="ES160" s="383"/>
      <c r="ET160" s="383"/>
      <c r="EU160" s="383"/>
      <c r="EV160" s="383"/>
      <c r="EW160" s="383"/>
      <c r="EX160" s="383"/>
      <c r="EY160" s="383"/>
      <c r="EZ160" s="383"/>
      <c r="FA160" s="383"/>
      <c r="FB160" s="383"/>
      <c r="FC160" s="383"/>
      <c r="FD160" s="383"/>
      <c r="FE160" s="383"/>
      <c r="FF160" s="383"/>
      <c r="FG160" s="383"/>
      <c r="FH160" s="383"/>
      <c r="FI160" s="383"/>
      <c r="FJ160" s="383"/>
      <c r="FK160" s="383"/>
      <c r="FL160" s="383"/>
      <c r="FM160" s="383"/>
      <c r="FN160" s="383"/>
      <c r="FO160" s="383"/>
      <c r="FP160" s="383"/>
      <c r="FQ160" s="383"/>
      <c r="FR160" s="383"/>
      <c r="FS160" s="383"/>
      <c r="FT160" s="383"/>
      <c r="FU160" s="383"/>
      <c r="FV160" s="383"/>
      <c r="FW160" s="383"/>
      <c r="FX160" s="383"/>
      <c r="FY160" s="383"/>
      <c r="FZ160" s="383"/>
      <c r="GA160" s="383"/>
      <c r="GB160" s="383"/>
      <c r="GC160" s="383"/>
      <c r="GD160" s="383"/>
      <c r="GE160" s="383"/>
      <c r="GF160" s="383"/>
      <c r="GG160" s="383"/>
      <c r="GH160" s="383"/>
      <c r="GI160" s="383"/>
      <c r="GJ160" s="383"/>
      <c r="GK160" s="383"/>
      <c r="GL160" s="383"/>
      <c r="GM160" s="383"/>
      <c r="GN160" s="383"/>
      <c r="GO160" s="383"/>
      <c r="GP160" s="383"/>
      <c r="GQ160" s="383"/>
      <c r="GR160" s="383"/>
      <c r="GS160" s="383"/>
      <c r="GT160" s="383"/>
      <c r="GU160" s="383"/>
      <c r="GV160" s="383"/>
      <c r="GW160" s="383"/>
      <c r="GX160" s="383"/>
      <c r="GY160" s="383"/>
      <c r="GZ160" s="383"/>
      <c r="HA160" s="383"/>
      <c r="HB160" s="383"/>
      <c r="HC160" s="383"/>
      <c r="HD160" s="383"/>
      <c r="HE160" s="383"/>
      <c r="HF160" s="383"/>
      <c r="HG160" s="383"/>
      <c r="HH160" s="383"/>
      <c r="HI160" s="383"/>
      <c r="HJ160" s="383"/>
      <c r="HK160" s="383"/>
      <c r="HL160" s="383"/>
      <c r="HM160" s="383"/>
      <c r="HN160" s="383"/>
      <c r="HO160" s="383"/>
      <c r="HP160" s="383"/>
      <c r="HQ160" s="383"/>
      <c r="HR160" s="383"/>
      <c r="HS160" s="383"/>
      <c r="HT160" s="383"/>
      <c r="HU160" s="383"/>
      <c r="HV160" s="383"/>
      <c r="HW160" s="383"/>
      <c r="HX160" s="383"/>
      <c r="HY160" s="383"/>
      <c r="HZ160" s="383"/>
      <c r="IA160" s="383"/>
      <c r="IB160" s="383"/>
      <c r="IC160" s="383"/>
      <c r="ID160" s="383"/>
      <c r="IE160" s="383"/>
      <c r="IF160" s="383"/>
      <c r="IG160" s="383"/>
      <c r="IH160" s="383"/>
      <c r="II160" s="383"/>
      <c r="IJ160" s="383"/>
      <c r="IK160" s="383"/>
      <c r="IL160" s="383"/>
    </row>
    <row r="161" spans="1:246" ht="15" customHeight="1">
      <c r="A161" s="516" t="s">
        <v>352</v>
      </c>
      <c r="B161" s="485" t="s">
        <v>194</v>
      </c>
      <c r="C161" s="483" t="s">
        <v>164</v>
      </c>
      <c r="D161" s="14"/>
      <c r="E161" s="484" t="s">
        <v>381</v>
      </c>
      <c r="F161" s="518">
        <v>70190065</v>
      </c>
      <c r="G161" s="479" t="str">
        <f t="shared" si="17"/>
        <v>07/2025</v>
      </c>
      <c r="H161" s="341">
        <f>SUMIF(VI.A!$B$6:$B$5963,B161,VI.A!$L$6:$L$5963)</f>
        <v>150</v>
      </c>
      <c r="I161" s="341" t="str">
        <f t="shared" ref="I161:I169" si="20">IF(H161=0,"no","si")</f>
        <v>si</v>
      </c>
      <c r="J161" s="383"/>
      <c r="K161" s="384" t="str">
        <f>IF(E161="SABESP","OK",VLOOKUP(F161,[6]CSD!$B$11:$F$10265,4,FALSE))</f>
        <v>OK</v>
      </c>
      <c r="L161" s="384" t="str">
        <f t="shared" si="16"/>
        <v>OK</v>
      </c>
      <c r="M161" s="480" t="str">
        <f t="shared" si="12"/>
        <v>OK</v>
      </c>
      <c r="N161" s="383" t="b">
        <f t="shared" si="13"/>
        <v>0</v>
      </c>
      <c r="O161" s="383"/>
      <c r="P161" s="383"/>
      <c r="Q161" s="383"/>
      <c r="R161" s="383"/>
      <c r="S161" s="383"/>
      <c r="T161" s="383"/>
      <c r="U161" s="383"/>
      <c r="V161" s="383"/>
      <c r="W161" s="383"/>
      <c r="X161" s="383"/>
      <c r="Y161" s="383"/>
      <c r="Z161" s="383"/>
      <c r="AA161" s="383"/>
      <c r="AB161" s="383"/>
      <c r="AC161" s="383"/>
      <c r="AD161" s="383"/>
      <c r="AE161" s="383"/>
      <c r="AF161" s="383"/>
      <c r="AG161" s="383"/>
      <c r="AH161" s="383"/>
      <c r="AI161" s="383"/>
      <c r="AJ161" s="383"/>
      <c r="AK161" s="383"/>
      <c r="AL161" s="383"/>
      <c r="AM161" s="383"/>
      <c r="AN161" s="383"/>
      <c r="AO161" s="383"/>
      <c r="AP161" s="383"/>
      <c r="AQ161" s="383"/>
      <c r="AR161" s="383"/>
      <c r="AS161" s="383"/>
      <c r="AT161" s="383"/>
      <c r="AU161" s="383"/>
      <c r="AV161" s="383"/>
      <c r="AW161" s="383"/>
      <c r="AX161" s="383"/>
      <c r="AY161" s="383"/>
      <c r="AZ161" s="383"/>
      <c r="BA161" s="383"/>
      <c r="BB161" s="383"/>
      <c r="BC161" s="383"/>
      <c r="BD161" s="383"/>
      <c r="BE161" s="383"/>
      <c r="BF161" s="383"/>
      <c r="BG161" s="383"/>
      <c r="BH161" s="383"/>
      <c r="BI161" s="383"/>
      <c r="BJ161" s="383"/>
      <c r="BK161" s="383"/>
      <c r="BL161" s="383"/>
      <c r="BM161" s="383"/>
      <c r="BN161" s="383"/>
      <c r="BO161" s="383"/>
      <c r="BP161" s="383"/>
      <c r="BQ161" s="383"/>
      <c r="BR161" s="383"/>
      <c r="BS161" s="383"/>
      <c r="BT161" s="383"/>
      <c r="BU161" s="383"/>
      <c r="BV161" s="383"/>
      <c r="BW161" s="383"/>
      <c r="BX161" s="383"/>
      <c r="BY161" s="383"/>
      <c r="BZ161" s="383"/>
      <c r="CA161" s="383"/>
      <c r="CB161" s="383"/>
      <c r="CC161" s="383"/>
      <c r="CD161" s="383"/>
      <c r="CE161" s="383"/>
      <c r="CF161" s="383"/>
      <c r="CG161" s="383"/>
      <c r="CH161" s="383"/>
      <c r="CI161" s="383"/>
      <c r="CJ161" s="383"/>
      <c r="CK161" s="383"/>
      <c r="CL161" s="383"/>
      <c r="CM161" s="383"/>
      <c r="CN161" s="383"/>
      <c r="CO161" s="383"/>
      <c r="CP161" s="383"/>
      <c r="CQ161" s="383"/>
      <c r="CR161" s="383"/>
      <c r="CS161" s="383"/>
      <c r="CT161" s="383"/>
      <c r="CU161" s="383"/>
      <c r="CV161" s="383"/>
      <c r="CW161" s="383"/>
      <c r="CX161" s="383"/>
      <c r="CY161" s="383"/>
      <c r="CZ161" s="383"/>
      <c r="DA161" s="383"/>
      <c r="DB161" s="383"/>
      <c r="DC161" s="383"/>
      <c r="DD161" s="383"/>
      <c r="DE161" s="383"/>
      <c r="DF161" s="383"/>
      <c r="DG161" s="383"/>
      <c r="DH161" s="383"/>
      <c r="DI161" s="383"/>
      <c r="DJ161" s="383"/>
      <c r="DK161" s="383"/>
      <c r="DL161" s="383"/>
      <c r="DM161" s="383"/>
      <c r="DN161" s="383"/>
      <c r="DO161" s="383"/>
      <c r="DP161" s="383"/>
      <c r="DQ161" s="383"/>
      <c r="DR161" s="383"/>
      <c r="DS161" s="383"/>
      <c r="DT161" s="383"/>
      <c r="DU161" s="383"/>
      <c r="DV161" s="383"/>
      <c r="DW161" s="383"/>
      <c r="DX161" s="383"/>
      <c r="DY161" s="383"/>
      <c r="DZ161" s="383"/>
      <c r="EA161" s="383"/>
      <c r="EB161" s="383"/>
      <c r="EC161" s="383"/>
      <c r="ED161" s="383"/>
      <c r="EE161" s="383"/>
      <c r="EF161" s="383"/>
      <c r="EG161" s="383"/>
      <c r="EH161" s="383"/>
      <c r="EI161" s="383"/>
      <c r="EJ161" s="383"/>
      <c r="EK161" s="383"/>
      <c r="EL161" s="383"/>
      <c r="EM161" s="383"/>
      <c r="EN161" s="383"/>
      <c r="EO161" s="383"/>
      <c r="EP161" s="383"/>
      <c r="EQ161" s="383"/>
      <c r="ER161" s="383"/>
      <c r="ES161" s="383"/>
      <c r="ET161" s="383"/>
      <c r="EU161" s="383"/>
      <c r="EV161" s="383"/>
      <c r="EW161" s="383"/>
      <c r="EX161" s="383"/>
      <c r="EY161" s="383"/>
      <c r="EZ161" s="383"/>
      <c r="FA161" s="383"/>
      <c r="FB161" s="383"/>
      <c r="FC161" s="383"/>
      <c r="FD161" s="383"/>
      <c r="FE161" s="383"/>
      <c r="FF161" s="383"/>
      <c r="FG161" s="383"/>
      <c r="FH161" s="383"/>
      <c r="FI161" s="383"/>
      <c r="FJ161" s="383"/>
      <c r="FK161" s="383"/>
      <c r="FL161" s="383"/>
      <c r="FM161" s="383"/>
      <c r="FN161" s="383"/>
      <c r="FO161" s="383"/>
      <c r="FP161" s="383"/>
      <c r="FQ161" s="383"/>
      <c r="FR161" s="383"/>
      <c r="FS161" s="383"/>
      <c r="FT161" s="383"/>
      <c r="FU161" s="383"/>
      <c r="FV161" s="383"/>
      <c r="FW161" s="383"/>
      <c r="FX161" s="383"/>
      <c r="FY161" s="383"/>
      <c r="FZ161" s="383"/>
      <c r="GA161" s="383"/>
      <c r="GB161" s="383"/>
      <c r="GC161" s="383"/>
      <c r="GD161" s="383"/>
      <c r="GE161" s="383"/>
      <c r="GF161" s="383"/>
      <c r="GG161" s="383"/>
      <c r="GH161" s="383"/>
      <c r="GI161" s="383"/>
      <c r="GJ161" s="383"/>
      <c r="GK161" s="383"/>
      <c r="GL161" s="383"/>
      <c r="GM161" s="383"/>
      <c r="GN161" s="383"/>
      <c r="GO161" s="383"/>
      <c r="GP161" s="383"/>
      <c r="GQ161" s="383"/>
      <c r="GR161" s="383"/>
      <c r="GS161" s="383"/>
      <c r="GT161" s="383"/>
      <c r="GU161" s="383"/>
      <c r="GV161" s="383"/>
      <c r="GW161" s="383"/>
      <c r="GX161" s="383"/>
      <c r="GY161" s="383"/>
      <c r="GZ161" s="383"/>
      <c r="HA161" s="383"/>
      <c r="HB161" s="383"/>
      <c r="HC161" s="383"/>
      <c r="HD161" s="383"/>
      <c r="HE161" s="383"/>
      <c r="HF161" s="383"/>
      <c r="HG161" s="383"/>
      <c r="HH161" s="383"/>
      <c r="HI161" s="383"/>
      <c r="HJ161" s="383"/>
      <c r="HK161" s="383"/>
      <c r="HL161" s="383"/>
      <c r="HM161" s="383"/>
      <c r="HN161" s="383"/>
      <c r="HO161" s="383"/>
      <c r="HP161" s="383"/>
      <c r="HQ161" s="383"/>
      <c r="HR161" s="383"/>
      <c r="HS161" s="383"/>
      <c r="HT161" s="383"/>
      <c r="HU161" s="383"/>
      <c r="HV161" s="383"/>
      <c r="HW161" s="383"/>
      <c r="HX161" s="383"/>
      <c r="HY161" s="383"/>
      <c r="HZ161" s="383"/>
      <c r="IA161" s="383"/>
      <c r="IB161" s="383"/>
      <c r="IC161" s="383"/>
      <c r="ID161" s="383"/>
      <c r="IE161" s="383"/>
      <c r="IF161" s="383"/>
      <c r="IG161" s="383"/>
      <c r="IH161" s="383"/>
      <c r="II161" s="383"/>
      <c r="IJ161" s="383"/>
      <c r="IK161" s="383"/>
      <c r="IL161" s="383"/>
    </row>
    <row r="162" spans="1:246" ht="15" customHeight="1">
      <c r="A162" s="516" t="s">
        <v>353</v>
      </c>
      <c r="B162" s="485" t="s">
        <v>744</v>
      </c>
      <c r="C162" s="483" t="s">
        <v>163</v>
      </c>
      <c r="D162" s="14"/>
      <c r="E162" s="484" t="s">
        <v>377</v>
      </c>
      <c r="F162" s="484">
        <v>99833</v>
      </c>
      <c r="G162" s="479" t="str">
        <f t="shared" si="17"/>
        <v>01/2026</v>
      </c>
      <c r="H162" s="341">
        <f>SUMIF(VI.A!$B$6:$B$5963,B162,VI.A!$L$6:$L$5963)</f>
        <v>5780</v>
      </c>
      <c r="I162" s="341" t="str">
        <f t="shared" si="20"/>
        <v>si</v>
      </c>
      <c r="J162" s="383"/>
      <c r="K162" s="384">
        <f>IF(E162="SABESP","OK",VLOOKUP(F162,[6]CSD!$B$11:$F$10265,4,FALSE))</f>
        <v>4.1399999999999997</v>
      </c>
      <c r="L162" s="384" t="str">
        <f t="shared" si="16"/>
        <v>VERIFICAR</v>
      </c>
      <c r="M162" s="480">
        <f t="shared" si="12"/>
        <v>4.1399999999999997</v>
      </c>
      <c r="N162" s="383" t="b">
        <f t="shared" si="13"/>
        <v>0</v>
      </c>
      <c r="O162" s="383"/>
      <c r="P162" s="383"/>
      <c r="Q162" s="383"/>
      <c r="R162" s="383"/>
      <c r="S162" s="383"/>
      <c r="T162" s="383"/>
      <c r="U162" s="383"/>
      <c r="V162" s="383"/>
      <c r="W162" s="383"/>
      <c r="X162" s="383"/>
      <c r="Y162" s="383"/>
      <c r="Z162" s="383"/>
      <c r="AA162" s="383"/>
      <c r="AB162" s="383"/>
      <c r="AC162" s="383"/>
      <c r="AD162" s="383"/>
      <c r="AE162" s="383"/>
      <c r="AF162" s="383"/>
      <c r="AG162" s="383"/>
      <c r="AH162" s="383"/>
      <c r="AI162" s="383"/>
      <c r="AJ162" s="383"/>
      <c r="AK162" s="383"/>
      <c r="AL162" s="383"/>
      <c r="AM162" s="383"/>
      <c r="AN162" s="383"/>
      <c r="AO162" s="383"/>
      <c r="AP162" s="383"/>
      <c r="AQ162" s="383"/>
      <c r="AR162" s="383"/>
      <c r="AS162" s="383"/>
      <c r="AT162" s="383"/>
      <c r="AU162" s="383"/>
      <c r="AV162" s="383"/>
      <c r="AW162" s="383"/>
      <c r="AX162" s="383"/>
      <c r="AY162" s="383"/>
      <c r="AZ162" s="383"/>
      <c r="BA162" s="383"/>
      <c r="BB162" s="383"/>
      <c r="BC162" s="383"/>
      <c r="BD162" s="383"/>
      <c r="BE162" s="383"/>
      <c r="BF162" s="383"/>
      <c r="BG162" s="383"/>
      <c r="BH162" s="383"/>
      <c r="BI162" s="383"/>
      <c r="BJ162" s="383"/>
      <c r="BK162" s="383"/>
      <c r="BL162" s="383"/>
      <c r="BM162" s="383"/>
      <c r="BN162" s="383"/>
      <c r="BO162" s="383"/>
      <c r="BP162" s="383"/>
      <c r="BQ162" s="383"/>
      <c r="BR162" s="383"/>
      <c r="BS162" s="383"/>
      <c r="BT162" s="383"/>
      <c r="BU162" s="383"/>
      <c r="BV162" s="383"/>
      <c r="BW162" s="383"/>
      <c r="BX162" s="383"/>
      <c r="BY162" s="383"/>
      <c r="BZ162" s="383"/>
      <c r="CA162" s="383"/>
      <c r="CB162" s="383"/>
      <c r="CC162" s="383"/>
      <c r="CD162" s="383"/>
      <c r="CE162" s="383"/>
      <c r="CF162" s="383"/>
      <c r="CG162" s="383"/>
      <c r="CH162" s="383"/>
      <c r="CI162" s="383"/>
      <c r="CJ162" s="383"/>
      <c r="CK162" s="383"/>
      <c r="CL162" s="383"/>
      <c r="CM162" s="383"/>
      <c r="CN162" s="383"/>
      <c r="CO162" s="383"/>
      <c r="CP162" s="383"/>
      <c r="CQ162" s="383"/>
      <c r="CR162" s="383"/>
      <c r="CS162" s="383"/>
      <c r="CT162" s="383"/>
      <c r="CU162" s="383"/>
      <c r="CV162" s="383"/>
      <c r="CW162" s="383"/>
      <c r="CX162" s="383"/>
      <c r="CY162" s="383"/>
      <c r="CZ162" s="383"/>
      <c r="DA162" s="383"/>
      <c r="DB162" s="383"/>
      <c r="DC162" s="383"/>
      <c r="DD162" s="383"/>
      <c r="DE162" s="383"/>
      <c r="DF162" s="383"/>
      <c r="DG162" s="383"/>
      <c r="DH162" s="383"/>
      <c r="DI162" s="383"/>
      <c r="DJ162" s="383"/>
      <c r="DK162" s="383"/>
      <c r="DL162" s="383"/>
      <c r="DM162" s="383"/>
      <c r="DN162" s="383"/>
      <c r="DO162" s="383"/>
      <c r="DP162" s="383"/>
      <c r="DQ162" s="383"/>
      <c r="DR162" s="383"/>
      <c r="DS162" s="383"/>
      <c r="DT162" s="383"/>
      <c r="DU162" s="383"/>
      <c r="DV162" s="383"/>
      <c r="DW162" s="383"/>
      <c r="DX162" s="383"/>
      <c r="DY162" s="383"/>
      <c r="DZ162" s="383"/>
      <c r="EA162" s="383"/>
      <c r="EB162" s="383"/>
      <c r="EC162" s="383"/>
      <c r="ED162" s="383"/>
      <c r="EE162" s="383"/>
      <c r="EF162" s="383"/>
      <c r="EG162" s="383"/>
      <c r="EH162" s="383"/>
      <c r="EI162" s="383"/>
      <c r="EJ162" s="383"/>
      <c r="EK162" s="383"/>
      <c r="EL162" s="383"/>
      <c r="EM162" s="383"/>
      <c r="EN162" s="383"/>
      <c r="EO162" s="383"/>
      <c r="EP162" s="383"/>
      <c r="EQ162" s="383"/>
      <c r="ER162" s="383"/>
      <c r="ES162" s="383"/>
      <c r="ET162" s="383"/>
      <c r="EU162" s="383"/>
      <c r="EV162" s="383"/>
      <c r="EW162" s="383"/>
      <c r="EX162" s="383"/>
      <c r="EY162" s="383"/>
      <c r="EZ162" s="383"/>
      <c r="FA162" s="383"/>
      <c r="FB162" s="383"/>
      <c r="FC162" s="383"/>
      <c r="FD162" s="383"/>
      <c r="FE162" s="383"/>
      <c r="FF162" s="383"/>
      <c r="FG162" s="383"/>
      <c r="FH162" s="383"/>
      <c r="FI162" s="383"/>
      <c r="FJ162" s="383"/>
      <c r="FK162" s="383"/>
      <c r="FL162" s="383"/>
      <c r="FM162" s="383"/>
      <c r="FN162" s="383"/>
      <c r="FO162" s="383"/>
      <c r="FP162" s="383"/>
      <c r="FQ162" s="383"/>
      <c r="FR162" s="383"/>
      <c r="FS162" s="383"/>
      <c r="FT162" s="383"/>
      <c r="FU162" s="383"/>
      <c r="FV162" s="383"/>
      <c r="FW162" s="383"/>
      <c r="FX162" s="383"/>
      <c r="FY162" s="383"/>
      <c r="FZ162" s="383"/>
      <c r="GA162" s="383"/>
      <c r="GB162" s="383"/>
      <c r="GC162" s="383"/>
      <c r="GD162" s="383"/>
      <c r="GE162" s="383"/>
      <c r="GF162" s="383"/>
      <c r="GG162" s="383"/>
      <c r="GH162" s="383"/>
      <c r="GI162" s="383"/>
      <c r="GJ162" s="383"/>
      <c r="GK162" s="383"/>
      <c r="GL162" s="383"/>
      <c r="GM162" s="383"/>
      <c r="GN162" s="383"/>
      <c r="GO162" s="383"/>
      <c r="GP162" s="383"/>
      <c r="GQ162" s="383"/>
      <c r="GR162" s="383"/>
      <c r="GS162" s="383"/>
      <c r="GT162" s="383"/>
      <c r="GU162" s="383"/>
      <c r="GV162" s="383"/>
      <c r="GW162" s="383"/>
      <c r="GX162" s="383"/>
      <c r="GY162" s="383"/>
      <c r="GZ162" s="383"/>
      <c r="HA162" s="383"/>
      <c r="HB162" s="383"/>
      <c r="HC162" s="383"/>
      <c r="HD162" s="383"/>
      <c r="HE162" s="383"/>
      <c r="HF162" s="383"/>
      <c r="HG162" s="383"/>
      <c r="HH162" s="383"/>
      <c r="HI162" s="383"/>
      <c r="HJ162" s="383"/>
      <c r="HK162" s="383"/>
      <c r="HL162" s="383"/>
      <c r="HM162" s="383"/>
      <c r="HN162" s="383"/>
      <c r="HO162" s="383"/>
      <c r="HP162" s="383"/>
      <c r="HQ162" s="383"/>
      <c r="HR162" s="383"/>
      <c r="HS162" s="383"/>
      <c r="HT162" s="383"/>
      <c r="HU162" s="383"/>
      <c r="HV162" s="383"/>
      <c r="HW162" s="383"/>
      <c r="HX162" s="383"/>
      <c r="HY162" s="383"/>
      <c r="HZ162" s="383"/>
      <c r="IA162" s="383"/>
      <c r="IB162" s="383"/>
      <c r="IC162" s="383"/>
      <c r="ID162" s="383"/>
      <c r="IE162" s="383"/>
      <c r="IF162" s="383"/>
      <c r="IG162" s="383"/>
      <c r="IH162" s="383"/>
      <c r="II162" s="383"/>
      <c r="IJ162" s="383"/>
      <c r="IK162" s="383"/>
      <c r="IL162" s="383"/>
    </row>
    <row r="163" spans="1:246" ht="15" customHeight="1">
      <c r="A163" s="516" t="s">
        <v>354</v>
      </c>
      <c r="B163" s="485" t="s">
        <v>409</v>
      </c>
      <c r="C163" s="483" t="s">
        <v>163</v>
      </c>
      <c r="D163" s="14"/>
      <c r="E163" s="484" t="s">
        <v>377</v>
      </c>
      <c r="F163" s="484">
        <v>95133</v>
      </c>
      <c r="G163" s="479" t="str">
        <f t="shared" si="17"/>
        <v>01/2026</v>
      </c>
      <c r="H163" s="341">
        <f>SUMIF(VI.A!$B$6:$B$5963,B163,VI.A!$L$6:$L$5963)</f>
        <v>1.6665000000000001</v>
      </c>
      <c r="I163" s="341" t="str">
        <f t="shared" si="20"/>
        <v>si</v>
      </c>
      <c r="J163" s="383"/>
      <c r="K163" s="384">
        <f>IF(E163="SABESP","OK",VLOOKUP(F163,[6]CSD!$B$11:$F$10265,4,FALSE))</f>
        <v>207.7</v>
      </c>
      <c r="L163" s="384" t="str">
        <f t="shared" si="16"/>
        <v>VERIFICAR</v>
      </c>
      <c r="M163" s="480">
        <f t="shared" si="12"/>
        <v>207.7</v>
      </c>
      <c r="N163" s="383" t="b">
        <f t="shared" si="13"/>
        <v>0</v>
      </c>
      <c r="O163" s="383"/>
      <c r="P163" s="383"/>
      <c r="Q163" s="383"/>
      <c r="R163" s="383"/>
      <c r="S163" s="383"/>
      <c r="T163" s="383"/>
      <c r="U163" s="383"/>
      <c r="V163" s="383"/>
      <c r="W163" s="383"/>
      <c r="X163" s="383"/>
      <c r="Y163" s="383"/>
      <c r="Z163" s="383"/>
      <c r="AA163" s="383"/>
      <c r="AB163" s="383"/>
      <c r="AC163" s="383"/>
      <c r="AD163" s="383"/>
      <c r="AE163" s="383"/>
      <c r="AF163" s="383"/>
      <c r="AG163" s="383"/>
      <c r="AH163" s="383"/>
      <c r="AI163" s="383"/>
      <c r="AJ163" s="383"/>
      <c r="AK163" s="383"/>
      <c r="AL163" s="383"/>
      <c r="AM163" s="383"/>
      <c r="AN163" s="383"/>
      <c r="AO163" s="383"/>
      <c r="AP163" s="383"/>
      <c r="AQ163" s="383"/>
      <c r="AR163" s="383"/>
      <c r="AS163" s="383"/>
      <c r="AT163" s="383"/>
      <c r="AU163" s="383"/>
      <c r="AV163" s="383"/>
      <c r="AW163" s="383"/>
      <c r="AX163" s="383"/>
      <c r="AY163" s="383"/>
      <c r="AZ163" s="383"/>
      <c r="BA163" s="383"/>
      <c r="BB163" s="383"/>
      <c r="BC163" s="383"/>
      <c r="BD163" s="383"/>
      <c r="BE163" s="383"/>
      <c r="BF163" s="383"/>
      <c r="BG163" s="383"/>
      <c r="BH163" s="383"/>
      <c r="BI163" s="383"/>
      <c r="BJ163" s="383"/>
      <c r="BK163" s="383"/>
      <c r="BL163" s="383"/>
      <c r="BM163" s="383"/>
      <c r="BN163" s="383"/>
      <c r="BO163" s="383"/>
      <c r="BP163" s="383"/>
      <c r="BQ163" s="383"/>
      <c r="BR163" s="383"/>
      <c r="BS163" s="383"/>
      <c r="BT163" s="383"/>
      <c r="BU163" s="383"/>
      <c r="BV163" s="383"/>
      <c r="BW163" s="383"/>
      <c r="BX163" s="383"/>
      <c r="BY163" s="383"/>
      <c r="BZ163" s="383"/>
      <c r="CA163" s="383"/>
      <c r="CB163" s="383"/>
      <c r="CC163" s="383"/>
      <c r="CD163" s="383"/>
      <c r="CE163" s="383"/>
      <c r="CF163" s="383"/>
      <c r="CG163" s="383"/>
      <c r="CH163" s="383"/>
      <c r="CI163" s="383"/>
      <c r="CJ163" s="383"/>
      <c r="CK163" s="383"/>
      <c r="CL163" s="383"/>
      <c r="CM163" s="383"/>
      <c r="CN163" s="383"/>
      <c r="CO163" s="383"/>
      <c r="CP163" s="383"/>
      <c r="CQ163" s="383"/>
      <c r="CR163" s="383"/>
      <c r="CS163" s="383"/>
      <c r="CT163" s="383"/>
      <c r="CU163" s="383"/>
      <c r="CV163" s="383"/>
      <c r="CW163" s="383"/>
      <c r="CX163" s="383"/>
      <c r="CY163" s="383"/>
      <c r="CZ163" s="383"/>
      <c r="DA163" s="383"/>
      <c r="DB163" s="383"/>
      <c r="DC163" s="383"/>
      <c r="DD163" s="383"/>
      <c r="DE163" s="383"/>
      <c r="DF163" s="383"/>
      <c r="DG163" s="383"/>
      <c r="DH163" s="383"/>
      <c r="DI163" s="383"/>
      <c r="DJ163" s="383"/>
      <c r="DK163" s="383"/>
      <c r="DL163" s="383"/>
      <c r="DM163" s="383"/>
      <c r="DN163" s="383"/>
      <c r="DO163" s="383"/>
      <c r="DP163" s="383"/>
      <c r="DQ163" s="383"/>
      <c r="DR163" s="383"/>
      <c r="DS163" s="383"/>
      <c r="DT163" s="383"/>
      <c r="DU163" s="383"/>
      <c r="DV163" s="383"/>
      <c r="DW163" s="383"/>
      <c r="DX163" s="383"/>
      <c r="DY163" s="383"/>
      <c r="DZ163" s="383"/>
      <c r="EA163" s="383"/>
      <c r="EB163" s="383"/>
      <c r="EC163" s="383"/>
      <c r="ED163" s="383"/>
      <c r="EE163" s="383"/>
      <c r="EF163" s="383"/>
      <c r="EG163" s="383"/>
      <c r="EH163" s="383"/>
      <c r="EI163" s="383"/>
      <c r="EJ163" s="383"/>
      <c r="EK163" s="383"/>
      <c r="EL163" s="383"/>
      <c r="EM163" s="383"/>
      <c r="EN163" s="383"/>
      <c r="EO163" s="383"/>
      <c r="EP163" s="383"/>
      <c r="EQ163" s="383"/>
      <c r="ER163" s="383"/>
      <c r="ES163" s="383"/>
      <c r="ET163" s="383"/>
      <c r="EU163" s="383"/>
      <c r="EV163" s="383"/>
      <c r="EW163" s="383"/>
      <c r="EX163" s="383"/>
      <c r="EY163" s="383"/>
      <c r="EZ163" s="383"/>
      <c r="FA163" s="383"/>
      <c r="FB163" s="383"/>
      <c r="FC163" s="383"/>
      <c r="FD163" s="383"/>
      <c r="FE163" s="383"/>
      <c r="FF163" s="383"/>
      <c r="FG163" s="383"/>
      <c r="FH163" s="383"/>
      <c r="FI163" s="383"/>
      <c r="FJ163" s="383"/>
      <c r="FK163" s="383"/>
      <c r="FL163" s="383"/>
      <c r="FM163" s="383"/>
      <c r="FN163" s="383"/>
      <c r="FO163" s="383"/>
      <c r="FP163" s="383"/>
      <c r="FQ163" s="383"/>
      <c r="FR163" s="383"/>
      <c r="FS163" s="383"/>
      <c r="FT163" s="383"/>
      <c r="FU163" s="383"/>
      <c r="FV163" s="383"/>
      <c r="FW163" s="383"/>
      <c r="FX163" s="383"/>
      <c r="FY163" s="383"/>
      <c r="FZ163" s="383"/>
      <c r="GA163" s="383"/>
      <c r="GB163" s="383"/>
      <c r="GC163" s="383"/>
      <c r="GD163" s="383"/>
      <c r="GE163" s="383"/>
      <c r="GF163" s="383"/>
      <c r="GG163" s="383"/>
      <c r="GH163" s="383"/>
      <c r="GI163" s="383"/>
      <c r="GJ163" s="383"/>
      <c r="GK163" s="383"/>
      <c r="GL163" s="383"/>
      <c r="GM163" s="383"/>
      <c r="GN163" s="383"/>
      <c r="GO163" s="383"/>
      <c r="GP163" s="383"/>
      <c r="GQ163" s="383"/>
      <c r="GR163" s="383"/>
      <c r="GS163" s="383"/>
      <c r="GT163" s="383"/>
      <c r="GU163" s="383"/>
      <c r="GV163" s="383"/>
      <c r="GW163" s="383"/>
      <c r="GX163" s="383"/>
      <c r="GY163" s="383"/>
      <c r="GZ163" s="383"/>
      <c r="HA163" s="383"/>
      <c r="HB163" s="383"/>
      <c r="HC163" s="383"/>
      <c r="HD163" s="383"/>
      <c r="HE163" s="383"/>
      <c r="HF163" s="383"/>
      <c r="HG163" s="383"/>
      <c r="HH163" s="383"/>
      <c r="HI163" s="383"/>
      <c r="HJ163" s="383"/>
      <c r="HK163" s="383"/>
      <c r="HL163" s="383"/>
      <c r="HM163" s="383"/>
      <c r="HN163" s="383"/>
      <c r="HO163" s="383"/>
      <c r="HP163" s="383"/>
      <c r="HQ163" s="383"/>
      <c r="HR163" s="383"/>
      <c r="HS163" s="383"/>
      <c r="HT163" s="383"/>
      <c r="HU163" s="383"/>
      <c r="HV163" s="383"/>
      <c r="HW163" s="383"/>
      <c r="HX163" s="383"/>
      <c r="HY163" s="383"/>
      <c r="HZ163" s="383"/>
      <c r="IA163" s="383"/>
      <c r="IB163" s="383"/>
      <c r="IC163" s="383"/>
      <c r="ID163" s="383"/>
      <c r="IE163" s="383"/>
      <c r="IF163" s="383"/>
      <c r="IG163" s="383"/>
      <c r="IH163" s="383"/>
      <c r="II163" s="383"/>
      <c r="IJ163" s="383"/>
      <c r="IK163" s="383"/>
      <c r="IL163" s="383"/>
    </row>
    <row r="164" spans="1:246" ht="15" customHeight="1">
      <c r="A164" s="516" t="s">
        <v>355</v>
      </c>
      <c r="B164" s="485" t="s">
        <v>750</v>
      </c>
      <c r="C164" s="483" t="s">
        <v>163</v>
      </c>
      <c r="D164" s="14"/>
      <c r="E164" s="484" t="s">
        <v>377</v>
      </c>
      <c r="F164" s="484">
        <v>5795</v>
      </c>
      <c r="G164" s="479" t="str">
        <f t="shared" si="17"/>
        <v>01/2026</v>
      </c>
      <c r="H164" s="341">
        <f>SUMIF(VI.A!$B$6:$B$5963,B164,VI.A!$L$6:$L$5963)</f>
        <v>220</v>
      </c>
      <c r="I164" s="341" t="str">
        <f t="shared" si="20"/>
        <v>si</v>
      </c>
      <c r="J164" s="383"/>
      <c r="K164" s="384">
        <f>IF(E164="SABESP","OK",VLOOKUP(F164,[6]CSD!$B$11:$F$10265,4,FALSE))</f>
        <v>35.700000000000003</v>
      </c>
      <c r="L164" s="384" t="str">
        <f t="shared" si="16"/>
        <v>VERIFICAR</v>
      </c>
      <c r="M164" s="480">
        <f t="shared" si="12"/>
        <v>35.700000000000003</v>
      </c>
      <c r="N164" s="383" t="b">
        <f t="shared" si="13"/>
        <v>0</v>
      </c>
      <c r="O164" s="383"/>
      <c r="P164" s="383"/>
      <c r="Q164" s="383"/>
      <c r="R164" s="383"/>
      <c r="S164" s="383"/>
      <c r="T164" s="383"/>
      <c r="U164" s="383"/>
      <c r="V164" s="383"/>
      <c r="W164" s="383"/>
      <c r="X164" s="383"/>
      <c r="Y164" s="383"/>
      <c r="Z164" s="383"/>
      <c r="AA164" s="383"/>
      <c r="AB164" s="383"/>
      <c r="AC164" s="383"/>
      <c r="AD164" s="383"/>
      <c r="AE164" s="383"/>
      <c r="AF164" s="383"/>
      <c r="AG164" s="383"/>
      <c r="AH164" s="383"/>
      <c r="AI164" s="383"/>
      <c r="AJ164" s="383"/>
      <c r="AK164" s="383"/>
      <c r="AL164" s="383"/>
      <c r="AM164" s="383"/>
      <c r="AN164" s="383"/>
      <c r="AO164" s="383"/>
      <c r="AP164" s="383"/>
      <c r="AQ164" s="383"/>
      <c r="AR164" s="383"/>
      <c r="AS164" s="383"/>
      <c r="AT164" s="383"/>
      <c r="AU164" s="383"/>
      <c r="AV164" s="383"/>
      <c r="AW164" s="383"/>
      <c r="AX164" s="383"/>
      <c r="AY164" s="383"/>
      <c r="AZ164" s="383"/>
      <c r="BA164" s="383"/>
      <c r="BB164" s="383"/>
      <c r="BC164" s="383"/>
      <c r="BD164" s="383"/>
      <c r="BE164" s="383"/>
      <c r="BF164" s="383"/>
      <c r="BG164" s="383"/>
      <c r="BH164" s="383"/>
      <c r="BI164" s="383"/>
      <c r="BJ164" s="383"/>
      <c r="BK164" s="383"/>
      <c r="BL164" s="383"/>
      <c r="BM164" s="383"/>
      <c r="BN164" s="383"/>
      <c r="BO164" s="383"/>
      <c r="BP164" s="383"/>
      <c r="BQ164" s="383"/>
      <c r="BR164" s="383"/>
      <c r="BS164" s="383"/>
      <c r="BT164" s="383"/>
      <c r="BU164" s="383"/>
      <c r="BV164" s="383"/>
      <c r="BW164" s="383"/>
      <c r="BX164" s="383"/>
      <c r="BY164" s="383"/>
      <c r="BZ164" s="383"/>
      <c r="CA164" s="383"/>
      <c r="CB164" s="383"/>
      <c r="CC164" s="383"/>
      <c r="CD164" s="383"/>
      <c r="CE164" s="383"/>
      <c r="CF164" s="383"/>
      <c r="CG164" s="383"/>
      <c r="CH164" s="383"/>
      <c r="CI164" s="383"/>
      <c r="CJ164" s="383"/>
      <c r="CK164" s="383"/>
      <c r="CL164" s="383"/>
      <c r="CM164" s="383"/>
      <c r="CN164" s="383"/>
      <c r="CO164" s="383"/>
      <c r="CP164" s="383"/>
      <c r="CQ164" s="383"/>
      <c r="CR164" s="383"/>
      <c r="CS164" s="383"/>
      <c r="CT164" s="383"/>
      <c r="CU164" s="383"/>
      <c r="CV164" s="383"/>
      <c r="CW164" s="383"/>
      <c r="CX164" s="383"/>
      <c r="CY164" s="383"/>
      <c r="CZ164" s="383"/>
      <c r="DA164" s="383"/>
      <c r="DB164" s="383"/>
      <c r="DC164" s="383"/>
      <c r="DD164" s="383"/>
      <c r="DE164" s="383"/>
      <c r="DF164" s="383"/>
      <c r="DG164" s="383"/>
      <c r="DH164" s="383"/>
      <c r="DI164" s="383"/>
      <c r="DJ164" s="383"/>
      <c r="DK164" s="383"/>
      <c r="DL164" s="383"/>
      <c r="DM164" s="383"/>
      <c r="DN164" s="383"/>
      <c r="DO164" s="383"/>
      <c r="DP164" s="383"/>
      <c r="DQ164" s="383"/>
      <c r="DR164" s="383"/>
      <c r="DS164" s="383"/>
      <c r="DT164" s="383"/>
      <c r="DU164" s="383"/>
      <c r="DV164" s="383"/>
      <c r="DW164" s="383"/>
      <c r="DX164" s="383"/>
      <c r="DY164" s="383"/>
      <c r="DZ164" s="383"/>
      <c r="EA164" s="383"/>
      <c r="EB164" s="383"/>
      <c r="EC164" s="383"/>
      <c r="ED164" s="383"/>
      <c r="EE164" s="383"/>
      <c r="EF164" s="383"/>
      <c r="EG164" s="383"/>
      <c r="EH164" s="383"/>
      <c r="EI164" s="383"/>
      <c r="EJ164" s="383"/>
      <c r="EK164" s="383"/>
      <c r="EL164" s="383"/>
      <c r="EM164" s="383"/>
      <c r="EN164" s="383"/>
      <c r="EO164" s="383"/>
      <c r="EP164" s="383"/>
      <c r="EQ164" s="383"/>
      <c r="ER164" s="383"/>
      <c r="ES164" s="383"/>
      <c r="ET164" s="383"/>
      <c r="EU164" s="383"/>
      <c r="EV164" s="383"/>
      <c r="EW164" s="383"/>
      <c r="EX164" s="383"/>
      <c r="EY164" s="383"/>
      <c r="EZ164" s="383"/>
      <c r="FA164" s="383"/>
      <c r="FB164" s="383"/>
      <c r="FC164" s="383"/>
      <c r="FD164" s="383"/>
      <c r="FE164" s="383"/>
      <c r="FF164" s="383"/>
      <c r="FG164" s="383"/>
      <c r="FH164" s="383"/>
      <c r="FI164" s="383"/>
      <c r="FJ164" s="383"/>
      <c r="FK164" s="383"/>
      <c r="FL164" s="383"/>
      <c r="FM164" s="383"/>
      <c r="FN164" s="383"/>
      <c r="FO164" s="383"/>
      <c r="FP164" s="383"/>
      <c r="FQ164" s="383"/>
      <c r="FR164" s="383"/>
      <c r="FS164" s="383"/>
      <c r="FT164" s="383"/>
      <c r="FU164" s="383"/>
      <c r="FV164" s="383"/>
      <c r="FW164" s="383"/>
      <c r="FX164" s="383"/>
      <c r="FY164" s="383"/>
      <c r="FZ164" s="383"/>
      <c r="GA164" s="383"/>
      <c r="GB164" s="383"/>
      <c r="GC164" s="383"/>
      <c r="GD164" s="383"/>
      <c r="GE164" s="383"/>
      <c r="GF164" s="383"/>
      <c r="GG164" s="383"/>
      <c r="GH164" s="383"/>
      <c r="GI164" s="383"/>
      <c r="GJ164" s="383"/>
      <c r="GK164" s="383"/>
      <c r="GL164" s="383"/>
      <c r="GM164" s="383"/>
      <c r="GN164" s="383"/>
      <c r="GO164" s="383"/>
      <c r="GP164" s="383"/>
      <c r="GQ164" s="383"/>
      <c r="GR164" s="383"/>
      <c r="GS164" s="383"/>
      <c r="GT164" s="383"/>
      <c r="GU164" s="383"/>
      <c r="GV164" s="383"/>
      <c r="GW164" s="383"/>
      <c r="GX164" s="383"/>
      <c r="GY164" s="383"/>
      <c r="GZ164" s="383"/>
      <c r="HA164" s="383"/>
      <c r="HB164" s="383"/>
      <c r="HC164" s="383"/>
      <c r="HD164" s="383"/>
      <c r="HE164" s="383"/>
      <c r="HF164" s="383"/>
      <c r="HG164" s="383"/>
      <c r="HH164" s="383"/>
      <c r="HI164" s="383"/>
      <c r="HJ164" s="383"/>
      <c r="HK164" s="383"/>
      <c r="HL164" s="383"/>
      <c r="HM164" s="383"/>
      <c r="HN164" s="383"/>
      <c r="HO164" s="383"/>
      <c r="HP164" s="383"/>
      <c r="HQ164" s="383"/>
      <c r="HR164" s="383"/>
      <c r="HS164" s="383"/>
      <c r="HT164" s="383"/>
      <c r="HU164" s="383"/>
      <c r="HV164" s="383"/>
      <c r="HW164" s="383"/>
      <c r="HX164" s="383"/>
      <c r="HY164" s="383"/>
      <c r="HZ164" s="383"/>
      <c r="IA164" s="383"/>
      <c r="IB164" s="383"/>
      <c r="IC164" s="383"/>
      <c r="ID164" s="383"/>
      <c r="IE164" s="383"/>
      <c r="IF164" s="383"/>
      <c r="IG164" s="383"/>
      <c r="IH164" s="383"/>
      <c r="II164" s="383"/>
      <c r="IJ164" s="383"/>
      <c r="IK164" s="383"/>
      <c r="IL164" s="383"/>
    </row>
    <row r="165" spans="1:246" ht="15" customHeight="1">
      <c r="A165" s="516" t="s">
        <v>356</v>
      </c>
      <c r="B165" s="485" t="s">
        <v>803</v>
      </c>
      <c r="C165" s="483" t="s">
        <v>163</v>
      </c>
      <c r="D165" s="14"/>
      <c r="E165" s="484" t="s">
        <v>377</v>
      </c>
      <c r="F165" s="484">
        <v>5940</v>
      </c>
      <c r="G165" s="479" t="str">
        <f t="shared" si="17"/>
        <v>01/2026</v>
      </c>
      <c r="H165" s="341">
        <f>SUMIF(VI.A!$B$6:$B$5963,B165,VI.A!$L$6:$L$5963)</f>
        <v>5.3999999999999995</v>
      </c>
      <c r="I165" s="341" t="str">
        <f t="shared" si="20"/>
        <v>si</v>
      </c>
      <c r="J165" s="383"/>
      <c r="K165" s="384">
        <f>IF(E165="SABESP","OK",VLOOKUP(F165,[6]CSD!$B$11:$F$10265,4,FALSE))</f>
        <v>176.77</v>
      </c>
      <c r="L165" s="384" t="str">
        <f t="shared" si="16"/>
        <v>VERIFICAR</v>
      </c>
      <c r="M165" s="480">
        <f t="shared" si="12"/>
        <v>176.77</v>
      </c>
      <c r="N165" s="383" t="b">
        <f t="shared" si="13"/>
        <v>0</v>
      </c>
      <c r="O165" s="383"/>
      <c r="P165" s="383"/>
      <c r="Q165" s="383"/>
      <c r="R165" s="383"/>
      <c r="S165" s="383"/>
      <c r="T165" s="383"/>
      <c r="U165" s="383"/>
      <c r="V165" s="383"/>
      <c r="W165" s="383"/>
      <c r="X165" s="383"/>
      <c r="Y165" s="383"/>
      <c r="Z165" s="383"/>
      <c r="AA165" s="383"/>
      <c r="AB165" s="383"/>
      <c r="AC165" s="383"/>
      <c r="AD165" s="383"/>
      <c r="AE165" s="383"/>
      <c r="AF165" s="383"/>
      <c r="AG165" s="383"/>
      <c r="AH165" s="383"/>
      <c r="AI165" s="383"/>
      <c r="AJ165" s="383"/>
      <c r="AK165" s="383"/>
      <c r="AL165" s="383"/>
      <c r="AM165" s="383"/>
      <c r="AN165" s="383"/>
      <c r="AO165" s="383"/>
      <c r="AP165" s="383"/>
      <c r="AQ165" s="383"/>
      <c r="AR165" s="383"/>
      <c r="AS165" s="383"/>
      <c r="AT165" s="383"/>
      <c r="AU165" s="383"/>
      <c r="AV165" s="383"/>
      <c r="AW165" s="383"/>
      <c r="AX165" s="383"/>
      <c r="AY165" s="383"/>
      <c r="AZ165" s="383"/>
      <c r="BA165" s="383"/>
      <c r="BB165" s="383"/>
      <c r="BC165" s="383"/>
      <c r="BD165" s="383"/>
      <c r="BE165" s="383"/>
      <c r="BF165" s="383"/>
      <c r="BG165" s="383"/>
      <c r="BH165" s="383"/>
      <c r="BI165" s="383"/>
      <c r="BJ165" s="383"/>
      <c r="BK165" s="383"/>
      <c r="BL165" s="383"/>
      <c r="BM165" s="383"/>
      <c r="BN165" s="383"/>
      <c r="BO165" s="383"/>
      <c r="BP165" s="383"/>
      <c r="BQ165" s="383"/>
      <c r="BR165" s="383"/>
      <c r="BS165" s="383"/>
      <c r="BT165" s="383"/>
      <c r="BU165" s="383"/>
      <c r="BV165" s="383"/>
      <c r="BW165" s="383"/>
      <c r="BX165" s="383"/>
      <c r="BY165" s="383"/>
      <c r="BZ165" s="383"/>
      <c r="CA165" s="383"/>
      <c r="CB165" s="383"/>
      <c r="CC165" s="383"/>
      <c r="CD165" s="383"/>
      <c r="CE165" s="383"/>
      <c r="CF165" s="383"/>
      <c r="CG165" s="383"/>
      <c r="CH165" s="383"/>
      <c r="CI165" s="383"/>
      <c r="CJ165" s="383"/>
      <c r="CK165" s="383"/>
      <c r="CL165" s="383"/>
      <c r="CM165" s="383"/>
      <c r="CN165" s="383"/>
      <c r="CO165" s="383"/>
      <c r="CP165" s="383"/>
      <c r="CQ165" s="383"/>
      <c r="CR165" s="383"/>
      <c r="CS165" s="383"/>
      <c r="CT165" s="383"/>
      <c r="CU165" s="383"/>
      <c r="CV165" s="383"/>
      <c r="CW165" s="383"/>
      <c r="CX165" s="383"/>
      <c r="CY165" s="383"/>
      <c r="CZ165" s="383"/>
      <c r="DA165" s="383"/>
      <c r="DB165" s="383"/>
      <c r="DC165" s="383"/>
      <c r="DD165" s="383"/>
      <c r="DE165" s="383"/>
      <c r="DF165" s="383"/>
      <c r="DG165" s="383"/>
      <c r="DH165" s="383"/>
      <c r="DI165" s="383"/>
      <c r="DJ165" s="383"/>
      <c r="DK165" s="383"/>
      <c r="DL165" s="383"/>
      <c r="DM165" s="383"/>
      <c r="DN165" s="383"/>
      <c r="DO165" s="383"/>
      <c r="DP165" s="383"/>
      <c r="DQ165" s="383"/>
      <c r="DR165" s="383"/>
      <c r="DS165" s="383"/>
      <c r="DT165" s="383"/>
      <c r="DU165" s="383"/>
      <c r="DV165" s="383"/>
      <c r="DW165" s="383"/>
      <c r="DX165" s="383"/>
      <c r="DY165" s="383"/>
      <c r="DZ165" s="383"/>
      <c r="EA165" s="383"/>
      <c r="EB165" s="383"/>
      <c r="EC165" s="383"/>
      <c r="ED165" s="383"/>
      <c r="EE165" s="383"/>
      <c r="EF165" s="383"/>
      <c r="EG165" s="383"/>
      <c r="EH165" s="383"/>
      <c r="EI165" s="383"/>
      <c r="EJ165" s="383"/>
      <c r="EK165" s="383"/>
      <c r="EL165" s="383"/>
      <c r="EM165" s="383"/>
      <c r="EN165" s="383"/>
      <c r="EO165" s="383"/>
      <c r="EP165" s="383"/>
      <c r="EQ165" s="383"/>
      <c r="ER165" s="383"/>
      <c r="ES165" s="383"/>
      <c r="ET165" s="383"/>
      <c r="EU165" s="383"/>
      <c r="EV165" s="383"/>
      <c r="EW165" s="383"/>
      <c r="EX165" s="383"/>
      <c r="EY165" s="383"/>
      <c r="EZ165" s="383"/>
      <c r="FA165" s="383"/>
      <c r="FB165" s="383"/>
      <c r="FC165" s="383"/>
      <c r="FD165" s="383"/>
      <c r="FE165" s="383"/>
      <c r="FF165" s="383"/>
      <c r="FG165" s="383"/>
      <c r="FH165" s="383"/>
      <c r="FI165" s="383"/>
      <c r="FJ165" s="383"/>
      <c r="FK165" s="383"/>
      <c r="FL165" s="383"/>
      <c r="FM165" s="383"/>
      <c r="FN165" s="383"/>
      <c r="FO165" s="383"/>
      <c r="FP165" s="383"/>
      <c r="FQ165" s="383"/>
      <c r="FR165" s="383"/>
      <c r="FS165" s="383"/>
      <c r="FT165" s="383"/>
      <c r="FU165" s="383"/>
      <c r="FV165" s="383"/>
      <c r="FW165" s="383"/>
      <c r="FX165" s="383"/>
      <c r="FY165" s="383"/>
      <c r="FZ165" s="383"/>
      <c r="GA165" s="383"/>
      <c r="GB165" s="383"/>
      <c r="GC165" s="383"/>
      <c r="GD165" s="383"/>
      <c r="GE165" s="383"/>
      <c r="GF165" s="383"/>
      <c r="GG165" s="383"/>
      <c r="GH165" s="383"/>
      <c r="GI165" s="383"/>
      <c r="GJ165" s="383"/>
      <c r="GK165" s="383"/>
      <c r="GL165" s="383"/>
      <c r="GM165" s="383"/>
      <c r="GN165" s="383"/>
      <c r="GO165" s="383"/>
      <c r="GP165" s="383"/>
      <c r="GQ165" s="383"/>
      <c r="GR165" s="383"/>
      <c r="GS165" s="383"/>
      <c r="GT165" s="383"/>
      <c r="GU165" s="383"/>
      <c r="GV165" s="383"/>
      <c r="GW165" s="383"/>
      <c r="GX165" s="383"/>
      <c r="GY165" s="383"/>
      <c r="GZ165" s="383"/>
      <c r="HA165" s="383"/>
      <c r="HB165" s="383"/>
      <c r="HC165" s="383"/>
      <c r="HD165" s="383"/>
      <c r="HE165" s="383"/>
      <c r="HF165" s="383"/>
      <c r="HG165" s="383"/>
      <c r="HH165" s="383"/>
      <c r="HI165" s="383"/>
      <c r="HJ165" s="383"/>
      <c r="HK165" s="383"/>
      <c r="HL165" s="383"/>
      <c r="HM165" s="383"/>
      <c r="HN165" s="383"/>
      <c r="HO165" s="383"/>
      <c r="HP165" s="383"/>
      <c r="HQ165" s="383"/>
      <c r="HR165" s="383"/>
      <c r="HS165" s="383"/>
      <c r="HT165" s="383"/>
      <c r="HU165" s="383"/>
      <c r="HV165" s="383"/>
      <c r="HW165" s="383"/>
      <c r="HX165" s="383"/>
      <c r="HY165" s="383"/>
      <c r="HZ165" s="383"/>
      <c r="IA165" s="383"/>
      <c r="IB165" s="383"/>
      <c r="IC165" s="383"/>
      <c r="ID165" s="383"/>
      <c r="IE165" s="383"/>
      <c r="IF165" s="383"/>
      <c r="IG165" s="383"/>
      <c r="IH165" s="383"/>
      <c r="II165" s="383"/>
      <c r="IJ165" s="383"/>
      <c r="IK165" s="383"/>
      <c r="IL165" s="383"/>
    </row>
    <row r="166" spans="1:246" ht="25.5">
      <c r="A166" s="516" t="s">
        <v>357</v>
      </c>
      <c r="B166" s="482" t="s">
        <v>809</v>
      </c>
      <c r="C166" s="483" t="s">
        <v>163</v>
      </c>
      <c r="D166" s="14"/>
      <c r="E166" s="484" t="s">
        <v>377</v>
      </c>
      <c r="F166" s="484">
        <v>5678</v>
      </c>
      <c r="G166" s="479" t="str">
        <f t="shared" si="17"/>
        <v>01/2026</v>
      </c>
      <c r="H166" s="341">
        <f>SUMIF(VI.A!$B$6:$B$5963,B166,VI.A!$L$6:$L$5963)</f>
        <v>53.084000000000003</v>
      </c>
      <c r="I166" s="341" t="str">
        <f t="shared" si="20"/>
        <v>si</v>
      </c>
      <c r="J166" s="383"/>
      <c r="K166" s="384">
        <f>IF(E166="SABESP","OK",VLOOKUP(F166,[6]CSD!$B$11:$F$10265,4,FALSE))</f>
        <v>163.99</v>
      </c>
      <c r="L166" s="384" t="str">
        <f t="shared" si="16"/>
        <v>VERIFICAR</v>
      </c>
      <c r="M166" s="480">
        <f t="shared" si="12"/>
        <v>163.99</v>
      </c>
      <c r="N166" s="383" t="b">
        <f t="shared" si="13"/>
        <v>0</v>
      </c>
      <c r="O166" s="383"/>
      <c r="P166" s="383"/>
      <c r="Q166" s="383"/>
      <c r="R166" s="383"/>
      <c r="S166" s="383"/>
      <c r="T166" s="383"/>
      <c r="U166" s="383"/>
      <c r="V166" s="383"/>
      <c r="W166" s="383"/>
      <c r="X166" s="383"/>
      <c r="Y166" s="383"/>
      <c r="Z166" s="383"/>
      <c r="AA166" s="383"/>
      <c r="AB166" s="383"/>
      <c r="AC166" s="383"/>
      <c r="AD166" s="383"/>
      <c r="AE166" s="383"/>
      <c r="AF166" s="383"/>
      <c r="AG166" s="383"/>
      <c r="AH166" s="383"/>
      <c r="AI166" s="383"/>
      <c r="AJ166" s="383"/>
      <c r="AK166" s="383"/>
      <c r="AL166" s="383"/>
      <c r="AM166" s="383"/>
      <c r="AN166" s="383"/>
      <c r="AO166" s="383"/>
      <c r="AP166" s="383"/>
      <c r="AQ166" s="383"/>
      <c r="AR166" s="383"/>
      <c r="AS166" s="383"/>
      <c r="AT166" s="383"/>
      <c r="AU166" s="383"/>
      <c r="AV166" s="383"/>
      <c r="AW166" s="383"/>
      <c r="AX166" s="383"/>
      <c r="AY166" s="383"/>
      <c r="AZ166" s="383"/>
      <c r="BA166" s="383"/>
      <c r="BB166" s="383"/>
      <c r="BC166" s="383"/>
      <c r="BD166" s="383"/>
      <c r="BE166" s="383"/>
      <c r="BF166" s="383"/>
      <c r="BG166" s="383"/>
      <c r="BH166" s="383"/>
      <c r="BI166" s="383"/>
      <c r="BJ166" s="383"/>
      <c r="BK166" s="383"/>
      <c r="BL166" s="383"/>
      <c r="BM166" s="383"/>
      <c r="BN166" s="383"/>
      <c r="BO166" s="383"/>
      <c r="BP166" s="383"/>
      <c r="BQ166" s="383"/>
      <c r="BR166" s="383"/>
      <c r="BS166" s="383"/>
      <c r="BT166" s="383"/>
      <c r="BU166" s="383"/>
      <c r="BV166" s="383"/>
      <c r="BW166" s="383"/>
      <c r="BX166" s="383"/>
      <c r="BY166" s="383"/>
      <c r="BZ166" s="383"/>
      <c r="CA166" s="383"/>
      <c r="CB166" s="383"/>
      <c r="CC166" s="383"/>
      <c r="CD166" s="383"/>
      <c r="CE166" s="383"/>
      <c r="CF166" s="383"/>
      <c r="CG166" s="383"/>
      <c r="CH166" s="383"/>
      <c r="CI166" s="383"/>
      <c r="CJ166" s="383"/>
      <c r="CK166" s="383"/>
      <c r="CL166" s="383"/>
      <c r="CM166" s="383"/>
      <c r="CN166" s="383"/>
      <c r="CO166" s="383"/>
      <c r="CP166" s="383"/>
      <c r="CQ166" s="383"/>
      <c r="CR166" s="383"/>
      <c r="CS166" s="383"/>
      <c r="CT166" s="383"/>
      <c r="CU166" s="383"/>
      <c r="CV166" s="383"/>
      <c r="CW166" s="383"/>
      <c r="CX166" s="383"/>
      <c r="CY166" s="383"/>
      <c r="CZ166" s="383"/>
      <c r="DA166" s="383"/>
      <c r="DB166" s="383"/>
      <c r="DC166" s="383"/>
      <c r="DD166" s="383"/>
      <c r="DE166" s="383"/>
      <c r="DF166" s="383"/>
      <c r="DG166" s="383"/>
      <c r="DH166" s="383"/>
      <c r="DI166" s="383"/>
      <c r="DJ166" s="383"/>
      <c r="DK166" s="383"/>
      <c r="DL166" s="383"/>
      <c r="DM166" s="383"/>
      <c r="DN166" s="383"/>
      <c r="DO166" s="383"/>
      <c r="DP166" s="383"/>
      <c r="DQ166" s="383"/>
      <c r="DR166" s="383"/>
      <c r="DS166" s="383"/>
      <c r="DT166" s="383"/>
      <c r="DU166" s="383"/>
      <c r="DV166" s="383"/>
      <c r="DW166" s="383"/>
      <c r="DX166" s="383"/>
      <c r="DY166" s="383"/>
      <c r="DZ166" s="383"/>
      <c r="EA166" s="383"/>
      <c r="EB166" s="383"/>
      <c r="EC166" s="383"/>
      <c r="ED166" s="383"/>
      <c r="EE166" s="383"/>
      <c r="EF166" s="383"/>
      <c r="EG166" s="383"/>
      <c r="EH166" s="383"/>
      <c r="EI166" s="383"/>
      <c r="EJ166" s="383"/>
      <c r="EK166" s="383"/>
      <c r="EL166" s="383"/>
      <c r="EM166" s="383"/>
      <c r="EN166" s="383"/>
      <c r="EO166" s="383"/>
      <c r="EP166" s="383"/>
      <c r="EQ166" s="383"/>
      <c r="ER166" s="383"/>
      <c r="ES166" s="383"/>
      <c r="ET166" s="383"/>
      <c r="EU166" s="383"/>
      <c r="EV166" s="383"/>
      <c r="EW166" s="383"/>
      <c r="EX166" s="383"/>
      <c r="EY166" s="383"/>
      <c r="EZ166" s="383"/>
      <c r="FA166" s="383"/>
      <c r="FB166" s="383"/>
      <c r="FC166" s="383"/>
      <c r="FD166" s="383"/>
      <c r="FE166" s="383"/>
      <c r="FF166" s="383"/>
      <c r="FG166" s="383"/>
      <c r="FH166" s="383"/>
      <c r="FI166" s="383"/>
      <c r="FJ166" s="383"/>
      <c r="FK166" s="383"/>
      <c r="FL166" s="383"/>
      <c r="FM166" s="383"/>
      <c r="FN166" s="383"/>
      <c r="FO166" s="383"/>
      <c r="FP166" s="383"/>
      <c r="FQ166" s="383"/>
      <c r="FR166" s="383"/>
      <c r="FS166" s="383"/>
      <c r="FT166" s="383"/>
      <c r="FU166" s="383"/>
      <c r="FV166" s="383"/>
      <c r="FW166" s="383"/>
      <c r="FX166" s="383"/>
      <c r="FY166" s="383"/>
      <c r="FZ166" s="383"/>
      <c r="GA166" s="383"/>
      <c r="GB166" s="383"/>
      <c r="GC166" s="383"/>
      <c r="GD166" s="383"/>
      <c r="GE166" s="383"/>
      <c r="GF166" s="383"/>
      <c r="GG166" s="383"/>
      <c r="GH166" s="383"/>
      <c r="GI166" s="383"/>
      <c r="GJ166" s="383"/>
      <c r="GK166" s="383"/>
      <c r="GL166" s="383"/>
      <c r="GM166" s="383"/>
      <c r="GN166" s="383"/>
      <c r="GO166" s="383"/>
      <c r="GP166" s="383"/>
      <c r="GQ166" s="383"/>
      <c r="GR166" s="383"/>
      <c r="GS166" s="383"/>
      <c r="GT166" s="383"/>
      <c r="GU166" s="383"/>
      <c r="GV166" s="383"/>
      <c r="GW166" s="383"/>
      <c r="GX166" s="383"/>
      <c r="GY166" s="383"/>
      <c r="GZ166" s="383"/>
      <c r="HA166" s="383"/>
      <c r="HB166" s="383"/>
      <c r="HC166" s="383"/>
      <c r="HD166" s="383"/>
      <c r="HE166" s="383"/>
      <c r="HF166" s="383"/>
      <c r="HG166" s="383"/>
      <c r="HH166" s="383"/>
      <c r="HI166" s="383"/>
      <c r="HJ166" s="383"/>
      <c r="HK166" s="383"/>
      <c r="HL166" s="383"/>
      <c r="HM166" s="383"/>
      <c r="HN166" s="383"/>
      <c r="HO166" s="383"/>
      <c r="HP166" s="383"/>
      <c r="HQ166" s="383"/>
      <c r="HR166" s="383"/>
      <c r="HS166" s="383"/>
      <c r="HT166" s="383"/>
      <c r="HU166" s="383"/>
      <c r="HV166" s="383"/>
      <c r="HW166" s="383"/>
      <c r="HX166" s="383"/>
      <c r="HY166" s="383"/>
      <c r="HZ166" s="383"/>
      <c r="IA166" s="383"/>
      <c r="IB166" s="383"/>
      <c r="IC166" s="383"/>
      <c r="ID166" s="383"/>
      <c r="IE166" s="383"/>
      <c r="IF166" s="383"/>
      <c r="IG166" s="383"/>
      <c r="IH166" s="383"/>
      <c r="II166" s="383"/>
      <c r="IJ166" s="383"/>
      <c r="IK166" s="383"/>
      <c r="IL166" s="383"/>
    </row>
    <row r="167" spans="1:246">
      <c r="A167" s="516" t="s">
        <v>358</v>
      </c>
      <c r="B167" s="482" t="s">
        <v>810</v>
      </c>
      <c r="C167" s="483" t="s">
        <v>162</v>
      </c>
      <c r="D167" s="14"/>
      <c r="E167" s="484" t="s">
        <v>377</v>
      </c>
      <c r="F167" s="484">
        <v>5679</v>
      </c>
      <c r="G167" s="479" t="str">
        <f t="shared" si="17"/>
        <v>01/2026</v>
      </c>
      <c r="H167" s="341">
        <f>SUMIF(VI.A!$B$6:$B$5963,B167,VI.A!$L$6:$L$5963)</f>
        <v>228.35999999999999</v>
      </c>
      <c r="I167" s="341" t="str">
        <f>IF(H167=0,"no","si")</f>
        <v>si</v>
      </c>
      <c r="J167" s="383"/>
      <c r="K167" s="384">
        <f>IF(E167="SABESP","OK",VLOOKUP(F167,[6]CSD!$B$11:$F$10265,4,FALSE))</f>
        <v>79.650000000000006</v>
      </c>
      <c r="L167" s="384" t="str">
        <f t="shared" si="16"/>
        <v>VERIFICAR</v>
      </c>
      <c r="M167" s="480">
        <f t="shared" si="12"/>
        <v>79.650000000000006</v>
      </c>
      <c r="N167" s="383" t="b">
        <f t="shared" si="13"/>
        <v>0</v>
      </c>
      <c r="O167" s="383"/>
      <c r="P167" s="383"/>
      <c r="Q167" s="383"/>
      <c r="R167" s="383"/>
      <c r="S167" s="383"/>
      <c r="T167" s="383"/>
      <c r="U167" s="383"/>
      <c r="V167" s="383"/>
      <c r="W167" s="383"/>
      <c r="X167" s="383"/>
      <c r="Y167" s="383"/>
      <c r="Z167" s="383"/>
      <c r="AA167" s="383"/>
      <c r="AB167" s="383"/>
      <c r="AC167" s="383"/>
      <c r="AD167" s="383"/>
      <c r="AE167" s="383"/>
      <c r="AF167" s="383"/>
      <c r="AG167" s="383"/>
      <c r="AH167" s="383"/>
      <c r="AI167" s="383"/>
      <c r="AJ167" s="383"/>
      <c r="AK167" s="383"/>
      <c r="AL167" s="383"/>
      <c r="AM167" s="383"/>
      <c r="AN167" s="383"/>
      <c r="AO167" s="383"/>
      <c r="AP167" s="383"/>
      <c r="AQ167" s="383"/>
      <c r="AR167" s="383"/>
      <c r="AS167" s="383"/>
      <c r="AT167" s="383"/>
      <c r="AU167" s="383"/>
      <c r="AV167" s="383"/>
      <c r="AW167" s="383"/>
      <c r="AX167" s="383"/>
      <c r="AY167" s="383"/>
      <c r="AZ167" s="383"/>
      <c r="BA167" s="383"/>
      <c r="BB167" s="383"/>
      <c r="BC167" s="383"/>
      <c r="BD167" s="383"/>
      <c r="BE167" s="383"/>
      <c r="BF167" s="383"/>
      <c r="BG167" s="383"/>
      <c r="BH167" s="383"/>
      <c r="BI167" s="383"/>
      <c r="BJ167" s="383"/>
      <c r="BK167" s="383"/>
      <c r="BL167" s="383"/>
      <c r="BM167" s="383"/>
      <c r="BN167" s="383"/>
      <c r="BO167" s="383"/>
      <c r="BP167" s="383"/>
      <c r="BQ167" s="383"/>
      <c r="BR167" s="383"/>
      <c r="BS167" s="383"/>
      <c r="BT167" s="383"/>
      <c r="BU167" s="383"/>
      <c r="BV167" s="383"/>
      <c r="BW167" s="383"/>
      <c r="BX167" s="383"/>
      <c r="BY167" s="383"/>
      <c r="BZ167" s="383"/>
      <c r="CA167" s="383"/>
      <c r="CB167" s="383"/>
      <c r="CC167" s="383"/>
      <c r="CD167" s="383"/>
      <c r="CE167" s="383"/>
      <c r="CF167" s="383"/>
      <c r="CG167" s="383"/>
      <c r="CH167" s="383"/>
      <c r="CI167" s="383"/>
      <c r="CJ167" s="383"/>
      <c r="CK167" s="383"/>
      <c r="CL167" s="383"/>
      <c r="CM167" s="383"/>
      <c r="CN167" s="383"/>
      <c r="CO167" s="383"/>
      <c r="CP167" s="383"/>
      <c r="CQ167" s="383"/>
      <c r="CR167" s="383"/>
      <c r="CS167" s="383"/>
      <c r="CT167" s="383"/>
      <c r="CU167" s="383"/>
      <c r="CV167" s="383"/>
      <c r="CW167" s="383"/>
      <c r="CX167" s="383"/>
      <c r="CY167" s="383"/>
      <c r="CZ167" s="383"/>
      <c r="DA167" s="383"/>
      <c r="DB167" s="383"/>
      <c r="DC167" s="383"/>
      <c r="DD167" s="383"/>
      <c r="DE167" s="383"/>
      <c r="DF167" s="383"/>
      <c r="DG167" s="383"/>
      <c r="DH167" s="383"/>
      <c r="DI167" s="383"/>
      <c r="DJ167" s="383"/>
      <c r="DK167" s="383"/>
      <c r="DL167" s="383"/>
      <c r="DM167" s="383"/>
      <c r="DN167" s="383"/>
      <c r="DO167" s="383"/>
      <c r="DP167" s="383"/>
      <c r="DQ167" s="383"/>
      <c r="DR167" s="383"/>
      <c r="DS167" s="383"/>
      <c r="DT167" s="383"/>
      <c r="DU167" s="383"/>
      <c r="DV167" s="383"/>
      <c r="DW167" s="383"/>
      <c r="DX167" s="383"/>
      <c r="DY167" s="383"/>
      <c r="DZ167" s="383"/>
      <c r="EA167" s="383"/>
      <c r="EB167" s="383"/>
      <c r="EC167" s="383"/>
      <c r="ED167" s="383"/>
      <c r="EE167" s="383"/>
      <c r="EF167" s="383"/>
      <c r="EG167" s="383"/>
      <c r="EH167" s="383"/>
      <c r="EI167" s="383"/>
      <c r="EJ167" s="383"/>
      <c r="EK167" s="383"/>
      <c r="EL167" s="383"/>
      <c r="EM167" s="383"/>
      <c r="EN167" s="383"/>
      <c r="EO167" s="383"/>
      <c r="EP167" s="383"/>
      <c r="EQ167" s="383"/>
      <c r="ER167" s="383"/>
      <c r="ES167" s="383"/>
      <c r="ET167" s="383"/>
      <c r="EU167" s="383"/>
      <c r="EV167" s="383"/>
      <c r="EW167" s="383"/>
      <c r="EX167" s="383"/>
      <c r="EY167" s="383"/>
      <c r="EZ167" s="383"/>
      <c r="FA167" s="383"/>
      <c r="FB167" s="383"/>
      <c r="FC167" s="383"/>
      <c r="FD167" s="383"/>
      <c r="FE167" s="383"/>
      <c r="FF167" s="383"/>
      <c r="FG167" s="383"/>
      <c r="FH167" s="383"/>
      <c r="FI167" s="383"/>
      <c r="FJ167" s="383"/>
      <c r="FK167" s="383"/>
      <c r="FL167" s="383"/>
      <c r="FM167" s="383"/>
      <c r="FN167" s="383"/>
      <c r="FO167" s="383"/>
      <c r="FP167" s="383"/>
      <c r="FQ167" s="383"/>
      <c r="FR167" s="383"/>
      <c r="FS167" s="383"/>
      <c r="FT167" s="383"/>
      <c r="FU167" s="383"/>
      <c r="FV167" s="383"/>
      <c r="FW167" s="383"/>
      <c r="FX167" s="383"/>
      <c r="FY167" s="383"/>
      <c r="FZ167" s="383"/>
      <c r="GA167" s="383"/>
      <c r="GB167" s="383"/>
      <c r="GC167" s="383"/>
      <c r="GD167" s="383"/>
      <c r="GE167" s="383"/>
      <c r="GF167" s="383"/>
      <c r="GG167" s="383"/>
      <c r="GH167" s="383"/>
      <c r="GI167" s="383"/>
      <c r="GJ167" s="383"/>
      <c r="GK167" s="383"/>
      <c r="GL167" s="383"/>
      <c r="GM167" s="383"/>
      <c r="GN167" s="383"/>
      <c r="GO167" s="383"/>
      <c r="GP167" s="383"/>
      <c r="GQ167" s="383"/>
      <c r="GR167" s="383"/>
      <c r="GS167" s="383"/>
      <c r="GT167" s="383"/>
      <c r="GU167" s="383"/>
      <c r="GV167" s="383"/>
      <c r="GW167" s="383"/>
      <c r="GX167" s="383"/>
      <c r="GY167" s="383"/>
      <c r="GZ167" s="383"/>
      <c r="HA167" s="383"/>
      <c r="HB167" s="383"/>
      <c r="HC167" s="383"/>
      <c r="HD167" s="383"/>
      <c r="HE167" s="383"/>
      <c r="HF167" s="383"/>
      <c r="HG167" s="383"/>
      <c r="HH167" s="383"/>
      <c r="HI167" s="383"/>
      <c r="HJ167" s="383"/>
      <c r="HK167" s="383"/>
      <c r="HL167" s="383"/>
      <c r="HM167" s="383"/>
      <c r="HN167" s="383"/>
      <c r="HO167" s="383"/>
      <c r="HP167" s="383"/>
      <c r="HQ167" s="383"/>
      <c r="HR167" s="383"/>
      <c r="HS167" s="383"/>
      <c r="HT167" s="383"/>
      <c r="HU167" s="383"/>
      <c r="HV167" s="383"/>
      <c r="HW167" s="383"/>
      <c r="HX167" s="383"/>
      <c r="HY167" s="383"/>
      <c r="HZ167" s="383"/>
      <c r="IA167" s="383"/>
      <c r="IB167" s="383"/>
      <c r="IC167" s="383"/>
      <c r="ID167" s="383"/>
      <c r="IE167" s="383"/>
      <c r="IF167" s="383"/>
      <c r="IG167" s="383"/>
      <c r="IH167" s="383"/>
      <c r="II167" s="383"/>
      <c r="IJ167" s="383"/>
      <c r="IK167" s="383"/>
      <c r="IL167" s="383"/>
    </row>
    <row r="168" spans="1:246" ht="25.5">
      <c r="A168" s="516" t="s">
        <v>359</v>
      </c>
      <c r="B168" s="482" t="s">
        <v>736</v>
      </c>
      <c r="C168" s="483" t="s">
        <v>734</v>
      </c>
      <c r="D168" s="14"/>
      <c r="E168" s="521" t="s">
        <v>381</v>
      </c>
      <c r="F168" s="521" t="s">
        <v>864</v>
      </c>
      <c r="G168" s="479" t="str">
        <f t="shared" si="17"/>
        <v>07/2025</v>
      </c>
      <c r="H168" s="341">
        <f>SUMIF(VI.A!$B$6:$B$5963,B168,VI.A!$L$6:$L$5963)</f>
        <v>96</v>
      </c>
      <c r="I168" s="341" t="str">
        <f>IF(H168=0,"no","si")</f>
        <v>si</v>
      </c>
      <c r="J168" s="383"/>
      <c r="K168" s="384" t="str">
        <f>IF(E168="SABESP","OK",VLOOKUP(F168,[6]CSD!$B$11:$F$10265,4,FALSE))</f>
        <v>OK</v>
      </c>
      <c r="L168" s="384" t="str">
        <f t="shared" si="16"/>
        <v>OK</v>
      </c>
      <c r="M168" s="480" t="str">
        <f t="shared" si="12"/>
        <v>OK</v>
      </c>
      <c r="N168" s="383" t="b">
        <f t="shared" si="13"/>
        <v>0</v>
      </c>
      <c r="O168" s="383"/>
      <c r="P168" s="383"/>
      <c r="Q168" s="383"/>
      <c r="R168" s="383"/>
      <c r="S168" s="383"/>
      <c r="T168" s="383"/>
      <c r="U168" s="383"/>
      <c r="V168" s="383"/>
      <c r="W168" s="383"/>
      <c r="X168" s="383"/>
      <c r="Y168" s="383"/>
      <c r="Z168" s="383"/>
      <c r="AA168" s="383"/>
      <c r="AB168" s="383"/>
      <c r="AC168" s="383"/>
      <c r="AD168" s="383"/>
      <c r="AE168" s="383"/>
      <c r="AF168" s="383"/>
      <c r="AG168" s="383"/>
      <c r="AH168" s="383"/>
      <c r="AI168" s="383"/>
      <c r="AJ168" s="383"/>
      <c r="AK168" s="383"/>
      <c r="AL168" s="383"/>
      <c r="AM168" s="383"/>
      <c r="AN168" s="383"/>
      <c r="AO168" s="383"/>
      <c r="AP168" s="383"/>
      <c r="AQ168" s="383"/>
      <c r="AR168" s="383"/>
      <c r="AS168" s="383"/>
      <c r="AT168" s="383"/>
      <c r="AU168" s="383"/>
      <c r="AV168" s="383"/>
      <c r="AW168" s="383"/>
      <c r="AX168" s="383"/>
      <c r="AY168" s="383"/>
      <c r="AZ168" s="383"/>
      <c r="BA168" s="383"/>
      <c r="BB168" s="383"/>
      <c r="BC168" s="383"/>
      <c r="BD168" s="383"/>
      <c r="BE168" s="383"/>
      <c r="BF168" s="383"/>
      <c r="BG168" s="383"/>
      <c r="BH168" s="383"/>
      <c r="BI168" s="383"/>
      <c r="BJ168" s="383"/>
      <c r="BK168" s="383"/>
      <c r="BL168" s="383"/>
      <c r="BM168" s="383"/>
      <c r="BN168" s="383"/>
      <c r="BO168" s="383"/>
      <c r="BP168" s="383"/>
      <c r="BQ168" s="383"/>
      <c r="BR168" s="383"/>
      <c r="BS168" s="383"/>
      <c r="BT168" s="383"/>
      <c r="BU168" s="383"/>
      <c r="BV168" s="383"/>
      <c r="BW168" s="383"/>
      <c r="BX168" s="383"/>
      <c r="BY168" s="383"/>
      <c r="BZ168" s="383"/>
      <c r="CA168" s="383"/>
      <c r="CB168" s="383"/>
      <c r="CC168" s="383"/>
      <c r="CD168" s="383"/>
      <c r="CE168" s="383"/>
      <c r="CF168" s="383"/>
      <c r="CG168" s="383"/>
      <c r="CH168" s="383"/>
      <c r="CI168" s="383"/>
      <c r="CJ168" s="383"/>
      <c r="CK168" s="383"/>
      <c r="CL168" s="383"/>
      <c r="CM168" s="383"/>
      <c r="CN168" s="383"/>
      <c r="CO168" s="383"/>
      <c r="CP168" s="383"/>
      <c r="CQ168" s="383"/>
      <c r="CR168" s="383"/>
      <c r="CS168" s="383"/>
      <c r="CT168" s="383"/>
      <c r="CU168" s="383"/>
      <c r="CV168" s="383"/>
      <c r="CW168" s="383"/>
      <c r="CX168" s="383"/>
      <c r="CY168" s="383"/>
      <c r="CZ168" s="383"/>
      <c r="DA168" s="383"/>
      <c r="DB168" s="383"/>
      <c r="DC168" s="383"/>
      <c r="DD168" s="383"/>
      <c r="DE168" s="383"/>
      <c r="DF168" s="383"/>
      <c r="DG168" s="383"/>
      <c r="DH168" s="383"/>
      <c r="DI168" s="383"/>
      <c r="DJ168" s="383"/>
      <c r="DK168" s="383"/>
      <c r="DL168" s="383"/>
      <c r="DM168" s="383"/>
      <c r="DN168" s="383"/>
      <c r="DO168" s="383"/>
      <c r="DP168" s="383"/>
      <c r="DQ168" s="383"/>
      <c r="DR168" s="383"/>
      <c r="DS168" s="383"/>
      <c r="DT168" s="383"/>
      <c r="DU168" s="383"/>
      <c r="DV168" s="383"/>
      <c r="DW168" s="383"/>
      <c r="DX168" s="383"/>
      <c r="DY168" s="383"/>
      <c r="DZ168" s="383"/>
      <c r="EA168" s="383"/>
      <c r="EB168" s="383"/>
      <c r="EC168" s="383"/>
      <c r="ED168" s="383"/>
      <c r="EE168" s="383"/>
      <c r="EF168" s="383"/>
      <c r="EG168" s="383"/>
      <c r="EH168" s="383"/>
      <c r="EI168" s="383"/>
      <c r="EJ168" s="383"/>
      <c r="EK168" s="383"/>
      <c r="EL168" s="383"/>
      <c r="EM168" s="383"/>
      <c r="EN168" s="383"/>
      <c r="EO168" s="383"/>
      <c r="EP168" s="383"/>
      <c r="EQ168" s="383"/>
      <c r="ER168" s="383"/>
      <c r="ES168" s="383"/>
      <c r="ET168" s="383"/>
      <c r="EU168" s="383"/>
      <c r="EV168" s="383"/>
      <c r="EW168" s="383"/>
      <c r="EX168" s="383"/>
      <c r="EY168" s="383"/>
      <c r="EZ168" s="383"/>
      <c r="FA168" s="383"/>
      <c r="FB168" s="383"/>
      <c r="FC168" s="383"/>
      <c r="FD168" s="383"/>
      <c r="FE168" s="383"/>
      <c r="FF168" s="383"/>
      <c r="FG168" s="383"/>
      <c r="FH168" s="383"/>
      <c r="FI168" s="383"/>
      <c r="FJ168" s="383"/>
      <c r="FK168" s="383"/>
      <c r="FL168" s="383"/>
      <c r="FM168" s="383"/>
      <c r="FN168" s="383"/>
      <c r="FO168" s="383"/>
      <c r="FP168" s="383"/>
      <c r="FQ168" s="383"/>
      <c r="FR168" s="383"/>
      <c r="FS168" s="383"/>
      <c r="FT168" s="383"/>
      <c r="FU168" s="383"/>
      <c r="FV168" s="383"/>
      <c r="FW168" s="383"/>
      <c r="FX168" s="383"/>
      <c r="FY168" s="383"/>
      <c r="FZ168" s="383"/>
      <c r="GA168" s="383"/>
      <c r="GB168" s="383"/>
      <c r="GC168" s="383"/>
      <c r="GD168" s="383"/>
      <c r="GE168" s="383"/>
      <c r="GF168" s="383"/>
      <c r="GG168" s="383"/>
      <c r="GH168" s="383"/>
      <c r="GI168" s="383"/>
      <c r="GJ168" s="383"/>
      <c r="GK168" s="383"/>
      <c r="GL168" s="383"/>
      <c r="GM168" s="383"/>
      <c r="GN168" s="383"/>
      <c r="GO168" s="383"/>
      <c r="GP168" s="383"/>
      <c r="GQ168" s="383"/>
      <c r="GR168" s="383"/>
      <c r="GS168" s="383"/>
      <c r="GT168" s="383"/>
      <c r="GU168" s="383"/>
      <c r="GV168" s="383"/>
      <c r="GW168" s="383"/>
      <c r="GX168" s="383"/>
      <c r="GY168" s="383"/>
      <c r="GZ168" s="383"/>
      <c r="HA168" s="383"/>
      <c r="HB168" s="383"/>
      <c r="HC168" s="383"/>
      <c r="HD168" s="383"/>
      <c r="HE168" s="383"/>
      <c r="HF168" s="383"/>
      <c r="HG168" s="383"/>
      <c r="HH168" s="383"/>
      <c r="HI168" s="383"/>
      <c r="HJ168" s="383"/>
      <c r="HK168" s="383"/>
      <c r="HL168" s="383"/>
      <c r="HM168" s="383"/>
      <c r="HN168" s="383"/>
      <c r="HO168" s="383"/>
      <c r="HP168" s="383"/>
      <c r="HQ168" s="383"/>
      <c r="HR168" s="383"/>
      <c r="HS168" s="383"/>
      <c r="HT168" s="383"/>
      <c r="HU168" s="383"/>
      <c r="HV168" s="383"/>
      <c r="HW168" s="383"/>
      <c r="HX168" s="383"/>
      <c r="HY168" s="383"/>
      <c r="HZ168" s="383"/>
      <c r="IA168" s="383"/>
      <c r="IB168" s="383"/>
      <c r="IC168" s="383"/>
      <c r="ID168" s="383"/>
      <c r="IE168" s="383"/>
      <c r="IF168" s="383"/>
      <c r="IG168" s="383"/>
      <c r="IH168" s="383"/>
      <c r="II168" s="383"/>
      <c r="IJ168" s="383"/>
      <c r="IK168" s="383"/>
      <c r="IL168" s="383"/>
    </row>
    <row r="169" spans="1:246" ht="15" customHeight="1">
      <c r="A169" s="516" t="s">
        <v>360</v>
      </c>
      <c r="B169" s="482" t="s">
        <v>489</v>
      </c>
      <c r="C169" s="483" t="s">
        <v>163</v>
      </c>
      <c r="D169" s="14"/>
      <c r="E169" s="484" t="s">
        <v>377</v>
      </c>
      <c r="F169" s="484">
        <v>90586</v>
      </c>
      <c r="G169" s="479" t="str">
        <f t="shared" si="17"/>
        <v>01/2026</v>
      </c>
      <c r="H169" s="341">
        <f>SUMIF(VI.A!$B$6:$B$5963,B169,VI.A!$L$6:$L$5963)</f>
        <v>393.6</v>
      </c>
      <c r="I169" s="341" t="str">
        <f t="shared" si="20"/>
        <v>si</v>
      </c>
      <c r="J169" s="383"/>
      <c r="K169" s="384">
        <f>IF(E169="SABESP","OK",VLOOKUP(F169,[6]CSD!$B$11:$F$10265,4,FALSE))</f>
        <v>1.37</v>
      </c>
      <c r="L169" s="384" t="str">
        <f t="shared" si="16"/>
        <v>VERIFICAR</v>
      </c>
      <c r="M169" s="480">
        <f t="shared" si="12"/>
        <v>1.37</v>
      </c>
      <c r="N169" s="383" t="b">
        <f t="shared" si="13"/>
        <v>0</v>
      </c>
      <c r="O169" s="383"/>
      <c r="P169" s="383"/>
      <c r="Q169" s="383"/>
      <c r="R169" s="383"/>
      <c r="S169" s="383"/>
      <c r="T169" s="383"/>
      <c r="U169" s="383"/>
      <c r="V169" s="383"/>
      <c r="W169" s="383"/>
      <c r="X169" s="383"/>
      <c r="Y169" s="383"/>
      <c r="Z169" s="383"/>
      <c r="AA169" s="383"/>
      <c r="AB169" s="383"/>
      <c r="AC169" s="383"/>
      <c r="AD169" s="383"/>
      <c r="AE169" s="383"/>
      <c r="AF169" s="383"/>
      <c r="AG169" s="383"/>
      <c r="AH169" s="383"/>
      <c r="AI169" s="383"/>
      <c r="AJ169" s="383"/>
      <c r="AK169" s="383"/>
      <c r="AL169" s="383"/>
      <c r="AM169" s="383"/>
      <c r="AN169" s="383"/>
      <c r="AO169" s="383"/>
      <c r="AP169" s="383"/>
      <c r="AQ169" s="383"/>
      <c r="AR169" s="383"/>
      <c r="AS169" s="383"/>
      <c r="AT169" s="383"/>
      <c r="AU169" s="383"/>
      <c r="AV169" s="383"/>
      <c r="AW169" s="383"/>
      <c r="AX169" s="383"/>
      <c r="AY169" s="383"/>
      <c r="AZ169" s="383"/>
      <c r="BA169" s="383"/>
      <c r="BB169" s="383"/>
      <c r="BC169" s="383"/>
      <c r="BD169" s="383"/>
      <c r="BE169" s="383"/>
      <c r="BF169" s="383"/>
      <c r="BG169" s="383"/>
      <c r="BH169" s="383"/>
      <c r="BI169" s="383"/>
      <c r="BJ169" s="383"/>
      <c r="BK169" s="383"/>
      <c r="BL169" s="383"/>
      <c r="BM169" s="383"/>
      <c r="BN169" s="383"/>
      <c r="BO169" s="383"/>
      <c r="BP169" s="383"/>
      <c r="BQ169" s="383"/>
      <c r="BR169" s="383"/>
      <c r="BS169" s="383"/>
      <c r="BT169" s="383"/>
      <c r="BU169" s="383"/>
      <c r="BV169" s="383"/>
      <c r="BW169" s="383"/>
      <c r="BX169" s="383"/>
      <c r="BY169" s="383"/>
      <c r="BZ169" s="383"/>
      <c r="CA169" s="383"/>
      <c r="CB169" s="383"/>
      <c r="CC169" s="383"/>
      <c r="CD169" s="383"/>
      <c r="CE169" s="383"/>
      <c r="CF169" s="383"/>
      <c r="CG169" s="383"/>
      <c r="CH169" s="383"/>
      <c r="CI169" s="383"/>
      <c r="CJ169" s="383"/>
      <c r="CK169" s="383"/>
      <c r="CL169" s="383"/>
      <c r="CM169" s="383"/>
      <c r="CN169" s="383"/>
      <c r="CO169" s="383"/>
      <c r="CP169" s="383"/>
      <c r="CQ169" s="383"/>
      <c r="CR169" s="383"/>
      <c r="CS169" s="383"/>
      <c r="CT169" s="383"/>
      <c r="CU169" s="383"/>
      <c r="CV169" s="383"/>
      <c r="CW169" s="383"/>
      <c r="CX169" s="383"/>
      <c r="CY169" s="383"/>
      <c r="CZ169" s="383"/>
      <c r="DA169" s="383"/>
      <c r="DB169" s="383"/>
      <c r="DC169" s="383"/>
      <c r="DD169" s="383"/>
      <c r="DE169" s="383"/>
      <c r="DF169" s="383"/>
      <c r="DG169" s="383"/>
      <c r="DH169" s="383"/>
      <c r="DI169" s="383"/>
      <c r="DJ169" s="383"/>
      <c r="DK169" s="383"/>
      <c r="DL169" s="383"/>
      <c r="DM169" s="383"/>
      <c r="DN169" s="383"/>
      <c r="DO169" s="383"/>
      <c r="DP169" s="383"/>
      <c r="DQ169" s="383"/>
      <c r="DR169" s="383"/>
      <c r="DS169" s="383"/>
      <c r="DT169" s="383"/>
      <c r="DU169" s="383"/>
      <c r="DV169" s="383"/>
      <c r="DW169" s="383"/>
      <c r="DX169" s="383"/>
      <c r="DY169" s="383"/>
      <c r="DZ169" s="383"/>
      <c r="EA169" s="383"/>
      <c r="EB169" s="383"/>
      <c r="EC169" s="383"/>
      <c r="ED169" s="383"/>
      <c r="EE169" s="383"/>
      <c r="EF169" s="383"/>
      <c r="EG169" s="383"/>
      <c r="EH169" s="383"/>
      <c r="EI169" s="383"/>
      <c r="EJ169" s="383"/>
      <c r="EK169" s="383"/>
      <c r="EL169" s="383"/>
      <c r="EM169" s="383"/>
      <c r="EN169" s="383"/>
      <c r="EO169" s="383"/>
      <c r="EP169" s="383"/>
      <c r="EQ169" s="383"/>
      <c r="ER169" s="383"/>
      <c r="ES169" s="383"/>
      <c r="ET169" s="383"/>
      <c r="EU169" s="383"/>
      <c r="EV169" s="383"/>
      <c r="EW169" s="383"/>
      <c r="EX169" s="383"/>
      <c r="EY169" s="383"/>
      <c r="EZ169" s="383"/>
      <c r="FA169" s="383"/>
      <c r="FB169" s="383"/>
      <c r="FC169" s="383"/>
      <c r="FD169" s="383"/>
      <c r="FE169" s="383"/>
      <c r="FF169" s="383"/>
      <c r="FG169" s="383"/>
      <c r="FH169" s="383"/>
      <c r="FI169" s="383"/>
      <c r="FJ169" s="383"/>
      <c r="FK169" s="383"/>
      <c r="FL169" s="383"/>
      <c r="FM169" s="383"/>
      <c r="FN169" s="383"/>
      <c r="FO169" s="383"/>
      <c r="FP169" s="383"/>
      <c r="FQ169" s="383"/>
      <c r="FR169" s="383"/>
      <c r="FS169" s="383"/>
      <c r="FT169" s="383"/>
      <c r="FU169" s="383"/>
      <c r="FV169" s="383"/>
      <c r="FW169" s="383"/>
      <c r="FX169" s="383"/>
      <c r="FY169" s="383"/>
      <c r="FZ169" s="383"/>
      <c r="GA169" s="383"/>
      <c r="GB169" s="383"/>
      <c r="GC169" s="383"/>
      <c r="GD169" s="383"/>
      <c r="GE169" s="383"/>
      <c r="GF169" s="383"/>
      <c r="GG169" s="383"/>
      <c r="GH169" s="383"/>
      <c r="GI169" s="383"/>
      <c r="GJ169" s="383"/>
      <c r="GK169" s="383"/>
      <c r="GL169" s="383"/>
      <c r="GM169" s="383"/>
      <c r="GN169" s="383"/>
      <c r="GO169" s="383"/>
      <c r="GP169" s="383"/>
      <c r="GQ169" s="383"/>
      <c r="GR169" s="383"/>
      <c r="GS169" s="383"/>
      <c r="GT169" s="383"/>
      <c r="GU169" s="383"/>
      <c r="GV169" s="383"/>
      <c r="GW169" s="383"/>
      <c r="GX169" s="383"/>
      <c r="GY169" s="383"/>
      <c r="GZ169" s="383"/>
      <c r="HA169" s="383"/>
      <c r="HB169" s="383"/>
      <c r="HC169" s="383"/>
      <c r="HD169" s="383"/>
      <c r="HE169" s="383"/>
      <c r="HF169" s="383"/>
      <c r="HG169" s="383"/>
      <c r="HH169" s="383"/>
      <c r="HI169" s="383"/>
      <c r="HJ169" s="383"/>
      <c r="HK169" s="383"/>
      <c r="HL169" s="383"/>
      <c r="HM169" s="383"/>
      <c r="HN169" s="383"/>
      <c r="HO169" s="383"/>
      <c r="HP169" s="383"/>
      <c r="HQ169" s="383"/>
      <c r="HR169" s="383"/>
      <c r="HS169" s="383"/>
      <c r="HT169" s="383"/>
      <c r="HU169" s="383"/>
      <c r="HV169" s="383"/>
      <c r="HW169" s="383"/>
      <c r="HX169" s="383"/>
      <c r="HY169" s="383"/>
      <c r="HZ169" s="383"/>
      <c r="IA169" s="383"/>
      <c r="IB169" s="383"/>
      <c r="IC169" s="383"/>
      <c r="ID169" s="383"/>
      <c r="IE169" s="383"/>
      <c r="IF169" s="383"/>
      <c r="IG169" s="383"/>
      <c r="IH169" s="383"/>
      <c r="II169" s="383"/>
      <c r="IJ169" s="383"/>
      <c r="IK169" s="383"/>
      <c r="IL169" s="383"/>
    </row>
    <row r="170" spans="1:246" ht="15" customHeight="1">
      <c r="A170" s="516" t="s">
        <v>361</v>
      </c>
      <c r="B170" s="482" t="s">
        <v>854</v>
      </c>
      <c r="C170" s="483" t="s">
        <v>165</v>
      </c>
      <c r="D170" s="14"/>
      <c r="E170" s="484" t="s">
        <v>381</v>
      </c>
      <c r="F170" s="484">
        <v>70150011</v>
      </c>
      <c r="G170" s="479" t="str">
        <f t="shared" si="17"/>
        <v>07/2025</v>
      </c>
      <c r="H170" s="341">
        <f>SUMIF(VI.A!$B$6:$B$5963,B170,VI.A!$L$6:$L$5963)</f>
        <v>520</v>
      </c>
      <c r="I170" s="341" t="str">
        <f t="shared" ref="I170" si="21">IF(H170=0,"no","si")</f>
        <v>si</v>
      </c>
      <c r="J170" s="383"/>
      <c r="K170" s="384" t="str">
        <f>IF(E170="SABESP","OK",VLOOKUP(F170,[6]CSD!$B$11:$F$10265,4,FALSE))</f>
        <v>OK</v>
      </c>
      <c r="L170" s="384" t="str">
        <f t="shared" si="16"/>
        <v>OK</v>
      </c>
      <c r="M170" s="480" t="str">
        <f t="shared" si="12"/>
        <v>OK</v>
      </c>
      <c r="N170" s="383" t="b">
        <f t="shared" si="13"/>
        <v>0</v>
      </c>
      <c r="O170" s="383"/>
      <c r="P170" s="383"/>
      <c r="Q170" s="383"/>
      <c r="R170" s="383"/>
      <c r="S170" s="383"/>
      <c r="T170" s="383"/>
      <c r="U170" s="383"/>
      <c r="V170" s="383"/>
      <c r="W170" s="383"/>
      <c r="X170" s="383"/>
      <c r="Y170" s="383"/>
      <c r="Z170" s="383"/>
      <c r="AA170" s="383"/>
      <c r="AB170" s="383"/>
      <c r="AC170" s="383"/>
      <c r="AD170" s="383"/>
      <c r="AE170" s="383"/>
      <c r="AF170" s="383"/>
      <c r="AG170" s="383"/>
      <c r="AH170" s="383"/>
      <c r="AI170" s="383"/>
      <c r="AJ170" s="383"/>
      <c r="AK170" s="383"/>
      <c r="AL170" s="383"/>
      <c r="AM170" s="383"/>
      <c r="AN170" s="383"/>
      <c r="AO170" s="383"/>
      <c r="AP170" s="383"/>
      <c r="AQ170" s="383"/>
      <c r="AR170" s="383"/>
      <c r="AS170" s="383"/>
      <c r="AT170" s="383"/>
      <c r="AU170" s="383"/>
      <c r="AV170" s="383"/>
      <c r="AW170" s="383"/>
      <c r="AX170" s="383"/>
      <c r="AY170" s="383"/>
      <c r="AZ170" s="383"/>
      <c r="BA170" s="383"/>
      <c r="BB170" s="383"/>
      <c r="BC170" s="383"/>
      <c r="BD170" s="383"/>
      <c r="BE170" s="383"/>
      <c r="BF170" s="383"/>
      <c r="BG170" s="383"/>
      <c r="BH170" s="383"/>
      <c r="BI170" s="383"/>
      <c r="BJ170" s="383"/>
      <c r="BK170" s="383"/>
      <c r="BL170" s="383"/>
      <c r="BM170" s="383"/>
      <c r="BN170" s="383"/>
      <c r="BO170" s="383"/>
      <c r="BP170" s="383"/>
      <c r="BQ170" s="383"/>
      <c r="BR170" s="383"/>
      <c r="BS170" s="383"/>
      <c r="BT170" s="383"/>
      <c r="BU170" s="383"/>
      <c r="BV170" s="383"/>
      <c r="BW170" s="383"/>
      <c r="BX170" s="383"/>
      <c r="BY170" s="383"/>
      <c r="BZ170" s="383"/>
      <c r="CA170" s="383"/>
      <c r="CB170" s="383"/>
      <c r="CC170" s="383"/>
      <c r="CD170" s="383"/>
      <c r="CE170" s="383"/>
      <c r="CF170" s="383"/>
      <c r="CG170" s="383"/>
      <c r="CH170" s="383"/>
      <c r="CI170" s="383"/>
      <c r="CJ170" s="383"/>
      <c r="CK170" s="383"/>
      <c r="CL170" s="383"/>
      <c r="CM170" s="383"/>
      <c r="CN170" s="383"/>
      <c r="CO170" s="383"/>
      <c r="CP170" s="383"/>
      <c r="CQ170" s="383"/>
      <c r="CR170" s="383"/>
      <c r="CS170" s="383"/>
      <c r="CT170" s="383"/>
      <c r="CU170" s="383"/>
      <c r="CV170" s="383"/>
      <c r="CW170" s="383"/>
      <c r="CX170" s="383"/>
      <c r="CY170" s="383"/>
      <c r="CZ170" s="383"/>
      <c r="DA170" s="383"/>
      <c r="DB170" s="383"/>
      <c r="DC170" s="383"/>
      <c r="DD170" s="383"/>
      <c r="DE170" s="383"/>
      <c r="DF170" s="383"/>
      <c r="DG170" s="383"/>
      <c r="DH170" s="383"/>
      <c r="DI170" s="383"/>
      <c r="DJ170" s="383"/>
      <c r="DK170" s="383"/>
      <c r="DL170" s="383"/>
      <c r="DM170" s="383"/>
      <c r="DN170" s="383"/>
      <c r="DO170" s="383"/>
      <c r="DP170" s="383"/>
      <c r="DQ170" s="383"/>
      <c r="DR170" s="383"/>
      <c r="DS170" s="383"/>
      <c r="DT170" s="383"/>
      <c r="DU170" s="383"/>
      <c r="DV170" s="383"/>
      <c r="DW170" s="383"/>
      <c r="DX170" s="383"/>
      <c r="DY170" s="383"/>
      <c r="DZ170" s="383"/>
      <c r="EA170" s="383"/>
      <c r="EB170" s="383"/>
      <c r="EC170" s="383"/>
      <c r="ED170" s="383"/>
      <c r="EE170" s="383"/>
      <c r="EF170" s="383"/>
      <c r="EG170" s="383"/>
      <c r="EH170" s="383"/>
      <c r="EI170" s="383"/>
      <c r="EJ170" s="383"/>
      <c r="EK170" s="383"/>
      <c r="EL170" s="383"/>
      <c r="EM170" s="383"/>
      <c r="EN170" s="383"/>
      <c r="EO170" s="383"/>
      <c r="EP170" s="383"/>
      <c r="EQ170" s="383"/>
      <c r="ER170" s="383"/>
      <c r="ES170" s="383"/>
      <c r="ET170" s="383"/>
      <c r="EU170" s="383"/>
      <c r="EV170" s="383"/>
      <c r="EW170" s="383"/>
      <c r="EX170" s="383"/>
      <c r="EY170" s="383"/>
      <c r="EZ170" s="383"/>
      <c r="FA170" s="383"/>
      <c r="FB170" s="383"/>
      <c r="FC170" s="383"/>
      <c r="FD170" s="383"/>
      <c r="FE170" s="383"/>
      <c r="FF170" s="383"/>
      <c r="FG170" s="383"/>
      <c r="FH170" s="383"/>
      <c r="FI170" s="383"/>
      <c r="FJ170" s="383"/>
      <c r="FK170" s="383"/>
      <c r="FL170" s="383"/>
      <c r="FM170" s="383"/>
      <c r="FN170" s="383"/>
      <c r="FO170" s="383"/>
      <c r="FP170" s="383"/>
      <c r="FQ170" s="383"/>
      <c r="FR170" s="383"/>
      <c r="FS170" s="383"/>
      <c r="FT170" s="383"/>
      <c r="FU170" s="383"/>
      <c r="FV170" s="383"/>
      <c r="FW170" s="383"/>
      <c r="FX170" s="383"/>
      <c r="FY170" s="383"/>
      <c r="FZ170" s="383"/>
      <c r="GA170" s="383"/>
      <c r="GB170" s="383"/>
      <c r="GC170" s="383"/>
      <c r="GD170" s="383"/>
      <c r="GE170" s="383"/>
      <c r="GF170" s="383"/>
      <c r="GG170" s="383"/>
      <c r="GH170" s="383"/>
      <c r="GI170" s="383"/>
      <c r="GJ170" s="383"/>
      <c r="GK170" s="383"/>
      <c r="GL170" s="383"/>
      <c r="GM170" s="383"/>
      <c r="GN170" s="383"/>
      <c r="GO170" s="383"/>
      <c r="GP170" s="383"/>
      <c r="GQ170" s="383"/>
      <c r="GR170" s="383"/>
      <c r="GS170" s="383"/>
      <c r="GT170" s="383"/>
      <c r="GU170" s="383"/>
      <c r="GV170" s="383"/>
      <c r="GW170" s="383"/>
      <c r="GX170" s="383"/>
      <c r="GY170" s="383"/>
      <c r="GZ170" s="383"/>
      <c r="HA170" s="383"/>
      <c r="HB170" s="383"/>
      <c r="HC170" s="383"/>
      <c r="HD170" s="383"/>
      <c r="HE170" s="383"/>
      <c r="HF170" s="383"/>
      <c r="HG170" s="383"/>
      <c r="HH170" s="383"/>
      <c r="HI170" s="383"/>
      <c r="HJ170" s="383"/>
      <c r="HK170" s="383"/>
      <c r="HL170" s="383"/>
      <c r="HM170" s="383"/>
      <c r="HN170" s="383"/>
      <c r="HO170" s="383"/>
      <c r="HP170" s="383"/>
      <c r="HQ170" s="383"/>
      <c r="HR170" s="383"/>
      <c r="HS170" s="383"/>
      <c r="HT170" s="383"/>
      <c r="HU170" s="383"/>
      <c r="HV170" s="383"/>
      <c r="HW170" s="383"/>
      <c r="HX170" s="383"/>
      <c r="HY170" s="383"/>
      <c r="HZ170" s="383"/>
      <c r="IA170" s="383"/>
      <c r="IB170" s="383"/>
      <c r="IC170" s="383"/>
      <c r="ID170" s="383"/>
      <c r="IE170" s="383"/>
      <c r="IF170" s="383"/>
      <c r="IG170" s="383"/>
      <c r="IH170" s="383"/>
      <c r="II170" s="383"/>
      <c r="IJ170" s="383"/>
      <c r="IK170" s="383"/>
      <c r="IL170" s="383"/>
    </row>
    <row r="171" spans="1:246" ht="15" customHeight="1">
      <c r="A171" s="516" t="s">
        <v>805</v>
      </c>
      <c r="B171" s="482" t="s">
        <v>797</v>
      </c>
      <c r="C171" s="483" t="s">
        <v>223</v>
      </c>
      <c r="D171" s="14"/>
      <c r="E171" s="484" t="s">
        <v>381</v>
      </c>
      <c r="F171" s="484" t="s">
        <v>845</v>
      </c>
      <c r="G171" s="479" t="str">
        <f t="shared" si="17"/>
        <v>07/2025</v>
      </c>
      <c r="H171" s="341">
        <f>SUMIF(VI.A!$B$6:$B$5963,B171,VI.A!$L$6:$L$5963)</f>
        <v>350</v>
      </c>
      <c r="I171" s="341" t="str">
        <f t="shared" ref="I171:I172" si="22">IF(H171=0,"no","si")</f>
        <v>si</v>
      </c>
      <c r="J171" s="383"/>
      <c r="K171" s="384" t="str">
        <f>IF(E171="SABESP","OK",VLOOKUP(F171,[6]CSD!$B$11:$F$10265,4,FALSE))</f>
        <v>OK</v>
      </c>
      <c r="L171" s="384" t="str">
        <f t="shared" si="16"/>
        <v>OK</v>
      </c>
      <c r="M171" s="480" t="str">
        <f t="shared" si="12"/>
        <v>OK</v>
      </c>
      <c r="N171" s="383" t="b">
        <f t="shared" si="13"/>
        <v>0</v>
      </c>
      <c r="O171" s="383"/>
      <c r="P171" s="383"/>
      <c r="Q171" s="383"/>
      <c r="R171" s="383"/>
      <c r="S171" s="383"/>
      <c r="T171" s="383"/>
      <c r="U171" s="383"/>
      <c r="V171" s="383"/>
      <c r="W171" s="383"/>
      <c r="X171" s="383"/>
      <c r="Y171" s="383"/>
      <c r="Z171" s="383"/>
      <c r="AA171" s="383"/>
      <c r="AB171" s="383"/>
      <c r="AC171" s="383"/>
      <c r="AD171" s="383"/>
      <c r="AE171" s="383"/>
      <c r="AF171" s="383"/>
      <c r="AG171" s="383"/>
      <c r="AH171" s="383"/>
      <c r="AI171" s="383"/>
      <c r="AJ171" s="383"/>
      <c r="AK171" s="383"/>
      <c r="AL171" s="383"/>
      <c r="AM171" s="383"/>
      <c r="AN171" s="383"/>
      <c r="AO171" s="383"/>
      <c r="AP171" s="383"/>
      <c r="AQ171" s="383"/>
      <c r="AR171" s="383"/>
      <c r="AS171" s="383"/>
      <c r="AT171" s="383"/>
      <c r="AU171" s="383"/>
      <c r="AV171" s="383"/>
      <c r="AW171" s="383"/>
      <c r="AX171" s="383"/>
      <c r="AY171" s="383"/>
      <c r="AZ171" s="383"/>
      <c r="BA171" s="383"/>
      <c r="BB171" s="383"/>
      <c r="BC171" s="383"/>
      <c r="BD171" s="383"/>
      <c r="BE171" s="383"/>
      <c r="BF171" s="383"/>
      <c r="BG171" s="383"/>
      <c r="BH171" s="383"/>
      <c r="BI171" s="383"/>
      <c r="BJ171" s="383"/>
      <c r="BK171" s="383"/>
      <c r="BL171" s="383"/>
      <c r="BM171" s="383"/>
      <c r="BN171" s="383"/>
      <c r="BO171" s="383"/>
      <c r="BP171" s="383"/>
      <c r="BQ171" s="383"/>
      <c r="BR171" s="383"/>
      <c r="BS171" s="383"/>
      <c r="BT171" s="383"/>
      <c r="BU171" s="383"/>
      <c r="BV171" s="383"/>
      <c r="BW171" s="383"/>
      <c r="BX171" s="383"/>
      <c r="BY171" s="383"/>
      <c r="BZ171" s="383"/>
      <c r="CA171" s="383"/>
      <c r="CB171" s="383"/>
      <c r="CC171" s="383"/>
      <c r="CD171" s="383"/>
      <c r="CE171" s="383"/>
      <c r="CF171" s="383"/>
      <c r="CG171" s="383"/>
      <c r="CH171" s="383"/>
      <c r="CI171" s="383"/>
      <c r="CJ171" s="383"/>
      <c r="CK171" s="383"/>
      <c r="CL171" s="383"/>
      <c r="CM171" s="383"/>
      <c r="CN171" s="383"/>
      <c r="CO171" s="383"/>
      <c r="CP171" s="383"/>
      <c r="CQ171" s="383"/>
      <c r="CR171" s="383"/>
      <c r="CS171" s="383"/>
      <c r="CT171" s="383"/>
      <c r="CU171" s="383"/>
      <c r="CV171" s="383"/>
      <c r="CW171" s="383"/>
      <c r="CX171" s="383"/>
      <c r="CY171" s="383"/>
      <c r="CZ171" s="383"/>
      <c r="DA171" s="383"/>
      <c r="DB171" s="383"/>
      <c r="DC171" s="383"/>
      <c r="DD171" s="383"/>
      <c r="DE171" s="383"/>
      <c r="DF171" s="383"/>
      <c r="DG171" s="383"/>
      <c r="DH171" s="383"/>
      <c r="DI171" s="383"/>
      <c r="DJ171" s="383"/>
      <c r="DK171" s="383"/>
      <c r="DL171" s="383"/>
      <c r="DM171" s="383"/>
      <c r="DN171" s="383"/>
      <c r="DO171" s="383"/>
      <c r="DP171" s="383"/>
      <c r="DQ171" s="383"/>
      <c r="DR171" s="383"/>
      <c r="DS171" s="383"/>
      <c r="DT171" s="383"/>
      <c r="DU171" s="383"/>
      <c r="DV171" s="383"/>
      <c r="DW171" s="383"/>
      <c r="DX171" s="383"/>
      <c r="DY171" s="383"/>
      <c r="DZ171" s="383"/>
      <c r="EA171" s="383"/>
      <c r="EB171" s="383"/>
      <c r="EC171" s="383"/>
      <c r="ED171" s="383"/>
      <c r="EE171" s="383"/>
      <c r="EF171" s="383"/>
      <c r="EG171" s="383"/>
      <c r="EH171" s="383"/>
      <c r="EI171" s="383"/>
      <c r="EJ171" s="383"/>
      <c r="EK171" s="383"/>
      <c r="EL171" s="383"/>
      <c r="EM171" s="383"/>
      <c r="EN171" s="383"/>
      <c r="EO171" s="383"/>
      <c r="EP171" s="383"/>
      <c r="EQ171" s="383"/>
      <c r="ER171" s="383"/>
      <c r="ES171" s="383"/>
      <c r="ET171" s="383"/>
      <c r="EU171" s="383"/>
      <c r="EV171" s="383"/>
      <c r="EW171" s="383"/>
      <c r="EX171" s="383"/>
      <c r="EY171" s="383"/>
      <c r="EZ171" s="383"/>
      <c r="FA171" s="383"/>
      <c r="FB171" s="383"/>
      <c r="FC171" s="383"/>
      <c r="FD171" s="383"/>
      <c r="FE171" s="383"/>
      <c r="FF171" s="383"/>
      <c r="FG171" s="383"/>
      <c r="FH171" s="383"/>
      <c r="FI171" s="383"/>
      <c r="FJ171" s="383"/>
      <c r="FK171" s="383"/>
      <c r="FL171" s="383"/>
      <c r="FM171" s="383"/>
      <c r="FN171" s="383"/>
      <c r="FO171" s="383"/>
      <c r="FP171" s="383"/>
      <c r="FQ171" s="383"/>
      <c r="FR171" s="383"/>
      <c r="FS171" s="383"/>
      <c r="FT171" s="383"/>
      <c r="FU171" s="383"/>
      <c r="FV171" s="383"/>
      <c r="FW171" s="383"/>
      <c r="FX171" s="383"/>
      <c r="FY171" s="383"/>
      <c r="FZ171" s="383"/>
      <c r="GA171" s="383"/>
      <c r="GB171" s="383"/>
      <c r="GC171" s="383"/>
      <c r="GD171" s="383"/>
      <c r="GE171" s="383"/>
      <c r="GF171" s="383"/>
      <c r="GG171" s="383"/>
      <c r="GH171" s="383"/>
      <c r="GI171" s="383"/>
      <c r="GJ171" s="383"/>
      <c r="GK171" s="383"/>
      <c r="GL171" s="383"/>
      <c r="GM171" s="383"/>
      <c r="GN171" s="383"/>
      <c r="GO171" s="383"/>
      <c r="GP171" s="383"/>
      <c r="GQ171" s="383"/>
      <c r="GR171" s="383"/>
      <c r="GS171" s="383"/>
      <c r="GT171" s="383"/>
      <c r="GU171" s="383"/>
      <c r="GV171" s="383"/>
      <c r="GW171" s="383"/>
      <c r="GX171" s="383"/>
      <c r="GY171" s="383"/>
      <c r="GZ171" s="383"/>
      <c r="HA171" s="383"/>
      <c r="HB171" s="383"/>
      <c r="HC171" s="383"/>
      <c r="HD171" s="383"/>
      <c r="HE171" s="383"/>
      <c r="HF171" s="383"/>
      <c r="HG171" s="383"/>
      <c r="HH171" s="383"/>
      <c r="HI171" s="383"/>
      <c r="HJ171" s="383"/>
      <c r="HK171" s="383"/>
      <c r="HL171" s="383"/>
      <c r="HM171" s="383"/>
      <c r="HN171" s="383"/>
      <c r="HO171" s="383"/>
      <c r="HP171" s="383"/>
      <c r="HQ171" s="383"/>
      <c r="HR171" s="383"/>
      <c r="HS171" s="383"/>
      <c r="HT171" s="383"/>
      <c r="HU171" s="383"/>
      <c r="HV171" s="383"/>
      <c r="HW171" s="383"/>
      <c r="HX171" s="383"/>
      <c r="HY171" s="383"/>
      <c r="HZ171" s="383"/>
      <c r="IA171" s="383"/>
      <c r="IB171" s="383"/>
      <c r="IC171" s="383"/>
      <c r="ID171" s="383"/>
      <c r="IE171" s="383"/>
      <c r="IF171" s="383"/>
      <c r="IG171" s="383"/>
      <c r="IH171" s="383"/>
      <c r="II171" s="383"/>
      <c r="IJ171" s="383"/>
      <c r="IK171" s="383"/>
      <c r="IL171" s="383"/>
    </row>
    <row r="172" spans="1:246" ht="27.75" customHeight="1">
      <c r="A172" s="516" t="s">
        <v>410</v>
      </c>
      <c r="B172" s="482" t="s">
        <v>798</v>
      </c>
      <c r="C172" s="483" t="s">
        <v>131</v>
      </c>
      <c r="D172" s="14"/>
      <c r="E172" s="484" t="s">
        <v>735</v>
      </c>
      <c r="F172" s="484" t="s">
        <v>799</v>
      </c>
      <c r="G172" s="479" t="str">
        <f t="shared" si="17"/>
        <v>OUTRO</v>
      </c>
      <c r="H172" s="341">
        <f>SUMIF(VI.A!$B$6:$B$5963,B172,VI.A!$L$6:$L$5963)</f>
        <v>8.6</v>
      </c>
      <c r="I172" s="341" t="str">
        <f t="shared" si="22"/>
        <v>si</v>
      </c>
      <c r="J172" s="383"/>
      <c r="K172" s="384">
        <f>VLOOKUP(F172,[7]Insumos!$A$9:$D$3235,4,FALSE)</f>
        <v>29.83</v>
      </c>
      <c r="L172" s="384" t="str">
        <f t="shared" si="16"/>
        <v>VERIFICAR</v>
      </c>
      <c r="M172" s="480">
        <f t="shared" si="12"/>
        <v>29.83</v>
      </c>
      <c r="N172" s="383" t="b">
        <f t="shared" si="13"/>
        <v>0</v>
      </c>
      <c r="O172" s="383"/>
      <c r="P172" s="383"/>
      <c r="Q172" s="383"/>
      <c r="R172" s="383"/>
      <c r="S172" s="383"/>
      <c r="T172" s="383"/>
      <c r="U172" s="383"/>
      <c r="V172" s="383"/>
      <c r="W172" s="383"/>
      <c r="X172" s="383"/>
      <c r="Y172" s="383"/>
      <c r="Z172" s="383"/>
      <c r="AA172" s="383"/>
      <c r="AB172" s="383"/>
      <c r="AC172" s="383"/>
      <c r="AD172" s="383"/>
      <c r="AE172" s="383"/>
      <c r="AF172" s="383"/>
      <c r="AG172" s="383"/>
      <c r="AH172" s="383"/>
      <c r="AI172" s="383"/>
      <c r="AJ172" s="383"/>
      <c r="AK172" s="383"/>
      <c r="AL172" s="383"/>
      <c r="AM172" s="383"/>
      <c r="AN172" s="383"/>
      <c r="AO172" s="383"/>
      <c r="AP172" s="383"/>
      <c r="AQ172" s="383"/>
      <c r="AR172" s="383"/>
      <c r="AS172" s="383"/>
      <c r="AT172" s="383"/>
      <c r="AU172" s="383"/>
      <c r="AV172" s="383"/>
      <c r="AW172" s="383"/>
      <c r="AX172" s="383"/>
      <c r="AY172" s="383"/>
      <c r="AZ172" s="383"/>
      <c r="BA172" s="383"/>
      <c r="BB172" s="383"/>
      <c r="BC172" s="383"/>
      <c r="BD172" s="383"/>
      <c r="BE172" s="383"/>
      <c r="BF172" s="383"/>
      <c r="BG172" s="383"/>
      <c r="BH172" s="383"/>
      <c r="BI172" s="383"/>
      <c r="BJ172" s="383"/>
      <c r="BK172" s="383"/>
      <c r="BL172" s="383"/>
      <c r="BM172" s="383"/>
      <c r="BN172" s="383"/>
      <c r="BO172" s="383"/>
      <c r="BP172" s="383"/>
      <c r="BQ172" s="383"/>
      <c r="BR172" s="383"/>
      <c r="BS172" s="383"/>
      <c r="BT172" s="383"/>
      <c r="BU172" s="383"/>
      <c r="BV172" s="383"/>
      <c r="BW172" s="383"/>
      <c r="BX172" s="383"/>
      <c r="BY172" s="383"/>
      <c r="BZ172" s="383"/>
      <c r="CA172" s="383"/>
      <c r="CB172" s="383"/>
      <c r="CC172" s="383"/>
      <c r="CD172" s="383"/>
      <c r="CE172" s="383"/>
      <c r="CF172" s="383"/>
      <c r="CG172" s="383"/>
      <c r="CH172" s="383"/>
      <c r="CI172" s="383"/>
      <c r="CJ172" s="383"/>
      <c r="CK172" s="383"/>
      <c r="CL172" s="383"/>
      <c r="CM172" s="383"/>
      <c r="CN172" s="383"/>
      <c r="CO172" s="383"/>
      <c r="CP172" s="383"/>
      <c r="CQ172" s="383"/>
      <c r="CR172" s="383"/>
      <c r="CS172" s="383"/>
      <c r="CT172" s="383"/>
      <c r="CU172" s="383"/>
      <c r="CV172" s="383"/>
      <c r="CW172" s="383"/>
      <c r="CX172" s="383"/>
      <c r="CY172" s="383"/>
      <c r="CZ172" s="383"/>
      <c r="DA172" s="383"/>
      <c r="DB172" s="383"/>
      <c r="DC172" s="383"/>
      <c r="DD172" s="383"/>
      <c r="DE172" s="383"/>
      <c r="DF172" s="383"/>
      <c r="DG172" s="383"/>
      <c r="DH172" s="383"/>
      <c r="DI172" s="383"/>
      <c r="DJ172" s="383"/>
      <c r="DK172" s="383"/>
      <c r="DL172" s="383"/>
      <c r="DM172" s="383"/>
      <c r="DN172" s="383"/>
      <c r="DO172" s="383"/>
      <c r="DP172" s="383"/>
      <c r="DQ172" s="383"/>
      <c r="DR172" s="383"/>
      <c r="DS172" s="383"/>
      <c r="DT172" s="383"/>
      <c r="DU172" s="383"/>
      <c r="DV172" s="383"/>
      <c r="DW172" s="383"/>
      <c r="DX172" s="383"/>
      <c r="DY172" s="383"/>
      <c r="DZ172" s="383"/>
      <c r="EA172" s="383"/>
      <c r="EB172" s="383"/>
      <c r="EC172" s="383"/>
      <c r="ED172" s="383"/>
      <c r="EE172" s="383"/>
      <c r="EF172" s="383"/>
      <c r="EG172" s="383"/>
      <c r="EH172" s="383"/>
      <c r="EI172" s="383"/>
      <c r="EJ172" s="383"/>
      <c r="EK172" s="383"/>
      <c r="EL172" s="383"/>
      <c r="EM172" s="383"/>
      <c r="EN172" s="383"/>
      <c r="EO172" s="383"/>
      <c r="EP172" s="383"/>
      <c r="EQ172" s="383"/>
      <c r="ER172" s="383"/>
      <c r="ES172" s="383"/>
      <c r="ET172" s="383"/>
      <c r="EU172" s="383"/>
      <c r="EV172" s="383"/>
      <c r="EW172" s="383"/>
      <c r="EX172" s="383"/>
      <c r="EY172" s="383"/>
      <c r="EZ172" s="383"/>
      <c r="FA172" s="383"/>
      <c r="FB172" s="383"/>
      <c r="FC172" s="383"/>
      <c r="FD172" s="383"/>
      <c r="FE172" s="383"/>
      <c r="FF172" s="383"/>
      <c r="FG172" s="383"/>
      <c r="FH172" s="383"/>
      <c r="FI172" s="383"/>
      <c r="FJ172" s="383"/>
      <c r="FK172" s="383"/>
      <c r="FL172" s="383"/>
      <c r="FM172" s="383"/>
      <c r="FN172" s="383"/>
      <c r="FO172" s="383"/>
      <c r="FP172" s="383"/>
      <c r="FQ172" s="383"/>
      <c r="FR172" s="383"/>
      <c r="FS172" s="383"/>
      <c r="FT172" s="383"/>
      <c r="FU172" s="383"/>
      <c r="FV172" s="383"/>
      <c r="FW172" s="383"/>
      <c r="FX172" s="383"/>
      <c r="FY172" s="383"/>
      <c r="FZ172" s="383"/>
      <c r="GA172" s="383"/>
      <c r="GB172" s="383"/>
      <c r="GC172" s="383"/>
      <c r="GD172" s="383"/>
      <c r="GE172" s="383"/>
      <c r="GF172" s="383"/>
      <c r="GG172" s="383"/>
      <c r="GH172" s="383"/>
      <c r="GI172" s="383"/>
      <c r="GJ172" s="383"/>
      <c r="GK172" s="383"/>
      <c r="GL172" s="383"/>
      <c r="GM172" s="383"/>
      <c r="GN172" s="383"/>
      <c r="GO172" s="383"/>
      <c r="GP172" s="383"/>
      <c r="GQ172" s="383"/>
      <c r="GR172" s="383"/>
      <c r="GS172" s="383"/>
      <c r="GT172" s="383"/>
      <c r="GU172" s="383"/>
      <c r="GV172" s="383"/>
      <c r="GW172" s="383"/>
      <c r="GX172" s="383"/>
      <c r="GY172" s="383"/>
      <c r="GZ172" s="383"/>
      <c r="HA172" s="383"/>
      <c r="HB172" s="383"/>
      <c r="HC172" s="383"/>
      <c r="HD172" s="383"/>
      <c r="HE172" s="383"/>
      <c r="HF172" s="383"/>
      <c r="HG172" s="383"/>
      <c r="HH172" s="383"/>
      <c r="HI172" s="383"/>
      <c r="HJ172" s="383"/>
      <c r="HK172" s="383"/>
      <c r="HL172" s="383"/>
      <c r="HM172" s="383"/>
      <c r="HN172" s="383"/>
      <c r="HO172" s="383"/>
      <c r="HP172" s="383"/>
      <c r="HQ172" s="383"/>
      <c r="HR172" s="383"/>
      <c r="HS172" s="383"/>
      <c r="HT172" s="383"/>
      <c r="HU172" s="383"/>
      <c r="HV172" s="383"/>
      <c r="HW172" s="383"/>
      <c r="HX172" s="383"/>
      <c r="HY172" s="383"/>
      <c r="HZ172" s="383"/>
      <c r="IA172" s="383"/>
      <c r="IB172" s="383"/>
      <c r="IC172" s="383"/>
      <c r="ID172" s="383"/>
      <c r="IE172" s="383"/>
      <c r="IF172" s="383"/>
      <c r="IG172" s="383"/>
      <c r="IH172" s="383"/>
      <c r="II172" s="383"/>
      <c r="IJ172" s="383"/>
      <c r="IK172" s="383"/>
      <c r="IL172" s="383"/>
    </row>
    <row r="173" spans="1:246" ht="27.75" customHeight="1">
      <c r="A173" s="516" t="s">
        <v>746</v>
      </c>
      <c r="B173" s="482" t="s">
        <v>839</v>
      </c>
      <c r="C173" s="483" t="s">
        <v>131</v>
      </c>
      <c r="D173" s="14"/>
      <c r="E173" s="484" t="s">
        <v>735</v>
      </c>
      <c r="F173" s="484" t="s">
        <v>840</v>
      </c>
      <c r="G173" s="479" t="str">
        <f t="shared" si="17"/>
        <v>OUTRO</v>
      </c>
      <c r="H173" s="341">
        <f>SUMIF(VI.A!$B$6:$B$5963,B173,VI.A!$L$6:$L$5963)</f>
        <v>11800</v>
      </c>
      <c r="I173" s="341" t="str">
        <f t="shared" ref="I173:I174" si="23">IF(H173=0,"no","si")</f>
        <v>si</v>
      </c>
      <c r="J173" s="383"/>
      <c r="K173" s="384">
        <f>VLOOKUP(F173,[7]Insumos!$A$9:$D$3235,4,FALSE)</f>
        <v>3.31</v>
      </c>
      <c r="L173" s="384" t="str">
        <f t="shared" si="16"/>
        <v>VERIFICAR</v>
      </c>
      <c r="M173" s="480">
        <f t="shared" si="12"/>
        <v>3.31</v>
      </c>
      <c r="N173" s="383" t="b">
        <f t="shared" si="13"/>
        <v>0</v>
      </c>
      <c r="O173" s="383"/>
      <c r="P173" s="383"/>
      <c r="Q173" s="383"/>
      <c r="R173" s="383"/>
      <c r="S173" s="383"/>
      <c r="T173" s="383"/>
      <c r="U173" s="383"/>
      <c r="V173" s="383"/>
      <c r="W173" s="383"/>
      <c r="X173" s="383"/>
      <c r="Y173" s="383"/>
      <c r="Z173" s="383"/>
      <c r="AA173" s="383"/>
      <c r="AB173" s="383"/>
      <c r="AC173" s="383"/>
      <c r="AD173" s="383"/>
      <c r="AE173" s="383"/>
      <c r="AF173" s="383"/>
      <c r="AG173" s="383"/>
      <c r="AH173" s="383"/>
      <c r="AI173" s="383"/>
      <c r="AJ173" s="383"/>
      <c r="AK173" s="383"/>
      <c r="AL173" s="383"/>
      <c r="AM173" s="383"/>
      <c r="AN173" s="383"/>
      <c r="AO173" s="383"/>
      <c r="AP173" s="383"/>
      <c r="AQ173" s="383"/>
      <c r="AR173" s="383"/>
      <c r="AS173" s="383"/>
      <c r="AT173" s="383"/>
      <c r="AU173" s="383"/>
      <c r="AV173" s="383"/>
      <c r="AW173" s="383"/>
      <c r="AX173" s="383"/>
      <c r="AY173" s="383"/>
      <c r="AZ173" s="383"/>
      <c r="BA173" s="383"/>
      <c r="BB173" s="383"/>
      <c r="BC173" s="383"/>
      <c r="BD173" s="383"/>
      <c r="BE173" s="383"/>
      <c r="BF173" s="383"/>
      <c r="BG173" s="383"/>
      <c r="BH173" s="383"/>
      <c r="BI173" s="383"/>
      <c r="BJ173" s="383"/>
      <c r="BK173" s="383"/>
      <c r="BL173" s="383"/>
      <c r="BM173" s="383"/>
      <c r="BN173" s="383"/>
      <c r="BO173" s="383"/>
      <c r="BP173" s="383"/>
      <c r="BQ173" s="383"/>
      <c r="BR173" s="383"/>
      <c r="BS173" s="383"/>
      <c r="BT173" s="383"/>
      <c r="BU173" s="383"/>
      <c r="BV173" s="383"/>
      <c r="BW173" s="383"/>
      <c r="BX173" s="383"/>
      <c r="BY173" s="383"/>
      <c r="BZ173" s="383"/>
      <c r="CA173" s="383"/>
      <c r="CB173" s="383"/>
      <c r="CC173" s="383"/>
      <c r="CD173" s="383"/>
      <c r="CE173" s="383"/>
      <c r="CF173" s="383"/>
      <c r="CG173" s="383"/>
      <c r="CH173" s="383"/>
      <c r="CI173" s="383"/>
      <c r="CJ173" s="383"/>
      <c r="CK173" s="383"/>
      <c r="CL173" s="383"/>
      <c r="CM173" s="383"/>
      <c r="CN173" s="383"/>
      <c r="CO173" s="383"/>
      <c r="CP173" s="383"/>
      <c r="CQ173" s="383"/>
      <c r="CR173" s="383"/>
      <c r="CS173" s="383"/>
      <c r="CT173" s="383"/>
      <c r="CU173" s="383"/>
      <c r="CV173" s="383"/>
      <c r="CW173" s="383"/>
      <c r="CX173" s="383"/>
      <c r="CY173" s="383"/>
      <c r="CZ173" s="383"/>
      <c r="DA173" s="383"/>
      <c r="DB173" s="383"/>
      <c r="DC173" s="383"/>
      <c r="DD173" s="383"/>
      <c r="DE173" s="383"/>
      <c r="DF173" s="383"/>
      <c r="DG173" s="383"/>
      <c r="DH173" s="383"/>
      <c r="DI173" s="383"/>
      <c r="DJ173" s="383"/>
      <c r="DK173" s="383"/>
      <c r="DL173" s="383"/>
      <c r="DM173" s="383"/>
      <c r="DN173" s="383"/>
      <c r="DO173" s="383"/>
      <c r="DP173" s="383"/>
      <c r="DQ173" s="383"/>
      <c r="DR173" s="383"/>
      <c r="DS173" s="383"/>
      <c r="DT173" s="383"/>
      <c r="DU173" s="383"/>
      <c r="DV173" s="383"/>
      <c r="DW173" s="383"/>
      <c r="DX173" s="383"/>
      <c r="DY173" s="383"/>
      <c r="DZ173" s="383"/>
      <c r="EA173" s="383"/>
      <c r="EB173" s="383"/>
      <c r="EC173" s="383"/>
      <c r="ED173" s="383"/>
      <c r="EE173" s="383"/>
      <c r="EF173" s="383"/>
      <c r="EG173" s="383"/>
      <c r="EH173" s="383"/>
      <c r="EI173" s="383"/>
      <c r="EJ173" s="383"/>
      <c r="EK173" s="383"/>
      <c r="EL173" s="383"/>
      <c r="EM173" s="383"/>
      <c r="EN173" s="383"/>
      <c r="EO173" s="383"/>
      <c r="EP173" s="383"/>
      <c r="EQ173" s="383"/>
      <c r="ER173" s="383"/>
      <c r="ES173" s="383"/>
      <c r="ET173" s="383"/>
      <c r="EU173" s="383"/>
      <c r="EV173" s="383"/>
      <c r="EW173" s="383"/>
      <c r="EX173" s="383"/>
      <c r="EY173" s="383"/>
      <c r="EZ173" s="383"/>
      <c r="FA173" s="383"/>
      <c r="FB173" s="383"/>
      <c r="FC173" s="383"/>
      <c r="FD173" s="383"/>
      <c r="FE173" s="383"/>
      <c r="FF173" s="383"/>
      <c r="FG173" s="383"/>
      <c r="FH173" s="383"/>
      <c r="FI173" s="383"/>
      <c r="FJ173" s="383"/>
      <c r="FK173" s="383"/>
      <c r="FL173" s="383"/>
      <c r="FM173" s="383"/>
      <c r="FN173" s="383"/>
      <c r="FO173" s="383"/>
      <c r="FP173" s="383"/>
      <c r="FQ173" s="383"/>
      <c r="FR173" s="383"/>
      <c r="FS173" s="383"/>
      <c r="FT173" s="383"/>
      <c r="FU173" s="383"/>
      <c r="FV173" s="383"/>
      <c r="FW173" s="383"/>
      <c r="FX173" s="383"/>
      <c r="FY173" s="383"/>
      <c r="FZ173" s="383"/>
      <c r="GA173" s="383"/>
      <c r="GB173" s="383"/>
      <c r="GC173" s="383"/>
      <c r="GD173" s="383"/>
      <c r="GE173" s="383"/>
      <c r="GF173" s="383"/>
      <c r="GG173" s="383"/>
      <c r="GH173" s="383"/>
      <c r="GI173" s="383"/>
      <c r="GJ173" s="383"/>
      <c r="GK173" s="383"/>
      <c r="GL173" s="383"/>
      <c r="GM173" s="383"/>
      <c r="GN173" s="383"/>
      <c r="GO173" s="383"/>
      <c r="GP173" s="383"/>
      <c r="GQ173" s="383"/>
      <c r="GR173" s="383"/>
      <c r="GS173" s="383"/>
      <c r="GT173" s="383"/>
      <c r="GU173" s="383"/>
      <c r="GV173" s="383"/>
      <c r="GW173" s="383"/>
      <c r="GX173" s="383"/>
      <c r="GY173" s="383"/>
      <c r="GZ173" s="383"/>
      <c r="HA173" s="383"/>
      <c r="HB173" s="383"/>
      <c r="HC173" s="383"/>
      <c r="HD173" s="383"/>
      <c r="HE173" s="383"/>
      <c r="HF173" s="383"/>
      <c r="HG173" s="383"/>
      <c r="HH173" s="383"/>
      <c r="HI173" s="383"/>
      <c r="HJ173" s="383"/>
      <c r="HK173" s="383"/>
      <c r="HL173" s="383"/>
      <c r="HM173" s="383"/>
      <c r="HN173" s="383"/>
      <c r="HO173" s="383"/>
      <c r="HP173" s="383"/>
      <c r="HQ173" s="383"/>
      <c r="HR173" s="383"/>
      <c r="HS173" s="383"/>
      <c r="HT173" s="383"/>
      <c r="HU173" s="383"/>
      <c r="HV173" s="383"/>
      <c r="HW173" s="383"/>
      <c r="HX173" s="383"/>
      <c r="HY173" s="383"/>
      <c r="HZ173" s="383"/>
      <c r="IA173" s="383"/>
      <c r="IB173" s="383"/>
      <c r="IC173" s="383"/>
      <c r="ID173" s="383"/>
      <c r="IE173" s="383"/>
      <c r="IF173" s="383"/>
      <c r="IG173" s="383"/>
      <c r="IH173" s="383"/>
      <c r="II173" s="383"/>
      <c r="IJ173" s="383"/>
      <c r="IK173" s="383"/>
      <c r="IL173" s="383"/>
    </row>
    <row r="174" spans="1:246" ht="27.75" customHeight="1">
      <c r="A174" s="516" t="s">
        <v>472</v>
      </c>
      <c r="B174" s="482" t="s">
        <v>921</v>
      </c>
      <c r="C174" s="483" t="s">
        <v>165</v>
      </c>
      <c r="D174" s="14"/>
      <c r="E174" s="484" t="s">
        <v>381</v>
      </c>
      <c r="F174" s="518">
        <v>70190029</v>
      </c>
      <c r="G174" s="479" t="str">
        <f t="shared" si="17"/>
        <v>07/2025</v>
      </c>
      <c r="H174" s="341">
        <f>SUMIF(VI.A!$B$6:$B$5963,B174,VI.A!$L$6:$L$5963)</f>
        <v>200</v>
      </c>
      <c r="I174" s="341" t="str">
        <f t="shared" si="23"/>
        <v>si</v>
      </c>
      <c r="J174" s="383"/>
      <c r="K174" s="384" t="str">
        <f>IF(E174="SABESP","OK",VLOOKUP(F174,[6]CSD!$B$11:$F$10265,4,FALSE))</f>
        <v>OK</v>
      </c>
      <c r="L174" s="384" t="str">
        <f t="shared" si="16"/>
        <v>OK</v>
      </c>
      <c r="M174" s="480" t="str">
        <f t="shared" si="12"/>
        <v>OK</v>
      </c>
      <c r="N174" s="383" t="b">
        <f t="shared" si="13"/>
        <v>0</v>
      </c>
      <c r="O174" s="383"/>
      <c r="P174" s="383"/>
      <c r="Q174" s="383"/>
      <c r="R174" s="383"/>
      <c r="S174" s="383"/>
      <c r="T174" s="383"/>
      <c r="U174" s="383"/>
      <c r="V174" s="383"/>
      <c r="W174" s="383"/>
      <c r="X174" s="383"/>
      <c r="Y174" s="383"/>
      <c r="Z174" s="383"/>
      <c r="AA174" s="383"/>
      <c r="AB174" s="383"/>
      <c r="AC174" s="383"/>
      <c r="AD174" s="383"/>
      <c r="AE174" s="383"/>
      <c r="AF174" s="383"/>
      <c r="AG174" s="383"/>
      <c r="AH174" s="383"/>
      <c r="AI174" s="383"/>
      <c r="AJ174" s="383"/>
      <c r="AK174" s="383"/>
      <c r="AL174" s="383"/>
      <c r="AM174" s="383"/>
      <c r="AN174" s="383"/>
      <c r="AO174" s="383"/>
      <c r="AP174" s="383"/>
      <c r="AQ174" s="383"/>
      <c r="AR174" s="383"/>
      <c r="AS174" s="383"/>
      <c r="AT174" s="383"/>
      <c r="AU174" s="383"/>
      <c r="AV174" s="383"/>
      <c r="AW174" s="383"/>
      <c r="AX174" s="383"/>
      <c r="AY174" s="383"/>
      <c r="AZ174" s="383"/>
      <c r="BA174" s="383"/>
      <c r="BB174" s="383"/>
      <c r="BC174" s="383"/>
      <c r="BD174" s="383"/>
      <c r="BE174" s="383"/>
      <c r="BF174" s="383"/>
      <c r="BG174" s="383"/>
      <c r="BH174" s="383"/>
      <c r="BI174" s="383"/>
      <c r="BJ174" s="383"/>
      <c r="BK174" s="383"/>
      <c r="BL174" s="383"/>
      <c r="BM174" s="383"/>
      <c r="BN174" s="383"/>
      <c r="BO174" s="383"/>
      <c r="BP174" s="383"/>
      <c r="BQ174" s="383"/>
      <c r="BR174" s="383"/>
      <c r="BS174" s="383"/>
      <c r="BT174" s="383"/>
      <c r="BU174" s="383"/>
      <c r="BV174" s="383"/>
      <c r="BW174" s="383"/>
      <c r="BX174" s="383"/>
      <c r="BY174" s="383"/>
      <c r="BZ174" s="383"/>
      <c r="CA174" s="383"/>
      <c r="CB174" s="383"/>
      <c r="CC174" s="383"/>
      <c r="CD174" s="383"/>
      <c r="CE174" s="383"/>
      <c r="CF174" s="383"/>
      <c r="CG174" s="383"/>
      <c r="CH174" s="383"/>
      <c r="CI174" s="383"/>
      <c r="CJ174" s="383"/>
      <c r="CK174" s="383"/>
      <c r="CL174" s="383"/>
      <c r="CM174" s="383"/>
      <c r="CN174" s="383"/>
      <c r="CO174" s="383"/>
      <c r="CP174" s="383"/>
      <c r="CQ174" s="383"/>
      <c r="CR174" s="383"/>
      <c r="CS174" s="383"/>
      <c r="CT174" s="383"/>
      <c r="CU174" s="383"/>
      <c r="CV174" s="383"/>
      <c r="CW174" s="383"/>
      <c r="CX174" s="383"/>
      <c r="CY174" s="383"/>
      <c r="CZ174" s="383"/>
      <c r="DA174" s="383"/>
      <c r="DB174" s="383"/>
      <c r="DC174" s="383"/>
      <c r="DD174" s="383"/>
      <c r="DE174" s="383"/>
      <c r="DF174" s="383"/>
      <c r="DG174" s="383"/>
      <c r="DH174" s="383"/>
      <c r="DI174" s="383"/>
      <c r="DJ174" s="383"/>
      <c r="DK174" s="383"/>
      <c r="DL174" s="383"/>
      <c r="DM174" s="383"/>
      <c r="DN174" s="383"/>
      <c r="DO174" s="383"/>
      <c r="DP174" s="383"/>
      <c r="DQ174" s="383"/>
      <c r="DR174" s="383"/>
      <c r="DS174" s="383"/>
      <c r="DT174" s="383"/>
      <c r="DU174" s="383"/>
      <c r="DV174" s="383"/>
      <c r="DW174" s="383"/>
      <c r="DX174" s="383"/>
      <c r="DY174" s="383"/>
      <c r="DZ174" s="383"/>
      <c r="EA174" s="383"/>
      <c r="EB174" s="383"/>
      <c r="EC174" s="383"/>
      <c r="ED174" s="383"/>
      <c r="EE174" s="383"/>
      <c r="EF174" s="383"/>
      <c r="EG174" s="383"/>
      <c r="EH174" s="383"/>
      <c r="EI174" s="383"/>
      <c r="EJ174" s="383"/>
      <c r="EK174" s="383"/>
      <c r="EL174" s="383"/>
      <c r="EM174" s="383"/>
      <c r="EN174" s="383"/>
      <c r="EO174" s="383"/>
      <c r="EP174" s="383"/>
      <c r="EQ174" s="383"/>
      <c r="ER174" s="383"/>
      <c r="ES174" s="383"/>
      <c r="ET174" s="383"/>
      <c r="EU174" s="383"/>
      <c r="EV174" s="383"/>
      <c r="EW174" s="383"/>
      <c r="EX174" s="383"/>
      <c r="EY174" s="383"/>
      <c r="EZ174" s="383"/>
      <c r="FA174" s="383"/>
      <c r="FB174" s="383"/>
      <c r="FC174" s="383"/>
      <c r="FD174" s="383"/>
      <c r="FE174" s="383"/>
      <c r="FF174" s="383"/>
      <c r="FG174" s="383"/>
      <c r="FH174" s="383"/>
      <c r="FI174" s="383"/>
      <c r="FJ174" s="383"/>
      <c r="FK174" s="383"/>
      <c r="FL174" s="383"/>
      <c r="FM174" s="383"/>
      <c r="FN174" s="383"/>
      <c r="FO174" s="383"/>
      <c r="FP174" s="383"/>
      <c r="FQ174" s="383"/>
      <c r="FR174" s="383"/>
      <c r="FS174" s="383"/>
      <c r="FT174" s="383"/>
      <c r="FU174" s="383"/>
      <c r="FV174" s="383"/>
      <c r="FW174" s="383"/>
      <c r="FX174" s="383"/>
      <c r="FY174" s="383"/>
      <c r="FZ174" s="383"/>
      <c r="GA174" s="383"/>
      <c r="GB174" s="383"/>
      <c r="GC174" s="383"/>
      <c r="GD174" s="383"/>
      <c r="GE174" s="383"/>
      <c r="GF174" s="383"/>
      <c r="GG174" s="383"/>
      <c r="GH174" s="383"/>
      <c r="GI174" s="383"/>
      <c r="GJ174" s="383"/>
      <c r="GK174" s="383"/>
      <c r="GL174" s="383"/>
      <c r="GM174" s="383"/>
      <c r="GN174" s="383"/>
      <c r="GO174" s="383"/>
      <c r="GP174" s="383"/>
      <c r="GQ174" s="383"/>
      <c r="GR174" s="383"/>
      <c r="GS174" s="383"/>
      <c r="GT174" s="383"/>
      <c r="GU174" s="383"/>
      <c r="GV174" s="383"/>
      <c r="GW174" s="383"/>
      <c r="GX174" s="383"/>
      <c r="GY174" s="383"/>
      <c r="GZ174" s="383"/>
      <c r="HA174" s="383"/>
      <c r="HB174" s="383"/>
      <c r="HC174" s="383"/>
      <c r="HD174" s="383"/>
      <c r="HE174" s="383"/>
      <c r="HF174" s="383"/>
      <c r="HG174" s="383"/>
      <c r="HH174" s="383"/>
      <c r="HI174" s="383"/>
      <c r="HJ174" s="383"/>
      <c r="HK174" s="383"/>
      <c r="HL174" s="383"/>
      <c r="HM174" s="383"/>
      <c r="HN174" s="383"/>
      <c r="HO174" s="383"/>
      <c r="HP174" s="383"/>
      <c r="HQ174" s="383"/>
      <c r="HR174" s="383"/>
      <c r="HS174" s="383"/>
      <c r="HT174" s="383"/>
      <c r="HU174" s="383"/>
      <c r="HV174" s="383"/>
      <c r="HW174" s="383"/>
      <c r="HX174" s="383"/>
      <c r="HY174" s="383"/>
      <c r="HZ174" s="383"/>
      <c r="IA174" s="383"/>
      <c r="IB174" s="383"/>
      <c r="IC174" s="383"/>
      <c r="ID174" s="383"/>
      <c r="IE174" s="383"/>
      <c r="IF174" s="383"/>
      <c r="IG174" s="383"/>
      <c r="IH174" s="383"/>
      <c r="II174" s="383"/>
      <c r="IJ174" s="383"/>
      <c r="IK174" s="383"/>
      <c r="IL174" s="383"/>
    </row>
    <row r="175" spans="1:246" ht="27.75" customHeight="1">
      <c r="A175" s="516" t="s">
        <v>806</v>
      </c>
      <c r="B175" s="522" t="s">
        <v>848</v>
      </c>
      <c r="C175" s="523" t="s">
        <v>131</v>
      </c>
      <c r="D175" s="61"/>
      <c r="E175" s="524" t="s">
        <v>377</v>
      </c>
      <c r="F175" s="524">
        <v>93414</v>
      </c>
      <c r="G175" s="479" t="str">
        <f t="shared" si="17"/>
        <v>01/2026</v>
      </c>
      <c r="H175" s="341">
        <f>SUMIF(VI.A!$B$6:$B$5963,B175,VI.A!$L$6:$L$5963)</f>
        <v>1200</v>
      </c>
      <c r="I175" s="341" t="str">
        <f t="shared" ref="I175" si="24">IF(H175=0,"no","si")</f>
        <v>si</v>
      </c>
      <c r="J175" s="383"/>
      <c r="K175" s="384">
        <f>IF(E175="SABESP","OK",VLOOKUP(F175,[6]CSD!$B$11:$F$10265,4,FALSE))</f>
        <v>11.21</v>
      </c>
      <c r="L175" s="384" t="str">
        <f t="shared" si="16"/>
        <v>VERIFICAR</v>
      </c>
      <c r="M175" s="480">
        <f t="shared" si="12"/>
        <v>11.21</v>
      </c>
      <c r="N175" s="383" t="b">
        <f t="shared" si="13"/>
        <v>0</v>
      </c>
      <c r="O175" s="383"/>
      <c r="P175" s="383"/>
      <c r="Q175" s="383"/>
      <c r="R175" s="383"/>
      <c r="S175" s="383"/>
      <c r="T175" s="383"/>
      <c r="U175" s="383"/>
      <c r="V175" s="383"/>
      <c r="W175" s="383"/>
      <c r="X175" s="383"/>
      <c r="Y175" s="383"/>
      <c r="Z175" s="383"/>
      <c r="AA175" s="383"/>
      <c r="AB175" s="383"/>
      <c r="AC175" s="383"/>
      <c r="AD175" s="383"/>
      <c r="AE175" s="383"/>
      <c r="AF175" s="383"/>
      <c r="AG175" s="383"/>
      <c r="AH175" s="383"/>
      <c r="AI175" s="383"/>
      <c r="AJ175" s="383"/>
      <c r="AK175" s="383"/>
      <c r="AL175" s="383"/>
      <c r="AM175" s="383"/>
      <c r="AN175" s="383"/>
      <c r="AO175" s="383"/>
      <c r="AP175" s="383"/>
      <c r="AQ175" s="383"/>
      <c r="AR175" s="383"/>
      <c r="AS175" s="383"/>
      <c r="AT175" s="383"/>
      <c r="AU175" s="383"/>
      <c r="AV175" s="383"/>
      <c r="AW175" s="383"/>
      <c r="AX175" s="383"/>
      <c r="AY175" s="383"/>
      <c r="AZ175" s="383"/>
      <c r="BA175" s="383"/>
      <c r="BB175" s="383"/>
      <c r="BC175" s="383"/>
      <c r="BD175" s="383"/>
      <c r="BE175" s="383"/>
      <c r="BF175" s="383"/>
      <c r="BG175" s="383"/>
      <c r="BH175" s="383"/>
      <c r="BI175" s="383"/>
      <c r="BJ175" s="383"/>
      <c r="BK175" s="383"/>
      <c r="BL175" s="383"/>
      <c r="BM175" s="383"/>
      <c r="BN175" s="383"/>
      <c r="BO175" s="383"/>
      <c r="BP175" s="383"/>
      <c r="BQ175" s="383"/>
      <c r="BR175" s="383"/>
      <c r="BS175" s="383"/>
      <c r="BT175" s="383"/>
      <c r="BU175" s="383"/>
      <c r="BV175" s="383"/>
      <c r="BW175" s="383"/>
      <c r="BX175" s="383"/>
      <c r="BY175" s="383"/>
      <c r="BZ175" s="383"/>
      <c r="CA175" s="383"/>
      <c r="CB175" s="383"/>
      <c r="CC175" s="383"/>
      <c r="CD175" s="383"/>
      <c r="CE175" s="383"/>
      <c r="CF175" s="383"/>
      <c r="CG175" s="383"/>
      <c r="CH175" s="383"/>
      <c r="CI175" s="383"/>
      <c r="CJ175" s="383"/>
      <c r="CK175" s="383"/>
      <c r="CL175" s="383"/>
      <c r="CM175" s="383"/>
      <c r="CN175" s="383"/>
      <c r="CO175" s="383"/>
      <c r="CP175" s="383"/>
      <c r="CQ175" s="383"/>
      <c r="CR175" s="383"/>
      <c r="CS175" s="383"/>
      <c r="CT175" s="383"/>
      <c r="CU175" s="383"/>
      <c r="CV175" s="383"/>
      <c r="CW175" s="383"/>
      <c r="CX175" s="383"/>
      <c r="CY175" s="383"/>
      <c r="CZ175" s="383"/>
      <c r="DA175" s="383"/>
      <c r="DB175" s="383"/>
      <c r="DC175" s="383"/>
      <c r="DD175" s="383"/>
      <c r="DE175" s="383"/>
      <c r="DF175" s="383"/>
      <c r="DG175" s="383"/>
      <c r="DH175" s="383"/>
      <c r="DI175" s="383"/>
      <c r="DJ175" s="383"/>
      <c r="DK175" s="383"/>
      <c r="DL175" s="383"/>
      <c r="DM175" s="383"/>
      <c r="DN175" s="383"/>
      <c r="DO175" s="383"/>
      <c r="DP175" s="383"/>
      <c r="DQ175" s="383"/>
      <c r="DR175" s="383"/>
      <c r="DS175" s="383"/>
      <c r="DT175" s="383"/>
      <c r="DU175" s="383"/>
      <c r="DV175" s="383"/>
      <c r="DW175" s="383"/>
      <c r="DX175" s="383"/>
      <c r="DY175" s="383"/>
      <c r="DZ175" s="383"/>
      <c r="EA175" s="383"/>
      <c r="EB175" s="383"/>
      <c r="EC175" s="383"/>
      <c r="ED175" s="383"/>
      <c r="EE175" s="383"/>
      <c r="EF175" s="383"/>
      <c r="EG175" s="383"/>
      <c r="EH175" s="383"/>
      <c r="EI175" s="383"/>
      <c r="EJ175" s="383"/>
      <c r="EK175" s="383"/>
      <c r="EL175" s="383"/>
      <c r="EM175" s="383"/>
      <c r="EN175" s="383"/>
      <c r="EO175" s="383"/>
      <c r="EP175" s="383"/>
      <c r="EQ175" s="383"/>
      <c r="ER175" s="383"/>
      <c r="ES175" s="383"/>
      <c r="ET175" s="383"/>
      <c r="EU175" s="383"/>
      <c r="EV175" s="383"/>
      <c r="EW175" s="383"/>
      <c r="EX175" s="383"/>
      <c r="EY175" s="383"/>
      <c r="EZ175" s="383"/>
      <c r="FA175" s="383"/>
      <c r="FB175" s="383"/>
      <c r="FC175" s="383"/>
      <c r="FD175" s="383"/>
      <c r="FE175" s="383"/>
      <c r="FF175" s="383"/>
      <c r="FG175" s="383"/>
      <c r="FH175" s="383"/>
      <c r="FI175" s="383"/>
      <c r="FJ175" s="383"/>
      <c r="FK175" s="383"/>
      <c r="FL175" s="383"/>
      <c r="FM175" s="383"/>
      <c r="FN175" s="383"/>
      <c r="FO175" s="383"/>
      <c r="FP175" s="383"/>
      <c r="FQ175" s="383"/>
      <c r="FR175" s="383"/>
      <c r="FS175" s="383"/>
      <c r="FT175" s="383"/>
      <c r="FU175" s="383"/>
      <c r="FV175" s="383"/>
      <c r="FW175" s="383"/>
      <c r="FX175" s="383"/>
      <c r="FY175" s="383"/>
      <c r="FZ175" s="383"/>
      <c r="GA175" s="383"/>
      <c r="GB175" s="383"/>
      <c r="GC175" s="383"/>
      <c r="GD175" s="383"/>
      <c r="GE175" s="383"/>
      <c r="GF175" s="383"/>
      <c r="GG175" s="383"/>
      <c r="GH175" s="383"/>
      <c r="GI175" s="383"/>
      <c r="GJ175" s="383"/>
      <c r="GK175" s="383"/>
      <c r="GL175" s="383"/>
      <c r="GM175" s="383"/>
      <c r="GN175" s="383"/>
      <c r="GO175" s="383"/>
      <c r="GP175" s="383"/>
      <c r="GQ175" s="383"/>
      <c r="GR175" s="383"/>
      <c r="GS175" s="383"/>
      <c r="GT175" s="383"/>
      <c r="GU175" s="383"/>
      <c r="GV175" s="383"/>
      <c r="GW175" s="383"/>
      <c r="GX175" s="383"/>
      <c r="GY175" s="383"/>
      <c r="GZ175" s="383"/>
      <c r="HA175" s="383"/>
      <c r="HB175" s="383"/>
      <c r="HC175" s="383"/>
      <c r="HD175" s="383"/>
      <c r="HE175" s="383"/>
      <c r="HF175" s="383"/>
      <c r="HG175" s="383"/>
      <c r="HH175" s="383"/>
      <c r="HI175" s="383"/>
      <c r="HJ175" s="383"/>
      <c r="HK175" s="383"/>
      <c r="HL175" s="383"/>
      <c r="HM175" s="383"/>
      <c r="HN175" s="383"/>
      <c r="HO175" s="383"/>
      <c r="HP175" s="383"/>
      <c r="HQ175" s="383"/>
      <c r="HR175" s="383"/>
      <c r="HS175" s="383"/>
      <c r="HT175" s="383"/>
      <c r="HU175" s="383"/>
      <c r="HV175" s="383"/>
      <c r="HW175" s="383"/>
      <c r="HX175" s="383"/>
      <c r="HY175" s="383"/>
      <c r="HZ175" s="383"/>
      <c r="IA175" s="383"/>
      <c r="IB175" s="383"/>
      <c r="IC175" s="383"/>
      <c r="ID175" s="383"/>
      <c r="IE175" s="383"/>
      <c r="IF175" s="383"/>
      <c r="IG175" s="383"/>
      <c r="IH175" s="383"/>
      <c r="II175" s="383"/>
      <c r="IJ175" s="383"/>
      <c r="IK175" s="383"/>
      <c r="IL175" s="383"/>
    </row>
    <row r="176" spans="1:246" ht="27.75" customHeight="1">
      <c r="A176" s="516" t="s">
        <v>807</v>
      </c>
      <c r="B176" s="522" t="s">
        <v>851</v>
      </c>
      <c r="C176" s="523" t="s">
        <v>162</v>
      </c>
      <c r="D176" s="61"/>
      <c r="E176" s="524" t="s">
        <v>381</v>
      </c>
      <c r="F176" s="524" t="s">
        <v>852</v>
      </c>
      <c r="G176" s="479" t="str">
        <f t="shared" si="17"/>
        <v>07/2025</v>
      </c>
      <c r="H176" s="341">
        <f>SUMIF(VI.A!$B$6:$B$5963,B176,VI.A!$L$6:$L$5963)</f>
        <v>2880</v>
      </c>
      <c r="I176" s="341" t="str">
        <f t="shared" ref="I176" si="25">IF(H176=0,"no","si")</f>
        <v>si</v>
      </c>
      <c r="J176" s="383"/>
      <c r="K176" s="384" t="str">
        <f>IF(E176="SABESP","OK",VLOOKUP(F176,[6]CSD!$B$11:$F$10265,4,FALSE))</f>
        <v>OK</v>
      </c>
      <c r="L176" s="384" t="str">
        <f t="shared" si="16"/>
        <v>OK</v>
      </c>
      <c r="M176" s="480" t="str">
        <f t="shared" si="12"/>
        <v>OK</v>
      </c>
      <c r="N176" s="383" t="b">
        <f t="shared" si="13"/>
        <v>0</v>
      </c>
      <c r="O176" s="383"/>
      <c r="P176" s="383"/>
      <c r="Q176" s="383"/>
      <c r="R176" s="383"/>
      <c r="S176" s="383"/>
      <c r="T176" s="383"/>
      <c r="U176" s="383"/>
      <c r="V176" s="383"/>
      <c r="W176" s="383"/>
      <c r="X176" s="383"/>
      <c r="Y176" s="383"/>
      <c r="Z176" s="383"/>
      <c r="AA176" s="383"/>
      <c r="AB176" s="383"/>
      <c r="AC176" s="383"/>
      <c r="AD176" s="383"/>
      <c r="AE176" s="383"/>
      <c r="AF176" s="383"/>
      <c r="AG176" s="383"/>
      <c r="AH176" s="383"/>
      <c r="AI176" s="383"/>
      <c r="AJ176" s="383"/>
      <c r="AK176" s="383"/>
      <c r="AL176" s="383"/>
      <c r="AM176" s="383"/>
      <c r="AN176" s="383"/>
      <c r="AO176" s="383"/>
      <c r="AP176" s="383"/>
      <c r="AQ176" s="383"/>
      <c r="AR176" s="383"/>
      <c r="AS176" s="383"/>
      <c r="AT176" s="383"/>
      <c r="AU176" s="383"/>
      <c r="AV176" s="383"/>
      <c r="AW176" s="383"/>
      <c r="AX176" s="383"/>
      <c r="AY176" s="383"/>
      <c r="AZ176" s="383"/>
      <c r="BA176" s="383"/>
      <c r="BB176" s="383"/>
      <c r="BC176" s="383"/>
      <c r="BD176" s="383"/>
      <c r="BE176" s="383"/>
      <c r="BF176" s="383"/>
      <c r="BG176" s="383"/>
      <c r="BH176" s="383"/>
      <c r="BI176" s="383"/>
      <c r="BJ176" s="383"/>
      <c r="BK176" s="383"/>
      <c r="BL176" s="383"/>
      <c r="BM176" s="383"/>
      <c r="BN176" s="383"/>
      <c r="BO176" s="383"/>
      <c r="BP176" s="383"/>
      <c r="BQ176" s="383"/>
      <c r="BR176" s="383"/>
      <c r="BS176" s="383"/>
      <c r="BT176" s="383"/>
      <c r="BU176" s="383"/>
      <c r="BV176" s="383"/>
      <c r="BW176" s="383"/>
      <c r="BX176" s="383"/>
      <c r="BY176" s="383"/>
      <c r="BZ176" s="383"/>
      <c r="CA176" s="383"/>
      <c r="CB176" s="383"/>
      <c r="CC176" s="383"/>
      <c r="CD176" s="383"/>
      <c r="CE176" s="383"/>
      <c r="CF176" s="383"/>
      <c r="CG176" s="383"/>
      <c r="CH176" s="383"/>
      <c r="CI176" s="383"/>
      <c r="CJ176" s="383"/>
      <c r="CK176" s="383"/>
      <c r="CL176" s="383"/>
      <c r="CM176" s="383"/>
      <c r="CN176" s="383"/>
      <c r="CO176" s="383"/>
      <c r="CP176" s="383"/>
      <c r="CQ176" s="383"/>
      <c r="CR176" s="383"/>
      <c r="CS176" s="383"/>
      <c r="CT176" s="383"/>
      <c r="CU176" s="383"/>
      <c r="CV176" s="383"/>
      <c r="CW176" s="383"/>
      <c r="CX176" s="383"/>
      <c r="CY176" s="383"/>
      <c r="CZ176" s="383"/>
      <c r="DA176" s="383"/>
      <c r="DB176" s="383"/>
      <c r="DC176" s="383"/>
      <c r="DD176" s="383"/>
      <c r="DE176" s="383"/>
      <c r="DF176" s="383"/>
      <c r="DG176" s="383"/>
      <c r="DH176" s="383"/>
      <c r="DI176" s="383"/>
      <c r="DJ176" s="383"/>
      <c r="DK176" s="383"/>
      <c r="DL176" s="383"/>
      <c r="DM176" s="383"/>
      <c r="DN176" s="383"/>
      <c r="DO176" s="383"/>
      <c r="DP176" s="383"/>
      <c r="DQ176" s="383"/>
      <c r="DR176" s="383"/>
      <c r="DS176" s="383"/>
      <c r="DT176" s="383"/>
      <c r="DU176" s="383"/>
      <c r="DV176" s="383"/>
      <c r="DW176" s="383"/>
      <c r="DX176" s="383"/>
      <c r="DY176" s="383"/>
      <c r="DZ176" s="383"/>
      <c r="EA176" s="383"/>
      <c r="EB176" s="383"/>
      <c r="EC176" s="383"/>
      <c r="ED176" s="383"/>
      <c r="EE176" s="383"/>
      <c r="EF176" s="383"/>
      <c r="EG176" s="383"/>
      <c r="EH176" s="383"/>
      <c r="EI176" s="383"/>
      <c r="EJ176" s="383"/>
      <c r="EK176" s="383"/>
      <c r="EL176" s="383"/>
      <c r="EM176" s="383"/>
      <c r="EN176" s="383"/>
      <c r="EO176" s="383"/>
      <c r="EP176" s="383"/>
      <c r="EQ176" s="383"/>
      <c r="ER176" s="383"/>
      <c r="ES176" s="383"/>
      <c r="ET176" s="383"/>
      <c r="EU176" s="383"/>
      <c r="EV176" s="383"/>
      <c r="EW176" s="383"/>
      <c r="EX176" s="383"/>
      <c r="EY176" s="383"/>
      <c r="EZ176" s="383"/>
      <c r="FA176" s="383"/>
      <c r="FB176" s="383"/>
      <c r="FC176" s="383"/>
      <c r="FD176" s="383"/>
      <c r="FE176" s="383"/>
      <c r="FF176" s="383"/>
      <c r="FG176" s="383"/>
      <c r="FH176" s="383"/>
      <c r="FI176" s="383"/>
      <c r="FJ176" s="383"/>
      <c r="FK176" s="383"/>
      <c r="FL176" s="383"/>
      <c r="FM176" s="383"/>
      <c r="FN176" s="383"/>
      <c r="FO176" s="383"/>
      <c r="FP176" s="383"/>
      <c r="FQ176" s="383"/>
      <c r="FR176" s="383"/>
      <c r="FS176" s="383"/>
      <c r="FT176" s="383"/>
      <c r="FU176" s="383"/>
      <c r="FV176" s="383"/>
      <c r="FW176" s="383"/>
      <c r="FX176" s="383"/>
      <c r="FY176" s="383"/>
      <c r="FZ176" s="383"/>
      <c r="GA176" s="383"/>
      <c r="GB176" s="383"/>
      <c r="GC176" s="383"/>
      <c r="GD176" s="383"/>
      <c r="GE176" s="383"/>
      <c r="GF176" s="383"/>
      <c r="GG176" s="383"/>
      <c r="GH176" s="383"/>
      <c r="GI176" s="383"/>
      <c r="GJ176" s="383"/>
      <c r="GK176" s="383"/>
      <c r="GL176" s="383"/>
      <c r="GM176" s="383"/>
      <c r="GN176" s="383"/>
      <c r="GO176" s="383"/>
      <c r="GP176" s="383"/>
      <c r="GQ176" s="383"/>
      <c r="GR176" s="383"/>
      <c r="GS176" s="383"/>
      <c r="GT176" s="383"/>
      <c r="GU176" s="383"/>
      <c r="GV176" s="383"/>
      <c r="GW176" s="383"/>
      <c r="GX176" s="383"/>
      <c r="GY176" s="383"/>
      <c r="GZ176" s="383"/>
      <c r="HA176" s="383"/>
      <c r="HB176" s="383"/>
      <c r="HC176" s="383"/>
      <c r="HD176" s="383"/>
      <c r="HE176" s="383"/>
      <c r="HF176" s="383"/>
      <c r="HG176" s="383"/>
      <c r="HH176" s="383"/>
      <c r="HI176" s="383"/>
      <c r="HJ176" s="383"/>
      <c r="HK176" s="383"/>
      <c r="HL176" s="383"/>
      <c r="HM176" s="383"/>
      <c r="HN176" s="383"/>
      <c r="HO176" s="383"/>
      <c r="HP176" s="383"/>
      <c r="HQ176" s="383"/>
      <c r="HR176" s="383"/>
      <c r="HS176" s="383"/>
      <c r="HT176" s="383"/>
      <c r="HU176" s="383"/>
      <c r="HV176" s="383"/>
      <c r="HW176" s="383"/>
      <c r="HX176" s="383"/>
      <c r="HY176" s="383"/>
      <c r="HZ176" s="383"/>
      <c r="IA176" s="383"/>
      <c r="IB176" s="383"/>
      <c r="IC176" s="383"/>
      <c r="ID176" s="383"/>
      <c r="IE176" s="383"/>
      <c r="IF176" s="383"/>
      <c r="IG176" s="383"/>
      <c r="IH176" s="383"/>
      <c r="II176" s="383"/>
      <c r="IJ176" s="383"/>
      <c r="IK176" s="383"/>
      <c r="IL176" s="383"/>
    </row>
    <row r="177" spans="1:246" ht="27.75" customHeight="1">
      <c r="A177" s="516" t="s">
        <v>490</v>
      </c>
      <c r="B177" s="522" t="s">
        <v>853</v>
      </c>
      <c r="C177" s="523" t="s">
        <v>163</v>
      </c>
      <c r="D177" s="61"/>
      <c r="E177" s="524" t="s">
        <v>381</v>
      </c>
      <c r="F177" s="525" t="s">
        <v>926</v>
      </c>
      <c r="G177" s="479" t="str">
        <f t="shared" si="17"/>
        <v>07/2025</v>
      </c>
      <c r="H177" s="341">
        <f>SUMIF(VI.A!$B$6:$B$5963,B177,VI.A!$L$6:$L$5963)</f>
        <v>4224</v>
      </c>
      <c r="I177" s="341" t="str">
        <f t="shared" ref="I177:I178" si="26">IF(H177=0,"no","si")</f>
        <v>si</v>
      </c>
      <c r="J177" s="383"/>
      <c r="K177" s="384" t="str">
        <f>IF(E177="SABESP","OK",VLOOKUP(F177,[6]CSD!$B$11:$F$10265,4,FALSE))</f>
        <v>OK</v>
      </c>
      <c r="L177" s="384" t="str">
        <f t="shared" si="16"/>
        <v>OK</v>
      </c>
      <c r="M177" s="480" t="str">
        <f t="shared" si="12"/>
        <v>OK</v>
      </c>
      <c r="N177" s="383" t="b">
        <f t="shared" si="13"/>
        <v>0</v>
      </c>
      <c r="O177" s="383"/>
      <c r="P177" s="383"/>
      <c r="Q177" s="383"/>
      <c r="R177" s="383"/>
      <c r="S177" s="383"/>
      <c r="T177" s="383"/>
      <c r="U177" s="383"/>
      <c r="V177" s="383"/>
      <c r="W177" s="383"/>
      <c r="X177" s="383"/>
      <c r="Y177" s="383"/>
      <c r="Z177" s="383"/>
      <c r="AA177" s="383"/>
      <c r="AB177" s="383"/>
      <c r="AC177" s="383"/>
      <c r="AD177" s="383"/>
      <c r="AE177" s="383"/>
      <c r="AF177" s="383"/>
      <c r="AG177" s="383"/>
      <c r="AH177" s="383"/>
      <c r="AI177" s="383"/>
      <c r="AJ177" s="383"/>
      <c r="AK177" s="383"/>
      <c r="AL177" s="383"/>
      <c r="AM177" s="383"/>
      <c r="AN177" s="383"/>
      <c r="AO177" s="383"/>
      <c r="AP177" s="383"/>
      <c r="AQ177" s="383"/>
      <c r="AR177" s="383"/>
      <c r="AS177" s="383"/>
      <c r="AT177" s="383"/>
      <c r="AU177" s="383"/>
      <c r="AV177" s="383"/>
      <c r="AW177" s="383"/>
      <c r="AX177" s="383"/>
      <c r="AY177" s="383"/>
      <c r="AZ177" s="383"/>
      <c r="BA177" s="383"/>
      <c r="BB177" s="383"/>
      <c r="BC177" s="383"/>
      <c r="BD177" s="383"/>
      <c r="BE177" s="383"/>
      <c r="BF177" s="383"/>
      <c r="BG177" s="383"/>
      <c r="BH177" s="383"/>
      <c r="BI177" s="383"/>
      <c r="BJ177" s="383"/>
      <c r="BK177" s="383"/>
      <c r="BL177" s="383"/>
      <c r="BM177" s="383"/>
      <c r="BN177" s="383"/>
      <c r="BO177" s="383"/>
      <c r="BP177" s="383"/>
      <c r="BQ177" s="383"/>
      <c r="BR177" s="383"/>
      <c r="BS177" s="383"/>
      <c r="BT177" s="383"/>
      <c r="BU177" s="383"/>
      <c r="BV177" s="383"/>
      <c r="BW177" s="383"/>
      <c r="BX177" s="383"/>
      <c r="BY177" s="383"/>
      <c r="BZ177" s="383"/>
      <c r="CA177" s="383"/>
      <c r="CB177" s="383"/>
      <c r="CC177" s="383"/>
      <c r="CD177" s="383"/>
      <c r="CE177" s="383"/>
      <c r="CF177" s="383"/>
      <c r="CG177" s="383"/>
      <c r="CH177" s="383"/>
      <c r="CI177" s="383"/>
      <c r="CJ177" s="383"/>
      <c r="CK177" s="383"/>
      <c r="CL177" s="383"/>
      <c r="CM177" s="383"/>
      <c r="CN177" s="383"/>
      <c r="CO177" s="383"/>
      <c r="CP177" s="383"/>
      <c r="CQ177" s="383"/>
      <c r="CR177" s="383"/>
      <c r="CS177" s="383"/>
      <c r="CT177" s="383"/>
      <c r="CU177" s="383"/>
      <c r="CV177" s="383"/>
      <c r="CW177" s="383"/>
      <c r="CX177" s="383"/>
      <c r="CY177" s="383"/>
      <c r="CZ177" s="383"/>
      <c r="DA177" s="383"/>
      <c r="DB177" s="383"/>
      <c r="DC177" s="383"/>
      <c r="DD177" s="383"/>
      <c r="DE177" s="383"/>
      <c r="DF177" s="383"/>
      <c r="DG177" s="383"/>
      <c r="DH177" s="383"/>
      <c r="DI177" s="383"/>
      <c r="DJ177" s="383"/>
      <c r="DK177" s="383"/>
      <c r="DL177" s="383"/>
      <c r="DM177" s="383"/>
      <c r="DN177" s="383"/>
      <c r="DO177" s="383"/>
      <c r="DP177" s="383"/>
      <c r="DQ177" s="383"/>
      <c r="DR177" s="383"/>
      <c r="DS177" s="383"/>
      <c r="DT177" s="383"/>
      <c r="DU177" s="383"/>
      <c r="DV177" s="383"/>
      <c r="DW177" s="383"/>
      <c r="DX177" s="383"/>
      <c r="DY177" s="383"/>
      <c r="DZ177" s="383"/>
      <c r="EA177" s="383"/>
      <c r="EB177" s="383"/>
      <c r="EC177" s="383"/>
      <c r="ED177" s="383"/>
      <c r="EE177" s="383"/>
      <c r="EF177" s="383"/>
      <c r="EG177" s="383"/>
      <c r="EH177" s="383"/>
      <c r="EI177" s="383"/>
      <c r="EJ177" s="383"/>
      <c r="EK177" s="383"/>
      <c r="EL177" s="383"/>
      <c r="EM177" s="383"/>
      <c r="EN177" s="383"/>
      <c r="EO177" s="383"/>
      <c r="EP177" s="383"/>
      <c r="EQ177" s="383"/>
      <c r="ER177" s="383"/>
      <c r="ES177" s="383"/>
      <c r="ET177" s="383"/>
      <c r="EU177" s="383"/>
      <c r="EV177" s="383"/>
      <c r="EW177" s="383"/>
      <c r="EX177" s="383"/>
      <c r="EY177" s="383"/>
      <c r="EZ177" s="383"/>
      <c r="FA177" s="383"/>
      <c r="FB177" s="383"/>
      <c r="FC177" s="383"/>
      <c r="FD177" s="383"/>
      <c r="FE177" s="383"/>
      <c r="FF177" s="383"/>
      <c r="FG177" s="383"/>
      <c r="FH177" s="383"/>
      <c r="FI177" s="383"/>
      <c r="FJ177" s="383"/>
      <c r="FK177" s="383"/>
      <c r="FL177" s="383"/>
      <c r="FM177" s="383"/>
      <c r="FN177" s="383"/>
      <c r="FO177" s="383"/>
      <c r="FP177" s="383"/>
      <c r="FQ177" s="383"/>
      <c r="FR177" s="383"/>
      <c r="FS177" s="383"/>
      <c r="FT177" s="383"/>
      <c r="FU177" s="383"/>
      <c r="FV177" s="383"/>
      <c r="FW177" s="383"/>
      <c r="FX177" s="383"/>
      <c r="FY177" s="383"/>
      <c r="FZ177" s="383"/>
      <c r="GA177" s="383"/>
      <c r="GB177" s="383"/>
      <c r="GC177" s="383"/>
      <c r="GD177" s="383"/>
      <c r="GE177" s="383"/>
      <c r="GF177" s="383"/>
      <c r="GG177" s="383"/>
      <c r="GH177" s="383"/>
      <c r="GI177" s="383"/>
      <c r="GJ177" s="383"/>
      <c r="GK177" s="383"/>
      <c r="GL177" s="383"/>
      <c r="GM177" s="383"/>
      <c r="GN177" s="383"/>
      <c r="GO177" s="383"/>
      <c r="GP177" s="383"/>
      <c r="GQ177" s="383"/>
      <c r="GR177" s="383"/>
      <c r="GS177" s="383"/>
      <c r="GT177" s="383"/>
      <c r="GU177" s="383"/>
      <c r="GV177" s="383"/>
      <c r="GW177" s="383"/>
      <c r="GX177" s="383"/>
      <c r="GY177" s="383"/>
      <c r="GZ177" s="383"/>
      <c r="HA177" s="383"/>
      <c r="HB177" s="383"/>
      <c r="HC177" s="383"/>
      <c r="HD177" s="383"/>
      <c r="HE177" s="383"/>
      <c r="HF177" s="383"/>
      <c r="HG177" s="383"/>
      <c r="HH177" s="383"/>
      <c r="HI177" s="383"/>
      <c r="HJ177" s="383"/>
      <c r="HK177" s="383"/>
      <c r="HL177" s="383"/>
      <c r="HM177" s="383"/>
      <c r="HN177" s="383"/>
      <c r="HO177" s="383"/>
      <c r="HP177" s="383"/>
      <c r="HQ177" s="383"/>
      <c r="HR177" s="383"/>
      <c r="HS177" s="383"/>
      <c r="HT177" s="383"/>
      <c r="HU177" s="383"/>
      <c r="HV177" s="383"/>
      <c r="HW177" s="383"/>
      <c r="HX177" s="383"/>
      <c r="HY177" s="383"/>
      <c r="HZ177" s="383"/>
      <c r="IA177" s="383"/>
      <c r="IB177" s="383"/>
      <c r="IC177" s="383"/>
      <c r="ID177" s="383"/>
      <c r="IE177" s="383"/>
      <c r="IF177" s="383"/>
      <c r="IG177" s="383"/>
      <c r="IH177" s="383"/>
      <c r="II177" s="383"/>
      <c r="IJ177" s="383"/>
      <c r="IK177" s="383"/>
      <c r="IL177" s="383"/>
    </row>
    <row r="178" spans="1:246" ht="27.75" customHeight="1" thickBot="1">
      <c r="A178" s="516" t="s">
        <v>808</v>
      </c>
      <c r="B178" s="522" t="s">
        <v>853</v>
      </c>
      <c r="C178" s="523" t="s">
        <v>162</v>
      </c>
      <c r="D178" s="61"/>
      <c r="E178" s="524" t="s">
        <v>381</v>
      </c>
      <c r="F178" s="525" t="s">
        <v>927</v>
      </c>
      <c r="G178" s="479" t="str">
        <f t="shared" si="17"/>
        <v>07/2025</v>
      </c>
      <c r="H178" s="341">
        <f>SUMIF(VI.A!$B$6:$B$5963,B178,VI.A!$L$6:$L$5963)</f>
        <v>4224</v>
      </c>
      <c r="I178" s="341" t="str">
        <f t="shared" si="26"/>
        <v>si</v>
      </c>
      <c r="J178" s="383"/>
      <c r="K178" s="384" t="str">
        <f>IF(E178="SABESP","OK",VLOOKUP(F178,[6]CSD!$B$11:$F$10265,4,FALSE))</f>
        <v>OK</v>
      </c>
      <c r="L178" s="384" t="str">
        <f t="shared" si="16"/>
        <v>OK</v>
      </c>
      <c r="M178" s="480" t="str">
        <f t="shared" si="12"/>
        <v>OK</v>
      </c>
      <c r="N178" s="383" t="b">
        <f t="shared" si="13"/>
        <v>0</v>
      </c>
      <c r="O178" s="383"/>
      <c r="P178" s="383"/>
      <c r="Q178" s="383"/>
      <c r="R178" s="383"/>
      <c r="S178" s="383"/>
      <c r="T178" s="383"/>
      <c r="U178" s="383"/>
      <c r="V178" s="383"/>
      <c r="W178" s="383"/>
      <c r="X178" s="383"/>
      <c r="Y178" s="383"/>
      <c r="Z178" s="383"/>
      <c r="AA178" s="383"/>
      <c r="AB178" s="383"/>
      <c r="AC178" s="383"/>
      <c r="AD178" s="383"/>
      <c r="AE178" s="383"/>
      <c r="AF178" s="383"/>
      <c r="AG178" s="383"/>
      <c r="AH178" s="383"/>
      <c r="AI178" s="383"/>
      <c r="AJ178" s="383"/>
      <c r="AK178" s="383"/>
      <c r="AL178" s="383"/>
      <c r="AM178" s="383"/>
      <c r="AN178" s="383"/>
      <c r="AO178" s="383"/>
      <c r="AP178" s="383"/>
      <c r="AQ178" s="383"/>
      <c r="AR178" s="383"/>
      <c r="AS178" s="383"/>
      <c r="AT178" s="383"/>
      <c r="AU178" s="383"/>
      <c r="AV178" s="383"/>
      <c r="AW178" s="383"/>
      <c r="AX178" s="383"/>
      <c r="AY178" s="383"/>
      <c r="AZ178" s="383"/>
      <c r="BA178" s="383"/>
      <c r="BB178" s="383"/>
      <c r="BC178" s="383"/>
      <c r="BD178" s="383"/>
      <c r="BE178" s="383"/>
      <c r="BF178" s="383"/>
      <c r="BG178" s="383"/>
      <c r="BH178" s="383"/>
      <c r="BI178" s="383"/>
      <c r="BJ178" s="383"/>
      <c r="BK178" s="383"/>
      <c r="BL178" s="383"/>
      <c r="BM178" s="383"/>
      <c r="BN178" s="383"/>
      <c r="BO178" s="383"/>
      <c r="BP178" s="383"/>
      <c r="BQ178" s="383"/>
      <c r="BR178" s="383"/>
      <c r="BS178" s="383"/>
      <c r="BT178" s="383"/>
      <c r="BU178" s="383"/>
      <c r="BV178" s="383"/>
      <c r="BW178" s="383"/>
      <c r="BX178" s="383"/>
      <c r="BY178" s="383"/>
      <c r="BZ178" s="383"/>
      <c r="CA178" s="383"/>
      <c r="CB178" s="383"/>
      <c r="CC178" s="383"/>
      <c r="CD178" s="383"/>
      <c r="CE178" s="383"/>
      <c r="CF178" s="383"/>
      <c r="CG178" s="383"/>
      <c r="CH178" s="383"/>
      <c r="CI178" s="383"/>
      <c r="CJ178" s="383"/>
      <c r="CK178" s="383"/>
      <c r="CL178" s="383"/>
      <c r="CM178" s="383"/>
      <c r="CN178" s="383"/>
      <c r="CO178" s="383"/>
      <c r="CP178" s="383"/>
      <c r="CQ178" s="383"/>
      <c r="CR178" s="383"/>
      <c r="CS178" s="383"/>
      <c r="CT178" s="383"/>
      <c r="CU178" s="383"/>
      <c r="CV178" s="383"/>
      <c r="CW178" s="383"/>
      <c r="CX178" s="383"/>
      <c r="CY178" s="383"/>
      <c r="CZ178" s="383"/>
      <c r="DA178" s="383"/>
      <c r="DB178" s="383"/>
      <c r="DC178" s="383"/>
      <c r="DD178" s="383"/>
      <c r="DE178" s="383"/>
      <c r="DF178" s="383"/>
      <c r="DG178" s="383"/>
      <c r="DH178" s="383"/>
      <c r="DI178" s="383"/>
      <c r="DJ178" s="383"/>
      <c r="DK178" s="383"/>
      <c r="DL178" s="383"/>
      <c r="DM178" s="383"/>
      <c r="DN178" s="383"/>
      <c r="DO178" s="383"/>
      <c r="DP178" s="383"/>
      <c r="DQ178" s="383"/>
      <c r="DR178" s="383"/>
      <c r="DS178" s="383"/>
      <c r="DT178" s="383"/>
      <c r="DU178" s="383"/>
      <c r="DV178" s="383"/>
      <c r="DW178" s="383"/>
      <c r="DX178" s="383"/>
      <c r="DY178" s="383"/>
      <c r="DZ178" s="383"/>
      <c r="EA178" s="383"/>
      <c r="EB178" s="383"/>
      <c r="EC178" s="383"/>
      <c r="ED178" s="383"/>
      <c r="EE178" s="383"/>
      <c r="EF178" s="383"/>
      <c r="EG178" s="383"/>
      <c r="EH178" s="383"/>
      <c r="EI178" s="383"/>
      <c r="EJ178" s="383"/>
      <c r="EK178" s="383"/>
      <c r="EL178" s="383"/>
      <c r="EM178" s="383"/>
      <c r="EN178" s="383"/>
      <c r="EO178" s="383"/>
      <c r="EP178" s="383"/>
      <c r="EQ178" s="383"/>
      <c r="ER178" s="383"/>
      <c r="ES178" s="383"/>
      <c r="ET178" s="383"/>
      <c r="EU178" s="383"/>
      <c r="EV178" s="383"/>
      <c r="EW178" s="383"/>
      <c r="EX178" s="383"/>
      <c r="EY178" s="383"/>
      <c r="EZ178" s="383"/>
      <c r="FA178" s="383"/>
      <c r="FB178" s="383"/>
      <c r="FC178" s="383"/>
      <c r="FD178" s="383"/>
      <c r="FE178" s="383"/>
      <c r="FF178" s="383"/>
      <c r="FG178" s="383"/>
      <c r="FH178" s="383"/>
      <c r="FI178" s="383"/>
      <c r="FJ178" s="383"/>
      <c r="FK178" s="383"/>
      <c r="FL178" s="383"/>
      <c r="FM178" s="383"/>
      <c r="FN178" s="383"/>
      <c r="FO178" s="383"/>
      <c r="FP178" s="383"/>
      <c r="FQ178" s="383"/>
      <c r="FR178" s="383"/>
      <c r="FS178" s="383"/>
      <c r="FT178" s="383"/>
      <c r="FU178" s="383"/>
      <c r="FV178" s="383"/>
      <c r="FW178" s="383"/>
      <c r="FX178" s="383"/>
      <c r="FY178" s="383"/>
      <c r="FZ178" s="383"/>
      <c r="GA178" s="383"/>
      <c r="GB178" s="383"/>
      <c r="GC178" s="383"/>
      <c r="GD178" s="383"/>
      <c r="GE178" s="383"/>
      <c r="GF178" s="383"/>
      <c r="GG178" s="383"/>
      <c r="GH178" s="383"/>
      <c r="GI178" s="383"/>
      <c r="GJ178" s="383"/>
      <c r="GK178" s="383"/>
      <c r="GL178" s="383"/>
      <c r="GM178" s="383"/>
      <c r="GN178" s="383"/>
      <c r="GO178" s="383"/>
      <c r="GP178" s="383"/>
      <c r="GQ178" s="383"/>
      <c r="GR178" s="383"/>
      <c r="GS178" s="383"/>
      <c r="GT178" s="383"/>
      <c r="GU178" s="383"/>
      <c r="GV178" s="383"/>
      <c r="GW178" s="383"/>
      <c r="GX178" s="383"/>
      <c r="GY178" s="383"/>
      <c r="GZ178" s="383"/>
      <c r="HA178" s="383"/>
      <c r="HB178" s="383"/>
      <c r="HC178" s="383"/>
      <c r="HD178" s="383"/>
      <c r="HE178" s="383"/>
      <c r="HF178" s="383"/>
      <c r="HG178" s="383"/>
      <c r="HH178" s="383"/>
      <c r="HI178" s="383"/>
      <c r="HJ178" s="383"/>
      <c r="HK178" s="383"/>
      <c r="HL178" s="383"/>
      <c r="HM178" s="383"/>
      <c r="HN178" s="383"/>
      <c r="HO178" s="383"/>
      <c r="HP178" s="383"/>
      <c r="HQ178" s="383"/>
      <c r="HR178" s="383"/>
      <c r="HS178" s="383"/>
      <c r="HT178" s="383"/>
      <c r="HU178" s="383"/>
      <c r="HV178" s="383"/>
      <c r="HW178" s="383"/>
      <c r="HX178" s="383"/>
      <c r="HY178" s="383"/>
      <c r="HZ178" s="383"/>
      <c r="IA178" s="383"/>
      <c r="IB178" s="383"/>
      <c r="IC178" s="383"/>
      <c r="ID178" s="383"/>
      <c r="IE178" s="383"/>
      <c r="IF178" s="383"/>
      <c r="IG178" s="383"/>
      <c r="IH178" s="383"/>
      <c r="II178" s="383"/>
      <c r="IJ178" s="383"/>
      <c r="IK178" s="383"/>
      <c r="IL178" s="383"/>
    </row>
    <row r="179" spans="1:246" s="351" customFormat="1" ht="15" customHeight="1" thickBot="1">
      <c r="A179" s="526"/>
      <c r="B179" s="527"/>
      <c r="C179" s="526"/>
      <c r="D179" s="528"/>
      <c r="E179" s="526"/>
      <c r="F179" s="529"/>
      <c r="G179" s="530"/>
      <c r="H179" s="474"/>
      <c r="J179" s="383"/>
      <c r="K179" s="383"/>
      <c r="L179" s="384"/>
      <c r="M179" s="480"/>
      <c r="N179" s="383"/>
      <c r="O179" s="381"/>
      <c r="P179" s="381"/>
      <c r="Q179" s="381"/>
      <c r="R179" s="381"/>
      <c r="S179" s="381"/>
      <c r="T179" s="381"/>
      <c r="U179" s="381"/>
      <c r="V179" s="381"/>
      <c r="W179" s="381"/>
      <c r="X179" s="381"/>
      <c r="Y179" s="381"/>
      <c r="Z179" s="381"/>
      <c r="AA179" s="381"/>
      <c r="AB179" s="381"/>
      <c r="AC179" s="381"/>
      <c r="AD179" s="381"/>
      <c r="AE179" s="381"/>
      <c r="AF179" s="381"/>
      <c r="AG179" s="381"/>
      <c r="AH179" s="381"/>
      <c r="AI179" s="381"/>
      <c r="AJ179" s="381"/>
      <c r="AK179" s="381"/>
      <c r="AL179" s="381"/>
      <c r="AM179" s="381"/>
      <c r="AN179" s="381"/>
      <c r="AO179" s="381"/>
      <c r="AP179" s="381"/>
      <c r="AQ179" s="381"/>
      <c r="AR179" s="381"/>
      <c r="AS179" s="381"/>
      <c r="AT179" s="381"/>
      <c r="AU179" s="381"/>
      <c r="AV179" s="381"/>
      <c r="AW179" s="381"/>
      <c r="AX179" s="381"/>
      <c r="AY179" s="381"/>
      <c r="AZ179" s="381"/>
      <c r="BA179" s="381"/>
      <c r="BB179" s="381"/>
      <c r="BC179" s="381"/>
      <c r="BD179" s="381"/>
      <c r="BE179" s="381"/>
      <c r="BF179" s="381"/>
      <c r="BG179" s="381"/>
      <c r="BH179" s="381"/>
      <c r="BI179" s="381"/>
      <c r="BJ179" s="381"/>
      <c r="BK179" s="381"/>
      <c r="BL179" s="381"/>
      <c r="BM179" s="381"/>
      <c r="BN179" s="381"/>
      <c r="BO179" s="381"/>
      <c r="BP179" s="381"/>
      <c r="BQ179" s="381"/>
      <c r="BR179" s="381"/>
      <c r="BS179" s="381"/>
      <c r="BT179" s="381"/>
      <c r="BU179" s="381"/>
      <c r="BV179" s="381"/>
      <c r="BW179" s="381"/>
      <c r="BX179" s="381"/>
      <c r="BY179" s="381"/>
      <c r="BZ179" s="381"/>
      <c r="CA179" s="381"/>
      <c r="CB179" s="381"/>
      <c r="CC179" s="381"/>
      <c r="CD179" s="381"/>
      <c r="CE179" s="381"/>
      <c r="CF179" s="381"/>
      <c r="CG179" s="381"/>
      <c r="CH179" s="381"/>
      <c r="CI179" s="381"/>
      <c r="CJ179" s="381"/>
      <c r="CK179" s="381"/>
      <c r="CL179" s="381"/>
      <c r="CM179" s="381"/>
      <c r="CN179" s="381"/>
      <c r="CO179" s="381"/>
      <c r="CP179" s="381"/>
      <c r="CQ179" s="381"/>
      <c r="CR179" s="381"/>
      <c r="CS179" s="381"/>
      <c r="CT179" s="381"/>
      <c r="CU179" s="381"/>
      <c r="CV179" s="381"/>
      <c r="CW179" s="381"/>
      <c r="CX179" s="381"/>
      <c r="CY179" s="381"/>
      <c r="CZ179" s="381"/>
      <c r="DA179" s="381"/>
      <c r="DB179" s="381"/>
      <c r="DC179" s="381"/>
      <c r="DD179" s="381"/>
      <c r="DE179" s="381"/>
      <c r="DF179" s="381"/>
      <c r="DG179" s="381"/>
      <c r="DH179" s="381"/>
      <c r="DI179" s="381"/>
      <c r="DJ179" s="381"/>
      <c r="DK179" s="381"/>
      <c r="DL179" s="381"/>
      <c r="DM179" s="381"/>
      <c r="DN179" s="381"/>
      <c r="DO179" s="381"/>
      <c r="DP179" s="381"/>
      <c r="DQ179" s="381"/>
      <c r="DR179" s="381"/>
      <c r="DS179" s="381"/>
      <c r="DT179" s="381"/>
      <c r="DU179" s="381"/>
      <c r="DV179" s="381"/>
      <c r="DW179" s="381"/>
      <c r="DX179" s="381"/>
      <c r="DY179" s="381"/>
      <c r="DZ179" s="381"/>
      <c r="EA179" s="381"/>
      <c r="EB179" s="381"/>
      <c r="EC179" s="381"/>
      <c r="ED179" s="381"/>
      <c r="EE179" s="381"/>
      <c r="EF179" s="381"/>
      <c r="EG179" s="381"/>
      <c r="EH179" s="381"/>
      <c r="EI179" s="381"/>
      <c r="EJ179" s="381"/>
      <c r="EK179" s="381"/>
      <c r="EL179" s="381"/>
      <c r="EM179" s="381"/>
      <c r="EN179" s="381"/>
      <c r="EO179" s="381"/>
      <c r="EP179" s="381"/>
      <c r="EQ179" s="381"/>
      <c r="ER179" s="381"/>
      <c r="ES179" s="381"/>
      <c r="ET179" s="381"/>
      <c r="EU179" s="381"/>
      <c r="EV179" s="381"/>
      <c r="EW179" s="381"/>
      <c r="EX179" s="381"/>
      <c r="EY179" s="381"/>
      <c r="EZ179" s="381"/>
      <c r="FA179" s="381"/>
      <c r="FB179" s="381"/>
      <c r="FC179" s="381"/>
      <c r="FD179" s="381"/>
      <c r="FE179" s="381"/>
      <c r="FF179" s="381"/>
      <c r="FG179" s="381"/>
      <c r="FH179" s="381"/>
      <c r="FI179" s="381"/>
      <c r="FJ179" s="381"/>
      <c r="FK179" s="381"/>
      <c r="FL179" s="381"/>
      <c r="FM179" s="381"/>
      <c r="FN179" s="381"/>
      <c r="FO179" s="381"/>
      <c r="FP179" s="381"/>
      <c r="FQ179" s="381"/>
      <c r="FR179" s="381"/>
      <c r="FS179" s="381"/>
      <c r="FT179" s="381"/>
      <c r="FU179" s="381"/>
      <c r="FV179" s="381"/>
      <c r="FW179" s="381"/>
      <c r="FX179" s="381"/>
      <c r="FY179" s="381"/>
      <c r="FZ179" s="381"/>
      <c r="GA179" s="381"/>
      <c r="GB179" s="381"/>
      <c r="GC179" s="381"/>
      <c r="GD179" s="381"/>
      <c r="GE179" s="381"/>
      <c r="GF179" s="381"/>
      <c r="GG179" s="381"/>
      <c r="GH179" s="381"/>
      <c r="GI179" s="381"/>
      <c r="GJ179" s="381"/>
      <c r="GK179" s="381"/>
      <c r="GL179" s="381"/>
      <c r="GM179" s="381"/>
      <c r="GN179" s="381"/>
      <c r="GO179" s="381"/>
      <c r="GP179" s="381"/>
      <c r="GQ179" s="381"/>
      <c r="GR179" s="381"/>
      <c r="GS179" s="381"/>
      <c r="GT179" s="381"/>
      <c r="GU179" s="381"/>
      <c r="GV179" s="381"/>
      <c r="GW179" s="381"/>
      <c r="GX179" s="381"/>
      <c r="GY179" s="381"/>
      <c r="GZ179" s="381"/>
      <c r="HA179" s="381"/>
      <c r="HB179" s="381"/>
      <c r="HC179" s="381"/>
      <c r="HD179" s="381"/>
      <c r="HE179" s="381"/>
      <c r="HF179" s="381"/>
      <c r="HG179" s="381"/>
      <c r="HH179" s="381"/>
      <c r="HI179" s="381"/>
      <c r="HJ179" s="381"/>
    </row>
    <row r="180" spans="1:246" s="513" customFormat="1" ht="20.100000000000001" customHeight="1" thickBot="1">
      <c r="A180" s="510" t="s">
        <v>47</v>
      </c>
      <c r="B180" s="496" t="s">
        <v>236</v>
      </c>
      <c r="C180" s="497" t="s">
        <v>166</v>
      </c>
      <c r="D180" s="57" t="s">
        <v>811</v>
      </c>
      <c r="E180" s="3" t="s">
        <v>812</v>
      </c>
      <c r="F180" s="64" t="s">
        <v>813</v>
      </c>
      <c r="G180" s="511" t="s">
        <v>814</v>
      </c>
      <c r="H180" s="474"/>
      <c r="I180" s="531"/>
      <c r="J180" s="383"/>
      <c r="K180" s="383"/>
      <c r="L180" s="384"/>
      <c r="M180" s="480"/>
      <c r="N180" s="383"/>
      <c r="O180" s="512"/>
      <c r="P180" s="512"/>
      <c r="Q180" s="512"/>
      <c r="R180" s="512"/>
      <c r="S180" s="512"/>
      <c r="T180" s="512"/>
      <c r="U180" s="512"/>
      <c r="V180" s="512"/>
      <c r="W180" s="512"/>
      <c r="X180" s="512"/>
      <c r="Y180" s="512"/>
      <c r="Z180" s="512"/>
      <c r="AA180" s="512"/>
      <c r="AB180" s="512"/>
      <c r="AC180" s="512"/>
      <c r="AD180" s="512"/>
      <c r="AE180" s="512"/>
      <c r="AF180" s="512"/>
      <c r="AG180" s="512"/>
      <c r="AH180" s="512"/>
      <c r="AI180" s="512"/>
      <c r="AJ180" s="512"/>
      <c r="AK180" s="512"/>
      <c r="AL180" s="512"/>
      <c r="AM180" s="512"/>
      <c r="AN180" s="512"/>
      <c r="AO180" s="512"/>
      <c r="AP180" s="512"/>
      <c r="AQ180" s="512"/>
      <c r="AR180" s="512"/>
      <c r="AS180" s="512"/>
      <c r="AT180" s="512"/>
      <c r="AU180" s="512"/>
      <c r="AV180" s="512"/>
      <c r="AW180" s="512"/>
      <c r="AX180" s="512"/>
      <c r="AY180" s="512"/>
      <c r="AZ180" s="512"/>
      <c r="BA180" s="512"/>
      <c r="BB180" s="512"/>
      <c r="BC180" s="512"/>
      <c r="BD180" s="512"/>
      <c r="BE180" s="512"/>
      <c r="BF180" s="512"/>
      <c r="BG180" s="512"/>
      <c r="BH180" s="512"/>
      <c r="BI180" s="512"/>
      <c r="BJ180" s="512"/>
      <c r="BK180" s="512"/>
      <c r="BL180" s="512"/>
      <c r="BM180" s="512"/>
      <c r="BN180" s="512"/>
      <c r="BO180" s="512"/>
      <c r="BP180" s="512"/>
      <c r="BQ180" s="512"/>
      <c r="BR180" s="512"/>
      <c r="BS180" s="512"/>
      <c r="BT180" s="512"/>
      <c r="BU180" s="512"/>
      <c r="BV180" s="512"/>
      <c r="BW180" s="512"/>
      <c r="BX180" s="512"/>
      <c r="BY180" s="512"/>
      <c r="BZ180" s="512"/>
      <c r="CA180" s="512"/>
      <c r="CB180" s="512"/>
      <c r="CC180" s="512"/>
      <c r="CD180" s="512"/>
      <c r="CE180" s="512"/>
      <c r="CF180" s="512"/>
      <c r="CG180" s="512"/>
      <c r="CH180" s="512"/>
      <c r="CI180" s="512"/>
      <c r="CJ180" s="512"/>
      <c r="CK180" s="512"/>
      <c r="CL180" s="512"/>
      <c r="CM180" s="512"/>
      <c r="CN180" s="512"/>
      <c r="CO180" s="512"/>
      <c r="CP180" s="512"/>
      <c r="CQ180" s="512"/>
      <c r="CR180" s="512"/>
      <c r="CS180" s="512"/>
      <c r="CT180" s="512"/>
      <c r="CU180" s="512"/>
      <c r="CV180" s="512"/>
      <c r="CW180" s="512"/>
      <c r="CX180" s="512"/>
      <c r="CY180" s="512"/>
      <c r="CZ180" s="512"/>
      <c r="DA180" s="512"/>
      <c r="DB180" s="512"/>
      <c r="DC180" s="512"/>
      <c r="DD180" s="512"/>
      <c r="DE180" s="512"/>
      <c r="DF180" s="512"/>
      <c r="DG180" s="512"/>
      <c r="DH180" s="512"/>
      <c r="DI180" s="512"/>
      <c r="DJ180" s="512"/>
      <c r="DK180" s="512"/>
      <c r="DL180" s="512"/>
      <c r="DM180" s="512"/>
      <c r="DN180" s="512"/>
      <c r="DO180" s="512"/>
      <c r="DP180" s="512"/>
      <c r="DQ180" s="512"/>
      <c r="DR180" s="512"/>
      <c r="DS180" s="512"/>
      <c r="DT180" s="512"/>
      <c r="DU180" s="512"/>
      <c r="DV180" s="512"/>
      <c r="DW180" s="512"/>
      <c r="DX180" s="512"/>
      <c r="DY180" s="512"/>
      <c r="DZ180" s="512"/>
      <c r="EA180" s="512"/>
      <c r="EB180" s="512"/>
      <c r="EC180" s="512"/>
      <c r="ED180" s="512"/>
      <c r="EE180" s="512"/>
      <c r="EF180" s="512"/>
      <c r="EG180" s="512"/>
      <c r="EH180" s="512"/>
      <c r="EI180" s="512"/>
      <c r="EJ180" s="512"/>
      <c r="EK180" s="512"/>
      <c r="EL180" s="512"/>
      <c r="EM180" s="512"/>
      <c r="EN180" s="512"/>
      <c r="EO180" s="512"/>
      <c r="EP180" s="512"/>
      <c r="EQ180" s="512"/>
      <c r="ER180" s="512"/>
      <c r="ES180" s="512"/>
      <c r="ET180" s="512"/>
      <c r="EU180" s="512"/>
      <c r="EV180" s="512"/>
      <c r="EW180" s="512"/>
      <c r="EX180" s="512"/>
      <c r="EY180" s="512"/>
      <c r="EZ180" s="512"/>
      <c r="FA180" s="512"/>
      <c r="FB180" s="512"/>
      <c r="FC180" s="512"/>
      <c r="FD180" s="512"/>
      <c r="FE180" s="512"/>
      <c r="FF180" s="512"/>
      <c r="FG180" s="512"/>
      <c r="FH180" s="512"/>
      <c r="FI180" s="512"/>
      <c r="FJ180" s="512"/>
      <c r="FK180" s="512"/>
      <c r="FL180" s="512"/>
      <c r="FM180" s="512"/>
      <c r="FN180" s="512"/>
      <c r="FO180" s="512"/>
      <c r="FP180" s="512"/>
      <c r="FQ180" s="512"/>
      <c r="FR180" s="512"/>
      <c r="FS180" s="512"/>
      <c r="FT180" s="512"/>
      <c r="FU180" s="512"/>
      <c r="FV180" s="512"/>
      <c r="FW180" s="512"/>
      <c r="FX180" s="512"/>
      <c r="FY180" s="512"/>
      <c r="FZ180" s="512"/>
      <c r="GA180" s="512"/>
      <c r="GB180" s="512"/>
      <c r="GC180" s="512"/>
      <c r="GD180" s="512"/>
      <c r="GE180" s="512"/>
      <c r="GF180" s="512"/>
      <c r="GG180" s="512"/>
      <c r="GH180" s="512"/>
      <c r="GI180" s="512"/>
      <c r="GJ180" s="512"/>
      <c r="GK180" s="512"/>
      <c r="GL180" s="512"/>
      <c r="GM180" s="512"/>
      <c r="GN180" s="512"/>
      <c r="GO180" s="512"/>
      <c r="GP180" s="512"/>
      <c r="GQ180" s="512"/>
      <c r="GR180" s="512"/>
      <c r="GS180" s="512"/>
      <c r="GT180" s="512"/>
      <c r="GU180" s="512"/>
      <c r="GV180" s="512"/>
      <c r="GW180" s="512"/>
      <c r="GX180" s="512"/>
      <c r="GY180" s="512"/>
      <c r="GZ180" s="512"/>
      <c r="HA180" s="512"/>
      <c r="HB180" s="512"/>
      <c r="HC180" s="512"/>
      <c r="HD180" s="512"/>
      <c r="HE180" s="512"/>
      <c r="HF180" s="512"/>
      <c r="HG180" s="512"/>
      <c r="HH180" s="512"/>
      <c r="HI180" s="512"/>
      <c r="HJ180" s="512"/>
    </row>
    <row r="181" spans="1:246" ht="15" customHeight="1">
      <c r="A181" s="532" t="s">
        <v>33</v>
      </c>
      <c r="B181" s="476" t="s">
        <v>142</v>
      </c>
      <c r="C181" s="477" t="s">
        <v>131</v>
      </c>
      <c r="D181" s="65"/>
      <c r="E181" s="498" t="s">
        <v>377</v>
      </c>
      <c r="F181" s="499">
        <v>6121</v>
      </c>
      <c r="G181" s="479" t="str">
        <f t="shared" ref="G181:G200" si="27">IF(TRIM(E181)="SINAPI", "01/2026",IF(TRIM(E181)="SABESP","07/2025","OUTRO"))</f>
        <v>01/2026</v>
      </c>
      <c r="H181" s="341">
        <f>SUMIF(VI.A!$B$6:$B$5963,B181,VI.A!$L$6:$L$5963)</f>
        <v>32013.038580000004</v>
      </c>
      <c r="I181" s="341" t="str">
        <f t="shared" ref="I181:I190" si="28">IF(H181=0,"no","si")</f>
        <v>si</v>
      </c>
      <c r="J181" s="383"/>
      <c r="K181" s="383" t="str">
        <f t="array" ref="K181">IF(TRIM(E181)="SINAPI",VLOOKUP(TRIM(F181),TRIM([8]sheet1!$A$8:$E$4895),5,FALSE),"não encontrado")</f>
        <v>19,37</v>
      </c>
      <c r="L181" s="533">
        <v>21.5</v>
      </c>
      <c r="M181" s="480" t="str">
        <f>IFERROR(IF(K181="não encontrado",D181,K181),D181)</f>
        <v>19,37</v>
      </c>
      <c r="N181" s="383" t="b">
        <f t="shared" si="13"/>
        <v>0</v>
      </c>
      <c r="O181" s="383"/>
      <c r="P181" s="383"/>
      <c r="Q181" s="383"/>
      <c r="R181" s="383"/>
      <c r="S181" s="383"/>
      <c r="T181" s="383"/>
      <c r="U181" s="383"/>
      <c r="V181" s="383"/>
      <c r="W181" s="383"/>
      <c r="X181" s="383"/>
      <c r="Y181" s="383"/>
      <c r="Z181" s="383"/>
      <c r="AA181" s="383"/>
      <c r="AB181" s="383"/>
      <c r="AC181" s="383"/>
      <c r="AD181" s="383"/>
      <c r="AE181" s="383"/>
      <c r="AF181" s="383"/>
      <c r="AG181" s="383"/>
      <c r="AH181" s="383"/>
      <c r="AI181" s="383"/>
      <c r="AJ181" s="383"/>
      <c r="AK181" s="383"/>
      <c r="AL181" s="383"/>
      <c r="AM181" s="383"/>
      <c r="AN181" s="383"/>
      <c r="AO181" s="383"/>
      <c r="AP181" s="383"/>
      <c r="AQ181" s="383"/>
      <c r="AR181" s="383"/>
      <c r="AS181" s="383"/>
      <c r="AT181" s="383"/>
      <c r="AU181" s="383"/>
      <c r="AV181" s="383"/>
      <c r="AW181" s="383"/>
      <c r="AX181" s="383"/>
      <c r="AY181" s="383"/>
      <c r="AZ181" s="383"/>
      <c r="BA181" s="383"/>
      <c r="BB181" s="383"/>
      <c r="BC181" s="383"/>
      <c r="BD181" s="383"/>
      <c r="BE181" s="383"/>
      <c r="BF181" s="383"/>
      <c r="BG181" s="383"/>
      <c r="BH181" s="383"/>
      <c r="BI181" s="383"/>
      <c r="BJ181" s="383"/>
      <c r="BK181" s="383"/>
      <c r="BL181" s="383"/>
      <c r="BM181" s="383"/>
      <c r="BN181" s="383"/>
      <c r="BO181" s="383"/>
      <c r="BP181" s="383"/>
      <c r="BQ181" s="383"/>
      <c r="BR181" s="383"/>
      <c r="BS181" s="383"/>
      <c r="BT181" s="383"/>
      <c r="BU181" s="383"/>
      <c r="BV181" s="383"/>
      <c r="BW181" s="383"/>
      <c r="BX181" s="383"/>
      <c r="BY181" s="383"/>
      <c r="BZ181" s="383"/>
      <c r="CA181" s="383"/>
      <c r="CB181" s="383"/>
      <c r="CC181" s="383"/>
      <c r="CD181" s="383"/>
      <c r="CE181" s="383"/>
      <c r="CF181" s="383"/>
      <c r="CG181" s="383"/>
      <c r="CH181" s="383"/>
      <c r="CI181" s="383"/>
      <c r="CJ181" s="383"/>
      <c r="CK181" s="383"/>
      <c r="CL181" s="383"/>
      <c r="CM181" s="383"/>
      <c r="CN181" s="383"/>
      <c r="CO181" s="383"/>
      <c r="CP181" s="383"/>
      <c r="CQ181" s="383"/>
      <c r="CR181" s="383"/>
      <c r="CS181" s="383"/>
      <c r="CT181" s="383"/>
      <c r="CU181" s="383"/>
      <c r="CV181" s="383"/>
      <c r="CW181" s="383"/>
      <c r="CX181" s="383"/>
      <c r="CY181" s="383"/>
      <c r="CZ181" s="383"/>
      <c r="DA181" s="383"/>
      <c r="DB181" s="383"/>
      <c r="DC181" s="383"/>
      <c r="DD181" s="383"/>
      <c r="DE181" s="383"/>
      <c r="DF181" s="383"/>
      <c r="DG181" s="383"/>
      <c r="DH181" s="383"/>
      <c r="DI181" s="383"/>
      <c r="DJ181" s="383"/>
      <c r="DK181" s="383"/>
      <c r="DL181" s="383"/>
      <c r="DM181" s="383"/>
      <c r="DN181" s="383"/>
      <c r="DO181" s="383"/>
      <c r="DP181" s="383"/>
      <c r="DQ181" s="383"/>
      <c r="DR181" s="383"/>
      <c r="DS181" s="383"/>
      <c r="DT181" s="383"/>
      <c r="DU181" s="383"/>
      <c r="DV181" s="383"/>
      <c r="DW181" s="383"/>
      <c r="DX181" s="383"/>
      <c r="DY181" s="383"/>
      <c r="DZ181" s="383"/>
      <c r="EA181" s="383"/>
      <c r="EB181" s="383"/>
      <c r="EC181" s="383"/>
      <c r="ED181" s="383"/>
      <c r="EE181" s="383"/>
      <c r="EF181" s="383"/>
      <c r="EG181" s="383"/>
      <c r="EH181" s="383"/>
      <c r="EI181" s="383"/>
      <c r="EJ181" s="383"/>
      <c r="EK181" s="383"/>
      <c r="EL181" s="383"/>
      <c r="EM181" s="383"/>
      <c r="EN181" s="383"/>
      <c r="EO181" s="383"/>
      <c r="EP181" s="383"/>
      <c r="EQ181" s="383"/>
      <c r="ER181" s="383"/>
      <c r="ES181" s="383"/>
      <c r="ET181" s="383"/>
      <c r="EU181" s="383"/>
      <c r="EV181" s="383"/>
      <c r="EW181" s="383"/>
      <c r="EX181" s="383"/>
      <c r="EY181" s="383"/>
      <c r="EZ181" s="383"/>
      <c r="FA181" s="383"/>
      <c r="FB181" s="383"/>
      <c r="FC181" s="383"/>
      <c r="FD181" s="383"/>
      <c r="FE181" s="383"/>
      <c r="FF181" s="383"/>
      <c r="FG181" s="383"/>
      <c r="FH181" s="383"/>
      <c r="FI181" s="383"/>
      <c r="FJ181" s="383"/>
      <c r="FK181" s="383"/>
      <c r="FL181" s="383"/>
      <c r="FM181" s="383"/>
      <c r="FN181" s="383"/>
      <c r="FO181" s="383"/>
      <c r="FP181" s="383"/>
      <c r="FQ181" s="383"/>
      <c r="FR181" s="383"/>
      <c r="FS181" s="383"/>
      <c r="FT181" s="383"/>
      <c r="FU181" s="383"/>
      <c r="FV181" s="383"/>
      <c r="FW181" s="383"/>
      <c r="FX181" s="383"/>
      <c r="FY181" s="383"/>
      <c r="FZ181" s="383"/>
      <c r="GA181" s="383"/>
      <c r="GB181" s="383"/>
      <c r="GC181" s="383"/>
      <c r="GD181" s="383"/>
      <c r="GE181" s="383"/>
      <c r="GF181" s="383"/>
      <c r="GG181" s="383"/>
      <c r="GH181" s="383"/>
      <c r="GI181" s="383"/>
      <c r="GJ181" s="383"/>
      <c r="GK181" s="383"/>
      <c r="GL181" s="383"/>
      <c r="GM181" s="383"/>
      <c r="GN181" s="383"/>
      <c r="GO181" s="383"/>
      <c r="GP181" s="383"/>
      <c r="GQ181" s="383"/>
      <c r="GR181" s="383"/>
      <c r="GS181" s="383"/>
      <c r="GT181" s="383"/>
      <c r="GU181" s="383"/>
      <c r="GV181" s="383"/>
      <c r="GW181" s="383"/>
      <c r="GX181" s="383"/>
      <c r="GY181" s="383"/>
      <c r="GZ181" s="383"/>
      <c r="HA181" s="383"/>
      <c r="HB181" s="383"/>
      <c r="HC181" s="383"/>
      <c r="HD181" s="383"/>
      <c r="HE181" s="383"/>
      <c r="HF181" s="383"/>
      <c r="HG181" s="383"/>
      <c r="HH181" s="383"/>
      <c r="HI181" s="383"/>
      <c r="HJ181" s="383"/>
      <c r="HK181" s="383"/>
      <c r="HL181" s="383"/>
      <c r="HM181" s="383"/>
      <c r="HN181" s="383"/>
      <c r="HO181" s="383"/>
      <c r="HP181" s="383"/>
      <c r="HQ181" s="383"/>
      <c r="HR181" s="383"/>
      <c r="HS181" s="383"/>
      <c r="HT181" s="383"/>
      <c r="HU181" s="383"/>
      <c r="HV181" s="383"/>
      <c r="HW181" s="383"/>
      <c r="HX181" s="383"/>
      <c r="HY181" s="383"/>
      <c r="HZ181" s="383"/>
      <c r="IA181" s="383"/>
      <c r="IB181" s="383"/>
      <c r="IC181" s="383"/>
      <c r="ID181" s="383"/>
      <c r="IE181" s="383"/>
      <c r="IF181" s="383"/>
      <c r="IG181" s="383"/>
      <c r="IH181" s="383"/>
      <c r="II181" s="383"/>
      <c r="IJ181" s="383"/>
      <c r="IK181" s="383"/>
      <c r="IL181" s="383"/>
    </row>
    <row r="182" spans="1:246" ht="15" customHeight="1">
      <c r="A182" s="516" t="s">
        <v>22</v>
      </c>
      <c r="B182" s="482" t="s">
        <v>143</v>
      </c>
      <c r="C182" s="483" t="s">
        <v>131</v>
      </c>
      <c r="D182" s="69"/>
      <c r="E182" s="498" t="s">
        <v>377</v>
      </c>
      <c r="F182" s="484">
        <v>242</v>
      </c>
      <c r="G182" s="479" t="str">
        <f t="shared" si="27"/>
        <v>01/2026</v>
      </c>
      <c r="H182" s="341">
        <f>SUMIF(VI.A!$B$6:$B$5963,B182,VI.A!$L$6:$L$5963)</f>
        <v>2208</v>
      </c>
      <c r="I182" s="341" t="str">
        <f>IF(H182=0,"no","si")</f>
        <v>si</v>
      </c>
      <c r="J182" s="383"/>
      <c r="K182" s="383" t="str">
        <f t="array" ref="K182">IF(TRIM(E182)="SINAPI",VLOOKUP(TRIM(F182),TRIM([8]sheet1!$A$8:$E$4895),5,FALSE),"não encontrado")</f>
        <v>20,73</v>
      </c>
      <c r="L182" s="533">
        <v>23</v>
      </c>
      <c r="M182" s="480" t="str">
        <f t="shared" si="12"/>
        <v>20,73</v>
      </c>
      <c r="N182" s="383" t="b">
        <f t="shared" si="13"/>
        <v>0</v>
      </c>
      <c r="O182" s="383"/>
      <c r="P182" s="383"/>
      <c r="Q182" s="383"/>
      <c r="R182" s="383"/>
      <c r="S182" s="383"/>
      <c r="T182" s="383"/>
      <c r="U182" s="383"/>
      <c r="V182" s="383"/>
      <c r="W182" s="383"/>
      <c r="X182" s="383"/>
      <c r="Y182" s="383"/>
      <c r="Z182" s="383"/>
      <c r="AA182" s="383"/>
      <c r="AB182" s="383"/>
      <c r="AC182" s="383"/>
      <c r="AD182" s="383"/>
      <c r="AE182" s="383"/>
      <c r="AF182" s="383"/>
      <c r="AG182" s="383"/>
      <c r="AH182" s="383"/>
      <c r="AI182" s="383"/>
      <c r="AJ182" s="383"/>
      <c r="AK182" s="383"/>
      <c r="AL182" s="383"/>
      <c r="AM182" s="383"/>
      <c r="AN182" s="383"/>
      <c r="AO182" s="383"/>
      <c r="AP182" s="383"/>
      <c r="AQ182" s="383"/>
      <c r="AR182" s="383"/>
      <c r="AS182" s="383"/>
      <c r="AT182" s="383"/>
      <c r="AU182" s="383"/>
      <c r="AV182" s="383"/>
      <c r="AW182" s="383"/>
      <c r="AX182" s="383"/>
      <c r="AY182" s="383"/>
      <c r="AZ182" s="383"/>
      <c r="BA182" s="383"/>
      <c r="BB182" s="383"/>
      <c r="BC182" s="383"/>
      <c r="BD182" s="383"/>
      <c r="BE182" s="383"/>
      <c r="BF182" s="383"/>
      <c r="BG182" s="383"/>
      <c r="BH182" s="383"/>
      <c r="BI182" s="383"/>
      <c r="BJ182" s="383"/>
      <c r="BK182" s="383"/>
      <c r="BL182" s="383"/>
      <c r="BM182" s="383"/>
      <c r="BN182" s="383"/>
      <c r="BO182" s="383"/>
      <c r="BP182" s="383"/>
      <c r="BQ182" s="383"/>
      <c r="BR182" s="383"/>
      <c r="BS182" s="383"/>
      <c r="BT182" s="383"/>
      <c r="BU182" s="383"/>
      <c r="BV182" s="383"/>
      <c r="BW182" s="383"/>
      <c r="BX182" s="383"/>
      <c r="BY182" s="383"/>
      <c r="BZ182" s="383"/>
      <c r="CA182" s="383"/>
      <c r="CB182" s="383"/>
      <c r="CC182" s="383"/>
      <c r="CD182" s="383"/>
      <c r="CE182" s="383"/>
      <c r="CF182" s="383"/>
      <c r="CG182" s="383"/>
      <c r="CH182" s="383"/>
      <c r="CI182" s="383"/>
      <c r="CJ182" s="383"/>
      <c r="CK182" s="383"/>
      <c r="CL182" s="383"/>
      <c r="CM182" s="383"/>
      <c r="CN182" s="383"/>
      <c r="CO182" s="383"/>
      <c r="CP182" s="383"/>
      <c r="CQ182" s="383"/>
      <c r="CR182" s="383"/>
      <c r="CS182" s="383"/>
      <c r="CT182" s="383"/>
      <c r="CU182" s="383"/>
      <c r="CV182" s="383"/>
      <c r="CW182" s="383"/>
      <c r="CX182" s="383"/>
      <c r="CY182" s="383"/>
      <c r="CZ182" s="383"/>
      <c r="DA182" s="383"/>
      <c r="DB182" s="383"/>
      <c r="DC182" s="383"/>
      <c r="DD182" s="383"/>
      <c r="DE182" s="383"/>
      <c r="DF182" s="383"/>
      <c r="DG182" s="383"/>
      <c r="DH182" s="383"/>
      <c r="DI182" s="383"/>
      <c r="DJ182" s="383"/>
      <c r="DK182" s="383"/>
      <c r="DL182" s="383"/>
      <c r="DM182" s="383"/>
      <c r="DN182" s="383"/>
      <c r="DO182" s="383"/>
      <c r="DP182" s="383"/>
      <c r="DQ182" s="383"/>
      <c r="DR182" s="383"/>
      <c r="DS182" s="383"/>
      <c r="DT182" s="383"/>
      <c r="DU182" s="383"/>
      <c r="DV182" s="383"/>
      <c r="DW182" s="383"/>
      <c r="DX182" s="383"/>
      <c r="DY182" s="383"/>
      <c r="DZ182" s="383"/>
      <c r="EA182" s="383"/>
      <c r="EB182" s="383"/>
      <c r="EC182" s="383"/>
      <c r="ED182" s="383"/>
      <c r="EE182" s="383"/>
      <c r="EF182" s="383"/>
      <c r="EG182" s="383"/>
      <c r="EH182" s="383"/>
      <c r="EI182" s="383"/>
      <c r="EJ182" s="383"/>
      <c r="EK182" s="383"/>
      <c r="EL182" s="383"/>
      <c r="EM182" s="383"/>
      <c r="EN182" s="383"/>
      <c r="EO182" s="383"/>
      <c r="EP182" s="383"/>
      <c r="EQ182" s="383"/>
      <c r="ER182" s="383"/>
      <c r="ES182" s="383"/>
      <c r="ET182" s="383"/>
      <c r="EU182" s="383"/>
      <c r="EV182" s="383"/>
      <c r="EW182" s="383"/>
      <c r="EX182" s="383"/>
      <c r="EY182" s="383"/>
      <c r="EZ182" s="383"/>
      <c r="FA182" s="383"/>
      <c r="FB182" s="383"/>
      <c r="FC182" s="383"/>
      <c r="FD182" s="383"/>
      <c r="FE182" s="383"/>
      <c r="FF182" s="383"/>
      <c r="FG182" s="383"/>
      <c r="FH182" s="383"/>
      <c r="FI182" s="383"/>
      <c r="FJ182" s="383"/>
      <c r="FK182" s="383"/>
      <c r="FL182" s="383"/>
      <c r="FM182" s="383"/>
      <c r="FN182" s="383"/>
      <c r="FO182" s="383"/>
      <c r="FP182" s="383"/>
      <c r="FQ182" s="383"/>
      <c r="FR182" s="383"/>
      <c r="FS182" s="383"/>
      <c r="FT182" s="383"/>
      <c r="FU182" s="383"/>
      <c r="FV182" s="383"/>
      <c r="FW182" s="383"/>
      <c r="FX182" s="383"/>
      <c r="FY182" s="383"/>
      <c r="FZ182" s="383"/>
      <c r="GA182" s="383"/>
      <c r="GB182" s="383"/>
      <c r="GC182" s="383"/>
      <c r="GD182" s="383"/>
      <c r="GE182" s="383"/>
      <c r="GF182" s="383"/>
      <c r="GG182" s="383"/>
      <c r="GH182" s="383"/>
      <c r="GI182" s="383"/>
      <c r="GJ182" s="383"/>
      <c r="GK182" s="383"/>
      <c r="GL182" s="383"/>
      <c r="GM182" s="383"/>
      <c r="GN182" s="383"/>
      <c r="GO182" s="383"/>
      <c r="GP182" s="383"/>
      <c r="GQ182" s="383"/>
      <c r="GR182" s="383"/>
      <c r="GS182" s="383"/>
      <c r="GT182" s="383"/>
      <c r="GU182" s="383"/>
      <c r="GV182" s="383"/>
      <c r="GW182" s="383"/>
      <c r="GX182" s="383"/>
      <c r="GY182" s="383"/>
      <c r="GZ182" s="383"/>
      <c r="HA182" s="383"/>
      <c r="HB182" s="383"/>
      <c r="HC182" s="383"/>
      <c r="HD182" s="383"/>
      <c r="HE182" s="383"/>
      <c r="HF182" s="383"/>
      <c r="HG182" s="383"/>
      <c r="HH182" s="383"/>
      <c r="HI182" s="383"/>
      <c r="HJ182" s="383"/>
      <c r="HK182" s="383"/>
      <c r="HL182" s="383"/>
      <c r="HM182" s="383"/>
      <c r="HN182" s="383"/>
      <c r="HO182" s="383"/>
      <c r="HP182" s="383"/>
      <c r="HQ182" s="383"/>
      <c r="HR182" s="383"/>
      <c r="HS182" s="383"/>
      <c r="HT182" s="383"/>
      <c r="HU182" s="383"/>
      <c r="HV182" s="383"/>
      <c r="HW182" s="383"/>
      <c r="HX182" s="383"/>
      <c r="HY182" s="383"/>
      <c r="HZ182" s="383"/>
      <c r="IA182" s="383"/>
      <c r="IB182" s="383"/>
      <c r="IC182" s="383"/>
      <c r="ID182" s="383"/>
      <c r="IE182" s="383"/>
      <c r="IF182" s="383"/>
      <c r="IG182" s="383"/>
      <c r="IH182" s="383"/>
      <c r="II182" s="383"/>
      <c r="IJ182" s="383"/>
      <c r="IK182" s="383"/>
      <c r="IL182" s="383"/>
    </row>
    <row r="183" spans="1:246" ht="15" customHeight="1">
      <c r="A183" s="516" t="s">
        <v>23</v>
      </c>
      <c r="B183" s="482" t="s">
        <v>922</v>
      </c>
      <c r="C183" s="483" t="s">
        <v>131</v>
      </c>
      <c r="D183" s="69"/>
      <c r="E183" s="498" t="s">
        <v>377</v>
      </c>
      <c r="F183" s="484">
        <v>252</v>
      </c>
      <c r="G183" s="479" t="str">
        <f t="shared" si="27"/>
        <v>01/2026</v>
      </c>
      <c r="H183" s="341">
        <f>SUMIF(VI.A!$B$6:$B$5963,B183,VI.A!$L$6:$L$5963)</f>
        <v>43</v>
      </c>
      <c r="I183" s="341" t="str">
        <f t="shared" si="28"/>
        <v>si</v>
      </c>
      <c r="J183" s="383"/>
      <c r="K183" s="383" t="str">
        <f t="array" ref="K183">IF(TRIM(E183)="SINAPI",VLOOKUP(TRIM(F183),TRIM([8]sheet1!$A$8:$E$4895),5,FALSE),"não encontrado")</f>
        <v>21,57</v>
      </c>
      <c r="L183" s="533">
        <v>23.93</v>
      </c>
      <c r="M183" s="480" t="str">
        <f t="shared" ref="M183:M199" si="29">IFERROR(IF(K183="não encontrado",D183,K183),D183)</f>
        <v>21,57</v>
      </c>
      <c r="N183" s="383" t="b">
        <f t="shared" si="13"/>
        <v>0</v>
      </c>
      <c r="O183" s="383"/>
      <c r="P183" s="383"/>
      <c r="Q183" s="383"/>
      <c r="R183" s="383"/>
      <c r="S183" s="383"/>
      <c r="T183" s="383"/>
      <c r="U183" s="383"/>
      <c r="V183" s="383"/>
      <c r="W183" s="383"/>
      <c r="X183" s="383"/>
      <c r="Y183" s="383"/>
      <c r="Z183" s="383"/>
      <c r="AA183" s="383"/>
      <c r="AB183" s="383"/>
      <c r="AC183" s="383"/>
      <c r="AD183" s="383"/>
      <c r="AE183" s="383"/>
      <c r="AF183" s="383"/>
      <c r="AG183" s="383"/>
      <c r="AH183" s="383"/>
      <c r="AI183" s="383"/>
      <c r="AJ183" s="383"/>
      <c r="AK183" s="383"/>
      <c r="AL183" s="383"/>
      <c r="AM183" s="383"/>
      <c r="AN183" s="383"/>
      <c r="AO183" s="383"/>
      <c r="AP183" s="383"/>
      <c r="AQ183" s="383"/>
      <c r="AR183" s="383"/>
      <c r="AS183" s="383"/>
      <c r="AT183" s="383"/>
      <c r="AU183" s="383"/>
      <c r="AV183" s="383"/>
      <c r="AW183" s="383"/>
      <c r="AX183" s="383"/>
      <c r="AY183" s="383"/>
      <c r="AZ183" s="383"/>
      <c r="BA183" s="383"/>
      <c r="BB183" s="383"/>
      <c r="BC183" s="383"/>
      <c r="BD183" s="383"/>
      <c r="BE183" s="383"/>
      <c r="BF183" s="383"/>
      <c r="BG183" s="383"/>
      <c r="BH183" s="383"/>
      <c r="BI183" s="383"/>
      <c r="BJ183" s="383"/>
      <c r="BK183" s="383"/>
      <c r="BL183" s="383"/>
      <c r="BM183" s="383"/>
      <c r="BN183" s="383"/>
      <c r="BO183" s="383"/>
      <c r="BP183" s="383"/>
      <c r="BQ183" s="383"/>
      <c r="BR183" s="383"/>
      <c r="BS183" s="383"/>
      <c r="BT183" s="383"/>
      <c r="BU183" s="383"/>
      <c r="BV183" s="383"/>
      <c r="BW183" s="383"/>
      <c r="BX183" s="383"/>
      <c r="BY183" s="383"/>
      <c r="BZ183" s="383"/>
      <c r="CA183" s="383"/>
      <c r="CB183" s="383"/>
      <c r="CC183" s="383"/>
      <c r="CD183" s="383"/>
      <c r="CE183" s="383"/>
      <c r="CF183" s="383"/>
      <c r="CG183" s="383"/>
      <c r="CH183" s="383"/>
      <c r="CI183" s="383"/>
      <c r="CJ183" s="383"/>
      <c r="CK183" s="383"/>
      <c r="CL183" s="383"/>
      <c r="CM183" s="383"/>
      <c r="CN183" s="383"/>
      <c r="CO183" s="383"/>
      <c r="CP183" s="383"/>
      <c r="CQ183" s="383"/>
      <c r="CR183" s="383"/>
      <c r="CS183" s="383"/>
      <c r="CT183" s="383"/>
      <c r="CU183" s="383"/>
      <c r="CV183" s="383"/>
      <c r="CW183" s="383"/>
      <c r="CX183" s="383"/>
      <c r="CY183" s="383"/>
      <c r="CZ183" s="383"/>
      <c r="DA183" s="383"/>
      <c r="DB183" s="383"/>
      <c r="DC183" s="383"/>
      <c r="DD183" s="383"/>
      <c r="DE183" s="383"/>
      <c r="DF183" s="383"/>
      <c r="DG183" s="383"/>
      <c r="DH183" s="383"/>
      <c r="DI183" s="383"/>
      <c r="DJ183" s="383"/>
      <c r="DK183" s="383"/>
      <c r="DL183" s="383"/>
      <c r="DM183" s="383"/>
      <c r="DN183" s="383"/>
      <c r="DO183" s="383"/>
      <c r="DP183" s="383"/>
      <c r="DQ183" s="383"/>
      <c r="DR183" s="383"/>
      <c r="DS183" s="383"/>
      <c r="DT183" s="383"/>
      <c r="DU183" s="383"/>
      <c r="DV183" s="383"/>
      <c r="DW183" s="383"/>
      <c r="DX183" s="383"/>
      <c r="DY183" s="383"/>
      <c r="DZ183" s="383"/>
      <c r="EA183" s="383"/>
      <c r="EB183" s="383"/>
      <c r="EC183" s="383"/>
      <c r="ED183" s="383"/>
      <c r="EE183" s="383"/>
      <c r="EF183" s="383"/>
      <c r="EG183" s="383"/>
      <c r="EH183" s="383"/>
      <c r="EI183" s="383"/>
      <c r="EJ183" s="383"/>
      <c r="EK183" s="383"/>
      <c r="EL183" s="383"/>
      <c r="EM183" s="383"/>
      <c r="EN183" s="383"/>
      <c r="EO183" s="383"/>
      <c r="EP183" s="383"/>
      <c r="EQ183" s="383"/>
      <c r="ER183" s="383"/>
      <c r="ES183" s="383"/>
      <c r="ET183" s="383"/>
      <c r="EU183" s="383"/>
      <c r="EV183" s="383"/>
      <c r="EW183" s="383"/>
      <c r="EX183" s="383"/>
      <c r="EY183" s="383"/>
      <c r="EZ183" s="383"/>
      <c r="FA183" s="383"/>
      <c r="FB183" s="383"/>
      <c r="FC183" s="383"/>
      <c r="FD183" s="383"/>
      <c r="FE183" s="383"/>
      <c r="FF183" s="383"/>
      <c r="FG183" s="383"/>
      <c r="FH183" s="383"/>
      <c r="FI183" s="383"/>
      <c r="FJ183" s="383"/>
      <c r="FK183" s="383"/>
      <c r="FL183" s="383"/>
      <c r="FM183" s="383"/>
      <c r="FN183" s="383"/>
      <c r="FO183" s="383"/>
      <c r="FP183" s="383"/>
      <c r="FQ183" s="383"/>
      <c r="FR183" s="383"/>
      <c r="FS183" s="383"/>
      <c r="FT183" s="383"/>
      <c r="FU183" s="383"/>
      <c r="FV183" s="383"/>
      <c r="FW183" s="383"/>
      <c r="FX183" s="383"/>
      <c r="FY183" s="383"/>
      <c r="FZ183" s="383"/>
      <c r="GA183" s="383"/>
      <c r="GB183" s="383"/>
      <c r="GC183" s="383"/>
      <c r="GD183" s="383"/>
      <c r="GE183" s="383"/>
      <c r="GF183" s="383"/>
      <c r="GG183" s="383"/>
      <c r="GH183" s="383"/>
      <c r="GI183" s="383"/>
      <c r="GJ183" s="383"/>
      <c r="GK183" s="383"/>
      <c r="GL183" s="383"/>
      <c r="GM183" s="383"/>
      <c r="GN183" s="383"/>
      <c r="GO183" s="383"/>
      <c r="GP183" s="383"/>
      <c r="GQ183" s="383"/>
      <c r="GR183" s="383"/>
      <c r="GS183" s="383"/>
      <c r="GT183" s="383"/>
      <c r="GU183" s="383"/>
      <c r="GV183" s="383"/>
      <c r="GW183" s="383"/>
      <c r="GX183" s="383"/>
      <c r="GY183" s="383"/>
      <c r="GZ183" s="383"/>
      <c r="HA183" s="383"/>
      <c r="HB183" s="383"/>
      <c r="HC183" s="383"/>
      <c r="HD183" s="383"/>
      <c r="HE183" s="383"/>
      <c r="HF183" s="383"/>
      <c r="HG183" s="383"/>
      <c r="HH183" s="383"/>
      <c r="HI183" s="383"/>
      <c r="HJ183" s="383"/>
      <c r="HK183" s="383"/>
      <c r="HL183" s="383"/>
      <c r="HM183" s="383"/>
      <c r="HN183" s="383"/>
      <c r="HO183" s="383"/>
      <c r="HP183" s="383"/>
      <c r="HQ183" s="383"/>
      <c r="HR183" s="383"/>
      <c r="HS183" s="383"/>
      <c r="HT183" s="383"/>
      <c r="HU183" s="383"/>
      <c r="HV183" s="383"/>
      <c r="HW183" s="383"/>
      <c r="HX183" s="383"/>
      <c r="HY183" s="383"/>
      <c r="HZ183" s="383"/>
      <c r="IA183" s="383"/>
      <c r="IB183" s="383"/>
      <c r="IC183" s="383"/>
      <c r="ID183" s="383"/>
      <c r="IE183" s="383"/>
      <c r="IF183" s="383"/>
      <c r="IG183" s="383"/>
      <c r="IH183" s="383"/>
      <c r="II183" s="383"/>
      <c r="IJ183" s="383"/>
      <c r="IK183" s="383"/>
      <c r="IL183" s="383"/>
    </row>
    <row r="184" spans="1:246" ht="15" customHeight="1">
      <c r="A184" s="516" t="s">
        <v>73</v>
      </c>
      <c r="B184" s="482" t="s">
        <v>145</v>
      </c>
      <c r="C184" s="483" t="s">
        <v>131</v>
      </c>
      <c r="D184" s="69"/>
      <c r="E184" s="498" t="s">
        <v>377</v>
      </c>
      <c r="F184" s="484">
        <v>378</v>
      </c>
      <c r="G184" s="479" t="str">
        <f t="shared" si="27"/>
        <v>01/2026</v>
      </c>
      <c r="H184" s="341">
        <f>SUMIF(VI.A!$B$6:$B$5963,B184,VI.A!$L$6:$L$5963)</f>
        <v>1258.992</v>
      </c>
      <c r="I184" s="341" t="str">
        <f t="shared" si="28"/>
        <v>si</v>
      </c>
      <c r="J184" s="383"/>
      <c r="K184" s="383" t="str">
        <f t="array" ref="K184">IF(TRIM(E184)="SINAPI",VLOOKUP(TRIM(F184),TRIM([8]sheet1!$A$8:$E$4895),5,FALSE),"não encontrado")</f>
        <v>23,55</v>
      </c>
      <c r="L184" s="533">
        <v>26.03</v>
      </c>
      <c r="M184" s="480" t="str">
        <f t="shared" si="29"/>
        <v>23,55</v>
      </c>
      <c r="N184" s="383" t="b">
        <f t="shared" ref="N184:N199" si="30">_xlfn.ISFORMULA(D184)</f>
        <v>0</v>
      </c>
      <c r="O184" s="383"/>
      <c r="P184" s="383"/>
      <c r="Q184" s="383"/>
      <c r="R184" s="383"/>
      <c r="S184" s="383"/>
      <c r="T184" s="383"/>
      <c r="U184" s="383"/>
      <c r="V184" s="383"/>
      <c r="W184" s="383"/>
      <c r="X184" s="383"/>
      <c r="Y184" s="383"/>
      <c r="Z184" s="383"/>
      <c r="AA184" s="383"/>
      <c r="AB184" s="383"/>
      <c r="AC184" s="383"/>
      <c r="AD184" s="383"/>
      <c r="AE184" s="383"/>
      <c r="AF184" s="383"/>
      <c r="AG184" s="383"/>
      <c r="AH184" s="383"/>
      <c r="AI184" s="383"/>
      <c r="AJ184" s="383"/>
      <c r="AK184" s="383"/>
      <c r="AL184" s="383"/>
      <c r="AM184" s="383"/>
      <c r="AN184" s="383"/>
      <c r="AO184" s="383"/>
      <c r="AP184" s="383"/>
      <c r="AQ184" s="383"/>
      <c r="AR184" s="383"/>
      <c r="AS184" s="383"/>
      <c r="AT184" s="383"/>
      <c r="AU184" s="383"/>
      <c r="AV184" s="383"/>
      <c r="AW184" s="383"/>
      <c r="AX184" s="383"/>
      <c r="AY184" s="383"/>
      <c r="AZ184" s="383"/>
      <c r="BA184" s="383"/>
      <c r="BB184" s="383"/>
      <c r="BC184" s="383"/>
      <c r="BD184" s="383"/>
      <c r="BE184" s="383"/>
      <c r="BF184" s="383"/>
      <c r="BG184" s="383"/>
      <c r="BH184" s="383"/>
      <c r="BI184" s="383"/>
      <c r="BJ184" s="383"/>
      <c r="BK184" s="383"/>
      <c r="BL184" s="383"/>
      <c r="BM184" s="383"/>
      <c r="BN184" s="383"/>
      <c r="BO184" s="383"/>
      <c r="BP184" s="383"/>
      <c r="BQ184" s="383"/>
      <c r="BR184" s="383"/>
      <c r="BS184" s="383"/>
      <c r="BT184" s="383"/>
      <c r="BU184" s="383"/>
      <c r="BV184" s="383"/>
      <c r="BW184" s="383"/>
      <c r="BX184" s="383"/>
      <c r="BY184" s="383"/>
      <c r="BZ184" s="383"/>
      <c r="CA184" s="383"/>
      <c r="CB184" s="383"/>
      <c r="CC184" s="383"/>
      <c r="CD184" s="383"/>
      <c r="CE184" s="383"/>
      <c r="CF184" s="383"/>
      <c r="CG184" s="383"/>
      <c r="CH184" s="383"/>
      <c r="CI184" s="383"/>
      <c r="CJ184" s="383"/>
      <c r="CK184" s="383"/>
      <c r="CL184" s="383"/>
      <c r="CM184" s="383"/>
      <c r="CN184" s="383"/>
      <c r="CO184" s="383"/>
      <c r="CP184" s="383"/>
      <c r="CQ184" s="383"/>
      <c r="CR184" s="383"/>
      <c r="CS184" s="383"/>
      <c r="CT184" s="383"/>
      <c r="CU184" s="383"/>
      <c r="CV184" s="383"/>
      <c r="CW184" s="383"/>
      <c r="CX184" s="383"/>
      <c r="CY184" s="383"/>
      <c r="CZ184" s="383"/>
      <c r="DA184" s="383"/>
      <c r="DB184" s="383"/>
      <c r="DC184" s="383"/>
      <c r="DD184" s="383"/>
      <c r="DE184" s="383"/>
      <c r="DF184" s="383"/>
      <c r="DG184" s="383"/>
      <c r="DH184" s="383"/>
      <c r="DI184" s="383"/>
      <c r="DJ184" s="383"/>
      <c r="DK184" s="383"/>
      <c r="DL184" s="383"/>
      <c r="DM184" s="383"/>
      <c r="DN184" s="383"/>
      <c r="DO184" s="383"/>
      <c r="DP184" s="383"/>
      <c r="DQ184" s="383"/>
      <c r="DR184" s="383"/>
      <c r="DS184" s="383"/>
      <c r="DT184" s="383"/>
      <c r="DU184" s="383"/>
      <c r="DV184" s="383"/>
      <c r="DW184" s="383"/>
      <c r="DX184" s="383"/>
      <c r="DY184" s="383"/>
      <c r="DZ184" s="383"/>
      <c r="EA184" s="383"/>
      <c r="EB184" s="383"/>
      <c r="EC184" s="383"/>
      <c r="ED184" s="383"/>
      <c r="EE184" s="383"/>
      <c r="EF184" s="383"/>
      <c r="EG184" s="383"/>
      <c r="EH184" s="383"/>
      <c r="EI184" s="383"/>
      <c r="EJ184" s="383"/>
      <c r="EK184" s="383"/>
      <c r="EL184" s="383"/>
      <c r="EM184" s="383"/>
      <c r="EN184" s="383"/>
      <c r="EO184" s="383"/>
      <c r="EP184" s="383"/>
      <c r="EQ184" s="383"/>
      <c r="ER184" s="383"/>
      <c r="ES184" s="383"/>
      <c r="ET184" s="383"/>
      <c r="EU184" s="383"/>
      <c r="EV184" s="383"/>
      <c r="EW184" s="383"/>
      <c r="EX184" s="383"/>
      <c r="EY184" s="383"/>
      <c r="EZ184" s="383"/>
      <c r="FA184" s="383"/>
      <c r="FB184" s="383"/>
      <c r="FC184" s="383"/>
      <c r="FD184" s="383"/>
      <c r="FE184" s="383"/>
      <c r="FF184" s="383"/>
      <c r="FG184" s="383"/>
      <c r="FH184" s="383"/>
      <c r="FI184" s="383"/>
      <c r="FJ184" s="383"/>
      <c r="FK184" s="383"/>
      <c r="FL184" s="383"/>
      <c r="FM184" s="383"/>
      <c r="FN184" s="383"/>
      <c r="FO184" s="383"/>
      <c r="FP184" s="383"/>
      <c r="FQ184" s="383"/>
      <c r="FR184" s="383"/>
      <c r="FS184" s="383"/>
      <c r="FT184" s="383"/>
      <c r="FU184" s="383"/>
      <c r="FV184" s="383"/>
      <c r="FW184" s="383"/>
      <c r="FX184" s="383"/>
      <c r="FY184" s="383"/>
      <c r="FZ184" s="383"/>
      <c r="GA184" s="383"/>
      <c r="GB184" s="383"/>
      <c r="GC184" s="383"/>
      <c r="GD184" s="383"/>
      <c r="GE184" s="383"/>
      <c r="GF184" s="383"/>
      <c r="GG184" s="383"/>
      <c r="GH184" s="383"/>
      <c r="GI184" s="383"/>
      <c r="GJ184" s="383"/>
      <c r="GK184" s="383"/>
      <c r="GL184" s="383"/>
      <c r="GM184" s="383"/>
      <c r="GN184" s="383"/>
      <c r="GO184" s="383"/>
      <c r="GP184" s="383"/>
      <c r="GQ184" s="383"/>
      <c r="GR184" s="383"/>
      <c r="GS184" s="383"/>
      <c r="GT184" s="383"/>
      <c r="GU184" s="383"/>
      <c r="GV184" s="383"/>
      <c r="GW184" s="383"/>
      <c r="GX184" s="383"/>
      <c r="GY184" s="383"/>
      <c r="GZ184" s="383"/>
      <c r="HA184" s="383"/>
      <c r="HB184" s="383"/>
      <c r="HC184" s="383"/>
      <c r="HD184" s="383"/>
      <c r="HE184" s="383"/>
      <c r="HF184" s="383"/>
      <c r="HG184" s="383"/>
      <c r="HH184" s="383"/>
      <c r="HI184" s="383"/>
      <c r="HJ184" s="383"/>
      <c r="HK184" s="383"/>
      <c r="HL184" s="383"/>
      <c r="HM184" s="383"/>
      <c r="HN184" s="383"/>
      <c r="HO184" s="383"/>
      <c r="HP184" s="383"/>
      <c r="HQ184" s="383"/>
      <c r="HR184" s="383"/>
      <c r="HS184" s="383"/>
      <c r="HT184" s="383"/>
      <c r="HU184" s="383"/>
      <c r="HV184" s="383"/>
      <c r="HW184" s="383"/>
      <c r="HX184" s="383"/>
      <c r="HY184" s="383"/>
      <c r="HZ184" s="383"/>
      <c r="IA184" s="383"/>
      <c r="IB184" s="383"/>
      <c r="IC184" s="383"/>
      <c r="ID184" s="383"/>
      <c r="IE184" s="383"/>
      <c r="IF184" s="383"/>
      <c r="IG184" s="383"/>
      <c r="IH184" s="383"/>
      <c r="II184" s="383"/>
      <c r="IJ184" s="383"/>
      <c r="IK184" s="383"/>
      <c r="IL184" s="383"/>
    </row>
    <row r="185" spans="1:246" ht="15" customHeight="1">
      <c r="A185" s="516" t="s">
        <v>24</v>
      </c>
      <c r="B185" s="482" t="s">
        <v>146</v>
      </c>
      <c r="C185" s="483" t="s">
        <v>131</v>
      </c>
      <c r="D185" s="69"/>
      <c r="E185" s="498" t="s">
        <v>377</v>
      </c>
      <c r="F185" s="484">
        <v>4760</v>
      </c>
      <c r="G185" s="479" t="str">
        <f t="shared" si="27"/>
        <v>01/2026</v>
      </c>
      <c r="H185" s="341">
        <f>SUMIF(VI.A!$B$6:$B$5963,B185,VI.A!$L$6:$L$5963)</f>
        <v>215</v>
      </c>
      <c r="I185" s="341" t="str">
        <f t="shared" si="28"/>
        <v>si</v>
      </c>
      <c r="J185" s="383"/>
      <c r="K185" s="383" t="str">
        <f t="array" ref="K185">IF(TRIM(E185)="SINAPI",VLOOKUP(TRIM(F185),TRIM([8]sheet1!$A$8:$E$4895),5,FALSE),"não encontrado")</f>
        <v>23,55</v>
      </c>
      <c r="L185" s="533">
        <v>26.03</v>
      </c>
      <c r="M185" s="480" t="str">
        <f t="shared" si="29"/>
        <v>23,55</v>
      </c>
      <c r="N185" s="383" t="b">
        <f t="shared" si="30"/>
        <v>0</v>
      </c>
      <c r="O185" s="383"/>
      <c r="P185" s="383"/>
      <c r="Q185" s="383"/>
      <c r="R185" s="383"/>
      <c r="S185" s="383"/>
      <c r="T185" s="383"/>
      <c r="U185" s="383"/>
      <c r="V185" s="383"/>
      <c r="W185" s="383"/>
      <c r="X185" s="383"/>
      <c r="Y185" s="383"/>
      <c r="Z185" s="383"/>
      <c r="AA185" s="383"/>
      <c r="AB185" s="383"/>
      <c r="AC185" s="383"/>
      <c r="AD185" s="383"/>
      <c r="AE185" s="383"/>
      <c r="AF185" s="383"/>
      <c r="AG185" s="383"/>
      <c r="AH185" s="383"/>
      <c r="AI185" s="383"/>
      <c r="AJ185" s="383"/>
      <c r="AK185" s="383"/>
      <c r="AL185" s="383"/>
      <c r="AM185" s="383"/>
      <c r="AN185" s="383"/>
      <c r="AO185" s="383"/>
      <c r="AP185" s="383"/>
      <c r="AQ185" s="383"/>
      <c r="AR185" s="383"/>
      <c r="AS185" s="383"/>
      <c r="AT185" s="383"/>
      <c r="AU185" s="383"/>
      <c r="AV185" s="383"/>
      <c r="AW185" s="383"/>
      <c r="AX185" s="383"/>
      <c r="AY185" s="383"/>
      <c r="AZ185" s="383"/>
      <c r="BA185" s="383"/>
      <c r="BB185" s="383"/>
      <c r="BC185" s="383"/>
      <c r="BD185" s="383"/>
      <c r="BE185" s="383"/>
      <c r="BF185" s="383"/>
      <c r="BG185" s="383"/>
      <c r="BH185" s="383"/>
      <c r="BI185" s="383"/>
      <c r="BJ185" s="383"/>
      <c r="BK185" s="383"/>
      <c r="BL185" s="383"/>
      <c r="BM185" s="383"/>
      <c r="BN185" s="383"/>
      <c r="BO185" s="383"/>
      <c r="BP185" s="383"/>
      <c r="BQ185" s="383"/>
      <c r="BR185" s="383"/>
      <c r="BS185" s="383"/>
      <c r="BT185" s="383"/>
      <c r="BU185" s="383"/>
      <c r="BV185" s="383"/>
      <c r="BW185" s="383"/>
      <c r="BX185" s="383"/>
      <c r="BY185" s="383"/>
      <c r="BZ185" s="383"/>
      <c r="CA185" s="383"/>
      <c r="CB185" s="383"/>
      <c r="CC185" s="383"/>
      <c r="CD185" s="383"/>
      <c r="CE185" s="383"/>
      <c r="CF185" s="383"/>
      <c r="CG185" s="383"/>
      <c r="CH185" s="383"/>
      <c r="CI185" s="383"/>
      <c r="CJ185" s="383"/>
      <c r="CK185" s="383"/>
      <c r="CL185" s="383"/>
      <c r="CM185" s="383"/>
      <c r="CN185" s="383"/>
      <c r="CO185" s="383"/>
      <c r="CP185" s="383"/>
      <c r="CQ185" s="383"/>
      <c r="CR185" s="383"/>
      <c r="CS185" s="383"/>
      <c r="CT185" s="383"/>
      <c r="CU185" s="383"/>
      <c r="CV185" s="383"/>
      <c r="CW185" s="383"/>
      <c r="CX185" s="383"/>
      <c r="CY185" s="383"/>
      <c r="CZ185" s="383"/>
      <c r="DA185" s="383"/>
      <c r="DB185" s="383"/>
      <c r="DC185" s="383"/>
      <c r="DD185" s="383"/>
      <c r="DE185" s="383"/>
      <c r="DF185" s="383"/>
      <c r="DG185" s="383"/>
      <c r="DH185" s="383"/>
      <c r="DI185" s="383"/>
      <c r="DJ185" s="383"/>
      <c r="DK185" s="383"/>
      <c r="DL185" s="383"/>
      <c r="DM185" s="383"/>
      <c r="DN185" s="383"/>
      <c r="DO185" s="383"/>
      <c r="DP185" s="383"/>
      <c r="DQ185" s="383"/>
      <c r="DR185" s="383"/>
      <c r="DS185" s="383"/>
      <c r="DT185" s="383"/>
      <c r="DU185" s="383"/>
      <c r="DV185" s="383"/>
      <c r="DW185" s="383"/>
      <c r="DX185" s="383"/>
      <c r="DY185" s="383"/>
      <c r="DZ185" s="383"/>
      <c r="EA185" s="383"/>
      <c r="EB185" s="383"/>
      <c r="EC185" s="383"/>
      <c r="ED185" s="383"/>
      <c r="EE185" s="383"/>
      <c r="EF185" s="383"/>
      <c r="EG185" s="383"/>
      <c r="EH185" s="383"/>
      <c r="EI185" s="383"/>
      <c r="EJ185" s="383"/>
      <c r="EK185" s="383"/>
      <c r="EL185" s="383"/>
      <c r="EM185" s="383"/>
      <c r="EN185" s="383"/>
      <c r="EO185" s="383"/>
      <c r="EP185" s="383"/>
      <c r="EQ185" s="383"/>
      <c r="ER185" s="383"/>
      <c r="ES185" s="383"/>
      <c r="ET185" s="383"/>
      <c r="EU185" s="383"/>
      <c r="EV185" s="383"/>
      <c r="EW185" s="383"/>
      <c r="EX185" s="383"/>
      <c r="EY185" s="383"/>
      <c r="EZ185" s="383"/>
      <c r="FA185" s="383"/>
      <c r="FB185" s="383"/>
      <c r="FC185" s="383"/>
      <c r="FD185" s="383"/>
      <c r="FE185" s="383"/>
      <c r="FF185" s="383"/>
      <c r="FG185" s="383"/>
      <c r="FH185" s="383"/>
      <c r="FI185" s="383"/>
      <c r="FJ185" s="383"/>
      <c r="FK185" s="383"/>
      <c r="FL185" s="383"/>
      <c r="FM185" s="383"/>
      <c r="FN185" s="383"/>
      <c r="FO185" s="383"/>
      <c r="FP185" s="383"/>
      <c r="FQ185" s="383"/>
      <c r="FR185" s="383"/>
      <c r="FS185" s="383"/>
      <c r="FT185" s="383"/>
      <c r="FU185" s="383"/>
      <c r="FV185" s="383"/>
      <c r="FW185" s="383"/>
      <c r="FX185" s="383"/>
      <c r="FY185" s="383"/>
      <c r="FZ185" s="383"/>
      <c r="GA185" s="383"/>
      <c r="GB185" s="383"/>
      <c r="GC185" s="383"/>
      <c r="GD185" s="383"/>
      <c r="GE185" s="383"/>
      <c r="GF185" s="383"/>
      <c r="GG185" s="383"/>
      <c r="GH185" s="383"/>
      <c r="GI185" s="383"/>
      <c r="GJ185" s="383"/>
      <c r="GK185" s="383"/>
      <c r="GL185" s="383"/>
      <c r="GM185" s="383"/>
      <c r="GN185" s="383"/>
      <c r="GO185" s="383"/>
      <c r="GP185" s="383"/>
      <c r="GQ185" s="383"/>
      <c r="GR185" s="383"/>
      <c r="GS185" s="383"/>
      <c r="GT185" s="383"/>
      <c r="GU185" s="383"/>
      <c r="GV185" s="383"/>
      <c r="GW185" s="383"/>
      <c r="GX185" s="383"/>
      <c r="GY185" s="383"/>
      <c r="GZ185" s="383"/>
      <c r="HA185" s="383"/>
      <c r="HB185" s="383"/>
      <c r="HC185" s="383"/>
      <c r="HD185" s="383"/>
      <c r="HE185" s="383"/>
      <c r="HF185" s="383"/>
      <c r="HG185" s="383"/>
      <c r="HH185" s="383"/>
      <c r="HI185" s="383"/>
      <c r="HJ185" s="383"/>
      <c r="HK185" s="383"/>
      <c r="HL185" s="383"/>
      <c r="HM185" s="383"/>
      <c r="HN185" s="383"/>
      <c r="HO185" s="383"/>
      <c r="HP185" s="383"/>
      <c r="HQ185" s="383"/>
      <c r="HR185" s="383"/>
      <c r="HS185" s="383"/>
      <c r="HT185" s="383"/>
      <c r="HU185" s="383"/>
      <c r="HV185" s="383"/>
      <c r="HW185" s="383"/>
      <c r="HX185" s="383"/>
      <c r="HY185" s="383"/>
      <c r="HZ185" s="383"/>
      <c r="IA185" s="383"/>
      <c r="IB185" s="383"/>
      <c r="IC185" s="383"/>
      <c r="ID185" s="383"/>
      <c r="IE185" s="383"/>
      <c r="IF185" s="383"/>
      <c r="IG185" s="383"/>
      <c r="IH185" s="383"/>
      <c r="II185" s="383"/>
      <c r="IJ185" s="383"/>
      <c r="IK185" s="383"/>
      <c r="IL185" s="383"/>
    </row>
    <row r="186" spans="1:246" ht="15" customHeight="1">
      <c r="A186" s="516" t="s">
        <v>19</v>
      </c>
      <c r="B186" s="482" t="s">
        <v>147</v>
      </c>
      <c r="C186" s="483" t="s">
        <v>131</v>
      </c>
      <c r="D186" s="69"/>
      <c r="E186" s="498" t="s">
        <v>377</v>
      </c>
      <c r="F186" s="484">
        <v>1213</v>
      </c>
      <c r="G186" s="479" t="str">
        <f t="shared" si="27"/>
        <v>01/2026</v>
      </c>
      <c r="H186" s="341">
        <f>SUMIF(VI.A!$B$6:$B$5963,B186,VI.A!$L$6:$L$5963)</f>
        <v>4880.5719999999992</v>
      </c>
      <c r="I186" s="341" t="str">
        <f t="shared" si="28"/>
        <v>si</v>
      </c>
      <c r="J186" s="383"/>
      <c r="K186" s="383" t="str">
        <f t="array" ref="K186">IF(TRIM(E186)="SINAPI",VLOOKUP(TRIM(F186),TRIM([8]sheet1!$A$8:$E$4895),5,FALSE),"não encontrado")</f>
        <v>23,55</v>
      </c>
      <c r="L186" s="533">
        <v>26.03</v>
      </c>
      <c r="M186" s="480" t="str">
        <f t="shared" si="29"/>
        <v>23,55</v>
      </c>
      <c r="N186" s="383" t="b">
        <f t="shared" si="30"/>
        <v>0</v>
      </c>
      <c r="O186" s="383"/>
      <c r="P186" s="383"/>
      <c r="Q186" s="383"/>
      <c r="R186" s="383"/>
      <c r="S186" s="383"/>
      <c r="T186" s="383"/>
      <c r="U186" s="383"/>
      <c r="V186" s="383"/>
      <c r="W186" s="383"/>
      <c r="X186" s="383"/>
      <c r="Y186" s="383"/>
      <c r="Z186" s="383"/>
      <c r="AA186" s="383"/>
      <c r="AB186" s="383"/>
      <c r="AC186" s="383"/>
      <c r="AD186" s="383"/>
      <c r="AE186" s="383"/>
      <c r="AF186" s="383"/>
      <c r="AG186" s="383"/>
      <c r="AH186" s="383"/>
      <c r="AI186" s="383"/>
      <c r="AJ186" s="383"/>
      <c r="AK186" s="383"/>
      <c r="AL186" s="383"/>
      <c r="AM186" s="383"/>
      <c r="AN186" s="383"/>
      <c r="AO186" s="383"/>
      <c r="AP186" s="383"/>
      <c r="AQ186" s="383"/>
      <c r="AR186" s="383"/>
      <c r="AS186" s="383"/>
      <c r="AT186" s="383"/>
      <c r="AU186" s="383"/>
      <c r="AV186" s="383"/>
      <c r="AW186" s="383"/>
      <c r="AX186" s="383"/>
      <c r="AY186" s="383"/>
      <c r="AZ186" s="383"/>
      <c r="BA186" s="383"/>
      <c r="BB186" s="383"/>
      <c r="BC186" s="383"/>
      <c r="BD186" s="383"/>
      <c r="BE186" s="383"/>
      <c r="BF186" s="383"/>
      <c r="BG186" s="383"/>
      <c r="BH186" s="383"/>
      <c r="BI186" s="383"/>
      <c r="BJ186" s="383"/>
      <c r="BK186" s="383"/>
      <c r="BL186" s="383"/>
      <c r="BM186" s="383"/>
      <c r="BN186" s="383"/>
      <c r="BO186" s="383"/>
      <c r="BP186" s="383"/>
      <c r="BQ186" s="383"/>
      <c r="BR186" s="383"/>
      <c r="BS186" s="383"/>
      <c r="BT186" s="383"/>
      <c r="BU186" s="383"/>
      <c r="BV186" s="383"/>
      <c r="BW186" s="383"/>
      <c r="BX186" s="383"/>
      <c r="BY186" s="383"/>
      <c r="BZ186" s="383"/>
      <c r="CA186" s="383"/>
      <c r="CB186" s="383"/>
      <c r="CC186" s="383"/>
      <c r="CD186" s="383"/>
      <c r="CE186" s="383"/>
      <c r="CF186" s="383"/>
      <c r="CG186" s="383"/>
      <c r="CH186" s="383"/>
      <c r="CI186" s="383"/>
      <c r="CJ186" s="383"/>
      <c r="CK186" s="383"/>
      <c r="CL186" s="383"/>
      <c r="CM186" s="383"/>
      <c r="CN186" s="383"/>
      <c r="CO186" s="383"/>
      <c r="CP186" s="383"/>
      <c r="CQ186" s="383"/>
      <c r="CR186" s="383"/>
      <c r="CS186" s="383"/>
      <c r="CT186" s="383"/>
      <c r="CU186" s="383"/>
      <c r="CV186" s="383"/>
      <c r="CW186" s="383"/>
      <c r="CX186" s="383"/>
      <c r="CY186" s="383"/>
      <c r="CZ186" s="383"/>
      <c r="DA186" s="383"/>
      <c r="DB186" s="383"/>
      <c r="DC186" s="383"/>
      <c r="DD186" s="383"/>
      <c r="DE186" s="383"/>
      <c r="DF186" s="383"/>
      <c r="DG186" s="383"/>
      <c r="DH186" s="383"/>
      <c r="DI186" s="383"/>
      <c r="DJ186" s="383"/>
      <c r="DK186" s="383"/>
      <c r="DL186" s="383"/>
      <c r="DM186" s="383"/>
      <c r="DN186" s="383"/>
      <c r="DO186" s="383"/>
      <c r="DP186" s="383"/>
      <c r="DQ186" s="383"/>
      <c r="DR186" s="383"/>
      <c r="DS186" s="383"/>
      <c r="DT186" s="383"/>
      <c r="DU186" s="383"/>
      <c r="DV186" s="383"/>
      <c r="DW186" s="383"/>
      <c r="DX186" s="383"/>
      <c r="DY186" s="383"/>
      <c r="DZ186" s="383"/>
      <c r="EA186" s="383"/>
      <c r="EB186" s="383"/>
      <c r="EC186" s="383"/>
      <c r="ED186" s="383"/>
      <c r="EE186" s="383"/>
      <c r="EF186" s="383"/>
      <c r="EG186" s="383"/>
      <c r="EH186" s="383"/>
      <c r="EI186" s="383"/>
      <c r="EJ186" s="383"/>
      <c r="EK186" s="383"/>
      <c r="EL186" s="383"/>
      <c r="EM186" s="383"/>
      <c r="EN186" s="383"/>
      <c r="EO186" s="383"/>
      <c r="EP186" s="383"/>
      <c r="EQ186" s="383"/>
      <c r="ER186" s="383"/>
      <c r="ES186" s="383"/>
      <c r="ET186" s="383"/>
      <c r="EU186" s="383"/>
      <c r="EV186" s="383"/>
      <c r="EW186" s="383"/>
      <c r="EX186" s="383"/>
      <c r="EY186" s="383"/>
      <c r="EZ186" s="383"/>
      <c r="FA186" s="383"/>
      <c r="FB186" s="383"/>
      <c r="FC186" s="383"/>
      <c r="FD186" s="383"/>
      <c r="FE186" s="383"/>
      <c r="FF186" s="383"/>
      <c r="FG186" s="383"/>
      <c r="FH186" s="383"/>
      <c r="FI186" s="383"/>
      <c r="FJ186" s="383"/>
      <c r="FK186" s="383"/>
      <c r="FL186" s="383"/>
      <c r="FM186" s="383"/>
      <c r="FN186" s="383"/>
      <c r="FO186" s="383"/>
      <c r="FP186" s="383"/>
      <c r="FQ186" s="383"/>
      <c r="FR186" s="383"/>
      <c r="FS186" s="383"/>
      <c r="FT186" s="383"/>
      <c r="FU186" s="383"/>
      <c r="FV186" s="383"/>
      <c r="FW186" s="383"/>
      <c r="FX186" s="383"/>
      <c r="FY186" s="383"/>
      <c r="FZ186" s="383"/>
      <c r="GA186" s="383"/>
      <c r="GB186" s="383"/>
      <c r="GC186" s="383"/>
      <c r="GD186" s="383"/>
      <c r="GE186" s="383"/>
      <c r="GF186" s="383"/>
      <c r="GG186" s="383"/>
      <c r="GH186" s="383"/>
      <c r="GI186" s="383"/>
      <c r="GJ186" s="383"/>
      <c r="GK186" s="383"/>
      <c r="GL186" s="383"/>
      <c r="GM186" s="383"/>
      <c r="GN186" s="383"/>
      <c r="GO186" s="383"/>
      <c r="GP186" s="383"/>
      <c r="GQ186" s="383"/>
      <c r="GR186" s="383"/>
      <c r="GS186" s="383"/>
      <c r="GT186" s="383"/>
      <c r="GU186" s="383"/>
      <c r="GV186" s="383"/>
      <c r="GW186" s="383"/>
      <c r="GX186" s="383"/>
      <c r="GY186" s="383"/>
      <c r="GZ186" s="383"/>
      <c r="HA186" s="383"/>
      <c r="HB186" s="383"/>
      <c r="HC186" s="383"/>
      <c r="HD186" s="383"/>
      <c r="HE186" s="383"/>
      <c r="HF186" s="383"/>
      <c r="HG186" s="383"/>
      <c r="HH186" s="383"/>
      <c r="HI186" s="383"/>
      <c r="HJ186" s="383"/>
      <c r="HK186" s="383"/>
      <c r="HL186" s="383"/>
      <c r="HM186" s="383"/>
      <c r="HN186" s="383"/>
      <c r="HO186" s="383"/>
      <c r="HP186" s="383"/>
      <c r="HQ186" s="383"/>
      <c r="HR186" s="383"/>
      <c r="HS186" s="383"/>
      <c r="HT186" s="383"/>
      <c r="HU186" s="383"/>
      <c r="HV186" s="383"/>
      <c r="HW186" s="383"/>
      <c r="HX186" s="383"/>
      <c r="HY186" s="383"/>
      <c r="HZ186" s="383"/>
      <c r="IA186" s="383"/>
      <c r="IB186" s="383"/>
      <c r="IC186" s="383"/>
      <c r="ID186" s="383"/>
      <c r="IE186" s="383"/>
      <c r="IF186" s="383"/>
      <c r="IG186" s="383"/>
      <c r="IH186" s="383"/>
      <c r="II186" s="383"/>
      <c r="IJ186" s="383"/>
      <c r="IK186" s="383"/>
      <c r="IL186" s="383"/>
    </row>
    <row r="187" spans="1:246" ht="15" customHeight="1">
      <c r="A187" s="516" t="s">
        <v>20</v>
      </c>
      <c r="B187" s="482" t="s">
        <v>148</v>
      </c>
      <c r="C187" s="483" t="s">
        <v>131</v>
      </c>
      <c r="D187" s="69"/>
      <c r="E187" s="498" t="s">
        <v>377</v>
      </c>
      <c r="F187" s="484">
        <v>2696</v>
      </c>
      <c r="G187" s="479" t="str">
        <f t="shared" si="27"/>
        <v>01/2026</v>
      </c>
      <c r="H187" s="341">
        <f>SUMIF(VI.A!$B$6:$B$5963,B187,VI.A!$L$6:$L$5963)</f>
        <v>183.31</v>
      </c>
      <c r="I187" s="341" t="str">
        <f t="shared" si="28"/>
        <v>si</v>
      </c>
      <c r="J187" s="383"/>
      <c r="K187" s="383" t="str">
        <f t="array" ref="K187">IF(TRIM(E187)="SINAPI",VLOOKUP(TRIM(F187),TRIM([8]sheet1!$A$8:$E$4895),5,FALSE),"não encontrado")</f>
        <v>27,37</v>
      </c>
      <c r="L187" s="533">
        <v>31.24</v>
      </c>
      <c r="M187" s="480" t="str">
        <f t="shared" si="29"/>
        <v>27,37</v>
      </c>
      <c r="N187" s="383" t="b">
        <f t="shared" si="30"/>
        <v>0</v>
      </c>
      <c r="O187" s="383"/>
      <c r="P187" s="383"/>
      <c r="Q187" s="383"/>
      <c r="R187" s="383"/>
      <c r="S187" s="383"/>
      <c r="T187" s="383"/>
      <c r="U187" s="383"/>
      <c r="V187" s="383"/>
      <c r="W187" s="383"/>
      <c r="X187" s="383"/>
      <c r="Y187" s="383"/>
      <c r="Z187" s="383"/>
      <c r="AA187" s="383"/>
      <c r="AB187" s="383"/>
      <c r="AC187" s="383"/>
      <c r="AD187" s="383"/>
      <c r="AE187" s="383"/>
      <c r="AF187" s="383"/>
      <c r="AG187" s="383"/>
      <c r="AH187" s="383"/>
      <c r="AI187" s="383"/>
      <c r="AJ187" s="383"/>
      <c r="AK187" s="383"/>
      <c r="AL187" s="383"/>
      <c r="AM187" s="383"/>
      <c r="AN187" s="383"/>
      <c r="AO187" s="383"/>
      <c r="AP187" s="383"/>
      <c r="AQ187" s="383"/>
      <c r="AR187" s="383"/>
      <c r="AS187" s="383"/>
      <c r="AT187" s="383"/>
      <c r="AU187" s="383"/>
      <c r="AV187" s="383"/>
      <c r="AW187" s="383"/>
      <c r="AX187" s="383"/>
      <c r="AY187" s="383"/>
      <c r="AZ187" s="383"/>
      <c r="BA187" s="383"/>
      <c r="BB187" s="383"/>
      <c r="BC187" s="383"/>
      <c r="BD187" s="383"/>
      <c r="BE187" s="383"/>
      <c r="BF187" s="383"/>
      <c r="BG187" s="383"/>
      <c r="BH187" s="383"/>
      <c r="BI187" s="383"/>
      <c r="BJ187" s="383"/>
      <c r="BK187" s="383"/>
      <c r="BL187" s="383"/>
      <c r="BM187" s="383"/>
      <c r="BN187" s="383"/>
      <c r="BO187" s="383"/>
      <c r="BP187" s="383"/>
      <c r="BQ187" s="383"/>
      <c r="BR187" s="383"/>
      <c r="BS187" s="383"/>
      <c r="BT187" s="383"/>
      <c r="BU187" s="383"/>
      <c r="BV187" s="383"/>
      <c r="BW187" s="383"/>
      <c r="BX187" s="383"/>
      <c r="BY187" s="383"/>
      <c r="BZ187" s="383"/>
      <c r="CA187" s="383"/>
      <c r="CB187" s="383"/>
      <c r="CC187" s="383"/>
      <c r="CD187" s="383"/>
      <c r="CE187" s="383"/>
      <c r="CF187" s="383"/>
      <c r="CG187" s="383"/>
      <c r="CH187" s="383"/>
      <c r="CI187" s="383"/>
      <c r="CJ187" s="383"/>
      <c r="CK187" s="383"/>
      <c r="CL187" s="383"/>
      <c r="CM187" s="383"/>
      <c r="CN187" s="383"/>
      <c r="CO187" s="383"/>
      <c r="CP187" s="383"/>
      <c r="CQ187" s="383"/>
      <c r="CR187" s="383"/>
      <c r="CS187" s="383"/>
      <c r="CT187" s="383"/>
      <c r="CU187" s="383"/>
      <c r="CV187" s="383"/>
      <c r="CW187" s="383"/>
      <c r="CX187" s="383"/>
      <c r="CY187" s="383"/>
      <c r="CZ187" s="383"/>
      <c r="DA187" s="383"/>
      <c r="DB187" s="383"/>
      <c r="DC187" s="383"/>
      <c r="DD187" s="383"/>
      <c r="DE187" s="383"/>
      <c r="DF187" s="383"/>
      <c r="DG187" s="383"/>
      <c r="DH187" s="383"/>
      <c r="DI187" s="383"/>
      <c r="DJ187" s="383"/>
      <c r="DK187" s="383"/>
      <c r="DL187" s="383"/>
      <c r="DM187" s="383"/>
      <c r="DN187" s="383"/>
      <c r="DO187" s="383"/>
      <c r="DP187" s="383"/>
      <c r="DQ187" s="383"/>
      <c r="DR187" s="383"/>
      <c r="DS187" s="383"/>
      <c r="DT187" s="383"/>
      <c r="DU187" s="383"/>
      <c r="DV187" s="383"/>
      <c r="DW187" s="383"/>
      <c r="DX187" s="383"/>
      <c r="DY187" s="383"/>
      <c r="DZ187" s="383"/>
      <c r="EA187" s="383"/>
      <c r="EB187" s="383"/>
      <c r="EC187" s="383"/>
      <c r="ED187" s="383"/>
      <c r="EE187" s="383"/>
      <c r="EF187" s="383"/>
      <c r="EG187" s="383"/>
      <c r="EH187" s="383"/>
      <c r="EI187" s="383"/>
      <c r="EJ187" s="383"/>
      <c r="EK187" s="383"/>
      <c r="EL187" s="383"/>
      <c r="EM187" s="383"/>
      <c r="EN187" s="383"/>
      <c r="EO187" s="383"/>
      <c r="EP187" s="383"/>
      <c r="EQ187" s="383"/>
      <c r="ER187" s="383"/>
      <c r="ES187" s="383"/>
      <c r="ET187" s="383"/>
      <c r="EU187" s="383"/>
      <c r="EV187" s="383"/>
      <c r="EW187" s="383"/>
      <c r="EX187" s="383"/>
      <c r="EY187" s="383"/>
      <c r="EZ187" s="383"/>
      <c r="FA187" s="383"/>
      <c r="FB187" s="383"/>
      <c r="FC187" s="383"/>
      <c r="FD187" s="383"/>
      <c r="FE187" s="383"/>
      <c r="FF187" s="383"/>
      <c r="FG187" s="383"/>
      <c r="FH187" s="383"/>
      <c r="FI187" s="383"/>
      <c r="FJ187" s="383"/>
      <c r="FK187" s="383"/>
      <c r="FL187" s="383"/>
      <c r="FM187" s="383"/>
      <c r="FN187" s="383"/>
      <c r="FO187" s="383"/>
      <c r="FP187" s="383"/>
      <c r="FQ187" s="383"/>
      <c r="FR187" s="383"/>
      <c r="FS187" s="383"/>
      <c r="FT187" s="383"/>
      <c r="FU187" s="383"/>
      <c r="FV187" s="383"/>
      <c r="FW187" s="383"/>
      <c r="FX187" s="383"/>
      <c r="FY187" s="383"/>
      <c r="FZ187" s="383"/>
      <c r="GA187" s="383"/>
      <c r="GB187" s="383"/>
      <c r="GC187" s="383"/>
      <c r="GD187" s="383"/>
      <c r="GE187" s="383"/>
      <c r="GF187" s="383"/>
      <c r="GG187" s="383"/>
      <c r="GH187" s="383"/>
      <c r="GI187" s="383"/>
      <c r="GJ187" s="383"/>
      <c r="GK187" s="383"/>
      <c r="GL187" s="383"/>
      <c r="GM187" s="383"/>
      <c r="GN187" s="383"/>
      <c r="GO187" s="383"/>
      <c r="GP187" s="383"/>
      <c r="GQ187" s="383"/>
      <c r="GR187" s="383"/>
      <c r="GS187" s="383"/>
      <c r="GT187" s="383"/>
      <c r="GU187" s="383"/>
      <c r="GV187" s="383"/>
      <c r="GW187" s="383"/>
      <c r="GX187" s="383"/>
      <c r="GY187" s="383"/>
      <c r="GZ187" s="383"/>
      <c r="HA187" s="383"/>
      <c r="HB187" s="383"/>
      <c r="HC187" s="383"/>
      <c r="HD187" s="383"/>
      <c r="HE187" s="383"/>
      <c r="HF187" s="383"/>
      <c r="HG187" s="383"/>
      <c r="HH187" s="383"/>
      <c r="HI187" s="383"/>
      <c r="HJ187" s="383"/>
      <c r="HK187" s="383"/>
      <c r="HL187" s="383"/>
      <c r="HM187" s="383"/>
      <c r="HN187" s="383"/>
      <c r="HO187" s="383"/>
      <c r="HP187" s="383"/>
      <c r="HQ187" s="383"/>
      <c r="HR187" s="383"/>
      <c r="HS187" s="383"/>
      <c r="HT187" s="383"/>
      <c r="HU187" s="383"/>
      <c r="HV187" s="383"/>
      <c r="HW187" s="383"/>
      <c r="HX187" s="383"/>
      <c r="HY187" s="383"/>
      <c r="HZ187" s="383"/>
      <c r="IA187" s="383"/>
      <c r="IB187" s="383"/>
      <c r="IC187" s="383"/>
      <c r="ID187" s="383"/>
      <c r="IE187" s="383"/>
      <c r="IF187" s="383"/>
      <c r="IG187" s="383"/>
      <c r="IH187" s="383"/>
      <c r="II187" s="383"/>
      <c r="IJ187" s="383"/>
      <c r="IK187" s="383"/>
      <c r="IL187" s="383"/>
    </row>
    <row r="188" spans="1:246" ht="15" customHeight="1">
      <c r="A188" s="516" t="s">
        <v>49</v>
      </c>
      <c r="B188" s="482" t="s">
        <v>149</v>
      </c>
      <c r="C188" s="483" t="s">
        <v>131</v>
      </c>
      <c r="D188" s="69"/>
      <c r="E188" s="498" t="s">
        <v>377</v>
      </c>
      <c r="F188" s="484">
        <v>4083</v>
      </c>
      <c r="G188" s="479" t="str">
        <f t="shared" si="27"/>
        <v>01/2026</v>
      </c>
      <c r="H188" s="341">
        <f>SUMIF(VI.A!$B$6:$B$5963,B188,VI.A!$L$6:$L$5963)</f>
        <v>4224</v>
      </c>
      <c r="I188" s="341" t="str">
        <f t="shared" si="28"/>
        <v>si</v>
      </c>
      <c r="J188" s="383"/>
      <c r="K188" s="383" t="str">
        <f t="array" ref="K188">IF(TRIM(E188)="SINAPI",VLOOKUP(TRIM(F188),TRIM([8]sheet1!$A$8:$E$4895),5,FALSE),"não encontrado")</f>
        <v>43,77</v>
      </c>
      <c r="L188" s="533">
        <v>46.01</v>
      </c>
      <c r="M188" s="480" t="str">
        <f t="shared" si="29"/>
        <v>43,77</v>
      </c>
      <c r="N188" s="383" t="b">
        <f t="shared" si="30"/>
        <v>0</v>
      </c>
      <c r="O188" s="383"/>
      <c r="P188" s="383"/>
      <c r="Q188" s="383"/>
      <c r="R188" s="383"/>
      <c r="S188" s="383"/>
      <c r="T188" s="383"/>
      <c r="U188" s="383"/>
      <c r="V188" s="383"/>
      <c r="W188" s="383"/>
      <c r="X188" s="383"/>
      <c r="Y188" s="383"/>
      <c r="Z188" s="383"/>
      <c r="AA188" s="383"/>
      <c r="AB188" s="383"/>
      <c r="AC188" s="383"/>
      <c r="AD188" s="383"/>
      <c r="AE188" s="383"/>
      <c r="AF188" s="383"/>
      <c r="AG188" s="383"/>
      <c r="AH188" s="383"/>
      <c r="AI188" s="383"/>
      <c r="AJ188" s="383"/>
      <c r="AK188" s="383"/>
      <c r="AL188" s="383"/>
      <c r="AM188" s="383"/>
      <c r="AN188" s="383"/>
      <c r="AO188" s="383"/>
      <c r="AP188" s="383"/>
      <c r="AQ188" s="383"/>
      <c r="AR188" s="383"/>
      <c r="AS188" s="383"/>
      <c r="AT188" s="383"/>
      <c r="AU188" s="383"/>
      <c r="AV188" s="383"/>
      <c r="AW188" s="383"/>
      <c r="AX188" s="383"/>
      <c r="AY188" s="383"/>
      <c r="AZ188" s="383"/>
      <c r="BA188" s="383"/>
      <c r="BB188" s="383"/>
      <c r="BC188" s="383"/>
      <c r="BD188" s="383"/>
      <c r="BE188" s="383"/>
      <c r="BF188" s="383"/>
      <c r="BG188" s="383"/>
      <c r="BH188" s="383"/>
      <c r="BI188" s="383"/>
      <c r="BJ188" s="383"/>
      <c r="BK188" s="383"/>
      <c r="BL188" s="383"/>
      <c r="BM188" s="383"/>
      <c r="BN188" s="383"/>
      <c r="BO188" s="383"/>
      <c r="BP188" s="383"/>
      <c r="BQ188" s="383"/>
      <c r="BR188" s="383"/>
      <c r="BS188" s="383"/>
      <c r="BT188" s="383"/>
      <c r="BU188" s="383"/>
      <c r="BV188" s="383"/>
      <c r="BW188" s="383"/>
      <c r="BX188" s="383"/>
      <c r="BY188" s="383"/>
      <c r="BZ188" s="383"/>
      <c r="CA188" s="383"/>
      <c r="CB188" s="383"/>
      <c r="CC188" s="383"/>
      <c r="CD188" s="383"/>
      <c r="CE188" s="383"/>
      <c r="CF188" s="383"/>
      <c r="CG188" s="383"/>
      <c r="CH188" s="383"/>
      <c r="CI188" s="383"/>
      <c r="CJ188" s="383"/>
      <c r="CK188" s="383"/>
      <c r="CL188" s="383"/>
      <c r="CM188" s="383"/>
      <c r="CN188" s="383"/>
      <c r="CO188" s="383"/>
      <c r="CP188" s="383"/>
      <c r="CQ188" s="383"/>
      <c r="CR188" s="383"/>
      <c r="CS188" s="383"/>
      <c r="CT188" s="383"/>
      <c r="CU188" s="383"/>
      <c r="CV188" s="383"/>
      <c r="CW188" s="383"/>
      <c r="CX188" s="383"/>
      <c r="CY188" s="383"/>
      <c r="CZ188" s="383"/>
      <c r="DA188" s="383"/>
      <c r="DB188" s="383"/>
      <c r="DC188" s="383"/>
      <c r="DD188" s="383"/>
      <c r="DE188" s="383"/>
      <c r="DF188" s="383"/>
      <c r="DG188" s="383"/>
      <c r="DH188" s="383"/>
      <c r="DI188" s="383"/>
      <c r="DJ188" s="383"/>
      <c r="DK188" s="383"/>
      <c r="DL188" s="383"/>
      <c r="DM188" s="383"/>
      <c r="DN188" s="383"/>
      <c r="DO188" s="383"/>
      <c r="DP188" s="383"/>
      <c r="DQ188" s="383"/>
      <c r="DR188" s="383"/>
      <c r="DS188" s="383"/>
      <c r="DT188" s="383"/>
      <c r="DU188" s="383"/>
      <c r="DV188" s="383"/>
      <c r="DW188" s="383"/>
      <c r="DX188" s="383"/>
      <c r="DY188" s="383"/>
      <c r="DZ188" s="383"/>
      <c r="EA188" s="383"/>
      <c r="EB188" s="383"/>
      <c r="EC188" s="383"/>
      <c r="ED188" s="383"/>
      <c r="EE188" s="383"/>
      <c r="EF188" s="383"/>
      <c r="EG188" s="383"/>
      <c r="EH188" s="383"/>
      <c r="EI188" s="383"/>
      <c r="EJ188" s="383"/>
      <c r="EK188" s="383"/>
      <c r="EL188" s="383"/>
      <c r="EM188" s="383"/>
      <c r="EN188" s="383"/>
      <c r="EO188" s="383"/>
      <c r="EP188" s="383"/>
      <c r="EQ188" s="383"/>
      <c r="ER188" s="383"/>
      <c r="ES188" s="383"/>
      <c r="ET188" s="383"/>
      <c r="EU188" s="383"/>
      <c r="EV188" s="383"/>
      <c r="EW188" s="383"/>
      <c r="EX188" s="383"/>
      <c r="EY188" s="383"/>
      <c r="EZ188" s="383"/>
      <c r="FA188" s="383"/>
      <c r="FB188" s="383"/>
      <c r="FC188" s="383"/>
      <c r="FD188" s="383"/>
      <c r="FE188" s="383"/>
      <c r="FF188" s="383"/>
      <c r="FG188" s="383"/>
      <c r="FH188" s="383"/>
      <c r="FI188" s="383"/>
      <c r="FJ188" s="383"/>
      <c r="FK188" s="383"/>
      <c r="FL188" s="383"/>
      <c r="FM188" s="383"/>
      <c r="FN188" s="383"/>
      <c r="FO188" s="383"/>
      <c r="FP188" s="383"/>
      <c r="FQ188" s="383"/>
      <c r="FR188" s="383"/>
      <c r="FS188" s="383"/>
      <c r="FT188" s="383"/>
      <c r="FU188" s="383"/>
      <c r="FV188" s="383"/>
      <c r="FW188" s="383"/>
      <c r="FX188" s="383"/>
      <c r="FY188" s="383"/>
      <c r="FZ188" s="383"/>
      <c r="GA188" s="383"/>
      <c r="GB188" s="383"/>
      <c r="GC188" s="383"/>
      <c r="GD188" s="383"/>
      <c r="GE188" s="383"/>
      <c r="GF188" s="383"/>
      <c r="GG188" s="383"/>
      <c r="GH188" s="383"/>
      <c r="GI188" s="383"/>
      <c r="GJ188" s="383"/>
      <c r="GK188" s="383"/>
      <c r="GL188" s="383"/>
      <c r="GM188" s="383"/>
      <c r="GN188" s="383"/>
      <c r="GO188" s="383"/>
      <c r="GP188" s="383"/>
      <c r="GQ188" s="383"/>
      <c r="GR188" s="383"/>
      <c r="GS188" s="383"/>
      <c r="GT188" s="383"/>
      <c r="GU188" s="383"/>
      <c r="GV188" s="383"/>
      <c r="GW188" s="383"/>
      <c r="GX188" s="383"/>
      <c r="GY188" s="383"/>
      <c r="GZ188" s="383"/>
      <c r="HA188" s="383"/>
      <c r="HB188" s="383"/>
      <c r="HC188" s="383"/>
      <c r="HD188" s="383"/>
      <c r="HE188" s="383"/>
      <c r="HF188" s="383"/>
      <c r="HG188" s="383"/>
      <c r="HH188" s="383"/>
      <c r="HI188" s="383"/>
      <c r="HJ188" s="383"/>
      <c r="HK188" s="383"/>
      <c r="HL188" s="383"/>
      <c r="HM188" s="383"/>
      <c r="HN188" s="383"/>
      <c r="HO188" s="383"/>
      <c r="HP188" s="383"/>
      <c r="HQ188" s="383"/>
      <c r="HR188" s="383"/>
      <c r="HS188" s="383"/>
      <c r="HT188" s="383"/>
      <c r="HU188" s="383"/>
      <c r="HV188" s="383"/>
      <c r="HW188" s="383"/>
      <c r="HX188" s="383"/>
      <c r="HY188" s="383"/>
      <c r="HZ188" s="383"/>
      <c r="IA188" s="383"/>
      <c r="IB188" s="383"/>
      <c r="IC188" s="383"/>
      <c r="ID188" s="383"/>
      <c r="IE188" s="383"/>
      <c r="IF188" s="383"/>
      <c r="IG188" s="383"/>
      <c r="IH188" s="383"/>
      <c r="II188" s="383"/>
      <c r="IJ188" s="383"/>
      <c r="IK188" s="383"/>
      <c r="IL188" s="383"/>
    </row>
    <row r="189" spans="1:246" ht="15" customHeight="1">
      <c r="A189" s="516" t="s">
        <v>21</v>
      </c>
      <c r="B189" s="482" t="s">
        <v>150</v>
      </c>
      <c r="C189" s="483" t="s">
        <v>131</v>
      </c>
      <c r="D189" s="69"/>
      <c r="E189" s="498" t="s">
        <v>377</v>
      </c>
      <c r="F189" s="484">
        <v>2436</v>
      </c>
      <c r="G189" s="479" t="str">
        <f t="shared" si="27"/>
        <v>01/2026</v>
      </c>
      <c r="H189" s="341">
        <f>SUMIF(VI.A!$B$6:$B$5963,B189,VI.A!$L$6:$L$5963)</f>
        <v>78.209299999999999</v>
      </c>
      <c r="I189" s="341" t="str">
        <f t="shared" si="28"/>
        <v>si</v>
      </c>
      <c r="J189" s="383"/>
      <c r="K189" s="383" t="str">
        <f t="array" ref="K189">IF(TRIM(E189)="SINAPI",VLOOKUP(TRIM(F189),TRIM([8]sheet1!$A$8:$E$4895),5,FALSE),"não encontrado")</f>
        <v>31,53</v>
      </c>
      <c r="L189" s="533">
        <v>34.46</v>
      </c>
      <c r="M189" s="480" t="str">
        <f t="shared" si="29"/>
        <v>31,53</v>
      </c>
      <c r="N189" s="383" t="b">
        <f t="shared" si="30"/>
        <v>0</v>
      </c>
      <c r="O189" s="383"/>
      <c r="P189" s="383"/>
      <c r="Q189" s="383"/>
      <c r="R189" s="383"/>
      <c r="S189" s="383"/>
      <c r="T189" s="383"/>
      <c r="U189" s="383"/>
      <c r="V189" s="383"/>
      <c r="W189" s="383"/>
      <c r="X189" s="383"/>
      <c r="Y189" s="383"/>
      <c r="Z189" s="383"/>
      <c r="AA189" s="383"/>
      <c r="AB189" s="383"/>
      <c r="AC189" s="383"/>
      <c r="AD189" s="383"/>
      <c r="AE189" s="383"/>
      <c r="AF189" s="383"/>
      <c r="AG189" s="383"/>
      <c r="AH189" s="383"/>
      <c r="AI189" s="383"/>
      <c r="AJ189" s="383"/>
      <c r="AK189" s="383"/>
      <c r="AL189" s="383"/>
      <c r="AM189" s="383"/>
      <c r="AN189" s="383"/>
      <c r="AO189" s="383"/>
      <c r="AP189" s="383"/>
      <c r="AQ189" s="383"/>
      <c r="AR189" s="383"/>
      <c r="AS189" s="383"/>
      <c r="AT189" s="383"/>
      <c r="AU189" s="383"/>
      <c r="AV189" s="383"/>
      <c r="AW189" s="383"/>
      <c r="AX189" s="383"/>
      <c r="AY189" s="383"/>
      <c r="AZ189" s="383"/>
      <c r="BA189" s="383"/>
      <c r="BB189" s="383"/>
      <c r="BC189" s="383"/>
      <c r="BD189" s="383"/>
      <c r="BE189" s="383"/>
      <c r="BF189" s="383"/>
      <c r="BG189" s="383"/>
      <c r="BH189" s="383"/>
      <c r="BI189" s="383"/>
      <c r="BJ189" s="383"/>
      <c r="BK189" s="383"/>
      <c r="BL189" s="383"/>
      <c r="BM189" s="383"/>
      <c r="BN189" s="383"/>
      <c r="BO189" s="383"/>
      <c r="BP189" s="383"/>
      <c r="BQ189" s="383"/>
      <c r="BR189" s="383"/>
      <c r="BS189" s="383"/>
      <c r="BT189" s="383"/>
      <c r="BU189" s="383"/>
      <c r="BV189" s="383"/>
      <c r="BW189" s="383"/>
      <c r="BX189" s="383"/>
      <c r="BY189" s="383"/>
      <c r="BZ189" s="383"/>
      <c r="CA189" s="383"/>
      <c r="CB189" s="383"/>
      <c r="CC189" s="383"/>
      <c r="CD189" s="383"/>
      <c r="CE189" s="383"/>
      <c r="CF189" s="383"/>
      <c r="CG189" s="383"/>
      <c r="CH189" s="383"/>
      <c r="CI189" s="383"/>
      <c r="CJ189" s="383"/>
      <c r="CK189" s="383"/>
      <c r="CL189" s="383"/>
      <c r="CM189" s="383"/>
      <c r="CN189" s="383"/>
      <c r="CO189" s="383"/>
      <c r="CP189" s="383"/>
      <c r="CQ189" s="383"/>
      <c r="CR189" s="383"/>
      <c r="CS189" s="383"/>
      <c r="CT189" s="383"/>
      <c r="CU189" s="383"/>
      <c r="CV189" s="383"/>
      <c r="CW189" s="383"/>
      <c r="CX189" s="383"/>
      <c r="CY189" s="383"/>
      <c r="CZ189" s="383"/>
      <c r="DA189" s="383"/>
      <c r="DB189" s="383"/>
      <c r="DC189" s="383"/>
      <c r="DD189" s="383"/>
      <c r="DE189" s="383"/>
      <c r="DF189" s="383"/>
      <c r="DG189" s="383"/>
      <c r="DH189" s="383"/>
      <c r="DI189" s="383"/>
      <c r="DJ189" s="383"/>
      <c r="DK189" s="383"/>
      <c r="DL189" s="383"/>
      <c r="DM189" s="383"/>
      <c r="DN189" s="383"/>
      <c r="DO189" s="383"/>
      <c r="DP189" s="383"/>
      <c r="DQ189" s="383"/>
      <c r="DR189" s="383"/>
      <c r="DS189" s="383"/>
      <c r="DT189" s="383"/>
      <c r="DU189" s="383"/>
      <c r="DV189" s="383"/>
      <c r="DW189" s="383"/>
      <c r="DX189" s="383"/>
      <c r="DY189" s="383"/>
      <c r="DZ189" s="383"/>
      <c r="EA189" s="383"/>
      <c r="EB189" s="383"/>
      <c r="EC189" s="383"/>
      <c r="ED189" s="383"/>
      <c r="EE189" s="383"/>
      <c r="EF189" s="383"/>
      <c r="EG189" s="383"/>
      <c r="EH189" s="383"/>
      <c r="EI189" s="383"/>
      <c r="EJ189" s="383"/>
      <c r="EK189" s="383"/>
      <c r="EL189" s="383"/>
      <c r="EM189" s="383"/>
      <c r="EN189" s="383"/>
      <c r="EO189" s="383"/>
      <c r="EP189" s="383"/>
      <c r="EQ189" s="383"/>
      <c r="ER189" s="383"/>
      <c r="ES189" s="383"/>
      <c r="ET189" s="383"/>
      <c r="EU189" s="383"/>
      <c r="EV189" s="383"/>
      <c r="EW189" s="383"/>
      <c r="EX189" s="383"/>
      <c r="EY189" s="383"/>
      <c r="EZ189" s="383"/>
      <c r="FA189" s="383"/>
      <c r="FB189" s="383"/>
      <c r="FC189" s="383"/>
      <c r="FD189" s="383"/>
      <c r="FE189" s="383"/>
      <c r="FF189" s="383"/>
      <c r="FG189" s="383"/>
      <c r="FH189" s="383"/>
      <c r="FI189" s="383"/>
      <c r="FJ189" s="383"/>
      <c r="FK189" s="383"/>
      <c r="FL189" s="383"/>
      <c r="FM189" s="383"/>
      <c r="FN189" s="383"/>
      <c r="FO189" s="383"/>
      <c r="FP189" s="383"/>
      <c r="FQ189" s="383"/>
      <c r="FR189" s="383"/>
      <c r="FS189" s="383"/>
      <c r="FT189" s="383"/>
      <c r="FU189" s="383"/>
      <c r="FV189" s="383"/>
      <c r="FW189" s="383"/>
      <c r="FX189" s="383"/>
      <c r="FY189" s="383"/>
      <c r="FZ189" s="383"/>
      <c r="GA189" s="383"/>
      <c r="GB189" s="383"/>
      <c r="GC189" s="383"/>
      <c r="GD189" s="383"/>
      <c r="GE189" s="383"/>
      <c r="GF189" s="383"/>
      <c r="GG189" s="383"/>
      <c r="GH189" s="383"/>
      <c r="GI189" s="383"/>
      <c r="GJ189" s="383"/>
      <c r="GK189" s="383"/>
      <c r="GL189" s="383"/>
      <c r="GM189" s="383"/>
      <c r="GN189" s="383"/>
      <c r="GO189" s="383"/>
      <c r="GP189" s="383"/>
      <c r="GQ189" s="383"/>
      <c r="GR189" s="383"/>
      <c r="GS189" s="383"/>
      <c r="GT189" s="383"/>
      <c r="GU189" s="383"/>
      <c r="GV189" s="383"/>
      <c r="GW189" s="383"/>
      <c r="GX189" s="383"/>
      <c r="GY189" s="383"/>
      <c r="GZ189" s="383"/>
      <c r="HA189" s="383"/>
      <c r="HB189" s="383"/>
      <c r="HC189" s="383"/>
      <c r="HD189" s="383"/>
      <c r="HE189" s="383"/>
      <c r="HF189" s="383"/>
      <c r="HG189" s="383"/>
      <c r="HH189" s="383"/>
      <c r="HI189" s="383"/>
      <c r="HJ189" s="383"/>
      <c r="HK189" s="383"/>
      <c r="HL189" s="383"/>
      <c r="HM189" s="383"/>
      <c r="HN189" s="383"/>
      <c r="HO189" s="383"/>
      <c r="HP189" s="383"/>
      <c r="HQ189" s="383"/>
      <c r="HR189" s="383"/>
      <c r="HS189" s="383"/>
      <c r="HT189" s="383"/>
      <c r="HU189" s="383"/>
      <c r="HV189" s="383"/>
      <c r="HW189" s="383"/>
      <c r="HX189" s="383"/>
      <c r="HY189" s="383"/>
      <c r="HZ189" s="383"/>
      <c r="IA189" s="383"/>
      <c r="IB189" s="383"/>
      <c r="IC189" s="383"/>
      <c r="ID189" s="383"/>
      <c r="IE189" s="383"/>
      <c r="IF189" s="383"/>
      <c r="IG189" s="383"/>
      <c r="IH189" s="383"/>
      <c r="II189" s="383"/>
      <c r="IJ189" s="383"/>
      <c r="IK189" s="383"/>
      <c r="IL189" s="383"/>
    </row>
    <row r="190" spans="1:246" ht="15" customHeight="1">
      <c r="A190" s="516" t="s">
        <v>87</v>
      </c>
      <c r="B190" s="482" t="s">
        <v>151</v>
      </c>
      <c r="C190" s="483" t="s">
        <v>131</v>
      </c>
      <c r="D190" s="69"/>
      <c r="E190" s="498" t="s">
        <v>377</v>
      </c>
      <c r="F190" s="484">
        <v>2706</v>
      </c>
      <c r="G190" s="479" t="str">
        <f t="shared" si="27"/>
        <v>01/2026</v>
      </c>
      <c r="H190" s="341">
        <f>SUMIF(VI.A!$B$6:$B$5963,B190,VI.A!$L$6:$L$5963)</f>
        <v>4224</v>
      </c>
      <c r="I190" s="341" t="str">
        <f t="shared" si="28"/>
        <v>si</v>
      </c>
      <c r="J190" s="383"/>
      <c r="K190" s="383" t="str">
        <f t="array" ref="K190">IF(TRIM(E190)="SINAPI",VLOOKUP(TRIM(F190),TRIM([8]sheet1!$A$8:$E$4895),5,FALSE),"não encontrado")</f>
        <v>117,57</v>
      </c>
      <c r="L190" s="533">
        <v>134.66</v>
      </c>
      <c r="M190" s="480" t="str">
        <f t="shared" si="29"/>
        <v>117,57</v>
      </c>
      <c r="N190" s="383" t="b">
        <f t="shared" si="30"/>
        <v>0</v>
      </c>
      <c r="O190" s="383"/>
      <c r="P190" s="383"/>
      <c r="Q190" s="383"/>
      <c r="R190" s="383"/>
      <c r="S190" s="383"/>
      <c r="T190" s="383"/>
      <c r="U190" s="383"/>
      <c r="V190" s="383"/>
      <c r="W190" s="383"/>
      <c r="X190" s="383"/>
      <c r="Y190" s="383"/>
      <c r="Z190" s="383"/>
      <c r="AA190" s="383"/>
      <c r="AB190" s="383"/>
      <c r="AC190" s="383"/>
      <c r="AD190" s="383"/>
      <c r="AE190" s="383"/>
      <c r="AF190" s="383"/>
      <c r="AG190" s="383"/>
      <c r="AH190" s="383"/>
      <c r="AI190" s="383"/>
      <c r="AJ190" s="383"/>
      <c r="AK190" s="383"/>
      <c r="AL190" s="383"/>
      <c r="AM190" s="383"/>
      <c r="AN190" s="383"/>
      <c r="AO190" s="383"/>
      <c r="AP190" s="383"/>
      <c r="AQ190" s="383"/>
      <c r="AR190" s="383"/>
      <c r="AS190" s="383"/>
      <c r="AT190" s="383"/>
      <c r="AU190" s="383"/>
      <c r="AV190" s="383"/>
      <c r="AW190" s="383"/>
      <c r="AX190" s="383"/>
      <c r="AY190" s="383"/>
      <c r="AZ190" s="383"/>
      <c r="BA190" s="383"/>
      <c r="BB190" s="383"/>
      <c r="BC190" s="383"/>
      <c r="BD190" s="383"/>
      <c r="BE190" s="383"/>
      <c r="BF190" s="383"/>
      <c r="BG190" s="383"/>
      <c r="BH190" s="383"/>
      <c r="BI190" s="383"/>
      <c r="BJ190" s="383"/>
      <c r="BK190" s="383"/>
      <c r="BL190" s="383"/>
      <c r="BM190" s="383"/>
      <c r="BN190" s="383"/>
      <c r="BO190" s="383"/>
      <c r="BP190" s="383"/>
      <c r="BQ190" s="383"/>
      <c r="BR190" s="383"/>
      <c r="BS190" s="383"/>
      <c r="BT190" s="383"/>
      <c r="BU190" s="383"/>
      <c r="BV190" s="383"/>
      <c r="BW190" s="383"/>
      <c r="BX190" s="383"/>
      <c r="BY190" s="383"/>
      <c r="BZ190" s="383"/>
      <c r="CA190" s="383"/>
      <c r="CB190" s="383"/>
      <c r="CC190" s="383"/>
      <c r="CD190" s="383"/>
      <c r="CE190" s="383"/>
      <c r="CF190" s="383"/>
      <c r="CG190" s="383"/>
      <c r="CH190" s="383"/>
      <c r="CI190" s="383"/>
      <c r="CJ190" s="383"/>
      <c r="CK190" s="383"/>
      <c r="CL190" s="383"/>
      <c r="CM190" s="383"/>
      <c r="CN190" s="383"/>
      <c r="CO190" s="383"/>
      <c r="CP190" s="383"/>
      <c r="CQ190" s="383"/>
      <c r="CR190" s="383"/>
      <c r="CS190" s="383"/>
      <c r="CT190" s="383"/>
      <c r="CU190" s="383"/>
      <c r="CV190" s="383"/>
      <c r="CW190" s="383"/>
      <c r="CX190" s="383"/>
      <c r="CY190" s="383"/>
      <c r="CZ190" s="383"/>
      <c r="DA190" s="383"/>
      <c r="DB190" s="383"/>
      <c r="DC190" s="383"/>
      <c r="DD190" s="383"/>
      <c r="DE190" s="383"/>
      <c r="DF190" s="383"/>
      <c r="DG190" s="383"/>
      <c r="DH190" s="383"/>
      <c r="DI190" s="383"/>
      <c r="DJ190" s="383"/>
      <c r="DK190" s="383"/>
      <c r="DL190" s="383"/>
      <c r="DM190" s="383"/>
      <c r="DN190" s="383"/>
      <c r="DO190" s="383"/>
      <c r="DP190" s="383"/>
      <c r="DQ190" s="383"/>
      <c r="DR190" s="383"/>
      <c r="DS190" s="383"/>
      <c r="DT190" s="383"/>
      <c r="DU190" s="383"/>
      <c r="DV190" s="383"/>
      <c r="DW190" s="383"/>
      <c r="DX190" s="383"/>
      <c r="DY190" s="383"/>
      <c r="DZ190" s="383"/>
      <c r="EA190" s="383"/>
      <c r="EB190" s="383"/>
      <c r="EC190" s="383"/>
      <c r="ED190" s="383"/>
      <c r="EE190" s="383"/>
      <c r="EF190" s="383"/>
      <c r="EG190" s="383"/>
      <c r="EH190" s="383"/>
      <c r="EI190" s="383"/>
      <c r="EJ190" s="383"/>
      <c r="EK190" s="383"/>
      <c r="EL190" s="383"/>
      <c r="EM190" s="383"/>
      <c r="EN190" s="383"/>
      <c r="EO190" s="383"/>
      <c r="EP190" s="383"/>
      <c r="EQ190" s="383"/>
      <c r="ER190" s="383"/>
      <c r="ES190" s="383"/>
      <c r="ET190" s="383"/>
      <c r="EU190" s="383"/>
      <c r="EV190" s="383"/>
      <c r="EW190" s="383"/>
      <c r="EX190" s="383"/>
      <c r="EY190" s="383"/>
      <c r="EZ190" s="383"/>
      <c r="FA190" s="383"/>
      <c r="FB190" s="383"/>
      <c r="FC190" s="383"/>
      <c r="FD190" s="383"/>
      <c r="FE190" s="383"/>
      <c r="FF190" s="383"/>
      <c r="FG190" s="383"/>
      <c r="FH190" s="383"/>
      <c r="FI190" s="383"/>
      <c r="FJ190" s="383"/>
      <c r="FK190" s="383"/>
      <c r="FL190" s="383"/>
      <c r="FM190" s="383"/>
      <c r="FN190" s="383"/>
      <c r="FO190" s="383"/>
      <c r="FP190" s="383"/>
      <c r="FQ190" s="383"/>
      <c r="FR190" s="383"/>
      <c r="FS190" s="383"/>
      <c r="FT190" s="383"/>
      <c r="FU190" s="383"/>
      <c r="FV190" s="383"/>
      <c r="FW190" s="383"/>
      <c r="FX190" s="383"/>
      <c r="FY190" s="383"/>
      <c r="FZ190" s="383"/>
      <c r="GA190" s="383"/>
      <c r="GB190" s="383"/>
      <c r="GC190" s="383"/>
      <c r="GD190" s="383"/>
      <c r="GE190" s="383"/>
      <c r="GF190" s="383"/>
      <c r="GG190" s="383"/>
      <c r="GH190" s="383"/>
      <c r="GI190" s="383"/>
      <c r="GJ190" s="383"/>
      <c r="GK190" s="383"/>
      <c r="GL190" s="383"/>
      <c r="GM190" s="383"/>
      <c r="GN190" s="383"/>
      <c r="GO190" s="383"/>
      <c r="GP190" s="383"/>
      <c r="GQ190" s="383"/>
      <c r="GR190" s="383"/>
      <c r="GS190" s="383"/>
      <c r="GT190" s="383"/>
      <c r="GU190" s="383"/>
      <c r="GV190" s="383"/>
      <c r="GW190" s="383"/>
      <c r="GX190" s="383"/>
      <c r="GY190" s="383"/>
      <c r="GZ190" s="383"/>
      <c r="HA190" s="383"/>
      <c r="HB190" s="383"/>
      <c r="HC190" s="383"/>
      <c r="HD190" s="383"/>
      <c r="HE190" s="383"/>
      <c r="HF190" s="383"/>
      <c r="HG190" s="383"/>
      <c r="HH190" s="383"/>
      <c r="HI190" s="383"/>
      <c r="HJ190" s="383"/>
      <c r="HK190" s="383"/>
      <c r="HL190" s="383"/>
      <c r="HM190" s="383"/>
      <c r="HN190" s="383"/>
      <c r="HO190" s="383"/>
      <c r="HP190" s="383"/>
      <c r="HQ190" s="383"/>
      <c r="HR190" s="383"/>
      <c r="HS190" s="383"/>
      <c r="HT190" s="383"/>
      <c r="HU190" s="383"/>
      <c r="HV190" s="383"/>
      <c r="HW190" s="383"/>
      <c r="HX190" s="383"/>
      <c r="HY190" s="383"/>
      <c r="HZ190" s="383"/>
      <c r="IA190" s="383"/>
      <c r="IB190" s="383"/>
      <c r="IC190" s="383"/>
      <c r="ID190" s="383"/>
      <c r="IE190" s="383"/>
      <c r="IF190" s="383"/>
      <c r="IG190" s="383"/>
      <c r="IH190" s="383"/>
      <c r="II190" s="383"/>
      <c r="IJ190" s="383"/>
      <c r="IK190" s="383"/>
      <c r="IL190" s="383"/>
    </row>
    <row r="191" spans="1:246" ht="15" customHeight="1">
      <c r="A191" s="516" t="s">
        <v>91</v>
      </c>
      <c r="B191" s="482" t="s">
        <v>152</v>
      </c>
      <c r="C191" s="483" t="s">
        <v>131</v>
      </c>
      <c r="D191" s="69"/>
      <c r="E191" s="498" t="s">
        <v>377</v>
      </c>
      <c r="F191" s="484">
        <v>12873</v>
      </c>
      <c r="G191" s="479" t="str">
        <f t="shared" si="27"/>
        <v>01/2026</v>
      </c>
      <c r="H191" s="341">
        <f>SUMIF(VI.A!$B$6:$B$5963,B191,VI.A!$L$6:$L$5963)</f>
        <v>240</v>
      </c>
      <c r="I191" s="341" t="str">
        <f>IF(H191=0,"no","si")</f>
        <v>si</v>
      </c>
      <c r="J191" s="383"/>
      <c r="K191" s="383" t="str">
        <f t="array" ref="K191">IF(TRIM(E191)="SINAPI",VLOOKUP(TRIM(F191),TRIM([8]sheet1!$A$8:$E$4895),5,FALSE),"não encontrado")</f>
        <v>23,55</v>
      </c>
      <c r="L191" s="533">
        <v>26.03</v>
      </c>
      <c r="M191" s="480" t="str">
        <f t="shared" si="29"/>
        <v>23,55</v>
      </c>
      <c r="N191" s="383" t="b">
        <f t="shared" si="30"/>
        <v>0</v>
      </c>
      <c r="O191" s="383"/>
      <c r="P191" s="383"/>
      <c r="Q191" s="383"/>
      <c r="R191" s="383"/>
      <c r="S191" s="383"/>
      <c r="T191" s="383"/>
      <c r="U191" s="383"/>
      <c r="V191" s="383"/>
      <c r="W191" s="383"/>
      <c r="X191" s="383"/>
      <c r="Y191" s="383"/>
      <c r="Z191" s="383"/>
      <c r="AA191" s="383"/>
      <c r="AB191" s="383"/>
      <c r="AC191" s="383"/>
      <c r="AD191" s="383"/>
      <c r="AE191" s="383"/>
      <c r="AF191" s="383"/>
      <c r="AG191" s="383"/>
      <c r="AH191" s="383"/>
      <c r="AI191" s="383"/>
      <c r="AJ191" s="383"/>
      <c r="AK191" s="383"/>
      <c r="AL191" s="383"/>
      <c r="AM191" s="383"/>
      <c r="AN191" s="383"/>
      <c r="AO191" s="383"/>
      <c r="AP191" s="383"/>
      <c r="AQ191" s="383"/>
      <c r="AR191" s="383"/>
      <c r="AS191" s="383"/>
      <c r="AT191" s="383"/>
      <c r="AU191" s="383"/>
      <c r="AV191" s="383"/>
      <c r="AW191" s="383"/>
      <c r="AX191" s="383"/>
      <c r="AY191" s="383"/>
      <c r="AZ191" s="383"/>
      <c r="BA191" s="383"/>
      <c r="BB191" s="383"/>
      <c r="BC191" s="383"/>
      <c r="BD191" s="383"/>
      <c r="BE191" s="383"/>
      <c r="BF191" s="383"/>
      <c r="BG191" s="383"/>
      <c r="BH191" s="383"/>
      <c r="BI191" s="383"/>
      <c r="BJ191" s="383"/>
      <c r="BK191" s="383"/>
      <c r="BL191" s="383"/>
      <c r="BM191" s="383"/>
      <c r="BN191" s="383"/>
      <c r="BO191" s="383"/>
      <c r="BP191" s="383"/>
      <c r="BQ191" s="383"/>
      <c r="BR191" s="383"/>
      <c r="BS191" s="383"/>
      <c r="BT191" s="383"/>
      <c r="BU191" s="383"/>
      <c r="BV191" s="383"/>
      <c r="BW191" s="383"/>
      <c r="BX191" s="383"/>
      <c r="BY191" s="383"/>
      <c r="BZ191" s="383"/>
      <c r="CA191" s="383"/>
      <c r="CB191" s="383"/>
      <c r="CC191" s="383"/>
      <c r="CD191" s="383"/>
      <c r="CE191" s="383"/>
      <c r="CF191" s="383"/>
      <c r="CG191" s="383"/>
      <c r="CH191" s="383"/>
      <c r="CI191" s="383"/>
      <c r="CJ191" s="383"/>
      <c r="CK191" s="383"/>
      <c r="CL191" s="383"/>
      <c r="CM191" s="383"/>
      <c r="CN191" s="383"/>
      <c r="CO191" s="383"/>
      <c r="CP191" s="383"/>
      <c r="CQ191" s="383"/>
      <c r="CR191" s="383"/>
      <c r="CS191" s="383"/>
      <c r="CT191" s="383"/>
      <c r="CU191" s="383"/>
      <c r="CV191" s="383"/>
      <c r="CW191" s="383"/>
      <c r="CX191" s="383"/>
      <c r="CY191" s="383"/>
      <c r="CZ191" s="383"/>
      <c r="DA191" s="383"/>
      <c r="DB191" s="383"/>
      <c r="DC191" s="383"/>
      <c r="DD191" s="383"/>
      <c r="DE191" s="383"/>
      <c r="DF191" s="383"/>
      <c r="DG191" s="383"/>
      <c r="DH191" s="383"/>
      <c r="DI191" s="383"/>
      <c r="DJ191" s="383"/>
      <c r="DK191" s="383"/>
      <c r="DL191" s="383"/>
      <c r="DM191" s="383"/>
      <c r="DN191" s="383"/>
      <c r="DO191" s="383"/>
      <c r="DP191" s="383"/>
      <c r="DQ191" s="383"/>
      <c r="DR191" s="383"/>
      <c r="DS191" s="383"/>
      <c r="DT191" s="383"/>
      <c r="DU191" s="383"/>
      <c r="DV191" s="383"/>
      <c r="DW191" s="383"/>
      <c r="DX191" s="383"/>
      <c r="DY191" s="383"/>
      <c r="DZ191" s="383"/>
      <c r="EA191" s="383"/>
      <c r="EB191" s="383"/>
      <c r="EC191" s="383"/>
      <c r="ED191" s="383"/>
      <c r="EE191" s="383"/>
      <c r="EF191" s="383"/>
      <c r="EG191" s="383"/>
      <c r="EH191" s="383"/>
      <c r="EI191" s="383"/>
      <c r="EJ191" s="383"/>
      <c r="EK191" s="383"/>
      <c r="EL191" s="383"/>
      <c r="EM191" s="383"/>
      <c r="EN191" s="383"/>
      <c r="EO191" s="383"/>
      <c r="EP191" s="383"/>
      <c r="EQ191" s="383"/>
      <c r="ER191" s="383"/>
      <c r="ES191" s="383"/>
      <c r="ET191" s="383"/>
      <c r="EU191" s="383"/>
      <c r="EV191" s="383"/>
      <c r="EW191" s="383"/>
      <c r="EX191" s="383"/>
      <c r="EY191" s="383"/>
      <c r="EZ191" s="383"/>
      <c r="FA191" s="383"/>
      <c r="FB191" s="383"/>
      <c r="FC191" s="383"/>
      <c r="FD191" s="383"/>
      <c r="FE191" s="383"/>
      <c r="FF191" s="383"/>
      <c r="FG191" s="383"/>
      <c r="FH191" s="383"/>
      <c r="FI191" s="383"/>
      <c r="FJ191" s="383"/>
      <c r="FK191" s="383"/>
      <c r="FL191" s="383"/>
      <c r="FM191" s="383"/>
      <c r="FN191" s="383"/>
      <c r="FO191" s="383"/>
      <c r="FP191" s="383"/>
      <c r="FQ191" s="383"/>
      <c r="FR191" s="383"/>
      <c r="FS191" s="383"/>
      <c r="FT191" s="383"/>
      <c r="FU191" s="383"/>
      <c r="FV191" s="383"/>
      <c r="FW191" s="383"/>
      <c r="FX191" s="383"/>
      <c r="FY191" s="383"/>
      <c r="FZ191" s="383"/>
      <c r="GA191" s="383"/>
      <c r="GB191" s="383"/>
      <c r="GC191" s="383"/>
      <c r="GD191" s="383"/>
      <c r="GE191" s="383"/>
      <c r="GF191" s="383"/>
      <c r="GG191" s="383"/>
      <c r="GH191" s="383"/>
      <c r="GI191" s="383"/>
      <c r="GJ191" s="383"/>
      <c r="GK191" s="383"/>
      <c r="GL191" s="383"/>
      <c r="GM191" s="383"/>
      <c r="GN191" s="383"/>
      <c r="GO191" s="383"/>
      <c r="GP191" s="383"/>
      <c r="GQ191" s="383"/>
      <c r="GR191" s="383"/>
      <c r="GS191" s="383"/>
      <c r="GT191" s="383"/>
      <c r="GU191" s="383"/>
      <c r="GV191" s="383"/>
      <c r="GW191" s="383"/>
      <c r="GX191" s="383"/>
      <c r="GY191" s="383"/>
      <c r="GZ191" s="383"/>
      <c r="HA191" s="383"/>
      <c r="HB191" s="383"/>
      <c r="HC191" s="383"/>
      <c r="HD191" s="383"/>
      <c r="HE191" s="383"/>
      <c r="HF191" s="383"/>
      <c r="HG191" s="383"/>
      <c r="HH191" s="383"/>
      <c r="HI191" s="383"/>
      <c r="HJ191" s="383"/>
      <c r="HK191" s="383"/>
      <c r="HL191" s="383"/>
      <c r="HM191" s="383"/>
      <c r="HN191" s="383"/>
      <c r="HO191" s="383"/>
      <c r="HP191" s="383"/>
      <c r="HQ191" s="383"/>
      <c r="HR191" s="383"/>
      <c r="HS191" s="383"/>
      <c r="HT191" s="383"/>
      <c r="HU191" s="383"/>
      <c r="HV191" s="383"/>
      <c r="HW191" s="383"/>
      <c r="HX191" s="383"/>
      <c r="HY191" s="383"/>
      <c r="HZ191" s="383"/>
      <c r="IA191" s="383"/>
      <c r="IB191" s="383"/>
      <c r="IC191" s="383"/>
      <c r="ID191" s="383"/>
      <c r="IE191" s="383"/>
      <c r="IF191" s="383"/>
      <c r="IG191" s="383"/>
      <c r="IH191" s="383"/>
      <c r="II191" s="383"/>
      <c r="IJ191" s="383"/>
      <c r="IK191" s="383"/>
      <c r="IL191" s="383"/>
    </row>
    <row r="192" spans="1:246" ht="15" customHeight="1">
      <c r="A192" s="516" t="s">
        <v>362</v>
      </c>
      <c r="B192" s="482" t="s">
        <v>153</v>
      </c>
      <c r="C192" s="483" t="s">
        <v>131</v>
      </c>
      <c r="D192" s="69"/>
      <c r="E192" s="498" t="s">
        <v>377</v>
      </c>
      <c r="F192" s="484">
        <v>4750</v>
      </c>
      <c r="G192" s="479" t="str">
        <f t="shared" si="27"/>
        <v>01/2026</v>
      </c>
      <c r="H192" s="341">
        <f>SUMIF(VI.A!$B$6:$B$5963,B192,VI.A!$L$6:$L$5963)</f>
        <v>13778.124</v>
      </c>
      <c r="I192" s="341" t="str">
        <f t="shared" ref="I192:I200" si="31">IF(H192=0,"no","si")</f>
        <v>si</v>
      </c>
      <c r="J192" s="383"/>
      <c r="K192" s="383" t="str">
        <f t="array" ref="K192">IF(TRIM(E192)="SINAPI",VLOOKUP(TRIM(F192),TRIM([8]sheet1!$A$8:$E$4895),5,FALSE),"não encontrado")</f>
        <v>23,55</v>
      </c>
      <c r="L192" s="533">
        <v>26.03</v>
      </c>
      <c r="M192" s="480" t="str">
        <f t="shared" si="29"/>
        <v>23,55</v>
      </c>
      <c r="N192" s="383" t="b">
        <f t="shared" si="30"/>
        <v>0</v>
      </c>
      <c r="O192" s="383"/>
      <c r="P192" s="383"/>
      <c r="Q192" s="383"/>
      <c r="R192" s="383"/>
      <c r="S192" s="383"/>
      <c r="T192" s="383"/>
      <c r="U192" s="383"/>
      <c r="V192" s="383"/>
      <c r="W192" s="383"/>
      <c r="X192" s="383"/>
      <c r="Y192" s="383"/>
      <c r="Z192" s="383"/>
      <c r="AA192" s="383"/>
      <c r="AB192" s="383"/>
      <c r="AC192" s="383"/>
      <c r="AD192" s="383"/>
      <c r="AE192" s="383"/>
      <c r="AF192" s="383"/>
      <c r="AG192" s="383"/>
      <c r="AH192" s="383"/>
      <c r="AI192" s="383"/>
      <c r="AJ192" s="383"/>
      <c r="AK192" s="383"/>
      <c r="AL192" s="383"/>
      <c r="AM192" s="383"/>
      <c r="AN192" s="383"/>
      <c r="AO192" s="383"/>
      <c r="AP192" s="383"/>
      <c r="AQ192" s="383"/>
      <c r="AR192" s="383"/>
      <c r="AS192" s="383"/>
      <c r="AT192" s="383"/>
      <c r="AU192" s="383"/>
      <c r="AV192" s="383"/>
      <c r="AW192" s="383"/>
      <c r="AX192" s="383"/>
      <c r="AY192" s="383"/>
      <c r="AZ192" s="383"/>
      <c r="BA192" s="383"/>
      <c r="BB192" s="383"/>
      <c r="BC192" s="383"/>
      <c r="BD192" s="383"/>
      <c r="BE192" s="383"/>
      <c r="BF192" s="383"/>
      <c r="BG192" s="383"/>
      <c r="BH192" s="383"/>
      <c r="BI192" s="383"/>
      <c r="BJ192" s="383"/>
      <c r="BK192" s="383"/>
      <c r="BL192" s="383"/>
      <c r="BM192" s="383"/>
      <c r="BN192" s="383"/>
      <c r="BO192" s="383"/>
      <c r="BP192" s="383"/>
      <c r="BQ192" s="383"/>
      <c r="BR192" s="383"/>
      <c r="BS192" s="383"/>
      <c r="BT192" s="383"/>
      <c r="BU192" s="383"/>
      <c r="BV192" s="383"/>
      <c r="BW192" s="383"/>
      <c r="BX192" s="383"/>
      <c r="BY192" s="383"/>
      <c r="BZ192" s="383"/>
      <c r="CA192" s="383"/>
      <c r="CB192" s="383"/>
      <c r="CC192" s="383"/>
      <c r="CD192" s="383"/>
      <c r="CE192" s="383"/>
      <c r="CF192" s="383"/>
      <c r="CG192" s="383"/>
      <c r="CH192" s="383"/>
      <c r="CI192" s="383"/>
      <c r="CJ192" s="383"/>
      <c r="CK192" s="383"/>
      <c r="CL192" s="383"/>
      <c r="CM192" s="383"/>
      <c r="CN192" s="383"/>
      <c r="CO192" s="383"/>
      <c r="CP192" s="383"/>
      <c r="CQ192" s="383"/>
      <c r="CR192" s="383"/>
      <c r="CS192" s="383"/>
      <c r="CT192" s="383"/>
      <c r="CU192" s="383"/>
      <c r="CV192" s="383"/>
      <c r="CW192" s="383"/>
      <c r="CX192" s="383"/>
      <c r="CY192" s="383"/>
      <c r="CZ192" s="383"/>
      <c r="DA192" s="383"/>
      <c r="DB192" s="383"/>
      <c r="DC192" s="383"/>
      <c r="DD192" s="383"/>
      <c r="DE192" s="383"/>
      <c r="DF192" s="383"/>
      <c r="DG192" s="383"/>
      <c r="DH192" s="383"/>
      <c r="DI192" s="383"/>
      <c r="DJ192" s="383"/>
      <c r="DK192" s="383"/>
      <c r="DL192" s="383"/>
      <c r="DM192" s="383"/>
      <c r="DN192" s="383"/>
      <c r="DO192" s="383"/>
      <c r="DP192" s="383"/>
      <c r="DQ192" s="383"/>
      <c r="DR192" s="383"/>
      <c r="DS192" s="383"/>
      <c r="DT192" s="383"/>
      <c r="DU192" s="383"/>
      <c r="DV192" s="383"/>
      <c r="DW192" s="383"/>
      <c r="DX192" s="383"/>
      <c r="DY192" s="383"/>
      <c r="DZ192" s="383"/>
      <c r="EA192" s="383"/>
      <c r="EB192" s="383"/>
      <c r="EC192" s="383"/>
      <c r="ED192" s="383"/>
      <c r="EE192" s="383"/>
      <c r="EF192" s="383"/>
      <c r="EG192" s="383"/>
      <c r="EH192" s="383"/>
      <c r="EI192" s="383"/>
      <c r="EJ192" s="383"/>
      <c r="EK192" s="383"/>
      <c r="EL192" s="383"/>
      <c r="EM192" s="383"/>
      <c r="EN192" s="383"/>
      <c r="EO192" s="383"/>
      <c r="EP192" s="383"/>
      <c r="EQ192" s="383"/>
      <c r="ER192" s="383"/>
      <c r="ES192" s="383"/>
      <c r="ET192" s="383"/>
      <c r="EU192" s="383"/>
      <c r="EV192" s="383"/>
      <c r="EW192" s="383"/>
      <c r="EX192" s="383"/>
      <c r="EY192" s="383"/>
      <c r="EZ192" s="383"/>
      <c r="FA192" s="383"/>
      <c r="FB192" s="383"/>
      <c r="FC192" s="383"/>
      <c r="FD192" s="383"/>
      <c r="FE192" s="383"/>
      <c r="FF192" s="383"/>
      <c r="FG192" s="383"/>
      <c r="FH192" s="383"/>
      <c r="FI192" s="383"/>
      <c r="FJ192" s="383"/>
      <c r="FK192" s="383"/>
      <c r="FL192" s="383"/>
      <c r="FM192" s="383"/>
      <c r="FN192" s="383"/>
      <c r="FO192" s="383"/>
      <c r="FP192" s="383"/>
      <c r="FQ192" s="383"/>
      <c r="FR192" s="383"/>
      <c r="FS192" s="383"/>
      <c r="FT192" s="383"/>
      <c r="FU192" s="383"/>
      <c r="FV192" s="383"/>
      <c r="FW192" s="383"/>
      <c r="FX192" s="383"/>
      <c r="FY192" s="383"/>
      <c r="FZ192" s="383"/>
      <c r="GA192" s="383"/>
      <c r="GB192" s="383"/>
      <c r="GC192" s="383"/>
      <c r="GD192" s="383"/>
      <c r="GE192" s="383"/>
      <c r="GF192" s="383"/>
      <c r="GG192" s="383"/>
      <c r="GH192" s="383"/>
      <c r="GI192" s="383"/>
      <c r="GJ192" s="383"/>
      <c r="GK192" s="383"/>
      <c r="GL192" s="383"/>
      <c r="GM192" s="383"/>
      <c r="GN192" s="383"/>
      <c r="GO192" s="383"/>
      <c r="GP192" s="383"/>
      <c r="GQ192" s="383"/>
      <c r="GR192" s="383"/>
      <c r="GS192" s="383"/>
      <c r="GT192" s="383"/>
      <c r="GU192" s="383"/>
      <c r="GV192" s="383"/>
      <c r="GW192" s="383"/>
      <c r="GX192" s="383"/>
      <c r="GY192" s="383"/>
      <c r="GZ192" s="383"/>
      <c r="HA192" s="383"/>
      <c r="HB192" s="383"/>
      <c r="HC192" s="383"/>
      <c r="HD192" s="383"/>
      <c r="HE192" s="383"/>
      <c r="HF192" s="383"/>
      <c r="HG192" s="383"/>
      <c r="HH192" s="383"/>
      <c r="HI192" s="383"/>
      <c r="HJ192" s="383"/>
      <c r="HK192" s="383"/>
      <c r="HL192" s="383"/>
      <c r="HM192" s="383"/>
      <c r="HN192" s="383"/>
      <c r="HO192" s="383"/>
      <c r="HP192" s="383"/>
      <c r="HQ192" s="383"/>
      <c r="HR192" s="383"/>
      <c r="HS192" s="383"/>
      <c r="HT192" s="383"/>
      <c r="HU192" s="383"/>
      <c r="HV192" s="383"/>
      <c r="HW192" s="383"/>
      <c r="HX192" s="383"/>
      <c r="HY192" s="383"/>
      <c r="HZ192" s="383"/>
      <c r="IA192" s="383"/>
      <c r="IB192" s="383"/>
      <c r="IC192" s="383"/>
      <c r="ID192" s="383"/>
      <c r="IE192" s="383"/>
      <c r="IF192" s="383"/>
      <c r="IG192" s="383"/>
      <c r="IH192" s="383"/>
      <c r="II192" s="383"/>
      <c r="IJ192" s="383"/>
      <c r="IK192" s="383"/>
      <c r="IL192" s="383"/>
    </row>
    <row r="193" spans="1:246" ht="15" customHeight="1">
      <c r="A193" s="516" t="s">
        <v>363</v>
      </c>
      <c r="B193" s="482" t="s">
        <v>154</v>
      </c>
      <c r="C193" s="483" t="s">
        <v>131</v>
      </c>
      <c r="D193" s="69"/>
      <c r="E193" s="498" t="s">
        <v>377</v>
      </c>
      <c r="F193" s="484">
        <v>4783</v>
      </c>
      <c r="G193" s="479" t="str">
        <f t="shared" si="27"/>
        <v>01/2026</v>
      </c>
      <c r="H193" s="341">
        <f>SUMIF(VI.A!$B$6:$B$5963,B193,VI.A!$L$6:$L$5963)</f>
        <v>88662.6</v>
      </c>
      <c r="I193" s="341" t="str">
        <f t="shared" si="31"/>
        <v>si</v>
      </c>
      <c r="J193" s="383"/>
      <c r="K193" s="383" t="str">
        <f t="array" ref="K193">IF(TRIM(E193)="SINAPI",VLOOKUP(TRIM(F193),TRIM([8]sheet1!$A$8:$E$4895),5,FALSE),"não encontrado")</f>
        <v>27,05</v>
      </c>
      <c r="L193" s="533">
        <v>26.03</v>
      </c>
      <c r="M193" s="480" t="str">
        <f t="shared" si="29"/>
        <v>27,05</v>
      </c>
      <c r="N193" s="383" t="b">
        <f t="shared" si="30"/>
        <v>0</v>
      </c>
      <c r="O193" s="383"/>
      <c r="P193" s="534"/>
      <c r="Q193" s="383"/>
      <c r="R193" s="383"/>
      <c r="S193" s="383"/>
      <c r="T193" s="383"/>
      <c r="U193" s="383"/>
      <c r="V193" s="383"/>
      <c r="W193" s="383"/>
      <c r="X193" s="383"/>
      <c r="Y193" s="383"/>
      <c r="Z193" s="383"/>
      <c r="AA193" s="383"/>
      <c r="AB193" s="383"/>
      <c r="AC193" s="383"/>
      <c r="AD193" s="383"/>
      <c r="AE193" s="383"/>
      <c r="AF193" s="383"/>
      <c r="AG193" s="383"/>
      <c r="AH193" s="383"/>
      <c r="AI193" s="383"/>
      <c r="AJ193" s="383"/>
      <c r="AK193" s="383"/>
      <c r="AL193" s="383"/>
      <c r="AM193" s="383"/>
      <c r="AN193" s="383"/>
      <c r="AO193" s="383"/>
      <c r="AP193" s="383"/>
      <c r="AQ193" s="383"/>
      <c r="AR193" s="383"/>
      <c r="AS193" s="383"/>
      <c r="AT193" s="383"/>
      <c r="AU193" s="383"/>
      <c r="AV193" s="383"/>
      <c r="AW193" s="383"/>
      <c r="AX193" s="383"/>
      <c r="AY193" s="383"/>
      <c r="AZ193" s="383"/>
      <c r="BA193" s="383"/>
      <c r="BB193" s="383"/>
      <c r="BC193" s="383"/>
      <c r="BD193" s="383"/>
      <c r="BE193" s="383"/>
      <c r="BF193" s="383"/>
      <c r="BG193" s="383"/>
      <c r="BH193" s="383"/>
      <c r="BI193" s="383"/>
      <c r="BJ193" s="383"/>
      <c r="BK193" s="383"/>
      <c r="BL193" s="383"/>
      <c r="BM193" s="383"/>
      <c r="BN193" s="383"/>
      <c r="BO193" s="383"/>
      <c r="BP193" s="383"/>
      <c r="BQ193" s="383"/>
      <c r="BR193" s="383"/>
      <c r="BS193" s="383"/>
      <c r="BT193" s="383"/>
      <c r="BU193" s="383"/>
      <c r="BV193" s="383"/>
      <c r="BW193" s="383"/>
      <c r="BX193" s="383"/>
      <c r="BY193" s="383"/>
      <c r="BZ193" s="383"/>
      <c r="CA193" s="383"/>
      <c r="CB193" s="383"/>
      <c r="CC193" s="383"/>
      <c r="CD193" s="383"/>
      <c r="CE193" s="383"/>
      <c r="CF193" s="383"/>
      <c r="CG193" s="383"/>
      <c r="CH193" s="383"/>
      <c r="CI193" s="383"/>
      <c r="CJ193" s="383"/>
      <c r="CK193" s="383"/>
      <c r="CL193" s="383"/>
      <c r="CM193" s="383"/>
      <c r="CN193" s="383"/>
      <c r="CO193" s="383"/>
      <c r="CP193" s="383"/>
      <c r="CQ193" s="383"/>
      <c r="CR193" s="383"/>
      <c r="CS193" s="383"/>
      <c r="CT193" s="383"/>
      <c r="CU193" s="383"/>
      <c r="CV193" s="383"/>
      <c r="CW193" s="383"/>
      <c r="CX193" s="383"/>
      <c r="CY193" s="383"/>
      <c r="CZ193" s="383"/>
      <c r="DA193" s="383"/>
      <c r="DB193" s="383"/>
      <c r="DC193" s="383"/>
      <c r="DD193" s="383"/>
      <c r="DE193" s="383"/>
      <c r="DF193" s="383"/>
      <c r="DG193" s="383"/>
      <c r="DH193" s="383"/>
      <c r="DI193" s="383"/>
      <c r="DJ193" s="383"/>
      <c r="DK193" s="383"/>
      <c r="DL193" s="383"/>
      <c r="DM193" s="383"/>
      <c r="DN193" s="383"/>
      <c r="DO193" s="383"/>
      <c r="DP193" s="383"/>
      <c r="DQ193" s="383"/>
      <c r="DR193" s="383"/>
      <c r="DS193" s="383"/>
      <c r="DT193" s="383"/>
      <c r="DU193" s="383"/>
      <c r="DV193" s="383"/>
      <c r="DW193" s="383"/>
      <c r="DX193" s="383"/>
      <c r="DY193" s="383"/>
      <c r="DZ193" s="383"/>
      <c r="EA193" s="383"/>
      <c r="EB193" s="383"/>
      <c r="EC193" s="383"/>
      <c r="ED193" s="383"/>
      <c r="EE193" s="383"/>
      <c r="EF193" s="383"/>
      <c r="EG193" s="383"/>
      <c r="EH193" s="383"/>
      <c r="EI193" s="383"/>
      <c r="EJ193" s="383"/>
      <c r="EK193" s="383"/>
      <c r="EL193" s="383"/>
      <c r="EM193" s="383"/>
      <c r="EN193" s="383"/>
      <c r="EO193" s="383"/>
      <c r="EP193" s="383"/>
      <c r="EQ193" s="383"/>
      <c r="ER193" s="383"/>
      <c r="ES193" s="383"/>
      <c r="ET193" s="383"/>
      <c r="EU193" s="383"/>
      <c r="EV193" s="383"/>
      <c r="EW193" s="383"/>
      <c r="EX193" s="383"/>
      <c r="EY193" s="383"/>
      <c r="EZ193" s="383"/>
      <c r="FA193" s="383"/>
      <c r="FB193" s="383"/>
      <c r="FC193" s="383"/>
      <c r="FD193" s="383"/>
      <c r="FE193" s="383"/>
      <c r="FF193" s="383"/>
      <c r="FG193" s="383"/>
      <c r="FH193" s="383"/>
      <c r="FI193" s="383"/>
      <c r="FJ193" s="383"/>
      <c r="FK193" s="383"/>
      <c r="FL193" s="383"/>
      <c r="FM193" s="383"/>
      <c r="FN193" s="383"/>
      <c r="FO193" s="383"/>
      <c r="FP193" s="383"/>
      <c r="FQ193" s="383"/>
      <c r="FR193" s="383"/>
      <c r="FS193" s="383"/>
      <c r="FT193" s="383"/>
      <c r="FU193" s="383"/>
      <c r="FV193" s="383"/>
      <c r="FW193" s="383"/>
      <c r="FX193" s="383"/>
      <c r="FY193" s="383"/>
      <c r="FZ193" s="383"/>
      <c r="GA193" s="383"/>
      <c r="GB193" s="383"/>
      <c r="GC193" s="383"/>
      <c r="GD193" s="383"/>
      <c r="GE193" s="383"/>
      <c r="GF193" s="383"/>
      <c r="GG193" s="383"/>
      <c r="GH193" s="383"/>
      <c r="GI193" s="383"/>
      <c r="GJ193" s="383"/>
      <c r="GK193" s="383"/>
      <c r="GL193" s="383"/>
      <c r="GM193" s="383"/>
      <c r="GN193" s="383"/>
      <c r="GO193" s="383"/>
      <c r="GP193" s="383"/>
      <c r="GQ193" s="383"/>
      <c r="GR193" s="383"/>
      <c r="GS193" s="383"/>
      <c r="GT193" s="383"/>
      <c r="GU193" s="383"/>
      <c r="GV193" s="383"/>
      <c r="GW193" s="383"/>
      <c r="GX193" s="383"/>
      <c r="GY193" s="383"/>
      <c r="GZ193" s="383"/>
      <c r="HA193" s="383"/>
      <c r="HB193" s="383"/>
      <c r="HC193" s="383"/>
      <c r="HD193" s="383"/>
      <c r="HE193" s="383"/>
      <c r="HF193" s="383"/>
      <c r="HG193" s="383"/>
      <c r="HH193" s="383"/>
      <c r="HI193" s="383"/>
      <c r="HJ193" s="383"/>
      <c r="HK193" s="383"/>
      <c r="HL193" s="383"/>
      <c r="HM193" s="383"/>
      <c r="HN193" s="383"/>
      <c r="HO193" s="383"/>
      <c r="HP193" s="383"/>
      <c r="HQ193" s="383"/>
      <c r="HR193" s="383"/>
      <c r="HS193" s="383"/>
      <c r="HT193" s="383"/>
      <c r="HU193" s="383"/>
      <c r="HV193" s="383"/>
      <c r="HW193" s="383"/>
      <c r="HX193" s="383"/>
      <c r="HY193" s="383"/>
      <c r="HZ193" s="383"/>
      <c r="IA193" s="383"/>
      <c r="IB193" s="383"/>
      <c r="IC193" s="383"/>
      <c r="ID193" s="383"/>
      <c r="IE193" s="383"/>
      <c r="IF193" s="383"/>
      <c r="IG193" s="383"/>
      <c r="IH193" s="383"/>
      <c r="II193" s="383"/>
      <c r="IJ193" s="383"/>
      <c r="IK193" s="383"/>
      <c r="IL193" s="383"/>
    </row>
    <row r="194" spans="1:246" ht="15" customHeight="1">
      <c r="A194" s="516" t="s">
        <v>364</v>
      </c>
      <c r="B194" s="482" t="s">
        <v>155</v>
      </c>
      <c r="C194" s="483" t="s">
        <v>131</v>
      </c>
      <c r="D194" s="69"/>
      <c r="E194" s="498" t="s">
        <v>377</v>
      </c>
      <c r="F194" s="484">
        <v>12874</v>
      </c>
      <c r="G194" s="479" t="str">
        <f t="shared" si="27"/>
        <v>01/2026</v>
      </c>
      <c r="H194" s="341">
        <f>SUMIF(VI.A!$B$6:$B$5963,B194,VI.A!$L$6:$L$5963)</f>
        <v>11760</v>
      </c>
      <c r="I194" s="341" t="str">
        <f t="shared" si="31"/>
        <v>si</v>
      </c>
      <c r="J194" s="383"/>
      <c r="K194" s="383" t="str">
        <f t="array" ref="K194">IF(TRIM(E194)="SINAPI",VLOOKUP(TRIM(F194),TRIM([8]sheet1!$A$8:$E$4895),5,FALSE),"não encontrado")</f>
        <v>24,93</v>
      </c>
      <c r="L194" s="533">
        <v>23.99</v>
      </c>
      <c r="M194" s="480" t="str">
        <f t="shared" si="29"/>
        <v>24,93</v>
      </c>
      <c r="N194" s="383" t="b">
        <f t="shared" si="30"/>
        <v>0</v>
      </c>
      <c r="O194" s="383"/>
      <c r="P194" s="383"/>
      <c r="Q194" s="383"/>
      <c r="R194" s="383"/>
      <c r="S194" s="383"/>
      <c r="T194" s="383"/>
      <c r="U194" s="383"/>
      <c r="V194" s="383"/>
      <c r="W194" s="383"/>
      <c r="X194" s="383"/>
      <c r="Y194" s="383"/>
      <c r="Z194" s="383"/>
      <c r="AA194" s="383"/>
      <c r="AB194" s="383"/>
      <c r="AC194" s="383"/>
      <c r="AD194" s="383"/>
      <c r="AE194" s="383"/>
      <c r="AF194" s="383"/>
      <c r="AG194" s="383"/>
      <c r="AH194" s="383"/>
      <c r="AI194" s="383"/>
      <c r="AJ194" s="383"/>
      <c r="AK194" s="383"/>
      <c r="AL194" s="383"/>
      <c r="AM194" s="383"/>
      <c r="AN194" s="383"/>
      <c r="AO194" s="383"/>
      <c r="AP194" s="383"/>
      <c r="AQ194" s="383"/>
      <c r="AR194" s="383"/>
      <c r="AS194" s="383"/>
      <c r="AT194" s="383"/>
      <c r="AU194" s="383"/>
      <c r="AV194" s="383"/>
      <c r="AW194" s="383"/>
      <c r="AX194" s="383"/>
      <c r="AY194" s="383"/>
      <c r="AZ194" s="383"/>
      <c r="BA194" s="383"/>
      <c r="BB194" s="383"/>
      <c r="BC194" s="383"/>
      <c r="BD194" s="383"/>
      <c r="BE194" s="383"/>
      <c r="BF194" s="383"/>
      <c r="BG194" s="383"/>
      <c r="BH194" s="383"/>
      <c r="BI194" s="383"/>
      <c r="BJ194" s="383"/>
      <c r="BK194" s="383"/>
      <c r="BL194" s="383"/>
      <c r="BM194" s="383"/>
      <c r="BN194" s="383"/>
      <c r="BO194" s="383"/>
      <c r="BP194" s="383"/>
      <c r="BQ194" s="383"/>
      <c r="BR194" s="383"/>
      <c r="BS194" s="383"/>
      <c r="BT194" s="383"/>
      <c r="BU194" s="383"/>
      <c r="BV194" s="383"/>
      <c r="BW194" s="383"/>
      <c r="BX194" s="383"/>
      <c r="BY194" s="383"/>
      <c r="BZ194" s="383"/>
      <c r="CA194" s="383"/>
      <c r="CB194" s="383"/>
      <c r="CC194" s="383"/>
      <c r="CD194" s="383"/>
      <c r="CE194" s="383"/>
      <c r="CF194" s="383"/>
      <c r="CG194" s="383"/>
      <c r="CH194" s="383"/>
      <c r="CI194" s="383"/>
      <c r="CJ194" s="383"/>
      <c r="CK194" s="383"/>
      <c r="CL194" s="383"/>
      <c r="CM194" s="383"/>
      <c r="CN194" s="383"/>
      <c r="CO194" s="383"/>
      <c r="CP194" s="383"/>
      <c r="CQ194" s="383"/>
      <c r="CR194" s="383"/>
      <c r="CS194" s="383"/>
      <c r="CT194" s="383"/>
      <c r="CU194" s="383"/>
      <c r="CV194" s="383"/>
      <c r="CW194" s="383"/>
      <c r="CX194" s="383"/>
      <c r="CY194" s="383"/>
      <c r="CZ194" s="383"/>
      <c r="DA194" s="383"/>
      <c r="DB194" s="383"/>
      <c r="DC194" s="383"/>
      <c r="DD194" s="383"/>
      <c r="DE194" s="383"/>
      <c r="DF194" s="383"/>
      <c r="DG194" s="383"/>
      <c r="DH194" s="383"/>
      <c r="DI194" s="383"/>
      <c r="DJ194" s="383"/>
      <c r="DK194" s="383"/>
      <c r="DL194" s="383"/>
      <c r="DM194" s="383"/>
      <c r="DN194" s="383"/>
      <c r="DO194" s="383"/>
      <c r="DP194" s="383"/>
      <c r="DQ194" s="383"/>
      <c r="DR194" s="383"/>
      <c r="DS194" s="383"/>
      <c r="DT194" s="383"/>
      <c r="DU194" s="383"/>
      <c r="DV194" s="383"/>
      <c r="DW194" s="383"/>
      <c r="DX194" s="383"/>
      <c r="DY194" s="383"/>
      <c r="DZ194" s="383"/>
      <c r="EA194" s="383"/>
      <c r="EB194" s="383"/>
      <c r="EC194" s="383"/>
      <c r="ED194" s="383"/>
      <c r="EE194" s="383"/>
      <c r="EF194" s="383"/>
      <c r="EG194" s="383"/>
      <c r="EH194" s="383"/>
      <c r="EI194" s="383"/>
      <c r="EJ194" s="383"/>
      <c r="EK194" s="383"/>
      <c r="EL194" s="383"/>
      <c r="EM194" s="383"/>
      <c r="EN194" s="383"/>
      <c r="EO194" s="383"/>
      <c r="EP194" s="383"/>
      <c r="EQ194" s="383"/>
      <c r="ER194" s="383"/>
      <c r="ES194" s="383"/>
      <c r="ET194" s="383"/>
      <c r="EU194" s="383"/>
      <c r="EV194" s="383"/>
      <c r="EW194" s="383"/>
      <c r="EX194" s="383"/>
      <c r="EY194" s="383"/>
      <c r="EZ194" s="383"/>
      <c r="FA194" s="383"/>
      <c r="FB194" s="383"/>
      <c r="FC194" s="383"/>
      <c r="FD194" s="383"/>
      <c r="FE194" s="383"/>
      <c r="FF194" s="383"/>
      <c r="FG194" s="383"/>
      <c r="FH194" s="383"/>
      <c r="FI194" s="383"/>
      <c r="FJ194" s="383"/>
      <c r="FK194" s="383"/>
      <c r="FL194" s="383"/>
      <c r="FM194" s="383"/>
      <c r="FN194" s="383"/>
      <c r="FO194" s="383"/>
      <c r="FP194" s="383"/>
      <c r="FQ194" s="383"/>
      <c r="FR194" s="383"/>
      <c r="FS194" s="383"/>
      <c r="FT194" s="383"/>
      <c r="FU194" s="383"/>
      <c r="FV194" s="383"/>
      <c r="FW194" s="383"/>
      <c r="FX194" s="383"/>
      <c r="FY194" s="383"/>
      <c r="FZ194" s="383"/>
      <c r="GA194" s="383"/>
      <c r="GB194" s="383"/>
      <c r="GC194" s="383"/>
      <c r="GD194" s="383"/>
      <c r="GE194" s="383"/>
      <c r="GF194" s="383"/>
      <c r="GG194" s="383"/>
      <c r="GH194" s="383"/>
      <c r="GI194" s="383"/>
      <c r="GJ194" s="383"/>
      <c r="GK194" s="383"/>
      <c r="GL194" s="383"/>
      <c r="GM194" s="383"/>
      <c r="GN194" s="383"/>
      <c r="GO194" s="383"/>
      <c r="GP194" s="383"/>
      <c r="GQ194" s="383"/>
      <c r="GR194" s="383"/>
      <c r="GS194" s="383"/>
      <c r="GT194" s="383"/>
      <c r="GU194" s="383"/>
      <c r="GV194" s="383"/>
      <c r="GW194" s="383"/>
      <c r="GX194" s="383"/>
      <c r="GY194" s="383"/>
      <c r="GZ194" s="383"/>
      <c r="HA194" s="383"/>
      <c r="HB194" s="383"/>
      <c r="HC194" s="383"/>
      <c r="HD194" s="383"/>
      <c r="HE194" s="383"/>
      <c r="HF194" s="383"/>
      <c r="HG194" s="383"/>
      <c r="HH194" s="383"/>
      <c r="HI194" s="383"/>
      <c r="HJ194" s="383"/>
      <c r="HK194" s="383"/>
      <c r="HL194" s="383"/>
      <c r="HM194" s="383"/>
      <c r="HN194" s="383"/>
      <c r="HO194" s="383"/>
      <c r="HP194" s="383"/>
      <c r="HQ194" s="383"/>
      <c r="HR194" s="383"/>
      <c r="HS194" s="383"/>
      <c r="HT194" s="383"/>
      <c r="HU194" s="383"/>
      <c r="HV194" s="383"/>
      <c r="HW194" s="383"/>
      <c r="HX194" s="383"/>
      <c r="HY194" s="383"/>
      <c r="HZ194" s="383"/>
      <c r="IA194" s="383"/>
      <c r="IB194" s="383"/>
      <c r="IC194" s="383"/>
      <c r="ID194" s="383"/>
      <c r="IE194" s="383"/>
      <c r="IF194" s="383"/>
      <c r="IG194" s="383"/>
      <c r="IH194" s="383"/>
      <c r="II194" s="383"/>
      <c r="IJ194" s="383"/>
      <c r="IK194" s="383"/>
      <c r="IL194" s="383"/>
    </row>
    <row r="195" spans="1:246" ht="15" customHeight="1">
      <c r="A195" s="516" t="s">
        <v>365</v>
      </c>
      <c r="B195" s="482" t="s">
        <v>156</v>
      </c>
      <c r="C195" s="483" t="s">
        <v>131</v>
      </c>
      <c r="D195" s="69"/>
      <c r="E195" s="498" t="s">
        <v>377</v>
      </c>
      <c r="F195" s="484">
        <v>6110</v>
      </c>
      <c r="G195" s="479" t="str">
        <f t="shared" si="27"/>
        <v>01/2026</v>
      </c>
      <c r="H195" s="341">
        <f>SUMIF(VI.A!$B$6:$B$5963,B195,VI.A!$L$6:$L$5963)</f>
        <v>2746.65</v>
      </c>
      <c r="I195" s="341" t="str">
        <f t="shared" si="31"/>
        <v>si</v>
      </c>
      <c r="J195" s="383"/>
      <c r="K195" s="383" t="str">
        <f t="array" ref="K195">IF(TRIM(E195)="SINAPI",VLOOKUP(TRIM(F195),TRIM([8]sheet1!$A$8:$E$4895),5,FALSE),"não encontrado")</f>
        <v>24,18</v>
      </c>
      <c r="L195" s="533">
        <v>26.72</v>
      </c>
      <c r="M195" s="480" t="str">
        <f t="shared" si="29"/>
        <v>24,18</v>
      </c>
      <c r="N195" s="383" t="b">
        <f t="shared" si="30"/>
        <v>0</v>
      </c>
      <c r="O195" s="383"/>
      <c r="P195" s="383"/>
      <c r="Q195" s="383"/>
      <c r="R195" s="383"/>
      <c r="S195" s="383"/>
      <c r="T195" s="383"/>
      <c r="U195" s="383"/>
      <c r="V195" s="383"/>
      <c r="W195" s="383"/>
      <c r="X195" s="383"/>
      <c r="Y195" s="383"/>
      <c r="Z195" s="383"/>
      <c r="AA195" s="383"/>
      <c r="AB195" s="383"/>
      <c r="AC195" s="383"/>
      <c r="AD195" s="383"/>
      <c r="AE195" s="383"/>
      <c r="AF195" s="383"/>
      <c r="AG195" s="383"/>
      <c r="AH195" s="383"/>
      <c r="AI195" s="383"/>
      <c r="AJ195" s="383"/>
      <c r="AK195" s="383"/>
      <c r="AL195" s="383"/>
      <c r="AM195" s="383"/>
      <c r="AN195" s="383"/>
      <c r="AO195" s="383"/>
      <c r="AP195" s="383"/>
      <c r="AQ195" s="383"/>
      <c r="AR195" s="383"/>
      <c r="AS195" s="383"/>
      <c r="AT195" s="383"/>
      <c r="AU195" s="383"/>
      <c r="AV195" s="383"/>
      <c r="AW195" s="383"/>
      <c r="AX195" s="383"/>
      <c r="AY195" s="383"/>
      <c r="AZ195" s="383"/>
      <c r="BA195" s="383"/>
      <c r="BB195" s="383"/>
      <c r="BC195" s="383"/>
      <c r="BD195" s="383"/>
      <c r="BE195" s="383"/>
      <c r="BF195" s="383"/>
      <c r="BG195" s="383"/>
      <c r="BH195" s="383"/>
      <c r="BI195" s="383"/>
      <c r="BJ195" s="383"/>
      <c r="BK195" s="383"/>
      <c r="BL195" s="383"/>
      <c r="BM195" s="383"/>
      <c r="BN195" s="383"/>
      <c r="BO195" s="383"/>
      <c r="BP195" s="383"/>
      <c r="BQ195" s="383"/>
      <c r="BR195" s="383"/>
      <c r="BS195" s="383"/>
      <c r="BT195" s="383"/>
      <c r="BU195" s="383"/>
      <c r="BV195" s="383"/>
      <c r="BW195" s="383"/>
      <c r="BX195" s="383"/>
      <c r="BY195" s="383"/>
      <c r="BZ195" s="383"/>
      <c r="CA195" s="383"/>
      <c r="CB195" s="383"/>
      <c r="CC195" s="383"/>
      <c r="CD195" s="383"/>
      <c r="CE195" s="383"/>
      <c r="CF195" s="383"/>
      <c r="CG195" s="383"/>
      <c r="CH195" s="383"/>
      <c r="CI195" s="383"/>
      <c r="CJ195" s="383"/>
      <c r="CK195" s="383"/>
      <c r="CL195" s="383"/>
      <c r="CM195" s="383"/>
      <c r="CN195" s="383"/>
      <c r="CO195" s="383"/>
      <c r="CP195" s="383"/>
      <c r="CQ195" s="383"/>
      <c r="CR195" s="383"/>
      <c r="CS195" s="383"/>
      <c r="CT195" s="383"/>
      <c r="CU195" s="383"/>
      <c r="CV195" s="383"/>
      <c r="CW195" s="383"/>
      <c r="CX195" s="383"/>
      <c r="CY195" s="383"/>
      <c r="CZ195" s="383"/>
      <c r="DA195" s="383"/>
      <c r="DB195" s="383"/>
      <c r="DC195" s="383"/>
      <c r="DD195" s="383"/>
      <c r="DE195" s="383"/>
      <c r="DF195" s="383"/>
      <c r="DG195" s="383"/>
      <c r="DH195" s="383"/>
      <c r="DI195" s="383"/>
      <c r="DJ195" s="383"/>
      <c r="DK195" s="383"/>
      <c r="DL195" s="383"/>
      <c r="DM195" s="383"/>
      <c r="DN195" s="383"/>
      <c r="DO195" s="383"/>
      <c r="DP195" s="383"/>
      <c r="DQ195" s="383"/>
      <c r="DR195" s="383"/>
      <c r="DS195" s="383"/>
      <c r="DT195" s="383"/>
      <c r="DU195" s="383"/>
      <c r="DV195" s="383"/>
      <c r="DW195" s="383"/>
      <c r="DX195" s="383"/>
      <c r="DY195" s="383"/>
      <c r="DZ195" s="383"/>
      <c r="EA195" s="383"/>
      <c r="EB195" s="383"/>
      <c r="EC195" s="383"/>
      <c r="ED195" s="383"/>
      <c r="EE195" s="383"/>
      <c r="EF195" s="383"/>
      <c r="EG195" s="383"/>
      <c r="EH195" s="383"/>
      <c r="EI195" s="383"/>
      <c r="EJ195" s="383"/>
      <c r="EK195" s="383"/>
      <c r="EL195" s="383"/>
      <c r="EM195" s="383"/>
      <c r="EN195" s="383"/>
      <c r="EO195" s="383"/>
      <c r="EP195" s="383"/>
      <c r="EQ195" s="383"/>
      <c r="ER195" s="383"/>
      <c r="ES195" s="383"/>
      <c r="ET195" s="383"/>
      <c r="EU195" s="383"/>
      <c r="EV195" s="383"/>
      <c r="EW195" s="383"/>
      <c r="EX195" s="383"/>
      <c r="EY195" s="383"/>
      <c r="EZ195" s="383"/>
      <c r="FA195" s="383"/>
      <c r="FB195" s="383"/>
      <c r="FC195" s="383"/>
      <c r="FD195" s="383"/>
      <c r="FE195" s="383"/>
      <c r="FF195" s="383"/>
      <c r="FG195" s="383"/>
      <c r="FH195" s="383"/>
      <c r="FI195" s="383"/>
      <c r="FJ195" s="383"/>
      <c r="FK195" s="383"/>
      <c r="FL195" s="383"/>
      <c r="FM195" s="383"/>
      <c r="FN195" s="383"/>
      <c r="FO195" s="383"/>
      <c r="FP195" s="383"/>
      <c r="FQ195" s="383"/>
      <c r="FR195" s="383"/>
      <c r="FS195" s="383"/>
      <c r="FT195" s="383"/>
      <c r="FU195" s="383"/>
      <c r="FV195" s="383"/>
      <c r="FW195" s="383"/>
      <c r="FX195" s="383"/>
      <c r="FY195" s="383"/>
      <c r="FZ195" s="383"/>
      <c r="GA195" s="383"/>
      <c r="GB195" s="383"/>
      <c r="GC195" s="383"/>
      <c r="GD195" s="383"/>
      <c r="GE195" s="383"/>
      <c r="GF195" s="383"/>
      <c r="GG195" s="383"/>
      <c r="GH195" s="383"/>
      <c r="GI195" s="383"/>
      <c r="GJ195" s="383"/>
      <c r="GK195" s="383"/>
      <c r="GL195" s="383"/>
      <c r="GM195" s="383"/>
      <c r="GN195" s="383"/>
      <c r="GO195" s="383"/>
      <c r="GP195" s="383"/>
      <c r="GQ195" s="383"/>
      <c r="GR195" s="383"/>
      <c r="GS195" s="383"/>
      <c r="GT195" s="383"/>
      <c r="GU195" s="383"/>
      <c r="GV195" s="383"/>
      <c r="GW195" s="383"/>
      <c r="GX195" s="383"/>
      <c r="GY195" s="383"/>
      <c r="GZ195" s="383"/>
      <c r="HA195" s="383"/>
      <c r="HB195" s="383"/>
      <c r="HC195" s="383"/>
      <c r="HD195" s="383"/>
      <c r="HE195" s="383"/>
      <c r="HF195" s="383"/>
      <c r="HG195" s="383"/>
      <c r="HH195" s="383"/>
      <c r="HI195" s="383"/>
      <c r="HJ195" s="383"/>
      <c r="HK195" s="383"/>
      <c r="HL195" s="383"/>
      <c r="HM195" s="383"/>
      <c r="HN195" s="383"/>
      <c r="HO195" s="383"/>
      <c r="HP195" s="383"/>
      <c r="HQ195" s="383"/>
      <c r="HR195" s="383"/>
      <c r="HS195" s="383"/>
      <c r="HT195" s="383"/>
      <c r="HU195" s="383"/>
      <c r="HV195" s="383"/>
      <c r="HW195" s="383"/>
      <c r="HX195" s="383"/>
      <c r="HY195" s="383"/>
      <c r="HZ195" s="383"/>
      <c r="IA195" s="383"/>
      <c r="IB195" s="383"/>
      <c r="IC195" s="383"/>
      <c r="ID195" s="383"/>
      <c r="IE195" s="383"/>
      <c r="IF195" s="383"/>
      <c r="IG195" s="383"/>
      <c r="IH195" s="383"/>
      <c r="II195" s="383"/>
      <c r="IJ195" s="383"/>
      <c r="IK195" s="383"/>
      <c r="IL195" s="383"/>
    </row>
    <row r="196" spans="1:246" ht="15" customHeight="1">
      <c r="A196" s="516" t="s">
        <v>366</v>
      </c>
      <c r="B196" s="482" t="s">
        <v>157</v>
      </c>
      <c r="C196" s="483" t="s">
        <v>131</v>
      </c>
      <c r="D196" s="69"/>
      <c r="E196" s="498" t="s">
        <v>377</v>
      </c>
      <c r="F196" s="484">
        <v>6111</v>
      </c>
      <c r="G196" s="479" t="str">
        <f t="shared" si="27"/>
        <v>01/2026</v>
      </c>
      <c r="H196" s="341">
        <f>SUMIF(VI.A!$B$6:$B$5963,B196,VI.A!$L$6:$L$5963)</f>
        <v>80029.689704000004</v>
      </c>
      <c r="I196" s="341" t="str">
        <f t="shared" si="31"/>
        <v>si</v>
      </c>
      <c r="J196" s="535"/>
      <c r="K196" s="383" t="str">
        <f t="array" ref="K196">IF(TRIM(E196)="SINAPI",VLOOKUP(TRIM(F196),TRIM([8]sheet1!$A$8:$E$4895),5,FALSE),"não encontrado")</f>
        <v>19,37</v>
      </c>
      <c r="L196" s="533">
        <v>21.5</v>
      </c>
      <c r="M196" s="480" t="str">
        <f t="shared" si="29"/>
        <v>19,37</v>
      </c>
      <c r="N196" s="383" t="b">
        <f t="shared" si="30"/>
        <v>0</v>
      </c>
      <c r="O196" s="383"/>
      <c r="P196" s="383"/>
      <c r="Q196" s="383"/>
      <c r="R196" s="383"/>
      <c r="S196" s="383"/>
      <c r="T196" s="383"/>
      <c r="U196" s="383"/>
      <c r="V196" s="383"/>
      <c r="W196" s="383"/>
      <c r="X196" s="383"/>
      <c r="Y196" s="383"/>
      <c r="Z196" s="383"/>
      <c r="AA196" s="383"/>
      <c r="AB196" s="383"/>
      <c r="AC196" s="383"/>
      <c r="AD196" s="383"/>
      <c r="AE196" s="383"/>
      <c r="AF196" s="383"/>
      <c r="AG196" s="383"/>
      <c r="AH196" s="383"/>
      <c r="AI196" s="383"/>
      <c r="AJ196" s="383"/>
      <c r="AK196" s="383"/>
      <c r="AL196" s="383"/>
      <c r="AM196" s="383"/>
      <c r="AN196" s="383"/>
      <c r="AO196" s="383"/>
      <c r="AP196" s="383"/>
      <c r="AQ196" s="383"/>
      <c r="AR196" s="383"/>
      <c r="AS196" s="383"/>
      <c r="AT196" s="383"/>
      <c r="AU196" s="383"/>
      <c r="AV196" s="383"/>
      <c r="AW196" s="383"/>
      <c r="AX196" s="383"/>
      <c r="AY196" s="383"/>
      <c r="AZ196" s="383"/>
      <c r="BA196" s="383"/>
      <c r="BB196" s="383"/>
      <c r="BC196" s="383"/>
      <c r="BD196" s="383"/>
      <c r="BE196" s="383"/>
      <c r="BF196" s="383"/>
      <c r="BG196" s="383"/>
      <c r="BH196" s="383"/>
      <c r="BI196" s="383"/>
      <c r="BJ196" s="383"/>
      <c r="BK196" s="383"/>
      <c r="BL196" s="383"/>
      <c r="BM196" s="383"/>
      <c r="BN196" s="383"/>
      <c r="BO196" s="383"/>
      <c r="BP196" s="383"/>
      <c r="BQ196" s="383"/>
      <c r="BR196" s="383"/>
      <c r="BS196" s="383"/>
      <c r="BT196" s="383"/>
      <c r="BU196" s="383"/>
      <c r="BV196" s="383"/>
      <c r="BW196" s="383"/>
      <c r="BX196" s="383"/>
      <c r="BY196" s="383"/>
      <c r="BZ196" s="383"/>
      <c r="CA196" s="383"/>
      <c r="CB196" s="383"/>
      <c r="CC196" s="383"/>
      <c r="CD196" s="383"/>
      <c r="CE196" s="383"/>
      <c r="CF196" s="383"/>
      <c r="CG196" s="383"/>
      <c r="CH196" s="383"/>
      <c r="CI196" s="383"/>
      <c r="CJ196" s="383"/>
      <c r="CK196" s="383"/>
      <c r="CL196" s="383"/>
      <c r="CM196" s="383"/>
      <c r="CN196" s="383"/>
      <c r="CO196" s="383"/>
      <c r="CP196" s="383"/>
      <c r="CQ196" s="383"/>
      <c r="CR196" s="383"/>
      <c r="CS196" s="383"/>
      <c r="CT196" s="383"/>
      <c r="CU196" s="383"/>
      <c r="CV196" s="383"/>
      <c r="CW196" s="383"/>
      <c r="CX196" s="383"/>
      <c r="CY196" s="383"/>
      <c r="CZ196" s="383"/>
      <c r="DA196" s="383"/>
      <c r="DB196" s="383"/>
      <c r="DC196" s="383"/>
      <c r="DD196" s="383"/>
      <c r="DE196" s="383"/>
      <c r="DF196" s="383"/>
      <c r="DG196" s="383"/>
      <c r="DH196" s="383"/>
      <c r="DI196" s="383"/>
      <c r="DJ196" s="383"/>
      <c r="DK196" s="383"/>
      <c r="DL196" s="383"/>
      <c r="DM196" s="383"/>
      <c r="DN196" s="383"/>
      <c r="DO196" s="383"/>
      <c r="DP196" s="383"/>
      <c r="DQ196" s="383"/>
      <c r="DR196" s="383"/>
      <c r="DS196" s="383"/>
      <c r="DT196" s="383"/>
      <c r="DU196" s="383"/>
      <c r="DV196" s="383"/>
      <c r="DW196" s="383"/>
      <c r="DX196" s="383"/>
      <c r="DY196" s="383"/>
      <c r="DZ196" s="383"/>
      <c r="EA196" s="383"/>
      <c r="EB196" s="383"/>
      <c r="EC196" s="383"/>
      <c r="ED196" s="383"/>
      <c r="EE196" s="383"/>
      <c r="EF196" s="383"/>
      <c r="EG196" s="383"/>
      <c r="EH196" s="383"/>
      <c r="EI196" s="383"/>
      <c r="EJ196" s="383"/>
      <c r="EK196" s="383"/>
      <c r="EL196" s="383"/>
      <c r="EM196" s="383"/>
      <c r="EN196" s="383"/>
      <c r="EO196" s="383"/>
      <c r="EP196" s="383"/>
      <c r="EQ196" s="383"/>
      <c r="ER196" s="383"/>
      <c r="ES196" s="383"/>
      <c r="ET196" s="383"/>
      <c r="EU196" s="383"/>
      <c r="EV196" s="383"/>
      <c r="EW196" s="383"/>
      <c r="EX196" s="383"/>
      <c r="EY196" s="383"/>
      <c r="EZ196" s="383"/>
      <c r="FA196" s="383"/>
      <c r="FB196" s="383"/>
      <c r="FC196" s="383"/>
      <c r="FD196" s="383"/>
      <c r="FE196" s="383"/>
      <c r="FF196" s="383"/>
      <c r="FG196" s="383"/>
      <c r="FH196" s="383"/>
      <c r="FI196" s="383"/>
      <c r="FJ196" s="383"/>
      <c r="FK196" s="383"/>
      <c r="FL196" s="383"/>
      <c r="FM196" s="383"/>
      <c r="FN196" s="383"/>
      <c r="FO196" s="383"/>
      <c r="FP196" s="383"/>
      <c r="FQ196" s="383"/>
      <c r="FR196" s="383"/>
      <c r="FS196" s="383"/>
      <c r="FT196" s="383"/>
      <c r="FU196" s="383"/>
      <c r="FV196" s="383"/>
      <c r="FW196" s="383"/>
      <c r="FX196" s="383"/>
      <c r="FY196" s="383"/>
      <c r="FZ196" s="383"/>
      <c r="GA196" s="383"/>
      <c r="GB196" s="383"/>
      <c r="GC196" s="383"/>
      <c r="GD196" s="383"/>
      <c r="GE196" s="383"/>
      <c r="GF196" s="383"/>
      <c r="GG196" s="383"/>
      <c r="GH196" s="383"/>
      <c r="GI196" s="383"/>
      <c r="GJ196" s="383"/>
      <c r="GK196" s="383"/>
      <c r="GL196" s="383"/>
      <c r="GM196" s="383"/>
      <c r="GN196" s="383"/>
      <c r="GO196" s="383"/>
      <c r="GP196" s="383"/>
      <c r="GQ196" s="383"/>
      <c r="GR196" s="383"/>
      <c r="GS196" s="383"/>
      <c r="GT196" s="383"/>
      <c r="GU196" s="383"/>
      <c r="GV196" s="383"/>
      <c r="GW196" s="383"/>
      <c r="GX196" s="383"/>
      <c r="GY196" s="383"/>
      <c r="GZ196" s="383"/>
      <c r="HA196" s="383"/>
      <c r="HB196" s="383"/>
      <c r="HC196" s="383"/>
      <c r="HD196" s="383"/>
      <c r="HE196" s="383"/>
      <c r="HF196" s="383"/>
      <c r="HG196" s="383"/>
      <c r="HH196" s="383"/>
      <c r="HI196" s="383"/>
      <c r="HJ196" s="383"/>
      <c r="HK196" s="383"/>
      <c r="HL196" s="383"/>
      <c r="HM196" s="383"/>
      <c r="HN196" s="383"/>
      <c r="HO196" s="383"/>
      <c r="HP196" s="383"/>
      <c r="HQ196" s="383"/>
      <c r="HR196" s="383"/>
      <c r="HS196" s="383"/>
      <c r="HT196" s="383"/>
      <c r="HU196" s="383"/>
      <c r="HV196" s="383"/>
      <c r="HW196" s="383"/>
      <c r="HX196" s="383"/>
      <c r="HY196" s="383"/>
      <c r="HZ196" s="383"/>
      <c r="IA196" s="383"/>
      <c r="IB196" s="383"/>
      <c r="IC196" s="383"/>
      <c r="ID196" s="383"/>
      <c r="IE196" s="383"/>
      <c r="IF196" s="383"/>
      <c r="IG196" s="383"/>
      <c r="IH196" s="383"/>
      <c r="II196" s="383"/>
      <c r="IJ196" s="383"/>
      <c r="IK196" s="383"/>
      <c r="IL196" s="383"/>
    </row>
    <row r="197" spans="1:246" ht="15" customHeight="1">
      <c r="A197" s="516" t="s">
        <v>367</v>
      </c>
      <c r="B197" s="482" t="s">
        <v>158</v>
      </c>
      <c r="C197" s="483" t="s">
        <v>131</v>
      </c>
      <c r="D197" s="69"/>
      <c r="E197" s="498" t="s">
        <v>377</v>
      </c>
      <c r="F197" s="484">
        <v>6160</v>
      </c>
      <c r="G197" s="479" t="str">
        <f t="shared" si="27"/>
        <v>01/2026</v>
      </c>
      <c r="H197" s="341">
        <f>SUMIF(VI.A!$B$6:$B$5963,B197,VI.A!$L$6:$L$5963)</f>
        <v>99</v>
      </c>
      <c r="I197" s="341" t="str">
        <f t="shared" si="31"/>
        <v>si</v>
      </c>
      <c r="J197" s="383"/>
      <c r="K197" s="383" t="str">
        <f t="array" ref="K197">IF(TRIM(E197)="SINAPI",VLOOKUP(TRIM(F197),TRIM([8]sheet1!$A$8:$E$4895),5,FALSE),"não encontrado")</f>
        <v>27,24</v>
      </c>
      <c r="L197" s="533">
        <v>29.15</v>
      </c>
      <c r="M197" s="480" t="str">
        <f t="shared" si="29"/>
        <v>27,24</v>
      </c>
      <c r="N197" s="383" t="b">
        <f t="shared" si="30"/>
        <v>0</v>
      </c>
      <c r="O197" s="383"/>
      <c r="P197" s="383"/>
      <c r="Q197" s="383"/>
      <c r="R197" s="383"/>
      <c r="S197" s="383"/>
      <c r="T197" s="383"/>
      <c r="U197" s="383"/>
      <c r="V197" s="383"/>
      <c r="W197" s="383"/>
      <c r="X197" s="383"/>
      <c r="Y197" s="383"/>
      <c r="Z197" s="383"/>
      <c r="AA197" s="383"/>
      <c r="AB197" s="383"/>
      <c r="AC197" s="383"/>
      <c r="AD197" s="383"/>
      <c r="AE197" s="383"/>
      <c r="AF197" s="383"/>
      <c r="AG197" s="383"/>
      <c r="AH197" s="383"/>
      <c r="AI197" s="383"/>
      <c r="AJ197" s="383"/>
      <c r="AK197" s="383"/>
      <c r="AL197" s="383"/>
      <c r="AM197" s="383"/>
      <c r="AN197" s="383"/>
      <c r="AO197" s="383"/>
      <c r="AP197" s="383"/>
      <c r="AQ197" s="383"/>
      <c r="AR197" s="383"/>
      <c r="AS197" s="383"/>
      <c r="AT197" s="383"/>
      <c r="AU197" s="383"/>
      <c r="AV197" s="383"/>
      <c r="AW197" s="383"/>
      <c r="AX197" s="383"/>
      <c r="AY197" s="383"/>
      <c r="AZ197" s="383"/>
      <c r="BA197" s="383"/>
      <c r="BB197" s="383"/>
      <c r="BC197" s="383"/>
      <c r="BD197" s="383"/>
      <c r="BE197" s="383"/>
      <c r="BF197" s="383"/>
      <c r="BG197" s="383"/>
      <c r="BH197" s="383"/>
      <c r="BI197" s="383"/>
      <c r="BJ197" s="383"/>
      <c r="BK197" s="383"/>
      <c r="BL197" s="383"/>
      <c r="BM197" s="383"/>
      <c r="BN197" s="383"/>
      <c r="BO197" s="383"/>
      <c r="BP197" s="383"/>
      <c r="BQ197" s="383"/>
      <c r="BR197" s="383"/>
      <c r="BS197" s="383"/>
      <c r="BT197" s="383"/>
      <c r="BU197" s="383"/>
      <c r="BV197" s="383"/>
      <c r="BW197" s="383"/>
      <c r="BX197" s="383"/>
      <c r="BY197" s="383"/>
      <c r="BZ197" s="383"/>
      <c r="CA197" s="383"/>
      <c r="CB197" s="383"/>
      <c r="CC197" s="383"/>
      <c r="CD197" s="383"/>
      <c r="CE197" s="383"/>
      <c r="CF197" s="383"/>
      <c r="CG197" s="383"/>
      <c r="CH197" s="383"/>
      <c r="CI197" s="383"/>
      <c r="CJ197" s="383"/>
      <c r="CK197" s="383"/>
      <c r="CL197" s="383"/>
      <c r="CM197" s="383"/>
      <c r="CN197" s="383"/>
      <c r="CO197" s="383"/>
      <c r="CP197" s="383"/>
      <c r="CQ197" s="383"/>
      <c r="CR197" s="383"/>
      <c r="CS197" s="383"/>
      <c r="CT197" s="383"/>
      <c r="CU197" s="383"/>
      <c r="CV197" s="383"/>
      <c r="CW197" s="383"/>
      <c r="CX197" s="383"/>
      <c r="CY197" s="383"/>
      <c r="CZ197" s="383"/>
      <c r="DA197" s="383"/>
      <c r="DB197" s="383"/>
      <c r="DC197" s="383"/>
      <c r="DD197" s="383"/>
      <c r="DE197" s="383"/>
      <c r="DF197" s="383"/>
      <c r="DG197" s="383"/>
      <c r="DH197" s="383"/>
      <c r="DI197" s="383"/>
      <c r="DJ197" s="383"/>
      <c r="DK197" s="383"/>
      <c r="DL197" s="383"/>
      <c r="DM197" s="383"/>
      <c r="DN197" s="383"/>
      <c r="DO197" s="383"/>
      <c r="DP197" s="383"/>
      <c r="DQ197" s="383"/>
      <c r="DR197" s="383"/>
      <c r="DS197" s="383"/>
      <c r="DT197" s="383"/>
      <c r="DU197" s="383"/>
      <c r="DV197" s="383"/>
      <c r="DW197" s="383"/>
      <c r="DX197" s="383"/>
      <c r="DY197" s="383"/>
      <c r="DZ197" s="383"/>
      <c r="EA197" s="383"/>
      <c r="EB197" s="383"/>
      <c r="EC197" s="383"/>
      <c r="ED197" s="383"/>
      <c r="EE197" s="383"/>
      <c r="EF197" s="383"/>
      <c r="EG197" s="383"/>
      <c r="EH197" s="383"/>
      <c r="EI197" s="383"/>
      <c r="EJ197" s="383"/>
      <c r="EK197" s="383"/>
      <c r="EL197" s="383"/>
      <c r="EM197" s="383"/>
      <c r="EN197" s="383"/>
      <c r="EO197" s="383"/>
      <c r="EP197" s="383"/>
      <c r="EQ197" s="383"/>
      <c r="ER197" s="383"/>
      <c r="ES197" s="383"/>
      <c r="ET197" s="383"/>
      <c r="EU197" s="383"/>
      <c r="EV197" s="383"/>
      <c r="EW197" s="383"/>
      <c r="EX197" s="383"/>
      <c r="EY197" s="383"/>
      <c r="EZ197" s="383"/>
      <c r="FA197" s="383"/>
      <c r="FB197" s="383"/>
      <c r="FC197" s="383"/>
      <c r="FD197" s="383"/>
      <c r="FE197" s="383"/>
      <c r="FF197" s="383"/>
      <c r="FG197" s="383"/>
      <c r="FH197" s="383"/>
      <c r="FI197" s="383"/>
      <c r="FJ197" s="383"/>
      <c r="FK197" s="383"/>
      <c r="FL197" s="383"/>
      <c r="FM197" s="383"/>
      <c r="FN197" s="383"/>
      <c r="FO197" s="383"/>
      <c r="FP197" s="383"/>
      <c r="FQ197" s="383"/>
      <c r="FR197" s="383"/>
      <c r="FS197" s="383"/>
      <c r="FT197" s="383"/>
      <c r="FU197" s="383"/>
      <c r="FV197" s="383"/>
      <c r="FW197" s="383"/>
      <c r="FX197" s="383"/>
      <c r="FY197" s="383"/>
      <c r="FZ197" s="383"/>
      <c r="GA197" s="383"/>
      <c r="GB197" s="383"/>
      <c r="GC197" s="383"/>
      <c r="GD197" s="383"/>
      <c r="GE197" s="383"/>
      <c r="GF197" s="383"/>
      <c r="GG197" s="383"/>
      <c r="GH197" s="383"/>
      <c r="GI197" s="383"/>
      <c r="GJ197" s="383"/>
      <c r="GK197" s="383"/>
      <c r="GL197" s="383"/>
      <c r="GM197" s="383"/>
      <c r="GN197" s="383"/>
      <c r="GO197" s="383"/>
      <c r="GP197" s="383"/>
      <c r="GQ197" s="383"/>
      <c r="GR197" s="383"/>
      <c r="GS197" s="383"/>
      <c r="GT197" s="383"/>
      <c r="GU197" s="383"/>
      <c r="GV197" s="383"/>
      <c r="GW197" s="383"/>
      <c r="GX197" s="383"/>
      <c r="GY197" s="383"/>
      <c r="GZ197" s="383"/>
      <c r="HA197" s="383"/>
      <c r="HB197" s="383"/>
      <c r="HC197" s="383"/>
      <c r="HD197" s="383"/>
      <c r="HE197" s="383"/>
      <c r="HF197" s="383"/>
      <c r="HG197" s="383"/>
      <c r="HH197" s="383"/>
      <c r="HI197" s="383"/>
      <c r="HJ197" s="383"/>
      <c r="HK197" s="383"/>
      <c r="HL197" s="383"/>
      <c r="HM197" s="383"/>
      <c r="HN197" s="383"/>
      <c r="HO197" s="383"/>
      <c r="HP197" s="383"/>
      <c r="HQ197" s="383"/>
      <c r="HR197" s="383"/>
      <c r="HS197" s="383"/>
      <c r="HT197" s="383"/>
      <c r="HU197" s="383"/>
      <c r="HV197" s="383"/>
      <c r="HW197" s="383"/>
      <c r="HX197" s="383"/>
      <c r="HY197" s="383"/>
      <c r="HZ197" s="383"/>
      <c r="IA197" s="383"/>
      <c r="IB197" s="383"/>
      <c r="IC197" s="383"/>
      <c r="ID197" s="383"/>
      <c r="IE197" s="383"/>
      <c r="IF197" s="383"/>
      <c r="IG197" s="383"/>
      <c r="IH197" s="383"/>
      <c r="II197" s="383"/>
      <c r="IJ197" s="383"/>
      <c r="IK197" s="383"/>
      <c r="IL197" s="383"/>
    </row>
    <row r="198" spans="1:246" ht="15" customHeight="1">
      <c r="A198" s="516" t="s">
        <v>368</v>
      </c>
      <c r="B198" s="482" t="s">
        <v>159</v>
      </c>
      <c r="C198" s="483" t="s">
        <v>131</v>
      </c>
      <c r="D198" s="69"/>
      <c r="E198" s="498" t="s">
        <v>377</v>
      </c>
      <c r="F198" s="484">
        <v>10489</v>
      </c>
      <c r="G198" s="479" t="str">
        <f t="shared" si="27"/>
        <v>01/2026</v>
      </c>
      <c r="H198" s="341">
        <f>SUMIF(VI.A!$B$6:$B$5963,B198,VI.A!$L$6:$L$5963)</f>
        <v>26.432000000000002</v>
      </c>
      <c r="I198" s="341" t="str">
        <f t="shared" si="31"/>
        <v>si</v>
      </c>
      <c r="J198" s="383"/>
      <c r="K198" s="383" t="str">
        <f t="array" ref="K198">IF(TRIM(E198)="SINAPI",VLOOKUP(TRIM(F198),TRIM([8]sheet1!$A$8:$E$4895),5,FALSE),"não encontrado")</f>
        <v>19,35</v>
      </c>
      <c r="L198" s="533">
        <v>21.39</v>
      </c>
      <c r="M198" s="480" t="str">
        <f t="shared" si="29"/>
        <v>19,35</v>
      </c>
      <c r="N198" s="383" t="b">
        <f t="shared" si="30"/>
        <v>0</v>
      </c>
      <c r="O198" s="383"/>
      <c r="P198" s="383"/>
      <c r="Q198" s="383"/>
      <c r="R198" s="383"/>
      <c r="S198" s="383"/>
      <c r="T198" s="383"/>
      <c r="U198" s="383"/>
      <c r="V198" s="383"/>
      <c r="W198" s="383"/>
      <c r="X198" s="383"/>
      <c r="Y198" s="383"/>
      <c r="Z198" s="383"/>
      <c r="AA198" s="383"/>
      <c r="AB198" s="383"/>
      <c r="AC198" s="383"/>
      <c r="AD198" s="383"/>
      <c r="AE198" s="383"/>
      <c r="AF198" s="383"/>
      <c r="AG198" s="383"/>
      <c r="AH198" s="383"/>
      <c r="AI198" s="383"/>
      <c r="AJ198" s="383"/>
      <c r="AK198" s="383"/>
      <c r="AL198" s="383"/>
      <c r="AM198" s="383"/>
      <c r="AN198" s="383"/>
      <c r="AO198" s="383"/>
      <c r="AP198" s="383"/>
      <c r="AQ198" s="383"/>
      <c r="AR198" s="383"/>
      <c r="AS198" s="383"/>
      <c r="AT198" s="383"/>
      <c r="AU198" s="383"/>
      <c r="AV198" s="383"/>
      <c r="AW198" s="383"/>
      <c r="AX198" s="383"/>
      <c r="AY198" s="383"/>
      <c r="AZ198" s="383"/>
      <c r="BA198" s="383"/>
      <c r="BB198" s="383"/>
      <c r="BC198" s="383"/>
      <c r="BD198" s="383"/>
      <c r="BE198" s="383"/>
      <c r="BF198" s="383"/>
      <c r="BG198" s="383"/>
      <c r="BH198" s="383"/>
      <c r="BI198" s="383"/>
      <c r="BJ198" s="383"/>
      <c r="BK198" s="383"/>
      <c r="BL198" s="383"/>
      <c r="BM198" s="383"/>
      <c r="BN198" s="383"/>
      <c r="BO198" s="383"/>
      <c r="BP198" s="383"/>
      <c r="BQ198" s="383"/>
      <c r="BR198" s="383"/>
      <c r="BS198" s="383"/>
      <c r="BT198" s="383"/>
      <c r="BU198" s="383"/>
      <c r="BV198" s="383"/>
      <c r="BW198" s="383"/>
      <c r="BX198" s="383"/>
      <c r="BY198" s="383"/>
      <c r="BZ198" s="383"/>
      <c r="CA198" s="383"/>
      <c r="CB198" s="383"/>
      <c r="CC198" s="383"/>
      <c r="CD198" s="383"/>
      <c r="CE198" s="383"/>
      <c r="CF198" s="383"/>
      <c r="CG198" s="383"/>
      <c r="CH198" s="383"/>
      <c r="CI198" s="383"/>
      <c r="CJ198" s="383"/>
      <c r="CK198" s="383"/>
      <c r="CL198" s="383"/>
      <c r="CM198" s="383"/>
      <c r="CN198" s="383"/>
      <c r="CO198" s="383"/>
      <c r="CP198" s="383"/>
      <c r="CQ198" s="383"/>
      <c r="CR198" s="383"/>
      <c r="CS198" s="383"/>
      <c r="CT198" s="383"/>
      <c r="CU198" s="383"/>
      <c r="CV198" s="383"/>
      <c r="CW198" s="383"/>
      <c r="CX198" s="383"/>
      <c r="CY198" s="383"/>
      <c r="CZ198" s="383"/>
      <c r="DA198" s="383"/>
      <c r="DB198" s="383"/>
      <c r="DC198" s="383"/>
      <c r="DD198" s="383"/>
      <c r="DE198" s="383"/>
      <c r="DF198" s="383"/>
      <c r="DG198" s="383"/>
      <c r="DH198" s="383"/>
      <c r="DI198" s="383"/>
      <c r="DJ198" s="383"/>
      <c r="DK198" s="383"/>
      <c r="DL198" s="383"/>
      <c r="DM198" s="383"/>
      <c r="DN198" s="383"/>
      <c r="DO198" s="383"/>
      <c r="DP198" s="383"/>
      <c r="DQ198" s="383"/>
      <c r="DR198" s="383"/>
      <c r="DS198" s="383"/>
      <c r="DT198" s="383"/>
      <c r="DU198" s="383"/>
      <c r="DV198" s="383"/>
      <c r="DW198" s="383"/>
      <c r="DX198" s="383"/>
      <c r="DY198" s="383"/>
      <c r="DZ198" s="383"/>
      <c r="EA198" s="383"/>
      <c r="EB198" s="383"/>
      <c r="EC198" s="383"/>
      <c r="ED198" s="383"/>
      <c r="EE198" s="383"/>
      <c r="EF198" s="383"/>
      <c r="EG198" s="383"/>
      <c r="EH198" s="383"/>
      <c r="EI198" s="383"/>
      <c r="EJ198" s="383"/>
      <c r="EK198" s="383"/>
      <c r="EL198" s="383"/>
      <c r="EM198" s="383"/>
      <c r="EN198" s="383"/>
      <c r="EO198" s="383"/>
      <c r="EP198" s="383"/>
      <c r="EQ198" s="383"/>
      <c r="ER198" s="383"/>
      <c r="ES198" s="383"/>
      <c r="ET198" s="383"/>
      <c r="EU198" s="383"/>
      <c r="EV198" s="383"/>
      <c r="EW198" s="383"/>
      <c r="EX198" s="383"/>
      <c r="EY198" s="383"/>
      <c r="EZ198" s="383"/>
      <c r="FA198" s="383"/>
      <c r="FB198" s="383"/>
      <c r="FC198" s="383"/>
      <c r="FD198" s="383"/>
      <c r="FE198" s="383"/>
      <c r="FF198" s="383"/>
      <c r="FG198" s="383"/>
      <c r="FH198" s="383"/>
      <c r="FI198" s="383"/>
      <c r="FJ198" s="383"/>
      <c r="FK198" s="383"/>
      <c r="FL198" s="383"/>
      <c r="FM198" s="383"/>
      <c r="FN198" s="383"/>
      <c r="FO198" s="383"/>
      <c r="FP198" s="383"/>
      <c r="FQ198" s="383"/>
      <c r="FR198" s="383"/>
      <c r="FS198" s="383"/>
      <c r="FT198" s="383"/>
      <c r="FU198" s="383"/>
      <c r="FV198" s="383"/>
      <c r="FW198" s="383"/>
      <c r="FX198" s="383"/>
      <c r="FY198" s="383"/>
      <c r="FZ198" s="383"/>
      <c r="GA198" s="383"/>
      <c r="GB198" s="383"/>
      <c r="GC198" s="383"/>
      <c r="GD198" s="383"/>
      <c r="GE198" s="383"/>
      <c r="GF198" s="383"/>
      <c r="GG198" s="383"/>
      <c r="GH198" s="383"/>
      <c r="GI198" s="383"/>
      <c r="GJ198" s="383"/>
      <c r="GK198" s="383"/>
      <c r="GL198" s="383"/>
      <c r="GM198" s="383"/>
      <c r="GN198" s="383"/>
      <c r="GO198" s="383"/>
      <c r="GP198" s="383"/>
      <c r="GQ198" s="383"/>
      <c r="GR198" s="383"/>
      <c r="GS198" s="383"/>
      <c r="GT198" s="383"/>
      <c r="GU198" s="383"/>
      <c r="GV198" s="383"/>
      <c r="GW198" s="383"/>
      <c r="GX198" s="383"/>
      <c r="GY198" s="383"/>
      <c r="GZ198" s="383"/>
      <c r="HA198" s="383"/>
      <c r="HB198" s="383"/>
      <c r="HC198" s="383"/>
      <c r="HD198" s="383"/>
      <c r="HE198" s="383"/>
      <c r="HF198" s="383"/>
      <c r="HG198" s="383"/>
      <c r="HH198" s="383"/>
      <c r="HI198" s="383"/>
      <c r="HJ198" s="383"/>
      <c r="HK198" s="383"/>
      <c r="HL198" s="383"/>
      <c r="HM198" s="383"/>
      <c r="HN198" s="383"/>
      <c r="HO198" s="383"/>
      <c r="HP198" s="383"/>
      <c r="HQ198" s="383"/>
      <c r="HR198" s="383"/>
      <c r="HS198" s="383"/>
      <c r="HT198" s="383"/>
      <c r="HU198" s="383"/>
      <c r="HV198" s="383"/>
      <c r="HW198" s="383"/>
      <c r="HX198" s="383"/>
      <c r="HY198" s="383"/>
      <c r="HZ198" s="383"/>
      <c r="IA198" s="383"/>
      <c r="IB198" s="383"/>
      <c r="IC198" s="383"/>
      <c r="ID198" s="383"/>
      <c r="IE198" s="383"/>
      <c r="IF198" s="383"/>
      <c r="IG198" s="383"/>
      <c r="IH198" s="383"/>
      <c r="II198" s="383"/>
      <c r="IJ198" s="383"/>
      <c r="IK198" s="383"/>
      <c r="IL198" s="383"/>
    </row>
    <row r="199" spans="1:246" ht="15" customHeight="1">
      <c r="A199" s="516" t="s">
        <v>369</v>
      </c>
      <c r="B199" s="482" t="s">
        <v>160</v>
      </c>
      <c r="C199" s="483" t="s">
        <v>131</v>
      </c>
      <c r="D199" s="69"/>
      <c r="E199" s="498" t="s">
        <v>377</v>
      </c>
      <c r="F199" s="484">
        <v>12869</v>
      </c>
      <c r="G199" s="479" t="str">
        <f t="shared" si="27"/>
        <v>01/2026</v>
      </c>
      <c r="H199" s="341">
        <f>SUMIF(VI.A!$B$6:$B$5963,B199,VI.A!$L$6:$L$5963)</f>
        <v>15.475000000000001</v>
      </c>
      <c r="I199" s="341" t="str">
        <f t="shared" si="31"/>
        <v>si</v>
      </c>
      <c r="J199" s="383"/>
      <c r="K199" s="383" t="str">
        <f t="array" ref="K199">IF(TRIM(E199)="SINAPI",VLOOKUP(TRIM(F199),TRIM([8]sheet1!$A$8:$E$4895),5,FALSE),"não encontrado")</f>
        <v>23,55</v>
      </c>
      <c r="L199" s="533">
        <v>26.03</v>
      </c>
      <c r="M199" s="480" t="str">
        <f t="shared" si="29"/>
        <v>23,55</v>
      </c>
      <c r="N199" s="383" t="b">
        <f t="shared" si="30"/>
        <v>0</v>
      </c>
    </row>
    <row r="200" spans="1:246" ht="15" customHeight="1" thickBot="1">
      <c r="A200" s="536" t="s">
        <v>370</v>
      </c>
      <c r="B200" s="490" t="s">
        <v>832</v>
      </c>
      <c r="C200" s="491" t="s">
        <v>131</v>
      </c>
      <c r="D200" s="70"/>
      <c r="E200" s="498" t="s">
        <v>377</v>
      </c>
      <c r="F200" s="494">
        <v>34345</v>
      </c>
      <c r="G200" s="479" t="str">
        <f t="shared" si="27"/>
        <v>01/2026</v>
      </c>
      <c r="H200" s="341">
        <f>SUMIF(VI.A!$B$6:$B$5963,B200,VI.A!$L$6:$L$5963)</f>
        <v>8640</v>
      </c>
      <c r="I200" s="341" t="str">
        <f t="shared" si="31"/>
        <v>si</v>
      </c>
      <c r="J200" s="383"/>
      <c r="K200" s="383" t="str">
        <f t="array" ref="K200">IF(TRIM(E200)="SINAPI",VLOOKUP(TRIM(F200),TRIM([8]sheet1!$A$8:$E$4895),5,FALSE),"não encontrado")</f>
        <v>21,68</v>
      </c>
      <c r="L200" s="533">
        <v>24.05</v>
      </c>
      <c r="M200" s="480" t="str">
        <f>IFERROR(IF(K200="não encontrado",D200,K200),D200)</f>
        <v>21,68</v>
      </c>
      <c r="N200" s="383" t="b">
        <f>_xlfn.ISFORMULA(D200)</f>
        <v>0</v>
      </c>
    </row>
    <row r="201" spans="1:246">
      <c r="B201" s="423"/>
    </row>
    <row r="202" spans="1:246" hidden="1">
      <c r="A202" s="540" t="s">
        <v>667</v>
      </c>
      <c r="B202" s="541"/>
      <c r="H202" s="474" t="str">
        <f>LOWER(B202)</f>
        <v/>
      </c>
    </row>
    <row r="203" spans="1:246" hidden="1">
      <c r="A203" s="540" t="s">
        <v>668</v>
      </c>
      <c r="B203" s="541"/>
    </row>
    <row r="204" spans="1:246">
      <c r="A204" s="540"/>
      <c r="B204" s="541"/>
    </row>
    <row r="205" spans="1:246">
      <c r="A205" s="540"/>
      <c r="B205" s="541"/>
      <c r="H205" s="542"/>
      <c r="K205" s="540" t="s">
        <v>678</v>
      </c>
      <c r="L205" s="541"/>
    </row>
    <row r="206" spans="1:246">
      <c r="A206" s="543"/>
      <c r="B206" s="544"/>
      <c r="K206" s="543"/>
      <c r="L206" s="544" t="s">
        <v>676</v>
      </c>
    </row>
    <row r="207" spans="1:246">
      <c r="A207" s="543"/>
      <c r="B207" s="544"/>
      <c r="K207" s="543"/>
      <c r="L207" s="544" t="s">
        <v>670</v>
      </c>
    </row>
    <row r="208" spans="1:246">
      <c r="A208" s="543"/>
      <c r="B208" s="544"/>
      <c r="K208" s="543"/>
      <c r="L208" s="544" t="s">
        <v>671</v>
      </c>
    </row>
    <row r="209" spans="1:246">
      <c r="A209" s="543"/>
      <c r="B209" s="544"/>
      <c r="K209" s="543"/>
      <c r="L209" s="544" t="s">
        <v>672</v>
      </c>
    </row>
    <row r="210" spans="1:246">
      <c r="A210" s="543"/>
      <c r="B210" s="544"/>
      <c r="K210" s="543"/>
      <c r="L210" s="544" t="s">
        <v>673</v>
      </c>
    </row>
    <row r="211" spans="1:246">
      <c r="A211" s="543"/>
      <c r="B211" s="544"/>
      <c r="K211" s="543"/>
      <c r="L211" s="544" t="s">
        <v>677</v>
      </c>
    </row>
    <row r="212" spans="1:246">
      <c r="A212" s="540"/>
      <c r="B212" s="541"/>
    </row>
    <row r="213" spans="1:246">
      <c r="A213" s="540"/>
      <c r="B213" s="541"/>
      <c r="H213" s="545">
        <f>SUM(H8:H199)</f>
        <v>1514968.9712803082</v>
      </c>
      <c r="K213" s="540" t="s">
        <v>675</v>
      </c>
      <c r="L213" s="541"/>
      <c r="M213" s="383"/>
      <c r="N213" s="383"/>
      <c r="O213" s="383"/>
      <c r="P213" s="383"/>
      <c r="Q213" s="383"/>
      <c r="R213" s="383"/>
      <c r="S213" s="383"/>
      <c r="T213" s="383"/>
      <c r="U213" s="383"/>
      <c r="V213" s="383"/>
      <c r="W213" s="383"/>
      <c r="X213" s="383"/>
      <c r="Y213" s="383"/>
      <c r="Z213" s="383"/>
      <c r="AA213" s="383"/>
      <c r="AB213" s="383"/>
      <c r="AC213" s="383"/>
      <c r="AD213" s="383"/>
      <c r="AE213" s="383"/>
      <c r="AF213" s="383"/>
      <c r="AG213" s="383"/>
      <c r="AH213" s="383"/>
      <c r="AI213" s="383"/>
      <c r="AJ213" s="383"/>
      <c r="AK213" s="383"/>
      <c r="AL213" s="383"/>
      <c r="AM213" s="383"/>
      <c r="AN213" s="383"/>
      <c r="AO213" s="383"/>
      <c r="AP213" s="383"/>
      <c r="AQ213" s="383"/>
      <c r="AR213" s="383"/>
      <c r="AS213" s="383"/>
      <c r="AT213" s="383"/>
      <c r="AU213" s="383"/>
      <c r="AV213" s="383"/>
      <c r="AW213" s="383"/>
      <c r="AX213" s="383"/>
      <c r="AY213" s="383"/>
      <c r="AZ213" s="383"/>
      <c r="BA213" s="383"/>
      <c r="BB213" s="383"/>
      <c r="BC213" s="383"/>
      <c r="BD213" s="383"/>
      <c r="BE213" s="383"/>
      <c r="BF213" s="383"/>
      <c r="BG213" s="383"/>
      <c r="BH213" s="383"/>
      <c r="BI213" s="383"/>
      <c r="BJ213" s="383"/>
      <c r="BK213" s="383"/>
      <c r="BL213" s="383"/>
      <c r="BM213" s="383"/>
      <c r="BN213" s="383"/>
      <c r="BO213" s="383"/>
      <c r="BP213" s="383"/>
      <c r="BQ213" s="383"/>
      <c r="BR213" s="383"/>
      <c r="BS213" s="383"/>
      <c r="BT213" s="383"/>
      <c r="BU213" s="383"/>
      <c r="BV213" s="383"/>
      <c r="BW213" s="383"/>
      <c r="BX213" s="383"/>
      <c r="BY213" s="383"/>
      <c r="BZ213" s="383"/>
      <c r="CA213" s="383"/>
      <c r="CB213" s="383"/>
      <c r="CC213" s="383"/>
      <c r="CD213" s="383"/>
      <c r="CE213" s="383"/>
      <c r="CF213" s="383"/>
      <c r="CG213" s="383"/>
      <c r="CH213" s="383"/>
      <c r="CI213" s="383"/>
      <c r="CJ213" s="383"/>
      <c r="CK213" s="383"/>
      <c r="CL213" s="383"/>
      <c r="CM213" s="383"/>
      <c r="CN213" s="383"/>
      <c r="CO213" s="383"/>
      <c r="CP213" s="383"/>
      <c r="CQ213" s="383"/>
      <c r="CR213" s="383"/>
      <c r="CS213" s="383"/>
      <c r="CT213" s="383"/>
      <c r="CU213" s="383"/>
      <c r="CV213" s="383"/>
      <c r="CW213" s="383"/>
      <c r="CX213" s="383"/>
      <c r="CY213" s="383"/>
      <c r="CZ213" s="383"/>
      <c r="DA213" s="383"/>
      <c r="DB213" s="383"/>
      <c r="DC213" s="383"/>
      <c r="DD213" s="383"/>
      <c r="DE213" s="383"/>
      <c r="DF213" s="383"/>
      <c r="DG213" s="383"/>
      <c r="DH213" s="383"/>
      <c r="DI213" s="383"/>
      <c r="DJ213" s="383"/>
      <c r="DK213" s="383"/>
      <c r="DL213" s="383"/>
      <c r="DM213" s="383"/>
      <c r="DN213" s="383"/>
      <c r="DO213" s="383"/>
      <c r="DP213" s="383"/>
      <c r="DQ213" s="383"/>
      <c r="DR213" s="383"/>
      <c r="DS213" s="383"/>
      <c r="DT213" s="383"/>
      <c r="DU213" s="383"/>
      <c r="DV213" s="383"/>
      <c r="DW213" s="383"/>
      <c r="DX213" s="383"/>
      <c r="DY213" s="383"/>
      <c r="DZ213" s="383"/>
      <c r="EA213" s="383"/>
      <c r="EB213" s="383"/>
      <c r="EC213" s="383"/>
      <c r="ED213" s="383"/>
      <c r="EE213" s="383"/>
      <c r="EF213" s="383"/>
      <c r="EG213" s="383"/>
      <c r="EH213" s="383"/>
      <c r="EI213" s="383"/>
      <c r="EJ213" s="383"/>
      <c r="EK213" s="383"/>
      <c r="EL213" s="383"/>
      <c r="EM213" s="383"/>
      <c r="EN213" s="383"/>
      <c r="EO213" s="383"/>
      <c r="EP213" s="383"/>
      <c r="EQ213" s="383"/>
      <c r="ER213" s="383"/>
      <c r="ES213" s="383"/>
      <c r="ET213" s="383"/>
      <c r="EU213" s="383"/>
      <c r="EV213" s="383"/>
      <c r="EW213" s="383"/>
      <c r="EX213" s="383"/>
      <c r="EY213" s="383"/>
      <c r="EZ213" s="383"/>
      <c r="FA213" s="383"/>
      <c r="FB213" s="383"/>
      <c r="FC213" s="383"/>
      <c r="FD213" s="383"/>
      <c r="FE213" s="383"/>
      <c r="FF213" s="383"/>
      <c r="FG213" s="383"/>
      <c r="FH213" s="383"/>
      <c r="FI213" s="383"/>
      <c r="FJ213" s="383"/>
      <c r="FK213" s="383"/>
      <c r="FL213" s="383"/>
      <c r="FM213" s="383"/>
      <c r="FN213" s="383"/>
      <c r="FO213" s="383"/>
      <c r="FP213" s="383"/>
      <c r="FQ213" s="383"/>
      <c r="FR213" s="383"/>
      <c r="FS213" s="383"/>
      <c r="FT213" s="383"/>
      <c r="FU213" s="383"/>
      <c r="FV213" s="383"/>
      <c r="FW213" s="383"/>
      <c r="FX213" s="383"/>
      <c r="FY213" s="383"/>
      <c r="FZ213" s="383"/>
      <c r="GA213" s="383"/>
      <c r="GB213" s="383"/>
      <c r="GC213" s="383"/>
      <c r="GD213" s="383"/>
      <c r="GE213" s="383"/>
      <c r="GF213" s="383"/>
      <c r="GG213" s="383"/>
      <c r="GH213" s="383"/>
      <c r="GI213" s="383"/>
      <c r="GJ213" s="383"/>
      <c r="GK213" s="383"/>
      <c r="GL213" s="383"/>
      <c r="GM213" s="383"/>
      <c r="GN213" s="383"/>
      <c r="GO213" s="383"/>
      <c r="GP213" s="383"/>
      <c r="GQ213" s="383"/>
      <c r="GR213" s="383"/>
      <c r="GS213" s="383"/>
      <c r="GT213" s="383"/>
      <c r="GU213" s="383"/>
      <c r="GV213" s="383"/>
      <c r="GW213" s="383"/>
      <c r="GX213" s="383"/>
      <c r="GY213" s="383"/>
      <c r="GZ213" s="383"/>
      <c r="HA213" s="383"/>
      <c r="HB213" s="383"/>
      <c r="HC213" s="383"/>
      <c r="HD213" s="383"/>
      <c r="HE213" s="383"/>
      <c r="HF213" s="383"/>
      <c r="HG213" s="383"/>
      <c r="HH213" s="383"/>
      <c r="HI213" s="383"/>
      <c r="HJ213" s="383"/>
      <c r="HK213" s="383"/>
      <c r="HL213" s="383"/>
      <c r="HM213" s="383"/>
      <c r="HN213" s="383"/>
      <c r="HO213" s="383"/>
      <c r="HP213" s="383"/>
      <c r="HQ213" s="383"/>
      <c r="HR213" s="383"/>
      <c r="HS213" s="383"/>
      <c r="HT213" s="383"/>
      <c r="HU213" s="383"/>
      <c r="HV213" s="383"/>
      <c r="HW213" s="383"/>
      <c r="HX213" s="383"/>
      <c r="HY213" s="383"/>
      <c r="HZ213" s="383"/>
      <c r="IA213" s="383"/>
      <c r="IB213" s="383"/>
      <c r="IC213" s="383"/>
      <c r="ID213" s="383"/>
      <c r="IE213" s="383"/>
      <c r="IF213" s="383"/>
      <c r="IG213" s="383"/>
      <c r="IH213" s="383"/>
      <c r="II213" s="383"/>
      <c r="IJ213" s="383"/>
      <c r="IK213" s="383"/>
      <c r="IL213" s="383"/>
    </row>
    <row r="214" spans="1:246">
      <c r="A214" s="543"/>
      <c r="B214" s="544"/>
      <c r="K214" s="543"/>
      <c r="L214" s="544" t="s">
        <v>669</v>
      </c>
    </row>
    <row r="215" spans="1:246">
      <c r="A215" s="543"/>
      <c r="B215" s="544"/>
      <c r="K215" s="543"/>
      <c r="L215" s="544" t="s">
        <v>670</v>
      </c>
    </row>
    <row r="216" spans="1:246">
      <c r="A216" s="543"/>
      <c r="B216" s="544"/>
      <c r="K216" s="543"/>
      <c r="L216" s="544" t="s">
        <v>671</v>
      </c>
    </row>
    <row r="217" spans="1:246">
      <c r="A217" s="543"/>
      <c r="B217" s="544"/>
      <c r="K217" s="543"/>
      <c r="L217" s="544" t="s">
        <v>672</v>
      </c>
    </row>
    <row r="218" spans="1:246">
      <c r="A218" s="543"/>
      <c r="B218" s="544"/>
      <c r="K218" s="543"/>
      <c r="L218" s="544" t="s">
        <v>673</v>
      </c>
    </row>
    <row r="219" spans="1:246">
      <c r="A219" s="543"/>
      <c r="B219" s="544"/>
      <c r="K219" s="543"/>
      <c r="L219" s="544" t="s">
        <v>674</v>
      </c>
    </row>
    <row r="220" spans="1:246">
      <c r="K220" s="537"/>
      <c r="L220" s="394"/>
    </row>
  </sheetData>
  <sheetProtection algorithmName="SHA-512" hashValue="tbfTvJv1ipdVwAX966evzUrbPXIjE+GaJil2TaW1bMuAmp7Ehqq2LfCIASCi3GTouIMxVdNn12qTlOD9s4azIw==" saltValue="oGOvwZS/9fXif7wX/y0NTA==" spinCount="100000" sheet="1" objects="1" scenarios="1" selectLockedCells="1"/>
  <mergeCells count="5">
    <mergeCell ref="A141:G141"/>
    <mergeCell ref="H7:K7"/>
    <mergeCell ref="B4:G4"/>
    <mergeCell ref="A5:G8"/>
    <mergeCell ref="A1:G3"/>
  </mergeCells>
  <phoneticPr fontId="28" type="noConversion"/>
  <printOptions horizontalCentered="1"/>
  <pageMargins left="0.59055118110236227" right="0.51181102362204722" top="0.78740157480314965" bottom="0.78740157480314965" header="0.51181102362204722" footer="0.51181102362204722"/>
  <pageSetup paperSize="9" scale="71" firstPageNumber="0" fitToHeight="0" orientation="portrait" r:id="rId1"/>
  <headerFooter>
    <oddFooter>&amp;L&amp;G&amp;C&amp;"Arial,Negrito itálico"&amp;12Página &amp;P de &amp;N&amp;R&amp;G</oddFooter>
  </headerFooter>
  <rowBreaks count="3" manualBreakCount="3">
    <brk id="63" max="6" man="1"/>
    <brk id="112" max="6" man="1"/>
    <brk id="159" max="6" man="1"/>
  </rowBreaks>
  <colBreaks count="1" manualBreakCount="1">
    <brk id="1" max="1048575" man="1"/>
  </colBreak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35D3A-6829-47EA-A577-2D18B58EC338}">
  <dimension ref="A1:H46"/>
  <sheetViews>
    <sheetView view="pageBreakPreview" zoomScale="90" zoomScaleSheetLayoutView="90" workbookViewId="0">
      <selection activeCell="C7" sqref="C7"/>
    </sheetView>
  </sheetViews>
  <sheetFormatPr defaultColWidth="9.140625" defaultRowHeight="12.75"/>
  <cols>
    <col min="1" max="1" width="14.140625" style="552" customWidth="1"/>
    <col min="2" max="2" width="52.7109375" style="551" customWidth="1"/>
    <col min="3" max="3" width="19.28515625" style="552" customWidth="1"/>
    <col min="4" max="16384" width="9.140625" style="551"/>
  </cols>
  <sheetData>
    <row r="1" spans="1:8" s="548" customFormat="1" ht="20.100000000000001" customHeight="1">
      <c r="A1" s="912" t="str">
        <f>IV.A!A1</f>
        <v>TIMBRE LICITANTE</v>
      </c>
      <c r="B1" s="912"/>
      <c r="C1" s="912"/>
      <c r="D1" s="546"/>
      <c r="E1" s="546"/>
      <c r="F1" s="546"/>
      <c r="G1" s="547"/>
      <c r="H1" s="546"/>
    </row>
    <row r="2" spans="1:8" s="548" customFormat="1" ht="20.100000000000001" customHeight="1">
      <c r="A2" s="912"/>
      <c r="B2" s="912"/>
      <c r="C2" s="912"/>
      <c r="D2" s="546"/>
      <c r="E2" s="546"/>
      <c r="F2" s="546"/>
      <c r="G2" s="546"/>
      <c r="H2" s="546"/>
    </row>
    <row r="3" spans="1:8" s="548" customFormat="1" ht="18.75" customHeight="1">
      <c r="A3" s="549"/>
      <c r="B3" s="907"/>
      <c r="C3" s="907"/>
      <c r="D3" s="550"/>
      <c r="E3" s="550"/>
      <c r="F3" s="550"/>
      <c r="G3" s="550"/>
      <c r="H3" s="550"/>
    </row>
    <row r="4" spans="1:8" ht="28.5" customHeight="1" thickBot="1">
      <c r="A4" s="908" t="s">
        <v>944</v>
      </c>
      <c r="B4" s="908"/>
      <c r="C4" s="908"/>
    </row>
    <row r="5" spans="1:8" ht="30" customHeight="1" thickBot="1">
      <c r="A5" s="909" t="s">
        <v>50</v>
      </c>
      <c r="B5" s="910"/>
      <c r="C5" s="911"/>
    </row>
    <row r="6" spans="1:8" ht="9.9499999999999993" customHeight="1" thickBot="1">
      <c r="B6" s="553"/>
      <c r="C6" s="553"/>
    </row>
    <row r="7" spans="1:8" s="556" customFormat="1" ht="24.95" customHeight="1" thickBot="1">
      <c r="A7" s="554" t="s">
        <v>133</v>
      </c>
      <c r="B7" s="555" t="s">
        <v>38</v>
      </c>
      <c r="C7" s="572"/>
    </row>
    <row r="8" spans="1:8" ht="9.9499999999999993" customHeight="1" thickBot="1">
      <c r="A8" s="905"/>
      <c r="B8" s="905"/>
      <c r="C8" s="905"/>
    </row>
    <row r="9" spans="1:8" s="556" customFormat="1" ht="24.95" customHeight="1" thickBot="1">
      <c r="A9" s="554" t="s">
        <v>134</v>
      </c>
      <c r="B9" s="555" t="s">
        <v>135</v>
      </c>
      <c r="C9" s="572"/>
    </row>
    <row r="10" spans="1:8" ht="9.9499999999999993" customHeight="1" thickBot="1">
      <c r="A10" s="905"/>
      <c r="B10" s="905"/>
      <c r="C10" s="905"/>
    </row>
    <row r="11" spans="1:8" s="556" customFormat="1" ht="24.95" customHeight="1" thickBot="1">
      <c r="A11" s="554" t="s">
        <v>136</v>
      </c>
      <c r="B11" s="555" t="s">
        <v>137</v>
      </c>
      <c r="C11" s="52"/>
    </row>
    <row r="12" spans="1:8" ht="9.9499999999999993" customHeight="1" thickBot="1">
      <c r="A12" s="905" t="s">
        <v>831</v>
      </c>
      <c r="B12" s="905"/>
      <c r="C12" s="905"/>
    </row>
    <row r="13" spans="1:8" s="556" customFormat="1" ht="24.95" customHeight="1" thickBot="1">
      <c r="A13" s="554" t="s">
        <v>42</v>
      </c>
      <c r="B13" s="555" t="s">
        <v>138</v>
      </c>
      <c r="C13" s="572"/>
    </row>
    <row r="14" spans="1:8" ht="9.9499999999999993" customHeight="1" thickBot="1">
      <c r="A14" s="905"/>
      <c r="B14" s="905"/>
      <c r="C14" s="905"/>
    </row>
    <row r="15" spans="1:8" s="556" customFormat="1" ht="24.95" customHeight="1" thickBot="1">
      <c r="A15" s="554" t="s">
        <v>139</v>
      </c>
      <c r="B15" s="555" t="s">
        <v>51</v>
      </c>
      <c r="C15" s="572"/>
    </row>
    <row r="16" spans="1:8" ht="9.9499999999999993" customHeight="1" thickBot="1">
      <c r="A16" s="905"/>
      <c r="B16" s="905"/>
      <c r="C16" s="905"/>
    </row>
    <row r="17" spans="1:6" s="556" customFormat="1" ht="24.95" customHeight="1" thickBot="1">
      <c r="A17" s="554" t="s">
        <v>130</v>
      </c>
      <c r="B17" s="555" t="s">
        <v>52</v>
      </c>
      <c r="C17" s="52"/>
    </row>
    <row r="18" spans="1:6" s="556" customFormat="1" ht="9.9499999999999993" customHeight="1" thickBot="1">
      <c r="A18" s="905"/>
      <c r="B18" s="905"/>
      <c r="C18" s="905"/>
    </row>
    <row r="19" spans="1:6" s="556" customFormat="1" ht="24.95" customHeight="1" thickBot="1">
      <c r="A19" s="554" t="s">
        <v>820</v>
      </c>
      <c r="B19" s="555" t="s">
        <v>821</v>
      </c>
      <c r="C19" s="557">
        <f>ROUND(SUM(C20:C21),5)</f>
        <v>0</v>
      </c>
    </row>
    <row r="20" spans="1:6" s="556" customFormat="1" ht="20.100000000000001" customHeight="1">
      <c r="A20" s="558"/>
      <c r="B20" s="559" t="s">
        <v>822</v>
      </c>
      <c r="C20" s="53"/>
    </row>
    <row r="21" spans="1:6" s="556" customFormat="1" ht="20.100000000000001" customHeight="1" thickBot="1">
      <c r="A21" s="560"/>
      <c r="B21" s="561" t="s">
        <v>823</v>
      </c>
      <c r="C21" s="54"/>
    </row>
    <row r="22" spans="1:6" s="556" customFormat="1" ht="9.9499999999999993" customHeight="1" thickBot="1">
      <c r="A22" s="905"/>
      <c r="B22" s="905"/>
      <c r="C22" s="905"/>
    </row>
    <row r="23" spans="1:6" s="556" customFormat="1" ht="24.95" customHeight="1" thickBot="1">
      <c r="A23" s="554" t="s">
        <v>824</v>
      </c>
      <c r="B23" s="555" t="s">
        <v>825</v>
      </c>
      <c r="C23" s="557">
        <f>ROUND(SUM(C24:C24),5)</f>
        <v>0</v>
      </c>
    </row>
    <row r="24" spans="1:6" s="556" customFormat="1" ht="20.100000000000001" customHeight="1" thickBot="1">
      <c r="A24" s="562"/>
      <c r="B24" s="563" t="s">
        <v>826</v>
      </c>
      <c r="C24" s="54"/>
    </row>
    <row r="25" spans="1:6" s="556" customFormat="1" ht="9.9499999999999993" customHeight="1" thickBot="1">
      <c r="A25" s="905"/>
      <c r="B25" s="905"/>
      <c r="C25" s="905"/>
    </row>
    <row r="26" spans="1:6" s="556" customFormat="1" ht="24.95" customHeight="1" thickBot="1">
      <c r="A26" s="554" t="s">
        <v>827</v>
      </c>
      <c r="B26" s="564" t="s">
        <v>828</v>
      </c>
      <c r="C26" s="557">
        <f>ROUND(SUM(C27:C27),5)</f>
        <v>0</v>
      </c>
    </row>
    <row r="27" spans="1:6" s="556" customFormat="1" ht="20.100000000000001" customHeight="1" thickBot="1">
      <c r="A27" s="562"/>
      <c r="B27" s="563" t="s">
        <v>829</v>
      </c>
      <c r="C27" s="54"/>
    </row>
    <row r="28" spans="1:6" ht="9.9499999999999993" customHeight="1" thickBot="1">
      <c r="A28" s="905"/>
      <c r="B28" s="905"/>
      <c r="C28" s="905"/>
    </row>
    <row r="29" spans="1:6" s="556" customFormat="1" ht="30" customHeight="1" thickBot="1">
      <c r="A29" s="554"/>
      <c r="B29" s="555" t="s">
        <v>140</v>
      </c>
      <c r="C29" s="565">
        <f>ROUND((((1+($C$7+$C$9+$C$11+$C$13))*(1+$C$15)*(1+$C$17))/(1-$C$19-$C$23-$C$26))-1,4)</f>
        <v>0</v>
      </c>
      <c r="D29" s="566"/>
      <c r="E29" s="567"/>
      <c r="F29" s="567"/>
    </row>
    <row r="30" spans="1:6">
      <c r="A30" s="568"/>
      <c r="B30" s="569"/>
      <c r="C30" s="570"/>
    </row>
    <row r="31" spans="1:6">
      <c r="A31" s="570"/>
      <c r="B31" s="569"/>
      <c r="C31" s="570"/>
    </row>
    <row r="32" spans="1:6">
      <c r="A32" s="570"/>
      <c r="B32" s="569"/>
      <c r="C32" s="570"/>
    </row>
    <row r="33" spans="1:8">
      <c r="A33" s="570"/>
      <c r="B33" s="569"/>
      <c r="C33" s="570"/>
    </row>
    <row r="34" spans="1:8" s="552" customFormat="1" ht="12.75" customHeight="1">
      <c r="A34" s="906"/>
      <c r="B34" s="906"/>
      <c r="C34" s="906"/>
      <c r="D34" s="571"/>
      <c r="E34" s="551"/>
      <c r="F34" s="551"/>
      <c r="G34" s="551"/>
      <c r="H34" s="551"/>
    </row>
    <row r="35" spans="1:8" s="552" customFormat="1" ht="12.75" customHeight="1">
      <c r="A35" s="906"/>
      <c r="B35" s="906"/>
      <c r="C35" s="906"/>
      <c r="D35" s="571"/>
      <c r="E35" s="551"/>
      <c r="F35" s="551"/>
      <c r="G35" s="551"/>
      <c r="H35" s="551"/>
    </row>
    <row r="36" spans="1:8" s="552" customFormat="1" ht="12.75" customHeight="1">
      <c r="A36" s="906"/>
      <c r="B36" s="906"/>
      <c r="C36" s="906"/>
      <c r="D36" s="571"/>
      <c r="E36" s="551"/>
      <c r="F36" s="551"/>
      <c r="G36" s="551"/>
      <c r="H36" s="551"/>
    </row>
    <row r="37" spans="1:8" s="552" customFormat="1" ht="12.75" customHeight="1">
      <c r="A37" s="906"/>
      <c r="B37" s="906"/>
      <c r="C37" s="906"/>
      <c r="D37" s="571"/>
      <c r="E37" s="551"/>
      <c r="F37" s="551"/>
      <c r="G37" s="551"/>
      <c r="H37" s="551"/>
    </row>
    <row r="38" spans="1:8" ht="12.75" customHeight="1">
      <c r="A38" s="906"/>
      <c r="B38" s="906"/>
      <c r="C38" s="906"/>
      <c r="D38" s="571"/>
    </row>
    <row r="39" spans="1:8" ht="12.75" customHeight="1">
      <c r="A39" s="906"/>
      <c r="B39" s="906"/>
      <c r="C39" s="906"/>
      <c r="D39" s="571"/>
    </row>
    <row r="40" spans="1:8" ht="12.75" customHeight="1">
      <c r="A40" s="906"/>
      <c r="B40" s="906"/>
      <c r="C40" s="906"/>
      <c r="D40" s="571"/>
    </row>
    <row r="41" spans="1:8" ht="12.75" customHeight="1">
      <c r="A41" s="906"/>
      <c r="B41" s="906"/>
      <c r="C41" s="906"/>
      <c r="D41" s="571"/>
    </row>
    <row r="42" spans="1:8" ht="12.75" customHeight="1">
      <c r="A42" s="906"/>
      <c r="B42" s="906"/>
      <c r="C42" s="906"/>
      <c r="D42" s="571"/>
    </row>
    <row r="43" spans="1:8" ht="12.75" customHeight="1">
      <c r="A43" s="906"/>
      <c r="B43" s="906"/>
      <c r="C43" s="906"/>
      <c r="D43" s="571"/>
    </row>
    <row r="44" spans="1:8" ht="12.75" customHeight="1">
      <c r="A44" s="906"/>
      <c r="B44" s="906"/>
      <c r="C44" s="906"/>
      <c r="D44" s="571"/>
    </row>
    <row r="45" spans="1:8" ht="12.75" customHeight="1">
      <c r="A45" s="906"/>
      <c r="B45" s="906"/>
      <c r="C45" s="906"/>
      <c r="D45" s="571"/>
    </row>
    <row r="46" spans="1:8" ht="12.75" customHeight="1">
      <c r="A46" s="906"/>
      <c r="B46" s="906"/>
      <c r="C46" s="906"/>
      <c r="D46" s="571"/>
    </row>
  </sheetData>
  <sheetProtection algorithmName="SHA-512" hashValue="71HfKUAwiusVOxVpr8nl/jYlo6GSZP36ez6ful8B96gGLdjGpAfF67OCUo8xMWxkwZx0JbtCXIu2kN1HPEWCjA==" saltValue="RiAHE3Z5VI+buMz3jv9f6A==" spinCount="100000" sheet="1" objects="1" scenarios="1" selectLockedCells="1"/>
  <mergeCells count="14">
    <mergeCell ref="A8:C8"/>
    <mergeCell ref="B3:C3"/>
    <mergeCell ref="A4:C4"/>
    <mergeCell ref="A5:C5"/>
    <mergeCell ref="A1:C2"/>
    <mergeCell ref="A25:C25"/>
    <mergeCell ref="A28:C28"/>
    <mergeCell ref="A34:C46"/>
    <mergeCell ref="A10:C10"/>
    <mergeCell ref="A12:C12"/>
    <mergeCell ref="A14:C14"/>
    <mergeCell ref="A16:C16"/>
    <mergeCell ref="A18:C18"/>
    <mergeCell ref="A22:C22"/>
  </mergeCells>
  <printOptions horizontalCentered="1"/>
  <pageMargins left="0.51181102362204722" right="0.51181102362204722" top="0.43307086614173229" bottom="0.59055118110236227" header="0.31496062992125984" footer="0.31496062992125984"/>
  <pageSetup paperSize="9" orientation="portrait" r:id="rId1"/>
  <headerFooter>
    <oddFooter>&amp;L&amp;G&amp;C&amp;"Arial,Negrito itálico"Página &amp;P&amp;R&amp;G</oddFoot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T52"/>
  <sheetViews>
    <sheetView view="pageBreakPreview" zoomScaleNormal="100" zoomScaleSheetLayoutView="100" workbookViewId="0">
      <selection activeCell="C15" sqref="C15"/>
    </sheetView>
  </sheetViews>
  <sheetFormatPr defaultRowHeight="12.75"/>
  <cols>
    <col min="1" max="1" width="10.5703125" style="576" customWidth="1"/>
    <col min="2" max="2" width="73.140625" style="576" customWidth="1"/>
    <col min="3" max="3" width="12.85546875" style="576" customWidth="1"/>
    <col min="4" max="4" width="13.28515625" style="576" customWidth="1"/>
    <col min="5" max="254" width="9.140625" style="576"/>
    <col min="255" max="16384" width="9.140625" style="346"/>
  </cols>
  <sheetData>
    <row r="1" spans="1:4" s="573" customFormat="1" ht="12.75" customHeight="1">
      <c r="A1" s="935" t="str">
        <f>IV.A!A1</f>
        <v>TIMBRE LICITANTE</v>
      </c>
      <c r="B1" s="935"/>
      <c r="C1" s="935"/>
      <c r="D1" s="935"/>
    </row>
    <row r="2" spans="1:4" s="573" customFormat="1" ht="12.75" customHeight="1">
      <c r="A2" s="935"/>
      <c r="B2" s="935"/>
      <c r="C2" s="935"/>
      <c r="D2" s="935"/>
    </row>
    <row r="3" spans="1:4" s="573" customFormat="1" ht="12.75" customHeight="1">
      <c r="A3" s="935"/>
      <c r="B3" s="935"/>
      <c r="C3" s="935"/>
      <c r="D3" s="935"/>
    </row>
    <row r="4" spans="1:4" s="573" customFormat="1" ht="12.75" customHeight="1">
      <c r="A4" s="935"/>
      <c r="B4" s="935"/>
      <c r="C4" s="935"/>
      <c r="D4" s="935"/>
    </row>
    <row r="5" spans="1:4" s="573" customFormat="1" ht="3" customHeight="1">
      <c r="A5" s="935"/>
      <c r="B5" s="935"/>
      <c r="C5" s="935"/>
      <c r="D5" s="935"/>
    </row>
    <row r="6" spans="1:4" s="573" customFormat="1" ht="7.5" customHeight="1">
      <c r="A6" s="935"/>
      <c r="B6" s="935"/>
      <c r="C6" s="935"/>
      <c r="D6" s="935"/>
    </row>
    <row r="7" spans="1:4" s="573" customFormat="1" ht="6.75" customHeight="1">
      <c r="A7" s="935"/>
      <c r="B7" s="935"/>
      <c r="C7" s="935"/>
      <c r="D7" s="935"/>
    </row>
    <row r="8" spans="1:4" s="573" customFormat="1">
      <c r="A8" s="574"/>
      <c r="B8" s="575"/>
      <c r="C8" s="574"/>
      <c r="D8" s="574"/>
    </row>
    <row r="9" spans="1:4" s="573" customFormat="1" ht="9" customHeight="1">
      <c r="A9" s="922" t="s">
        <v>945</v>
      </c>
      <c r="B9" s="922"/>
      <c r="C9" s="922"/>
      <c r="D9" s="922"/>
    </row>
    <row r="10" spans="1:4" s="573" customFormat="1">
      <c r="A10" s="574"/>
      <c r="B10" s="575"/>
      <c r="C10" s="574"/>
      <c r="D10" s="574"/>
    </row>
    <row r="11" spans="1:4" s="573" customFormat="1" ht="28.5" customHeight="1" thickBot="1">
      <c r="A11" s="923" t="str">
        <f>IV.A!A7</f>
        <v>EXECUÇÃO DE SERVIÇO DE REFORMA CIVIL, CONSTRUÇÕES E MANUTENÇÕES GERAIS  PARA MELHORIAS NAS ÁREAS DE PROPRIEDADE E/OU DE RESPONSABILIDADE DO SEMAE.</v>
      </c>
      <c r="B11" s="923"/>
      <c r="C11" s="923"/>
      <c r="D11" s="923"/>
    </row>
    <row r="12" spans="1:4" ht="13.5" customHeight="1">
      <c r="A12" s="924" t="s">
        <v>43</v>
      </c>
      <c r="B12" s="927" t="s">
        <v>44</v>
      </c>
      <c r="C12" s="933" t="s">
        <v>45</v>
      </c>
      <c r="D12" s="934"/>
    </row>
    <row r="13" spans="1:4" ht="14.25">
      <c r="A13" s="925"/>
      <c r="B13" s="928"/>
      <c r="C13" s="577" t="s">
        <v>46</v>
      </c>
      <c r="D13" s="578" t="s">
        <v>46</v>
      </c>
    </row>
    <row r="14" spans="1:4" ht="13.5" thickBot="1">
      <c r="A14" s="926"/>
      <c r="B14" s="929"/>
      <c r="C14" s="579" t="s">
        <v>698</v>
      </c>
      <c r="D14" s="580" t="s">
        <v>699</v>
      </c>
    </row>
    <row r="15" spans="1:4" ht="20.100000000000001" customHeight="1">
      <c r="A15" s="930" t="s">
        <v>37</v>
      </c>
      <c r="B15" s="581" t="s">
        <v>700</v>
      </c>
      <c r="C15" s="41"/>
      <c r="D15" s="5"/>
    </row>
    <row r="16" spans="1:4" ht="20.100000000000001" customHeight="1">
      <c r="A16" s="931"/>
      <c r="B16" s="582" t="s">
        <v>701</v>
      </c>
      <c r="C16" s="42"/>
      <c r="D16" s="5"/>
    </row>
    <row r="17" spans="1:4" ht="20.100000000000001" customHeight="1">
      <c r="A17" s="931"/>
      <c r="B17" s="582" t="s">
        <v>702</v>
      </c>
      <c r="C17" s="42"/>
      <c r="D17" s="5"/>
    </row>
    <row r="18" spans="1:4" ht="20.100000000000001" customHeight="1">
      <c r="A18" s="931"/>
      <c r="B18" s="582" t="s">
        <v>703</v>
      </c>
      <c r="C18" s="42"/>
      <c r="D18" s="5"/>
    </row>
    <row r="19" spans="1:4" ht="20.100000000000001" customHeight="1">
      <c r="A19" s="931"/>
      <c r="B19" s="582" t="s">
        <v>704</v>
      </c>
      <c r="C19" s="42"/>
      <c r="D19" s="5"/>
    </row>
    <row r="20" spans="1:4" ht="20.100000000000001" customHeight="1">
      <c r="A20" s="931"/>
      <c r="B20" s="582" t="s">
        <v>705</v>
      </c>
      <c r="C20" s="42"/>
      <c r="D20" s="5"/>
    </row>
    <row r="21" spans="1:4" ht="20.100000000000001" customHeight="1">
      <c r="A21" s="931"/>
      <c r="B21" s="582" t="s">
        <v>706</v>
      </c>
      <c r="C21" s="42"/>
      <c r="D21" s="5"/>
    </row>
    <row r="22" spans="1:4" ht="20.100000000000001" customHeight="1">
      <c r="A22" s="931"/>
      <c r="B22" s="582" t="s">
        <v>707</v>
      </c>
      <c r="C22" s="42"/>
      <c r="D22" s="5"/>
    </row>
    <row r="23" spans="1:4" ht="20.100000000000001" customHeight="1">
      <c r="A23" s="931"/>
      <c r="B23" s="582" t="s">
        <v>708</v>
      </c>
      <c r="C23" s="42"/>
      <c r="D23" s="5"/>
    </row>
    <row r="24" spans="1:4" ht="20.100000000000001" customHeight="1" thickBot="1">
      <c r="A24" s="932"/>
      <c r="B24" s="583" t="s">
        <v>709</v>
      </c>
      <c r="C24" s="584">
        <f>ROUND(SUM(C15:C23),4)</f>
        <v>0</v>
      </c>
      <c r="D24" s="585">
        <f>ROUND(SUM(D15:D23),4)</f>
        <v>0</v>
      </c>
    </row>
    <row r="25" spans="1:4" ht="20.100000000000001" customHeight="1">
      <c r="A25" s="930" t="s">
        <v>39</v>
      </c>
      <c r="B25" s="586" t="s">
        <v>710</v>
      </c>
      <c r="C25" s="41"/>
      <c r="D25" s="6"/>
    </row>
    <row r="26" spans="1:4" ht="20.100000000000001" customHeight="1">
      <c r="A26" s="931"/>
      <c r="B26" s="587" t="s">
        <v>711</v>
      </c>
      <c r="C26" s="42"/>
      <c r="D26" s="7"/>
    </row>
    <row r="27" spans="1:4" ht="20.100000000000001" customHeight="1">
      <c r="A27" s="931"/>
      <c r="B27" s="587" t="s">
        <v>712</v>
      </c>
      <c r="C27" s="42"/>
      <c r="D27" s="5"/>
    </row>
    <row r="28" spans="1:4" ht="20.100000000000001" customHeight="1">
      <c r="A28" s="931"/>
      <c r="B28" s="587" t="s">
        <v>713</v>
      </c>
      <c r="C28" s="42"/>
      <c r="D28" s="5"/>
    </row>
    <row r="29" spans="1:4" ht="20.100000000000001" customHeight="1">
      <c r="A29" s="931"/>
      <c r="B29" s="587" t="s">
        <v>714</v>
      </c>
      <c r="C29" s="42"/>
      <c r="D29" s="5"/>
    </row>
    <row r="30" spans="1:4" ht="20.100000000000001" customHeight="1">
      <c r="A30" s="931"/>
      <c r="B30" s="587" t="s">
        <v>715</v>
      </c>
      <c r="C30" s="42"/>
      <c r="D30" s="5"/>
    </row>
    <row r="31" spans="1:4" ht="20.100000000000001" customHeight="1">
      <c r="A31" s="931"/>
      <c r="B31" s="587" t="s">
        <v>716</v>
      </c>
      <c r="C31" s="42"/>
      <c r="D31" s="7"/>
    </row>
    <row r="32" spans="1:4" ht="20.100000000000001" customHeight="1">
      <c r="A32" s="931"/>
      <c r="B32" s="587" t="s">
        <v>717</v>
      </c>
      <c r="C32" s="42"/>
      <c r="D32" s="5"/>
    </row>
    <row r="33" spans="1:4" ht="20.100000000000001" customHeight="1">
      <c r="A33" s="931"/>
      <c r="B33" s="587" t="s">
        <v>718</v>
      </c>
      <c r="C33" s="42"/>
      <c r="D33" s="5"/>
    </row>
    <row r="34" spans="1:4" ht="20.100000000000001" customHeight="1">
      <c r="A34" s="931"/>
      <c r="B34" s="587" t="s">
        <v>719</v>
      </c>
      <c r="C34" s="42"/>
      <c r="D34" s="5"/>
    </row>
    <row r="35" spans="1:4" ht="20.100000000000001" customHeight="1" thickBot="1">
      <c r="A35" s="932"/>
      <c r="B35" s="588" t="s">
        <v>720</v>
      </c>
      <c r="C35" s="43">
        <f>SUM(C25:C34)</f>
        <v>0</v>
      </c>
      <c r="D35" s="8">
        <f>SUM(D25:D34)</f>
        <v>0</v>
      </c>
    </row>
    <row r="36" spans="1:4" ht="20.100000000000001" customHeight="1">
      <c r="A36" s="930" t="s">
        <v>40</v>
      </c>
      <c r="B36" s="586" t="s">
        <v>721</v>
      </c>
      <c r="C36" s="41"/>
      <c r="D36" s="9"/>
    </row>
    <row r="37" spans="1:4" ht="20.100000000000001" customHeight="1">
      <c r="A37" s="931"/>
      <c r="B37" s="587" t="s">
        <v>722</v>
      </c>
      <c r="C37" s="42"/>
      <c r="D37" s="5"/>
    </row>
    <row r="38" spans="1:4" ht="20.100000000000001" customHeight="1">
      <c r="A38" s="931"/>
      <c r="B38" s="587" t="s">
        <v>723</v>
      </c>
      <c r="C38" s="42"/>
      <c r="D38" s="5"/>
    </row>
    <row r="39" spans="1:4" ht="20.100000000000001" customHeight="1">
      <c r="A39" s="931"/>
      <c r="B39" s="587" t="s">
        <v>724</v>
      </c>
      <c r="C39" s="42"/>
      <c r="D39" s="5"/>
    </row>
    <row r="40" spans="1:4" ht="20.100000000000001" customHeight="1">
      <c r="A40" s="931"/>
      <c r="B40" s="587" t="s">
        <v>725</v>
      </c>
      <c r="C40" s="42"/>
      <c r="D40" s="5"/>
    </row>
    <row r="41" spans="1:4" ht="20.100000000000001" customHeight="1" thickBot="1">
      <c r="A41" s="932"/>
      <c r="B41" s="588" t="s">
        <v>726</v>
      </c>
      <c r="C41" s="584">
        <f>SUM(C36:C40)</f>
        <v>0</v>
      </c>
      <c r="D41" s="585">
        <f>SUM(D36:D40)</f>
        <v>0</v>
      </c>
    </row>
    <row r="42" spans="1:4" ht="22.5" customHeight="1">
      <c r="A42" s="930" t="s">
        <v>41</v>
      </c>
      <c r="B42" s="587" t="s">
        <v>727</v>
      </c>
      <c r="C42" s="599">
        <f>ROUND(C24*C35,4)</f>
        <v>0</v>
      </c>
      <c r="D42" s="600">
        <f>ROUND(D24*D35,4)</f>
        <v>0</v>
      </c>
    </row>
    <row r="43" spans="1:4" ht="28.5" customHeight="1">
      <c r="A43" s="931"/>
      <c r="B43" s="589" t="s">
        <v>728</v>
      </c>
      <c r="C43" s="599">
        <f>ROUND(C24*C37+C22*C36,4)</f>
        <v>0</v>
      </c>
      <c r="D43" s="600">
        <f>ROUND(D24*D37+D22*D36,4)</f>
        <v>0</v>
      </c>
    </row>
    <row r="44" spans="1:4" ht="20.100000000000001" customHeight="1" thickBot="1">
      <c r="A44" s="932"/>
      <c r="B44" s="588" t="s">
        <v>729</v>
      </c>
      <c r="C44" s="584">
        <f>SUM(C42:C43)</f>
        <v>0</v>
      </c>
      <c r="D44" s="585">
        <f>SUM(D42:D43)</f>
        <v>0</v>
      </c>
    </row>
    <row r="45" spans="1:4" ht="30" customHeight="1" thickBot="1">
      <c r="A45" s="590"/>
      <c r="B45" s="590" t="s">
        <v>730</v>
      </c>
      <c r="C45" s="591">
        <f>ROUND(C24+C35+C41+C44,5)</f>
        <v>0</v>
      </c>
      <c r="D45" s="592">
        <f>ROUND(D24+D35+D41+D44,5)</f>
        <v>0</v>
      </c>
    </row>
    <row r="46" spans="1:4">
      <c r="A46" s="593"/>
      <c r="B46" s="594"/>
      <c r="C46" s="594"/>
      <c r="D46" s="595"/>
    </row>
    <row r="47" spans="1:4" s="573" customFormat="1" ht="12.75" customHeight="1">
      <c r="A47" s="919"/>
      <c r="B47" s="920"/>
      <c r="C47" s="920"/>
      <c r="D47" s="921"/>
    </row>
    <row r="48" spans="1:4" s="573" customFormat="1">
      <c r="A48" s="919"/>
      <c r="B48" s="920"/>
      <c r="C48" s="920"/>
      <c r="D48" s="921"/>
    </row>
    <row r="49" spans="1:4" s="573" customFormat="1">
      <c r="A49" s="913" t="s">
        <v>731</v>
      </c>
      <c r="B49" s="914"/>
      <c r="C49" s="914"/>
      <c r="D49" s="915"/>
    </row>
    <row r="50" spans="1:4" s="573" customFormat="1" ht="13.5" thickBot="1">
      <c r="A50" s="916"/>
      <c r="B50" s="917"/>
      <c r="C50" s="917"/>
      <c r="D50" s="918"/>
    </row>
    <row r="51" spans="1:4" ht="13.5" customHeight="1">
      <c r="B51" s="596"/>
      <c r="C51" s="597"/>
      <c r="D51" s="598"/>
    </row>
    <row r="52" spans="1:4" ht="16.5">
      <c r="B52" s="596"/>
      <c r="C52" s="597"/>
      <c r="D52" s="598"/>
    </row>
  </sheetData>
  <sheetProtection algorithmName="SHA-512" hashValue="6C0ku36hoOGtIweZ8my6Ixp6mq0SuSvs1DKB+luJn66mrjB8UxnhV85nca8Kd0A+1f3kUnm1Pvpp5ktC6FKQNg==" saltValue="9/jew+lLmw5xtXmkq+bmSg==" spinCount="100000" sheet="1" objects="1" scenarios="1" selectLockedCells="1"/>
  <mergeCells count="12">
    <mergeCell ref="A1:D7"/>
    <mergeCell ref="A49:D50"/>
    <mergeCell ref="A47:D48"/>
    <mergeCell ref="A9:D9"/>
    <mergeCell ref="A11:D11"/>
    <mergeCell ref="A12:A14"/>
    <mergeCell ref="B12:B14"/>
    <mergeCell ref="A15:A24"/>
    <mergeCell ref="C12:D12"/>
    <mergeCell ref="A25:A35"/>
    <mergeCell ref="A36:A41"/>
    <mergeCell ref="A42:A44"/>
  </mergeCells>
  <phoneticPr fontId="28" type="noConversion"/>
  <printOptions horizontalCentered="1"/>
  <pageMargins left="0.51181102362204722" right="0.51181102362204722" top="0.43307086614173229" bottom="0.59055118110236215" header="0.31496062992125984" footer="0.31496062992125984"/>
  <pageSetup paperSize="9" scale="85" firstPageNumber="0" fitToHeight="0" orientation="portrait" r:id="rId1"/>
  <headerFooter>
    <oddFooter>&amp;L&amp;G&amp;CPágina &amp;P de &amp;N&amp;R&amp;G</oddFooter>
  </headerFooter>
  <legacyDrawingHF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Planilhas</vt:lpstr>
      </vt:variant>
      <vt:variant>
        <vt:i4>7</vt:i4>
      </vt:variant>
      <vt:variant>
        <vt:lpstr>Intervalos Nomeados</vt:lpstr>
      </vt:variant>
      <vt:variant>
        <vt:i4>18</vt:i4>
      </vt:variant>
    </vt:vector>
  </HeadingPairs>
  <TitlesOfParts>
    <vt:vector size="25" baseType="lpstr">
      <vt:lpstr>PREENCHIMENTO</vt:lpstr>
      <vt:lpstr>IV.A</vt:lpstr>
      <vt:lpstr>V.A</vt:lpstr>
      <vt:lpstr>VI.A</vt:lpstr>
      <vt:lpstr>VII.A</vt:lpstr>
      <vt:lpstr>VIII.A</vt:lpstr>
      <vt:lpstr>IX.A</vt:lpstr>
      <vt:lpstr>_1Excel_BuiltIn_Print_Area_1_1_1_1</vt:lpstr>
      <vt:lpstr>IV.A!Area_de_impressao</vt:lpstr>
      <vt:lpstr>IX.A!Area_de_impressao</vt:lpstr>
      <vt:lpstr>V.A!Area_de_impressao</vt:lpstr>
      <vt:lpstr>VI.A!Area_de_impressao</vt:lpstr>
      <vt:lpstr>VII.A!Area_de_impressao</vt:lpstr>
      <vt:lpstr>VIII.A!Area_de_impressao</vt:lpstr>
      <vt:lpstr>Excel_BuiltIn_Print_Area_1_1_1</vt:lpstr>
      <vt:lpstr>Excel_BuiltIn_Print_Area_1_1_1_1</vt:lpstr>
      <vt:lpstr>Excel_BuiltIn_Print_Area_1_1_1_1_1</vt:lpstr>
      <vt:lpstr>Excel_BuiltIn_Print_Area_1_1_1_1_1_1</vt:lpstr>
      <vt:lpstr>Excel_BuiltIn_Print_Area_3_1</vt:lpstr>
      <vt:lpstr>Excel_BuiltIn_Print_Area_6_1</vt:lpstr>
      <vt:lpstr>Excel_BuiltIn_Print_Area_7_1</vt:lpstr>
      <vt:lpstr>IV.A!Titulos_de_impressao</vt:lpstr>
      <vt:lpstr>V.A!Titulos_de_impressao</vt:lpstr>
      <vt:lpstr>VI.A!Titulos_de_impressao</vt:lpstr>
      <vt:lpstr>VII.A!Titulos_de_impressao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DAE - Dep. de Agua e Esgoto</dc:creator>
  <cp:lastModifiedBy>Christian Medalha Justino</cp:lastModifiedBy>
  <cp:revision>1</cp:revision>
  <cp:lastPrinted>2026-05-29T15:17:44Z</cp:lastPrinted>
  <dcterms:created xsi:type="dcterms:W3CDTF">2002-04-09T21:25:07Z</dcterms:created>
  <dcterms:modified xsi:type="dcterms:W3CDTF">2026-06-02T17:09:15Z</dcterms:modified>
</cp:coreProperties>
</file>